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rinterSettings/printerSettings1.bin" ContentType="application/vnd.openxmlformats-officedocument.spreadsheetml.printerSettings"/>
  <Override PartName="/xl/pivotTables/pivotTable4.xml" ContentType="application/vnd.openxmlformats-officedocument.spreadsheetml.pivotTable+xml"/>
  <Override PartName="/xl/printerSettings/printerSettings2.bin" ContentType="application/vnd.openxmlformats-officedocument.spreadsheetml.printerSettings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rinterSettings/printerSettings3.bin" ContentType="application/vnd.openxmlformats-officedocument.spreadsheetml.printerSettings"/>
  <Override PartName="/xl/drawings/drawing3.xml" ContentType="application/vnd.openxmlformats-officedocument.drawing+xml"/>
  <Override PartName="/xl/pivotTables/pivotTable12.xml" ContentType="application/vnd.openxmlformats-officedocument.spreadsheetml.pivotTable+xml"/>
  <Override PartName="/xl/printerSettings/printerSettings4.bin" ContentType="application/vnd.openxmlformats-officedocument.spreadsheetml.printerSettings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rinterSettings/printerSettings5.bin" ContentType="application/vnd.openxmlformats-officedocument.spreadsheetml.printerSettings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slicers/slicer3.xml" ContentType="application/vnd.ms-excel.slicer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rinterSettings/printerSettings6.bin" ContentType="application/vnd.openxmlformats-officedocument.spreadsheetml.printerSettings"/>
  <Override PartName="/xl/printerSettings/printerSettings7.bin" ContentType="application/vnd.openxmlformats-officedocument.spreadsheetml.printerSettings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rinterSettings/printerSettings8.bin" ContentType="application/vnd.openxmlformats-officedocument.spreadsheetml.printerSettings"/>
  <Override PartName="/xl/printerSettings/printerSettings9.bin" ContentType="application/vnd.openxmlformats-officedocument.spreadsheetml.printerSettings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rinterSettings/printerSettings10.bin" ContentType="application/vnd.openxmlformats-officedocument.spreadsheetml.printerSettings"/>
  <Override PartName="/xl/printerSettings/printerSettings11.bin" ContentType="application/vnd.openxmlformats-officedocument.spreadsheetml.printerSettings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rinterSettings/printerSettings12.bin" ContentType="application/vnd.openxmlformats-officedocument.spreadsheetml.printerSettings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rinterSettings/printerSettings13.bin" ContentType="application/vnd.openxmlformats-officedocument.spreadsheetml.printerSettings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iarasilva/Documents/2022-S2/Práctica II/Agrosuper/"/>
    </mc:Choice>
  </mc:AlternateContent>
  <xr:revisionPtr revIDLastSave="0" documentId="13_ncr:1_{A4729366-962A-5144-AE9F-AC8E2A471BE5}" xr6:coauthVersionLast="47" xr6:coauthVersionMax="47" xr10:uidLastSave="{00000000-0000-0000-0000-000000000000}"/>
  <bookViews>
    <workbookView xWindow="0" yWindow="500" windowWidth="23360" windowHeight="19840" tabRatio="875" activeTab="3" xr2:uid="{1FC44E8E-783E-4381-9127-23DB4E3EEBA0}"/>
  </bookViews>
  <sheets>
    <sheet name="Corea" sheetId="7" state="hidden" r:id="rId1"/>
    <sheet name="Resumen PI" sheetId="23" state="hidden" r:id="rId2"/>
    <sheet name="Stock" sheetId="18" state="hidden" r:id="rId3"/>
    <sheet name="BASE PLAN MES N" sheetId="38" r:id="rId4"/>
    <sheet name="Saldo de carne Cerdo" sheetId="44" r:id="rId5"/>
    <sheet name="Bajada CDS" sheetId="30" r:id="rId6"/>
    <sheet name="Resumen Volumen" sheetId="6" r:id="rId7"/>
    <sheet name="Hoja5" sheetId="49" r:id="rId8"/>
    <sheet name="Saldo de carne" sheetId="43" state="hidden" r:id="rId9"/>
    <sheet name="Hoja6" sheetId="46" r:id="rId10"/>
    <sheet name="Mes n+2 y n+3" sheetId="42" r:id="rId11"/>
    <sheet name="Hoja7" sheetId="47" state="hidden" r:id="rId12"/>
    <sheet name="Hoja4" sheetId="41" r:id="rId13"/>
    <sheet name="Hoja3" sheetId="40" r:id="rId14"/>
    <sheet name="Hoja2" sheetId="39" r:id="rId15"/>
    <sheet name="BASE PLAN MES N inicial" sheetId="2" r:id="rId16"/>
    <sheet name="Colaboración" sheetId="37" r:id="rId17"/>
    <sheet name="Resumen NETO" sheetId="27" r:id="rId18"/>
    <sheet name="Hoja1" sheetId="34" r:id="rId19"/>
    <sheet name="Capacidad" sheetId="33" r:id="rId20"/>
    <sheet name="Detalle SUD" sheetId="19" state="hidden" r:id="rId21"/>
    <sheet name="Tripas" sheetId="26" state="hidden" r:id="rId22"/>
    <sheet name="Brasil" sheetId="25" state="hidden" r:id="rId23"/>
    <sheet name="Analisis China" sheetId="9" state="hidden" r:id="rId24"/>
    <sheet name="Por despachar" sheetId="5" state="hidden" r:id="rId25"/>
    <sheet name="Analisis SUD" sheetId="8" state="hidden" r:id="rId26"/>
    <sheet name="En puerto-Programado" sheetId="4" state="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_xlnm._FilterDatabase" localSheetId="3" hidden="1">'BASE PLAN MES N'!$A$9:$A$310</definedName>
    <definedName name="_xlnm._FilterDatabase" localSheetId="15" hidden="1">'BASE PLAN MES N inicial'!$A$9:$A$310</definedName>
    <definedName name="_xlnm._FilterDatabase" localSheetId="0" hidden="1">Corea!$C$9:$H$292</definedName>
    <definedName name="_xlnm._FilterDatabase" localSheetId="14" hidden="1">Hoja2!$D$2:$K$168</definedName>
    <definedName name="_xlnm._FilterDatabase" localSheetId="10" hidden="1">'Mes n+2 y n+3'!$A$9:$A$310</definedName>
    <definedName name="_xlnm._FilterDatabase" localSheetId="4" hidden="1">'Saldo de carne Cerdo'!$D$36:$H$41</definedName>
    <definedName name="SegmentaciónDeDatos_Oficina">#N/A</definedName>
    <definedName name="SegmentaciónDeDatos_Oficina1">#N/A</definedName>
    <definedName name="SegmentaciónDeDatos_Oficina2">#N/A</definedName>
    <definedName name="SegmentaciónDeDatos_Oficina21">#N/A</definedName>
    <definedName name="SegmentaciónDeDatos_Sector">#N/A</definedName>
    <definedName name="SegmentaciónDeDatos_Sector1">#N/A</definedName>
    <definedName name="SegmentaciónDeDatos_Sector2">#N/A</definedName>
    <definedName name="SegmentaciónDeDatos_Sector21">#N/A</definedName>
  </definedNames>
  <calcPr calcId="191029"/>
  <pivotCaches>
    <pivotCache cacheId="103" r:id="rId50"/>
    <pivotCache cacheId="104" r:id="rId51"/>
    <pivotCache cacheId="105" r:id="rId52"/>
    <pivotCache cacheId="106" r:id="rId53"/>
    <pivotCache cacheId="107" r:id="rId54"/>
    <pivotCache cacheId="108" r:id="rId55"/>
    <pivotCache cacheId="109" r:id="rId56"/>
    <pivotCache cacheId="110" r:id="rId57"/>
    <pivotCache cacheId="111" r:id="rId5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9"/>
        <x14:slicerCache r:id="rId60"/>
        <x14:slicerCache r:id="rId61"/>
        <x14:slicerCache r:id="rId62"/>
        <x14:slicerCache r:id="rId63"/>
        <x14:slicerCache r:id="rId64"/>
        <x14:slicerCache r:id="rId65"/>
        <x14:slicerCache r:id="rId66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11" i="38" l="1"/>
  <c r="J32" i="44"/>
  <c r="J31" i="44"/>
  <c r="J30" i="44"/>
  <c r="J29" i="44"/>
  <c r="J28" i="44"/>
  <c r="H41" i="44"/>
  <c r="H40" i="44"/>
  <c r="H39" i="44"/>
  <c r="H38" i="44"/>
  <c r="H37" i="44"/>
  <c r="G41" i="44"/>
  <c r="G40" i="44"/>
  <c r="G39" i="44"/>
  <c r="G38" i="44"/>
  <c r="G37" i="44"/>
  <c r="F41" i="44"/>
  <c r="F40" i="44"/>
  <c r="F39" i="44"/>
  <c r="F38" i="44"/>
  <c r="F37" i="44"/>
  <c r="E41" i="44"/>
  <c r="E40" i="44"/>
  <c r="E39" i="44"/>
  <c r="E38" i="44"/>
  <c r="E37" i="44"/>
  <c r="H32" i="44"/>
  <c r="H31" i="44"/>
  <c r="H30" i="44"/>
  <c r="H29" i="44"/>
  <c r="H28" i="44"/>
  <c r="J18" i="44"/>
  <c r="J17" i="44"/>
  <c r="AS10" i="38" l="1"/>
  <c r="AS11" i="38"/>
  <c r="AS12" i="38"/>
  <c r="AS13" i="38"/>
  <c r="AS14" i="38"/>
  <c r="AS15" i="38"/>
  <c r="AS16" i="38"/>
  <c r="AS17" i="38"/>
  <c r="AS18" i="38"/>
  <c r="AS19" i="38"/>
  <c r="AS20" i="38"/>
  <c r="AS21" i="38"/>
  <c r="AS22" i="38"/>
  <c r="AS23" i="38"/>
  <c r="AS24" i="38"/>
  <c r="AS25" i="38"/>
  <c r="AS26" i="38"/>
  <c r="AS27" i="38"/>
  <c r="AS28" i="38"/>
  <c r="AS29" i="38"/>
  <c r="AS30" i="38"/>
  <c r="AS31" i="38"/>
  <c r="AS32" i="38"/>
  <c r="AS33" i="38"/>
  <c r="AS34" i="38"/>
  <c r="AS35" i="38"/>
  <c r="AS36" i="38"/>
  <c r="AS37" i="38"/>
  <c r="AS38" i="38"/>
  <c r="AS39" i="38"/>
  <c r="AS40" i="38"/>
  <c r="AS41" i="38"/>
  <c r="AS42" i="38"/>
  <c r="AS43" i="38"/>
  <c r="AS44" i="38"/>
  <c r="AS45" i="38"/>
  <c r="AS46" i="38"/>
  <c r="AS47" i="38"/>
  <c r="AS48" i="38"/>
  <c r="AS49" i="38"/>
  <c r="AS50" i="38"/>
  <c r="AS51" i="38"/>
  <c r="AS52" i="38"/>
  <c r="AS53" i="38"/>
  <c r="AS54" i="38"/>
  <c r="AS55" i="38"/>
  <c r="AS56" i="38"/>
  <c r="AS57" i="38"/>
  <c r="AS58" i="38"/>
  <c r="AS59" i="38"/>
  <c r="AS60" i="38"/>
  <c r="AS61" i="38"/>
  <c r="AS62" i="38"/>
  <c r="AS63" i="38"/>
  <c r="AS64" i="38"/>
  <c r="AS65" i="38"/>
  <c r="AS66" i="38"/>
  <c r="AS67" i="38"/>
  <c r="AS68" i="38"/>
  <c r="AS69" i="38"/>
  <c r="AS70" i="38"/>
  <c r="AS71" i="38"/>
  <c r="AS72" i="38"/>
  <c r="AS73" i="38"/>
  <c r="AS74" i="38"/>
  <c r="AS75" i="38"/>
  <c r="AS76" i="38"/>
  <c r="AS77" i="38"/>
  <c r="AS78" i="38"/>
  <c r="AS79" i="38"/>
  <c r="AS80" i="38"/>
  <c r="AS81" i="38"/>
  <c r="AS82" i="38"/>
  <c r="AS83" i="38"/>
  <c r="AS84" i="38"/>
  <c r="AS85" i="38"/>
  <c r="AS86" i="38"/>
  <c r="AS87" i="38"/>
  <c r="AS88" i="38"/>
  <c r="AS89" i="38"/>
  <c r="AS90" i="38"/>
  <c r="AS91" i="38"/>
  <c r="AS92" i="38"/>
  <c r="AS93" i="38"/>
  <c r="AS94" i="38"/>
  <c r="AS95" i="38"/>
  <c r="AS96" i="38"/>
  <c r="AS97" i="38"/>
  <c r="AS98" i="38"/>
  <c r="AS99" i="38"/>
  <c r="AS100" i="38"/>
  <c r="AS101" i="38"/>
  <c r="AS102" i="38"/>
  <c r="AS103" i="38"/>
  <c r="AS104" i="38"/>
  <c r="AS105" i="38"/>
  <c r="AS106" i="38"/>
  <c r="AS107" i="38"/>
  <c r="AS108" i="38"/>
  <c r="AS109" i="38"/>
  <c r="AS110" i="38"/>
  <c r="AS111" i="38"/>
  <c r="AS112" i="38"/>
  <c r="AS113" i="38"/>
  <c r="AS114" i="38"/>
  <c r="AS115" i="38"/>
  <c r="AS116" i="38"/>
  <c r="AS117" i="38"/>
  <c r="AS118" i="38"/>
  <c r="AS119" i="38"/>
  <c r="AS120" i="38"/>
  <c r="AS121" i="38"/>
  <c r="AS122" i="38"/>
  <c r="AS123" i="38"/>
  <c r="AS124" i="38"/>
  <c r="AS125" i="38"/>
  <c r="AS126" i="38"/>
  <c r="AS127" i="38"/>
  <c r="AS128" i="38"/>
  <c r="AS129" i="38"/>
  <c r="AS130" i="38"/>
  <c r="AS131" i="38"/>
  <c r="AS132" i="38"/>
  <c r="AS133" i="38"/>
  <c r="AS134" i="38"/>
  <c r="AS135" i="38"/>
  <c r="AS136" i="38"/>
  <c r="AS137" i="38"/>
  <c r="AS138" i="38"/>
  <c r="AS139" i="38"/>
  <c r="AS140" i="38"/>
  <c r="AS141" i="38"/>
  <c r="AS142" i="38"/>
  <c r="AS143" i="38"/>
  <c r="AS144" i="38"/>
  <c r="AS145" i="38"/>
  <c r="AS146" i="38"/>
  <c r="AS147" i="38"/>
  <c r="AS148" i="38"/>
  <c r="AS149" i="38"/>
  <c r="AS150" i="38"/>
  <c r="AS151" i="38"/>
  <c r="AS152" i="38"/>
  <c r="AS153" i="38"/>
  <c r="AS154" i="38"/>
  <c r="AS155" i="38"/>
  <c r="AS156" i="38"/>
  <c r="AS157" i="38"/>
  <c r="AS158" i="38"/>
  <c r="AS159" i="38"/>
  <c r="AS160" i="38"/>
  <c r="AS161" i="38"/>
  <c r="AS162" i="38"/>
  <c r="AS163" i="38"/>
  <c r="AS164" i="38"/>
  <c r="AS165" i="38"/>
  <c r="AS166" i="38"/>
  <c r="AS167" i="38"/>
  <c r="AS168" i="38"/>
  <c r="AS169" i="38"/>
  <c r="AS170" i="38"/>
  <c r="AS171" i="38"/>
  <c r="AS172" i="38"/>
  <c r="AS173" i="38"/>
  <c r="AS174" i="38"/>
  <c r="AS175" i="38"/>
  <c r="AS176" i="38"/>
  <c r="AS177" i="38"/>
  <c r="AS178" i="38"/>
  <c r="AS179" i="38"/>
  <c r="AS180" i="38"/>
  <c r="AS181" i="38"/>
  <c r="AS182" i="38"/>
  <c r="AS183" i="38"/>
  <c r="AS184" i="38"/>
  <c r="AS185" i="38"/>
  <c r="AS186" i="38"/>
  <c r="AS187" i="38"/>
  <c r="AS188" i="38"/>
  <c r="AS189" i="38"/>
  <c r="AS190" i="38"/>
  <c r="AS191" i="38"/>
  <c r="AS192" i="38"/>
  <c r="AS193" i="38"/>
  <c r="AS194" i="38"/>
  <c r="AS195" i="38"/>
  <c r="AS196" i="38"/>
  <c r="AS197" i="38"/>
  <c r="AS198" i="38"/>
  <c r="AS199" i="38"/>
  <c r="AS200" i="38"/>
  <c r="AS201" i="38"/>
  <c r="AS202" i="38"/>
  <c r="AS203" i="38"/>
  <c r="AS204" i="38"/>
  <c r="AS205" i="38"/>
  <c r="AS206" i="38"/>
  <c r="AS207" i="38"/>
  <c r="AS208" i="38"/>
  <c r="AS209" i="38"/>
  <c r="AS210" i="38"/>
  <c r="AS211" i="38"/>
  <c r="AS212" i="38"/>
  <c r="AS213" i="38"/>
  <c r="AS214" i="38"/>
  <c r="AS215" i="38"/>
  <c r="AS216" i="38"/>
  <c r="AS217" i="38"/>
  <c r="AS218" i="38"/>
  <c r="AS219" i="38"/>
  <c r="AS220" i="38"/>
  <c r="AS221" i="38"/>
  <c r="AS222" i="38"/>
  <c r="AS223" i="38"/>
  <c r="AS224" i="38"/>
  <c r="AS225" i="38"/>
  <c r="AS226" i="38"/>
  <c r="AS227" i="38"/>
  <c r="AS228" i="38"/>
  <c r="AS229" i="38"/>
  <c r="AS230" i="38"/>
  <c r="AS231" i="38"/>
  <c r="AS232" i="38"/>
  <c r="AS233" i="38"/>
  <c r="AS234" i="38"/>
  <c r="AS235" i="38"/>
  <c r="AS236" i="38"/>
  <c r="AS237" i="38"/>
  <c r="AS238" i="38"/>
  <c r="AS239" i="38"/>
  <c r="AS240" i="38"/>
  <c r="AS241" i="38"/>
  <c r="AS242" i="38"/>
  <c r="AS243" i="38"/>
  <c r="AS244" i="38"/>
  <c r="AS245" i="38"/>
  <c r="AS246" i="38"/>
  <c r="AS247" i="38"/>
  <c r="AS248" i="38"/>
  <c r="AS249" i="38"/>
  <c r="AS250" i="38"/>
  <c r="AS251" i="38"/>
  <c r="AS252" i="38"/>
  <c r="AS253" i="38"/>
  <c r="AS254" i="38"/>
  <c r="AS255" i="38"/>
  <c r="AS256" i="38"/>
  <c r="AS257" i="38"/>
  <c r="AS258" i="38"/>
  <c r="AS259" i="38"/>
  <c r="AS260" i="38"/>
  <c r="AS261" i="38"/>
  <c r="AS262" i="38"/>
  <c r="AS263" i="38"/>
  <c r="AS264" i="38"/>
  <c r="AS265" i="38"/>
  <c r="AS266" i="38"/>
  <c r="AS267" i="38"/>
  <c r="AS268" i="38"/>
  <c r="AS269" i="38"/>
  <c r="AS270" i="38"/>
  <c r="AS271" i="38"/>
  <c r="AS272" i="38"/>
  <c r="AS273" i="38"/>
  <c r="AS274" i="38"/>
  <c r="AS275" i="38"/>
  <c r="AS276" i="38"/>
  <c r="AS277" i="38"/>
  <c r="AS278" i="38"/>
  <c r="AS279" i="38"/>
  <c r="AS280" i="38"/>
  <c r="AS281" i="38"/>
  <c r="AS282" i="38"/>
  <c r="AS283" i="38"/>
  <c r="AS284" i="38"/>
  <c r="AS285" i="38"/>
  <c r="AS286" i="38"/>
  <c r="AS287" i="38"/>
  <c r="AS288" i="38"/>
  <c r="AS289" i="38"/>
  <c r="AS290" i="38"/>
  <c r="AS291" i="38"/>
  <c r="AS292" i="38"/>
  <c r="AS293" i="38"/>
  <c r="AS294" i="38"/>
  <c r="AS295" i="38"/>
  <c r="AS296" i="38"/>
  <c r="AS297" i="38"/>
  <c r="AS298" i="38"/>
  <c r="AS299" i="38"/>
  <c r="AS300" i="38"/>
  <c r="AS301" i="38"/>
  <c r="AS302" i="38"/>
  <c r="AS303" i="38"/>
  <c r="AS304" i="38"/>
  <c r="AS305" i="38"/>
  <c r="AS306" i="38"/>
  <c r="AS307" i="38"/>
  <c r="AS308" i="38"/>
  <c r="AS309" i="38"/>
  <c r="AS310" i="38"/>
  <c r="AS311" i="38"/>
  <c r="AS312" i="38"/>
  <c r="AS313" i="38"/>
  <c r="AS314" i="38"/>
  <c r="AS315" i="38"/>
  <c r="AS316" i="38"/>
  <c r="AS317" i="38"/>
  <c r="AS318" i="38"/>
  <c r="AS319" i="38"/>
  <c r="AS320" i="38"/>
  <c r="AS321" i="38"/>
  <c r="AS322" i="38"/>
  <c r="AS323" i="38"/>
  <c r="AS324" i="38"/>
  <c r="AS325" i="38"/>
  <c r="AS326" i="38"/>
  <c r="AS327" i="38"/>
  <c r="BC10" i="38" l="1"/>
  <c r="BC11" i="38"/>
  <c r="BC12" i="38"/>
  <c r="BC13" i="38"/>
  <c r="BC14" i="38"/>
  <c r="BC15" i="38"/>
  <c r="BC16" i="38"/>
  <c r="BC18" i="38"/>
  <c r="BC19" i="38"/>
  <c r="BC20" i="38"/>
  <c r="BC21" i="38"/>
  <c r="BC22" i="38"/>
  <c r="BC23" i="38"/>
  <c r="BC24" i="38"/>
  <c r="BC25" i="38"/>
  <c r="BC26" i="38"/>
  <c r="BC27" i="38"/>
  <c r="BC28" i="38"/>
  <c r="BC29" i="38"/>
  <c r="BC30" i="38"/>
  <c r="BC31" i="38"/>
  <c r="BC32" i="38"/>
  <c r="BC35" i="38"/>
  <c r="BC39" i="38"/>
  <c r="BC42" i="38"/>
  <c r="BC47" i="38"/>
  <c r="BC49" i="38"/>
  <c r="BC51" i="38"/>
  <c r="BC52" i="38"/>
  <c r="BC53" i="38"/>
  <c r="BC58" i="38"/>
  <c r="BC62" i="38"/>
  <c r="BC63" i="38"/>
  <c r="BC64" i="38"/>
  <c r="BC66" i="38"/>
  <c r="BC72" i="38"/>
  <c r="BC107" i="38"/>
  <c r="BC108" i="38"/>
  <c r="BC109" i="38"/>
  <c r="BC110" i="38"/>
  <c r="BC112" i="38"/>
  <c r="BC113" i="38"/>
  <c r="BC213" i="38"/>
  <c r="BC214" i="38"/>
  <c r="BC217" i="38"/>
  <c r="BC218" i="38"/>
  <c r="BC220" i="38"/>
  <c r="BC224" i="38"/>
  <c r="BC226" i="38"/>
  <c r="BC228" i="38"/>
  <c r="BC229" i="38"/>
  <c r="BC233" i="38"/>
  <c r="BC235" i="38"/>
  <c r="BC236" i="38"/>
  <c r="BC239" i="38"/>
  <c r="BC240" i="38"/>
  <c r="BC241" i="38"/>
  <c r="BC261" i="38"/>
  <c r="BC269" i="38"/>
  <c r="BC270" i="38"/>
  <c r="BC276" i="38"/>
  <c r="BC310" i="38"/>
  <c r="BC312" i="38"/>
  <c r="BC315" i="38"/>
  <c r="BC316" i="38"/>
  <c r="BC320" i="38"/>
  <c r="BC321" i="38"/>
  <c r="BC322" i="38"/>
  <c r="I114" i="38" l="1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242" i="38"/>
  <c r="I243" i="38"/>
  <c r="I244" i="38"/>
  <c r="I245" i="38"/>
  <c r="I246" i="38"/>
  <c r="I247" i="38"/>
  <c r="I248" i="38"/>
  <c r="I249" i="38"/>
  <c r="I250" i="38"/>
  <c r="I251" i="38"/>
  <c r="I253" i="38"/>
  <c r="I256" i="38"/>
  <c r="I257" i="38"/>
  <c r="I258" i="38"/>
  <c r="I262" i="38"/>
  <c r="I263" i="38"/>
  <c r="I264" i="38"/>
  <c r="I271" i="38"/>
  <c r="I272" i="38"/>
  <c r="I273" i="38"/>
  <c r="I278" i="38"/>
  <c r="I279" i="38"/>
  <c r="I280" i="38"/>
  <c r="I281" i="38"/>
  <c r="I282" i="38"/>
  <c r="I283" i="38"/>
  <c r="I284" i="38"/>
  <c r="I285" i="38"/>
  <c r="I286" i="38"/>
  <c r="I287" i="38"/>
  <c r="I288" i="38"/>
  <c r="I299" i="38"/>
  <c r="P334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M102" i="38"/>
  <c r="M103" i="38"/>
  <c r="M104" i="38"/>
  <c r="M105" i="38"/>
  <c r="M106" i="38"/>
  <c r="M107" i="38"/>
  <c r="M108" i="38"/>
  <c r="M109" i="38"/>
  <c r="M110" i="38"/>
  <c r="M111" i="38"/>
  <c r="M112" i="38"/>
  <c r="M113" i="38"/>
  <c r="M114" i="38"/>
  <c r="M115" i="38"/>
  <c r="M116" i="38"/>
  <c r="M117" i="38"/>
  <c r="M118" i="38"/>
  <c r="M119" i="38"/>
  <c r="M120" i="38"/>
  <c r="M121" i="38"/>
  <c r="M122" i="38"/>
  <c r="M123" i="38"/>
  <c r="M124" i="38"/>
  <c r="M125" i="38"/>
  <c r="M126" i="38"/>
  <c r="M127" i="38"/>
  <c r="M128" i="38"/>
  <c r="M129" i="38"/>
  <c r="M130" i="38"/>
  <c r="M131" i="38"/>
  <c r="M132" i="38"/>
  <c r="M133" i="38"/>
  <c r="M134" i="38"/>
  <c r="M135" i="38"/>
  <c r="M136" i="38"/>
  <c r="M137" i="38"/>
  <c r="M138" i="38"/>
  <c r="M139" i="38"/>
  <c r="M140" i="38"/>
  <c r="M141" i="38"/>
  <c r="M142" i="38"/>
  <c r="M143" i="38"/>
  <c r="M144" i="38"/>
  <c r="M145" i="38"/>
  <c r="M146" i="38"/>
  <c r="M147" i="38"/>
  <c r="M148" i="38"/>
  <c r="M149" i="38"/>
  <c r="M150" i="38"/>
  <c r="M151" i="38"/>
  <c r="M152" i="38"/>
  <c r="M153" i="38"/>
  <c r="M154" i="38"/>
  <c r="M155" i="38"/>
  <c r="M156" i="38"/>
  <c r="M157" i="38"/>
  <c r="M158" i="38"/>
  <c r="M159" i="38"/>
  <c r="M160" i="38"/>
  <c r="M161" i="38"/>
  <c r="M162" i="38"/>
  <c r="M163" i="38"/>
  <c r="M164" i="38"/>
  <c r="M165" i="38"/>
  <c r="M166" i="38"/>
  <c r="M167" i="38"/>
  <c r="M168" i="38"/>
  <c r="M169" i="38"/>
  <c r="M170" i="38"/>
  <c r="M171" i="38"/>
  <c r="M172" i="38"/>
  <c r="M173" i="38"/>
  <c r="M174" i="38"/>
  <c r="M175" i="38"/>
  <c r="M176" i="38"/>
  <c r="M177" i="38"/>
  <c r="M178" i="38"/>
  <c r="M179" i="38"/>
  <c r="M180" i="38"/>
  <c r="M181" i="38"/>
  <c r="M182" i="38"/>
  <c r="M183" i="38"/>
  <c r="M184" i="38"/>
  <c r="M185" i="38"/>
  <c r="M186" i="38"/>
  <c r="M187" i="38"/>
  <c r="M188" i="38"/>
  <c r="M189" i="38"/>
  <c r="M190" i="38"/>
  <c r="M191" i="38"/>
  <c r="M192" i="38"/>
  <c r="M193" i="38"/>
  <c r="M194" i="38"/>
  <c r="M195" i="38"/>
  <c r="M196" i="38"/>
  <c r="M197" i="38"/>
  <c r="M198" i="38"/>
  <c r="M199" i="38"/>
  <c r="M200" i="38"/>
  <c r="M201" i="38"/>
  <c r="M202" i="38"/>
  <c r="M203" i="38"/>
  <c r="M204" i="38"/>
  <c r="M205" i="38"/>
  <c r="M206" i="38"/>
  <c r="M207" i="38"/>
  <c r="M208" i="38"/>
  <c r="M209" i="38"/>
  <c r="M210" i="38"/>
  <c r="M211" i="38"/>
  <c r="M212" i="38"/>
  <c r="M213" i="38"/>
  <c r="M214" i="38"/>
  <c r="M215" i="38"/>
  <c r="M216" i="38"/>
  <c r="M217" i="38"/>
  <c r="M218" i="38"/>
  <c r="M219" i="38"/>
  <c r="M220" i="38"/>
  <c r="M221" i="38"/>
  <c r="M222" i="38"/>
  <c r="M223" i="38"/>
  <c r="M224" i="38"/>
  <c r="M225" i="38"/>
  <c r="M226" i="38"/>
  <c r="M227" i="38"/>
  <c r="M228" i="38"/>
  <c r="M229" i="38"/>
  <c r="M230" i="38"/>
  <c r="M231" i="38"/>
  <c r="M232" i="38"/>
  <c r="M233" i="38"/>
  <c r="M234" i="38"/>
  <c r="M235" i="38"/>
  <c r="M236" i="38"/>
  <c r="M237" i="38"/>
  <c r="M238" i="38"/>
  <c r="M239" i="38"/>
  <c r="M240" i="38"/>
  <c r="M241" i="38"/>
  <c r="M242" i="38"/>
  <c r="M243" i="38"/>
  <c r="M244" i="38"/>
  <c r="M245" i="38"/>
  <c r="M246" i="38"/>
  <c r="M247" i="38"/>
  <c r="M248" i="38"/>
  <c r="M249" i="38"/>
  <c r="M250" i="38"/>
  <c r="M251" i="38"/>
  <c r="M252" i="38"/>
  <c r="M253" i="38"/>
  <c r="M254" i="38"/>
  <c r="M255" i="38"/>
  <c r="M256" i="38"/>
  <c r="M257" i="38"/>
  <c r="M258" i="38"/>
  <c r="M259" i="38"/>
  <c r="M260" i="38"/>
  <c r="M261" i="38"/>
  <c r="M262" i="38"/>
  <c r="M263" i="38"/>
  <c r="M264" i="38"/>
  <c r="M265" i="38"/>
  <c r="M266" i="38"/>
  <c r="M267" i="38"/>
  <c r="M268" i="38"/>
  <c r="M269" i="38"/>
  <c r="M270" i="38"/>
  <c r="M271" i="38"/>
  <c r="M272" i="38"/>
  <c r="M273" i="38"/>
  <c r="M274" i="38"/>
  <c r="M275" i="38"/>
  <c r="M276" i="38"/>
  <c r="M277" i="38"/>
  <c r="M278" i="38"/>
  <c r="M279" i="38"/>
  <c r="M280" i="38"/>
  <c r="M281" i="38"/>
  <c r="M282" i="38"/>
  <c r="M283" i="38"/>
  <c r="M284" i="38"/>
  <c r="M285" i="38"/>
  <c r="M286" i="38"/>
  <c r="M287" i="38"/>
  <c r="M288" i="38"/>
  <c r="M289" i="38"/>
  <c r="M290" i="38"/>
  <c r="M291" i="38"/>
  <c r="M292" i="38"/>
  <c r="M293" i="38"/>
  <c r="M294" i="38"/>
  <c r="M295" i="38"/>
  <c r="M296" i="38"/>
  <c r="M297" i="38"/>
  <c r="M298" i="38"/>
  <c r="M299" i="38"/>
  <c r="M300" i="38"/>
  <c r="M301" i="38"/>
  <c r="M302" i="38"/>
  <c r="M303" i="38"/>
  <c r="M304" i="38"/>
  <c r="M305" i="38"/>
  <c r="M306" i="38"/>
  <c r="M307" i="38"/>
  <c r="M308" i="38"/>
  <c r="M309" i="38"/>
  <c r="M310" i="38"/>
  <c r="M311" i="38"/>
  <c r="M312" i="38"/>
  <c r="M313" i="38"/>
  <c r="M314" i="38"/>
  <c r="M315" i="38"/>
  <c r="M316" i="38"/>
  <c r="M317" i="38"/>
  <c r="M318" i="38"/>
  <c r="M319" i="38"/>
  <c r="M320" i="38"/>
  <c r="M321" i="38"/>
  <c r="M322" i="38"/>
  <c r="M323" i="38"/>
  <c r="M324" i="38"/>
  <c r="M325" i="38"/>
  <c r="M326" i="38"/>
  <c r="M327" i="38"/>
  <c r="R8" i="38" l="1"/>
  <c r="B324" i="38"/>
  <c r="B325" i="38"/>
  <c r="B326" i="38"/>
  <c r="B327" i="38"/>
  <c r="K324" i="38"/>
  <c r="K325" i="38"/>
  <c r="K326" i="38"/>
  <c r="K327" i="38"/>
  <c r="N324" i="38"/>
  <c r="N325" i="38"/>
  <c r="N326" i="38"/>
  <c r="N327" i="38"/>
  <c r="B320" i="38"/>
  <c r="B321" i="38"/>
  <c r="B322" i="38"/>
  <c r="B323" i="38"/>
  <c r="K320" i="38"/>
  <c r="K321" i="38"/>
  <c r="K322" i="38"/>
  <c r="K323" i="38"/>
  <c r="N320" i="38"/>
  <c r="N321" i="38"/>
  <c r="N322" i="38"/>
  <c r="N323" i="38"/>
  <c r="CA320" i="38" l="1"/>
  <c r="BW320" i="38"/>
  <c r="CA321" i="38"/>
  <c r="BW321" i="38"/>
  <c r="CA327" i="38"/>
  <c r="BW327" i="38"/>
  <c r="CA326" i="38"/>
  <c r="BW326" i="38"/>
  <c r="CA325" i="38"/>
  <c r="BW325" i="38"/>
  <c r="CA324" i="38"/>
  <c r="BW324" i="38"/>
  <c r="CA323" i="38"/>
  <c r="BW323" i="38"/>
  <c r="CA322" i="38"/>
  <c r="BW322" i="38"/>
  <c r="BO327" i="38"/>
  <c r="I326" i="38"/>
  <c r="AU326" i="38"/>
  <c r="AT326" i="38"/>
  <c r="AU325" i="38"/>
  <c r="AT325" i="38"/>
  <c r="I321" i="38"/>
  <c r="AU321" i="38"/>
  <c r="AT321" i="38"/>
  <c r="AU327" i="38"/>
  <c r="AT327" i="38"/>
  <c r="I320" i="38"/>
  <c r="AU320" i="38"/>
  <c r="AT320" i="38"/>
  <c r="AU324" i="38"/>
  <c r="AT324" i="38"/>
  <c r="BG325" i="38"/>
  <c r="I323" i="38"/>
  <c r="AU323" i="38"/>
  <c r="AT323" i="38"/>
  <c r="I322" i="38"/>
  <c r="AU322" i="38"/>
  <c r="AT322" i="38"/>
  <c r="BK327" i="38"/>
  <c r="I327" i="38"/>
  <c r="BR325" i="38"/>
  <c r="I325" i="38"/>
  <c r="BT324" i="38"/>
  <c r="I324" i="38"/>
  <c r="BS327" i="38"/>
  <c r="BP320" i="38"/>
  <c r="BM320" i="38"/>
  <c r="BN320" i="38"/>
  <c r="BN322" i="38"/>
  <c r="BM322" i="38"/>
  <c r="BS325" i="38"/>
  <c r="Q321" i="38"/>
  <c r="BM321" i="38"/>
  <c r="BN321" i="38"/>
  <c r="BN323" i="38"/>
  <c r="BM323" i="38"/>
  <c r="AD327" i="38"/>
  <c r="AG327" i="38" s="1"/>
  <c r="BM327" i="38"/>
  <c r="BN327" i="38"/>
  <c r="BG326" i="38"/>
  <c r="BM326" i="38"/>
  <c r="BN326" i="38"/>
  <c r="Q325" i="38"/>
  <c r="BM325" i="38"/>
  <c r="BN325" i="38"/>
  <c r="Q324" i="38"/>
  <c r="BM324" i="38"/>
  <c r="BN324" i="38"/>
  <c r="BQ326" i="38"/>
  <c r="BL324" i="38"/>
  <c r="AD326" i="38"/>
  <c r="AG326" i="38" s="1"/>
  <c r="BP325" i="38"/>
  <c r="BT325" i="38"/>
  <c r="BO325" i="38"/>
  <c r="BQ327" i="38"/>
  <c r="BJ325" i="38"/>
  <c r="BI327" i="38"/>
  <c r="BQ324" i="38"/>
  <c r="BG327" i="38"/>
  <c r="Q320" i="38"/>
  <c r="BQ325" i="38"/>
  <c r="BJ324" i="38"/>
  <c r="O325" i="38"/>
  <c r="O324" i="38"/>
  <c r="BK325" i="38"/>
  <c r="BR324" i="38"/>
  <c r="BO324" i="38"/>
  <c r="BI324" i="38"/>
  <c r="BL325" i="38"/>
  <c r="BH325" i="38"/>
  <c r="BJ320" i="38"/>
  <c r="BH320" i="38"/>
  <c r="BS324" i="38"/>
  <c r="BP324" i="38"/>
  <c r="BK324" i="38"/>
  <c r="BS326" i="38"/>
  <c r="BI326" i="38"/>
  <c r="BK326" i="38"/>
  <c r="BH324" i="38"/>
  <c r="BO326" i="38"/>
  <c r="BT321" i="38"/>
  <c r="BT320" i="38"/>
  <c r="BP322" i="38"/>
  <c r="BL321" i="38"/>
  <c r="BL320" i="38"/>
  <c r="BJ322" i="38"/>
  <c r="BG324" i="38"/>
  <c r="AD324" i="38"/>
  <c r="AG324" i="38" s="1"/>
  <c r="AD322" i="38"/>
  <c r="AG322" i="38" s="1"/>
  <c r="BJ321" i="38"/>
  <c r="BI325" i="38"/>
  <c r="BS322" i="38"/>
  <c r="BO322" i="38"/>
  <c r="AD325" i="38"/>
  <c r="AG325" i="38" s="1"/>
  <c r="O323" i="38"/>
  <c r="BR321" i="38"/>
  <c r="BL323" i="38"/>
  <c r="BI323" i="38"/>
  <c r="O322" i="38"/>
  <c r="BR320" i="38"/>
  <c r="BL322" i="38"/>
  <c r="BI322" i="38"/>
  <c r="BS323" i="38"/>
  <c r="BO323" i="38"/>
  <c r="BT322" i="38"/>
  <c r="BQ322" i="38"/>
  <c r="BG323" i="38"/>
  <c r="BT323" i="38"/>
  <c r="BQ323" i="38"/>
  <c r="BP323" i="38"/>
  <c r="BJ323" i="38"/>
  <c r="BG322" i="38"/>
  <c r="AD323" i="38"/>
  <c r="AG323" i="38" s="1"/>
  <c r="BR323" i="38"/>
  <c r="BP321" i="38"/>
  <c r="BK323" i="38"/>
  <c r="BH323" i="38"/>
  <c r="Q323" i="38"/>
  <c r="BR322" i="38"/>
  <c r="BK322" i="38"/>
  <c r="BH322" i="38"/>
  <c r="Q322" i="38"/>
  <c r="BH321" i="38"/>
  <c r="BS320" i="38"/>
  <c r="BQ320" i="38"/>
  <c r="BO320" i="38"/>
  <c r="BK320" i="38"/>
  <c r="BI320" i="38"/>
  <c r="BG320" i="38"/>
  <c r="AD320" i="38"/>
  <c r="O320" i="38"/>
  <c r="BT327" i="38"/>
  <c r="BR327" i="38"/>
  <c r="BP327" i="38"/>
  <c r="BL327" i="38"/>
  <c r="BJ327" i="38"/>
  <c r="BH327" i="38"/>
  <c r="Q327" i="38"/>
  <c r="O327" i="38"/>
  <c r="BS321" i="38"/>
  <c r="BQ321" i="38"/>
  <c r="BO321" i="38"/>
  <c r="BK321" i="38"/>
  <c r="BI321" i="38"/>
  <c r="BG321" i="38"/>
  <c r="AD321" i="38"/>
  <c r="O321" i="38"/>
  <c r="BT326" i="38"/>
  <c r="BR326" i="38"/>
  <c r="BP326" i="38"/>
  <c r="BL326" i="38"/>
  <c r="BJ326" i="38"/>
  <c r="BH326" i="38"/>
  <c r="Q326" i="38"/>
  <c r="O326" i="38"/>
  <c r="BX322" i="38" l="1"/>
  <c r="CB322" i="38"/>
  <c r="CD322" i="38" s="1"/>
  <c r="BX323" i="38"/>
  <c r="CB323" i="38"/>
  <c r="CD323" i="38" s="1"/>
  <c r="BX324" i="38"/>
  <c r="CB324" i="38"/>
  <c r="CD324" i="38" s="1"/>
  <c r="BX325" i="38"/>
  <c r="BZ325" i="38" s="1"/>
  <c r="CB325" i="38"/>
  <c r="CD325" i="38" s="1"/>
  <c r="BX326" i="38"/>
  <c r="CB326" i="38"/>
  <c r="CD326" i="38" s="1"/>
  <c r="BX327" i="38"/>
  <c r="BZ327" i="38" s="1"/>
  <c r="CB327" i="38"/>
  <c r="CD327" i="38" s="1"/>
  <c r="BX321" i="38"/>
  <c r="CB321" i="38"/>
  <c r="CD321" i="38" s="1"/>
  <c r="BX320" i="38"/>
  <c r="BZ320" i="38" s="1"/>
  <c r="CC320" i="38" s="1"/>
  <c r="CB320" i="38"/>
  <c r="CD320" i="38" s="1"/>
  <c r="AG321" i="38"/>
  <c r="AG320" i="38"/>
  <c r="CC327" i="38" l="1"/>
  <c r="CC325" i="38"/>
  <c r="BZ323" i="38"/>
  <c r="CC323" i="38" s="1"/>
  <c r="BZ321" i="38"/>
  <c r="CC321" i="38" s="1"/>
  <c r="BZ326" i="38"/>
  <c r="CC326" i="38" s="1"/>
  <c r="BZ324" i="38"/>
  <c r="CC324" i="38" s="1"/>
  <c r="BZ322" i="38"/>
  <c r="CC322" i="38" s="1"/>
  <c r="L325" i="38"/>
  <c r="L323" i="38"/>
  <c r="L322" i="38"/>
  <c r="L324" i="38"/>
  <c r="L321" i="38"/>
  <c r="L320" i="38"/>
  <c r="L327" i="38"/>
  <c r="L326" i="38"/>
  <c r="P320" i="38" l="1"/>
  <c r="S320" i="38" s="1"/>
  <c r="BE320" i="38" s="1"/>
  <c r="P321" i="38"/>
  <c r="P326" i="38"/>
  <c r="S326" i="38" s="1"/>
  <c r="BE326" i="38" s="1"/>
  <c r="P324" i="38"/>
  <c r="S324" i="38" s="1"/>
  <c r="P323" i="38"/>
  <c r="S323" i="38" s="1"/>
  <c r="BE323" i="38" s="1"/>
  <c r="P327" i="38"/>
  <c r="S327" i="38" s="1"/>
  <c r="BE327" i="38" s="1"/>
  <c r="P322" i="38"/>
  <c r="S322" i="38" s="1"/>
  <c r="BE322" i="38" s="1"/>
  <c r="P325" i="38"/>
  <c r="S325" i="38" s="1"/>
  <c r="BE325" i="38" s="1"/>
  <c r="J327" i="38"/>
  <c r="J326" i="38"/>
  <c r="J325" i="38"/>
  <c r="J324" i="38"/>
  <c r="J323" i="38"/>
  <c r="J322" i="38"/>
  <c r="J321" i="38"/>
  <c r="J320" i="38"/>
  <c r="S321" i="38"/>
  <c r="BE321" i="38" s="1"/>
  <c r="U324" i="38" l="1"/>
  <c r="AK324" i="38" s="1"/>
  <c r="BE324" i="38"/>
  <c r="U326" i="38"/>
  <c r="AH326" i="38" s="1"/>
  <c r="U327" i="38"/>
  <c r="U325" i="38"/>
  <c r="V325" i="38" s="1"/>
  <c r="W325" i="38" s="1"/>
  <c r="U320" i="38"/>
  <c r="U321" i="38"/>
  <c r="U323" i="38"/>
  <c r="U322" i="38"/>
  <c r="V324" i="38" l="1"/>
  <c r="W324" i="38" s="1"/>
  <c r="Y324" i="38" s="1"/>
  <c r="AH324" i="38"/>
  <c r="V326" i="38"/>
  <c r="W326" i="38" s="1"/>
  <c r="BF326" i="38" s="1"/>
  <c r="AK326" i="38"/>
  <c r="AH325" i="38"/>
  <c r="AK325" i="38"/>
  <c r="AH327" i="38"/>
  <c r="AK327" i="38"/>
  <c r="V327" i="38"/>
  <c r="W327" i="38" s="1"/>
  <c r="AK320" i="38"/>
  <c r="AH320" i="38"/>
  <c r="V320" i="38"/>
  <c r="W320" i="38" s="1"/>
  <c r="AK321" i="38"/>
  <c r="AH321" i="38"/>
  <c r="V321" i="38"/>
  <c r="W321" i="38" s="1"/>
  <c r="AH323" i="38"/>
  <c r="AK323" i="38"/>
  <c r="V323" i="38"/>
  <c r="W323" i="38" s="1"/>
  <c r="AK322" i="38"/>
  <c r="AH322" i="38"/>
  <c r="V322" i="38"/>
  <c r="W322" i="38" s="1"/>
  <c r="Y325" i="38"/>
  <c r="BF325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K102" i="38"/>
  <c r="K103" i="38"/>
  <c r="K104" i="38"/>
  <c r="K105" i="38"/>
  <c r="K106" i="38"/>
  <c r="K107" i="38"/>
  <c r="K108" i="38"/>
  <c r="K109" i="38"/>
  <c r="K110" i="38"/>
  <c r="K111" i="38"/>
  <c r="K112" i="38"/>
  <c r="K113" i="38"/>
  <c r="K114" i="38"/>
  <c r="K115" i="38"/>
  <c r="K116" i="38"/>
  <c r="K117" i="38"/>
  <c r="K118" i="38"/>
  <c r="K119" i="38"/>
  <c r="K120" i="38"/>
  <c r="K121" i="38"/>
  <c r="K122" i="38"/>
  <c r="K123" i="38"/>
  <c r="K124" i="38"/>
  <c r="K125" i="38"/>
  <c r="K126" i="38"/>
  <c r="K127" i="38"/>
  <c r="K128" i="38"/>
  <c r="K129" i="38"/>
  <c r="K130" i="38"/>
  <c r="K131" i="38"/>
  <c r="K132" i="38"/>
  <c r="K133" i="38"/>
  <c r="K134" i="38"/>
  <c r="K135" i="38"/>
  <c r="K136" i="38"/>
  <c r="K137" i="38"/>
  <c r="K138" i="38"/>
  <c r="K139" i="38"/>
  <c r="K140" i="38"/>
  <c r="K141" i="38"/>
  <c r="K142" i="38"/>
  <c r="K143" i="38"/>
  <c r="K144" i="38"/>
  <c r="K145" i="38"/>
  <c r="K146" i="38"/>
  <c r="K147" i="38"/>
  <c r="K148" i="38"/>
  <c r="K149" i="38"/>
  <c r="K150" i="38"/>
  <c r="K151" i="38"/>
  <c r="K152" i="38"/>
  <c r="K153" i="38"/>
  <c r="K154" i="38"/>
  <c r="K155" i="38"/>
  <c r="K156" i="38"/>
  <c r="K157" i="38"/>
  <c r="K158" i="38"/>
  <c r="K159" i="38"/>
  <c r="K160" i="38"/>
  <c r="K161" i="38"/>
  <c r="K162" i="38"/>
  <c r="K163" i="38"/>
  <c r="K164" i="38"/>
  <c r="K165" i="38"/>
  <c r="K166" i="38"/>
  <c r="K167" i="38"/>
  <c r="K168" i="38"/>
  <c r="K169" i="38"/>
  <c r="K170" i="38"/>
  <c r="K171" i="38"/>
  <c r="K172" i="38"/>
  <c r="K173" i="38"/>
  <c r="K174" i="38"/>
  <c r="K175" i="38"/>
  <c r="K176" i="38"/>
  <c r="K177" i="38"/>
  <c r="K178" i="38"/>
  <c r="K179" i="38"/>
  <c r="K180" i="38"/>
  <c r="K181" i="38"/>
  <c r="K182" i="38"/>
  <c r="K183" i="38"/>
  <c r="K184" i="38"/>
  <c r="K185" i="38"/>
  <c r="K186" i="38"/>
  <c r="K187" i="38"/>
  <c r="K188" i="38"/>
  <c r="K189" i="38"/>
  <c r="K190" i="38"/>
  <c r="K191" i="38"/>
  <c r="K192" i="38"/>
  <c r="K193" i="38"/>
  <c r="K194" i="38"/>
  <c r="K195" i="38"/>
  <c r="K196" i="38"/>
  <c r="K197" i="38"/>
  <c r="K198" i="38"/>
  <c r="K199" i="38"/>
  <c r="K200" i="38"/>
  <c r="K201" i="38"/>
  <c r="K202" i="38"/>
  <c r="K203" i="38"/>
  <c r="K204" i="38"/>
  <c r="K205" i="38"/>
  <c r="K206" i="38"/>
  <c r="K207" i="38"/>
  <c r="K208" i="38"/>
  <c r="K209" i="38"/>
  <c r="K210" i="38"/>
  <c r="K211" i="38"/>
  <c r="K212" i="38"/>
  <c r="K213" i="38"/>
  <c r="K214" i="38"/>
  <c r="K215" i="38"/>
  <c r="K216" i="38"/>
  <c r="K217" i="38"/>
  <c r="K218" i="38"/>
  <c r="K219" i="38"/>
  <c r="K220" i="38"/>
  <c r="K221" i="38"/>
  <c r="K222" i="38"/>
  <c r="K223" i="38"/>
  <c r="K224" i="38"/>
  <c r="K225" i="38"/>
  <c r="K226" i="38"/>
  <c r="K227" i="38"/>
  <c r="K228" i="38"/>
  <c r="K229" i="38"/>
  <c r="K230" i="38"/>
  <c r="K231" i="38"/>
  <c r="K232" i="38"/>
  <c r="K233" i="38"/>
  <c r="K234" i="38"/>
  <c r="K235" i="38"/>
  <c r="K236" i="38"/>
  <c r="K237" i="38"/>
  <c r="K238" i="38"/>
  <c r="K239" i="38"/>
  <c r="K240" i="38"/>
  <c r="K241" i="38"/>
  <c r="K242" i="38"/>
  <c r="K243" i="38"/>
  <c r="K244" i="38"/>
  <c r="K245" i="38"/>
  <c r="K246" i="38"/>
  <c r="K247" i="38"/>
  <c r="K248" i="38"/>
  <c r="K249" i="38"/>
  <c r="K250" i="38"/>
  <c r="K251" i="38"/>
  <c r="K252" i="38"/>
  <c r="K253" i="38"/>
  <c r="K254" i="38"/>
  <c r="K255" i="38"/>
  <c r="K256" i="38"/>
  <c r="K257" i="38"/>
  <c r="K258" i="38"/>
  <c r="K259" i="38"/>
  <c r="K260" i="38"/>
  <c r="K261" i="38"/>
  <c r="K262" i="38"/>
  <c r="K263" i="38"/>
  <c r="K264" i="38"/>
  <c r="K265" i="38"/>
  <c r="K266" i="38"/>
  <c r="K267" i="38"/>
  <c r="K268" i="38"/>
  <c r="K269" i="38"/>
  <c r="K270" i="38"/>
  <c r="K271" i="38"/>
  <c r="K272" i="38"/>
  <c r="K273" i="38"/>
  <c r="K274" i="38"/>
  <c r="K275" i="38"/>
  <c r="K276" i="38"/>
  <c r="K277" i="38"/>
  <c r="K278" i="38"/>
  <c r="K279" i="38"/>
  <c r="K280" i="38"/>
  <c r="K281" i="38"/>
  <c r="K282" i="38"/>
  <c r="K283" i="38"/>
  <c r="K284" i="38"/>
  <c r="K285" i="38"/>
  <c r="K286" i="38"/>
  <c r="K287" i="38"/>
  <c r="K288" i="38"/>
  <c r="K289" i="38"/>
  <c r="K290" i="38"/>
  <c r="K291" i="38"/>
  <c r="K292" i="38"/>
  <c r="K293" i="38"/>
  <c r="K294" i="38"/>
  <c r="K295" i="38"/>
  <c r="K296" i="38"/>
  <c r="K297" i="38"/>
  <c r="K298" i="38"/>
  <c r="K299" i="38"/>
  <c r="K300" i="38"/>
  <c r="K301" i="38"/>
  <c r="K302" i="38"/>
  <c r="K303" i="38"/>
  <c r="K304" i="38"/>
  <c r="K305" i="38"/>
  <c r="K306" i="38"/>
  <c r="K307" i="38"/>
  <c r="K308" i="38"/>
  <c r="K309" i="38"/>
  <c r="K310" i="38"/>
  <c r="K311" i="38"/>
  <c r="K312" i="38"/>
  <c r="K313" i="38"/>
  <c r="K314" i="38"/>
  <c r="K315" i="38"/>
  <c r="K316" i="38"/>
  <c r="K317" i="38"/>
  <c r="K318" i="38"/>
  <c r="K319" i="38"/>
  <c r="BF324" i="38" l="1"/>
  <c r="Y326" i="38"/>
  <c r="Z326" i="38" s="1"/>
  <c r="BF327" i="38"/>
  <c r="Y327" i="38"/>
  <c r="Z325" i="38"/>
  <c r="Z324" i="38"/>
  <c r="Y321" i="38"/>
  <c r="BF321" i="38"/>
  <c r="Y323" i="38"/>
  <c r="Z323" i="38" s="1"/>
  <c r="BF323" i="38"/>
  <c r="Y320" i="38"/>
  <c r="BF320" i="38"/>
  <c r="BF322" i="38"/>
  <c r="Y322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N102" i="38"/>
  <c r="N103" i="38"/>
  <c r="N104" i="38"/>
  <c r="N105" i="38"/>
  <c r="N106" i="38"/>
  <c r="N107" i="38"/>
  <c r="N108" i="38"/>
  <c r="N109" i="38"/>
  <c r="N110" i="38"/>
  <c r="N111" i="38"/>
  <c r="N112" i="38"/>
  <c r="N113" i="38"/>
  <c r="N114" i="38"/>
  <c r="N115" i="38"/>
  <c r="N116" i="38"/>
  <c r="N117" i="38"/>
  <c r="N118" i="38"/>
  <c r="N119" i="38"/>
  <c r="N120" i="38"/>
  <c r="N121" i="38"/>
  <c r="N122" i="38"/>
  <c r="N123" i="38"/>
  <c r="N124" i="38"/>
  <c r="N125" i="38"/>
  <c r="N126" i="38"/>
  <c r="N127" i="38"/>
  <c r="N128" i="38"/>
  <c r="N129" i="38"/>
  <c r="N130" i="38"/>
  <c r="N131" i="38"/>
  <c r="N132" i="38"/>
  <c r="N133" i="38"/>
  <c r="N134" i="38"/>
  <c r="N135" i="38"/>
  <c r="N136" i="38"/>
  <c r="N137" i="38"/>
  <c r="N138" i="38"/>
  <c r="N139" i="38"/>
  <c r="N140" i="38"/>
  <c r="N141" i="38"/>
  <c r="N142" i="38"/>
  <c r="N143" i="38"/>
  <c r="N144" i="38"/>
  <c r="N145" i="38"/>
  <c r="N146" i="38"/>
  <c r="N147" i="38"/>
  <c r="N148" i="38"/>
  <c r="N149" i="38"/>
  <c r="N150" i="38"/>
  <c r="N151" i="38"/>
  <c r="N152" i="38"/>
  <c r="N153" i="38"/>
  <c r="N154" i="38"/>
  <c r="N155" i="38"/>
  <c r="N156" i="38"/>
  <c r="N157" i="38"/>
  <c r="N158" i="38"/>
  <c r="N159" i="38"/>
  <c r="N160" i="38"/>
  <c r="N161" i="38"/>
  <c r="N162" i="38"/>
  <c r="N163" i="38"/>
  <c r="N164" i="38"/>
  <c r="N165" i="38"/>
  <c r="N166" i="38"/>
  <c r="N167" i="38"/>
  <c r="N168" i="38"/>
  <c r="N169" i="38"/>
  <c r="N170" i="38"/>
  <c r="N171" i="38"/>
  <c r="N172" i="38"/>
  <c r="N173" i="38"/>
  <c r="N174" i="38"/>
  <c r="N175" i="38"/>
  <c r="N176" i="38"/>
  <c r="N177" i="38"/>
  <c r="N178" i="38"/>
  <c r="N179" i="38"/>
  <c r="N180" i="38"/>
  <c r="N181" i="38"/>
  <c r="N182" i="38"/>
  <c r="N183" i="38"/>
  <c r="N184" i="38"/>
  <c r="N185" i="38"/>
  <c r="N186" i="38"/>
  <c r="N187" i="38"/>
  <c r="N188" i="38"/>
  <c r="N189" i="38"/>
  <c r="N190" i="38"/>
  <c r="N191" i="38"/>
  <c r="N192" i="38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249" i="38"/>
  <c r="N250" i="38"/>
  <c r="N251" i="38"/>
  <c r="N252" i="38"/>
  <c r="N253" i="38"/>
  <c r="N254" i="38"/>
  <c r="N255" i="38"/>
  <c r="N256" i="38"/>
  <c r="N257" i="38"/>
  <c r="N258" i="38"/>
  <c r="N259" i="38"/>
  <c r="N260" i="38"/>
  <c r="N261" i="38"/>
  <c r="N262" i="38"/>
  <c r="N263" i="38"/>
  <c r="N264" i="38"/>
  <c r="N265" i="38"/>
  <c r="N266" i="38"/>
  <c r="N267" i="38"/>
  <c r="N268" i="38"/>
  <c r="N269" i="38"/>
  <c r="N270" i="38"/>
  <c r="N271" i="38"/>
  <c r="N272" i="38"/>
  <c r="N273" i="38"/>
  <c r="N274" i="38"/>
  <c r="N275" i="38"/>
  <c r="N276" i="38"/>
  <c r="N277" i="38"/>
  <c r="N278" i="38"/>
  <c r="N279" i="38"/>
  <c r="N280" i="38"/>
  <c r="N281" i="38"/>
  <c r="N282" i="38"/>
  <c r="N283" i="38"/>
  <c r="N284" i="38"/>
  <c r="N285" i="38"/>
  <c r="N286" i="38"/>
  <c r="N287" i="38"/>
  <c r="N288" i="38"/>
  <c r="N289" i="38"/>
  <c r="N290" i="38"/>
  <c r="N291" i="38"/>
  <c r="N292" i="38"/>
  <c r="N293" i="38"/>
  <c r="N294" i="38"/>
  <c r="N295" i="38"/>
  <c r="N296" i="38"/>
  <c r="N297" i="38"/>
  <c r="N298" i="38"/>
  <c r="N299" i="38"/>
  <c r="N300" i="38"/>
  <c r="N301" i="38"/>
  <c r="N302" i="38"/>
  <c r="N303" i="38"/>
  <c r="N304" i="38"/>
  <c r="N305" i="38"/>
  <c r="N306" i="38"/>
  <c r="N307" i="38"/>
  <c r="N308" i="38"/>
  <c r="N309" i="38"/>
  <c r="N310" i="38"/>
  <c r="N311" i="38"/>
  <c r="N312" i="38"/>
  <c r="N313" i="38"/>
  <c r="N314" i="38"/>
  <c r="N315" i="38"/>
  <c r="N316" i="38"/>
  <c r="N317" i="38"/>
  <c r="N318" i="38"/>
  <c r="N319" i="38"/>
  <c r="AA324" i="38" l="1"/>
  <c r="AE324" i="38" s="1"/>
  <c r="BV324" i="38"/>
  <c r="BY324" i="38" s="1"/>
  <c r="AA325" i="38"/>
  <c r="AE325" i="38" s="1"/>
  <c r="BV325" i="38"/>
  <c r="BY325" i="38" s="1"/>
  <c r="AA326" i="38"/>
  <c r="AE326" i="38" s="1"/>
  <c r="BV326" i="38"/>
  <c r="BY326" i="38" s="1"/>
  <c r="AA323" i="38"/>
  <c r="AC323" i="38" s="1"/>
  <c r="BV323" i="38"/>
  <c r="BY323" i="38" s="1"/>
  <c r="AE323" i="38"/>
  <c r="AI326" i="38"/>
  <c r="AI324" i="38"/>
  <c r="AI325" i="38"/>
  <c r="Z327" i="38"/>
  <c r="Z322" i="38"/>
  <c r="Z321" i="38"/>
  <c r="Z320" i="38"/>
  <c r="AC325" i="38" l="1"/>
  <c r="AC326" i="38"/>
  <c r="AA327" i="38"/>
  <c r="AE327" i="38" s="1"/>
  <c r="BV327" i="38"/>
  <c r="BY327" i="38" s="1"/>
  <c r="AC324" i="38"/>
  <c r="AJ324" i="38" s="1"/>
  <c r="AL324" i="38" s="1"/>
  <c r="AA321" i="38"/>
  <c r="AE321" i="38" s="1"/>
  <c r="BV321" i="38"/>
  <c r="BY321" i="38" s="1"/>
  <c r="AA322" i="38"/>
  <c r="AE322" i="38" s="1"/>
  <c r="BV322" i="38"/>
  <c r="BY322" i="38" s="1"/>
  <c r="AA320" i="38"/>
  <c r="AE320" i="38" s="1"/>
  <c r="BV320" i="38"/>
  <c r="BY320" i="38" s="1"/>
  <c r="AI327" i="38"/>
  <c r="AJ323" i="38"/>
  <c r="AL323" i="38" s="1"/>
  <c r="AI323" i="38"/>
  <c r="AJ325" i="38"/>
  <c r="AL325" i="38" s="1"/>
  <c r="AI320" i="38"/>
  <c r="AI321" i="38"/>
  <c r="AI322" i="38"/>
  <c r="AJ326" i="38"/>
  <c r="AL326" i="38" s="1"/>
  <c r="BQ5" i="47"/>
  <c r="AC327" i="38" l="1"/>
  <c r="AC322" i="38"/>
  <c r="AC321" i="38"/>
  <c r="AJ321" i="38" s="1"/>
  <c r="AL321" i="38" s="1"/>
  <c r="AC320" i="38"/>
  <c r="AJ320" i="38" s="1"/>
  <c r="AL320" i="38" s="1"/>
  <c r="AW321" i="38"/>
  <c r="AP326" i="38"/>
  <c r="AQ326" i="38" s="1"/>
  <c r="AR326" i="38" s="1"/>
  <c r="AO326" i="38"/>
  <c r="AV326" i="38"/>
  <c r="BA326" i="38" s="1"/>
  <c r="BC326" i="38" s="1"/>
  <c r="AW326" i="38" s="1"/>
  <c r="AP325" i="38"/>
  <c r="AQ325" i="38" s="1"/>
  <c r="AR325" i="38" s="1"/>
  <c r="AV325" i="38"/>
  <c r="BA325" i="38" s="1"/>
  <c r="BC325" i="38" s="1"/>
  <c r="AW325" i="38" s="1"/>
  <c r="AO325" i="38"/>
  <c r="AP321" i="38"/>
  <c r="AQ321" i="38" s="1"/>
  <c r="AR321" i="38" s="1"/>
  <c r="AO321" i="38"/>
  <c r="AJ322" i="38"/>
  <c r="AL322" i="38" s="1"/>
  <c r="AO323" i="38"/>
  <c r="AV323" i="38"/>
  <c r="BA323" i="38" s="1"/>
  <c r="BC323" i="38" s="1"/>
  <c r="AW323" i="38" s="1"/>
  <c r="AP323" i="38"/>
  <c r="AQ323" i="38" s="1"/>
  <c r="AR323" i="38" s="1"/>
  <c r="AO324" i="38"/>
  <c r="AV324" i="38"/>
  <c r="BA324" i="38" s="1"/>
  <c r="BC324" i="38" s="1"/>
  <c r="AW324" i="38" s="1"/>
  <c r="AP324" i="38"/>
  <c r="AQ324" i="38" s="1"/>
  <c r="AR324" i="38" s="1"/>
  <c r="AV321" i="38"/>
  <c r="BA321" i="38" s="1"/>
  <c r="AJ327" i="38"/>
  <c r="AL327" i="38" s="1"/>
  <c r="AW322" i="38" l="1"/>
  <c r="AW320" i="38"/>
  <c r="AP322" i="38"/>
  <c r="AQ322" i="38" s="1"/>
  <c r="AR322" i="38" s="1"/>
  <c r="AV322" i="38"/>
  <c r="BA322" i="38" s="1"/>
  <c r="AO322" i="38"/>
  <c r="AV327" i="38"/>
  <c r="BA327" i="38" s="1"/>
  <c r="BC327" i="38" s="1"/>
  <c r="AW327" i="38" s="1"/>
  <c r="AP327" i="38"/>
  <c r="AQ327" i="38" s="1"/>
  <c r="AR327" i="38" s="1"/>
  <c r="AO327" i="38"/>
  <c r="AP320" i="38"/>
  <c r="AQ320" i="38" s="1"/>
  <c r="AR320" i="38" s="1"/>
  <c r="AV320" i="38"/>
  <c r="BA320" i="38" s="1"/>
  <c r="AO320" i="38"/>
  <c r="AF318" i="42"/>
  <c r="AF317" i="42"/>
  <c r="AF289" i="42"/>
  <c r="AF10" i="42"/>
  <c r="AF11" i="42"/>
  <c r="AF12" i="42"/>
  <c r="AF13" i="42"/>
  <c r="AF14" i="42"/>
  <c r="AF15" i="42"/>
  <c r="AF16" i="42"/>
  <c r="AF17" i="42"/>
  <c r="AF18" i="42"/>
  <c r="AF19" i="42"/>
  <c r="AF20" i="42"/>
  <c r="AF21" i="42"/>
  <c r="AF22" i="42"/>
  <c r="AF23" i="42"/>
  <c r="AF24" i="42"/>
  <c r="AF25" i="42"/>
  <c r="AF26" i="42"/>
  <c r="AF27" i="42"/>
  <c r="AF28" i="42"/>
  <c r="AF29" i="42"/>
  <c r="AF30" i="42"/>
  <c r="AF31" i="42"/>
  <c r="AF32" i="42"/>
  <c r="AF33" i="42"/>
  <c r="AF34" i="42"/>
  <c r="AF35" i="42"/>
  <c r="AF36" i="42"/>
  <c r="AF37" i="42"/>
  <c r="AF38" i="42"/>
  <c r="AF39" i="42"/>
  <c r="AF40" i="42"/>
  <c r="AF41" i="42"/>
  <c r="AF42" i="42"/>
  <c r="AF43" i="42"/>
  <c r="AF44" i="42"/>
  <c r="AF45" i="42"/>
  <c r="AF46" i="42"/>
  <c r="AF47" i="42"/>
  <c r="AF48" i="42"/>
  <c r="AF49" i="42"/>
  <c r="AF50" i="42"/>
  <c r="AF51" i="42"/>
  <c r="AF52" i="42"/>
  <c r="AF53" i="42"/>
  <c r="AF54" i="42"/>
  <c r="AF55" i="42"/>
  <c r="AF56" i="42"/>
  <c r="AF57" i="42"/>
  <c r="AF58" i="42"/>
  <c r="AF59" i="42"/>
  <c r="AF60" i="42"/>
  <c r="AF61" i="42"/>
  <c r="AF62" i="42"/>
  <c r="AF63" i="42"/>
  <c r="AF64" i="42"/>
  <c r="AF65" i="42"/>
  <c r="AF66" i="42"/>
  <c r="AF67" i="42"/>
  <c r="AF68" i="42"/>
  <c r="AF69" i="42"/>
  <c r="AF70" i="42"/>
  <c r="AF71" i="42"/>
  <c r="AF72" i="42"/>
  <c r="AF73" i="42"/>
  <c r="AF74" i="42"/>
  <c r="AF75" i="42"/>
  <c r="AF76" i="42"/>
  <c r="AF77" i="42"/>
  <c r="AF78" i="42"/>
  <c r="AF79" i="42"/>
  <c r="AF80" i="42"/>
  <c r="AF81" i="42"/>
  <c r="AF82" i="42"/>
  <c r="AF83" i="42"/>
  <c r="AF84" i="42"/>
  <c r="AF85" i="42"/>
  <c r="AF86" i="42"/>
  <c r="AF87" i="42"/>
  <c r="AF88" i="42"/>
  <c r="AF89" i="42"/>
  <c r="AF90" i="42"/>
  <c r="AF91" i="42"/>
  <c r="AF92" i="42"/>
  <c r="AF93" i="42"/>
  <c r="AF94" i="42"/>
  <c r="AF95" i="42"/>
  <c r="AF96" i="42"/>
  <c r="AF97" i="42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121" i="42"/>
  <c r="AF122" i="42"/>
  <c r="AF123" i="42"/>
  <c r="AF124" i="42"/>
  <c r="AF125" i="42"/>
  <c r="AF126" i="42"/>
  <c r="AF127" i="42"/>
  <c r="AF128" i="42"/>
  <c r="AF129" i="42"/>
  <c r="AF130" i="42"/>
  <c r="AF131" i="42"/>
  <c r="AF132" i="42"/>
  <c r="AF133" i="42"/>
  <c r="AF134" i="42"/>
  <c r="AF135" i="42"/>
  <c r="AF136" i="42"/>
  <c r="AF137" i="42"/>
  <c r="AF138" i="42"/>
  <c r="AF139" i="42"/>
  <c r="AF140" i="42"/>
  <c r="AF141" i="42"/>
  <c r="AF142" i="42"/>
  <c r="AF143" i="42"/>
  <c r="AF144" i="42"/>
  <c r="AF145" i="42"/>
  <c r="AF146" i="42"/>
  <c r="AF147" i="42"/>
  <c r="AF148" i="42"/>
  <c r="AF149" i="42"/>
  <c r="AF150" i="42"/>
  <c r="AF151" i="42"/>
  <c r="AF152" i="42"/>
  <c r="AF153" i="42"/>
  <c r="AF154" i="42"/>
  <c r="AF155" i="42"/>
  <c r="AF156" i="42"/>
  <c r="AF157" i="42"/>
  <c r="AF158" i="42"/>
  <c r="AF159" i="42"/>
  <c r="AF160" i="42"/>
  <c r="AF161" i="42"/>
  <c r="AF162" i="42"/>
  <c r="AF163" i="42"/>
  <c r="AF164" i="42"/>
  <c r="AF165" i="42"/>
  <c r="AF166" i="42"/>
  <c r="AF167" i="42"/>
  <c r="AF168" i="42"/>
  <c r="AF169" i="42"/>
  <c r="AF170" i="42"/>
  <c r="AF171" i="42"/>
  <c r="AF172" i="42"/>
  <c r="AF173" i="42"/>
  <c r="AF174" i="42"/>
  <c r="AF175" i="42"/>
  <c r="AF176" i="42"/>
  <c r="AF177" i="42"/>
  <c r="AF178" i="42"/>
  <c r="AF179" i="42"/>
  <c r="AF180" i="42"/>
  <c r="AF181" i="42"/>
  <c r="AF182" i="42"/>
  <c r="AF183" i="42"/>
  <c r="AF184" i="42"/>
  <c r="AF185" i="42"/>
  <c r="AF186" i="42"/>
  <c r="AF187" i="42"/>
  <c r="AF188" i="42"/>
  <c r="AF189" i="42"/>
  <c r="AF190" i="42"/>
  <c r="AF191" i="42"/>
  <c r="AF192" i="42"/>
  <c r="AF193" i="42"/>
  <c r="AF194" i="42"/>
  <c r="AF195" i="42"/>
  <c r="AF196" i="42"/>
  <c r="AF197" i="42"/>
  <c r="AF198" i="42"/>
  <c r="AF199" i="42"/>
  <c r="AF200" i="42"/>
  <c r="AF201" i="42"/>
  <c r="AF202" i="42"/>
  <c r="AF203" i="42"/>
  <c r="AF204" i="42"/>
  <c r="AF205" i="42"/>
  <c r="AF206" i="42"/>
  <c r="AF207" i="42"/>
  <c r="AF208" i="42"/>
  <c r="AF209" i="42"/>
  <c r="AF210" i="42"/>
  <c r="AF211" i="42"/>
  <c r="AF212" i="42"/>
  <c r="AF213" i="42"/>
  <c r="AF214" i="42"/>
  <c r="AF215" i="42"/>
  <c r="AF216" i="42"/>
  <c r="AF217" i="42"/>
  <c r="AF218" i="42"/>
  <c r="AF219" i="42"/>
  <c r="AF220" i="42"/>
  <c r="AF221" i="42"/>
  <c r="AF222" i="42"/>
  <c r="AF223" i="42"/>
  <c r="AF224" i="42"/>
  <c r="AF225" i="42"/>
  <c r="AF226" i="42"/>
  <c r="AF227" i="42"/>
  <c r="AF228" i="42"/>
  <c r="AF229" i="42"/>
  <c r="AF230" i="42"/>
  <c r="AF231" i="42"/>
  <c r="AF232" i="42"/>
  <c r="AF233" i="42"/>
  <c r="AF234" i="42"/>
  <c r="AF235" i="42"/>
  <c r="AF236" i="42"/>
  <c r="AF237" i="42"/>
  <c r="AF238" i="42"/>
  <c r="AF239" i="42"/>
  <c r="AF240" i="42"/>
  <c r="AF241" i="42"/>
  <c r="AF242" i="42"/>
  <c r="AF243" i="42"/>
  <c r="AF244" i="42"/>
  <c r="AF245" i="42"/>
  <c r="AF246" i="42"/>
  <c r="AF247" i="42"/>
  <c r="AF248" i="42"/>
  <c r="AF249" i="42"/>
  <c r="AF250" i="42"/>
  <c r="AF251" i="42"/>
  <c r="AF252" i="42"/>
  <c r="AF253" i="42"/>
  <c r="AF254" i="42"/>
  <c r="AF255" i="42"/>
  <c r="AF256" i="42"/>
  <c r="AF257" i="42"/>
  <c r="AF258" i="42"/>
  <c r="AF259" i="42"/>
  <c r="AF260" i="42"/>
  <c r="AF261" i="42"/>
  <c r="AF262" i="42"/>
  <c r="AF263" i="42"/>
  <c r="AF264" i="42"/>
  <c r="AF265" i="42"/>
  <c r="AF266" i="42"/>
  <c r="AF267" i="42"/>
  <c r="AF268" i="42"/>
  <c r="AF269" i="42"/>
  <c r="AF270" i="42"/>
  <c r="AF271" i="42"/>
  <c r="AF272" i="42"/>
  <c r="AF273" i="42"/>
  <c r="AF274" i="42"/>
  <c r="AF275" i="42"/>
  <c r="AF276" i="42"/>
  <c r="AF277" i="42"/>
  <c r="AF278" i="42"/>
  <c r="AF279" i="42"/>
  <c r="AF280" i="42"/>
  <c r="AF281" i="42"/>
  <c r="AF282" i="42"/>
  <c r="AF283" i="42"/>
  <c r="AF284" i="42"/>
  <c r="AF285" i="42"/>
  <c r="AF286" i="42"/>
  <c r="AF287" i="42"/>
  <c r="AF288" i="42"/>
  <c r="AF290" i="42"/>
  <c r="AF291" i="42"/>
  <c r="AF292" i="42"/>
  <c r="AF293" i="42"/>
  <c r="AF294" i="42"/>
  <c r="AF295" i="42"/>
  <c r="AF296" i="42"/>
  <c r="AF297" i="42"/>
  <c r="AF298" i="42"/>
  <c r="AF299" i="42"/>
  <c r="AF300" i="42"/>
  <c r="AF301" i="42"/>
  <c r="AF302" i="42"/>
  <c r="AF303" i="42"/>
  <c r="AF304" i="42"/>
  <c r="AF305" i="42"/>
  <c r="AF306" i="42"/>
  <c r="AF307" i="42"/>
  <c r="AF308" i="42"/>
  <c r="AF309" i="42"/>
  <c r="AF310" i="42"/>
  <c r="AF311" i="42"/>
  <c r="AF312" i="42"/>
  <c r="AF313" i="42"/>
  <c r="AF314" i="42"/>
  <c r="AF315" i="42"/>
  <c r="AF316" i="42"/>
  <c r="AF319" i="42"/>
  <c r="J20" i="44" l="1"/>
  <c r="J19" i="44"/>
  <c r="J21" i="44" s="1"/>
  <c r="I20" i="44"/>
  <c r="I19" i="44"/>
  <c r="I18" i="44"/>
  <c r="I17" i="44"/>
  <c r="D20" i="44"/>
  <c r="D31" i="44" s="1"/>
  <c r="D19" i="44"/>
  <c r="D30" i="44" s="1"/>
  <c r="D18" i="44"/>
  <c r="D29" i="44" s="1"/>
  <c r="D17" i="44"/>
  <c r="D28" i="44" s="1"/>
  <c r="K20" i="44"/>
  <c r="L20" i="44" s="1"/>
  <c r="G20" i="44"/>
  <c r="F20" i="44"/>
  <c r="E20" i="44"/>
  <c r="K19" i="44"/>
  <c r="G19" i="44"/>
  <c r="F19" i="44"/>
  <c r="E19" i="44"/>
  <c r="K18" i="44"/>
  <c r="L18" i="44" s="1"/>
  <c r="G18" i="44"/>
  <c r="F18" i="44"/>
  <c r="E18" i="44"/>
  <c r="K17" i="44"/>
  <c r="L17" i="44" s="1"/>
  <c r="G17" i="44"/>
  <c r="F17" i="44"/>
  <c r="E17" i="44"/>
  <c r="C2" i="44"/>
  <c r="F31" i="43"/>
  <c r="F30" i="43"/>
  <c r="F29" i="43"/>
  <c r="F28" i="43"/>
  <c r="F27" i="43"/>
  <c r="J22" i="43"/>
  <c r="J21" i="43"/>
  <c r="J20" i="43"/>
  <c r="J19" i="43"/>
  <c r="J18" i="43"/>
  <c r="J17" i="43"/>
  <c r="H22" i="43"/>
  <c r="H21" i="43"/>
  <c r="H20" i="43"/>
  <c r="H19" i="43"/>
  <c r="H18" i="43"/>
  <c r="H17" i="43"/>
  <c r="G22" i="43"/>
  <c r="F22" i="43"/>
  <c r="E22" i="43"/>
  <c r="F24" i="43" s="1"/>
  <c r="G21" i="43"/>
  <c r="F21" i="43"/>
  <c r="G20" i="43"/>
  <c r="F20" i="43"/>
  <c r="E29" i="43" s="1"/>
  <c r="G19" i="43"/>
  <c r="F19" i="43"/>
  <c r="E28" i="43" s="1"/>
  <c r="G18" i="43"/>
  <c r="F18" i="43"/>
  <c r="G17" i="43"/>
  <c r="F17" i="43"/>
  <c r="E26" i="43" s="1"/>
  <c r="E21" i="43"/>
  <c r="E30" i="43" s="1"/>
  <c r="E20" i="43"/>
  <c r="E19" i="43"/>
  <c r="E18" i="43"/>
  <c r="E17" i="43"/>
  <c r="E31" i="43"/>
  <c r="AE8" i="42"/>
  <c r="C2" i="43"/>
  <c r="E4" i="41"/>
  <c r="D4" i="41"/>
  <c r="C4" i="41"/>
  <c r="L19" i="44" l="1"/>
  <c r="F28" i="44"/>
  <c r="H19" i="44"/>
  <c r="F31" i="44"/>
  <c r="H20" i="44"/>
  <c r="E30" i="44"/>
  <c r="E29" i="44"/>
  <c r="I21" i="44"/>
  <c r="I23" i="44" s="1"/>
  <c r="F29" i="44"/>
  <c r="K21" i="44"/>
  <c r="K23" i="44" s="1"/>
  <c r="F30" i="44"/>
  <c r="H18" i="44"/>
  <c r="E31" i="44"/>
  <c r="E21" i="44"/>
  <c r="G21" i="44"/>
  <c r="E28" i="44"/>
  <c r="F21" i="44"/>
  <c r="H17" i="44"/>
  <c r="E27" i="43"/>
  <c r="G29" i="44" l="1"/>
  <c r="I29" i="44" s="1"/>
  <c r="G31" i="44"/>
  <c r="I31" i="44" s="1"/>
  <c r="G30" i="44"/>
  <c r="I30" i="44" s="1"/>
  <c r="H21" i="44"/>
  <c r="F32" i="44"/>
  <c r="E32" i="44"/>
  <c r="G28" i="44"/>
  <c r="I28" i="44" s="1"/>
  <c r="F23" i="44"/>
  <c r="F25" i="44" s="1"/>
  <c r="G32" i="44" l="1"/>
  <c r="I32" i="44" s="1"/>
  <c r="AS319" i="42"/>
  <c r="N319" i="42"/>
  <c r="M319" i="42"/>
  <c r="B319" i="42"/>
  <c r="AS318" i="42"/>
  <c r="N318" i="42"/>
  <c r="M318" i="42"/>
  <c r="K318" i="42"/>
  <c r="B318" i="42"/>
  <c r="AS317" i="42"/>
  <c r="N317" i="42"/>
  <c r="M317" i="42"/>
  <c r="K317" i="42"/>
  <c r="B317" i="42"/>
  <c r="AS316" i="42"/>
  <c r="N316" i="42"/>
  <c r="M316" i="42"/>
  <c r="K316" i="42"/>
  <c r="B316" i="42"/>
  <c r="AS315" i="42"/>
  <c r="N315" i="42"/>
  <c r="M315" i="42"/>
  <c r="K315" i="42"/>
  <c r="B315" i="42"/>
  <c r="AS314" i="42"/>
  <c r="N314" i="42"/>
  <c r="M314" i="42"/>
  <c r="K314" i="42"/>
  <c r="B314" i="42"/>
  <c r="BK313" i="42"/>
  <c r="AS313" i="42"/>
  <c r="N313" i="42"/>
  <c r="M313" i="42"/>
  <c r="K313" i="42"/>
  <c r="B313" i="42"/>
  <c r="BF313" i="42" s="1"/>
  <c r="AS312" i="42"/>
  <c r="N312" i="42"/>
  <c r="M312" i="42"/>
  <c r="K312" i="42"/>
  <c r="B312" i="42"/>
  <c r="AS311" i="42"/>
  <c r="N311" i="42"/>
  <c r="M311" i="42"/>
  <c r="K311" i="42"/>
  <c r="B311" i="42"/>
  <c r="AS310" i="42"/>
  <c r="N310" i="42"/>
  <c r="M310" i="42"/>
  <c r="K310" i="42"/>
  <c r="B310" i="42"/>
  <c r="AS309" i="42"/>
  <c r="N309" i="42"/>
  <c r="M309" i="42"/>
  <c r="K309" i="42"/>
  <c r="I309" i="42"/>
  <c r="B309" i="42"/>
  <c r="AS308" i="42"/>
  <c r="N308" i="42"/>
  <c r="M308" i="42"/>
  <c r="K308" i="42"/>
  <c r="J308" i="42"/>
  <c r="B308" i="42"/>
  <c r="AS307" i="42"/>
  <c r="N307" i="42"/>
  <c r="M307" i="42"/>
  <c r="K307" i="42"/>
  <c r="B307" i="42"/>
  <c r="AS306" i="42"/>
  <c r="N306" i="42"/>
  <c r="M306" i="42"/>
  <c r="K306" i="42"/>
  <c r="B306" i="42"/>
  <c r="AS305" i="42"/>
  <c r="N305" i="42"/>
  <c r="M305" i="42"/>
  <c r="K305" i="42"/>
  <c r="B305" i="42"/>
  <c r="AS304" i="42"/>
  <c r="N304" i="42"/>
  <c r="M304" i="42"/>
  <c r="K304" i="42"/>
  <c r="B304" i="42"/>
  <c r="AS303" i="42"/>
  <c r="N303" i="42"/>
  <c r="M303" i="42"/>
  <c r="K303" i="42"/>
  <c r="B303" i="42"/>
  <c r="AS302" i="42"/>
  <c r="N302" i="42"/>
  <c r="M302" i="42"/>
  <c r="K302" i="42"/>
  <c r="B302" i="42"/>
  <c r="BO301" i="42"/>
  <c r="AS301" i="42"/>
  <c r="N301" i="42"/>
  <c r="M301" i="42"/>
  <c r="K301" i="42"/>
  <c r="J301" i="42"/>
  <c r="B301" i="42"/>
  <c r="AS300" i="42"/>
  <c r="N300" i="42"/>
  <c r="M300" i="42"/>
  <c r="K300" i="42"/>
  <c r="B300" i="42"/>
  <c r="AS299" i="42"/>
  <c r="N299" i="42"/>
  <c r="M299" i="42"/>
  <c r="K299" i="42"/>
  <c r="B299" i="42"/>
  <c r="AS298" i="42"/>
  <c r="N298" i="42"/>
  <c r="M298" i="42"/>
  <c r="K298" i="42"/>
  <c r="B298" i="42"/>
  <c r="AS297" i="42"/>
  <c r="N297" i="42"/>
  <c r="M297" i="42"/>
  <c r="K297" i="42"/>
  <c r="B297" i="42"/>
  <c r="AS296" i="42"/>
  <c r="N296" i="42"/>
  <c r="M296" i="42"/>
  <c r="K296" i="42"/>
  <c r="B296" i="42"/>
  <c r="AS295" i="42"/>
  <c r="N295" i="42"/>
  <c r="M295" i="42"/>
  <c r="K295" i="42"/>
  <c r="B295" i="42"/>
  <c r="AS294" i="42"/>
  <c r="N294" i="42"/>
  <c r="M294" i="42"/>
  <c r="K294" i="42"/>
  <c r="B294" i="42"/>
  <c r="AS293" i="42"/>
  <c r="N293" i="42"/>
  <c r="M293" i="42"/>
  <c r="K293" i="42"/>
  <c r="B293" i="42"/>
  <c r="AS292" i="42"/>
  <c r="N292" i="42"/>
  <c r="M292" i="42"/>
  <c r="K292" i="42"/>
  <c r="B292" i="42"/>
  <c r="AS291" i="42"/>
  <c r="N291" i="42"/>
  <c r="M291" i="42"/>
  <c r="K291" i="42"/>
  <c r="B291" i="42"/>
  <c r="AS290" i="42"/>
  <c r="N290" i="42"/>
  <c r="M290" i="42"/>
  <c r="K290" i="42"/>
  <c r="B290" i="42"/>
  <c r="AS289" i="42"/>
  <c r="N289" i="42"/>
  <c r="M289" i="42"/>
  <c r="K289" i="42"/>
  <c r="B289" i="42"/>
  <c r="AS288" i="42"/>
  <c r="N288" i="42"/>
  <c r="M288" i="42"/>
  <c r="K288" i="42"/>
  <c r="B288" i="42"/>
  <c r="J288" i="42" s="1"/>
  <c r="AS287" i="42"/>
  <c r="N287" i="42"/>
  <c r="M287" i="42"/>
  <c r="K287" i="42"/>
  <c r="B287" i="42"/>
  <c r="BO286" i="42"/>
  <c r="AS286" i="42"/>
  <c r="N286" i="42"/>
  <c r="M286" i="42"/>
  <c r="K286" i="42"/>
  <c r="B286" i="42"/>
  <c r="AS285" i="42"/>
  <c r="N285" i="42"/>
  <c r="M285" i="42"/>
  <c r="K285" i="42"/>
  <c r="B285" i="42"/>
  <c r="AS284" i="42"/>
  <c r="N284" i="42"/>
  <c r="M284" i="42"/>
  <c r="K284" i="42"/>
  <c r="B284" i="42"/>
  <c r="AS283" i="42"/>
  <c r="N283" i="42"/>
  <c r="M283" i="42"/>
  <c r="K283" i="42"/>
  <c r="B283" i="42"/>
  <c r="AS282" i="42"/>
  <c r="N282" i="42"/>
  <c r="M282" i="42"/>
  <c r="K282" i="42"/>
  <c r="B282" i="42"/>
  <c r="AS281" i="42"/>
  <c r="N281" i="42"/>
  <c r="M281" i="42"/>
  <c r="K281" i="42"/>
  <c r="B281" i="42"/>
  <c r="AS280" i="42"/>
  <c r="N280" i="42"/>
  <c r="M280" i="42"/>
  <c r="K280" i="42"/>
  <c r="B280" i="42"/>
  <c r="AS279" i="42"/>
  <c r="N279" i="42"/>
  <c r="M279" i="42"/>
  <c r="K279" i="42"/>
  <c r="B279" i="42"/>
  <c r="AS278" i="42"/>
  <c r="N278" i="42"/>
  <c r="M278" i="42"/>
  <c r="K278" i="42"/>
  <c r="B278" i="42"/>
  <c r="AS277" i="42"/>
  <c r="N277" i="42"/>
  <c r="M277" i="42"/>
  <c r="K277" i="42"/>
  <c r="J277" i="42"/>
  <c r="B277" i="42"/>
  <c r="AS276" i="42"/>
  <c r="N276" i="42"/>
  <c r="M276" i="42"/>
  <c r="K276" i="42"/>
  <c r="B276" i="42"/>
  <c r="AS275" i="42"/>
  <c r="N275" i="42"/>
  <c r="M275" i="42"/>
  <c r="K275" i="42"/>
  <c r="B275" i="42"/>
  <c r="AS274" i="42"/>
  <c r="N274" i="42"/>
  <c r="M274" i="42"/>
  <c r="K274" i="42"/>
  <c r="B274" i="42"/>
  <c r="AS273" i="42"/>
  <c r="N273" i="42"/>
  <c r="M273" i="42"/>
  <c r="K273" i="42"/>
  <c r="B273" i="42"/>
  <c r="AS272" i="42"/>
  <c r="N272" i="42"/>
  <c r="M272" i="42"/>
  <c r="K272" i="42"/>
  <c r="B272" i="42"/>
  <c r="AS271" i="42"/>
  <c r="N271" i="42"/>
  <c r="M271" i="42"/>
  <c r="K271" i="42"/>
  <c r="B271" i="42"/>
  <c r="AS270" i="42"/>
  <c r="N270" i="42"/>
  <c r="M270" i="42"/>
  <c r="K270" i="42"/>
  <c r="B270" i="42"/>
  <c r="AS269" i="42"/>
  <c r="N269" i="42"/>
  <c r="M269" i="42"/>
  <c r="K269" i="42"/>
  <c r="B269" i="42"/>
  <c r="AS268" i="42"/>
  <c r="N268" i="42"/>
  <c r="M268" i="42"/>
  <c r="K268" i="42"/>
  <c r="B268" i="42"/>
  <c r="AS267" i="42"/>
  <c r="N267" i="42"/>
  <c r="M267" i="42"/>
  <c r="K267" i="42"/>
  <c r="B267" i="42"/>
  <c r="AS266" i="42"/>
  <c r="N266" i="42"/>
  <c r="M266" i="42"/>
  <c r="K266" i="42"/>
  <c r="B266" i="42"/>
  <c r="AS265" i="42"/>
  <c r="N265" i="42"/>
  <c r="M265" i="42"/>
  <c r="K265" i="42"/>
  <c r="B265" i="42"/>
  <c r="AS264" i="42"/>
  <c r="N264" i="42"/>
  <c r="M264" i="42"/>
  <c r="K264" i="42"/>
  <c r="B264" i="42"/>
  <c r="AS263" i="42"/>
  <c r="N263" i="42"/>
  <c r="M263" i="42"/>
  <c r="K263" i="42"/>
  <c r="B263" i="42"/>
  <c r="AS262" i="42"/>
  <c r="N262" i="42"/>
  <c r="M262" i="42"/>
  <c r="K262" i="42"/>
  <c r="B262" i="42"/>
  <c r="AS261" i="42"/>
  <c r="N261" i="42"/>
  <c r="M261" i="42"/>
  <c r="K261" i="42"/>
  <c r="B261" i="42"/>
  <c r="AS260" i="42"/>
  <c r="N260" i="42"/>
  <c r="M260" i="42"/>
  <c r="K260" i="42"/>
  <c r="B260" i="42"/>
  <c r="AS259" i="42"/>
  <c r="N259" i="42"/>
  <c r="M259" i="42"/>
  <c r="K259" i="42"/>
  <c r="B259" i="42"/>
  <c r="AS258" i="42"/>
  <c r="N258" i="42"/>
  <c r="M258" i="42"/>
  <c r="K258" i="42"/>
  <c r="B258" i="42"/>
  <c r="AS257" i="42"/>
  <c r="N257" i="42"/>
  <c r="M257" i="42"/>
  <c r="K257" i="42"/>
  <c r="B257" i="42"/>
  <c r="AS256" i="42"/>
  <c r="AD256" i="42"/>
  <c r="AG256" i="42" s="1"/>
  <c r="N256" i="42"/>
  <c r="M256" i="42"/>
  <c r="K256" i="42"/>
  <c r="B256" i="42"/>
  <c r="BL256" i="42" s="1"/>
  <c r="AS255" i="42"/>
  <c r="N255" i="42"/>
  <c r="M255" i="42"/>
  <c r="K255" i="42"/>
  <c r="B255" i="42"/>
  <c r="AS254" i="42"/>
  <c r="N254" i="42"/>
  <c r="M254" i="42"/>
  <c r="K254" i="42"/>
  <c r="B254" i="42"/>
  <c r="AS253" i="42"/>
  <c r="N253" i="42"/>
  <c r="M253" i="42"/>
  <c r="K253" i="42"/>
  <c r="B253" i="42"/>
  <c r="AS252" i="42"/>
  <c r="N252" i="42"/>
  <c r="M252" i="42"/>
  <c r="B252" i="42"/>
  <c r="AS251" i="42"/>
  <c r="N251" i="42"/>
  <c r="M251" i="42"/>
  <c r="K251" i="42"/>
  <c r="B251" i="42"/>
  <c r="AS250" i="42"/>
  <c r="N250" i="42"/>
  <c r="M250" i="42"/>
  <c r="K250" i="42"/>
  <c r="B250" i="42"/>
  <c r="AS249" i="42"/>
  <c r="N249" i="42"/>
  <c r="M249" i="42"/>
  <c r="K249" i="42"/>
  <c r="B249" i="42"/>
  <c r="AS248" i="42"/>
  <c r="N248" i="42"/>
  <c r="M248" i="42"/>
  <c r="K248" i="42"/>
  <c r="B248" i="42"/>
  <c r="AS247" i="42"/>
  <c r="N247" i="42"/>
  <c r="M247" i="42"/>
  <c r="K247" i="42"/>
  <c r="B247" i="42"/>
  <c r="AS246" i="42"/>
  <c r="N246" i="42"/>
  <c r="M246" i="42"/>
  <c r="K246" i="42"/>
  <c r="B246" i="42"/>
  <c r="AS245" i="42"/>
  <c r="N245" i="42"/>
  <c r="M245" i="42"/>
  <c r="K245" i="42"/>
  <c r="B245" i="42"/>
  <c r="AS244" i="42"/>
  <c r="N244" i="42"/>
  <c r="M244" i="42"/>
  <c r="K244" i="42"/>
  <c r="B244" i="42"/>
  <c r="AS243" i="42"/>
  <c r="N243" i="42"/>
  <c r="M243" i="42"/>
  <c r="K243" i="42"/>
  <c r="B243" i="42"/>
  <c r="AS242" i="42"/>
  <c r="N242" i="42"/>
  <c r="M242" i="42"/>
  <c r="K242" i="42"/>
  <c r="B242" i="42"/>
  <c r="AS241" i="42"/>
  <c r="T241" i="42"/>
  <c r="O241" i="42"/>
  <c r="N241" i="42"/>
  <c r="M241" i="42"/>
  <c r="K241" i="42"/>
  <c r="B241" i="42"/>
  <c r="AS240" i="42"/>
  <c r="N240" i="42"/>
  <c r="M240" i="42"/>
  <c r="K240" i="42"/>
  <c r="B240" i="42"/>
  <c r="AS239" i="42"/>
  <c r="N239" i="42"/>
  <c r="M239" i="42"/>
  <c r="K239" i="42"/>
  <c r="B239" i="42"/>
  <c r="AS238" i="42"/>
  <c r="N238" i="42"/>
  <c r="M238" i="42"/>
  <c r="B238" i="42"/>
  <c r="AS237" i="42"/>
  <c r="N237" i="42"/>
  <c r="M237" i="42"/>
  <c r="K237" i="42"/>
  <c r="B237" i="42"/>
  <c r="AS236" i="42"/>
  <c r="N236" i="42"/>
  <c r="M236" i="42"/>
  <c r="K236" i="42"/>
  <c r="B236" i="42"/>
  <c r="AS235" i="42"/>
  <c r="N235" i="42"/>
  <c r="M235" i="42"/>
  <c r="K235" i="42"/>
  <c r="B235" i="42"/>
  <c r="AS234" i="42"/>
  <c r="N234" i="42"/>
  <c r="M234" i="42"/>
  <c r="K234" i="42"/>
  <c r="B234" i="42"/>
  <c r="AS233" i="42"/>
  <c r="N233" i="42"/>
  <c r="M233" i="42"/>
  <c r="B233" i="42"/>
  <c r="AS232" i="42"/>
  <c r="N232" i="42"/>
  <c r="M232" i="42"/>
  <c r="K232" i="42"/>
  <c r="B232" i="42"/>
  <c r="AS231" i="42"/>
  <c r="N231" i="42"/>
  <c r="M231" i="42"/>
  <c r="K231" i="42"/>
  <c r="B231" i="42"/>
  <c r="AS230" i="42"/>
  <c r="N230" i="42"/>
  <c r="M230" i="42"/>
  <c r="K230" i="42"/>
  <c r="B230" i="42"/>
  <c r="AS229" i="42"/>
  <c r="N229" i="42"/>
  <c r="M229" i="42"/>
  <c r="B229" i="42"/>
  <c r="AS228" i="42"/>
  <c r="N228" i="42"/>
  <c r="M228" i="42"/>
  <c r="K228" i="42"/>
  <c r="B228" i="42"/>
  <c r="AS227" i="42"/>
  <c r="N227" i="42"/>
  <c r="M227" i="42"/>
  <c r="K227" i="42"/>
  <c r="B227" i="42"/>
  <c r="AS226" i="42"/>
  <c r="N226" i="42"/>
  <c r="M226" i="42"/>
  <c r="K226" i="42"/>
  <c r="B226" i="42"/>
  <c r="AS225" i="42"/>
  <c r="N225" i="42"/>
  <c r="M225" i="42"/>
  <c r="K225" i="42"/>
  <c r="B225" i="42"/>
  <c r="AS224" i="42"/>
  <c r="N224" i="42"/>
  <c r="M224" i="42"/>
  <c r="K224" i="42"/>
  <c r="B224" i="42"/>
  <c r="AS223" i="42"/>
  <c r="N223" i="42"/>
  <c r="M223" i="42"/>
  <c r="K223" i="42"/>
  <c r="B223" i="42"/>
  <c r="AS222" i="42"/>
  <c r="N222" i="42"/>
  <c r="M222" i="42"/>
  <c r="K222" i="42"/>
  <c r="B222" i="42"/>
  <c r="AS221" i="42"/>
  <c r="N221" i="42"/>
  <c r="M221" i="42"/>
  <c r="K221" i="42"/>
  <c r="B221" i="42"/>
  <c r="AS220" i="42"/>
  <c r="N220" i="42"/>
  <c r="M220" i="42"/>
  <c r="B220" i="42"/>
  <c r="AS219" i="42"/>
  <c r="N219" i="42"/>
  <c r="M219" i="42"/>
  <c r="K219" i="42"/>
  <c r="B219" i="42"/>
  <c r="AS218" i="42"/>
  <c r="N218" i="42"/>
  <c r="M218" i="42"/>
  <c r="B218" i="42"/>
  <c r="AS217" i="42"/>
  <c r="N217" i="42"/>
  <c r="M217" i="42"/>
  <c r="K217" i="42"/>
  <c r="B217" i="42"/>
  <c r="AS216" i="42"/>
  <c r="N216" i="42"/>
  <c r="M216" i="42"/>
  <c r="K216" i="42"/>
  <c r="B216" i="42"/>
  <c r="AS215" i="42"/>
  <c r="N215" i="42"/>
  <c r="M215" i="42"/>
  <c r="K215" i="42"/>
  <c r="B215" i="42"/>
  <c r="AS214" i="42"/>
  <c r="N214" i="42"/>
  <c r="M214" i="42"/>
  <c r="K214" i="42"/>
  <c r="B214" i="42"/>
  <c r="AS213" i="42"/>
  <c r="N213" i="42"/>
  <c r="M213" i="42"/>
  <c r="K213" i="42"/>
  <c r="B213" i="42"/>
  <c r="AS212" i="42"/>
  <c r="N212" i="42"/>
  <c r="M212" i="42"/>
  <c r="K212" i="42"/>
  <c r="B212" i="42"/>
  <c r="AS211" i="42"/>
  <c r="N211" i="42"/>
  <c r="M211" i="42"/>
  <c r="K211" i="42"/>
  <c r="B211" i="42"/>
  <c r="AS210" i="42"/>
  <c r="N210" i="42"/>
  <c r="M210" i="42"/>
  <c r="K210" i="42"/>
  <c r="B210" i="42"/>
  <c r="J210" i="42" s="1"/>
  <c r="AS209" i="42"/>
  <c r="N209" i="42"/>
  <c r="M209" i="42"/>
  <c r="K209" i="42"/>
  <c r="B209" i="42"/>
  <c r="AS208" i="42"/>
  <c r="N208" i="42"/>
  <c r="M208" i="42"/>
  <c r="K208" i="42"/>
  <c r="B208" i="42"/>
  <c r="AS207" i="42"/>
  <c r="N207" i="42"/>
  <c r="M207" i="42"/>
  <c r="K207" i="42"/>
  <c r="B207" i="42"/>
  <c r="AS206" i="42"/>
  <c r="N206" i="42"/>
  <c r="M206" i="42"/>
  <c r="K206" i="42"/>
  <c r="B206" i="42"/>
  <c r="AS205" i="42"/>
  <c r="N205" i="42"/>
  <c r="M205" i="42"/>
  <c r="K205" i="42"/>
  <c r="B205" i="42"/>
  <c r="AS204" i="42"/>
  <c r="N204" i="42"/>
  <c r="M204" i="42"/>
  <c r="K204" i="42"/>
  <c r="B204" i="42"/>
  <c r="AS203" i="42"/>
  <c r="N203" i="42"/>
  <c r="M203" i="42"/>
  <c r="K203" i="42"/>
  <c r="B203" i="42"/>
  <c r="AS202" i="42"/>
  <c r="N202" i="42"/>
  <c r="M202" i="42"/>
  <c r="K202" i="42"/>
  <c r="B202" i="42"/>
  <c r="AS201" i="42"/>
  <c r="N201" i="42"/>
  <c r="M201" i="42"/>
  <c r="K201" i="42"/>
  <c r="B201" i="42"/>
  <c r="AS200" i="42"/>
  <c r="N200" i="42"/>
  <c r="M200" i="42"/>
  <c r="K200" i="42"/>
  <c r="B200" i="42"/>
  <c r="AS199" i="42"/>
  <c r="N199" i="42"/>
  <c r="M199" i="42"/>
  <c r="K199" i="42"/>
  <c r="B199" i="42"/>
  <c r="AS198" i="42"/>
  <c r="N198" i="42"/>
  <c r="M198" i="42"/>
  <c r="K198" i="42"/>
  <c r="B198" i="42"/>
  <c r="AS197" i="42"/>
  <c r="N197" i="42"/>
  <c r="M197" i="42"/>
  <c r="K197" i="42"/>
  <c r="B197" i="42"/>
  <c r="AS196" i="42"/>
  <c r="N196" i="42"/>
  <c r="M196" i="42"/>
  <c r="K196" i="42"/>
  <c r="B196" i="42"/>
  <c r="AS195" i="42"/>
  <c r="N195" i="42"/>
  <c r="M195" i="42"/>
  <c r="K195" i="42"/>
  <c r="B195" i="42"/>
  <c r="AS194" i="42"/>
  <c r="N194" i="42"/>
  <c r="M194" i="42"/>
  <c r="K194" i="42"/>
  <c r="B194" i="42"/>
  <c r="AS193" i="42"/>
  <c r="N193" i="42"/>
  <c r="M193" i="42"/>
  <c r="K193" i="42"/>
  <c r="B193" i="42"/>
  <c r="AS192" i="42"/>
  <c r="N192" i="42"/>
  <c r="M192" i="42"/>
  <c r="K192" i="42"/>
  <c r="B192" i="42"/>
  <c r="AS191" i="42"/>
  <c r="N191" i="42"/>
  <c r="M191" i="42"/>
  <c r="K191" i="42"/>
  <c r="B191" i="42"/>
  <c r="AS190" i="42"/>
  <c r="N190" i="42"/>
  <c r="M190" i="42"/>
  <c r="K190" i="42"/>
  <c r="B190" i="42"/>
  <c r="AS189" i="42"/>
  <c r="N189" i="42"/>
  <c r="M189" i="42"/>
  <c r="K189" i="42"/>
  <c r="B189" i="42"/>
  <c r="AS188" i="42"/>
  <c r="N188" i="42"/>
  <c r="M188" i="42"/>
  <c r="K188" i="42"/>
  <c r="B188" i="42"/>
  <c r="AS187" i="42"/>
  <c r="N187" i="42"/>
  <c r="M187" i="42"/>
  <c r="K187" i="42"/>
  <c r="B187" i="42"/>
  <c r="AS186" i="42"/>
  <c r="N186" i="42"/>
  <c r="M186" i="42"/>
  <c r="K186" i="42"/>
  <c r="B186" i="42"/>
  <c r="AS185" i="42"/>
  <c r="N185" i="42"/>
  <c r="M185" i="42"/>
  <c r="K185" i="42"/>
  <c r="B185" i="42"/>
  <c r="AS184" i="42"/>
  <c r="N184" i="42"/>
  <c r="M184" i="42"/>
  <c r="K184" i="42"/>
  <c r="B184" i="42"/>
  <c r="AS183" i="42"/>
  <c r="N183" i="42"/>
  <c r="M183" i="42"/>
  <c r="K183" i="42"/>
  <c r="B183" i="42"/>
  <c r="AS182" i="42"/>
  <c r="N182" i="42"/>
  <c r="M182" i="42"/>
  <c r="K182" i="42"/>
  <c r="B182" i="42"/>
  <c r="AS181" i="42"/>
  <c r="N181" i="42"/>
  <c r="M181" i="42"/>
  <c r="K181" i="42"/>
  <c r="B181" i="42"/>
  <c r="AS180" i="42"/>
  <c r="N180" i="42"/>
  <c r="M180" i="42"/>
  <c r="K180" i="42"/>
  <c r="B180" i="42"/>
  <c r="AS179" i="42"/>
  <c r="N179" i="42"/>
  <c r="M179" i="42"/>
  <c r="K179" i="42"/>
  <c r="B179" i="42"/>
  <c r="AS178" i="42"/>
  <c r="N178" i="42"/>
  <c r="M178" i="42"/>
  <c r="K178" i="42"/>
  <c r="B178" i="42"/>
  <c r="AS177" i="42"/>
  <c r="N177" i="42"/>
  <c r="M177" i="42"/>
  <c r="K177" i="42"/>
  <c r="B177" i="42"/>
  <c r="AS176" i="42"/>
  <c r="N176" i="42"/>
  <c r="M176" i="42"/>
  <c r="K176" i="42"/>
  <c r="B176" i="42"/>
  <c r="AS175" i="42"/>
  <c r="N175" i="42"/>
  <c r="M175" i="42"/>
  <c r="K175" i="42"/>
  <c r="B175" i="42"/>
  <c r="AS174" i="42"/>
  <c r="N174" i="42"/>
  <c r="M174" i="42"/>
  <c r="K174" i="42"/>
  <c r="B174" i="42"/>
  <c r="AS173" i="42"/>
  <c r="N173" i="42"/>
  <c r="M173" i="42"/>
  <c r="K173" i="42"/>
  <c r="B173" i="42"/>
  <c r="AS172" i="42"/>
  <c r="N172" i="42"/>
  <c r="M172" i="42"/>
  <c r="K172" i="42"/>
  <c r="B172" i="42"/>
  <c r="AS171" i="42"/>
  <c r="N171" i="42"/>
  <c r="M171" i="42"/>
  <c r="K171" i="42"/>
  <c r="B171" i="42"/>
  <c r="AS170" i="42"/>
  <c r="N170" i="42"/>
  <c r="M170" i="42"/>
  <c r="K170" i="42"/>
  <c r="B170" i="42"/>
  <c r="AS169" i="42"/>
  <c r="N169" i="42"/>
  <c r="M169" i="42"/>
  <c r="K169" i="42"/>
  <c r="B169" i="42"/>
  <c r="AS168" i="42"/>
  <c r="N168" i="42"/>
  <c r="M168" i="42"/>
  <c r="K168" i="42"/>
  <c r="B168" i="42"/>
  <c r="AS167" i="42"/>
  <c r="N167" i="42"/>
  <c r="M167" i="42"/>
  <c r="K167" i="42"/>
  <c r="B167" i="42"/>
  <c r="AS166" i="42"/>
  <c r="N166" i="42"/>
  <c r="M166" i="42"/>
  <c r="K166" i="42"/>
  <c r="B166" i="42"/>
  <c r="AS165" i="42"/>
  <c r="N165" i="42"/>
  <c r="M165" i="42"/>
  <c r="K165" i="42"/>
  <c r="B165" i="42"/>
  <c r="AS164" i="42"/>
  <c r="N164" i="42"/>
  <c r="M164" i="42"/>
  <c r="K164" i="42"/>
  <c r="B164" i="42"/>
  <c r="AS163" i="42"/>
  <c r="N163" i="42"/>
  <c r="M163" i="42"/>
  <c r="K163" i="42"/>
  <c r="B163" i="42"/>
  <c r="AS162" i="42"/>
  <c r="N162" i="42"/>
  <c r="M162" i="42"/>
  <c r="K162" i="42"/>
  <c r="B162" i="42"/>
  <c r="AS161" i="42"/>
  <c r="N161" i="42"/>
  <c r="M161" i="42"/>
  <c r="K161" i="42"/>
  <c r="B161" i="42"/>
  <c r="AS160" i="42"/>
  <c r="N160" i="42"/>
  <c r="M160" i="42"/>
  <c r="K160" i="42"/>
  <c r="B160" i="42"/>
  <c r="AS159" i="42"/>
  <c r="N159" i="42"/>
  <c r="M159" i="42"/>
  <c r="K159" i="42"/>
  <c r="B159" i="42"/>
  <c r="AS158" i="42"/>
  <c r="N158" i="42"/>
  <c r="M158" i="42"/>
  <c r="K158" i="42"/>
  <c r="B158" i="42"/>
  <c r="AS157" i="42"/>
  <c r="N157" i="42"/>
  <c r="M157" i="42"/>
  <c r="K157" i="42"/>
  <c r="B157" i="42"/>
  <c r="AS156" i="42"/>
  <c r="N156" i="42"/>
  <c r="M156" i="42"/>
  <c r="K156" i="42"/>
  <c r="B156" i="42"/>
  <c r="AS155" i="42"/>
  <c r="N155" i="42"/>
  <c r="M155" i="42"/>
  <c r="K155" i="42"/>
  <c r="B155" i="42"/>
  <c r="AS154" i="42"/>
  <c r="N154" i="42"/>
  <c r="M154" i="42"/>
  <c r="K154" i="42"/>
  <c r="B154" i="42"/>
  <c r="AS153" i="42"/>
  <c r="N153" i="42"/>
  <c r="M153" i="42"/>
  <c r="K153" i="42"/>
  <c r="B153" i="42"/>
  <c r="AS152" i="42"/>
  <c r="N152" i="42"/>
  <c r="M152" i="42"/>
  <c r="K152" i="42"/>
  <c r="B152" i="42"/>
  <c r="AS151" i="42"/>
  <c r="N151" i="42"/>
  <c r="M151" i="42"/>
  <c r="K151" i="42"/>
  <c r="B151" i="42"/>
  <c r="AS150" i="42"/>
  <c r="N150" i="42"/>
  <c r="M150" i="42"/>
  <c r="K150" i="42"/>
  <c r="B150" i="42"/>
  <c r="AS149" i="42"/>
  <c r="N149" i="42"/>
  <c r="M149" i="42"/>
  <c r="K149" i="42"/>
  <c r="B149" i="42"/>
  <c r="AS148" i="42"/>
  <c r="N148" i="42"/>
  <c r="M148" i="42"/>
  <c r="K148" i="42"/>
  <c r="B148" i="42"/>
  <c r="AS147" i="42"/>
  <c r="N147" i="42"/>
  <c r="M147" i="42"/>
  <c r="K147" i="42"/>
  <c r="B147" i="42"/>
  <c r="AS146" i="42"/>
  <c r="N146" i="42"/>
  <c r="M146" i="42"/>
  <c r="K146" i="42"/>
  <c r="B146" i="42"/>
  <c r="AS145" i="42"/>
  <c r="N145" i="42"/>
  <c r="M145" i="42"/>
  <c r="K145" i="42"/>
  <c r="B145" i="42"/>
  <c r="AS144" i="42"/>
  <c r="N144" i="42"/>
  <c r="M144" i="42"/>
  <c r="K144" i="42"/>
  <c r="B144" i="42"/>
  <c r="AS143" i="42"/>
  <c r="N143" i="42"/>
  <c r="M143" i="42"/>
  <c r="K143" i="42"/>
  <c r="B143" i="42"/>
  <c r="AS142" i="42"/>
  <c r="N142" i="42"/>
  <c r="M142" i="42"/>
  <c r="K142" i="42"/>
  <c r="B142" i="42"/>
  <c r="AS141" i="42"/>
  <c r="N141" i="42"/>
  <c r="M141" i="42"/>
  <c r="K141" i="42"/>
  <c r="B141" i="42"/>
  <c r="AS140" i="42"/>
  <c r="N140" i="42"/>
  <c r="M140" i="42"/>
  <c r="K140" i="42"/>
  <c r="B140" i="42"/>
  <c r="AS139" i="42"/>
  <c r="N139" i="42"/>
  <c r="M139" i="42"/>
  <c r="K139" i="42"/>
  <c r="B139" i="42"/>
  <c r="AS138" i="42"/>
  <c r="N138" i="42"/>
  <c r="M138" i="42"/>
  <c r="K138" i="42"/>
  <c r="B138" i="42"/>
  <c r="AS137" i="42"/>
  <c r="N137" i="42"/>
  <c r="M137" i="42"/>
  <c r="K137" i="42"/>
  <c r="B137" i="42"/>
  <c r="AS136" i="42"/>
  <c r="N136" i="42"/>
  <c r="M136" i="42"/>
  <c r="K136" i="42"/>
  <c r="B136" i="42"/>
  <c r="AS135" i="42"/>
  <c r="N135" i="42"/>
  <c r="M135" i="42"/>
  <c r="K135" i="42"/>
  <c r="B135" i="42"/>
  <c r="AS134" i="42"/>
  <c r="N134" i="42"/>
  <c r="M134" i="42"/>
  <c r="K134" i="42"/>
  <c r="B134" i="42"/>
  <c r="AS133" i="42"/>
  <c r="N133" i="42"/>
  <c r="M133" i="42"/>
  <c r="K133" i="42"/>
  <c r="B133" i="42"/>
  <c r="AS132" i="42"/>
  <c r="N132" i="42"/>
  <c r="M132" i="42"/>
  <c r="K132" i="42"/>
  <c r="B132" i="42"/>
  <c r="AS131" i="42"/>
  <c r="N131" i="42"/>
  <c r="M131" i="42"/>
  <c r="K131" i="42"/>
  <c r="B131" i="42"/>
  <c r="AS130" i="42"/>
  <c r="N130" i="42"/>
  <c r="M130" i="42"/>
  <c r="K130" i="42"/>
  <c r="B130" i="42"/>
  <c r="AS129" i="42"/>
  <c r="N129" i="42"/>
  <c r="M129" i="42"/>
  <c r="K129" i="42"/>
  <c r="B129" i="42"/>
  <c r="AS128" i="42"/>
  <c r="N128" i="42"/>
  <c r="M128" i="42"/>
  <c r="K128" i="42"/>
  <c r="B128" i="42"/>
  <c r="AS127" i="42"/>
  <c r="N127" i="42"/>
  <c r="M127" i="42"/>
  <c r="K127" i="42"/>
  <c r="B127" i="42"/>
  <c r="AS126" i="42"/>
  <c r="N126" i="42"/>
  <c r="M126" i="42"/>
  <c r="K126" i="42"/>
  <c r="B126" i="42"/>
  <c r="AS125" i="42"/>
  <c r="N125" i="42"/>
  <c r="M125" i="42"/>
  <c r="K125" i="42"/>
  <c r="B125" i="42"/>
  <c r="AS124" i="42"/>
  <c r="N124" i="42"/>
  <c r="M124" i="42"/>
  <c r="K124" i="42"/>
  <c r="B124" i="42"/>
  <c r="AS123" i="42"/>
  <c r="N123" i="42"/>
  <c r="M123" i="42"/>
  <c r="K123" i="42"/>
  <c r="B123" i="42"/>
  <c r="AS122" i="42"/>
  <c r="N122" i="42"/>
  <c r="M122" i="42"/>
  <c r="K122" i="42"/>
  <c r="B122" i="42"/>
  <c r="AS121" i="42"/>
  <c r="N121" i="42"/>
  <c r="M121" i="42"/>
  <c r="K121" i="42"/>
  <c r="B121" i="42"/>
  <c r="AS120" i="42"/>
  <c r="N120" i="42"/>
  <c r="M120" i="42"/>
  <c r="K120" i="42"/>
  <c r="B120" i="42"/>
  <c r="AS119" i="42"/>
  <c r="N119" i="42"/>
  <c r="M119" i="42"/>
  <c r="K119" i="42"/>
  <c r="B119" i="42"/>
  <c r="AS118" i="42"/>
  <c r="N118" i="42"/>
  <c r="M118" i="42"/>
  <c r="K118" i="42"/>
  <c r="B118" i="42"/>
  <c r="AS117" i="42"/>
  <c r="N117" i="42"/>
  <c r="M117" i="42"/>
  <c r="K117" i="42"/>
  <c r="B117" i="42"/>
  <c r="AS116" i="42"/>
  <c r="N116" i="42"/>
  <c r="M116" i="42"/>
  <c r="K116" i="42"/>
  <c r="B116" i="42"/>
  <c r="AS115" i="42"/>
  <c r="N115" i="42"/>
  <c r="M115" i="42"/>
  <c r="K115" i="42"/>
  <c r="B115" i="42"/>
  <c r="AS114" i="42"/>
  <c r="N114" i="42"/>
  <c r="M114" i="42"/>
  <c r="K114" i="42"/>
  <c r="B114" i="42"/>
  <c r="AS113" i="42"/>
  <c r="N113" i="42"/>
  <c r="M113" i="42"/>
  <c r="K113" i="42"/>
  <c r="B113" i="42"/>
  <c r="AS112" i="42"/>
  <c r="N112" i="42"/>
  <c r="M112" i="42"/>
  <c r="K112" i="42"/>
  <c r="B112" i="42"/>
  <c r="AS111" i="42"/>
  <c r="N111" i="42"/>
  <c r="M111" i="42"/>
  <c r="K111" i="42"/>
  <c r="B111" i="42"/>
  <c r="AS110" i="42"/>
  <c r="N110" i="42"/>
  <c r="M110" i="42"/>
  <c r="K110" i="42"/>
  <c r="B110" i="42"/>
  <c r="AS109" i="42"/>
  <c r="N109" i="42"/>
  <c r="M109" i="42"/>
  <c r="K109" i="42"/>
  <c r="B109" i="42"/>
  <c r="AS108" i="42"/>
  <c r="N108" i="42"/>
  <c r="M108" i="42"/>
  <c r="K108" i="42"/>
  <c r="B108" i="42"/>
  <c r="AS107" i="42"/>
  <c r="N107" i="42"/>
  <c r="M107" i="42"/>
  <c r="K107" i="42"/>
  <c r="B107" i="42"/>
  <c r="AS106" i="42"/>
  <c r="N106" i="42"/>
  <c r="M106" i="42"/>
  <c r="K106" i="42"/>
  <c r="B106" i="42"/>
  <c r="AS105" i="42"/>
  <c r="N105" i="42"/>
  <c r="M105" i="42"/>
  <c r="K105" i="42"/>
  <c r="B105" i="42"/>
  <c r="AS104" i="42"/>
  <c r="N104" i="42"/>
  <c r="M104" i="42"/>
  <c r="K104" i="42"/>
  <c r="B104" i="42"/>
  <c r="AS103" i="42"/>
  <c r="N103" i="42"/>
  <c r="M103" i="42"/>
  <c r="K103" i="42"/>
  <c r="B103" i="42"/>
  <c r="AS102" i="42"/>
  <c r="N102" i="42"/>
  <c r="M102" i="42"/>
  <c r="K102" i="42"/>
  <c r="B102" i="42"/>
  <c r="AS101" i="42"/>
  <c r="N101" i="42"/>
  <c r="M101" i="42"/>
  <c r="K101" i="42"/>
  <c r="B101" i="42"/>
  <c r="AS100" i="42"/>
  <c r="N100" i="42"/>
  <c r="M100" i="42"/>
  <c r="K100" i="42"/>
  <c r="B100" i="42"/>
  <c r="AS99" i="42"/>
  <c r="N99" i="42"/>
  <c r="M99" i="42"/>
  <c r="K99" i="42"/>
  <c r="B99" i="42"/>
  <c r="AS98" i="42"/>
  <c r="N98" i="42"/>
  <c r="M98" i="42"/>
  <c r="K98" i="42"/>
  <c r="B98" i="42"/>
  <c r="AS97" i="42"/>
  <c r="N97" i="42"/>
  <c r="M97" i="42"/>
  <c r="K97" i="42"/>
  <c r="B97" i="42"/>
  <c r="AS96" i="42"/>
  <c r="N96" i="42"/>
  <c r="M96" i="42"/>
  <c r="K96" i="42"/>
  <c r="B96" i="42"/>
  <c r="AS95" i="42"/>
  <c r="N95" i="42"/>
  <c r="M95" i="42"/>
  <c r="K95" i="42"/>
  <c r="B95" i="42"/>
  <c r="AS94" i="42"/>
  <c r="N94" i="42"/>
  <c r="M94" i="42"/>
  <c r="K94" i="42"/>
  <c r="B94" i="42"/>
  <c r="AS93" i="42"/>
  <c r="N93" i="42"/>
  <c r="M93" i="42"/>
  <c r="K93" i="42"/>
  <c r="B93" i="42"/>
  <c r="AS92" i="42"/>
  <c r="N92" i="42"/>
  <c r="M92" i="42"/>
  <c r="K92" i="42"/>
  <c r="B92" i="42"/>
  <c r="AS91" i="42"/>
  <c r="N91" i="42"/>
  <c r="M91" i="42"/>
  <c r="K91" i="42"/>
  <c r="B91" i="42"/>
  <c r="AS90" i="42"/>
  <c r="N90" i="42"/>
  <c r="M90" i="42"/>
  <c r="K90" i="42"/>
  <c r="B90" i="42"/>
  <c r="AS89" i="42"/>
  <c r="N89" i="42"/>
  <c r="M89" i="42"/>
  <c r="K89" i="42"/>
  <c r="B89" i="42"/>
  <c r="AS88" i="42"/>
  <c r="N88" i="42"/>
  <c r="M88" i="42"/>
  <c r="K88" i="42"/>
  <c r="B88" i="42"/>
  <c r="AS87" i="42"/>
  <c r="N87" i="42"/>
  <c r="M87" i="42"/>
  <c r="K87" i="42"/>
  <c r="B87" i="42"/>
  <c r="AS86" i="42"/>
  <c r="N86" i="42"/>
  <c r="M86" i="42"/>
  <c r="K86" i="42"/>
  <c r="B86" i="42"/>
  <c r="AS85" i="42"/>
  <c r="N85" i="42"/>
  <c r="M85" i="42"/>
  <c r="K85" i="42"/>
  <c r="B85" i="42"/>
  <c r="AS84" i="42"/>
  <c r="N84" i="42"/>
  <c r="M84" i="42"/>
  <c r="K84" i="42"/>
  <c r="B84" i="42"/>
  <c r="AS83" i="42"/>
  <c r="N83" i="42"/>
  <c r="M83" i="42"/>
  <c r="K83" i="42"/>
  <c r="B83" i="42"/>
  <c r="AS82" i="42"/>
  <c r="N82" i="42"/>
  <c r="M82" i="42"/>
  <c r="K82" i="42"/>
  <c r="B82" i="42"/>
  <c r="AS81" i="42"/>
  <c r="N81" i="42"/>
  <c r="M81" i="42"/>
  <c r="K81" i="42"/>
  <c r="B81" i="42"/>
  <c r="AS80" i="42"/>
  <c r="N80" i="42"/>
  <c r="M80" i="42"/>
  <c r="K80" i="42"/>
  <c r="B80" i="42"/>
  <c r="AS79" i="42"/>
  <c r="N79" i="42"/>
  <c r="M79" i="42"/>
  <c r="K79" i="42"/>
  <c r="B79" i="42"/>
  <c r="AS78" i="42"/>
  <c r="N78" i="42"/>
  <c r="M78" i="42"/>
  <c r="K78" i="42"/>
  <c r="B78" i="42"/>
  <c r="AS77" i="42"/>
  <c r="N77" i="42"/>
  <c r="M77" i="42"/>
  <c r="K77" i="42"/>
  <c r="B77" i="42"/>
  <c r="AS76" i="42"/>
  <c r="N76" i="42"/>
  <c r="M76" i="42"/>
  <c r="K76" i="42"/>
  <c r="B76" i="42"/>
  <c r="AS75" i="42"/>
  <c r="N75" i="42"/>
  <c r="M75" i="42"/>
  <c r="K75" i="42"/>
  <c r="B75" i="42"/>
  <c r="AS74" i="42"/>
  <c r="N74" i="42"/>
  <c r="M74" i="42"/>
  <c r="K74" i="42"/>
  <c r="B74" i="42"/>
  <c r="AS73" i="42"/>
  <c r="N73" i="42"/>
  <c r="M73" i="42"/>
  <c r="K73" i="42"/>
  <c r="B73" i="42"/>
  <c r="AS72" i="42"/>
  <c r="N72" i="42"/>
  <c r="M72" i="42"/>
  <c r="K72" i="42"/>
  <c r="B72" i="42"/>
  <c r="AS71" i="42"/>
  <c r="N71" i="42"/>
  <c r="M71" i="42"/>
  <c r="K71" i="42"/>
  <c r="B71" i="42"/>
  <c r="AS70" i="42"/>
  <c r="N70" i="42"/>
  <c r="M70" i="42"/>
  <c r="K70" i="42"/>
  <c r="B70" i="42"/>
  <c r="AS69" i="42"/>
  <c r="N69" i="42"/>
  <c r="M69" i="42"/>
  <c r="K69" i="42"/>
  <c r="B69" i="42"/>
  <c r="AS68" i="42"/>
  <c r="N68" i="42"/>
  <c r="M68" i="42"/>
  <c r="K68" i="42"/>
  <c r="B68" i="42"/>
  <c r="AS67" i="42"/>
  <c r="N67" i="42"/>
  <c r="M67" i="42"/>
  <c r="K67" i="42"/>
  <c r="B67" i="42"/>
  <c r="AS66" i="42"/>
  <c r="N66" i="42"/>
  <c r="M66" i="42"/>
  <c r="K66" i="42"/>
  <c r="B66" i="42"/>
  <c r="AS65" i="42"/>
  <c r="N65" i="42"/>
  <c r="M65" i="42"/>
  <c r="K65" i="42"/>
  <c r="B65" i="42"/>
  <c r="AS64" i="42"/>
  <c r="N64" i="42"/>
  <c r="M64" i="42"/>
  <c r="K64" i="42"/>
  <c r="B64" i="42"/>
  <c r="AS63" i="42"/>
  <c r="N63" i="42"/>
  <c r="M63" i="42"/>
  <c r="K63" i="42"/>
  <c r="B63" i="42"/>
  <c r="AS62" i="42"/>
  <c r="N62" i="42"/>
  <c r="M62" i="42"/>
  <c r="K62" i="42"/>
  <c r="B62" i="42"/>
  <c r="AS61" i="42"/>
  <c r="N61" i="42"/>
  <c r="M61" i="42"/>
  <c r="K61" i="42"/>
  <c r="B61" i="42"/>
  <c r="AS60" i="42"/>
  <c r="N60" i="42"/>
  <c r="M60" i="42"/>
  <c r="K60" i="42"/>
  <c r="B60" i="42"/>
  <c r="AS59" i="42"/>
  <c r="N59" i="42"/>
  <c r="M59" i="42"/>
  <c r="K59" i="42"/>
  <c r="B59" i="42"/>
  <c r="AS58" i="42"/>
  <c r="N58" i="42"/>
  <c r="M58" i="42"/>
  <c r="K58" i="42"/>
  <c r="B58" i="42"/>
  <c r="AS57" i="42"/>
  <c r="N57" i="42"/>
  <c r="M57" i="42"/>
  <c r="K57" i="42"/>
  <c r="B57" i="42"/>
  <c r="AS56" i="42"/>
  <c r="N56" i="42"/>
  <c r="M56" i="42"/>
  <c r="K56" i="42"/>
  <c r="B56" i="42"/>
  <c r="AS55" i="42"/>
  <c r="N55" i="42"/>
  <c r="M55" i="42"/>
  <c r="K55" i="42"/>
  <c r="B55" i="42"/>
  <c r="AS54" i="42"/>
  <c r="N54" i="42"/>
  <c r="M54" i="42"/>
  <c r="K54" i="42"/>
  <c r="B54" i="42"/>
  <c r="AS53" i="42"/>
  <c r="N53" i="42"/>
  <c r="M53" i="42"/>
  <c r="K53" i="42"/>
  <c r="B53" i="42"/>
  <c r="AS52" i="42"/>
  <c r="N52" i="42"/>
  <c r="M52" i="42"/>
  <c r="K52" i="42"/>
  <c r="B52" i="42"/>
  <c r="AS51" i="42"/>
  <c r="N51" i="42"/>
  <c r="M51" i="42"/>
  <c r="K51" i="42"/>
  <c r="B51" i="42"/>
  <c r="AS50" i="42"/>
  <c r="N50" i="42"/>
  <c r="M50" i="42"/>
  <c r="K50" i="42"/>
  <c r="B50" i="42"/>
  <c r="AS49" i="42"/>
  <c r="N49" i="42"/>
  <c r="M49" i="42"/>
  <c r="K49" i="42"/>
  <c r="B49" i="42"/>
  <c r="AS48" i="42"/>
  <c r="N48" i="42"/>
  <c r="M48" i="42"/>
  <c r="K48" i="42"/>
  <c r="B48" i="42"/>
  <c r="AS47" i="42"/>
  <c r="N47" i="42"/>
  <c r="M47" i="42"/>
  <c r="K47" i="42"/>
  <c r="B47" i="42"/>
  <c r="AS46" i="42"/>
  <c r="N46" i="42"/>
  <c r="M46" i="42"/>
  <c r="K46" i="42"/>
  <c r="B46" i="42"/>
  <c r="AS45" i="42"/>
  <c r="N45" i="42"/>
  <c r="M45" i="42"/>
  <c r="K45" i="42"/>
  <c r="B45" i="42"/>
  <c r="AS44" i="42"/>
  <c r="N44" i="42"/>
  <c r="M44" i="42"/>
  <c r="K44" i="42"/>
  <c r="B44" i="42"/>
  <c r="AS43" i="42"/>
  <c r="N43" i="42"/>
  <c r="M43" i="42"/>
  <c r="K43" i="42"/>
  <c r="B43" i="42"/>
  <c r="AS42" i="42"/>
  <c r="N42" i="42"/>
  <c r="M42" i="42"/>
  <c r="K42" i="42"/>
  <c r="B42" i="42"/>
  <c r="AS41" i="42"/>
  <c r="N41" i="42"/>
  <c r="M41" i="42"/>
  <c r="K41" i="42"/>
  <c r="B41" i="42"/>
  <c r="AS40" i="42"/>
  <c r="N40" i="42"/>
  <c r="M40" i="42"/>
  <c r="K40" i="42"/>
  <c r="B40" i="42"/>
  <c r="AS39" i="42"/>
  <c r="N39" i="42"/>
  <c r="M39" i="42"/>
  <c r="K39" i="42"/>
  <c r="B39" i="42"/>
  <c r="AS38" i="42"/>
  <c r="N38" i="42"/>
  <c r="M38" i="42"/>
  <c r="K38" i="42"/>
  <c r="B38" i="42"/>
  <c r="AS37" i="42"/>
  <c r="N37" i="42"/>
  <c r="M37" i="42"/>
  <c r="K37" i="42"/>
  <c r="B37" i="42"/>
  <c r="AS36" i="42"/>
  <c r="N36" i="42"/>
  <c r="M36" i="42"/>
  <c r="K36" i="42"/>
  <c r="B36" i="42"/>
  <c r="AS35" i="42"/>
  <c r="N35" i="42"/>
  <c r="M35" i="42"/>
  <c r="K35" i="42"/>
  <c r="B35" i="42"/>
  <c r="AS34" i="42"/>
  <c r="N34" i="42"/>
  <c r="M34" i="42"/>
  <c r="K34" i="42"/>
  <c r="B34" i="42"/>
  <c r="AS33" i="42"/>
  <c r="N33" i="42"/>
  <c r="M33" i="42"/>
  <c r="K33" i="42"/>
  <c r="B33" i="42"/>
  <c r="AS32" i="42"/>
  <c r="N32" i="42"/>
  <c r="M32" i="42"/>
  <c r="K32" i="42"/>
  <c r="B32" i="42"/>
  <c r="AS31" i="42"/>
  <c r="N31" i="42"/>
  <c r="M31" i="42"/>
  <c r="K31" i="42"/>
  <c r="B31" i="42"/>
  <c r="AS30" i="42"/>
  <c r="N30" i="42"/>
  <c r="M30" i="42"/>
  <c r="K30" i="42"/>
  <c r="B30" i="42"/>
  <c r="AS29" i="42"/>
  <c r="N29" i="42"/>
  <c r="M29" i="42"/>
  <c r="K29" i="42"/>
  <c r="B29" i="42"/>
  <c r="AS28" i="42"/>
  <c r="N28" i="42"/>
  <c r="M28" i="42"/>
  <c r="K28" i="42"/>
  <c r="B28" i="42"/>
  <c r="AS27" i="42"/>
  <c r="N27" i="42"/>
  <c r="M27" i="42"/>
  <c r="K27" i="42"/>
  <c r="B27" i="42"/>
  <c r="AS26" i="42"/>
  <c r="N26" i="42"/>
  <c r="M26" i="42"/>
  <c r="K26" i="42"/>
  <c r="B26" i="42"/>
  <c r="AS25" i="42"/>
  <c r="N25" i="42"/>
  <c r="M25" i="42"/>
  <c r="K25" i="42"/>
  <c r="B25" i="42"/>
  <c r="AS24" i="42"/>
  <c r="N24" i="42"/>
  <c r="M24" i="42"/>
  <c r="K24" i="42"/>
  <c r="B24" i="42"/>
  <c r="AS23" i="42"/>
  <c r="N23" i="42"/>
  <c r="M23" i="42"/>
  <c r="K23" i="42"/>
  <c r="B23" i="42"/>
  <c r="AS22" i="42"/>
  <c r="N22" i="42"/>
  <c r="M22" i="42"/>
  <c r="K22" i="42"/>
  <c r="B22" i="42"/>
  <c r="AS21" i="42"/>
  <c r="N21" i="42"/>
  <c r="M21" i="42"/>
  <c r="K21" i="42"/>
  <c r="B21" i="42"/>
  <c r="AS20" i="42"/>
  <c r="N20" i="42"/>
  <c r="M20" i="42"/>
  <c r="K20" i="42"/>
  <c r="B20" i="42"/>
  <c r="AS19" i="42"/>
  <c r="N19" i="42"/>
  <c r="M19" i="42"/>
  <c r="K19" i="42"/>
  <c r="B19" i="42"/>
  <c r="AS18" i="42"/>
  <c r="N18" i="42"/>
  <c r="M18" i="42"/>
  <c r="K18" i="42"/>
  <c r="B18" i="42"/>
  <c r="AS17" i="42"/>
  <c r="N17" i="42"/>
  <c r="M17" i="42"/>
  <c r="K17" i="42"/>
  <c r="B17" i="42"/>
  <c r="AS16" i="42"/>
  <c r="N16" i="42"/>
  <c r="M16" i="42"/>
  <c r="K16" i="42"/>
  <c r="B16" i="42"/>
  <c r="AS15" i="42"/>
  <c r="N15" i="42"/>
  <c r="M15" i="42"/>
  <c r="K15" i="42"/>
  <c r="B15" i="42"/>
  <c r="AS14" i="42"/>
  <c r="N14" i="42"/>
  <c r="M14" i="42"/>
  <c r="K14" i="42"/>
  <c r="B14" i="42"/>
  <c r="AS13" i="42"/>
  <c r="N13" i="42"/>
  <c r="M13" i="42"/>
  <c r="K13" i="42"/>
  <c r="B13" i="42"/>
  <c r="AS12" i="42"/>
  <c r="N12" i="42"/>
  <c r="M12" i="42"/>
  <c r="K12" i="42"/>
  <c r="B12" i="42"/>
  <c r="AS11" i="42"/>
  <c r="N11" i="42"/>
  <c r="M11" i="42"/>
  <c r="K11" i="42"/>
  <c r="B11" i="42"/>
  <c r="AS10" i="42"/>
  <c r="N10" i="42"/>
  <c r="M10" i="42"/>
  <c r="K10" i="42"/>
  <c r="B10" i="42"/>
  <c r="X8" i="42"/>
  <c r="T8" i="42"/>
  <c r="R8" i="42"/>
  <c r="D1" i="42"/>
  <c r="E1" i="42" s="1"/>
  <c r="F1" i="42" s="1"/>
  <c r="G1" i="42" s="1"/>
  <c r="H1" i="42" s="1"/>
  <c r="I1" i="42" s="1"/>
  <c r="J1" i="42" s="1"/>
  <c r="K1" i="42" s="1"/>
  <c r="L1" i="42" s="1"/>
  <c r="M1" i="42" s="1"/>
  <c r="N1" i="42" s="1"/>
  <c r="O1" i="42" s="1"/>
  <c r="P1" i="42" s="1"/>
  <c r="Q1" i="42" s="1"/>
  <c r="R1" i="42" s="1"/>
  <c r="S1" i="42" s="1"/>
  <c r="T1" i="42" s="1"/>
  <c r="U1" i="42" s="1"/>
  <c r="V1" i="42" s="1"/>
  <c r="W1" i="42" s="1"/>
  <c r="X1" i="42" s="1"/>
  <c r="Y1" i="42" s="1"/>
  <c r="Z1" i="42" s="1"/>
  <c r="AA1" i="42" s="1"/>
  <c r="AD1" i="42" s="1"/>
  <c r="AF1" i="42" s="1"/>
  <c r="AG1" i="42" s="1"/>
  <c r="AH1" i="42" s="1"/>
  <c r="AI1" i="42" s="1"/>
  <c r="AJ1" i="42" s="1"/>
  <c r="AK1" i="42" s="1"/>
  <c r="AL1" i="42" s="1"/>
  <c r="AM1" i="42" s="1"/>
  <c r="AT1" i="42" s="1"/>
  <c r="AU1" i="42" s="1"/>
  <c r="AV1" i="42" s="1"/>
  <c r="AW1" i="42" s="1"/>
  <c r="AX1" i="42" s="1"/>
  <c r="AY1" i="42" s="1"/>
  <c r="BC1" i="42" s="1"/>
  <c r="BD1" i="42" s="1"/>
  <c r="BE1" i="42" s="1"/>
  <c r="BF1" i="42" s="1"/>
  <c r="BG1" i="42" s="1"/>
  <c r="BH1" i="42" s="1"/>
  <c r="BI1" i="42" s="1"/>
  <c r="BJ1" i="42" s="1"/>
  <c r="BK1" i="42" s="1"/>
  <c r="BL1" i="42" s="1"/>
  <c r="BM1" i="42" s="1"/>
  <c r="BN1" i="42" s="1"/>
  <c r="BO1" i="42" s="1"/>
  <c r="BP1" i="42" s="1"/>
  <c r="BQ1" i="42" s="1"/>
  <c r="C1" i="42"/>
  <c r="O256" i="42" l="1"/>
  <c r="BH10" i="42"/>
  <c r="AN10" i="42"/>
  <c r="AM10" i="42"/>
  <c r="BK11" i="42"/>
  <c r="AN11" i="42"/>
  <c r="AM11" i="42"/>
  <c r="BN12" i="42"/>
  <c r="AM12" i="42"/>
  <c r="AN12" i="42"/>
  <c r="BE13" i="42"/>
  <c r="AM13" i="42"/>
  <c r="AN13" i="42"/>
  <c r="AN14" i="42"/>
  <c r="AM14" i="42"/>
  <c r="AN15" i="42"/>
  <c r="AM15" i="42"/>
  <c r="O16" i="42"/>
  <c r="AN16" i="42"/>
  <c r="AM16" i="42"/>
  <c r="AM17" i="42"/>
  <c r="AN17" i="42"/>
  <c r="AM18" i="42"/>
  <c r="AN18" i="42"/>
  <c r="AM19" i="42"/>
  <c r="AN19" i="42"/>
  <c r="AM20" i="42"/>
  <c r="AN20" i="42"/>
  <c r="AD21" i="42"/>
  <c r="AG21" i="42" s="1"/>
  <c r="AM21" i="42"/>
  <c r="AN21" i="42"/>
  <c r="AD22" i="42"/>
  <c r="AG22" i="42" s="1"/>
  <c r="AN22" i="42"/>
  <c r="AM22" i="42"/>
  <c r="AN23" i="42"/>
  <c r="AM23" i="42"/>
  <c r="AN24" i="42"/>
  <c r="AM24" i="42"/>
  <c r="AN25" i="42"/>
  <c r="AM25" i="42"/>
  <c r="AN26" i="42"/>
  <c r="AM26" i="42"/>
  <c r="AZ27" i="42"/>
  <c r="AN27" i="42"/>
  <c r="AM27" i="42"/>
  <c r="AM28" i="42"/>
  <c r="AN28" i="42"/>
  <c r="AM29" i="42"/>
  <c r="AN29" i="42"/>
  <c r="AD30" i="42"/>
  <c r="AG30" i="42" s="1"/>
  <c r="AN30" i="42"/>
  <c r="AM30" i="42"/>
  <c r="BL31" i="42"/>
  <c r="AN31" i="42"/>
  <c r="AM31" i="42"/>
  <c r="AM32" i="42"/>
  <c r="AN32" i="42"/>
  <c r="AM33" i="42"/>
  <c r="AN33" i="42"/>
  <c r="AM34" i="42"/>
  <c r="AN34" i="42"/>
  <c r="BP35" i="42"/>
  <c r="AN35" i="42"/>
  <c r="AM35" i="42"/>
  <c r="AM36" i="42"/>
  <c r="AN36" i="42"/>
  <c r="AM37" i="42"/>
  <c r="AN37" i="42"/>
  <c r="AN38" i="42"/>
  <c r="AM38" i="42"/>
  <c r="AN39" i="42"/>
  <c r="AM39" i="42"/>
  <c r="AN40" i="42"/>
  <c r="AM40" i="42"/>
  <c r="BK41" i="42"/>
  <c r="AN41" i="42"/>
  <c r="AM41" i="42"/>
  <c r="AM42" i="42"/>
  <c r="AN42" i="42"/>
  <c r="AM43" i="42"/>
  <c r="AN43" i="42"/>
  <c r="BN44" i="42"/>
  <c r="AM44" i="42"/>
  <c r="AN44" i="42"/>
  <c r="AM45" i="42"/>
  <c r="AN45" i="42"/>
  <c r="AN46" i="42"/>
  <c r="AM46" i="42"/>
  <c r="AN47" i="42"/>
  <c r="AM47" i="42"/>
  <c r="BF48" i="42"/>
  <c r="AM48" i="42"/>
  <c r="AN48" i="42"/>
  <c r="AM49" i="42"/>
  <c r="AN49" i="42"/>
  <c r="AN50" i="42"/>
  <c r="AM50" i="42"/>
  <c r="AN51" i="42"/>
  <c r="AM51" i="42"/>
  <c r="AM52" i="42"/>
  <c r="AN52" i="42"/>
  <c r="AM53" i="42"/>
  <c r="AN53" i="42"/>
  <c r="AN54" i="42"/>
  <c r="AM54" i="42"/>
  <c r="AN55" i="42"/>
  <c r="AM55" i="42"/>
  <c r="AM56" i="42"/>
  <c r="AN56" i="42"/>
  <c r="AM57" i="42"/>
  <c r="AN57" i="42"/>
  <c r="AM58" i="42"/>
  <c r="AN58" i="42"/>
  <c r="AD59" i="42"/>
  <c r="AG59" i="42" s="1"/>
  <c r="AM59" i="42"/>
  <c r="AN59" i="42"/>
  <c r="AM60" i="42"/>
  <c r="AN60" i="42"/>
  <c r="AM61" i="42"/>
  <c r="AN61" i="42"/>
  <c r="AN62" i="42"/>
  <c r="AM62" i="42"/>
  <c r="AN63" i="42"/>
  <c r="AM63" i="42"/>
  <c r="BM64" i="42"/>
  <c r="AN64" i="42"/>
  <c r="AM64" i="42"/>
  <c r="AN65" i="42"/>
  <c r="AM65" i="42"/>
  <c r="AN66" i="42"/>
  <c r="AM66" i="42"/>
  <c r="AD67" i="42"/>
  <c r="AG67" i="42" s="1"/>
  <c r="AM67" i="42"/>
  <c r="AN67" i="42"/>
  <c r="BN68" i="42"/>
  <c r="AM68" i="42"/>
  <c r="AN68" i="42"/>
  <c r="AM69" i="42"/>
  <c r="AN69" i="42"/>
  <c r="AN70" i="42"/>
  <c r="AM70" i="42"/>
  <c r="AN71" i="42"/>
  <c r="AM71" i="42"/>
  <c r="AN72" i="42"/>
  <c r="AM72" i="42"/>
  <c r="AM73" i="42"/>
  <c r="AN73" i="42"/>
  <c r="BN74" i="42"/>
  <c r="AN74" i="42"/>
  <c r="AM74" i="42"/>
  <c r="AN75" i="42"/>
  <c r="AM75" i="42"/>
  <c r="AM76" i="42"/>
  <c r="AN76" i="42"/>
  <c r="AM77" i="42"/>
  <c r="AN77" i="42"/>
  <c r="BP78" i="42"/>
  <c r="AN78" i="42"/>
  <c r="AM78" i="42"/>
  <c r="AN79" i="42"/>
  <c r="AM79" i="42"/>
  <c r="AN80" i="42"/>
  <c r="AM80" i="42"/>
  <c r="AM81" i="42"/>
  <c r="AN81" i="42"/>
  <c r="O82" i="42"/>
  <c r="AM82" i="42"/>
  <c r="AN82" i="42"/>
  <c r="AM83" i="42"/>
  <c r="AN83" i="42"/>
  <c r="AM84" i="42"/>
  <c r="AN84" i="42"/>
  <c r="BF85" i="42"/>
  <c r="AM85" i="42"/>
  <c r="AN85" i="42"/>
  <c r="AN86" i="42"/>
  <c r="AM86" i="42"/>
  <c r="AN87" i="42"/>
  <c r="AM87" i="42"/>
  <c r="AN88" i="42"/>
  <c r="AM88" i="42"/>
  <c r="AN89" i="42"/>
  <c r="AM89" i="42"/>
  <c r="BP90" i="42"/>
  <c r="AN90" i="42"/>
  <c r="AM90" i="42"/>
  <c r="AN91" i="42"/>
  <c r="AM91" i="42"/>
  <c r="BK92" i="42"/>
  <c r="AM92" i="42"/>
  <c r="AN92" i="42"/>
  <c r="AM93" i="42"/>
  <c r="AN93" i="42"/>
  <c r="AN94" i="42"/>
  <c r="AM94" i="42"/>
  <c r="AN95" i="42"/>
  <c r="AM95" i="42"/>
  <c r="AM96" i="42"/>
  <c r="AN96" i="42"/>
  <c r="AN97" i="42"/>
  <c r="AM97" i="42"/>
  <c r="AM98" i="42"/>
  <c r="AN98" i="42"/>
  <c r="AN99" i="42"/>
  <c r="AM99" i="42"/>
  <c r="Q100" i="42"/>
  <c r="AM100" i="42"/>
  <c r="AN100" i="42"/>
  <c r="AM101" i="42"/>
  <c r="AN101" i="42"/>
  <c r="AN102" i="42"/>
  <c r="AM102" i="42"/>
  <c r="AN103" i="42"/>
  <c r="AM103" i="42"/>
  <c r="AN104" i="42"/>
  <c r="AM104" i="42"/>
  <c r="AN105" i="42"/>
  <c r="AM105" i="42"/>
  <c r="AM106" i="42"/>
  <c r="AN106" i="42"/>
  <c r="AM107" i="42"/>
  <c r="AN107" i="42"/>
  <c r="AM108" i="42"/>
  <c r="AN108" i="42"/>
  <c r="O109" i="42"/>
  <c r="AM109" i="42"/>
  <c r="AN109" i="42"/>
  <c r="AN110" i="42"/>
  <c r="AM110" i="42"/>
  <c r="AN111" i="42"/>
  <c r="AM111" i="42"/>
  <c r="AM112" i="42"/>
  <c r="AN112" i="42"/>
  <c r="AN113" i="42"/>
  <c r="AM113" i="42"/>
  <c r="AN114" i="42"/>
  <c r="AM114" i="42"/>
  <c r="AN115" i="42"/>
  <c r="AM115" i="42"/>
  <c r="AM116" i="42"/>
  <c r="AN116" i="42"/>
  <c r="BK117" i="42"/>
  <c r="AM117" i="42"/>
  <c r="AN117" i="42"/>
  <c r="AN118" i="42"/>
  <c r="AM118" i="42"/>
  <c r="AN119" i="42"/>
  <c r="AM119" i="42"/>
  <c r="AM120" i="42"/>
  <c r="AN120" i="42"/>
  <c r="AM121" i="42"/>
  <c r="AN121" i="42"/>
  <c r="AN122" i="42"/>
  <c r="AM122" i="42"/>
  <c r="AM123" i="42"/>
  <c r="AN123" i="42"/>
  <c r="AM124" i="42"/>
  <c r="AN124" i="42"/>
  <c r="O125" i="42"/>
  <c r="AM125" i="42"/>
  <c r="AN125" i="42"/>
  <c r="AN126" i="42"/>
  <c r="AM126" i="42"/>
  <c r="AN127" i="42"/>
  <c r="AM127" i="42"/>
  <c r="AN128" i="42"/>
  <c r="AM128" i="42"/>
  <c r="I129" i="42"/>
  <c r="BR129" i="42" s="1"/>
  <c r="AN129" i="42"/>
  <c r="AM129" i="42"/>
  <c r="AN130" i="42"/>
  <c r="AM130" i="42"/>
  <c r="BE131" i="42"/>
  <c r="AM131" i="42"/>
  <c r="AN131" i="42"/>
  <c r="AM132" i="42"/>
  <c r="AN132" i="42"/>
  <c r="AM133" i="42"/>
  <c r="AN133" i="42"/>
  <c r="AN134" i="42"/>
  <c r="AM134" i="42"/>
  <c r="AN135" i="42"/>
  <c r="AM135" i="42"/>
  <c r="AU136" i="42"/>
  <c r="AN136" i="42"/>
  <c r="AM136" i="42"/>
  <c r="J137" i="42"/>
  <c r="AM137" i="42"/>
  <c r="AN137" i="42"/>
  <c r="AN138" i="42"/>
  <c r="AM138" i="42"/>
  <c r="BI139" i="42"/>
  <c r="AN139" i="42"/>
  <c r="AM139" i="42"/>
  <c r="AM140" i="42"/>
  <c r="AN140" i="42"/>
  <c r="AM141" i="42"/>
  <c r="AN141" i="42"/>
  <c r="BP142" i="42"/>
  <c r="AN142" i="42"/>
  <c r="AM142" i="42"/>
  <c r="AN143" i="42"/>
  <c r="AM143" i="42"/>
  <c r="AN144" i="42"/>
  <c r="AM144" i="42"/>
  <c r="AM145" i="42"/>
  <c r="AN145" i="42"/>
  <c r="BG146" i="42"/>
  <c r="AM146" i="42"/>
  <c r="AN146" i="42"/>
  <c r="AM147" i="42"/>
  <c r="AN147" i="42"/>
  <c r="AM148" i="42"/>
  <c r="AN148" i="42"/>
  <c r="AM149" i="42"/>
  <c r="AN149" i="42"/>
  <c r="AN150" i="42"/>
  <c r="AM150" i="42"/>
  <c r="BM151" i="42"/>
  <c r="AN151" i="42"/>
  <c r="AM151" i="42"/>
  <c r="AN152" i="42"/>
  <c r="AM152" i="42"/>
  <c r="BF153" i="42"/>
  <c r="AN153" i="42"/>
  <c r="AM153" i="42"/>
  <c r="BO154" i="42"/>
  <c r="AN154" i="42"/>
  <c r="AM154" i="42"/>
  <c r="AN155" i="42"/>
  <c r="AM155" i="42"/>
  <c r="AM156" i="42"/>
  <c r="AN156" i="42"/>
  <c r="AM157" i="42"/>
  <c r="AN157" i="42"/>
  <c r="AN158" i="42"/>
  <c r="AM158" i="42"/>
  <c r="AN159" i="42"/>
  <c r="AM159" i="42"/>
  <c r="AM160" i="42"/>
  <c r="AN160" i="42"/>
  <c r="BO161" i="42"/>
  <c r="AN161" i="42"/>
  <c r="AM161" i="42"/>
  <c r="AM162" i="42"/>
  <c r="AN162" i="42"/>
  <c r="AM163" i="42"/>
  <c r="AN163" i="42"/>
  <c r="I164" i="42"/>
  <c r="AM164" i="42"/>
  <c r="AN164" i="42"/>
  <c r="AM165" i="42"/>
  <c r="AN165" i="42"/>
  <c r="AN166" i="42"/>
  <c r="AM166" i="42"/>
  <c r="AN167" i="42"/>
  <c r="AM167" i="42"/>
  <c r="AN168" i="42"/>
  <c r="AM168" i="42"/>
  <c r="AN169" i="42"/>
  <c r="AM169" i="42"/>
  <c r="BI170" i="42"/>
  <c r="AM170" i="42"/>
  <c r="AN170" i="42"/>
  <c r="AM171" i="42"/>
  <c r="AN171" i="42"/>
  <c r="AM172" i="42"/>
  <c r="AN172" i="42"/>
  <c r="BM173" i="42"/>
  <c r="AM173" i="42"/>
  <c r="AN173" i="42"/>
  <c r="BI174" i="42"/>
  <c r="AN174" i="42"/>
  <c r="AM174" i="42"/>
  <c r="AN175" i="42"/>
  <c r="AM175" i="42"/>
  <c r="AM176" i="42"/>
  <c r="AN176" i="42"/>
  <c r="BJ177" i="42"/>
  <c r="AN177" i="42"/>
  <c r="AM177" i="42"/>
  <c r="AU178" i="42"/>
  <c r="AN178" i="42"/>
  <c r="AM178" i="42"/>
  <c r="AN179" i="42"/>
  <c r="AM179" i="42"/>
  <c r="AM180" i="42"/>
  <c r="AN180" i="42"/>
  <c r="AM181" i="42"/>
  <c r="AN181" i="42"/>
  <c r="BL182" i="42"/>
  <c r="AN182" i="42"/>
  <c r="AM182" i="42"/>
  <c r="AN183" i="42"/>
  <c r="AM183" i="42"/>
  <c r="AM184" i="42"/>
  <c r="AN184" i="42"/>
  <c r="BI185" i="42"/>
  <c r="AM185" i="42"/>
  <c r="AN185" i="42"/>
  <c r="BM186" i="42"/>
  <c r="AM186" i="42"/>
  <c r="AN186" i="42"/>
  <c r="AM187" i="42"/>
  <c r="AN187" i="42"/>
  <c r="AZ188" i="42"/>
  <c r="AM188" i="42"/>
  <c r="AN188" i="42"/>
  <c r="BH189" i="42"/>
  <c r="AM189" i="42"/>
  <c r="AN189" i="42"/>
  <c r="O190" i="42"/>
  <c r="AN190" i="42"/>
  <c r="AM190" i="42"/>
  <c r="AN191" i="42"/>
  <c r="AM191" i="42"/>
  <c r="AN192" i="42"/>
  <c r="AM192" i="42"/>
  <c r="AN193" i="42"/>
  <c r="AM193" i="42"/>
  <c r="AN194" i="42"/>
  <c r="AM194" i="42"/>
  <c r="AM195" i="42"/>
  <c r="AN195" i="42"/>
  <c r="AM196" i="42"/>
  <c r="AN196" i="42"/>
  <c r="BH197" i="42"/>
  <c r="AM197" i="42"/>
  <c r="AN197" i="42"/>
  <c r="BL198" i="42"/>
  <c r="AN198" i="42"/>
  <c r="AM198" i="42"/>
  <c r="AN199" i="42"/>
  <c r="AM199" i="42"/>
  <c r="AN200" i="42"/>
  <c r="AM200" i="42"/>
  <c r="BJ201" i="42"/>
  <c r="AM201" i="42"/>
  <c r="AN201" i="42"/>
  <c r="BH202" i="42"/>
  <c r="AM202" i="42"/>
  <c r="AN202" i="42"/>
  <c r="BG203" i="42"/>
  <c r="AN203" i="42"/>
  <c r="AM203" i="42"/>
  <c r="AM204" i="42"/>
  <c r="AN204" i="42"/>
  <c r="AM205" i="42"/>
  <c r="AN205" i="42"/>
  <c r="AN206" i="42"/>
  <c r="AM206" i="42"/>
  <c r="AN207" i="42"/>
  <c r="AM207" i="42"/>
  <c r="AN208" i="42"/>
  <c r="AM208" i="42"/>
  <c r="AM209" i="42"/>
  <c r="AN209" i="42"/>
  <c r="AM210" i="42"/>
  <c r="AN210" i="42"/>
  <c r="AN211" i="42"/>
  <c r="AM211" i="42"/>
  <c r="AM212" i="42"/>
  <c r="AN212" i="42"/>
  <c r="AM213" i="42"/>
  <c r="AN213" i="42"/>
  <c r="AN214" i="42"/>
  <c r="AM214" i="42"/>
  <c r="AN215" i="42"/>
  <c r="AM215" i="42"/>
  <c r="BM216" i="42"/>
  <c r="AN216" i="42"/>
  <c r="AM216" i="42"/>
  <c r="AN217" i="42"/>
  <c r="AM217" i="42"/>
  <c r="AN218" i="42"/>
  <c r="AM218" i="42"/>
  <c r="AT219" i="42"/>
  <c r="AN219" i="42"/>
  <c r="AM219" i="42"/>
  <c r="J220" i="42"/>
  <c r="AM220" i="42"/>
  <c r="AN220" i="42"/>
  <c r="AM221" i="42"/>
  <c r="AN221" i="42"/>
  <c r="AN222" i="42"/>
  <c r="AM222" i="42"/>
  <c r="AN223" i="42"/>
  <c r="AM223" i="42"/>
  <c r="J224" i="42"/>
  <c r="AM224" i="42"/>
  <c r="AN224" i="42"/>
  <c r="AD225" i="42"/>
  <c r="AG225" i="42" s="1"/>
  <c r="AM225" i="42"/>
  <c r="AN225" i="42"/>
  <c r="BN226" i="42"/>
  <c r="AM226" i="42"/>
  <c r="AN226" i="42"/>
  <c r="I227" i="42"/>
  <c r="BR227" i="42" s="1"/>
  <c r="AN227" i="42"/>
  <c r="AM227" i="42"/>
  <c r="BK228" i="42"/>
  <c r="AM228" i="42"/>
  <c r="AN228" i="42"/>
  <c r="BM229" i="42"/>
  <c r="AM229" i="42"/>
  <c r="AN229" i="42"/>
  <c r="AN230" i="42"/>
  <c r="AM230" i="42"/>
  <c r="AN231" i="42"/>
  <c r="AM231" i="42"/>
  <c r="AN232" i="42"/>
  <c r="AM232" i="42"/>
  <c r="BJ233" i="42"/>
  <c r="AN233" i="42"/>
  <c r="AM233" i="42"/>
  <c r="AZ234" i="42"/>
  <c r="AM234" i="42"/>
  <c r="AN234" i="42"/>
  <c r="AN235" i="42"/>
  <c r="AM235" i="42"/>
  <c r="AM236" i="42"/>
  <c r="AN236" i="42"/>
  <c r="I237" i="42"/>
  <c r="BR237" i="42" s="1"/>
  <c r="AM237" i="42"/>
  <c r="AN237" i="42"/>
  <c r="AN238" i="42"/>
  <c r="AM238" i="42"/>
  <c r="J239" i="42"/>
  <c r="AN239" i="42"/>
  <c r="AM239" i="42"/>
  <c r="BK240" i="42"/>
  <c r="AM240" i="42"/>
  <c r="AN240" i="42"/>
  <c r="BO241" i="42"/>
  <c r="AM241" i="42"/>
  <c r="AN241" i="42"/>
  <c r="AN242" i="42"/>
  <c r="AM242" i="42"/>
  <c r="Q243" i="42"/>
  <c r="AN243" i="42"/>
  <c r="AM243" i="42"/>
  <c r="BI244" i="42"/>
  <c r="AM244" i="42"/>
  <c r="AN244" i="42"/>
  <c r="AM245" i="42"/>
  <c r="AN245" i="42"/>
  <c r="I246" i="42"/>
  <c r="BR246" i="42" s="1"/>
  <c r="AN246" i="42"/>
  <c r="AM246" i="42"/>
  <c r="J247" i="42"/>
  <c r="AN247" i="42"/>
  <c r="AM247" i="42"/>
  <c r="BI248" i="42"/>
  <c r="AM248" i="42"/>
  <c r="AN248" i="42"/>
  <c r="AM249" i="42"/>
  <c r="AN249" i="42"/>
  <c r="BG250" i="42"/>
  <c r="AN250" i="42"/>
  <c r="AM250" i="42"/>
  <c r="AN251" i="42"/>
  <c r="AM251" i="42"/>
  <c r="I252" i="42"/>
  <c r="AM252" i="42"/>
  <c r="AN252" i="42"/>
  <c r="AM253" i="42"/>
  <c r="AN253" i="42"/>
  <c r="AN254" i="42"/>
  <c r="AM254" i="42"/>
  <c r="BG255" i="42"/>
  <c r="AN255" i="42"/>
  <c r="AM255" i="42"/>
  <c r="BK256" i="42"/>
  <c r="AM256" i="42"/>
  <c r="AN256" i="42"/>
  <c r="AN257" i="42"/>
  <c r="AM257" i="42"/>
  <c r="AZ258" i="42"/>
  <c r="AN258" i="42"/>
  <c r="AM258" i="42"/>
  <c r="I259" i="42"/>
  <c r="BR259" i="42" s="1"/>
  <c r="AM259" i="42"/>
  <c r="AN259" i="42"/>
  <c r="AM260" i="42"/>
  <c r="AN260" i="42"/>
  <c r="AU261" i="42"/>
  <c r="AM261" i="42"/>
  <c r="AN261" i="42"/>
  <c r="BM262" i="42"/>
  <c r="AN262" i="42"/>
  <c r="AM262" i="42"/>
  <c r="AN263" i="42"/>
  <c r="AM263" i="42"/>
  <c r="AN264" i="42"/>
  <c r="AM264" i="42"/>
  <c r="AM265" i="42"/>
  <c r="AN265" i="42"/>
  <c r="AN266" i="42"/>
  <c r="AM266" i="42"/>
  <c r="BH267" i="42"/>
  <c r="AN267" i="42"/>
  <c r="AM267" i="42"/>
  <c r="AM268" i="42"/>
  <c r="AN268" i="42"/>
  <c r="AM269" i="42"/>
  <c r="AN269" i="42"/>
  <c r="AZ270" i="42"/>
  <c r="AN270" i="42"/>
  <c r="AM270" i="42"/>
  <c r="AN271" i="42"/>
  <c r="AM271" i="42"/>
  <c r="AN272" i="42"/>
  <c r="AM272" i="42"/>
  <c r="AM273" i="42"/>
  <c r="AN273" i="42"/>
  <c r="AM274" i="42"/>
  <c r="AN274" i="42"/>
  <c r="AN275" i="42"/>
  <c r="AM275" i="42"/>
  <c r="BG276" i="42"/>
  <c r="AM276" i="42"/>
  <c r="AN276" i="42"/>
  <c r="BE277" i="42"/>
  <c r="AM277" i="42"/>
  <c r="AN277" i="42"/>
  <c r="AD278" i="42"/>
  <c r="AG278" i="42" s="1"/>
  <c r="AN278" i="42"/>
  <c r="AM278" i="42"/>
  <c r="BJ279" i="42"/>
  <c r="AN279" i="42"/>
  <c r="AM279" i="42"/>
  <c r="AN280" i="42"/>
  <c r="AM280" i="42"/>
  <c r="AN281" i="42"/>
  <c r="AM281" i="42"/>
  <c r="BH282" i="42"/>
  <c r="AN282" i="42"/>
  <c r="AM282" i="42"/>
  <c r="AN283" i="42"/>
  <c r="AM283" i="42"/>
  <c r="AM284" i="42"/>
  <c r="AN284" i="42"/>
  <c r="AM285" i="42"/>
  <c r="AN285" i="42"/>
  <c r="BN286" i="42"/>
  <c r="AN286" i="42"/>
  <c r="AM286" i="42"/>
  <c r="BL287" i="42"/>
  <c r="AN287" i="42"/>
  <c r="AM287" i="42"/>
  <c r="BK288" i="42"/>
  <c r="AM288" i="42"/>
  <c r="AN288" i="42"/>
  <c r="AM289" i="42"/>
  <c r="AN289" i="42"/>
  <c r="AN290" i="42"/>
  <c r="AM290" i="42"/>
  <c r="AD291" i="42"/>
  <c r="AG291" i="42" s="1"/>
  <c r="AN291" i="42"/>
  <c r="AM291" i="42"/>
  <c r="BP292" i="42"/>
  <c r="AM292" i="42"/>
  <c r="AN292" i="42"/>
  <c r="AM293" i="42"/>
  <c r="AN293" i="42"/>
  <c r="AN294" i="42"/>
  <c r="AM294" i="42"/>
  <c r="AN295" i="42"/>
  <c r="AM295" i="42"/>
  <c r="AN296" i="42"/>
  <c r="AM296" i="42"/>
  <c r="BP297" i="42"/>
  <c r="AN297" i="42"/>
  <c r="AM297" i="42"/>
  <c r="AM298" i="42"/>
  <c r="AN298" i="42"/>
  <c r="BM299" i="42"/>
  <c r="AN299" i="42"/>
  <c r="AM299" i="42"/>
  <c r="AM300" i="42"/>
  <c r="AN300" i="42"/>
  <c r="BP301" i="42"/>
  <c r="AM301" i="42"/>
  <c r="AN301" i="42"/>
  <c r="BL302" i="42"/>
  <c r="AN302" i="42"/>
  <c r="AM302" i="42"/>
  <c r="BN303" i="42"/>
  <c r="AN303" i="42"/>
  <c r="AM303" i="42"/>
  <c r="BP304" i="42"/>
  <c r="AM304" i="42"/>
  <c r="AN304" i="42"/>
  <c r="AM305" i="42"/>
  <c r="AN305" i="42"/>
  <c r="AN306" i="42"/>
  <c r="AM306" i="42"/>
  <c r="BN307" i="42"/>
  <c r="AN307" i="42"/>
  <c r="AM307" i="42"/>
  <c r="BP308" i="42"/>
  <c r="AM308" i="42"/>
  <c r="AN308" i="42"/>
  <c r="BN309" i="42"/>
  <c r="AM309" i="42"/>
  <c r="AN309" i="42"/>
  <c r="BI310" i="42"/>
  <c r="AN310" i="42"/>
  <c r="AM310" i="42"/>
  <c r="BO311" i="42"/>
  <c r="AN311" i="42"/>
  <c r="AM311" i="42"/>
  <c r="BK312" i="42"/>
  <c r="AM312" i="42"/>
  <c r="AN312" i="42"/>
  <c r="BJ313" i="42"/>
  <c r="AM313" i="42"/>
  <c r="AN313" i="42"/>
  <c r="BL314" i="42"/>
  <c r="AN314" i="42"/>
  <c r="AM314" i="42"/>
  <c r="AN315" i="42"/>
  <c r="AM315" i="42"/>
  <c r="BH316" i="42"/>
  <c r="AM316" i="42"/>
  <c r="AN316" i="42"/>
  <c r="BK317" i="42"/>
  <c r="AM317" i="42"/>
  <c r="AN317" i="42"/>
  <c r="BL318" i="42"/>
  <c r="AN318" i="42"/>
  <c r="AM318" i="42"/>
  <c r="BM319" i="42"/>
  <c r="AN319" i="42"/>
  <c r="AM319" i="42"/>
  <c r="BP286" i="42"/>
  <c r="BE309" i="42"/>
  <c r="J286" i="42"/>
  <c r="BF309" i="42"/>
  <c r="O315" i="42"/>
  <c r="Q255" i="42"/>
  <c r="BE278" i="42"/>
  <c r="BG286" i="42"/>
  <c r="BL301" i="42"/>
  <c r="AD298" i="42"/>
  <c r="AG298" i="42" s="1"/>
  <c r="AD315" i="42"/>
  <c r="AG315" i="42" s="1"/>
  <c r="BF298" i="42"/>
  <c r="Q314" i="42"/>
  <c r="I298" i="42"/>
  <c r="BR298" i="42" s="1"/>
  <c r="BP298" i="42"/>
  <c r="O48" i="42"/>
  <c r="BO185" i="42"/>
  <c r="BJ21" i="42"/>
  <c r="BR164" i="42"/>
  <c r="BF277" i="42"/>
  <c r="AU286" i="42"/>
  <c r="BJ288" i="42"/>
  <c r="J298" i="42"/>
  <c r="AT301" i="42"/>
  <c r="BO309" i="42"/>
  <c r="BM313" i="42"/>
  <c r="BH276" i="42"/>
  <c r="BF286" i="42"/>
  <c r="BG301" i="42"/>
  <c r="BR309" i="42"/>
  <c r="J313" i="42"/>
  <c r="BN313" i="42"/>
  <c r="J276" i="42"/>
  <c r="BN277" i="42"/>
  <c r="BF301" i="42"/>
  <c r="Q304" i="42"/>
  <c r="BF312" i="42"/>
  <c r="BO313" i="42"/>
  <c r="AU314" i="42"/>
  <c r="O317" i="42"/>
  <c r="BM309" i="42"/>
  <c r="BI312" i="42"/>
  <c r="AT313" i="42"/>
  <c r="BP313" i="42"/>
  <c r="BI314" i="42"/>
  <c r="BF315" i="42"/>
  <c r="Q317" i="42"/>
  <c r="O44" i="42"/>
  <c r="Q125" i="42"/>
  <c r="I258" i="42"/>
  <c r="BR258" i="42" s="1"/>
  <c r="BI301" i="42"/>
  <c r="BE304" i="42"/>
  <c r="BE310" i="42"/>
  <c r="BG315" i="42"/>
  <c r="AD137" i="42"/>
  <c r="AG137" i="42" s="1"/>
  <c r="BF10" i="42"/>
  <c r="Q161" i="42"/>
  <c r="BH225" i="42"/>
  <c r="BF233" i="42"/>
  <c r="BH234" i="42"/>
  <c r="BJ237" i="42"/>
  <c r="BM256" i="42"/>
  <c r="I286" i="42"/>
  <c r="BR286" i="42" s="1"/>
  <c r="BE286" i="42"/>
  <c r="BH288" i="42"/>
  <c r="BE298" i="42"/>
  <c r="BK301" i="42"/>
  <c r="BO304" i="42"/>
  <c r="BP309" i="42"/>
  <c r="BJ310" i="42"/>
  <c r="I312" i="42"/>
  <c r="I313" i="42"/>
  <c r="BE313" i="42"/>
  <c r="BJ315" i="42"/>
  <c r="BF317" i="42"/>
  <c r="BJ203" i="42"/>
  <c r="BG233" i="42"/>
  <c r="BH262" i="42"/>
  <c r="AD276" i="42"/>
  <c r="AG276" i="42" s="1"/>
  <c r="AT302" i="42"/>
  <c r="BO310" i="42"/>
  <c r="BK315" i="42"/>
  <c r="BG317" i="42"/>
  <c r="BI22" i="42"/>
  <c r="BK161" i="42"/>
  <c r="BK224" i="42"/>
  <c r="BO233" i="42"/>
  <c r="BE243" i="42"/>
  <c r="BM270" i="42"/>
  <c r="Q277" i="42"/>
  <c r="AD301" i="42"/>
  <c r="AG301" i="42" s="1"/>
  <c r="BN301" i="42"/>
  <c r="AU302" i="42"/>
  <c r="BN315" i="42"/>
  <c r="BH317" i="42"/>
  <c r="BJ317" i="42"/>
  <c r="J233" i="42"/>
  <c r="BK276" i="42"/>
  <c r="BP250" i="42"/>
  <c r="O59" i="42"/>
  <c r="O225" i="42"/>
  <c r="J234" i="42"/>
  <c r="J241" i="42"/>
  <c r="J250" i="42"/>
  <c r="BE255" i="42"/>
  <c r="BL276" i="42"/>
  <c r="J282" i="42"/>
  <c r="BI282" i="42"/>
  <c r="O286" i="42"/>
  <c r="BH286" i="42"/>
  <c r="O288" i="42"/>
  <c r="BL288" i="42"/>
  <c r="BH292" i="42"/>
  <c r="BJ298" i="42"/>
  <c r="AU301" i="42"/>
  <c r="BI302" i="42"/>
  <c r="J306" i="42"/>
  <c r="BE306" i="42"/>
  <c r="BO307" i="42"/>
  <c r="AZ308" i="42"/>
  <c r="BG309" i="42"/>
  <c r="BH310" i="42"/>
  <c r="Q312" i="42"/>
  <c r="BM312" i="42"/>
  <c r="O313" i="42"/>
  <c r="BG313" i="42"/>
  <c r="BO315" i="42"/>
  <c r="I317" i="42"/>
  <c r="BR317" i="42" s="1"/>
  <c r="BN317" i="42"/>
  <c r="AZ319" i="42"/>
  <c r="I177" i="42"/>
  <c r="BR177" i="42" s="1"/>
  <c r="I178" i="42"/>
  <c r="BR178" i="42" s="1"/>
  <c r="J226" i="42"/>
  <c r="BG35" i="42"/>
  <c r="I250" i="42"/>
  <c r="BR250" i="42" s="1"/>
  <c r="Q21" i="42"/>
  <c r="Q22" i="42"/>
  <c r="AU44" i="42"/>
  <c r="AT65" i="42"/>
  <c r="BK31" i="42"/>
  <c r="J203" i="42"/>
  <c r="O233" i="42"/>
  <c r="O243" i="42"/>
  <c r="BG256" i="42"/>
  <c r="BN276" i="42"/>
  <c r="AU277" i="42"/>
  <c r="BH279" i="42"/>
  <c r="BK282" i="42"/>
  <c r="Q286" i="42"/>
  <c r="BM286" i="42"/>
  <c r="BG291" i="42"/>
  <c r="BL292" i="42"/>
  <c r="BN298" i="42"/>
  <c r="BL299" i="42"/>
  <c r="BH306" i="42"/>
  <c r="BF307" i="42"/>
  <c r="BP307" i="42"/>
  <c r="BE308" i="42"/>
  <c r="O309" i="42"/>
  <c r="BH309" i="42"/>
  <c r="I310" i="42"/>
  <c r="BR310" i="42" s="1"/>
  <c r="BL311" i="42"/>
  <c r="AD312" i="42"/>
  <c r="AG312" i="42" s="1"/>
  <c r="BN312" i="42"/>
  <c r="Q313" i="42"/>
  <c r="BH313" i="42"/>
  <c r="AT315" i="42"/>
  <c r="J317" i="42"/>
  <c r="AT317" i="42"/>
  <c r="BO317" i="42"/>
  <c r="BE319" i="42"/>
  <c r="AZ282" i="42"/>
  <c r="BF109" i="42"/>
  <c r="Q117" i="42"/>
  <c r="O137" i="42"/>
  <c r="BI173" i="42"/>
  <c r="BF224" i="42"/>
  <c r="Q226" i="42"/>
  <c r="Q227" i="42"/>
  <c r="O276" i="42"/>
  <c r="BI279" i="42"/>
  <c r="BM282" i="42"/>
  <c r="AU288" i="42"/>
  <c r="BO291" i="42"/>
  <c r="BO298" i="42"/>
  <c r="BM306" i="42"/>
  <c r="BG307" i="42"/>
  <c r="Q309" i="42"/>
  <c r="BJ309" i="42"/>
  <c r="AD313" i="42"/>
  <c r="AG313" i="42" s="1"/>
  <c r="J315" i="42"/>
  <c r="BP317" i="42"/>
  <c r="J319" i="42"/>
  <c r="BH319" i="42"/>
  <c r="AZ288" i="42"/>
  <c r="BN306" i="42"/>
  <c r="O307" i="42"/>
  <c r="BH307" i="42"/>
  <c r="AD309" i="42"/>
  <c r="AG309" i="42" s="1"/>
  <c r="BK309" i="42"/>
  <c r="AU312" i="42"/>
  <c r="BI319" i="42"/>
  <c r="AD282" i="42"/>
  <c r="AG282" i="42" s="1"/>
  <c r="Q306" i="42"/>
  <c r="BO306" i="42"/>
  <c r="AD307" i="42"/>
  <c r="AG307" i="42" s="1"/>
  <c r="BI307" i="42"/>
  <c r="L309" i="42"/>
  <c r="BJ319" i="42"/>
  <c r="BF226" i="42"/>
  <c r="J109" i="42"/>
  <c r="I226" i="42"/>
  <c r="BR226" i="42" s="1"/>
  <c r="BI288" i="42"/>
  <c r="BP306" i="42"/>
  <c r="BK307" i="42"/>
  <c r="J309" i="42"/>
  <c r="CB309" i="42" s="1"/>
  <c r="CC309" i="42" s="1"/>
  <c r="BH312" i="42"/>
  <c r="O319" i="42"/>
  <c r="BK319" i="42"/>
  <c r="AU306" i="42"/>
  <c r="AT307" i="42"/>
  <c r="BL307" i="42"/>
  <c r="BL319" i="42"/>
  <c r="I282" i="42"/>
  <c r="BR282" i="42" s="1"/>
  <c r="I306" i="42"/>
  <c r="BR306" i="42" s="1"/>
  <c r="J307" i="42"/>
  <c r="AU307" i="42"/>
  <c r="AD317" i="42"/>
  <c r="AG317" i="42" s="1"/>
  <c r="AU319" i="42"/>
  <c r="BO109" i="42"/>
  <c r="BN125" i="42"/>
  <c r="AD64" i="42"/>
  <c r="AG64" i="42" s="1"/>
  <c r="BP109" i="42"/>
  <c r="J125" i="42"/>
  <c r="BK173" i="42"/>
  <c r="BL68" i="42"/>
  <c r="Q109" i="42"/>
  <c r="BI117" i="42"/>
  <c r="BP137" i="42"/>
  <c r="BG100" i="42"/>
  <c r="AD161" i="42"/>
  <c r="AG161" i="42" s="1"/>
  <c r="J173" i="42"/>
  <c r="J227" i="42"/>
  <c r="AZ109" i="42"/>
  <c r="Q185" i="42"/>
  <c r="BI220" i="42"/>
  <c r="BM109" i="42"/>
  <c r="BL220" i="42"/>
  <c r="BI164" i="42"/>
  <c r="BO220" i="42"/>
  <c r="BJ227" i="42"/>
  <c r="I173" i="42"/>
  <c r="BR173" i="42" s="1"/>
  <c r="BL10" i="42"/>
  <c r="BT10" i="42"/>
  <c r="BX10" i="42"/>
  <c r="BN11" i="42"/>
  <c r="BX11" i="42"/>
  <c r="BT11" i="42"/>
  <c r="BI12" i="42"/>
  <c r="BT12" i="42"/>
  <c r="BX12" i="42"/>
  <c r="O13" i="42"/>
  <c r="BX13" i="42"/>
  <c r="BY13" i="42" s="1"/>
  <c r="BT13" i="42"/>
  <c r="Q14" i="42"/>
  <c r="BT14" i="42"/>
  <c r="BX14" i="42"/>
  <c r="BJ15" i="42"/>
  <c r="BX15" i="42"/>
  <c r="BT15" i="42"/>
  <c r="BX16" i="42"/>
  <c r="BT16" i="42"/>
  <c r="BG17" i="42"/>
  <c r="BT17" i="42"/>
  <c r="BX17" i="42"/>
  <c r="BH18" i="42"/>
  <c r="BT18" i="42"/>
  <c r="BX18" i="42"/>
  <c r="BT19" i="42"/>
  <c r="BX19" i="42"/>
  <c r="BY19" i="42" s="1"/>
  <c r="CA19" i="42" s="1"/>
  <c r="BK20" i="42"/>
  <c r="BT20" i="42"/>
  <c r="BX20" i="42"/>
  <c r="O21" i="42"/>
  <c r="BX21" i="42"/>
  <c r="BT21" i="42"/>
  <c r="I22" i="42"/>
  <c r="BR22" i="42" s="1"/>
  <c r="BX22" i="42"/>
  <c r="BT22" i="42"/>
  <c r="BT23" i="42"/>
  <c r="BX23" i="42"/>
  <c r="BT24" i="42"/>
  <c r="BX24" i="42"/>
  <c r="BO25" i="42"/>
  <c r="BX25" i="42"/>
  <c r="BY25" i="42" s="1"/>
  <c r="BT25" i="42"/>
  <c r="BL26" i="42"/>
  <c r="BX26" i="42"/>
  <c r="BT26" i="42"/>
  <c r="BI27" i="42"/>
  <c r="BT27" i="42"/>
  <c r="BX27" i="42"/>
  <c r="AD28" i="42"/>
  <c r="AG28" i="42" s="1"/>
  <c r="BT28" i="42"/>
  <c r="BX28" i="42"/>
  <c r="BF29" i="42"/>
  <c r="BT29" i="42"/>
  <c r="BX29" i="42"/>
  <c r="BN30" i="42"/>
  <c r="BX30" i="42"/>
  <c r="BY30" i="42" s="1"/>
  <c r="BT30" i="42"/>
  <c r="O31" i="42"/>
  <c r="BT31" i="42"/>
  <c r="BX31" i="42"/>
  <c r="BY31" i="42" s="1"/>
  <c r="CA31" i="42" s="1"/>
  <c r="BK32" i="42"/>
  <c r="BT32" i="42"/>
  <c r="BX32" i="42"/>
  <c r="BY32" i="42" s="1"/>
  <c r="BX33" i="42"/>
  <c r="BT33" i="42"/>
  <c r="AZ34" i="42"/>
  <c r="BX34" i="42"/>
  <c r="BT34" i="42"/>
  <c r="AU35" i="42"/>
  <c r="BT35" i="42"/>
  <c r="BX35" i="42"/>
  <c r="AU36" i="42"/>
  <c r="BT36" i="42"/>
  <c r="BX36" i="42"/>
  <c r="BY36" i="42" s="1"/>
  <c r="CA36" i="42" s="1"/>
  <c r="BT37" i="42"/>
  <c r="BX37" i="42"/>
  <c r="BJ38" i="42"/>
  <c r="BX38" i="42"/>
  <c r="BT38" i="42"/>
  <c r="J39" i="42"/>
  <c r="BX39" i="42"/>
  <c r="BT39" i="42"/>
  <c r="BE40" i="42"/>
  <c r="BT40" i="42"/>
  <c r="BX40" i="42"/>
  <c r="O41" i="42"/>
  <c r="BT41" i="42"/>
  <c r="BX41" i="42"/>
  <c r="BJ42" i="42"/>
  <c r="BT42" i="42"/>
  <c r="BX42" i="42"/>
  <c r="BT43" i="42"/>
  <c r="BX43" i="42"/>
  <c r="BY43" i="42" s="1"/>
  <c r="CA43" i="42" s="1"/>
  <c r="BP44" i="42"/>
  <c r="BT44" i="42"/>
  <c r="BX44" i="42"/>
  <c r="BP45" i="42"/>
  <c r="BT45" i="42"/>
  <c r="BX45" i="42"/>
  <c r="BY45" i="42" s="1"/>
  <c r="CA45" i="42" s="1"/>
  <c r="BT46" i="42"/>
  <c r="BX46" i="42"/>
  <c r="BX47" i="42"/>
  <c r="BT47" i="42"/>
  <c r="AU48" i="42"/>
  <c r="BX48" i="42"/>
  <c r="BT48" i="42"/>
  <c r="BJ49" i="42"/>
  <c r="BT49" i="42"/>
  <c r="BX49" i="42"/>
  <c r="BN50" i="42"/>
  <c r="BX50" i="42"/>
  <c r="BT50" i="42"/>
  <c r="BX51" i="42"/>
  <c r="BY51" i="42" s="1"/>
  <c r="BT51" i="42"/>
  <c r="AZ52" i="42"/>
  <c r="BT52" i="42"/>
  <c r="BX52" i="42"/>
  <c r="AT53" i="42"/>
  <c r="BX53" i="42"/>
  <c r="BT53" i="42"/>
  <c r="I54" i="42"/>
  <c r="BR54" i="42" s="1"/>
  <c r="BX54" i="42"/>
  <c r="BT54" i="42"/>
  <c r="BG55" i="42"/>
  <c r="BX55" i="42"/>
  <c r="BT55" i="42"/>
  <c r="BX56" i="42"/>
  <c r="BY56" i="42" s="1"/>
  <c r="CA56" i="42" s="1"/>
  <c r="BT56" i="42"/>
  <c r="BN57" i="42"/>
  <c r="BT57" i="42"/>
  <c r="BX57" i="42"/>
  <c r="BY57" i="42" s="1"/>
  <c r="CA57" i="42" s="1"/>
  <c r="AZ58" i="42"/>
  <c r="BX58" i="42"/>
  <c r="BT58" i="42"/>
  <c r="J59" i="42"/>
  <c r="BX59" i="42"/>
  <c r="BY59" i="42" s="1"/>
  <c r="CA59" i="42" s="1"/>
  <c r="BT59" i="42"/>
  <c r="BP60" i="42"/>
  <c r="BT60" i="42"/>
  <c r="BX60" i="42"/>
  <c r="BT61" i="42"/>
  <c r="BX61" i="42"/>
  <c r="BY61" i="42" s="1"/>
  <c r="CA61" i="42" s="1"/>
  <c r="BT62" i="42"/>
  <c r="BX62" i="42"/>
  <c r="BO63" i="42"/>
  <c r="BX63" i="42"/>
  <c r="BY63" i="42" s="1"/>
  <c r="CA63" i="42" s="1"/>
  <c r="BT63" i="42"/>
  <c r="BJ64" i="42"/>
  <c r="BX64" i="42"/>
  <c r="BY64" i="42" s="1"/>
  <c r="CA64" i="42" s="1"/>
  <c r="BT64" i="42"/>
  <c r="BP65" i="42"/>
  <c r="BT65" i="42"/>
  <c r="BX65" i="42"/>
  <c r="BY65" i="42" s="1"/>
  <c r="CA65" i="42" s="1"/>
  <c r="BF66" i="42"/>
  <c r="BX66" i="42"/>
  <c r="BT66" i="42"/>
  <c r="BK67" i="42"/>
  <c r="BT67" i="42"/>
  <c r="BX67" i="42"/>
  <c r="BT68" i="42"/>
  <c r="BX68" i="42"/>
  <c r="AZ69" i="42"/>
  <c r="BX69" i="42"/>
  <c r="BT69" i="42"/>
  <c r="AU70" i="42"/>
  <c r="BT70" i="42"/>
  <c r="BX70" i="42"/>
  <c r="BY70" i="42" s="1"/>
  <c r="CA70" i="42" s="1"/>
  <c r="BM71" i="42"/>
  <c r="BX71" i="42"/>
  <c r="BY71" i="42" s="1"/>
  <c r="CA71" i="42" s="1"/>
  <c r="BT71" i="42"/>
  <c r="BN72" i="42"/>
  <c r="BX72" i="42"/>
  <c r="BY72" i="42" s="1"/>
  <c r="CA72" i="42" s="1"/>
  <c r="BT72" i="42"/>
  <c r="BT73" i="42"/>
  <c r="BX73" i="42"/>
  <c r="BP74" i="42"/>
  <c r="BT74" i="42"/>
  <c r="BX74" i="42"/>
  <c r="AD75" i="42"/>
  <c r="AG75" i="42" s="1"/>
  <c r="BT75" i="42"/>
  <c r="BX75" i="42"/>
  <c r="I76" i="42"/>
  <c r="BR76" i="42" s="1"/>
  <c r="BT76" i="42"/>
  <c r="BX76" i="42"/>
  <c r="BP77" i="42"/>
  <c r="BT77" i="42"/>
  <c r="BX77" i="42"/>
  <c r="BH78" i="42"/>
  <c r="BT78" i="42"/>
  <c r="BX78" i="42"/>
  <c r="BF79" i="42"/>
  <c r="BT79" i="42"/>
  <c r="BX79" i="42"/>
  <c r="BY79" i="42" s="1"/>
  <c r="CA79" i="42" s="1"/>
  <c r="J80" i="42"/>
  <c r="BX80" i="42"/>
  <c r="BY80" i="42" s="1"/>
  <c r="BT80" i="42"/>
  <c r="BE81" i="42"/>
  <c r="BT81" i="42"/>
  <c r="BX81" i="42"/>
  <c r="BO82" i="42"/>
  <c r="BT82" i="42"/>
  <c r="BX82" i="42"/>
  <c r="BX83" i="42"/>
  <c r="BT83" i="42"/>
  <c r="AT84" i="42"/>
  <c r="BT84" i="42"/>
  <c r="BX84" i="42"/>
  <c r="AZ85" i="42"/>
  <c r="BX85" i="42"/>
  <c r="BT85" i="42"/>
  <c r="BK86" i="42"/>
  <c r="BX86" i="42"/>
  <c r="BY86" i="42" s="1"/>
  <c r="CA86" i="42" s="1"/>
  <c r="BT86" i="42"/>
  <c r="BN87" i="42"/>
  <c r="BT87" i="42"/>
  <c r="BX87" i="42"/>
  <c r="BH88" i="42"/>
  <c r="BX88" i="42"/>
  <c r="BT88" i="42"/>
  <c r="BX89" i="42"/>
  <c r="BT89" i="42"/>
  <c r="BH90" i="42"/>
  <c r="BT90" i="42"/>
  <c r="BX90" i="42"/>
  <c r="BF91" i="42"/>
  <c r="BT91" i="42"/>
  <c r="BX91" i="42"/>
  <c r="Q92" i="42"/>
  <c r="BT92" i="42"/>
  <c r="BX92" i="42"/>
  <c r="BK93" i="42"/>
  <c r="BT93" i="42"/>
  <c r="BX93" i="42"/>
  <c r="BL94" i="42"/>
  <c r="BX94" i="42"/>
  <c r="BT94" i="42"/>
  <c r="BN95" i="42"/>
  <c r="BT95" i="42"/>
  <c r="BX95" i="42"/>
  <c r="BY95" i="42" s="1"/>
  <c r="CA95" i="42" s="1"/>
  <c r="BO96" i="42"/>
  <c r="BX96" i="42"/>
  <c r="BY96" i="42" s="1"/>
  <c r="CA96" i="42" s="1"/>
  <c r="BT96" i="42"/>
  <c r="BE97" i="42"/>
  <c r="BX97" i="42"/>
  <c r="BT97" i="42"/>
  <c r="BG98" i="42"/>
  <c r="BT98" i="42"/>
  <c r="BX98" i="42"/>
  <c r="AD99" i="42"/>
  <c r="AG99" i="42" s="1"/>
  <c r="BT99" i="42"/>
  <c r="BX99" i="42"/>
  <c r="BY99" i="42" s="1"/>
  <c r="CA99" i="42" s="1"/>
  <c r="BH100" i="42"/>
  <c r="BT100" i="42"/>
  <c r="BX100" i="42"/>
  <c r="BY100" i="42" s="1"/>
  <c r="CA100" i="42" s="1"/>
  <c r="BM101" i="42"/>
  <c r="BT101" i="42"/>
  <c r="BX101" i="42"/>
  <c r="BX102" i="42"/>
  <c r="BT102" i="42"/>
  <c r="AT103" i="42"/>
  <c r="BX103" i="42"/>
  <c r="BT103" i="42"/>
  <c r="AU104" i="42"/>
  <c r="BX104" i="42"/>
  <c r="BT104" i="42"/>
  <c r="BM105" i="42"/>
  <c r="BT105" i="42"/>
  <c r="BX105" i="42"/>
  <c r="AT106" i="42"/>
  <c r="BT106" i="42"/>
  <c r="BX106" i="42"/>
  <c r="BY106" i="42" s="1"/>
  <c r="CA106" i="42" s="1"/>
  <c r="BN107" i="42"/>
  <c r="BT107" i="42"/>
  <c r="BX107" i="42"/>
  <c r="BO108" i="42"/>
  <c r="BT108" i="42"/>
  <c r="BX108" i="42"/>
  <c r="BT109" i="42"/>
  <c r="BX109" i="42"/>
  <c r="BL110" i="42"/>
  <c r="BT110" i="42"/>
  <c r="BX110" i="42"/>
  <c r="AT111" i="42"/>
  <c r="BX111" i="42"/>
  <c r="BY111" i="42" s="1"/>
  <c r="CA111" i="42" s="1"/>
  <c r="BT111" i="42"/>
  <c r="BN112" i="42"/>
  <c r="BT112" i="42"/>
  <c r="BX112" i="42"/>
  <c r="BY112" i="42" s="1"/>
  <c r="CA112" i="42" s="1"/>
  <c r="BT113" i="42"/>
  <c r="BX113" i="42"/>
  <c r="BY113" i="42" s="1"/>
  <c r="CA113" i="42" s="1"/>
  <c r="BP114" i="42"/>
  <c r="BX114" i="42"/>
  <c r="BY114" i="42" s="1"/>
  <c r="CA114" i="42" s="1"/>
  <c r="BT114" i="42"/>
  <c r="BN115" i="42"/>
  <c r="BX115" i="42"/>
  <c r="BT115" i="42"/>
  <c r="BM116" i="42"/>
  <c r="BT116" i="42"/>
  <c r="BX116" i="42"/>
  <c r="BP117" i="42"/>
  <c r="BT117" i="42"/>
  <c r="BX117" i="42"/>
  <c r="BP118" i="42"/>
  <c r="BX118" i="42"/>
  <c r="BT118" i="42"/>
  <c r="BO119" i="42"/>
  <c r="BX119" i="42"/>
  <c r="BT119" i="42"/>
  <c r="BE120" i="42"/>
  <c r="BX120" i="42"/>
  <c r="BT120" i="42"/>
  <c r="BK121" i="42"/>
  <c r="BT121" i="42"/>
  <c r="BX121" i="42"/>
  <c r="BY121" i="42" s="1"/>
  <c r="CA121" i="42" s="1"/>
  <c r="O122" i="42"/>
  <c r="BX122" i="42"/>
  <c r="BT122" i="42"/>
  <c r="BF123" i="42"/>
  <c r="BT123" i="42"/>
  <c r="BX123" i="42"/>
  <c r="BY123" i="42" s="1"/>
  <c r="CA123" i="42" s="1"/>
  <c r="BP124" i="42"/>
  <c r="BT124" i="42"/>
  <c r="BX124" i="42"/>
  <c r="BG125" i="42"/>
  <c r="BT125" i="42"/>
  <c r="BX125" i="42"/>
  <c r="BM126" i="42"/>
  <c r="BT126" i="42"/>
  <c r="BX126" i="42"/>
  <c r="BX127" i="42"/>
  <c r="BY127" i="42" s="1"/>
  <c r="CA127" i="42" s="1"/>
  <c r="BT127" i="42"/>
  <c r="BI128" i="42"/>
  <c r="BX128" i="42"/>
  <c r="BT128" i="42"/>
  <c r="BG129" i="42"/>
  <c r="BT129" i="42"/>
  <c r="BX129" i="42"/>
  <c r="BY129" i="42" s="1"/>
  <c r="CA129" i="42" s="1"/>
  <c r="Q130" i="42"/>
  <c r="BT130" i="42"/>
  <c r="BX130" i="42"/>
  <c r="AU131" i="42"/>
  <c r="BX131" i="42"/>
  <c r="BY131" i="42" s="1"/>
  <c r="BT131" i="42"/>
  <c r="BE132" i="42"/>
  <c r="BT132" i="42"/>
  <c r="BX132" i="42"/>
  <c r="BT133" i="42"/>
  <c r="BX133" i="42"/>
  <c r="BY133" i="42" s="1"/>
  <c r="CA133" i="42" s="1"/>
  <c r="AU134" i="42"/>
  <c r="BT134" i="42"/>
  <c r="BX134" i="42"/>
  <c r="BE135" i="42"/>
  <c r="BX135" i="42"/>
  <c r="BT135" i="42"/>
  <c r="BX136" i="42"/>
  <c r="BT136" i="42"/>
  <c r="BF137" i="42"/>
  <c r="BT137" i="42"/>
  <c r="BX137" i="42"/>
  <c r="BE138" i="42"/>
  <c r="BX138" i="42"/>
  <c r="BT138" i="42"/>
  <c r="J139" i="42"/>
  <c r="BT139" i="42"/>
  <c r="BX139" i="42"/>
  <c r="BT140" i="42"/>
  <c r="BX140" i="42"/>
  <c r="BE141" i="42"/>
  <c r="BX141" i="42"/>
  <c r="BY141" i="42" s="1"/>
  <c r="CA141" i="42" s="1"/>
  <c r="BT141" i="42"/>
  <c r="BT142" i="42"/>
  <c r="BX142" i="42"/>
  <c r="BY142" i="42" s="1"/>
  <c r="CA142" i="42" s="1"/>
  <c r="AZ143" i="42"/>
  <c r="BT143" i="42"/>
  <c r="BX143" i="42"/>
  <c r="BO144" i="42"/>
  <c r="BT144" i="42"/>
  <c r="BX144" i="42"/>
  <c r="BP145" i="42"/>
  <c r="BT145" i="42"/>
  <c r="BX145" i="42"/>
  <c r="BE146" i="42"/>
  <c r="BT146" i="42"/>
  <c r="BX146" i="42"/>
  <c r="BF147" i="42"/>
  <c r="BX147" i="42"/>
  <c r="BT147" i="42"/>
  <c r="BH148" i="42"/>
  <c r="BT148" i="42"/>
  <c r="BX148" i="42"/>
  <c r="AD149" i="42"/>
  <c r="AG149" i="42" s="1"/>
  <c r="BX149" i="42"/>
  <c r="BT149" i="42"/>
  <c r="Q150" i="42"/>
  <c r="BX150" i="42"/>
  <c r="BT150" i="42"/>
  <c r="BT151" i="42"/>
  <c r="BX151" i="42"/>
  <c r="BY151" i="42" s="1"/>
  <c r="CA151" i="42" s="1"/>
  <c r="BX152" i="42"/>
  <c r="BY152" i="42" s="1"/>
  <c r="CA152" i="42" s="1"/>
  <c r="BT152" i="42"/>
  <c r="AT153" i="42"/>
  <c r="BX153" i="42"/>
  <c r="BY153" i="42" s="1"/>
  <c r="CA153" i="42" s="1"/>
  <c r="BT153" i="42"/>
  <c r="BJ154" i="42"/>
  <c r="BX154" i="42"/>
  <c r="BT154" i="42"/>
  <c r="BT155" i="42"/>
  <c r="BX155" i="42"/>
  <c r="BE156" i="42"/>
  <c r="BT156" i="42"/>
  <c r="BX156" i="42"/>
  <c r="AZ157" i="42"/>
  <c r="BT157" i="42"/>
  <c r="BX157" i="42"/>
  <c r="BH158" i="42"/>
  <c r="BX158" i="42"/>
  <c r="BT158" i="42"/>
  <c r="AD159" i="42"/>
  <c r="AG159" i="42" s="1"/>
  <c r="BT159" i="42"/>
  <c r="BX159" i="42"/>
  <c r="BY159" i="42" s="1"/>
  <c r="CA159" i="42" s="1"/>
  <c r="O160" i="42"/>
  <c r="BT160" i="42"/>
  <c r="BX160" i="42"/>
  <c r="BH161" i="42"/>
  <c r="BX161" i="42"/>
  <c r="BT161" i="42"/>
  <c r="BM162" i="42"/>
  <c r="BT162" i="42"/>
  <c r="BX162" i="42"/>
  <c r="BY162" i="42" s="1"/>
  <c r="CA162" i="42" s="1"/>
  <c r="AZ163" i="42"/>
  <c r="BT163" i="42"/>
  <c r="BX163" i="42"/>
  <c r="BY163" i="42" s="1"/>
  <c r="BT164" i="42"/>
  <c r="BX164" i="42"/>
  <c r="AZ165" i="42"/>
  <c r="BT165" i="42"/>
  <c r="BX165" i="42"/>
  <c r="BY165" i="42" s="1"/>
  <c r="BX166" i="42"/>
  <c r="BT166" i="42"/>
  <c r="BE167" i="42"/>
  <c r="BX167" i="42"/>
  <c r="BT167" i="42"/>
  <c r="BL168" i="42"/>
  <c r="BT168" i="42"/>
  <c r="BX168" i="42"/>
  <c r="BY168" i="42" s="1"/>
  <c r="CA168" i="42" s="1"/>
  <c r="O169" i="42"/>
  <c r="BT169" i="42"/>
  <c r="BX169" i="42"/>
  <c r="AZ170" i="42"/>
  <c r="BT170" i="42"/>
  <c r="BX170" i="42"/>
  <c r="BJ171" i="42"/>
  <c r="BT171" i="42"/>
  <c r="BX171" i="42"/>
  <c r="BM172" i="42"/>
  <c r="BT172" i="42"/>
  <c r="BX172" i="42"/>
  <c r="BY172" i="42" s="1"/>
  <c r="BN173" i="42"/>
  <c r="BT173" i="42"/>
  <c r="BX173" i="42"/>
  <c r="BY173" i="42" s="1"/>
  <c r="BT174" i="42"/>
  <c r="BX174" i="42"/>
  <c r="BJ175" i="42"/>
  <c r="BX175" i="42"/>
  <c r="BT175" i="42"/>
  <c r="BG176" i="42"/>
  <c r="BT176" i="42"/>
  <c r="BX176" i="42"/>
  <c r="BY176" i="42" s="1"/>
  <c r="BO177" i="42"/>
  <c r="BT177" i="42"/>
  <c r="BX177" i="42"/>
  <c r="BE178" i="42"/>
  <c r="BX178" i="42"/>
  <c r="BT178" i="42"/>
  <c r="BX179" i="42"/>
  <c r="BT179" i="42"/>
  <c r="BH180" i="42"/>
  <c r="BT180" i="42"/>
  <c r="BX180" i="42"/>
  <c r="BT181" i="42"/>
  <c r="BX181" i="42"/>
  <c r="BY181" i="42" s="1"/>
  <c r="CA181" i="42" s="1"/>
  <c r="BX182" i="42"/>
  <c r="BT182" i="42"/>
  <c r="AZ183" i="42"/>
  <c r="BX183" i="42"/>
  <c r="BT183" i="42"/>
  <c r="AZ184" i="42"/>
  <c r="BX184" i="42"/>
  <c r="BT184" i="42"/>
  <c r="O185" i="42"/>
  <c r="BT185" i="42"/>
  <c r="BX185" i="42"/>
  <c r="BY185" i="42" s="1"/>
  <c r="BI186" i="42"/>
  <c r="BX186" i="42"/>
  <c r="BT186" i="42"/>
  <c r="BX187" i="42"/>
  <c r="BY187" i="42" s="1"/>
  <c r="CA187" i="42" s="1"/>
  <c r="BT187" i="42"/>
  <c r="BM188" i="42"/>
  <c r="BX188" i="42"/>
  <c r="BT188" i="42"/>
  <c r="BG189" i="42"/>
  <c r="BT189" i="42"/>
  <c r="BX189" i="42"/>
  <c r="BY189" i="42" s="1"/>
  <c r="AZ190" i="42"/>
  <c r="BT190" i="42"/>
  <c r="BX190" i="42"/>
  <c r="BY190" i="42" s="1"/>
  <c r="CA190" i="42" s="1"/>
  <c r="BX191" i="42"/>
  <c r="BT191" i="42"/>
  <c r="BE192" i="42"/>
  <c r="BX192" i="42"/>
  <c r="BY192" i="42" s="1"/>
  <c r="CA192" i="42" s="1"/>
  <c r="BT192" i="42"/>
  <c r="BH193" i="42"/>
  <c r="BT193" i="42"/>
  <c r="BX193" i="42"/>
  <c r="BF194" i="42"/>
  <c r="BT194" i="42"/>
  <c r="BX194" i="42"/>
  <c r="AU195" i="42"/>
  <c r="BX195" i="42"/>
  <c r="BY195" i="42" s="1"/>
  <c r="CA195" i="42" s="1"/>
  <c r="BT195" i="42"/>
  <c r="BN196" i="42"/>
  <c r="BX196" i="42"/>
  <c r="BT196" i="42"/>
  <c r="BO197" i="42"/>
  <c r="BX197" i="42"/>
  <c r="BY197" i="42" s="1"/>
  <c r="CA197" i="42" s="1"/>
  <c r="BT197" i="42"/>
  <c r="AU198" i="42"/>
  <c r="BT198" i="42"/>
  <c r="BX198" i="42"/>
  <c r="BX199" i="42"/>
  <c r="BT199" i="42"/>
  <c r="BM200" i="42"/>
  <c r="BT200" i="42"/>
  <c r="BX200" i="42"/>
  <c r="BK201" i="42"/>
  <c r="BT201" i="42"/>
  <c r="BX201" i="42"/>
  <c r="BN202" i="42"/>
  <c r="BT202" i="42"/>
  <c r="BX202" i="42"/>
  <c r="BY202" i="42" s="1"/>
  <c r="BF203" i="42"/>
  <c r="BX203" i="42"/>
  <c r="BT203" i="42"/>
  <c r="BO204" i="42"/>
  <c r="BT204" i="42"/>
  <c r="BX204" i="42"/>
  <c r="BN205" i="42"/>
  <c r="BX205" i="42"/>
  <c r="BT205" i="42"/>
  <c r="BH206" i="42"/>
  <c r="BT206" i="42"/>
  <c r="BX206" i="42"/>
  <c r="BY206" i="42" s="1"/>
  <c r="CA206" i="42" s="1"/>
  <c r="BE207" i="42"/>
  <c r="BT207" i="42"/>
  <c r="BX207" i="42"/>
  <c r="Q208" i="42"/>
  <c r="BX208" i="42"/>
  <c r="BT208" i="42"/>
  <c r="AZ209" i="42"/>
  <c r="BT209" i="42"/>
  <c r="BX209" i="42"/>
  <c r="BK210" i="42"/>
  <c r="BX210" i="42"/>
  <c r="BT210" i="42"/>
  <c r="BX211" i="42"/>
  <c r="BT211" i="42"/>
  <c r="BT212" i="42"/>
  <c r="BX212" i="42"/>
  <c r="J213" i="42"/>
  <c r="BX213" i="42"/>
  <c r="BT213" i="42"/>
  <c r="BX214" i="42"/>
  <c r="BT214" i="42"/>
  <c r="BI215" i="42"/>
  <c r="BT215" i="42"/>
  <c r="BX215" i="42"/>
  <c r="BY215" i="42" s="1"/>
  <c r="CA215" i="42" s="1"/>
  <c r="BT216" i="42"/>
  <c r="BX216" i="42"/>
  <c r="BY216" i="42" s="1"/>
  <c r="CA216" i="42" s="1"/>
  <c r="AD217" i="42"/>
  <c r="AG217" i="42" s="1"/>
  <c r="BX217" i="42"/>
  <c r="BY217" i="42" s="1"/>
  <c r="CA217" i="42" s="1"/>
  <c r="BT217" i="42"/>
  <c r="BX218" i="42"/>
  <c r="BY218" i="42" s="1"/>
  <c r="CA218" i="42" s="1"/>
  <c r="BT218" i="42"/>
  <c r="BF219" i="42"/>
  <c r="BT219" i="42"/>
  <c r="BX219" i="42"/>
  <c r="BY219" i="42" s="1"/>
  <c r="CA219" i="42" s="1"/>
  <c r="BK220" i="42"/>
  <c r="BT220" i="42"/>
  <c r="BX220" i="42"/>
  <c r="BN221" i="42"/>
  <c r="BT221" i="42"/>
  <c r="BX221" i="42"/>
  <c r="BF222" i="42"/>
  <c r="BX222" i="42"/>
  <c r="BY222" i="42" s="1"/>
  <c r="CA222" i="42" s="1"/>
  <c r="BT222" i="42"/>
  <c r="BT223" i="42"/>
  <c r="BX223" i="42"/>
  <c r="BY223" i="42" s="1"/>
  <c r="CA223" i="42" s="1"/>
  <c r="BG224" i="42"/>
  <c r="BT224" i="42"/>
  <c r="BX224" i="42"/>
  <c r="BX225" i="42"/>
  <c r="BT225" i="42"/>
  <c r="BX226" i="42"/>
  <c r="BY226" i="42" s="1"/>
  <c r="CA226" i="42" s="1"/>
  <c r="BT226" i="42"/>
  <c r="BF227" i="42"/>
  <c r="BX227" i="42"/>
  <c r="BT227" i="42"/>
  <c r="BO228" i="42"/>
  <c r="BT228" i="42"/>
  <c r="BX228" i="42"/>
  <c r="BY228" i="42" s="1"/>
  <c r="CA228" i="42" s="1"/>
  <c r="BN229" i="42"/>
  <c r="BT229" i="42"/>
  <c r="BX229" i="42"/>
  <c r="BY229" i="42" s="1"/>
  <c r="BE230" i="42"/>
  <c r="BX230" i="42"/>
  <c r="BT230" i="42"/>
  <c r="BX231" i="42"/>
  <c r="BT231" i="42"/>
  <c r="BI232" i="42"/>
  <c r="BT232" i="42"/>
  <c r="BX232" i="42"/>
  <c r="BT233" i="42"/>
  <c r="BX233" i="42"/>
  <c r="BY233" i="42" s="1"/>
  <c r="BN234" i="42"/>
  <c r="BX234" i="42"/>
  <c r="BY234" i="42" s="1"/>
  <c r="CA234" i="42" s="1"/>
  <c r="BT234" i="42"/>
  <c r="BH235" i="42"/>
  <c r="BT235" i="42"/>
  <c r="BX235" i="42"/>
  <c r="AZ236" i="42"/>
  <c r="BT236" i="42"/>
  <c r="BX236" i="42"/>
  <c r="AZ237" i="42"/>
  <c r="BT237" i="42"/>
  <c r="BX237" i="42"/>
  <c r="BY237" i="42" s="1"/>
  <c r="CA237" i="42" s="1"/>
  <c r="BT238" i="42"/>
  <c r="BX238" i="42"/>
  <c r="BF239" i="42"/>
  <c r="BX239" i="42"/>
  <c r="BT239" i="42"/>
  <c r="BO240" i="42"/>
  <c r="BT240" i="42"/>
  <c r="BX240" i="42"/>
  <c r="BY240" i="42" s="1"/>
  <c r="CA240" i="42" s="1"/>
  <c r="BM241" i="42"/>
  <c r="BT241" i="42"/>
  <c r="BX241" i="42"/>
  <c r="BK242" i="42"/>
  <c r="BT242" i="42"/>
  <c r="BX242" i="42"/>
  <c r="BL243" i="42"/>
  <c r="BX243" i="42"/>
  <c r="BY243" i="42" s="1"/>
  <c r="CA243" i="42" s="1"/>
  <c r="BT243" i="42"/>
  <c r="BX244" i="42"/>
  <c r="BT244" i="42"/>
  <c r="BX245" i="42"/>
  <c r="BT245" i="42"/>
  <c r="BI246" i="42"/>
  <c r="BX246" i="42"/>
  <c r="BY246" i="42" s="1"/>
  <c r="CA246" i="42" s="1"/>
  <c r="BT246" i="42"/>
  <c r="BM247" i="42"/>
  <c r="BX247" i="42"/>
  <c r="BT247" i="42"/>
  <c r="BL248" i="42"/>
  <c r="BX248" i="42"/>
  <c r="BT248" i="42"/>
  <c r="AU249" i="42"/>
  <c r="BT249" i="42"/>
  <c r="BX249" i="42"/>
  <c r="BY249" i="42" s="1"/>
  <c r="CA249" i="42" s="1"/>
  <c r="BE250" i="42"/>
  <c r="BX250" i="42"/>
  <c r="BY250" i="42" s="1"/>
  <c r="CA250" i="42" s="1"/>
  <c r="BT250" i="42"/>
  <c r="AZ251" i="42"/>
  <c r="BX251" i="42"/>
  <c r="BY251" i="42" s="1"/>
  <c r="CA251" i="42" s="1"/>
  <c r="BT251" i="42"/>
  <c r="BN252" i="42"/>
  <c r="BX252" i="42"/>
  <c r="BT252" i="42"/>
  <c r="BI253" i="42"/>
  <c r="BX253" i="42"/>
  <c r="BT253" i="42"/>
  <c r="BM254" i="42"/>
  <c r="BT254" i="42"/>
  <c r="BX254" i="42"/>
  <c r="BP255" i="42"/>
  <c r="BX255" i="42"/>
  <c r="BY255" i="42" s="1"/>
  <c r="CA255" i="42" s="1"/>
  <c r="BT255" i="42"/>
  <c r="BJ256" i="42"/>
  <c r="BX256" i="42"/>
  <c r="BT256" i="42"/>
  <c r="AZ257" i="42"/>
  <c r="BT257" i="42"/>
  <c r="BX257" i="42"/>
  <c r="BX258" i="42"/>
  <c r="BT258" i="42"/>
  <c r="BE259" i="42"/>
  <c r="BT259" i="42"/>
  <c r="BX259" i="42"/>
  <c r="BY259" i="42" s="1"/>
  <c r="CA259" i="42" s="1"/>
  <c r="BX260" i="42"/>
  <c r="BT260" i="42"/>
  <c r="BH261" i="42"/>
  <c r="BT261" i="42"/>
  <c r="BX261" i="42"/>
  <c r="BG262" i="42"/>
  <c r="BT262" i="42"/>
  <c r="BX262" i="42"/>
  <c r="BY262" i="42" s="1"/>
  <c r="CA262" i="42" s="1"/>
  <c r="BX263" i="42"/>
  <c r="BT263" i="42"/>
  <c r="AD264" i="42"/>
  <c r="AG264" i="42" s="1"/>
  <c r="BX264" i="42"/>
  <c r="BT264" i="42"/>
  <c r="BO265" i="42"/>
  <c r="BT265" i="42"/>
  <c r="BX265" i="42"/>
  <c r="BX266" i="42"/>
  <c r="BT266" i="42"/>
  <c r="BX267" i="42"/>
  <c r="BY267" i="42" s="1"/>
  <c r="CA267" i="42" s="1"/>
  <c r="BT267" i="42"/>
  <c r="BH268" i="42"/>
  <c r="BT268" i="42"/>
  <c r="BX268" i="42"/>
  <c r="BX269" i="42"/>
  <c r="BT269" i="42"/>
  <c r="Q270" i="42"/>
  <c r="BT270" i="42"/>
  <c r="BX270" i="42"/>
  <c r="BM271" i="42"/>
  <c r="BT271" i="42"/>
  <c r="BX271" i="42"/>
  <c r="BN272" i="42"/>
  <c r="BT272" i="42"/>
  <c r="BX272" i="42"/>
  <c r="AD273" i="42"/>
  <c r="AG273" i="42" s="1"/>
  <c r="BT273" i="42"/>
  <c r="BX273" i="42"/>
  <c r="BL274" i="42"/>
  <c r="BT274" i="42"/>
  <c r="BX274" i="42"/>
  <c r="BI275" i="42"/>
  <c r="BX275" i="42"/>
  <c r="BT275" i="42"/>
  <c r="BO276" i="42"/>
  <c r="BT276" i="42"/>
  <c r="BX276" i="42"/>
  <c r="AZ277" i="42"/>
  <c r="BX277" i="42"/>
  <c r="BT277" i="42"/>
  <c r="BX278" i="42"/>
  <c r="BY278" i="42" s="1"/>
  <c r="CA278" i="42" s="1"/>
  <c r="BT278" i="42"/>
  <c r="BE279" i="42"/>
  <c r="BT279" i="42"/>
  <c r="BX279" i="42"/>
  <c r="BK280" i="42"/>
  <c r="BX280" i="42"/>
  <c r="BT280" i="42"/>
  <c r="BH281" i="42"/>
  <c r="BX281" i="42"/>
  <c r="BY281" i="42" s="1"/>
  <c r="CA281" i="42" s="1"/>
  <c r="BT281" i="42"/>
  <c r="BL282" i="42"/>
  <c r="BT282" i="42"/>
  <c r="BX282" i="42"/>
  <c r="BY282" i="42" s="1"/>
  <c r="CA282" i="42" s="1"/>
  <c r="BG283" i="42"/>
  <c r="BT283" i="42"/>
  <c r="BX283" i="42"/>
  <c r="BK284" i="42"/>
  <c r="BT284" i="42"/>
  <c r="BX284" i="42"/>
  <c r="BM285" i="42"/>
  <c r="BT285" i="42"/>
  <c r="BX285" i="42"/>
  <c r="BJ286" i="42"/>
  <c r="BX286" i="42"/>
  <c r="BY286" i="42" s="1"/>
  <c r="BT286" i="42"/>
  <c r="AU287" i="42"/>
  <c r="BT287" i="42"/>
  <c r="BX287" i="42"/>
  <c r="BY287" i="42" s="1"/>
  <c r="CA287" i="42" s="1"/>
  <c r="BX288" i="42"/>
  <c r="BY288" i="42" s="1"/>
  <c r="CA288" i="42" s="1"/>
  <c r="BT288" i="42"/>
  <c r="BE289" i="42"/>
  <c r="BX289" i="42"/>
  <c r="BY289" i="42" s="1"/>
  <c r="CA289" i="42" s="1"/>
  <c r="BT289" i="42"/>
  <c r="BM290" i="42"/>
  <c r="BT290" i="42"/>
  <c r="BX290" i="42"/>
  <c r="BM291" i="42"/>
  <c r="BT291" i="42"/>
  <c r="BX291" i="42"/>
  <c r="BI292" i="42"/>
  <c r="BX292" i="42"/>
  <c r="BY292" i="42" s="1"/>
  <c r="CA292" i="42" s="1"/>
  <c r="BT292" i="42"/>
  <c r="BK293" i="42"/>
  <c r="BT293" i="42"/>
  <c r="BX293" i="42"/>
  <c r="BH294" i="42"/>
  <c r="BX294" i="42"/>
  <c r="BT294" i="42"/>
  <c r="BM295" i="42"/>
  <c r="BX295" i="42"/>
  <c r="BT295" i="42"/>
  <c r="BH296" i="42"/>
  <c r="BT296" i="42"/>
  <c r="BX296" i="42"/>
  <c r="BF297" i="42"/>
  <c r="BT297" i="42"/>
  <c r="BX297" i="42"/>
  <c r="BI298" i="42"/>
  <c r="BX298" i="42"/>
  <c r="BT298" i="42"/>
  <c r="BN299" i="42"/>
  <c r="BT299" i="42"/>
  <c r="BX299" i="42"/>
  <c r="BY299" i="42" s="1"/>
  <c r="CA299" i="42" s="1"/>
  <c r="BJ300" i="42"/>
  <c r="BT300" i="42"/>
  <c r="BX300" i="42"/>
  <c r="BX301" i="42"/>
  <c r="BY301" i="42" s="1"/>
  <c r="CA301" i="42" s="1"/>
  <c r="BT301" i="42"/>
  <c r="BT302" i="42"/>
  <c r="BX302" i="42"/>
  <c r="BE303" i="42"/>
  <c r="BX303" i="42"/>
  <c r="BT303" i="42"/>
  <c r="BF304" i="42"/>
  <c r="BT304" i="42"/>
  <c r="BX304" i="42"/>
  <c r="BP305" i="42"/>
  <c r="BT305" i="42"/>
  <c r="BX305" i="42"/>
  <c r="BJ306" i="42"/>
  <c r="BT306" i="42"/>
  <c r="BX306" i="42"/>
  <c r="BY306" i="42" s="1"/>
  <c r="CA306" i="42" s="1"/>
  <c r="BX307" i="42"/>
  <c r="BT307" i="42"/>
  <c r="BK308" i="42"/>
  <c r="BX308" i="42"/>
  <c r="BT308" i="42"/>
  <c r="BI309" i="42"/>
  <c r="BT309" i="42"/>
  <c r="BX309" i="42"/>
  <c r="BP310" i="42"/>
  <c r="BX310" i="42"/>
  <c r="BT310" i="42"/>
  <c r="BK311" i="42"/>
  <c r="BX311" i="42"/>
  <c r="BT311" i="42"/>
  <c r="BX312" i="42"/>
  <c r="BT312" i="42"/>
  <c r="BI313" i="42"/>
  <c r="BT313" i="42"/>
  <c r="BX313" i="42"/>
  <c r="BX314" i="42"/>
  <c r="BY314" i="42" s="1"/>
  <c r="CA314" i="42" s="1"/>
  <c r="BT314" i="42"/>
  <c r="BM315" i="42"/>
  <c r="BX315" i="42"/>
  <c r="BT315" i="42"/>
  <c r="BX316" i="42"/>
  <c r="BT316" i="42"/>
  <c r="BI317" i="42"/>
  <c r="BX317" i="42"/>
  <c r="BT317" i="42"/>
  <c r="BT318" i="42"/>
  <c r="BX318" i="42"/>
  <c r="BP319" i="42"/>
  <c r="BX319" i="42"/>
  <c r="BY319" i="42" s="1"/>
  <c r="CA319" i="42" s="1"/>
  <c r="BT319" i="42"/>
  <c r="BE12" i="42"/>
  <c r="AT29" i="42"/>
  <c r="AU42" i="42"/>
  <c r="BL61" i="42"/>
  <c r="BE69" i="42"/>
  <c r="BO148" i="42"/>
  <c r="J131" i="42"/>
  <c r="BK137" i="42"/>
  <c r="BK189" i="42"/>
  <c r="BH203" i="42"/>
  <c r="J219" i="42"/>
  <c r="J28" i="42"/>
  <c r="BK28" i="42"/>
  <c r="O253" i="42"/>
  <c r="BI28" i="42"/>
  <c r="BL28" i="42"/>
  <c r="BF42" i="42"/>
  <c r="I101" i="42"/>
  <c r="BR101" i="42" s="1"/>
  <c r="Q105" i="42"/>
  <c r="AD14" i="42"/>
  <c r="AG14" i="42" s="1"/>
  <c r="BP28" i="42"/>
  <c r="J42" i="42"/>
  <c r="BH42" i="42"/>
  <c r="J79" i="42"/>
  <c r="BK125" i="42"/>
  <c r="AD147" i="42"/>
  <c r="AG147" i="42" s="1"/>
  <c r="Q148" i="42"/>
  <c r="BE159" i="42"/>
  <c r="I161" i="42"/>
  <c r="BE161" i="42"/>
  <c r="AT169" i="42"/>
  <c r="I189" i="42"/>
  <c r="BR189" i="42" s="1"/>
  <c r="J193" i="42"/>
  <c r="Q202" i="42"/>
  <c r="BM203" i="42"/>
  <c r="Q204" i="42"/>
  <c r="AD220" i="42"/>
  <c r="AG220" i="42" s="1"/>
  <c r="BH227" i="42"/>
  <c r="AD248" i="42"/>
  <c r="AG248" i="42" s="1"/>
  <c r="BI256" i="42"/>
  <c r="BK262" i="42"/>
  <c r="I42" i="42"/>
  <c r="BR42" i="42" s="1"/>
  <c r="BG42" i="42"/>
  <c r="O92" i="42"/>
  <c r="O28" i="42"/>
  <c r="AZ39" i="42"/>
  <c r="BO42" i="42"/>
  <c r="AU55" i="42"/>
  <c r="AD92" i="42"/>
  <c r="AG92" i="42" s="1"/>
  <c r="BJ105" i="42"/>
  <c r="BE123" i="42"/>
  <c r="Q146" i="42"/>
  <c r="BN159" i="42"/>
  <c r="BG161" i="42"/>
  <c r="BG172" i="42"/>
  <c r="AZ173" i="42"/>
  <c r="BF175" i="42"/>
  <c r="O197" i="42"/>
  <c r="AD202" i="42"/>
  <c r="AG202" i="42" s="1"/>
  <c r="O203" i="42"/>
  <c r="BN203" i="42"/>
  <c r="BF253" i="42"/>
  <c r="BM28" i="42"/>
  <c r="AU12" i="42"/>
  <c r="Q28" i="42"/>
  <c r="BN32" i="42"/>
  <c r="BG39" i="42"/>
  <c r="BJ55" i="42"/>
  <c r="AD61" i="42"/>
  <c r="AG61" i="42" s="1"/>
  <c r="BF70" i="42"/>
  <c r="BL76" i="42"/>
  <c r="BN123" i="42"/>
  <c r="L129" i="42"/>
  <c r="AT147" i="42"/>
  <c r="BJ158" i="42"/>
  <c r="BJ161" i="42"/>
  <c r="BI162" i="42"/>
  <c r="BE173" i="42"/>
  <c r="AT198" i="42"/>
  <c r="Q203" i="42"/>
  <c r="BP203" i="42"/>
  <c r="AZ204" i="42"/>
  <c r="AU216" i="42"/>
  <c r="AT220" i="42"/>
  <c r="BH230" i="42"/>
  <c r="BK241" i="42"/>
  <c r="BO246" i="42"/>
  <c r="BI247" i="42"/>
  <c r="BE248" i="42"/>
  <c r="BG253" i="42"/>
  <c r="L258" i="42"/>
  <c r="BL204" i="42"/>
  <c r="BN247" i="42"/>
  <c r="I123" i="42"/>
  <c r="BR123" i="42" s="1"/>
  <c r="I148" i="42"/>
  <c r="BR148" i="42" s="1"/>
  <c r="BF196" i="42"/>
  <c r="BN197" i="42"/>
  <c r="I204" i="42"/>
  <c r="BR204" i="42" s="1"/>
  <c r="BM204" i="42"/>
  <c r="BJ220" i="42"/>
  <c r="J231" i="42"/>
  <c r="I247" i="42"/>
  <c r="I131" i="42"/>
  <c r="BR131" i="42" s="1"/>
  <c r="I143" i="42"/>
  <c r="AU14" i="42"/>
  <c r="J25" i="42"/>
  <c r="AZ30" i="42"/>
  <c r="BE42" i="42"/>
  <c r="O64" i="42"/>
  <c r="BP70" i="42"/>
  <c r="AU77" i="42"/>
  <c r="J96" i="42"/>
  <c r="BE96" i="42"/>
  <c r="AU99" i="42"/>
  <c r="BK101" i="42"/>
  <c r="BG104" i="42"/>
  <c r="AD105" i="42"/>
  <c r="AG105" i="42" s="1"/>
  <c r="BK105" i="42"/>
  <c r="BM117" i="42"/>
  <c r="O149" i="42"/>
  <c r="AD167" i="42"/>
  <c r="AG167" i="42" s="1"/>
  <c r="BG169" i="42"/>
  <c r="BM170" i="42"/>
  <c r="AT171" i="42"/>
  <c r="J177" i="42"/>
  <c r="BI177" i="42"/>
  <c r="J180" i="42"/>
  <c r="BI189" i="42"/>
  <c r="J222" i="42"/>
  <c r="BN240" i="42"/>
  <c r="J246" i="42"/>
  <c r="O229" i="42"/>
  <c r="BP240" i="42"/>
  <c r="BF248" i="42"/>
  <c r="BJ276" i="42"/>
  <c r="AZ96" i="42"/>
  <c r="BH14" i="42"/>
  <c r="BE67" i="42"/>
  <c r="BF96" i="42"/>
  <c r="BE99" i="42"/>
  <c r="BN105" i="42"/>
  <c r="J30" i="42"/>
  <c r="BM30" i="42"/>
  <c r="I67" i="42"/>
  <c r="BR67" i="42" s="1"/>
  <c r="BI67" i="42"/>
  <c r="BF77" i="42"/>
  <c r="AD78" i="42"/>
  <c r="AG78" i="42" s="1"/>
  <c r="BH96" i="42"/>
  <c r="I99" i="42"/>
  <c r="BR99" i="42" s="1"/>
  <c r="BO99" i="42"/>
  <c r="I105" i="42"/>
  <c r="BR105" i="42" s="1"/>
  <c r="BO105" i="42"/>
  <c r="AZ125" i="42"/>
  <c r="O135" i="42"/>
  <c r="BO146" i="42"/>
  <c r="BN148" i="42"/>
  <c r="BH149" i="42"/>
  <c r="BJ162" i="42"/>
  <c r="BM163" i="42"/>
  <c r="AT167" i="42"/>
  <c r="BM177" i="42"/>
  <c r="BN189" i="42"/>
  <c r="BP202" i="42"/>
  <c r="BI204" i="42"/>
  <c r="BI216" i="42"/>
  <c r="Q229" i="42"/>
  <c r="AD240" i="42"/>
  <c r="AG240" i="42" s="1"/>
  <c r="BE241" i="42"/>
  <c r="BK243" i="42"/>
  <c r="BH248" i="42"/>
  <c r="BI250" i="42"/>
  <c r="BH30" i="42"/>
  <c r="Q91" i="42"/>
  <c r="BI96" i="42"/>
  <c r="AZ105" i="42"/>
  <c r="BP105" i="42"/>
  <c r="BM119" i="42"/>
  <c r="BE126" i="42"/>
  <c r="Q129" i="42"/>
  <c r="AZ130" i="42"/>
  <c r="BP149" i="42"/>
  <c r="BK167" i="42"/>
  <c r="AD184" i="42"/>
  <c r="AG184" i="42" s="1"/>
  <c r="O189" i="42"/>
  <c r="BG195" i="42"/>
  <c r="Q210" i="42"/>
  <c r="BE212" i="42"/>
  <c r="BK215" i="42"/>
  <c r="AU232" i="42"/>
  <c r="AD272" i="42"/>
  <c r="AG272" i="42" s="1"/>
  <c r="BP21" i="42"/>
  <c r="BM26" i="42"/>
  <c r="BK108" i="42"/>
  <c r="BO130" i="42"/>
  <c r="AD189" i="42"/>
  <c r="AG189" i="42" s="1"/>
  <c r="BK195" i="42"/>
  <c r="BL205" i="42"/>
  <c r="BG211" i="42"/>
  <c r="AZ220" i="42"/>
  <c r="BG229" i="42"/>
  <c r="AZ231" i="42"/>
  <c r="BG239" i="42"/>
  <c r="AU240" i="42"/>
  <c r="BO248" i="42"/>
  <c r="BF261" i="42"/>
  <c r="BE268" i="42"/>
  <c r="M8" i="42"/>
  <c r="BI14" i="42"/>
  <c r="Q58" i="42"/>
  <c r="BM14" i="42"/>
  <c r="BK39" i="42"/>
  <c r="BJ54" i="42"/>
  <c r="J67" i="42"/>
  <c r="BM67" i="42"/>
  <c r="BM77" i="42"/>
  <c r="AD86" i="42"/>
  <c r="AG86" i="42" s="1"/>
  <c r="BO14" i="42"/>
  <c r="BL42" i="42"/>
  <c r="BP48" i="42"/>
  <c r="BG59" i="42"/>
  <c r="BN77" i="42"/>
  <c r="AU78" i="42"/>
  <c r="BM87" i="42"/>
  <c r="AU95" i="42"/>
  <c r="O96" i="42"/>
  <c r="BJ96" i="42"/>
  <c r="BE105" i="42"/>
  <c r="O177" i="42"/>
  <c r="I28" i="42"/>
  <c r="BR28" i="42" s="1"/>
  <c r="AZ28" i="42"/>
  <c r="Q41" i="42"/>
  <c r="BM42" i="42"/>
  <c r="I48" i="42"/>
  <c r="BR48" i="42" s="1"/>
  <c r="J55" i="42"/>
  <c r="I65" i="42"/>
  <c r="Q71" i="42"/>
  <c r="BG78" i="42"/>
  <c r="BI86" i="42"/>
  <c r="AZ95" i="42"/>
  <c r="AD96" i="42"/>
  <c r="AG96" i="42" s="1"/>
  <c r="BM96" i="42"/>
  <c r="BF105" i="42"/>
  <c r="BO125" i="42"/>
  <c r="BJ129" i="42"/>
  <c r="BK131" i="42"/>
  <c r="AT161" i="42"/>
  <c r="I163" i="42"/>
  <c r="BR163" i="42" s="1"/>
  <c r="O170" i="42"/>
  <c r="Q171" i="42"/>
  <c r="BP180" i="42"/>
  <c r="BP204" i="42"/>
  <c r="AZ208" i="42"/>
  <c r="BL209" i="42"/>
  <c r="BL210" i="42"/>
  <c r="BM211" i="42"/>
  <c r="I220" i="42"/>
  <c r="BF220" i="42"/>
  <c r="BN222" i="42"/>
  <c r="BH229" i="42"/>
  <c r="BJ231" i="42"/>
  <c r="BH233" i="42"/>
  <c r="BL239" i="42"/>
  <c r="BH240" i="42"/>
  <c r="BF246" i="42"/>
  <c r="O248" i="42"/>
  <c r="AU272" i="42"/>
  <c r="BI78" i="42"/>
  <c r="O105" i="42"/>
  <c r="BG105" i="42"/>
  <c r="AD171" i="42"/>
  <c r="AG171" i="42" s="1"/>
  <c r="AT177" i="42"/>
  <c r="BE183" i="42"/>
  <c r="BP208" i="42"/>
  <c r="BP210" i="42"/>
  <c r="BK229" i="42"/>
  <c r="BI240" i="42"/>
  <c r="BL246" i="42"/>
  <c r="I111" i="42"/>
  <c r="BR111" i="42" s="1"/>
  <c r="BF133" i="42"/>
  <c r="AZ133" i="42"/>
  <c r="J10" i="42"/>
  <c r="AU39" i="42"/>
  <c r="BL39" i="42"/>
  <c r="O39" i="42"/>
  <c r="BJ39" i="42"/>
  <c r="AU40" i="42"/>
  <c r="BH56" i="42"/>
  <c r="AU56" i="42"/>
  <c r="AU82" i="42"/>
  <c r="BO88" i="42"/>
  <c r="I103" i="42"/>
  <c r="BR103" i="42" s="1"/>
  <c r="BE103" i="42"/>
  <c r="BN108" i="42"/>
  <c r="O117" i="42"/>
  <c r="BJ121" i="42"/>
  <c r="J132" i="42"/>
  <c r="AZ142" i="42"/>
  <c r="BI149" i="42"/>
  <c r="I157" i="42"/>
  <c r="BK169" i="42"/>
  <c r="BH169" i="42"/>
  <c r="BF169" i="42"/>
  <c r="J169" i="42"/>
  <c r="BP169" i="42"/>
  <c r="Q169" i="42"/>
  <c r="BI169" i="42"/>
  <c r="BH24" i="42"/>
  <c r="AD24" i="42"/>
  <c r="AG24" i="42" s="1"/>
  <c r="BN80" i="42"/>
  <c r="BF80" i="42"/>
  <c r="BH80" i="42"/>
  <c r="BN10" i="42"/>
  <c r="BG10" i="42"/>
  <c r="BE10" i="42"/>
  <c r="AU10" i="42"/>
  <c r="BJ10" i="42"/>
  <c r="BO10" i="42"/>
  <c r="BH12" i="42"/>
  <c r="O12" i="42"/>
  <c r="BP12" i="42"/>
  <c r="BL12" i="42"/>
  <c r="Q24" i="42"/>
  <c r="BL29" i="42"/>
  <c r="I29" i="42"/>
  <c r="BP29" i="42"/>
  <c r="Q29" i="42"/>
  <c r="BG29" i="42"/>
  <c r="AD48" i="42"/>
  <c r="AG48" i="42" s="1"/>
  <c r="Q48" i="42"/>
  <c r="BE48" i="42"/>
  <c r="BI59" i="42"/>
  <c r="BH59" i="42"/>
  <c r="AZ59" i="42"/>
  <c r="BP75" i="42"/>
  <c r="BM75" i="42"/>
  <c r="BG89" i="42"/>
  <c r="BI89" i="42"/>
  <c r="BG101" i="42"/>
  <c r="BJ101" i="42"/>
  <c r="AU101" i="42"/>
  <c r="BO101" i="42"/>
  <c r="J103" i="42"/>
  <c r="BF103" i="42"/>
  <c r="BM123" i="42"/>
  <c r="AU123" i="42"/>
  <c r="BO123" i="42"/>
  <c r="O123" i="42"/>
  <c r="BK123" i="42"/>
  <c r="BI123" i="42"/>
  <c r="BG123" i="42"/>
  <c r="BJ149" i="42"/>
  <c r="Q163" i="42"/>
  <c r="BK76" i="42"/>
  <c r="BJ76" i="42"/>
  <c r="BO76" i="42"/>
  <c r="BP10" i="42"/>
  <c r="BF58" i="42"/>
  <c r="BO58" i="42"/>
  <c r="BL179" i="42"/>
  <c r="AZ179" i="42"/>
  <c r="BJ40" i="42"/>
  <c r="AZ40" i="42"/>
  <c r="BP40" i="42"/>
  <c r="BN40" i="42"/>
  <c r="BF40" i="42"/>
  <c r="BL108" i="42"/>
  <c r="AZ108" i="42"/>
  <c r="J108" i="42"/>
  <c r="O114" i="42"/>
  <c r="BG114" i="42"/>
  <c r="BE114" i="42"/>
  <c r="BO121" i="42"/>
  <c r="O121" i="42"/>
  <c r="BP121" i="42"/>
  <c r="BI135" i="42"/>
  <c r="J135" i="42"/>
  <c r="BO135" i="42"/>
  <c r="BN135" i="42"/>
  <c r="BK135" i="42"/>
  <c r="BK25" i="42"/>
  <c r="BJ25" i="42"/>
  <c r="BP25" i="42"/>
  <c r="BJ29" i="42"/>
  <c r="BL34" i="42"/>
  <c r="BH34" i="42"/>
  <c r="I40" i="42"/>
  <c r="BM40" i="42"/>
  <c r="BL48" i="42"/>
  <c r="BJ59" i="42"/>
  <c r="BM103" i="42"/>
  <c r="I114" i="42"/>
  <c r="BN117" i="42"/>
  <c r="I117" i="42"/>
  <c r="BG117" i="42"/>
  <c r="BF117" i="42"/>
  <c r="BO117" i="42"/>
  <c r="AZ117" i="42"/>
  <c r="I135" i="42"/>
  <c r="BL135" i="42"/>
  <c r="AU144" i="42"/>
  <c r="BH145" i="42"/>
  <c r="O23" i="42"/>
  <c r="BL23" i="42"/>
  <c r="BJ23" i="42"/>
  <c r="Q33" i="42"/>
  <c r="BN33" i="42"/>
  <c r="BE54" i="42"/>
  <c r="AD54" i="42"/>
  <c r="AG54" i="42" s="1"/>
  <c r="BI54" i="42"/>
  <c r="BN54" i="42"/>
  <c r="AD23" i="42"/>
  <c r="AG23" i="42" s="1"/>
  <c r="J29" i="42"/>
  <c r="BH29" i="42"/>
  <c r="BP82" i="42"/>
  <c r="AT82" i="42"/>
  <c r="AZ83" i="42"/>
  <c r="BM83" i="42"/>
  <c r="BL103" i="42"/>
  <c r="BP16" i="42"/>
  <c r="Q16" i="42"/>
  <c r="AD16" i="42"/>
  <c r="AG16" i="42" s="1"/>
  <c r="BP19" i="42"/>
  <c r="BJ70" i="42"/>
  <c r="AD70" i="42"/>
  <c r="AG70" i="42" s="1"/>
  <c r="BK70" i="42"/>
  <c r="AU79" i="42"/>
  <c r="BP86" i="42"/>
  <c r="BG86" i="42"/>
  <c r="J86" i="42"/>
  <c r="AZ86" i="42"/>
  <c r="AT86" i="42"/>
  <c r="BN86" i="42"/>
  <c r="BI92" i="42"/>
  <c r="BH92" i="42"/>
  <c r="BE92" i="42"/>
  <c r="BJ93" i="42"/>
  <c r="BL95" i="42"/>
  <c r="I95" i="42"/>
  <c r="BO95" i="42"/>
  <c r="O95" i="42"/>
  <c r="BH95" i="42"/>
  <c r="BE95" i="42"/>
  <c r="BP23" i="42"/>
  <c r="I25" i="42"/>
  <c r="AZ26" i="42"/>
  <c r="BP26" i="42"/>
  <c r="AD26" i="42"/>
  <c r="AG26" i="42" s="1"/>
  <c r="Q26" i="42"/>
  <c r="BK29" i="42"/>
  <c r="BF41" i="42"/>
  <c r="BJ41" i="42"/>
  <c r="BL41" i="42"/>
  <c r="BK43" i="42"/>
  <c r="BL43" i="42"/>
  <c r="BH47" i="42"/>
  <c r="BG47" i="42"/>
  <c r="BM48" i="42"/>
  <c r="Q54" i="42"/>
  <c r="BK59" i="42"/>
  <c r="BN69" i="42"/>
  <c r="BI69" i="42"/>
  <c r="Q76" i="42"/>
  <c r="BJ85" i="42"/>
  <c r="BH85" i="42"/>
  <c r="I85" i="42"/>
  <c r="AU85" i="42"/>
  <c r="BG92" i="42"/>
  <c r="J95" i="42"/>
  <c r="BK95" i="42"/>
  <c r="BN103" i="42"/>
  <c r="BM107" i="42"/>
  <c r="BI107" i="42"/>
  <c r="AZ112" i="42"/>
  <c r="J117" i="42"/>
  <c r="BE117" i="42"/>
  <c r="O120" i="42"/>
  <c r="BN120" i="42"/>
  <c r="BG120" i="42"/>
  <c r="BM131" i="42"/>
  <c r="BF131" i="42"/>
  <c r="BO131" i="42"/>
  <c r="BN131" i="42"/>
  <c r="O131" i="42"/>
  <c r="BI131" i="42"/>
  <c r="BG131" i="42"/>
  <c r="O132" i="42"/>
  <c r="BH134" i="42"/>
  <c r="AZ134" i="42"/>
  <c r="BH136" i="42"/>
  <c r="BG136" i="42"/>
  <c r="BJ143" i="42"/>
  <c r="BM152" i="42"/>
  <c r="BJ163" i="42"/>
  <c r="BK163" i="42"/>
  <c r="AT163" i="42"/>
  <c r="BI163" i="42"/>
  <c r="BL174" i="42"/>
  <c r="Q174" i="42"/>
  <c r="O174" i="42"/>
  <c r="BM174" i="42"/>
  <c r="BJ174" i="42"/>
  <c r="AT174" i="42"/>
  <c r="BP79" i="42"/>
  <c r="O79" i="42"/>
  <c r="BL79" i="42"/>
  <c r="BI79" i="42"/>
  <c r="BM94" i="42"/>
  <c r="J94" i="42"/>
  <c r="AZ94" i="42"/>
  <c r="BJ113" i="42"/>
  <c r="O113" i="42"/>
  <c r="BG113" i="42"/>
  <c r="AU138" i="42"/>
  <c r="BL138" i="42"/>
  <c r="O138" i="42"/>
  <c r="BM138" i="42"/>
  <c r="BI138" i="42"/>
  <c r="BH138" i="42"/>
  <c r="I138" i="42"/>
  <c r="BJ138" i="42"/>
  <c r="BP144" i="42"/>
  <c r="Q144" i="42"/>
  <c r="BN145" i="42"/>
  <c r="J145" i="42"/>
  <c r="BN152" i="42"/>
  <c r="BF155" i="42"/>
  <c r="I155" i="42"/>
  <c r="BR155" i="42" s="1"/>
  <c r="AU155" i="42"/>
  <c r="BI165" i="42"/>
  <c r="BP165" i="42"/>
  <c r="O165" i="42"/>
  <c r="BN165" i="42"/>
  <c r="BG165" i="42"/>
  <c r="BF165" i="42"/>
  <c r="I165" i="42"/>
  <c r="BH165" i="42"/>
  <c r="BM93" i="42"/>
  <c r="BI93" i="42"/>
  <c r="AU93" i="42"/>
  <c r="BP106" i="42"/>
  <c r="BM111" i="42"/>
  <c r="BN111" i="42"/>
  <c r="J111" i="42"/>
  <c r="BE111" i="42"/>
  <c r="AD121" i="42"/>
  <c r="AG121" i="42" s="1"/>
  <c r="O127" i="42"/>
  <c r="BG132" i="42"/>
  <c r="I144" i="42"/>
  <c r="BR144" i="42" s="1"/>
  <c r="BL149" i="42"/>
  <c r="BN149" i="42"/>
  <c r="AZ149" i="42"/>
  <c r="BG149" i="42"/>
  <c r="BE149" i="42"/>
  <c r="BM149" i="42"/>
  <c r="AT149" i="42"/>
  <c r="J149" i="42"/>
  <c r="BK149" i="42"/>
  <c r="I149" i="42"/>
  <c r="BE153" i="42"/>
  <c r="J153" i="42"/>
  <c r="BO153" i="42"/>
  <c r="O153" i="42"/>
  <c r="BJ153" i="42"/>
  <c r="BI153" i="42"/>
  <c r="BK153" i="42"/>
  <c r="Q73" i="42"/>
  <c r="BN73" i="42"/>
  <c r="BH103" i="42"/>
  <c r="BO103" i="42"/>
  <c r="AZ103" i="42"/>
  <c r="BK103" i="42"/>
  <c r="Q103" i="42"/>
  <c r="BI103" i="42"/>
  <c r="O103" i="42"/>
  <c r="AU103" i="42"/>
  <c r="BM157" i="42"/>
  <c r="AD157" i="42"/>
  <c r="AG157" i="42" s="1"/>
  <c r="Q157" i="42"/>
  <c r="BJ157" i="42"/>
  <c r="BH157" i="42"/>
  <c r="BG157" i="42"/>
  <c r="BI157" i="42"/>
  <c r="BJ68" i="42"/>
  <c r="BP68" i="42"/>
  <c r="BF78" i="42"/>
  <c r="Q87" i="42"/>
  <c r="AD87" i="42"/>
  <c r="AG87" i="42" s="1"/>
  <c r="BI99" i="42"/>
  <c r="BK99" i="42"/>
  <c r="AZ99" i="42"/>
  <c r="BI109" i="42"/>
  <c r="BG109" i="42"/>
  <c r="AT109" i="42"/>
  <c r="BN116" i="42"/>
  <c r="BO122" i="42"/>
  <c r="AU122" i="42"/>
  <c r="O130" i="42"/>
  <c r="AD141" i="42"/>
  <c r="AG141" i="42" s="1"/>
  <c r="I141" i="42"/>
  <c r="BP146" i="42"/>
  <c r="AT168" i="42"/>
  <c r="AT173" i="42"/>
  <c r="AD177" i="42"/>
  <c r="AG177" i="42" s="1"/>
  <c r="O182" i="42"/>
  <c r="J185" i="42"/>
  <c r="BF185" i="42"/>
  <c r="J188" i="42"/>
  <c r="BE189" i="42"/>
  <c r="J189" i="42"/>
  <c r="AT189" i="42"/>
  <c r="BM192" i="42"/>
  <c r="J196" i="42"/>
  <c r="BP196" i="42"/>
  <c r="AU197" i="42"/>
  <c r="BL203" i="42"/>
  <c r="BO203" i="42"/>
  <c r="I203" i="42"/>
  <c r="BE203" i="42"/>
  <c r="BE204" i="42"/>
  <c r="J209" i="42"/>
  <c r="BI209" i="42"/>
  <c r="AU225" i="42"/>
  <c r="BL225" i="42"/>
  <c r="BI225" i="42"/>
  <c r="I225" i="42"/>
  <c r="BR225" i="42" s="1"/>
  <c r="BM225" i="42"/>
  <c r="BI129" i="42"/>
  <c r="J129" i="42"/>
  <c r="CB129" i="42" s="1"/>
  <c r="CC129" i="42" s="1"/>
  <c r="BH129" i="42"/>
  <c r="BN137" i="42"/>
  <c r="BJ137" i="42"/>
  <c r="BE137" i="42"/>
  <c r="BI147" i="42"/>
  <c r="O147" i="42"/>
  <c r="AU148" i="42"/>
  <c r="L164" i="42"/>
  <c r="AU167" i="42"/>
  <c r="BN167" i="42"/>
  <c r="BJ167" i="42"/>
  <c r="BI172" i="42"/>
  <c r="BH172" i="42"/>
  <c r="BL173" i="42"/>
  <c r="BJ173" i="42"/>
  <c r="Q173" i="42"/>
  <c r="BP173" i="42"/>
  <c r="BH177" i="42"/>
  <c r="BF177" i="42"/>
  <c r="BH185" i="42"/>
  <c r="BP193" i="42"/>
  <c r="AU193" i="42"/>
  <c r="BL193" i="42"/>
  <c r="AT194" i="42"/>
  <c r="BF197" i="42"/>
  <c r="BJ209" i="42"/>
  <c r="BH222" i="42"/>
  <c r="O222" i="42"/>
  <c r="BP222" i="42"/>
  <c r="BM222" i="42"/>
  <c r="BG222" i="42"/>
  <c r="BG226" i="42"/>
  <c r="BK226" i="42"/>
  <c r="BI226" i="42"/>
  <c r="O226" i="42"/>
  <c r="BP226" i="42"/>
  <c r="BH226" i="42"/>
  <c r="AU226" i="42"/>
  <c r="BL218" i="42"/>
  <c r="BI218" i="42"/>
  <c r="BL244" i="42"/>
  <c r="BP244" i="42"/>
  <c r="BG244" i="42"/>
  <c r="O244" i="42"/>
  <c r="BO244" i="42"/>
  <c r="BF244" i="42"/>
  <c r="BN244" i="42"/>
  <c r="BE244" i="42"/>
  <c r="BM244" i="42"/>
  <c r="AZ244" i="42"/>
  <c r="AD244" i="42"/>
  <c r="AG244" i="42" s="1"/>
  <c r="Q244" i="42"/>
  <c r="BK244" i="42"/>
  <c r="BJ244" i="42"/>
  <c r="BH244" i="42"/>
  <c r="J244" i="42"/>
  <c r="I244" i="42"/>
  <c r="BM159" i="42"/>
  <c r="AZ159" i="42"/>
  <c r="BF159" i="42"/>
  <c r="J194" i="42"/>
  <c r="BP212" i="42"/>
  <c r="BM212" i="42"/>
  <c r="Q212" i="42"/>
  <c r="BL212" i="42"/>
  <c r="BH212" i="42"/>
  <c r="BP215" i="42"/>
  <c r="BE215" i="42"/>
  <c r="AZ215" i="42"/>
  <c r="BN215" i="42"/>
  <c r="I218" i="42"/>
  <c r="BL251" i="42"/>
  <c r="BP194" i="42"/>
  <c r="BL194" i="42"/>
  <c r="BE194" i="42"/>
  <c r="BP14" i="42"/>
  <c r="BF14" i="42"/>
  <c r="BE14" i="42"/>
  <c r="BJ22" i="42"/>
  <c r="BK35" i="42"/>
  <c r="AZ35" i="42"/>
  <c r="BJ35" i="42"/>
  <c r="BG77" i="42"/>
  <c r="J77" i="42"/>
  <c r="BJ77" i="42"/>
  <c r="BN78" i="42"/>
  <c r="BI100" i="42"/>
  <c r="BF125" i="42"/>
  <c r="BM129" i="42"/>
  <c r="BG137" i="42"/>
  <c r="J148" i="42"/>
  <c r="BE148" i="42"/>
  <c r="AU150" i="42"/>
  <c r="AT150" i="42"/>
  <c r="N8" i="42"/>
  <c r="BG14" i="42"/>
  <c r="BL22" i="42"/>
  <c r="BE30" i="42"/>
  <c r="I30" i="42"/>
  <c r="BR30" i="42" s="1"/>
  <c r="BG30" i="42"/>
  <c r="J35" i="42"/>
  <c r="BL35" i="42"/>
  <c r="BK61" i="42"/>
  <c r="O61" i="42"/>
  <c r="AZ67" i="42"/>
  <c r="Q68" i="42"/>
  <c r="BL77" i="42"/>
  <c r="O78" i="42"/>
  <c r="BO78" i="42"/>
  <c r="BL96" i="42"/>
  <c r="BK96" i="42"/>
  <c r="AT96" i="42"/>
  <c r="I96" i="42"/>
  <c r="BN96" i="42"/>
  <c r="I100" i="42"/>
  <c r="BR100" i="42" s="1"/>
  <c r="BK100" i="42"/>
  <c r="O104" i="42"/>
  <c r="BH109" i="42"/>
  <c r="BH125" i="42"/>
  <c r="BP130" i="42"/>
  <c r="BI137" i="42"/>
  <c r="BN139" i="42"/>
  <c r="AZ139" i="42"/>
  <c r="BI148" i="42"/>
  <c r="BP158" i="42"/>
  <c r="I159" i="42"/>
  <c r="BG159" i="42"/>
  <c r="Q162" i="42"/>
  <c r="BO162" i="42"/>
  <c r="BG173" i="42"/>
  <c r="AZ177" i="42"/>
  <c r="BH194" i="42"/>
  <c r="BP197" i="42"/>
  <c r="BP198" i="42"/>
  <c r="AT201" i="42"/>
  <c r="I212" i="42"/>
  <c r="BI212" i="42"/>
  <c r="J215" i="42"/>
  <c r="BO215" i="42"/>
  <c r="BK194" i="42"/>
  <c r="BE199" i="42"/>
  <c r="BM199" i="42"/>
  <c r="BJ212" i="42"/>
  <c r="BE214" i="42"/>
  <c r="BI214" i="42"/>
  <c r="BF214" i="42"/>
  <c r="BG188" i="42"/>
  <c r="BM194" i="42"/>
  <c r="BG196" i="42"/>
  <c r="BO212" i="42"/>
  <c r="I214" i="42"/>
  <c r="AZ181" i="42"/>
  <c r="BJ181" i="42"/>
  <c r="BP185" i="42"/>
  <c r="BN185" i="42"/>
  <c r="BE185" i="42"/>
  <c r="BF193" i="42"/>
  <c r="O194" i="42"/>
  <c r="BN194" i="42"/>
  <c r="AT197" i="42"/>
  <c r="BN209" i="42"/>
  <c r="BO209" i="42"/>
  <c r="O209" i="42"/>
  <c r="BF209" i="42"/>
  <c r="BN213" i="42"/>
  <c r="AD213" i="42"/>
  <c r="AG213" i="42" s="1"/>
  <c r="AZ222" i="42"/>
  <c r="BF273" i="42"/>
  <c r="BP232" i="42"/>
  <c r="O232" i="42"/>
  <c r="BL232" i="42"/>
  <c r="AZ232" i="42"/>
  <c r="BP239" i="42"/>
  <c r="BJ271" i="42"/>
  <c r="O271" i="42"/>
  <c r="BI271" i="42"/>
  <c r="BG271" i="42"/>
  <c r="BF271" i="42"/>
  <c r="I271" i="42"/>
  <c r="BR271" i="42" s="1"/>
  <c r="BP271" i="42"/>
  <c r="BH273" i="42"/>
  <c r="BL224" i="42"/>
  <c r="I232" i="42"/>
  <c r="BE232" i="42"/>
  <c r="Q237" i="42"/>
  <c r="BP237" i="42"/>
  <c r="BO237" i="42"/>
  <c r="AU268" i="42"/>
  <c r="BJ272" i="42"/>
  <c r="BK272" i="42"/>
  <c r="O272" i="42"/>
  <c r="BH272" i="42"/>
  <c r="BG272" i="42"/>
  <c r="BF272" i="42"/>
  <c r="AZ272" i="42"/>
  <c r="J272" i="42"/>
  <c r="BP272" i="42"/>
  <c r="BN21" i="42"/>
  <c r="AZ42" i="42"/>
  <c r="BP42" i="42"/>
  <c r="BL208" i="42"/>
  <c r="AZ210" i="42"/>
  <c r="BM232" i="42"/>
  <c r="BM258" i="42"/>
  <c r="AD258" i="42"/>
  <c r="AG258" i="42" s="1"/>
  <c r="BK258" i="42"/>
  <c r="Q258" i="42"/>
  <c r="BH258" i="42"/>
  <c r="BG258" i="42"/>
  <c r="BE258" i="42"/>
  <c r="BP258" i="42"/>
  <c r="BP267" i="42"/>
  <c r="BM208" i="42"/>
  <c r="BI227" i="42"/>
  <c r="BN227" i="42"/>
  <c r="BM227" i="42"/>
  <c r="AZ227" i="42"/>
  <c r="AZ247" i="42"/>
  <c r="BO259" i="42"/>
  <c r="Q259" i="42"/>
  <c r="BL259" i="42"/>
  <c r="O259" i="42"/>
  <c r="BJ259" i="42"/>
  <c r="BI259" i="42"/>
  <c r="BH259" i="42"/>
  <c r="BP259" i="42"/>
  <c r="AD268" i="42"/>
  <c r="AG268" i="42" s="1"/>
  <c r="BP268" i="42"/>
  <c r="BN268" i="42"/>
  <c r="AD271" i="42"/>
  <c r="AG271" i="42" s="1"/>
  <c r="Q289" i="42"/>
  <c r="BN289" i="42"/>
  <c r="BM289" i="42"/>
  <c r="BL289" i="42"/>
  <c r="BK289" i="42"/>
  <c r="J289" i="42"/>
  <c r="BF289" i="42"/>
  <c r="I289" i="42"/>
  <c r="BO245" i="42"/>
  <c r="AZ245" i="42"/>
  <c r="BO231" i="42"/>
  <c r="AD231" i="42"/>
  <c r="AG231" i="42" s="1"/>
  <c r="BN231" i="42"/>
  <c r="O231" i="42"/>
  <c r="BI231" i="42"/>
  <c r="BG231" i="42"/>
  <c r="BO239" i="42"/>
  <c r="BM239" i="42"/>
  <c r="BJ239" i="42"/>
  <c r="AU271" i="42"/>
  <c r="Q278" i="42"/>
  <c r="BP278" i="42"/>
  <c r="BK278" i="42"/>
  <c r="BI278" i="42"/>
  <c r="BG278" i="42"/>
  <c r="J278" i="42"/>
  <c r="BL300" i="42"/>
  <c r="AT308" i="42"/>
  <c r="BO287" i="42"/>
  <c r="I294" i="42"/>
  <c r="J295" i="42"/>
  <c r="AU300" i="42"/>
  <c r="BM300" i="42"/>
  <c r="AD233" i="42"/>
  <c r="AG233" i="42" s="1"/>
  <c r="BK233" i="42"/>
  <c r="AZ241" i="42"/>
  <c r="BJ248" i="42"/>
  <c r="Q262" i="42"/>
  <c r="BP262" i="42"/>
  <c r="O279" i="42"/>
  <c r="BO279" i="42"/>
  <c r="I300" i="42"/>
  <c r="BN300" i="42"/>
  <c r="I248" i="42"/>
  <c r="BK248" i="42"/>
  <c r="AD262" i="42"/>
  <c r="AG262" i="42" s="1"/>
  <c r="BH265" i="42"/>
  <c r="Q279" i="42"/>
  <c r="BH291" i="42"/>
  <c r="AU292" i="42"/>
  <c r="BE297" i="42"/>
  <c r="BG298" i="42"/>
  <c r="J300" i="42"/>
  <c r="AZ300" i="42"/>
  <c r="BO300" i="42"/>
  <c r="AD304" i="42"/>
  <c r="AG304" i="42" s="1"/>
  <c r="BF306" i="42"/>
  <c r="BF308" i="42"/>
  <c r="Q310" i="42"/>
  <c r="BL310" i="42"/>
  <c r="AD311" i="42"/>
  <c r="AG311" i="42" s="1"/>
  <c r="AU233" i="42"/>
  <c r="BP233" i="42"/>
  <c r="BF240" i="42"/>
  <c r="BI241" i="42"/>
  <c r="BH243" i="42"/>
  <c r="BK246" i="42"/>
  <c r="J248" i="42"/>
  <c r="BM248" i="42"/>
  <c r="AU250" i="42"/>
  <c r="BP253" i="42"/>
  <c r="I256" i="42"/>
  <c r="BR256" i="42" s="1"/>
  <c r="AZ256" i="42"/>
  <c r="BI261" i="42"/>
  <c r="AU276" i="42"/>
  <c r="AD286" i="42"/>
  <c r="AG286" i="42" s="1"/>
  <c r="J291" i="42"/>
  <c r="BN291" i="42"/>
  <c r="AZ292" i="42"/>
  <c r="BN297" i="42"/>
  <c r="Q298" i="42"/>
  <c r="BH298" i="42"/>
  <c r="BE300" i="42"/>
  <c r="BM303" i="42"/>
  <c r="O306" i="42"/>
  <c r="BG306" i="42"/>
  <c r="BI308" i="42"/>
  <c r="BM310" i="42"/>
  <c r="BJ229" i="42"/>
  <c r="I233" i="42"/>
  <c r="BI234" i="42"/>
  <c r="AZ248" i="42"/>
  <c r="BN248" i="42"/>
  <c r="J256" i="42"/>
  <c r="BF256" i="42"/>
  <c r="BP261" i="42"/>
  <c r="L286" i="42"/>
  <c r="CB286" i="42" s="1"/>
  <c r="CC286" i="42" s="1"/>
  <c r="AD287" i="42"/>
  <c r="AG287" i="42" s="1"/>
  <c r="O293" i="42"/>
  <c r="BO296" i="42"/>
  <c r="BF300" i="42"/>
  <c r="O308" i="42"/>
  <c r="BL308" i="42"/>
  <c r="AU311" i="42"/>
  <c r="BE294" i="42"/>
  <c r="BF295" i="42"/>
  <c r="BM298" i="42"/>
  <c r="BH300" i="42"/>
  <c r="BM304" i="42"/>
  <c r="AD306" i="42"/>
  <c r="AG306" i="42" s="1"/>
  <c r="AD308" i="42"/>
  <c r="AG308" i="42" s="1"/>
  <c r="BM308" i="42"/>
  <c r="AZ310" i="42"/>
  <c r="BI311" i="42"/>
  <c r="BF293" i="42"/>
  <c r="BL294" i="42"/>
  <c r="BJ295" i="42"/>
  <c r="L298" i="42"/>
  <c r="CB298" i="42" s="1"/>
  <c r="CC298" i="42" s="1"/>
  <c r="BP33" i="42"/>
  <c r="BI36" i="42"/>
  <c r="BP36" i="42"/>
  <c r="BF36" i="42"/>
  <c r="AZ38" i="42"/>
  <c r="BF11" i="42"/>
  <c r="BP11" i="42"/>
  <c r="BN13" i="42"/>
  <c r="BE16" i="42"/>
  <c r="Q17" i="42"/>
  <c r="BJ18" i="42"/>
  <c r="BE20" i="42"/>
  <c r="I41" i="42"/>
  <c r="BN41" i="42"/>
  <c r="BG43" i="42"/>
  <c r="J44" i="42"/>
  <c r="BF44" i="42"/>
  <c r="BK45" i="42"/>
  <c r="BO47" i="42"/>
  <c r="BJ84" i="42"/>
  <c r="Q38" i="42"/>
  <c r="BN38" i="42"/>
  <c r="BN39" i="42"/>
  <c r="O40" i="42"/>
  <c r="BH40" i="42"/>
  <c r="J41" i="42"/>
  <c r="AU41" i="42"/>
  <c r="BP41" i="42"/>
  <c r="BH43" i="42"/>
  <c r="BK44" i="42"/>
  <c r="BL45" i="42"/>
  <c r="AU46" i="42"/>
  <c r="BJ50" i="42"/>
  <c r="BF51" i="42"/>
  <c r="BF53" i="42"/>
  <c r="BN53" i="42"/>
  <c r="BP62" i="42"/>
  <c r="I64" i="42"/>
  <c r="AZ64" i="42"/>
  <c r="BK65" i="42"/>
  <c r="I68" i="42"/>
  <c r="BK80" i="42"/>
  <c r="Q81" i="42"/>
  <c r="BN82" i="42"/>
  <c r="AD82" i="42"/>
  <c r="AG82" i="42" s="1"/>
  <c r="BG82" i="42"/>
  <c r="BF82" i="42"/>
  <c r="BO84" i="42"/>
  <c r="BL92" i="42"/>
  <c r="BJ92" i="42"/>
  <c r="AT92" i="42"/>
  <c r="J92" i="42"/>
  <c r="BP92" i="42"/>
  <c r="BF92" i="42"/>
  <c r="BM92" i="42"/>
  <c r="BL93" i="42"/>
  <c r="Q97" i="42"/>
  <c r="BF99" i="42"/>
  <c r="J100" i="42"/>
  <c r="AT100" i="42"/>
  <c r="BM100" i="42"/>
  <c r="I107" i="42"/>
  <c r="BG111" i="42"/>
  <c r="AZ113" i="42"/>
  <c r="BO113" i="42"/>
  <c r="BL115" i="42"/>
  <c r="J119" i="42"/>
  <c r="BE119" i="42"/>
  <c r="BL121" i="42"/>
  <c r="BI121" i="42"/>
  <c r="I121" i="42"/>
  <c r="BR121" i="42" s="1"/>
  <c r="BN121" i="42"/>
  <c r="AZ121" i="42"/>
  <c r="BM121" i="42"/>
  <c r="J121" i="42"/>
  <c r="BH121" i="42"/>
  <c r="Q121" i="42"/>
  <c r="BE121" i="42"/>
  <c r="BG122" i="42"/>
  <c r="BK127" i="42"/>
  <c r="AU128" i="42"/>
  <c r="BL133" i="42"/>
  <c r="BN133" i="42"/>
  <c r="BE133" i="42"/>
  <c r="BI133" i="42"/>
  <c r="AD133" i="42"/>
  <c r="AG133" i="42" s="1"/>
  <c r="I133" i="42"/>
  <c r="BO133" i="42"/>
  <c r="BP133" i="42"/>
  <c r="J133" i="42"/>
  <c r="BK133" i="42"/>
  <c r="Q133" i="42"/>
  <c r="BJ133" i="42"/>
  <c r="O133" i="42"/>
  <c r="BH133" i="42"/>
  <c r="BG133" i="42"/>
  <c r="BM133" i="42"/>
  <c r="BG50" i="42"/>
  <c r="BE32" i="42"/>
  <c r="BN34" i="42"/>
  <c r="BM38" i="42"/>
  <c r="BG68" i="42"/>
  <c r="BK68" i="42"/>
  <c r="O68" i="42"/>
  <c r="AU68" i="42"/>
  <c r="BF69" i="42"/>
  <c r="I69" i="42"/>
  <c r="AD69" i="42"/>
  <c r="AG69" i="42" s="1"/>
  <c r="BM69" i="42"/>
  <c r="Q72" i="42"/>
  <c r="BG74" i="42"/>
  <c r="BF75" i="42"/>
  <c r="BM10" i="42"/>
  <c r="BG11" i="42"/>
  <c r="BF12" i="42"/>
  <c r="BO13" i="42"/>
  <c r="BF16" i="42"/>
  <c r="Q18" i="42"/>
  <c r="BN18" i="42"/>
  <c r="BF19" i="42"/>
  <c r="BF20" i="42"/>
  <c r="I21" i="42"/>
  <c r="BE21" i="42"/>
  <c r="J22" i="42"/>
  <c r="J23" i="42"/>
  <c r="AZ23" i="42"/>
  <c r="BI24" i="42"/>
  <c r="Q25" i="42"/>
  <c r="J26" i="42"/>
  <c r="BG26" i="42"/>
  <c r="BK27" i="42"/>
  <c r="BO31" i="42"/>
  <c r="AD31" i="42"/>
  <c r="AG31" i="42" s="1"/>
  <c r="BI31" i="42"/>
  <c r="BH32" i="42"/>
  <c r="BH74" i="42"/>
  <c r="BH75" i="42"/>
  <c r="J76" i="42"/>
  <c r="AT76" i="42"/>
  <c r="BP76" i="42"/>
  <c r="I10" i="42"/>
  <c r="BR10" i="42" s="1"/>
  <c r="AZ10" i="42"/>
  <c r="O11" i="42"/>
  <c r="BH11" i="42"/>
  <c r="BN16" i="42"/>
  <c r="BE17" i="42"/>
  <c r="BP18" i="42"/>
  <c r="BO19" i="42"/>
  <c r="O20" i="42"/>
  <c r="BH20" i="42"/>
  <c r="BF21" i="42"/>
  <c r="AZ22" i="42"/>
  <c r="BG23" i="42"/>
  <c r="BJ24" i="42"/>
  <c r="BH26" i="42"/>
  <c r="BL30" i="42"/>
  <c r="Q30" i="42"/>
  <c r="AU30" i="42"/>
  <c r="BJ31" i="42"/>
  <c r="BI32" i="42"/>
  <c r="Q34" i="42"/>
  <c r="AD38" i="42"/>
  <c r="AG38" i="42" s="1"/>
  <c r="BO38" i="42"/>
  <c r="Q40" i="42"/>
  <c r="BN42" i="42"/>
  <c r="O43" i="42"/>
  <c r="BI43" i="42"/>
  <c r="BL44" i="42"/>
  <c r="O45" i="42"/>
  <c r="BM45" i="42"/>
  <c r="BG46" i="42"/>
  <c r="L48" i="42"/>
  <c r="P48" i="42" s="1"/>
  <c r="BM50" i="42"/>
  <c r="BO51" i="42"/>
  <c r="BH61" i="42"/>
  <c r="AU62" i="42"/>
  <c r="AD63" i="42"/>
  <c r="AG63" i="42" s="1"/>
  <c r="J63" i="42"/>
  <c r="BN65" i="42"/>
  <c r="BJ67" i="42"/>
  <c r="O67" i="42"/>
  <c r="BL67" i="42"/>
  <c r="Q67" i="42"/>
  <c r="J68" i="42"/>
  <c r="BE68" i="42"/>
  <c r="BO69" i="42"/>
  <c r="BK72" i="42"/>
  <c r="BJ73" i="42"/>
  <c r="BK74" i="42"/>
  <c r="O75" i="42"/>
  <c r="BJ75" i="42"/>
  <c r="BE76" i="42"/>
  <c r="BH77" i="42"/>
  <c r="BO77" i="42"/>
  <c r="AZ77" i="42"/>
  <c r="I77" i="42"/>
  <c r="BE77" i="42"/>
  <c r="BL78" i="42"/>
  <c r="AT78" i="42"/>
  <c r="J78" i="42"/>
  <c r="BK78" i="42"/>
  <c r="BM79" i="42"/>
  <c r="BN79" i="42"/>
  <c r="BE79" i="42"/>
  <c r="BM80" i="42"/>
  <c r="BH82" i="42"/>
  <c r="Q84" i="42"/>
  <c r="BN85" i="42"/>
  <c r="BI85" i="42"/>
  <c r="AD85" i="42"/>
  <c r="AG85" i="42" s="1"/>
  <c r="BI90" i="42"/>
  <c r="O90" i="42"/>
  <c r="I92" i="42"/>
  <c r="BN92" i="42"/>
  <c r="Q93" i="42"/>
  <c r="O99" i="42"/>
  <c r="BH99" i="42"/>
  <c r="BO100" i="42"/>
  <c r="L105" i="42"/>
  <c r="P105" i="42" s="1"/>
  <c r="O106" i="42"/>
  <c r="J107" i="42"/>
  <c r="BE107" i="42"/>
  <c r="AD109" i="42"/>
  <c r="AG109" i="42" s="1"/>
  <c r="BL111" i="42"/>
  <c r="BE113" i="42"/>
  <c r="BP113" i="42"/>
  <c r="BM115" i="42"/>
  <c r="BF116" i="42"/>
  <c r="BI119" i="42"/>
  <c r="BF121" i="42"/>
  <c r="BJ122" i="42"/>
  <c r="BM127" i="42"/>
  <c r="BG128" i="42"/>
  <c r="BJ134" i="42"/>
  <c r="Q134" i="42"/>
  <c r="BG134" i="42"/>
  <c r="BP134" i="42"/>
  <c r="O134" i="42"/>
  <c r="BO134" i="42"/>
  <c r="BM134" i="42"/>
  <c r="BO11" i="42"/>
  <c r="BG13" i="42"/>
  <c r="BI18" i="42"/>
  <c r="AZ20" i="42"/>
  <c r="BO22" i="42"/>
  <c r="BH27" i="42"/>
  <c r="J32" i="42"/>
  <c r="AZ32" i="42"/>
  <c r="BM34" i="42"/>
  <c r="J36" i="42"/>
  <c r="BM36" i="42"/>
  <c r="BL38" i="42"/>
  <c r="BO41" i="42"/>
  <c r="BE41" i="42"/>
  <c r="AD41" i="42"/>
  <c r="AG41" i="42" s="1"/>
  <c r="BM41" i="42"/>
  <c r="BF43" i="42"/>
  <c r="BE44" i="42"/>
  <c r="BH45" i="42"/>
  <c r="BJ47" i="42"/>
  <c r="BL62" i="42"/>
  <c r="BL64" i="42"/>
  <c r="BI64" i="42"/>
  <c r="BG65" i="42"/>
  <c r="AD11" i="42"/>
  <c r="AG11" i="42" s="1"/>
  <c r="BI11" i="42"/>
  <c r="BF17" i="42"/>
  <c r="AU18" i="42"/>
  <c r="AD20" i="42"/>
  <c r="AG20" i="42" s="1"/>
  <c r="BJ20" i="42"/>
  <c r="BH21" i="42"/>
  <c r="BH22" i="42"/>
  <c r="BH23" i="42"/>
  <c r="BI26" i="42"/>
  <c r="L28" i="42"/>
  <c r="BE33" i="42"/>
  <c r="BO39" i="42"/>
  <c r="BH39" i="42"/>
  <c r="BK40" i="42"/>
  <c r="J40" i="42"/>
  <c r="AD40" i="42"/>
  <c r="AG40" i="42" s="1"/>
  <c r="BL40" i="42"/>
  <c r="BG41" i="42"/>
  <c r="AD43" i="42"/>
  <c r="AG43" i="42" s="1"/>
  <c r="BM44" i="42"/>
  <c r="BH46" i="42"/>
  <c r="AT47" i="42"/>
  <c r="AD50" i="42"/>
  <c r="AG50" i="42" s="1"/>
  <c r="BP51" i="42"/>
  <c r="BK64" i="42"/>
  <c r="L67" i="42"/>
  <c r="BH68" i="42"/>
  <c r="BM73" i="42"/>
  <c r="O74" i="42"/>
  <c r="BL74" i="42"/>
  <c r="Q75" i="42"/>
  <c r="BK75" i="42"/>
  <c r="BF76" i="42"/>
  <c r="BI82" i="42"/>
  <c r="BJ83" i="42"/>
  <c r="AD84" i="42"/>
  <c r="AG84" i="42" s="1"/>
  <c r="AZ92" i="42"/>
  <c r="BO92" i="42"/>
  <c r="BJ95" i="42"/>
  <c r="BF95" i="42"/>
  <c r="Q95" i="42"/>
  <c r="BI95" i="42"/>
  <c r="AD95" i="42"/>
  <c r="AG95" i="42" s="1"/>
  <c r="AT95" i="42"/>
  <c r="BM95" i="42"/>
  <c r="Q99" i="42"/>
  <c r="AZ100" i="42"/>
  <c r="BL101" i="42"/>
  <c r="Q101" i="42"/>
  <c r="AZ101" i="42"/>
  <c r="BI101" i="42"/>
  <c r="BG107" i="42"/>
  <c r="BL109" i="42"/>
  <c r="BN109" i="42"/>
  <c r="BE109" i="42"/>
  <c r="BJ109" i="42"/>
  <c r="I109" i="42"/>
  <c r="BR109" i="42" s="1"/>
  <c r="BK109" i="42"/>
  <c r="AU112" i="42"/>
  <c r="BF113" i="42"/>
  <c r="BL119" i="42"/>
  <c r="BG121" i="42"/>
  <c r="BN127" i="42"/>
  <c r="BM62" i="42"/>
  <c r="BJ62" i="42"/>
  <c r="AZ62" i="42"/>
  <c r="I62" i="42"/>
  <c r="BE62" i="42"/>
  <c r="BM72" i="42"/>
  <c r="I72" i="42"/>
  <c r="AU72" i="42"/>
  <c r="BO72" i="42"/>
  <c r="BO81" i="42"/>
  <c r="BF81" i="42"/>
  <c r="BM97" i="42"/>
  <c r="AU97" i="42"/>
  <c r="BP97" i="42"/>
  <c r="BG97" i="42"/>
  <c r="BI115" i="42"/>
  <c r="O115" i="42"/>
  <c r="BF115" i="42"/>
  <c r="AU115" i="42"/>
  <c r="BO115" i="42"/>
  <c r="BO128" i="42"/>
  <c r="BF128" i="42"/>
  <c r="J128" i="42"/>
  <c r="BE128" i="42"/>
  <c r="O128" i="42"/>
  <c r="BM128" i="42"/>
  <c r="BL32" i="42"/>
  <c r="BJ32" i="42"/>
  <c r="Q32" i="42"/>
  <c r="AT32" i="42"/>
  <c r="BO43" i="42"/>
  <c r="BN43" i="42"/>
  <c r="BN45" i="42"/>
  <c r="AU45" i="42"/>
  <c r="BF45" i="42"/>
  <c r="BM46" i="42"/>
  <c r="BO50" i="42"/>
  <c r="BI50" i="42"/>
  <c r="J62" i="42"/>
  <c r="BG62" i="42"/>
  <c r="BL65" i="42"/>
  <c r="BJ65" i="42"/>
  <c r="Q65" i="42"/>
  <c r="BH65" i="42"/>
  <c r="AU65" i="42"/>
  <c r="BO73" i="42"/>
  <c r="AT74" i="42"/>
  <c r="O76" i="42"/>
  <c r="J81" i="42"/>
  <c r="BL81" i="42"/>
  <c r="BN83" i="42"/>
  <c r="AZ93" i="42"/>
  <c r="I93" i="42"/>
  <c r="BO93" i="42"/>
  <c r="BG93" i="42"/>
  <c r="I97" i="42"/>
  <c r="BI97" i="42"/>
  <c r="BJ99" i="42"/>
  <c r="BM99" i="42"/>
  <c r="BL99" i="42"/>
  <c r="AT99" i="42"/>
  <c r="J99" i="42"/>
  <c r="BN99" i="42"/>
  <c r="O100" i="42"/>
  <c r="BL107" i="42"/>
  <c r="BI111" i="42"/>
  <c r="O111" i="42"/>
  <c r="BK111" i="42"/>
  <c r="AU111" i="42"/>
  <c r="BO111" i="42"/>
  <c r="BG112" i="42"/>
  <c r="Q113" i="42"/>
  <c r="BI113" i="42"/>
  <c r="I115" i="42"/>
  <c r="AZ116" i="42"/>
  <c r="BP116" i="42"/>
  <c r="J116" i="42"/>
  <c r="O119" i="42"/>
  <c r="BN128" i="42"/>
  <c r="I18" i="42"/>
  <c r="BE18" i="42"/>
  <c r="I20" i="42"/>
  <c r="BN20" i="42"/>
  <c r="J20" i="42"/>
  <c r="AU20" i="42"/>
  <c r="BP20" i="42"/>
  <c r="BH62" i="42"/>
  <c r="BF74" i="42"/>
  <c r="AZ74" i="42"/>
  <c r="AU74" i="42"/>
  <c r="BL75" i="42"/>
  <c r="I75" i="42"/>
  <c r="BN75" i="42"/>
  <c r="AU75" i="42"/>
  <c r="J75" i="42"/>
  <c r="AZ75" i="42"/>
  <c r="BM81" i="42"/>
  <c r="BH84" i="42"/>
  <c r="BM84" i="42"/>
  <c r="O84" i="42"/>
  <c r="BN84" i="42"/>
  <c r="BE84" i="42"/>
  <c r="BL97" i="42"/>
  <c r="BK106" i="42"/>
  <c r="BE106" i="42"/>
  <c r="I106" i="42"/>
  <c r="BJ106" i="42"/>
  <c r="BG106" i="42"/>
  <c r="AD113" i="42"/>
  <c r="AG113" i="42" s="1"/>
  <c r="J115" i="42"/>
  <c r="BE115" i="42"/>
  <c r="BF120" i="42"/>
  <c r="J120" i="42"/>
  <c r="BL120" i="42"/>
  <c r="AU120" i="42"/>
  <c r="BO120" i="42"/>
  <c r="BM120" i="42"/>
  <c r="BG126" i="42"/>
  <c r="AT11" i="42"/>
  <c r="BL11" i="42"/>
  <c r="I50" i="42"/>
  <c r="AZ50" i="42"/>
  <c r="BI62" i="42"/>
  <c r="J65" i="42"/>
  <c r="BE65" i="42"/>
  <c r="J74" i="42"/>
  <c r="BE75" i="42"/>
  <c r="BN76" i="42"/>
  <c r="AU76" i="42"/>
  <c r="BG76" i="42"/>
  <c r="AD76" i="42"/>
  <c r="AG76" i="42" s="1"/>
  <c r="BM76" i="42"/>
  <c r="BL80" i="42"/>
  <c r="O80" i="42"/>
  <c r="BP80" i="42"/>
  <c r="AU80" i="42"/>
  <c r="BG80" i="42"/>
  <c r="BP81" i="42"/>
  <c r="BG84" i="42"/>
  <c r="BO97" i="42"/>
  <c r="BL100" i="42"/>
  <c r="BN100" i="42"/>
  <c r="BE100" i="42"/>
  <c r="BP100" i="42"/>
  <c r="BF100" i="42"/>
  <c r="AD100" i="42"/>
  <c r="AG100" i="42" s="1"/>
  <c r="BJ100" i="42"/>
  <c r="BO110" i="42"/>
  <c r="BE110" i="42"/>
  <c r="BL113" i="42"/>
  <c r="BH113" i="42"/>
  <c r="I113" i="42"/>
  <c r="BM113" i="42"/>
  <c r="BK113" i="42"/>
  <c r="BG115" i="42"/>
  <c r="BG119" i="42"/>
  <c r="BF119" i="42"/>
  <c r="BN119" i="42"/>
  <c r="BK119" i="42"/>
  <c r="AU119" i="42"/>
  <c r="BO127" i="42"/>
  <c r="BE127" i="42"/>
  <c r="J127" i="42"/>
  <c r="BG127" i="42"/>
  <c r="AU127" i="42"/>
  <c r="BL127" i="42"/>
  <c r="BF127" i="42"/>
  <c r="BL46" i="42"/>
  <c r="J11" i="42"/>
  <c r="AU11" i="42"/>
  <c r="I32" i="42"/>
  <c r="AU32" i="42"/>
  <c r="I33" i="42"/>
  <c r="BJ34" i="42"/>
  <c r="I36" i="42"/>
  <c r="BJ36" i="42"/>
  <c r="BI38" i="42"/>
  <c r="J43" i="42"/>
  <c r="AU43" i="42"/>
  <c r="BP43" i="42"/>
  <c r="J45" i="42"/>
  <c r="BG45" i="42"/>
  <c r="AU21" i="42"/>
  <c r="I24" i="42"/>
  <c r="BF24" i="42"/>
  <c r="I26" i="42"/>
  <c r="BR26" i="42" s="1"/>
  <c r="J27" i="42"/>
  <c r="BJ27" i="42"/>
  <c r="BH50" i="42"/>
  <c r="BF107" i="42"/>
  <c r="BK107" i="42"/>
  <c r="O107" i="42"/>
  <c r="AU107" i="42"/>
  <c r="BO107" i="42"/>
  <c r="BF111" i="42"/>
  <c r="J113" i="42"/>
  <c r="BN113" i="42"/>
  <c r="BK115" i="42"/>
  <c r="I119" i="42"/>
  <c r="BR119" i="42" s="1"/>
  <c r="BP120" i="42"/>
  <c r="BL122" i="42"/>
  <c r="Q122" i="42"/>
  <c r="BP122" i="42"/>
  <c r="BH122" i="42"/>
  <c r="BE122" i="42"/>
  <c r="I127" i="42"/>
  <c r="BI127" i="42"/>
  <c r="BL140" i="42"/>
  <c r="BG140" i="42"/>
  <c r="BN140" i="42"/>
  <c r="AU140" i="42"/>
  <c r="BG141" i="42"/>
  <c r="BN59" i="42"/>
  <c r="BL59" i="42"/>
  <c r="AU86" i="42"/>
  <c r="BL105" i="42"/>
  <c r="BI105" i="42"/>
  <c r="J105" i="42"/>
  <c r="BH105" i="42"/>
  <c r="BL125" i="42"/>
  <c r="BJ125" i="42"/>
  <c r="BI125" i="42"/>
  <c r="AD125" i="42"/>
  <c r="AG125" i="42" s="1"/>
  <c r="I125" i="42"/>
  <c r="BM125" i="42"/>
  <c r="BL129" i="42"/>
  <c r="BO129" i="42"/>
  <c r="BF129" i="42"/>
  <c r="O129" i="42"/>
  <c r="P129" i="42" s="1"/>
  <c r="BP129" i="42"/>
  <c r="BE129" i="42"/>
  <c r="BN129" i="42"/>
  <c r="AD129" i="42"/>
  <c r="AG129" i="42" s="1"/>
  <c r="BK129" i="42"/>
  <c r="BO132" i="42"/>
  <c r="BM132" i="42"/>
  <c r="AU132" i="42"/>
  <c r="BF132" i="42"/>
  <c r="I140" i="42"/>
  <c r="BR140" i="42" s="1"/>
  <c r="BK141" i="42"/>
  <c r="L144" i="42"/>
  <c r="BL145" i="42"/>
  <c r="BM145" i="42"/>
  <c r="AZ145" i="42"/>
  <c r="BJ145" i="42"/>
  <c r="I145" i="42"/>
  <c r="BG145" i="42"/>
  <c r="O145" i="42"/>
  <c r="BK145" i="42"/>
  <c r="AD145" i="42"/>
  <c r="AG145" i="42" s="1"/>
  <c r="BI145" i="42"/>
  <c r="Q145" i="42"/>
  <c r="BF145" i="42"/>
  <c r="BE145" i="42"/>
  <c r="BO141" i="42"/>
  <c r="BN155" i="42"/>
  <c r="BI155" i="42"/>
  <c r="O155" i="42"/>
  <c r="AZ155" i="42"/>
  <c r="AD155" i="42"/>
  <c r="AG155" i="42" s="1"/>
  <c r="BM155" i="42"/>
  <c r="Q155" i="42"/>
  <c r="BK155" i="42"/>
  <c r="BG155" i="42"/>
  <c r="BJ155" i="42"/>
  <c r="BL164" i="42"/>
  <c r="BN164" i="42"/>
  <c r="AD164" i="42"/>
  <c r="AG164" i="42" s="1"/>
  <c r="BG164" i="42"/>
  <c r="AT164" i="42"/>
  <c r="BM164" i="42"/>
  <c r="BE164" i="42"/>
  <c r="AU130" i="42"/>
  <c r="BJ130" i="42"/>
  <c r="BI132" i="42"/>
  <c r="BP141" i="42"/>
  <c r="BE125" i="42"/>
  <c r="BP125" i="42"/>
  <c r="AZ129" i="42"/>
  <c r="BM130" i="42"/>
  <c r="BN132" i="42"/>
  <c r="BI142" i="42"/>
  <c r="O142" i="42"/>
  <c r="BM142" i="42"/>
  <c r="BH142" i="42"/>
  <c r="BO142" i="42"/>
  <c r="Q142" i="42"/>
  <c r="BL142" i="42"/>
  <c r="BE142" i="42"/>
  <c r="BJ142" i="42"/>
  <c r="BO145" i="42"/>
  <c r="J164" i="42"/>
  <c r="BP164" i="42"/>
  <c r="BL141" i="42"/>
  <c r="BM141" i="42"/>
  <c r="AZ141" i="42"/>
  <c r="BN141" i="42"/>
  <c r="BI141" i="42"/>
  <c r="J141" i="42"/>
  <c r="BJ141" i="42"/>
  <c r="Q141" i="42"/>
  <c r="BH141" i="42"/>
  <c r="O141" i="42"/>
  <c r="BF141" i="42"/>
  <c r="BM143" i="42"/>
  <c r="AU143" i="42"/>
  <c r="BF143" i="42"/>
  <c r="O143" i="42"/>
  <c r="BO143" i="42"/>
  <c r="AD143" i="42"/>
  <c r="AG143" i="42" s="1"/>
  <c r="BK143" i="42"/>
  <c r="BG143" i="42"/>
  <c r="BE143" i="42"/>
  <c r="O154" i="42"/>
  <c r="Q158" i="42"/>
  <c r="BI168" i="42"/>
  <c r="BG168" i="42"/>
  <c r="J168" i="42"/>
  <c r="BH168" i="42"/>
  <c r="BK171" i="42"/>
  <c r="BI171" i="42"/>
  <c r="AZ171" i="42"/>
  <c r="BK178" i="42"/>
  <c r="AT178" i="42"/>
  <c r="BI178" i="42"/>
  <c r="O178" i="42"/>
  <c r="BM178" i="42"/>
  <c r="BH178" i="42"/>
  <c r="AZ178" i="42"/>
  <c r="BG181" i="42"/>
  <c r="AD188" i="42"/>
  <c r="AG188" i="42" s="1"/>
  <c r="BL188" i="42"/>
  <c r="BK188" i="42"/>
  <c r="BI202" i="42"/>
  <c r="O202" i="42"/>
  <c r="BE202" i="42"/>
  <c r="BM202" i="42"/>
  <c r="BL202" i="42"/>
  <c r="AU202" i="42"/>
  <c r="J202" i="42"/>
  <c r="I202" i="42"/>
  <c r="AZ202" i="42"/>
  <c r="BJ187" i="42"/>
  <c r="BI187" i="42"/>
  <c r="BM187" i="42"/>
  <c r="BL207" i="42"/>
  <c r="BG207" i="42"/>
  <c r="O207" i="42"/>
  <c r="BN207" i="42"/>
  <c r="BM207" i="42"/>
  <c r="BK207" i="42"/>
  <c r="J207" i="42"/>
  <c r="AD207" i="42"/>
  <c r="AG207" i="42" s="1"/>
  <c r="BJ207" i="42"/>
  <c r="BH207" i="42"/>
  <c r="BF207" i="42"/>
  <c r="BO29" i="42"/>
  <c r="BF35" i="42"/>
  <c r="BP58" i="42"/>
  <c r="BO94" i="42"/>
  <c r="Q96" i="42"/>
  <c r="BG96" i="42"/>
  <c r="BP96" i="42"/>
  <c r="AD103" i="42"/>
  <c r="AG103" i="42" s="1"/>
  <c r="BM108" i="42"/>
  <c r="BJ114" i="42"/>
  <c r="BL117" i="42"/>
  <c r="BJ117" i="42"/>
  <c r="AD117" i="42"/>
  <c r="AG117" i="42" s="1"/>
  <c r="BH117" i="42"/>
  <c r="BM135" i="42"/>
  <c r="BG135" i="42"/>
  <c r="BF135" i="42"/>
  <c r="AU135" i="42"/>
  <c r="BG148" i="42"/>
  <c r="O148" i="42"/>
  <c r="BL148" i="42"/>
  <c r="BF148" i="42"/>
  <c r="AT148" i="42"/>
  <c r="BP148" i="42"/>
  <c r="BE152" i="42"/>
  <c r="BO152" i="42"/>
  <c r="BL152" i="42"/>
  <c r="BL153" i="42"/>
  <c r="BP153" i="42"/>
  <c r="BG153" i="42"/>
  <c r="AD153" i="42"/>
  <c r="AG153" i="42" s="1"/>
  <c r="I153" i="42"/>
  <c r="BH153" i="42"/>
  <c r="Q153" i="42"/>
  <c r="BN153" i="42"/>
  <c r="AZ153" i="42"/>
  <c r="BM153" i="42"/>
  <c r="AZ154" i="42"/>
  <c r="BL157" i="42"/>
  <c r="BO157" i="42"/>
  <c r="BF157" i="42"/>
  <c r="O157" i="42"/>
  <c r="BP157" i="42"/>
  <c r="BE157" i="42"/>
  <c r="BK157" i="42"/>
  <c r="AT157" i="42"/>
  <c r="J157" i="42"/>
  <c r="BN157" i="42"/>
  <c r="AU158" i="42"/>
  <c r="BL161" i="42"/>
  <c r="BM161" i="42"/>
  <c r="AZ161" i="42"/>
  <c r="BI161" i="42"/>
  <c r="J161" i="42"/>
  <c r="BP161" i="42"/>
  <c r="BF161" i="42"/>
  <c r="O161" i="42"/>
  <c r="BN161" i="42"/>
  <c r="AT162" i="42"/>
  <c r="Q165" i="42"/>
  <c r="BM168" i="42"/>
  <c r="AD169" i="42"/>
  <c r="AG169" i="42" s="1"/>
  <c r="BM171" i="42"/>
  <c r="L177" i="42"/>
  <c r="P177" i="42" s="1"/>
  <c r="BJ178" i="42"/>
  <c r="BJ179" i="42"/>
  <c r="BE180" i="42"/>
  <c r="O181" i="42"/>
  <c r="BM181" i="42"/>
  <c r="J187" i="42"/>
  <c r="BL190" i="42"/>
  <c r="AT190" i="42"/>
  <c r="BH190" i="42"/>
  <c r="BP192" i="42"/>
  <c r="BF192" i="42"/>
  <c r="BN192" i="42"/>
  <c r="AZ192" i="42"/>
  <c r="J192" i="42"/>
  <c r="BO192" i="42"/>
  <c r="AU192" i="42"/>
  <c r="BJ192" i="42"/>
  <c r="BG192" i="42"/>
  <c r="BN193" i="42"/>
  <c r="I207" i="42"/>
  <c r="BO207" i="42"/>
  <c r="BL136" i="42"/>
  <c r="J136" i="42"/>
  <c r="BL137" i="42"/>
  <c r="BH137" i="42"/>
  <c r="Q137" i="42"/>
  <c r="BM137" i="42"/>
  <c r="I137" i="42"/>
  <c r="BR137" i="42" s="1"/>
  <c r="AZ137" i="42"/>
  <c r="BO137" i="42"/>
  <c r="L148" i="42"/>
  <c r="BI150" i="42"/>
  <c r="O150" i="42"/>
  <c r="BG150" i="42"/>
  <c r="BH150" i="42"/>
  <c r="BL165" i="42"/>
  <c r="BJ165" i="42"/>
  <c r="AT165" i="42"/>
  <c r="BO165" i="42"/>
  <c r="BE165" i="42"/>
  <c r="BK165" i="42"/>
  <c r="J165" i="42"/>
  <c r="AD165" i="42"/>
  <c r="AG165" i="42" s="1"/>
  <c r="BM165" i="42"/>
  <c r="BI167" i="42"/>
  <c r="Q167" i="42"/>
  <c r="I167" i="42"/>
  <c r="BR167" i="42" s="1"/>
  <c r="BM167" i="42"/>
  <c r="AZ167" i="42"/>
  <c r="BL169" i="42"/>
  <c r="BN169" i="42"/>
  <c r="BE169" i="42"/>
  <c r="BO169" i="42"/>
  <c r="AZ169" i="42"/>
  <c r="BJ169" i="42"/>
  <c r="I169" i="42"/>
  <c r="BM169" i="42"/>
  <c r="BN171" i="42"/>
  <c r="BE175" i="42"/>
  <c r="AZ175" i="42"/>
  <c r="BL178" i="42"/>
  <c r="AD181" i="42"/>
  <c r="AG181" i="42" s="1"/>
  <c r="BO181" i="42"/>
  <c r="AU182" i="42"/>
  <c r="BL185" i="42"/>
  <c r="BM185" i="42"/>
  <c r="AZ185" i="42"/>
  <c r="BJ185" i="42"/>
  <c r="I185" i="42"/>
  <c r="BK185" i="42"/>
  <c r="AD185" i="42"/>
  <c r="AG185" i="42" s="1"/>
  <c r="BG185" i="42"/>
  <c r="I190" i="42"/>
  <c r="BI190" i="42"/>
  <c r="I192" i="42"/>
  <c r="BH192" i="42"/>
  <c r="AD193" i="42"/>
  <c r="AG193" i="42" s="1"/>
  <c r="BP195" i="42"/>
  <c r="BE195" i="42"/>
  <c r="J195" i="42"/>
  <c r="BN195" i="42"/>
  <c r="AT195" i="42"/>
  <c r="BF195" i="42"/>
  <c r="BO195" i="42"/>
  <c r="O195" i="42"/>
  <c r="BM195" i="42"/>
  <c r="BL195" i="42"/>
  <c r="BP207" i="42"/>
  <c r="BI151" i="42"/>
  <c r="I151" i="42"/>
  <c r="BP154" i="42"/>
  <c r="AU154" i="42"/>
  <c r="BL154" i="42"/>
  <c r="AT154" i="42"/>
  <c r="BM154" i="42"/>
  <c r="BM156" i="42"/>
  <c r="BO156" i="42"/>
  <c r="I156" i="42"/>
  <c r="BO158" i="42"/>
  <c r="AT158" i="42"/>
  <c r="BI158" i="42"/>
  <c r="BG158" i="42"/>
  <c r="BP160" i="42"/>
  <c r="BE160" i="42"/>
  <c r="BH162" i="42"/>
  <c r="O162" i="42"/>
  <c r="BE162" i="42"/>
  <c r="AU162" i="42"/>
  <c r="AZ162" i="42"/>
  <c r="AD168" i="42"/>
  <c r="AG168" i="42" s="1"/>
  <c r="BK179" i="42"/>
  <c r="BK180" i="42"/>
  <c r="BG180" i="42"/>
  <c r="AZ180" i="42"/>
  <c r="I180" i="42"/>
  <c r="AD180" i="42"/>
  <c r="AG180" i="42" s="1"/>
  <c r="BN180" i="42"/>
  <c r="BL180" i="42"/>
  <c r="BP181" i="42"/>
  <c r="BK190" i="42"/>
  <c r="BL192" i="42"/>
  <c r="BO196" i="42"/>
  <c r="BM196" i="42"/>
  <c r="BH196" i="42"/>
  <c r="BE196" i="42"/>
  <c r="AU196" i="42"/>
  <c r="BL196" i="42"/>
  <c r="BL170" i="42"/>
  <c r="Q170" i="42"/>
  <c r="AT170" i="42"/>
  <c r="BJ170" i="42"/>
  <c r="BH170" i="42"/>
  <c r="BM182" i="42"/>
  <c r="BI182" i="42"/>
  <c r="BH182" i="42"/>
  <c r="BL181" i="42"/>
  <c r="BK181" i="42"/>
  <c r="BI181" i="42"/>
  <c r="I181" i="42"/>
  <c r="BR181" i="42" s="1"/>
  <c r="BN181" i="42"/>
  <c r="AT181" i="42"/>
  <c r="J181" i="42"/>
  <c r="BH181" i="42"/>
  <c r="Q181" i="42"/>
  <c r="BE181" i="42"/>
  <c r="BI193" i="42"/>
  <c r="BG193" i="42"/>
  <c r="O193" i="42"/>
  <c r="BO193" i="42"/>
  <c r="BK193" i="42"/>
  <c r="Q207" i="42"/>
  <c r="BF181" i="42"/>
  <c r="BN187" i="42"/>
  <c r="BM223" i="42"/>
  <c r="BO223" i="42"/>
  <c r="BL223" i="42"/>
  <c r="BH223" i="42"/>
  <c r="I223" i="42"/>
  <c r="BI198" i="42"/>
  <c r="BF198" i="42"/>
  <c r="BE198" i="42"/>
  <c r="BL211" i="42"/>
  <c r="BH211" i="42"/>
  <c r="BO211" i="42"/>
  <c r="BE211" i="42"/>
  <c r="O211" i="42"/>
  <c r="BK211" i="42"/>
  <c r="BJ211" i="42"/>
  <c r="J211" i="42"/>
  <c r="BI211" i="42"/>
  <c r="I211" i="42"/>
  <c r="BR211" i="42" s="1"/>
  <c r="AZ211" i="42"/>
  <c r="O217" i="42"/>
  <c r="BG144" i="42"/>
  <c r="BH146" i="42"/>
  <c r="O146" i="42"/>
  <c r="BI146" i="42"/>
  <c r="O159" i="42"/>
  <c r="AU163" i="42"/>
  <c r="BL189" i="42"/>
  <c r="BO189" i="42"/>
  <c r="BF189" i="42"/>
  <c r="Q189" i="42"/>
  <c r="BM189" i="42"/>
  <c r="AZ189" i="42"/>
  <c r="BJ189" i="42"/>
  <c r="BI197" i="42"/>
  <c r="AD197" i="42"/>
  <c r="AG197" i="42" s="1"/>
  <c r="BG197" i="42"/>
  <c r="BH198" i="42"/>
  <c r="AZ205" i="42"/>
  <c r="BO205" i="42"/>
  <c r="BF211" i="42"/>
  <c r="AD218" i="42"/>
  <c r="AG218" i="42" s="1"/>
  <c r="BM228" i="42"/>
  <c r="AT228" i="42"/>
  <c r="BJ228" i="42"/>
  <c r="BH228" i="42"/>
  <c r="Q228" i="42"/>
  <c r="BP228" i="42"/>
  <c r="BK217" i="42"/>
  <c r="BL217" i="42"/>
  <c r="BN217" i="42"/>
  <c r="BI217" i="42"/>
  <c r="BG217" i="42"/>
  <c r="AZ217" i="42"/>
  <c r="BJ242" i="42"/>
  <c r="BF242" i="42"/>
  <c r="I242" i="42"/>
  <c r="AD242" i="42"/>
  <c r="AG242" i="42" s="1"/>
  <c r="BO242" i="42"/>
  <c r="J242" i="42"/>
  <c r="AZ242" i="42"/>
  <c r="L131" i="42"/>
  <c r="P131" i="42" s="1"/>
  <c r="BK159" i="42"/>
  <c r="Q159" i="42"/>
  <c r="AU159" i="42"/>
  <c r="L173" i="42"/>
  <c r="BL177" i="42"/>
  <c r="BP177" i="42"/>
  <c r="BG177" i="42"/>
  <c r="Q177" i="42"/>
  <c r="BN177" i="42"/>
  <c r="BE177" i="42"/>
  <c r="BK177" i="42"/>
  <c r="BP189" i="42"/>
  <c r="BL197" i="42"/>
  <c r="O198" i="42"/>
  <c r="BN210" i="42"/>
  <c r="AU210" i="42"/>
  <c r="I210" i="42"/>
  <c r="BI210" i="42"/>
  <c r="O210" i="42"/>
  <c r="BH210" i="42"/>
  <c r="BF210" i="42"/>
  <c r="BE210" i="42"/>
  <c r="Q211" i="42"/>
  <c r="BN211" i="42"/>
  <c r="J217" i="42"/>
  <c r="BF217" i="42"/>
  <c r="AZ223" i="42"/>
  <c r="L204" i="42"/>
  <c r="AD211" i="42"/>
  <c r="AG211" i="42" s="1"/>
  <c r="BP211" i="42"/>
  <c r="BK213" i="42"/>
  <c r="BG213" i="42"/>
  <c r="BJ213" i="42"/>
  <c r="BO213" i="42"/>
  <c r="BM218" i="42"/>
  <c r="AU218" i="42"/>
  <c r="BN218" i="42"/>
  <c r="BG218" i="42"/>
  <c r="AZ218" i="42"/>
  <c r="BK219" i="42"/>
  <c r="BI219" i="42"/>
  <c r="BO219" i="42"/>
  <c r="BN219" i="42"/>
  <c r="BH219" i="42"/>
  <c r="BG223" i="42"/>
  <c r="J251" i="42"/>
  <c r="BI251" i="42"/>
  <c r="BM263" i="42"/>
  <c r="BL263" i="42"/>
  <c r="BL254" i="42"/>
  <c r="BJ254" i="42"/>
  <c r="J254" i="42"/>
  <c r="BO254" i="42"/>
  <c r="BF254" i="42"/>
  <c r="O254" i="42"/>
  <c r="BN254" i="42"/>
  <c r="BE254" i="42"/>
  <c r="BP254" i="42"/>
  <c r="BI266" i="42"/>
  <c r="BP266" i="42"/>
  <c r="BL131" i="42"/>
  <c r="BK139" i="42"/>
  <c r="BE147" i="42"/>
  <c r="Q149" i="42"/>
  <c r="BF149" i="42"/>
  <c r="BO149" i="42"/>
  <c r="BL172" i="42"/>
  <c r="O173" i="42"/>
  <c r="BF173" i="42"/>
  <c r="BO173" i="42"/>
  <c r="BO183" i="42"/>
  <c r="AU194" i="42"/>
  <c r="AD203" i="42"/>
  <c r="AG203" i="42" s="1"/>
  <c r="BK203" i="42"/>
  <c r="BH204" i="42"/>
  <c r="BO208" i="42"/>
  <c r="AD209" i="42"/>
  <c r="AG209" i="42" s="1"/>
  <c r="BK209" i="42"/>
  <c r="BM214" i="42"/>
  <c r="O215" i="42"/>
  <c r="BF215" i="42"/>
  <c r="Q222" i="42"/>
  <c r="O224" i="42"/>
  <c r="BN224" i="42"/>
  <c r="AZ226" i="42"/>
  <c r="BO226" i="42"/>
  <c r="O227" i="42"/>
  <c r="AD229" i="42"/>
  <c r="AG229" i="42" s="1"/>
  <c r="BL231" i="42"/>
  <c r="BF231" i="42"/>
  <c r="BK231" i="42"/>
  <c r="BM233" i="42"/>
  <c r="BI233" i="42"/>
  <c r="BN233" i="42"/>
  <c r="AZ233" i="42"/>
  <c r="AT233" i="42"/>
  <c r="BL233" i="42"/>
  <c r="BJ234" i="42"/>
  <c r="AU239" i="42"/>
  <c r="AD243" i="42"/>
  <c r="AG243" i="42" s="1"/>
  <c r="BH247" i="42"/>
  <c r="BL250" i="42"/>
  <c r="BF250" i="42"/>
  <c r="BO250" i="42"/>
  <c r="BJ250" i="42"/>
  <c r="O250" i="42"/>
  <c r="BO251" i="42"/>
  <c r="I254" i="42"/>
  <c r="BR254" i="42" s="1"/>
  <c r="BJ255" i="42"/>
  <c r="BI255" i="42"/>
  <c r="BL258" i="42"/>
  <c r="BO258" i="42"/>
  <c r="BF258" i="42"/>
  <c r="O258" i="42"/>
  <c r="P258" i="42" s="1"/>
  <c r="BJ258" i="42"/>
  <c r="BI258" i="42"/>
  <c r="J258" i="42"/>
  <c r="CB258" i="42" s="1"/>
  <c r="CC258" i="42" s="1"/>
  <c r="BN258" i="42"/>
  <c r="BL262" i="42"/>
  <c r="BJ262" i="42"/>
  <c r="J262" i="42"/>
  <c r="BI262" i="42"/>
  <c r="I262" i="42"/>
  <c r="BO262" i="42"/>
  <c r="BF262" i="42"/>
  <c r="O262" i="42"/>
  <c r="BN262" i="42"/>
  <c r="BE262" i="42"/>
  <c r="AZ262" i="42"/>
  <c r="BL215" i="42"/>
  <c r="BJ215" i="42"/>
  <c r="Q215" i="42"/>
  <c r="BG215" i="42"/>
  <c r="BL216" i="42"/>
  <c r="BH216" i="42"/>
  <c r="AZ216" i="42"/>
  <c r="BL222" i="42"/>
  <c r="BK222" i="42"/>
  <c r="AD222" i="42"/>
  <c r="AG222" i="42" s="1"/>
  <c r="BI222" i="42"/>
  <c r="BO229" i="42"/>
  <c r="J229" i="42"/>
  <c r="BL230" i="42"/>
  <c r="BM230" i="42"/>
  <c r="O234" i="42"/>
  <c r="BM234" i="42"/>
  <c r="AT235" i="42"/>
  <c r="BJ243" i="42"/>
  <c r="BN243" i="42"/>
  <c r="AZ243" i="42"/>
  <c r="BI243" i="42"/>
  <c r="I243" i="42"/>
  <c r="BR243" i="42" s="1"/>
  <c r="BM243" i="42"/>
  <c r="BP251" i="42"/>
  <c r="AZ254" i="42"/>
  <c r="AD173" i="42"/>
  <c r="AG173" i="42" s="1"/>
  <c r="BH173" i="42"/>
  <c r="AZ174" i="42"/>
  <c r="BJ204" i="42"/>
  <c r="AU208" i="42"/>
  <c r="I215" i="42"/>
  <c r="AD215" i="42"/>
  <c r="AG215" i="42" s="1"/>
  <c r="BH215" i="42"/>
  <c r="I216" i="42"/>
  <c r="BG216" i="42"/>
  <c r="BP220" i="42"/>
  <c r="BG220" i="42"/>
  <c r="O220" i="42"/>
  <c r="AU220" i="42"/>
  <c r="BN220" i="42"/>
  <c r="I222" i="42"/>
  <c r="BJ222" i="42"/>
  <c r="AU224" i="42"/>
  <c r="L225" i="42"/>
  <c r="P225" i="42" s="1"/>
  <c r="BO227" i="42"/>
  <c r="BP227" i="42"/>
  <c r="BE227" i="42"/>
  <c r="AD227" i="42"/>
  <c r="AG227" i="42" s="1"/>
  <c r="BK227" i="42"/>
  <c r="I229" i="42"/>
  <c r="BE229" i="42"/>
  <c r="Q234" i="42"/>
  <c r="BK237" i="42"/>
  <c r="AU237" i="42"/>
  <c r="BG237" i="42"/>
  <c r="BN239" i="42"/>
  <c r="AZ239" i="42"/>
  <c r="I239" i="42"/>
  <c r="BH239" i="42"/>
  <c r="BE239" i="42"/>
  <c r="BG240" i="42"/>
  <c r="O240" i="42"/>
  <c r="BL240" i="42"/>
  <c r="AT240" i="42"/>
  <c r="J240" i="42"/>
  <c r="J243" i="42"/>
  <c r="AU243" i="42"/>
  <c r="BO243" i="42"/>
  <c r="BK247" i="42"/>
  <c r="BI249" i="42"/>
  <c r="BO249" i="42"/>
  <c r="BE249" i="42"/>
  <c r="BG254" i="42"/>
  <c r="AZ224" i="42"/>
  <c r="BO234" i="42"/>
  <c r="BK234" i="42"/>
  <c r="AD234" i="42"/>
  <c r="AG234" i="42" s="1"/>
  <c r="I234" i="42"/>
  <c r="BF234" i="42"/>
  <c r="BP234" i="42"/>
  <c r="BK235" i="42"/>
  <c r="L237" i="42"/>
  <c r="AD247" i="42"/>
  <c r="AG247" i="42" s="1"/>
  <c r="BH254" i="42"/>
  <c r="BL235" i="42"/>
  <c r="Q254" i="42"/>
  <c r="BI254" i="42"/>
  <c r="BH266" i="42"/>
  <c r="BJ208" i="42"/>
  <c r="BM215" i="42"/>
  <c r="BO216" i="42"/>
  <c r="BE222" i="42"/>
  <c r="BO222" i="42"/>
  <c r="BM226" i="42"/>
  <c r="BL226" i="42"/>
  <c r="AD226" i="42"/>
  <c r="AG226" i="42" s="1"/>
  <c r="BJ226" i="42"/>
  <c r="BE234" i="42"/>
  <c r="BF243" i="42"/>
  <c r="BJ247" i="42"/>
  <c r="BL247" i="42"/>
  <c r="AU247" i="42"/>
  <c r="BF247" i="42"/>
  <c r="Q247" i="42"/>
  <c r="BO247" i="42"/>
  <c r="BE247" i="42"/>
  <c r="O247" i="42"/>
  <c r="BF251" i="42"/>
  <c r="BK251" i="42"/>
  <c r="AD251" i="42"/>
  <c r="AG251" i="42" s="1"/>
  <c r="BJ251" i="42"/>
  <c r="O251" i="42"/>
  <c r="BH251" i="42"/>
  <c r="AD254" i="42"/>
  <c r="AG254" i="42" s="1"/>
  <c r="BK254" i="42"/>
  <c r="Q281" i="42"/>
  <c r="AZ285" i="42"/>
  <c r="BN285" i="42"/>
  <c r="J287" i="42"/>
  <c r="L246" i="42"/>
  <c r="BK261" i="42"/>
  <c r="BI268" i="42"/>
  <c r="BH277" i="42"/>
  <c r="BE282" i="42"/>
  <c r="BN282" i="42"/>
  <c r="AZ284" i="42"/>
  <c r="BE285" i="42"/>
  <c r="BP285" i="42"/>
  <c r="BF287" i="42"/>
  <c r="BF290" i="42"/>
  <c r="BP291" i="42"/>
  <c r="BM294" i="42"/>
  <c r="AD295" i="42"/>
  <c r="AG295" i="42" s="1"/>
  <c r="BN295" i="42"/>
  <c r="AU296" i="42"/>
  <c r="AU299" i="42"/>
  <c r="AZ212" i="42"/>
  <c r="BH232" i="42"/>
  <c r="BJ241" i="42"/>
  <c r="Q248" i="42"/>
  <c r="BG248" i="42"/>
  <c r="BP248" i="42"/>
  <c r="BK253" i="42"/>
  <c r="O261" i="42"/>
  <c r="BO261" i="42"/>
  <c r="Q268" i="42"/>
  <c r="BM268" i="42"/>
  <c r="BI277" i="42"/>
  <c r="BI281" i="42"/>
  <c r="O282" i="42"/>
  <c r="BF282" i="42"/>
  <c r="BO282" i="42"/>
  <c r="BJ284" i="42"/>
  <c r="O285" i="42"/>
  <c r="BF285" i="42"/>
  <c r="BH287" i="42"/>
  <c r="BG290" i="42"/>
  <c r="AD294" i="42"/>
  <c r="AG294" i="42" s="1"/>
  <c r="BN294" i="42"/>
  <c r="BO295" i="42"/>
  <c r="BF296" i="42"/>
  <c r="Q282" i="42"/>
  <c r="BG282" i="42"/>
  <c r="BP282" i="42"/>
  <c r="Q285" i="42"/>
  <c r="BH285" i="42"/>
  <c r="BI287" i="42"/>
  <c r="BF291" i="42"/>
  <c r="BP294" i="42"/>
  <c r="BP295" i="42"/>
  <c r="BG296" i="42"/>
  <c r="AD285" i="42"/>
  <c r="AG285" i="42" s="1"/>
  <c r="BJ285" i="42"/>
  <c r="AU294" i="42"/>
  <c r="BN296" i="42"/>
  <c r="BP299" i="42"/>
  <c r="I285" i="42"/>
  <c r="BK285" i="42"/>
  <c r="AU241" i="42"/>
  <c r="BF257" i="42"/>
  <c r="J261" i="42"/>
  <c r="BE261" i="42"/>
  <c r="BJ282" i="42"/>
  <c r="J285" i="42"/>
  <c r="BL285" i="42"/>
  <c r="BP287" i="42"/>
  <c r="BJ291" i="42"/>
  <c r="J294" i="42"/>
  <c r="BF294" i="42"/>
  <c r="BG295" i="42"/>
  <c r="BP296" i="42"/>
  <c r="AU285" i="42"/>
  <c r="BH295" i="42"/>
  <c r="Q52" i="42"/>
  <c r="AU17" i="42"/>
  <c r="BM17" i="42"/>
  <c r="O15" i="42"/>
  <c r="BP15" i="42"/>
  <c r="AD17" i="42"/>
  <c r="AG17" i="42" s="1"/>
  <c r="BO17" i="42"/>
  <c r="BM19" i="42"/>
  <c r="BE19" i="42"/>
  <c r="Q19" i="42"/>
  <c r="I19" i="42"/>
  <c r="BN19" i="42"/>
  <c r="AT19" i="42"/>
  <c r="BL19" i="42"/>
  <c r="BG19" i="42"/>
  <c r="O19" i="42"/>
  <c r="BI19" i="42"/>
  <c r="BH19" i="42"/>
  <c r="BI13" i="42"/>
  <c r="AZ13" i="42"/>
  <c r="BK13" i="42"/>
  <c r="J13" i="42"/>
  <c r="BJ13" i="42"/>
  <c r="AD13" i="42"/>
  <c r="AG13" i="42" s="1"/>
  <c r="Q13" i="42"/>
  <c r="I13" i="42"/>
  <c r="BF13" i="42"/>
  <c r="AT13" i="42"/>
  <c r="BH13" i="42"/>
  <c r="BL13" i="42"/>
  <c r="AZ15" i="42"/>
  <c r="BO16" i="42"/>
  <c r="BG16" i="42"/>
  <c r="BL16" i="42"/>
  <c r="BK16" i="42"/>
  <c r="J16" i="42"/>
  <c r="BH16" i="42"/>
  <c r="AU16" i="42"/>
  <c r="BJ16" i="42"/>
  <c r="I16" i="42"/>
  <c r="BI16" i="42"/>
  <c r="BP17" i="42"/>
  <c r="J19" i="42"/>
  <c r="BJ19" i="42"/>
  <c r="BI37" i="42"/>
  <c r="AZ37" i="42"/>
  <c r="BP37" i="42"/>
  <c r="BG37" i="42"/>
  <c r="O37" i="42"/>
  <c r="BJ37" i="42"/>
  <c r="BH37" i="42"/>
  <c r="I37" i="42"/>
  <c r="BM37" i="42"/>
  <c r="BF37" i="42"/>
  <c r="BE37" i="42"/>
  <c r="J37" i="42"/>
  <c r="BL37" i="42"/>
  <c r="BI57" i="42"/>
  <c r="AZ57" i="42"/>
  <c r="BM57" i="42"/>
  <c r="BJ57" i="42"/>
  <c r="BH57" i="42"/>
  <c r="BG57" i="42"/>
  <c r="BP57" i="42"/>
  <c r="I57" i="42"/>
  <c r="BL57" i="42"/>
  <c r="O57" i="42"/>
  <c r="BK57" i="42"/>
  <c r="AU57" i="42"/>
  <c r="AD57" i="42"/>
  <c r="AG57" i="42" s="1"/>
  <c r="BE57" i="42"/>
  <c r="BO60" i="42"/>
  <c r="BG60" i="42"/>
  <c r="BN60" i="42"/>
  <c r="BE60" i="42"/>
  <c r="AU60" i="42"/>
  <c r="BK60" i="42"/>
  <c r="AZ60" i="42"/>
  <c r="BJ60" i="42"/>
  <c r="J60" i="42"/>
  <c r="BL60" i="42"/>
  <c r="O60" i="42"/>
  <c r="BF60" i="42"/>
  <c r="AD60" i="42"/>
  <c r="AG60" i="42" s="1"/>
  <c r="BI60" i="42"/>
  <c r="AU13" i="42"/>
  <c r="BM13" i="42"/>
  <c r="AT16" i="42"/>
  <c r="BM16" i="42"/>
  <c r="O17" i="42"/>
  <c r="BK18" i="42"/>
  <c r="AT18" i="42"/>
  <c r="O18" i="42"/>
  <c r="BM18" i="42"/>
  <c r="BL18" i="42"/>
  <c r="J18" i="42"/>
  <c r="BO18" i="42"/>
  <c r="AZ18" i="42"/>
  <c r="BF18" i="42"/>
  <c r="AD18" i="42"/>
  <c r="AG18" i="42" s="1"/>
  <c r="BG18" i="42"/>
  <c r="AD19" i="42"/>
  <c r="AG19" i="42" s="1"/>
  <c r="AU19" i="42"/>
  <c r="BK19" i="42"/>
  <c r="BK22" i="42"/>
  <c r="O22" i="42"/>
  <c r="BN22" i="42"/>
  <c r="BE22" i="42"/>
  <c r="AU22" i="42"/>
  <c r="BM22" i="42"/>
  <c r="BP22" i="42"/>
  <c r="BG22" i="42"/>
  <c r="BF22" i="42"/>
  <c r="O24" i="42"/>
  <c r="O27" i="42"/>
  <c r="BN37" i="42"/>
  <c r="AT49" i="42"/>
  <c r="J57" i="42"/>
  <c r="BF57" i="42"/>
  <c r="I60" i="42"/>
  <c r="BM60" i="42"/>
  <c r="BH63" i="42"/>
  <c r="BM66" i="42"/>
  <c r="BE66" i="42"/>
  <c r="BP66" i="42"/>
  <c r="BG66" i="42"/>
  <c r="O66" i="42"/>
  <c r="BK66" i="42"/>
  <c r="AZ66" i="42"/>
  <c r="BO66" i="42"/>
  <c r="BN66" i="42"/>
  <c r="BH66" i="42"/>
  <c r="I66" i="42"/>
  <c r="Q66" i="42"/>
  <c r="BL66" i="42"/>
  <c r="AU66" i="42"/>
  <c r="BJ66" i="42"/>
  <c r="AT66" i="42"/>
  <c r="AD66" i="42"/>
  <c r="AG66" i="42" s="1"/>
  <c r="BI66" i="42"/>
  <c r="J66" i="42"/>
  <c r="BO37" i="42"/>
  <c r="BO52" i="42"/>
  <c r="BG52" i="42"/>
  <c r="BL52" i="42"/>
  <c r="BF52" i="42"/>
  <c r="AU52" i="42"/>
  <c r="BP52" i="42"/>
  <c r="BE52" i="42"/>
  <c r="AT52" i="42"/>
  <c r="J52" i="42"/>
  <c r="BM52" i="42"/>
  <c r="BI52" i="42"/>
  <c r="BH52" i="42"/>
  <c r="AD52" i="42"/>
  <c r="AG52" i="42" s="1"/>
  <c r="I52" i="42"/>
  <c r="BJ52" i="42"/>
  <c r="AD55" i="42"/>
  <c r="AG55" i="42" s="1"/>
  <c r="BO57" i="42"/>
  <c r="BP13" i="42"/>
  <c r="AT15" i="42"/>
  <c r="AZ16" i="42"/>
  <c r="AZ19" i="42"/>
  <c r="BI21" i="42"/>
  <c r="AZ21" i="42"/>
  <c r="BM21" i="42"/>
  <c r="AT21" i="42"/>
  <c r="BL21" i="42"/>
  <c r="BK21" i="42"/>
  <c r="J21" i="42"/>
  <c r="BO21" i="42"/>
  <c r="BG21" i="42"/>
  <c r="BO24" i="42"/>
  <c r="BG24" i="42"/>
  <c r="BN24" i="42"/>
  <c r="BE24" i="42"/>
  <c r="AU24" i="42"/>
  <c r="BM24" i="42"/>
  <c r="AT24" i="42"/>
  <c r="BL24" i="42"/>
  <c r="AZ24" i="42"/>
  <c r="J24" i="42"/>
  <c r="BP24" i="42"/>
  <c r="BK24" i="42"/>
  <c r="BM27" i="42"/>
  <c r="BE27" i="42"/>
  <c r="Q27" i="42"/>
  <c r="I27" i="42"/>
  <c r="BP27" i="42"/>
  <c r="BG27" i="42"/>
  <c r="BO27" i="42"/>
  <c r="BF27" i="42"/>
  <c r="AU27" i="42"/>
  <c r="BN27" i="42"/>
  <c r="AD27" i="42"/>
  <c r="AG27" i="42" s="1"/>
  <c r="AT27" i="42"/>
  <c r="BL27" i="42"/>
  <c r="Q37" i="42"/>
  <c r="AU37" i="42"/>
  <c r="BE49" i="42"/>
  <c r="BK52" i="42"/>
  <c r="Q53" i="42"/>
  <c r="BM55" i="42"/>
  <c r="BE55" i="42"/>
  <c r="Q55" i="42"/>
  <c r="I55" i="42"/>
  <c r="BN55" i="42"/>
  <c r="BP55" i="42"/>
  <c r="BF55" i="42"/>
  <c r="BO55" i="42"/>
  <c r="BK55" i="42"/>
  <c r="O55" i="42"/>
  <c r="BH55" i="42"/>
  <c r="AZ55" i="42"/>
  <c r="BL55" i="42"/>
  <c r="BI55" i="42"/>
  <c r="BE56" i="42"/>
  <c r="BK58" i="42"/>
  <c r="O58" i="42"/>
  <c r="BN58" i="42"/>
  <c r="BE58" i="42"/>
  <c r="AU58" i="42"/>
  <c r="BH58" i="42"/>
  <c r="J58" i="42"/>
  <c r="BG58" i="42"/>
  <c r="I58" i="42"/>
  <c r="BJ58" i="42"/>
  <c r="AD58" i="42"/>
  <c r="AG58" i="42" s="1"/>
  <c r="BM58" i="42"/>
  <c r="BL58" i="42"/>
  <c r="BI58" i="42"/>
  <c r="BM63" i="42"/>
  <c r="BE63" i="42"/>
  <c r="Q63" i="42"/>
  <c r="I63" i="42"/>
  <c r="BP63" i="42"/>
  <c r="BG63" i="42"/>
  <c r="BK63" i="42"/>
  <c r="AZ63" i="42"/>
  <c r="BJ63" i="42"/>
  <c r="BI63" i="42"/>
  <c r="BF63" i="42"/>
  <c r="BN63" i="42"/>
  <c r="BL63" i="42"/>
  <c r="AU63" i="42"/>
  <c r="O63" i="42"/>
  <c r="BM15" i="42"/>
  <c r="BE15" i="42"/>
  <c r="Q15" i="42"/>
  <c r="I15" i="42"/>
  <c r="BL15" i="42"/>
  <c r="BK15" i="42"/>
  <c r="J15" i="42"/>
  <c r="BF15" i="42"/>
  <c r="AD15" i="42"/>
  <c r="AG15" i="42" s="1"/>
  <c r="BH15" i="42"/>
  <c r="AU15" i="42"/>
  <c r="BG15" i="42"/>
  <c r="BI15" i="42"/>
  <c r="BN15" i="42"/>
  <c r="BI17" i="42"/>
  <c r="AZ17" i="42"/>
  <c r="BL17" i="42"/>
  <c r="BK17" i="42"/>
  <c r="J17" i="42"/>
  <c r="BJ17" i="42"/>
  <c r="I17" i="42"/>
  <c r="BN17" i="42"/>
  <c r="AT17" i="42"/>
  <c r="BH17" i="42"/>
  <c r="BI25" i="42"/>
  <c r="AZ25" i="42"/>
  <c r="BN25" i="42"/>
  <c r="BE25" i="42"/>
  <c r="AU25" i="42"/>
  <c r="BM25" i="42"/>
  <c r="BF25" i="42"/>
  <c r="BH25" i="42"/>
  <c r="BG25" i="42"/>
  <c r="AD25" i="42"/>
  <c r="AG25" i="42" s="1"/>
  <c r="O25" i="42"/>
  <c r="BL25" i="42"/>
  <c r="BI33" i="42"/>
  <c r="AZ33" i="42"/>
  <c r="BO33" i="42"/>
  <c r="BF33" i="42"/>
  <c r="BJ33" i="42"/>
  <c r="BH33" i="42"/>
  <c r="BK33" i="42"/>
  <c r="AD33" i="42"/>
  <c r="AG33" i="42" s="1"/>
  <c r="J33" i="42"/>
  <c r="BM33" i="42"/>
  <c r="BL33" i="42"/>
  <c r="O33" i="42"/>
  <c r="BG33" i="42"/>
  <c r="AD49" i="42"/>
  <c r="AG49" i="42" s="1"/>
  <c r="BN52" i="42"/>
  <c r="BO15" i="42"/>
  <c r="AD37" i="42"/>
  <c r="AG37" i="42" s="1"/>
  <c r="L42" i="42"/>
  <c r="BI49" i="42"/>
  <c r="AZ49" i="42"/>
  <c r="BK49" i="42"/>
  <c r="J49" i="42"/>
  <c r="BG49" i="42"/>
  <c r="BP49" i="42"/>
  <c r="BF49" i="42"/>
  <c r="AU49" i="42"/>
  <c r="I49" i="42"/>
  <c r="BM49" i="42"/>
  <c r="O49" i="42"/>
  <c r="BH49" i="42"/>
  <c r="BO49" i="42"/>
  <c r="Q49" i="42"/>
  <c r="BN49" i="42"/>
  <c r="BL49" i="42"/>
  <c r="BI53" i="42"/>
  <c r="AZ53" i="42"/>
  <c r="BL53" i="42"/>
  <c r="BK53" i="42"/>
  <c r="O53" i="42"/>
  <c r="BJ53" i="42"/>
  <c r="BO53" i="42"/>
  <c r="I53" i="42"/>
  <c r="BH53" i="42"/>
  <c r="AU53" i="42"/>
  <c r="BE53" i="42"/>
  <c r="BP53" i="42"/>
  <c r="J53" i="42"/>
  <c r="AD53" i="42"/>
  <c r="AG53" i="42" s="1"/>
  <c r="BG53" i="42"/>
  <c r="BO56" i="42"/>
  <c r="BG56" i="42"/>
  <c r="BM56" i="42"/>
  <c r="BL56" i="42"/>
  <c r="O56" i="42"/>
  <c r="BK56" i="42"/>
  <c r="AZ56" i="42"/>
  <c r="BJ56" i="42"/>
  <c r="BF56" i="42"/>
  <c r="J56" i="42"/>
  <c r="BP56" i="42"/>
  <c r="Q56" i="42"/>
  <c r="BN56" i="42"/>
  <c r="AD56" i="42"/>
  <c r="AG56" i="42" s="1"/>
  <c r="BI56" i="42"/>
  <c r="Q57" i="42"/>
  <c r="Q60" i="42"/>
  <c r="BK37" i="42"/>
  <c r="BM51" i="42"/>
  <c r="BE51" i="42"/>
  <c r="Q51" i="42"/>
  <c r="I51" i="42"/>
  <c r="BL51" i="42"/>
  <c r="BK51" i="42"/>
  <c r="AZ51" i="42"/>
  <c r="AD51" i="42"/>
  <c r="AG51" i="42" s="1"/>
  <c r="O51" i="42"/>
  <c r="BJ51" i="42"/>
  <c r="BH51" i="42"/>
  <c r="AT51" i="42"/>
  <c r="J51" i="42"/>
  <c r="BN51" i="42"/>
  <c r="BI51" i="42"/>
  <c r="AU51" i="42"/>
  <c r="BG51" i="42"/>
  <c r="O52" i="42"/>
  <c r="BM53" i="42"/>
  <c r="I56" i="42"/>
  <c r="BH60" i="42"/>
  <c r="BK46" i="42"/>
  <c r="O46" i="42"/>
  <c r="BJ46" i="42"/>
  <c r="AZ46" i="42"/>
  <c r="I46" i="42"/>
  <c r="BO46" i="42"/>
  <c r="BE46" i="42"/>
  <c r="Q46" i="42"/>
  <c r="BN46" i="42"/>
  <c r="AD46" i="42"/>
  <c r="AG46" i="42" s="1"/>
  <c r="BO71" i="42"/>
  <c r="BG71" i="42"/>
  <c r="BH71" i="42"/>
  <c r="O71" i="42"/>
  <c r="BK71" i="42"/>
  <c r="AZ71" i="42"/>
  <c r="BI71" i="42"/>
  <c r="AU71" i="42"/>
  <c r="I71" i="42"/>
  <c r="BL71" i="42"/>
  <c r="BJ71" i="42"/>
  <c r="AT71" i="42"/>
  <c r="AD71" i="42"/>
  <c r="AG71" i="42" s="1"/>
  <c r="BF71" i="42"/>
  <c r="BP71" i="42"/>
  <c r="L30" i="42"/>
  <c r="BI61" i="42"/>
  <c r="AZ61" i="42"/>
  <c r="BN61" i="42"/>
  <c r="BE61" i="42"/>
  <c r="AU61" i="42"/>
  <c r="BG61" i="42"/>
  <c r="BP61" i="42"/>
  <c r="BF61" i="42"/>
  <c r="J61" i="42"/>
  <c r="Q61" i="42"/>
  <c r="BO61" i="42"/>
  <c r="BM23" i="42"/>
  <c r="BE23" i="42"/>
  <c r="Q23" i="42"/>
  <c r="I23" i="42"/>
  <c r="BO23" i="42"/>
  <c r="BF23" i="42"/>
  <c r="AU23" i="42"/>
  <c r="BN23" i="42"/>
  <c r="AT23" i="42"/>
  <c r="BK23" i="42"/>
  <c r="BO28" i="42"/>
  <c r="BG28" i="42"/>
  <c r="BN28" i="42"/>
  <c r="BE28" i="42"/>
  <c r="BH28" i="42"/>
  <c r="BF28" i="42"/>
  <c r="AU28" i="42"/>
  <c r="AT28" i="42"/>
  <c r="BJ28" i="42"/>
  <c r="BM31" i="42"/>
  <c r="BE31" i="42"/>
  <c r="Q31" i="42"/>
  <c r="I31" i="42"/>
  <c r="BP31" i="42"/>
  <c r="BG31" i="42"/>
  <c r="BH31" i="42"/>
  <c r="AU31" i="42"/>
  <c r="BF31" i="42"/>
  <c r="AT31" i="42"/>
  <c r="J31" i="42"/>
  <c r="AD36" i="42"/>
  <c r="AG36" i="42" s="1"/>
  <c r="J46" i="42"/>
  <c r="BF46" i="42"/>
  <c r="BM47" i="42"/>
  <c r="BE47" i="42"/>
  <c r="Q47" i="42"/>
  <c r="I47" i="42"/>
  <c r="BK47" i="42"/>
  <c r="J47" i="42"/>
  <c r="BN47" i="42"/>
  <c r="AD47" i="42"/>
  <c r="AG47" i="42" s="1"/>
  <c r="O47" i="42"/>
  <c r="BL47" i="42"/>
  <c r="AZ47" i="42"/>
  <c r="BF47" i="42"/>
  <c r="BO48" i="42"/>
  <c r="BG48" i="42"/>
  <c r="BK48" i="42"/>
  <c r="J48" i="42"/>
  <c r="BJ48" i="42"/>
  <c r="BI48" i="42"/>
  <c r="BK54" i="42"/>
  <c r="O54" i="42"/>
  <c r="BM54" i="42"/>
  <c r="BG54" i="42"/>
  <c r="BP54" i="42"/>
  <c r="BF54" i="42"/>
  <c r="AU54" i="42"/>
  <c r="J54" i="42"/>
  <c r="AZ54" i="42"/>
  <c r="BO54" i="42"/>
  <c r="I61" i="42"/>
  <c r="BM70" i="42"/>
  <c r="BE70" i="42"/>
  <c r="Q70" i="42"/>
  <c r="I70" i="42"/>
  <c r="BH70" i="42"/>
  <c r="O70" i="42"/>
  <c r="BI70" i="42"/>
  <c r="BO70" i="42"/>
  <c r="BN70" i="42"/>
  <c r="BL70" i="42"/>
  <c r="AZ70" i="42"/>
  <c r="J70" i="42"/>
  <c r="J71" i="42"/>
  <c r="BI72" i="42"/>
  <c r="AZ72" i="42"/>
  <c r="BP72" i="42"/>
  <c r="BG72" i="42"/>
  <c r="O72" i="42"/>
  <c r="BH72" i="42"/>
  <c r="BL72" i="42"/>
  <c r="J72" i="42"/>
  <c r="BJ72" i="42"/>
  <c r="AT72" i="42"/>
  <c r="AD72" i="42"/>
  <c r="AG72" i="42" s="1"/>
  <c r="BF72" i="42"/>
  <c r="BE72" i="42"/>
  <c r="BK73" i="42"/>
  <c r="AT73" i="42"/>
  <c r="O73" i="42"/>
  <c r="BH73" i="42"/>
  <c r="BP73" i="42"/>
  <c r="BF73" i="42"/>
  <c r="AU73" i="42"/>
  <c r="I73" i="42"/>
  <c r="BE73" i="42"/>
  <c r="AD73" i="42"/>
  <c r="AG73" i="42" s="1"/>
  <c r="BI73" i="42"/>
  <c r="BG73" i="42"/>
  <c r="J73" i="42"/>
  <c r="AZ73" i="42"/>
  <c r="BO83" i="42"/>
  <c r="BG83" i="42"/>
  <c r="BK83" i="42"/>
  <c r="J83" i="42"/>
  <c r="BI83" i="42"/>
  <c r="BF83" i="42"/>
  <c r="AT83" i="42"/>
  <c r="AD83" i="42"/>
  <c r="AG83" i="42" s="1"/>
  <c r="O83" i="42"/>
  <c r="BP83" i="42"/>
  <c r="BL83" i="42"/>
  <c r="AU83" i="42"/>
  <c r="I83" i="42"/>
  <c r="BH83" i="42"/>
  <c r="BE83" i="42"/>
  <c r="Q83" i="42"/>
  <c r="BK34" i="42"/>
  <c r="AT34" i="42"/>
  <c r="O34" i="42"/>
  <c r="BP34" i="42"/>
  <c r="BG34" i="42"/>
  <c r="BF34" i="42"/>
  <c r="AU34" i="42"/>
  <c r="J34" i="42"/>
  <c r="BO34" i="42"/>
  <c r="BE34" i="42"/>
  <c r="I34" i="42"/>
  <c r="BM35" i="42"/>
  <c r="BE35" i="42"/>
  <c r="Q35" i="42"/>
  <c r="I35" i="42"/>
  <c r="BH35" i="42"/>
  <c r="O35" i="42"/>
  <c r="BO35" i="42"/>
  <c r="BN35" i="42"/>
  <c r="BO36" i="42"/>
  <c r="BG36" i="42"/>
  <c r="BH36" i="42"/>
  <c r="O36" i="42"/>
  <c r="BL36" i="42"/>
  <c r="BK36" i="42"/>
  <c r="AZ36" i="42"/>
  <c r="Q36" i="42"/>
  <c r="BN36" i="42"/>
  <c r="BO44" i="42"/>
  <c r="BG44" i="42"/>
  <c r="BJ44" i="42"/>
  <c r="AZ44" i="42"/>
  <c r="AD44" i="42"/>
  <c r="AG44" i="42" s="1"/>
  <c r="Q44" i="42"/>
  <c r="I44" i="42"/>
  <c r="BI44" i="42"/>
  <c r="BH44" i="42"/>
  <c r="BI46" i="42"/>
  <c r="AU47" i="42"/>
  <c r="BI47" i="42"/>
  <c r="BH48" i="42"/>
  <c r="BH54" i="42"/>
  <c r="BJ61" i="42"/>
  <c r="BO64" i="42"/>
  <c r="BG64" i="42"/>
  <c r="BP64" i="42"/>
  <c r="BF64" i="42"/>
  <c r="BH64" i="42"/>
  <c r="AU64" i="42"/>
  <c r="BE64" i="42"/>
  <c r="AT64" i="42"/>
  <c r="J64" i="42"/>
  <c r="Q64" i="42"/>
  <c r="BN64" i="42"/>
  <c r="BO67" i="42"/>
  <c r="BG67" i="42"/>
  <c r="BP67" i="42"/>
  <c r="BF67" i="42"/>
  <c r="BH67" i="42"/>
  <c r="AU67" i="42"/>
  <c r="BN67" i="42"/>
  <c r="BG70" i="42"/>
  <c r="BL73" i="42"/>
  <c r="BE71" i="42"/>
  <c r="BJ91" i="42"/>
  <c r="BP91" i="42"/>
  <c r="BG91" i="42"/>
  <c r="BN91" i="42"/>
  <c r="BL91" i="42"/>
  <c r="AZ91" i="42"/>
  <c r="BH91" i="42"/>
  <c r="AU91" i="42"/>
  <c r="BE91" i="42"/>
  <c r="O91" i="42"/>
  <c r="BO91" i="42"/>
  <c r="AD91" i="42"/>
  <c r="AG91" i="42" s="1"/>
  <c r="BM91" i="42"/>
  <c r="BK91" i="42"/>
  <c r="J91" i="42"/>
  <c r="BI91" i="42"/>
  <c r="I91" i="42"/>
  <c r="BO12" i="42"/>
  <c r="BG12" i="42"/>
  <c r="BK12" i="42"/>
  <c r="J12" i="42"/>
  <c r="BJ12" i="42"/>
  <c r="AZ12" i="42"/>
  <c r="AD12" i="42"/>
  <c r="AG12" i="42" s="1"/>
  <c r="Q12" i="42"/>
  <c r="I12" i="42"/>
  <c r="BM12" i="42"/>
  <c r="BK14" i="42"/>
  <c r="O14" i="42"/>
  <c r="BL14" i="42"/>
  <c r="J14" i="42"/>
  <c r="BJ14" i="42"/>
  <c r="AZ14" i="42"/>
  <c r="I14" i="42"/>
  <c r="BN14" i="42"/>
  <c r="BO20" i="42"/>
  <c r="BG20" i="42"/>
  <c r="BM20" i="42"/>
  <c r="BL20" i="42"/>
  <c r="Q20" i="42"/>
  <c r="BI20" i="42"/>
  <c r="BI23" i="42"/>
  <c r="BK26" i="42"/>
  <c r="O26" i="42"/>
  <c r="BO26" i="42"/>
  <c r="BF26" i="42"/>
  <c r="BN26" i="42"/>
  <c r="BE26" i="42"/>
  <c r="AU26" i="42"/>
  <c r="BJ26" i="42"/>
  <c r="BK30" i="42"/>
  <c r="AT30" i="42"/>
  <c r="O30" i="42"/>
  <c r="BO30" i="42"/>
  <c r="BF30" i="42"/>
  <c r="BJ30" i="42"/>
  <c r="BI30" i="42"/>
  <c r="BP30" i="42"/>
  <c r="AZ31" i="42"/>
  <c r="BN31" i="42"/>
  <c r="AD34" i="42"/>
  <c r="AG34" i="42" s="1"/>
  <c r="BI34" i="42"/>
  <c r="AD35" i="42"/>
  <c r="AG35" i="42" s="1"/>
  <c r="AT35" i="42"/>
  <c r="BI35" i="42"/>
  <c r="BE36" i="42"/>
  <c r="BK38" i="42"/>
  <c r="O38" i="42"/>
  <c r="BH38" i="42"/>
  <c r="BG38" i="42"/>
  <c r="J38" i="42"/>
  <c r="BP38" i="42"/>
  <c r="BF38" i="42"/>
  <c r="AU38" i="42"/>
  <c r="I38" i="42"/>
  <c r="BE38" i="42"/>
  <c r="BP46" i="42"/>
  <c r="BP47" i="42"/>
  <c r="AZ48" i="42"/>
  <c r="BN48" i="42"/>
  <c r="BL54" i="42"/>
  <c r="BM61" i="42"/>
  <c r="BN71" i="42"/>
  <c r="BK89" i="42"/>
  <c r="O89" i="42"/>
  <c r="BM89" i="42"/>
  <c r="BP89" i="42"/>
  <c r="BF89" i="42"/>
  <c r="AU89" i="42"/>
  <c r="J89" i="42"/>
  <c r="BJ89" i="42"/>
  <c r="I89" i="42"/>
  <c r="BH89" i="42"/>
  <c r="Q89" i="42"/>
  <c r="BE89" i="42"/>
  <c r="AZ89" i="42"/>
  <c r="BO89" i="42"/>
  <c r="BN89" i="42"/>
  <c r="AD89" i="42"/>
  <c r="AG89" i="42" s="1"/>
  <c r="BL89" i="42"/>
  <c r="Q98" i="42"/>
  <c r="O87" i="42"/>
  <c r="AZ87" i="42"/>
  <c r="BI88" i="42"/>
  <c r="AZ88" i="42"/>
  <c r="BL88" i="42"/>
  <c r="BJ88" i="42"/>
  <c r="BG88" i="42"/>
  <c r="AU88" i="42"/>
  <c r="Q88" i="42"/>
  <c r="I88" i="42"/>
  <c r="BP88" i="42"/>
  <c r="BE88" i="42"/>
  <c r="AD88" i="42"/>
  <c r="AG88" i="42" s="1"/>
  <c r="O88" i="42"/>
  <c r="BK10" i="42"/>
  <c r="O10" i="42"/>
  <c r="Q10" i="42"/>
  <c r="AD10" i="42"/>
  <c r="AG10" i="42" s="1"/>
  <c r="BI10" i="42"/>
  <c r="BM11" i="42"/>
  <c r="BE11" i="42"/>
  <c r="Q11" i="42"/>
  <c r="I11" i="42"/>
  <c r="AZ11" i="42"/>
  <c r="BJ11" i="42"/>
  <c r="O29" i="42"/>
  <c r="O32" i="42"/>
  <c r="BI45" i="42"/>
  <c r="AZ45" i="42"/>
  <c r="BJ45" i="42"/>
  <c r="AD45" i="42"/>
  <c r="AG45" i="42" s="1"/>
  <c r="Q45" i="42"/>
  <c r="I45" i="42"/>
  <c r="BE45" i="42"/>
  <c r="BO45" i="42"/>
  <c r="Q50" i="42"/>
  <c r="BE50" i="42"/>
  <c r="AD62" i="42"/>
  <c r="AG62" i="42" s="1"/>
  <c r="O65" i="42"/>
  <c r="BK69" i="42"/>
  <c r="O69" i="42"/>
  <c r="BP69" i="42"/>
  <c r="BG69" i="42"/>
  <c r="BJ69" i="42"/>
  <c r="Q69" i="42"/>
  <c r="AU69" i="42"/>
  <c r="BH69" i="42"/>
  <c r="BK81" i="42"/>
  <c r="AT81" i="42"/>
  <c r="O81" i="42"/>
  <c r="BJ81" i="42"/>
  <c r="AZ81" i="42"/>
  <c r="I81" i="42"/>
  <c r="BN81" i="42"/>
  <c r="AD81" i="42"/>
  <c r="AG81" i="42" s="1"/>
  <c r="BI81" i="42"/>
  <c r="BG81" i="42"/>
  <c r="AU81" i="42"/>
  <c r="BH81" i="42"/>
  <c r="J88" i="42"/>
  <c r="BF88" i="42"/>
  <c r="BG90" i="42"/>
  <c r="BJ94" i="42"/>
  <c r="BP102" i="42"/>
  <c r="BH102" i="42"/>
  <c r="BI102" i="42"/>
  <c r="BN102" i="42"/>
  <c r="Q102" i="42"/>
  <c r="BM102" i="42"/>
  <c r="AD102" i="42"/>
  <c r="AG102" i="42" s="1"/>
  <c r="O102" i="42"/>
  <c r="BO102" i="42"/>
  <c r="AZ102" i="42"/>
  <c r="BF102" i="42"/>
  <c r="J102" i="42"/>
  <c r="BE102" i="42"/>
  <c r="I102" i="42"/>
  <c r="AU102" i="42"/>
  <c r="BL102" i="42"/>
  <c r="BK102" i="42"/>
  <c r="BG102" i="42"/>
  <c r="BI29" i="42"/>
  <c r="AZ29" i="42"/>
  <c r="BN29" i="42"/>
  <c r="BE29" i="42"/>
  <c r="AU29" i="42"/>
  <c r="AD29" i="42"/>
  <c r="AG29" i="42" s="1"/>
  <c r="BM29" i="42"/>
  <c r="BO32" i="42"/>
  <c r="BG32" i="42"/>
  <c r="BP32" i="42"/>
  <c r="BF32" i="42"/>
  <c r="AD32" i="42"/>
  <c r="AG32" i="42" s="1"/>
  <c r="BM32" i="42"/>
  <c r="BM39" i="42"/>
  <c r="BE39" i="42"/>
  <c r="Q39" i="42"/>
  <c r="I39" i="42"/>
  <c r="BI39" i="42"/>
  <c r="AD39" i="42"/>
  <c r="AG39" i="42" s="1"/>
  <c r="AT39" i="42"/>
  <c r="BF39" i="42"/>
  <c r="BP39" i="42"/>
  <c r="BK50" i="42"/>
  <c r="AT50" i="42"/>
  <c r="O50" i="42"/>
  <c r="BL50" i="42"/>
  <c r="J50" i="42"/>
  <c r="AU50" i="42"/>
  <c r="BF50" i="42"/>
  <c r="BP50" i="42"/>
  <c r="BM59" i="42"/>
  <c r="BE59" i="42"/>
  <c r="Q59" i="42"/>
  <c r="I59" i="42"/>
  <c r="BO59" i="42"/>
  <c r="BF59" i="42"/>
  <c r="AU59" i="42"/>
  <c r="BP59" i="42"/>
  <c r="BK62" i="42"/>
  <c r="AT62" i="42"/>
  <c r="O62" i="42"/>
  <c r="BO62" i="42"/>
  <c r="BF62" i="42"/>
  <c r="Q62" i="42"/>
  <c r="BN62" i="42"/>
  <c r="BI65" i="42"/>
  <c r="AZ65" i="42"/>
  <c r="BO65" i="42"/>
  <c r="BF65" i="42"/>
  <c r="AD65" i="42"/>
  <c r="AG65" i="42" s="1"/>
  <c r="BM65" i="42"/>
  <c r="BO87" i="42"/>
  <c r="BG87" i="42"/>
  <c r="BL87" i="42"/>
  <c r="BP87" i="42"/>
  <c r="BE87" i="42"/>
  <c r="J87" i="42"/>
  <c r="BH87" i="42"/>
  <c r="AU87" i="42"/>
  <c r="BF87" i="42"/>
  <c r="BP98" i="42"/>
  <c r="BH98" i="42"/>
  <c r="BI98" i="42"/>
  <c r="BJ98" i="42"/>
  <c r="BN98" i="42"/>
  <c r="BF98" i="42"/>
  <c r="AT98" i="42"/>
  <c r="O98" i="42"/>
  <c r="BE98" i="42"/>
  <c r="AD98" i="42"/>
  <c r="AG98" i="42" s="1"/>
  <c r="AZ98" i="42"/>
  <c r="BM98" i="42"/>
  <c r="AU98" i="42"/>
  <c r="I98" i="42"/>
  <c r="BK98" i="42"/>
  <c r="BL98" i="42"/>
  <c r="J69" i="42"/>
  <c r="BL69" i="42"/>
  <c r="BM86" i="42"/>
  <c r="BE86" i="42"/>
  <c r="Q86" i="42"/>
  <c r="I86" i="42"/>
  <c r="BL86" i="42"/>
  <c r="BJ86" i="42"/>
  <c r="BF86" i="42"/>
  <c r="O86" i="42"/>
  <c r="BO86" i="42"/>
  <c r="I87" i="42"/>
  <c r="BI87" i="42"/>
  <c r="BK88" i="42"/>
  <c r="J98" i="42"/>
  <c r="BO98" i="42"/>
  <c r="BJ102" i="42"/>
  <c r="BJ87" i="42"/>
  <c r="BM88" i="42"/>
  <c r="BM90" i="42"/>
  <c r="BE90" i="42"/>
  <c r="Q90" i="42"/>
  <c r="I90" i="42"/>
  <c r="BN90" i="42"/>
  <c r="BO90" i="42"/>
  <c r="BF90" i="42"/>
  <c r="BL90" i="42"/>
  <c r="AZ90" i="42"/>
  <c r="J90" i="42"/>
  <c r="AU90" i="42"/>
  <c r="BJ90" i="42"/>
  <c r="BK85" i="42"/>
  <c r="AT85" i="42"/>
  <c r="O85" i="42"/>
  <c r="BL85" i="42"/>
  <c r="J85" i="42"/>
  <c r="BO85" i="42"/>
  <c r="BE85" i="42"/>
  <c r="Q85" i="42"/>
  <c r="BP85" i="42"/>
  <c r="BM85" i="42"/>
  <c r="BG85" i="42"/>
  <c r="BH86" i="42"/>
  <c r="BK87" i="42"/>
  <c r="BN88" i="42"/>
  <c r="AD90" i="42"/>
  <c r="AG90" i="42" s="1"/>
  <c r="BK90" i="42"/>
  <c r="BP94" i="42"/>
  <c r="BH94" i="42"/>
  <c r="BI94" i="42"/>
  <c r="BN94" i="42"/>
  <c r="Q94" i="42"/>
  <c r="BF94" i="42"/>
  <c r="AT94" i="42"/>
  <c r="O94" i="42"/>
  <c r="BE94" i="42"/>
  <c r="AD94" i="42"/>
  <c r="AG94" i="42" s="1"/>
  <c r="BK94" i="42"/>
  <c r="AU94" i="42"/>
  <c r="BG94" i="42"/>
  <c r="I94" i="42"/>
  <c r="BO79" i="42"/>
  <c r="BG79" i="42"/>
  <c r="BJ79" i="42"/>
  <c r="AZ79" i="42"/>
  <c r="AD79" i="42"/>
  <c r="AG79" i="42" s="1"/>
  <c r="Q79" i="42"/>
  <c r="I79" i="42"/>
  <c r="BH79" i="42"/>
  <c r="BK79" i="42"/>
  <c r="BM82" i="42"/>
  <c r="BE82" i="42"/>
  <c r="Q82" i="42"/>
  <c r="I82" i="42"/>
  <c r="BK82" i="42"/>
  <c r="J82" i="42"/>
  <c r="BL82" i="42"/>
  <c r="AZ82" i="42"/>
  <c r="BJ82" i="42"/>
  <c r="L109" i="42"/>
  <c r="P109" i="42" s="1"/>
  <c r="BJ112" i="42"/>
  <c r="BH112" i="42"/>
  <c r="AD112" i="42"/>
  <c r="AG112" i="42" s="1"/>
  <c r="Q112" i="42"/>
  <c r="I112" i="42"/>
  <c r="BM112" i="42"/>
  <c r="BL112" i="42"/>
  <c r="BK112" i="42"/>
  <c r="J112" i="42"/>
  <c r="BO112" i="42"/>
  <c r="BI112" i="42"/>
  <c r="AT112" i="42"/>
  <c r="BE112" i="42"/>
  <c r="O112" i="42"/>
  <c r="BP112" i="42"/>
  <c r="BO40" i="42"/>
  <c r="BG40" i="42"/>
  <c r="BI40" i="42"/>
  <c r="BI41" i="42"/>
  <c r="AZ41" i="42"/>
  <c r="BH41" i="42"/>
  <c r="BK42" i="42"/>
  <c r="AT42" i="42"/>
  <c r="O42" i="42"/>
  <c r="Q42" i="42"/>
  <c r="AD42" i="42"/>
  <c r="AG42" i="42" s="1"/>
  <c r="BI42" i="42"/>
  <c r="BM43" i="42"/>
  <c r="BE43" i="42"/>
  <c r="Q43" i="42"/>
  <c r="I43" i="42"/>
  <c r="AZ43" i="42"/>
  <c r="BJ43" i="42"/>
  <c r="BI68" i="42"/>
  <c r="AZ68" i="42"/>
  <c r="BO68" i="42"/>
  <c r="BF68" i="42"/>
  <c r="AD68" i="42"/>
  <c r="AG68" i="42" s="1"/>
  <c r="BM68" i="42"/>
  <c r="BM74" i="42"/>
  <c r="BE74" i="42"/>
  <c r="Q74" i="42"/>
  <c r="I74" i="42"/>
  <c r="BI74" i="42"/>
  <c r="AD74" i="42"/>
  <c r="AG74" i="42" s="1"/>
  <c r="BO74" i="42"/>
  <c r="BJ74" i="42"/>
  <c r="BI84" i="42"/>
  <c r="AZ84" i="42"/>
  <c r="BK84" i="42"/>
  <c r="J84" i="42"/>
  <c r="BP84" i="42"/>
  <c r="BF84" i="42"/>
  <c r="AU84" i="42"/>
  <c r="I84" i="42"/>
  <c r="BL84" i="42"/>
  <c r="AZ110" i="42"/>
  <c r="BJ104" i="42"/>
  <c r="BH104" i="42"/>
  <c r="AD104" i="42"/>
  <c r="AG104" i="42" s="1"/>
  <c r="Q104" i="42"/>
  <c r="I104" i="42"/>
  <c r="BM104" i="42"/>
  <c r="BL104" i="42"/>
  <c r="BK104" i="42"/>
  <c r="J104" i="42"/>
  <c r="BI104" i="42"/>
  <c r="BP104" i="42"/>
  <c r="AZ104" i="42"/>
  <c r="BO104" i="42"/>
  <c r="BE104" i="42"/>
  <c r="L101" i="42"/>
  <c r="BF104" i="42"/>
  <c r="BF112" i="42"/>
  <c r="BN104" i="42"/>
  <c r="BN110" i="42"/>
  <c r="BF110" i="42"/>
  <c r="AD110" i="42"/>
  <c r="AG110" i="42" s="1"/>
  <c r="J110" i="42"/>
  <c r="BI110" i="42"/>
  <c r="BJ110" i="42"/>
  <c r="BH110" i="42"/>
  <c r="AU110" i="42"/>
  <c r="Q110" i="42"/>
  <c r="BG110" i="42"/>
  <c r="AT110" i="42"/>
  <c r="O110" i="42"/>
  <c r="BM110" i="42"/>
  <c r="I110" i="42"/>
  <c r="BK110" i="42"/>
  <c r="BP110" i="42"/>
  <c r="BK118" i="42"/>
  <c r="L100" i="42"/>
  <c r="P100" i="42" s="1"/>
  <c r="AU106" i="42"/>
  <c r="AU108" i="42"/>
  <c r="BO118" i="42"/>
  <c r="BI80" i="42"/>
  <c r="AZ80" i="42"/>
  <c r="BJ80" i="42"/>
  <c r="AD80" i="42"/>
  <c r="AG80" i="42" s="1"/>
  <c r="Q80" i="42"/>
  <c r="I80" i="42"/>
  <c r="AT80" i="42"/>
  <c r="BE80" i="42"/>
  <c r="BO80" i="42"/>
  <c r="L103" i="42"/>
  <c r="BN118" i="42"/>
  <c r="BF118" i="42"/>
  <c r="AD118" i="42"/>
  <c r="AG118" i="42" s="1"/>
  <c r="J118" i="42"/>
  <c r="BI118" i="42"/>
  <c r="BG118" i="42"/>
  <c r="AU118" i="42"/>
  <c r="I118" i="42"/>
  <c r="BJ118" i="42"/>
  <c r="BM118" i="42"/>
  <c r="AZ118" i="42"/>
  <c r="O118" i="42"/>
  <c r="BL118" i="42"/>
  <c r="BN114" i="42"/>
  <c r="BF114" i="42"/>
  <c r="AD114" i="42"/>
  <c r="AG114" i="42" s="1"/>
  <c r="J114" i="42"/>
  <c r="BI114" i="42"/>
  <c r="BO114" i="42"/>
  <c r="Q114" i="42"/>
  <c r="BM114" i="42"/>
  <c r="BL114" i="42"/>
  <c r="AZ114" i="42"/>
  <c r="BH114" i="42"/>
  <c r="BJ116" i="42"/>
  <c r="BH116" i="42"/>
  <c r="AD116" i="42"/>
  <c r="AG116" i="42" s="1"/>
  <c r="Q116" i="42"/>
  <c r="I116" i="42"/>
  <c r="BO116" i="42"/>
  <c r="BE116" i="42"/>
  <c r="BG116" i="42"/>
  <c r="BK116" i="42"/>
  <c r="AU116" i="42"/>
  <c r="BI116" i="42"/>
  <c r="O116" i="42"/>
  <c r="BL116" i="42"/>
  <c r="BE118" i="42"/>
  <c r="BN97" i="42"/>
  <c r="BF97" i="42"/>
  <c r="AD97" i="42"/>
  <c r="AG97" i="42" s="1"/>
  <c r="J97" i="42"/>
  <c r="BH97" i="42"/>
  <c r="O97" i="42"/>
  <c r="BK97" i="42"/>
  <c r="AZ97" i="42"/>
  <c r="BJ97" i="42"/>
  <c r="BN106" i="42"/>
  <c r="BF106" i="42"/>
  <c r="AD106" i="42"/>
  <c r="AG106" i="42" s="1"/>
  <c r="J106" i="42"/>
  <c r="BI106" i="42"/>
  <c r="BO106" i="42"/>
  <c r="Q106" i="42"/>
  <c r="BM106" i="42"/>
  <c r="BL106" i="42"/>
  <c r="AZ106" i="42"/>
  <c r="BH106" i="42"/>
  <c r="BJ108" i="42"/>
  <c r="BH108" i="42"/>
  <c r="AD108" i="42"/>
  <c r="AG108" i="42" s="1"/>
  <c r="Q108" i="42"/>
  <c r="I108" i="42"/>
  <c r="BG108" i="42"/>
  <c r="BF108" i="42"/>
  <c r="AT108" i="42"/>
  <c r="BP108" i="42"/>
  <c r="BE108" i="42"/>
  <c r="O108" i="42"/>
  <c r="BI108" i="42"/>
  <c r="AU114" i="42"/>
  <c r="BK114" i="42"/>
  <c r="Q118" i="42"/>
  <c r="BH118" i="42"/>
  <c r="BJ124" i="42"/>
  <c r="BK124" i="42"/>
  <c r="AZ124" i="42"/>
  <c r="BH124" i="42"/>
  <c r="AD124" i="42"/>
  <c r="AG124" i="42" s="1"/>
  <c r="Q124" i="42"/>
  <c r="I124" i="42"/>
  <c r="BL124" i="42"/>
  <c r="BF124" i="42"/>
  <c r="BE124" i="42"/>
  <c r="J124" i="42"/>
  <c r="BI124" i="42"/>
  <c r="AU124" i="42"/>
  <c r="BN126" i="42"/>
  <c r="BF126" i="42"/>
  <c r="AD126" i="42"/>
  <c r="AG126" i="42" s="1"/>
  <c r="J126" i="42"/>
  <c r="BK126" i="42"/>
  <c r="I126" i="42"/>
  <c r="BI126" i="42"/>
  <c r="BL126" i="42"/>
  <c r="BJ126" i="42"/>
  <c r="AU126" i="42"/>
  <c r="BH126" i="42"/>
  <c r="BO126" i="42"/>
  <c r="O126" i="42"/>
  <c r="BP126" i="42"/>
  <c r="BG124" i="42"/>
  <c r="BO75" i="42"/>
  <c r="BG75" i="42"/>
  <c r="BI75" i="42"/>
  <c r="BI76" i="42"/>
  <c r="AZ76" i="42"/>
  <c r="BH76" i="42"/>
  <c r="BK77" i="42"/>
  <c r="AT77" i="42"/>
  <c r="O77" i="42"/>
  <c r="Q77" i="42"/>
  <c r="AD77" i="42"/>
  <c r="AG77" i="42" s="1"/>
  <c r="BI77" i="42"/>
  <c r="BM78" i="42"/>
  <c r="BE78" i="42"/>
  <c r="Q78" i="42"/>
  <c r="I78" i="42"/>
  <c r="AZ78" i="42"/>
  <c r="BJ78" i="42"/>
  <c r="BN93" i="42"/>
  <c r="BF93" i="42"/>
  <c r="AD93" i="42"/>
  <c r="AG93" i="42" s="1"/>
  <c r="J93" i="42"/>
  <c r="BH93" i="42"/>
  <c r="O93" i="42"/>
  <c r="AT93" i="42"/>
  <c r="BE93" i="42"/>
  <c r="BP93" i="42"/>
  <c r="BN101" i="42"/>
  <c r="BF101" i="42"/>
  <c r="AD101" i="42"/>
  <c r="AG101" i="42" s="1"/>
  <c r="J101" i="42"/>
  <c r="BH101" i="42"/>
  <c r="O101" i="42"/>
  <c r="AT101" i="42"/>
  <c r="BE101" i="42"/>
  <c r="BP101" i="42"/>
  <c r="O124" i="42"/>
  <c r="BM124" i="42"/>
  <c r="Q126" i="42"/>
  <c r="AZ126" i="42"/>
  <c r="BN124" i="42"/>
  <c r="BO124" i="42"/>
  <c r="BG95" i="42"/>
  <c r="BP95" i="42"/>
  <c r="BG99" i="42"/>
  <c r="BP99" i="42"/>
  <c r="BP103" i="42"/>
  <c r="BJ103" i="42"/>
  <c r="BG103" i="42"/>
  <c r="BJ136" i="42"/>
  <c r="BO136" i="42"/>
  <c r="BF136" i="42"/>
  <c r="BM136" i="42"/>
  <c r="BK136" i="42"/>
  <c r="AD136" i="42"/>
  <c r="AG136" i="42" s="1"/>
  <c r="Q136" i="42"/>
  <c r="I136" i="42"/>
  <c r="BN136" i="42"/>
  <c r="BE136" i="42"/>
  <c r="L137" i="42"/>
  <c r="P137" i="42" s="1"/>
  <c r="BI136" i="42"/>
  <c r="BN130" i="42"/>
  <c r="BF130" i="42"/>
  <c r="AD130" i="42"/>
  <c r="AG130" i="42" s="1"/>
  <c r="J130" i="42"/>
  <c r="BK130" i="42"/>
  <c r="I130" i="42"/>
  <c r="BI130" i="42"/>
  <c r="BL130" i="42"/>
  <c r="BE130" i="42"/>
  <c r="O136" i="42"/>
  <c r="BP136" i="42"/>
  <c r="BJ120" i="42"/>
  <c r="BK120" i="42"/>
  <c r="AZ120" i="42"/>
  <c r="BH120" i="42"/>
  <c r="AD120" i="42"/>
  <c r="AG120" i="42" s="1"/>
  <c r="Q120" i="42"/>
  <c r="I120" i="42"/>
  <c r="BI120" i="42"/>
  <c r="BN122" i="42"/>
  <c r="BF122" i="42"/>
  <c r="AD122" i="42"/>
  <c r="AG122" i="42" s="1"/>
  <c r="J122" i="42"/>
  <c r="BK122" i="42"/>
  <c r="I122" i="42"/>
  <c r="BI122" i="42"/>
  <c r="AZ122" i="42"/>
  <c r="BM122" i="42"/>
  <c r="BJ128" i="42"/>
  <c r="BK128" i="42"/>
  <c r="AZ128" i="42"/>
  <c r="BH128" i="42"/>
  <c r="AD128" i="42"/>
  <c r="AG128" i="42" s="1"/>
  <c r="Q128" i="42"/>
  <c r="I128" i="42"/>
  <c r="BL128" i="42"/>
  <c r="BP128" i="42"/>
  <c r="BG130" i="42"/>
  <c r="BN134" i="42"/>
  <c r="BF134" i="42"/>
  <c r="AD134" i="42"/>
  <c r="AG134" i="42" s="1"/>
  <c r="J134" i="42"/>
  <c r="BK134" i="42"/>
  <c r="I134" i="42"/>
  <c r="BI134" i="42"/>
  <c r="BL134" i="42"/>
  <c r="BE134" i="42"/>
  <c r="L140" i="42"/>
  <c r="BH130" i="42"/>
  <c r="BJ132" i="42"/>
  <c r="BK132" i="42"/>
  <c r="AZ132" i="42"/>
  <c r="BH132" i="42"/>
  <c r="AD132" i="42"/>
  <c r="AG132" i="42" s="1"/>
  <c r="Q132" i="42"/>
  <c r="I132" i="42"/>
  <c r="BL132" i="42"/>
  <c r="BP132" i="42"/>
  <c r="AZ136" i="42"/>
  <c r="BN138" i="42"/>
  <c r="BF138" i="42"/>
  <c r="AD138" i="42"/>
  <c r="AG138" i="42" s="1"/>
  <c r="J138" i="42"/>
  <c r="BP138" i="42"/>
  <c r="BG138" i="42"/>
  <c r="Q138" i="42"/>
  <c r="BO138" i="42"/>
  <c r="AD139" i="42"/>
  <c r="AG139" i="42" s="1"/>
  <c r="BM139" i="42"/>
  <c r="BI140" i="42"/>
  <c r="BN144" i="42"/>
  <c r="AZ146" i="42"/>
  <c r="BM146" i="42"/>
  <c r="BO147" i="42"/>
  <c r="BE150" i="42"/>
  <c r="J152" i="42"/>
  <c r="BI152" i="42"/>
  <c r="BG154" i="42"/>
  <c r="BL160" i="42"/>
  <c r="BP163" i="42"/>
  <c r="BH163" i="42"/>
  <c r="BG163" i="42"/>
  <c r="O163" i="42"/>
  <c r="BL163" i="42"/>
  <c r="J163" i="42"/>
  <c r="BE163" i="42"/>
  <c r="AD163" i="42"/>
  <c r="AG163" i="42" s="1"/>
  <c r="BO163" i="42"/>
  <c r="BF163" i="42"/>
  <c r="AT166" i="42"/>
  <c r="Q139" i="42"/>
  <c r="BK140" i="42"/>
  <c r="BP151" i="42"/>
  <c r="BH151" i="42"/>
  <c r="BL151" i="42"/>
  <c r="J151" i="42"/>
  <c r="BK151" i="42"/>
  <c r="AZ151" i="42"/>
  <c r="O151" i="42"/>
  <c r="BJ151" i="42"/>
  <c r="BJ156" i="42"/>
  <c r="BK156" i="42"/>
  <c r="AZ156" i="42"/>
  <c r="BL156" i="42"/>
  <c r="O156" i="42"/>
  <c r="BI156" i="42"/>
  <c r="Q156" i="42"/>
  <c r="BN156" i="42"/>
  <c r="AT160" i="42"/>
  <c r="BM160" i="42"/>
  <c r="L163" i="42"/>
  <c r="BP139" i="42"/>
  <c r="BH139" i="42"/>
  <c r="BG139" i="42"/>
  <c r="O139" i="42"/>
  <c r="BE139" i="42"/>
  <c r="BO139" i="42"/>
  <c r="AD140" i="42"/>
  <c r="AG140" i="42" s="1"/>
  <c r="AZ140" i="42"/>
  <c r="O144" i="42"/>
  <c r="P144" i="42" s="1"/>
  <c r="AD144" i="42"/>
  <c r="AG144" i="42" s="1"/>
  <c r="BE144" i="42"/>
  <c r="AD160" i="42"/>
  <c r="AG160" i="42" s="1"/>
  <c r="BN160" i="42"/>
  <c r="I139" i="42"/>
  <c r="AU139" i="42"/>
  <c r="BF139" i="42"/>
  <c r="BJ140" i="42"/>
  <c r="BO140" i="42"/>
  <c r="BF140" i="42"/>
  <c r="O140" i="42"/>
  <c r="Q140" i="42"/>
  <c r="BM140" i="42"/>
  <c r="BJ144" i="42"/>
  <c r="BK144" i="42"/>
  <c r="AZ144" i="42"/>
  <c r="BH144" i="42"/>
  <c r="BF144" i="42"/>
  <c r="Q147" i="42"/>
  <c r="AU147" i="42"/>
  <c r="BN151" i="42"/>
  <c r="J156" i="42"/>
  <c r="BP156" i="42"/>
  <c r="BN166" i="42"/>
  <c r="BF166" i="42"/>
  <c r="AD166" i="42"/>
  <c r="AG166" i="42" s="1"/>
  <c r="J166" i="42"/>
  <c r="BP166" i="42"/>
  <c r="BG166" i="42"/>
  <c r="BO166" i="42"/>
  <c r="BE166" i="42"/>
  <c r="AU166" i="42"/>
  <c r="BK166" i="42"/>
  <c r="I166" i="42"/>
  <c r="Q166" i="42"/>
  <c r="AZ166" i="42"/>
  <c r="BM166" i="42"/>
  <c r="O166" i="42"/>
  <c r="BH166" i="42"/>
  <c r="BP147" i="42"/>
  <c r="BH147" i="42"/>
  <c r="BL147" i="42"/>
  <c r="J147" i="42"/>
  <c r="BG147" i="42"/>
  <c r="BJ147" i="42"/>
  <c r="BN150" i="42"/>
  <c r="BF150" i="42"/>
  <c r="AD150" i="42"/>
  <c r="AG150" i="42" s="1"/>
  <c r="J150" i="42"/>
  <c r="BK150" i="42"/>
  <c r="I150" i="42"/>
  <c r="BO150" i="42"/>
  <c r="BJ150" i="42"/>
  <c r="BO151" i="42"/>
  <c r="BI166" i="42"/>
  <c r="AU92" i="42"/>
  <c r="AU96" i="42"/>
  <c r="AU100" i="42"/>
  <c r="BP107" i="42"/>
  <c r="BH107" i="42"/>
  <c r="Q107" i="42"/>
  <c r="AD107" i="42"/>
  <c r="AG107" i="42" s="1"/>
  <c r="AZ107" i="42"/>
  <c r="BJ107" i="42"/>
  <c r="BP111" i="42"/>
  <c r="BH111" i="42"/>
  <c r="Q111" i="42"/>
  <c r="AD111" i="42"/>
  <c r="AG111" i="42" s="1"/>
  <c r="AZ111" i="42"/>
  <c r="BJ111" i="42"/>
  <c r="BP115" i="42"/>
  <c r="BH115" i="42"/>
  <c r="Q115" i="42"/>
  <c r="AD115" i="42"/>
  <c r="AG115" i="42" s="1"/>
  <c r="AZ115" i="42"/>
  <c r="BJ115" i="42"/>
  <c r="BP119" i="42"/>
  <c r="BH119" i="42"/>
  <c r="Q119" i="42"/>
  <c r="AD119" i="42"/>
  <c r="AG119" i="42" s="1"/>
  <c r="AZ119" i="42"/>
  <c r="BJ119" i="42"/>
  <c r="BP123" i="42"/>
  <c r="BH123" i="42"/>
  <c r="Q123" i="42"/>
  <c r="AD123" i="42"/>
  <c r="AG123" i="42" s="1"/>
  <c r="AZ123" i="42"/>
  <c r="BJ123" i="42"/>
  <c r="BP127" i="42"/>
  <c r="BH127" i="42"/>
  <c r="Q127" i="42"/>
  <c r="AD127" i="42"/>
  <c r="AG127" i="42" s="1"/>
  <c r="AZ127" i="42"/>
  <c r="BJ127" i="42"/>
  <c r="BP131" i="42"/>
  <c r="BH131" i="42"/>
  <c r="Q131" i="42"/>
  <c r="AD131" i="42"/>
  <c r="AG131" i="42" s="1"/>
  <c r="AZ131" i="42"/>
  <c r="BJ131" i="42"/>
  <c r="BP135" i="42"/>
  <c r="BH135" i="42"/>
  <c r="Q135" i="42"/>
  <c r="AD135" i="42"/>
  <c r="AG135" i="42" s="1"/>
  <c r="AZ135" i="42"/>
  <c r="BJ135" i="42"/>
  <c r="AZ138" i="42"/>
  <c r="BK138" i="42"/>
  <c r="BJ139" i="42"/>
  <c r="J140" i="42"/>
  <c r="BE140" i="42"/>
  <c r="BP140" i="42"/>
  <c r="BP143" i="42"/>
  <c r="BH143" i="42"/>
  <c r="BL143" i="42"/>
  <c r="J143" i="42"/>
  <c r="BN143" i="42"/>
  <c r="Q143" i="42"/>
  <c r="BI143" i="42"/>
  <c r="J144" i="42"/>
  <c r="BI144" i="42"/>
  <c r="AU146" i="42"/>
  <c r="I147" i="42"/>
  <c r="BK147" i="42"/>
  <c r="BL150" i="42"/>
  <c r="AD151" i="42"/>
  <c r="AG151" i="42" s="1"/>
  <c r="BE151" i="42"/>
  <c r="O152" i="42"/>
  <c r="AD152" i="42"/>
  <c r="AG152" i="42" s="1"/>
  <c r="Q154" i="42"/>
  <c r="BF156" i="42"/>
  <c r="BN158" i="42"/>
  <c r="BF158" i="42"/>
  <c r="AD158" i="42"/>
  <c r="AG158" i="42" s="1"/>
  <c r="J158" i="42"/>
  <c r="BK158" i="42"/>
  <c r="I158" i="42"/>
  <c r="BM158" i="42"/>
  <c r="O158" i="42"/>
  <c r="BL158" i="42"/>
  <c r="AZ158" i="42"/>
  <c r="BE158" i="42"/>
  <c r="BP159" i="42"/>
  <c r="BH159" i="42"/>
  <c r="BL159" i="42"/>
  <c r="J159" i="42"/>
  <c r="BJ159" i="42"/>
  <c r="BI159" i="42"/>
  <c r="BO159" i="42"/>
  <c r="BN163" i="42"/>
  <c r="BJ166" i="42"/>
  <c r="BL144" i="42"/>
  <c r="AZ147" i="42"/>
  <c r="BM147" i="42"/>
  <c r="AZ150" i="42"/>
  <c r="BM150" i="42"/>
  <c r="AT151" i="42"/>
  <c r="BF151" i="42"/>
  <c r="BJ152" i="42"/>
  <c r="BK152" i="42"/>
  <c r="AZ152" i="42"/>
  <c r="BP152" i="42"/>
  <c r="BF152" i="42"/>
  <c r="AU152" i="42"/>
  <c r="AT152" i="42"/>
  <c r="BG152" i="42"/>
  <c r="AD156" i="42"/>
  <c r="AG156" i="42" s="1"/>
  <c r="AT156" i="42"/>
  <c r="BG156" i="42"/>
  <c r="BL166" i="42"/>
  <c r="BJ176" i="42"/>
  <c r="BO176" i="42"/>
  <c r="BF176" i="42"/>
  <c r="O176" i="42"/>
  <c r="BI176" i="42"/>
  <c r="BH176" i="42"/>
  <c r="BN176" i="42"/>
  <c r="I176" i="42"/>
  <c r="BK176" i="42"/>
  <c r="J176" i="42"/>
  <c r="BE176" i="42"/>
  <c r="Q176" i="42"/>
  <c r="AZ176" i="42"/>
  <c r="BP176" i="42"/>
  <c r="BM176" i="42"/>
  <c r="AU176" i="42"/>
  <c r="BL176" i="42"/>
  <c r="AT176" i="42"/>
  <c r="AD176" i="42"/>
  <c r="AG176" i="42" s="1"/>
  <c r="J123" i="42"/>
  <c r="BL123" i="42"/>
  <c r="BL139" i="42"/>
  <c r="BH140" i="42"/>
  <c r="BM144" i="42"/>
  <c r="BN146" i="42"/>
  <c r="BF146" i="42"/>
  <c r="AD146" i="42"/>
  <c r="AG146" i="42" s="1"/>
  <c r="J146" i="42"/>
  <c r="BK146" i="42"/>
  <c r="I146" i="42"/>
  <c r="BJ146" i="42"/>
  <c r="BL146" i="42"/>
  <c r="BN147" i="42"/>
  <c r="BP150" i="42"/>
  <c r="Q151" i="42"/>
  <c r="AU151" i="42"/>
  <c r="BG151" i="42"/>
  <c r="I152" i="42"/>
  <c r="Q152" i="42"/>
  <c r="BH152" i="42"/>
  <c r="BN154" i="42"/>
  <c r="BF154" i="42"/>
  <c r="AD154" i="42"/>
  <c r="AG154" i="42" s="1"/>
  <c r="J154" i="42"/>
  <c r="BK154" i="42"/>
  <c r="I154" i="42"/>
  <c r="BI154" i="42"/>
  <c r="BH154" i="42"/>
  <c r="BE154" i="42"/>
  <c r="AU156" i="42"/>
  <c r="BH156" i="42"/>
  <c r="BJ160" i="42"/>
  <c r="BO160" i="42"/>
  <c r="BF160" i="42"/>
  <c r="BK160" i="42"/>
  <c r="AZ160" i="42"/>
  <c r="BI160" i="42"/>
  <c r="J160" i="42"/>
  <c r="BH160" i="42"/>
  <c r="AU160" i="42"/>
  <c r="Q160" i="42"/>
  <c r="I160" i="42"/>
  <c r="BG160" i="42"/>
  <c r="AU171" i="42"/>
  <c r="AD172" i="42"/>
  <c r="AG172" i="42" s="1"/>
  <c r="AT172" i="42"/>
  <c r="Q175" i="42"/>
  <c r="BP179" i="42"/>
  <c r="BH179" i="42"/>
  <c r="BG179" i="42"/>
  <c r="O179" i="42"/>
  <c r="BI179" i="42"/>
  <c r="J179" i="42"/>
  <c r="BF179" i="42"/>
  <c r="AU179" i="42"/>
  <c r="I179" i="42"/>
  <c r="BN179" i="42"/>
  <c r="Q179" i="42"/>
  <c r="BM179" i="42"/>
  <c r="AD179" i="42"/>
  <c r="AG179" i="42" s="1"/>
  <c r="AT183" i="42"/>
  <c r="BL184" i="42"/>
  <c r="BE179" i="42"/>
  <c r="AU183" i="42"/>
  <c r="BM184" i="42"/>
  <c r="Q186" i="42"/>
  <c r="BJ172" i="42"/>
  <c r="BO172" i="42"/>
  <c r="BF172" i="42"/>
  <c r="O172" i="42"/>
  <c r="BN172" i="42"/>
  <c r="BE172" i="42"/>
  <c r="AU172" i="42"/>
  <c r="BK172" i="42"/>
  <c r="AZ172" i="42"/>
  <c r="Q172" i="42"/>
  <c r="BP172" i="42"/>
  <c r="BP175" i="42"/>
  <c r="BH175" i="42"/>
  <c r="BG175" i="42"/>
  <c r="O175" i="42"/>
  <c r="BM175" i="42"/>
  <c r="AD175" i="42"/>
  <c r="AG175" i="42" s="1"/>
  <c r="BL175" i="42"/>
  <c r="BI175" i="42"/>
  <c r="J175" i="42"/>
  <c r="BK175" i="42"/>
  <c r="BN186" i="42"/>
  <c r="BF186" i="42"/>
  <c r="AD186" i="42"/>
  <c r="AG186" i="42" s="1"/>
  <c r="J186" i="42"/>
  <c r="BP186" i="42"/>
  <c r="BG186" i="42"/>
  <c r="BO186" i="42"/>
  <c r="BE186" i="42"/>
  <c r="AU186" i="42"/>
  <c r="BH186" i="42"/>
  <c r="O186" i="42"/>
  <c r="BL186" i="42"/>
  <c r="AZ186" i="42"/>
  <c r="BK186" i="42"/>
  <c r="I186" i="42"/>
  <c r="BJ186" i="42"/>
  <c r="BN142" i="42"/>
  <c r="BF142" i="42"/>
  <c r="AD142" i="42"/>
  <c r="AG142" i="42" s="1"/>
  <c r="J142" i="42"/>
  <c r="BK142" i="42"/>
  <c r="I142" i="42"/>
  <c r="AU142" i="42"/>
  <c r="BG142" i="42"/>
  <c r="BJ148" i="42"/>
  <c r="BK148" i="42"/>
  <c r="AZ148" i="42"/>
  <c r="AD148" i="42"/>
  <c r="AG148" i="42" s="1"/>
  <c r="BM148" i="42"/>
  <c r="BP155" i="42"/>
  <c r="BH155" i="42"/>
  <c r="BL155" i="42"/>
  <c r="J155" i="42"/>
  <c r="AT155" i="42"/>
  <c r="BE155" i="42"/>
  <c r="BO155" i="42"/>
  <c r="BJ168" i="42"/>
  <c r="BO168" i="42"/>
  <c r="BF168" i="42"/>
  <c r="O168" i="42"/>
  <c r="BN168" i="42"/>
  <c r="BE168" i="42"/>
  <c r="AU168" i="42"/>
  <c r="BK168" i="42"/>
  <c r="AZ168" i="42"/>
  <c r="Q168" i="42"/>
  <c r="BP168" i="42"/>
  <c r="BP171" i="42"/>
  <c r="BH171" i="42"/>
  <c r="BG171" i="42"/>
  <c r="O171" i="42"/>
  <c r="BO171" i="42"/>
  <c r="BF171" i="42"/>
  <c r="BL171" i="42"/>
  <c r="J171" i="42"/>
  <c r="I172" i="42"/>
  <c r="BN174" i="42"/>
  <c r="BF174" i="42"/>
  <c r="AD174" i="42"/>
  <c r="AG174" i="42" s="1"/>
  <c r="J174" i="42"/>
  <c r="BP174" i="42"/>
  <c r="BG174" i="42"/>
  <c r="BO174" i="42"/>
  <c r="BE174" i="42"/>
  <c r="AU174" i="42"/>
  <c r="BK174" i="42"/>
  <c r="I174" i="42"/>
  <c r="I175" i="42"/>
  <c r="AU175" i="42"/>
  <c r="BN175" i="42"/>
  <c r="BP183" i="42"/>
  <c r="BH183" i="42"/>
  <c r="BG183" i="42"/>
  <c r="O183" i="42"/>
  <c r="BN183" i="42"/>
  <c r="Q183" i="42"/>
  <c r="BM183" i="42"/>
  <c r="AD183" i="42"/>
  <c r="AG183" i="42" s="1"/>
  <c r="BL183" i="42"/>
  <c r="BJ183" i="42"/>
  <c r="BI183" i="42"/>
  <c r="J183" i="42"/>
  <c r="BF183" i="42"/>
  <c r="Q184" i="42"/>
  <c r="AU184" i="42"/>
  <c r="BI191" i="42"/>
  <c r="AZ191" i="42"/>
  <c r="BH191" i="42"/>
  <c r="O191" i="42"/>
  <c r="BP191" i="42"/>
  <c r="BG191" i="42"/>
  <c r="BK191" i="42"/>
  <c r="Q191" i="42"/>
  <c r="BJ191" i="42"/>
  <c r="BF191" i="42"/>
  <c r="AD191" i="42"/>
  <c r="AG191" i="42" s="1"/>
  <c r="BE191" i="42"/>
  <c r="BO191" i="42"/>
  <c r="BN191" i="42"/>
  <c r="J191" i="42"/>
  <c r="BM191" i="42"/>
  <c r="I191" i="42"/>
  <c r="BL191" i="42"/>
  <c r="L155" i="42"/>
  <c r="P155" i="42" s="1"/>
  <c r="BN162" i="42"/>
  <c r="BF162" i="42"/>
  <c r="AD162" i="42"/>
  <c r="AG162" i="42" s="1"/>
  <c r="J162" i="42"/>
  <c r="BP162" i="42"/>
  <c r="BG162" i="42"/>
  <c r="BK162" i="42"/>
  <c r="I162" i="42"/>
  <c r="BL162" i="42"/>
  <c r="BJ164" i="42"/>
  <c r="BO164" i="42"/>
  <c r="BF164" i="42"/>
  <c r="O164" i="42"/>
  <c r="BK164" i="42"/>
  <c r="AZ164" i="42"/>
  <c r="Q164" i="42"/>
  <c r="AU164" i="42"/>
  <c r="BH164" i="42"/>
  <c r="BP167" i="42"/>
  <c r="BH167" i="42"/>
  <c r="BG167" i="42"/>
  <c r="O167" i="42"/>
  <c r="BO167" i="42"/>
  <c r="BF167" i="42"/>
  <c r="BL167" i="42"/>
  <c r="J167" i="42"/>
  <c r="I168" i="42"/>
  <c r="BN170" i="42"/>
  <c r="BF170" i="42"/>
  <c r="AD170" i="42"/>
  <c r="AG170" i="42" s="1"/>
  <c r="J170" i="42"/>
  <c r="BP170" i="42"/>
  <c r="BG170" i="42"/>
  <c r="BO170" i="42"/>
  <c r="BE170" i="42"/>
  <c r="AU170" i="42"/>
  <c r="BK170" i="42"/>
  <c r="I170" i="42"/>
  <c r="I171" i="42"/>
  <c r="BE171" i="42"/>
  <c r="J172" i="42"/>
  <c r="BH174" i="42"/>
  <c r="BO175" i="42"/>
  <c r="AT179" i="42"/>
  <c r="BO179" i="42"/>
  <c r="I183" i="42"/>
  <c r="BK183" i="42"/>
  <c r="BJ184" i="42"/>
  <c r="BO184" i="42"/>
  <c r="BF184" i="42"/>
  <c r="O184" i="42"/>
  <c r="BK184" i="42"/>
  <c r="BI184" i="42"/>
  <c r="BH184" i="42"/>
  <c r="BP184" i="42"/>
  <c r="BE184" i="42"/>
  <c r="AT184" i="42"/>
  <c r="J184" i="42"/>
  <c r="BN184" i="42"/>
  <c r="I184" i="42"/>
  <c r="BG184" i="42"/>
  <c r="BL199" i="42"/>
  <c r="AU199" i="42"/>
  <c r="BI199" i="42"/>
  <c r="AZ199" i="42"/>
  <c r="BH199" i="42"/>
  <c r="BJ199" i="42"/>
  <c r="J199" i="42"/>
  <c r="BG199" i="42"/>
  <c r="AT199" i="42"/>
  <c r="Q199" i="42"/>
  <c r="I199" i="42"/>
  <c r="BF199" i="42"/>
  <c r="AZ200" i="42"/>
  <c r="BP201" i="42"/>
  <c r="BH201" i="42"/>
  <c r="BM201" i="42"/>
  <c r="BE201" i="42"/>
  <c r="Q201" i="42"/>
  <c r="I201" i="42"/>
  <c r="BO201" i="42"/>
  <c r="BF201" i="42"/>
  <c r="AD201" i="42"/>
  <c r="AG201" i="42" s="1"/>
  <c r="J201" i="42"/>
  <c r="AU201" i="42"/>
  <c r="BL201" i="42"/>
  <c r="BN178" i="42"/>
  <c r="BF178" i="42"/>
  <c r="AD178" i="42"/>
  <c r="AG178" i="42" s="1"/>
  <c r="J178" i="42"/>
  <c r="BP178" i="42"/>
  <c r="BG178" i="42"/>
  <c r="Q178" i="42"/>
  <c r="BO178" i="42"/>
  <c r="BI180" i="42"/>
  <c r="BJ182" i="42"/>
  <c r="BJ188" i="42"/>
  <c r="BO188" i="42"/>
  <c r="BF188" i="42"/>
  <c r="O188" i="42"/>
  <c r="BN188" i="42"/>
  <c r="BE188" i="42"/>
  <c r="AU188" i="42"/>
  <c r="Q188" i="42"/>
  <c r="BH188" i="42"/>
  <c r="L189" i="42"/>
  <c r="P189" i="42" s="1"/>
  <c r="BK199" i="42"/>
  <c r="BN201" i="42"/>
  <c r="AZ182" i="42"/>
  <c r="BK182" i="42"/>
  <c r="AD187" i="42"/>
  <c r="AG187" i="42" s="1"/>
  <c r="BE187" i="42"/>
  <c r="I188" i="42"/>
  <c r="BI188" i="42"/>
  <c r="BN190" i="42"/>
  <c r="BF190" i="42"/>
  <c r="AD190" i="42"/>
  <c r="AG190" i="42" s="1"/>
  <c r="J190" i="42"/>
  <c r="BP190" i="42"/>
  <c r="BG190" i="42"/>
  <c r="BO190" i="42"/>
  <c r="BE190" i="42"/>
  <c r="AU190" i="42"/>
  <c r="Q190" i="42"/>
  <c r="BJ190" i="42"/>
  <c r="BN199" i="42"/>
  <c r="BI200" i="42"/>
  <c r="AZ201" i="42"/>
  <c r="BJ180" i="42"/>
  <c r="BO180" i="42"/>
  <c r="BF180" i="42"/>
  <c r="O180" i="42"/>
  <c r="Q180" i="42"/>
  <c r="BM180" i="42"/>
  <c r="Q187" i="42"/>
  <c r="AU187" i="42"/>
  <c r="BO198" i="42"/>
  <c r="BG198" i="42"/>
  <c r="BK198" i="42"/>
  <c r="J198" i="42"/>
  <c r="BJ198" i="42"/>
  <c r="AZ198" i="42"/>
  <c r="AD198" i="42"/>
  <c r="AG198" i="42" s="1"/>
  <c r="Q198" i="42"/>
  <c r="I198" i="42"/>
  <c r="BM198" i="42"/>
  <c r="AD199" i="42"/>
  <c r="AG199" i="42" s="1"/>
  <c r="BO199" i="42"/>
  <c r="BJ200" i="42"/>
  <c r="O201" i="42"/>
  <c r="BG201" i="42"/>
  <c r="BJ206" i="42"/>
  <c r="BO206" i="42"/>
  <c r="BG206" i="42"/>
  <c r="BL206" i="42"/>
  <c r="AZ206" i="42"/>
  <c r="O206" i="42"/>
  <c r="BK206" i="42"/>
  <c r="J206" i="42"/>
  <c r="BI206" i="42"/>
  <c r="I206" i="42"/>
  <c r="BN206" i="42"/>
  <c r="AD206" i="42"/>
  <c r="AG206" i="42" s="1"/>
  <c r="BM206" i="42"/>
  <c r="BE206" i="42"/>
  <c r="Q206" i="42"/>
  <c r="BP206" i="42"/>
  <c r="BN182" i="42"/>
  <c r="BF182" i="42"/>
  <c r="AD182" i="42"/>
  <c r="AG182" i="42" s="1"/>
  <c r="J182" i="42"/>
  <c r="BP182" i="42"/>
  <c r="BG182" i="42"/>
  <c r="Q182" i="42"/>
  <c r="BO182" i="42"/>
  <c r="BP187" i="42"/>
  <c r="BH187" i="42"/>
  <c r="BG187" i="42"/>
  <c r="O187" i="42"/>
  <c r="BO187" i="42"/>
  <c r="BF187" i="42"/>
  <c r="BK187" i="42"/>
  <c r="BM190" i="42"/>
  <c r="BN198" i="42"/>
  <c r="O199" i="42"/>
  <c r="BP199" i="42"/>
  <c r="AU200" i="42"/>
  <c r="BI201" i="42"/>
  <c r="I182" i="42"/>
  <c r="AT182" i="42"/>
  <c r="BE182" i="42"/>
  <c r="I187" i="42"/>
  <c r="AZ187" i="42"/>
  <c r="BL187" i="42"/>
  <c r="BP188" i="42"/>
  <c r="BN200" i="42"/>
  <c r="BF200" i="42"/>
  <c r="AD200" i="42"/>
  <c r="AG200" i="42" s="1"/>
  <c r="J200" i="42"/>
  <c r="BK200" i="42"/>
  <c r="AT200" i="42"/>
  <c r="O200" i="42"/>
  <c r="BP200" i="42"/>
  <c r="BE200" i="42"/>
  <c r="Q200" i="42"/>
  <c r="BL200" i="42"/>
  <c r="I200" i="42"/>
  <c r="BH200" i="42"/>
  <c r="BG200" i="42"/>
  <c r="BO200" i="42"/>
  <c r="BF206" i="42"/>
  <c r="BO194" i="42"/>
  <c r="BG194" i="42"/>
  <c r="BI194" i="42"/>
  <c r="BI195" i="42"/>
  <c r="AZ195" i="42"/>
  <c r="BH195" i="42"/>
  <c r="BK196" i="42"/>
  <c r="O196" i="42"/>
  <c r="Q196" i="42"/>
  <c r="AD196" i="42"/>
  <c r="AG196" i="42" s="1"/>
  <c r="BI196" i="42"/>
  <c r="BM197" i="42"/>
  <c r="BE197" i="42"/>
  <c r="Q197" i="42"/>
  <c r="I197" i="42"/>
  <c r="AZ197" i="42"/>
  <c r="BJ197" i="42"/>
  <c r="BP205" i="42"/>
  <c r="BH205" i="42"/>
  <c r="BM205" i="42"/>
  <c r="BE205" i="42"/>
  <c r="Q205" i="42"/>
  <c r="I205" i="42"/>
  <c r="BF205" i="42"/>
  <c r="BI205" i="42"/>
  <c r="O205" i="42"/>
  <c r="BG205" i="42"/>
  <c r="AD205" i="42"/>
  <c r="AG205" i="42" s="1"/>
  <c r="BJ205" i="42"/>
  <c r="BK192" i="42"/>
  <c r="O192" i="42"/>
  <c r="Q192" i="42"/>
  <c r="AD192" i="42"/>
  <c r="AG192" i="42" s="1"/>
  <c r="BI192" i="42"/>
  <c r="BM193" i="42"/>
  <c r="BE193" i="42"/>
  <c r="Q193" i="42"/>
  <c r="I193" i="42"/>
  <c r="AZ193" i="42"/>
  <c r="BJ193" i="42"/>
  <c r="I194" i="42"/>
  <c r="Q194" i="42"/>
  <c r="AD194" i="42"/>
  <c r="AG194" i="42" s="1"/>
  <c r="AZ194" i="42"/>
  <c r="BJ194" i="42"/>
  <c r="I195" i="42"/>
  <c r="Q195" i="42"/>
  <c r="AD195" i="42"/>
  <c r="AG195" i="42" s="1"/>
  <c r="BJ195" i="42"/>
  <c r="I196" i="42"/>
  <c r="AZ196" i="42"/>
  <c r="BJ196" i="42"/>
  <c r="J197" i="42"/>
  <c r="BK197" i="42"/>
  <c r="J205" i="42"/>
  <c r="BK205" i="42"/>
  <c r="Q221" i="42"/>
  <c r="BK221" i="42"/>
  <c r="BN208" i="42"/>
  <c r="BF208" i="42"/>
  <c r="AD208" i="42"/>
  <c r="AG208" i="42" s="1"/>
  <c r="J208" i="42"/>
  <c r="BK208" i="42"/>
  <c r="O208" i="42"/>
  <c r="BH208" i="42"/>
  <c r="I208" i="42"/>
  <c r="BG208" i="42"/>
  <c r="BE208" i="42"/>
  <c r="BI208" i="42"/>
  <c r="BJ221" i="42"/>
  <c r="BO221" i="42"/>
  <c r="BG221" i="42"/>
  <c r="BF221" i="42"/>
  <c r="AU221" i="42"/>
  <c r="BL221" i="42"/>
  <c r="AZ221" i="42"/>
  <c r="O221" i="42"/>
  <c r="BM221" i="42"/>
  <c r="BI221" i="42"/>
  <c r="AD221" i="42"/>
  <c r="AG221" i="42" s="1"/>
  <c r="BH221" i="42"/>
  <c r="BE221" i="42"/>
  <c r="BP221" i="42"/>
  <c r="I221" i="42"/>
  <c r="J221" i="42"/>
  <c r="O213" i="42"/>
  <c r="AU213" i="42"/>
  <c r="BI213" i="42"/>
  <c r="J214" i="42"/>
  <c r="BK214" i="42"/>
  <c r="AU217" i="42"/>
  <c r="BN223" i="42"/>
  <c r="BF223" i="42"/>
  <c r="AD223" i="42"/>
  <c r="AG223" i="42" s="1"/>
  <c r="J223" i="42"/>
  <c r="BK223" i="42"/>
  <c r="O223" i="42"/>
  <c r="BJ223" i="42"/>
  <c r="BP223" i="42"/>
  <c r="BE223" i="42"/>
  <c r="Q223" i="42"/>
  <c r="BP224" i="42"/>
  <c r="BH224" i="42"/>
  <c r="BM224" i="42"/>
  <c r="BE224" i="42"/>
  <c r="Q224" i="42"/>
  <c r="I224" i="42"/>
  <c r="BJ224" i="42"/>
  <c r="BO224" i="42"/>
  <c r="BJ225" i="42"/>
  <c r="BO225" i="42"/>
  <c r="BG225" i="42"/>
  <c r="BP225" i="42"/>
  <c r="BE225" i="42"/>
  <c r="AT225" i="42"/>
  <c r="J225" i="42"/>
  <c r="BK225" i="42"/>
  <c r="Q225" i="42"/>
  <c r="S225" i="42" s="1"/>
  <c r="AZ225" i="42"/>
  <c r="BN225" i="42"/>
  <c r="O228" i="42"/>
  <c r="BN214" i="42"/>
  <c r="BJ230" i="42"/>
  <c r="BN230" i="42"/>
  <c r="BF230" i="42"/>
  <c r="AD230" i="42"/>
  <c r="AG230" i="42" s="1"/>
  <c r="J230" i="42"/>
  <c r="BK230" i="42"/>
  <c r="O230" i="42"/>
  <c r="BI230" i="42"/>
  <c r="Q230" i="42"/>
  <c r="BG230" i="42"/>
  <c r="BP230" i="42"/>
  <c r="AU230" i="42"/>
  <c r="BO230" i="42"/>
  <c r="AU105" i="42"/>
  <c r="AU109" i="42"/>
  <c r="AU117" i="42"/>
  <c r="AU121" i="42"/>
  <c r="AU125" i="42"/>
  <c r="AU129" i="42"/>
  <c r="AU133" i="42"/>
  <c r="AU145" i="42"/>
  <c r="AU149" i="42"/>
  <c r="AU153" i="42"/>
  <c r="AU157" i="42"/>
  <c r="AU161" i="42"/>
  <c r="AU165" i="42"/>
  <c r="AU169" i="42"/>
  <c r="AU173" i="42"/>
  <c r="AU177" i="42"/>
  <c r="AU181" i="42"/>
  <c r="AU185" i="42"/>
  <c r="AU189" i="42"/>
  <c r="BJ202" i="42"/>
  <c r="BO202" i="42"/>
  <c r="BG202" i="42"/>
  <c r="BK202" i="42"/>
  <c r="AT202" i="42"/>
  <c r="BF202" i="42"/>
  <c r="BP213" i="42"/>
  <c r="BH213" i="42"/>
  <c r="BM213" i="42"/>
  <c r="BE213" i="42"/>
  <c r="Q213" i="42"/>
  <c r="I213" i="42"/>
  <c r="BF213" i="42"/>
  <c r="AT213" i="42"/>
  <c r="AZ213" i="42"/>
  <c r="BL213" i="42"/>
  <c r="BP214" i="42"/>
  <c r="BM219" i="42"/>
  <c r="BE219" i="42"/>
  <c r="Q219" i="42"/>
  <c r="I219" i="42"/>
  <c r="BJ219" i="42"/>
  <c r="BL219" i="42"/>
  <c r="AZ219" i="42"/>
  <c r="AD219" i="42"/>
  <c r="AG219" i="42" s="1"/>
  <c r="O219" i="42"/>
  <c r="BG219" i="42"/>
  <c r="AU219" i="42"/>
  <c r="BP219" i="42"/>
  <c r="AU223" i="42"/>
  <c r="BI223" i="42"/>
  <c r="AD224" i="42"/>
  <c r="AG224" i="42" s="1"/>
  <c r="BI224" i="42"/>
  <c r="BF225" i="42"/>
  <c r="BI228" i="42"/>
  <c r="AZ228" i="42"/>
  <c r="BN228" i="42"/>
  <c r="BF228" i="42"/>
  <c r="AD228" i="42"/>
  <c r="AG228" i="42" s="1"/>
  <c r="J228" i="42"/>
  <c r="BG228" i="42"/>
  <c r="AU228" i="42"/>
  <c r="I228" i="42"/>
  <c r="BL228" i="42"/>
  <c r="I230" i="42"/>
  <c r="BI238" i="42"/>
  <c r="AZ238" i="42"/>
  <c r="BM238" i="42"/>
  <c r="AT238" i="42"/>
  <c r="BH238" i="42"/>
  <c r="BN238" i="42"/>
  <c r="BE238" i="42"/>
  <c r="AU238" i="42"/>
  <c r="BK238" i="42"/>
  <c r="AD238" i="42"/>
  <c r="BJ238" i="42"/>
  <c r="J238" i="42"/>
  <c r="BG238" i="42"/>
  <c r="I238" i="42"/>
  <c r="BR238" i="42" s="1"/>
  <c r="BP238" i="42"/>
  <c r="Q238" i="42"/>
  <c r="BL238" i="42"/>
  <c r="AD214" i="42"/>
  <c r="AG214" i="42" s="1"/>
  <c r="BN216" i="42"/>
  <c r="BF216" i="42"/>
  <c r="AD216" i="42"/>
  <c r="AG216" i="42" s="1"/>
  <c r="J216" i="42"/>
  <c r="BK216" i="42"/>
  <c r="O216" i="42"/>
  <c r="BP216" i="42"/>
  <c r="BE216" i="42"/>
  <c r="Q216" i="42"/>
  <c r="BJ216" i="42"/>
  <c r="BP217" i="42"/>
  <c r="BH217" i="42"/>
  <c r="BM217" i="42"/>
  <c r="BE217" i="42"/>
  <c r="Q217" i="42"/>
  <c r="I217" i="42"/>
  <c r="BO217" i="42"/>
  <c r="BJ217" i="42"/>
  <c r="BK218" i="42"/>
  <c r="AT218" i="42"/>
  <c r="O218" i="42"/>
  <c r="BP218" i="42"/>
  <c r="BH218" i="42"/>
  <c r="BO218" i="42"/>
  <c r="BE218" i="42"/>
  <c r="Q218" i="42"/>
  <c r="BJ218" i="42"/>
  <c r="J218" i="42"/>
  <c r="BF218" i="42"/>
  <c r="BE228" i="42"/>
  <c r="BL236" i="42"/>
  <c r="AU236" i="42"/>
  <c r="BK236" i="42"/>
  <c r="BP236" i="42"/>
  <c r="BG236" i="42"/>
  <c r="O236" i="42"/>
  <c r="BM236" i="42"/>
  <c r="BH236" i="42"/>
  <c r="BF236" i="42"/>
  <c r="J236" i="42"/>
  <c r="BE236" i="42"/>
  <c r="I236" i="42"/>
  <c r="BO236" i="42"/>
  <c r="Q236" i="42"/>
  <c r="BN236" i="42"/>
  <c r="BI236" i="42"/>
  <c r="AD236" i="42"/>
  <c r="AG236" i="42" s="1"/>
  <c r="BF238" i="42"/>
  <c r="AZ230" i="42"/>
  <c r="BO238" i="42"/>
  <c r="BJ214" i="42"/>
  <c r="BO214" i="42"/>
  <c r="BG214" i="42"/>
  <c r="BL214" i="42"/>
  <c r="AZ214" i="42"/>
  <c r="O214" i="42"/>
  <c r="Q214" i="42"/>
  <c r="AU214" i="42"/>
  <c r="BH214" i="42"/>
  <c r="BJ236" i="42"/>
  <c r="O238" i="42"/>
  <c r="AU245" i="42"/>
  <c r="BM235" i="42"/>
  <c r="BE235" i="42"/>
  <c r="Q235" i="42"/>
  <c r="I235" i="42"/>
  <c r="BI235" i="42"/>
  <c r="AZ235" i="42"/>
  <c r="BN235" i="42"/>
  <c r="BF235" i="42"/>
  <c r="AD235" i="42"/>
  <c r="AG235" i="42" s="1"/>
  <c r="J235" i="42"/>
  <c r="BO235" i="42"/>
  <c r="Q245" i="42"/>
  <c r="BE245" i="42"/>
  <c r="BP235" i="42"/>
  <c r="BJ245" i="42"/>
  <c r="BG235" i="42"/>
  <c r="BN237" i="42"/>
  <c r="BF237" i="42"/>
  <c r="AD237" i="42"/>
  <c r="AG237" i="42" s="1"/>
  <c r="J237" i="42"/>
  <c r="BL237" i="42"/>
  <c r="BH237" i="42"/>
  <c r="O237" i="42"/>
  <c r="BM237" i="42"/>
  <c r="AT237" i="42"/>
  <c r="BE237" i="42"/>
  <c r="Q242" i="42"/>
  <c r="BN245" i="42"/>
  <c r="BF245" i="42"/>
  <c r="AD245" i="42"/>
  <c r="AG245" i="42" s="1"/>
  <c r="J245" i="42"/>
  <c r="BL245" i="42"/>
  <c r="BK245" i="42"/>
  <c r="I245" i="42"/>
  <c r="BI245" i="42"/>
  <c r="BH245" i="42"/>
  <c r="O245" i="42"/>
  <c r="BP245" i="42"/>
  <c r="BG245" i="42"/>
  <c r="BM245" i="42"/>
  <c r="BN204" i="42"/>
  <c r="BF204" i="42"/>
  <c r="AD204" i="42"/>
  <c r="AG204" i="42" s="1"/>
  <c r="J204" i="42"/>
  <c r="BK204" i="42"/>
  <c r="O204" i="42"/>
  <c r="AU204" i="42"/>
  <c r="BG204" i="42"/>
  <c r="BP209" i="42"/>
  <c r="BH209" i="42"/>
  <c r="BM209" i="42"/>
  <c r="BE209" i="42"/>
  <c r="Q209" i="42"/>
  <c r="I209" i="42"/>
  <c r="AU209" i="42"/>
  <c r="BG209" i="42"/>
  <c r="BJ210" i="42"/>
  <c r="BO210" i="42"/>
  <c r="BG210" i="42"/>
  <c r="AD210" i="42"/>
  <c r="AG210" i="42" s="1"/>
  <c r="BM210" i="42"/>
  <c r="BN212" i="42"/>
  <c r="BF212" i="42"/>
  <c r="AD212" i="42"/>
  <c r="AG212" i="42" s="1"/>
  <c r="J212" i="42"/>
  <c r="BK212" i="42"/>
  <c r="O212" i="42"/>
  <c r="AU212" i="42"/>
  <c r="BG212" i="42"/>
  <c r="BL229" i="42"/>
  <c r="AU229" i="42"/>
  <c r="BI229" i="42"/>
  <c r="AZ229" i="42"/>
  <c r="AT229" i="42"/>
  <c r="BF229" i="42"/>
  <c r="BP229" i="42"/>
  <c r="BN232" i="42"/>
  <c r="BF232" i="42"/>
  <c r="AD232" i="42"/>
  <c r="AG232" i="42" s="1"/>
  <c r="J232" i="42"/>
  <c r="BJ232" i="42"/>
  <c r="BO232" i="42"/>
  <c r="BG232" i="42"/>
  <c r="Q232" i="42"/>
  <c r="BK232" i="42"/>
  <c r="O235" i="42"/>
  <c r="AU235" i="42"/>
  <c r="BJ235" i="42"/>
  <c r="BI237" i="42"/>
  <c r="BP242" i="42"/>
  <c r="BH242" i="42"/>
  <c r="BM242" i="42"/>
  <c r="BI242" i="42"/>
  <c r="BG242" i="42"/>
  <c r="O242" i="42"/>
  <c r="BN242" i="42"/>
  <c r="BE242" i="42"/>
  <c r="AU242" i="42"/>
  <c r="BL242" i="42"/>
  <c r="AZ203" i="42"/>
  <c r="BI203" i="42"/>
  <c r="AZ207" i="42"/>
  <c r="BI207" i="42"/>
  <c r="Q220" i="42"/>
  <c r="BE220" i="42"/>
  <c r="BM220" i="42"/>
  <c r="AU227" i="42"/>
  <c r="BL227" i="42"/>
  <c r="I231" i="42"/>
  <c r="Q231" i="42"/>
  <c r="BE231" i="42"/>
  <c r="BM231" i="42"/>
  <c r="AU234" i="42"/>
  <c r="BL234" i="42"/>
  <c r="AU246" i="42"/>
  <c r="BE246" i="42"/>
  <c r="BN246" i="42"/>
  <c r="BM249" i="42"/>
  <c r="BH250" i="42"/>
  <c r="BM251" i="42"/>
  <c r="BE251" i="42"/>
  <c r="Q251" i="42"/>
  <c r="I251" i="42"/>
  <c r="BN251" i="42"/>
  <c r="AU251" i="42"/>
  <c r="BG251" i="42"/>
  <c r="Q252" i="42"/>
  <c r="BN255" i="42"/>
  <c r="BF255" i="42"/>
  <c r="AD255" i="42"/>
  <c r="AG255" i="42" s="1"/>
  <c r="J255" i="42"/>
  <c r="BM255" i="42"/>
  <c r="BH255" i="42"/>
  <c r="I255" i="42"/>
  <c r="BL255" i="42"/>
  <c r="O255" i="42"/>
  <c r="BK255" i="42"/>
  <c r="AZ255" i="42"/>
  <c r="AU255" i="42"/>
  <c r="BO255" i="42"/>
  <c r="BO263" i="42"/>
  <c r="BG263" i="42"/>
  <c r="BN263" i="42"/>
  <c r="BF263" i="42"/>
  <c r="AD263" i="42"/>
  <c r="AG263" i="42" s="1"/>
  <c r="J263" i="42"/>
  <c r="BJ263" i="42"/>
  <c r="BK263" i="42"/>
  <c r="Q263" i="42"/>
  <c r="BI263" i="42"/>
  <c r="AU263" i="42"/>
  <c r="BH263" i="42"/>
  <c r="O263" i="42"/>
  <c r="BP263" i="42"/>
  <c r="BI264" i="42"/>
  <c r="AZ264" i="42"/>
  <c r="BP264" i="42"/>
  <c r="BH264" i="42"/>
  <c r="BG264" i="42"/>
  <c r="J264" i="42"/>
  <c r="BO264" i="42"/>
  <c r="BN264" i="42"/>
  <c r="BM264" i="42"/>
  <c r="I264" i="42"/>
  <c r="BK264" i="42"/>
  <c r="Q264" i="42"/>
  <c r="BJ264" i="42"/>
  <c r="AU264" i="42"/>
  <c r="BF264" i="42"/>
  <c r="BP252" i="42"/>
  <c r="BH252" i="42"/>
  <c r="BO252" i="42"/>
  <c r="BF252" i="42"/>
  <c r="AT252" i="42"/>
  <c r="BE252" i="42"/>
  <c r="BP260" i="42"/>
  <c r="BH260" i="42"/>
  <c r="BN260" i="42"/>
  <c r="BE260" i="42"/>
  <c r="AU260" i="42"/>
  <c r="BI260" i="42"/>
  <c r="BG260" i="42"/>
  <c r="J260" i="42"/>
  <c r="BM260" i="42"/>
  <c r="AD260" i="42"/>
  <c r="AG260" i="42" s="1"/>
  <c r="BL260" i="42"/>
  <c r="O260" i="42"/>
  <c r="AZ260" i="42"/>
  <c r="I263" i="42"/>
  <c r="BM269" i="42"/>
  <c r="BE269" i="42"/>
  <c r="Q269" i="42"/>
  <c r="I269" i="42"/>
  <c r="BP269" i="42"/>
  <c r="BG269" i="42"/>
  <c r="BL269" i="42"/>
  <c r="BK269" i="42"/>
  <c r="J269" i="42"/>
  <c r="BN269" i="42"/>
  <c r="O269" i="42"/>
  <c r="BF269" i="42"/>
  <c r="BO269" i="42"/>
  <c r="AT269" i="42"/>
  <c r="BJ269" i="42"/>
  <c r="BI269" i="42"/>
  <c r="BH269" i="42"/>
  <c r="AZ269" i="42"/>
  <c r="AD269" i="42"/>
  <c r="AG269" i="42" s="1"/>
  <c r="BN241" i="42"/>
  <c r="BF241" i="42"/>
  <c r="AD241" i="42"/>
  <c r="AG241" i="42" s="1"/>
  <c r="BG241" i="42"/>
  <c r="BP241" i="42"/>
  <c r="O246" i="42"/>
  <c r="BG246" i="42"/>
  <c r="BG249" i="42"/>
  <c r="BP249" i="42"/>
  <c r="AU252" i="42"/>
  <c r="BG252" i="42"/>
  <c r="BJ253" i="42"/>
  <c r="BN253" i="42"/>
  <c r="BE253" i="42"/>
  <c r="AU253" i="42"/>
  <c r="AD253" i="42"/>
  <c r="AG253" i="42" s="1"/>
  <c r="AZ253" i="42"/>
  <c r="BL253" i="42"/>
  <c r="BJ257" i="42"/>
  <c r="BM257" i="42"/>
  <c r="BI257" i="42"/>
  <c r="BO257" i="42"/>
  <c r="BE257" i="42"/>
  <c r="J257" i="42"/>
  <c r="BN257" i="42"/>
  <c r="Q257" i="42"/>
  <c r="I257" i="42"/>
  <c r="BG257" i="42"/>
  <c r="I260" i="42"/>
  <c r="AU203" i="42"/>
  <c r="AU207" i="42"/>
  <c r="AU211" i="42"/>
  <c r="AU215" i="42"/>
  <c r="BH220" i="42"/>
  <c r="AU222" i="42"/>
  <c r="BE226" i="42"/>
  <c r="BG227" i="42"/>
  <c r="BH231" i="42"/>
  <c r="BP231" i="42"/>
  <c r="Q233" i="42"/>
  <c r="BE233" i="42"/>
  <c r="BG234" i="42"/>
  <c r="BK239" i="42"/>
  <c r="O239" i="42"/>
  <c r="Q239" i="42"/>
  <c r="AD239" i="42"/>
  <c r="AG239" i="42" s="1"/>
  <c r="BI239" i="42"/>
  <c r="BM240" i="42"/>
  <c r="BE240" i="42"/>
  <c r="Q240" i="42"/>
  <c r="I240" i="42"/>
  <c r="AZ240" i="42"/>
  <c r="BJ240" i="42"/>
  <c r="I241" i="42"/>
  <c r="Q241" i="42"/>
  <c r="BH241" i="42"/>
  <c r="BG243" i="42"/>
  <c r="BP243" i="42"/>
  <c r="BG247" i="42"/>
  <c r="BP247" i="42"/>
  <c r="O249" i="42"/>
  <c r="BH249" i="42"/>
  <c r="AD250" i="42"/>
  <c r="AG250" i="42" s="1"/>
  <c r="AZ250" i="42"/>
  <c r="J252" i="42"/>
  <c r="BI252" i="42"/>
  <c r="I253" i="42"/>
  <c r="Q253" i="42"/>
  <c r="BM253" i="42"/>
  <c r="BH257" i="42"/>
  <c r="BF260" i="42"/>
  <c r="AZ263" i="42"/>
  <c r="BE264" i="42"/>
  <c r="BP246" i="42"/>
  <c r="BH246" i="42"/>
  <c r="Q246" i="42"/>
  <c r="AD246" i="42"/>
  <c r="AG246" i="42" s="1"/>
  <c r="AZ246" i="42"/>
  <c r="BJ246" i="42"/>
  <c r="BK250" i="42"/>
  <c r="BM250" i="42"/>
  <c r="Q250" i="42"/>
  <c r="BN250" i="42"/>
  <c r="BJ252" i="42"/>
  <c r="J253" i="42"/>
  <c r="BO253" i="42"/>
  <c r="AU257" i="42"/>
  <c r="BK257" i="42"/>
  <c r="BJ260" i="42"/>
  <c r="O264" i="42"/>
  <c r="BL264" i="42"/>
  <c r="BN249" i="42"/>
  <c r="BF249" i="42"/>
  <c r="AD249" i="42"/>
  <c r="AG249" i="42" s="1"/>
  <c r="J249" i="42"/>
  <c r="Q249" i="42"/>
  <c r="AZ249" i="42"/>
  <c r="BJ249" i="42"/>
  <c r="AZ252" i="42"/>
  <c r="BK252" i="42"/>
  <c r="AD257" i="42"/>
  <c r="AG257" i="42" s="1"/>
  <c r="BL257" i="42"/>
  <c r="BK260" i="42"/>
  <c r="BE263" i="42"/>
  <c r="BM265" i="42"/>
  <c r="BK265" i="42"/>
  <c r="O265" i="42"/>
  <c r="BJ265" i="42"/>
  <c r="BP265" i="42"/>
  <c r="BE265" i="42"/>
  <c r="I265" i="42"/>
  <c r="BG265" i="42"/>
  <c r="AU265" i="42"/>
  <c r="Q265" i="42"/>
  <c r="BF265" i="42"/>
  <c r="AD265" i="42"/>
  <c r="AG265" i="42" s="1"/>
  <c r="BN265" i="42"/>
  <c r="BL265" i="42"/>
  <c r="BI265" i="42"/>
  <c r="J265" i="42"/>
  <c r="I249" i="42"/>
  <c r="BK249" i="42"/>
  <c r="O252" i="42"/>
  <c r="BL252" i="42"/>
  <c r="BP257" i="42"/>
  <c r="L259" i="42"/>
  <c r="P259" i="42" s="1"/>
  <c r="Q260" i="42"/>
  <c r="BO260" i="42"/>
  <c r="AU231" i="42"/>
  <c r="BL241" i="42"/>
  <c r="BM246" i="42"/>
  <c r="BL249" i="42"/>
  <c r="AD252" i="42"/>
  <c r="AG252" i="42" s="1"/>
  <c r="BM252" i="42"/>
  <c r="BH253" i="42"/>
  <c r="O257" i="42"/>
  <c r="AZ265" i="42"/>
  <c r="AU269" i="42"/>
  <c r="BI267" i="42"/>
  <c r="AZ267" i="42"/>
  <c r="BN267" i="42"/>
  <c r="BE267" i="42"/>
  <c r="AU267" i="42"/>
  <c r="BK267" i="42"/>
  <c r="J267" i="42"/>
  <c r="BJ267" i="42"/>
  <c r="AD267" i="42"/>
  <c r="AG267" i="42" s="1"/>
  <c r="Q267" i="42"/>
  <c r="I267" i="42"/>
  <c r="AT267" i="42"/>
  <c r="BL267" i="42"/>
  <c r="BO270" i="42"/>
  <c r="BG270" i="42"/>
  <c r="BP270" i="42"/>
  <c r="BF270" i="42"/>
  <c r="BL270" i="42"/>
  <c r="BK270" i="42"/>
  <c r="J270" i="42"/>
  <c r="BJ270" i="42"/>
  <c r="AU270" i="42"/>
  <c r="AD270" i="42"/>
  <c r="AG270" i="42" s="1"/>
  <c r="I270" i="42"/>
  <c r="AT270" i="42"/>
  <c r="BN270" i="42"/>
  <c r="BG261" i="42"/>
  <c r="BM267" i="42"/>
  <c r="AU244" i="42"/>
  <c r="AU248" i="42"/>
  <c r="BN259" i="42"/>
  <c r="BF259" i="42"/>
  <c r="AD259" i="42"/>
  <c r="AG259" i="42" s="1"/>
  <c r="J259" i="42"/>
  <c r="BM259" i="42"/>
  <c r="AU259" i="42"/>
  <c r="BG259" i="42"/>
  <c r="O266" i="42"/>
  <c r="BF266" i="42"/>
  <c r="BO267" i="42"/>
  <c r="BE270" i="42"/>
  <c r="BJ261" i="42"/>
  <c r="BM261" i="42"/>
  <c r="AD261" i="42"/>
  <c r="AG261" i="42" s="1"/>
  <c r="AZ261" i="42"/>
  <c r="BL261" i="42"/>
  <c r="BO266" i="42"/>
  <c r="BG266" i="42"/>
  <c r="BN266" i="42"/>
  <c r="BE266" i="42"/>
  <c r="AU266" i="42"/>
  <c r="BK266" i="42"/>
  <c r="J266" i="42"/>
  <c r="BJ266" i="42"/>
  <c r="AZ266" i="42"/>
  <c r="AD266" i="42"/>
  <c r="AG266" i="42" s="1"/>
  <c r="Q266" i="42"/>
  <c r="I266" i="42"/>
  <c r="BL266" i="42"/>
  <c r="O267" i="42"/>
  <c r="BF267" i="42"/>
  <c r="O270" i="42"/>
  <c r="BH270" i="42"/>
  <c r="BP256" i="42"/>
  <c r="BH256" i="42"/>
  <c r="BN256" i="42"/>
  <c r="BE256" i="42"/>
  <c r="AU256" i="42"/>
  <c r="Q256" i="42"/>
  <c r="BO256" i="42"/>
  <c r="AZ259" i="42"/>
  <c r="BK259" i="42"/>
  <c r="I261" i="42"/>
  <c r="Q261" i="42"/>
  <c r="BN261" i="42"/>
  <c r="BM266" i="42"/>
  <c r="BG267" i="42"/>
  <c r="BI270" i="42"/>
  <c r="BO273" i="42"/>
  <c r="BG273" i="42"/>
  <c r="BL273" i="42"/>
  <c r="BK273" i="42"/>
  <c r="AZ273" i="42"/>
  <c r="O273" i="42"/>
  <c r="BI273" i="42"/>
  <c r="BP273" i="42"/>
  <c r="BE273" i="42"/>
  <c r="J273" i="42"/>
  <c r="BN273" i="42"/>
  <c r="Q273" i="42"/>
  <c r="I273" i="42"/>
  <c r="BI274" i="42"/>
  <c r="AZ274" i="42"/>
  <c r="BM274" i="42"/>
  <c r="BE274" i="42"/>
  <c r="Q274" i="42"/>
  <c r="I274" i="42"/>
  <c r="BJ274" i="42"/>
  <c r="BP274" i="42"/>
  <c r="BN274" i="42"/>
  <c r="J274" i="42"/>
  <c r="BH274" i="42"/>
  <c r="AU274" i="42"/>
  <c r="BG274" i="42"/>
  <c r="O274" i="42"/>
  <c r="BK274" i="42"/>
  <c r="BK268" i="42"/>
  <c r="AT268" i="42"/>
  <c r="O268" i="42"/>
  <c r="BO268" i="42"/>
  <c r="BF268" i="42"/>
  <c r="BL268" i="42"/>
  <c r="J268" i="42"/>
  <c r="BJ268" i="42"/>
  <c r="AZ268" i="42"/>
  <c r="I268" i="42"/>
  <c r="BG268" i="42"/>
  <c r="BK271" i="42"/>
  <c r="BL271" i="42"/>
  <c r="BH271" i="42"/>
  <c r="BO271" i="42"/>
  <c r="BE271" i="42"/>
  <c r="BN271" i="42"/>
  <c r="J271" i="42"/>
  <c r="Q271" i="42"/>
  <c r="AZ271" i="42"/>
  <c r="BO274" i="42"/>
  <c r="BK275" i="42"/>
  <c r="O275" i="42"/>
  <c r="BO275" i="42"/>
  <c r="BG275" i="42"/>
  <c r="BH275" i="42"/>
  <c r="J275" i="42"/>
  <c r="BJ275" i="42"/>
  <c r="Q275" i="42"/>
  <c r="BF275" i="42"/>
  <c r="AD275" i="42"/>
  <c r="AG275" i="42" s="1"/>
  <c r="BE275" i="42"/>
  <c r="BN275" i="42"/>
  <c r="BM275" i="42"/>
  <c r="AZ275" i="42"/>
  <c r="I275" i="42"/>
  <c r="BL275" i="42"/>
  <c r="BP275" i="42"/>
  <c r="BJ273" i="42"/>
  <c r="BM273" i="42"/>
  <c r="AU273" i="42"/>
  <c r="AD274" i="42"/>
  <c r="AG274" i="42" s="1"/>
  <c r="BF274" i="42"/>
  <c r="AU275" i="42"/>
  <c r="AU254" i="42"/>
  <c r="AU258" i="42"/>
  <c r="AU262" i="42"/>
  <c r="BI272" i="42"/>
  <c r="BO277" i="42"/>
  <c r="BG277" i="42"/>
  <c r="BM277" i="42"/>
  <c r="BK277" i="42"/>
  <c r="O277" i="42"/>
  <c r="BP277" i="42"/>
  <c r="AD277" i="42"/>
  <c r="AG277" i="42" s="1"/>
  <c r="BJ277" i="42"/>
  <c r="BI280" i="42"/>
  <c r="BE281" i="42"/>
  <c r="BK283" i="42"/>
  <c r="BH283" i="42"/>
  <c r="AD283" i="42"/>
  <c r="AG283" i="42" s="1"/>
  <c r="J283" i="42"/>
  <c r="BJ283" i="42"/>
  <c r="O283" i="42"/>
  <c r="BI283" i="42"/>
  <c r="BP283" i="42"/>
  <c r="BF283" i="42"/>
  <c r="AU283" i="42"/>
  <c r="BO283" i="42"/>
  <c r="BE283" i="42"/>
  <c r="BN283" i="42"/>
  <c r="I283" i="42"/>
  <c r="BL283" i="42"/>
  <c r="I277" i="42"/>
  <c r="BL277" i="42"/>
  <c r="BN279" i="42"/>
  <c r="BF279" i="42"/>
  <c r="AD279" i="42"/>
  <c r="AG279" i="42" s="1"/>
  <c r="J279" i="42"/>
  <c r="BP279" i="42"/>
  <c r="BG279" i="42"/>
  <c r="BM279" i="42"/>
  <c r="BK279" i="42"/>
  <c r="I279" i="42"/>
  <c r="AZ279" i="42"/>
  <c r="AU279" i="42"/>
  <c r="BL279" i="42"/>
  <c r="Q280" i="42"/>
  <c r="BJ280" i="42"/>
  <c r="BG281" i="42"/>
  <c r="BM283" i="42"/>
  <c r="BP280" i="42"/>
  <c r="BH280" i="42"/>
  <c r="BG280" i="42"/>
  <c r="O280" i="42"/>
  <c r="BN280" i="42"/>
  <c r="BE280" i="42"/>
  <c r="AU280" i="42"/>
  <c r="BM280" i="42"/>
  <c r="BL280" i="42"/>
  <c r="J280" i="42"/>
  <c r="BF280" i="42"/>
  <c r="BO280" i="42"/>
  <c r="BM272" i="42"/>
  <c r="BE272" i="42"/>
  <c r="Q272" i="42"/>
  <c r="I272" i="42"/>
  <c r="BL272" i="42"/>
  <c r="BO272" i="42"/>
  <c r="BL278" i="42"/>
  <c r="AU278" i="42"/>
  <c r="BO278" i="42"/>
  <c r="BF278" i="42"/>
  <c r="BM278" i="42"/>
  <c r="BJ278" i="42"/>
  <c r="AZ278" i="42"/>
  <c r="I278" i="42"/>
  <c r="BN278" i="42"/>
  <c r="O278" i="42"/>
  <c r="BH278" i="42"/>
  <c r="I280" i="42"/>
  <c r="BJ281" i="42"/>
  <c r="BO281" i="42"/>
  <c r="BF281" i="42"/>
  <c r="O281" i="42"/>
  <c r="BM281" i="42"/>
  <c r="BL281" i="42"/>
  <c r="BK281" i="42"/>
  <c r="AZ281" i="42"/>
  <c r="BP281" i="42"/>
  <c r="AD281" i="42"/>
  <c r="AG281" i="42" s="1"/>
  <c r="BN281" i="42"/>
  <c r="AD280" i="42"/>
  <c r="AG280" i="42" s="1"/>
  <c r="I281" i="42"/>
  <c r="AU281" i="42"/>
  <c r="Q283" i="42"/>
  <c r="AZ283" i="42"/>
  <c r="AZ280" i="42"/>
  <c r="J281" i="42"/>
  <c r="BM276" i="42"/>
  <c r="BE276" i="42"/>
  <c r="Q276" i="42"/>
  <c r="I276" i="42"/>
  <c r="BI276" i="42"/>
  <c r="AZ276" i="42"/>
  <c r="BF276" i="42"/>
  <c r="BP276" i="42"/>
  <c r="BM284" i="42"/>
  <c r="BE284" i="42"/>
  <c r="Q284" i="42"/>
  <c r="I284" i="42"/>
  <c r="BI284" i="42"/>
  <c r="AD284" i="42"/>
  <c r="AG284" i="42" s="1"/>
  <c r="BH284" i="42"/>
  <c r="BG284" i="42"/>
  <c r="AU284" i="42"/>
  <c r="J284" i="42"/>
  <c r="BP284" i="42"/>
  <c r="BF284" i="42"/>
  <c r="BO284" i="42"/>
  <c r="BN284" i="42"/>
  <c r="O284" i="42"/>
  <c r="BL284" i="42"/>
  <c r="P286" i="42"/>
  <c r="BM287" i="42"/>
  <c r="BE287" i="42"/>
  <c r="Q287" i="42"/>
  <c r="I287" i="42"/>
  <c r="BK287" i="42"/>
  <c r="O287" i="42"/>
  <c r="BJ287" i="42"/>
  <c r="AZ287" i="42"/>
  <c r="BN287" i="42"/>
  <c r="AD290" i="42"/>
  <c r="AG290" i="42" s="1"/>
  <c r="AU290" i="42"/>
  <c r="BH290" i="42"/>
  <c r="BJ293" i="42"/>
  <c r="BL290" i="42"/>
  <c r="BI293" i="42"/>
  <c r="AZ293" i="42"/>
  <c r="BP293" i="42"/>
  <c r="BH293" i="42"/>
  <c r="BO293" i="42"/>
  <c r="BG293" i="42"/>
  <c r="BM293" i="42"/>
  <c r="BE293" i="42"/>
  <c r="Q293" i="42"/>
  <c r="I293" i="42"/>
  <c r="BL293" i="42"/>
  <c r="BK290" i="42"/>
  <c r="AT290" i="42"/>
  <c r="O290" i="42"/>
  <c r="BJ290" i="42"/>
  <c r="BI290" i="42"/>
  <c r="AZ290" i="42"/>
  <c r="BN290" i="42"/>
  <c r="Q290" i="42"/>
  <c r="BO290" i="42"/>
  <c r="J293" i="42"/>
  <c r="AU293" i="42"/>
  <c r="BN293" i="42"/>
  <c r="BG287" i="42"/>
  <c r="BO288" i="42"/>
  <c r="BG288" i="42"/>
  <c r="BN288" i="42"/>
  <c r="BF288" i="42"/>
  <c r="AD288" i="42"/>
  <c r="AG288" i="42" s="1"/>
  <c r="BM288" i="42"/>
  <c r="BE288" i="42"/>
  <c r="Q288" i="42"/>
  <c r="I288" i="42"/>
  <c r="BP288" i="42"/>
  <c r="BI289" i="42"/>
  <c r="AZ289" i="42"/>
  <c r="BP289" i="42"/>
  <c r="BH289" i="42"/>
  <c r="BO289" i="42"/>
  <c r="BG289" i="42"/>
  <c r="BJ289" i="42"/>
  <c r="AU289" i="42"/>
  <c r="AD289" i="42"/>
  <c r="AG289" i="42" s="1"/>
  <c r="O289" i="42"/>
  <c r="I290" i="42"/>
  <c r="BP290" i="42"/>
  <c r="J290" i="42"/>
  <c r="BE290" i="42"/>
  <c r="AD293" i="42"/>
  <c r="AG293" i="42" s="1"/>
  <c r="AU282" i="42"/>
  <c r="BO285" i="42"/>
  <c r="BG285" i="42"/>
  <c r="BI285" i="42"/>
  <c r="BK286" i="42"/>
  <c r="BI286" i="42"/>
  <c r="AZ286" i="42"/>
  <c r="BL286" i="42"/>
  <c r="BO292" i="42"/>
  <c r="BG292" i="42"/>
  <c r="BN292" i="42"/>
  <c r="BF292" i="42"/>
  <c r="AD292" i="42"/>
  <c r="AG292" i="42" s="1"/>
  <c r="J292" i="42"/>
  <c r="BM292" i="42"/>
  <c r="BE292" i="42"/>
  <c r="Q292" i="42"/>
  <c r="I292" i="42"/>
  <c r="BK292" i="42"/>
  <c r="O292" i="42"/>
  <c r="BJ292" i="42"/>
  <c r="BK294" i="42"/>
  <c r="O294" i="42"/>
  <c r="BJ294" i="42"/>
  <c r="BI294" i="42"/>
  <c r="AZ294" i="42"/>
  <c r="BO294" i="42"/>
  <c r="BG294" i="42"/>
  <c r="Q294" i="42"/>
  <c r="BK299" i="42"/>
  <c r="BO302" i="42"/>
  <c r="BG302" i="42"/>
  <c r="BH302" i="42"/>
  <c r="O302" i="42"/>
  <c r="BK302" i="42"/>
  <c r="J302" i="42"/>
  <c r="BJ302" i="42"/>
  <c r="AZ302" i="42"/>
  <c r="AD302" i="42"/>
  <c r="AG302" i="42" s="1"/>
  <c r="Q302" i="42"/>
  <c r="I302" i="42"/>
  <c r="BF302" i="42"/>
  <c r="AU303" i="42"/>
  <c r="BL303" i="42"/>
  <c r="AZ305" i="42"/>
  <c r="BM305" i="42"/>
  <c r="BE305" i="42"/>
  <c r="Q305" i="42"/>
  <c r="I305" i="42"/>
  <c r="BI305" i="42"/>
  <c r="AD305" i="42"/>
  <c r="AG305" i="42" s="1"/>
  <c r="BL305" i="42"/>
  <c r="BK305" i="42"/>
  <c r="J305" i="42"/>
  <c r="BF305" i="42"/>
  <c r="AZ291" i="42"/>
  <c r="BI291" i="42"/>
  <c r="AZ295" i="42"/>
  <c r="BI295" i="42"/>
  <c r="O296" i="42"/>
  <c r="O297" i="42"/>
  <c r="AD297" i="42"/>
  <c r="AG297" i="42" s="1"/>
  <c r="BM302" i="42"/>
  <c r="BO303" i="42"/>
  <c r="BG305" i="42"/>
  <c r="BM296" i="42"/>
  <c r="BE296" i="42"/>
  <c r="Q296" i="42"/>
  <c r="AD296" i="42"/>
  <c r="AG296" i="42" s="1"/>
  <c r="BI296" i="42"/>
  <c r="BO297" i="42"/>
  <c r="BG297" i="42"/>
  <c r="BJ297" i="42"/>
  <c r="BI297" i="42"/>
  <c r="AZ297" i="42"/>
  <c r="AU297" i="42"/>
  <c r="BH297" i="42"/>
  <c r="BN302" i="42"/>
  <c r="BK304" i="42"/>
  <c r="O304" i="42"/>
  <c r="BH304" i="42"/>
  <c r="BL304" i="42"/>
  <c r="J304" i="42"/>
  <c r="BJ304" i="42"/>
  <c r="AZ304" i="42"/>
  <c r="I304" i="42"/>
  <c r="BG304" i="42"/>
  <c r="BH305" i="42"/>
  <c r="O291" i="42"/>
  <c r="BK291" i="42"/>
  <c r="O295" i="42"/>
  <c r="BK295" i="42"/>
  <c r="I296" i="42"/>
  <c r="AZ296" i="42"/>
  <c r="BJ296" i="42"/>
  <c r="I297" i="42"/>
  <c r="Q297" i="42"/>
  <c r="BK297" i="42"/>
  <c r="BP302" i="42"/>
  <c r="AU304" i="42"/>
  <c r="BI304" i="42"/>
  <c r="AU305" i="42"/>
  <c r="BJ305" i="42"/>
  <c r="AU291" i="42"/>
  <c r="BL291" i="42"/>
  <c r="AU295" i="42"/>
  <c r="BL295" i="42"/>
  <c r="J296" i="42"/>
  <c r="BK296" i="42"/>
  <c r="J297" i="42"/>
  <c r="BL297" i="42"/>
  <c r="BI299" i="42"/>
  <c r="AZ299" i="42"/>
  <c r="BO299" i="42"/>
  <c r="BF299" i="42"/>
  <c r="O299" i="42"/>
  <c r="BJ299" i="42"/>
  <c r="AD299" i="42"/>
  <c r="AG299" i="42" s="1"/>
  <c r="J299" i="42"/>
  <c r="BH299" i="42"/>
  <c r="Q299" i="42"/>
  <c r="I299" i="42"/>
  <c r="BE299" i="42"/>
  <c r="BI303" i="42"/>
  <c r="AZ303" i="42"/>
  <c r="BP303" i="42"/>
  <c r="BG303" i="42"/>
  <c r="O303" i="42"/>
  <c r="BK303" i="42"/>
  <c r="J303" i="42"/>
  <c r="BJ303" i="42"/>
  <c r="AD303" i="42"/>
  <c r="AG303" i="42" s="1"/>
  <c r="Q303" i="42"/>
  <c r="I303" i="42"/>
  <c r="BF303" i="42"/>
  <c r="BN305" i="42"/>
  <c r="I291" i="42"/>
  <c r="Q291" i="42"/>
  <c r="BE291" i="42"/>
  <c r="I295" i="42"/>
  <c r="Q295" i="42"/>
  <c r="BE295" i="42"/>
  <c r="BL296" i="42"/>
  <c r="BM297" i="42"/>
  <c r="BG299" i="42"/>
  <c r="BE302" i="42"/>
  <c r="BH303" i="42"/>
  <c r="BN304" i="42"/>
  <c r="O305" i="42"/>
  <c r="BO305" i="42"/>
  <c r="P309" i="42"/>
  <c r="O298" i="42"/>
  <c r="P298" i="42" s="1"/>
  <c r="BK298" i="42"/>
  <c r="BK300" i="42"/>
  <c r="AT300" i="42"/>
  <c r="O300" i="42"/>
  <c r="Q300" i="42"/>
  <c r="AD300" i="42"/>
  <c r="AG300" i="42" s="1"/>
  <c r="BI300" i="42"/>
  <c r="BM301" i="42"/>
  <c r="BE301" i="42"/>
  <c r="Q301" i="42"/>
  <c r="I301" i="42"/>
  <c r="AZ301" i="42"/>
  <c r="BJ301" i="42"/>
  <c r="BO312" i="42"/>
  <c r="BG312" i="42"/>
  <c r="BJ312" i="42"/>
  <c r="BP312" i="42"/>
  <c r="BE312" i="42"/>
  <c r="AT312" i="42"/>
  <c r="J312" i="42"/>
  <c r="BL312" i="42"/>
  <c r="AZ312" i="42"/>
  <c r="O312" i="42"/>
  <c r="AU298" i="42"/>
  <c r="BL298" i="42"/>
  <c r="BM311" i="42"/>
  <c r="BE311" i="42"/>
  <c r="Q311" i="42"/>
  <c r="I311" i="42"/>
  <c r="BP311" i="42"/>
  <c r="BH311" i="42"/>
  <c r="BJ311" i="42"/>
  <c r="BF311" i="42"/>
  <c r="L310" i="42"/>
  <c r="J311" i="42"/>
  <c r="BG311" i="42"/>
  <c r="AZ298" i="42"/>
  <c r="BG300" i="42"/>
  <c r="BP300" i="42"/>
  <c r="O301" i="42"/>
  <c r="BH301" i="42"/>
  <c r="BK306" i="42"/>
  <c r="BI306" i="42"/>
  <c r="AZ306" i="42"/>
  <c r="BL306" i="42"/>
  <c r="BO308" i="42"/>
  <c r="BG308" i="42"/>
  <c r="BJ308" i="42"/>
  <c r="BN308" i="42"/>
  <c r="Q308" i="42"/>
  <c r="I308" i="42"/>
  <c r="AU308" i="42"/>
  <c r="BH308" i="42"/>
  <c r="O311" i="42"/>
  <c r="AZ311" i="42"/>
  <c r="BN311" i="42"/>
  <c r="BK314" i="42"/>
  <c r="AT314" i="42"/>
  <c r="O314" i="42"/>
  <c r="BJ314" i="42"/>
  <c r="BO314" i="42"/>
  <c r="BG314" i="42"/>
  <c r="BN314" i="42"/>
  <c r="BF314" i="42"/>
  <c r="AD314" i="42"/>
  <c r="AG314" i="42" s="1"/>
  <c r="J314" i="42"/>
  <c r="BE314" i="42"/>
  <c r="BI316" i="42"/>
  <c r="AZ316" i="42"/>
  <c r="BO316" i="42"/>
  <c r="BG316" i="42"/>
  <c r="BN316" i="42"/>
  <c r="BF316" i="42"/>
  <c r="AD316" i="42"/>
  <c r="AG316" i="42" s="1"/>
  <c r="J316" i="42"/>
  <c r="BM316" i="42"/>
  <c r="BE316" i="42"/>
  <c r="Q316" i="42"/>
  <c r="I316" i="42"/>
  <c r="BK316" i="42"/>
  <c r="O316" i="42"/>
  <c r="BJ316" i="42"/>
  <c r="BL316" i="42"/>
  <c r="BK310" i="42"/>
  <c r="O310" i="42"/>
  <c r="BN310" i="42"/>
  <c r="BF310" i="42"/>
  <c r="AD310" i="42"/>
  <c r="AG310" i="42" s="1"/>
  <c r="J310" i="42"/>
  <c r="AU310" i="42"/>
  <c r="BG310" i="42"/>
  <c r="I314" i="42"/>
  <c r="BH314" i="42"/>
  <c r="BP316" i="42"/>
  <c r="BM318" i="42"/>
  <c r="BE318" i="42"/>
  <c r="Q318" i="42"/>
  <c r="I318" i="42"/>
  <c r="BK318" i="42"/>
  <c r="AT318" i="42"/>
  <c r="O318" i="42"/>
  <c r="BJ318" i="42"/>
  <c r="BI318" i="42"/>
  <c r="AZ318" i="42"/>
  <c r="BP318" i="42"/>
  <c r="BH318" i="42"/>
  <c r="BO318" i="42"/>
  <c r="BG318" i="42"/>
  <c r="BN318" i="42"/>
  <c r="BF318" i="42"/>
  <c r="AD318" i="42"/>
  <c r="AG318" i="42" s="1"/>
  <c r="J318" i="42"/>
  <c r="AU318" i="42"/>
  <c r="BM307" i="42"/>
  <c r="BE307" i="42"/>
  <c r="Q307" i="42"/>
  <c r="I307" i="42"/>
  <c r="AZ307" i="42"/>
  <c r="BJ307" i="42"/>
  <c r="BM314" i="42"/>
  <c r="AU316" i="42"/>
  <c r="BP314" i="42"/>
  <c r="AZ314" i="42"/>
  <c r="AU309" i="42"/>
  <c r="BL309" i="42"/>
  <c r="AU313" i="42"/>
  <c r="BL313" i="42"/>
  <c r="BH315" i="42"/>
  <c r="BP315" i="42"/>
  <c r="AU317" i="42"/>
  <c r="BL317" i="42"/>
  <c r="AZ315" i="42"/>
  <c r="BI315" i="42"/>
  <c r="BE317" i="42"/>
  <c r="BM317" i="42"/>
  <c r="AU315" i="42"/>
  <c r="BL315" i="42"/>
  <c r="Q319" i="42"/>
  <c r="BF319" i="42"/>
  <c r="BN319" i="42"/>
  <c r="AZ309" i="42"/>
  <c r="AZ313" i="42"/>
  <c r="I315" i="42"/>
  <c r="Q315" i="42"/>
  <c r="BE315" i="42"/>
  <c r="AZ317" i="42"/>
  <c r="I319" i="42"/>
  <c r="AD319" i="42"/>
  <c r="AG319" i="42" s="1"/>
  <c r="BG319" i="42"/>
  <c r="BO319" i="42"/>
  <c r="P164" i="42" l="1"/>
  <c r="L111" i="42"/>
  <c r="P111" i="42" s="1"/>
  <c r="L123" i="42"/>
  <c r="P123" i="42" s="1"/>
  <c r="L282" i="42"/>
  <c r="P282" i="42" s="1"/>
  <c r="L226" i="42"/>
  <c r="CB226" i="42" s="1"/>
  <c r="CC226" i="42" s="1"/>
  <c r="L76" i="42"/>
  <c r="P76" i="42" s="1"/>
  <c r="S76" i="42" s="1"/>
  <c r="L178" i="42"/>
  <c r="P178" i="42" s="1"/>
  <c r="S178" i="42" s="1"/>
  <c r="BC178" i="42" s="1"/>
  <c r="L256" i="42"/>
  <c r="P256" i="42" s="1"/>
  <c r="P246" i="42"/>
  <c r="S246" i="42" s="1"/>
  <c r="L22" i="42"/>
  <c r="CB22" i="42" s="1"/>
  <c r="CC22" i="42" s="1"/>
  <c r="L227" i="42"/>
  <c r="P227" i="42"/>
  <c r="L271" i="42"/>
  <c r="P271" i="42" s="1"/>
  <c r="S271" i="42" s="1"/>
  <c r="L250" i="42"/>
  <c r="CB250" i="42" s="1"/>
  <c r="CC250" i="42" s="1"/>
  <c r="L306" i="42"/>
  <c r="L54" i="42"/>
  <c r="CB54" i="42" s="1"/>
  <c r="CC54" i="42" s="1"/>
  <c r="L181" i="42"/>
  <c r="P181" i="42" s="1"/>
  <c r="L119" i="42"/>
  <c r="P119" i="42" s="1"/>
  <c r="CB164" i="42"/>
  <c r="CC164" i="42" s="1"/>
  <c r="L99" i="42"/>
  <c r="P99" i="42" s="1"/>
  <c r="S99" i="42" s="1"/>
  <c r="L121" i="42"/>
  <c r="CB121" i="42" s="1"/>
  <c r="CC121" i="42" s="1"/>
  <c r="L254" i="42"/>
  <c r="P254" i="42" s="1"/>
  <c r="S254" i="42" s="1"/>
  <c r="S131" i="42"/>
  <c r="BC131" i="42" s="1"/>
  <c r="L317" i="42"/>
  <c r="L211" i="42"/>
  <c r="P211" i="42" s="1"/>
  <c r="S211" i="42" s="1"/>
  <c r="P67" i="42"/>
  <c r="L26" i="42"/>
  <c r="P26" i="42" s="1"/>
  <c r="CB237" i="42"/>
  <c r="CC237" i="42" s="1"/>
  <c r="L243" i="42"/>
  <c r="P243" i="42" s="1"/>
  <c r="L167" i="42"/>
  <c r="CB167" i="42" s="1"/>
  <c r="CC167" i="42" s="1"/>
  <c r="P28" i="42"/>
  <c r="S28" i="42" s="1"/>
  <c r="U28" i="42" s="1"/>
  <c r="CB282" i="42"/>
  <c r="CC282" i="42" s="1"/>
  <c r="P204" i="42"/>
  <c r="S204" i="42" s="1"/>
  <c r="CB225" i="42"/>
  <c r="CC225" i="42" s="1"/>
  <c r="CB144" i="42"/>
  <c r="CC144" i="42" s="1"/>
  <c r="P237" i="42"/>
  <c r="S237" i="42" s="1"/>
  <c r="CB48" i="42"/>
  <c r="CC48" i="42" s="1"/>
  <c r="CB204" i="42"/>
  <c r="CC204" i="42" s="1"/>
  <c r="L10" i="42"/>
  <c r="P10" i="42" s="1"/>
  <c r="S10" i="42" s="1"/>
  <c r="CB310" i="42"/>
  <c r="CC310" i="42" s="1"/>
  <c r="L319" i="42"/>
  <c r="P319" i="42" s="1"/>
  <c r="S319" i="42" s="1"/>
  <c r="BR319" i="42"/>
  <c r="L315" i="42"/>
  <c r="P315" i="42" s="1"/>
  <c r="S315" i="42" s="1"/>
  <c r="BR315" i="42"/>
  <c r="L307" i="42"/>
  <c r="P307" i="42" s="1"/>
  <c r="S307" i="42" s="1"/>
  <c r="BR307" i="42"/>
  <c r="L318" i="42"/>
  <c r="BR318" i="42"/>
  <c r="L314" i="42"/>
  <c r="P314" i="42" s="1"/>
  <c r="BR314" i="42"/>
  <c r="L316" i="42"/>
  <c r="BR316" i="42"/>
  <c r="L308" i="42"/>
  <c r="P308" i="42" s="1"/>
  <c r="S308" i="42" s="1"/>
  <c r="BR308" i="42"/>
  <c r="L311" i="42"/>
  <c r="BR311" i="42"/>
  <c r="L301" i="42"/>
  <c r="P301" i="42" s="1"/>
  <c r="BR301" i="42"/>
  <c r="L295" i="42"/>
  <c r="P295" i="42" s="1"/>
  <c r="S295" i="42" s="1"/>
  <c r="BR295" i="42"/>
  <c r="L291" i="42"/>
  <c r="BR291" i="42"/>
  <c r="L303" i="42"/>
  <c r="BR303" i="42"/>
  <c r="L299" i="42"/>
  <c r="P299" i="42" s="1"/>
  <c r="S299" i="42" s="1"/>
  <c r="BR299" i="42"/>
  <c r="L297" i="42"/>
  <c r="P297" i="42" s="1"/>
  <c r="BR297" i="42"/>
  <c r="L296" i="42"/>
  <c r="P296" i="42" s="1"/>
  <c r="S296" i="42" s="1"/>
  <c r="BR296" i="42"/>
  <c r="L304" i="42"/>
  <c r="BR304" i="42"/>
  <c r="L305" i="42"/>
  <c r="P305" i="42" s="1"/>
  <c r="S305" i="42" s="1"/>
  <c r="BR305" i="42"/>
  <c r="L302" i="42"/>
  <c r="BR302" i="42"/>
  <c r="L292" i="42"/>
  <c r="P292" i="42" s="1"/>
  <c r="BR292" i="42"/>
  <c r="L290" i="42"/>
  <c r="BR290" i="42"/>
  <c r="L288" i="42"/>
  <c r="P288" i="42" s="1"/>
  <c r="S288" i="42" s="1"/>
  <c r="BR288" i="42"/>
  <c r="L293" i="42"/>
  <c r="P293" i="42" s="1"/>
  <c r="S293" i="42" s="1"/>
  <c r="BR293" i="42"/>
  <c r="L287" i="42"/>
  <c r="P287" i="42" s="1"/>
  <c r="BR287" i="42"/>
  <c r="L284" i="42"/>
  <c r="BR284" i="42"/>
  <c r="L276" i="42"/>
  <c r="P276" i="42" s="1"/>
  <c r="S276" i="42" s="1"/>
  <c r="BR276" i="42"/>
  <c r="L281" i="42"/>
  <c r="P281" i="42" s="1"/>
  <c r="BR281" i="42"/>
  <c r="L280" i="42"/>
  <c r="P280" i="42" s="1"/>
  <c r="S280" i="42" s="1"/>
  <c r="BR280" i="42"/>
  <c r="L278" i="42"/>
  <c r="P278" i="42" s="1"/>
  <c r="S278" i="42" s="1"/>
  <c r="BR278" i="42"/>
  <c r="L272" i="42"/>
  <c r="P272" i="42" s="1"/>
  <c r="BR272" i="42"/>
  <c r="L279" i="42"/>
  <c r="P279" i="42" s="1"/>
  <c r="S279" i="42" s="1"/>
  <c r="BR279" i="42"/>
  <c r="L277" i="42"/>
  <c r="P277" i="42" s="1"/>
  <c r="S277" i="42" s="1"/>
  <c r="BR277" i="42"/>
  <c r="L283" i="42"/>
  <c r="P283" i="42" s="1"/>
  <c r="S283" i="42" s="1"/>
  <c r="BR283" i="42"/>
  <c r="L275" i="42"/>
  <c r="P275" i="42" s="1"/>
  <c r="S275" i="42" s="1"/>
  <c r="BR275" i="42"/>
  <c r="L268" i="42"/>
  <c r="P268" i="42" s="1"/>
  <c r="BR268" i="42"/>
  <c r="L274" i="42"/>
  <c r="P274" i="42" s="1"/>
  <c r="S274" i="42" s="1"/>
  <c r="BR274" i="42"/>
  <c r="L273" i="42"/>
  <c r="BR273" i="42"/>
  <c r="L261" i="42"/>
  <c r="P261" i="42" s="1"/>
  <c r="S261" i="42" s="1"/>
  <c r="BR261" i="42"/>
  <c r="L266" i="42"/>
  <c r="BR266" i="42"/>
  <c r="L270" i="42"/>
  <c r="P270" i="42" s="1"/>
  <c r="BR270" i="42"/>
  <c r="L267" i="42"/>
  <c r="P267" i="42" s="1"/>
  <c r="BR267" i="42"/>
  <c r="L249" i="42"/>
  <c r="P249" i="42" s="1"/>
  <c r="S249" i="42" s="1"/>
  <c r="BR249" i="42"/>
  <c r="L265" i="42"/>
  <c r="P265" i="42" s="1"/>
  <c r="BR265" i="42"/>
  <c r="L253" i="42"/>
  <c r="P253" i="42" s="1"/>
  <c r="S253" i="42" s="1"/>
  <c r="BR253" i="42"/>
  <c r="L241" i="42"/>
  <c r="P241" i="42" s="1"/>
  <c r="S241" i="42" s="1"/>
  <c r="BR241" i="42"/>
  <c r="L240" i="42"/>
  <c r="P240" i="42" s="1"/>
  <c r="S240" i="42" s="1"/>
  <c r="BR240" i="42"/>
  <c r="L260" i="42"/>
  <c r="P260" i="42" s="1"/>
  <c r="S260" i="42" s="1"/>
  <c r="BR260" i="42"/>
  <c r="L257" i="42"/>
  <c r="BR257" i="42"/>
  <c r="L252" i="42"/>
  <c r="P252" i="42" s="1"/>
  <c r="S252" i="42" s="1"/>
  <c r="BR252" i="42"/>
  <c r="L269" i="42"/>
  <c r="P269" i="42" s="1"/>
  <c r="BR269" i="42"/>
  <c r="L263" i="42"/>
  <c r="P263" i="42" s="1"/>
  <c r="S263" i="42" s="1"/>
  <c r="BR263" i="42"/>
  <c r="L264" i="42"/>
  <c r="P264" i="42" s="1"/>
  <c r="S264" i="42" s="1"/>
  <c r="BR264" i="42"/>
  <c r="L255" i="42"/>
  <c r="BR255" i="42"/>
  <c r="L251" i="42"/>
  <c r="P251" i="42" s="1"/>
  <c r="S251" i="42" s="1"/>
  <c r="BR251" i="42"/>
  <c r="L231" i="42"/>
  <c r="P231" i="42" s="1"/>
  <c r="S231" i="42" s="1"/>
  <c r="BR231" i="42"/>
  <c r="L209" i="42"/>
  <c r="P209" i="42" s="1"/>
  <c r="S209" i="42" s="1"/>
  <c r="BR209" i="42"/>
  <c r="L245" i="42"/>
  <c r="P245" i="42" s="1"/>
  <c r="S245" i="42" s="1"/>
  <c r="BR245" i="42"/>
  <c r="L235" i="42"/>
  <c r="P235" i="42" s="1"/>
  <c r="S235" i="42" s="1"/>
  <c r="BR235" i="42"/>
  <c r="L236" i="42"/>
  <c r="BR236" i="42"/>
  <c r="L217" i="42"/>
  <c r="P217" i="42" s="1"/>
  <c r="S217" i="42" s="1"/>
  <c r="BR217" i="42"/>
  <c r="L230" i="42"/>
  <c r="BR230" i="42"/>
  <c r="L228" i="42"/>
  <c r="P228" i="42" s="1"/>
  <c r="S228" i="42" s="1"/>
  <c r="BR228" i="42"/>
  <c r="L219" i="42"/>
  <c r="P219" i="42" s="1"/>
  <c r="S219" i="42" s="1"/>
  <c r="BR219" i="42"/>
  <c r="L213" i="42"/>
  <c r="BR213" i="42"/>
  <c r="L224" i="42"/>
  <c r="BR224" i="42"/>
  <c r="L221" i="42"/>
  <c r="P221" i="42" s="1"/>
  <c r="S221" i="42" s="1"/>
  <c r="BR221" i="42"/>
  <c r="L208" i="42"/>
  <c r="BR208" i="42"/>
  <c r="L196" i="42"/>
  <c r="P196" i="42" s="1"/>
  <c r="S196" i="42" s="1"/>
  <c r="BR196" i="42"/>
  <c r="L195" i="42"/>
  <c r="BR195" i="42"/>
  <c r="L194" i="42"/>
  <c r="P194" i="42" s="1"/>
  <c r="S194" i="42" s="1"/>
  <c r="BR194" i="42"/>
  <c r="L193" i="42"/>
  <c r="P193" i="42" s="1"/>
  <c r="S193" i="42" s="1"/>
  <c r="BR193" i="42"/>
  <c r="L205" i="42"/>
  <c r="P205" i="42" s="1"/>
  <c r="BR205" i="42"/>
  <c r="L197" i="42"/>
  <c r="P197" i="42" s="1"/>
  <c r="S197" i="42" s="1"/>
  <c r="BR197" i="42"/>
  <c r="L200" i="42"/>
  <c r="P200" i="42" s="1"/>
  <c r="S200" i="42" s="1"/>
  <c r="BR200" i="42"/>
  <c r="L187" i="42"/>
  <c r="P187" i="42" s="1"/>
  <c r="BR187" i="42"/>
  <c r="L182" i="42"/>
  <c r="P182" i="42" s="1"/>
  <c r="S182" i="42" s="1"/>
  <c r="BR182" i="42"/>
  <c r="L206" i="42"/>
  <c r="BR206" i="42"/>
  <c r="L198" i="42"/>
  <c r="P198" i="42" s="1"/>
  <c r="S198" i="42" s="1"/>
  <c r="BR198" i="42"/>
  <c r="L188" i="42"/>
  <c r="BR188" i="42"/>
  <c r="L201" i="42"/>
  <c r="P201" i="42" s="1"/>
  <c r="S201" i="42" s="1"/>
  <c r="BR201" i="42"/>
  <c r="L199" i="42"/>
  <c r="BR199" i="42"/>
  <c r="L184" i="42"/>
  <c r="P184" i="42" s="1"/>
  <c r="S184" i="42" s="1"/>
  <c r="BR184" i="42"/>
  <c r="L183" i="42"/>
  <c r="P183" i="42" s="1"/>
  <c r="S183" i="42" s="1"/>
  <c r="BR183" i="42"/>
  <c r="L171" i="42"/>
  <c r="P171" i="42" s="1"/>
  <c r="S171" i="42" s="1"/>
  <c r="BR171" i="42"/>
  <c r="L170" i="42"/>
  <c r="BR170" i="42"/>
  <c r="L168" i="42"/>
  <c r="P168" i="42" s="1"/>
  <c r="S168" i="42" s="1"/>
  <c r="BR168" i="42"/>
  <c r="L162" i="42"/>
  <c r="P162" i="42" s="1"/>
  <c r="S162" i="42" s="1"/>
  <c r="BR162" i="42"/>
  <c r="L191" i="42"/>
  <c r="P191" i="42" s="1"/>
  <c r="S191" i="42" s="1"/>
  <c r="BR191" i="42"/>
  <c r="L175" i="42"/>
  <c r="BR175" i="42"/>
  <c r="L174" i="42"/>
  <c r="P174" i="42" s="1"/>
  <c r="S174" i="42" s="1"/>
  <c r="BR174" i="42"/>
  <c r="L172" i="42"/>
  <c r="BR172" i="42"/>
  <c r="L142" i="42"/>
  <c r="P142" i="42" s="1"/>
  <c r="S142" i="42" s="1"/>
  <c r="BR142" i="42"/>
  <c r="L186" i="42"/>
  <c r="BR186" i="42"/>
  <c r="L179" i="42"/>
  <c r="P179" i="42" s="1"/>
  <c r="S179" i="42" s="1"/>
  <c r="BR179" i="42"/>
  <c r="L160" i="42"/>
  <c r="P160" i="42" s="1"/>
  <c r="S160" i="42" s="1"/>
  <c r="BR160" i="42"/>
  <c r="L154" i="42"/>
  <c r="P154" i="42" s="1"/>
  <c r="S154" i="42" s="1"/>
  <c r="BR154" i="42"/>
  <c r="L152" i="42"/>
  <c r="P152" i="42" s="1"/>
  <c r="BR152" i="42"/>
  <c r="L146" i="42"/>
  <c r="P146" i="42" s="1"/>
  <c r="S146" i="42" s="1"/>
  <c r="BR146" i="42"/>
  <c r="L176" i="42"/>
  <c r="BR176" i="42"/>
  <c r="L158" i="42"/>
  <c r="P158" i="42" s="1"/>
  <c r="BR158" i="42"/>
  <c r="L147" i="42"/>
  <c r="P147" i="42" s="1"/>
  <c r="S147" i="42" s="1"/>
  <c r="BR147" i="42"/>
  <c r="L150" i="42"/>
  <c r="P150" i="42" s="1"/>
  <c r="S150" i="42" s="1"/>
  <c r="BR150" i="42"/>
  <c r="L166" i="42"/>
  <c r="BR166" i="42"/>
  <c r="L139" i="42"/>
  <c r="P139" i="42" s="1"/>
  <c r="S139" i="42" s="1"/>
  <c r="BR139" i="42"/>
  <c r="L132" i="42"/>
  <c r="BR132" i="42"/>
  <c r="L134" i="42"/>
  <c r="P134" i="42" s="1"/>
  <c r="S134" i="42" s="1"/>
  <c r="BR134" i="42"/>
  <c r="L128" i="42"/>
  <c r="P128" i="42" s="1"/>
  <c r="S128" i="42" s="1"/>
  <c r="BR128" i="42"/>
  <c r="L122" i="42"/>
  <c r="P122" i="42" s="1"/>
  <c r="S122" i="42" s="1"/>
  <c r="BR122" i="42"/>
  <c r="L120" i="42"/>
  <c r="BR120" i="42"/>
  <c r="L130" i="42"/>
  <c r="P130" i="42" s="1"/>
  <c r="S130" i="42" s="1"/>
  <c r="BR130" i="42"/>
  <c r="L136" i="42"/>
  <c r="P136" i="42" s="1"/>
  <c r="BR136" i="42"/>
  <c r="L78" i="42"/>
  <c r="P78" i="42" s="1"/>
  <c r="S78" i="42" s="1"/>
  <c r="BR78" i="42"/>
  <c r="L126" i="42"/>
  <c r="BR126" i="42"/>
  <c r="L124" i="42"/>
  <c r="P124" i="42" s="1"/>
  <c r="BR124" i="42"/>
  <c r="L108" i="42"/>
  <c r="P108" i="42" s="1"/>
  <c r="S108" i="42" s="1"/>
  <c r="BR108" i="42"/>
  <c r="L116" i="42"/>
  <c r="P116" i="42" s="1"/>
  <c r="S116" i="42" s="1"/>
  <c r="BR116" i="42"/>
  <c r="L118" i="42"/>
  <c r="P118" i="42" s="1"/>
  <c r="S118" i="42" s="1"/>
  <c r="BR118" i="42"/>
  <c r="L80" i="42"/>
  <c r="P80" i="42" s="1"/>
  <c r="S80" i="42" s="1"/>
  <c r="BR80" i="42"/>
  <c r="L110" i="42"/>
  <c r="P110" i="42" s="1"/>
  <c r="S110" i="42" s="1"/>
  <c r="BR110" i="42"/>
  <c r="L104" i="42"/>
  <c r="P104" i="42" s="1"/>
  <c r="S104" i="42" s="1"/>
  <c r="BR104" i="42"/>
  <c r="L84" i="42"/>
  <c r="BR84" i="42"/>
  <c r="L74" i="42"/>
  <c r="P74" i="42" s="1"/>
  <c r="S74" i="42" s="1"/>
  <c r="BR74" i="42"/>
  <c r="L43" i="42"/>
  <c r="P43" i="42" s="1"/>
  <c r="S43" i="42" s="1"/>
  <c r="BR43" i="42"/>
  <c r="L112" i="42"/>
  <c r="P112" i="42" s="1"/>
  <c r="BR112" i="42"/>
  <c r="L82" i="42"/>
  <c r="P82" i="42" s="1"/>
  <c r="S82" i="42" s="1"/>
  <c r="BR82" i="42"/>
  <c r="L79" i="42"/>
  <c r="P79" i="42" s="1"/>
  <c r="S79" i="42" s="1"/>
  <c r="BR79" i="42"/>
  <c r="L94" i="42"/>
  <c r="BR94" i="42"/>
  <c r="L90" i="42"/>
  <c r="P90" i="42" s="1"/>
  <c r="S90" i="42" s="1"/>
  <c r="BR90" i="42"/>
  <c r="L87" i="42"/>
  <c r="P87" i="42" s="1"/>
  <c r="S87" i="42" s="1"/>
  <c r="BR87" i="42"/>
  <c r="L86" i="42"/>
  <c r="P86" i="42" s="1"/>
  <c r="S86" i="42" s="1"/>
  <c r="BR86" i="42"/>
  <c r="L98" i="42"/>
  <c r="P98" i="42" s="1"/>
  <c r="S98" i="42" s="1"/>
  <c r="BR98" i="42"/>
  <c r="L59" i="42"/>
  <c r="P59" i="42" s="1"/>
  <c r="S59" i="42" s="1"/>
  <c r="BR59" i="42"/>
  <c r="L39" i="42"/>
  <c r="P39" i="42" s="1"/>
  <c r="S39" i="42" s="1"/>
  <c r="BR39" i="42"/>
  <c r="L102" i="42"/>
  <c r="P102" i="42" s="1"/>
  <c r="S102" i="42" s="1"/>
  <c r="BR102" i="42"/>
  <c r="L81" i="42"/>
  <c r="P81" i="42" s="1"/>
  <c r="S81" i="42" s="1"/>
  <c r="BR81" i="42"/>
  <c r="L45" i="42"/>
  <c r="P45" i="42" s="1"/>
  <c r="S45" i="42" s="1"/>
  <c r="BR45" i="42"/>
  <c r="L11" i="42"/>
  <c r="BR11" i="42"/>
  <c r="L88" i="42"/>
  <c r="P88" i="42" s="1"/>
  <c r="BR88" i="42"/>
  <c r="L89" i="42"/>
  <c r="P89" i="42" s="1"/>
  <c r="S89" i="42" s="1"/>
  <c r="BR89" i="42"/>
  <c r="L38" i="42"/>
  <c r="P38" i="42" s="1"/>
  <c r="S38" i="42" s="1"/>
  <c r="BR38" i="42"/>
  <c r="L14" i="42"/>
  <c r="P14" i="42" s="1"/>
  <c r="S14" i="42" s="1"/>
  <c r="BR14" i="42"/>
  <c r="L12" i="42"/>
  <c r="P12" i="42" s="1"/>
  <c r="S12" i="42" s="1"/>
  <c r="BR12" i="42"/>
  <c r="L91" i="42"/>
  <c r="BR91" i="42"/>
  <c r="L44" i="42"/>
  <c r="P44" i="42" s="1"/>
  <c r="S44" i="42" s="1"/>
  <c r="BR44" i="42"/>
  <c r="L35" i="42"/>
  <c r="BR35" i="42"/>
  <c r="L34" i="42"/>
  <c r="P34" i="42" s="1"/>
  <c r="S34" i="42" s="1"/>
  <c r="BR34" i="42"/>
  <c r="L83" i="42"/>
  <c r="P83" i="42" s="1"/>
  <c r="S83" i="42" s="1"/>
  <c r="BR83" i="42"/>
  <c r="L73" i="42"/>
  <c r="BR73" i="42"/>
  <c r="L70" i="42"/>
  <c r="P70" i="42" s="1"/>
  <c r="S70" i="42" s="1"/>
  <c r="BR70" i="42"/>
  <c r="L61" i="42"/>
  <c r="P61" i="42" s="1"/>
  <c r="S61" i="42" s="1"/>
  <c r="BR61" i="42"/>
  <c r="L47" i="42"/>
  <c r="P47" i="42" s="1"/>
  <c r="S47" i="42" s="1"/>
  <c r="BR47" i="42"/>
  <c r="L31" i="42"/>
  <c r="P31" i="42" s="1"/>
  <c r="S31" i="42" s="1"/>
  <c r="BR31" i="42"/>
  <c r="L23" i="42"/>
  <c r="P23" i="42" s="1"/>
  <c r="S23" i="42" s="1"/>
  <c r="BR23" i="42"/>
  <c r="L71" i="42"/>
  <c r="P71" i="42" s="1"/>
  <c r="S71" i="42" s="1"/>
  <c r="BR71" i="42"/>
  <c r="L46" i="42"/>
  <c r="P46" i="42" s="1"/>
  <c r="S46" i="42" s="1"/>
  <c r="BR46" i="42"/>
  <c r="L56" i="42"/>
  <c r="P56" i="42" s="1"/>
  <c r="BR56" i="42"/>
  <c r="L51" i="42"/>
  <c r="P51" i="42" s="1"/>
  <c r="BR51" i="42"/>
  <c r="L53" i="42"/>
  <c r="P53" i="42" s="1"/>
  <c r="BR53" i="42"/>
  <c r="L49" i="42"/>
  <c r="P49" i="42" s="1"/>
  <c r="S49" i="42" s="1"/>
  <c r="BR49" i="42"/>
  <c r="L17" i="42"/>
  <c r="P17" i="42" s="1"/>
  <c r="S17" i="42" s="1"/>
  <c r="BR17" i="42"/>
  <c r="L15" i="42"/>
  <c r="BR15" i="42"/>
  <c r="L63" i="42"/>
  <c r="P63" i="42" s="1"/>
  <c r="S63" i="42" s="1"/>
  <c r="BR63" i="42"/>
  <c r="L58" i="42"/>
  <c r="BR58" i="42"/>
  <c r="L55" i="42"/>
  <c r="P55" i="42" s="1"/>
  <c r="S55" i="42" s="1"/>
  <c r="BR55" i="42"/>
  <c r="L27" i="42"/>
  <c r="BR27" i="42"/>
  <c r="L52" i="42"/>
  <c r="P52" i="42" s="1"/>
  <c r="S52" i="42" s="1"/>
  <c r="BR52" i="42"/>
  <c r="L66" i="42"/>
  <c r="P66" i="42" s="1"/>
  <c r="BR66" i="42"/>
  <c r="L60" i="42"/>
  <c r="P60" i="42" s="1"/>
  <c r="BR60" i="42"/>
  <c r="L57" i="42"/>
  <c r="BR57" i="42"/>
  <c r="L37" i="42"/>
  <c r="P37" i="42" s="1"/>
  <c r="S37" i="42" s="1"/>
  <c r="BR37" i="42"/>
  <c r="L16" i="42"/>
  <c r="P16" i="42" s="1"/>
  <c r="S16" i="42" s="1"/>
  <c r="BR16" i="42"/>
  <c r="L13" i="42"/>
  <c r="P13" i="42" s="1"/>
  <c r="S13" i="42" s="1"/>
  <c r="BR13" i="42"/>
  <c r="L19" i="42"/>
  <c r="P19" i="42" s="1"/>
  <c r="S19" i="42" s="1"/>
  <c r="BR19" i="42"/>
  <c r="L285" i="42"/>
  <c r="P285" i="42" s="1"/>
  <c r="S285" i="42" s="1"/>
  <c r="BR285" i="42"/>
  <c r="L234" i="42"/>
  <c r="BR234" i="42"/>
  <c r="L239" i="42"/>
  <c r="BR239" i="42"/>
  <c r="L229" i="42"/>
  <c r="P229" i="42" s="1"/>
  <c r="S229" i="42" s="1"/>
  <c r="BR229" i="42"/>
  <c r="L222" i="42"/>
  <c r="P222" i="42" s="1"/>
  <c r="S222" i="42" s="1"/>
  <c r="BR222" i="42"/>
  <c r="L216" i="42"/>
  <c r="P216" i="42" s="1"/>
  <c r="S216" i="42" s="1"/>
  <c r="BR216" i="42"/>
  <c r="L215" i="42"/>
  <c r="P215" i="42" s="1"/>
  <c r="S215" i="42" s="1"/>
  <c r="BR215" i="42"/>
  <c r="L262" i="42"/>
  <c r="P262" i="42" s="1"/>
  <c r="S262" i="42" s="1"/>
  <c r="BR262" i="42"/>
  <c r="L210" i="42"/>
  <c r="BR210" i="42"/>
  <c r="L242" i="42"/>
  <c r="P242" i="42" s="1"/>
  <c r="S242" i="42" s="1"/>
  <c r="BR242" i="42"/>
  <c r="L223" i="42"/>
  <c r="P223" i="42" s="1"/>
  <c r="S223" i="42" s="1"/>
  <c r="BR223" i="42"/>
  <c r="L180" i="42"/>
  <c r="P180" i="42" s="1"/>
  <c r="S180" i="42" s="1"/>
  <c r="BR180" i="42"/>
  <c r="L156" i="42"/>
  <c r="P156" i="42" s="1"/>
  <c r="S156" i="42" s="1"/>
  <c r="BR156" i="42"/>
  <c r="L151" i="42"/>
  <c r="P151" i="42" s="1"/>
  <c r="S151" i="42" s="1"/>
  <c r="BR151" i="42"/>
  <c r="L192" i="42"/>
  <c r="P192" i="42" s="1"/>
  <c r="S192" i="42" s="1"/>
  <c r="BR192" i="42"/>
  <c r="L190" i="42"/>
  <c r="P190" i="42" s="1"/>
  <c r="S190" i="42" s="1"/>
  <c r="BR190" i="42"/>
  <c r="L185" i="42"/>
  <c r="P185" i="42" s="1"/>
  <c r="S185" i="42" s="1"/>
  <c r="BR185" i="42"/>
  <c r="L169" i="42"/>
  <c r="P169" i="42" s="1"/>
  <c r="S169" i="42" s="1"/>
  <c r="BR169" i="42"/>
  <c r="L207" i="42"/>
  <c r="P207" i="42" s="1"/>
  <c r="S207" i="42" s="1"/>
  <c r="BR207" i="42"/>
  <c r="L153" i="42"/>
  <c r="P153" i="42" s="1"/>
  <c r="S153" i="42" s="1"/>
  <c r="BR153" i="42"/>
  <c r="L202" i="42"/>
  <c r="P202" i="42" s="1"/>
  <c r="S202" i="42" s="1"/>
  <c r="BR202" i="42"/>
  <c r="L145" i="42"/>
  <c r="P145" i="42" s="1"/>
  <c r="S145" i="42" s="1"/>
  <c r="BR145" i="42"/>
  <c r="L125" i="42"/>
  <c r="P125" i="42" s="1"/>
  <c r="S125" i="42" s="1"/>
  <c r="U125" i="42" s="1"/>
  <c r="BR125" i="42"/>
  <c r="L127" i="42"/>
  <c r="P127" i="42" s="1"/>
  <c r="S127" i="42" s="1"/>
  <c r="BR127" i="42"/>
  <c r="L24" i="42"/>
  <c r="P24" i="42" s="1"/>
  <c r="S24" i="42" s="1"/>
  <c r="BR24" i="42"/>
  <c r="L36" i="42"/>
  <c r="P36" i="42" s="1"/>
  <c r="S36" i="42" s="1"/>
  <c r="BR36" i="42"/>
  <c r="L33" i="42"/>
  <c r="P33" i="42" s="1"/>
  <c r="S33" i="42" s="1"/>
  <c r="BR33" i="42"/>
  <c r="L32" i="42"/>
  <c r="BR32" i="42"/>
  <c r="L113" i="42"/>
  <c r="P113" i="42" s="1"/>
  <c r="S113" i="42" s="1"/>
  <c r="BR113" i="42"/>
  <c r="L50" i="42"/>
  <c r="P50" i="42" s="1"/>
  <c r="S50" i="42" s="1"/>
  <c r="BR50" i="42"/>
  <c r="L106" i="42"/>
  <c r="P106" i="42" s="1"/>
  <c r="S106" i="42" s="1"/>
  <c r="BR106" i="42"/>
  <c r="L75" i="42"/>
  <c r="P75" i="42" s="1"/>
  <c r="S75" i="42" s="1"/>
  <c r="BR75" i="42"/>
  <c r="L20" i="42"/>
  <c r="P20" i="42" s="1"/>
  <c r="S20" i="42" s="1"/>
  <c r="BR20" i="42"/>
  <c r="L18" i="42"/>
  <c r="P18" i="42" s="1"/>
  <c r="S18" i="42" s="1"/>
  <c r="BR18" i="42"/>
  <c r="L115" i="42"/>
  <c r="P115" i="42" s="1"/>
  <c r="S115" i="42" s="1"/>
  <c r="BR115" i="42"/>
  <c r="L97" i="42"/>
  <c r="P97" i="42" s="1"/>
  <c r="S97" i="42" s="1"/>
  <c r="BR97" i="42"/>
  <c r="L93" i="42"/>
  <c r="P93" i="42" s="1"/>
  <c r="S93" i="42" s="1"/>
  <c r="BR93" i="42"/>
  <c r="L72" i="42"/>
  <c r="P72" i="42" s="1"/>
  <c r="S72" i="42" s="1"/>
  <c r="BR72" i="42"/>
  <c r="L62" i="42"/>
  <c r="P62" i="42" s="1"/>
  <c r="S62" i="42" s="1"/>
  <c r="BR62" i="42"/>
  <c r="L92" i="42"/>
  <c r="P92" i="42" s="1"/>
  <c r="S92" i="42" s="1"/>
  <c r="BR92" i="42"/>
  <c r="L77" i="42"/>
  <c r="BR77" i="42"/>
  <c r="L21" i="42"/>
  <c r="P21" i="42" s="1"/>
  <c r="S21" i="42" s="1"/>
  <c r="BC21" i="42" s="1"/>
  <c r="BR21" i="42"/>
  <c r="L69" i="42"/>
  <c r="P69" i="42" s="1"/>
  <c r="S69" i="42" s="1"/>
  <c r="BR69" i="42"/>
  <c r="L133" i="42"/>
  <c r="BR133" i="42"/>
  <c r="L107" i="42"/>
  <c r="P107" i="42" s="1"/>
  <c r="S107" i="42" s="1"/>
  <c r="U107" i="42" s="1"/>
  <c r="BR107" i="42"/>
  <c r="L68" i="42"/>
  <c r="BR68" i="42"/>
  <c r="L64" i="42"/>
  <c r="P64" i="42" s="1"/>
  <c r="S64" i="42" s="1"/>
  <c r="BR64" i="42"/>
  <c r="L41" i="42"/>
  <c r="P41" i="42" s="1"/>
  <c r="S41" i="42" s="1"/>
  <c r="BR41" i="42"/>
  <c r="L233" i="42"/>
  <c r="BR233" i="42"/>
  <c r="L248" i="42"/>
  <c r="P248" i="42" s="1"/>
  <c r="S248" i="42" s="1"/>
  <c r="BR248" i="42"/>
  <c r="L300" i="42"/>
  <c r="P300" i="42" s="1"/>
  <c r="S300" i="42" s="1"/>
  <c r="BR300" i="42"/>
  <c r="L294" i="42"/>
  <c r="P294" i="42" s="1"/>
  <c r="S294" i="42" s="1"/>
  <c r="BR294" i="42"/>
  <c r="L289" i="42"/>
  <c r="P289" i="42" s="1"/>
  <c r="S289" i="42" s="1"/>
  <c r="BR289" i="42"/>
  <c r="L232" i="42"/>
  <c r="P232" i="42" s="1"/>
  <c r="S232" i="42" s="1"/>
  <c r="BC232" i="42" s="1"/>
  <c r="BR232" i="42"/>
  <c r="L214" i="42"/>
  <c r="P214" i="42" s="1"/>
  <c r="S214" i="42" s="1"/>
  <c r="BR214" i="42"/>
  <c r="L212" i="42"/>
  <c r="P212" i="42" s="1"/>
  <c r="S212" i="42" s="1"/>
  <c r="BR212" i="42"/>
  <c r="L159" i="42"/>
  <c r="P159" i="42" s="1"/>
  <c r="S159" i="42" s="1"/>
  <c r="BR159" i="42"/>
  <c r="L96" i="42"/>
  <c r="P96" i="42" s="1"/>
  <c r="S96" i="42" s="1"/>
  <c r="BR96" i="42"/>
  <c r="L218" i="42"/>
  <c r="P218" i="42" s="1"/>
  <c r="S218" i="42" s="1"/>
  <c r="BR218" i="42"/>
  <c r="L244" i="42"/>
  <c r="BR244" i="42"/>
  <c r="L203" i="42"/>
  <c r="P203" i="42" s="1"/>
  <c r="S203" i="42" s="1"/>
  <c r="BR203" i="42"/>
  <c r="L141" i="42"/>
  <c r="P141" i="42" s="1"/>
  <c r="S141" i="42" s="1"/>
  <c r="BR141" i="42"/>
  <c r="L149" i="42"/>
  <c r="P149" i="42" s="1"/>
  <c r="S149" i="42" s="1"/>
  <c r="BR149" i="42"/>
  <c r="L165" i="42"/>
  <c r="P165" i="42" s="1"/>
  <c r="S165" i="42" s="1"/>
  <c r="BR165" i="42"/>
  <c r="L138" i="42"/>
  <c r="P138" i="42" s="1"/>
  <c r="S138" i="42" s="1"/>
  <c r="BR138" i="42"/>
  <c r="L85" i="42"/>
  <c r="P85" i="42" s="1"/>
  <c r="S85" i="42" s="1"/>
  <c r="BR85" i="42"/>
  <c r="L25" i="42"/>
  <c r="P25" i="42" s="1"/>
  <c r="S25" i="42" s="1"/>
  <c r="BR25" i="42"/>
  <c r="L95" i="42"/>
  <c r="P95" i="42" s="1"/>
  <c r="S95" i="42" s="1"/>
  <c r="BR95" i="42"/>
  <c r="L135" i="42"/>
  <c r="P135" i="42" s="1"/>
  <c r="S135" i="42" s="1"/>
  <c r="BR135" i="42"/>
  <c r="L117" i="42"/>
  <c r="P117" i="42" s="1"/>
  <c r="S117" i="42" s="1"/>
  <c r="BR117" i="42"/>
  <c r="L114" i="42"/>
  <c r="P114" i="42" s="1"/>
  <c r="S114" i="42" s="1"/>
  <c r="BR114" i="42"/>
  <c r="L40" i="42"/>
  <c r="P40" i="42" s="1"/>
  <c r="S40" i="42" s="1"/>
  <c r="BR40" i="42"/>
  <c r="L29" i="42"/>
  <c r="P29" i="42" s="1"/>
  <c r="S29" i="42" s="1"/>
  <c r="BR29" i="42"/>
  <c r="L157" i="42"/>
  <c r="P157" i="42" s="1"/>
  <c r="S157" i="42" s="1"/>
  <c r="BR157" i="42"/>
  <c r="L220" i="42"/>
  <c r="BR220" i="42"/>
  <c r="L65" i="42"/>
  <c r="P65" i="42" s="1"/>
  <c r="S65" i="42" s="1"/>
  <c r="BR65" i="42"/>
  <c r="L143" i="42"/>
  <c r="P143" i="42" s="1"/>
  <c r="S143" i="42" s="1"/>
  <c r="BC143" i="42" s="1"/>
  <c r="BR143" i="42"/>
  <c r="L247" i="42"/>
  <c r="BR247" i="42"/>
  <c r="L161" i="42"/>
  <c r="P161" i="42" s="1"/>
  <c r="S161" i="42" s="1"/>
  <c r="BR161" i="42"/>
  <c r="L313" i="42"/>
  <c r="P313" i="42" s="1"/>
  <c r="S313" i="42" s="1"/>
  <c r="BR313" i="42"/>
  <c r="L312" i="42"/>
  <c r="P312" i="42" s="1"/>
  <c r="S312" i="42" s="1"/>
  <c r="BR312" i="42"/>
  <c r="CB140" i="42"/>
  <c r="CC140" i="42" s="1"/>
  <c r="CB123" i="42"/>
  <c r="CC123" i="42" s="1"/>
  <c r="CB105" i="42"/>
  <c r="CC105" i="42" s="1"/>
  <c r="CB227" i="42"/>
  <c r="CC227" i="42" s="1"/>
  <c r="CB173" i="42"/>
  <c r="CC173" i="42" s="1"/>
  <c r="CB163" i="42"/>
  <c r="CC163" i="42" s="1"/>
  <c r="CB30" i="42"/>
  <c r="CC30" i="42" s="1"/>
  <c r="BY10" i="42"/>
  <c r="CA10" i="42" s="1"/>
  <c r="BX8" i="42"/>
  <c r="CB148" i="42"/>
  <c r="CC148" i="42" s="1"/>
  <c r="CB103" i="42"/>
  <c r="CC103" i="42" s="1"/>
  <c r="CB42" i="42"/>
  <c r="CC42" i="42" s="1"/>
  <c r="CB131" i="42"/>
  <c r="CC131" i="42" s="1"/>
  <c r="BT8" i="42"/>
  <c r="CB181" i="42"/>
  <c r="CC181" i="42" s="1"/>
  <c r="CB177" i="42"/>
  <c r="CC177" i="42" s="1"/>
  <c r="CB101" i="42"/>
  <c r="CC101" i="42" s="1"/>
  <c r="CB259" i="42"/>
  <c r="CC259" i="42" s="1"/>
  <c r="CB155" i="42"/>
  <c r="CC155" i="42" s="1"/>
  <c r="P42" i="42"/>
  <c r="S42" i="42" s="1"/>
  <c r="CB111" i="42"/>
  <c r="CC111" i="42" s="1"/>
  <c r="CB211" i="42"/>
  <c r="CC211" i="42" s="1"/>
  <c r="CB100" i="42"/>
  <c r="CC100" i="42" s="1"/>
  <c r="CB67" i="42"/>
  <c r="CC67" i="42" s="1"/>
  <c r="CB246" i="42"/>
  <c r="CC246" i="42" s="1"/>
  <c r="CB28" i="42"/>
  <c r="CC28" i="42" s="1"/>
  <c r="CB109" i="42"/>
  <c r="CC109" i="42" s="1"/>
  <c r="CB137" i="42"/>
  <c r="CC137" i="42" s="1"/>
  <c r="CB189" i="42"/>
  <c r="CC189" i="42" s="1"/>
  <c r="BU319" i="42"/>
  <c r="BW319" i="42" s="1"/>
  <c r="BZ319" i="42" s="1"/>
  <c r="BY318" i="42"/>
  <c r="CA318" i="42" s="1"/>
  <c r="BU318" i="42"/>
  <c r="BW318" i="42" s="1"/>
  <c r="BU317" i="42"/>
  <c r="BW317" i="42" s="1"/>
  <c r="BY317" i="42"/>
  <c r="BU316" i="42"/>
  <c r="BW316" i="42" s="1"/>
  <c r="BY316" i="42"/>
  <c r="CA316" i="42" s="1"/>
  <c r="BU315" i="42"/>
  <c r="BW315" i="42" s="1"/>
  <c r="BY315" i="42"/>
  <c r="BU314" i="42"/>
  <c r="BW314" i="42" s="1"/>
  <c r="BZ314" i="42" s="1"/>
  <c r="BY313" i="42"/>
  <c r="CA313" i="42" s="1"/>
  <c r="BU313" i="42"/>
  <c r="BW313" i="42" s="1"/>
  <c r="BU312" i="42"/>
  <c r="BW312" i="42" s="1"/>
  <c r="BY312" i="42"/>
  <c r="CA312" i="42" s="1"/>
  <c r="BU311" i="42"/>
  <c r="BW311" i="42" s="1"/>
  <c r="BY311" i="42"/>
  <c r="CA311" i="42" s="1"/>
  <c r="BU310" i="42"/>
  <c r="BW310" i="42" s="1"/>
  <c r="BY310" i="42"/>
  <c r="CA310" i="42" s="1"/>
  <c r="BY309" i="42"/>
  <c r="CA309" i="42" s="1"/>
  <c r="BU309" i="42"/>
  <c r="BW309" i="42" s="1"/>
  <c r="BU308" i="42"/>
  <c r="BW308" i="42" s="1"/>
  <c r="BY308" i="42"/>
  <c r="CA308" i="42" s="1"/>
  <c r="BU307" i="42"/>
  <c r="BW307" i="42" s="1"/>
  <c r="BY307" i="42"/>
  <c r="CA307" i="42" s="1"/>
  <c r="BU306" i="42"/>
  <c r="BW306" i="42" s="1"/>
  <c r="BZ306" i="42" s="1"/>
  <c r="BY305" i="42"/>
  <c r="CA305" i="42" s="1"/>
  <c r="BU305" i="42"/>
  <c r="BW305" i="42" s="1"/>
  <c r="BY304" i="42"/>
  <c r="CA304" i="42" s="1"/>
  <c r="BU304" i="42"/>
  <c r="BW304" i="42" s="1"/>
  <c r="BU303" i="42"/>
  <c r="BW303" i="42" s="1"/>
  <c r="BY303" i="42"/>
  <c r="CA303" i="42" s="1"/>
  <c r="BY302" i="42"/>
  <c r="CA302" i="42" s="1"/>
  <c r="BU302" i="42"/>
  <c r="BW302" i="42" s="1"/>
  <c r="BU301" i="42"/>
  <c r="BW301" i="42" s="1"/>
  <c r="BZ301" i="42" s="1"/>
  <c r="BY300" i="42"/>
  <c r="CA300" i="42" s="1"/>
  <c r="BU300" i="42"/>
  <c r="BW300" i="42" s="1"/>
  <c r="BU299" i="42"/>
  <c r="BW299" i="42" s="1"/>
  <c r="BZ299" i="42" s="1"/>
  <c r="BU298" i="42"/>
  <c r="BW298" i="42" s="1"/>
  <c r="BY298" i="42"/>
  <c r="CA298" i="42" s="1"/>
  <c r="BY297" i="42"/>
  <c r="CA297" i="42" s="1"/>
  <c r="BU297" i="42"/>
  <c r="BW297" i="42" s="1"/>
  <c r="BY296" i="42"/>
  <c r="CA296" i="42" s="1"/>
  <c r="BU296" i="42"/>
  <c r="BW296" i="42" s="1"/>
  <c r="BU295" i="42"/>
  <c r="BW295" i="42" s="1"/>
  <c r="BY295" i="42"/>
  <c r="CA295" i="42" s="1"/>
  <c r="BU294" i="42"/>
  <c r="BW294" i="42" s="1"/>
  <c r="BY294" i="42"/>
  <c r="CA294" i="42" s="1"/>
  <c r="BY293" i="42"/>
  <c r="CA293" i="42" s="1"/>
  <c r="BU293" i="42"/>
  <c r="BW293" i="42" s="1"/>
  <c r="BU292" i="42"/>
  <c r="BW292" i="42" s="1"/>
  <c r="BZ292" i="42" s="1"/>
  <c r="BY291" i="42"/>
  <c r="CA291" i="42" s="1"/>
  <c r="BU291" i="42"/>
  <c r="BW291" i="42" s="1"/>
  <c r="BY290" i="42"/>
  <c r="CA290" i="42" s="1"/>
  <c r="BU290" i="42"/>
  <c r="BW290" i="42" s="1"/>
  <c r="BU289" i="42"/>
  <c r="BW289" i="42" s="1"/>
  <c r="BZ289" i="42" s="1"/>
  <c r="BU288" i="42"/>
  <c r="BW288" i="42" s="1"/>
  <c r="BZ288" i="42" s="1"/>
  <c r="BU287" i="42"/>
  <c r="BW287" i="42" s="1"/>
  <c r="BZ287" i="42" s="1"/>
  <c r="BU286" i="42"/>
  <c r="BW286" i="42" s="1"/>
  <c r="BZ286" i="42" s="1"/>
  <c r="CA286" i="42"/>
  <c r="BY285" i="42"/>
  <c r="CA285" i="42" s="1"/>
  <c r="BU285" i="42"/>
  <c r="BW285" i="42" s="1"/>
  <c r="BY284" i="42"/>
  <c r="CA284" i="42" s="1"/>
  <c r="BU284" i="42"/>
  <c r="BW284" i="42" s="1"/>
  <c r="BY283" i="42"/>
  <c r="CA283" i="42" s="1"/>
  <c r="BU283" i="42"/>
  <c r="BW283" i="42" s="1"/>
  <c r="BU282" i="42"/>
  <c r="BW282" i="42" s="1"/>
  <c r="BZ282" i="42" s="1"/>
  <c r="BU281" i="42"/>
  <c r="BW281" i="42" s="1"/>
  <c r="BZ281" i="42" s="1"/>
  <c r="BU280" i="42"/>
  <c r="BW280" i="42" s="1"/>
  <c r="BY280" i="42"/>
  <c r="BY279" i="42"/>
  <c r="CA279" i="42" s="1"/>
  <c r="BU279" i="42"/>
  <c r="BW279" i="42" s="1"/>
  <c r="BU278" i="42"/>
  <c r="BW278" i="42" s="1"/>
  <c r="BZ278" i="42" s="1"/>
  <c r="BU277" i="42"/>
  <c r="BW277" i="42" s="1"/>
  <c r="BY277" i="42"/>
  <c r="CA277" i="42" s="1"/>
  <c r="BY276" i="42"/>
  <c r="CA276" i="42" s="1"/>
  <c r="BU276" i="42"/>
  <c r="BW276" i="42" s="1"/>
  <c r="BU275" i="42"/>
  <c r="BW275" i="42" s="1"/>
  <c r="BY275" i="42"/>
  <c r="CA275" i="42" s="1"/>
  <c r="BY274" i="42"/>
  <c r="CA274" i="42" s="1"/>
  <c r="BU274" i="42"/>
  <c r="BW274" i="42" s="1"/>
  <c r="BY273" i="42"/>
  <c r="CA273" i="42" s="1"/>
  <c r="BU273" i="42"/>
  <c r="BW273" i="42" s="1"/>
  <c r="BY272" i="42"/>
  <c r="CA272" i="42" s="1"/>
  <c r="BU272" i="42"/>
  <c r="BW272" i="42" s="1"/>
  <c r="BY271" i="42"/>
  <c r="CA271" i="42" s="1"/>
  <c r="BU271" i="42"/>
  <c r="BW271" i="42" s="1"/>
  <c r="BY270" i="42"/>
  <c r="CA270" i="42" s="1"/>
  <c r="BU270" i="42"/>
  <c r="BW270" i="42" s="1"/>
  <c r="BU269" i="42"/>
  <c r="BW269" i="42" s="1"/>
  <c r="BY269" i="42"/>
  <c r="CA269" i="42" s="1"/>
  <c r="BY268" i="42"/>
  <c r="CA268" i="42" s="1"/>
  <c r="BU268" i="42"/>
  <c r="BW268" i="42" s="1"/>
  <c r="BU267" i="42"/>
  <c r="BW267" i="42" s="1"/>
  <c r="BZ267" i="42" s="1"/>
  <c r="BU266" i="42"/>
  <c r="BW266" i="42" s="1"/>
  <c r="BY266" i="42"/>
  <c r="CA266" i="42" s="1"/>
  <c r="BY265" i="42"/>
  <c r="CA265" i="42" s="1"/>
  <c r="BU265" i="42"/>
  <c r="BW265" i="42" s="1"/>
  <c r="BU264" i="42"/>
  <c r="BW264" i="42" s="1"/>
  <c r="BY264" i="42"/>
  <c r="CA264" i="42" s="1"/>
  <c r="BU263" i="42"/>
  <c r="BW263" i="42" s="1"/>
  <c r="BY263" i="42"/>
  <c r="CA263" i="42" s="1"/>
  <c r="BU262" i="42"/>
  <c r="BW262" i="42" s="1"/>
  <c r="BZ262" i="42" s="1"/>
  <c r="BY261" i="42"/>
  <c r="CA261" i="42" s="1"/>
  <c r="BU261" i="42"/>
  <c r="BW261" i="42" s="1"/>
  <c r="BU260" i="42"/>
  <c r="BW260" i="42" s="1"/>
  <c r="BY260" i="42"/>
  <c r="CA260" i="42" s="1"/>
  <c r="BU259" i="42"/>
  <c r="BW259" i="42" s="1"/>
  <c r="BZ259" i="42" s="1"/>
  <c r="BU258" i="42"/>
  <c r="BW258" i="42" s="1"/>
  <c r="BY258" i="42"/>
  <c r="BY257" i="42"/>
  <c r="CA257" i="42" s="1"/>
  <c r="BU257" i="42"/>
  <c r="BW257" i="42" s="1"/>
  <c r="BU256" i="42"/>
  <c r="BW256" i="42" s="1"/>
  <c r="BY256" i="42"/>
  <c r="CA256" i="42" s="1"/>
  <c r="BU255" i="42"/>
  <c r="BW255" i="42" s="1"/>
  <c r="BZ255" i="42" s="1"/>
  <c r="BY254" i="42"/>
  <c r="CA254" i="42" s="1"/>
  <c r="BU254" i="42"/>
  <c r="BW254" i="42" s="1"/>
  <c r="BU253" i="42"/>
  <c r="BW253" i="42" s="1"/>
  <c r="BY253" i="42"/>
  <c r="CA253" i="42" s="1"/>
  <c r="BU252" i="42"/>
  <c r="BW252" i="42" s="1"/>
  <c r="BY252" i="42"/>
  <c r="CA252" i="42" s="1"/>
  <c r="BU251" i="42"/>
  <c r="BW251" i="42" s="1"/>
  <c r="BZ251" i="42" s="1"/>
  <c r="BU250" i="42"/>
  <c r="BW250" i="42" s="1"/>
  <c r="BZ250" i="42" s="1"/>
  <c r="BU249" i="42"/>
  <c r="BW249" i="42" s="1"/>
  <c r="BZ249" i="42" s="1"/>
  <c r="BU248" i="42"/>
  <c r="BW248" i="42" s="1"/>
  <c r="BY248" i="42"/>
  <c r="CA248" i="42" s="1"/>
  <c r="BU247" i="42"/>
  <c r="BW247" i="42" s="1"/>
  <c r="BY247" i="42"/>
  <c r="CA247" i="42" s="1"/>
  <c r="BU246" i="42"/>
  <c r="BW246" i="42" s="1"/>
  <c r="BZ246" i="42" s="1"/>
  <c r="BU245" i="42"/>
  <c r="BW245" i="42" s="1"/>
  <c r="BY245" i="42"/>
  <c r="CA245" i="42" s="1"/>
  <c r="BU244" i="42"/>
  <c r="BW244" i="42" s="1"/>
  <c r="BY244" i="42"/>
  <c r="CA244" i="42" s="1"/>
  <c r="BU243" i="42"/>
  <c r="BW243" i="42" s="1"/>
  <c r="BZ243" i="42" s="1"/>
  <c r="BY242" i="42"/>
  <c r="CA242" i="42" s="1"/>
  <c r="BU242" i="42"/>
  <c r="BW242" i="42" s="1"/>
  <c r="BY241" i="42"/>
  <c r="CA241" i="42" s="1"/>
  <c r="BU241" i="42"/>
  <c r="BW241" i="42" s="1"/>
  <c r="BU240" i="42"/>
  <c r="BW240" i="42" s="1"/>
  <c r="BZ240" i="42" s="1"/>
  <c r="BU239" i="42"/>
  <c r="BW239" i="42" s="1"/>
  <c r="BY239" i="42"/>
  <c r="CA239" i="42" s="1"/>
  <c r="BY238" i="42"/>
  <c r="BU238" i="42"/>
  <c r="BW238" i="42" s="1"/>
  <c r="BU237" i="42"/>
  <c r="BW237" i="42" s="1"/>
  <c r="BZ237" i="42" s="1"/>
  <c r="BY236" i="42"/>
  <c r="CA236" i="42" s="1"/>
  <c r="BU236" i="42"/>
  <c r="BW236" i="42" s="1"/>
  <c r="BY235" i="42"/>
  <c r="CA235" i="42" s="1"/>
  <c r="BU235" i="42"/>
  <c r="BW235" i="42" s="1"/>
  <c r="BU234" i="42"/>
  <c r="BW234" i="42" s="1"/>
  <c r="BZ234" i="42" s="1"/>
  <c r="CA233" i="42"/>
  <c r="BU233" i="42"/>
  <c r="BW233" i="42" s="1"/>
  <c r="BZ233" i="42" s="1"/>
  <c r="BY232" i="42"/>
  <c r="CA232" i="42" s="1"/>
  <c r="BU232" i="42"/>
  <c r="BW232" i="42" s="1"/>
  <c r="BU231" i="42"/>
  <c r="BW231" i="42" s="1"/>
  <c r="BY231" i="42"/>
  <c r="CA231" i="42" s="1"/>
  <c r="BU230" i="42"/>
  <c r="BW230" i="42" s="1"/>
  <c r="BY230" i="42"/>
  <c r="CA230" i="42" s="1"/>
  <c r="CA229" i="42"/>
  <c r="BU229" i="42"/>
  <c r="BW229" i="42" s="1"/>
  <c r="BZ229" i="42" s="1"/>
  <c r="BU228" i="42"/>
  <c r="BW228" i="42" s="1"/>
  <c r="BZ228" i="42" s="1"/>
  <c r="BU227" i="42"/>
  <c r="BW227" i="42" s="1"/>
  <c r="BY227" i="42"/>
  <c r="CA227" i="42" s="1"/>
  <c r="BU226" i="42"/>
  <c r="BW226" i="42" s="1"/>
  <c r="BZ226" i="42" s="1"/>
  <c r="BU225" i="42"/>
  <c r="BW225" i="42" s="1"/>
  <c r="BY225" i="42"/>
  <c r="CA225" i="42" s="1"/>
  <c r="BY224" i="42"/>
  <c r="CA224" i="42" s="1"/>
  <c r="BU224" i="42"/>
  <c r="BW224" i="42" s="1"/>
  <c r="BU223" i="42"/>
  <c r="BW223" i="42" s="1"/>
  <c r="BZ223" i="42" s="1"/>
  <c r="BU222" i="42"/>
  <c r="BW222" i="42" s="1"/>
  <c r="BZ222" i="42" s="1"/>
  <c r="BY221" i="42"/>
  <c r="CA221" i="42" s="1"/>
  <c r="BU221" i="42"/>
  <c r="BW221" i="42" s="1"/>
  <c r="BY220" i="42"/>
  <c r="CA220" i="42" s="1"/>
  <c r="BU220" i="42"/>
  <c r="BW220" i="42" s="1"/>
  <c r="BU219" i="42"/>
  <c r="BW219" i="42" s="1"/>
  <c r="BZ219" i="42" s="1"/>
  <c r="BU218" i="42"/>
  <c r="BW218" i="42" s="1"/>
  <c r="BZ218" i="42" s="1"/>
  <c r="BU217" i="42"/>
  <c r="BW217" i="42" s="1"/>
  <c r="BZ217" i="42" s="1"/>
  <c r="BU216" i="42"/>
  <c r="BW216" i="42" s="1"/>
  <c r="BZ216" i="42" s="1"/>
  <c r="BU215" i="42"/>
  <c r="BW215" i="42" s="1"/>
  <c r="BZ215" i="42" s="1"/>
  <c r="BU214" i="42"/>
  <c r="BW214" i="42" s="1"/>
  <c r="BY214" i="42"/>
  <c r="CA214" i="42" s="1"/>
  <c r="BU213" i="42"/>
  <c r="BW213" i="42" s="1"/>
  <c r="BY213" i="42"/>
  <c r="BY212" i="42"/>
  <c r="CA212" i="42" s="1"/>
  <c r="BU212" i="42"/>
  <c r="BW212" i="42" s="1"/>
  <c r="BU211" i="42"/>
  <c r="BW211" i="42" s="1"/>
  <c r="BY211" i="42"/>
  <c r="CA211" i="42" s="1"/>
  <c r="BU210" i="42"/>
  <c r="BW210" i="42" s="1"/>
  <c r="BY210" i="42"/>
  <c r="CA210" i="42" s="1"/>
  <c r="BY209" i="42"/>
  <c r="CA209" i="42" s="1"/>
  <c r="BU209" i="42"/>
  <c r="BW209" i="42" s="1"/>
  <c r="BU208" i="42"/>
  <c r="BW208" i="42" s="1"/>
  <c r="BY208" i="42"/>
  <c r="CA208" i="42" s="1"/>
  <c r="BY207" i="42"/>
  <c r="CA207" i="42" s="1"/>
  <c r="BU207" i="42"/>
  <c r="BW207" i="42" s="1"/>
  <c r="BU206" i="42"/>
  <c r="BW206" i="42" s="1"/>
  <c r="BZ206" i="42" s="1"/>
  <c r="BU205" i="42"/>
  <c r="BW205" i="42" s="1"/>
  <c r="BY205" i="42"/>
  <c r="CA205" i="42" s="1"/>
  <c r="BY204" i="42"/>
  <c r="CA204" i="42" s="1"/>
  <c r="BU204" i="42"/>
  <c r="BW204" i="42" s="1"/>
  <c r="BU203" i="42"/>
  <c r="BW203" i="42" s="1"/>
  <c r="BY203" i="42"/>
  <c r="CA203" i="42" s="1"/>
  <c r="CA202" i="42"/>
  <c r="BU202" i="42"/>
  <c r="BW202" i="42" s="1"/>
  <c r="BZ202" i="42" s="1"/>
  <c r="BY201" i="42"/>
  <c r="CA201" i="42" s="1"/>
  <c r="BU201" i="42"/>
  <c r="BW201" i="42" s="1"/>
  <c r="BY200" i="42"/>
  <c r="CA200" i="42" s="1"/>
  <c r="BU200" i="42"/>
  <c r="BW200" i="42" s="1"/>
  <c r="BU199" i="42"/>
  <c r="BW199" i="42" s="1"/>
  <c r="BY199" i="42"/>
  <c r="CA199" i="42" s="1"/>
  <c r="BY198" i="42"/>
  <c r="CA198" i="42" s="1"/>
  <c r="BU198" i="42"/>
  <c r="BW198" i="42" s="1"/>
  <c r="BU197" i="42"/>
  <c r="BW197" i="42" s="1"/>
  <c r="BZ197" i="42" s="1"/>
  <c r="BU196" i="42"/>
  <c r="BW196" i="42" s="1"/>
  <c r="BY196" i="42"/>
  <c r="CA196" i="42" s="1"/>
  <c r="BU195" i="42"/>
  <c r="BW195" i="42" s="1"/>
  <c r="BZ195" i="42" s="1"/>
  <c r="BY194" i="42"/>
  <c r="CA194" i="42" s="1"/>
  <c r="BU194" i="42"/>
  <c r="BW194" i="42" s="1"/>
  <c r="BY193" i="42"/>
  <c r="CA193" i="42" s="1"/>
  <c r="BU193" i="42"/>
  <c r="BW193" i="42" s="1"/>
  <c r="BU192" i="42"/>
  <c r="BW192" i="42" s="1"/>
  <c r="BZ192" i="42" s="1"/>
  <c r="BU191" i="42"/>
  <c r="BW191" i="42" s="1"/>
  <c r="BY191" i="42"/>
  <c r="CA191" i="42" s="1"/>
  <c r="BU190" i="42"/>
  <c r="BW190" i="42" s="1"/>
  <c r="BZ190" i="42" s="1"/>
  <c r="CA189" i="42"/>
  <c r="BU189" i="42"/>
  <c r="BW189" i="42" s="1"/>
  <c r="BZ189" i="42" s="1"/>
  <c r="BU188" i="42"/>
  <c r="BW188" i="42" s="1"/>
  <c r="BY188" i="42"/>
  <c r="CA188" i="42" s="1"/>
  <c r="BU187" i="42"/>
  <c r="BW187" i="42" s="1"/>
  <c r="BZ187" i="42" s="1"/>
  <c r="BU186" i="42"/>
  <c r="BW186" i="42" s="1"/>
  <c r="BY186" i="42"/>
  <c r="CA186" i="42" s="1"/>
  <c r="CA185" i="42"/>
  <c r="BU185" i="42"/>
  <c r="BW185" i="42" s="1"/>
  <c r="BZ185" i="42" s="1"/>
  <c r="BU184" i="42"/>
  <c r="BW184" i="42" s="1"/>
  <c r="BY184" i="42"/>
  <c r="CA184" i="42" s="1"/>
  <c r="BU183" i="42"/>
  <c r="BW183" i="42" s="1"/>
  <c r="BY183" i="42"/>
  <c r="CA183" i="42" s="1"/>
  <c r="BU182" i="42"/>
  <c r="BW182" i="42" s="1"/>
  <c r="BY182" i="42"/>
  <c r="CA182" i="42" s="1"/>
  <c r="BU181" i="42"/>
  <c r="BW181" i="42" s="1"/>
  <c r="BZ181" i="42" s="1"/>
  <c r="BY180" i="42"/>
  <c r="CA180" i="42" s="1"/>
  <c r="BU180" i="42"/>
  <c r="BW180" i="42" s="1"/>
  <c r="BU179" i="42"/>
  <c r="BW179" i="42" s="1"/>
  <c r="BY179" i="42"/>
  <c r="CA179" i="42" s="1"/>
  <c r="BU178" i="42"/>
  <c r="BW178" i="42" s="1"/>
  <c r="BY178" i="42"/>
  <c r="CA178" i="42" s="1"/>
  <c r="BY177" i="42"/>
  <c r="CA177" i="42" s="1"/>
  <c r="BU177" i="42"/>
  <c r="BW177" i="42" s="1"/>
  <c r="CA176" i="42"/>
  <c r="BU176" i="42"/>
  <c r="BW176" i="42" s="1"/>
  <c r="BZ176" i="42" s="1"/>
  <c r="BU175" i="42"/>
  <c r="BW175" i="42" s="1"/>
  <c r="BY175" i="42"/>
  <c r="CA175" i="42" s="1"/>
  <c r="BY174" i="42"/>
  <c r="CA174" i="42" s="1"/>
  <c r="BU174" i="42"/>
  <c r="BW174" i="42" s="1"/>
  <c r="CA173" i="42"/>
  <c r="BU173" i="42"/>
  <c r="BW173" i="42" s="1"/>
  <c r="BZ173" i="42" s="1"/>
  <c r="CA172" i="42"/>
  <c r="BU172" i="42"/>
  <c r="BW172" i="42" s="1"/>
  <c r="BZ172" i="42" s="1"/>
  <c r="BY171" i="42"/>
  <c r="CA171" i="42" s="1"/>
  <c r="BU171" i="42"/>
  <c r="BW171" i="42" s="1"/>
  <c r="BY170" i="42"/>
  <c r="CA170" i="42" s="1"/>
  <c r="BU170" i="42"/>
  <c r="BW170" i="42" s="1"/>
  <c r="BY169" i="42"/>
  <c r="CA169" i="42" s="1"/>
  <c r="BU169" i="42"/>
  <c r="BW169" i="42" s="1"/>
  <c r="BU168" i="42"/>
  <c r="BW168" i="42" s="1"/>
  <c r="BZ168" i="42" s="1"/>
  <c r="BU167" i="42"/>
  <c r="BW167" i="42" s="1"/>
  <c r="BY167" i="42"/>
  <c r="CA167" i="42" s="1"/>
  <c r="BU166" i="42"/>
  <c r="BW166" i="42" s="1"/>
  <c r="BY166" i="42"/>
  <c r="CA166" i="42" s="1"/>
  <c r="CA165" i="42"/>
  <c r="BU165" i="42"/>
  <c r="BW165" i="42" s="1"/>
  <c r="BZ165" i="42" s="1"/>
  <c r="BY164" i="42"/>
  <c r="CA164" i="42" s="1"/>
  <c r="BU164" i="42"/>
  <c r="BW164" i="42" s="1"/>
  <c r="CA163" i="42"/>
  <c r="BU163" i="42"/>
  <c r="BW163" i="42" s="1"/>
  <c r="BZ163" i="42" s="1"/>
  <c r="BU162" i="42"/>
  <c r="BW162" i="42" s="1"/>
  <c r="BZ162" i="42" s="1"/>
  <c r="BU161" i="42"/>
  <c r="BW161" i="42" s="1"/>
  <c r="BY161" i="42"/>
  <c r="CA161" i="42" s="1"/>
  <c r="BY160" i="42"/>
  <c r="CA160" i="42" s="1"/>
  <c r="BU160" i="42"/>
  <c r="BW160" i="42" s="1"/>
  <c r="BU159" i="42"/>
  <c r="BW159" i="42" s="1"/>
  <c r="BZ159" i="42" s="1"/>
  <c r="BU158" i="42"/>
  <c r="BW158" i="42" s="1"/>
  <c r="BY158" i="42"/>
  <c r="CA158" i="42" s="1"/>
  <c r="BY157" i="42"/>
  <c r="CA157" i="42" s="1"/>
  <c r="BU157" i="42"/>
  <c r="BW157" i="42" s="1"/>
  <c r="BY156" i="42"/>
  <c r="CA156" i="42" s="1"/>
  <c r="BU156" i="42"/>
  <c r="BW156" i="42" s="1"/>
  <c r="BY155" i="42"/>
  <c r="CA155" i="42" s="1"/>
  <c r="BU155" i="42"/>
  <c r="BW155" i="42" s="1"/>
  <c r="BU154" i="42"/>
  <c r="BW154" i="42" s="1"/>
  <c r="BY154" i="42"/>
  <c r="CA154" i="42" s="1"/>
  <c r="BU153" i="42"/>
  <c r="BW153" i="42" s="1"/>
  <c r="BZ153" i="42" s="1"/>
  <c r="BU152" i="42"/>
  <c r="BW152" i="42" s="1"/>
  <c r="BZ152" i="42" s="1"/>
  <c r="BU151" i="42"/>
  <c r="BW151" i="42" s="1"/>
  <c r="BZ151" i="42" s="1"/>
  <c r="BU150" i="42"/>
  <c r="BW150" i="42" s="1"/>
  <c r="BY150" i="42"/>
  <c r="CA150" i="42" s="1"/>
  <c r="BU149" i="42"/>
  <c r="BW149" i="42" s="1"/>
  <c r="BY149" i="42"/>
  <c r="CA149" i="42" s="1"/>
  <c r="BY148" i="42"/>
  <c r="BU148" i="42"/>
  <c r="BW148" i="42" s="1"/>
  <c r="BU147" i="42"/>
  <c r="BW147" i="42" s="1"/>
  <c r="BY147" i="42"/>
  <c r="CA147" i="42" s="1"/>
  <c r="BY146" i="42"/>
  <c r="BU146" i="42"/>
  <c r="BW146" i="42" s="1"/>
  <c r="BY145" i="42"/>
  <c r="CA145" i="42" s="1"/>
  <c r="BU145" i="42"/>
  <c r="BW145" i="42" s="1"/>
  <c r="BY144" i="42"/>
  <c r="CA144" i="42" s="1"/>
  <c r="BU144" i="42"/>
  <c r="BW144" i="42" s="1"/>
  <c r="BY143" i="42"/>
  <c r="CA143" i="42" s="1"/>
  <c r="BU143" i="42"/>
  <c r="BW143" i="42" s="1"/>
  <c r="BU142" i="42"/>
  <c r="BW142" i="42" s="1"/>
  <c r="BZ142" i="42" s="1"/>
  <c r="BU141" i="42"/>
  <c r="BW141" i="42" s="1"/>
  <c r="BZ141" i="42" s="1"/>
  <c r="BY140" i="42"/>
  <c r="CA140" i="42" s="1"/>
  <c r="BU140" i="42"/>
  <c r="BW140" i="42" s="1"/>
  <c r="BY139" i="42"/>
  <c r="CA139" i="42" s="1"/>
  <c r="BU139" i="42"/>
  <c r="BW139" i="42" s="1"/>
  <c r="BU138" i="42"/>
  <c r="BW138" i="42" s="1"/>
  <c r="BY138" i="42"/>
  <c r="CA138" i="42" s="1"/>
  <c r="BY137" i="42"/>
  <c r="CA137" i="42" s="1"/>
  <c r="BU137" i="42"/>
  <c r="BW137" i="42" s="1"/>
  <c r="BU136" i="42"/>
  <c r="BW136" i="42" s="1"/>
  <c r="BY136" i="42"/>
  <c r="CA136" i="42" s="1"/>
  <c r="BU135" i="42"/>
  <c r="BW135" i="42" s="1"/>
  <c r="BY135" i="42"/>
  <c r="CA135" i="42" s="1"/>
  <c r="BY134" i="42"/>
  <c r="CA134" i="42" s="1"/>
  <c r="BU134" i="42"/>
  <c r="BW134" i="42" s="1"/>
  <c r="BU133" i="42"/>
  <c r="BW133" i="42" s="1"/>
  <c r="BZ133" i="42" s="1"/>
  <c r="BY132" i="42"/>
  <c r="CA132" i="42" s="1"/>
  <c r="BU132" i="42"/>
  <c r="BW132" i="42" s="1"/>
  <c r="BU131" i="42"/>
  <c r="BW131" i="42" s="1"/>
  <c r="BZ131" i="42" s="1"/>
  <c r="CA131" i="42"/>
  <c r="BY130" i="42"/>
  <c r="CA130" i="42" s="1"/>
  <c r="BU130" i="42"/>
  <c r="BW130" i="42" s="1"/>
  <c r="BU129" i="42"/>
  <c r="BW129" i="42" s="1"/>
  <c r="BZ129" i="42" s="1"/>
  <c r="BU128" i="42"/>
  <c r="BW128" i="42" s="1"/>
  <c r="BY128" i="42"/>
  <c r="CA128" i="42" s="1"/>
  <c r="BU127" i="42"/>
  <c r="BW127" i="42" s="1"/>
  <c r="BZ127" i="42" s="1"/>
  <c r="BY126" i="42"/>
  <c r="CA126" i="42" s="1"/>
  <c r="BU126" i="42"/>
  <c r="BW126" i="42" s="1"/>
  <c r="BY125" i="42"/>
  <c r="BU125" i="42"/>
  <c r="BW125" i="42" s="1"/>
  <c r="BY124" i="42"/>
  <c r="CA124" i="42" s="1"/>
  <c r="BU124" i="42"/>
  <c r="BW124" i="42" s="1"/>
  <c r="BU123" i="42"/>
  <c r="BW123" i="42" s="1"/>
  <c r="BZ123" i="42" s="1"/>
  <c r="BU122" i="42"/>
  <c r="BW122" i="42" s="1"/>
  <c r="BY122" i="42"/>
  <c r="CA122" i="42" s="1"/>
  <c r="BU121" i="42"/>
  <c r="BW121" i="42" s="1"/>
  <c r="BZ121" i="42" s="1"/>
  <c r="BU120" i="42"/>
  <c r="BW120" i="42" s="1"/>
  <c r="BY120" i="42"/>
  <c r="CA120" i="42" s="1"/>
  <c r="BU119" i="42"/>
  <c r="BW119" i="42" s="1"/>
  <c r="BY119" i="42"/>
  <c r="CA119" i="42" s="1"/>
  <c r="BU118" i="42"/>
  <c r="BW118" i="42" s="1"/>
  <c r="BY118" i="42"/>
  <c r="CA118" i="42" s="1"/>
  <c r="BY117" i="42"/>
  <c r="CA117" i="42" s="1"/>
  <c r="BU117" i="42"/>
  <c r="BW117" i="42" s="1"/>
  <c r="BY116" i="42"/>
  <c r="CA116" i="42" s="1"/>
  <c r="BU116" i="42"/>
  <c r="BW116" i="42" s="1"/>
  <c r="BU115" i="42"/>
  <c r="BW115" i="42" s="1"/>
  <c r="BY115" i="42"/>
  <c r="CA115" i="42" s="1"/>
  <c r="BU114" i="42"/>
  <c r="BW114" i="42" s="1"/>
  <c r="BZ114" i="42" s="1"/>
  <c r="BU113" i="42"/>
  <c r="BW113" i="42" s="1"/>
  <c r="BZ113" i="42" s="1"/>
  <c r="BU112" i="42"/>
  <c r="BW112" i="42" s="1"/>
  <c r="BZ112" i="42" s="1"/>
  <c r="BU111" i="42"/>
  <c r="BW111" i="42" s="1"/>
  <c r="BZ111" i="42" s="1"/>
  <c r="BY110" i="42"/>
  <c r="CA110" i="42" s="1"/>
  <c r="BU110" i="42"/>
  <c r="BW110" i="42" s="1"/>
  <c r="BY109" i="42"/>
  <c r="CA109" i="42" s="1"/>
  <c r="BU109" i="42"/>
  <c r="BW109" i="42" s="1"/>
  <c r="BY108" i="42"/>
  <c r="CA108" i="42" s="1"/>
  <c r="BU108" i="42"/>
  <c r="BW108" i="42" s="1"/>
  <c r="BY107" i="42"/>
  <c r="CA107" i="42" s="1"/>
  <c r="BU107" i="42"/>
  <c r="BW107" i="42" s="1"/>
  <c r="BU106" i="42"/>
  <c r="BW106" i="42" s="1"/>
  <c r="BZ106" i="42" s="1"/>
  <c r="BY105" i="42"/>
  <c r="CA105" i="42" s="1"/>
  <c r="BU105" i="42"/>
  <c r="BW105" i="42" s="1"/>
  <c r="BU104" i="42"/>
  <c r="BW104" i="42" s="1"/>
  <c r="BY104" i="42"/>
  <c r="CA104" i="42" s="1"/>
  <c r="BU103" i="42"/>
  <c r="BW103" i="42" s="1"/>
  <c r="BY103" i="42"/>
  <c r="CA103" i="42" s="1"/>
  <c r="BU102" i="42"/>
  <c r="BW102" i="42" s="1"/>
  <c r="BY102" i="42"/>
  <c r="CA102" i="42" s="1"/>
  <c r="BY101" i="42"/>
  <c r="CA101" i="42" s="1"/>
  <c r="BU101" i="42"/>
  <c r="BW101" i="42" s="1"/>
  <c r="BU100" i="42"/>
  <c r="BW100" i="42" s="1"/>
  <c r="BZ100" i="42" s="1"/>
  <c r="BU99" i="42"/>
  <c r="BW99" i="42" s="1"/>
  <c r="BZ99" i="42" s="1"/>
  <c r="BY98" i="42"/>
  <c r="CA98" i="42" s="1"/>
  <c r="BU98" i="42"/>
  <c r="BW98" i="42" s="1"/>
  <c r="BU97" i="42"/>
  <c r="BW97" i="42" s="1"/>
  <c r="BY97" i="42"/>
  <c r="CA97" i="42" s="1"/>
  <c r="BU96" i="42"/>
  <c r="BW96" i="42" s="1"/>
  <c r="BZ96" i="42" s="1"/>
  <c r="BU95" i="42"/>
  <c r="BW95" i="42" s="1"/>
  <c r="BZ95" i="42" s="1"/>
  <c r="BU94" i="42"/>
  <c r="BW94" i="42" s="1"/>
  <c r="BY94" i="42"/>
  <c r="CA94" i="42" s="1"/>
  <c r="BY93" i="42"/>
  <c r="CA93" i="42" s="1"/>
  <c r="BU93" i="42"/>
  <c r="BW93" i="42" s="1"/>
  <c r="BY92" i="42"/>
  <c r="CA92" i="42" s="1"/>
  <c r="BU92" i="42"/>
  <c r="BW92" i="42" s="1"/>
  <c r="BY91" i="42"/>
  <c r="CA91" i="42" s="1"/>
  <c r="BU91" i="42"/>
  <c r="BW91" i="42" s="1"/>
  <c r="BY90" i="42"/>
  <c r="CA90" i="42" s="1"/>
  <c r="BU90" i="42"/>
  <c r="BW90" i="42" s="1"/>
  <c r="BU89" i="42"/>
  <c r="BW89" i="42" s="1"/>
  <c r="BY89" i="42"/>
  <c r="CA89" i="42" s="1"/>
  <c r="BU88" i="42"/>
  <c r="BW88" i="42" s="1"/>
  <c r="BY88" i="42"/>
  <c r="CA88" i="42" s="1"/>
  <c r="BY87" i="42"/>
  <c r="CA87" i="42" s="1"/>
  <c r="BU87" i="42"/>
  <c r="BW87" i="42" s="1"/>
  <c r="BU86" i="42"/>
  <c r="BW86" i="42" s="1"/>
  <c r="BZ86" i="42" s="1"/>
  <c r="BU85" i="42"/>
  <c r="BW85" i="42" s="1"/>
  <c r="BY85" i="42"/>
  <c r="BY84" i="42"/>
  <c r="CA84" i="42" s="1"/>
  <c r="BU84" i="42"/>
  <c r="BW84" i="42" s="1"/>
  <c r="BU83" i="42"/>
  <c r="BW83" i="42" s="1"/>
  <c r="BY83" i="42"/>
  <c r="CA83" i="42" s="1"/>
  <c r="BY82" i="42"/>
  <c r="CA82" i="42" s="1"/>
  <c r="BU82" i="42"/>
  <c r="BW82" i="42" s="1"/>
  <c r="BY81" i="42"/>
  <c r="CA81" i="42" s="1"/>
  <c r="BU81" i="42"/>
  <c r="BW81" i="42" s="1"/>
  <c r="BU80" i="42"/>
  <c r="BW80" i="42" s="1"/>
  <c r="BZ80" i="42" s="1"/>
  <c r="CA80" i="42"/>
  <c r="BU79" i="42"/>
  <c r="BW79" i="42" s="1"/>
  <c r="BZ79" i="42" s="1"/>
  <c r="BY78" i="42"/>
  <c r="CA78" i="42" s="1"/>
  <c r="BU78" i="42"/>
  <c r="BW78" i="42" s="1"/>
  <c r="BY77" i="42"/>
  <c r="CA77" i="42" s="1"/>
  <c r="BU77" i="42"/>
  <c r="BW77" i="42" s="1"/>
  <c r="BY76" i="42"/>
  <c r="CA76" i="42" s="1"/>
  <c r="BU76" i="42"/>
  <c r="BW76" i="42" s="1"/>
  <c r="BY75" i="42"/>
  <c r="CA75" i="42" s="1"/>
  <c r="BU75" i="42"/>
  <c r="BW75" i="42" s="1"/>
  <c r="BY74" i="42"/>
  <c r="CA74" i="42" s="1"/>
  <c r="BU74" i="42"/>
  <c r="BW74" i="42" s="1"/>
  <c r="BY73" i="42"/>
  <c r="CA73" i="42" s="1"/>
  <c r="BU73" i="42"/>
  <c r="BW73" i="42" s="1"/>
  <c r="BU72" i="42"/>
  <c r="BW72" i="42" s="1"/>
  <c r="BZ72" i="42" s="1"/>
  <c r="BU71" i="42"/>
  <c r="BW71" i="42" s="1"/>
  <c r="BZ71" i="42" s="1"/>
  <c r="BU70" i="42"/>
  <c r="BW70" i="42" s="1"/>
  <c r="BZ70" i="42" s="1"/>
  <c r="BU69" i="42"/>
  <c r="BW69" i="42" s="1"/>
  <c r="BY69" i="42"/>
  <c r="CA69" i="42" s="1"/>
  <c r="BY68" i="42"/>
  <c r="CA68" i="42" s="1"/>
  <c r="BU68" i="42"/>
  <c r="BW68" i="42" s="1"/>
  <c r="BY67" i="42"/>
  <c r="CA67" i="42" s="1"/>
  <c r="BU67" i="42"/>
  <c r="BW67" i="42" s="1"/>
  <c r="BU66" i="42"/>
  <c r="BW66" i="42" s="1"/>
  <c r="BY66" i="42"/>
  <c r="CA66" i="42" s="1"/>
  <c r="BU65" i="42"/>
  <c r="BW65" i="42" s="1"/>
  <c r="BZ65" i="42" s="1"/>
  <c r="BU64" i="42"/>
  <c r="BW64" i="42" s="1"/>
  <c r="BZ64" i="42" s="1"/>
  <c r="BU63" i="42"/>
  <c r="BW63" i="42" s="1"/>
  <c r="BZ63" i="42" s="1"/>
  <c r="BY62" i="42"/>
  <c r="CA62" i="42" s="1"/>
  <c r="BU62" i="42"/>
  <c r="BW62" i="42" s="1"/>
  <c r="BU61" i="42"/>
  <c r="BW61" i="42" s="1"/>
  <c r="BZ61" i="42" s="1"/>
  <c r="BY60" i="42"/>
  <c r="CA60" i="42" s="1"/>
  <c r="BU60" i="42"/>
  <c r="BW60" i="42" s="1"/>
  <c r="BU59" i="42"/>
  <c r="BW59" i="42" s="1"/>
  <c r="BZ59" i="42" s="1"/>
  <c r="BU58" i="42"/>
  <c r="BW58" i="42" s="1"/>
  <c r="BY58" i="42"/>
  <c r="CA58" i="42" s="1"/>
  <c r="BU57" i="42"/>
  <c r="BW57" i="42" s="1"/>
  <c r="BZ57" i="42" s="1"/>
  <c r="BU56" i="42"/>
  <c r="BW56" i="42" s="1"/>
  <c r="BZ56" i="42" s="1"/>
  <c r="BU55" i="42"/>
  <c r="BW55" i="42" s="1"/>
  <c r="BY55" i="42"/>
  <c r="CA55" i="42" s="1"/>
  <c r="BU54" i="42"/>
  <c r="BW54" i="42" s="1"/>
  <c r="BY54" i="42"/>
  <c r="CA54" i="42" s="1"/>
  <c r="BU53" i="42"/>
  <c r="BW53" i="42" s="1"/>
  <c r="BY53" i="42"/>
  <c r="CA53" i="42" s="1"/>
  <c r="BY52" i="42"/>
  <c r="CA52" i="42" s="1"/>
  <c r="BU52" i="42"/>
  <c r="BW52" i="42" s="1"/>
  <c r="BU51" i="42"/>
  <c r="BW51" i="42" s="1"/>
  <c r="BZ51" i="42" s="1"/>
  <c r="CA51" i="42"/>
  <c r="BU50" i="42"/>
  <c r="BW50" i="42" s="1"/>
  <c r="BY50" i="42"/>
  <c r="CA50" i="42" s="1"/>
  <c r="BY49" i="42"/>
  <c r="CA49" i="42" s="1"/>
  <c r="BU49" i="42"/>
  <c r="BW49" i="42" s="1"/>
  <c r="BU48" i="42"/>
  <c r="BW48" i="42" s="1"/>
  <c r="BY48" i="42"/>
  <c r="CA48" i="42" s="1"/>
  <c r="BU47" i="42"/>
  <c r="BW47" i="42" s="1"/>
  <c r="BY47" i="42"/>
  <c r="CA47" i="42" s="1"/>
  <c r="BY46" i="42"/>
  <c r="CA46" i="42" s="1"/>
  <c r="BU46" i="42"/>
  <c r="BW46" i="42" s="1"/>
  <c r="BU45" i="42"/>
  <c r="BW45" i="42" s="1"/>
  <c r="BZ45" i="42" s="1"/>
  <c r="BY44" i="42"/>
  <c r="CA44" i="42" s="1"/>
  <c r="BU44" i="42"/>
  <c r="BW44" i="42" s="1"/>
  <c r="BU43" i="42"/>
  <c r="BW43" i="42" s="1"/>
  <c r="BZ43" i="42" s="1"/>
  <c r="BY42" i="42"/>
  <c r="CA42" i="42" s="1"/>
  <c r="BU42" i="42"/>
  <c r="BW42" i="42" s="1"/>
  <c r="BY41" i="42"/>
  <c r="CA41" i="42" s="1"/>
  <c r="BU41" i="42"/>
  <c r="BW41" i="42" s="1"/>
  <c r="BY40" i="42"/>
  <c r="CA40" i="42" s="1"/>
  <c r="BU40" i="42"/>
  <c r="BW40" i="42" s="1"/>
  <c r="BU39" i="42"/>
  <c r="BW39" i="42" s="1"/>
  <c r="BY39" i="42"/>
  <c r="CA39" i="42" s="1"/>
  <c r="BU38" i="42"/>
  <c r="BW38" i="42" s="1"/>
  <c r="BY38" i="42"/>
  <c r="CA38" i="42" s="1"/>
  <c r="BY37" i="42"/>
  <c r="CA37" i="42" s="1"/>
  <c r="BU37" i="42"/>
  <c r="BW37" i="42" s="1"/>
  <c r="BU36" i="42"/>
  <c r="BW36" i="42" s="1"/>
  <c r="BZ36" i="42" s="1"/>
  <c r="BY35" i="42"/>
  <c r="CA35" i="42" s="1"/>
  <c r="BU35" i="42"/>
  <c r="BW35" i="42" s="1"/>
  <c r="BU34" i="42"/>
  <c r="BW34" i="42" s="1"/>
  <c r="BY34" i="42"/>
  <c r="CA34" i="42" s="1"/>
  <c r="BU33" i="42"/>
  <c r="BW33" i="42" s="1"/>
  <c r="BY33" i="42"/>
  <c r="CA33" i="42" s="1"/>
  <c r="CA32" i="42"/>
  <c r="BU32" i="42"/>
  <c r="BW32" i="42" s="1"/>
  <c r="BZ32" i="42" s="1"/>
  <c r="BU31" i="42"/>
  <c r="BW31" i="42" s="1"/>
  <c r="BZ31" i="42" s="1"/>
  <c r="BU30" i="42"/>
  <c r="BW30" i="42" s="1"/>
  <c r="BZ30" i="42" s="1"/>
  <c r="CA30" i="42"/>
  <c r="BY29" i="42"/>
  <c r="CA29" i="42" s="1"/>
  <c r="BU29" i="42"/>
  <c r="BW29" i="42" s="1"/>
  <c r="BY28" i="42"/>
  <c r="CA28" i="42" s="1"/>
  <c r="BU28" i="42"/>
  <c r="BW28" i="42" s="1"/>
  <c r="BY27" i="42"/>
  <c r="CA27" i="42" s="1"/>
  <c r="BU27" i="42"/>
  <c r="BW27" i="42" s="1"/>
  <c r="BU26" i="42"/>
  <c r="BW26" i="42" s="1"/>
  <c r="BY26" i="42"/>
  <c r="CA26" i="42" s="1"/>
  <c r="BU25" i="42"/>
  <c r="BW25" i="42" s="1"/>
  <c r="BZ25" i="42" s="1"/>
  <c r="CA25" i="42"/>
  <c r="BY24" i="42"/>
  <c r="CA24" i="42" s="1"/>
  <c r="BU24" i="42"/>
  <c r="BW24" i="42" s="1"/>
  <c r="BY23" i="42"/>
  <c r="CA23" i="42" s="1"/>
  <c r="BU23" i="42"/>
  <c r="BW23" i="42" s="1"/>
  <c r="BU22" i="42"/>
  <c r="BW22" i="42" s="1"/>
  <c r="BY22" i="42"/>
  <c r="CA22" i="42" s="1"/>
  <c r="BU21" i="42"/>
  <c r="BW21" i="42" s="1"/>
  <c r="BY21" i="42"/>
  <c r="CA21" i="42" s="1"/>
  <c r="BY20" i="42"/>
  <c r="CA20" i="42" s="1"/>
  <c r="BU20" i="42"/>
  <c r="BW20" i="42" s="1"/>
  <c r="BU19" i="42"/>
  <c r="BW19" i="42" s="1"/>
  <c r="BZ19" i="42" s="1"/>
  <c r="BY18" i="42"/>
  <c r="CA18" i="42" s="1"/>
  <c r="BU18" i="42"/>
  <c r="BW18" i="42" s="1"/>
  <c r="BY17" i="42"/>
  <c r="CA17" i="42" s="1"/>
  <c r="BU17" i="42"/>
  <c r="BW17" i="42" s="1"/>
  <c r="BU16" i="42"/>
  <c r="BW16" i="42" s="1"/>
  <c r="BY16" i="42"/>
  <c r="CA16" i="42" s="1"/>
  <c r="BU15" i="42"/>
  <c r="BW15" i="42" s="1"/>
  <c r="BY15" i="42"/>
  <c r="CA15" i="42" s="1"/>
  <c r="BY14" i="42"/>
  <c r="CA14" i="42" s="1"/>
  <c r="BU14" i="42"/>
  <c r="BW14" i="42" s="1"/>
  <c r="BU13" i="42"/>
  <c r="BW13" i="42" s="1"/>
  <c r="BZ13" i="42" s="1"/>
  <c r="CA13" i="42"/>
  <c r="BY12" i="42"/>
  <c r="CA12" i="42" s="1"/>
  <c r="BU12" i="42"/>
  <c r="BW12" i="42" s="1"/>
  <c r="BU11" i="42"/>
  <c r="BW11" i="42" s="1"/>
  <c r="BY11" i="42"/>
  <c r="CA11" i="42" s="1"/>
  <c r="BU10" i="42"/>
  <c r="BW10" i="42" s="1"/>
  <c r="P173" i="42"/>
  <c r="S173" i="42" s="1"/>
  <c r="BC173" i="42" s="1"/>
  <c r="P30" i="42"/>
  <c r="S30" i="42" s="1"/>
  <c r="O8" i="42"/>
  <c r="P148" i="42"/>
  <c r="S148" i="42" s="1"/>
  <c r="U148" i="42" s="1"/>
  <c r="Q8" i="42"/>
  <c r="S256" i="42"/>
  <c r="U256" i="42" s="1"/>
  <c r="P310" i="42"/>
  <c r="S310" i="42" s="1"/>
  <c r="S181" i="42"/>
  <c r="S100" i="42"/>
  <c r="S119" i="42"/>
  <c r="S109" i="42"/>
  <c r="S189" i="42"/>
  <c r="S144" i="42"/>
  <c r="U225" i="42"/>
  <c r="BC225" i="42"/>
  <c r="S259" i="42"/>
  <c r="S309" i="42"/>
  <c r="S282" i="42"/>
  <c r="S272" i="42"/>
  <c r="S177" i="42"/>
  <c r="S105" i="42"/>
  <c r="S258" i="42"/>
  <c r="AG238" i="42"/>
  <c r="AG8" i="42" s="1"/>
  <c r="AD8" i="42"/>
  <c r="S129" i="42"/>
  <c r="J8" i="42"/>
  <c r="S298" i="42"/>
  <c r="P103" i="42"/>
  <c r="P101" i="42"/>
  <c r="S48" i="42"/>
  <c r="S67" i="42"/>
  <c r="S164" i="42"/>
  <c r="S155" i="42"/>
  <c r="S111" i="42"/>
  <c r="S227" i="42"/>
  <c r="S137" i="42"/>
  <c r="S123" i="42"/>
  <c r="S286" i="42"/>
  <c r="L238" i="42"/>
  <c r="P238" i="42" s="1"/>
  <c r="I8" i="42"/>
  <c r="P163" i="42"/>
  <c r="P140" i="42"/>
  <c r="S243" i="42"/>
  <c r="P226" i="42" l="1"/>
  <c r="S226" i="42" s="1"/>
  <c r="CB178" i="42"/>
  <c r="CC178" i="42" s="1"/>
  <c r="U131" i="42"/>
  <c r="BC28" i="42"/>
  <c r="CB76" i="42"/>
  <c r="CC76" i="42" s="1"/>
  <c r="P167" i="42"/>
  <c r="S167" i="42" s="1"/>
  <c r="CB254" i="42"/>
  <c r="CC254" i="42" s="1"/>
  <c r="CB256" i="42"/>
  <c r="CC256" i="42" s="1"/>
  <c r="P121" i="42"/>
  <c r="S121" i="42" s="1"/>
  <c r="U121" i="42" s="1"/>
  <c r="AK121" i="42" s="1"/>
  <c r="P250" i="42"/>
  <c r="S250" i="42" s="1"/>
  <c r="BC250" i="42" s="1"/>
  <c r="CB243" i="42"/>
  <c r="CC243" i="42" s="1"/>
  <c r="CB99" i="42"/>
  <c r="CC99" i="42" s="1"/>
  <c r="P54" i="42"/>
  <c r="S54" i="42" s="1"/>
  <c r="P22" i="42"/>
  <c r="S22" i="42" s="1"/>
  <c r="BC22" i="42" s="1"/>
  <c r="U271" i="42"/>
  <c r="AH271" i="42" s="1"/>
  <c r="BC271" i="42"/>
  <c r="CB271" i="42"/>
  <c r="CC271" i="42" s="1"/>
  <c r="CB319" i="42"/>
  <c r="CC319" i="42" s="1"/>
  <c r="CB306" i="42"/>
  <c r="CC306" i="42" s="1"/>
  <c r="P306" i="42"/>
  <c r="S306" i="42" s="1"/>
  <c r="BC306" i="42" s="1"/>
  <c r="CB119" i="42"/>
  <c r="CC119" i="42" s="1"/>
  <c r="CB317" i="42"/>
  <c r="CC317" i="42" s="1"/>
  <c r="P317" i="42"/>
  <c r="S317" i="42" s="1"/>
  <c r="CB26" i="42"/>
  <c r="CC26" i="42" s="1"/>
  <c r="CB251" i="42"/>
  <c r="CC251" i="42" s="1"/>
  <c r="CB80" i="42"/>
  <c r="CC80" i="42" s="1"/>
  <c r="CB130" i="42"/>
  <c r="CC130" i="42" s="1"/>
  <c r="CB10" i="42"/>
  <c r="CC10" i="42" s="1"/>
  <c r="CB73" i="42"/>
  <c r="CC73" i="42" s="1"/>
  <c r="CB57" i="42"/>
  <c r="CC57" i="42" s="1"/>
  <c r="CB27" i="42"/>
  <c r="CC27" i="42" s="1"/>
  <c r="CB15" i="42"/>
  <c r="CC15" i="42" s="1"/>
  <c r="CB86" i="42"/>
  <c r="CC86" i="42" s="1"/>
  <c r="CB185" i="42"/>
  <c r="CC185" i="42" s="1"/>
  <c r="CB34" i="42"/>
  <c r="CC34" i="42" s="1"/>
  <c r="CB12" i="42"/>
  <c r="CC12" i="42" s="1"/>
  <c r="CB134" i="42"/>
  <c r="CC134" i="42" s="1"/>
  <c r="CB150" i="42"/>
  <c r="CC150" i="42" s="1"/>
  <c r="CB179" i="42"/>
  <c r="CC179" i="42" s="1"/>
  <c r="CB168" i="42"/>
  <c r="CC168" i="42" s="1"/>
  <c r="CB221" i="42"/>
  <c r="CC221" i="42" s="1"/>
  <c r="CB240" i="42"/>
  <c r="CC240" i="42" s="1"/>
  <c r="CB261" i="42"/>
  <c r="CC261" i="42" s="1"/>
  <c r="CB275" i="42"/>
  <c r="CC275" i="42" s="1"/>
  <c r="CB272" i="42"/>
  <c r="CC272" i="42" s="1"/>
  <c r="CB276" i="42"/>
  <c r="CC276" i="42" s="1"/>
  <c r="CB288" i="42"/>
  <c r="CC288" i="42" s="1"/>
  <c r="CB305" i="42"/>
  <c r="CC305" i="42" s="1"/>
  <c r="CB299" i="42"/>
  <c r="CC299" i="42" s="1"/>
  <c r="CB107" i="42"/>
  <c r="CC107" i="42" s="1"/>
  <c r="CB77" i="42"/>
  <c r="CC77" i="42" s="1"/>
  <c r="CB20" i="42"/>
  <c r="CC20" i="42" s="1"/>
  <c r="CB37" i="42"/>
  <c r="CC37" i="42" s="1"/>
  <c r="CB52" i="42"/>
  <c r="CC52" i="42" s="1"/>
  <c r="CB63" i="42"/>
  <c r="CC63" i="42" s="1"/>
  <c r="CB88" i="42"/>
  <c r="CC88" i="42" s="1"/>
  <c r="CB102" i="42"/>
  <c r="CC102" i="42" s="1"/>
  <c r="CB269" i="42"/>
  <c r="CC269" i="42" s="1"/>
  <c r="CB169" i="42"/>
  <c r="CC169" i="42" s="1"/>
  <c r="CB128" i="42"/>
  <c r="CC128" i="42" s="1"/>
  <c r="CB260" i="42"/>
  <c r="CC260" i="42" s="1"/>
  <c r="CB68" i="42"/>
  <c r="CC68" i="42" s="1"/>
  <c r="CB58" i="42"/>
  <c r="CC58" i="42" s="1"/>
  <c r="CB83" i="42"/>
  <c r="CC83" i="42" s="1"/>
  <c r="CB91" i="42"/>
  <c r="CC91" i="42" s="1"/>
  <c r="CB94" i="42"/>
  <c r="CC94" i="42" s="1"/>
  <c r="CB166" i="42"/>
  <c r="CC166" i="42" s="1"/>
  <c r="CB176" i="42"/>
  <c r="CC176" i="42" s="1"/>
  <c r="CB172" i="42"/>
  <c r="CC172" i="42" s="1"/>
  <c r="CB188" i="42"/>
  <c r="CC188" i="42" s="1"/>
  <c r="CB208" i="42"/>
  <c r="CC208" i="42" s="1"/>
  <c r="CB236" i="42"/>
  <c r="CC236" i="42" s="1"/>
  <c r="CB266" i="42"/>
  <c r="CC266" i="42" s="1"/>
  <c r="CB302" i="42"/>
  <c r="CC302" i="42" s="1"/>
  <c r="CB316" i="42"/>
  <c r="CC316" i="42" s="1"/>
  <c r="P166" i="42"/>
  <c r="S166" i="42" s="1"/>
  <c r="U166" i="42" s="1"/>
  <c r="P94" i="42"/>
  <c r="S94" i="42" s="1"/>
  <c r="U94" i="42" s="1"/>
  <c r="CB265" i="42"/>
  <c r="CC265" i="42" s="1"/>
  <c r="CB263" i="42"/>
  <c r="CC263" i="42" s="1"/>
  <c r="CB268" i="42"/>
  <c r="CC268" i="42" s="1"/>
  <c r="P176" i="42"/>
  <c r="S176" i="42" s="1"/>
  <c r="U176" i="42" s="1"/>
  <c r="P266" i="42"/>
  <c r="S266" i="42" s="1"/>
  <c r="U266" i="42" s="1"/>
  <c r="CB162" i="42"/>
  <c r="CC162" i="42" s="1"/>
  <c r="P302" i="42"/>
  <c r="S302" i="42" s="1"/>
  <c r="U302" i="42" s="1"/>
  <c r="CB46" i="42"/>
  <c r="CC46" i="42" s="1"/>
  <c r="CB279" i="42"/>
  <c r="CC279" i="42" s="1"/>
  <c r="CB187" i="42"/>
  <c r="CC187" i="42" s="1"/>
  <c r="CB315" i="42"/>
  <c r="CC315" i="42" s="1"/>
  <c r="P316" i="42"/>
  <c r="S316" i="42" s="1"/>
  <c r="P236" i="42"/>
  <c r="S236" i="42" s="1"/>
  <c r="BC236" i="42" s="1"/>
  <c r="P68" i="42"/>
  <c r="S68" i="42" s="1"/>
  <c r="BC68" i="42" s="1"/>
  <c r="CB293" i="42"/>
  <c r="CC293" i="42" s="1"/>
  <c r="CB248" i="42"/>
  <c r="CC248" i="42" s="1"/>
  <c r="CB295" i="42"/>
  <c r="CC295" i="42" s="1"/>
  <c r="U21" i="42"/>
  <c r="V21" i="42" s="1"/>
  <c r="P188" i="42"/>
  <c r="S188" i="42" s="1"/>
  <c r="CB219" i="42"/>
  <c r="CC219" i="42" s="1"/>
  <c r="P208" i="42"/>
  <c r="S208" i="42" s="1"/>
  <c r="P172" i="42"/>
  <c r="S172" i="42" s="1"/>
  <c r="U172" i="42" s="1"/>
  <c r="P58" i="42"/>
  <c r="S58" i="42" s="1"/>
  <c r="BC58" i="42" s="1"/>
  <c r="CB193" i="42"/>
  <c r="CC193" i="42" s="1"/>
  <c r="CB81" i="42"/>
  <c r="CC81" i="42" s="1"/>
  <c r="P91" i="42"/>
  <c r="S91" i="42" s="1"/>
  <c r="CB231" i="42"/>
  <c r="CC231" i="42" s="1"/>
  <c r="CB160" i="42"/>
  <c r="CC160" i="42" s="1"/>
  <c r="CB203" i="42"/>
  <c r="CC203" i="42" s="1"/>
  <c r="CB79" i="42"/>
  <c r="CC79" i="42" s="1"/>
  <c r="CB222" i="42"/>
  <c r="CC222" i="42" s="1"/>
  <c r="CB196" i="42"/>
  <c r="CC196" i="42" s="1"/>
  <c r="CB213" i="42"/>
  <c r="CC213" i="42" s="1"/>
  <c r="CB257" i="42"/>
  <c r="CC257" i="42" s="1"/>
  <c r="CB291" i="42"/>
  <c r="CC291" i="42" s="1"/>
  <c r="BZ296" i="42"/>
  <c r="P73" i="42"/>
  <c r="S73" i="42" s="1"/>
  <c r="BC73" i="42" s="1"/>
  <c r="CB289" i="42"/>
  <c r="CC289" i="42" s="1"/>
  <c r="BC125" i="42"/>
  <c r="P257" i="42"/>
  <c r="S257" i="42" s="1"/>
  <c r="BC257" i="42" s="1"/>
  <c r="CB217" i="42"/>
  <c r="CC217" i="42" s="1"/>
  <c r="P213" i="42"/>
  <c r="S213" i="42" s="1"/>
  <c r="P291" i="42"/>
  <c r="S291" i="42" s="1"/>
  <c r="BC291" i="42" s="1"/>
  <c r="P57" i="42"/>
  <c r="S57" i="42" s="1"/>
  <c r="BZ110" i="42"/>
  <c r="BC20" i="42"/>
  <c r="U20" i="42"/>
  <c r="AH20" i="42" s="1"/>
  <c r="CB36" i="42"/>
  <c r="CC36" i="42" s="1"/>
  <c r="CB200" i="42"/>
  <c r="CC200" i="42" s="1"/>
  <c r="CB43" i="42"/>
  <c r="CC43" i="42" s="1"/>
  <c r="CB16" i="42"/>
  <c r="CC16" i="42" s="1"/>
  <c r="CB152" i="42"/>
  <c r="CC152" i="42" s="1"/>
  <c r="BZ48" i="42"/>
  <c r="CB230" i="42"/>
  <c r="CC230" i="42" s="1"/>
  <c r="CB273" i="42"/>
  <c r="CC273" i="42" s="1"/>
  <c r="CB284" i="42"/>
  <c r="CC284" i="42" s="1"/>
  <c r="CB290" i="42"/>
  <c r="CC290" i="42" s="1"/>
  <c r="CB304" i="42"/>
  <c r="CC304" i="42" s="1"/>
  <c r="CB318" i="42"/>
  <c r="CC318" i="42" s="1"/>
  <c r="P170" i="42"/>
  <c r="S170" i="42" s="1"/>
  <c r="U170" i="42" s="1"/>
  <c r="CB170" i="42"/>
  <c r="CC170" i="42" s="1"/>
  <c r="CB199" i="42"/>
  <c r="CC199" i="42" s="1"/>
  <c r="P199" i="42"/>
  <c r="S199" i="42" s="1"/>
  <c r="BC199" i="42" s="1"/>
  <c r="CB206" i="42"/>
  <c r="CC206" i="42" s="1"/>
  <c r="P206" i="42"/>
  <c r="S206" i="42" s="1"/>
  <c r="U206" i="42" s="1"/>
  <c r="P195" i="42"/>
  <c r="S195" i="42" s="1"/>
  <c r="U195" i="42" s="1"/>
  <c r="CB195" i="42"/>
  <c r="CC195" i="42" s="1"/>
  <c r="P224" i="42"/>
  <c r="S224" i="42" s="1"/>
  <c r="BC224" i="42" s="1"/>
  <c r="CB224" i="42"/>
  <c r="CC224" i="42" s="1"/>
  <c r="CB255" i="42"/>
  <c r="CC255" i="42" s="1"/>
  <c r="P255" i="42"/>
  <c r="S255" i="42" s="1"/>
  <c r="U255" i="42" s="1"/>
  <c r="CB303" i="42"/>
  <c r="CC303" i="42" s="1"/>
  <c r="P303" i="42"/>
  <c r="S303" i="42" s="1"/>
  <c r="U303" i="42" s="1"/>
  <c r="P311" i="42"/>
  <c r="S311" i="42" s="1"/>
  <c r="BC311" i="42" s="1"/>
  <c r="CB311" i="42"/>
  <c r="CC311" i="42" s="1"/>
  <c r="P318" i="42"/>
  <c r="S318" i="42" s="1"/>
  <c r="U318" i="42" s="1"/>
  <c r="P304" i="42"/>
  <c r="S304" i="42" s="1"/>
  <c r="U304" i="42" s="1"/>
  <c r="P27" i="42"/>
  <c r="S27" i="42" s="1"/>
  <c r="BC27" i="42" s="1"/>
  <c r="CB278" i="42"/>
  <c r="CC278" i="42" s="1"/>
  <c r="P133" i="42"/>
  <c r="S133" i="42" s="1"/>
  <c r="U133" i="42" s="1"/>
  <c r="CB133" i="42"/>
  <c r="CC133" i="42" s="1"/>
  <c r="P84" i="42"/>
  <c r="S84" i="42" s="1"/>
  <c r="U84" i="42" s="1"/>
  <c r="CB84" i="42"/>
  <c r="CC84" i="42" s="1"/>
  <c r="P132" i="42"/>
  <c r="S132" i="42" s="1"/>
  <c r="U132" i="42" s="1"/>
  <c r="CB132" i="42"/>
  <c r="CC132" i="42" s="1"/>
  <c r="P186" i="42"/>
  <c r="S186" i="42" s="1"/>
  <c r="CB186" i="42"/>
  <c r="CC186" i="42" s="1"/>
  <c r="CB241" i="42"/>
  <c r="CC241" i="42" s="1"/>
  <c r="P244" i="42"/>
  <c r="S244" i="42" s="1"/>
  <c r="U244" i="42" s="1"/>
  <c r="CB244" i="42"/>
  <c r="CC244" i="42" s="1"/>
  <c r="P32" i="42"/>
  <c r="S32" i="42" s="1"/>
  <c r="U32" i="42" s="1"/>
  <c r="CB32" i="42"/>
  <c r="CC32" i="42" s="1"/>
  <c r="CB126" i="42"/>
  <c r="CC126" i="42" s="1"/>
  <c r="P126" i="42"/>
  <c r="S126" i="42" s="1"/>
  <c r="U126" i="42" s="1"/>
  <c r="P290" i="42"/>
  <c r="S290" i="42" s="1"/>
  <c r="BC290" i="42" s="1"/>
  <c r="P35" i="42"/>
  <c r="S35" i="42" s="1"/>
  <c r="BC35" i="42" s="1"/>
  <c r="CB35" i="42"/>
  <c r="CC35" i="42" s="1"/>
  <c r="P11" i="42"/>
  <c r="S11" i="42" s="1"/>
  <c r="U11" i="42" s="1"/>
  <c r="CB11" i="42"/>
  <c r="CC11" i="42" s="1"/>
  <c r="CB175" i="42"/>
  <c r="CC175" i="42" s="1"/>
  <c r="P175" i="42"/>
  <c r="S175" i="42" s="1"/>
  <c r="BC175" i="42" s="1"/>
  <c r="P15" i="42"/>
  <c r="S15" i="42" s="1"/>
  <c r="P273" i="42"/>
  <c r="S273" i="42" s="1"/>
  <c r="U273" i="42" s="1"/>
  <c r="CB267" i="42"/>
  <c r="CC267" i="42" s="1"/>
  <c r="P120" i="42"/>
  <c r="S120" i="42" s="1"/>
  <c r="U120" i="42" s="1"/>
  <c r="CB120" i="42"/>
  <c r="CC120" i="42" s="1"/>
  <c r="P230" i="42"/>
  <c r="S230" i="42" s="1"/>
  <c r="P284" i="42"/>
  <c r="S284" i="42" s="1"/>
  <c r="U284" i="42" s="1"/>
  <c r="BZ20" i="42"/>
  <c r="BZ24" i="42"/>
  <c r="CB180" i="42"/>
  <c r="CC180" i="42" s="1"/>
  <c r="CB262" i="42"/>
  <c r="CC262" i="42" s="1"/>
  <c r="CB216" i="42"/>
  <c r="CC216" i="42" s="1"/>
  <c r="CB229" i="42"/>
  <c r="CC229" i="42" s="1"/>
  <c r="CB49" i="42"/>
  <c r="CC49" i="42" s="1"/>
  <c r="CB23" i="42"/>
  <c r="CC23" i="42" s="1"/>
  <c r="CB47" i="42"/>
  <c r="CC47" i="42" s="1"/>
  <c r="CB70" i="42"/>
  <c r="CC70" i="42" s="1"/>
  <c r="CB39" i="42"/>
  <c r="CC39" i="42" s="1"/>
  <c r="CB98" i="42"/>
  <c r="CC98" i="42" s="1"/>
  <c r="CB82" i="42"/>
  <c r="CC82" i="42" s="1"/>
  <c r="CB110" i="42"/>
  <c r="CC110" i="42" s="1"/>
  <c r="CB108" i="42"/>
  <c r="CC108" i="42" s="1"/>
  <c r="CB136" i="42"/>
  <c r="CC136" i="42" s="1"/>
  <c r="CB96" i="42"/>
  <c r="CC96" i="42" s="1"/>
  <c r="CB145" i="42"/>
  <c r="CC145" i="42" s="1"/>
  <c r="CB151" i="42"/>
  <c r="CC151" i="42" s="1"/>
  <c r="BR8" i="42"/>
  <c r="BZ22" i="42"/>
  <c r="BZ26" i="42"/>
  <c r="BZ47" i="42"/>
  <c r="CB41" i="42"/>
  <c r="CC41" i="42" s="1"/>
  <c r="CB92" i="42"/>
  <c r="CC92" i="42" s="1"/>
  <c r="CB75" i="42"/>
  <c r="CC75" i="42" s="1"/>
  <c r="CB127" i="42"/>
  <c r="CC127" i="42" s="1"/>
  <c r="CB153" i="42"/>
  <c r="CC153" i="42" s="1"/>
  <c r="BZ263" i="42"/>
  <c r="BZ272" i="42"/>
  <c r="CB74" i="42"/>
  <c r="CC74" i="42" s="1"/>
  <c r="CB161" i="42"/>
  <c r="CC161" i="42" s="1"/>
  <c r="BZ68" i="42"/>
  <c r="BZ134" i="42"/>
  <c r="BZ304" i="42"/>
  <c r="BC107" i="42"/>
  <c r="BZ34" i="42"/>
  <c r="CB61" i="42"/>
  <c r="CC61" i="42" s="1"/>
  <c r="CB247" i="42"/>
  <c r="CC247" i="42" s="1"/>
  <c r="BZ261" i="42"/>
  <c r="CB146" i="42"/>
  <c r="CC146" i="42" s="1"/>
  <c r="CB194" i="42"/>
  <c r="CC194" i="42" s="1"/>
  <c r="CB29" i="42"/>
  <c r="CC29" i="42" s="1"/>
  <c r="CB184" i="42"/>
  <c r="CC184" i="42" s="1"/>
  <c r="BZ154" i="42"/>
  <c r="CB51" i="42"/>
  <c r="CC51" i="42" s="1"/>
  <c r="CB14" i="42"/>
  <c r="CC14" i="42" s="1"/>
  <c r="BZ144" i="42"/>
  <c r="BZ199" i="42"/>
  <c r="BZ239" i="42"/>
  <c r="CB312" i="42"/>
  <c r="CC312" i="42" s="1"/>
  <c r="CB143" i="42"/>
  <c r="CC143" i="42" s="1"/>
  <c r="CB135" i="42"/>
  <c r="CC135" i="42" s="1"/>
  <c r="CB138" i="42"/>
  <c r="CC138" i="42" s="1"/>
  <c r="CB159" i="42"/>
  <c r="CC159" i="42" s="1"/>
  <c r="CB93" i="42"/>
  <c r="CC93" i="42" s="1"/>
  <c r="CB113" i="42"/>
  <c r="CC113" i="42" s="1"/>
  <c r="CB24" i="42"/>
  <c r="CC24" i="42" s="1"/>
  <c r="CB202" i="42"/>
  <c r="CC202" i="42" s="1"/>
  <c r="CB156" i="42"/>
  <c r="CC156" i="42" s="1"/>
  <c r="CB285" i="42"/>
  <c r="CC285" i="42" s="1"/>
  <c r="CB53" i="42"/>
  <c r="CC53" i="42" s="1"/>
  <c r="CB71" i="42"/>
  <c r="CC71" i="42" s="1"/>
  <c r="CB124" i="42"/>
  <c r="CC124" i="42" s="1"/>
  <c r="CB174" i="42"/>
  <c r="CC174" i="42" s="1"/>
  <c r="CB198" i="42"/>
  <c r="CC198" i="42" s="1"/>
  <c r="CB228" i="42"/>
  <c r="CC228" i="42" s="1"/>
  <c r="CB235" i="42"/>
  <c r="CC235" i="42" s="1"/>
  <c r="CB249" i="42"/>
  <c r="CC249" i="42" s="1"/>
  <c r="CB314" i="42"/>
  <c r="CC314" i="42" s="1"/>
  <c r="BZ132" i="42"/>
  <c r="BZ140" i="42"/>
  <c r="BZ196" i="42"/>
  <c r="BZ268" i="42"/>
  <c r="CB65" i="42"/>
  <c r="CC65" i="42" s="1"/>
  <c r="CB40" i="42"/>
  <c r="CC40" i="42" s="1"/>
  <c r="CB95" i="42"/>
  <c r="CC95" i="42" s="1"/>
  <c r="CB165" i="42"/>
  <c r="CC165" i="42" s="1"/>
  <c r="CB212" i="42"/>
  <c r="CC212" i="42" s="1"/>
  <c r="CB294" i="42"/>
  <c r="CC294" i="42" s="1"/>
  <c r="CB97" i="42"/>
  <c r="CC97" i="42" s="1"/>
  <c r="CB190" i="42"/>
  <c r="CC190" i="42" s="1"/>
  <c r="CB19" i="42"/>
  <c r="CC19" i="42" s="1"/>
  <c r="CB87" i="42"/>
  <c r="CC87" i="42" s="1"/>
  <c r="CB118" i="42"/>
  <c r="CC118" i="42" s="1"/>
  <c r="CB147" i="42"/>
  <c r="CC147" i="42" s="1"/>
  <c r="CB197" i="42"/>
  <c r="CC197" i="42" s="1"/>
  <c r="CB245" i="42"/>
  <c r="CC245" i="42" s="1"/>
  <c r="CB252" i="42"/>
  <c r="CC252" i="42" s="1"/>
  <c r="CB283" i="42"/>
  <c r="CC283" i="42" s="1"/>
  <c r="BZ27" i="42"/>
  <c r="BZ35" i="42"/>
  <c r="CB25" i="42"/>
  <c r="CC25" i="42" s="1"/>
  <c r="CB149" i="42"/>
  <c r="CC149" i="42" s="1"/>
  <c r="CB218" i="42"/>
  <c r="CC218" i="42" s="1"/>
  <c r="CB214" i="42"/>
  <c r="CC214" i="42" s="1"/>
  <c r="CB300" i="42"/>
  <c r="CC300" i="42" s="1"/>
  <c r="CB64" i="42"/>
  <c r="CC64" i="42" s="1"/>
  <c r="CB69" i="42"/>
  <c r="CC69" i="42" s="1"/>
  <c r="CB62" i="42"/>
  <c r="CC62" i="42" s="1"/>
  <c r="CB115" i="42"/>
  <c r="CC115" i="42" s="1"/>
  <c r="CB106" i="42"/>
  <c r="CC106" i="42" s="1"/>
  <c r="CB33" i="42"/>
  <c r="CC33" i="42" s="1"/>
  <c r="CB125" i="42"/>
  <c r="CC125" i="42" s="1"/>
  <c r="CB207" i="42"/>
  <c r="CC207" i="42" s="1"/>
  <c r="CB192" i="42"/>
  <c r="CC192" i="42" s="1"/>
  <c r="CB223" i="42"/>
  <c r="CC223" i="42" s="1"/>
  <c r="CB215" i="42"/>
  <c r="CC215" i="42" s="1"/>
  <c r="CB13" i="42"/>
  <c r="CC13" i="42" s="1"/>
  <c r="CB60" i="42"/>
  <c r="CC60" i="42" s="1"/>
  <c r="CB55" i="42"/>
  <c r="CC55" i="42" s="1"/>
  <c r="CB17" i="42"/>
  <c r="CC17" i="42" s="1"/>
  <c r="CB56" i="42"/>
  <c r="CC56" i="42" s="1"/>
  <c r="CB31" i="42"/>
  <c r="CC31" i="42" s="1"/>
  <c r="CB44" i="42"/>
  <c r="CC44" i="42" s="1"/>
  <c r="CB38" i="42"/>
  <c r="CC38" i="42" s="1"/>
  <c r="CB45" i="42"/>
  <c r="CC45" i="42" s="1"/>
  <c r="CB59" i="42"/>
  <c r="CC59" i="42" s="1"/>
  <c r="CB90" i="42"/>
  <c r="CC90" i="42" s="1"/>
  <c r="CB112" i="42"/>
  <c r="CC112" i="42" s="1"/>
  <c r="CB104" i="42"/>
  <c r="CC104" i="42" s="1"/>
  <c r="CB116" i="42"/>
  <c r="CC116" i="42" s="1"/>
  <c r="CB78" i="42"/>
  <c r="CC78" i="42" s="1"/>
  <c r="CB122" i="42"/>
  <c r="CC122" i="42" s="1"/>
  <c r="CB139" i="42"/>
  <c r="CC139" i="42" s="1"/>
  <c r="CB158" i="42"/>
  <c r="CC158" i="42" s="1"/>
  <c r="CB154" i="42"/>
  <c r="CC154" i="42" s="1"/>
  <c r="CB142" i="42"/>
  <c r="CC142" i="42" s="1"/>
  <c r="CB191" i="42"/>
  <c r="CC191" i="42" s="1"/>
  <c r="CB171" i="42"/>
  <c r="CC171" i="42" s="1"/>
  <c r="CB201" i="42"/>
  <c r="CC201" i="42" s="1"/>
  <c r="CB182" i="42"/>
  <c r="CC182" i="42" s="1"/>
  <c r="CB205" i="42"/>
  <c r="CC205" i="42" s="1"/>
  <c r="CB209" i="42"/>
  <c r="CC209" i="42" s="1"/>
  <c r="CB264" i="42"/>
  <c r="CC264" i="42" s="1"/>
  <c r="CB253" i="42"/>
  <c r="CC253" i="42" s="1"/>
  <c r="CB270" i="42"/>
  <c r="CC270" i="42" s="1"/>
  <c r="CB274" i="42"/>
  <c r="CC274" i="42" s="1"/>
  <c r="CB280" i="42"/>
  <c r="CC280" i="42" s="1"/>
  <c r="CB287" i="42"/>
  <c r="CC287" i="42" s="1"/>
  <c r="CB292" i="42"/>
  <c r="CC292" i="42" s="1"/>
  <c r="CB296" i="42"/>
  <c r="CC296" i="42" s="1"/>
  <c r="CB308" i="42"/>
  <c r="CC308" i="42" s="1"/>
  <c r="CB307" i="42"/>
  <c r="CC307" i="42" s="1"/>
  <c r="P77" i="42"/>
  <c r="S77" i="42" s="1"/>
  <c r="BC77" i="42" s="1"/>
  <c r="BZ58" i="42"/>
  <c r="BZ50" i="42"/>
  <c r="BZ143" i="42"/>
  <c r="BZ257" i="42"/>
  <c r="CB157" i="42"/>
  <c r="CC157" i="42" s="1"/>
  <c r="CB117" i="42"/>
  <c r="CC117" i="42" s="1"/>
  <c r="CB85" i="42"/>
  <c r="CC85" i="42" s="1"/>
  <c r="CB141" i="42"/>
  <c r="CC141" i="42" s="1"/>
  <c r="CB232" i="42"/>
  <c r="CC232" i="42" s="1"/>
  <c r="CB21" i="42"/>
  <c r="CC21" i="42" s="1"/>
  <c r="CB72" i="42"/>
  <c r="CC72" i="42" s="1"/>
  <c r="CB18" i="42"/>
  <c r="CC18" i="42" s="1"/>
  <c r="CB50" i="42"/>
  <c r="CC50" i="42" s="1"/>
  <c r="CB242" i="42"/>
  <c r="CC242" i="42" s="1"/>
  <c r="CB66" i="42"/>
  <c r="CC66" i="42" s="1"/>
  <c r="CB89" i="42"/>
  <c r="CC89" i="42" s="1"/>
  <c r="CB183" i="42"/>
  <c r="CC183" i="42" s="1"/>
  <c r="CB281" i="42"/>
  <c r="CC281" i="42" s="1"/>
  <c r="CB297" i="42"/>
  <c r="CC297" i="42" s="1"/>
  <c r="U135" i="42"/>
  <c r="AK135" i="42" s="1"/>
  <c r="BC135" i="42"/>
  <c r="U159" i="42"/>
  <c r="AH159" i="42" s="1"/>
  <c r="BC159" i="42"/>
  <c r="BC190" i="42"/>
  <c r="U190" i="42"/>
  <c r="AH190" i="42" s="1"/>
  <c r="U64" i="42"/>
  <c r="AK64" i="42" s="1"/>
  <c r="BC64" i="42"/>
  <c r="BZ11" i="42"/>
  <c r="BZ15" i="42"/>
  <c r="BZ103" i="42"/>
  <c r="BZ161" i="42"/>
  <c r="CB220" i="42"/>
  <c r="CC220" i="42" s="1"/>
  <c r="CB239" i="42"/>
  <c r="CC239" i="42" s="1"/>
  <c r="CB277" i="42"/>
  <c r="CC277" i="42" s="1"/>
  <c r="P239" i="42"/>
  <c r="S239" i="42" s="1"/>
  <c r="BC239" i="42" s="1"/>
  <c r="BZ12" i="42"/>
  <c r="BZ28" i="42"/>
  <c r="BZ53" i="42"/>
  <c r="BZ94" i="42"/>
  <c r="BZ117" i="42"/>
  <c r="BZ170" i="42"/>
  <c r="BZ201" i="42"/>
  <c r="BZ247" i="42"/>
  <c r="CB234" i="42"/>
  <c r="CC234" i="42" s="1"/>
  <c r="P234" i="42"/>
  <c r="S234" i="42" s="1"/>
  <c r="BC234" i="42" s="1"/>
  <c r="CB114" i="42"/>
  <c r="CC114" i="42" s="1"/>
  <c r="P220" i="42"/>
  <c r="S220" i="42" s="1"/>
  <c r="U220" i="42" s="1"/>
  <c r="P247" i="42"/>
  <c r="S247" i="42" s="1"/>
  <c r="BZ17" i="42"/>
  <c r="BZ88" i="42"/>
  <c r="BZ139" i="42"/>
  <c r="BZ155" i="42"/>
  <c r="BZ270" i="42"/>
  <c r="BZ309" i="42"/>
  <c r="BZ313" i="42"/>
  <c r="BZ85" i="42"/>
  <c r="BZ241" i="42"/>
  <c r="CB233" i="42"/>
  <c r="CC233" i="42" s="1"/>
  <c r="P233" i="42"/>
  <c r="S233" i="42" s="1"/>
  <c r="CB210" i="42"/>
  <c r="CC210" i="42" s="1"/>
  <c r="P210" i="42"/>
  <c r="S210" i="42" s="1"/>
  <c r="U210" i="42" s="1"/>
  <c r="CB301" i="42"/>
  <c r="CC301" i="42" s="1"/>
  <c r="BZ33" i="42"/>
  <c r="BZ46" i="42"/>
  <c r="BZ220" i="42"/>
  <c r="BZ298" i="42"/>
  <c r="CB313" i="42"/>
  <c r="CC313" i="42" s="1"/>
  <c r="BZ55" i="42"/>
  <c r="BZ97" i="42"/>
  <c r="BZ104" i="42"/>
  <c r="BZ136" i="42"/>
  <c r="BZ147" i="42"/>
  <c r="BZ205" i="42"/>
  <c r="BZ230" i="42"/>
  <c r="BZ245" i="42"/>
  <c r="BZ102" i="42"/>
  <c r="BZ125" i="42"/>
  <c r="BZ145" i="42"/>
  <c r="BZ164" i="42"/>
  <c r="BZ174" i="42"/>
  <c r="BZ191" i="42"/>
  <c r="BZ291" i="42"/>
  <c r="U143" i="42"/>
  <c r="AH143" i="42" s="1"/>
  <c r="BZ14" i="42"/>
  <c r="BZ81" i="42"/>
  <c r="BZ126" i="42"/>
  <c r="BZ235" i="42"/>
  <c r="BZ302" i="42"/>
  <c r="BZ23" i="42"/>
  <c r="BZ175" i="42"/>
  <c r="BZ211" i="42"/>
  <c r="BZ214" i="42"/>
  <c r="BZ303" i="42"/>
  <c r="BZ312" i="42"/>
  <c r="U99" i="42"/>
  <c r="BC99" i="42"/>
  <c r="BZ54" i="42"/>
  <c r="BZ89" i="42"/>
  <c r="BZ115" i="42"/>
  <c r="BZ119" i="42"/>
  <c r="BZ186" i="42"/>
  <c r="BZ248" i="42"/>
  <c r="BZ16" i="42"/>
  <c r="BZ39" i="42"/>
  <c r="BZ128" i="42"/>
  <c r="BZ166" i="42"/>
  <c r="BZ179" i="42"/>
  <c r="BZ183" i="42"/>
  <c r="BZ208" i="42"/>
  <c r="BZ225" i="42"/>
  <c r="BZ307" i="42"/>
  <c r="BZ122" i="42"/>
  <c r="BZ135" i="42"/>
  <c r="CA85" i="42"/>
  <c r="BZ150" i="42"/>
  <c r="BZ231" i="42"/>
  <c r="BZ260" i="42"/>
  <c r="BZ269" i="42"/>
  <c r="BC256" i="42"/>
  <c r="BZ93" i="42"/>
  <c r="BZ101" i="42"/>
  <c r="BZ62" i="42"/>
  <c r="BZ73" i="42"/>
  <c r="BZ75" i="42"/>
  <c r="BZ77" i="42"/>
  <c r="BZ90" i="42"/>
  <c r="BZ92" i="42"/>
  <c r="BZ109" i="42"/>
  <c r="BZ178" i="42"/>
  <c r="BZ209" i="42"/>
  <c r="BZ264" i="42"/>
  <c r="BZ275" i="42"/>
  <c r="BZ294" i="42"/>
  <c r="BZ297" i="42"/>
  <c r="BZ310" i="42"/>
  <c r="BZ41" i="42"/>
  <c r="BZ203" i="42"/>
  <c r="BZ242" i="42"/>
  <c r="BZ279" i="42"/>
  <c r="CA125" i="42"/>
  <c r="BZ156" i="42"/>
  <c r="BZ283" i="42"/>
  <c r="BZ146" i="42"/>
  <c r="CA146" i="42"/>
  <c r="BZ29" i="42"/>
  <c r="BZ182" i="42"/>
  <c r="BZ69" i="42"/>
  <c r="BZ83" i="42"/>
  <c r="BZ118" i="42"/>
  <c r="BZ120" i="42"/>
  <c r="BZ227" i="42"/>
  <c r="BZ256" i="42"/>
  <c r="BZ295" i="42"/>
  <c r="BZ67" i="42"/>
  <c r="BZ108" i="42"/>
  <c r="BZ116" i="42"/>
  <c r="BZ213" i="42"/>
  <c r="CA213" i="42"/>
  <c r="BZ280" i="42"/>
  <c r="CA280" i="42"/>
  <c r="U232" i="42"/>
  <c r="AK232" i="42" s="1"/>
  <c r="BW8" i="42"/>
  <c r="BZ317" i="42"/>
  <c r="CA317" i="42"/>
  <c r="CB238" i="42"/>
  <c r="CC238" i="42" s="1"/>
  <c r="BU8" i="42"/>
  <c r="BZ37" i="42"/>
  <c r="BZ52" i="42"/>
  <c r="BZ66" i="42"/>
  <c r="BZ315" i="42"/>
  <c r="CA315" i="42"/>
  <c r="U173" i="42"/>
  <c r="V173" i="42" s="1"/>
  <c r="W173" i="42" s="1"/>
  <c r="BZ10" i="42"/>
  <c r="BZ40" i="42"/>
  <c r="BZ42" i="42"/>
  <c r="BZ49" i="42"/>
  <c r="BZ74" i="42"/>
  <c r="BZ76" i="42"/>
  <c r="BZ78" i="42"/>
  <c r="BZ87" i="42"/>
  <c r="BZ91" i="42"/>
  <c r="BZ98" i="42"/>
  <c r="BZ105" i="42"/>
  <c r="BZ124" i="42"/>
  <c r="BZ137" i="42"/>
  <c r="BZ148" i="42"/>
  <c r="CA148" i="42"/>
  <c r="BZ18" i="42"/>
  <c r="BZ21" i="42"/>
  <c r="BZ38" i="42"/>
  <c r="BZ44" i="42"/>
  <c r="BZ60" i="42"/>
  <c r="BZ82" i="42"/>
  <c r="BZ84" i="42"/>
  <c r="BZ107" i="42"/>
  <c r="BZ158" i="42"/>
  <c r="BZ167" i="42"/>
  <c r="BZ184" i="42"/>
  <c r="BZ238" i="42"/>
  <c r="CA238" i="42"/>
  <c r="BZ258" i="42"/>
  <c r="CA258" i="42"/>
  <c r="BZ160" i="42"/>
  <c r="BZ169" i="42"/>
  <c r="BZ171" i="42"/>
  <c r="BZ177" i="42"/>
  <c r="BZ193" i="42"/>
  <c r="BZ198" i="42"/>
  <c r="BZ200" i="42"/>
  <c r="BZ204" i="42"/>
  <c r="BZ221" i="42"/>
  <c r="BZ224" i="42"/>
  <c r="BZ271" i="42"/>
  <c r="BZ273" i="42"/>
  <c r="BZ290" i="42"/>
  <c r="BZ130" i="42"/>
  <c r="BZ157" i="42"/>
  <c r="BZ188" i="42"/>
  <c r="BZ212" i="42"/>
  <c r="BZ253" i="42"/>
  <c r="BZ277" i="42"/>
  <c r="BZ284" i="42"/>
  <c r="BZ308" i="42"/>
  <c r="BY8" i="42"/>
  <c r="BZ138" i="42"/>
  <c r="BZ149" i="42"/>
  <c r="BZ207" i="42"/>
  <c r="BZ236" i="42"/>
  <c r="BZ244" i="42"/>
  <c r="BZ252" i="42"/>
  <c r="BZ265" i="42"/>
  <c r="BZ285" i="42"/>
  <c r="BZ293" i="42"/>
  <c r="BZ305" i="42"/>
  <c r="BZ311" i="42"/>
  <c r="BZ318" i="42"/>
  <c r="BZ180" i="42"/>
  <c r="BZ194" i="42"/>
  <c r="BZ210" i="42"/>
  <c r="BZ232" i="42"/>
  <c r="BZ254" i="42"/>
  <c r="BZ266" i="42"/>
  <c r="BZ274" i="42"/>
  <c r="BZ276" i="42"/>
  <c r="BZ300" i="42"/>
  <c r="BZ316" i="42"/>
  <c r="U178" i="42"/>
  <c r="AH178" i="42" s="1"/>
  <c r="U250" i="42"/>
  <c r="AK250" i="42" s="1"/>
  <c r="BC148" i="42"/>
  <c r="BC95" i="42"/>
  <c r="U95" i="42"/>
  <c r="BC115" i="42"/>
  <c r="U115" i="42"/>
  <c r="AH115" i="42" s="1"/>
  <c r="U113" i="42"/>
  <c r="BC243" i="42"/>
  <c r="U243" i="42"/>
  <c r="BC89" i="42"/>
  <c r="U89" i="42"/>
  <c r="U164" i="42"/>
  <c r="BC164" i="42"/>
  <c r="BC167" i="42"/>
  <c r="U167" i="42"/>
  <c r="BC86" i="42"/>
  <c r="U86" i="42"/>
  <c r="BC286" i="42"/>
  <c r="U286" i="42"/>
  <c r="BC138" i="42"/>
  <c r="U138" i="42"/>
  <c r="S297" i="42"/>
  <c r="U228" i="42"/>
  <c r="BC228" i="42"/>
  <c r="BC258" i="42"/>
  <c r="U258" i="42"/>
  <c r="U47" i="42"/>
  <c r="BC47" i="42"/>
  <c r="U83" i="42"/>
  <c r="BC83" i="42"/>
  <c r="BC114" i="42"/>
  <c r="U114" i="42"/>
  <c r="BC272" i="42"/>
  <c r="U272" i="42"/>
  <c r="BC223" i="42"/>
  <c r="U223" i="42"/>
  <c r="BC229" i="42"/>
  <c r="U229" i="42"/>
  <c r="U263" i="42"/>
  <c r="BC263" i="42"/>
  <c r="BC17" i="42"/>
  <c r="U17" i="42"/>
  <c r="BC211" i="42"/>
  <c r="U211" i="42"/>
  <c r="AH225" i="42"/>
  <c r="AK225" i="42"/>
  <c r="V225" i="42"/>
  <c r="U260" i="42"/>
  <c r="BC260" i="42"/>
  <c r="BC295" i="42"/>
  <c r="U295" i="42"/>
  <c r="U179" i="42"/>
  <c r="BC179" i="42"/>
  <c r="BC254" i="42"/>
  <c r="U254" i="42"/>
  <c r="BC119" i="42"/>
  <c r="U119" i="42"/>
  <c r="BC217" i="42"/>
  <c r="U217" i="42"/>
  <c r="BC231" i="42"/>
  <c r="U231" i="42"/>
  <c r="BC70" i="42"/>
  <c r="U70" i="42"/>
  <c r="U52" i="42"/>
  <c r="BC52" i="42"/>
  <c r="BC147" i="42"/>
  <c r="U147" i="42"/>
  <c r="U128" i="42"/>
  <c r="BC128" i="42"/>
  <c r="U48" i="42"/>
  <c r="BC48" i="42"/>
  <c r="U79" i="42"/>
  <c r="BC79" i="42"/>
  <c r="S53" i="42"/>
  <c r="U198" i="42"/>
  <c r="BC198" i="42"/>
  <c r="BC245" i="42"/>
  <c r="U245" i="42"/>
  <c r="U165" i="42"/>
  <c r="BC165" i="42"/>
  <c r="U154" i="42"/>
  <c r="BC154" i="42"/>
  <c r="U197" i="42"/>
  <c r="BC197" i="42"/>
  <c r="BC127" i="42"/>
  <c r="U127" i="42"/>
  <c r="BC155" i="42"/>
  <c r="U155" i="42"/>
  <c r="S101" i="42"/>
  <c r="BC283" i="42"/>
  <c r="U283" i="42"/>
  <c r="S268" i="42"/>
  <c r="BC313" i="42"/>
  <c r="U313" i="42"/>
  <c r="S152" i="42"/>
  <c r="S281" i="42"/>
  <c r="S314" i="42"/>
  <c r="U72" i="42"/>
  <c r="BC72" i="42"/>
  <c r="S269" i="42"/>
  <c r="U248" i="42"/>
  <c r="BC248" i="42"/>
  <c r="BC171" i="42"/>
  <c r="U171" i="42"/>
  <c r="BC215" i="42"/>
  <c r="U215" i="42"/>
  <c r="U264" i="42"/>
  <c r="BC264" i="42"/>
  <c r="AH131" i="42"/>
  <c r="AK131" i="42"/>
  <c r="V131" i="42"/>
  <c r="U242" i="42"/>
  <c r="BC242" i="42"/>
  <c r="U80" i="42"/>
  <c r="BC80" i="42"/>
  <c r="BC54" i="42"/>
  <c r="U54" i="42"/>
  <c r="U61" i="42"/>
  <c r="BC61" i="42"/>
  <c r="BC110" i="42"/>
  <c r="U110" i="42"/>
  <c r="U49" i="42"/>
  <c r="BC49" i="42"/>
  <c r="BC59" i="42"/>
  <c r="U59" i="42"/>
  <c r="U33" i="42"/>
  <c r="BC219" i="42"/>
  <c r="U219" i="42"/>
  <c r="AK28" i="42"/>
  <c r="AH28" i="42"/>
  <c r="V28" i="42"/>
  <c r="U63" i="42"/>
  <c r="BC63" i="42"/>
  <c r="U24" i="42"/>
  <c r="BC24" i="42"/>
  <c r="S112" i="42"/>
  <c r="S187" i="42"/>
  <c r="U41" i="42"/>
  <c r="BC41" i="42"/>
  <c r="BC102" i="42"/>
  <c r="U102" i="42"/>
  <c r="BC192" i="42"/>
  <c r="U192" i="42"/>
  <c r="U289" i="42"/>
  <c r="BC289" i="42"/>
  <c r="U78" i="42"/>
  <c r="BC78" i="42"/>
  <c r="U106" i="42"/>
  <c r="BC106" i="42"/>
  <c r="L8" i="42"/>
  <c r="L7" i="42" s="1"/>
  <c r="BC145" i="42"/>
  <c r="U145" i="42"/>
  <c r="BC169" i="42"/>
  <c r="U169" i="42"/>
  <c r="U168" i="42"/>
  <c r="BC168" i="42"/>
  <c r="S270" i="42"/>
  <c r="S292" i="42"/>
  <c r="U157" i="42"/>
  <c r="BC157" i="42"/>
  <c r="U182" i="42"/>
  <c r="BC182" i="42"/>
  <c r="S267" i="42"/>
  <c r="BC300" i="42"/>
  <c r="U300" i="42"/>
  <c r="U142" i="42"/>
  <c r="BC142" i="42"/>
  <c r="BC212" i="42"/>
  <c r="U212" i="42"/>
  <c r="U13" i="42"/>
  <c r="BC13" i="42"/>
  <c r="BC204" i="42"/>
  <c r="U204" i="42"/>
  <c r="U12" i="42"/>
  <c r="BC12" i="42"/>
  <c r="BC74" i="42"/>
  <c r="U74" i="42"/>
  <c r="BC305" i="42"/>
  <c r="U305" i="42"/>
  <c r="BC151" i="42"/>
  <c r="U151" i="42"/>
  <c r="BC299" i="42"/>
  <c r="U299" i="42"/>
  <c r="BC19" i="42"/>
  <c r="U19" i="42"/>
  <c r="BC65" i="42"/>
  <c r="U65" i="42"/>
  <c r="BC29" i="42"/>
  <c r="U29" i="42"/>
  <c r="BC201" i="42"/>
  <c r="U201" i="42"/>
  <c r="BC274" i="42"/>
  <c r="U274" i="42"/>
  <c r="BC100" i="42"/>
  <c r="U100" i="42"/>
  <c r="BC191" i="42"/>
  <c r="U191" i="42"/>
  <c r="BC252" i="42"/>
  <c r="U252" i="42"/>
  <c r="U97" i="42"/>
  <c r="BC97" i="42"/>
  <c r="U76" i="42"/>
  <c r="BC76" i="42"/>
  <c r="S140" i="42"/>
  <c r="BC240" i="42"/>
  <c r="U240" i="42"/>
  <c r="U134" i="42"/>
  <c r="BC134" i="42"/>
  <c r="U111" i="42"/>
  <c r="BC111" i="42"/>
  <c r="S60" i="42"/>
  <c r="U67" i="42"/>
  <c r="BC67" i="42"/>
  <c r="S103" i="42"/>
  <c r="BC241" i="42"/>
  <c r="U241" i="42"/>
  <c r="BC315" i="42"/>
  <c r="U315" i="42"/>
  <c r="U221" i="42"/>
  <c r="BC221" i="42"/>
  <c r="BC105" i="42"/>
  <c r="U105" i="42"/>
  <c r="U209" i="42"/>
  <c r="BC209" i="42"/>
  <c r="U82" i="42"/>
  <c r="BC82" i="42"/>
  <c r="U146" i="42"/>
  <c r="BC146" i="42"/>
  <c r="U185" i="42"/>
  <c r="BC185" i="42"/>
  <c r="BC294" i="42"/>
  <c r="U294" i="42"/>
  <c r="BC183" i="42"/>
  <c r="U183" i="42"/>
  <c r="U214" i="42"/>
  <c r="BC214" i="42"/>
  <c r="BC262" i="42"/>
  <c r="U262" i="42"/>
  <c r="U156" i="42"/>
  <c r="BC156" i="42"/>
  <c r="BC38" i="42"/>
  <c r="U38" i="42"/>
  <c r="U139" i="42"/>
  <c r="BC139" i="42"/>
  <c r="BC249" i="42"/>
  <c r="U249" i="42"/>
  <c r="BC196" i="42"/>
  <c r="U196" i="42"/>
  <c r="BC50" i="42"/>
  <c r="U50" i="42"/>
  <c r="BC30" i="42"/>
  <c r="U30" i="42"/>
  <c r="U130" i="42"/>
  <c r="BC130" i="42"/>
  <c r="U236" i="42"/>
  <c r="S66" i="42"/>
  <c r="S51" i="42"/>
  <c r="U36" i="42"/>
  <c r="BC36" i="42"/>
  <c r="S163" i="42"/>
  <c r="BC200" i="42"/>
  <c r="U200" i="42"/>
  <c r="BC319" i="42"/>
  <c r="U319" i="42"/>
  <c r="BC123" i="42"/>
  <c r="U123" i="42"/>
  <c r="U285" i="42"/>
  <c r="BC285" i="42"/>
  <c r="BC34" i="42"/>
  <c r="U34" i="42"/>
  <c r="BC118" i="42"/>
  <c r="U118" i="42"/>
  <c r="U37" i="42"/>
  <c r="BC37" i="42"/>
  <c r="U288" i="42"/>
  <c r="BC288" i="42"/>
  <c r="AH107" i="42"/>
  <c r="AK107" i="42"/>
  <c r="V107" i="42"/>
  <c r="BC43" i="42"/>
  <c r="U43" i="42"/>
  <c r="BC237" i="42"/>
  <c r="U237" i="42"/>
  <c r="U129" i="42"/>
  <c r="BC129" i="42"/>
  <c r="U202" i="42"/>
  <c r="BC202" i="42"/>
  <c r="S88" i="42"/>
  <c r="V121" i="42"/>
  <c r="BC282" i="42"/>
  <c r="U282" i="42"/>
  <c r="U309" i="42"/>
  <c r="BC309" i="42"/>
  <c r="U153" i="42"/>
  <c r="BC153" i="42"/>
  <c r="U160" i="42"/>
  <c r="BC160" i="42"/>
  <c r="U259" i="42"/>
  <c r="BC259" i="42"/>
  <c r="U180" i="42"/>
  <c r="AK256" i="42"/>
  <c r="AH256" i="42"/>
  <c r="V256" i="42"/>
  <c r="U144" i="42"/>
  <c r="BC144" i="42"/>
  <c r="U312" i="42"/>
  <c r="BC312" i="42"/>
  <c r="BC10" i="42"/>
  <c r="U10" i="42"/>
  <c r="U23" i="42"/>
  <c r="BC23" i="42"/>
  <c r="BC280" i="42"/>
  <c r="U280" i="42"/>
  <c r="U253" i="42"/>
  <c r="BC253" i="42"/>
  <c r="S56" i="42"/>
  <c r="S158" i="42"/>
  <c r="U203" i="42"/>
  <c r="BC203" i="42"/>
  <c r="S238" i="42"/>
  <c r="BC251" i="42"/>
  <c r="U251" i="42"/>
  <c r="U279" i="42"/>
  <c r="BC279" i="42"/>
  <c r="U276" i="42"/>
  <c r="BC276" i="42"/>
  <c r="U137" i="42"/>
  <c r="U174" i="42"/>
  <c r="BC174" i="42"/>
  <c r="U31" i="42"/>
  <c r="BC31" i="42"/>
  <c r="U92" i="42"/>
  <c r="BC92" i="42"/>
  <c r="AK148" i="42"/>
  <c r="AH148" i="42"/>
  <c r="V148" i="42"/>
  <c r="S301" i="42"/>
  <c r="U44" i="42"/>
  <c r="BC44" i="42"/>
  <c r="U40" i="42"/>
  <c r="BC40" i="42"/>
  <c r="AK125" i="42"/>
  <c r="AH125" i="42"/>
  <c r="V125" i="42"/>
  <c r="U161" i="42"/>
  <c r="BC161" i="42"/>
  <c r="U293" i="42"/>
  <c r="BC293" i="42"/>
  <c r="BC296" i="42"/>
  <c r="U296" i="42"/>
  <c r="BC222" i="42"/>
  <c r="U222" i="42"/>
  <c r="U194" i="42"/>
  <c r="BC194" i="42"/>
  <c r="BC98" i="42"/>
  <c r="U98" i="42"/>
  <c r="AK271" i="42"/>
  <c r="BC18" i="42"/>
  <c r="U18" i="42"/>
  <c r="BC90" i="42"/>
  <c r="U90" i="42"/>
  <c r="BC216" i="42"/>
  <c r="U216" i="42"/>
  <c r="BC55" i="42"/>
  <c r="U55" i="42"/>
  <c r="BC81" i="42"/>
  <c r="U81" i="42"/>
  <c r="U45" i="42"/>
  <c r="BC45" i="42"/>
  <c r="BC193" i="42"/>
  <c r="U193" i="42"/>
  <c r="BC62" i="42"/>
  <c r="U62" i="42"/>
  <c r="U122" i="42"/>
  <c r="BC122" i="42"/>
  <c r="BC298" i="42"/>
  <c r="U298" i="42"/>
  <c r="S205" i="42"/>
  <c r="S26" i="42"/>
  <c r="BC96" i="42"/>
  <c r="U96" i="42"/>
  <c r="BC108" i="42"/>
  <c r="U108" i="42"/>
  <c r="BC278" i="42"/>
  <c r="U278" i="42"/>
  <c r="S287" i="42"/>
  <c r="BC307" i="42"/>
  <c r="U307" i="42"/>
  <c r="U184" i="42"/>
  <c r="BC184" i="42"/>
  <c r="BC235" i="42"/>
  <c r="U235" i="42"/>
  <c r="U150" i="42"/>
  <c r="BC150" i="42"/>
  <c r="BC189" i="42"/>
  <c r="U189" i="42"/>
  <c r="BC218" i="42"/>
  <c r="U218" i="42"/>
  <c r="BC46" i="42"/>
  <c r="U46" i="42"/>
  <c r="U277" i="42"/>
  <c r="BC277" i="42"/>
  <c r="U75" i="42"/>
  <c r="BC75" i="42"/>
  <c r="BC116" i="42"/>
  <c r="U116" i="42"/>
  <c r="U16" i="42"/>
  <c r="BC16" i="42"/>
  <c r="BC261" i="42"/>
  <c r="U261" i="42"/>
  <c r="U71" i="42"/>
  <c r="BC71" i="42"/>
  <c r="U227" i="42"/>
  <c r="BC227" i="42"/>
  <c r="U162" i="42"/>
  <c r="BC162" i="42"/>
  <c r="S265" i="42"/>
  <c r="U308" i="42"/>
  <c r="BC308" i="42"/>
  <c r="U87" i="42"/>
  <c r="BC87" i="42"/>
  <c r="S124" i="42"/>
  <c r="U207" i="42"/>
  <c r="BC207" i="42"/>
  <c r="BC117" i="42"/>
  <c r="U117" i="42"/>
  <c r="S136" i="42"/>
  <c r="U141" i="42"/>
  <c r="BC104" i="42"/>
  <c r="U104" i="42"/>
  <c r="BC149" i="42"/>
  <c r="U149" i="42"/>
  <c r="BC177" i="42"/>
  <c r="U177" i="42"/>
  <c r="BC246" i="42"/>
  <c r="U246" i="42"/>
  <c r="BC275" i="42"/>
  <c r="U275" i="42"/>
  <c r="BC226" i="42"/>
  <c r="U226" i="42"/>
  <c r="U25" i="42"/>
  <c r="BC25" i="42"/>
  <c r="BC14" i="42"/>
  <c r="U14" i="42"/>
  <c r="BC85" i="42"/>
  <c r="U85" i="42"/>
  <c r="U109" i="42"/>
  <c r="BC109" i="42"/>
  <c r="U39" i="42"/>
  <c r="BC39" i="42"/>
  <c r="BC42" i="42"/>
  <c r="U42" i="42"/>
  <c r="U93" i="42"/>
  <c r="BC93" i="42"/>
  <c r="BC69" i="42"/>
  <c r="U69" i="42"/>
  <c r="U181" i="42"/>
  <c r="BC181" i="42"/>
  <c r="BC310" i="42"/>
  <c r="U310" i="42"/>
  <c r="BC133" i="42" l="1"/>
  <c r="U199" i="42"/>
  <c r="AH199" i="42" s="1"/>
  <c r="V271" i="42"/>
  <c r="W271" i="42" s="1"/>
  <c r="AH121" i="42"/>
  <c r="BC121" i="42"/>
  <c r="U22" i="42"/>
  <c r="AK22" i="42" s="1"/>
  <c r="AK21" i="42"/>
  <c r="U306" i="42"/>
  <c r="V306" i="42" s="1"/>
  <c r="BC94" i="42"/>
  <c r="U317" i="42"/>
  <c r="BC317" i="42"/>
  <c r="BC195" i="42"/>
  <c r="BC84" i="42"/>
  <c r="U234" i="42"/>
  <c r="AH234" i="42" s="1"/>
  <c r="U311" i="42"/>
  <c r="AK311" i="42" s="1"/>
  <c r="BC176" i="42"/>
  <c r="BC11" i="42"/>
  <c r="BC126" i="42"/>
  <c r="U58" i="42"/>
  <c r="AK58" i="42" s="1"/>
  <c r="BC302" i="42"/>
  <c r="BC166" i="42"/>
  <c r="V250" i="42"/>
  <c r="W250" i="42" s="1"/>
  <c r="U27" i="42"/>
  <c r="AH27" i="42" s="1"/>
  <c r="U257" i="42"/>
  <c r="V257" i="42" s="1"/>
  <c r="U35" i="42"/>
  <c r="AH35" i="42" s="1"/>
  <c r="BC210" i="42"/>
  <c r="AH21" i="42"/>
  <c r="BC120" i="42"/>
  <c r="BC304" i="42"/>
  <c r="BC273" i="42"/>
  <c r="U290" i="42"/>
  <c r="V290" i="42" s="1"/>
  <c r="BC255" i="42"/>
  <c r="V20" i="42"/>
  <c r="W20" i="42" s="1"/>
  <c r="AK20" i="42"/>
  <c r="U175" i="42"/>
  <c r="AH175" i="42" s="1"/>
  <c r="BC318" i="42"/>
  <c r="BC132" i="42"/>
  <c r="BC172" i="42"/>
  <c r="U224" i="42"/>
  <c r="AH224" i="42" s="1"/>
  <c r="U77" i="42"/>
  <c r="AK77" i="42" s="1"/>
  <c r="U73" i="42"/>
  <c r="AH73" i="42" s="1"/>
  <c r="BC266" i="42"/>
  <c r="U68" i="42"/>
  <c r="AK68" i="42" s="1"/>
  <c r="BC284" i="42"/>
  <c r="BC303" i="42"/>
  <c r="BC244" i="42"/>
  <c r="AH135" i="42"/>
  <c r="U291" i="42"/>
  <c r="V291" i="42" s="1"/>
  <c r="BC170" i="42"/>
  <c r="V159" i="42"/>
  <c r="W159" i="42" s="1"/>
  <c r="AK159" i="42"/>
  <c r="AH64" i="42"/>
  <c r="V64" i="42"/>
  <c r="W64" i="42" s="1"/>
  <c r="AH250" i="42"/>
  <c r="BC32" i="42"/>
  <c r="V190" i="42"/>
  <c r="W190" i="42" s="1"/>
  <c r="AK190" i="42"/>
  <c r="BC220" i="42"/>
  <c r="P8" i="42"/>
  <c r="CB8" i="42"/>
  <c r="V135" i="42"/>
  <c r="W135" i="42" s="1"/>
  <c r="V232" i="42"/>
  <c r="W232" i="42" s="1"/>
  <c r="AH232" i="42"/>
  <c r="V143" i="42"/>
  <c r="W143" i="42" s="1"/>
  <c r="AK143" i="42"/>
  <c r="U233" i="42"/>
  <c r="V233" i="42" s="1"/>
  <c r="W233" i="42" s="1"/>
  <c r="BC233" i="42"/>
  <c r="U247" i="42"/>
  <c r="BC247" i="42"/>
  <c r="U239" i="42"/>
  <c r="V239" i="42" s="1"/>
  <c r="CA8" i="42"/>
  <c r="V99" i="42"/>
  <c r="W99" i="42" s="1"/>
  <c r="AH99" i="42"/>
  <c r="AK99" i="42"/>
  <c r="AK178" i="42"/>
  <c r="BZ8" i="42"/>
  <c r="AH173" i="42"/>
  <c r="AK173" i="42"/>
  <c r="V178" i="42"/>
  <c r="W178" i="42" s="1"/>
  <c r="V115" i="42"/>
  <c r="W115" i="42" s="1"/>
  <c r="AK115" i="42"/>
  <c r="V95" i="42"/>
  <c r="W95" i="42" s="1"/>
  <c r="AH95" i="42"/>
  <c r="AK95" i="42"/>
  <c r="V113" i="42"/>
  <c r="W113" i="42" s="1"/>
  <c r="AH113" i="42"/>
  <c r="AK113" i="42"/>
  <c r="BC265" i="42"/>
  <c r="U265" i="42"/>
  <c r="AK279" i="42"/>
  <c r="AH279" i="42"/>
  <c r="V279" i="42"/>
  <c r="W121" i="42"/>
  <c r="AH37" i="42"/>
  <c r="AK37" i="42"/>
  <c r="V37" i="42"/>
  <c r="AH284" i="42"/>
  <c r="AK284" i="42"/>
  <c r="V284" i="42"/>
  <c r="AK185" i="42"/>
  <c r="AH185" i="42"/>
  <c r="V185" i="42"/>
  <c r="AK97" i="42"/>
  <c r="AH97" i="42"/>
  <c r="V97" i="42"/>
  <c r="AH299" i="42"/>
  <c r="AK299" i="42"/>
  <c r="V299" i="42"/>
  <c r="BC57" i="42"/>
  <c r="U57" i="42"/>
  <c r="AH54" i="42"/>
  <c r="AK54" i="42"/>
  <c r="V54" i="42"/>
  <c r="AH264" i="42"/>
  <c r="AK264" i="42"/>
  <c r="V264" i="42"/>
  <c r="AK171" i="42"/>
  <c r="AH171" i="42"/>
  <c r="V171" i="42"/>
  <c r="AH245" i="42"/>
  <c r="AK245" i="42"/>
  <c r="V245" i="42"/>
  <c r="AK79" i="42"/>
  <c r="AH79" i="42"/>
  <c r="V79" i="42"/>
  <c r="AH84" i="42"/>
  <c r="AK84" i="42"/>
  <c r="V84" i="42"/>
  <c r="AK258" i="42"/>
  <c r="AH258" i="42"/>
  <c r="V258" i="42"/>
  <c r="AK138" i="42"/>
  <c r="AH138" i="42"/>
  <c r="V138" i="42"/>
  <c r="AK181" i="42"/>
  <c r="AH181" i="42"/>
  <c r="V181" i="42"/>
  <c r="AK14" i="42"/>
  <c r="AH14" i="42"/>
  <c r="V14" i="42"/>
  <c r="BC136" i="42"/>
  <c r="U136" i="42"/>
  <c r="U124" i="42"/>
  <c r="BC124" i="42"/>
  <c r="AH16" i="42"/>
  <c r="AK16" i="42"/>
  <c r="V16" i="42"/>
  <c r="AK193" i="42"/>
  <c r="AH193" i="42"/>
  <c r="V193" i="42"/>
  <c r="AK216" i="42"/>
  <c r="AH216" i="42"/>
  <c r="V216" i="42"/>
  <c r="AK222" i="42"/>
  <c r="AH222" i="42"/>
  <c r="V222" i="42"/>
  <c r="U301" i="42"/>
  <c r="BC301" i="42"/>
  <c r="W148" i="42"/>
  <c r="AK31" i="42"/>
  <c r="AH31" i="42"/>
  <c r="V31" i="42"/>
  <c r="AK251" i="42"/>
  <c r="AH251" i="42"/>
  <c r="V251" i="42"/>
  <c r="AH280" i="42"/>
  <c r="AK280" i="42"/>
  <c r="V280" i="42"/>
  <c r="AH202" i="42"/>
  <c r="AK202" i="42"/>
  <c r="V202" i="42"/>
  <c r="AH210" i="42"/>
  <c r="AK210" i="42"/>
  <c r="V210" i="42"/>
  <c r="AK118" i="42"/>
  <c r="AH118" i="42"/>
  <c r="V118" i="42"/>
  <c r="AH130" i="42"/>
  <c r="AK130" i="42"/>
  <c r="V130" i="42"/>
  <c r="AK156" i="42"/>
  <c r="AH156" i="42"/>
  <c r="V156" i="42"/>
  <c r="AH126" i="42"/>
  <c r="AK126" i="42"/>
  <c r="V126" i="42"/>
  <c r="AH221" i="42"/>
  <c r="AK221" i="42"/>
  <c r="V221" i="42"/>
  <c r="U140" i="42"/>
  <c r="BC140" i="42"/>
  <c r="AH65" i="42"/>
  <c r="AK65" i="42"/>
  <c r="V65" i="42"/>
  <c r="AK74" i="42"/>
  <c r="AH74" i="42"/>
  <c r="V74" i="42"/>
  <c r="U267" i="42"/>
  <c r="BC267" i="42"/>
  <c r="AK168" i="42"/>
  <c r="AH168" i="42"/>
  <c r="V168" i="42"/>
  <c r="AK102" i="42"/>
  <c r="AH102" i="42"/>
  <c r="V102" i="42"/>
  <c r="BC112" i="42"/>
  <c r="U112" i="42"/>
  <c r="W28" i="42"/>
  <c r="AH33" i="42"/>
  <c r="AK33" i="42"/>
  <c r="V33" i="42"/>
  <c r="AK215" i="42"/>
  <c r="AH215" i="42"/>
  <c r="V215" i="42"/>
  <c r="AH72" i="42"/>
  <c r="AK72" i="42"/>
  <c r="V72" i="42"/>
  <c r="AK283" i="42"/>
  <c r="AH283" i="42"/>
  <c r="V283" i="42"/>
  <c r="AH127" i="42"/>
  <c r="AK127" i="42"/>
  <c r="V127" i="42"/>
  <c r="AH17" i="42"/>
  <c r="AK17" i="42"/>
  <c r="V17" i="42"/>
  <c r="AK83" i="42"/>
  <c r="AH83" i="42"/>
  <c r="V83" i="42"/>
  <c r="AH164" i="42"/>
  <c r="AK164" i="42"/>
  <c r="V164" i="42"/>
  <c r="BC51" i="42"/>
  <c r="U51" i="42"/>
  <c r="AK201" i="42"/>
  <c r="AH201" i="42"/>
  <c r="V201" i="42"/>
  <c r="AH197" i="42"/>
  <c r="AK197" i="42"/>
  <c r="V197" i="42"/>
  <c r="AK226" i="42"/>
  <c r="AH226" i="42"/>
  <c r="V226" i="42"/>
  <c r="AH87" i="42"/>
  <c r="AK87" i="42"/>
  <c r="V87" i="42"/>
  <c r="AK277" i="42"/>
  <c r="AH277" i="42"/>
  <c r="V277" i="42"/>
  <c r="AH46" i="42"/>
  <c r="AK46" i="42"/>
  <c r="V46" i="42"/>
  <c r="AK307" i="42"/>
  <c r="AH307" i="42"/>
  <c r="V307" i="42"/>
  <c r="AH220" i="42"/>
  <c r="AK220" i="42"/>
  <c r="V220" i="42"/>
  <c r="AH81" i="42"/>
  <c r="AK81" i="42"/>
  <c r="V81" i="42"/>
  <c r="AH293" i="42"/>
  <c r="AK293" i="42"/>
  <c r="V293" i="42"/>
  <c r="U213" i="42"/>
  <c r="BC213" i="42"/>
  <c r="W21" i="42"/>
  <c r="AK137" i="42"/>
  <c r="AH137" i="42"/>
  <c r="V137" i="42"/>
  <c r="U158" i="42"/>
  <c r="BC158" i="42"/>
  <c r="BC66" i="42"/>
  <c r="U66" i="42"/>
  <c r="AK262" i="42"/>
  <c r="AH262" i="42"/>
  <c r="V262" i="42"/>
  <c r="BC186" i="42"/>
  <c r="U186" i="42"/>
  <c r="U60" i="42"/>
  <c r="BC60" i="42"/>
  <c r="AK252" i="42"/>
  <c r="AH252" i="42"/>
  <c r="V252" i="42"/>
  <c r="AH204" i="42"/>
  <c r="AK204" i="42"/>
  <c r="V204" i="42"/>
  <c r="AK120" i="42"/>
  <c r="AH120" i="42"/>
  <c r="V120" i="42"/>
  <c r="AK145" i="42"/>
  <c r="AH145" i="42"/>
  <c r="V145" i="42"/>
  <c r="AH59" i="42"/>
  <c r="AK59" i="42"/>
  <c r="V59" i="42"/>
  <c r="AK242" i="42"/>
  <c r="AH242" i="42"/>
  <c r="V242" i="42"/>
  <c r="AK248" i="42"/>
  <c r="AH248" i="42"/>
  <c r="V248" i="42"/>
  <c r="AH128" i="42"/>
  <c r="AK128" i="42"/>
  <c r="V128" i="42"/>
  <c r="AK70" i="42"/>
  <c r="AH70" i="42"/>
  <c r="V70" i="42"/>
  <c r="AH304" i="42"/>
  <c r="AK304" i="42"/>
  <c r="V304" i="42"/>
  <c r="AK223" i="42"/>
  <c r="AH223" i="42"/>
  <c r="V223" i="42"/>
  <c r="AK207" i="42"/>
  <c r="AH207" i="42"/>
  <c r="V207" i="42"/>
  <c r="BC230" i="42"/>
  <c r="U230" i="42"/>
  <c r="AH69" i="42"/>
  <c r="AK69" i="42"/>
  <c r="V69" i="42"/>
  <c r="AK104" i="42"/>
  <c r="AH104" i="42"/>
  <c r="V104" i="42"/>
  <c r="AK117" i="42"/>
  <c r="AH117" i="42"/>
  <c r="V117" i="42"/>
  <c r="AH318" i="42"/>
  <c r="AK318" i="42"/>
  <c r="V318" i="42"/>
  <c r="AK162" i="42"/>
  <c r="AH162" i="42"/>
  <c r="V162" i="42"/>
  <c r="AH71" i="42"/>
  <c r="AK71" i="42"/>
  <c r="V71" i="42"/>
  <c r="AK116" i="42"/>
  <c r="AH116" i="42"/>
  <c r="V116" i="42"/>
  <c r="AK184" i="42"/>
  <c r="AH184" i="42"/>
  <c r="V184" i="42"/>
  <c r="AK90" i="42"/>
  <c r="AH90" i="42"/>
  <c r="V90" i="42"/>
  <c r="AH194" i="42"/>
  <c r="AK194" i="42"/>
  <c r="V194" i="42"/>
  <c r="AK40" i="42"/>
  <c r="AH40" i="42"/>
  <c r="V40" i="42"/>
  <c r="U56" i="42"/>
  <c r="BC56" i="42"/>
  <c r="AH312" i="42"/>
  <c r="AK312" i="42"/>
  <c r="V312" i="42"/>
  <c r="W256" i="42"/>
  <c r="AH259" i="42"/>
  <c r="AK259" i="42"/>
  <c r="V259" i="42"/>
  <c r="AK288" i="42"/>
  <c r="AH288" i="42"/>
  <c r="V288" i="42"/>
  <c r="AH123" i="42"/>
  <c r="AK123" i="42"/>
  <c r="V123" i="42"/>
  <c r="BC163" i="42"/>
  <c r="U163" i="42"/>
  <c r="AK30" i="42"/>
  <c r="AH30" i="42"/>
  <c r="V30" i="42"/>
  <c r="AK196" i="42"/>
  <c r="AH196" i="42"/>
  <c r="V196" i="42"/>
  <c r="AK139" i="42"/>
  <c r="AH139" i="42"/>
  <c r="V139" i="42"/>
  <c r="AH294" i="42"/>
  <c r="AK294" i="42"/>
  <c r="V294" i="42"/>
  <c r="AH146" i="42"/>
  <c r="AK146" i="42"/>
  <c r="V146" i="42"/>
  <c r="AH134" i="42"/>
  <c r="AK134" i="42"/>
  <c r="V134" i="42"/>
  <c r="AK100" i="42"/>
  <c r="AH100" i="42"/>
  <c r="V100" i="42"/>
  <c r="AH151" i="42"/>
  <c r="AK151" i="42"/>
  <c r="V151" i="42"/>
  <c r="AH22" i="42"/>
  <c r="AK110" i="42"/>
  <c r="AH110" i="42"/>
  <c r="V110" i="42"/>
  <c r="AH61" i="42"/>
  <c r="AK61" i="42"/>
  <c r="V61" i="42"/>
  <c r="W131" i="42"/>
  <c r="BC269" i="42"/>
  <c r="U269" i="42"/>
  <c r="BC314" i="42"/>
  <c r="U314" i="42"/>
  <c r="AH313" i="42"/>
  <c r="AK313" i="42"/>
  <c r="V313" i="42"/>
  <c r="AK154" i="42"/>
  <c r="AH154" i="42"/>
  <c r="V154" i="42"/>
  <c r="AK198" i="42"/>
  <c r="AH198" i="42"/>
  <c r="V198" i="42"/>
  <c r="AH119" i="42"/>
  <c r="AK119" i="42"/>
  <c r="V119" i="42"/>
  <c r="AK167" i="42"/>
  <c r="AH167" i="42"/>
  <c r="V167" i="42"/>
  <c r="AH89" i="42"/>
  <c r="AK89" i="42"/>
  <c r="V89" i="42"/>
  <c r="AH42" i="42"/>
  <c r="AK42" i="42"/>
  <c r="V42" i="42"/>
  <c r="AK149" i="42"/>
  <c r="AH149" i="42"/>
  <c r="V149" i="42"/>
  <c r="AK172" i="42"/>
  <c r="AH172" i="42"/>
  <c r="V172" i="42"/>
  <c r="AK199" i="42"/>
  <c r="V199" i="42"/>
  <c r="BC208" i="42"/>
  <c r="U208" i="42"/>
  <c r="AH200" i="42"/>
  <c r="AK200" i="42"/>
  <c r="V200" i="42"/>
  <c r="AK166" i="42"/>
  <c r="AH166" i="42"/>
  <c r="V166" i="42"/>
  <c r="AH212" i="42"/>
  <c r="AK212" i="42"/>
  <c r="V212" i="42"/>
  <c r="AK254" i="42"/>
  <c r="AH254" i="42"/>
  <c r="V254" i="42"/>
  <c r="AH303" i="42"/>
  <c r="AK303" i="42"/>
  <c r="V303" i="42"/>
  <c r="AH11" i="42"/>
  <c r="AK11" i="42"/>
  <c r="V11" i="42"/>
  <c r="AK302" i="42"/>
  <c r="AH302" i="42"/>
  <c r="V302" i="42"/>
  <c r="AH275" i="42"/>
  <c r="AK275" i="42"/>
  <c r="V275" i="42"/>
  <c r="BC26" i="42"/>
  <c r="U26" i="42"/>
  <c r="BC238" i="42"/>
  <c r="U238" i="42"/>
  <c r="AH309" i="42"/>
  <c r="AK309" i="42"/>
  <c r="V309" i="42"/>
  <c r="AK133" i="42"/>
  <c r="AH133" i="42"/>
  <c r="V133" i="42"/>
  <c r="AK129" i="42"/>
  <c r="AH129" i="42"/>
  <c r="V129" i="42"/>
  <c r="AK43" i="42"/>
  <c r="AH43" i="42"/>
  <c r="V43" i="42"/>
  <c r="AK209" i="42"/>
  <c r="AH209" i="42"/>
  <c r="V209" i="42"/>
  <c r="AK315" i="42"/>
  <c r="AH315" i="42"/>
  <c r="V315" i="42"/>
  <c r="AK240" i="42"/>
  <c r="AH240" i="42"/>
  <c r="V240" i="42"/>
  <c r="AK191" i="42"/>
  <c r="AH191" i="42"/>
  <c r="V191" i="42"/>
  <c r="AH29" i="42"/>
  <c r="AK29" i="42"/>
  <c r="V29" i="42"/>
  <c r="AH19" i="42"/>
  <c r="AK19" i="42"/>
  <c r="V19" i="42"/>
  <c r="AH142" i="42"/>
  <c r="AK142" i="42"/>
  <c r="V142" i="42"/>
  <c r="AK182" i="42"/>
  <c r="AH182" i="42"/>
  <c r="V182" i="42"/>
  <c r="U292" i="42"/>
  <c r="BC292" i="42"/>
  <c r="AK106" i="42"/>
  <c r="AH106" i="42"/>
  <c r="V106" i="42"/>
  <c r="AH289" i="42"/>
  <c r="AK289" i="42"/>
  <c r="V289" i="42"/>
  <c r="AK24" i="42"/>
  <c r="AH24" i="42"/>
  <c r="V24" i="42"/>
  <c r="AH80" i="42"/>
  <c r="AK80" i="42"/>
  <c r="V80" i="42"/>
  <c r="AK255" i="42"/>
  <c r="AH255" i="42"/>
  <c r="V255" i="42"/>
  <c r="BC281" i="42"/>
  <c r="U281" i="42"/>
  <c r="U101" i="42"/>
  <c r="BC101" i="42"/>
  <c r="AH147" i="42"/>
  <c r="AK147" i="42"/>
  <c r="V147" i="42"/>
  <c r="AK231" i="42"/>
  <c r="AH231" i="42"/>
  <c r="V231" i="42"/>
  <c r="AK263" i="42"/>
  <c r="AH263" i="42"/>
  <c r="V263" i="42"/>
  <c r="AH272" i="42"/>
  <c r="AK272" i="42"/>
  <c r="V272" i="42"/>
  <c r="AK176" i="42"/>
  <c r="AH176" i="42"/>
  <c r="V176" i="42"/>
  <c r="AK227" i="42"/>
  <c r="AH227" i="42"/>
  <c r="V227" i="42"/>
  <c r="AK189" i="42"/>
  <c r="AH189" i="42"/>
  <c r="V189" i="42"/>
  <c r="AK285" i="42"/>
  <c r="AH285" i="42"/>
  <c r="V285" i="42"/>
  <c r="AH273" i="42"/>
  <c r="AK273" i="42"/>
  <c r="V273" i="42"/>
  <c r="AK306" i="42"/>
  <c r="AH310" i="42"/>
  <c r="AK310" i="42"/>
  <c r="V310" i="42"/>
  <c r="AK109" i="42"/>
  <c r="AH109" i="42"/>
  <c r="V109" i="42"/>
  <c r="AK177" i="42"/>
  <c r="AH177" i="42"/>
  <c r="V177" i="42"/>
  <c r="AK308" i="42"/>
  <c r="AH308" i="42"/>
  <c r="V308" i="42"/>
  <c r="AK261" i="42"/>
  <c r="AH261" i="42"/>
  <c r="V261" i="42"/>
  <c r="AH218" i="42"/>
  <c r="AK218" i="42"/>
  <c r="V218" i="42"/>
  <c r="AK150" i="42"/>
  <c r="AH150" i="42"/>
  <c r="V150" i="42"/>
  <c r="BC287" i="42"/>
  <c r="U287" i="42"/>
  <c r="AK108" i="42"/>
  <c r="AH108" i="42"/>
  <c r="V108" i="42"/>
  <c r="U205" i="42"/>
  <c r="AK122" i="42"/>
  <c r="AH122" i="42"/>
  <c r="V122" i="42"/>
  <c r="AK55" i="42"/>
  <c r="AH55" i="42"/>
  <c r="V55" i="42"/>
  <c r="AK161" i="42"/>
  <c r="AH161" i="42"/>
  <c r="V161" i="42"/>
  <c r="AH276" i="42"/>
  <c r="AK276" i="42"/>
  <c r="V276" i="42"/>
  <c r="AK23" i="42"/>
  <c r="AH23" i="42"/>
  <c r="V23" i="42"/>
  <c r="AH132" i="42"/>
  <c r="AK132" i="42"/>
  <c r="V132" i="42"/>
  <c r="AH34" i="42"/>
  <c r="AK34" i="42"/>
  <c r="V34" i="42"/>
  <c r="AK319" i="42"/>
  <c r="AH319" i="42"/>
  <c r="V319" i="42"/>
  <c r="AH38" i="42"/>
  <c r="AK38" i="42"/>
  <c r="V38" i="42"/>
  <c r="AK105" i="42"/>
  <c r="AH105" i="42"/>
  <c r="V105" i="42"/>
  <c r="U103" i="42"/>
  <c r="BC103" i="42"/>
  <c r="S8" i="42"/>
  <c r="AK111" i="42"/>
  <c r="AH111" i="42"/>
  <c r="V111" i="42"/>
  <c r="AH76" i="42"/>
  <c r="AK76" i="42"/>
  <c r="V76" i="42"/>
  <c r="AH274" i="42"/>
  <c r="AK274" i="42"/>
  <c r="V274" i="42"/>
  <c r="AH13" i="42"/>
  <c r="AK13" i="42"/>
  <c r="V13" i="42"/>
  <c r="AK300" i="42"/>
  <c r="AH300" i="42"/>
  <c r="V300" i="42"/>
  <c r="U270" i="42"/>
  <c r="BC270" i="42"/>
  <c r="BC188" i="42"/>
  <c r="U188" i="42"/>
  <c r="AK219" i="42"/>
  <c r="AH219" i="42"/>
  <c r="V219" i="42"/>
  <c r="AK206" i="42"/>
  <c r="AH206" i="42"/>
  <c r="V206" i="42"/>
  <c r="U91" i="42"/>
  <c r="BC91" i="42"/>
  <c r="AK170" i="42"/>
  <c r="AH170" i="42"/>
  <c r="V170" i="42"/>
  <c r="AK165" i="42"/>
  <c r="AH165" i="42"/>
  <c r="V165" i="42"/>
  <c r="AK179" i="42"/>
  <c r="AH179" i="42"/>
  <c r="V179" i="42"/>
  <c r="AK211" i="42"/>
  <c r="AH211" i="42"/>
  <c r="V211" i="42"/>
  <c r="AH114" i="42"/>
  <c r="AK114" i="42"/>
  <c r="V114" i="42"/>
  <c r="AK47" i="42"/>
  <c r="AH47" i="42"/>
  <c r="V47" i="42"/>
  <c r="AH228" i="42"/>
  <c r="AK228" i="42"/>
  <c r="V228" i="42"/>
  <c r="AH286" i="42"/>
  <c r="AK286" i="42"/>
  <c r="V286" i="42"/>
  <c r="AH243" i="42"/>
  <c r="AK243" i="42"/>
  <c r="V243" i="42"/>
  <c r="AH246" i="42"/>
  <c r="AK246" i="42"/>
  <c r="V246" i="42"/>
  <c r="AH94" i="42"/>
  <c r="AK94" i="42"/>
  <c r="V94" i="42"/>
  <c r="AK85" i="42"/>
  <c r="AH85" i="42"/>
  <c r="V85" i="42"/>
  <c r="AK244" i="42"/>
  <c r="AH244" i="42"/>
  <c r="V244" i="42"/>
  <c r="AH195" i="42"/>
  <c r="AK195" i="42"/>
  <c r="V195" i="42"/>
  <c r="AH235" i="42"/>
  <c r="AK235" i="42"/>
  <c r="V235" i="42"/>
  <c r="AH298" i="42"/>
  <c r="AK298" i="42"/>
  <c r="V298" i="42"/>
  <c r="AK62" i="42"/>
  <c r="AH62" i="42"/>
  <c r="V62" i="42"/>
  <c r="AH45" i="42"/>
  <c r="AK45" i="42"/>
  <c r="V45" i="42"/>
  <c r="AK44" i="42"/>
  <c r="AH44" i="42"/>
  <c r="V44" i="42"/>
  <c r="AK92" i="42"/>
  <c r="AH92" i="42"/>
  <c r="V92" i="42"/>
  <c r="AK180" i="42"/>
  <c r="AH180" i="42"/>
  <c r="V180" i="42"/>
  <c r="AH160" i="42"/>
  <c r="AK160" i="42"/>
  <c r="V160" i="42"/>
  <c r="AK282" i="42"/>
  <c r="AH282" i="42"/>
  <c r="V282" i="42"/>
  <c r="BC88" i="42"/>
  <c r="U88" i="42"/>
  <c r="AH237" i="42"/>
  <c r="AK237" i="42"/>
  <c r="V237" i="42"/>
  <c r="AK36" i="42"/>
  <c r="AH36" i="42"/>
  <c r="V36" i="42"/>
  <c r="AK236" i="42"/>
  <c r="AH236" i="42"/>
  <c r="V236" i="42"/>
  <c r="AH50" i="42"/>
  <c r="AK50" i="42"/>
  <c r="V50" i="42"/>
  <c r="AH214" i="42"/>
  <c r="AK214" i="42"/>
  <c r="V214" i="42"/>
  <c r="AH82" i="42"/>
  <c r="AK82" i="42"/>
  <c r="V82" i="42"/>
  <c r="AH241" i="42"/>
  <c r="AK241" i="42"/>
  <c r="V241" i="42"/>
  <c r="AH305" i="42"/>
  <c r="AK305" i="42"/>
  <c r="V305" i="42"/>
  <c r="AK157" i="42"/>
  <c r="AH157" i="42"/>
  <c r="V157" i="42"/>
  <c r="BC15" i="42"/>
  <c r="U15" i="42"/>
  <c r="AH78" i="42"/>
  <c r="AK78" i="42"/>
  <c r="V78" i="42"/>
  <c r="AH41" i="42"/>
  <c r="AK41" i="42"/>
  <c r="V41" i="42"/>
  <c r="AH49" i="42"/>
  <c r="AK49" i="42"/>
  <c r="V49" i="42"/>
  <c r="U152" i="42"/>
  <c r="BC152" i="42"/>
  <c r="AH155" i="42"/>
  <c r="AK155" i="42"/>
  <c r="V155" i="42"/>
  <c r="BC53" i="42"/>
  <c r="U53" i="42"/>
  <c r="AK48" i="42"/>
  <c r="AH48" i="42"/>
  <c r="V48" i="42"/>
  <c r="AK295" i="42"/>
  <c r="AH295" i="42"/>
  <c r="V295" i="42"/>
  <c r="AK260" i="42"/>
  <c r="AH260" i="42"/>
  <c r="V260" i="42"/>
  <c r="U297" i="42"/>
  <c r="BC297" i="42"/>
  <c r="BD173" i="42"/>
  <c r="Y173" i="42"/>
  <c r="Z173" i="42" s="1"/>
  <c r="BS173" i="42" s="1"/>
  <c r="AH39" i="42"/>
  <c r="AK39" i="42"/>
  <c r="V39" i="42"/>
  <c r="AK96" i="42"/>
  <c r="AH96" i="42"/>
  <c r="V96" i="42"/>
  <c r="AK203" i="42"/>
  <c r="AH203" i="42"/>
  <c r="V203" i="42"/>
  <c r="AK153" i="42"/>
  <c r="AH153" i="42"/>
  <c r="V153" i="42"/>
  <c r="AK183" i="42"/>
  <c r="AH183" i="42"/>
  <c r="V183" i="42"/>
  <c r="AH93" i="42"/>
  <c r="AK93" i="42"/>
  <c r="V93" i="42"/>
  <c r="AH25" i="42"/>
  <c r="AK25" i="42"/>
  <c r="V25" i="42"/>
  <c r="AK141" i="42"/>
  <c r="AH141" i="42"/>
  <c r="V141" i="42"/>
  <c r="AH75" i="42"/>
  <c r="AK75" i="42"/>
  <c r="V75" i="42"/>
  <c r="AK278" i="42"/>
  <c r="AH278" i="42"/>
  <c r="V278" i="42"/>
  <c r="AH18" i="42"/>
  <c r="AK18" i="42"/>
  <c r="V18" i="42"/>
  <c r="AK98" i="42"/>
  <c r="AH98" i="42"/>
  <c r="V98" i="42"/>
  <c r="AH296" i="42"/>
  <c r="AK296" i="42"/>
  <c r="V296" i="42"/>
  <c r="W125" i="42"/>
  <c r="AK174" i="42"/>
  <c r="AH174" i="42"/>
  <c r="V174" i="42"/>
  <c r="AK253" i="42"/>
  <c r="AH253" i="42"/>
  <c r="V253" i="42"/>
  <c r="AK10" i="42"/>
  <c r="AH10" i="42"/>
  <c r="V10" i="42"/>
  <c r="AK144" i="42"/>
  <c r="AH144" i="42"/>
  <c r="V144" i="42"/>
  <c r="W107" i="42"/>
  <c r="AH249" i="42"/>
  <c r="AK249" i="42"/>
  <c r="V249" i="42"/>
  <c r="AK67" i="42"/>
  <c r="AH67" i="42"/>
  <c r="V67" i="42"/>
  <c r="AK266" i="42"/>
  <c r="AH266" i="42"/>
  <c r="V266" i="42"/>
  <c r="AK12" i="42"/>
  <c r="AH12" i="42"/>
  <c r="V12" i="42"/>
  <c r="AK169" i="42"/>
  <c r="AH169" i="42"/>
  <c r="V169" i="42"/>
  <c r="AK192" i="42"/>
  <c r="AH192" i="42"/>
  <c r="V192" i="42"/>
  <c r="U187" i="42"/>
  <c r="BC187" i="42"/>
  <c r="AK63" i="42"/>
  <c r="AH63" i="42"/>
  <c r="V63" i="42"/>
  <c r="AK32" i="42"/>
  <c r="AH32" i="42"/>
  <c r="V32" i="42"/>
  <c r="BC268" i="42"/>
  <c r="U268" i="42"/>
  <c r="AH52" i="42"/>
  <c r="AK52" i="42"/>
  <c r="V52" i="42"/>
  <c r="AK217" i="42"/>
  <c r="AH217" i="42"/>
  <c r="V217" i="42"/>
  <c r="W225" i="42"/>
  <c r="AK229" i="42"/>
  <c r="AH229" i="42"/>
  <c r="V229" i="42"/>
  <c r="U316" i="42"/>
  <c r="BC316" i="42"/>
  <c r="AH86" i="42"/>
  <c r="AK86" i="42"/>
  <c r="V86" i="42"/>
  <c r="AH257" i="42" l="1"/>
  <c r="AH306" i="42"/>
  <c r="V22" i="42"/>
  <c r="W22" i="42" s="1"/>
  <c r="V234" i="42"/>
  <c r="AK234" i="42"/>
  <c r="AK257" i="42"/>
  <c r="V311" i="42"/>
  <c r="AH311" i="42"/>
  <c r="AH290" i="42"/>
  <c r="V317" i="42"/>
  <c r="W317" i="42" s="1"/>
  <c r="AH317" i="42"/>
  <c r="AK317" i="42"/>
  <c r="AK27" i="42"/>
  <c r="AH68" i="42"/>
  <c r="AK175" i="42"/>
  <c r="V68" i="42"/>
  <c r="W68" i="42" s="1"/>
  <c r="Y68" i="42" s="1"/>
  <c r="Z68" i="42" s="1"/>
  <c r="BS68" i="42" s="1"/>
  <c r="V58" i="42"/>
  <c r="W58" i="42" s="1"/>
  <c r="AH58" i="42"/>
  <c r="V175" i="42"/>
  <c r="W175" i="42" s="1"/>
  <c r="V35" i="42"/>
  <c r="W35" i="42" s="1"/>
  <c r="AK35" i="42"/>
  <c r="V27" i="42"/>
  <c r="W27" i="42" s="1"/>
  <c r="AK290" i="42"/>
  <c r="AH291" i="42"/>
  <c r="AK291" i="42"/>
  <c r="AK224" i="42"/>
  <c r="AH77" i="42"/>
  <c r="V224" i="42"/>
  <c r="W224" i="42" s="1"/>
  <c r="V77" i="42"/>
  <c r="W77" i="42" s="1"/>
  <c r="V73" i="42"/>
  <c r="W73" i="42" s="1"/>
  <c r="AK73" i="42"/>
  <c r="AH239" i="42"/>
  <c r="AK239" i="42"/>
  <c r="AH247" i="42"/>
  <c r="AK247" i="42"/>
  <c r="V247" i="42"/>
  <c r="W247" i="42" s="1"/>
  <c r="Y247" i="42" s="1"/>
  <c r="Z247" i="42" s="1"/>
  <c r="BS247" i="42" s="1"/>
  <c r="AK233" i="42"/>
  <c r="AH233" i="42"/>
  <c r="Y99" i="42"/>
  <c r="Z99" i="42" s="1"/>
  <c r="BS99" i="42" s="1"/>
  <c r="BD99" i="42"/>
  <c r="AA173" i="42"/>
  <c r="AC173" i="42" s="1"/>
  <c r="BV173" i="42"/>
  <c r="BD95" i="42"/>
  <c r="Y95" i="42"/>
  <c r="Z95" i="42" s="1"/>
  <c r="BS95" i="42" s="1"/>
  <c r="Y113" i="42"/>
  <c r="Z113" i="42" s="1"/>
  <c r="BS113" i="42" s="1"/>
  <c r="W52" i="42"/>
  <c r="Y250" i="42"/>
  <c r="Z250" i="42" s="1"/>
  <c r="BS250" i="42" s="1"/>
  <c r="W274" i="42"/>
  <c r="W122" i="42"/>
  <c r="AH281" i="42"/>
  <c r="AK281" i="42"/>
  <c r="V281" i="42"/>
  <c r="W134" i="42"/>
  <c r="W138" i="42"/>
  <c r="W192" i="42"/>
  <c r="Y125" i="42"/>
  <c r="Z125" i="42" s="1"/>
  <c r="BS125" i="42" s="1"/>
  <c r="W18" i="42"/>
  <c r="W25" i="42"/>
  <c r="W155" i="42"/>
  <c r="AH15" i="42"/>
  <c r="AK15" i="42"/>
  <c r="V15" i="42"/>
  <c r="W241" i="42"/>
  <c r="W282" i="42"/>
  <c r="W244" i="42"/>
  <c r="W114" i="42"/>
  <c r="W291" i="42"/>
  <c r="W218" i="42"/>
  <c r="W227" i="42"/>
  <c r="W29" i="42"/>
  <c r="W309" i="42"/>
  <c r="W212" i="42"/>
  <c r="W89" i="42"/>
  <c r="W30" i="42"/>
  <c r="W90" i="42"/>
  <c r="W104" i="42"/>
  <c r="W70" i="42"/>
  <c r="W248" i="42"/>
  <c r="AK60" i="42"/>
  <c r="AH60" i="42"/>
  <c r="V60" i="42"/>
  <c r="AH51" i="42"/>
  <c r="AK51" i="42"/>
  <c r="V51" i="42"/>
  <c r="W33" i="42"/>
  <c r="W102" i="42"/>
  <c r="W156" i="42"/>
  <c r="W280" i="42"/>
  <c r="AH136" i="42"/>
  <c r="AK136" i="42"/>
  <c r="V136" i="42"/>
  <c r="W54" i="42"/>
  <c r="AK270" i="42"/>
  <c r="AH270" i="42"/>
  <c r="V270" i="42"/>
  <c r="W161" i="42"/>
  <c r="W106" i="42"/>
  <c r="W275" i="42"/>
  <c r="W198" i="42"/>
  <c r="W204" i="42"/>
  <c r="W81" i="42"/>
  <c r="W74" i="42"/>
  <c r="Y148" i="42"/>
  <c r="Z148" i="42" s="1"/>
  <c r="BS148" i="42" s="1"/>
  <c r="BD148" i="42"/>
  <c r="W16" i="42"/>
  <c r="W63" i="42"/>
  <c r="Y107" i="42"/>
  <c r="Z107" i="42" s="1"/>
  <c r="BS107" i="42" s="1"/>
  <c r="W253" i="42"/>
  <c r="W296" i="42"/>
  <c r="W75" i="42"/>
  <c r="W39" i="42"/>
  <c r="AH297" i="42"/>
  <c r="AK297" i="42"/>
  <c r="V297" i="42"/>
  <c r="W48" i="42"/>
  <c r="W157" i="42"/>
  <c r="W237" i="42"/>
  <c r="W235" i="42"/>
  <c r="W228" i="42"/>
  <c r="AH91" i="42"/>
  <c r="AK91" i="42"/>
  <c r="V91" i="42"/>
  <c r="W219" i="42"/>
  <c r="W132" i="42"/>
  <c r="AK287" i="42"/>
  <c r="AH287" i="42"/>
  <c r="V287" i="42"/>
  <c r="Y190" i="42"/>
  <c r="Z190" i="42" s="1"/>
  <c r="BS190" i="42" s="1"/>
  <c r="BD190" i="42"/>
  <c r="W285" i="42"/>
  <c r="W147" i="42"/>
  <c r="W142" i="42"/>
  <c r="W129" i="42"/>
  <c r="W303" i="42"/>
  <c r="W149" i="42"/>
  <c r="AK314" i="42"/>
  <c r="AH314" i="42"/>
  <c r="V314" i="42"/>
  <c r="W61" i="42"/>
  <c r="W139" i="42"/>
  <c r="W318" i="42"/>
  <c r="W311" i="42"/>
  <c r="AK186" i="42"/>
  <c r="AH186" i="42"/>
  <c r="V186" i="42"/>
  <c r="BD21" i="42"/>
  <c r="Y21" i="42"/>
  <c r="Z21" i="42" s="1"/>
  <c r="BS21" i="42" s="1"/>
  <c r="W87" i="42"/>
  <c r="W197" i="42"/>
  <c r="W72" i="42"/>
  <c r="W221" i="42"/>
  <c r="Y271" i="42"/>
  <c r="Z271" i="42" s="1"/>
  <c r="BS271" i="42" s="1"/>
  <c r="W14" i="42"/>
  <c r="W79" i="42"/>
  <c r="W171" i="42"/>
  <c r="W37" i="42"/>
  <c r="AH265" i="42"/>
  <c r="AK265" i="42"/>
  <c r="V265" i="42"/>
  <c r="W86" i="42"/>
  <c r="W169" i="42"/>
  <c r="W93" i="42"/>
  <c r="W82" i="42"/>
  <c r="W160" i="42"/>
  <c r="W92" i="42"/>
  <c r="W85" i="42"/>
  <c r="W211" i="42"/>
  <c r="W165" i="42"/>
  <c r="W300" i="42"/>
  <c r="W23" i="42"/>
  <c r="W261" i="42"/>
  <c r="W290" i="42"/>
  <c r="W255" i="42"/>
  <c r="W24" i="42"/>
  <c r="W191" i="42"/>
  <c r="AH238" i="42"/>
  <c r="AK238" i="42"/>
  <c r="V238" i="42"/>
  <c r="W166" i="42"/>
  <c r="W167" i="42"/>
  <c r="W151" i="42"/>
  <c r="W69" i="42"/>
  <c r="W128" i="42"/>
  <c r="W242" i="42"/>
  <c r="W164" i="42"/>
  <c r="Y28" i="42"/>
  <c r="Z28" i="42" s="1"/>
  <c r="BS28" i="42" s="1"/>
  <c r="BD28" i="42"/>
  <c r="W168" i="42"/>
  <c r="W130" i="42"/>
  <c r="W251" i="42"/>
  <c r="W216" i="42"/>
  <c r="AH57" i="42"/>
  <c r="AK57" i="42"/>
  <c r="V57" i="42"/>
  <c r="W229" i="42"/>
  <c r="W153" i="42"/>
  <c r="W50" i="42"/>
  <c r="W246" i="42"/>
  <c r="Y178" i="42"/>
  <c r="Z178" i="42" s="1"/>
  <c r="BS178" i="42" s="1"/>
  <c r="BD178" i="42"/>
  <c r="AH208" i="42"/>
  <c r="AK208" i="42"/>
  <c r="V208" i="42"/>
  <c r="W312" i="42"/>
  <c r="W145" i="42"/>
  <c r="W97" i="42"/>
  <c r="Y225" i="42"/>
  <c r="Z225" i="42" s="1"/>
  <c r="BS225" i="42" s="1"/>
  <c r="BD225" i="42"/>
  <c r="W67" i="42"/>
  <c r="W144" i="42"/>
  <c r="Y232" i="42"/>
  <c r="Z232" i="42" s="1"/>
  <c r="BS232" i="42" s="1"/>
  <c r="W203" i="42"/>
  <c r="W260" i="42"/>
  <c r="W78" i="42"/>
  <c r="W236" i="42"/>
  <c r="W62" i="42"/>
  <c r="W243" i="42"/>
  <c r="W76" i="42"/>
  <c r="W319" i="42"/>
  <c r="Y115" i="42"/>
  <c r="Z115" i="42" s="1"/>
  <c r="BS115" i="42" s="1"/>
  <c r="AH205" i="42"/>
  <c r="AK205" i="42"/>
  <c r="V205" i="42"/>
  <c r="W109" i="42"/>
  <c r="W306" i="42"/>
  <c r="W263" i="42"/>
  <c r="W209" i="42"/>
  <c r="AK26" i="42"/>
  <c r="AH26" i="42"/>
  <c r="V26" i="42"/>
  <c r="W302" i="42"/>
  <c r="W199" i="42"/>
  <c r="W154" i="42"/>
  <c r="W146" i="42"/>
  <c r="AH163" i="42"/>
  <c r="AK163" i="42"/>
  <c r="V163" i="42"/>
  <c r="W259" i="42"/>
  <c r="W71" i="42"/>
  <c r="W252" i="42"/>
  <c r="W220" i="42"/>
  <c r="W46" i="42"/>
  <c r="W127" i="42"/>
  <c r="W65" i="42"/>
  <c r="W239" i="42"/>
  <c r="W258" i="42"/>
  <c r="W185" i="42"/>
  <c r="W266" i="42"/>
  <c r="W41" i="42"/>
  <c r="W45" i="42"/>
  <c r="Y20" i="42"/>
  <c r="Z20" i="42" s="1"/>
  <c r="BS20" i="42" s="1"/>
  <c r="W272" i="42"/>
  <c r="W315" i="42"/>
  <c r="Y131" i="42"/>
  <c r="Z131" i="42" s="1"/>
  <c r="BS131" i="42" s="1"/>
  <c r="AK268" i="42"/>
  <c r="AH268" i="42"/>
  <c r="V268" i="42"/>
  <c r="W174" i="42"/>
  <c r="W98" i="42"/>
  <c r="Y159" i="42"/>
  <c r="Z159" i="42" s="1"/>
  <c r="BS159" i="42" s="1"/>
  <c r="W141" i="42"/>
  <c r="AH152" i="42"/>
  <c r="AK152" i="42"/>
  <c r="V152" i="42"/>
  <c r="W305" i="42"/>
  <c r="W195" i="42"/>
  <c r="W47" i="42"/>
  <c r="W206" i="42"/>
  <c r="AK103" i="42"/>
  <c r="AH103" i="42"/>
  <c r="U8" i="42"/>
  <c r="V103" i="42"/>
  <c r="W234" i="42"/>
  <c r="W150" i="42"/>
  <c r="W189" i="42"/>
  <c r="AK292" i="42"/>
  <c r="AH292" i="42"/>
  <c r="V292" i="42"/>
  <c r="W19" i="42"/>
  <c r="W133" i="42"/>
  <c r="W254" i="42"/>
  <c r="W42" i="42"/>
  <c r="W110" i="42"/>
  <c r="W196" i="42"/>
  <c r="AH56" i="42"/>
  <c r="AK56" i="42"/>
  <c r="V56" i="42"/>
  <c r="W194" i="42"/>
  <c r="W117" i="42"/>
  <c r="W304" i="42"/>
  <c r="Y233" i="42"/>
  <c r="Z233" i="42" s="1"/>
  <c r="BS233" i="42" s="1"/>
  <c r="BD233" i="42"/>
  <c r="W262" i="42"/>
  <c r="AK158" i="42"/>
  <c r="AH158" i="42"/>
  <c r="V158" i="42"/>
  <c r="AH213" i="42"/>
  <c r="AK213" i="42"/>
  <c r="V213" i="42"/>
  <c r="W201" i="42"/>
  <c r="W215" i="42"/>
  <c r="AK112" i="42"/>
  <c r="AH112" i="42"/>
  <c r="V112" i="42"/>
  <c r="W126" i="42"/>
  <c r="AK301" i="42"/>
  <c r="AH301" i="42"/>
  <c r="V301" i="42"/>
  <c r="W245" i="42"/>
  <c r="W264" i="42"/>
  <c r="Y121" i="42"/>
  <c r="Z121" i="42" s="1"/>
  <c r="BS121" i="42" s="1"/>
  <c r="BD64" i="42"/>
  <c r="Y64" i="42"/>
  <c r="Z64" i="42" s="1"/>
  <c r="BS64" i="42" s="1"/>
  <c r="W177" i="42"/>
  <c r="W288" i="42"/>
  <c r="Y135" i="42"/>
  <c r="Z135" i="42" s="1"/>
  <c r="BS135" i="42" s="1"/>
  <c r="W217" i="42"/>
  <c r="W12" i="42"/>
  <c r="W183" i="42"/>
  <c r="AH53" i="42"/>
  <c r="AK53" i="42"/>
  <c r="V53" i="42"/>
  <c r="W49" i="42"/>
  <c r="W214" i="42"/>
  <c r="AH88" i="42"/>
  <c r="AK88" i="42"/>
  <c r="V88" i="42"/>
  <c r="W180" i="42"/>
  <c r="W44" i="42"/>
  <c r="W94" i="42"/>
  <c r="W179" i="42"/>
  <c r="W170" i="42"/>
  <c r="AK188" i="42"/>
  <c r="AH188" i="42"/>
  <c r="V188" i="42"/>
  <c r="W13" i="42"/>
  <c r="W105" i="42"/>
  <c r="W276" i="42"/>
  <c r="W55" i="42"/>
  <c r="W308" i="42"/>
  <c r="W176" i="42"/>
  <c r="W80" i="42"/>
  <c r="W289" i="42"/>
  <c r="W240" i="42"/>
  <c r="Y143" i="42"/>
  <c r="Z143" i="42" s="1"/>
  <c r="BS143" i="42" s="1"/>
  <c r="W257" i="42"/>
  <c r="W200" i="42"/>
  <c r="W119" i="42"/>
  <c r="AK269" i="42"/>
  <c r="AH269" i="42"/>
  <c r="V269" i="42"/>
  <c r="W100" i="42"/>
  <c r="W123" i="42"/>
  <c r="W184" i="42"/>
  <c r="AH230" i="42"/>
  <c r="AK230" i="42"/>
  <c r="V230" i="42"/>
  <c r="W59" i="42"/>
  <c r="W120" i="42"/>
  <c r="W137" i="42"/>
  <c r="W293" i="42"/>
  <c r="W83" i="42"/>
  <c r="W118" i="42"/>
  <c r="W31" i="42"/>
  <c r="W222" i="42"/>
  <c r="W193" i="42"/>
  <c r="AH124" i="42"/>
  <c r="AK124" i="42"/>
  <c r="V124" i="42"/>
  <c r="W181" i="42"/>
  <c r="W299" i="42"/>
  <c r="W38" i="42"/>
  <c r="W116" i="42"/>
  <c r="W207" i="42"/>
  <c r="AK66" i="42"/>
  <c r="AH66" i="42"/>
  <c r="V66" i="42"/>
  <c r="W307" i="42"/>
  <c r="W17" i="42"/>
  <c r="AK140" i="42"/>
  <c r="AH140" i="42"/>
  <c r="V140" i="42"/>
  <c r="W210" i="42"/>
  <c r="AH316" i="42"/>
  <c r="AK316" i="42"/>
  <c r="V316" i="42"/>
  <c r="W32" i="42"/>
  <c r="AK187" i="42"/>
  <c r="AH187" i="42"/>
  <c r="V187" i="42"/>
  <c r="W249" i="42"/>
  <c r="W10" i="42"/>
  <c r="W278" i="42"/>
  <c r="W96" i="42"/>
  <c r="W295" i="42"/>
  <c r="W36" i="42"/>
  <c r="W298" i="42"/>
  <c r="W286" i="42"/>
  <c r="W111" i="42"/>
  <c r="W34" i="42"/>
  <c r="W108" i="42"/>
  <c r="W310" i="42"/>
  <c r="W273" i="42"/>
  <c r="W231" i="42"/>
  <c r="AH101" i="42"/>
  <c r="AK101" i="42"/>
  <c r="V101" i="42"/>
  <c r="W182" i="42"/>
  <c r="W43" i="42"/>
  <c r="W11" i="42"/>
  <c r="W172" i="42"/>
  <c r="W313" i="42"/>
  <c r="W294" i="42"/>
  <c r="Y256" i="42"/>
  <c r="Z256" i="42" s="1"/>
  <c r="BS256" i="42" s="1"/>
  <c r="W40" i="42"/>
  <c r="W162" i="42"/>
  <c r="W223" i="42"/>
  <c r="W277" i="42"/>
  <c r="W226" i="42"/>
  <c r="W283" i="42"/>
  <c r="AH267" i="42"/>
  <c r="AK267" i="42"/>
  <c r="V267" i="42"/>
  <c r="W202" i="42"/>
  <c r="W84" i="42"/>
  <c r="W284" i="42"/>
  <c r="W279" i="42"/>
  <c r="Y317" i="42" l="1"/>
  <c r="Z317" i="42" s="1"/>
  <c r="BD317" i="42"/>
  <c r="AA99" i="42"/>
  <c r="BV99" i="42"/>
  <c r="AJ317" i="42"/>
  <c r="AI317" i="42"/>
  <c r="AA68" i="42"/>
  <c r="BV68" i="42"/>
  <c r="AA64" i="42"/>
  <c r="BV64" i="42"/>
  <c r="AA148" i="42"/>
  <c r="AC148" i="42" s="1"/>
  <c r="BV148" i="42"/>
  <c r="AA21" i="42"/>
  <c r="AC21" i="42" s="1"/>
  <c r="BV21" i="42"/>
  <c r="AA113" i="42"/>
  <c r="AC113" i="42" s="1"/>
  <c r="BV113" i="42"/>
  <c r="AA135" i="42"/>
  <c r="BV135" i="42"/>
  <c r="AA121" i="42"/>
  <c r="AC121" i="42" s="1"/>
  <c r="BV121" i="42"/>
  <c r="AA233" i="42"/>
  <c r="AC233" i="42" s="1"/>
  <c r="BV233" i="42"/>
  <c r="AA131" i="42"/>
  <c r="AC131" i="42" s="1"/>
  <c r="BV131" i="42"/>
  <c r="AA225" i="42"/>
  <c r="AC225" i="42" s="1"/>
  <c r="BV225" i="42"/>
  <c r="AA178" i="42"/>
  <c r="AC178" i="42" s="1"/>
  <c r="BV178" i="42"/>
  <c r="AA271" i="42"/>
  <c r="AC271" i="42" s="1"/>
  <c r="BV271" i="42"/>
  <c r="AA115" i="42"/>
  <c r="BV115" i="42"/>
  <c r="AA256" i="42"/>
  <c r="AC256" i="42" s="1"/>
  <c r="BV256" i="42"/>
  <c r="AA143" i="42"/>
  <c r="AC143" i="42" s="1"/>
  <c r="BV143" i="42"/>
  <c r="AA107" i="42"/>
  <c r="BV107" i="42"/>
  <c r="AA125" i="42"/>
  <c r="AC125" i="42" s="1"/>
  <c r="BV125" i="42"/>
  <c r="AA95" i="42"/>
  <c r="BV95" i="42"/>
  <c r="AA28" i="42"/>
  <c r="AC28" i="42" s="1"/>
  <c r="BV28" i="42"/>
  <c r="AA247" i="42"/>
  <c r="BV247" i="42"/>
  <c r="AA159" i="42"/>
  <c r="AC159" i="42" s="1"/>
  <c r="BV159" i="42"/>
  <c r="AA190" i="42"/>
  <c r="AC190" i="42" s="1"/>
  <c r="BV190" i="42"/>
  <c r="AA250" i="42"/>
  <c r="AC250" i="42" s="1"/>
  <c r="BV250" i="42"/>
  <c r="AA20" i="42"/>
  <c r="AC20" i="42" s="1"/>
  <c r="BV20" i="42"/>
  <c r="AA232" i="42"/>
  <c r="BV232" i="42"/>
  <c r="AH8" i="42"/>
  <c r="AK8" i="42"/>
  <c r="Y193" i="42"/>
  <c r="Z193" i="42" s="1"/>
  <c r="BS193" i="42" s="1"/>
  <c r="Y257" i="42"/>
  <c r="Z257" i="42" s="1"/>
  <c r="BS257" i="42" s="1"/>
  <c r="BD177" i="42"/>
  <c r="Y177" i="42"/>
  <c r="Z177" i="42" s="1"/>
  <c r="BS177" i="42" s="1"/>
  <c r="Y236" i="42"/>
  <c r="Z236" i="42" s="1"/>
  <c r="BS236" i="42" s="1"/>
  <c r="Y128" i="42"/>
  <c r="Z128" i="42" s="1"/>
  <c r="BS128" i="42" s="1"/>
  <c r="Y211" i="42"/>
  <c r="Z211" i="42" s="1"/>
  <c r="BS211" i="42" s="1"/>
  <c r="W91" i="42"/>
  <c r="W270" i="42"/>
  <c r="W60" i="42"/>
  <c r="Y279" i="42"/>
  <c r="Z279" i="42" s="1"/>
  <c r="BS279" i="42" s="1"/>
  <c r="W267" i="42"/>
  <c r="Y40" i="42"/>
  <c r="Z40" i="42" s="1"/>
  <c r="BS40" i="42" s="1"/>
  <c r="BD313" i="42"/>
  <c r="Y313" i="42"/>
  <c r="Z313" i="42" s="1"/>
  <c r="BS313" i="42" s="1"/>
  <c r="Y310" i="42"/>
  <c r="Z310" i="42" s="1"/>
  <c r="BS310" i="42" s="1"/>
  <c r="BD96" i="42"/>
  <c r="Y96" i="42"/>
  <c r="Z96" i="42" s="1"/>
  <c r="BS96" i="42" s="1"/>
  <c r="W187" i="42"/>
  <c r="Y210" i="42"/>
  <c r="Z210" i="42" s="1"/>
  <c r="BS210" i="42" s="1"/>
  <c r="Y307" i="42"/>
  <c r="Z307" i="42" s="1"/>
  <c r="BS307" i="42" s="1"/>
  <c r="BD307" i="42"/>
  <c r="Y38" i="42"/>
  <c r="Z38" i="42" s="1"/>
  <c r="BS38" i="42" s="1"/>
  <c r="W230" i="42"/>
  <c r="Y289" i="42"/>
  <c r="Z289" i="42" s="1"/>
  <c r="BS289" i="42" s="1"/>
  <c r="Y55" i="42"/>
  <c r="Z55" i="42" s="1"/>
  <c r="BS55" i="42" s="1"/>
  <c r="Y288" i="42"/>
  <c r="Z288" i="42" s="1"/>
  <c r="BS288" i="42" s="1"/>
  <c r="W112" i="42"/>
  <c r="W56" i="42"/>
  <c r="W103" i="42"/>
  <c r="V8" i="42"/>
  <c r="Y174" i="42"/>
  <c r="Z174" i="42" s="1"/>
  <c r="BS174" i="42" s="1"/>
  <c r="BD174" i="42"/>
  <c r="BD315" i="42"/>
  <c r="Y315" i="42"/>
  <c r="Z315" i="42" s="1"/>
  <c r="BS315" i="42" s="1"/>
  <c r="Y45" i="42"/>
  <c r="Z45" i="42" s="1"/>
  <c r="BS45" i="42" s="1"/>
  <c r="BD109" i="42"/>
  <c r="Y109" i="42"/>
  <c r="Z109" i="42" s="1"/>
  <c r="BS109" i="42" s="1"/>
  <c r="Y203" i="42"/>
  <c r="Z203" i="42" s="1"/>
  <c r="BS203" i="42" s="1"/>
  <c r="Y246" i="42"/>
  <c r="Z246" i="42" s="1"/>
  <c r="BS246" i="42" s="1"/>
  <c r="Y168" i="42"/>
  <c r="Z168" i="42" s="1"/>
  <c r="BS168" i="42" s="1"/>
  <c r="BD168" i="42"/>
  <c r="Y242" i="42"/>
  <c r="Z242" i="42" s="1"/>
  <c r="BS242" i="42" s="1"/>
  <c r="Y191" i="42"/>
  <c r="Z191" i="42" s="1"/>
  <c r="BS191" i="42" s="1"/>
  <c r="Y82" i="42"/>
  <c r="Z82" i="42" s="1"/>
  <c r="BS82" i="42" s="1"/>
  <c r="BD82" i="42"/>
  <c r="W265" i="42"/>
  <c r="Y79" i="42"/>
  <c r="Z79" i="42" s="1"/>
  <c r="BS79" i="42" s="1"/>
  <c r="Y221" i="42"/>
  <c r="Z221" i="42" s="1"/>
  <c r="BS221" i="42" s="1"/>
  <c r="Y318" i="42"/>
  <c r="Z318" i="42" s="1"/>
  <c r="BS318" i="42" s="1"/>
  <c r="BD318" i="42"/>
  <c r="W314" i="42"/>
  <c r="Y129" i="42"/>
  <c r="Z129" i="42" s="1"/>
  <c r="BS129" i="42" s="1"/>
  <c r="Y219" i="42"/>
  <c r="Z219" i="42" s="1"/>
  <c r="BS219" i="42" s="1"/>
  <c r="BD219" i="42"/>
  <c r="Y33" i="42"/>
  <c r="Z33" i="42" s="1"/>
  <c r="BS33" i="42" s="1"/>
  <c r="Y89" i="42"/>
  <c r="Z89" i="42" s="1"/>
  <c r="BS89" i="42" s="1"/>
  <c r="Y114" i="42"/>
  <c r="Z114" i="42" s="1"/>
  <c r="BS114" i="42" s="1"/>
  <c r="W15" i="42"/>
  <c r="Y25" i="42"/>
  <c r="Z25" i="42" s="1"/>
  <c r="BS25" i="42" s="1"/>
  <c r="Y138" i="42"/>
  <c r="Z138" i="42" s="1"/>
  <c r="BS138" i="42" s="1"/>
  <c r="Y122" i="42"/>
  <c r="Z122" i="42" s="1"/>
  <c r="BS122" i="42" s="1"/>
  <c r="Y142" i="42"/>
  <c r="Z142" i="42" s="1"/>
  <c r="BS142" i="42" s="1"/>
  <c r="W51" i="42"/>
  <c r="Y278" i="42"/>
  <c r="Z278" i="42" s="1"/>
  <c r="BS278" i="42" s="1"/>
  <c r="W140" i="42"/>
  <c r="Y299" i="42"/>
  <c r="Z299" i="42" s="1"/>
  <c r="BS299" i="42" s="1"/>
  <c r="BD80" i="42"/>
  <c r="Y80" i="42"/>
  <c r="Z80" i="42" s="1"/>
  <c r="BS80" i="42" s="1"/>
  <c r="Y276" i="42"/>
  <c r="Z276" i="42" s="1"/>
  <c r="BS276" i="42" s="1"/>
  <c r="Y170" i="42"/>
  <c r="Z170" i="42" s="1"/>
  <c r="BS170" i="42" s="1"/>
  <c r="BD170" i="42"/>
  <c r="Y180" i="42"/>
  <c r="Z180" i="42" s="1"/>
  <c r="BS180" i="42" s="1"/>
  <c r="BD49" i="42"/>
  <c r="Y49" i="42"/>
  <c r="Z49" i="42" s="1"/>
  <c r="BS49" i="42" s="1"/>
  <c r="W158" i="42"/>
  <c r="Y304" i="42"/>
  <c r="Z304" i="42" s="1"/>
  <c r="BS304" i="42" s="1"/>
  <c r="Y254" i="42"/>
  <c r="Z254" i="42" s="1"/>
  <c r="BS254" i="42" s="1"/>
  <c r="Y305" i="42"/>
  <c r="Z305" i="42" s="1"/>
  <c r="BS305" i="42" s="1"/>
  <c r="W268" i="42"/>
  <c r="Y272" i="42"/>
  <c r="Z272" i="42" s="1"/>
  <c r="BS272" i="42" s="1"/>
  <c r="Y41" i="42"/>
  <c r="Z41" i="42" s="1"/>
  <c r="BS41" i="42" s="1"/>
  <c r="Y259" i="42"/>
  <c r="Z259" i="42" s="1"/>
  <c r="BS259" i="42" s="1"/>
  <c r="Y209" i="42"/>
  <c r="Z209" i="42" s="1"/>
  <c r="BS209" i="42" s="1"/>
  <c r="BD76" i="42"/>
  <c r="Y76" i="42"/>
  <c r="Z76" i="42" s="1"/>
  <c r="BS76" i="42" s="1"/>
  <c r="Y216" i="42"/>
  <c r="Z216" i="42" s="1"/>
  <c r="BS216" i="42" s="1"/>
  <c r="BD85" i="42"/>
  <c r="Y85" i="42"/>
  <c r="Z85" i="42" s="1"/>
  <c r="BS85" i="42" s="1"/>
  <c r="Y93" i="42"/>
  <c r="Z93" i="42" s="1"/>
  <c r="BS93" i="42" s="1"/>
  <c r="BD93" i="42"/>
  <c r="W287" i="42"/>
  <c r="Y212" i="42"/>
  <c r="Z212" i="42" s="1"/>
  <c r="BS212" i="42" s="1"/>
  <c r="Y244" i="42"/>
  <c r="Z244" i="42" s="1"/>
  <c r="BS244" i="42" s="1"/>
  <c r="Y134" i="42"/>
  <c r="Z134" i="42" s="1"/>
  <c r="BS134" i="42" s="1"/>
  <c r="Y274" i="42"/>
  <c r="Z274" i="42" s="1"/>
  <c r="BS274" i="42" s="1"/>
  <c r="Y44" i="42"/>
  <c r="Z44" i="42" s="1"/>
  <c r="BS44" i="42" s="1"/>
  <c r="BD11" i="42"/>
  <c r="Y11" i="42"/>
  <c r="Z11" i="42" s="1"/>
  <c r="BS11" i="42" s="1"/>
  <c r="Y108" i="42"/>
  <c r="Z108" i="42" s="1"/>
  <c r="BS108" i="42" s="1"/>
  <c r="BD108" i="42"/>
  <c r="Y298" i="42"/>
  <c r="Z298" i="42" s="1"/>
  <c r="BS298" i="42" s="1"/>
  <c r="Y32" i="42"/>
  <c r="Z32" i="42" s="1"/>
  <c r="BS32" i="42" s="1"/>
  <c r="BD32" i="42"/>
  <c r="Y137" i="42"/>
  <c r="Z137" i="42" s="1"/>
  <c r="BS137" i="42" s="1"/>
  <c r="Y184" i="42"/>
  <c r="Z184" i="42" s="1"/>
  <c r="BS184" i="42" s="1"/>
  <c r="BD184" i="42"/>
  <c r="Y176" i="42"/>
  <c r="Z176" i="42" s="1"/>
  <c r="BS176" i="42" s="1"/>
  <c r="BD176" i="42"/>
  <c r="W53" i="42"/>
  <c r="Y217" i="42"/>
  <c r="Z217" i="42" s="1"/>
  <c r="BS217" i="42" s="1"/>
  <c r="Y196" i="42"/>
  <c r="Z196" i="42" s="1"/>
  <c r="BS196" i="42" s="1"/>
  <c r="BD189" i="42"/>
  <c r="Y189" i="42"/>
  <c r="Z189" i="42" s="1"/>
  <c r="BS189" i="42" s="1"/>
  <c r="Y266" i="42"/>
  <c r="Z266" i="42" s="1"/>
  <c r="BS266" i="42" s="1"/>
  <c r="Y252" i="42"/>
  <c r="Z252" i="42" s="1"/>
  <c r="BS252" i="42" s="1"/>
  <c r="BD252" i="42"/>
  <c r="W163" i="42"/>
  <c r="BD199" i="42"/>
  <c r="Y199" i="42"/>
  <c r="Z199" i="42" s="1"/>
  <c r="BS199" i="42" s="1"/>
  <c r="Y263" i="42"/>
  <c r="Z263" i="42" s="1"/>
  <c r="BS263" i="42" s="1"/>
  <c r="Y78" i="42"/>
  <c r="Z78" i="42" s="1"/>
  <c r="BS78" i="42" s="1"/>
  <c r="BD78" i="42"/>
  <c r="Y97" i="42"/>
  <c r="Z97" i="42" s="1"/>
  <c r="BS97" i="42" s="1"/>
  <c r="BD153" i="42"/>
  <c r="Y153" i="42"/>
  <c r="Z153" i="42" s="1"/>
  <c r="BS153" i="42" s="1"/>
  <c r="Y69" i="42"/>
  <c r="Z69" i="42" s="1"/>
  <c r="BS69" i="42" s="1"/>
  <c r="Y166" i="42"/>
  <c r="Z166" i="42" s="1"/>
  <c r="BS166" i="42" s="1"/>
  <c r="BD166" i="42"/>
  <c r="Y24" i="42"/>
  <c r="Z24" i="42" s="1"/>
  <c r="BS24" i="42" s="1"/>
  <c r="BD24" i="42"/>
  <c r="Y23" i="42"/>
  <c r="Z23" i="42" s="1"/>
  <c r="BS23" i="42" s="1"/>
  <c r="BD23" i="42"/>
  <c r="BD72" i="42"/>
  <c r="Y72" i="42"/>
  <c r="Z72" i="42" s="1"/>
  <c r="BS72" i="42" s="1"/>
  <c r="W186" i="42"/>
  <c r="Y175" i="42"/>
  <c r="Z175" i="42" s="1"/>
  <c r="BS175" i="42" s="1"/>
  <c r="Y147" i="42"/>
  <c r="Z147" i="42" s="1"/>
  <c r="BS147" i="42" s="1"/>
  <c r="BD147" i="42"/>
  <c r="BD157" i="42"/>
  <c r="Y157" i="42"/>
  <c r="Z157" i="42" s="1"/>
  <c r="BS157" i="42" s="1"/>
  <c r="Y75" i="42"/>
  <c r="Z75" i="42" s="1"/>
  <c r="BS75" i="42" s="1"/>
  <c r="BD74" i="42"/>
  <c r="Y74" i="42"/>
  <c r="Z74" i="42" s="1"/>
  <c r="BS74" i="42" s="1"/>
  <c r="Y275" i="42"/>
  <c r="Z275" i="42" s="1"/>
  <c r="BS275" i="42" s="1"/>
  <c r="Y156" i="42"/>
  <c r="Z156" i="42" s="1"/>
  <c r="BS156" i="42" s="1"/>
  <c r="BD156" i="42"/>
  <c r="Y90" i="42"/>
  <c r="Z90" i="42" s="1"/>
  <c r="BS90" i="42" s="1"/>
  <c r="Y227" i="42"/>
  <c r="Z227" i="42" s="1"/>
  <c r="BS227" i="42" s="1"/>
  <c r="W101" i="42"/>
  <c r="W66" i="42"/>
  <c r="Y141" i="42"/>
  <c r="Z141" i="42" s="1"/>
  <c r="BS141" i="42" s="1"/>
  <c r="BD237" i="42"/>
  <c r="Y237" i="42"/>
  <c r="Z237" i="42" s="1"/>
  <c r="BS237" i="42" s="1"/>
  <c r="Y280" i="42"/>
  <c r="Z280" i="42" s="1"/>
  <c r="BS280" i="42" s="1"/>
  <c r="Y104" i="42"/>
  <c r="Z104" i="42" s="1"/>
  <c r="BS104" i="42" s="1"/>
  <c r="Y283" i="42"/>
  <c r="Z283" i="42" s="1"/>
  <c r="BS283" i="42" s="1"/>
  <c r="Y223" i="42"/>
  <c r="Z223" i="42" s="1"/>
  <c r="BS223" i="42" s="1"/>
  <c r="Y231" i="42"/>
  <c r="Z231" i="42" s="1"/>
  <c r="BS231" i="42" s="1"/>
  <c r="Y34" i="42"/>
  <c r="Z34" i="42" s="1"/>
  <c r="BS34" i="42" s="1"/>
  <c r="BD34" i="42"/>
  <c r="Y36" i="42"/>
  <c r="Z36" i="42" s="1"/>
  <c r="BS36" i="42" s="1"/>
  <c r="Y10" i="42"/>
  <c r="Z10" i="42" s="1"/>
  <c r="BS10" i="42" s="1"/>
  <c r="BD181" i="42"/>
  <c r="Y181" i="42"/>
  <c r="Z181" i="42" s="1"/>
  <c r="BS181" i="42" s="1"/>
  <c r="Y222" i="42"/>
  <c r="Z222" i="42" s="1"/>
  <c r="BS222" i="42" s="1"/>
  <c r="Y105" i="42"/>
  <c r="Z105" i="42" s="1"/>
  <c r="BS105" i="42" s="1"/>
  <c r="W88" i="42"/>
  <c r="Y264" i="42"/>
  <c r="Z264" i="42" s="1"/>
  <c r="BS264" i="42" s="1"/>
  <c r="BD77" i="42"/>
  <c r="Y77" i="42"/>
  <c r="Z77" i="42" s="1"/>
  <c r="BS77" i="42" s="1"/>
  <c r="Y215" i="42"/>
  <c r="Z215" i="42" s="1"/>
  <c r="BS215" i="42" s="1"/>
  <c r="Y117" i="42"/>
  <c r="Z117" i="42" s="1"/>
  <c r="BS117" i="42" s="1"/>
  <c r="Y133" i="42"/>
  <c r="Z133" i="42" s="1"/>
  <c r="BS133" i="42" s="1"/>
  <c r="BD150" i="42"/>
  <c r="Y150" i="42"/>
  <c r="Z150" i="42" s="1"/>
  <c r="BS150" i="42" s="1"/>
  <c r="Y206" i="42"/>
  <c r="Z206" i="42" s="1"/>
  <c r="BS206" i="42" s="1"/>
  <c r="W152" i="42"/>
  <c r="Y65" i="42"/>
  <c r="Z65" i="42" s="1"/>
  <c r="BS65" i="42" s="1"/>
  <c r="BD65" i="42"/>
  <c r="Y144" i="42"/>
  <c r="Z144" i="42" s="1"/>
  <c r="BS144" i="42" s="1"/>
  <c r="BD300" i="42"/>
  <c r="Y300" i="42"/>
  <c r="Z300" i="42" s="1"/>
  <c r="BS300" i="42" s="1"/>
  <c r="BD92" i="42"/>
  <c r="Y92" i="42"/>
  <c r="Z92" i="42" s="1"/>
  <c r="BS92" i="42" s="1"/>
  <c r="Y37" i="42"/>
  <c r="Z37" i="42" s="1"/>
  <c r="BS37" i="42" s="1"/>
  <c r="BD197" i="42"/>
  <c r="Y197" i="42"/>
  <c r="Z197" i="42" s="1"/>
  <c r="BS197" i="42" s="1"/>
  <c r="Y139" i="42"/>
  <c r="Z139" i="42" s="1"/>
  <c r="BS139" i="42" s="1"/>
  <c r="BD149" i="42"/>
  <c r="Y149" i="42"/>
  <c r="Z149" i="42" s="1"/>
  <c r="BS149" i="42" s="1"/>
  <c r="Y48" i="42"/>
  <c r="Z48" i="42" s="1"/>
  <c r="BS48" i="42" s="1"/>
  <c r="Y63" i="42"/>
  <c r="Z63" i="42" s="1"/>
  <c r="BS63" i="42" s="1"/>
  <c r="Y54" i="42"/>
  <c r="Z54" i="42" s="1"/>
  <c r="BS54" i="42" s="1"/>
  <c r="Y248" i="42"/>
  <c r="Z248" i="42" s="1"/>
  <c r="BS248" i="42" s="1"/>
  <c r="Y30" i="42"/>
  <c r="Z30" i="42" s="1"/>
  <c r="BS30" i="42" s="1"/>
  <c r="BD30" i="42"/>
  <c r="Y218" i="42"/>
  <c r="Z218" i="42" s="1"/>
  <c r="BS218" i="42" s="1"/>
  <c r="BD218" i="42"/>
  <c r="Y155" i="42"/>
  <c r="Z155" i="42" s="1"/>
  <c r="BS155" i="42" s="1"/>
  <c r="BD155" i="42"/>
  <c r="W281" i="42"/>
  <c r="Y172" i="42"/>
  <c r="Z172" i="42" s="1"/>
  <c r="BS172" i="42" s="1"/>
  <c r="BD172" i="42"/>
  <c r="Y293" i="42"/>
  <c r="Z293" i="42" s="1"/>
  <c r="BS293" i="42" s="1"/>
  <c r="W301" i="42"/>
  <c r="Y154" i="42"/>
  <c r="Z154" i="42" s="1"/>
  <c r="BS154" i="42" s="1"/>
  <c r="BD154" i="42"/>
  <c r="W208" i="42"/>
  <c r="Y29" i="42"/>
  <c r="Z29" i="42" s="1"/>
  <c r="BS29" i="42" s="1"/>
  <c r="BD29" i="42"/>
  <c r="Y284" i="42"/>
  <c r="Z284" i="42" s="1"/>
  <c r="BS284" i="42" s="1"/>
  <c r="BD84" i="42"/>
  <c r="Y84" i="42"/>
  <c r="Z84" i="42" s="1"/>
  <c r="BS84" i="42" s="1"/>
  <c r="Y294" i="42"/>
  <c r="Z294" i="42" s="1"/>
  <c r="BS294" i="42" s="1"/>
  <c r="Y43" i="42"/>
  <c r="Z43" i="42" s="1"/>
  <c r="BS43" i="42" s="1"/>
  <c r="W316" i="42"/>
  <c r="Y207" i="42"/>
  <c r="Z207" i="42" s="1"/>
  <c r="BS207" i="42" s="1"/>
  <c r="BD31" i="42"/>
  <c r="Y31" i="42"/>
  <c r="Z31" i="42" s="1"/>
  <c r="BS31" i="42" s="1"/>
  <c r="Y120" i="42"/>
  <c r="Z120" i="42" s="1"/>
  <c r="BS120" i="42" s="1"/>
  <c r="Y123" i="42"/>
  <c r="Z123" i="42" s="1"/>
  <c r="BS123" i="42" s="1"/>
  <c r="Y119" i="42"/>
  <c r="Z119" i="42" s="1"/>
  <c r="BS119" i="42" s="1"/>
  <c r="Y240" i="42"/>
  <c r="Z240" i="42" s="1"/>
  <c r="BS240" i="42" s="1"/>
  <c r="BD240" i="42"/>
  <c r="Y308" i="42"/>
  <c r="Z308" i="42" s="1"/>
  <c r="BS308" i="42" s="1"/>
  <c r="BD308" i="42"/>
  <c r="BD179" i="42"/>
  <c r="Y179" i="42"/>
  <c r="Z179" i="42" s="1"/>
  <c r="BS179" i="42" s="1"/>
  <c r="Y245" i="42"/>
  <c r="Z245" i="42" s="1"/>
  <c r="BS245" i="42" s="1"/>
  <c r="BD201" i="42"/>
  <c r="Y201" i="42"/>
  <c r="Z201" i="42" s="1"/>
  <c r="BS201" i="42" s="1"/>
  <c r="Y185" i="42"/>
  <c r="Z185" i="42" s="1"/>
  <c r="BS185" i="42" s="1"/>
  <c r="Y27" i="42"/>
  <c r="Z27" i="42" s="1"/>
  <c r="BS27" i="42" s="1"/>
  <c r="BD27" i="42"/>
  <c r="BD302" i="42"/>
  <c r="Y302" i="42"/>
  <c r="Z302" i="42" s="1"/>
  <c r="BS302" i="42" s="1"/>
  <c r="Y306" i="42"/>
  <c r="Z306" i="42" s="1"/>
  <c r="BS306" i="42" s="1"/>
  <c r="Y251" i="42"/>
  <c r="Z251" i="42" s="1"/>
  <c r="BS251" i="42" s="1"/>
  <c r="Y224" i="42"/>
  <c r="Z224" i="42" s="1"/>
  <c r="BS224" i="42" s="1"/>
  <c r="W238" i="42"/>
  <c r="Y255" i="42"/>
  <c r="Z255" i="42" s="1"/>
  <c r="BS255" i="42" s="1"/>
  <c r="BD169" i="42"/>
  <c r="Y169" i="42"/>
  <c r="Z169" i="42" s="1"/>
  <c r="BS169" i="42" s="1"/>
  <c r="Y171" i="42"/>
  <c r="Z171" i="42" s="1"/>
  <c r="BS171" i="42" s="1"/>
  <c r="BD171" i="42"/>
  <c r="Y285" i="42"/>
  <c r="Z285" i="42" s="1"/>
  <c r="BS285" i="42" s="1"/>
  <c r="Y228" i="42"/>
  <c r="Z228" i="42" s="1"/>
  <c r="BS228" i="42" s="1"/>
  <c r="BD228" i="42"/>
  <c r="Y296" i="42"/>
  <c r="Z296" i="42" s="1"/>
  <c r="BS296" i="42" s="1"/>
  <c r="BD81" i="42"/>
  <c r="Y81" i="42"/>
  <c r="Z81" i="42" s="1"/>
  <c r="BS81" i="42" s="1"/>
  <c r="BD106" i="42"/>
  <c r="Y106" i="42"/>
  <c r="Z106" i="42" s="1"/>
  <c r="BS106" i="42" s="1"/>
  <c r="Y102" i="42"/>
  <c r="Z102" i="42" s="1"/>
  <c r="BS102" i="42" s="1"/>
  <c r="BD35" i="42"/>
  <c r="Y35" i="42"/>
  <c r="Z35" i="42" s="1"/>
  <c r="BS35" i="42" s="1"/>
  <c r="Y282" i="42"/>
  <c r="Z282" i="42" s="1"/>
  <c r="BS282" i="42" s="1"/>
  <c r="Y286" i="42"/>
  <c r="Z286" i="42" s="1"/>
  <c r="BS286" i="42" s="1"/>
  <c r="Y83" i="42"/>
  <c r="Z83" i="42" s="1"/>
  <c r="BS83" i="42" s="1"/>
  <c r="BD83" i="42"/>
  <c r="W269" i="42"/>
  <c r="Y12" i="42"/>
  <c r="Z12" i="42" s="1"/>
  <c r="BS12" i="42" s="1"/>
  <c r="BD195" i="42"/>
  <c r="Y195" i="42"/>
  <c r="Z195" i="42" s="1"/>
  <c r="BS195" i="42" s="1"/>
  <c r="Y239" i="42"/>
  <c r="Z239" i="42" s="1"/>
  <c r="BS239" i="42" s="1"/>
  <c r="BD167" i="42"/>
  <c r="Y167" i="42"/>
  <c r="Z167" i="42" s="1"/>
  <c r="BS167" i="42" s="1"/>
  <c r="Y14" i="42"/>
  <c r="Z14" i="42" s="1"/>
  <c r="BS14" i="42" s="1"/>
  <c r="BD39" i="42"/>
  <c r="Y39" i="42"/>
  <c r="Z39" i="42" s="1"/>
  <c r="BS39" i="42" s="1"/>
  <c r="Y202" i="42"/>
  <c r="Z202" i="42" s="1"/>
  <c r="BS202" i="42" s="1"/>
  <c r="BD202" i="42"/>
  <c r="BD226" i="42"/>
  <c r="Y226" i="42"/>
  <c r="Z226" i="42" s="1"/>
  <c r="BS226" i="42" s="1"/>
  <c r="Y162" i="42"/>
  <c r="Z162" i="42" s="1"/>
  <c r="BS162" i="42" s="1"/>
  <c r="BD162" i="42"/>
  <c r="Y273" i="42"/>
  <c r="Z273" i="42" s="1"/>
  <c r="BS273" i="42" s="1"/>
  <c r="Y295" i="42"/>
  <c r="Z295" i="42" s="1"/>
  <c r="BS295" i="42" s="1"/>
  <c r="Y249" i="42"/>
  <c r="Z249" i="42" s="1"/>
  <c r="BS249" i="42" s="1"/>
  <c r="Y17" i="42"/>
  <c r="Z17" i="42" s="1"/>
  <c r="BS17" i="42" s="1"/>
  <c r="BD17" i="42"/>
  <c r="W124" i="42"/>
  <c r="Y59" i="42"/>
  <c r="Z59" i="42" s="1"/>
  <c r="BS59" i="42" s="1"/>
  <c r="Y200" i="42"/>
  <c r="Z200" i="42" s="1"/>
  <c r="BS200" i="42" s="1"/>
  <c r="BD200" i="42"/>
  <c r="BD13" i="42"/>
  <c r="Y13" i="42"/>
  <c r="Z13" i="42" s="1"/>
  <c r="BS13" i="42" s="1"/>
  <c r="BD94" i="42"/>
  <c r="Y94" i="42"/>
  <c r="Z94" i="42" s="1"/>
  <c r="BS94" i="42" s="1"/>
  <c r="Y58" i="42"/>
  <c r="Z58" i="42" s="1"/>
  <c r="BS58" i="42" s="1"/>
  <c r="Y262" i="42"/>
  <c r="Z262" i="42" s="1"/>
  <c r="BS262" i="42" s="1"/>
  <c r="BD194" i="42"/>
  <c r="Y194" i="42"/>
  <c r="Z194" i="42" s="1"/>
  <c r="BS194" i="42" s="1"/>
  <c r="Y110" i="42"/>
  <c r="Z110" i="42" s="1"/>
  <c r="BS110" i="42" s="1"/>
  <c r="BD110" i="42"/>
  <c r="BD19" i="42"/>
  <c r="Y19" i="42"/>
  <c r="Z19" i="42" s="1"/>
  <c r="BS19" i="42" s="1"/>
  <c r="Y234" i="42"/>
  <c r="Z234" i="42" s="1"/>
  <c r="BS234" i="42" s="1"/>
  <c r="Y98" i="42"/>
  <c r="Z98" i="42" s="1"/>
  <c r="BS98" i="42" s="1"/>
  <c r="BD98" i="42"/>
  <c r="Y127" i="42"/>
  <c r="Z127" i="42" s="1"/>
  <c r="BS127" i="42" s="1"/>
  <c r="Y146" i="42"/>
  <c r="Z146" i="42" s="1"/>
  <c r="BS146" i="42" s="1"/>
  <c r="W26" i="42"/>
  <c r="Y243" i="42"/>
  <c r="Z243" i="42" s="1"/>
  <c r="BS243" i="42" s="1"/>
  <c r="Y260" i="42"/>
  <c r="Z260" i="42" s="1"/>
  <c r="BS260" i="42" s="1"/>
  <c r="Y67" i="42"/>
  <c r="Z67" i="42" s="1"/>
  <c r="BS67" i="42" s="1"/>
  <c r="Y145" i="42"/>
  <c r="Z145" i="42" s="1"/>
  <c r="BS145" i="42" s="1"/>
  <c r="BD229" i="42"/>
  <c r="Y229" i="42"/>
  <c r="Z229" i="42" s="1"/>
  <c r="BS229" i="42" s="1"/>
  <c r="Y130" i="42"/>
  <c r="Z130" i="42" s="1"/>
  <c r="BS130" i="42" s="1"/>
  <c r="Y164" i="42"/>
  <c r="Z164" i="42" s="1"/>
  <c r="BS164" i="42" s="1"/>
  <c r="BD164" i="42"/>
  <c r="Y290" i="42"/>
  <c r="Z290" i="42" s="1"/>
  <c r="BS290" i="42" s="1"/>
  <c r="BD290" i="42"/>
  <c r="BD165" i="42"/>
  <c r="Y165" i="42"/>
  <c r="Z165" i="42" s="1"/>
  <c r="BS165" i="42" s="1"/>
  <c r="Y86" i="42"/>
  <c r="Z86" i="42" s="1"/>
  <c r="BS86" i="42" s="1"/>
  <c r="BD86" i="42"/>
  <c r="Y73" i="42"/>
  <c r="Z73" i="42" s="1"/>
  <c r="BS73" i="42" s="1"/>
  <c r="BD73" i="42"/>
  <c r="Y87" i="42"/>
  <c r="Z87" i="42" s="1"/>
  <c r="BS87" i="42" s="1"/>
  <c r="Y311" i="42"/>
  <c r="Z311" i="42" s="1"/>
  <c r="BS311" i="42" s="1"/>
  <c r="Y303" i="42"/>
  <c r="Z303" i="42" s="1"/>
  <c r="BS303" i="42" s="1"/>
  <c r="Y132" i="42"/>
  <c r="Z132" i="42" s="1"/>
  <c r="BS132" i="42" s="1"/>
  <c r="W297" i="42"/>
  <c r="W136" i="42"/>
  <c r="Y22" i="42"/>
  <c r="Z22" i="42" s="1"/>
  <c r="BS22" i="42" s="1"/>
  <c r="Y291" i="42"/>
  <c r="Z291" i="42" s="1"/>
  <c r="BS291" i="42" s="1"/>
  <c r="Y241" i="42"/>
  <c r="Z241" i="42" s="1"/>
  <c r="BS241" i="42" s="1"/>
  <c r="Y192" i="42"/>
  <c r="Z192" i="42" s="1"/>
  <c r="BS192" i="42" s="1"/>
  <c r="BD220" i="42"/>
  <c r="Y220" i="42"/>
  <c r="Z220" i="42" s="1"/>
  <c r="BS220" i="42" s="1"/>
  <c r="W205" i="42"/>
  <c r="BD50" i="42"/>
  <c r="Y50" i="42"/>
  <c r="Z50" i="42" s="1"/>
  <c r="BS50" i="42" s="1"/>
  <c r="Y261" i="42"/>
  <c r="Z261" i="42" s="1"/>
  <c r="BS261" i="42" s="1"/>
  <c r="BD198" i="42"/>
  <c r="Y198" i="42"/>
  <c r="Z198" i="42" s="1"/>
  <c r="BS198" i="42" s="1"/>
  <c r="BD18" i="42"/>
  <c r="Y18" i="42"/>
  <c r="Z18" i="42" s="1"/>
  <c r="BS18" i="42" s="1"/>
  <c r="Y277" i="42"/>
  <c r="Z277" i="42" s="1"/>
  <c r="BS277" i="42" s="1"/>
  <c r="BD182" i="42"/>
  <c r="Y182" i="42"/>
  <c r="Z182" i="42" s="1"/>
  <c r="BS182" i="42" s="1"/>
  <c r="BD111" i="42"/>
  <c r="Y111" i="42"/>
  <c r="Z111" i="42" s="1"/>
  <c r="BS111" i="42" s="1"/>
  <c r="Y116" i="42"/>
  <c r="Z116" i="42" s="1"/>
  <c r="BS116" i="42" s="1"/>
  <c r="Y118" i="42"/>
  <c r="Z118" i="42" s="1"/>
  <c r="BS118" i="42" s="1"/>
  <c r="BD100" i="42"/>
  <c r="Y100" i="42"/>
  <c r="Z100" i="42" s="1"/>
  <c r="BS100" i="42" s="1"/>
  <c r="W188" i="42"/>
  <c r="Y214" i="42"/>
  <c r="Z214" i="42" s="1"/>
  <c r="BS214" i="42" s="1"/>
  <c r="BD183" i="42"/>
  <c r="Y183" i="42"/>
  <c r="Z183" i="42" s="1"/>
  <c r="BS183" i="42" s="1"/>
  <c r="Y126" i="42"/>
  <c r="Z126" i="42" s="1"/>
  <c r="BS126" i="42" s="1"/>
  <c r="W213" i="42"/>
  <c r="BD42" i="42"/>
  <c r="Y42" i="42"/>
  <c r="Z42" i="42" s="1"/>
  <c r="BS42" i="42" s="1"/>
  <c r="W292" i="42"/>
  <c r="BD47" i="42"/>
  <c r="Y47" i="42"/>
  <c r="Z47" i="42" s="1"/>
  <c r="BS47" i="42" s="1"/>
  <c r="Y258" i="42"/>
  <c r="Z258" i="42" s="1"/>
  <c r="BS258" i="42" s="1"/>
  <c r="Y46" i="42"/>
  <c r="Z46" i="42" s="1"/>
  <c r="BS46" i="42" s="1"/>
  <c r="BD71" i="42"/>
  <c r="Y71" i="42"/>
  <c r="Z71" i="42" s="1"/>
  <c r="BS71" i="42" s="1"/>
  <c r="BD319" i="42"/>
  <c r="Y319" i="42"/>
  <c r="Z319" i="42" s="1"/>
  <c r="BS319" i="42" s="1"/>
  <c r="Y62" i="42"/>
  <c r="Z62" i="42" s="1"/>
  <c r="BS62" i="42" s="1"/>
  <c r="BD62" i="42"/>
  <c r="Y312" i="42"/>
  <c r="Z312" i="42" s="1"/>
  <c r="BS312" i="42" s="1"/>
  <c r="BD312" i="42"/>
  <c r="W57" i="42"/>
  <c r="BD151" i="42"/>
  <c r="Y151" i="42"/>
  <c r="Z151" i="42" s="1"/>
  <c r="BS151" i="42" s="1"/>
  <c r="Y160" i="42"/>
  <c r="Z160" i="42" s="1"/>
  <c r="BS160" i="42" s="1"/>
  <c r="BD160" i="42"/>
  <c r="Y61" i="42"/>
  <c r="Z61" i="42" s="1"/>
  <c r="BS61" i="42" s="1"/>
  <c r="Y235" i="42"/>
  <c r="Z235" i="42" s="1"/>
  <c r="BS235" i="42" s="1"/>
  <c r="BD235" i="42"/>
  <c r="Y253" i="42"/>
  <c r="Z253" i="42" s="1"/>
  <c r="BS253" i="42" s="1"/>
  <c r="BD16" i="42"/>
  <c r="Y16" i="42"/>
  <c r="Z16" i="42" s="1"/>
  <c r="BS16" i="42" s="1"/>
  <c r="Y204" i="42"/>
  <c r="Z204" i="42" s="1"/>
  <c r="BS204" i="42" s="1"/>
  <c r="BD161" i="42"/>
  <c r="Y161" i="42"/>
  <c r="Z161" i="42" s="1"/>
  <c r="BS161" i="42" s="1"/>
  <c r="Y70" i="42"/>
  <c r="Z70" i="42" s="1"/>
  <c r="BS70" i="42" s="1"/>
  <c r="Y309" i="42"/>
  <c r="Z309" i="42" s="1"/>
  <c r="BS309" i="42" s="1"/>
  <c r="BD52" i="42"/>
  <c r="Y52" i="42"/>
  <c r="Z52" i="42" s="1"/>
  <c r="BS52" i="42" s="1"/>
  <c r="BS317" i="42" l="1"/>
  <c r="BV317" i="42" s="1"/>
  <c r="AA317" i="42"/>
  <c r="AC317" i="42" s="1"/>
  <c r="AJ159" i="42"/>
  <c r="AL159" i="42" s="1"/>
  <c r="AC99" i="42"/>
  <c r="AJ225" i="42"/>
  <c r="AL225" i="42" s="1"/>
  <c r="AI148" i="42"/>
  <c r="AJ143" i="42"/>
  <c r="AO317" i="42"/>
  <c r="AV317" i="42"/>
  <c r="AL317" i="42"/>
  <c r="AW317" i="42"/>
  <c r="AP317" i="42"/>
  <c r="AQ317" i="42" s="1"/>
  <c r="AR317" i="42" s="1"/>
  <c r="AJ173" i="42"/>
  <c r="AI173" i="42"/>
  <c r="AC68" i="42"/>
  <c r="AA126" i="42"/>
  <c r="BV126" i="42"/>
  <c r="AA171" i="42"/>
  <c r="AC171" i="42" s="1"/>
  <c r="BV171" i="42"/>
  <c r="AA293" i="42"/>
  <c r="BV293" i="42"/>
  <c r="AA23" i="42"/>
  <c r="AC23" i="42" s="1"/>
  <c r="BV23" i="42"/>
  <c r="AA180" i="42"/>
  <c r="AC180" i="42" s="1"/>
  <c r="BV180" i="42"/>
  <c r="AA89" i="42"/>
  <c r="BV89" i="42"/>
  <c r="AA221" i="42"/>
  <c r="AC221" i="42" s="1"/>
  <c r="BV221" i="42"/>
  <c r="AA161" i="42"/>
  <c r="AC161" i="42" s="1"/>
  <c r="BV161" i="42"/>
  <c r="AA182" i="42"/>
  <c r="AC182" i="42" s="1"/>
  <c r="BV182" i="42"/>
  <c r="AA22" i="42"/>
  <c r="AC22" i="42" s="1"/>
  <c r="BV22" i="42"/>
  <c r="AA162" i="42"/>
  <c r="AC162" i="42" s="1"/>
  <c r="BV162" i="42"/>
  <c r="AA14" i="42"/>
  <c r="AC14" i="42" s="1"/>
  <c r="BV14" i="42"/>
  <c r="AA296" i="42"/>
  <c r="BV296" i="42"/>
  <c r="AA169" i="42"/>
  <c r="AC169" i="42" s="1"/>
  <c r="BV169" i="42"/>
  <c r="AA245" i="42"/>
  <c r="BV245" i="42"/>
  <c r="AA119" i="42"/>
  <c r="AC119" i="42" s="1"/>
  <c r="BV119" i="42"/>
  <c r="AA31" i="42"/>
  <c r="AC31" i="42" s="1"/>
  <c r="BV31" i="42"/>
  <c r="AA77" i="42"/>
  <c r="AC77" i="42" s="1"/>
  <c r="BV77" i="42"/>
  <c r="AA105" i="42"/>
  <c r="BV105" i="42"/>
  <c r="AA231" i="42"/>
  <c r="BV231" i="42"/>
  <c r="AA104" i="42"/>
  <c r="AC104" i="42" s="1"/>
  <c r="BV104" i="42"/>
  <c r="AA75" i="42"/>
  <c r="AC75" i="42" s="1"/>
  <c r="BV75" i="42"/>
  <c r="AA212" i="42"/>
  <c r="AC212" i="42" s="1"/>
  <c r="BV212" i="42"/>
  <c r="AA299" i="42"/>
  <c r="AC299" i="42" s="1"/>
  <c r="BV299" i="42"/>
  <c r="AA142" i="42"/>
  <c r="AC142" i="42" s="1"/>
  <c r="BV142" i="42"/>
  <c r="AA203" i="42"/>
  <c r="AC203" i="42" s="1"/>
  <c r="BV203" i="42"/>
  <c r="AA315" i="42"/>
  <c r="AC315" i="42" s="1"/>
  <c r="BV315" i="42"/>
  <c r="AA210" i="42"/>
  <c r="AC210" i="42" s="1"/>
  <c r="BV210" i="42"/>
  <c r="AA40" i="42"/>
  <c r="AC40" i="42" s="1"/>
  <c r="BV40" i="42"/>
  <c r="AA177" i="42"/>
  <c r="AC177" i="42" s="1"/>
  <c r="BV177" i="42"/>
  <c r="AC232" i="42"/>
  <c r="AC115" i="42"/>
  <c r="AA175" i="42"/>
  <c r="BV175" i="42"/>
  <c r="AA32" i="42"/>
  <c r="BV32" i="42"/>
  <c r="AA254" i="42"/>
  <c r="AC254" i="42" s="1"/>
  <c r="BV254" i="42"/>
  <c r="AA129" i="42"/>
  <c r="AC129" i="42" s="1"/>
  <c r="BV129" i="42"/>
  <c r="AA242" i="42"/>
  <c r="AC242" i="42" s="1"/>
  <c r="BV242" i="42"/>
  <c r="AA71" i="42"/>
  <c r="AC71" i="42" s="1"/>
  <c r="AJ71" i="42" s="1"/>
  <c r="BV71" i="42"/>
  <c r="AA52" i="42"/>
  <c r="AC52" i="42" s="1"/>
  <c r="BV52" i="42"/>
  <c r="AA235" i="42"/>
  <c r="AC235" i="42" s="1"/>
  <c r="BV235" i="42"/>
  <c r="AA183" i="42"/>
  <c r="AC183" i="42" s="1"/>
  <c r="BV183" i="42"/>
  <c r="AA311" i="42"/>
  <c r="AC311" i="42" s="1"/>
  <c r="BV311" i="42"/>
  <c r="AA165" i="42"/>
  <c r="BV165" i="42"/>
  <c r="AA130" i="42"/>
  <c r="BV130" i="42"/>
  <c r="AA127" i="42"/>
  <c r="BV127" i="42"/>
  <c r="AA19" i="42"/>
  <c r="BV19" i="42"/>
  <c r="AA58" i="42"/>
  <c r="AC58" i="42" s="1"/>
  <c r="BV58" i="42"/>
  <c r="AA200" i="42"/>
  <c r="BV200" i="42"/>
  <c r="AA249" i="42"/>
  <c r="BV249" i="42"/>
  <c r="AA226" i="42"/>
  <c r="AC226" i="42" s="1"/>
  <c r="BV226" i="42"/>
  <c r="AA167" i="42"/>
  <c r="AC167" i="42" s="1"/>
  <c r="BV167" i="42"/>
  <c r="AA102" i="42"/>
  <c r="BV102" i="42"/>
  <c r="AA306" i="42"/>
  <c r="AC306" i="42" s="1"/>
  <c r="BV306" i="42"/>
  <c r="AA185" i="42"/>
  <c r="BV185" i="42"/>
  <c r="AA294" i="42"/>
  <c r="BV294" i="42"/>
  <c r="AA29" i="42"/>
  <c r="BV29" i="42"/>
  <c r="AA30" i="42"/>
  <c r="AC30" i="42" s="1"/>
  <c r="BV30" i="42"/>
  <c r="AA48" i="42"/>
  <c r="AC48" i="42" s="1"/>
  <c r="BV48" i="42"/>
  <c r="AA133" i="42"/>
  <c r="BV133" i="42"/>
  <c r="AA10" i="42"/>
  <c r="BV10" i="42"/>
  <c r="AA157" i="42"/>
  <c r="AC157" i="42" s="1"/>
  <c r="BV157" i="42"/>
  <c r="AA24" i="42"/>
  <c r="AC24" i="42" s="1"/>
  <c r="AJ24" i="42" s="1"/>
  <c r="BV24" i="42"/>
  <c r="AA97" i="42"/>
  <c r="AC97" i="42" s="1"/>
  <c r="BV97" i="42"/>
  <c r="AA266" i="42"/>
  <c r="AC266" i="42" s="1"/>
  <c r="BV266" i="42"/>
  <c r="AA298" i="42"/>
  <c r="BV298" i="42"/>
  <c r="AA44" i="42"/>
  <c r="AC44" i="42" s="1"/>
  <c r="BV44" i="42"/>
  <c r="AA216" i="42"/>
  <c r="AC216" i="42" s="1"/>
  <c r="BV216" i="42"/>
  <c r="AA41" i="42"/>
  <c r="AC41" i="42" s="1"/>
  <c r="BV41" i="42"/>
  <c r="AA170" i="42"/>
  <c r="AC170" i="42" s="1"/>
  <c r="BV170" i="42"/>
  <c r="AA25" i="42"/>
  <c r="AC25" i="42" s="1"/>
  <c r="AJ25" i="42" s="1"/>
  <c r="BV25" i="42"/>
  <c r="AA79" i="42"/>
  <c r="AC79" i="42" s="1"/>
  <c r="BV79" i="42"/>
  <c r="AA289" i="42"/>
  <c r="AC289" i="42" s="1"/>
  <c r="BV289" i="42"/>
  <c r="AA253" i="42"/>
  <c r="AC253" i="42" s="1"/>
  <c r="BV253" i="42"/>
  <c r="AA303" i="42"/>
  <c r="AC303" i="42" s="1"/>
  <c r="BV303" i="42"/>
  <c r="AA262" i="42"/>
  <c r="AC262" i="42" s="1"/>
  <c r="BV262" i="42"/>
  <c r="AA197" i="42"/>
  <c r="AC197" i="42" s="1"/>
  <c r="BV197" i="42"/>
  <c r="AA196" i="42"/>
  <c r="AC196" i="42" s="1"/>
  <c r="BV196" i="42"/>
  <c r="AA277" i="42"/>
  <c r="AC277" i="42" s="1"/>
  <c r="BV277" i="42"/>
  <c r="AA207" i="42"/>
  <c r="AC207" i="42" s="1"/>
  <c r="BV207" i="42"/>
  <c r="AA248" i="42"/>
  <c r="AC248" i="42" s="1"/>
  <c r="BV248" i="42"/>
  <c r="AA280" i="42"/>
  <c r="AC280" i="42" s="1"/>
  <c r="BV280" i="42"/>
  <c r="AA156" i="42"/>
  <c r="AC156" i="42" s="1"/>
  <c r="BV156" i="42"/>
  <c r="AA72" i="42"/>
  <c r="AC72" i="42" s="1"/>
  <c r="BV72" i="42"/>
  <c r="AA263" i="42"/>
  <c r="AC263" i="42" s="1"/>
  <c r="BV263" i="42"/>
  <c r="AA184" i="42"/>
  <c r="BV184" i="42"/>
  <c r="AA76" i="42"/>
  <c r="AC76" i="42" s="1"/>
  <c r="BV76" i="42"/>
  <c r="AA272" i="42"/>
  <c r="AC272" i="42" s="1"/>
  <c r="BV272" i="42"/>
  <c r="AA304" i="42"/>
  <c r="AC304" i="42" s="1"/>
  <c r="BV304" i="42"/>
  <c r="AA33" i="42"/>
  <c r="AC33" i="42" s="1"/>
  <c r="BV33" i="42"/>
  <c r="AA168" i="42"/>
  <c r="AC168" i="42" s="1"/>
  <c r="BV168" i="42"/>
  <c r="AA96" i="42"/>
  <c r="AC96" i="42" s="1"/>
  <c r="BV96" i="42"/>
  <c r="AA211" i="42"/>
  <c r="AC211" i="42" s="1"/>
  <c r="BV211" i="42"/>
  <c r="AC247" i="42"/>
  <c r="AC107" i="42"/>
  <c r="AA86" i="42"/>
  <c r="AC86" i="42" s="1"/>
  <c r="BV86" i="42"/>
  <c r="AA240" i="42"/>
  <c r="AC240" i="42" s="1"/>
  <c r="BV240" i="42"/>
  <c r="AA63" i="42"/>
  <c r="AC63" i="42" s="1"/>
  <c r="BV63" i="42"/>
  <c r="AA252" i="42"/>
  <c r="AC252" i="42" s="1"/>
  <c r="BV252" i="42"/>
  <c r="AA46" i="42"/>
  <c r="AC46" i="42" s="1"/>
  <c r="BV46" i="42"/>
  <c r="AA229" i="42"/>
  <c r="AC229" i="42" s="1"/>
  <c r="BV229" i="42"/>
  <c r="AA255" i="42"/>
  <c r="AC255" i="42" s="1"/>
  <c r="BV255" i="42"/>
  <c r="AA123" i="42"/>
  <c r="AC123" i="42" s="1"/>
  <c r="BV123" i="42"/>
  <c r="AA172" i="42"/>
  <c r="AC172" i="42" s="1"/>
  <c r="BV172" i="42"/>
  <c r="AA312" i="42"/>
  <c r="AC312" i="42" s="1"/>
  <c r="BV312" i="42"/>
  <c r="AA50" i="42"/>
  <c r="AC50" i="42" s="1"/>
  <c r="BV50" i="42"/>
  <c r="AA192" i="42"/>
  <c r="AC192" i="42" s="1"/>
  <c r="BV192" i="42"/>
  <c r="AA94" i="42"/>
  <c r="AC94" i="42" s="1"/>
  <c r="BV94" i="42"/>
  <c r="AA59" i="42"/>
  <c r="AC59" i="42" s="1"/>
  <c r="BV59" i="42"/>
  <c r="AA295" i="42"/>
  <c r="AC295" i="42" s="1"/>
  <c r="BV295" i="42"/>
  <c r="AA106" i="42"/>
  <c r="AC106" i="42" s="1"/>
  <c r="BV106" i="42"/>
  <c r="AA228" i="42"/>
  <c r="AC228" i="42" s="1"/>
  <c r="BV228" i="42"/>
  <c r="AA302" i="42"/>
  <c r="AC302" i="42" s="1"/>
  <c r="BV302" i="42"/>
  <c r="AA84" i="42"/>
  <c r="BV84" i="42"/>
  <c r="AA149" i="42"/>
  <c r="BV149" i="42"/>
  <c r="AA37" i="42"/>
  <c r="BV37" i="42"/>
  <c r="AA144" i="42"/>
  <c r="AC144" i="42" s="1"/>
  <c r="BV144" i="42"/>
  <c r="AA117" i="42"/>
  <c r="AC117" i="42" s="1"/>
  <c r="BV117" i="42"/>
  <c r="AA222" i="42"/>
  <c r="BV222" i="42"/>
  <c r="AA36" i="42"/>
  <c r="AC36" i="42" s="1"/>
  <c r="BV36" i="42"/>
  <c r="AA223" i="42"/>
  <c r="AC223" i="42" s="1"/>
  <c r="BV223" i="42"/>
  <c r="AA237" i="42"/>
  <c r="AC237" i="42" s="1"/>
  <c r="BV237" i="42"/>
  <c r="AA166" i="42"/>
  <c r="AC166" i="42" s="1"/>
  <c r="BV166" i="42"/>
  <c r="AA78" i="42"/>
  <c r="AC78" i="42" s="1"/>
  <c r="BV78" i="42"/>
  <c r="AA199" i="42"/>
  <c r="AC199" i="42" s="1"/>
  <c r="BV199" i="42"/>
  <c r="AA217" i="42"/>
  <c r="AC217" i="42" s="1"/>
  <c r="BV217" i="42"/>
  <c r="AA137" i="42"/>
  <c r="AC137" i="42" s="1"/>
  <c r="BV137" i="42"/>
  <c r="AA274" i="42"/>
  <c r="AC274" i="42" s="1"/>
  <c r="BV274" i="42"/>
  <c r="AA276" i="42"/>
  <c r="AC276" i="42" s="1"/>
  <c r="BV276" i="42"/>
  <c r="AA278" i="42"/>
  <c r="BV278" i="42"/>
  <c r="AA122" i="42"/>
  <c r="AC122" i="42" s="1"/>
  <c r="BV122" i="42"/>
  <c r="AA109" i="42"/>
  <c r="BV109" i="42"/>
  <c r="AA279" i="42"/>
  <c r="AC279" i="42" s="1"/>
  <c r="BV279" i="42"/>
  <c r="AA257" i="42"/>
  <c r="AC257" i="42" s="1"/>
  <c r="BV257" i="42"/>
  <c r="AA151" i="42"/>
  <c r="AC151" i="42" s="1"/>
  <c r="BV151" i="42"/>
  <c r="AA198" i="42"/>
  <c r="AC198" i="42" s="1"/>
  <c r="BV198" i="42"/>
  <c r="AA67" i="42"/>
  <c r="BV67" i="42"/>
  <c r="AA251" i="42"/>
  <c r="AC251" i="42" s="1"/>
  <c r="BV251" i="42"/>
  <c r="AA118" i="42"/>
  <c r="AC118" i="42" s="1"/>
  <c r="BV118" i="42"/>
  <c r="AA260" i="42"/>
  <c r="AC260" i="42" s="1"/>
  <c r="BV260" i="42"/>
  <c r="AA309" i="42"/>
  <c r="BV309" i="42"/>
  <c r="AA61" i="42"/>
  <c r="AC61" i="42" s="1"/>
  <c r="BV61" i="42"/>
  <c r="AA116" i="42"/>
  <c r="AC116" i="42" s="1"/>
  <c r="BV116" i="42"/>
  <c r="AA145" i="42"/>
  <c r="AC145" i="42" s="1"/>
  <c r="BV145" i="42"/>
  <c r="AA98" i="42"/>
  <c r="AC98" i="42" s="1"/>
  <c r="BV98" i="42"/>
  <c r="AA202" i="42"/>
  <c r="AC202" i="42" s="1"/>
  <c r="BV202" i="42"/>
  <c r="AA83" i="42"/>
  <c r="BV83" i="42"/>
  <c r="AA282" i="42"/>
  <c r="AC282" i="42" s="1"/>
  <c r="BV282" i="42"/>
  <c r="AA285" i="42"/>
  <c r="AC285" i="42" s="1"/>
  <c r="BV285" i="42"/>
  <c r="AA154" i="42"/>
  <c r="AC154" i="42" s="1"/>
  <c r="BV154" i="42"/>
  <c r="AA54" i="42"/>
  <c r="AC54" i="42" s="1"/>
  <c r="BV54" i="42"/>
  <c r="AA92" i="42"/>
  <c r="AC92" i="42" s="1"/>
  <c r="BV92" i="42"/>
  <c r="AA206" i="42"/>
  <c r="AC206" i="42" s="1"/>
  <c r="BV206" i="42"/>
  <c r="AA227" i="42"/>
  <c r="BV227" i="42"/>
  <c r="AA275" i="42"/>
  <c r="AC275" i="42" s="1"/>
  <c r="BV275" i="42"/>
  <c r="AA108" i="42"/>
  <c r="AC108" i="42" s="1"/>
  <c r="BV108" i="42"/>
  <c r="AA93" i="42"/>
  <c r="AC93" i="42" s="1"/>
  <c r="BV93" i="42"/>
  <c r="AA209" i="42"/>
  <c r="AC209" i="42" s="1"/>
  <c r="BV209" i="42"/>
  <c r="AA49" i="42"/>
  <c r="AC49" i="42" s="1"/>
  <c r="BV49" i="42"/>
  <c r="AA80" i="42"/>
  <c r="AC80" i="42" s="1"/>
  <c r="BV80" i="42"/>
  <c r="AA114" i="42"/>
  <c r="BV114" i="42"/>
  <c r="AA318" i="42"/>
  <c r="BV318" i="42"/>
  <c r="AA82" i="42"/>
  <c r="AC82" i="42" s="1"/>
  <c r="BV82" i="42"/>
  <c r="AA246" i="42"/>
  <c r="BV246" i="42"/>
  <c r="AA174" i="42"/>
  <c r="BV174" i="42"/>
  <c r="AA288" i="42"/>
  <c r="AC288" i="42" s="1"/>
  <c r="BV288" i="42"/>
  <c r="AA38" i="42"/>
  <c r="AC38" i="42" s="1"/>
  <c r="BV38" i="42"/>
  <c r="AA193" i="42"/>
  <c r="AC193" i="42" s="1"/>
  <c r="BV193" i="42"/>
  <c r="AA17" i="42"/>
  <c r="BV17" i="42"/>
  <c r="AA27" i="42"/>
  <c r="BV27" i="42"/>
  <c r="AA218" i="42"/>
  <c r="AC218" i="42" s="1"/>
  <c r="BV218" i="42"/>
  <c r="AA176" i="42"/>
  <c r="AC176" i="42" s="1"/>
  <c r="BV176" i="42"/>
  <c r="AA204" i="42"/>
  <c r="AC204" i="42" s="1"/>
  <c r="BV204" i="42"/>
  <c r="AA87" i="42"/>
  <c r="AC87" i="42" s="1"/>
  <c r="BV87" i="42"/>
  <c r="AA179" i="42"/>
  <c r="AC179" i="42" s="1"/>
  <c r="BV179" i="42"/>
  <c r="AA264" i="42"/>
  <c r="AC264" i="42" s="1"/>
  <c r="BV264" i="42"/>
  <c r="AA16" i="42"/>
  <c r="AC16" i="42" s="1"/>
  <c r="BV16" i="42"/>
  <c r="AA258" i="42"/>
  <c r="AC258" i="42" s="1"/>
  <c r="BV258" i="42"/>
  <c r="AA214" i="42"/>
  <c r="AC214" i="42" s="1"/>
  <c r="BV214" i="42"/>
  <c r="AA241" i="42"/>
  <c r="AC241" i="42" s="1"/>
  <c r="BV241" i="42"/>
  <c r="AA290" i="42"/>
  <c r="AC290" i="42" s="1"/>
  <c r="BV290" i="42"/>
  <c r="AA243" i="42"/>
  <c r="AC243" i="42" s="1"/>
  <c r="BV243" i="42"/>
  <c r="AA110" i="42"/>
  <c r="AC110" i="42" s="1"/>
  <c r="BV110" i="42"/>
  <c r="AA239" i="42"/>
  <c r="AC239" i="42" s="1"/>
  <c r="BV239" i="42"/>
  <c r="AA62" i="42"/>
  <c r="AC62" i="42" s="1"/>
  <c r="BV62" i="42"/>
  <c r="AA18" i="42"/>
  <c r="BV18" i="42"/>
  <c r="AA132" i="42"/>
  <c r="AC132" i="42" s="1"/>
  <c r="BV132" i="42"/>
  <c r="AA73" i="42"/>
  <c r="AC73" i="42" s="1"/>
  <c r="BV73" i="42"/>
  <c r="AA194" i="42"/>
  <c r="AC194" i="42" s="1"/>
  <c r="BV194" i="42"/>
  <c r="AA13" i="42"/>
  <c r="AC13" i="42" s="1"/>
  <c r="BV13" i="42"/>
  <c r="AA273" i="42"/>
  <c r="AC273" i="42" s="1"/>
  <c r="BV273" i="42"/>
  <c r="AA39" i="42"/>
  <c r="AC39" i="42" s="1"/>
  <c r="BV39" i="42"/>
  <c r="AA195" i="42"/>
  <c r="AC195" i="42" s="1"/>
  <c r="BV195" i="42"/>
  <c r="AA81" i="42"/>
  <c r="AC81" i="42" s="1"/>
  <c r="BV81" i="42"/>
  <c r="AA201" i="42"/>
  <c r="AC201" i="42" s="1"/>
  <c r="BV201" i="42"/>
  <c r="AA308" i="42"/>
  <c r="AC308" i="42" s="1"/>
  <c r="BV308" i="42"/>
  <c r="AA120" i="42"/>
  <c r="AC120" i="42" s="1"/>
  <c r="BV120" i="42"/>
  <c r="AA43" i="42"/>
  <c r="AC43" i="42" s="1"/>
  <c r="BV43" i="42"/>
  <c r="AA284" i="42"/>
  <c r="AC284" i="42" s="1"/>
  <c r="BV284" i="42"/>
  <c r="AA155" i="42"/>
  <c r="AC155" i="42" s="1"/>
  <c r="BV155" i="42"/>
  <c r="AA181" i="42"/>
  <c r="AC181" i="42" s="1"/>
  <c r="BV181" i="42"/>
  <c r="AA283" i="42"/>
  <c r="BV283" i="42"/>
  <c r="AA141" i="42"/>
  <c r="AC141" i="42" s="1"/>
  <c r="BV141" i="42"/>
  <c r="AA74" i="42"/>
  <c r="AC74" i="42" s="1"/>
  <c r="BV74" i="42"/>
  <c r="AA147" i="42"/>
  <c r="BV147" i="42"/>
  <c r="AA69" i="42"/>
  <c r="AC69" i="42" s="1"/>
  <c r="BV69" i="42"/>
  <c r="AA189" i="42"/>
  <c r="BV189" i="42"/>
  <c r="AA134" i="42"/>
  <c r="AC134" i="42" s="1"/>
  <c r="BV134" i="42"/>
  <c r="AA85" i="42"/>
  <c r="AC85" i="42" s="1"/>
  <c r="BV85" i="42"/>
  <c r="AI21" i="42"/>
  <c r="AA191" i="42"/>
  <c r="AC191" i="42" s="1"/>
  <c r="BV191" i="42"/>
  <c r="AA310" i="42"/>
  <c r="AC310" i="42" s="1"/>
  <c r="BV310" i="42"/>
  <c r="AA128" i="42"/>
  <c r="AC128" i="42" s="1"/>
  <c r="BV128" i="42"/>
  <c r="AA70" i="42"/>
  <c r="AC70" i="42" s="1"/>
  <c r="BV70" i="42"/>
  <c r="AA12" i="42"/>
  <c r="AC12" i="42" s="1"/>
  <c r="BV12" i="42"/>
  <c r="AA65" i="42"/>
  <c r="AC65" i="42" s="1"/>
  <c r="BV65" i="42"/>
  <c r="AA90" i="42"/>
  <c r="BV90" i="42"/>
  <c r="AA42" i="42"/>
  <c r="BV42" i="42"/>
  <c r="AA261" i="42"/>
  <c r="AC261" i="42" s="1"/>
  <c r="BV261" i="42"/>
  <c r="AA160" i="42"/>
  <c r="AC160" i="42" s="1"/>
  <c r="BV160" i="42"/>
  <c r="AA319" i="42"/>
  <c r="AC319" i="42" s="1"/>
  <c r="BV319" i="42"/>
  <c r="AA47" i="42"/>
  <c r="AC47" i="42" s="1"/>
  <c r="BV47" i="42"/>
  <c r="AA100" i="42"/>
  <c r="AC100" i="42" s="1"/>
  <c r="BV100" i="42"/>
  <c r="AA111" i="42"/>
  <c r="BV111" i="42"/>
  <c r="AA220" i="42"/>
  <c r="AC220" i="42" s="1"/>
  <c r="BV220" i="42"/>
  <c r="AA291" i="42"/>
  <c r="AC291" i="42" s="1"/>
  <c r="BV291" i="42"/>
  <c r="AA164" i="42"/>
  <c r="AC164" i="42" s="1"/>
  <c r="BV164" i="42"/>
  <c r="AA146" i="42"/>
  <c r="AC146" i="42" s="1"/>
  <c r="BV146" i="42"/>
  <c r="AA234" i="42"/>
  <c r="BV234" i="42"/>
  <c r="AA286" i="42"/>
  <c r="AC286" i="42" s="1"/>
  <c r="BV286" i="42"/>
  <c r="AA35" i="42"/>
  <c r="AC35" i="42" s="1"/>
  <c r="BV35" i="42"/>
  <c r="AA224" i="42"/>
  <c r="AC224" i="42" s="1"/>
  <c r="BV224" i="42"/>
  <c r="AA139" i="42"/>
  <c r="AC139" i="42" s="1"/>
  <c r="BV139" i="42"/>
  <c r="AA300" i="42"/>
  <c r="AC300" i="42" s="1"/>
  <c r="BV300" i="42"/>
  <c r="AA150" i="42"/>
  <c r="BV150" i="42"/>
  <c r="AA215" i="42"/>
  <c r="BV215" i="42"/>
  <c r="AA34" i="42"/>
  <c r="BV34" i="42"/>
  <c r="AA153" i="42"/>
  <c r="AC153" i="42" s="1"/>
  <c r="BV153" i="42"/>
  <c r="AA11" i="42"/>
  <c r="BV11" i="42"/>
  <c r="AA244" i="42"/>
  <c r="AC244" i="42" s="1"/>
  <c r="BV244" i="42"/>
  <c r="AA259" i="42"/>
  <c r="AC259" i="42" s="1"/>
  <c r="BV259" i="42"/>
  <c r="AA305" i="42"/>
  <c r="AC305" i="42" s="1"/>
  <c r="BV305" i="42"/>
  <c r="AA138" i="42"/>
  <c r="BV138" i="42"/>
  <c r="AA219" i="42"/>
  <c r="BV219" i="42"/>
  <c r="AA45" i="42"/>
  <c r="BV45" i="42"/>
  <c r="AA55" i="42"/>
  <c r="AC55" i="42" s="1"/>
  <c r="BV55" i="42"/>
  <c r="AA307" i="42"/>
  <c r="AC307" i="42" s="1"/>
  <c r="BV307" i="42"/>
  <c r="AA313" i="42"/>
  <c r="AC313" i="42" s="1"/>
  <c r="BV313" i="42"/>
  <c r="AA236" i="42"/>
  <c r="AC236" i="42" s="1"/>
  <c r="BV236" i="42"/>
  <c r="AC95" i="42"/>
  <c r="AC135" i="42"/>
  <c r="AC64" i="42"/>
  <c r="AJ252" i="42"/>
  <c r="AJ113" i="42"/>
  <c r="AI113" i="42"/>
  <c r="AJ277" i="42"/>
  <c r="AJ284" i="42"/>
  <c r="AJ132" i="42"/>
  <c r="AI202" i="42"/>
  <c r="AI303" i="42"/>
  <c r="AI251" i="42"/>
  <c r="Y297" i="42"/>
  <c r="Z297" i="42" s="1"/>
  <c r="BS297" i="42" s="1"/>
  <c r="Y269" i="42"/>
  <c r="Z269" i="42" s="1"/>
  <c r="BS269" i="42" s="1"/>
  <c r="BD269" i="42"/>
  <c r="Y140" i="42"/>
  <c r="Z140" i="42" s="1"/>
  <c r="BS140" i="42" s="1"/>
  <c r="Y112" i="42"/>
  <c r="Z112" i="42" s="1"/>
  <c r="BS112" i="42" s="1"/>
  <c r="BD112" i="42"/>
  <c r="Y230" i="42"/>
  <c r="Z230" i="42" s="1"/>
  <c r="BS230" i="42" s="1"/>
  <c r="BD270" i="42"/>
  <c r="Y270" i="42"/>
  <c r="Z270" i="42" s="1"/>
  <c r="BS270" i="42" s="1"/>
  <c r="AI233" i="42"/>
  <c r="AJ233" i="42"/>
  <c r="Y186" i="42"/>
  <c r="Z186" i="42" s="1"/>
  <c r="BS186" i="42" s="1"/>
  <c r="AO159" i="42"/>
  <c r="AV159" i="42"/>
  <c r="Y158" i="42"/>
  <c r="Z158" i="42" s="1"/>
  <c r="BS158" i="42" s="1"/>
  <c r="BD158" i="42"/>
  <c r="Y267" i="42"/>
  <c r="Z267" i="42" s="1"/>
  <c r="BS267" i="42" s="1"/>
  <c r="BD267" i="42"/>
  <c r="Y205" i="42"/>
  <c r="Z205" i="42" s="1"/>
  <c r="BS205" i="42" s="1"/>
  <c r="BD301" i="42"/>
  <c r="Y301" i="42"/>
  <c r="Z301" i="42" s="1"/>
  <c r="BS301" i="42" s="1"/>
  <c r="Y281" i="42"/>
  <c r="Z281" i="42" s="1"/>
  <c r="BS281" i="42" s="1"/>
  <c r="Y265" i="42"/>
  <c r="Z265" i="42" s="1"/>
  <c r="BS265" i="42" s="1"/>
  <c r="Y103" i="42"/>
  <c r="BD103" i="42"/>
  <c r="W8" i="42"/>
  <c r="Y187" i="42"/>
  <c r="Z187" i="42" s="1"/>
  <c r="BS187" i="42" s="1"/>
  <c r="Y88" i="42"/>
  <c r="Z88" i="42" s="1"/>
  <c r="BS88" i="42" s="1"/>
  <c r="AJ190" i="42"/>
  <c r="AI190" i="42"/>
  <c r="BD213" i="42"/>
  <c r="Y213" i="42"/>
  <c r="Z213" i="42" s="1"/>
  <c r="BS213" i="42" s="1"/>
  <c r="BD101" i="42"/>
  <c r="Y101" i="42"/>
  <c r="Z101" i="42" s="1"/>
  <c r="BS101" i="42" s="1"/>
  <c r="Y287" i="42"/>
  <c r="Z287" i="42" s="1"/>
  <c r="BS287" i="42" s="1"/>
  <c r="AJ28" i="42"/>
  <c r="AI28" i="42"/>
  <c r="AJ256" i="42"/>
  <c r="AI256" i="42"/>
  <c r="AP225" i="42"/>
  <c r="AO225" i="42"/>
  <c r="AV225" i="42"/>
  <c r="Y292" i="42"/>
  <c r="Z292" i="42" s="1"/>
  <c r="BS292" i="42" s="1"/>
  <c r="Y136" i="42"/>
  <c r="Z136" i="42" s="1"/>
  <c r="BS136" i="42" s="1"/>
  <c r="Y316" i="42"/>
  <c r="Z316" i="42" s="1"/>
  <c r="BS316" i="42" s="1"/>
  <c r="Y208" i="42"/>
  <c r="Z208" i="42" s="1"/>
  <c r="BS208" i="42" s="1"/>
  <c r="AJ250" i="42"/>
  <c r="AI250" i="42"/>
  <c r="Y15" i="42"/>
  <c r="Z15" i="42" s="1"/>
  <c r="BS15" i="42" s="1"/>
  <c r="BD15" i="42"/>
  <c r="Y91" i="42"/>
  <c r="Z91" i="42" s="1"/>
  <c r="BS91" i="42" s="1"/>
  <c r="Y66" i="42"/>
  <c r="Z66" i="42" s="1"/>
  <c r="BS66" i="42" s="1"/>
  <c r="BD66" i="42"/>
  <c r="BD163" i="42"/>
  <c r="Y163" i="42"/>
  <c r="Z163" i="42" s="1"/>
  <c r="BS163" i="42" s="1"/>
  <c r="Y188" i="42"/>
  <c r="Z188" i="42" s="1"/>
  <c r="BS188" i="42" s="1"/>
  <c r="Y26" i="42"/>
  <c r="Z26" i="42" s="1"/>
  <c r="BS26" i="42" s="1"/>
  <c r="AJ125" i="42"/>
  <c r="AI125" i="42"/>
  <c r="BD51" i="42"/>
  <c r="Y51" i="42"/>
  <c r="Z51" i="42" s="1"/>
  <c r="BS51" i="42" s="1"/>
  <c r="Y56" i="42"/>
  <c r="Z56" i="42" s="1"/>
  <c r="BS56" i="42" s="1"/>
  <c r="AJ121" i="42"/>
  <c r="AI121" i="42"/>
  <c r="Y60" i="42"/>
  <c r="Z60" i="42" s="1"/>
  <c r="BS60" i="42" s="1"/>
  <c r="Y57" i="42"/>
  <c r="Z57" i="42" s="1"/>
  <c r="BS57" i="42" s="1"/>
  <c r="Y124" i="42"/>
  <c r="Z124" i="42" s="1"/>
  <c r="BS124" i="42" s="1"/>
  <c r="BD238" i="42"/>
  <c r="Y238" i="42"/>
  <c r="Z238" i="42" s="1"/>
  <c r="BS238" i="42" s="1"/>
  <c r="Y152" i="42"/>
  <c r="Z152" i="42" s="1"/>
  <c r="BS152" i="42" s="1"/>
  <c r="BD152" i="42"/>
  <c r="Y53" i="42"/>
  <c r="Z53" i="42" s="1"/>
  <c r="BS53" i="42" s="1"/>
  <c r="BD53" i="42"/>
  <c r="Y268" i="42"/>
  <c r="Z268" i="42" s="1"/>
  <c r="BS268" i="42" s="1"/>
  <c r="BD268" i="42"/>
  <c r="Y314" i="42"/>
  <c r="Z314" i="42" s="1"/>
  <c r="BS314" i="42" s="1"/>
  <c r="BD314" i="42"/>
  <c r="AW225" i="42" l="1"/>
  <c r="AW159" i="42"/>
  <c r="AP159" i="42"/>
  <c r="AQ159" i="42" s="1"/>
  <c r="AR159" i="42" s="1"/>
  <c r="AJ65" i="42"/>
  <c r="AO65" i="42" s="1"/>
  <c r="AI92" i="42"/>
  <c r="AJ217" i="42"/>
  <c r="AO217" i="42" s="1"/>
  <c r="AJ264" i="42"/>
  <c r="AP264" i="42" s="1"/>
  <c r="AJ146" i="42"/>
  <c r="AI198" i="42"/>
  <c r="AI209" i="42"/>
  <c r="AJ305" i="42"/>
  <c r="AP305" i="42" s="1"/>
  <c r="AJ134" i="42"/>
  <c r="AV134" i="42" s="1"/>
  <c r="AI155" i="42"/>
  <c r="AJ241" i="42"/>
  <c r="AJ282" i="42"/>
  <c r="AL282" i="42" s="1"/>
  <c r="AJ21" i="42"/>
  <c r="AO21" i="42" s="1"/>
  <c r="AI288" i="42"/>
  <c r="AI286" i="42"/>
  <c r="AI243" i="42"/>
  <c r="AI122" i="42"/>
  <c r="AJ313" i="42"/>
  <c r="AW313" i="42" s="1"/>
  <c r="AI159" i="42"/>
  <c r="AJ206" i="42"/>
  <c r="AO206" i="42" s="1"/>
  <c r="AJ195" i="42"/>
  <c r="AI143" i="42"/>
  <c r="AI99" i="42"/>
  <c r="AJ99" i="42"/>
  <c r="AJ148" i="42"/>
  <c r="AV148" i="42" s="1"/>
  <c r="AJ122" i="42"/>
  <c r="AO122" i="42" s="1"/>
  <c r="AI225" i="42"/>
  <c r="AI131" i="42"/>
  <c r="AJ131" i="42"/>
  <c r="AJ251" i="42"/>
  <c r="AO251" i="42" s="1"/>
  <c r="AJ81" i="42"/>
  <c r="AO81" i="42" s="1"/>
  <c r="AI220" i="42"/>
  <c r="AJ291" i="42"/>
  <c r="AL291" i="42" s="1"/>
  <c r="AJ120" i="42"/>
  <c r="AL120" i="42" s="1"/>
  <c r="AJ155" i="42"/>
  <c r="AL155" i="42" s="1"/>
  <c r="AJ62" i="42"/>
  <c r="AO62" i="42" s="1"/>
  <c r="AJ153" i="42"/>
  <c r="AV153" i="42" s="1"/>
  <c r="AJ285" i="42"/>
  <c r="AJ236" i="42"/>
  <c r="AP236" i="42" s="1"/>
  <c r="AJ229" i="42"/>
  <c r="AL229" i="42" s="1"/>
  <c r="AI312" i="42"/>
  <c r="AJ199" i="42"/>
  <c r="AI194" i="42"/>
  <c r="AJ248" i="42"/>
  <c r="AP248" i="42" s="1"/>
  <c r="AI25" i="42"/>
  <c r="AI236" i="42"/>
  <c r="AI180" i="42"/>
  <c r="AI217" i="42"/>
  <c r="AI257" i="42"/>
  <c r="AJ191" i="42"/>
  <c r="AI253" i="42"/>
  <c r="AI242" i="42"/>
  <c r="AI183" i="42"/>
  <c r="AJ280" i="42"/>
  <c r="AJ196" i="42"/>
  <c r="AI31" i="42"/>
  <c r="AI160" i="42"/>
  <c r="AJ178" i="42"/>
  <c r="AI178" i="42"/>
  <c r="AJ33" i="42"/>
  <c r="AI65" i="42"/>
  <c r="AI157" i="42"/>
  <c r="AJ306" i="42"/>
  <c r="AI237" i="42"/>
  <c r="AI284" i="42"/>
  <c r="AI228" i="42"/>
  <c r="AI52" i="42"/>
  <c r="AI134" i="42"/>
  <c r="AJ202" i="42"/>
  <c r="AV202" i="42" s="1"/>
  <c r="AI71" i="42"/>
  <c r="AI116" i="42"/>
  <c r="AI132" i="42"/>
  <c r="AJ218" i="42"/>
  <c r="AI100" i="42"/>
  <c r="AV173" i="42"/>
  <c r="AO173" i="42"/>
  <c r="AL173" i="42"/>
  <c r="AW173" i="42"/>
  <c r="AP173" i="42"/>
  <c r="AQ173" i="42" s="1"/>
  <c r="AR173" i="42" s="1"/>
  <c r="BA317" i="42"/>
  <c r="AI36" i="42"/>
  <c r="AJ307" i="42"/>
  <c r="AJ274" i="42"/>
  <c r="AJ54" i="42"/>
  <c r="AI79" i="42"/>
  <c r="AJ172" i="42"/>
  <c r="AI221" i="42"/>
  <c r="AI24" i="42"/>
  <c r="AI310" i="42"/>
  <c r="AI97" i="42"/>
  <c r="AI86" i="42"/>
  <c r="AJ315" i="42"/>
  <c r="AI96" i="42"/>
  <c r="AJ162" i="42"/>
  <c r="AJ68" i="42"/>
  <c r="AI68" i="42"/>
  <c r="AJ216" i="42"/>
  <c r="AI62" i="42"/>
  <c r="AA60" i="42"/>
  <c r="AC60" i="42" s="1"/>
  <c r="BV60" i="42"/>
  <c r="AA292" i="42"/>
  <c r="AC292" i="42" s="1"/>
  <c r="BV292" i="42"/>
  <c r="AJ303" i="42"/>
  <c r="AP303" i="42" s="1"/>
  <c r="AJ210" i="42"/>
  <c r="AJ240" i="42"/>
  <c r="AC45" i="42"/>
  <c r="AC34" i="42"/>
  <c r="AC234" i="42"/>
  <c r="AC90" i="42"/>
  <c r="AC147" i="42"/>
  <c r="AC17" i="42"/>
  <c r="AC174" i="42"/>
  <c r="AC114" i="42"/>
  <c r="AC309" i="42"/>
  <c r="AC67" i="42"/>
  <c r="AJ115" i="42"/>
  <c r="AI115" i="42"/>
  <c r="AA91" i="42"/>
  <c r="AC91" i="42" s="1"/>
  <c r="BV91" i="42"/>
  <c r="AC200" i="42"/>
  <c r="AJ223" i="42"/>
  <c r="AA316" i="42"/>
  <c r="BV316" i="42"/>
  <c r="AA136" i="42"/>
  <c r="BV136" i="42"/>
  <c r="AA287" i="42"/>
  <c r="BV287" i="42"/>
  <c r="AI252" i="42"/>
  <c r="AA158" i="42"/>
  <c r="BV158" i="42"/>
  <c r="AA230" i="42"/>
  <c r="AC230" i="42" s="1"/>
  <c r="BV230" i="42"/>
  <c r="AC219" i="42"/>
  <c r="AC215" i="42"/>
  <c r="AC111" i="42"/>
  <c r="AC246" i="42"/>
  <c r="AI232" i="42"/>
  <c r="AJ232" i="42"/>
  <c r="AA163" i="42"/>
  <c r="AC163" i="42" s="1"/>
  <c r="BV163" i="42"/>
  <c r="AI64" i="42"/>
  <c r="AJ64" i="42"/>
  <c r="AC130" i="42"/>
  <c r="AA188" i="42"/>
  <c r="AC188" i="42" s="1"/>
  <c r="BV188" i="42"/>
  <c r="AA314" i="42"/>
  <c r="AC314" i="42" s="1"/>
  <c r="BV314" i="42"/>
  <c r="AA238" i="42"/>
  <c r="BV238" i="42"/>
  <c r="AA124" i="42"/>
  <c r="BV124" i="42"/>
  <c r="AA281" i="42"/>
  <c r="AC281" i="42" s="1"/>
  <c r="BV281" i="42"/>
  <c r="AA205" i="42"/>
  <c r="AC205" i="42" s="1"/>
  <c r="BV205" i="42"/>
  <c r="AA140" i="42"/>
  <c r="AC140" i="42" s="1"/>
  <c r="BV140" i="42"/>
  <c r="AI135" i="42"/>
  <c r="AJ135" i="42"/>
  <c r="AC109" i="42"/>
  <c r="AC37" i="42"/>
  <c r="AC133" i="42"/>
  <c r="AC294" i="42"/>
  <c r="AC165" i="42"/>
  <c r="AC105" i="42"/>
  <c r="AC245" i="42"/>
  <c r="AC293" i="42"/>
  <c r="AC29" i="42"/>
  <c r="AJ304" i="42"/>
  <c r="AA268" i="42"/>
  <c r="AC268" i="42" s="1"/>
  <c r="BV268" i="42"/>
  <c r="AA101" i="42"/>
  <c r="BV101" i="42"/>
  <c r="AA213" i="42"/>
  <c r="BV213" i="42"/>
  <c r="AI313" i="42"/>
  <c r="AA297" i="42"/>
  <c r="AC297" i="42" s="1"/>
  <c r="BV297" i="42"/>
  <c r="AC138" i="42"/>
  <c r="AC11" i="42"/>
  <c r="AC150" i="42"/>
  <c r="AC189" i="42"/>
  <c r="AC83" i="42"/>
  <c r="AI107" i="42"/>
  <c r="AJ107" i="42"/>
  <c r="AA51" i="42"/>
  <c r="AC51" i="42" s="1"/>
  <c r="BV51" i="42"/>
  <c r="AC102" i="42"/>
  <c r="AA56" i="42"/>
  <c r="BV56" i="42"/>
  <c r="AA66" i="42"/>
  <c r="BV66" i="42"/>
  <c r="AJ289" i="42"/>
  <c r="AA265" i="42"/>
  <c r="AC265" i="42" s="1"/>
  <c r="BV265" i="42"/>
  <c r="AA301" i="42"/>
  <c r="BV301" i="42"/>
  <c r="AA186" i="42"/>
  <c r="AC186" i="42" s="1"/>
  <c r="BV186" i="42"/>
  <c r="AA270" i="42"/>
  <c r="AC270" i="42" s="1"/>
  <c r="BV270" i="42"/>
  <c r="AA112" i="42"/>
  <c r="BV112" i="42"/>
  <c r="AA269" i="42"/>
  <c r="AC269" i="42" s="1"/>
  <c r="BV269" i="42"/>
  <c r="AI277" i="42"/>
  <c r="AJ95" i="42"/>
  <c r="AI95" i="42"/>
  <c r="AI20" i="42"/>
  <c r="AJ20" i="42"/>
  <c r="AC222" i="42"/>
  <c r="AC149" i="42"/>
  <c r="AC185" i="42"/>
  <c r="AC19" i="42"/>
  <c r="AC32" i="42"/>
  <c r="AC89" i="42"/>
  <c r="AC10" i="42"/>
  <c r="AC231" i="42"/>
  <c r="AA152" i="42"/>
  <c r="AC152" i="42" s="1"/>
  <c r="BV152" i="42"/>
  <c r="AA26" i="42"/>
  <c r="AC26" i="42" s="1"/>
  <c r="BV26" i="42"/>
  <c r="AA15" i="42"/>
  <c r="BV15" i="42"/>
  <c r="AA208" i="42"/>
  <c r="AC208" i="42" s="1"/>
  <c r="BV208" i="42"/>
  <c r="AA187" i="42"/>
  <c r="AC187" i="42" s="1"/>
  <c r="BV187" i="42"/>
  <c r="AA267" i="42"/>
  <c r="AC267" i="42" s="1"/>
  <c r="BV267" i="42"/>
  <c r="AC42" i="42"/>
  <c r="AC283" i="42"/>
  <c r="AC18" i="42"/>
  <c r="AC27" i="42"/>
  <c r="AC318" i="42"/>
  <c r="AC227" i="42"/>
  <c r="AI247" i="42"/>
  <c r="AJ247" i="42"/>
  <c r="AA53" i="42"/>
  <c r="AC53" i="42" s="1"/>
  <c r="BV53" i="42"/>
  <c r="AA57" i="42"/>
  <c r="AC57" i="42" s="1"/>
  <c r="BV57" i="42"/>
  <c r="AJ276" i="42"/>
  <c r="AA88" i="42"/>
  <c r="AC88" i="42" s="1"/>
  <c r="BV88" i="42"/>
  <c r="AI271" i="42"/>
  <c r="AJ271" i="42"/>
  <c r="AC278" i="42"/>
  <c r="AC84" i="42"/>
  <c r="AC184" i="42"/>
  <c r="AC298" i="42"/>
  <c r="AC249" i="42"/>
  <c r="AC127" i="42"/>
  <c r="AC175" i="42"/>
  <c r="AC296" i="42"/>
  <c r="AC126" i="42"/>
  <c r="AV113" i="42"/>
  <c r="AL113" i="42"/>
  <c r="AW113" i="42"/>
  <c r="AO113" i="42"/>
  <c r="AP113" i="42"/>
  <c r="AI123" i="42"/>
  <c r="AJ123" i="42"/>
  <c r="AJ260" i="42"/>
  <c r="AI260" i="42"/>
  <c r="AI223" i="42"/>
  <c r="AI203" i="42"/>
  <c r="AJ203" i="42"/>
  <c r="AJ137" i="42"/>
  <c r="AI137" i="42"/>
  <c r="AJ82" i="42"/>
  <c r="AI82" i="42"/>
  <c r="AJ44" i="42"/>
  <c r="AI44" i="42"/>
  <c r="AI144" i="42"/>
  <c r="AJ144" i="42"/>
  <c r="AP28" i="42"/>
  <c r="AV28" i="42"/>
  <c r="AO28" i="42"/>
  <c r="AL28" i="42"/>
  <c r="AW28" i="42"/>
  <c r="AV252" i="42"/>
  <c r="AP252" i="42"/>
  <c r="AO252" i="42"/>
  <c r="AL252" i="42"/>
  <c r="AW252" i="42"/>
  <c r="AW65" i="42"/>
  <c r="AJ224" i="42"/>
  <c r="AI224" i="42"/>
  <c r="AJ100" i="42"/>
  <c r="AJ177" i="42"/>
  <c r="AI177" i="42"/>
  <c r="AI168" i="42"/>
  <c r="AJ168" i="42"/>
  <c r="AO25" i="42"/>
  <c r="AL25" i="42"/>
  <c r="AP25" i="42"/>
  <c r="AW25" i="42"/>
  <c r="AI108" i="42"/>
  <c r="AJ108" i="42"/>
  <c r="AJ154" i="42"/>
  <c r="AI154" i="42"/>
  <c r="AI40" i="42"/>
  <c r="AJ40" i="42"/>
  <c r="AJ266" i="42"/>
  <c r="AI266" i="42"/>
  <c r="AJ290" i="42"/>
  <c r="AI290" i="42"/>
  <c r="AJ61" i="42"/>
  <c r="AI61" i="42"/>
  <c r="AO190" i="42"/>
  <c r="AV190" i="42"/>
  <c r="AP190" i="42"/>
  <c r="AL190" i="42"/>
  <c r="AW190" i="42"/>
  <c r="AJ80" i="42"/>
  <c r="AI80" i="42"/>
  <c r="AI35" i="42"/>
  <c r="AJ35" i="42"/>
  <c r="AJ86" i="42"/>
  <c r="AJ110" i="42"/>
  <c r="AI110" i="42"/>
  <c r="AJ106" i="42"/>
  <c r="AI106" i="42"/>
  <c r="AJ182" i="42"/>
  <c r="AI182" i="42"/>
  <c r="AI156" i="42"/>
  <c r="AJ156" i="42"/>
  <c r="AI308" i="42"/>
  <c r="AJ308" i="42"/>
  <c r="AO155" i="42"/>
  <c r="AO143" i="42"/>
  <c r="AW143" i="42"/>
  <c r="AL143" i="42"/>
  <c r="AV143" i="42"/>
  <c r="AP143" i="42"/>
  <c r="AI273" i="42"/>
  <c r="AJ273" i="42"/>
  <c r="AV233" i="42"/>
  <c r="AL233" i="42"/>
  <c r="AP233" i="42"/>
  <c r="AO233" i="42"/>
  <c r="AW233" i="42"/>
  <c r="AJ310" i="42"/>
  <c r="AI76" i="42"/>
  <c r="AJ76" i="42"/>
  <c r="AJ181" i="42"/>
  <c r="AI181" i="42"/>
  <c r="AI142" i="42"/>
  <c r="AJ142" i="42"/>
  <c r="AV284" i="42"/>
  <c r="AL284" i="42"/>
  <c r="AP284" i="42"/>
  <c r="AO284" i="42"/>
  <c r="AW284" i="42"/>
  <c r="AO121" i="42"/>
  <c r="AW121" i="42"/>
  <c r="AP121" i="42"/>
  <c r="AL121" i="42"/>
  <c r="AJ75" i="42"/>
  <c r="AI75" i="42"/>
  <c r="AJ39" i="42"/>
  <c r="AI39" i="42"/>
  <c r="AL305" i="42"/>
  <c r="AJ171" i="42"/>
  <c r="AI171" i="42"/>
  <c r="AI118" i="42"/>
  <c r="AJ118" i="42"/>
  <c r="BA225" i="42"/>
  <c r="AW122" i="42"/>
  <c r="AV217" i="42"/>
  <c r="AL217" i="42"/>
  <c r="AP217" i="42"/>
  <c r="AJ194" i="42"/>
  <c r="AW120" i="42"/>
  <c r="AI210" i="42"/>
  <c r="AJ79" i="42"/>
  <c r="AJ77" i="42"/>
  <c r="AI77" i="42"/>
  <c r="AJ204" i="42"/>
  <c r="AI204" i="42"/>
  <c r="AP132" i="42"/>
  <c r="AO132" i="42"/>
  <c r="AL132" i="42"/>
  <c r="AV132" i="42"/>
  <c r="AW132" i="42"/>
  <c r="AI55" i="42"/>
  <c r="AJ55" i="42"/>
  <c r="AJ239" i="42"/>
  <c r="AI239" i="42"/>
  <c r="AI259" i="42"/>
  <c r="AJ259" i="42"/>
  <c r="AI13" i="42"/>
  <c r="AJ13" i="42"/>
  <c r="AJ193" i="42"/>
  <c r="AI193" i="42"/>
  <c r="AV250" i="42"/>
  <c r="AP250" i="42"/>
  <c r="AL250" i="42"/>
  <c r="AO250" i="42"/>
  <c r="AW250" i="42"/>
  <c r="AP71" i="42"/>
  <c r="AL71" i="42"/>
  <c r="AO71" i="42"/>
  <c r="AV71" i="42"/>
  <c r="AW71" i="42"/>
  <c r="AJ145" i="42"/>
  <c r="AI145" i="42"/>
  <c r="AJ47" i="42"/>
  <c r="AI47" i="42"/>
  <c r="AI176" i="42"/>
  <c r="AJ176" i="42"/>
  <c r="AJ300" i="42"/>
  <c r="AI300" i="42"/>
  <c r="AJ70" i="42"/>
  <c r="AI70" i="42"/>
  <c r="AJ169" i="42"/>
  <c r="AI169" i="42"/>
  <c r="AJ166" i="42"/>
  <c r="AI166" i="42"/>
  <c r="AI311" i="42"/>
  <c r="AJ311" i="42"/>
  <c r="AJ93" i="42"/>
  <c r="AI93" i="42"/>
  <c r="AO125" i="42"/>
  <c r="AL125" i="42"/>
  <c r="AV125" i="42"/>
  <c r="AP125" i="42"/>
  <c r="AW125" i="42"/>
  <c r="AI48" i="42"/>
  <c r="AJ48" i="42"/>
  <c r="AJ98" i="42"/>
  <c r="AI98" i="42"/>
  <c r="AI104" i="42"/>
  <c r="AJ104" i="42"/>
  <c r="AQ225" i="42"/>
  <c r="AR225" i="42" s="1"/>
  <c r="AL256" i="42"/>
  <c r="AV256" i="42"/>
  <c r="AP256" i="42"/>
  <c r="AO256" i="42"/>
  <c r="AW256" i="42"/>
  <c r="Y8" i="42"/>
  <c r="Z103" i="42"/>
  <c r="AJ117" i="42"/>
  <c r="AI117" i="42"/>
  <c r="AI87" i="42"/>
  <c r="AJ87" i="42"/>
  <c r="AJ52" i="42"/>
  <c r="AI226" i="42"/>
  <c r="AJ226" i="42"/>
  <c r="AJ22" i="42"/>
  <c r="AI22" i="42"/>
  <c r="AI196" i="42"/>
  <c r="AJ275" i="42"/>
  <c r="AI275" i="42"/>
  <c r="AJ192" i="42"/>
  <c r="AI192" i="42"/>
  <c r="AJ244" i="42"/>
  <c r="AI244" i="42"/>
  <c r="AJ141" i="42"/>
  <c r="AI141" i="42"/>
  <c r="AI43" i="42"/>
  <c r="AJ43" i="42"/>
  <c r="AJ319" i="42"/>
  <c r="AI319" i="42"/>
  <c r="AI216" i="42"/>
  <c r="AJ286" i="42"/>
  <c r="AJ73" i="42"/>
  <c r="AI73" i="42"/>
  <c r="AP24" i="42"/>
  <c r="AL24" i="42"/>
  <c r="AO24" i="42"/>
  <c r="AV24" i="42"/>
  <c r="AW24" i="42"/>
  <c r="BA159" i="42"/>
  <c r="AJ179" i="42"/>
  <c r="AI179" i="42"/>
  <c r="AI241" i="42"/>
  <c r="AI240" i="42"/>
  <c r="AJ58" i="42"/>
  <c r="AI58" i="42"/>
  <c r="AJ116" i="42"/>
  <c r="AP277" i="42"/>
  <c r="AO277" i="42"/>
  <c r="AL277" i="42"/>
  <c r="AV277" i="42"/>
  <c r="AW277" i="42"/>
  <c r="AL313" i="42" l="1"/>
  <c r="AV120" i="42"/>
  <c r="AO313" i="42"/>
  <c r="AV313" i="42"/>
  <c r="AW217" i="42"/>
  <c r="AP313" i="42"/>
  <c r="AQ313" i="42" s="1"/>
  <c r="AR313" i="42" s="1"/>
  <c r="AP229" i="42"/>
  <c r="AQ229" i="42" s="1"/>
  <c r="AR229" i="42" s="1"/>
  <c r="AP65" i="42"/>
  <c r="AQ65" i="42" s="1"/>
  <c r="AR65" i="42" s="1"/>
  <c r="AP120" i="42"/>
  <c r="AO120" i="42"/>
  <c r="AP251" i="42"/>
  <c r="AV251" i="42"/>
  <c r="BA251" i="42" s="1"/>
  <c r="AL62" i="42"/>
  <c r="AP62" i="42"/>
  <c r="AQ62" i="42" s="1"/>
  <c r="AR62" i="42" s="1"/>
  <c r="AV282" i="42"/>
  <c r="BA282" i="42" s="1"/>
  <c r="AV264" i="42"/>
  <c r="BA264" i="42" s="1"/>
  <c r="AP21" i="42"/>
  <c r="AQ21" i="42" s="1"/>
  <c r="AR21" i="42" s="1"/>
  <c r="AW282" i="42"/>
  <c r="AW264" i="42"/>
  <c r="AO282" i="42"/>
  <c r="AL264" i="42"/>
  <c r="AW248" i="42"/>
  <c r="AP282" i="42"/>
  <c r="AQ282" i="42" s="1"/>
  <c r="AR282" i="42" s="1"/>
  <c r="AO264" i="42"/>
  <c r="AL248" i="42"/>
  <c r="AO236" i="42"/>
  <c r="AV21" i="42"/>
  <c r="BA21" i="42" s="1"/>
  <c r="AL21" i="42"/>
  <c r="AW21" i="42"/>
  <c r="AW305" i="42"/>
  <c r="AL148" i="42"/>
  <c r="AV305" i="42"/>
  <c r="BA305" i="42" s="1"/>
  <c r="AL65" i="42"/>
  <c r="AL134" i="42"/>
  <c r="AP134" i="42"/>
  <c r="AQ134" i="42" s="1"/>
  <c r="AR134" i="42" s="1"/>
  <c r="AV65" i="42"/>
  <c r="AL236" i="42"/>
  <c r="AW81" i="42"/>
  <c r="AL81" i="42"/>
  <c r="AP81" i="42"/>
  <c r="AQ81" i="42" s="1"/>
  <c r="AR81" i="42" s="1"/>
  <c r="AV81" i="42"/>
  <c r="BA81" i="42" s="1"/>
  <c r="AW236" i="42"/>
  <c r="AV248" i="42"/>
  <c r="BA248" i="42" s="1"/>
  <c r="AV206" i="42"/>
  <c r="BA206" i="42" s="1"/>
  <c r="AO305" i="42"/>
  <c r="AO134" i="42"/>
  <c r="AO291" i="42"/>
  <c r="AV62" i="42"/>
  <c r="AJ183" i="42"/>
  <c r="AO183" i="42" s="1"/>
  <c r="AJ220" i="42"/>
  <c r="AL220" i="42" s="1"/>
  <c r="AI304" i="42"/>
  <c r="AW62" i="42"/>
  <c r="AI191" i="42"/>
  <c r="AJ198" i="42"/>
  <c r="AJ242" i="42"/>
  <c r="AW242" i="42" s="1"/>
  <c r="AI306" i="42"/>
  <c r="AO248" i="42"/>
  <c r="AJ228" i="42"/>
  <c r="AV228" i="42" s="1"/>
  <c r="AI146" i="42"/>
  <c r="AW134" i="42"/>
  <c r="AI264" i="42"/>
  <c r="AI282" i="42"/>
  <c r="AI274" i="42"/>
  <c r="AI248" i="42"/>
  <c r="AJ243" i="42"/>
  <c r="AL243" i="42" s="1"/>
  <c r="AJ92" i="42"/>
  <c r="BS103" i="42"/>
  <c r="BV103" i="42" s="1"/>
  <c r="BV8" i="42" s="1"/>
  <c r="AJ209" i="42"/>
  <c r="AV209" i="42" s="1"/>
  <c r="AI305" i="42"/>
  <c r="AO148" i="42"/>
  <c r="AP206" i="42"/>
  <c r="AQ206" i="42" s="1"/>
  <c r="AR206" i="42" s="1"/>
  <c r="AP153" i="42"/>
  <c r="AQ153" i="42" s="1"/>
  <c r="AR153" i="42" s="1"/>
  <c r="AP148" i="42"/>
  <c r="AQ148" i="42" s="1"/>
  <c r="AR148" i="42" s="1"/>
  <c r="AI218" i="42"/>
  <c r="AW206" i="42"/>
  <c r="AW148" i="42"/>
  <c r="AL206" i="42"/>
  <c r="AV122" i="42"/>
  <c r="AI199" i="42"/>
  <c r="AI33" i="42"/>
  <c r="AJ253" i="42"/>
  <c r="AL253" i="42" s="1"/>
  <c r="AL153" i="42"/>
  <c r="AL122" i="42"/>
  <c r="AJ31" i="42"/>
  <c r="AV31" i="42" s="1"/>
  <c r="AO153" i="42"/>
  <c r="AP122" i="42"/>
  <c r="AQ122" i="42" s="1"/>
  <c r="AR122" i="42" s="1"/>
  <c r="AI195" i="42"/>
  <c r="AI81" i="42"/>
  <c r="AW153" i="42"/>
  <c r="AI289" i="42"/>
  <c r="AJ97" i="42"/>
  <c r="AL97" i="42" s="1"/>
  <c r="AJ288" i="42"/>
  <c r="AV288" i="42" s="1"/>
  <c r="BA288" i="42" s="1"/>
  <c r="AI91" i="42"/>
  <c r="AI206" i="42"/>
  <c r="AJ180" i="42"/>
  <c r="AP180" i="42" s="1"/>
  <c r="AW202" i="42"/>
  <c r="AI88" i="42"/>
  <c r="AJ26" i="42"/>
  <c r="AI172" i="42"/>
  <c r="AI285" i="42"/>
  <c r="AL202" i="42"/>
  <c r="AV291" i="42"/>
  <c r="BA291" i="42" s="1"/>
  <c r="AP291" i="42"/>
  <c r="AQ291" i="42" s="1"/>
  <c r="AR291" i="42" s="1"/>
  <c r="AO202" i="42"/>
  <c r="AI85" i="42"/>
  <c r="AJ85" i="42"/>
  <c r="AP202" i="42"/>
  <c r="AQ202" i="42" s="1"/>
  <c r="AR202" i="42" s="1"/>
  <c r="AI230" i="42"/>
  <c r="AV99" i="42"/>
  <c r="AP99" i="42"/>
  <c r="AQ99" i="42" s="1"/>
  <c r="AR99" i="42" s="1"/>
  <c r="AO99" i="42"/>
  <c r="AL99" i="42"/>
  <c r="AW99" i="42"/>
  <c r="AL251" i="42"/>
  <c r="AV229" i="42"/>
  <c r="AJ36" i="42"/>
  <c r="AV36" i="42" s="1"/>
  <c r="AW131" i="42"/>
  <c r="AP131" i="42"/>
  <c r="AQ131" i="42" s="1"/>
  <c r="AR131" i="42" s="1"/>
  <c r="AO131" i="42"/>
  <c r="AL131" i="42"/>
  <c r="AJ221" i="42"/>
  <c r="AL221" i="42" s="1"/>
  <c r="AW155" i="42"/>
  <c r="AJ157" i="42"/>
  <c r="AP155" i="42"/>
  <c r="AQ155" i="42" s="1"/>
  <c r="AR155" i="42" s="1"/>
  <c r="AW229" i="42"/>
  <c r="AV155" i="42"/>
  <c r="AI229" i="42"/>
  <c r="AO229" i="42"/>
  <c r="AW251" i="42"/>
  <c r="AI53" i="42"/>
  <c r="AJ51" i="42"/>
  <c r="AP51" i="42" s="1"/>
  <c r="AI120" i="42"/>
  <c r="AJ267" i="42"/>
  <c r="AV267" i="42" s="1"/>
  <c r="AI281" i="42"/>
  <c r="AW291" i="42"/>
  <c r="AJ312" i="42"/>
  <c r="AP312" i="42" s="1"/>
  <c r="AJ237" i="42"/>
  <c r="AV237" i="42" s="1"/>
  <c r="AI291" i="42"/>
  <c r="AJ235" i="42"/>
  <c r="AI235" i="42"/>
  <c r="AJ96" i="42"/>
  <c r="AP96" i="42" s="1"/>
  <c r="AI153" i="42"/>
  <c r="AI139" i="42"/>
  <c r="AJ139" i="42"/>
  <c r="AI51" i="42"/>
  <c r="AI258" i="42"/>
  <c r="AJ258" i="42"/>
  <c r="AJ160" i="42"/>
  <c r="AP160" i="42" s="1"/>
  <c r="AI16" i="42"/>
  <c r="AJ16" i="42"/>
  <c r="AI315" i="42"/>
  <c r="AJ50" i="42"/>
  <c r="AI50" i="42"/>
  <c r="AI30" i="42"/>
  <c r="AJ30" i="42"/>
  <c r="AJ69" i="42"/>
  <c r="AI69" i="42"/>
  <c r="AI170" i="42"/>
  <c r="AJ170" i="42"/>
  <c r="AI280" i="42"/>
  <c r="AI205" i="42"/>
  <c r="AJ74" i="42"/>
  <c r="AI74" i="42"/>
  <c r="AJ257" i="42"/>
  <c r="AL257" i="42" s="1"/>
  <c r="AI307" i="42"/>
  <c r="AI57" i="42"/>
  <c r="AI297" i="42"/>
  <c r="AJ295" i="42"/>
  <c r="AI295" i="42"/>
  <c r="AI255" i="42"/>
  <c r="AJ255" i="42"/>
  <c r="AI63" i="42"/>
  <c r="AJ63" i="42"/>
  <c r="AV178" i="42"/>
  <c r="AO178" i="42"/>
  <c r="AL178" i="42"/>
  <c r="AP178" i="42"/>
  <c r="AQ178" i="42" s="1"/>
  <c r="AR178" i="42" s="1"/>
  <c r="AW178" i="42"/>
  <c r="AJ38" i="42"/>
  <c r="AI38" i="42"/>
  <c r="AJ164" i="42"/>
  <c r="AI164" i="42"/>
  <c r="AJ49" i="42"/>
  <c r="AI49" i="42"/>
  <c r="BA173" i="42"/>
  <c r="AJ201" i="42"/>
  <c r="AI201" i="42"/>
  <c r="AI140" i="42"/>
  <c r="AI151" i="42"/>
  <c r="AJ151" i="42"/>
  <c r="AI54" i="42"/>
  <c r="AJ12" i="42"/>
  <c r="AI12" i="42"/>
  <c r="AJ214" i="42"/>
  <c r="AI214" i="42"/>
  <c r="AI261" i="42"/>
  <c r="AJ261" i="42"/>
  <c r="AL303" i="42"/>
  <c r="AJ207" i="42"/>
  <c r="AI207" i="42"/>
  <c r="AI254" i="42"/>
  <c r="AJ254" i="42"/>
  <c r="AI152" i="42"/>
  <c r="AJ187" i="42"/>
  <c r="AI276" i="42"/>
  <c r="AI269" i="42"/>
  <c r="AW303" i="42"/>
  <c r="AV68" i="42"/>
  <c r="AO68" i="42"/>
  <c r="AL68" i="42"/>
  <c r="AP68" i="42"/>
  <c r="AQ68" i="42" s="1"/>
  <c r="AR68" i="42" s="1"/>
  <c r="AW68" i="42"/>
  <c r="AJ78" i="42"/>
  <c r="AI78" i="42"/>
  <c r="AV303" i="42"/>
  <c r="BA303" i="42" s="1"/>
  <c r="AJ262" i="42"/>
  <c r="AI262" i="42"/>
  <c r="AJ167" i="42"/>
  <c r="AI167" i="42"/>
  <c r="AI162" i="42"/>
  <c r="AO303" i="42"/>
  <c r="AI46" i="42"/>
  <c r="AJ46" i="42"/>
  <c r="AJ272" i="42"/>
  <c r="AI272" i="42"/>
  <c r="AJ72" i="42"/>
  <c r="AI72" i="42"/>
  <c r="AJ212" i="42"/>
  <c r="AI212" i="42"/>
  <c r="AJ94" i="42"/>
  <c r="AI94" i="42"/>
  <c r="AJ23" i="42"/>
  <c r="AI23" i="42"/>
  <c r="AV247" i="42"/>
  <c r="AP247" i="42"/>
  <c r="AQ247" i="42" s="1"/>
  <c r="AR247" i="42" s="1"/>
  <c r="AL247" i="42"/>
  <c r="AW247" i="42"/>
  <c r="AO247" i="42"/>
  <c r="AI18" i="42"/>
  <c r="AJ18" i="42"/>
  <c r="AJ89" i="42"/>
  <c r="AI89" i="42"/>
  <c r="AJ149" i="42"/>
  <c r="AI149" i="42"/>
  <c r="AJ14" i="42"/>
  <c r="AI14" i="42"/>
  <c r="AC66" i="42"/>
  <c r="AP107" i="42"/>
  <c r="AQ107" i="42" s="1"/>
  <c r="AR107" i="42" s="1"/>
  <c r="AO107" i="42"/>
  <c r="AL107" i="42"/>
  <c r="AW107" i="42"/>
  <c r="AJ11" i="42"/>
  <c r="AI11" i="42"/>
  <c r="AI302" i="42"/>
  <c r="AJ302" i="42"/>
  <c r="AJ130" i="42"/>
  <c r="AI130" i="42"/>
  <c r="AI246" i="42"/>
  <c r="AJ246" i="42"/>
  <c r="AI211" i="42"/>
  <c r="AJ211" i="42"/>
  <c r="AC287" i="42"/>
  <c r="AJ114" i="42"/>
  <c r="AI114" i="42"/>
  <c r="AI90" i="42"/>
  <c r="AJ90" i="42"/>
  <c r="AI197" i="42"/>
  <c r="AJ197" i="42"/>
  <c r="AI127" i="42"/>
  <c r="AJ127" i="42"/>
  <c r="AI84" i="42"/>
  <c r="AJ84" i="42"/>
  <c r="AJ105" i="42"/>
  <c r="AI105" i="42"/>
  <c r="AI37" i="42"/>
  <c r="AJ37" i="42"/>
  <c r="AJ299" i="42"/>
  <c r="AI299" i="42"/>
  <c r="AC124" i="42"/>
  <c r="AJ227" i="42"/>
  <c r="AI227" i="42"/>
  <c r="AI283" i="42"/>
  <c r="AJ283" i="42"/>
  <c r="AJ32" i="42"/>
  <c r="AI32" i="42"/>
  <c r="AJ222" i="42"/>
  <c r="AI222" i="42"/>
  <c r="AC56" i="42"/>
  <c r="AJ83" i="42"/>
  <c r="AI83" i="42"/>
  <c r="AJ138" i="42"/>
  <c r="AI138" i="42"/>
  <c r="AP64" i="42"/>
  <c r="AQ64" i="42" s="1"/>
  <c r="AR64" i="42" s="1"/>
  <c r="AV64" i="42"/>
  <c r="AO64" i="42"/>
  <c r="AL64" i="42"/>
  <c r="AW64" i="42"/>
  <c r="AJ111" i="42"/>
  <c r="AI111" i="42"/>
  <c r="AC136" i="42"/>
  <c r="AJ174" i="42"/>
  <c r="AI174" i="42"/>
  <c r="AJ234" i="42"/>
  <c r="AI234" i="42"/>
  <c r="AJ126" i="42"/>
  <c r="AI126" i="42"/>
  <c r="AJ249" i="42"/>
  <c r="AI249" i="42"/>
  <c r="AJ278" i="42"/>
  <c r="AI278" i="42"/>
  <c r="AC301" i="42"/>
  <c r="AJ29" i="42"/>
  <c r="AI29" i="42"/>
  <c r="AI165" i="42"/>
  <c r="AJ165" i="42"/>
  <c r="AJ109" i="42"/>
  <c r="AI109" i="42"/>
  <c r="AC238" i="42"/>
  <c r="AO115" i="42"/>
  <c r="AV115" i="42"/>
  <c r="AL115" i="42"/>
  <c r="AW115" i="42"/>
  <c r="AP115" i="42"/>
  <c r="AJ318" i="42"/>
  <c r="AI318" i="42"/>
  <c r="AJ42" i="42"/>
  <c r="AI42" i="42"/>
  <c r="AI231" i="42"/>
  <c r="AJ231" i="42"/>
  <c r="AI19" i="42"/>
  <c r="AJ19" i="42"/>
  <c r="AV20" i="42"/>
  <c r="AL20" i="42"/>
  <c r="AO20" i="42"/>
  <c r="AW20" i="42"/>
  <c r="AP20" i="42"/>
  <c r="AJ102" i="42"/>
  <c r="AI102" i="42"/>
  <c r="AJ189" i="42"/>
  <c r="AI189" i="42"/>
  <c r="AJ129" i="42"/>
  <c r="AI129" i="42"/>
  <c r="AC213" i="42"/>
  <c r="AJ215" i="42"/>
  <c r="AI215" i="42"/>
  <c r="AC158" i="42"/>
  <c r="AC316" i="42"/>
  <c r="AI67" i="42"/>
  <c r="AJ67" i="42"/>
  <c r="AJ17" i="42"/>
  <c r="AI17" i="42"/>
  <c r="AI34" i="42"/>
  <c r="AJ34" i="42"/>
  <c r="AJ296" i="42"/>
  <c r="AI296" i="42"/>
  <c r="AJ298" i="42"/>
  <c r="AI298" i="42"/>
  <c r="AW271" i="42"/>
  <c r="AL271" i="42"/>
  <c r="AV271" i="42"/>
  <c r="AP271" i="42"/>
  <c r="AQ271" i="42" s="1"/>
  <c r="AR271" i="42" s="1"/>
  <c r="AO271" i="42"/>
  <c r="AC112" i="42"/>
  <c r="AJ119" i="42"/>
  <c r="AI119" i="42"/>
  <c r="AI293" i="42"/>
  <c r="AJ293" i="42"/>
  <c r="AJ294" i="42"/>
  <c r="AI294" i="42"/>
  <c r="AW135" i="42"/>
  <c r="AL135" i="42"/>
  <c r="AP135" i="42"/>
  <c r="AO135" i="42"/>
  <c r="AI27" i="42"/>
  <c r="AJ27" i="42"/>
  <c r="AI59" i="42"/>
  <c r="AJ59" i="42"/>
  <c r="AJ10" i="42"/>
  <c r="AI10" i="42"/>
  <c r="AJ185" i="42"/>
  <c r="AI185" i="42"/>
  <c r="AJ150" i="42"/>
  <c r="AI150" i="42"/>
  <c r="AI263" i="42"/>
  <c r="AJ263" i="42"/>
  <c r="AC101" i="42"/>
  <c r="AO232" i="42"/>
  <c r="AP232" i="42"/>
  <c r="AQ232" i="42" s="1"/>
  <c r="AR232" i="42" s="1"/>
  <c r="AW232" i="42"/>
  <c r="AV232" i="42"/>
  <c r="AL232" i="42"/>
  <c r="AI219" i="42"/>
  <c r="AJ219" i="42"/>
  <c r="AJ200" i="42"/>
  <c r="AI200" i="42"/>
  <c r="AI309" i="42"/>
  <c r="AJ309" i="42"/>
  <c r="AJ147" i="42"/>
  <c r="AI147" i="42"/>
  <c r="AJ45" i="42"/>
  <c r="AI45" i="42"/>
  <c r="AJ175" i="42"/>
  <c r="AI175" i="42"/>
  <c r="AI184" i="42"/>
  <c r="AJ184" i="42"/>
  <c r="AJ41" i="42"/>
  <c r="AI41" i="42"/>
  <c r="AJ161" i="42"/>
  <c r="AI161" i="42"/>
  <c r="AC15" i="42"/>
  <c r="AO95" i="42"/>
  <c r="AL95" i="42"/>
  <c r="AW95" i="42"/>
  <c r="AP95" i="42"/>
  <c r="AQ95" i="42" s="1"/>
  <c r="AR95" i="42" s="1"/>
  <c r="AV95" i="42"/>
  <c r="AI128" i="42"/>
  <c r="AJ128" i="42"/>
  <c r="AI245" i="42"/>
  <c r="AJ245" i="42"/>
  <c r="AI133" i="42"/>
  <c r="AJ133" i="42"/>
  <c r="AI279" i="42"/>
  <c r="AJ279" i="42"/>
  <c r="AQ113" i="42"/>
  <c r="AR113" i="42" s="1"/>
  <c r="BA113" i="42"/>
  <c r="AL179" i="42"/>
  <c r="AV179" i="42"/>
  <c r="AP179" i="42"/>
  <c r="AO179" i="42"/>
  <c r="AW179" i="42"/>
  <c r="AP104" i="42"/>
  <c r="AL104" i="42"/>
  <c r="AV104" i="42"/>
  <c r="AO104" i="42"/>
  <c r="AW104" i="42"/>
  <c r="BA148" i="42"/>
  <c r="AQ250" i="42"/>
  <c r="AR250" i="42" s="1"/>
  <c r="AP210" i="42"/>
  <c r="AO210" i="42"/>
  <c r="AL210" i="42"/>
  <c r="AV210" i="42"/>
  <c r="AW210" i="42"/>
  <c r="AL191" i="42"/>
  <c r="AV191" i="42"/>
  <c r="AP191" i="42"/>
  <c r="AO191" i="42"/>
  <c r="AW191" i="42"/>
  <c r="AP289" i="42"/>
  <c r="AO289" i="42"/>
  <c r="AL289" i="42"/>
  <c r="AV289" i="42"/>
  <c r="AW289" i="42"/>
  <c r="AV307" i="42"/>
  <c r="AL307" i="42"/>
  <c r="AP307" i="42"/>
  <c r="AO307" i="42"/>
  <c r="AW307" i="42"/>
  <c r="AP266" i="42"/>
  <c r="AV266" i="42"/>
  <c r="AL266" i="42"/>
  <c r="AO266" i="42"/>
  <c r="AW266" i="42"/>
  <c r="AV177" i="42"/>
  <c r="AO177" i="42"/>
  <c r="AP177" i="42"/>
  <c r="AL177" i="42"/>
  <c r="AW177" i="42"/>
  <c r="AQ217" i="42"/>
  <c r="AR217" i="42" s="1"/>
  <c r="AQ248" i="42"/>
  <c r="AR248" i="42" s="1"/>
  <c r="AQ305" i="42"/>
  <c r="AR305" i="42" s="1"/>
  <c r="AQ143" i="42"/>
  <c r="AR143" i="42" s="1"/>
  <c r="AP308" i="42"/>
  <c r="AO308" i="42"/>
  <c r="AL308" i="42"/>
  <c r="AV308" i="42"/>
  <c r="AW308" i="42"/>
  <c r="AP108" i="42"/>
  <c r="AV108" i="42"/>
  <c r="AO108" i="42"/>
  <c r="AL108" i="42"/>
  <c r="AW108" i="42"/>
  <c r="AQ25" i="42"/>
  <c r="AR25" i="42" s="1"/>
  <c r="AV260" i="42"/>
  <c r="AP260" i="42"/>
  <c r="AO260" i="42"/>
  <c r="AL260" i="42"/>
  <c r="AW260" i="42"/>
  <c r="AJ292" i="42"/>
  <c r="AI292" i="42"/>
  <c r="AP275" i="42"/>
  <c r="AV275" i="42"/>
  <c r="AO275" i="42"/>
  <c r="AL275" i="42"/>
  <c r="AW275" i="42"/>
  <c r="AP52" i="42"/>
  <c r="AV52" i="42"/>
  <c r="AO52" i="42"/>
  <c r="AL52" i="42"/>
  <c r="AW52" i="42"/>
  <c r="AQ125" i="42"/>
  <c r="AR125" i="42" s="1"/>
  <c r="AV70" i="42"/>
  <c r="AL70" i="42"/>
  <c r="AO70" i="42"/>
  <c r="AP70" i="42"/>
  <c r="AW70" i="42"/>
  <c r="AO259" i="42"/>
  <c r="AP259" i="42"/>
  <c r="AL259" i="42"/>
  <c r="AV259" i="42"/>
  <c r="AW259" i="42"/>
  <c r="AP194" i="42"/>
  <c r="AO194" i="42"/>
  <c r="AL194" i="42"/>
  <c r="AV194" i="42"/>
  <c r="AW194" i="42"/>
  <c r="BA284" i="42"/>
  <c r="AO310" i="42"/>
  <c r="AL310" i="42"/>
  <c r="AP310" i="42"/>
  <c r="AW310" i="42"/>
  <c r="BA143" i="42"/>
  <c r="AO182" i="42"/>
  <c r="AV182" i="42"/>
  <c r="AP182" i="42"/>
  <c r="AL182" i="42"/>
  <c r="AW182" i="42"/>
  <c r="AV86" i="42"/>
  <c r="AL86" i="42"/>
  <c r="AP86" i="42"/>
  <c r="AO86" i="42"/>
  <c r="AW86" i="42"/>
  <c r="AO290" i="42"/>
  <c r="AP290" i="42"/>
  <c r="AL290" i="42"/>
  <c r="AV290" i="42"/>
  <c r="AW290" i="42"/>
  <c r="AL100" i="42"/>
  <c r="AO100" i="42"/>
  <c r="AP100" i="42"/>
  <c r="AV100" i="42"/>
  <c r="AW100" i="42"/>
  <c r="AQ252" i="42"/>
  <c r="AR252" i="42" s="1"/>
  <c r="AL137" i="42"/>
  <c r="AO137" i="42"/>
  <c r="AP137" i="42"/>
  <c r="AW137" i="42"/>
  <c r="BA277" i="42"/>
  <c r="AO286" i="42"/>
  <c r="AL286" i="42"/>
  <c r="AV286" i="42"/>
  <c r="AP286" i="42"/>
  <c r="AW286" i="42"/>
  <c r="AP285" i="42"/>
  <c r="AO285" i="42"/>
  <c r="AL285" i="42"/>
  <c r="AW285" i="42"/>
  <c r="AV285" i="42"/>
  <c r="AP273" i="42"/>
  <c r="AL273" i="42"/>
  <c r="AV273" i="42"/>
  <c r="AO273" i="42"/>
  <c r="AW273" i="42"/>
  <c r="AP116" i="42"/>
  <c r="AV116" i="42"/>
  <c r="AL116" i="42"/>
  <c r="AO116" i="42"/>
  <c r="AW116" i="42"/>
  <c r="AO204" i="42"/>
  <c r="AL204" i="42"/>
  <c r="AP204" i="42"/>
  <c r="AV204" i="42"/>
  <c r="AW204" i="42"/>
  <c r="AP75" i="42"/>
  <c r="AO75" i="42"/>
  <c r="AL75" i="42"/>
  <c r="AW75" i="42"/>
  <c r="AQ277" i="42"/>
  <c r="AR277" i="42" s="1"/>
  <c r="AO117" i="42"/>
  <c r="AP117" i="42"/>
  <c r="AL117" i="42"/>
  <c r="AW117" i="42"/>
  <c r="BA202" i="42"/>
  <c r="BA217" i="42"/>
  <c r="AO142" i="42"/>
  <c r="AP142" i="42"/>
  <c r="AL142" i="42"/>
  <c r="AW142" i="42"/>
  <c r="AP156" i="42"/>
  <c r="AO156" i="42"/>
  <c r="AL156" i="42"/>
  <c r="AV156" i="42"/>
  <c r="AW156" i="42"/>
  <c r="AV58" i="42"/>
  <c r="AP58" i="42"/>
  <c r="AO58" i="42"/>
  <c r="AL58" i="42"/>
  <c r="AW58" i="42"/>
  <c r="AO216" i="42"/>
  <c r="AL216" i="42"/>
  <c r="AP216" i="42"/>
  <c r="AV216" i="42"/>
  <c r="AW216" i="42"/>
  <c r="AL22" i="42"/>
  <c r="AW22" i="42"/>
  <c r="AP22" i="42"/>
  <c r="AO22" i="42"/>
  <c r="AO166" i="42"/>
  <c r="AV166" i="42"/>
  <c r="AL166" i="42"/>
  <c r="AP166" i="42"/>
  <c r="AW166" i="42"/>
  <c r="AL300" i="42"/>
  <c r="AP300" i="42"/>
  <c r="AO300" i="42"/>
  <c r="AV300" i="42"/>
  <c r="AW300" i="42"/>
  <c r="AV47" i="42"/>
  <c r="AL47" i="42"/>
  <c r="AP47" i="42"/>
  <c r="AO47" i="42"/>
  <c r="AW47" i="42"/>
  <c r="BA132" i="42"/>
  <c r="AL171" i="42"/>
  <c r="AV171" i="42"/>
  <c r="AP171" i="42"/>
  <c r="AO171" i="42"/>
  <c r="AW171" i="42"/>
  <c r="AQ121" i="42"/>
  <c r="AR121" i="42" s="1"/>
  <c r="AV181" i="42"/>
  <c r="AP181" i="42"/>
  <c r="AO181" i="42"/>
  <c r="AL181" i="42"/>
  <c r="AW181" i="42"/>
  <c r="AO106" i="42"/>
  <c r="AP106" i="42"/>
  <c r="AL106" i="42"/>
  <c r="AV106" i="42"/>
  <c r="AW106" i="42"/>
  <c r="AP306" i="42"/>
  <c r="AO306" i="42"/>
  <c r="AV306" i="42"/>
  <c r="AL306" i="42"/>
  <c r="AW306" i="42"/>
  <c r="AQ303" i="42"/>
  <c r="AR303" i="42" s="1"/>
  <c r="AO146" i="42"/>
  <c r="AL146" i="42"/>
  <c r="AP146" i="42"/>
  <c r="AW146" i="42"/>
  <c r="AP123" i="42"/>
  <c r="AV123" i="42"/>
  <c r="AO123" i="42"/>
  <c r="AL123" i="42"/>
  <c r="AW123" i="42"/>
  <c r="AP192" i="42"/>
  <c r="AO192" i="42"/>
  <c r="AL192" i="42"/>
  <c r="AW192" i="42"/>
  <c r="AV192" i="42"/>
  <c r="AJ268" i="42"/>
  <c r="AI268" i="42"/>
  <c r="BA256" i="42"/>
  <c r="AV169" i="42"/>
  <c r="AL169" i="42"/>
  <c r="AW169" i="42"/>
  <c r="AP169" i="42"/>
  <c r="AO169" i="42"/>
  <c r="AQ71" i="42"/>
  <c r="AR71" i="42" s="1"/>
  <c r="AQ264" i="42"/>
  <c r="AR264" i="42" s="1"/>
  <c r="AQ284" i="42"/>
  <c r="AR284" i="42" s="1"/>
  <c r="AP80" i="42"/>
  <c r="AL80" i="42"/>
  <c r="AV80" i="42"/>
  <c r="AO80" i="42"/>
  <c r="AW80" i="42"/>
  <c r="AV168" i="42"/>
  <c r="AL168" i="42"/>
  <c r="AO168" i="42"/>
  <c r="AP168" i="42"/>
  <c r="AW168" i="42"/>
  <c r="AV82" i="42"/>
  <c r="AL82" i="42"/>
  <c r="AP82" i="42"/>
  <c r="AO82" i="42"/>
  <c r="AW82" i="42"/>
  <c r="AQ236" i="42"/>
  <c r="AR236" i="42" s="1"/>
  <c r="AL311" i="42"/>
  <c r="AP311" i="42"/>
  <c r="AO311" i="42"/>
  <c r="AW311" i="42"/>
  <c r="BA250" i="42"/>
  <c r="AP87" i="42"/>
  <c r="AV87" i="42"/>
  <c r="AO87" i="42"/>
  <c r="AL87" i="42"/>
  <c r="AW87" i="42"/>
  <c r="BA125" i="42"/>
  <c r="AV35" i="42"/>
  <c r="AL35" i="42"/>
  <c r="AO35" i="42"/>
  <c r="AP35" i="42"/>
  <c r="AW35" i="42"/>
  <c r="AJ270" i="42"/>
  <c r="AI270" i="42"/>
  <c r="AV203" i="42"/>
  <c r="AO203" i="42"/>
  <c r="AP203" i="42"/>
  <c r="AL203" i="42"/>
  <c r="AW203" i="42"/>
  <c r="AO241" i="42"/>
  <c r="AL241" i="42"/>
  <c r="AP241" i="42"/>
  <c r="AW241" i="42"/>
  <c r="BA313" i="42"/>
  <c r="BA24" i="42"/>
  <c r="AO244" i="42"/>
  <c r="AL244" i="42"/>
  <c r="AV244" i="42"/>
  <c r="AP244" i="42"/>
  <c r="AW244" i="42"/>
  <c r="AP196" i="42"/>
  <c r="AO196" i="42"/>
  <c r="AL196" i="42"/>
  <c r="AW196" i="42"/>
  <c r="AV226" i="42"/>
  <c r="AP226" i="42"/>
  <c r="AO226" i="42"/>
  <c r="AL226" i="42"/>
  <c r="AW226" i="42"/>
  <c r="AV176" i="42"/>
  <c r="AL176" i="42"/>
  <c r="AO176" i="42"/>
  <c r="AP176" i="42"/>
  <c r="AW176" i="42"/>
  <c r="BA71" i="42"/>
  <c r="AV274" i="42"/>
  <c r="AL274" i="42"/>
  <c r="AO274" i="42"/>
  <c r="AP274" i="42"/>
  <c r="AW274" i="42"/>
  <c r="BA120" i="42"/>
  <c r="AO76" i="42"/>
  <c r="AV76" i="42"/>
  <c r="AP76" i="42"/>
  <c r="AL76" i="42"/>
  <c r="AW76" i="42"/>
  <c r="AQ233" i="42"/>
  <c r="AR233" i="42" s="1"/>
  <c r="AO110" i="42"/>
  <c r="AP110" i="42"/>
  <c r="AV110" i="42"/>
  <c r="AL110" i="42"/>
  <c r="AW110" i="42"/>
  <c r="AQ190" i="42"/>
  <c r="AR190" i="42" s="1"/>
  <c r="AV61" i="42"/>
  <c r="AO61" i="42"/>
  <c r="AL61" i="42"/>
  <c r="AP61" i="42"/>
  <c r="AW61" i="42"/>
  <c r="BA134" i="42"/>
  <c r="AL218" i="42"/>
  <c r="AP218" i="42"/>
  <c r="AO218" i="42"/>
  <c r="AV218" i="42"/>
  <c r="AW218" i="42"/>
  <c r="AQ24" i="42"/>
  <c r="AR24" i="42" s="1"/>
  <c r="AV43" i="42"/>
  <c r="AL43" i="42"/>
  <c r="AP43" i="42"/>
  <c r="AO43" i="42"/>
  <c r="AW43" i="42"/>
  <c r="AO54" i="42"/>
  <c r="AL54" i="42"/>
  <c r="AP54" i="42"/>
  <c r="AW54" i="42"/>
  <c r="AO141" i="42"/>
  <c r="AP141" i="42"/>
  <c r="AL141" i="42"/>
  <c r="AW141" i="42"/>
  <c r="AV193" i="42"/>
  <c r="AL193" i="42"/>
  <c r="AP193" i="42"/>
  <c r="AO193" i="42"/>
  <c r="AW193" i="42"/>
  <c r="BA252" i="42"/>
  <c r="AV240" i="42"/>
  <c r="AL240" i="42"/>
  <c r="AP240" i="42"/>
  <c r="AO240" i="42"/>
  <c r="AW240" i="42"/>
  <c r="AO73" i="42"/>
  <c r="AP73" i="42"/>
  <c r="AL73" i="42"/>
  <c r="AV73" i="42"/>
  <c r="AW73" i="42"/>
  <c r="AO319" i="42"/>
  <c r="AL319" i="42"/>
  <c r="AV319" i="42"/>
  <c r="AP319" i="42"/>
  <c r="AW319" i="42"/>
  <c r="AJ60" i="42"/>
  <c r="AI60" i="42"/>
  <c r="AO98" i="42"/>
  <c r="AP98" i="42"/>
  <c r="AL98" i="42"/>
  <c r="AV98" i="42"/>
  <c r="AW98" i="42"/>
  <c r="AO304" i="42"/>
  <c r="AV304" i="42"/>
  <c r="AP304" i="42"/>
  <c r="AL304" i="42"/>
  <c r="AW304" i="42"/>
  <c r="AL145" i="42"/>
  <c r="AW145" i="42"/>
  <c r="AV145" i="42"/>
  <c r="AP145" i="42"/>
  <c r="AO145" i="42"/>
  <c r="AP13" i="42"/>
  <c r="AV13" i="42"/>
  <c r="AL13" i="42"/>
  <c r="AO13" i="42"/>
  <c r="AW13" i="42"/>
  <c r="AP239" i="42"/>
  <c r="AO239" i="42"/>
  <c r="AL239" i="42"/>
  <c r="AW239" i="42"/>
  <c r="AV55" i="42"/>
  <c r="AL55" i="42"/>
  <c r="AO55" i="42"/>
  <c r="AP55" i="42"/>
  <c r="AW55" i="42"/>
  <c r="AQ120" i="42"/>
  <c r="AR120" i="42" s="1"/>
  <c r="AV315" i="42"/>
  <c r="AL315" i="42"/>
  <c r="AP315" i="42"/>
  <c r="AO315" i="42"/>
  <c r="AW315" i="42"/>
  <c r="AV199" i="42"/>
  <c r="AO199" i="42"/>
  <c r="AL199" i="42"/>
  <c r="AP199" i="42"/>
  <c r="AW199" i="42"/>
  <c r="AL280" i="42"/>
  <c r="AO280" i="42"/>
  <c r="AV280" i="42"/>
  <c r="AP280" i="42"/>
  <c r="AW280" i="42"/>
  <c r="BA190" i="42"/>
  <c r="AV33" i="42"/>
  <c r="AL33" i="42"/>
  <c r="AP33" i="42"/>
  <c r="AO33" i="42"/>
  <c r="AW33" i="42"/>
  <c r="AO154" i="42"/>
  <c r="AV154" i="42"/>
  <c r="AP154" i="42"/>
  <c r="AL154" i="42"/>
  <c r="AW154" i="42"/>
  <c r="AL224" i="42"/>
  <c r="AO224" i="42"/>
  <c r="AP224" i="42"/>
  <c r="AW224" i="42"/>
  <c r="BA28" i="42"/>
  <c r="AL144" i="42"/>
  <c r="AO144" i="42"/>
  <c r="AV144" i="42"/>
  <c r="AP144" i="42"/>
  <c r="AW144" i="42"/>
  <c r="AP44" i="42"/>
  <c r="AV44" i="42"/>
  <c r="AO44" i="42"/>
  <c r="AL44" i="42"/>
  <c r="AW44" i="42"/>
  <c r="AV276" i="42"/>
  <c r="AL276" i="42"/>
  <c r="AO276" i="42"/>
  <c r="AP276" i="42"/>
  <c r="AW276" i="42"/>
  <c r="AP77" i="42"/>
  <c r="AV77" i="42"/>
  <c r="AO77" i="42"/>
  <c r="AL77" i="42"/>
  <c r="AW77" i="42"/>
  <c r="AP40" i="42"/>
  <c r="AO40" i="42"/>
  <c r="AL40" i="42"/>
  <c r="AW40" i="42"/>
  <c r="AV40" i="42"/>
  <c r="AQ251" i="42"/>
  <c r="AR251" i="42" s="1"/>
  <c r="AI26" i="42"/>
  <c r="AA103" i="42"/>
  <c r="Z8" i="42"/>
  <c r="AQ256" i="42"/>
  <c r="AR256" i="42" s="1"/>
  <c r="AP48" i="42"/>
  <c r="AL48" i="42"/>
  <c r="AO48" i="42"/>
  <c r="AV48" i="42"/>
  <c r="AW48" i="42"/>
  <c r="AO93" i="42"/>
  <c r="AL93" i="42"/>
  <c r="AP93" i="42"/>
  <c r="AV93" i="42"/>
  <c r="AW93" i="42"/>
  <c r="BA153" i="42"/>
  <c r="AV172" i="42"/>
  <c r="AL172" i="42"/>
  <c r="AP172" i="42"/>
  <c r="AO172" i="42"/>
  <c r="AW172" i="42"/>
  <c r="AQ132" i="42"/>
  <c r="AR132" i="42" s="1"/>
  <c r="AP79" i="42"/>
  <c r="AV79" i="42"/>
  <c r="AL79" i="42"/>
  <c r="AO79" i="42"/>
  <c r="AW79" i="42"/>
  <c r="AO118" i="42"/>
  <c r="AP118" i="42"/>
  <c r="AV118" i="42"/>
  <c r="AL118" i="42"/>
  <c r="AW118" i="42"/>
  <c r="AV39" i="42"/>
  <c r="AL39" i="42"/>
  <c r="AP39" i="42"/>
  <c r="AO39" i="42"/>
  <c r="AW39" i="42"/>
  <c r="BA233" i="42"/>
  <c r="AP195" i="42"/>
  <c r="AO195" i="42"/>
  <c r="AV195" i="42"/>
  <c r="AL195" i="42"/>
  <c r="AW195" i="42"/>
  <c r="AO162" i="42"/>
  <c r="AV162" i="42"/>
  <c r="AL162" i="42"/>
  <c r="AP162" i="42"/>
  <c r="AW162" i="42"/>
  <c r="AQ28" i="42"/>
  <c r="AR28" i="42" s="1"/>
  <c r="AO223" i="42"/>
  <c r="AL223" i="42"/>
  <c r="AP223" i="42"/>
  <c r="AV223" i="42"/>
  <c r="AW223" i="42"/>
  <c r="AP36" i="42" l="1"/>
  <c r="AO36" i="42"/>
  <c r="AL36" i="42"/>
  <c r="AW36" i="42"/>
  <c r="AV51" i="42"/>
  <c r="BA51" i="42" s="1"/>
  <c r="AW51" i="42"/>
  <c r="AP209" i="42"/>
  <c r="AQ209" i="42" s="1"/>
  <c r="AR209" i="42" s="1"/>
  <c r="AL51" i="42"/>
  <c r="AL267" i="42"/>
  <c r="AV242" i="42"/>
  <c r="BA242" i="42" s="1"/>
  <c r="AP242" i="42"/>
  <c r="AO180" i="42"/>
  <c r="AL180" i="42"/>
  <c r="AW97" i="42"/>
  <c r="AO97" i="42"/>
  <c r="BA65" i="42"/>
  <c r="AV97" i="42"/>
  <c r="BA97" i="42" s="1"/>
  <c r="AP97" i="42"/>
  <c r="AQ97" i="42" s="1"/>
  <c r="AR97" i="42" s="1"/>
  <c r="AP228" i="42"/>
  <c r="AL242" i="42"/>
  <c r="AO242" i="42"/>
  <c r="BA62" i="42"/>
  <c r="BA155" i="42"/>
  <c r="AW180" i="42"/>
  <c r="AO267" i="42"/>
  <c r="AP267" i="42"/>
  <c r="AQ267" i="42" s="1"/>
  <c r="AR267" i="42" s="1"/>
  <c r="AW312" i="42"/>
  <c r="AW221" i="42"/>
  <c r="AO221" i="42"/>
  <c r="AV221" i="42"/>
  <c r="AP221" i="42"/>
  <c r="AQ221" i="42" s="1"/>
  <c r="AR221" i="42" s="1"/>
  <c r="AP183" i="42"/>
  <c r="AQ183" i="42" s="1"/>
  <c r="AR183" i="42" s="1"/>
  <c r="AV183" i="42"/>
  <c r="BA183" i="42" s="1"/>
  <c r="AL183" i="42"/>
  <c r="AW183" i="42"/>
  <c r="AP243" i="42"/>
  <c r="AQ243" i="42" s="1"/>
  <c r="AR243" i="42" s="1"/>
  <c r="AW220" i="42"/>
  <c r="AV220" i="42"/>
  <c r="BA220" i="42" s="1"/>
  <c r="AW228" i="42"/>
  <c r="BA209" i="42"/>
  <c r="AO228" i="42"/>
  <c r="AP220" i="42"/>
  <c r="AQ220" i="42" s="1"/>
  <c r="AR220" i="42" s="1"/>
  <c r="AO220" i="42"/>
  <c r="AW267" i="42"/>
  <c r="AL228" i="42"/>
  <c r="AP198" i="42"/>
  <c r="AQ198" i="42" s="1"/>
  <c r="AR198" i="42" s="1"/>
  <c r="AW198" i="42"/>
  <c r="AO198" i="42"/>
  <c r="AL198" i="42"/>
  <c r="AV198" i="42"/>
  <c r="BS8" i="42"/>
  <c r="AO257" i="42"/>
  <c r="AO243" i="42"/>
  <c r="AO51" i="42"/>
  <c r="AJ230" i="42"/>
  <c r="AP230" i="42" s="1"/>
  <c r="AQ230" i="42" s="1"/>
  <c r="AR230" i="42" s="1"/>
  <c r="AV243" i="42"/>
  <c r="AW243" i="42"/>
  <c r="AV92" i="42"/>
  <c r="AW92" i="42"/>
  <c r="AP92" i="42"/>
  <c r="AQ92" i="42" s="1"/>
  <c r="AR92" i="42" s="1"/>
  <c r="AL92" i="42"/>
  <c r="AO92" i="42"/>
  <c r="AW237" i="42"/>
  <c r="BA229" i="42"/>
  <c r="AJ205" i="42"/>
  <c r="AV205" i="42" s="1"/>
  <c r="AL312" i="42"/>
  <c r="AJ91" i="42"/>
  <c r="AP91" i="42" s="1"/>
  <c r="AV312" i="42"/>
  <c r="AO312" i="42"/>
  <c r="BA122" i="42"/>
  <c r="AL209" i="42"/>
  <c r="AO209" i="42"/>
  <c r="AW209" i="42"/>
  <c r="AJ53" i="42"/>
  <c r="AV53" i="42" s="1"/>
  <c r="AW253" i="42"/>
  <c r="AO253" i="42"/>
  <c r="AP253" i="42"/>
  <c r="AQ253" i="42" s="1"/>
  <c r="AR253" i="42" s="1"/>
  <c r="AV253" i="42"/>
  <c r="BA253" i="42" s="1"/>
  <c r="AJ152" i="42"/>
  <c r="AV152" i="42" s="1"/>
  <c r="AI267" i="42"/>
  <c r="AW288" i="42"/>
  <c r="AP288" i="42"/>
  <c r="AQ288" i="42" s="1"/>
  <c r="AR288" i="42" s="1"/>
  <c r="AW31" i="42"/>
  <c r="AJ281" i="42"/>
  <c r="AL281" i="42" s="1"/>
  <c r="AO31" i="42"/>
  <c r="AP31" i="42"/>
  <c r="AQ31" i="42" s="1"/>
  <c r="AR31" i="42" s="1"/>
  <c r="AJ88" i="42"/>
  <c r="AO88" i="42" s="1"/>
  <c r="AL31" i="42"/>
  <c r="AL288" i="42"/>
  <c r="AO288" i="42"/>
  <c r="AO85" i="42"/>
  <c r="AP85" i="42"/>
  <c r="AQ85" i="42" s="1"/>
  <c r="AR85" i="42" s="1"/>
  <c r="AL85" i="42"/>
  <c r="AW85" i="42"/>
  <c r="AV85" i="42"/>
  <c r="AL160" i="42"/>
  <c r="AP257" i="42"/>
  <c r="AQ257" i="42" s="1"/>
  <c r="AR257" i="42" s="1"/>
  <c r="AW96" i="42"/>
  <c r="AV257" i="42"/>
  <c r="BA257" i="42" s="1"/>
  <c r="AW257" i="42"/>
  <c r="BA99" i="42"/>
  <c r="AI186" i="42"/>
  <c r="AJ186" i="42"/>
  <c r="AV160" i="42"/>
  <c r="AV96" i="42"/>
  <c r="AO96" i="42"/>
  <c r="AL96" i="42"/>
  <c r="AW160" i="42"/>
  <c r="AL157" i="42"/>
  <c r="AW157" i="42"/>
  <c r="AV157" i="42"/>
  <c r="AO157" i="42"/>
  <c r="AP157" i="42"/>
  <c r="AQ157" i="42" s="1"/>
  <c r="AR157" i="42" s="1"/>
  <c r="AO160" i="42"/>
  <c r="AJ57" i="42"/>
  <c r="AV57" i="42" s="1"/>
  <c r="AV16" i="42"/>
  <c r="AO16" i="42"/>
  <c r="AW16" i="42"/>
  <c r="AL16" i="42"/>
  <c r="AP16" i="42"/>
  <c r="AQ16" i="42" s="1"/>
  <c r="AR16" i="42" s="1"/>
  <c r="AL237" i="42"/>
  <c r="AO237" i="42"/>
  <c r="AP237" i="42"/>
  <c r="AQ237" i="42" s="1"/>
  <c r="AR237" i="42" s="1"/>
  <c r="AP139" i="42"/>
  <c r="AQ139" i="42" s="1"/>
  <c r="AR139" i="42" s="1"/>
  <c r="AO139" i="42"/>
  <c r="AW139" i="42"/>
  <c r="AL139" i="42"/>
  <c r="AI188" i="42"/>
  <c r="AJ188" i="42"/>
  <c r="AV235" i="42"/>
  <c r="AL235" i="42"/>
  <c r="AO235" i="42"/>
  <c r="AP235" i="42"/>
  <c r="AQ235" i="42" s="1"/>
  <c r="AR235" i="42" s="1"/>
  <c r="AW235" i="42"/>
  <c r="AV258" i="42"/>
  <c r="AP258" i="42"/>
  <c r="AQ258" i="42" s="1"/>
  <c r="AR258" i="42" s="1"/>
  <c r="AO258" i="42"/>
  <c r="AW258" i="42"/>
  <c r="AL258" i="42"/>
  <c r="AJ140" i="42"/>
  <c r="BA237" i="42"/>
  <c r="AJ297" i="42"/>
  <c r="AP297" i="42" s="1"/>
  <c r="AJ163" i="42"/>
  <c r="AI163" i="42"/>
  <c r="AV74" i="42"/>
  <c r="AL74" i="42"/>
  <c r="AP74" i="42"/>
  <c r="AQ74" i="42" s="1"/>
  <c r="AR74" i="42" s="1"/>
  <c r="AO74" i="42"/>
  <c r="AW74" i="42"/>
  <c r="BA178" i="42"/>
  <c r="AJ265" i="42"/>
  <c r="AI265" i="42"/>
  <c r="AO69" i="42"/>
  <c r="AV69" i="42"/>
  <c r="AP69" i="42"/>
  <c r="AQ69" i="42" s="1"/>
  <c r="AR69" i="42" s="1"/>
  <c r="AW69" i="42"/>
  <c r="AL69" i="42"/>
  <c r="AO63" i="42"/>
  <c r="AP63" i="42"/>
  <c r="AQ63" i="42" s="1"/>
  <c r="AR63" i="42" s="1"/>
  <c r="AW63" i="42"/>
  <c r="AL63" i="42"/>
  <c r="AW30" i="42"/>
  <c r="AV30" i="42"/>
  <c r="AO30" i="42"/>
  <c r="AL30" i="42"/>
  <c r="AP30" i="42"/>
  <c r="AQ30" i="42" s="1"/>
  <c r="AR30" i="42" s="1"/>
  <c r="AJ269" i="42"/>
  <c r="AO269" i="42" s="1"/>
  <c r="AJ314" i="42"/>
  <c r="AI314" i="42"/>
  <c r="AO255" i="42"/>
  <c r="AV255" i="42"/>
  <c r="AP255" i="42"/>
  <c r="AQ255" i="42" s="1"/>
  <c r="AR255" i="42" s="1"/>
  <c r="AL255" i="42"/>
  <c r="AW255" i="42"/>
  <c r="AO170" i="42"/>
  <c r="AV170" i="42"/>
  <c r="AP170" i="42"/>
  <c r="AQ170" i="42" s="1"/>
  <c r="AR170" i="42" s="1"/>
  <c r="AL170" i="42"/>
  <c r="AW170" i="42"/>
  <c r="AV50" i="42"/>
  <c r="AP50" i="42"/>
  <c r="AQ50" i="42" s="1"/>
  <c r="AR50" i="42" s="1"/>
  <c r="AO50" i="42"/>
  <c r="AW50" i="42"/>
  <c r="AL50" i="42"/>
  <c r="AO295" i="42"/>
  <c r="AW295" i="42"/>
  <c r="AV295" i="42"/>
  <c r="AL295" i="42"/>
  <c r="AP295" i="42"/>
  <c r="AQ295" i="42" s="1"/>
  <c r="AR295" i="42" s="1"/>
  <c r="AP151" i="42"/>
  <c r="AQ151" i="42" s="1"/>
  <c r="AR151" i="42" s="1"/>
  <c r="AO151" i="42"/>
  <c r="AL151" i="42"/>
  <c r="AV151" i="42"/>
  <c r="AW151" i="42"/>
  <c r="AV49" i="42"/>
  <c r="AL49" i="42"/>
  <c r="AP49" i="42"/>
  <c r="AQ49" i="42" s="1"/>
  <c r="AR49" i="42" s="1"/>
  <c r="AO49" i="42"/>
  <c r="AW49" i="42"/>
  <c r="AL261" i="42"/>
  <c r="AV261" i="42"/>
  <c r="AP261" i="42"/>
  <c r="AQ261" i="42" s="1"/>
  <c r="AR261" i="42" s="1"/>
  <c r="AO261" i="42"/>
  <c r="AW261" i="42"/>
  <c r="AV164" i="42"/>
  <c r="AL164" i="42"/>
  <c r="AP164" i="42"/>
  <c r="AQ164" i="42" s="1"/>
  <c r="AR164" i="42" s="1"/>
  <c r="AO164" i="42"/>
  <c r="AW164" i="42"/>
  <c r="AL12" i="42"/>
  <c r="AW12" i="42"/>
  <c r="AO12" i="42"/>
  <c r="AP12" i="42"/>
  <c r="AQ12" i="42" s="1"/>
  <c r="AR12" i="42" s="1"/>
  <c r="AW214" i="42"/>
  <c r="AP214" i="42"/>
  <c r="AQ214" i="42" s="1"/>
  <c r="AR214" i="42" s="1"/>
  <c r="AO214" i="42"/>
  <c r="AL214" i="42"/>
  <c r="AL201" i="42"/>
  <c r="AP201" i="42"/>
  <c r="AQ201" i="42" s="1"/>
  <c r="AR201" i="42" s="1"/>
  <c r="AO201" i="42"/>
  <c r="AW201" i="42"/>
  <c r="AV201" i="42"/>
  <c r="AW38" i="42"/>
  <c r="AO38" i="42"/>
  <c r="AV38" i="42"/>
  <c r="AP38" i="42"/>
  <c r="AQ38" i="42" s="1"/>
  <c r="AR38" i="42" s="1"/>
  <c r="AL38" i="42"/>
  <c r="AO212" i="42"/>
  <c r="AL212" i="42"/>
  <c r="AV212" i="42"/>
  <c r="AP212" i="42"/>
  <c r="AQ212" i="42" s="1"/>
  <c r="AR212" i="42" s="1"/>
  <c r="AW212" i="42"/>
  <c r="AL78" i="42"/>
  <c r="AO78" i="42"/>
  <c r="AP78" i="42"/>
  <c r="AQ78" i="42" s="1"/>
  <c r="AR78" i="42" s="1"/>
  <c r="AW78" i="42"/>
  <c r="AV78" i="42"/>
  <c r="AL72" i="42"/>
  <c r="AV72" i="42"/>
  <c r="AO72" i="42"/>
  <c r="AP72" i="42"/>
  <c r="AQ72" i="42" s="1"/>
  <c r="AR72" i="42" s="1"/>
  <c r="AW72" i="42"/>
  <c r="AW167" i="42"/>
  <c r="AL167" i="42"/>
  <c r="AV167" i="42"/>
  <c r="AP167" i="42"/>
  <c r="AQ167" i="42" s="1"/>
  <c r="AR167" i="42" s="1"/>
  <c r="AO167" i="42"/>
  <c r="AP254" i="42"/>
  <c r="AQ254" i="42" s="1"/>
  <c r="AR254" i="42" s="1"/>
  <c r="AV254" i="42"/>
  <c r="AO254" i="42"/>
  <c r="AL254" i="42"/>
  <c r="AW254" i="42"/>
  <c r="AV272" i="42"/>
  <c r="AL272" i="42"/>
  <c r="AP272" i="42"/>
  <c r="AO272" i="42"/>
  <c r="AW272" i="42"/>
  <c r="AV46" i="42"/>
  <c r="AP46" i="42"/>
  <c r="AO46" i="42"/>
  <c r="AW46" i="42"/>
  <c r="AL46" i="42"/>
  <c r="AL262" i="42"/>
  <c r="AV262" i="42"/>
  <c r="AO262" i="42"/>
  <c r="AP262" i="42"/>
  <c r="AQ262" i="42" s="1"/>
  <c r="AR262" i="42" s="1"/>
  <c r="AW262" i="42"/>
  <c r="BA68" i="42"/>
  <c r="AI187" i="42"/>
  <c r="AO94" i="42"/>
  <c r="AV94" i="42"/>
  <c r="AP94" i="42"/>
  <c r="AQ94" i="42" s="1"/>
  <c r="AR94" i="42" s="1"/>
  <c r="AL94" i="42"/>
  <c r="AW94" i="42"/>
  <c r="AO207" i="42"/>
  <c r="AV207" i="42"/>
  <c r="AL207" i="42"/>
  <c r="AP207" i="42"/>
  <c r="AQ207" i="42" s="1"/>
  <c r="AR207" i="42" s="1"/>
  <c r="AW207" i="42"/>
  <c r="AV161" i="42"/>
  <c r="AL161" i="42"/>
  <c r="AP161" i="42"/>
  <c r="AO161" i="42"/>
  <c r="AW161" i="42"/>
  <c r="AV59" i="42"/>
  <c r="AL59" i="42"/>
  <c r="AO59" i="42"/>
  <c r="AW59" i="42"/>
  <c r="AP59" i="42"/>
  <c r="AQ59" i="42" s="1"/>
  <c r="AR59" i="42" s="1"/>
  <c r="AP298" i="42"/>
  <c r="AQ298" i="42" s="1"/>
  <c r="AR298" i="42" s="1"/>
  <c r="AO298" i="42"/>
  <c r="AL298" i="42"/>
  <c r="AV298" i="42"/>
  <c r="AW298" i="42"/>
  <c r="AL29" i="42"/>
  <c r="AP29" i="42"/>
  <c r="AQ29" i="42" s="1"/>
  <c r="AR29" i="42" s="1"/>
  <c r="AO29" i="42"/>
  <c r="AV29" i="42"/>
  <c r="AW29" i="42"/>
  <c r="AW126" i="42"/>
  <c r="AO126" i="42"/>
  <c r="AP126" i="42"/>
  <c r="AL126" i="42"/>
  <c r="AV126" i="42"/>
  <c r="AV111" i="42"/>
  <c r="AO111" i="42"/>
  <c r="AL111" i="42"/>
  <c r="AW111" i="42"/>
  <c r="AP111" i="42"/>
  <c r="AQ111" i="42" s="1"/>
  <c r="AR111" i="42" s="1"/>
  <c r="AL283" i="42"/>
  <c r="AV283" i="42"/>
  <c r="AP283" i="42"/>
  <c r="AQ283" i="42" s="1"/>
  <c r="AR283" i="42" s="1"/>
  <c r="AW283" i="42"/>
  <c r="AO283" i="42"/>
  <c r="AJ316" i="42"/>
  <c r="AI316" i="42"/>
  <c r="AL42" i="42"/>
  <c r="AW42" i="42"/>
  <c r="AP42" i="42"/>
  <c r="AQ42" i="42" s="1"/>
  <c r="AR42" i="42" s="1"/>
  <c r="AO42" i="42"/>
  <c r="AV42" i="42"/>
  <c r="AI238" i="42"/>
  <c r="AJ238" i="42"/>
  <c r="AJ301" i="42"/>
  <c r="AI301" i="42"/>
  <c r="AV83" i="42"/>
  <c r="AW83" i="42"/>
  <c r="AP83" i="42"/>
  <c r="AQ83" i="42" s="1"/>
  <c r="AR83" i="42" s="1"/>
  <c r="AO83" i="42"/>
  <c r="AL83" i="42"/>
  <c r="AV11" i="42"/>
  <c r="AL11" i="42"/>
  <c r="AP11" i="42"/>
  <c r="AO11" i="42"/>
  <c r="AW11" i="42"/>
  <c r="AP263" i="42"/>
  <c r="AQ263" i="42" s="1"/>
  <c r="AR263" i="42" s="1"/>
  <c r="AO263" i="42"/>
  <c r="AV263" i="42"/>
  <c r="AL263" i="42"/>
  <c r="AW263" i="42"/>
  <c r="AO133" i="42"/>
  <c r="AW133" i="42"/>
  <c r="AP133" i="42"/>
  <c r="AQ133" i="42" s="1"/>
  <c r="AR133" i="42" s="1"/>
  <c r="AL133" i="42"/>
  <c r="AL41" i="42"/>
  <c r="AW41" i="42"/>
  <c r="AO41" i="42"/>
  <c r="AV41" i="42"/>
  <c r="AP41" i="42"/>
  <c r="AQ41" i="42" s="1"/>
  <c r="AR41" i="42" s="1"/>
  <c r="AV147" i="42"/>
  <c r="AP147" i="42"/>
  <c r="AQ147" i="42" s="1"/>
  <c r="AR147" i="42" s="1"/>
  <c r="AO147" i="42"/>
  <c r="AL147" i="42"/>
  <c r="AW147" i="42"/>
  <c r="BA232" i="42"/>
  <c r="AW27" i="42"/>
  <c r="AV27" i="42"/>
  <c r="AL27" i="42"/>
  <c r="AP27" i="42"/>
  <c r="AQ27" i="42" s="1"/>
  <c r="AR27" i="42" s="1"/>
  <c r="AO27" i="42"/>
  <c r="AL296" i="42"/>
  <c r="AP296" i="42"/>
  <c r="AQ296" i="42" s="1"/>
  <c r="AR296" i="42" s="1"/>
  <c r="AO296" i="42"/>
  <c r="AW296" i="42"/>
  <c r="AV296" i="42"/>
  <c r="AO129" i="42"/>
  <c r="AW129" i="42"/>
  <c r="AP129" i="42"/>
  <c r="AQ129" i="42" s="1"/>
  <c r="AR129" i="42" s="1"/>
  <c r="AL129" i="42"/>
  <c r="AV129" i="42"/>
  <c r="AP234" i="42"/>
  <c r="AQ234" i="42" s="1"/>
  <c r="AR234" i="42" s="1"/>
  <c r="AO234" i="42"/>
  <c r="AL234" i="42"/>
  <c r="AV234" i="42"/>
  <c r="AW234" i="42"/>
  <c r="AI56" i="42"/>
  <c r="AJ56" i="42"/>
  <c r="AV90" i="42"/>
  <c r="AL90" i="42"/>
  <c r="AO90" i="42"/>
  <c r="AP90" i="42"/>
  <c r="AQ90" i="42" s="1"/>
  <c r="AR90" i="42" s="1"/>
  <c r="AW90" i="42"/>
  <c r="AP246" i="42"/>
  <c r="AO246" i="42"/>
  <c r="AL246" i="42"/>
  <c r="AV246" i="42"/>
  <c r="AW246" i="42"/>
  <c r="AL14" i="42"/>
  <c r="AP14" i="42"/>
  <c r="AQ14" i="42" s="1"/>
  <c r="AR14" i="42" s="1"/>
  <c r="AO14" i="42"/>
  <c r="AW14" i="42"/>
  <c r="BA95" i="42"/>
  <c r="AP45" i="42"/>
  <c r="AQ45" i="42" s="1"/>
  <c r="AR45" i="42" s="1"/>
  <c r="AO45" i="42"/>
  <c r="AL45" i="42"/>
  <c r="AV45" i="42"/>
  <c r="AW45" i="42"/>
  <c r="AI112" i="42"/>
  <c r="AJ112" i="42"/>
  <c r="AO184" i="42"/>
  <c r="AW184" i="42"/>
  <c r="AV184" i="42"/>
  <c r="AL184" i="42"/>
  <c r="AP184" i="42"/>
  <c r="AQ184" i="42" s="1"/>
  <c r="AR184" i="42" s="1"/>
  <c r="AO309" i="42"/>
  <c r="AV309" i="42"/>
  <c r="AL309" i="42"/>
  <c r="AP309" i="42"/>
  <c r="AQ309" i="42" s="1"/>
  <c r="AR309" i="42" s="1"/>
  <c r="AW309" i="42"/>
  <c r="AW150" i="42"/>
  <c r="AO150" i="42"/>
  <c r="AP150" i="42"/>
  <c r="AQ150" i="42" s="1"/>
  <c r="AR150" i="42" s="1"/>
  <c r="AL150" i="42"/>
  <c r="AV150" i="42"/>
  <c r="AP294" i="42"/>
  <c r="AQ294" i="42" s="1"/>
  <c r="AR294" i="42" s="1"/>
  <c r="AL294" i="42"/>
  <c r="AO294" i="42"/>
  <c r="AV294" i="42"/>
  <c r="AW294" i="42"/>
  <c r="AL34" i="42"/>
  <c r="AP34" i="42"/>
  <c r="AQ34" i="42" s="1"/>
  <c r="AR34" i="42" s="1"/>
  <c r="AV34" i="42"/>
  <c r="AO34" i="42"/>
  <c r="AW34" i="42"/>
  <c r="AJ158" i="42"/>
  <c r="AI158" i="42"/>
  <c r="BA20" i="42"/>
  <c r="AO318" i="42"/>
  <c r="AW318" i="42"/>
  <c r="AV318" i="42"/>
  <c r="AL318" i="42"/>
  <c r="AP318" i="42"/>
  <c r="AQ318" i="42" s="1"/>
  <c r="AR318" i="42" s="1"/>
  <c r="AW227" i="42"/>
  <c r="AP227" i="42"/>
  <c r="AO227" i="42"/>
  <c r="AL227" i="42"/>
  <c r="AP105" i="42"/>
  <c r="AV105" i="42"/>
  <c r="AL105" i="42"/>
  <c r="AW105" i="42"/>
  <c r="AO105" i="42"/>
  <c r="AO245" i="42"/>
  <c r="AP245" i="42"/>
  <c r="AQ245" i="42" s="1"/>
  <c r="AR245" i="42" s="1"/>
  <c r="AL245" i="42"/>
  <c r="AV245" i="42"/>
  <c r="AW245" i="42"/>
  <c r="AJ208" i="42"/>
  <c r="AI208" i="42"/>
  <c r="AO293" i="42"/>
  <c r="AW293" i="42"/>
  <c r="AP293" i="42"/>
  <c r="AQ293" i="42" s="1"/>
  <c r="AR293" i="42" s="1"/>
  <c r="AV293" i="42"/>
  <c r="AL293" i="42"/>
  <c r="BA271" i="42"/>
  <c r="AO189" i="42"/>
  <c r="AL189" i="42"/>
  <c r="AW189" i="42"/>
  <c r="AV189" i="42"/>
  <c r="AP189" i="42"/>
  <c r="AQ189" i="42" s="1"/>
  <c r="AR189" i="42" s="1"/>
  <c r="AV19" i="42"/>
  <c r="AL19" i="42"/>
  <c r="AP19" i="42"/>
  <c r="AQ19" i="42" s="1"/>
  <c r="AR19" i="42" s="1"/>
  <c r="AO19" i="42"/>
  <c r="AW19" i="42"/>
  <c r="AQ115" i="42"/>
  <c r="AR115" i="42" s="1"/>
  <c r="AW109" i="42"/>
  <c r="AO109" i="42"/>
  <c r="AV109" i="42"/>
  <c r="AP109" i="42"/>
  <c r="AL109" i="42"/>
  <c r="AO278" i="42"/>
  <c r="AL278" i="42"/>
  <c r="AW278" i="42"/>
  <c r="AP278" i="42"/>
  <c r="AQ278" i="42" s="1"/>
  <c r="AR278" i="42" s="1"/>
  <c r="AO174" i="42"/>
  <c r="AV174" i="42"/>
  <c r="AP174" i="42"/>
  <c r="AQ174" i="42" s="1"/>
  <c r="AR174" i="42" s="1"/>
  <c r="AL174" i="42"/>
  <c r="AW174" i="42"/>
  <c r="BA64" i="42"/>
  <c r="AI124" i="42"/>
  <c r="AJ124" i="42"/>
  <c r="AP84" i="42"/>
  <c r="AQ84" i="42" s="1"/>
  <c r="AR84" i="42" s="1"/>
  <c r="AO84" i="42"/>
  <c r="AL84" i="42"/>
  <c r="AW84" i="42"/>
  <c r="AV84" i="42"/>
  <c r="AP149" i="42"/>
  <c r="AQ149" i="42" s="1"/>
  <c r="AR149" i="42" s="1"/>
  <c r="AO149" i="42"/>
  <c r="AL149" i="42"/>
  <c r="AV149" i="42"/>
  <c r="AW149" i="42"/>
  <c r="AP279" i="42"/>
  <c r="AL279" i="42"/>
  <c r="AW279" i="42"/>
  <c r="AO279" i="42"/>
  <c r="AV279" i="42"/>
  <c r="AL211" i="42"/>
  <c r="AW211" i="42"/>
  <c r="AO211" i="42"/>
  <c r="AP211" i="42"/>
  <c r="AQ211" i="42" s="1"/>
  <c r="AR211" i="42" s="1"/>
  <c r="AV211" i="42"/>
  <c r="AI15" i="42"/>
  <c r="AJ15" i="42"/>
  <c r="AO185" i="42"/>
  <c r="AL185" i="42"/>
  <c r="AW185" i="42"/>
  <c r="AV185" i="42"/>
  <c r="AP185" i="42"/>
  <c r="AQ185" i="42" s="1"/>
  <c r="AR185" i="42" s="1"/>
  <c r="AO165" i="42"/>
  <c r="AL165" i="42"/>
  <c r="AV165" i="42"/>
  <c r="AW165" i="42"/>
  <c r="AP165" i="42"/>
  <c r="AI136" i="42"/>
  <c r="AJ136" i="42"/>
  <c r="AV222" i="42"/>
  <c r="AP222" i="42"/>
  <c r="AQ222" i="42" s="1"/>
  <c r="AR222" i="42" s="1"/>
  <c r="AW222" i="42"/>
  <c r="AO222" i="42"/>
  <c r="AL222" i="42"/>
  <c r="AO114" i="42"/>
  <c r="AP114" i="42"/>
  <c r="AQ114" i="42" s="1"/>
  <c r="AR114" i="42" s="1"/>
  <c r="AL114" i="42"/>
  <c r="AV114" i="42"/>
  <c r="AW114" i="42"/>
  <c r="AO130" i="42"/>
  <c r="AP130" i="42"/>
  <c r="AQ130" i="42" s="1"/>
  <c r="AR130" i="42" s="1"/>
  <c r="AL130" i="42"/>
  <c r="AW130" i="42"/>
  <c r="BA247" i="42"/>
  <c r="AV197" i="42"/>
  <c r="AL197" i="42"/>
  <c r="AO197" i="42"/>
  <c r="AP197" i="42"/>
  <c r="AQ197" i="42" s="1"/>
  <c r="AR197" i="42" s="1"/>
  <c r="AW197" i="42"/>
  <c r="AP128" i="42"/>
  <c r="AQ128" i="42" s="1"/>
  <c r="AR128" i="42" s="1"/>
  <c r="AO128" i="42"/>
  <c r="AL128" i="42"/>
  <c r="AW128" i="42"/>
  <c r="AO175" i="42"/>
  <c r="AW175" i="42"/>
  <c r="AL175" i="42"/>
  <c r="AP175" i="42"/>
  <c r="AQ175" i="42" s="1"/>
  <c r="AR175" i="42" s="1"/>
  <c r="AV175" i="42"/>
  <c r="AP200" i="42"/>
  <c r="AQ200" i="42" s="1"/>
  <c r="AR200" i="42" s="1"/>
  <c r="AW200" i="42"/>
  <c r="AO200" i="42"/>
  <c r="AL200" i="42"/>
  <c r="AV200" i="42"/>
  <c r="AJ101" i="42"/>
  <c r="AI101" i="42"/>
  <c r="AP17" i="42"/>
  <c r="AQ17" i="42" s="1"/>
  <c r="AR17" i="42" s="1"/>
  <c r="AL17" i="42"/>
  <c r="AV17" i="42"/>
  <c r="AW17" i="42"/>
  <c r="AO17" i="42"/>
  <c r="AL215" i="42"/>
  <c r="AW215" i="42"/>
  <c r="AV215" i="42"/>
  <c r="AO215" i="42"/>
  <c r="AP215" i="42"/>
  <c r="AQ215" i="42" s="1"/>
  <c r="AR215" i="42" s="1"/>
  <c r="AO102" i="42"/>
  <c r="AP102" i="42"/>
  <c r="AV102" i="42"/>
  <c r="AL102" i="42"/>
  <c r="AW102" i="42"/>
  <c r="AV231" i="42"/>
  <c r="AL231" i="42"/>
  <c r="AO231" i="42"/>
  <c r="AW231" i="42"/>
  <c r="AP231" i="42"/>
  <c r="AQ231" i="42" s="1"/>
  <c r="AR231" i="42" s="1"/>
  <c r="AW249" i="42"/>
  <c r="AO249" i="42"/>
  <c r="AP249" i="42"/>
  <c r="AQ249" i="42" s="1"/>
  <c r="AR249" i="42" s="1"/>
  <c r="AL249" i="42"/>
  <c r="AV127" i="42"/>
  <c r="AO127" i="42"/>
  <c r="AL127" i="42"/>
  <c r="AW127" i="42"/>
  <c r="AP127" i="42"/>
  <c r="AQ127" i="42" s="1"/>
  <c r="AR127" i="42" s="1"/>
  <c r="AI287" i="42"/>
  <c r="AJ287" i="42"/>
  <c r="AP302" i="42"/>
  <c r="AQ302" i="42" s="1"/>
  <c r="AR302" i="42" s="1"/>
  <c r="AL302" i="42"/>
  <c r="AO302" i="42"/>
  <c r="AV302" i="42"/>
  <c r="AW302" i="42"/>
  <c r="AW89" i="42"/>
  <c r="AL89" i="42"/>
  <c r="AV89" i="42"/>
  <c r="AP89" i="42"/>
  <c r="AQ89" i="42" s="1"/>
  <c r="AR89" i="42" s="1"/>
  <c r="AO89" i="42"/>
  <c r="AW37" i="42"/>
  <c r="AL37" i="42"/>
  <c r="AV37" i="42"/>
  <c r="AP37" i="42"/>
  <c r="AQ37" i="42" s="1"/>
  <c r="AR37" i="42" s="1"/>
  <c r="AO37" i="42"/>
  <c r="AV219" i="42"/>
  <c r="AL219" i="42"/>
  <c r="AP219" i="42"/>
  <c r="AO219" i="42"/>
  <c r="AW219" i="42"/>
  <c r="AP10" i="42"/>
  <c r="AQ10" i="42" s="1"/>
  <c r="AR10" i="42" s="1"/>
  <c r="AW10" i="42"/>
  <c r="AO10" i="42"/>
  <c r="AL10" i="42"/>
  <c r="AV10" i="42"/>
  <c r="AQ135" i="42"/>
  <c r="AR135" i="42" s="1"/>
  <c r="AP119" i="42"/>
  <c r="AQ119" i="42" s="1"/>
  <c r="AR119" i="42" s="1"/>
  <c r="AV119" i="42"/>
  <c r="AL119" i="42"/>
  <c r="AO119" i="42"/>
  <c r="AW119" i="42"/>
  <c r="AP67" i="42"/>
  <c r="AQ67" i="42" s="1"/>
  <c r="AR67" i="42" s="1"/>
  <c r="AV67" i="42"/>
  <c r="AL67" i="42"/>
  <c r="AO67" i="42"/>
  <c r="AW67" i="42"/>
  <c r="AI213" i="42"/>
  <c r="AJ213" i="42"/>
  <c r="AQ20" i="42"/>
  <c r="AR20" i="42" s="1"/>
  <c r="BA115" i="42"/>
  <c r="AW138" i="42"/>
  <c r="AO138" i="42"/>
  <c r="AV138" i="42"/>
  <c r="AP138" i="42"/>
  <c r="AQ138" i="42" s="1"/>
  <c r="AR138" i="42" s="1"/>
  <c r="AL138" i="42"/>
  <c r="AP32" i="42"/>
  <c r="AV32" i="42"/>
  <c r="AO32" i="42"/>
  <c r="AL32" i="42"/>
  <c r="AW32" i="42"/>
  <c r="AL299" i="42"/>
  <c r="AW299" i="42"/>
  <c r="AV299" i="42"/>
  <c r="AP299" i="42"/>
  <c r="AQ299" i="42" s="1"/>
  <c r="AR299" i="42" s="1"/>
  <c r="AO299" i="42"/>
  <c r="AJ66" i="42"/>
  <c r="AI66" i="42"/>
  <c r="AO18" i="42"/>
  <c r="AL18" i="42"/>
  <c r="AW18" i="42"/>
  <c r="AP18" i="42"/>
  <c r="AV18" i="42"/>
  <c r="AV23" i="42"/>
  <c r="AL23" i="42"/>
  <c r="AO23" i="42"/>
  <c r="AP23" i="42"/>
  <c r="AW23" i="42"/>
  <c r="AQ145" i="42"/>
  <c r="AR145" i="42" s="1"/>
  <c r="AQ218" i="42"/>
  <c r="AR218" i="42" s="1"/>
  <c r="BA168" i="42"/>
  <c r="BA304" i="42"/>
  <c r="BA76" i="42"/>
  <c r="AQ242" i="42"/>
  <c r="AR242" i="42" s="1"/>
  <c r="BA36" i="42"/>
  <c r="BA93" i="42"/>
  <c r="BA319" i="42"/>
  <c r="BA110" i="42"/>
  <c r="AQ35" i="42"/>
  <c r="AR35" i="42" s="1"/>
  <c r="BA259" i="42"/>
  <c r="AQ312" i="42"/>
  <c r="AR312" i="42" s="1"/>
  <c r="AQ93" i="42"/>
  <c r="AR93" i="42" s="1"/>
  <c r="AQ40" i="42"/>
  <c r="AR40" i="42" s="1"/>
  <c r="AQ44" i="42"/>
  <c r="AR44" i="42" s="1"/>
  <c r="AQ239" i="42"/>
  <c r="AR239" i="42" s="1"/>
  <c r="BA31" i="42"/>
  <c r="BA61" i="42"/>
  <c r="AQ110" i="42"/>
  <c r="AR110" i="42" s="1"/>
  <c r="AQ176" i="42"/>
  <c r="AR176" i="42" s="1"/>
  <c r="BA82" i="42"/>
  <c r="AQ192" i="42"/>
  <c r="AR192" i="42" s="1"/>
  <c r="BA123" i="42"/>
  <c r="AQ146" i="42"/>
  <c r="AR146" i="42" s="1"/>
  <c r="BA306" i="42"/>
  <c r="AQ228" i="42"/>
  <c r="AR228" i="42" s="1"/>
  <c r="BA58" i="42"/>
  <c r="AQ142" i="42"/>
  <c r="AR142" i="42" s="1"/>
  <c r="BA204" i="42"/>
  <c r="AQ285" i="42"/>
  <c r="AR285" i="42" s="1"/>
  <c r="BA86" i="42"/>
  <c r="AQ70" i="42"/>
  <c r="AR70" i="42" s="1"/>
  <c r="BA308" i="42"/>
  <c r="AQ266" i="42"/>
  <c r="AR266" i="42" s="1"/>
  <c r="BA191" i="42"/>
  <c r="AQ210" i="42"/>
  <c r="AR210" i="42" s="1"/>
  <c r="AQ73" i="42"/>
  <c r="AR73" i="42" s="1"/>
  <c r="AQ319" i="42"/>
  <c r="AR319" i="42" s="1"/>
  <c r="BA244" i="42"/>
  <c r="BA87" i="42"/>
  <c r="AQ82" i="42"/>
  <c r="AR82" i="42" s="1"/>
  <c r="AQ86" i="42"/>
  <c r="AR86" i="42" s="1"/>
  <c r="AQ52" i="42"/>
  <c r="AR52" i="42" s="1"/>
  <c r="AQ51" i="42"/>
  <c r="AR51" i="42" s="1"/>
  <c r="AQ162" i="42"/>
  <c r="AR162" i="42" s="1"/>
  <c r="AQ160" i="42"/>
  <c r="AR160" i="42" s="1"/>
  <c r="AO26" i="42"/>
  <c r="AL26" i="42"/>
  <c r="AP26" i="42"/>
  <c r="AW26" i="42"/>
  <c r="AQ13" i="42"/>
  <c r="AR13" i="42" s="1"/>
  <c r="AQ240" i="42"/>
  <c r="AR240" i="42" s="1"/>
  <c r="BA228" i="42"/>
  <c r="AQ58" i="42"/>
  <c r="AR58" i="42" s="1"/>
  <c r="AQ177" i="42"/>
  <c r="AR177" i="42" s="1"/>
  <c r="BA266" i="42"/>
  <c r="BA162" i="42"/>
  <c r="BA195" i="42"/>
  <c r="BA172" i="42"/>
  <c r="BA77" i="42"/>
  <c r="BA276" i="42"/>
  <c r="AQ224" i="42"/>
  <c r="AR224" i="42" s="1"/>
  <c r="AQ315" i="42"/>
  <c r="AR315" i="42" s="1"/>
  <c r="AQ55" i="42"/>
  <c r="AR55" i="42" s="1"/>
  <c r="BA98" i="42"/>
  <c r="BA240" i="42"/>
  <c r="AQ196" i="42"/>
  <c r="AR196" i="42" s="1"/>
  <c r="AQ123" i="42"/>
  <c r="AR123" i="42" s="1"/>
  <c r="AQ204" i="42"/>
  <c r="AR204" i="42" s="1"/>
  <c r="AQ273" i="42"/>
  <c r="AR273" i="42" s="1"/>
  <c r="AQ259" i="42"/>
  <c r="AR259" i="42" s="1"/>
  <c r="AP292" i="42"/>
  <c r="AO292" i="42"/>
  <c r="AV292" i="42"/>
  <c r="AL292" i="42"/>
  <c r="AW292" i="42"/>
  <c r="AQ260" i="42"/>
  <c r="AR260" i="42" s="1"/>
  <c r="BA177" i="42"/>
  <c r="BA289" i="42"/>
  <c r="AQ154" i="42"/>
  <c r="AR154" i="42" s="1"/>
  <c r="AQ76" i="42"/>
  <c r="AR76" i="42" s="1"/>
  <c r="AQ244" i="42"/>
  <c r="AR244" i="42" s="1"/>
  <c r="AQ300" i="42"/>
  <c r="AR300" i="42" s="1"/>
  <c r="BA145" i="42"/>
  <c r="BA193" i="42"/>
  <c r="AQ137" i="42"/>
  <c r="AR137" i="42" s="1"/>
  <c r="AQ87" i="42"/>
  <c r="AR87" i="42" s="1"/>
  <c r="BA169" i="42"/>
  <c r="BA223" i="42"/>
  <c r="AQ36" i="42"/>
  <c r="AR36" i="42" s="1"/>
  <c r="BA79" i="42"/>
  <c r="AQ77" i="42"/>
  <c r="AR77" i="42" s="1"/>
  <c r="AQ144" i="42"/>
  <c r="AR144" i="42" s="1"/>
  <c r="AQ33" i="42"/>
  <c r="AR33" i="42" s="1"/>
  <c r="AQ280" i="42"/>
  <c r="AR280" i="42" s="1"/>
  <c r="AQ203" i="42"/>
  <c r="AR203" i="42" s="1"/>
  <c r="BA35" i="42"/>
  <c r="AQ168" i="42"/>
  <c r="AR168" i="42" s="1"/>
  <c r="BA80" i="42"/>
  <c r="AQ306" i="42"/>
  <c r="AR306" i="42" s="1"/>
  <c r="BA106" i="42"/>
  <c r="AQ47" i="42"/>
  <c r="AR47" i="42" s="1"/>
  <c r="AQ166" i="42"/>
  <c r="AR166" i="42" s="1"/>
  <c r="AL187" i="42"/>
  <c r="AP187" i="42"/>
  <c r="AO187" i="42"/>
  <c r="AW187" i="42"/>
  <c r="BA156" i="42"/>
  <c r="AQ310" i="42"/>
  <c r="AR310" i="42" s="1"/>
  <c r="BA267" i="42"/>
  <c r="AQ194" i="42"/>
  <c r="AR194" i="42" s="1"/>
  <c r="BA260" i="42"/>
  <c r="BA108" i="42"/>
  <c r="AQ54" i="42"/>
  <c r="AR54" i="42" s="1"/>
  <c r="AP270" i="42"/>
  <c r="AV270" i="42"/>
  <c r="AO270" i="42"/>
  <c r="AL270" i="42"/>
  <c r="AW270" i="42"/>
  <c r="BA39" i="42"/>
  <c r="AQ276" i="42"/>
  <c r="AR276" i="42" s="1"/>
  <c r="BA199" i="42"/>
  <c r="BA13" i="42"/>
  <c r="BA216" i="42"/>
  <c r="BA182" i="42"/>
  <c r="AQ48" i="42"/>
  <c r="AR48" i="42" s="1"/>
  <c r="BA44" i="42"/>
  <c r="BA274" i="42"/>
  <c r="BA273" i="42"/>
  <c r="AQ223" i="42"/>
  <c r="AR223" i="42" s="1"/>
  <c r="AQ195" i="42"/>
  <c r="AR195" i="42" s="1"/>
  <c r="BA118" i="42"/>
  <c r="AQ79" i="42"/>
  <c r="AR79" i="42" s="1"/>
  <c r="BA144" i="42"/>
  <c r="BA280" i="42"/>
  <c r="AQ199" i="42"/>
  <c r="AR199" i="42" s="1"/>
  <c r="BA315" i="42"/>
  <c r="AQ98" i="42"/>
  <c r="AR98" i="42" s="1"/>
  <c r="BA73" i="42"/>
  <c r="AQ141" i="42"/>
  <c r="AR141" i="42" s="1"/>
  <c r="AQ43" i="42"/>
  <c r="AR43" i="42" s="1"/>
  <c r="BA218" i="42"/>
  <c r="BA176" i="42"/>
  <c r="AQ226" i="42"/>
  <c r="AR226" i="42" s="1"/>
  <c r="AV268" i="42"/>
  <c r="AP268" i="42"/>
  <c r="AO268" i="42"/>
  <c r="AL268" i="42"/>
  <c r="AW268" i="42"/>
  <c r="AQ181" i="42"/>
  <c r="AR181" i="42" s="1"/>
  <c r="AQ171" i="42"/>
  <c r="AR171" i="42" s="1"/>
  <c r="BA300" i="42"/>
  <c r="BA116" i="42"/>
  <c r="BA100" i="42"/>
  <c r="BA70" i="42"/>
  <c r="AQ108" i="42"/>
  <c r="AR108" i="42" s="1"/>
  <c r="AQ308" i="42"/>
  <c r="AR308" i="42" s="1"/>
  <c r="AQ307" i="42"/>
  <c r="AR307" i="42" s="1"/>
  <c r="BA104" i="42"/>
  <c r="AQ179" i="42"/>
  <c r="AR179" i="42" s="1"/>
  <c r="AC103" i="42"/>
  <c r="AC8" i="42" s="1"/>
  <c r="AA8" i="42"/>
  <c r="AQ61" i="42"/>
  <c r="AR61" i="42" s="1"/>
  <c r="BA154" i="42"/>
  <c r="AQ75" i="42"/>
  <c r="AR75" i="42" s="1"/>
  <c r="AQ96" i="42"/>
  <c r="AR96" i="42" s="1"/>
  <c r="AQ290" i="42"/>
  <c r="AR290" i="42" s="1"/>
  <c r="AQ172" i="42"/>
  <c r="AR172" i="42" s="1"/>
  <c r="AQ216" i="42"/>
  <c r="AR216" i="42" s="1"/>
  <c r="BA194" i="42"/>
  <c r="AQ191" i="42"/>
  <c r="AR191" i="42" s="1"/>
  <c r="AQ39" i="42"/>
  <c r="AR39" i="42" s="1"/>
  <c r="AQ118" i="42"/>
  <c r="AR118" i="42" s="1"/>
  <c r="BA48" i="42"/>
  <c r="BA40" i="42"/>
  <c r="BA33" i="42"/>
  <c r="BA55" i="42"/>
  <c r="AP60" i="42"/>
  <c r="AO60" i="42"/>
  <c r="AL60" i="42"/>
  <c r="AV60" i="42"/>
  <c r="AW60" i="42"/>
  <c r="AQ193" i="42"/>
  <c r="AR193" i="42" s="1"/>
  <c r="AQ274" i="42"/>
  <c r="AR274" i="42" s="1"/>
  <c r="BA226" i="42"/>
  <c r="AQ241" i="42"/>
  <c r="AR241" i="42" s="1"/>
  <c r="BA203" i="42"/>
  <c r="AQ180" i="42"/>
  <c r="AR180" i="42" s="1"/>
  <c r="AQ80" i="42"/>
  <c r="AR80" i="42" s="1"/>
  <c r="AQ169" i="42"/>
  <c r="AR169" i="42" s="1"/>
  <c r="BA192" i="42"/>
  <c r="AQ106" i="42"/>
  <c r="AR106" i="42" s="1"/>
  <c r="BA181" i="42"/>
  <c r="BA171" i="42"/>
  <c r="BA47" i="42"/>
  <c r="BA166" i="42"/>
  <c r="AQ22" i="42"/>
  <c r="AR22" i="42" s="1"/>
  <c r="AQ117" i="42"/>
  <c r="AR117" i="42" s="1"/>
  <c r="AQ116" i="42"/>
  <c r="AR116" i="42" s="1"/>
  <c r="BA285" i="42"/>
  <c r="AQ286" i="42"/>
  <c r="AR286" i="42" s="1"/>
  <c r="AQ100" i="42"/>
  <c r="AR100" i="42" s="1"/>
  <c r="BA290" i="42"/>
  <c r="BA275" i="42"/>
  <c r="AQ289" i="42"/>
  <c r="AR289" i="42" s="1"/>
  <c r="BA179" i="42"/>
  <c r="AQ304" i="42"/>
  <c r="AR304" i="42" s="1"/>
  <c r="BA43" i="42"/>
  <c r="AQ311" i="42"/>
  <c r="AR311" i="42" s="1"/>
  <c r="AQ156" i="42"/>
  <c r="AR156" i="42" s="1"/>
  <c r="BA286" i="42"/>
  <c r="AQ182" i="42"/>
  <c r="AR182" i="42" s="1"/>
  <c r="BA52" i="42"/>
  <c r="AQ275" i="42"/>
  <c r="AR275" i="42" s="1"/>
  <c r="BA307" i="42"/>
  <c r="BA210" i="42"/>
  <c r="AQ104" i="42"/>
  <c r="AR104" i="42" s="1"/>
  <c r="AP281" i="42" l="1"/>
  <c r="AQ281" i="42" s="1"/>
  <c r="AR281" i="42" s="1"/>
  <c r="AO57" i="42"/>
  <c r="AL57" i="42"/>
  <c r="AL53" i="42"/>
  <c r="AO53" i="42"/>
  <c r="AP53" i="42"/>
  <c r="AQ53" i="42" s="1"/>
  <c r="AR53" i="42" s="1"/>
  <c r="AW53" i="42"/>
  <c r="BA221" i="42"/>
  <c r="AW140" i="42"/>
  <c r="AO140" i="42"/>
  <c r="AP140" i="42"/>
  <c r="AQ140" i="42" s="1"/>
  <c r="AR140" i="42" s="1"/>
  <c r="AL140" i="42"/>
  <c r="BA160" i="42"/>
  <c r="AO281" i="42"/>
  <c r="AV281" i="42"/>
  <c r="BA281" i="42" s="1"/>
  <c r="BA312" i="42"/>
  <c r="AP269" i="42"/>
  <c r="AQ269" i="42" s="1"/>
  <c r="AR269" i="42" s="1"/>
  <c r="AW57" i="42"/>
  <c r="AP57" i="42"/>
  <c r="AQ57" i="42" s="1"/>
  <c r="AR57" i="42" s="1"/>
  <c r="AO230" i="42"/>
  <c r="AW281" i="42"/>
  <c r="AW91" i="42"/>
  <c r="AL91" i="42"/>
  <c r="AO91" i="42"/>
  <c r="AV230" i="42"/>
  <c r="AW297" i="42"/>
  <c r="AO297" i="42"/>
  <c r="AV297" i="42"/>
  <c r="AL297" i="42"/>
  <c r="BA198" i="42"/>
  <c r="BA92" i="42"/>
  <c r="BA243" i="42"/>
  <c r="AW230" i="42"/>
  <c r="AL230" i="42"/>
  <c r="BA205" i="42"/>
  <c r="AP205" i="42"/>
  <c r="AQ205" i="42" s="1"/>
  <c r="AR205" i="42" s="1"/>
  <c r="AW205" i="42"/>
  <c r="AO205" i="42"/>
  <c r="AL205" i="42"/>
  <c r="AW152" i="42"/>
  <c r="AL152" i="42"/>
  <c r="AO152" i="42"/>
  <c r="AP152" i="42"/>
  <c r="AQ152" i="42" s="1"/>
  <c r="AR152" i="42" s="1"/>
  <c r="AW88" i="42"/>
  <c r="AL88" i="42"/>
  <c r="AP88" i="42"/>
  <c r="AQ88" i="42" s="1"/>
  <c r="AR88" i="42" s="1"/>
  <c r="BA96" i="42"/>
  <c r="BA85" i="42"/>
  <c r="AV186" i="42"/>
  <c r="AO186" i="42"/>
  <c r="AL186" i="42"/>
  <c r="AP186" i="42"/>
  <c r="AQ186" i="42" s="1"/>
  <c r="AR186" i="42" s="1"/>
  <c r="AW186" i="42"/>
  <c r="AL269" i="42"/>
  <c r="AV269" i="42"/>
  <c r="BA269" i="42" s="1"/>
  <c r="BA157" i="42"/>
  <c r="AW269" i="42"/>
  <c r="AV188" i="42"/>
  <c r="AL188" i="42"/>
  <c r="AP188" i="42"/>
  <c r="AQ188" i="42" s="1"/>
  <c r="AR188" i="42" s="1"/>
  <c r="AO188" i="42"/>
  <c r="AW188" i="42"/>
  <c r="BA258" i="42"/>
  <c r="BA235" i="42"/>
  <c r="BA16" i="42"/>
  <c r="BA170" i="42"/>
  <c r="AP314" i="42"/>
  <c r="AQ314" i="42" s="1"/>
  <c r="AR314" i="42" s="1"/>
  <c r="AO314" i="42"/>
  <c r="AV314" i="42"/>
  <c r="AL314" i="42"/>
  <c r="AW314" i="42"/>
  <c r="BA69" i="42"/>
  <c r="BA50" i="42"/>
  <c r="AV265" i="42"/>
  <c r="AL265" i="42"/>
  <c r="AW265" i="42"/>
  <c r="AP265" i="42"/>
  <c r="AQ265" i="42" s="1"/>
  <c r="AR265" i="42" s="1"/>
  <c r="AO265" i="42"/>
  <c r="BA74" i="42"/>
  <c r="BA295" i="42"/>
  <c r="BA255" i="42"/>
  <c r="BA30" i="42"/>
  <c r="AL163" i="42"/>
  <c r="AO163" i="42"/>
  <c r="AV163" i="42"/>
  <c r="AP163" i="42"/>
  <c r="AQ163" i="42" s="1"/>
  <c r="AR163" i="42" s="1"/>
  <c r="AW163" i="42"/>
  <c r="BA164" i="42"/>
  <c r="BA49" i="42"/>
  <c r="BA261" i="42"/>
  <c r="BA151" i="42"/>
  <c r="BA201" i="42"/>
  <c r="BA38" i="42"/>
  <c r="AQ46" i="42"/>
  <c r="AR46" i="42" s="1"/>
  <c r="BA46" i="42"/>
  <c r="BA254" i="42"/>
  <c r="BA94" i="42"/>
  <c r="BA262" i="42"/>
  <c r="AQ272" i="42"/>
  <c r="AR272" i="42" s="1"/>
  <c r="BA72" i="42"/>
  <c r="BA212" i="42"/>
  <c r="BA207" i="42"/>
  <c r="BA272" i="42"/>
  <c r="BA167" i="42"/>
  <c r="BA78" i="42"/>
  <c r="BA149" i="42"/>
  <c r="BA174" i="42"/>
  <c r="AQ109" i="42"/>
  <c r="AR109" i="42" s="1"/>
  <c r="AV208" i="42"/>
  <c r="AP208" i="42"/>
  <c r="AQ208" i="42" s="1"/>
  <c r="AR208" i="42" s="1"/>
  <c r="AL208" i="42"/>
  <c r="AW208" i="42"/>
  <c r="AO208" i="42"/>
  <c r="AQ227" i="42"/>
  <c r="AR227" i="42" s="1"/>
  <c r="BA296" i="42"/>
  <c r="BA27" i="42"/>
  <c r="BA147" i="42"/>
  <c r="BA283" i="42"/>
  <c r="BA184" i="42"/>
  <c r="BA83" i="42"/>
  <c r="AQ126" i="42"/>
  <c r="AR126" i="42" s="1"/>
  <c r="BA302" i="42"/>
  <c r="AQ102" i="42"/>
  <c r="AR102" i="42" s="1"/>
  <c r="BA279" i="42"/>
  <c r="BA19" i="42"/>
  <c r="BA245" i="42"/>
  <c r="AL158" i="42"/>
  <c r="AP158" i="42"/>
  <c r="AQ158" i="42" s="1"/>
  <c r="AR158" i="42" s="1"/>
  <c r="AV158" i="42"/>
  <c r="AW158" i="42"/>
  <c r="AO158" i="42"/>
  <c r="BA41" i="42"/>
  <c r="AQ11" i="42"/>
  <c r="AR11" i="42" s="1"/>
  <c r="BA298" i="42"/>
  <c r="BA59" i="42"/>
  <c r="BA200" i="42"/>
  <c r="BA102" i="42"/>
  <c r="BA165" i="42"/>
  <c r="BA294" i="42"/>
  <c r="AW66" i="42"/>
  <c r="AV66" i="42"/>
  <c r="AL66" i="42"/>
  <c r="AO66" i="42"/>
  <c r="AP66" i="42"/>
  <c r="AQ66" i="42" s="1"/>
  <c r="AR66" i="42" s="1"/>
  <c r="BA17" i="42"/>
  <c r="BA197" i="42"/>
  <c r="AO15" i="42"/>
  <c r="AW15" i="42"/>
  <c r="AP15" i="42"/>
  <c r="AV15" i="42"/>
  <c r="AL15" i="42"/>
  <c r="BA293" i="42"/>
  <c r="BA105" i="42"/>
  <c r="BA246" i="42"/>
  <c r="BA90" i="42"/>
  <c r="BA129" i="42"/>
  <c r="AL301" i="42"/>
  <c r="AO301" i="42"/>
  <c r="AP301" i="42"/>
  <c r="AQ301" i="42" s="1"/>
  <c r="AR301" i="42" s="1"/>
  <c r="AW301" i="42"/>
  <c r="AV301" i="42"/>
  <c r="BA23" i="42"/>
  <c r="BA32" i="42"/>
  <c r="BA67" i="42"/>
  <c r="AQ219" i="42"/>
  <c r="AR219" i="42" s="1"/>
  <c r="BA127" i="42"/>
  <c r="BA114" i="42"/>
  <c r="BA222" i="42"/>
  <c r="BA84" i="42"/>
  <c r="BA189" i="42"/>
  <c r="AQ105" i="42"/>
  <c r="AR105" i="42" s="1"/>
  <c r="BA318" i="42"/>
  <c r="AO112" i="42"/>
  <c r="AW112" i="42"/>
  <c r="AV112" i="42"/>
  <c r="AP112" i="42"/>
  <c r="AL112" i="42"/>
  <c r="AW56" i="42"/>
  <c r="AP56" i="42"/>
  <c r="AQ56" i="42" s="1"/>
  <c r="AR56" i="42" s="1"/>
  <c r="AL56" i="42"/>
  <c r="AO56" i="42"/>
  <c r="AV56" i="42"/>
  <c r="BA11" i="42"/>
  <c r="AO238" i="42"/>
  <c r="AV238" i="42"/>
  <c r="AL238" i="42"/>
  <c r="AP238" i="42"/>
  <c r="AQ238" i="42" s="1"/>
  <c r="AR238" i="42" s="1"/>
  <c r="AW238" i="42"/>
  <c r="AV316" i="42"/>
  <c r="AO316" i="42"/>
  <c r="AL316" i="42"/>
  <c r="AW316" i="42"/>
  <c r="AP316" i="42"/>
  <c r="AQ316" i="42" s="1"/>
  <c r="AR316" i="42" s="1"/>
  <c r="BA138" i="42"/>
  <c r="BA109" i="42"/>
  <c r="BA18" i="42"/>
  <c r="AQ32" i="42"/>
  <c r="AR32" i="42" s="1"/>
  <c r="BA10" i="42"/>
  <c r="BA175" i="42"/>
  <c r="AO136" i="42"/>
  <c r="AW136" i="42"/>
  <c r="AL136" i="42"/>
  <c r="AV136" i="42"/>
  <c r="AP136" i="42"/>
  <c r="AQ136" i="42" s="1"/>
  <c r="AR136" i="42" s="1"/>
  <c r="BA211" i="42"/>
  <c r="BA34" i="42"/>
  <c r="BA150" i="42"/>
  <c r="BA309" i="42"/>
  <c r="BA263" i="42"/>
  <c r="BA29" i="42"/>
  <c r="AQ161" i="42"/>
  <c r="AR161" i="42" s="1"/>
  <c r="AQ23" i="42"/>
  <c r="AR23" i="42" s="1"/>
  <c r="BA119" i="42"/>
  <c r="AQ18" i="42"/>
  <c r="AR18" i="42" s="1"/>
  <c r="BA299" i="42"/>
  <c r="BA219" i="42"/>
  <c r="BA89" i="42"/>
  <c r="AV287" i="42"/>
  <c r="AW287" i="42"/>
  <c r="AL287" i="42"/>
  <c r="AO287" i="42"/>
  <c r="AP287" i="42"/>
  <c r="AQ287" i="42" s="1"/>
  <c r="AR287" i="42" s="1"/>
  <c r="BA231" i="42"/>
  <c r="BA215" i="42"/>
  <c r="AQ279" i="42"/>
  <c r="AR279" i="42" s="1"/>
  <c r="AQ246" i="42"/>
  <c r="AR246" i="42" s="1"/>
  <c r="BA42" i="42"/>
  <c r="BA111" i="42"/>
  <c r="BA37" i="42"/>
  <c r="AP124" i="42"/>
  <c r="AQ124" i="42" s="1"/>
  <c r="AR124" i="42" s="1"/>
  <c r="AO124" i="42"/>
  <c r="AL124" i="42"/>
  <c r="AV124" i="42"/>
  <c r="AW124" i="42"/>
  <c r="AO213" i="42"/>
  <c r="AP213" i="42"/>
  <c r="AW213" i="42"/>
  <c r="AV213" i="42"/>
  <c r="AL213" i="42"/>
  <c r="AL101" i="42"/>
  <c r="AP101" i="42"/>
  <c r="AQ101" i="42" s="1"/>
  <c r="AR101" i="42" s="1"/>
  <c r="AV101" i="42"/>
  <c r="AW101" i="42"/>
  <c r="AO101" i="42"/>
  <c r="AQ165" i="42"/>
  <c r="AR165" i="42" s="1"/>
  <c r="BA185" i="42"/>
  <c r="BA45" i="42"/>
  <c r="BA234" i="42"/>
  <c r="BA126" i="42"/>
  <c r="BA161" i="42"/>
  <c r="AQ91" i="42"/>
  <c r="AR91" i="42" s="1"/>
  <c r="BA292" i="42"/>
  <c r="AQ292" i="42"/>
  <c r="AR292" i="42" s="1"/>
  <c r="BA152" i="42"/>
  <c r="AQ297" i="42"/>
  <c r="AR297" i="42" s="1"/>
  <c r="BA60" i="42"/>
  <c r="BA270" i="42"/>
  <c r="AQ187" i="42"/>
  <c r="AR187" i="42" s="1"/>
  <c r="BA53" i="42"/>
  <c r="AQ270" i="42"/>
  <c r="AR270" i="42" s="1"/>
  <c r="AI103" i="42"/>
  <c r="AI8" i="42" s="1"/>
  <c r="AJ103" i="42"/>
  <c r="AF8" i="42"/>
  <c r="AQ268" i="42"/>
  <c r="AR268" i="42" s="1"/>
  <c r="BA57" i="42"/>
  <c r="AQ26" i="42"/>
  <c r="AR26" i="42" s="1"/>
  <c r="AQ60" i="42"/>
  <c r="AR60" i="42" s="1"/>
  <c r="BA268" i="42"/>
  <c r="BA230" i="42" l="1"/>
  <c r="BA297" i="42"/>
  <c r="BA186" i="42"/>
  <c r="BA188" i="42"/>
  <c r="BA265" i="42"/>
  <c r="BA163" i="42"/>
  <c r="BA314" i="42"/>
  <c r="BA56" i="42"/>
  <c r="BA208" i="42"/>
  <c r="BA136" i="42"/>
  <c r="BA301" i="42"/>
  <c r="BA101" i="42"/>
  <c r="BA112" i="42"/>
  <c r="BA213" i="42"/>
  <c r="BA158" i="42"/>
  <c r="BA238" i="42"/>
  <c r="BA15" i="42"/>
  <c r="BA66" i="42"/>
  <c r="BA124" i="42"/>
  <c r="BA316" i="42"/>
  <c r="AQ213" i="42"/>
  <c r="AR213" i="42" s="1"/>
  <c r="AQ15" i="42"/>
  <c r="AR15" i="42" s="1"/>
  <c r="BA287" i="42"/>
  <c r="AQ112" i="42"/>
  <c r="AR112" i="42" s="1"/>
  <c r="AO103" i="42"/>
  <c r="AL103" i="42"/>
  <c r="AL8" i="42" s="1"/>
  <c r="AV103" i="42"/>
  <c r="AP103" i="42"/>
  <c r="AJ8" i="42"/>
  <c r="AJ7" i="42" s="1"/>
  <c r="AW103" i="42"/>
  <c r="AQ103" i="42" l="1"/>
  <c r="AQ8" i="42" s="1"/>
  <c r="AP8" i="42"/>
  <c r="BA103" i="42"/>
  <c r="AR103" i="42" l="1"/>
  <c r="AR8" i="42" s="1"/>
  <c r="F28" i="30" l="1"/>
  <c r="E28" i="30"/>
  <c r="D28" i="30"/>
  <c r="B168" i="39" l="1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L168" i="39"/>
  <c r="L167" i="39"/>
  <c r="L166" i="39"/>
  <c r="L165" i="39"/>
  <c r="L164" i="39"/>
  <c r="L163" i="39"/>
  <c r="L162" i="39"/>
  <c r="L161" i="39"/>
  <c r="L160" i="39"/>
  <c r="L159" i="39"/>
  <c r="L158" i="39"/>
  <c r="L157" i="39"/>
  <c r="L156" i="39"/>
  <c r="L155" i="39"/>
  <c r="L154" i="39"/>
  <c r="L153" i="39"/>
  <c r="L152" i="39"/>
  <c r="L151" i="39"/>
  <c r="L150" i="39"/>
  <c r="L149" i="39"/>
  <c r="L148" i="39"/>
  <c r="L147" i="39"/>
  <c r="L146" i="39"/>
  <c r="L145" i="39"/>
  <c r="L144" i="39"/>
  <c r="L143" i="39"/>
  <c r="L142" i="39"/>
  <c r="L141" i="39"/>
  <c r="L140" i="39"/>
  <c r="L139" i="39"/>
  <c r="L138" i="39"/>
  <c r="L137" i="39"/>
  <c r="L136" i="39"/>
  <c r="L135" i="39"/>
  <c r="L134" i="39"/>
  <c r="L133" i="39"/>
  <c r="L132" i="39"/>
  <c r="L131" i="39"/>
  <c r="L130" i="39"/>
  <c r="L129" i="39"/>
  <c r="L128" i="39"/>
  <c r="L127" i="39"/>
  <c r="L126" i="39"/>
  <c r="L125" i="39"/>
  <c r="L124" i="39"/>
  <c r="L123" i="39"/>
  <c r="L122" i="39"/>
  <c r="L121" i="39"/>
  <c r="L120" i="39"/>
  <c r="L119" i="39"/>
  <c r="L118" i="39"/>
  <c r="L117" i="39"/>
  <c r="L116" i="39"/>
  <c r="L115" i="39"/>
  <c r="L114" i="39"/>
  <c r="L113" i="39"/>
  <c r="L112" i="39"/>
  <c r="L111" i="39"/>
  <c r="L110" i="39"/>
  <c r="L109" i="39"/>
  <c r="L108" i="39"/>
  <c r="L107" i="39"/>
  <c r="L106" i="39"/>
  <c r="L105" i="39"/>
  <c r="L104" i="39"/>
  <c r="L103" i="39"/>
  <c r="L102" i="39"/>
  <c r="L101" i="39"/>
  <c r="L100" i="39"/>
  <c r="L99" i="39"/>
  <c r="L98" i="39"/>
  <c r="L97" i="39"/>
  <c r="L96" i="39"/>
  <c r="L95" i="39"/>
  <c r="L94" i="39"/>
  <c r="L93" i="39"/>
  <c r="L92" i="39"/>
  <c r="L91" i="39"/>
  <c r="L90" i="39"/>
  <c r="L89" i="39"/>
  <c r="L88" i="39"/>
  <c r="L87" i="39"/>
  <c r="L86" i="39"/>
  <c r="L85" i="39"/>
  <c r="L84" i="39"/>
  <c r="L83" i="39"/>
  <c r="L82" i="39"/>
  <c r="L81" i="39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L21" i="39"/>
  <c r="L20" i="39"/>
  <c r="L19" i="39"/>
  <c r="L18" i="39"/>
  <c r="L17" i="39"/>
  <c r="L16" i="39"/>
  <c r="L15" i="39"/>
  <c r="L14" i="39"/>
  <c r="L13" i="39"/>
  <c r="L12" i="39"/>
  <c r="L11" i="39"/>
  <c r="L10" i="39"/>
  <c r="L9" i="39"/>
  <c r="L8" i="39"/>
  <c r="L7" i="39"/>
  <c r="L6" i="39"/>
  <c r="L5" i="39"/>
  <c r="L4" i="39"/>
  <c r="L3" i="39"/>
  <c r="B319" i="38" l="1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C1" i="38"/>
  <c r="D1" i="38" s="1"/>
  <c r="E1" i="38" s="1"/>
  <c r="F1" i="38" s="1"/>
  <c r="G1" i="38" s="1"/>
  <c r="H1" i="38" s="1"/>
  <c r="I1" i="38" s="1"/>
  <c r="J1" i="38" s="1"/>
  <c r="K1" i="38" s="1"/>
  <c r="L1" i="38" s="1"/>
  <c r="M1" i="38" s="1"/>
  <c r="N1" i="38" s="1"/>
  <c r="O1" i="38" s="1"/>
  <c r="P1" i="38" s="1"/>
  <c r="Q1" i="38" s="1"/>
  <c r="R1" i="38" s="1"/>
  <c r="S1" i="38" s="1"/>
  <c r="T1" i="38" s="1"/>
  <c r="U1" i="38" s="1"/>
  <c r="V1" i="38" s="1"/>
  <c r="W1" i="38" s="1"/>
  <c r="X1" i="38" s="1"/>
  <c r="Y1" i="38" s="1"/>
  <c r="Z1" i="38" s="1"/>
  <c r="AA1" i="38" s="1"/>
  <c r="AD1" i="38" s="1"/>
  <c r="AF1" i="38" s="1"/>
  <c r="AG1" i="38" s="1"/>
  <c r="AH1" i="38" s="1"/>
  <c r="AI1" i="38" s="1"/>
  <c r="AJ1" i="38" s="1"/>
  <c r="AK1" i="38" s="1"/>
  <c r="AL1" i="38" s="1"/>
  <c r="AM1" i="38" s="1"/>
  <c r="AT1" i="38" s="1"/>
  <c r="AU1" i="38" s="1"/>
  <c r="AV1" i="38" s="1"/>
  <c r="AW1" i="38" s="1"/>
  <c r="AX1" i="38" s="1"/>
  <c r="AY1" i="38" s="1"/>
  <c r="BE1" i="38" s="1"/>
  <c r="BF1" i="38" s="1"/>
  <c r="BG1" i="38" s="1"/>
  <c r="BH1" i="38" s="1"/>
  <c r="BI1" i="38" s="1"/>
  <c r="BJ1" i="38" s="1"/>
  <c r="BK1" i="38" s="1"/>
  <c r="BL1" i="38" s="1"/>
  <c r="BO1" i="38" s="1"/>
  <c r="BP1" i="38" s="1"/>
  <c r="BQ1" i="38" s="1"/>
  <c r="BR1" i="38" s="1"/>
  <c r="BS1" i="38" s="1"/>
  <c r="BT1" i="38" s="1"/>
  <c r="BU1" i="38" s="1"/>
  <c r="CA10" i="38" l="1"/>
  <c r="BW10" i="38"/>
  <c r="CA11" i="38"/>
  <c r="BW11" i="38"/>
  <c r="CA12" i="38"/>
  <c r="BW12" i="38"/>
  <c r="CA13" i="38"/>
  <c r="BW13" i="38"/>
  <c r="CA14" i="38"/>
  <c r="BW14" i="38"/>
  <c r="CA15" i="38"/>
  <c r="BW15" i="38"/>
  <c r="CA16" i="38"/>
  <c r="BW16" i="38"/>
  <c r="CA17" i="38"/>
  <c r="BW17" i="38"/>
  <c r="CA18" i="38"/>
  <c r="BW18" i="38"/>
  <c r="CA19" i="38"/>
  <c r="BW19" i="38"/>
  <c r="CA20" i="38"/>
  <c r="BW20" i="38"/>
  <c r="CA21" i="38"/>
  <c r="BW21" i="38"/>
  <c r="CA22" i="38"/>
  <c r="BW22" i="38"/>
  <c r="CA23" i="38"/>
  <c r="BW23" i="38"/>
  <c r="CA24" i="38"/>
  <c r="BW24" i="38"/>
  <c r="CA25" i="38"/>
  <c r="BW25" i="38"/>
  <c r="CA26" i="38"/>
  <c r="BW26" i="38"/>
  <c r="CA27" i="38"/>
  <c r="BW27" i="38"/>
  <c r="CA28" i="38"/>
  <c r="BW28" i="38"/>
  <c r="CA29" i="38"/>
  <c r="BW29" i="38"/>
  <c r="CA30" i="38"/>
  <c r="BW30" i="38"/>
  <c r="CA31" i="38"/>
  <c r="BW31" i="38"/>
  <c r="CA32" i="38"/>
  <c r="BW32" i="38"/>
  <c r="CA33" i="38"/>
  <c r="BW33" i="38"/>
  <c r="CA34" i="38"/>
  <c r="BW34" i="38"/>
  <c r="CA35" i="38"/>
  <c r="BW35" i="38"/>
  <c r="CA36" i="38"/>
  <c r="BW36" i="38"/>
  <c r="CA37" i="38"/>
  <c r="BW37" i="38"/>
  <c r="CA38" i="38"/>
  <c r="BW38" i="38"/>
  <c r="CA39" i="38"/>
  <c r="BW39" i="38"/>
  <c r="CA40" i="38"/>
  <c r="BW40" i="38"/>
  <c r="CA41" i="38"/>
  <c r="BW41" i="38"/>
  <c r="CA42" i="38"/>
  <c r="BW42" i="38"/>
  <c r="CA43" i="38"/>
  <c r="BW43" i="38"/>
  <c r="CA44" i="38"/>
  <c r="BW44" i="38"/>
  <c r="CA45" i="38"/>
  <c r="BW45" i="38"/>
  <c r="CA46" i="38"/>
  <c r="BW46" i="38"/>
  <c r="CA47" i="38"/>
  <c r="BW47" i="38"/>
  <c r="CA48" i="38"/>
  <c r="BW48" i="38"/>
  <c r="CA49" i="38"/>
  <c r="BW49" i="38"/>
  <c r="CA50" i="38"/>
  <c r="BW50" i="38"/>
  <c r="CA51" i="38"/>
  <c r="BW51" i="38"/>
  <c r="CA52" i="38"/>
  <c r="BW52" i="38"/>
  <c r="CA53" i="38"/>
  <c r="BW53" i="38"/>
  <c r="CA54" i="38"/>
  <c r="BW54" i="38"/>
  <c r="CA55" i="38"/>
  <c r="BW55" i="38"/>
  <c r="CA56" i="38"/>
  <c r="BW56" i="38"/>
  <c r="CA57" i="38"/>
  <c r="BW57" i="38"/>
  <c r="CA58" i="38"/>
  <c r="BW58" i="38"/>
  <c r="CA59" i="38"/>
  <c r="BW59" i="38"/>
  <c r="CA60" i="38"/>
  <c r="BW60" i="38"/>
  <c r="CA61" i="38"/>
  <c r="BW61" i="38"/>
  <c r="CA62" i="38"/>
  <c r="BW62" i="38"/>
  <c r="CA63" i="38"/>
  <c r="BW63" i="38"/>
  <c r="CA64" i="38"/>
  <c r="BW64" i="38"/>
  <c r="CA65" i="38"/>
  <c r="BW65" i="38"/>
  <c r="CA66" i="38"/>
  <c r="BW66" i="38"/>
  <c r="CA67" i="38"/>
  <c r="BW67" i="38"/>
  <c r="CA68" i="38"/>
  <c r="BW68" i="38"/>
  <c r="CA69" i="38"/>
  <c r="BW69" i="38"/>
  <c r="CA70" i="38"/>
  <c r="BW70" i="38"/>
  <c r="CA71" i="38"/>
  <c r="BW71" i="38"/>
  <c r="BW72" i="38"/>
  <c r="CA72" i="38"/>
  <c r="CA73" i="38"/>
  <c r="BW73" i="38"/>
  <c r="CA74" i="38"/>
  <c r="BW74" i="38"/>
  <c r="CA75" i="38"/>
  <c r="BW75" i="38"/>
  <c r="CA76" i="38"/>
  <c r="BW76" i="38"/>
  <c r="CA77" i="38"/>
  <c r="BW77" i="38"/>
  <c r="CA78" i="38"/>
  <c r="BW78" i="38"/>
  <c r="CA79" i="38"/>
  <c r="BW79" i="38"/>
  <c r="CA80" i="38"/>
  <c r="BW80" i="38"/>
  <c r="CA81" i="38"/>
  <c r="BW81" i="38"/>
  <c r="CA82" i="38"/>
  <c r="BW82" i="38"/>
  <c r="CA83" i="38"/>
  <c r="BW83" i="38"/>
  <c r="CA84" i="38"/>
  <c r="BW84" i="38"/>
  <c r="CA85" i="38"/>
  <c r="BW85" i="38"/>
  <c r="CA86" i="38"/>
  <c r="BW86" i="38"/>
  <c r="CA87" i="38"/>
  <c r="BW87" i="38"/>
  <c r="CA88" i="38"/>
  <c r="BW88" i="38"/>
  <c r="CA89" i="38"/>
  <c r="BW89" i="38"/>
  <c r="CA90" i="38"/>
  <c r="BW90" i="38"/>
  <c r="CA91" i="38"/>
  <c r="BW91" i="38"/>
  <c r="CA92" i="38"/>
  <c r="BW92" i="38"/>
  <c r="CA93" i="38"/>
  <c r="BW93" i="38"/>
  <c r="CA94" i="38"/>
  <c r="BW94" i="38"/>
  <c r="CA95" i="38"/>
  <c r="BW95" i="38"/>
  <c r="CA96" i="38"/>
  <c r="BW96" i="38"/>
  <c r="CA97" i="38"/>
  <c r="BW97" i="38"/>
  <c r="CA98" i="38"/>
  <c r="BW98" i="38"/>
  <c r="CA99" i="38"/>
  <c r="BW99" i="38"/>
  <c r="CA100" i="38"/>
  <c r="BW100" i="38"/>
  <c r="CA101" i="38"/>
  <c r="BW101" i="38"/>
  <c r="CA102" i="38"/>
  <c r="BW102" i="38"/>
  <c r="CA103" i="38"/>
  <c r="BW103" i="38"/>
  <c r="CA104" i="38"/>
  <c r="BW104" i="38"/>
  <c r="CA105" i="38"/>
  <c r="BW105" i="38"/>
  <c r="CA106" i="38"/>
  <c r="BW106" i="38"/>
  <c r="CA107" i="38"/>
  <c r="BW107" i="38"/>
  <c r="CA108" i="38"/>
  <c r="BW108" i="38"/>
  <c r="CA109" i="38"/>
  <c r="BW109" i="38"/>
  <c r="CA110" i="38"/>
  <c r="BW110" i="38"/>
  <c r="CA111" i="38"/>
  <c r="BW111" i="38"/>
  <c r="CA112" i="38"/>
  <c r="BW112" i="38"/>
  <c r="CA113" i="38"/>
  <c r="BW113" i="38"/>
  <c r="CA114" i="38"/>
  <c r="BW114" i="38"/>
  <c r="CA115" i="38"/>
  <c r="BW115" i="38"/>
  <c r="CA116" i="38"/>
  <c r="BW116" i="38"/>
  <c r="CA117" i="38"/>
  <c r="BW117" i="38"/>
  <c r="CA118" i="38"/>
  <c r="BW118" i="38"/>
  <c r="CA119" i="38"/>
  <c r="BW119" i="38"/>
  <c r="CA120" i="38"/>
  <c r="BW120" i="38"/>
  <c r="CA121" i="38"/>
  <c r="BW121" i="38"/>
  <c r="CA122" i="38"/>
  <c r="BW122" i="38"/>
  <c r="CA123" i="38"/>
  <c r="BW123" i="38"/>
  <c r="CA124" i="38"/>
  <c r="BW124" i="38"/>
  <c r="CA125" i="38"/>
  <c r="BW125" i="38"/>
  <c r="CA126" i="38"/>
  <c r="BW126" i="38"/>
  <c r="CA127" i="38"/>
  <c r="BW127" i="38"/>
  <c r="CA128" i="38"/>
  <c r="BW128" i="38"/>
  <c r="CA129" i="38"/>
  <c r="BW129" i="38"/>
  <c r="CA130" i="38"/>
  <c r="BW130" i="38"/>
  <c r="CA131" i="38"/>
  <c r="BW131" i="38"/>
  <c r="CA132" i="38"/>
  <c r="BW132" i="38"/>
  <c r="CA133" i="38"/>
  <c r="BW133" i="38"/>
  <c r="CA134" i="38"/>
  <c r="BW134" i="38"/>
  <c r="CA135" i="38"/>
  <c r="BW135" i="38"/>
  <c r="CA136" i="38"/>
  <c r="BW136" i="38"/>
  <c r="CA137" i="38"/>
  <c r="BW137" i="38"/>
  <c r="CA138" i="38"/>
  <c r="BW138" i="38"/>
  <c r="CA139" i="38"/>
  <c r="BW139" i="38"/>
  <c r="CA140" i="38"/>
  <c r="BW140" i="38"/>
  <c r="CA141" i="38"/>
  <c r="BW141" i="38"/>
  <c r="CA142" i="38"/>
  <c r="BW142" i="38"/>
  <c r="BW143" i="38"/>
  <c r="CA143" i="38"/>
  <c r="CA144" i="38"/>
  <c r="BW144" i="38"/>
  <c r="CA145" i="38"/>
  <c r="BW145" i="38"/>
  <c r="CA146" i="38"/>
  <c r="BW146" i="38"/>
  <c r="BW147" i="38"/>
  <c r="CA147" i="38"/>
  <c r="CA148" i="38"/>
  <c r="BW148" i="38"/>
  <c r="CA149" i="38"/>
  <c r="BW149" i="38"/>
  <c r="CA150" i="38"/>
  <c r="BW150" i="38"/>
  <c r="CA151" i="38"/>
  <c r="BW151" i="38"/>
  <c r="CA152" i="38"/>
  <c r="BW152" i="38"/>
  <c r="CA153" i="38"/>
  <c r="BW153" i="38"/>
  <c r="CA154" i="38"/>
  <c r="BW154" i="38"/>
  <c r="CA155" i="38"/>
  <c r="BW155" i="38"/>
  <c r="CA156" i="38"/>
  <c r="BW156" i="38"/>
  <c r="CA157" i="38"/>
  <c r="BW157" i="38"/>
  <c r="CA158" i="38"/>
  <c r="BW158" i="38"/>
  <c r="CA159" i="38"/>
  <c r="BW159" i="38"/>
  <c r="CA160" i="38"/>
  <c r="BW160" i="38"/>
  <c r="CA161" i="38"/>
  <c r="BW161" i="38"/>
  <c r="CA162" i="38"/>
  <c r="BW162" i="38"/>
  <c r="CA163" i="38"/>
  <c r="BW163" i="38"/>
  <c r="CA164" i="38"/>
  <c r="BW164" i="38"/>
  <c r="CA165" i="38"/>
  <c r="BW165" i="38"/>
  <c r="CA166" i="38"/>
  <c r="BW166" i="38"/>
  <c r="CA167" i="38"/>
  <c r="BW167" i="38"/>
  <c r="CA168" i="38"/>
  <c r="BW168" i="38"/>
  <c r="CA169" i="38"/>
  <c r="BW169" i="38"/>
  <c r="CA170" i="38"/>
  <c r="BW170" i="38"/>
  <c r="CA171" i="38"/>
  <c r="BW171" i="38"/>
  <c r="CA172" i="38"/>
  <c r="BW172" i="38"/>
  <c r="CA173" i="38"/>
  <c r="BW173" i="38"/>
  <c r="CA174" i="38"/>
  <c r="BW174" i="38"/>
  <c r="CA175" i="38"/>
  <c r="BW175" i="38"/>
  <c r="CA176" i="38"/>
  <c r="BW176" i="38"/>
  <c r="CA177" i="38"/>
  <c r="BW177" i="38"/>
  <c r="CA178" i="38"/>
  <c r="BW178" i="38"/>
  <c r="CA179" i="38"/>
  <c r="BW179" i="38"/>
  <c r="CA180" i="38"/>
  <c r="BW180" i="38"/>
  <c r="CA181" i="38"/>
  <c r="BW181" i="38"/>
  <c r="CA182" i="38"/>
  <c r="BW182" i="38"/>
  <c r="BW183" i="38"/>
  <c r="CA183" i="38"/>
  <c r="CA184" i="38"/>
  <c r="BW184" i="38"/>
  <c r="CA185" i="38"/>
  <c r="BW185" i="38"/>
  <c r="CA186" i="38"/>
  <c r="BW186" i="38"/>
  <c r="BW187" i="38"/>
  <c r="CA187" i="38"/>
  <c r="CA188" i="38"/>
  <c r="BW188" i="38"/>
  <c r="CA189" i="38"/>
  <c r="BW189" i="38"/>
  <c r="CA190" i="38"/>
  <c r="BW190" i="38"/>
  <c r="CA191" i="38"/>
  <c r="BW191" i="38"/>
  <c r="CA192" i="38"/>
  <c r="BW192" i="38"/>
  <c r="CA193" i="38"/>
  <c r="BW193" i="38"/>
  <c r="CA194" i="38"/>
  <c r="BW194" i="38"/>
  <c r="CA195" i="38"/>
  <c r="BW195" i="38"/>
  <c r="CA196" i="38"/>
  <c r="BW196" i="38"/>
  <c r="CA197" i="38"/>
  <c r="BW197" i="38"/>
  <c r="CA198" i="38"/>
  <c r="BW198" i="38"/>
  <c r="CA199" i="38"/>
  <c r="BW199" i="38"/>
  <c r="CA200" i="38"/>
  <c r="BW200" i="38"/>
  <c r="CA201" i="38"/>
  <c r="BW201" i="38"/>
  <c r="CA202" i="38"/>
  <c r="BW202" i="38"/>
  <c r="CA203" i="38"/>
  <c r="BW203" i="38"/>
  <c r="CA204" i="38"/>
  <c r="BW204" i="38"/>
  <c r="CA205" i="38"/>
  <c r="BW205" i="38"/>
  <c r="CA206" i="38"/>
  <c r="BW206" i="38"/>
  <c r="CA207" i="38"/>
  <c r="BW207" i="38"/>
  <c r="CA208" i="38"/>
  <c r="BW208" i="38"/>
  <c r="CA209" i="38"/>
  <c r="BW209" i="38"/>
  <c r="CA210" i="38"/>
  <c r="BW210" i="38"/>
  <c r="CA211" i="38"/>
  <c r="BW211" i="38"/>
  <c r="CA212" i="38"/>
  <c r="BW212" i="38"/>
  <c r="CA213" i="38"/>
  <c r="BW213" i="38"/>
  <c r="CA214" i="38"/>
  <c r="BW214" i="38"/>
  <c r="CA215" i="38"/>
  <c r="BW215" i="38"/>
  <c r="CA216" i="38"/>
  <c r="BW216" i="38"/>
  <c r="CA217" i="38"/>
  <c r="BW217" i="38"/>
  <c r="CA218" i="38"/>
  <c r="BW218" i="38"/>
  <c r="CA219" i="38"/>
  <c r="BW219" i="38"/>
  <c r="CA220" i="38"/>
  <c r="BW220" i="38"/>
  <c r="CA221" i="38"/>
  <c r="BW221" i="38"/>
  <c r="CA222" i="38"/>
  <c r="BW222" i="38"/>
  <c r="CA223" i="38"/>
  <c r="BW223" i="38"/>
  <c r="CA224" i="38"/>
  <c r="BW224" i="38"/>
  <c r="CA225" i="38"/>
  <c r="BW225" i="38"/>
  <c r="CA226" i="38"/>
  <c r="BW226" i="38"/>
  <c r="CA227" i="38"/>
  <c r="BW227" i="38"/>
  <c r="CA228" i="38"/>
  <c r="BW228" i="38"/>
  <c r="CA229" i="38"/>
  <c r="BW229" i="38"/>
  <c r="CA230" i="38"/>
  <c r="BW230" i="38"/>
  <c r="BW231" i="38"/>
  <c r="CA231" i="38"/>
  <c r="CA232" i="38"/>
  <c r="BW232" i="38"/>
  <c r="CA233" i="38"/>
  <c r="BW233" i="38"/>
  <c r="CA234" i="38"/>
  <c r="BW234" i="38"/>
  <c r="CA235" i="38"/>
  <c r="BW235" i="38"/>
  <c r="CA236" i="38"/>
  <c r="BW236" i="38"/>
  <c r="CA237" i="38"/>
  <c r="BW237" i="38"/>
  <c r="CA238" i="38"/>
  <c r="BW238" i="38"/>
  <c r="CA239" i="38"/>
  <c r="BW239" i="38"/>
  <c r="CA240" i="38"/>
  <c r="BW240" i="38"/>
  <c r="CA241" i="38"/>
  <c r="BW241" i="38"/>
  <c r="CA242" i="38"/>
  <c r="BW242" i="38"/>
  <c r="CA243" i="38"/>
  <c r="BW243" i="38"/>
  <c r="CA244" i="38"/>
  <c r="BW244" i="38"/>
  <c r="CA245" i="38"/>
  <c r="BW245" i="38"/>
  <c r="CA246" i="38"/>
  <c r="BW246" i="38"/>
  <c r="CA247" i="38"/>
  <c r="BW247" i="38"/>
  <c r="CA248" i="38"/>
  <c r="BW248" i="38"/>
  <c r="CA249" i="38"/>
  <c r="BW249" i="38"/>
  <c r="CA250" i="38"/>
  <c r="BW250" i="38"/>
  <c r="CA251" i="38"/>
  <c r="BW251" i="38"/>
  <c r="CA252" i="38"/>
  <c r="BW252" i="38"/>
  <c r="CA253" i="38"/>
  <c r="BW253" i="38"/>
  <c r="CA254" i="38"/>
  <c r="BW254" i="38"/>
  <c r="CA255" i="38"/>
  <c r="BW255" i="38"/>
  <c r="CA256" i="38"/>
  <c r="BW256" i="38"/>
  <c r="CA257" i="38"/>
  <c r="BW257" i="38"/>
  <c r="CA258" i="38"/>
  <c r="BW258" i="38"/>
  <c r="CA259" i="38"/>
  <c r="BW259" i="38"/>
  <c r="CA260" i="38"/>
  <c r="BW260" i="38"/>
  <c r="CA261" i="38"/>
  <c r="BW261" i="38"/>
  <c r="CA262" i="38"/>
  <c r="BW262" i="38"/>
  <c r="CA263" i="38"/>
  <c r="BW263" i="38"/>
  <c r="CA264" i="38"/>
  <c r="BW264" i="38"/>
  <c r="CA265" i="38"/>
  <c r="BW265" i="38"/>
  <c r="CA266" i="38"/>
  <c r="BW266" i="38"/>
  <c r="CA267" i="38"/>
  <c r="BW267" i="38"/>
  <c r="CA268" i="38"/>
  <c r="BW268" i="38"/>
  <c r="CA269" i="38"/>
  <c r="BW269" i="38"/>
  <c r="CA270" i="38"/>
  <c r="BW270" i="38"/>
  <c r="BW271" i="38"/>
  <c r="CA271" i="38"/>
  <c r="CA272" i="38"/>
  <c r="BW272" i="38"/>
  <c r="CA273" i="38"/>
  <c r="BW273" i="38"/>
  <c r="CA274" i="38"/>
  <c r="BW274" i="38"/>
  <c r="CA275" i="38"/>
  <c r="BW275" i="38"/>
  <c r="CA276" i="38"/>
  <c r="BW276" i="38"/>
  <c r="CA277" i="38"/>
  <c r="BW277" i="38"/>
  <c r="CA278" i="38"/>
  <c r="BW278" i="38"/>
  <c r="CA279" i="38"/>
  <c r="BW279" i="38"/>
  <c r="CA280" i="38"/>
  <c r="BW280" i="38"/>
  <c r="CA281" i="38"/>
  <c r="BW281" i="38"/>
  <c r="CA282" i="38"/>
  <c r="BW282" i="38"/>
  <c r="CA283" i="38"/>
  <c r="BW283" i="38"/>
  <c r="CA284" i="38"/>
  <c r="BW284" i="38"/>
  <c r="CA285" i="38"/>
  <c r="BW285" i="38"/>
  <c r="CA286" i="38"/>
  <c r="BW286" i="38"/>
  <c r="CA287" i="38"/>
  <c r="BW287" i="38"/>
  <c r="CA288" i="38"/>
  <c r="BW288" i="38"/>
  <c r="CA289" i="38"/>
  <c r="BW289" i="38"/>
  <c r="CA290" i="38"/>
  <c r="BW290" i="38"/>
  <c r="CA291" i="38"/>
  <c r="BW291" i="38"/>
  <c r="CA292" i="38"/>
  <c r="BW292" i="38"/>
  <c r="CA293" i="38"/>
  <c r="BW293" i="38"/>
  <c r="CA294" i="38"/>
  <c r="BW294" i="38"/>
  <c r="CA295" i="38"/>
  <c r="BW295" i="38"/>
  <c r="CA296" i="38"/>
  <c r="BW296" i="38"/>
  <c r="CA297" i="38"/>
  <c r="BW297" i="38"/>
  <c r="CA298" i="38"/>
  <c r="BW298" i="38"/>
  <c r="CA299" i="38"/>
  <c r="BW299" i="38"/>
  <c r="CA300" i="38"/>
  <c r="BW300" i="38"/>
  <c r="CA301" i="38"/>
  <c r="BW301" i="38"/>
  <c r="CA302" i="38"/>
  <c r="BW302" i="38"/>
  <c r="CA303" i="38"/>
  <c r="BW303" i="38"/>
  <c r="CA304" i="38"/>
  <c r="BW304" i="38"/>
  <c r="CA305" i="38"/>
  <c r="BW305" i="38"/>
  <c r="CA306" i="38"/>
  <c r="BW306" i="38"/>
  <c r="CA307" i="38"/>
  <c r="BW307" i="38"/>
  <c r="CA308" i="38"/>
  <c r="BW308" i="38"/>
  <c r="CA309" i="38"/>
  <c r="BW309" i="38"/>
  <c r="CA310" i="38"/>
  <c r="BW310" i="38"/>
  <c r="BW311" i="38"/>
  <c r="CA311" i="38"/>
  <c r="CA312" i="38"/>
  <c r="BW312" i="38"/>
  <c r="CA313" i="38"/>
  <c r="BW313" i="38"/>
  <c r="CA314" i="38"/>
  <c r="BW314" i="38"/>
  <c r="BW315" i="38"/>
  <c r="CA315" i="38"/>
  <c r="CA316" i="38"/>
  <c r="BW316" i="38"/>
  <c r="CA317" i="38"/>
  <c r="BW317" i="38"/>
  <c r="CA318" i="38"/>
  <c r="BW318" i="38"/>
  <c r="CA319" i="38"/>
  <c r="BW319" i="38"/>
  <c r="AB8" i="38"/>
  <c r="I16" i="38"/>
  <c r="AU16" i="38"/>
  <c r="AT16" i="38"/>
  <c r="I24" i="38"/>
  <c r="AU24" i="38"/>
  <c r="AT24" i="38"/>
  <c r="I32" i="38"/>
  <c r="AU32" i="38"/>
  <c r="AT32" i="38"/>
  <c r="I40" i="38"/>
  <c r="AU40" i="38"/>
  <c r="AT40" i="38"/>
  <c r="I48" i="38"/>
  <c r="AU48" i="38"/>
  <c r="AT48" i="38"/>
  <c r="I56" i="38"/>
  <c r="AU56" i="38"/>
  <c r="AT56" i="38"/>
  <c r="I64" i="38"/>
  <c r="AU64" i="38"/>
  <c r="AT64" i="38"/>
  <c r="I72" i="38"/>
  <c r="AU72" i="38"/>
  <c r="AT72" i="38"/>
  <c r="I80" i="38"/>
  <c r="AU80" i="38"/>
  <c r="AT80" i="38"/>
  <c r="I88" i="38"/>
  <c r="AU88" i="38"/>
  <c r="AT88" i="38"/>
  <c r="I96" i="38"/>
  <c r="AU96" i="38"/>
  <c r="AT96" i="38"/>
  <c r="I104" i="38"/>
  <c r="AU104" i="38"/>
  <c r="AT104" i="38"/>
  <c r="I112" i="38"/>
  <c r="AU112" i="38"/>
  <c r="AT112" i="38"/>
  <c r="AU120" i="38"/>
  <c r="AT120" i="38"/>
  <c r="AU128" i="38"/>
  <c r="AT128" i="38"/>
  <c r="AU136" i="38"/>
  <c r="AT136" i="38"/>
  <c r="AU144" i="38"/>
  <c r="AT144" i="38"/>
  <c r="I152" i="38"/>
  <c r="AU152" i="38"/>
  <c r="AT152" i="38"/>
  <c r="I160" i="38"/>
  <c r="AU160" i="38"/>
  <c r="AT160" i="38"/>
  <c r="I168" i="38"/>
  <c r="AU168" i="38"/>
  <c r="AT168" i="38"/>
  <c r="I176" i="38"/>
  <c r="AU176" i="38"/>
  <c r="AT176" i="38"/>
  <c r="I184" i="38"/>
  <c r="AU184" i="38"/>
  <c r="AT184" i="38"/>
  <c r="I192" i="38"/>
  <c r="AU192" i="38"/>
  <c r="AT192" i="38"/>
  <c r="I200" i="38"/>
  <c r="AU200" i="38"/>
  <c r="AT200" i="38"/>
  <c r="I208" i="38"/>
  <c r="AU208" i="38"/>
  <c r="AT208" i="38"/>
  <c r="I216" i="38"/>
  <c r="AU216" i="38"/>
  <c r="AT216" i="38"/>
  <c r="I224" i="38"/>
  <c r="AU224" i="38"/>
  <c r="AT224" i="38"/>
  <c r="I232" i="38"/>
  <c r="AU232" i="38"/>
  <c r="AT232" i="38"/>
  <c r="I240" i="38"/>
  <c r="AU240" i="38"/>
  <c r="AT240" i="38"/>
  <c r="AU248" i="38"/>
  <c r="AT248" i="38"/>
  <c r="AU256" i="38"/>
  <c r="AT256" i="38"/>
  <c r="AU264" i="38"/>
  <c r="AT264" i="38"/>
  <c r="AU272" i="38"/>
  <c r="AT272" i="38"/>
  <c r="AU280" i="38"/>
  <c r="AT280" i="38"/>
  <c r="AU288" i="38"/>
  <c r="AT288" i="38"/>
  <c r="I296" i="38"/>
  <c r="AU296" i="38"/>
  <c r="AT296" i="38"/>
  <c r="I304" i="38"/>
  <c r="AU304" i="38"/>
  <c r="AT304" i="38"/>
  <c r="I312" i="38"/>
  <c r="AU312" i="38"/>
  <c r="AT312" i="38"/>
  <c r="I17" i="38"/>
  <c r="AU17" i="38"/>
  <c r="AT17" i="38"/>
  <c r="I25" i="38"/>
  <c r="AU25" i="38"/>
  <c r="AT25" i="38"/>
  <c r="I33" i="38"/>
  <c r="AU33" i="38"/>
  <c r="AT33" i="38"/>
  <c r="I41" i="38"/>
  <c r="AU41" i="38"/>
  <c r="AT41" i="38"/>
  <c r="I49" i="38"/>
  <c r="AU49" i="38"/>
  <c r="AT49" i="38"/>
  <c r="I57" i="38"/>
  <c r="AU57" i="38"/>
  <c r="AT57" i="38"/>
  <c r="I65" i="38"/>
  <c r="AU65" i="38"/>
  <c r="AT65" i="38"/>
  <c r="I73" i="38"/>
  <c r="AU73" i="38"/>
  <c r="AT73" i="38"/>
  <c r="I81" i="38"/>
  <c r="AU81" i="38"/>
  <c r="AT81" i="38"/>
  <c r="I89" i="38"/>
  <c r="AU89" i="38"/>
  <c r="AT89" i="38"/>
  <c r="I97" i="38"/>
  <c r="AU97" i="38"/>
  <c r="AT97" i="38"/>
  <c r="I105" i="38"/>
  <c r="AU105" i="38"/>
  <c r="AT105" i="38"/>
  <c r="I113" i="38"/>
  <c r="AU113" i="38"/>
  <c r="AT113" i="38"/>
  <c r="AU121" i="38"/>
  <c r="AT121" i="38"/>
  <c r="AU129" i="38"/>
  <c r="AT129" i="38"/>
  <c r="AU137" i="38"/>
  <c r="AT137" i="38"/>
  <c r="AU145" i="38"/>
  <c r="AT145" i="38"/>
  <c r="I153" i="38"/>
  <c r="AU153" i="38"/>
  <c r="AT153" i="38"/>
  <c r="I161" i="38"/>
  <c r="AU161" i="38"/>
  <c r="AT161" i="38"/>
  <c r="I169" i="38"/>
  <c r="AU169" i="38"/>
  <c r="AT169" i="38"/>
  <c r="I177" i="38"/>
  <c r="AU177" i="38"/>
  <c r="AT177" i="38"/>
  <c r="I185" i="38"/>
  <c r="AU185" i="38"/>
  <c r="AT185" i="38"/>
  <c r="I193" i="38"/>
  <c r="AU193" i="38"/>
  <c r="AT193" i="38"/>
  <c r="I201" i="38"/>
  <c r="AU201" i="38"/>
  <c r="AT201" i="38"/>
  <c r="I209" i="38"/>
  <c r="AU209" i="38"/>
  <c r="AT209" i="38"/>
  <c r="I217" i="38"/>
  <c r="AU217" i="38"/>
  <c r="AT217" i="38"/>
  <c r="I225" i="38"/>
  <c r="AU225" i="38"/>
  <c r="AT225" i="38"/>
  <c r="I233" i="38"/>
  <c r="AU233" i="38"/>
  <c r="AT233" i="38"/>
  <c r="I241" i="38"/>
  <c r="AU241" i="38"/>
  <c r="AT241" i="38"/>
  <c r="AU249" i="38"/>
  <c r="AT249" i="38"/>
  <c r="AU257" i="38"/>
  <c r="AT257" i="38"/>
  <c r="I265" i="38"/>
  <c r="AU265" i="38"/>
  <c r="AT265" i="38"/>
  <c r="AU273" i="38"/>
  <c r="AT273" i="38"/>
  <c r="AU281" i="38"/>
  <c r="AT281" i="38"/>
  <c r="I289" i="38"/>
  <c r="AU289" i="38"/>
  <c r="AT289" i="38"/>
  <c r="I297" i="38"/>
  <c r="AU297" i="38"/>
  <c r="AT297" i="38"/>
  <c r="I305" i="38"/>
  <c r="AU305" i="38"/>
  <c r="AT305" i="38"/>
  <c r="I313" i="38"/>
  <c r="AU313" i="38"/>
  <c r="AT313" i="38"/>
  <c r="I10" i="38"/>
  <c r="AU10" i="38"/>
  <c r="AT10" i="38"/>
  <c r="I18" i="38"/>
  <c r="AU18" i="38"/>
  <c r="AT18" i="38"/>
  <c r="I26" i="38"/>
  <c r="AU26" i="38"/>
  <c r="AT26" i="38"/>
  <c r="I34" i="38"/>
  <c r="AU34" i="38"/>
  <c r="AT34" i="38"/>
  <c r="I42" i="38"/>
  <c r="AU42" i="38"/>
  <c r="AT42" i="38"/>
  <c r="I50" i="38"/>
  <c r="AU50" i="38"/>
  <c r="AT50" i="38"/>
  <c r="I58" i="38"/>
  <c r="AU58" i="38"/>
  <c r="AT58" i="38"/>
  <c r="I66" i="38"/>
  <c r="AU66" i="38"/>
  <c r="AT66" i="38"/>
  <c r="I74" i="38"/>
  <c r="AU74" i="38"/>
  <c r="AT74" i="38"/>
  <c r="I82" i="38"/>
  <c r="AU82" i="38"/>
  <c r="AT82" i="38"/>
  <c r="I90" i="38"/>
  <c r="AU90" i="38"/>
  <c r="AT90" i="38"/>
  <c r="I98" i="38"/>
  <c r="AU98" i="38"/>
  <c r="AT98" i="38"/>
  <c r="I106" i="38"/>
  <c r="AU106" i="38"/>
  <c r="AT106" i="38"/>
  <c r="AU114" i="38"/>
  <c r="AT114" i="38"/>
  <c r="AU122" i="38"/>
  <c r="AT122" i="38"/>
  <c r="AU130" i="38"/>
  <c r="AT130" i="38"/>
  <c r="AU138" i="38"/>
  <c r="AT138" i="38"/>
  <c r="AU146" i="38"/>
  <c r="AT146" i="38"/>
  <c r="I154" i="38"/>
  <c r="AU154" i="38"/>
  <c r="AT154" i="38"/>
  <c r="I162" i="38"/>
  <c r="AU162" i="38"/>
  <c r="AT162" i="38"/>
  <c r="I170" i="38"/>
  <c r="AU170" i="38"/>
  <c r="AT170" i="38"/>
  <c r="I178" i="38"/>
  <c r="AU178" i="38"/>
  <c r="AT178" i="38"/>
  <c r="I186" i="38"/>
  <c r="AU186" i="38"/>
  <c r="AT186" i="38"/>
  <c r="I194" i="38"/>
  <c r="AU194" i="38"/>
  <c r="AT194" i="38"/>
  <c r="I202" i="38"/>
  <c r="AU202" i="38"/>
  <c r="AT202" i="38"/>
  <c r="I210" i="38"/>
  <c r="AU210" i="38"/>
  <c r="AT210" i="38"/>
  <c r="I218" i="38"/>
  <c r="AU218" i="38"/>
  <c r="AT218" i="38"/>
  <c r="I226" i="38"/>
  <c r="AU226" i="38"/>
  <c r="AT226" i="38"/>
  <c r="I234" i="38"/>
  <c r="AU234" i="38"/>
  <c r="AT234" i="38"/>
  <c r="AU242" i="38"/>
  <c r="AT242" i="38"/>
  <c r="AU250" i="38"/>
  <c r="AT250" i="38"/>
  <c r="AU258" i="38"/>
  <c r="AT258" i="38"/>
  <c r="I266" i="38"/>
  <c r="AU266" i="38"/>
  <c r="AT266" i="38"/>
  <c r="I274" i="38"/>
  <c r="AU274" i="38"/>
  <c r="AT274" i="38"/>
  <c r="AU282" i="38"/>
  <c r="AT282" i="38"/>
  <c r="I290" i="38"/>
  <c r="AU290" i="38"/>
  <c r="AT290" i="38"/>
  <c r="I298" i="38"/>
  <c r="AU298" i="38"/>
  <c r="AT298" i="38"/>
  <c r="I306" i="38"/>
  <c r="AU306" i="38"/>
  <c r="AT306" i="38"/>
  <c r="I314" i="38"/>
  <c r="AU314" i="38"/>
  <c r="AT314" i="38"/>
  <c r="I11" i="38"/>
  <c r="AU11" i="38"/>
  <c r="AT11" i="38"/>
  <c r="I19" i="38"/>
  <c r="AU19" i="38"/>
  <c r="AT19" i="38"/>
  <c r="I27" i="38"/>
  <c r="AU27" i="38"/>
  <c r="AT27" i="38"/>
  <c r="I35" i="38"/>
  <c r="AU35" i="38"/>
  <c r="AT35" i="38"/>
  <c r="I43" i="38"/>
  <c r="AU43" i="38"/>
  <c r="AT43" i="38"/>
  <c r="I51" i="38"/>
  <c r="AU51" i="38"/>
  <c r="AT51" i="38"/>
  <c r="I59" i="38"/>
  <c r="AU59" i="38"/>
  <c r="AT59" i="38"/>
  <c r="I67" i="38"/>
  <c r="AU67" i="38"/>
  <c r="AT67" i="38"/>
  <c r="I75" i="38"/>
  <c r="AU75" i="38"/>
  <c r="AT75" i="38"/>
  <c r="I83" i="38"/>
  <c r="AU83" i="38"/>
  <c r="AT83" i="38"/>
  <c r="I91" i="38"/>
  <c r="AU91" i="38"/>
  <c r="AT91" i="38"/>
  <c r="I99" i="38"/>
  <c r="AU99" i="38"/>
  <c r="AT99" i="38"/>
  <c r="I107" i="38"/>
  <c r="AU107" i="38"/>
  <c r="AT107" i="38"/>
  <c r="AU115" i="38"/>
  <c r="AT115" i="38"/>
  <c r="AU123" i="38"/>
  <c r="AT123" i="38"/>
  <c r="AU131" i="38"/>
  <c r="AT131" i="38"/>
  <c r="AU139" i="38"/>
  <c r="AT139" i="38"/>
  <c r="I147" i="38"/>
  <c r="AU147" i="38"/>
  <c r="AT147" i="38"/>
  <c r="I155" i="38"/>
  <c r="AU155" i="38"/>
  <c r="AT155" i="38"/>
  <c r="I163" i="38"/>
  <c r="AU163" i="38"/>
  <c r="AT163" i="38"/>
  <c r="I171" i="38"/>
  <c r="AU171" i="38"/>
  <c r="AT171" i="38"/>
  <c r="I179" i="38"/>
  <c r="AU179" i="38"/>
  <c r="AT179" i="38"/>
  <c r="I187" i="38"/>
  <c r="AU187" i="38"/>
  <c r="AT187" i="38"/>
  <c r="I195" i="38"/>
  <c r="AU195" i="38"/>
  <c r="AT195" i="38"/>
  <c r="I203" i="38"/>
  <c r="AU203" i="38"/>
  <c r="AT203" i="38"/>
  <c r="I211" i="38"/>
  <c r="AU211" i="38"/>
  <c r="AT211" i="38"/>
  <c r="I219" i="38"/>
  <c r="AU219" i="38"/>
  <c r="AT219" i="38"/>
  <c r="I227" i="38"/>
  <c r="AU227" i="38"/>
  <c r="AT227" i="38"/>
  <c r="I235" i="38"/>
  <c r="AU235" i="38"/>
  <c r="AT235" i="38"/>
  <c r="AU243" i="38"/>
  <c r="AT243" i="38"/>
  <c r="AU251" i="38"/>
  <c r="AT251" i="38"/>
  <c r="I259" i="38"/>
  <c r="AU259" i="38"/>
  <c r="AT259" i="38"/>
  <c r="I267" i="38"/>
  <c r="AU267" i="38"/>
  <c r="AT267" i="38"/>
  <c r="I275" i="38"/>
  <c r="AU275" i="38"/>
  <c r="AT275" i="38"/>
  <c r="AU283" i="38"/>
  <c r="AT283" i="38"/>
  <c r="I291" i="38"/>
  <c r="AU291" i="38"/>
  <c r="AT291" i="38"/>
  <c r="AU299" i="38"/>
  <c r="AT299" i="38"/>
  <c r="I307" i="38"/>
  <c r="AU307" i="38"/>
  <c r="AT307" i="38"/>
  <c r="I315" i="38"/>
  <c r="AU315" i="38"/>
  <c r="AT315" i="38"/>
  <c r="I12" i="38"/>
  <c r="AU12" i="38"/>
  <c r="AT12" i="38"/>
  <c r="I20" i="38"/>
  <c r="AU20" i="38"/>
  <c r="AT20" i="38"/>
  <c r="I28" i="38"/>
  <c r="AU28" i="38"/>
  <c r="AT28" i="38"/>
  <c r="I36" i="38"/>
  <c r="AU36" i="38"/>
  <c r="AT36" i="38"/>
  <c r="I44" i="38"/>
  <c r="AU44" i="38"/>
  <c r="AT44" i="38"/>
  <c r="I52" i="38"/>
  <c r="AU52" i="38"/>
  <c r="AT52" i="38"/>
  <c r="I60" i="38"/>
  <c r="AU60" i="38"/>
  <c r="AT60" i="38"/>
  <c r="I68" i="38"/>
  <c r="AU68" i="38"/>
  <c r="AT68" i="38"/>
  <c r="I76" i="38"/>
  <c r="AU76" i="38"/>
  <c r="AT76" i="38"/>
  <c r="I84" i="38"/>
  <c r="AU84" i="38"/>
  <c r="AT84" i="38"/>
  <c r="I92" i="38"/>
  <c r="AU92" i="38"/>
  <c r="AT92" i="38"/>
  <c r="I100" i="38"/>
  <c r="AU100" i="38"/>
  <c r="AT100" i="38"/>
  <c r="I108" i="38"/>
  <c r="AU108" i="38"/>
  <c r="AT108" i="38"/>
  <c r="AU116" i="38"/>
  <c r="AT116" i="38"/>
  <c r="AU124" i="38"/>
  <c r="AT124" i="38"/>
  <c r="AU132" i="38"/>
  <c r="AT132" i="38"/>
  <c r="AU140" i="38"/>
  <c r="AT140" i="38"/>
  <c r="I148" i="38"/>
  <c r="AU148" i="38"/>
  <c r="AT148" i="38"/>
  <c r="I156" i="38"/>
  <c r="AU156" i="38"/>
  <c r="AT156" i="38"/>
  <c r="I164" i="38"/>
  <c r="AU164" i="38"/>
  <c r="AT164" i="38"/>
  <c r="I172" i="38"/>
  <c r="AU172" i="38"/>
  <c r="AT172" i="38"/>
  <c r="I180" i="38"/>
  <c r="AU180" i="38"/>
  <c r="AT180" i="38"/>
  <c r="I188" i="38"/>
  <c r="AU188" i="38"/>
  <c r="AT188" i="38"/>
  <c r="I196" i="38"/>
  <c r="AU196" i="38"/>
  <c r="AT196" i="38"/>
  <c r="I204" i="38"/>
  <c r="AU204" i="38"/>
  <c r="AT204" i="38"/>
  <c r="I212" i="38"/>
  <c r="AU212" i="38"/>
  <c r="AT212" i="38"/>
  <c r="I220" i="38"/>
  <c r="AU220" i="38"/>
  <c r="AT220" i="38"/>
  <c r="I228" i="38"/>
  <c r="AU228" i="38"/>
  <c r="AT228" i="38"/>
  <c r="I236" i="38"/>
  <c r="AU236" i="38"/>
  <c r="AT236" i="38"/>
  <c r="AU244" i="38"/>
  <c r="AT244" i="38"/>
  <c r="I252" i="38"/>
  <c r="AU252" i="38"/>
  <c r="AT252" i="38"/>
  <c r="I260" i="38"/>
  <c r="AU260" i="38"/>
  <c r="AT260" i="38"/>
  <c r="I268" i="38"/>
  <c r="AU268" i="38"/>
  <c r="AT268" i="38"/>
  <c r="I276" i="38"/>
  <c r="AU276" i="38"/>
  <c r="AT276" i="38"/>
  <c r="AU284" i="38"/>
  <c r="AT284" i="38"/>
  <c r="I292" i="38"/>
  <c r="AU292" i="38"/>
  <c r="AT292" i="38"/>
  <c r="I300" i="38"/>
  <c r="AU300" i="38"/>
  <c r="AT300" i="38"/>
  <c r="I308" i="38"/>
  <c r="AU308" i="38"/>
  <c r="AT308" i="38"/>
  <c r="I316" i="38"/>
  <c r="AU316" i="38"/>
  <c r="AT316" i="38"/>
  <c r="I13" i="38"/>
  <c r="AU13" i="38"/>
  <c r="AT13" i="38"/>
  <c r="I21" i="38"/>
  <c r="AU21" i="38"/>
  <c r="AT21" i="38"/>
  <c r="I29" i="38"/>
  <c r="AU29" i="38"/>
  <c r="AT29" i="38"/>
  <c r="I37" i="38"/>
  <c r="AU37" i="38"/>
  <c r="AT37" i="38"/>
  <c r="I45" i="38"/>
  <c r="AU45" i="38"/>
  <c r="AT45" i="38"/>
  <c r="I53" i="38"/>
  <c r="AU53" i="38"/>
  <c r="AT53" i="38"/>
  <c r="I61" i="38"/>
  <c r="AU61" i="38"/>
  <c r="AT61" i="38"/>
  <c r="I69" i="38"/>
  <c r="AU69" i="38"/>
  <c r="AT69" i="38"/>
  <c r="I77" i="38"/>
  <c r="AU77" i="38"/>
  <c r="AT77" i="38"/>
  <c r="I85" i="38"/>
  <c r="AU85" i="38"/>
  <c r="AT85" i="38"/>
  <c r="I93" i="38"/>
  <c r="AU93" i="38"/>
  <c r="AT93" i="38"/>
  <c r="I101" i="38"/>
  <c r="AU101" i="38"/>
  <c r="AT101" i="38"/>
  <c r="I109" i="38"/>
  <c r="AU109" i="38"/>
  <c r="AT109" i="38"/>
  <c r="AU117" i="38"/>
  <c r="AT117" i="38"/>
  <c r="AU125" i="38"/>
  <c r="AT125" i="38"/>
  <c r="AU133" i="38"/>
  <c r="AT133" i="38"/>
  <c r="AU141" i="38"/>
  <c r="AT141" i="38"/>
  <c r="I149" i="38"/>
  <c r="AU149" i="38"/>
  <c r="AT149" i="38"/>
  <c r="I157" i="38"/>
  <c r="AU157" i="38"/>
  <c r="AT157" i="38"/>
  <c r="I165" i="38"/>
  <c r="AU165" i="38"/>
  <c r="AT165" i="38"/>
  <c r="I173" i="38"/>
  <c r="AU173" i="38"/>
  <c r="AT173" i="38"/>
  <c r="I181" i="38"/>
  <c r="AU181" i="38"/>
  <c r="AT181" i="38"/>
  <c r="I189" i="38"/>
  <c r="AU189" i="38"/>
  <c r="AT189" i="38"/>
  <c r="I197" i="38"/>
  <c r="AU197" i="38"/>
  <c r="AT197" i="38"/>
  <c r="I205" i="38"/>
  <c r="AU205" i="38"/>
  <c r="AT205" i="38"/>
  <c r="I213" i="38"/>
  <c r="AU213" i="38"/>
  <c r="AT213" i="38"/>
  <c r="I221" i="38"/>
  <c r="AU221" i="38"/>
  <c r="AT221" i="38"/>
  <c r="I229" i="38"/>
  <c r="AU229" i="38"/>
  <c r="AT229" i="38"/>
  <c r="I237" i="38"/>
  <c r="AU237" i="38"/>
  <c r="AT237" i="38"/>
  <c r="AU245" i="38"/>
  <c r="AT245" i="38"/>
  <c r="AU253" i="38"/>
  <c r="AT253" i="38"/>
  <c r="I261" i="38"/>
  <c r="AU261" i="38"/>
  <c r="AT261" i="38"/>
  <c r="I269" i="38"/>
  <c r="AU269" i="38"/>
  <c r="AT269" i="38"/>
  <c r="I277" i="38"/>
  <c r="AU277" i="38"/>
  <c r="AT277" i="38"/>
  <c r="AU285" i="38"/>
  <c r="AT285" i="38"/>
  <c r="I293" i="38"/>
  <c r="AU293" i="38"/>
  <c r="AT293" i="38"/>
  <c r="I301" i="38"/>
  <c r="AU301" i="38"/>
  <c r="AT301" i="38"/>
  <c r="I309" i="38"/>
  <c r="AU309" i="38"/>
  <c r="AT309" i="38"/>
  <c r="I317" i="38"/>
  <c r="AU317" i="38"/>
  <c r="AT317" i="38"/>
  <c r="I14" i="38"/>
  <c r="AU14" i="38"/>
  <c r="AT14" i="38"/>
  <c r="I22" i="38"/>
  <c r="AU22" i="38"/>
  <c r="AT22" i="38"/>
  <c r="I30" i="38"/>
  <c r="AU30" i="38"/>
  <c r="AT30" i="38"/>
  <c r="I38" i="38"/>
  <c r="AU38" i="38"/>
  <c r="AT38" i="38"/>
  <c r="I46" i="38"/>
  <c r="AU46" i="38"/>
  <c r="AT46" i="38"/>
  <c r="I54" i="38"/>
  <c r="AU54" i="38"/>
  <c r="AT54" i="38"/>
  <c r="I62" i="38"/>
  <c r="AU62" i="38"/>
  <c r="AT62" i="38"/>
  <c r="I70" i="38"/>
  <c r="AU70" i="38"/>
  <c r="AT70" i="38"/>
  <c r="I78" i="38"/>
  <c r="AU78" i="38"/>
  <c r="AT78" i="38"/>
  <c r="I86" i="38"/>
  <c r="AU86" i="38"/>
  <c r="AT86" i="38"/>
  <c r="I94" i="38"/>
  <c r="AU94" i="38"/>
  <c r="AT94" i="38"/>
  <c r="I102" i="38"/>
  <c r="AU102" i="38"/>
  <c r="AT102" i="38"/>
  <c r="I110" i="38"/>
  <c r="AU110" i="38"/>
  <c r="AT110" i="38"/>
  <c r="AU118" i="38"/>
  <c r="AT118" i="38"/>
  <c r="AU126" i="38"/>
  <c r="AT126" i="38"/>
  <c r="AU134" i="38"/>
  <c r="AT134" i="38"/>
  <c r="AU142" i="38"/>
  <c r="AT142" i="38"/>
  <c r="I150" i="38"/>
  <c r="AU150" i="38"/>
  <c r="AT150" i="38"/>
  <c r="I158" i="38"/>
  <c r="AU158" i="38"/>
  <c r="AT158" i="38"/>
  <c r="I166" i="38"/>
  <c r="AU166" i="38"/>
  <c r="AT166" i="38"/>
  <c r="I174" i="38"/>
  <c r="AU174" i="38"/>
  <c r="AT174" i="38"/>
  <c r="I182" i="38"/>
  <c r="AU182" i="38"/>
  <c r="AT182" i="38"/>
  <c r="I190" i="38"/>
  <c r="AU190" i="38"/>
  <c r="AT190" i="38"/>
  <c r="I198" i="38"/>
  <c r="AU198" i="38"/>
  <c r="AT198" i="38"/>
  <c r="I206" i="38"/>
  <c r="AU206" i="38"/>
  <c r="AT206" i="38"/>
  <c r="I214" i="38"/>
  <c r="AU214" i="38"/>
  <c r="AT214" i="38"/>
  <c r="I222" i="38"/>
  <c r="AU222" i="38"/>
  <c r="AT222" i="38"/>
  <c r="I230" i="38"/>
  <c r="AU230" i="38"/>
  <c r="AT230" i="38"/>
  <c r="I238" i="38"/>
  <c r="AU238" i="38"/>
  <c r="AT238" i="38"/>
  <c r="AU246" i="38"/>
  <c r="AT246" i="38"/>
  <c r="I254" i="38"/>
  <c r="AU254" i="38"/>
  <c r="AT254" i="38"/>
  <c r="AU262" i="38"/>
  <c r="AT262" i="38"/>
  <c r="I270" i="38"/>
  <c r="AU270" i="38"/>
  <c r="AT270" i="38"/>
  <c r="AU278" i="38"/>
  <c r="AT278" i="38"/>
  <c r="AU286" i="38"/>
  <c r="AT286" i="38"/>
  <c r="I294" i="38"/>
  <c r="AU294" i="38"/>
  <c r="AT294" i="38"/>
  <c r="I302" i="38"/>
  <c r="AU302" i="38"/>
  <c r="AT302" i="38"/>
  <c r="I310" i="38"/>
  <c r="AU310" i="38"/>
  <c r="AT310" i="38"/>
  <c r="I318" i="38"/>
  <c r="AU318" i="38"/>
  <c r="AT318" i="38"/>
  <c r="I15" i="38"/>
  <c r="AU15" i="38"/>
  <c r="AT15" i="38"/>
  <c r="I23" i="38"/>
  <c r="AU23" i="38"/>
  <c r="AT23" i="38"/>
  <c r="I31" i="38"/>
  <c r="AU31" i="38"/>
  <c r="AT31" i="38"/>
  <c r="I39" i="38"/>
  <c r="AU39" i="38"/>
  <c r="AT39" i="38"/>
  <c r="I47" i="38"/>
  <c r="AU47" i="38"/>
  <c r="AT47" i="38"/>
  <c r="I55" i="38"/>
  <c r="AU55" i="38"/>
  <c r="AT55" i="38"/>
  <c r="I63" i="38"/>
  <c r="AU63" i="38"/>
  <c r="AT63" i="38"/>
  <c r="I71" i="38"/>
  <c r="AU71" i="38"/>
  <c r="AT71" i="38"/>
  <c r="I79" i="38"/>
  <c r="AU79" i="38"/>
  <c r="AT79" i="38"/>
  <c r="I87" i="38"/>
  <c r="AU87" i="38"/>
  <c r="AT87" i="38"/>
  <c r="I95" i="38"/>
  <c r="AU95" i="38"/>
  <c r="AT95" i="38"/>
  <c r="I103" i="38"/>
  <c r="AU103" i="38"/>
  <c r="AT103" i="38"/>
  <c r="I111" i="38"/>
  <c r="AU111" i="38"/>
  <c r="AT111" i="38"/>
  <c r="AU119" i="38"/>
  <c r="AT119" i="38"/>
  <c r="AU127" i="38"/>
  <c r="AT127" i="38"/>
  <c r="AU135" i="38"/>
  <c r="AT135" i="38"/>
  <c r="AU143" i="38"/>
  <c r="AT143" i="38"/>
  <c r="I151" i="38"/>
  <c r="AU151" i="38"/>
  <c r="AT151" i="38"/>
  <c r="I159" i="38"/>
  <c r="AU159" i="38"/>
  <c r="AT159" i="38"/>
  <c r="I167" i="38"/>
  <c r="AU167" i="38"/>
  <c r="AT167" i="38"/>
  <c r="I175" i="38"/>
  <c r="AU175" i="38"/>
  <c r="AT175" i="38"/>
  <c r="I183" i="38"/>
  <c r="AU183" i="38"/>
  <c r="AT183" i="38"/>
  <c r="I191" i="38"/>
  <c r="AU191" i="38"/>
  <c r="AT191" i="38"/>
  <c r="I199" i="38"/>
  <c r="AU199" i="38"/>
  <c r="AT199" i="38"/>
  <c r="I207" i="38"/>
  <c r="AU207" i="38"/>
  <c r="AT207" i="38"/>
  <c r="I215" i="38"/>
  <c r="AU215" i="38"/>
  <c r="AT215" i="38"/>
  <c r="I223" i="38"/>
  <c r="AU223" i="38"/>
  <c r="AT223" i="38"/>
  <c r="I231" i="38"/>
  <c r="AU231" i="38"/>
  <c r="AT231" i="38"/>
  <c r="I239" i="38"/>
  <c r="AU239" i="38"/>
  <c r="AT239" i="38"/>
  <c r="AU247" i="38"/>
  <c r="AT247" i="38"/>
  <c r="I255" i="38"/>
  <c r="AU255" i="38"/>
  <c r="AT255" i="38"/>
  <c r="AU263" i="38"/>
  <c r="AT263" i="38"/>
  <c r="AU271" i="38"/>
  <c r="AT271" i="38"/>
  <c r="AU279" i="38"/>
  <c r="AT279" i="38"/>
  <c r="AU287" i="38"/>
  <c r="AT287" i="38"/>
  <c r="I295" i="38"/>
  <c r="AU295" i="38"/>
  <c r="AT295" i="38"/>
  <c r="I303" i="38"/>
  <c r="AU303" i="38"/>
  <c r="AT303" i="38"/>
  <c r="I311" i="38"/>
  <c r="AU311" i="38"/>
  <c r="AT311" i="38"/>
  <c r="I319" i="38"/>
  <c r="AU319" i="38"/>
  <c r="AT319" i="38"/>
  <c r="BM16" i="38"/>
  <c r="BN16" i="38"/>
  <c r="BM24" i="38"/>
  <c r="BN24" i="38"/>
  <c r="BM32" i="38"/>
  <c r="BN32" i="38"/>
  <c r="BM40" i="38"/>
  <c r="BN40" i="38"/>
  <c r="BM48" i="38"/>
  <c r="BN48" i="38"/>
  <c r="BM56" i="38"/>
  <c r="BN56" i="38"/>
  <c r="BM64" i="38"/>
  <c r="BN64" i="38"/>
  <c r="BM72" i="38"/>
  <c r="BN72" i="38"/>
  <c r="BM80" i="38"/>
  <c r="BN80" i="38"/>
  <c r="BM88" i="38"/>
  <c r="BN88" i="38"/>
  <c r="BM96" i="38"/>
  <c r="BN96" i="38"/>
  <c r="BM104" i="38"/>
  <c r="BN104" i="38"/>
  <c r="BM112" i="38"/>
  <c r="BN112" i="38"/>
  <c r="BM120" i="38"/>
  <c r="BN120" i="38"/>
  <c r="BM128" i="38"/>
  <c r="BN128" i="38"/>
  <c r="BM136" i="38"/>
  <c r="BN136" i="38"/>
  <c r="BM144" i="38"/>
  <c r="BN144" i="38"/>
  <c r="BM152" i="38"/>
  <c r="BN152" i="38"/>
  <c r="BM160" i="38"/>
  <c r="BN160" i="38"/>
  <c r="BM168" i="38"/>
  <c r="BN168" i="38"/>
  <c r="BM176" i="38"/>
  <c r="BN176" i="38"/>
  <c r="BM184" i="38"/>
  <c r="BN184" i="38"/>
  <c r="BM192" i="38"/>
  <c r="BN192" i="38"/>
  <c r="BM200" i="38"/>
  <c r="BN200" i="38"/>
  <c r="BM208" i="38"/>
  <c r="BN208" i="38"/>
  <c r="BM216" i="38"/>
  <c r="BN216" i="38"/>
  <c r="BM224" i="38"/>
  <c r="BN224" i="38"/>
  <c r="BM232" i="38"/>
  <c r="BN232" i="38"/>
  <c r="BM240" i="38"/>
  <c r="BN240" i="38"/>
  <c r="BM248" i="38"/>
  <c r="BN248" i="38"/>
  <c r="BM256" i="38"/>
  <c r="BN256" i="38"/>
  <c r="BM264" i="38"/>
  <c r="BN264" i="38"/>
  <c r="BM272" i="38"/>
  <c r="BN272" i="38"/>
  <c r="BM280" i="38"/>
  <c r="BN280" i="38"/>
  <c r="BM288" i="38"/>
  <c r="BN288" i="38"/>
  <c r="BM296" i="38"/>
  <c r="BN296" i="38"/>
  <c r="BM304" i="38"/>
  <c r="BN304" i="38"/>
  <c r="BM312" i="38"/>
  <c r="BN312" i="38"/>
  <c r="BM17" i="38"/>
  <c r="BN17" i="38"/>
  <c r="BM25" i="38"/>
  <c r="BN25" i="38"/>
  <c r="BM33" i="38"/>
  <c r="BN33" i="38"/>
  <c r="BM41" i="38"/>
  <c r="BN41" i="38"/>
  <c r="BM49" i="38"/>
  <c r="BN49" i="38"/>
  <c r="BM57" i="38"/>
  <c r="BN57" i="38"/>
  <c r="BM65" i="38"/>
  <c r="BN65" i="38"/>
  <c r="BM73" i="38"/>
  <c r="BN73" i="38"/>
  <c r="BM81" i="38"/>
  <c r="BN81" i="38"/>
  <c r="BM89" i="38"/>
  <c r="BN89" i="38"/>
  <c r="BM97" i="38"/>
  <c r="BN97" i="38"/>
  <c r="BM105" i="38"/>
  <c r="BN105" i="38"/>
  <c r="BM113" i="38"/>
  <c r="BN113" i="38"/>
  <c r="BM121" i="38"/>
  <c r="BN121" i="38"/>
  <c r="BM129" i="38"/>
  <c r="BN129" i="38"/>
  <c r="BM137" i="38"/>
  <c r="BN137" i="38"/>
  <c r="BM145" i="38"/>
  <c r="BN145" i="38"/>
  <c r="BM153" i="38"/>
  <c r="BN153" i="38"/>
  <c r="BM161" i="38"/>
  <c r="BN161" i="38"/>
  <c r="BM169" i="38"/>
  <c r="BN169" i="38"/>
  <c r="BM177" i="38"/>
  <c r="BN177" i="38"/>
  <c r="BM185" i="38"/>
  <c r="BN185" i="38"/>
  <c r="BM193" i="38"/>
  <c r="BN193" i="38"/>
  <c r="BM201" i="38"/>
  <c r="BN201" i="38"/>
  <c r="BM209" i="38"/>
  <c r="BN209" i="38"/>
  <c r="BM217" i="38"/>
  <c r="BN217" i="38"/>
  <c r="BM225" i="38"/>
  <c r="BN225" i="38"/>
  <c r="BM233" i="38"/>
  <c r="BN233" i="38"/>
  <c r="BM241" i="38"/>
  <c r="BN241" i="38"/>
  <c r="BM249" i="38"/>
  <c r="BN249" i="38"/>
  <c r="BM257" i="38"/>
  <c r="BN257" i="38"/>
  <c r="BM265" i="38"/>
  <c r="BN265" i="38"/>
  <c r="BM273" i="38"/>
  <c r="BN273" i="38"/>
  <c r="BM281" i="38"/>
  <c r="BN281" i="38"/>
  <c r="BM289" i="38"/>
  <c r="BN289" i="38"/>
  <c r="BM297" i="38"/>
  <c r="BN297" i="38"/>
  <c r="BM305" i="38"/>
  <c r="BN305" i="38"/>
  <c r="BM313" i="38"/>
  <c r="BN313" i="38"/>
  <c r="BN10" i="38"/>
  <c r="BM10" i="38"/>
  <c r="BN18" i="38"/>
  <c r="BM18" i="38"/>
  <c r="BN26" i="38"/>
  <c r="BM26" i="38"/>
  <c r="BN34" i="38"/>
  <c r="BM34" i="38"/>
  <c r="BN42" i="38"/>
  <c r="BM42" i="38"/>
  <c r="BN50" i="38"/>
  <c r="BM50" i="38"/>
  <c r="BN58" i="38"/>
  <c r="BM58" i="38"/>
  <c r="BN66" i="38"/>
  <c r="BM66" i="38"/>
  <c r="BN74" i="38"/>
  <c r="BM74" i="38"/>
  <c r="BN82" i="38"/>
  <c r="BM82" i="38"/>
  <c r="BN90" i="38"/>
  <c r="BM90" i="38"/>
  <c r="BN98" i="38"/>
  <c r="BM98" i="38"/>
  <c r="BN106" i="38"/>
  <c r="BM106" i="38"/>
  <c r="BN114" i="38"/>
  <c r="BM114" i="38"/>
  <c r="BN122" i="38"/>
  <c r="BM122" i="38"/>
  <c r="BN130" i="38"/>
  <c r="BM130" i="38"/>
  <c r="BN138" i="38"/>
  <c r="BM138" i="38"/>
  <c r="BN146" i="38"/>
  <c r="BM146" i="38"/>
  <c r="BN154" i="38"/>
  <c r="BM154" i="38"/>
  <c r="BN162" i="38"/>
  <c r="BM162" i="38"/>
  <c r="BN170" i="38"/>
  <c r="BM170" i="38"/>
  <c r="BN178" i="38"/>
  <c r="BM178" i="38"/>
  <c r="BN186" i="38"/>
  <c r="BM186" i="38"/>
  <c r="BN194" i="38"/>
  <c r="BM194" i="38"/>
  <c r="BN202" i="38"/>
  <c r="BM202" i="38"/>
  <c r="BN210" i="38"/>
  <c r="BM210" i="38"/>
  <c r="BN218" i="38"/>
  <c r="BM218" i="38"/>
  <c r="BN226" i="38"/>
  <c r="BM226" i="38"/>
  <c r="BN234" i="38"/>
  <c r="BM234" i="38"/>
  <c r="BN242" i="38"/>
  <c r="BM242" i="38"/>
  <c r="BN250" i="38"/>
  <c r="BM250" i="38"/>
  <c r="BN258" i="38"/>
  <c r="BM258" i="38"/>
  <c r="BN266" i="38"/>
  <c r="BM266" i="38"/>
  <c r="BN274" i="38"/>
  <c r="BM274" i="38"/>
  <c r="BN282" i="38"/>
  <c r="BM282" i="38"/>
  <c r="BN290" i="38"/>
  <c r="BM290" i="38"/>
  <c r="BN298" i="38"/>
  <c r="BM298" i="38"/>
  <c r="BN306" i="38"/>
  <c r="BM306" i="38"/>
  <c r="BN314" i="38"/>
  <c r="BM314" i="38"/>
  <c r="BN11" i="38"/>
  <c r="BM11" i="38"/>
  <c r="BN19" i="38"/>
  <c r="BM19" i="38"/>
  <c r="BN27" i="38"/>
  <c r="BM27" i="38"/>
  <c r="BN35" i="38"/>
  <c r="BM35" i="38"/>
  <c r="BN43" i="38"/>
  <c r="BM43" i="38"/>
  <c r="BN51" i="38"/>
  <c r="BM51" i="38"/>
  <c r="BN59" i="38"/>
  <c r="BM59" i="38"/>
  <c r="BN67" i="38"/>
  <c r="BM67" i="38"/>
  <c r="BN75" i="38"/>
  <c r="BM75" i="38"/>
  <c r="BN83" i="38"/>
  <c r="BM83" i="38"/>
  <c r="BN91" i="38"/>
  <c r="BM91" i="38"/>
  <c r="BN99" i="38"/>
  <c r="BM99" i="38"/>
  <c r="BN107" i="38"/>
  <c r="BM107" i="38"/>
  <c r="BN115" i="38"/>
  <c r="BM115" i="38"/>
  <c r="BN123" i="38"/>
  <c r="BM123" i="38"/>
  <c r="BN131" i="38"/>
  <c r="BM131" i="38"/>
  <c r="BN139" i="38"/>
  <c r="BM139" i="38"/>
  <c r="BN147" i="38"/>
  <c r="BM147" i="38"/>
  <c r="BN155" i="38"/>
  <c r="BM155" i="38"/>
  <c r="BN163" i="38"/>
  <c r="BM163" i="38"/>
  <c r="BN171" i="38"/>
  <c r="BM171" i="38"/>
  <c r="BN179" i="38"/>
  <c r="BM179" i="38"/>
  <c r="BN187" i="38"/>
  <c r="BM187" i="38"/>
  <c r="BN195" i="38"/>
  <c r="BM195" i="38"/>
  <c r="BN203" i="38"/>
  <c r="BM203" i="38"/>
  <c r="BN211" i="38"/>
  <c r="BM211" i="38"/>
  <c r="BN219" i="38"/>
  <c r="BM219" i="38"/>
  <c r="BN227" i="38"/>
  <c r="BM227" i="38"/>
  <c r="BN235" i="38"/>
  <c r="BM235" i="38"/>
  <c r="BN243" i="38"/>
  <c r="BM243" i="38"/>
  <c r="BN251" i="38"/>
  <c r="BM251" i="38"/>
  <c r="BN259" i="38"/>
  <c r="BM259" i="38"/>
  <c r="BN267" i="38"/>
  <c r="BM267" i="38"/>
  <c r="BN275" i="38"/>
  <c r="BM275" i="38"/>
  <c r="BN283" i="38"/>
  <c r="BM283" i="38"/>
  <c r="BN291" i="38"/>
  <c r="BM291" i="38"/>
  <c r="BN299" i="38"/>
  <c r="BM299" i="38"/>
  <c r="BN307" i="38"/>
  <c r="BM307" i="38"/>
  <c r="BN315" i="38"/>
  <c r="BM315" i="38"/>
  <c r="BM12" i="38"/>
  <c r="BN12" i="38"/>
  <c r="BM20" i="38"/>
  <c r="BN20" i="38"/>
  <c r="BM28" i="38"/>
  <c r="BN28" i="38"/>
  <c r="BM36" i="38"/>
  <c r="BN36" i="38"/>
  <c r="BM44" i="38"/>
  <c r="BN44" i="38"/>
  <c r="BM52" i="38"/>
  <c r="BN52" i="38"/>
  <c r="BM60" i="38"/>
  <c r="BN60" i="38"/>
  <c r="BM68" i="38"/>
  <c r="BN68" i="38"/>
  <c r="BM76" i="38"/>
  <c r="BN76" i="38"/>
  <c r="BM84" i="38"/>
  <c r="BN84" i="38"/>
  <c r="BM92" i="38"/>
  <c r="BN92" i="38"/>
  <c r="BM100" i="38"/>
  <c r="BN100" i="38"/>
  <c r="BM108" i="38"/>
  <c r="BN108" i="38"/>
  <c r="BM116" i="38"/>
  <c r="BN116" i="38"/>
  <c r="BM124" i="38"/>
  <c r="BN124" i="38"/>
  <c r="BM132" i="38"/>
  <c r="BN132" i="38"/>
  <c r="BM140" i="38"/>
  <c r="BN140" i="38"/>
  <c r="BM148" i="38"/>
  <c r="BN148" i="38"/>
  <c r="BM156" i="38"/>
  <c r="BN156" i="38"/>
  <c r="BM164" i="38"/>
  <c r="BN164" i="38"/>
  <c r="BM172" i="38"/>
  <c r="BN172" i="38"/>
  <c r="BM180" i="38"/>
  <c r="BN180" i="38"/>
  <c r="BM188" i="38"/>
  <c r="BN188" i="38"/>
  <c r="BM196" i="38"/>
  <c r="BN196" i="38"/>
  <c r="BM204" i="38"/>
  <c r="BN204" i="38"/>
  <c r="BM212" i="38"/>
  <c r="BN212" i="38"/>
  <c r="BM220" i="38"/>
  <c r="BN220" i="38"/>
  <c r="BM228" i="38"/>
  <c r="BN228" i="38"/>
  <c r="BM236" i="38"/>
  <c r="BN236" i="38"/>
  <c r="BM244" i="38"/>
  <c r="BN244" i="38"/>
  <c r="BM252" i="38"/>
  <c r="BN252" i="38"/>
  <c r="BM260" i="38"/>
  <c r="BN260" i="38"/>
  <c r="BM268" i="38"/>
  <c r="BN268" i="38"/>
  <c r="BM276" i="38"/>
  <c r="BN276" i="38"/>
  <c r="BM284" i="38"/>
  <c r="BN284" i="38"/>
  <c r="BM292" i="38"/>
  <c r="BN292" i="38"/>
  <c r="BM300" i="38"/>
  <c r="BN300" i="38"/>
  <c r="BM308" i="38"/>
  <c r="BN308" i="38"/>
  <c r="BM316" i="38"/>
  <c r="BN316" i="38"/>
  <c r="BM13" i="38"/>
  <c r="BN13" i="38"/>
  <c r="BM21" i="38"/>
  <c r="BN21" i="38"/>
  <c r="BM29" i="38"/>
  <c r="BN29" i="38"/>
  <c r="BM37" i="38"/>
  <c r="BN37" i="38"/>
  <c r="BM45" i="38"/>
  <c r="BN45" i="38"/>
  <c r="BM53" i="38"/>
  <c r="BN53" i="38"/>
  <c r="BM61" i="38"/>
  <c r="BN61" i="38"/>
  <c r="BM69" i="38"/>
  <c r="BN69" i="38"/>
  <c r="BM77" i="38"/>
  <c r="BN77" i="38"/>
  <c r="BM85" i="38"/>
  <c r="BN85" i="38"/>
  <c r="BM93" i="38"/>
  <c r="BN93" i="38"/>
  <c r="BM101" i="38"/>
  <c r="BN101" i="38"/>
  <c r="BM109" i="38"/>
  <c r="BN109" i="38"/>
  <c r="BM117" i="38"/>
  <c r="BN117" i="38"/>
  <c r="BM125" i="38"/>
  <c r="BN125" i="38"/>
  <c r="BM133" i="38"/>
  <c r="BN133" i="38"/>
  <c r="BM141" i="38"/>
  <c r="BN141" i="38"/>
  <c r="BM149" i="38"/>
  <c r="BN149" i="38"/>
  <c r="BM157" i="38"/>
  <c r="BN157" i="38"/>
  <c r="BM165" i="38"/>
  <c r="BN165" i="38"/>
  <c r="BM173" i="38"/>
  <c r="BN173" i="38"/>
  <c r="BM181" i="38"/>
  <c r="BN181" i="38"/>
  <c r="BM189" i="38"/>
  <c r="BN189" i="38"/>
  <c r="BM197" i="38"/>
  <c r="BN197" i="38"/>
  <c r="BM205" i="38"/>
  <c r="BN205" i="38"/>
  <c r="BM213" i="38"/>
  <c r="BN213" i="38"/>
  <c r="BM221" i="38"/>
  <c r="BN221" i="38"/>
  <c r="BM229" i="38"/>
  <c r="BN229" i="38"/>
  <c r="BM237" i="38"/>
  <c r="BN237" i="38"/>
  <c r="BM245" i="38"/>
  <c r="BN245" i="38"/>
  <c r="BM253" i="38"/>
  <c r="BN253" i="38"/>
  <c r="BM261" i="38"/>
  <c r="BN261" i="38"/>
  <c r="BM269" i="38"/>
  <c r="BN269" i="38"/>
  <c r="BM277" i="38"/>
  <c r="BN277" i="38"/>
  <c r="BM285" i="38"/>
  <c r="BN285" i="38"/>
  <c r="BM293" i="38"/>
  <c r="BN293" i="38"/>
  <c r="BM301" i="38"/>
  <c r="BN301" i="38"/>
  <c r="BM309" i="38"/>
  <c r="BN309" i="38"/>
  <c r="BM317" i="38"/>
  <c r="BN317" i="38"/>
  <c r="BM14" i="38"/>
  <c r="BN14" i="38"/>
  <c r="BM22" i="38"/>
  <c r="BN22" i="38"/>
  <c r="BM30" i="38"/>
  <c r="BN30" i="38"/>
  <c r="BM38" i="38"/>
  <c r="BN38" i="38"/>
  <c r="BM46" i="38"/>
  <c r="BN46" i="38"/>
  <c r="BM54" i="38"/>
  <c r="BN54" i="38"/>
  <c r="BM62" i="38"/>
  <c r="BN62" i="38"/>
  <c r="BM70" i="38"/>
  <c r="BN70" i="38"/>
  <c r="BM78" i="38"/>
  <c r="BN78" i="38"/>
  <c r="BM86" i="38"/>
  <c r="BN86" i="38"/>
  <c r="BM94" i="38"/>
  <c r="BN94" i="38"/>
  <c r="BM102" i="38"/>
  <c r="BN102" i="38"/>
  <c r="BM110" i="38"/>
  <c r="BN110" i="38"/>
  <c r="BM118" i="38"/>
  <c r="BN118" i="38"/>
  <c r="BM126" i="38"/>
  <c r="BN126" i="38"/>
  <c r="BM134" i="38"/>
  <c r="BN134" i="38"/>
  <c r="BM142" i="38"/>
  <c r="BN142" i="38"/>
  <c r="BM150" i="38"/>
  <c r="BN150" i="38"/>
  <c r="BM158" i="38"/>
  <c r="BN158" i="38"/>
  <c r="BM166" i="38"/>
  <c r="BN166" i="38"/>
  <c r="BM174" i="38"/>
  <c r="BN174" i="38"/>
  <c r="BM182" i="38"/>
  <c r="BN182" i="38"/>
  <c r="BM190" i="38"/>
  <c r="BN190" i="38"/>
  <c r="BM198" i="38"/>
  <c r="BN198" i="38"/>
  <c r="BM206" i="38"/>
  <c r="BN206" i="38"/>
  <c r="BM214" i="38"/>
  <c r="BN214" i="38"/>
  <c r="BM222" i="38"/>
  <c r="BN222" i="38"/>
  <c r="BM230" i="38"/>
  <c r="BN230" i="38"/>
  <c r="BM238" i="38"/>
  <c r="BN238" i="38"/>
  <c r="BM246" i="38"/>
  <c r="BN246" i="38"/>
  <c r="BM254" i="38"/>
  <c r="BN254" i="38"/>
  <c r="BM262" i="38"/>
  <c r="BN262" i="38"/>
  <c r="BM270" i="38"/>
  <c r="BN270" i="38"/>
  <c r="BM278" i="38"/>
  <c r="BN278" i="38"/>
  <c r="BM286" i="38"/>
  <c r="BN286" i="38"/>
  <c r="BM294" i="38"/>
  <c r="BN294" i="38"/>
  <c r="BM302" i="38"/>
  <c r="BN302" i="38"/>
  <c r="BM310" i="38"/>
  <c r="BN310" i="38"/>
  <c r="BM318" i="38"/>
  <c r="BN318" i="38"/>
  <c r="BM15" i="38"/>
  <c r="BN15" i="38"/>
  <c r="BM23" i="38"/>
  <c r="BN23" i="38"/>
  <c r="BM31" i="38"/>
  <c r="BN31" i="38"/>
  <c r="BM39" i="38"/>
  <c r="BN39" i="38"/>
  <c r="BM47" i="38"/>
  <c r="BN47" i="38"/>
  <c r="BM55" i="38"/>
  <c r="BN55" i="38"/>
  <c r="BM63" i="38"/>
  <c r="BN63" i="38"/>
  <c r="BM71" i="38"/>
  <c r="BN71" i="38"/>
  <c r="BM79" i="38"/>
  <c r="BN79" i="38"/>
  <c r="BM87" i="38"/>
  <c r="BN87" i="38"/>
  <c r="BM95" i="38"/>
  <c r="BN95" i="38"/>
  <c r="BM103" i="38"/>
  <c r="BN103" i="38"/>
  <c r="BM111" i="38"/>
  <c r="BN111" i="38"/>
  <c r="BM119" i="38"/>
  <c r="BN119" i="38"/>
  <c r="BM127" i="38"/>
  <c r="BN127" i="38"/>
  <c r="BM135" i="38"/>
  <c r="BN135" i="38"/>
  <c r="BM143" i="38"/>
  <c r="BN143" i="38"/>
  <c r="BM151" i="38"/>
  <c r="BN151" i="38"/>
  <c r="BM159" i="38"/>
  <c r="BN159" i="38"/>
  <c r="BM167" i="38"/>
  <c r="BN167" i="38"/>
  <c r="BM175" i="38"/>
  <c r="BN175" i="38"/>
  <c r="BM183" i="38"/>
  <c r="BN183" i="38"/>
  <c r="BM191" i="38"/>
  <c r="BN191" i="38"/>
  <c r="BM199" i="38"/>
  <c r="BN199" i="38"/>
  <c r="BM207" i="38"/>
  <c r="BN207" i="38"/>
  <c r="BM215" i="38"/>
  <c r="BN215" i="38"/>
  <c r="BM223" i="38"/>
  <c r="BN223" i="38"/>
  <c r="BM231" i="38"/>
  <c r="BN231" i="38"/>
  <c r="BM239" i="38"/>
  <c r="BN239" i="38"/>
  <c r="BM247" i="38"/>
  <c r="BN247" i="38"/>
  <c r="BM255" i="38"/>
  <c r="BN255" i="38"/>
  <c r="BM263" i="38"/>
  <c r="BN263" i="38"/>
  <c r="BM271" i="38"/>
  <c r="BN271" i="38"/>
  <c r="BM279" i="38"/>
  <c r="BN279" i="38"/>
  <c r="BM287" i="38"/>
  <c r="BN287" i="38"/>
  <c r="BM295" i="38"/>
  <c r="BN295" i="38"/>
  <c r="BM303" i="38"/>
  <c r="BN303" i="38"/>
  <c r="BM311" i="38"/>
  <c r="BN311" i="38"/>
  <c r="BM319" i="38"/>
  <c r="BN31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J102" i="38"/>
  <c r="J103" i="38"/>
  <c r="J104" i="38"/>
  <c r="J105" i="38"/>
  <c r="J106" i="38"/>
  <c r="J107" i="38"/>
  <c r="J108" i="38"/>
  <c r="J109" i="38"/>
  <c r="J110" i="38"/>
  <c r="J111" i="38"/>
  <c r="J112" i="38"/>
  <c r="J113" i="38"/>
  <c r="J114" i="38"/>
  <c r="J115" i="38"/>
  <c r="J116" i="38"/>
  <c r="J117" i="38"/>
  <c r="J118" i="38"/>
  <c r="J119" i="38"/>
  <c r="J120" i="38"/>
  <c r="J121" i="38"/>
  <c r="J122" i="38"/>
  <c r="J123" i="38"/>
  <c r="J124" i="38"/>
  <c r="J125" i="38"/>
  <c r="J126" i="38"/>
  <c r="J127" i="38"/>
  <c r="J128" i="38"/>
  <c r="J129" i="38"/>
  <c r="J130" i="38"/>
  <c r="J131" i="38"/>
  <c r="J132" i="38"/>
  <c r="J133" i="38"/>
  <c r="J134" i="38"/>
  <c r="J135" i="38"/>
  <c r="J136" i="38"/>
  <c r="J137" i="38"/>
  <c r="J138" i="38"/>
  <c r="J139" i="38"/>
  <c r="J140" i="38"/>
  <c r="J141" i="38"/>
  <c r="J142" i="38"/>
  <c r="J143" i="38"/>
  <c r="J144" i="38"/>
  <c r="J145" i="38"/>
  <c r="J146" i="38"/>
  <c r="J147" i="38"/>
  <c r="J148" i="38"/>
  <c r="J149" i="38"/>
  <c r="J150" i="38"/>
  <c r="J151" i="38"/>
  <c r="J152" i="38"/>
  <c r="J153" i="38"/>
  <c r="J154" i="38"/>
  <c r="J155" i="38"/>
  <c r="J156" i="38"/>
  <c r="J157" i="38"/>
  <c r="J158" i="38"/>
  <c r="J159" i="38"/>
  <c r="J160" i="38"/>
  <c r="J161" i="38"/>
  <c r="J162" i="38"/>
  <c r="J163" i="38"/>
  <c r="J164" i="38"/>
  <c r="J165" i="38"/>
  <c r="J166" i="38"/>
  <c r="J167" i="38"/>
  <c r="J168" i="38"/>
  <c r="J169" i="38"/>
  <c r="J170" i="38"/>
  <c r="J171" i="38"/>
  <c r="J172" i="38"/>
  <c r="J173" i="38"/>
  <c r="J174" i="38"/>
  <c r="J175" i="38"/>
  <c r="J176" i="38"/>
  <c r="J177" i="38"/>
  <c r="J178" i="38"/>
  <c r="J179" i="38"/>
  <c r="J180" i="38"/>
  <c r="J181" i="38"/>
  <c r="J182" i="38"/>
  <c r="J183" i="38"/>
  <c r="J184" i="38"/>
  <c r="J185" i="38"/>
  <c r="J186" i="38"/>
  <c r="J187" i="38"/>
  <c r="J188" i="38"/>
  <c r="J189" i="38"/>
  <c r="J190" i="38"/>
  <c r="J191" i="38"/>
  <c r="J192" i="38"/>
  <c r="J193" i="38"/>
  <c r="J194" i="38"/>
  <c r="J195" i="38"/>
  <c r="J196" i="38"/>
  <c r="J197" i="38"/>
  <c r="J198" i="38"/>
  <c r="J199" i="38"/>
  <c r="J200" i="38"/>
  <c r="J201" i="38"/>
  <c r="J202" i="38"/>
  <c r="J203" i="38"/>
  <c r="J204" i="38"/>
  <c r="J205" i="38"/>
  <c r="J206" i="38"/>
  <c r="J207" i="38"/>
  <c r="J208" i="38"/>
  <c r="J209" i="38"/>
  <c r="J210" i="38"/>
  <c r="J211" i="38"/>
  <c r="J212" i="38"/>
  <c r="J213" i="38"/>
  <c r="J214" i="38"/>
  <c r="J215" i="38"/>
  <c r="J216" i="38"/>
  <c r="J217" i="38"/>
  <c r="J218" i="38"/>
  <c r="J219" i="38"/>
  <c r="J220" i="38"/>
  <c r="J221" i="38"/>
  <c r="J222" i="38"/>
  <c r="J223" i="38"/>
  <c r="J224" i="38"/>
  <c r="J225" i="38"/>
  <c r="J226" i="38"/>
  <c r="J227" i="38"/>
  <c r="J228" i="38"/>
  <c r="J229" i="38"/>
  <c r="J230" i="38"/>
  <c r="J231" i="38"/>
  <c r="J232" i="38"/>
  <c r="J233" i="38"/>
  <c r="J234" i="38"/>
  <c r="J235" i="38"/>
  <c r="J236" i="38"/>
  <c r="J237" i="38"/>
  <c r="J238" i="38"/>
  <c r="J239" i="38"/>
  <c r="J240" i="38"/>
  <c r="J241" i="38"/>
  <c r="J242" i="38"/>
  <c r="J243" i="38"/>
  <c r="J244" i="38"/>
  <c r="J245" i="38"/>
  <c r="J246" i="38"/>
  <c r="J247" i="38"/>
  <c r="J248" i="38"/>
  <c r="J249" i="38"/>
  <c r="J250" i="38"/>
  <c r="J251" i="38"/>
  <c r="J252" i="38"/>
  <c r="J253" i="38"/>
  <c r="J254" i="38"/>
  <c r="J255" i="38"/>
  <c r="J256" i="38"/>
  <c r="J257" i="38"/>
  <c r="J258" i="38"/>
  <c r="J259" i="38"/>
  <c r="J260" i="38"/>
  <c r="J261" i="38"/>
  <c r="J262" i="38"/>
  <c r="J263" i="38"/>
  <c r="J264" i="38"/>
  <c r="J265" i="38"/>
  <c r="J266" i="38"/>
  <c r="J267" i="38"/>
  <c r="J268" i="38"/>
  <c r="J269" i="38"/>
  <c r="J270" i="38"/>
  <c r="J271" i="38"/>
  <c r="J272" i="38"/>
  <c r="J273" i="38"/>
  <c r="J274" i="38"/>
  <c r="J275" i="38"/>
  <c r="J276" i="38"/>
  <c r="J277" i="38"/>
  <c r="J278" i="38"/>
  <c r="J279" i="38"/>
  <c r="J280" i="38"/>
  <c r="J281" i="38"/>
  <c r="J282" i="38"/>
  <c r="J283" i="38"/>
  <c r="J284" i="38"/>
  <c r="J285" i="38"/>
  <c r="J286" i="38"/>
  <c r="J287" i="38"/>
  <c r="J288" i="38"/>
  <c r="J289" i="38"/>
  <c r="J290" i="38"/>
  <c r="J291" i="38"/>
  <c r="J292" i="38"/>
  <c r="J293" i="38"/>
  <c r="J294" i="38"/>
  <c r="J295" i="38"/>
  <c r="J296" i="38"/>
  <c r="J297" i="38"/>
  <c r="J298" i="38"/>
  <c r="J299" i="38"/>
  <c r="J300" i="38"/>
  <c r="J301" i="38"/>
  <c r="J302" i="38"/>
  <c r="J303" i="38"/>
  <c r="J304" i="38"/>
  <c r="J305" i="38"/>
  <c r="J306" i="38"/>
  <c r="J307" i="38"/>
  <c r="J308" i="38"/>
  <c r="J309" i="38"/>
  <c r="J310" i="38"/>
  <c r="J311" i="38"/>
  <c r="J312" i="38"/>
  <c r="J313" i="38"/>
  <c r="J314" i="38"/>
  <c r="J315" i="38"/>
  <c r="J316" i="38"/>
  <c r="J317" i="38"/>
  <c r="J318" i="38"/>
  <c r="J319" i="38"/>
  <c r="AD230" i="38"/>
  <c r="Q230" i="38"/>
  <c r="O230" i="38"/>
  <c r="AD13" i="38"/>
  <c r="O13" i="38"/>
  <c r="Q13" i="38"/>
  <c r="AD17" i="38"/>
  <c r="Q17" i="38"/>
  <c r="O17" i="38"/>
  <c r="AD21" i="38"/>
  <c r="AG21" i="38" s="1"/>
  <c r="O21" i="38"/>
  <c r="Q21" i="38"/>
  <c r="AD25" i="38"/>
  <c r="Q25" i="38"/>
  <c r="O25" i="38"/>
  <c r="AD29" i="38"/>
  <c r="AG29" i="38" s="1"/>
  <c r="O29" i="38"/>
  <c r="Q29" i="38"/>
  <c r="AD33" i="38"/>
  <c r="AG33" i="38" s="1"/>
  <c r="Q33" i="38"/>
  <c r="O33" i="38"/>
  <c r="AD37" i="38"/>
  <c r="O37" i="38"/>
  <c r="Q37" i="38"/>
  <c r="AD41" i="38"/>
  <c r="Q41" i="38"/>
  <c r="O41" i="38"/>
  <c r="AD45" i="38"/>
  <c r="AG45" i="38" s="1"/>
  <c r="O45" i="38"/>
  <c r="Q45" i="38"/>
  <c r="AD49" i="38"/>
  <c r="Q49" i="38"/>
  <c r="O49" i="38"/>
  <c r="AD53" i="38"/>
  <c r="AG53" i="38" s="1"/>
  <c r="O53" i="38"/>
  <c r="Q53" i="38"/>
  <c r="AD57" i="38"/>
  <c r="Q57" i="38"/>
  <c r="O57" i="38"/>
  <c r="AD61" i="38"/>
  <c r="O61" i="38"/>
  <c r="Q61" i="38"/>
  <c r="AD65" i="38"/>
  <c r="AG65" i="38" s="1"/>
  <c r="Q65" i="38"/>
  <c r="O65" i="38"/>
  <c r="AD69" i="38"/>
  <c r="O69" i="38"/>
  <c r="Q69" i="38"/>
  <c r="AD73" i="38"/>
  <c r="AG73" i="38" s="1"/>
  <c r="Q73" i="38"/>
  <c r="O73" i="38"/>
  <c r="AD77" i="38"/>
  <c r="AG77" i="38" s="1"/>
  <c r="O77" i="38"/>
  <c r="Q77" i="38"/>
  <c r="AD81" i="38"/>
  <c r="Q81" i="38"/>
  <c r="O81" i="38"/>
  <c r="AD85" i="38"/>
  <c r="AG85" i="38" s="1"/>
  <c r="O85" i="38"/>
  <c r="Q85" i="38"/>
  <c r="AD89" i="38"/>
  <c r="Q89" i="38"/>
  <c r="O89" i="38"/>
  <c r="AD93" i="38"/>
  <c r="P335" i="38" s="1"/>
  <c r="O93" i="38"/>
  <c r="Q93" i="38"/>
  <c r="AD97" i="38"/>
  <c r="AG97" i="38" s="1"/>
  <c r="Q97" i="38"/>
  <c r="O97" i="38"/>
  <c r="AD101" i="38"/>
  <c r="Q101" i="38"/>
  <c r="O101" i="38"/>
  <c r="AD105" i="38"/>
  <c r="AG105" i="38" s="1"/>
  <c r="Q105" i="38"/>
  <c r="O105" i="38"/>
  <c r="AD109" i="38"/>
  <c r="AG109" i="38" s="1"/>
  <c r="O109" i="38"/>
  <c r="Q109" i="38"/>
  <c r="AD113" i="38"/>
  <c r="Q113" i="38"/>
  <c r="O113" i="38"/>
  <c r="AD117" i="38"/>
  <c r="AG117" i="38" s="1"/>
  <c r="O117" i="38"/>
  <c r="Q117" i="38"/>
  <c r="AD121" i="38"/>
  <c r="Q121" i="38"/>
  <c r="O121" i="38"/>
  <c r="AD125" i="38"/>
  <c r="AG125" i="38" s="1"/>
  <c r="O125" i="38"/>
  <c r="Q125" i="38"/>
  <c r="AD129" i="38"/>
  <c r="AG129" i="38" s="1"/>
  <c r="Q129" i="38"/>
  <c r="O129" i="38"/>
  <c r="AD133" i="38"/>
  <c r="O133" i="38"/>
  <c r="Q133" i="38"/>
  <c r="AD137" i="38"/>
  <c r="AG137" i="38" s="1"/>
  <c r="Q137" i="38"/>
  <c r="O137" i="38"/>
  <c r="AD141" i="38"/>
  <c r="AG141" i="38" s="1"/>
  <c r="O141" i="38"/>
  <c r="Q141" i="38"/>
  <c r="AD145" i="38"/>
  <c r="Q145" i="38"/>
  <c r="O145" i="38"/>
  <c r="AD149" i="38"/>
  <c r="O149" i="38"/>
  <c r="Q149" i="38"/>
  <c r="AD153" i="38"/>
  <c r="Q153" i="38"/>
  <c r="O153" i="38"/>
  <c r="AD157" i="38"/>
  <c r="O157" i="38"/>
  <c r="Q157" i="38"/>
  <c r="AD161" i="38"/>
  <c r="AG161" i="38" s="1"/>
  <c r="Q161" i="38"/>
  <c r="O161" i="38"/>
  <c r="AD165" i="38"/>
  <c r="O165" i="38"/>
  <c r="Q165" i="38"/>
  <c r="AD169" i="38"/>
  <c r="AG169" i="38" s="1"/>
  <c r="Q169" i="38"/>
  <c r="O169" i="38"/>
  <c r="AD173" i="38"/>
  <c r="AG173" i="38" s="1"/>
  <c r="O173" i="38"/>
  <c r="Q173" i="38"/>
  <c r="AD177" i="38"/>
  <c r="AG177" i="38" s="1"/>
  <c r="Q177" i="38"/>
  <c r="O177" i="38"/>
  <c r="AD181" i="38"/>
  <c r="O181" i="38"/>
  <c r="Q181" i="38"/>
  <c r="AD185" i="38"/>
  <c r="Q185" i="38"/>
  <c r="O185" i="38"/>
  <c r="AD189" i="38"/>
  <c r="O189" i="38"/>
  <c r="Q189" i="38"/>
  <c r="AD193" i="38"/>
  <c r="AG193" i="38" s="1"/>
  <c r="Q193" i="38"/>
  <c r="O193" i="38"/>
  <c r="AD197" i="38"/>
  <c r="O197" i="38"/>
  <c r="Q197" i="38"/>
  <c r="AD201" i="38"/>
  <c r="AG201" i="38" s="1"/>
  <c r="Q201" i="38"/>
  <c r="O201" i="38"/>
  <c r="AD205" i="38"/>
  <c r="AG205" i="38" s="1"/>
  <c r="O205" i="38"/>
  <c r="Q205" i="38"/>
  <c r="AD209" i="38"/>
  <c r="AG209" i="38" s="1"/>
  <c r="Q209" i="38"/>
  <c r="O209" i="38"/>
  <c r="AD213" i="38"/>
  <c r="AG213" i="38" s="1"/>
  <c r="O213" i="38"/>
  <c r="Q213" i="38"/>
  <c r="AD217" i="38"/>
  <c r="Q217" i="38"/>
  <c r="O217" i="38"/>
  <c r="AD222" i="38"/>
  <c r="Q222" i="38"/>
  <c r="O222" i="38"/>
  <c r="AD226" i="38"/>
  <c r="AG226" i="38" s="1"/>
  <c r="Q226" i="38"/>
  <c r="O226" i="38"/>
  <c r="AD235" i="38"/>
  <c r="AG235" i="38" s="1"/>
  <c r="Q235" i="38"/>
  <c r="O235" i="38"/>
  <c r="AD256" i="38"/>
  <c r="Q256" i="38"/>
  <c r="O256" i="38"/>
  <c r="AD260" i="38"/>
  <c r="AG260" i="38" s="1"/>
  <c r="O260" i="38"/>
  <c r="Q260" i="38"/>
  <c r="AD264" i="38"/>
  <c r="AG264" i="38" s="1"/>
  <c r="Q264" i="38"/>
  <c r="O264" i="38"/>
  <c r="AD268" i="38"/>
  <c r="AG268" i="38" s="1"/>
  <c r="O268" i="38"/>
  <c r="Q268" i="38"/>
  <c r="AD272" i="38"/>
  <c r="Q272" i="38"/>
  <c r="O272" i="38"/>
  <c r="AD276" i="38"/>
  <c r="AG276" i="38" s="1"/>
  <c r="O276" i="38"/>
  <c r="Q276" i="38"/>
  <c r="AD280" i="38"/>
  <c r="AG280" i="38" s="1"/>
  <c r="Q280" i="38"/>
  <c r="O280" i="38"/>
  <c r="AD284" i="38"/>
  <c r="O284" i="38"/>
  <c r="Q284" i="38"/>
  <c r="AD288" i="38"/>
  <c r="AG288" i="38" s="1"/>
  <c r="Q288" i="38"/>
  <c r="O288" i="38"/>
  <c r="AD292" i="38"/>
  <c r="AG292" i="38" s="1"/>
  <c r="O292" i="38"/>
  <c r="Q292" i="38"/>
  <c r="AD296" i="38"/>
  <c r="AG296" i="38" s="1"/>
  <c r="Q296" i="38"/>
  <c r="O296" i="38"/>
  <c r="AD300" i="38"/>
  <c r="AG300" i="38" s="1"/>
  <c r="O300" i="38"/>
  <c r="Q300" i="38"/>
  <c r="AD304" i="38"/>
  <c r="Q304" i="38"/>
  <c r="O304" i="38"/>
  <c r="AD308" i="38"/>
  <c r="AG308" i="38" s="1"/>
  <c r="O308" i="38"/>
  <c r="Q308" i="38"/>
  <c r="AD312" i="38"/>
  <c r="AG312" i="38" s="1"/>
  <c r="Q312" i="38"/>
  <c r="O312" i="38"/>
  <c r="AD316" i="38"/>
  <c r="O316" i="38"/>
  <c r="Q316" i="38"/>
  <c r="AD251" i="38"/>
  <c r="AG251" i="38" s="1"/>
  <c r="Q251" i="38"/>
  <c r="O251" i="38"/>
  <c r="AD231" i="38"/>
  <c r="AG231" i="38" s="1"/>
  <c r="Q231" i="38"/>
  <c r="O231" i="38"/>
  <c r="AD240" i="38"/>
  <c r="AG240" i="38" s="1"/>
  <c r="Q240" i="38"/>
  <c r="O240" i="38"/>
  <c r="AD244" i="38"/>
  <c r="AG244" i="38" s="1"/>
  <c r="O244" i="38"/>
  <c r="Q244" i="38"/>
  <c r="AD248" i="38"/>
  <c r="Q248" i="38"/>
  <c r="O248" i="38"/>
  <c r="AD252" i="38"/>
  <c r="O252" i="38"/>
  <c r="Q252" i="38"/>
  <c r="AD239" i="38"/>
  <c r="AG239" i="38" s="1"/>
  <c r="Q239" i="38"/>
  <c r="O239" i="38"/>
  <c r="AD10" i="38"/>
  <c r="Q10" i="38"/>
  <c r="O10" i="38"/>
  <c r="AD14" i="38"/>
  <c r="AG14" i="38" s="1"/>
  <c r="Q14" i="38"/>
  <c r="O14" i="38"/>
  <c r="AD18" i="38"/>
  <c r="AG18" i="38" s="1"/>
  <c r="Q18" i="38"/>
  <c r="O18" i="38"/>
  <c r="AD22" i="38"/>
  <c r="AG22" i="38" s="1"/>
  <c r="Q22" i="38"/>
  <c r="O22" i="38"/>
  <c r="AD26" i="38"/>
  <c r="AG26" i="38" s="1"/>
  <c r="Q26" i="38"/>
  <c r="O26" i="38"/>
  <c r="AD30" i="38"/>
  <c r="Q30" i="38"/>
  <c r="O30" i="38"/>
  <c r="AD34" i="38"/>
  <c r="AG34" i="38" s="1"/>
  <c r="Q34" i="38"/>
  <c r="O34" i="38"/>
  <c r="AD38" i="38"/>
  <c r="AG38" i="38" s="1"/>
  <c r="Q38" i="38"/>
  <c r="O38" i="38"/>
  <c r="AD42" i="38"/>
  <c r="Q42" i="38"/>
  <c r="O42" i="38"/>
  <c r="AD46" i="38"/>
  <c r="AG46" i="38" s="1"/>
  <c r="Q46" i="38"/>
  <c r="O46" i="38"/>
  <c r="AD50" i="38"/>
  <c r="AG50" i="38" s="1"/>
  <c r="Q50" i="38"/>
  <c r="O50" i="38"/>
  <c r="AD54" i="38"/>
  <c r="AG54" i="38" s="1"/>
  <c r="Q54" i="38"/>
  <c r="O54" i="38"/>
  <c r="AD58" i="38"/>
  <c r="AG58" i="38" s="1"/>
  <c r="Q58" i="38"/>
  <c r="O58" i="38"/>
  <c r="AD62" i="38"/>
  <c r="Q62" i="38"/>
  <c r="O62" i="38"/>
  <c r="AD66" i="38"/>
  <c r="Q66" i="38"/>
  <c r="O66" i="38"/>
  <c r="AD70" i="38"/>
  <c r="AG70" i="38" s="1"/>
  <c r="Q70" i="38"/>
  <c r="O70" i="38"/>
  <c r="AD74" i="38"/>
  <c r="Q74" i="38"/>
  <c r="O74" i="38"/>
  <c r="AD78" i="38"/>
  <c r="AG78" i="38" s="1"/>
  <c r="Q78" i="38"/>
  <c r="O78" i="38"/>
  <c r="AD82" i="38"/>
  <c r="AG82" i="38" s="1"/>
  <c r="Q82" i="38"/>
  <c r="O82" i="38"/>
  <c r="AD86" i="38"/>
  <c r="Q86" i="38"/>
  <c r="O86" i="38"/>
  <c r="AD90" i="38"/>
  <c r="AG90" i="38" s="1"/>
  <c r="Q90" i="38"/>
  <c r="O90" i="38"/>
  <c r="AD94" i="38"/>
  <c r="Q94" i="38"/>
  <c r="O94" i="38"/>
  <c r="AD98" i="38"/>
  <c r="Q98" i="38"/>
  <c r="O98" i="38"/>
  <c r="AD102" i="38"/>
  <c r="AG102" i="38" s="1"/>
  <c r="Q102" i="38"/>
  <c r="O102" i="38"/>
  <c r="AD106" i="38"/>
  <c r="AG106" i="38" s="1"/>
  <c r="Q106" i="38"/>
  <c r="O106" i="38"/>
  <c r="AD110" i="38"/>
  <c r="AG110" i="38" s="1"/>
  <c r="Q110" i="38"/>
  <c r="O110" i="38"/>
  <c r="AD114" i="38"/>
  <c r="AG114" i="38" s="1"/>
  <c r="Q114" i="38"/>
  <c r="O114" i="38"/>
  <c r="AD118" i="38"/>
  <c r="AG118" i="38" s="1"/>
  <c r="Q118" i="38"/>
  <c r="O118" i="38"/>
  <c r="AD122" i="38"/>
  <c r="AG122" i="38" s="1"/>
  <c r="Q122" i="38"/>
  <c r="O122" i="38"/>
  <c r="AD126" i="38"/>
  <c r="Q126" i="38"/>
  <c r="O126" i="38"/>
  <c r="AD130" i="38"/>
  <c r="AG130" i="38" s="1"/>
  <c r="Q130" i="38"/>
  <c r="O130" i="38"/>
  <c r="AD134" i="38"/>
  <c r="AG134" i="38" s="1"/>
  <c r="Q134" i="38"/>
  <c r="O134" i="38"/>
  <c r="AD138" i="38"/>
  <c r="Q138" i="38"/>
  <c r="O138" i="38"/>
  <c r="AD142" i="38"/>
  <c r="AG142" i="38" s="1"/>
  <c r="Q142" i="38"/>
  <c r="O142" i="38"/>
  <c r="AD146" i="38"/>
  <c r="AG146" i="38" s="1"/>
  <c r="Q146" i="38"/>
  <c r="O146" i="38"/>
  <c r="AD150" i="38"/>
  <c r="AG150" i="38" s="1"/>
  <c r="Q150" i="38"/>
  <c r="O150" i="38"/>
  <c r="AD154" i="38"/>
  <c r="AG154" i="38" s="1"/>
  <c r="Q154" i="38"/>
  <c r="O154" i="38"/>
  <c r="AD158" i="38"/>
  <c r="AG158" i="38" s="1"/>
  <c r="Q158" i="38"/>
  <c r="O158" i="38"/>
  <c r="AD162" i="38"/>
  <c r="AG162" i="38" s="1"/>
  <c r="Q162" i="38"/>
  <c r="O162" i="38"/>
  <c r="AD166" i="38"/>
  <c r="AG166" i="38" s="1"/>
  <c r="Q166" i="38"/>
  <c r="O166" i="38"/>
  <c r="AD170" i="38"/>
  <c r="AG170" i="38" s="1"/>
  <c r="Q170" i="38"/>
  <c r="O170" i="38"/>
  <c r="AD174" i="38"/>
  <c r="AG174" i="38" s="1"/>
  <c r="Q174" i="38"/>
  <c r="O174" i="38"/>
  <c r="AD178" i="38"/>
  <c r="Q178" i="38"/>
  <c r="O178" i="38"/>
  <c r="AD182" i="38"/>
  <c r="AG182" i="38" s="1"/>
  <c r="Q182" i="38"/>
  <c r="O182" i="38"/>
  <c r="AD186" i="38"/>
  <c r="AG186" i="38" s="1"/>
  <c r="Q186" i="38"/>
  <c r="O186" i="38"/>
  <c r="AD190" i="38"/>
  <c r="AG190" i="38" s="1"/>
  <c r="Q190" i="38"/>
  <c r="O190" i="38"/>
  <c r="AD194" i="38"/>
  <c r="AG194" i="38" s="1"/>
  <c r="Q194" i="38"/>
  <c r="O194" i="38"/>
  <c r="AD198" i="38"/>
  <c r="AG198" i="38" s="1"/>
  <c r="Q198" i="38"/>
  <c r="O198" i="38"/>
  <c r="AD202" i="38"/>
  <c r="AG202" i="38" s="1"/>
  <c r="Q202" i="38"/>
  <c r="O202" i="38"/>
  <c r="AD206" i="38"/>
  <c r="AG206" i="38" s="1"/>
  <c r="Q206" i="38"/>
  <c r="O206" i="38"/>
  <c r="AD210" i="38"/>
  <c r="AG210" i="38" s="1"/>
  <c r="Q210" i="38"/>
  <c r="O210" i="38"/>
  <c r="AD214" i="38"/>
  <c r="AG214" i="38" s="1"/>
  <c r="Q214" i="38"/>
  <c r="O214" i="38"/>
  <c r="AD218" i="38"/>
  <c r="AG218" i="38" s="1"/>
  <c r="Q218" i="38"/>
  <c r="O218" i="38"/>
  <c r="AD223" i="38"/>
  <c r="AG223" i="38" s="1"/>
  <c r="Q223" i="38"/>
  <c r="O223" i="38"/>
  <c r="AD227" i="38"/>
  <c r="AG227" i="38" s="1"/>
  <c r="Q227" i="38"/>
  <c r="O227" i="38"/>
  <c r="AD236" i="38"/>
  <c r="AG236" i="38" s="1"/>
  <c r="O236" i="38"/>
  <c r="Q236" i="38"/>
  <c r="AD253" i="38"/>
  <c r="O253" i="38"/>
  <c r="Q253" i="38"/>
  <c r="AD257" i="38"/>
  <c r="AG257" i="38" s="1"/>
  <c r="Q257" i="38"/>
  <c r="O257" i="38"/>
  <c r="AD261" i="38"/>
  <c r="AG261" i="38" s="1"/>
  <c r="O261" i="38"/>
  <c r="Q261" i="38"/>
  <c r="AD265" i="38"/>
  <c r="AG265" i="38" s="1"/>
  <c r="Q265" i="38"/>
  <c r="O265" i="38"/>
  <c r="AD269" i="38"/>
  <c r="AG269" i="38" s="1"/>
  <c r="O269" i="38"/>
  <c r="Q269" i="38"/>
  <c r="AD273" i="38"/>
  <c r="AG273" i="38" s="1"/>
  <c r="Q273" i="38"/>
  <c r="O273" i="38"/>
  <c r="AD277" i="38"/>
  <c r="AG277" i="38" s="1"/>
  <c r="O277" i="38"/>
  <c r="Q277" i="38"/>
  <c r="AD281" i="38"/>
  <c r="AG281" i="38" s="1"/>
  <c r="Q281" i="38"/>
  <c r="O281" i="38"/>
  <c r="AD285" i="38"/>
  <c r="AG285" i="38" s="1"/>
  <c r="O285" i="38"/>
  <c r="Q285" i="38"/>
  <c r="AD289" i="38"/>
  <c r="AG289" i="38" s="1"/>
  <c r="Q289" i="38"/>
  <c r="O289" i="38"/>
  <c r="AD293" i="38"/>
  <c r="AG293" i="38" s="1"/>
  <c r="O293" i="38"/>
  <c r="Q293" i="38"/>
  <c r="AD297" i="38"/>
  <c r="AG297" i="38" s="1"/>
  <c r="Q297" i="38"/>
  <c r="O297" i="38"/>
  <c r="AD301" i="38"/>
  <c r="AG301" i="38" s="1"/>
  <c r="O301" i="38"/>
  <c r="Q301" i="38"/>
  <c r="AD305" i="38"/>
  <c r="AG305" i="38" s="1"/>
  <c r="Q305" i="38"/>
  <c r="O305" i="38"/>
  <c r="AD309" i="38"/>
  <c r="AG309" i="38" s="1"/>
  <c r="O309" i="38"/>
  <c r="Q309" i="38"/>
  <c r="AD313" i="38"/>
  <c r="AG313" i="38" s="1"/>
  <c r="Q313" i="38"/>
  <c r="O313" i="38"/>
  <c r="AD317" i="38"/>
  <c r="AG317" i="38" s="1"/>
  <c r="O317" i="38"/>
  <c r="Q317" i="38"/>
  <c r="AD219" i="38"/>
  <c r="AG219" i="38" s="1"/>
  <c r="Q219" i="38"/>
  <c r="O219" i="38"/>
  <c r="AD232" i="38"/>
  <c r="AG232" i="38" s="1"/>
  <c r="Q232" i="38"/>
  <c r="O232" i="38"/>
  <c r="AD241" i="38"/>
  <c r="AG241" i="38" s="1"/>
  <c r="Q241" i="38"/>
  <c r="O241" i="38"/>
  <c r="AD245" i="38"/>
  <c r="AG245" i="38" s="1"/>
  <c r="O245" i="38"/>
  <c r="Q245" i="38"/>
  <c r="AD249" i="38"/>
  <c r="AG249" i="38" s="1"/>
  <c r="Q249" i="38"/>
  <c r="O249" i="38"/>
  <c r="AD247" i="38"/>
  <c r="AG247" i="38" s="1"/>
  <c r="Q247" i="38"/>
  <c r="O247" i="38"/>
  <c r="AD11" i="38"/>
  <c r="AG11" i="38" s="1"/>
  <c r="Q11" i="38"/>
  <c r="O11" i="38"/>
  <c r="AD15" i="38"/>
  <c r="AG15" i="38" s="1"/>
  <c r="Q15" i="38"/>
  <c r="O15" i="38"/>
  <c r="AD19" i="38"/>
  <c r="AG19" i="38" s="1"/>
  <c r="Q19" i="38"/>
  <c r="O19" i="38"/>
  <c r="AD23" i="38"/>
  <c r="AG23" i="38" s="1"/>
  <c r="Q23" i="38"/>
  <c r="O23" i="38"/>
  <c r="AD27" i="38"/>
  <c r="AG27" i="38" s="1"/>
  <c r="Q27" i="38"/>
  <c r="O27" i="38"/>
  <c r="AD31" i="38"/>
  <c r="AG31" i="38" s="1"/>
  <c r="Q31" i="38"/>
  <c r="O31" i="38"/>
  <c r="AD35" i="38"/>
  <c r="AG35" i="38" s="1"/>
  <c r="Q35" i="38"/>
  <c r="O35" i="38"/>
  <c r="AD39" i="38"/>
  <c r="AG39" i="38" s="1"/>
  <c r="Q39" i="38"/>
  <c r="O39" i="38"/>
  <c r="AD43" i="38"/>
  <c r="AG43" i="38" s="1"/>
  <c r="Q43" i="38"/>
  <c r="O43" i="38"/>
  <c r="AD47" i="38"/>
  <c r="AG47" i="38" s="1"/>
  <c r="Q47" i="38"/>
  <c r="O47" i="38"/>
  <c r="AD51" i="38"/>
  <c r="AG51" i="38" s="1"/>
  <c r="Q51" i="38"/>
  <c r="O51" i="38"/>
  <c r="AD55" i="38"/>
  <c r="AG55" i="38" s="1"/>
  <c r="Q55" i="38"/>
  <c r="O55" i="38"/>
  <c r="AD59" i="38"/>
  <c r="AG59" i="38" s="1"/>
  <c r="Q59" i="38"/>
  <c r="O59" i="38"/>
  <c r="AD63" i="38"/>
  <c r="AG63" i="38" s="1"/>
  <c r="Q63" i="38"/>
  <c r="O63" i="38"/>
  <c r="AD67" i="38"/>
  <c r="AG67" i="38" s="1"/>
  <c r="Q67" i="38"/>
  <c r="O67" i="38"/>
  <c r="AD71" i="38"/>
  <c r="AG71" i="38" s="1"/>
  <c r="Q71" i="38"/>
  <c r="O71" i="38"/>
  <c r="AD75" i="38"/>
  <c r="AG75" i="38" s="1"/>
  <c r="Q75" i="38"/>
  <c r="O75" i="38"/>
  <c r="AD79" i="38"/>
  <c r="AG79" i="38" s="1"/>
  <c r="Q79" i="38"/>
  <c r="O79" i="38"/>
  <c r="AD83" i="38"/>
  <c r="AG83" i="38" s="1"/>
  <c r="Q83" i="38"/>
  <c r="O83" i="38"/>
  <c r="AD87" i="38"/>
  <c r="AG87" i="38" s="1"/>
  <c r="Q87" i="38"/>
  <c r="O87" i="38"/>
  <c r="AD91" i="38"/>
  <c r="AG91" i="38" s="1"/>
  <c r="Q91" i="38"/>
  <c r="O91" i="38"/>
  <c r="AD95" i="38"/>
  <c r="AG95" i="38" s="1"/>
  <c r="Q95" i="38"/>
  <c r="O95" i="38"/>
  <c r="AD99" i="38"/>
  <c r="Q99" i="38"/>
  <c r="O99" i="38"/>
  <c r="AD103" i="38"/>
  <c r="AG103" i="38" s="1"/>
  <c r="Q103" i="38"/>
  <c r="O103" i="38"/>
  <c r="AD107" i="38"/>
  <c r="AG107" i="38" s="1"/>
  <c r="Q107" i="38"/>
  <c r="O107" i="38"/>
  <c r="AD111" i="38"/>
  <c r="AG111" i="38" s="1"/>
  <c r="Q111" i="38"/>
  <c r="O111" i="38"/>
  <c r="AD115" i="38"/>
  <c r="AG115" i="38" s="1"/>
  <c r="Q115" i="38"/>
  <c r="O115" i="38"/>
  <c r="AD119" i="38"/>
  <c r="AG119" i="38" s="1"/>
  <c r="Q119" i="38"/>
  <c r="O119" i="38"/>
  <c r="AD123" i="38"/>
  <c r="AG123" i="38" s="1"/>
  <c r="Q123" i="38"/>
  <c r="O123" i="38"/>
  <c r="AD127" i="38"/>
  <c r="AG127" i="38" s="1"/>
  <c r="Q127" i="38"/>
  <c r="O127" i="38"/>
  <c r="AD131" i="38"/>
  <c r="AG131" i="38" s="1"/>
  <c r="Q131" i="38"/>
  <c r="O131" i="38"/>
  <c r="AD135" i="38"/>
  <c r="AG135" i="38" s="1"/>
  <c r="Q135" i="38"/>
  <c r="O135" i="38"/>
  <c r="AD139" i="38"/>
  <c r="AG139" i="38" s="1"/>
  <c r="Q139" i="38"/>
  <c r="O139" i="38"/>
  <c r="AD143" i="38"/>
  <c r="AG143" i="38" s="1"/>
  <c r="Q143" i="38"/>
  <c r="O143" i="38"/>
  <c r="AD147" i="38"/>
  <c r="AG147" i="38" s="1"/>
  <c r="Q147" i="38"/>
  <c r="O147" i="38"/>
  <c r="AD151" i="38"/>
  <c r="AG151" i="38" s="1"/>
  <c r="Q151" i="38"/>
  <c r="O151" i="38"/>
  <c r="AD155" i="38"/>
  <c r="AG155" i="38" s="1"/>
  <c r="Q155" i="38"/>
  <c r="O155" i="38"/>
  <c r="AD159" i="38"/>
  <c r="AG159" i="38" s="1"/>
  <c r="Q159" i="38"/>
  <c r="O159" i="38"/>
  <c r="AD163" i="38"/>
  <c r="AG163" i="38" s="1"/>
  <c r="Q163" i="38"/>
  <c r="O163" i="38"/>
  <c r="AD167" i="38"/>
  <c r="AG167" i="38" s="1"/>
  <c r="Q167" i="38"/>
  <c r="O167" i="38"/>
  <c r="AD171" i="38"/>
  <c r="AG171" i="38" s="1"/>
  <c r="Q171" i="38"/>
  <c r="O171" i="38"/>
  <c r="AD175" i="38"/>
  <c r="AG175" i="38" s="1"/>
  <c r="Q175" i="38"/>
  <c r="O175" i="38"/>
  <c r="AD179" i="38"/>
  <c r="AG179" i="38" s="1"/>
  <c r="Q179" i="38"/>
  <c r="O179" i="38"/>
  <c r="AD183" i="38"/>
  <c r="AG183" i="38" s="1"/>
  <c r="Q183" i="38"/>
  <c r="O183" i="38"/>
  <c r="AD187" i="38"/>
  <c r="AG187" i="38" s="1"/>
  <c r="Q187" i="38"/>
  <c r="O187" i="38"/>
  <c r="AD191" i="38"/>
  <c r="AG191" i="38" s="1"/>
  <c r="Q191" i="38"/>
  <c r="O191" i="38"/>
  <c r="AD195" i="38"/>
  <c r="AG195" i="38" s="1"/>
  <c r="Q195" i="38"/>
  <c r="O195" i="38"/>
  <c r="AD199" i="38"/>
  <c r="AG199" i="38" s="1"/>
  <c r="Q199" i="38"/>
  <c r="O199" i="38"/>
  <c r="AD203" i="38"/>
  <c r="AG203" i="38" s="1"/>
  <c r="Q203" i="38"/>
  <c r="O203" i="38"/>
  <c r="AD207" i="38"/>
  <c r="AG207" i="38" s="1"/>
  <c r="Q207" i="38"/>
  <c r="O207" i="38"/>
  <c r="AD211" i="38"/>
  <c r="AG211" i="38" s="1"/>
  <c r="Q211" i="38"/>
  <c r="O211" i="38"/>
  <c r="AD215" i="38"/>
  <c r="AG215" i="38" s="1"/>
  <c r="Q215" i="38"/>
  <c r="O215" i="38"/>
  <c r="AD224" i="38"/>
  <c r="AG224" i="38" s="1"/>
  <c r="Q224" i="38"/>
  <c r="O224" i="38"/>
  <c r="AD228" i="38"/>
  <c r="AG228" i="38" s="1"/>
  <c r="O228" i="38"/>
  <c r="Q228" i="38"/>
  <c r="AD237" i="38"/>
  <c r="AG237" i="38" s="1"/>
  <c r="O237" i="38"/>
  <c r="Q237" i="38"/>
  <c r="AD254" i="38"/>
  <c r="AG254" i="38" s="1"/>
  <c r="Q254" i="38"/>
  <c r="O254" i="38"/>
  <c r="AD258" i="38"/>
  <c r="AG258" i="38" s="1"/>
  <c r="Q258" i="38"/>
  <c r="O258" i="38"/>
  <c r="AD262" i="38"/>
  <c r="AG262" i="38" s="1"/>
  <c r="Q262" i="38"/>
  <c r="O262" i="38"/>
  <c r="AD266" i="38"/>
  <c r="AG266" i="38" s="1"/>
  <c r="Q266" i="38"/>
  <c r="O266" i="38"/>
  <c r="AD270" i="38"/>
  <c r="AG270" i="38" s="1"/>
  <c r="Q270" i="38"/>
  <c r="O270" i="38"/>
  <c r="AD274" i="38"/>
  <c r="AG274" i="38" s="1"/>
  <c r="Q274" i="38"/>
  <c r="O274" i="38"/>
  <c r="AD278" i="38"/>
  <c r="AG278" i="38" s="1"/>
  <c r="Q278" i="38"/>
  <c r="O278" i="38"/>
  <c r="AD282" i="38"/>
  <c r="AG282" i="38" s="1"/>
  <c r="Q282" i="38"/>
  <c r="O282" i="38"/>
  <c r="AD286" i="38"/>
  <c r="AG286" i="38" s="1"/>
  <c r="Q286" i="38"/>
  <c r="O286" i="38"/>
  <c r="AD290" i="38"/>
  <c r="AG290" i="38" s="1"/>
  <c r="Q290" i="38"/>
  <c r="O290" i="38"/>
  <c r="AD294" i="38"/>
  <c r="AG294" i="38" s="1"/>
  <c r="Q294" i="38"/>
  <c r="O294" i="38"/>
  <c r="AD298" i="38"/>
  <c r="AG298" i="38" s="1"/>
  <c r="Q298" i="38"/>
  <c r="O298" i="38"/>
  <c r="AD302" i="38"/>
  <c r="AG302" i="38" s="1"/>
  <c r="Q302" i="38"/>
  <c r="O302" i="38"/>
  <c r="AD306" i="38"/>
  <c r="AG306" i="38" s="1"/>
  <c r="Q306" i="38"/>
  <c r="O306" i="38"/>
  <c r="AD310" i="38"/>
  <c r="AG310" i="38" s="1"/>
  <c r="Q310" i="38"/>
  <c r="O310" i="38"/>
  <c r="AD314" i="38"/>
  <c r="AG314" i="38" s="1"/>
  <c r="Q314" i="38"/>
  <c r="O314" i="38"/>
  <c r="AD318" i="38"/>
  <c r="AG318" i="38" s="1"/>
  <c r="Q318" i="38"/>
  <c r="O318" i="38"/>
  <c r="AD243" i="38"/>
  <c r="AG243" i="38" s="1"/>
  <c r="Q243" i="38"/>
  <c r="O243" i="38"/>
  <c r="AD220" i="38"/>
  <c r="AG220" i="38" s="1"/>
  <c r="O220" i="38"/>
  <c r="Q220" i="38"/>
  <c r="AD233" i="38"/>
  <c r="AG233" i="38" s="1"/>
  <c r="Q233" i="38"/>
  <c r="O233" i="38"/>
  <c r="AD242" i="38"/>
  <c r="AG242" i="38" s="1"/>
  <c r="Q242" i="38"/>
  <c r="O242" i="38"/>
  <c r="AD246" i="38"/>
  <c r="AG246" i="38" s="1"/>
  <c r="Q246" i="38"/>
  <c r="O246" i="38"/>
  <c r="AD250" i="38"/>
  <c r="AG250" i="38" s="1"/>
  <c r="Q250" i="38"/>
  <c r="O250" i="38"/>
  <c r="AD12" i="38"/>
  <c r="AG12" i="38" s="1"/>
  <c r="O12" i="38"/>
  <c r="Q12" i="38"/>
  <c r="AD16" i="38"/>
  <c r="AG16" i="38" s="1"/>
  <c r="Q16" i="38"/>
  <c r="O16" i="38"/>
  <c r="AD20" i="38"/>
  <c r="AG20" i="38" s="1"/>
  <c r="O20" i="38"/>
  <c r="Q20" i="38"/>
  <c r="AD24" i="38"/>
  <c r="AG24" i="38" s="1"/>
  <c r="Q24" i="38"/>
  <c r="O24" i="38"/>
  <c r="AD28" i="38"/>
  <c r="AG28" i="38" s="1"/>
  <c r="O28" i="38"/>
  <c r="Q28" i="38"/>
  <c r="AD32" i="38"/>
  <c r="AG32" i="38" s="1"/>
  <c r="Q32" i="38"/>
  <c r="O32" i="38"/>
  <c r="AD36" i="38"/>
  <c r="AG36" i="38" s="1"/>
  <c r="O36" i="38"/>
  <c r="Q36" i="38"/>
  <c r="AD40" i="38"/>
  <c r="AG40" i="38" s="1"/>
  <c r="Q40" i="38"/>
  <c r="O40" i="38"/>
  <c r="AD44" i="38"/>
  <c r="AG44" i="38" s="1"/>
  <c r="O44" i="38"/>
  <c r="Q44" i="38"/>
  <c r="AD48" i="38"/>
  <c r="AG48" i="38" s="1"/>
  <c r="Q48" i="38"/>
  <c r="O48" i="38"/>
  <c r="AD52" i="38"/>
  <c r="AG52" i="38" s="1"/>
  <c r="O52" i="38"/>
  <c r="Q52" i="38"/>
  <c r="AD56" i="38"/>
  <c r="AG56" i="38" s="1"/>
  <c r="Q56" i="38"/>
  <c r="O56" i="38"/>
  <c r="AD60" i="38"/>
  <c r="AG60" i="38" s="1"/>
  <c r="O60" i="38"/>
  <c r="Q60" i="38"/>
  <c r="AD64" i="38"/>
  <c r="AG64" i="38" s="1"/>
  <c r="Q64" i="38"/>
  <c r="O64" i="38"/>
  <c r="AD68" i="38"/>
  <c r="AG68" i="38" s="1"/>
  <c r="O68" i="38"/>
  <c r="Q68" i="38"/>
  <c r="AD72" i="38"/>
  <c r="AG72" i="38" s="1"/>
  <c r="Q72" i="38"/>
  <c r="O72" i="38"/>
  <c r="AD76" i="38"/>
  <c r="AG76" i="38" s="1"/>
  <c r="O76" i="38"/>
  <c r="Q76" i="38"/>
  <c r="AD80" i="38"/>
  <c r="AG80" i="38" s="1"/>
  <c r="Q80" i="38"/>
  <c r="O80" i="38"/>
  <c r="AD84" i="38"/>
  <c r="AG84" i="38" s="1"/>
  <c r="O84" i="38"/>
  <c r="Q84" i="38"/>
  <c r="AD88" i="38"/>
  <c r="AG88" i="38" s="1"/>
  <c r="Q88" i="38"/>
  <c r="O88" i="38"/>
  <c r="AD92" i="38"/>
  <c r="AG92" i="38" s="1"/>
  <c r="O92" i="38"/>
  <c r="Q92" i="38"/>
  <c r="AD96" i="38"/>
  <c r="AG96" i="38" s="1"/>
  <c r="Q96" i="38"/>
  <c r="O96" i="38"/>
  <c r="AD100" i="38"/>
  <c r="AG100" i="38" s="1"/>
  <c r="O100" i="38"/>
  <c r="Q100" i="38"/>
  <c r="AD104" i="38"/>
  <c r="AG104" i="38" s="1"/>
  <c r="Q104" i="38"/>
  <c r="O104" i="38"/>
  <c r="AD108" i="38"/>
  <c r="AG108" i="38" s="1"/>
  <c r="O108" i="38"/>
  <c r="Q108" i="38"/>
  <c r="AD112" i="38"/>
  <c r="AG112" i="38" s="1"/>
  <c r="Q112" i="38"/>
  <c r="O112" i="38"/>
  <c r="AD116" i="38"/>
  <c r="AG116" i="38" s="1"/>
  <c r="O116" i="38"/>
  <c r="Q116" i="38"/>
  <c r="AD120" i="38"/>
  <c r="AG120" i="38" s="1"/>
  <c r="Q120" i="38"/>
  <c r="O120" i="38"/>
  <c r="AD124" i="38"/>
  <c r="AG124" i="38" s="1"/>
  <c r="O124" i="38"/>
  <c r="Q124" i="38"/>
  <c r="AD128" i="38"/>
  <c r="AG128" i="38" s="1"/>
  <c r="Q128" i="38"/>
  <c r="O128" i="38"/>
  <c r="AD132" i="38"/>
  <c r="AG132" i="38" s="1"/>
  <c r="O132" i="38"/>
  <c r="Q132" i="38"/>
  <c r="AD136" i="38"/>
  <c r="AG136" i="38" s="1"/>
  <c r="Q136" i="38"/>
  <c r="O136" i="38"/>
  <c r="AD140" i="38"/>
  <c r="AG140" i="38" s="1"/>
  <c r="O140" i="38"/>
  <c r="Q140" i="38"/>
  <c r="AD144" i="38"/>
  <c r="AG144" i="38" s="1"/>
  <c r="Q144" i="38"/>
  <c r="O144" i="38"/>
  <c r="AD148" i="38"/>
  <c r="AG148" i="38" s="1"/>
  <c r="O148" i="38"/>
  <c r="Q148" i="38"/>
  <c r="AD152" i="38"/>
  <c r="AG152" i="38" s="1"/>
  <c r="Q152" i="38"/>
  <c r="O152" i="38"/>
  <c r="AD156" i="38"/>
  <c r="AG156" i="38" s="1"/>
  <c r="O156" i="38"/>
  <c r="Q156" i="38"/>
  <c r="AD160" i="38"/>
  <c r="AG160" i="38" s="1"/>
  <c r="Q160" i="38"/>
  <c r="O160" i="38"/>
  <c r="AD164" i="38"/>
  <c r="AG164" i="38" s="1"/>
  <c r="O164" i="38"/>
  <c r="Q164" i="38"/>
  <c r="AD168" i="38"/>
  <c r="AG168" i="38" s="1"/>
  <c r="Q168" i="38"/>
  <c r="O168" i="38"/>
  <c r="AD172" i="38"/>
  <c r="AG172" i="38" s="1"/>
  <c r="O172" i="38"/>
  <c r="Q172" i="38"/>
  <c r="AD176" i="38"/>
  <c r="AG176" i="38" s="1"/>
  <c r="Q176" i="38"/>
  <c r="O176" i="38"/>
  <c r="AD180" i="38"/>
  <c r="AG180" i="38" s="1"/>
  <c r="O180" i="38"/>
  <c r="Q180" i="38"/>
  <c r="AD184" i="38"/>
  <c r="AG184" i="38" s="1"/>
  <c r="Q184" i="38"/>
  <c r="O184" i="38"/>
  <c r="AD188" i="38"/>
  <c r="AG188" i="38" s="1"/>
  <c r="O188" i="38"/>
  <c r="Q188" i="38"/>
  <c r="AD192" i="38"/>
  <c r="AG192" i="38" s="1"/>
  <c r="Q192" i="38"/>
  <c r="O192" i="38"/>
  <c r="AD196" i="38"/>
  <c r="AG196" i="38" s="1"/>
  <c r="O196" i="38"/>
  <c r="Q196" i="38"/>
  <c r="AD200" i="38"/>
  <c r="AG200" i="38" s="1"/>
  <c r="Q200" i="38"/>
  <c r="O200" i="38"/>
  <c r="AD204" i="38"/>
  <c r="AG204" i="38" s="1"/>
  <c r="O204" i="38"/>
  <c r="Q204" i="38"/>
  <c r="AD208" i="38"/>
  <c r="AG208" i="38" s="1"/>
  <c r="Q208" i="38"/>
  <c r="O208" i="38"/>
  <c r="AD212" i="38"/>
  <c r="AG212" i="38" s="1"/>
  <c r="O212" i="38"/>
  <c r="Q212" i="38"/>
  <c r="AD216" i="38"/>
  <c r="AG216" i="38" s="1"/>
  <c r="Q216" i="38"/>
  <c r="O216" i="38"/>
  <c r="AD221" i="38"/>
  <c r="AG221" i="38" s="1"/>
  <c r="O221" i="38"/>
  <c r="Q221" i="38"/>
  <c r="AD225" i="38"/>
  <c r="AG225" i="38" s="1"/>
  <c r="Q225" i="38"/>
  <c r="O225" i="38"/>
  <c r="AD229" i="38"/>
  <c r="AG229" i="38" s="1"/>
  <c r="O229" i="38"/>
  <c r="Q229" i="38"/>
  <c r="AD234" i="38"/>
  <c r="AG234" i="38" s="1"/>
  <c r="Q234" i="38"/>
  <c r="O234" i="38"/>
  <c r="AD238" i="38"/>
  <c r="AG238" i="38" s="1"/>
  <c r="Q238" i="38"/>
  <c r="O238" i="38"/>
  <c r="AD255" i="38"/>
  <c r="AG255" i="38" s="1"/>
  <c r="Q255" i="38"/>
  <c r="O255" i="38"/>
  <c r="AD259" i="38"/>
  <c r="AG259" i="38" s="1"/>
  <c r="Q259" i="38"/>
  <c r="O259" i="38"/>
  <c r="AD263" i="38"/>
  <c r="AG263" i="38" s="1"/>
  <c r="Q263" i="38"/>
  <c r="O263" i="38"/>
  <c r="AD267" i="38"/>
  <c r="AG267" i="38" s="1"/>
  <c r="Q267" i="38"/>
  <c r="O267" i="38"/>
  <c r="AD271" i="38"/>
  <c r="AG271" i="38" s="1"/>
  <c r="Q271" i="38"/>
  <c r="O271" i="38"/>
  <c r="AD275" i="38"/>
  <c r="AG275" i="38" s="1"/>
  <c r="Q275" i="38"/>
  <c r="O275" i="38"/>
  <c r="AD279" i="38"/>
  <c r="AG279" i="38" s="1"/>
  <c r="Q279" i="38"/>
  <c r="O279" i="38"/>
  <c r="AD283" i="38"/>
  <c r="AG283" i="38" s="1"/>
  <c r="Q283" i="38"/>
  <c r="O283" i="38"/>
  <c r="AD287" i="38"/>
  <c r="AG287" i="38" s="1"/>
  <c r="Q287" i="38"/>
  <c r="O287" i="38"/>
  <c r="AD291" i="38"/>
  <c r="AG291" i="38" s="1"/>
  <c r="Q291" i="38"/>
  <c r="O291" i="38"/>
  <c r="AD295" i="38"/>
  <c r="AG295" i="38" s="1"/>
  <c r="Q295" i="38"/>
  <c r="O295" i="38"/>
  <c r="AD299" i="38"/>
  <c r="AG299" i="38" s="1"/>
  <c r="Q299" i="38"/>
  <c r="O299" i="38"/>
  <c r="AD303" i="38"/>
  <c r="AG303" i="38" s="1"/>
  <c r="Q303" i="38"/>
  <c r="O303" i="38"/>
  <c r="AD307" i="38"/>
  <c r="AG307" i="38" s="1"/>
  <c r="Q307" i="38"/>
  <c r="O307" i="38"/>
  <c r="AD311" i="38"/>
  <c r="AG311" i="38" s="1"/>
  <c r="Q311" i="38"/>
  <c r="O311" i="38"/>
  <c r="AD315" i="38"/>
  <c r="AG315" i="38" s="1"/>
  <c r="Q315" i="38"/>
  <c r="O315" i="38"/>
  <c r="AD319" i="38"/>
  <c r="AG319" i="38" s="1"/>
  <c r="Q319" i="38"/>
  <c r="O319" i="38"/>
  <c r="AZ10" i="38"/>
  <c r="AZ11" i="38"/>
  <c r="AZ12" i="38"/>
  <c r="AZ13" i="38"/>
  <c r="AZ14" i="38"/>
  <c r="AZ15" i="38"/>
  <c r="AZ16" i="38"/>
  <c r="AZ17" i="38"/>
  <c r="AZ18" i="38"/>
  <c r="AZ19" i="38"/>
  <c r="AZ20" i="38"/>
  <c r="AZ21" i="38"/>
  <c r="AZ22" i="38"/>
  <c r="AZ23" i="38"/>
  <c r="AZ24" i="38"/>
  <c r="AZ25" i="38"/>
  <c r="AZ26" i="38"/>
  <c r="AZ27" i="38"/>
  <c r="AZ28" i="38"/>
  <c r="AZ29" i="38"/>
  <c r="AZ30" i="38"/>
  <c r="AZ31" i="38"/>
  <c r="AZ32" i="38"/>
  <c r="AZ33" i="38"/>
  <c r="AZ34" i="38"/>
  <c r="AZ35" i="38"/>
  <c r="AZ36" i="38"/>
  <c r="AZ37" i="38"/>
  <c r="AZ38" i="38"/>
  <c r="AZ39" i="38"/>
  <c r="AZ40" i="38"/>
  <c r="AZ41" i="38"/>
  <c r="AZ42" i="38"/>
  <c r="AZ43" i="38"/>
  <c r="AZ44" i="38"/>
  <c r="AZ45" i="38"/>
  <c r="AZ46" i="38"/>
  <c r="AZ47" i="38"/>
  <c r="AZ48" i="38"/>
  <c r="AZ49" i="38"/>
  <c r="AZ50" i="38"/>
  <c r="AZ51" i="38"/>
  <c r="AZ52" i="38"/>
  <c r="AZ53" i="38"/>
  <c r="AZ54" i="38"/>
  <c r="AZ55" i="38"/>
  <c r="AZ56" i="38"/>
  <c r="AZ57" i="38"/>
  <c r="AZ58" i="38"/>
  <c r="AZ59" i="38"/>
  <c r="AZ60" i="38"/>
  <c r="AZ61" i="38"/>
  <c r="AZ62" i="38"/>
  <c r="AZ63" i="38"/>
  <c r="AZ64" i="38"/>
  <c r="AZ65" i="38"/>
  <c r="AZ66" i="38"/>
  <c r="AZ67" i="38"/>
  <c r="AZ68" i="38"/>
  <c r="AZ69" i="38"/>
  <c r="AZ70" i="38"/>
  <c r="AZ71" i="38"/>
  <c r="AZ72" i="38"/>
  <c r="AZ73" i="38"/>
  <c r="AZ74" i="38"/>
  <c r="AZ75" i="38"/>
  <c r="AZ76" i="38"/>
  <c r="AZ77" i="38"/>
  <c r="AZ78" i="38"/>
  <c r="AZ79" i="38"/>
  <c r="AZ80" i="38"/>
  <c r="AZ81" i="38"/>
  <c r="AZ82" i="38"/>
  <c r="AZ83" i="38"/>
  <c r="AZ84" i="38"/>
  <c r="AZ85" i="38"/>
  <c r="AZ86" i="38"/>
  <c r="AZ87" i="38"/>
  <c r="AZ88" i="38"/>
  <c r="AZ89" i="38"/>
  <c r="AZ90" i="38"/>
  <c r="AZ91" i="38"/>
  <c r="AZ92" i="38"/>
  <c r="AZ93" i="38"/>
  <c r="AZ94" i="38"/>
  <c r="AZ95" i="38"/>
  <c r="AZ96" i="38"/>
  <c r="AZ97" i="38"/>
  <c r="AZ98" i="38"/>
  <c r="AZ99" i="38"/>
  <c r="AZ100" i="38"/>
  <c r="AZ101" i="38"/>
  <c r="AZ102" i="38"/>
  <c r="AZ103" i="38"/>
  <c r="AZ104" i="38"/>
  <c r="AZ105" i="38"/>
  <c r="AZ106" i="38"/>
  <c r="AZ107" i="38"/>
  <c r="AZ108" i="38"/>
  <c r="AZ109" i="38"/>
  <c r="AZ110" i="38"/>
  <c r="AZ111" i="38"/>
  <c r="AZ112" i="38"/>
  <c r="AZ113" i="38"/>
  <c r="AZ114" i="38"/>
  <c r="AZ115" i="38"/>
  <c r="AZ116" i="38"/>
  <c r="AZ117" i="38"/>
  <c r="AZ118" i="38"/>
  <c r="AZ119" i="38"/>
  <c r="AZ120" i="38"/>
  <c r="AZ121" i="38"/>
  <c r="AZ122" i="38"/>
  <c r="AZ123" i="38"/>
  <c r="AZ124" i="38"/>
  <c r="AZ125" i="38"/>
  <c r="AZ126" i="38"/>
  <c r="AZ127" i="38"/>
  <c r="AZ128" i="38"/>
  <c r="AZ129" i="38"/>
  <c r="AZ130" i="38"/>
  <c r="AZ131" i="38"/>
  <c r="AZ132" i="38"/>
  <c r="AZ133" i="38"/>
  <c r="AZ134" i="38"/>
  <c r="AZ135" i="38"/>
  <c r="AZ136" i="38"/>
  <c r="AZ137" i="38"/>
  <c r="AZ138" i="38"/>
  <c r="AZ139" i="38"/>
  <c r="AZ140" i="38"/>
  <c r="AZ141" i="38"/>
  <c r="AZ142" i="38"/>
  <c r="AZ143" i="38"/>
  <c r="AZ144" i="38"/>
  <c r="AZ145" i="38"/>
  <c r="AZ146" i="38"/>
  <c r="AZ147" i="38"/>
  <c r="AZ148" i="38"/>
  <c r="AZ149" i="38"/>
  <c r="AZ150" i="38"/>
  <c r="AZ151" i="38"/>
  <c r="AZ152" i="38"/>
  <c r="AZ153" i="38"/>
  <c r="AZ154" i="38"/>
  <c r="AZ155" i="38"/>
  <c r="AZ156" i="38"/>
  <c r="AZ157" i="38"/>
  <c r="AZ158" i="38"/>
  <c r="AZ159" i="38"/>
  <c r="AZ160" i="38"/>
  <c r="AZ161" i="38"/>
  <c r="AZ162" i="38"/>
  <c r="AZ163" i="38"/>
  <c r="AZ164" i="38"/>
  <c r="AZ165" i="38"/>
  <c r="AZ166" i="38"/>
  <c r="AZ167" i="38"/>
  <c r="AZ168" i="38"/>
  <c r="AZ169" i="38"/>
  <c r="AZ170" i="38"/>
  <c r="AZ171" i="38"/>
  <c r="AZ172" i="38"/>
  <c r="AZ173" i="38"/>
  <c r="AZ174" i="38"/>
  <c r="AZ175" i="38"/>
  <c r="AZ176" i="38"/>
  <c r="AZ177" i="38"/>
  <c r="AZ178" i="38"/>
  <c r="AZ179" i="38"/>
  <c r="AZ180" i="38"/>
  <c r="AZ181" i="38"/>
  <c r="AZ182" i="38"/>
  <c r="AZ183" i="38"/>
  <c r="AZ184" i="38"/>
  <c r="AZ185" i="38"/>
  <c r="AZ186" i="38"/>
  <c r="AZ187" i="38"/>
  <c r="AZ188" i="38"/>
  <c r="AZ189" i="38"/>
  <c r="AZ190" i="38"/>
  <c r="AZ191" i="38"/>
  <c r="AZ192" i="38"/>
  <c r="AZ193" i="38"/>
  <c r="AZ194" i="38"/>
  <c r="AZ195" i="38"/>
  <c r="AZ196" i="38"/>
  <c r="AZ197" i="38"/>
  <c r="AZ198" i="38"/>
  <c r="AZ199" i="38"/>
  <c r="AZ200" i="38"/>
  <c r="AZ201" i="38"/>
  <c r="AZ202" i="38"/>
  <c r="AZ203" i="38"/>
  <c r="AZ204" i="38"/>
  <c r="AZ205" i="38"/>
  <c r="AZ206" i="38"/>
  <c r="AZ207" i="38"/>
  <c r="AZ208" i="38"/>
  <c r="AZ209" i="38"/>
  <c r="AZ210" i="38"/>
  <c r="AZ211" i="38"/>
  <c r="AZ212" i="38"/>
  <c r="AZ213" i="38"/>
  <c r="AZ214" i="38"/>
  <c r="AZ215" i="38"/>
  <c r="AZ216" i="38"/>
  <c r="AZ217" i="38"/>
  <c r="AZ218" i="38"/>
  <c r="AZ219" i="38"/>
  <c r="AZ220" i="38"/>
  <c r="AZ221" i="38"/>
  <c r="AZ222" i="38"/>
  <c r="AZ223" i="38"/>
  <c r="AZ224" i="38"/>
  <c r="AZ225" i="38"/>
  <c r="AZ226" i="38"/>
  <c r="AZ227" i="38"/>
  <c r="AZ228" i="38"/>
  <c r="AZ229" i="38"/>
  <c r="AZ230" i="38"/>
  <c r="AZ231" i="38"/>
  <c r="AZ232" i="38"/>
  <c r="AZ233" i="38"/>
  <c r="AZ234" i="38"/>
  <c r="AZ235" i="38"/>
  <c r="AZ236" i="38"/>
  <c r="AZ237" i="38"/>
  <c r="AZ238" i="38"/>
  <c r="AZ239" i="38"/>
  <c r="AZ240" i="38"/>
  <c r="AZ241" i="38"/>
  <c r="AZ242" i="38"/>
  <c r="AZ243" i="38"/>
  <c r="AZ244" i="38"/>
  <c r="AZ245" i="38"/>
  <c r="AZ246" i="38"/>
  <c r="AZ247" i="38"/>
  <c r="AZ248" i="38"/>
  <c r="AZ249" i="38"/>
  <c r="AZ250" i="38"/>
  <c r="AZ251" i="38"/>
  <c r="AZ252" i="38"/>
  <c r="AZ253" i="38"/>
  <c r="AZ254" i="38"/>
  <c r="AZ255" i="38"/>
  <c r="AZ256" i="38"/>
  <c r="AZ257" i="38"/>
  <c r="AZ258" i="38"/>
  <c r="AZ259" i="38"/>
  <c r="AZ260" i="38"/>
  <c r="AZ261" i="38"/>
  <c r="AZ262" i="38"/>
  <c r="AZ263" i="38"/>
  <c r="AZ264" i="38"/>
  <c r="AZ265" i="38"/>
  <c r="AZ266" i="38"/>
  <c r="AZ267" i="38"/>
  <c r="AZ268" i="38"/>
  <c r="AZ269" i="38"/>
  <c r="AZ270" i="38"/>
  <c r="AZ271" i="38"/>
  <c r="AZ272" i="38"/>
  <c r="AZ273" i="38"/>
  <c r="AZ274" i="38"/>
  <c r="AZ275" i="38"/>
  <c r="AZ276" i="38"/>
  <c r="AZ277" i="38"/>
  <c r="AZ278" i="38"/>
  <c r="AZ279" i="38"/>
  <c r="AZ280" i="38"/>
  <c r="AZ281" i="38"/>
  <c r="AZ282" i="38"/>
  <c r="AZ283" i="38"/>
  <c r="AZ284" i="38"/>
  <c r="AZ285" i="38"/>
  <c r="AZ286" i="38"/>
  <c r="AZ287" i="38"/>
  <c r="AZ288" i="38"/>
  <c r="AZ289" i="38"/>
  <c r="AZ290" i="38"/>
  <c r="AZ291" i="38"/>
  <c r="AZ292" i="38"/>
  <c r="AZ293" i="38"/>
  <c r="AZ294" i="38"/>
  <c r="AZ295" i="38"/>
  <c r="AZ296" i="38"/>
  <c r="AZ297" i="38"/>
  <c r="AZ298" i="38"/>
  <c r="AZ299" i="38"/>
  <c r="AZ300" i="38"/>
  <c r="AZ301" i="38"/>
  <c r="AZ302" i="38"/>
  <c r="AZ303" i="38"/>
  <c r="AZ304" i="38"/>
  <c r="AZ305" i="38"/>
  <c r="AZ306" i="38"/>
  <c r="AZ307" i="38"/>
  <c r="AZ308" i="38"/>
  <c r="AZ309" i="38"/>
  <c r="AZ310" i="38"/>
  <c r="AZ311" i="38"/>
  <c r="AZ312" i="38"/>
  <c r="AZ313" i="38"/>
  <c r="AZ314" i="38"/>
  <c r="AZ315" i="38"/>
  <c r="AZ316" i="38"/>
  <c r="AZ317" i="38"/>
  <c r="AZ318" i="38"/>
  <c r="AZ319" i="38"/>
  <c r="BS35" i="38"/>
  <c r="BO15" i="38"/>
  <c r="L183" i="38"/>
  <c r="BH221" i="38"/>
  <c r="L256" i="38"/>
  <c r="BR265" i="38"/>
  <c r="BI249" i="38"/>
  <c r="BK289" i="38"/>
  <c r="BS109" i="38"/>
  <c r="BH22" i="38"/>
  <c r="BI70" i="38"/>
  <c r="BR112" i="38"/>
  <c r="BR120" i="38"/>
  <c r="BT136" i="38"/>
  <c r="L138" i="38"/>
  <c r="BJ144" i="38"/>
  <c r="BH184" i="38"/>
  <c r="BR202" i="38"/>
  <c r="BT96" i="38"/>
  <c r="BJ202" i="38"/>
  <c r="BP210" i="38"/>
  <c r="BG81" i="38"/>
  <c r="BG35" i="38"/>
  <c r="BP85" i="38"/>
  <c r="BT94" i="38"/>
  <c r="BJ97" i="38"/>
  <c r="BH96" i="38"/>
  <c r="BJ81" i="38"/>
  <c r="L249" i="38"/>
  <c r="BS265" i="38"/>
  <c r="BT221" i="38"/>
  <c r="BP265" i="38"/>
  <c r="BJ264" i="38"/>
  <c r="BP264" i="38"/>
  <c r="BL160" i="38"/>
  <c r="BJ20" i="38"/>
  <c r="BS232" i="38"/>
  <c r="BT244" i="38"/>
  <c r="BJ37" i="38"/>
  <c r="BQ39" i="38"/>
  <c r="L43" i="38"/>
  <c r="BG188" i="38"/>
  <c r="BQ71" i="38"/>
  <c r="BL13" i="38"/>
  <c r="BS71" i="38"/>
  <c r="BQ102" i="38"/>
  <c r="BH105" i="38"/>
  <c r="BI286" i="38"/>
  <c r="BS119" i="38"/>
  <c r="BT138" i="38"/>
  <c r="BP174" i="38"/>
  <c r="BL176" i="38"/>
  <c r="BT218" i="38"/>
  <c r="BP256" i="38"/>
  <c r="BL269" i="38"/>
  <c r="BG285" i="38"/>
  <c r="BS111" i="38"/>
  <c r="BK141" i="38"/>
  <c r="BP232" i="38"/>
  <c r="BH249" i="38"/>
  <c r="BP257" i="38"/>
  <c r="L276" i="38"/>
  <c r="BO155" i="38"/>
  <c r="BS148" i="38"/>
  <c r="BL256" i="38"/>
  <c r="AG133" i="38"/>
  <c r="BK149" i="38"/>
  <c r="BO179" i="38"/>
  <c r="BK13" i="38"/>
  <c r="BS25" i="38"/>
  <c r="BT27" i="38"/>
  <c r="BH52" i="38"/>
  <c r="BK60" i="38"/>
  <c r="BS64" i="38"/>
  <c r="BR144" i="38"/>
  <c r="BL223" i="38"/>
  <c r="BS285" i="38"/>
  <c r="BO246" i="38"/>
  <c r="BK286" i="38"/>
  <c r="BK52" i="38"/>
  <c r="BJ71" i="38"/>
  <c r="BH130" i="38"/>
  <c r="BH140" i="38"/>
  <c r="L148" i="38"/>
  <c r="BL317" i="38"/>
  <c r="BL148" i="38"/>
  <c r="BI256" i="38"/>
  <c r="BG196" i="38"/>
  <c r="BL198" i="38"/>
  <c r="BR227" i="38"/>
  <c r="BP259" i="38"/>
  <c r="BT261" i="38"/>
  <c r="L283" i="38"/>
  <c r="BR273" i="38"/>
  <c r="BS273" i="38"/>
  <c r="BK278" i="38"/>
  <c r="BG193" i="38"/>
  <c r="BR211" i="38"/>
  <c r="BJ211" i="38"/>
  <c r="BT213" i="38"/>
  <c r="BL215" i="38"/>
  <c r="BO217" i="38"/>
  <c r="BQ251" i="38"/>
  <c r="BS117" i="38"/>
  <c r="BJ135" i="38"/>
  <c r="BJ267" i="38"/>
  <c r="L281" i="38"/>
  <c r="BJ283" i="38"/>
  <c r="BR283" i="38"/>
  <c r="BT151" i="38"/>
  <c r="BG156" i="38"/>
  <c r="BO40" i="38"/>
  <c r="BL153" i="38"/>
  <c r="BH153" i="38"/>
  <c r="BO153" i="38"/>
  <c r="BG185" i="38"/>
  <c r="BP185" i="38"/>
  <c r="BL187" i="38"/>
  <c r="BQ12" i="38"/>
  <c r="BL94" i="38"/>
  <c r="BO114" i="38"/>
  <c r="BG125" i="38"/>
  <c r="BQ145" i="38"/>
  <c r="BO144" i="38"/>
  <c r="BJ14" i="38"/>
  <c r="BJ66" i="38"/>
  <c r="BL78" i="38"/>
  <c r="BI80" i="38"/>
  <c r="BS80" i="38"/>
  <c r="BJ151" i="38"/>
  <c r="BH156" i="38"/>
  <c r="BH204" i="38"/>
  <c r="BL234" i="38"/>
  <c r="BS236" i="38"/>
  <c r="BP240" i="38"/>
  <c r="BT272" i="38"/>
  <c r="BI272" i="38"/>
  <c r="BP272" i="38"/>
  <c r="BS56" i="38"/>
  <c r="BH65" i="38"/>
  <c r="L65" i="38"/>
  <c r="BJ113" i="38"/>
  <c r="BH113" i="38"/>
  <c r="BS115" i="38"/>
  <c r="BT119" i="38"/>
  <c r="BQ141" i="38"/>
  <c r="BS154" i="38"/>
  <c r="BQ154" i="38"/>
  <c r="BK154" i="38"/>
  <c r="BG201" i="38"/>
  <c r="BK201" i="38"/>
  <c r="BQ225" i="38"/>
  <c r="BP231" i="38"/>
  <c r="BL47" i="38"/>
  <c r="BH49" i="38"/>
  <c r="BT51" i="38"/>
  <c r="BJ51" i="38"/>
  <c r="BR60" i="38"/>
  <c r="BK73" i="38"/>
  <c r="BI95" i="38"/>
  <c r="BP95" i="38"/>
  <c r="BO95" i="38"/>
  <c r="BP26" i="38"/>
  <c r="BG26" i="38"/>
  <c r="BL79" i="38"/>
  <c r="BK17" i="38"/>
  <c r="BQ19" i="38"/>
  <c r="BL30" i="38"/>
  <c r="BQ65" i="38"/>
  <c r="BR72" i="38"/>
  <c r="BP92" i="38"/>
  <c r="BO121" i="38"/>
  <c r="BO23" i="38"/>
  <c r="BJ23" i="38"/>
  <c r="BG23" i="38"/>
  <c r="AG25" i="38"/>
  <c r="BO32" i="38"/>
  <c r="BP32" i="38"/>
  <c r="BR34" i="38"/>
  <c r="BS65" i="38"/>
  <c r="BP101" i="38"/>
  <c r="BG177" i="38"/>
  <c r="BK243" i="38"/>
  <c r="BQ18" i="38"/>
  <c r="BQ29" i="38"/>
  <c r="BQ63" i="38"/>
  <c r="BQ70" i="38"/>
  <c r="L70" i="38"/>
  <c r="L85" i="38"/>
  <c r="L120" i="38"/>
  <c r="BS133" i="38"/>
  <c r="BL133" i="38"/>
  <c r="BI133" i="38"/>
  <c r="BP138" i="38"/>
  <c r="BT156" i="38"/>
  <c r="BQ162" i="38"/>
  <c r="BR172" i="38"/>
  <c r="BJ174" i="38"/>
  <c r="BL174" i="38"/>
  <c r="BL179" i="38"/>
  <c r="BT206" i="38"/>
  <c r="BR206" i="38"/>
  <c r="L210" i="38"/>
  <c r="BH266" i="38"/>
  <c r="BL283" i="38"/>
  <c r="BT294" i="38"/>
  <c r="L294" i="38"/>
  <c r="BH294" i="38"/>
  <c r="BL203" i="38"/>
  <c r="BI22" i="38"/>
  <c r="BO31" i="38"/>
  <c r="BL37" i="38"/>
  <c r="BH76" i="38"/>
  <c r="BT97" i="38"/>
  <c r="BR140" i="38"/>
  <c r="BS33" i="38"/>
  <c r="BI35" i="38"/>
  <c r="BP35" i="38"/>
  <c r="L39" i="38"/>
  <c r="BL55" i="38"/>
  <c r="L62" i="38"/>
  <c r="BR82" i="38"/>
  <c r="BR104" i="38"/>
  <c r="BI109" i="38"/>
  <c r="BQ35" i="38"/>
  <c r="BH57" i="38"/>
  <c r="BH59" i="38"/>
  <c r="BK69" i="38"/>
  <c r="BO130" i="38"/>
  <c r="BR130" i="38"/>
  <c r="BQ183" i="38"/>
  <c r="BQ186" i="38"/>
  <c r="BP188" i="38"/>
  <c r="BP209" i="38"/>
  <c r="BI212" i="38"/>
  <c r="BR214" i="38"/>
  <c r="BR252" i="38"/>
  <c r="BO256" i="38"/>
  <c r="BR274" i="38"/>
  <c r="BT288" i="38"/>
  <c r="AG316" i="38"/>
  <c r="BT297" i="38"/>
  <c r="BL301" i="38"/>
  <c r="BQ303" i="38"/>
  <c r="BL305" i="38"/>
  <c r="BP287" i="38"/>
  <c r="BI289" i="38"/>
  <c r="BP315" i="38"/>
  <c r="BK317" i="38"/>
  <c r="BK219" i="38"/>
  <c r="BT226" i="38"/>
  <c r="BP247" i="38"/>
  <c r="BT260" i="38"/>
  <c r="BO280" i="38"/>
  <c r="BI291" i="38"/>
  <c r="BQ293" i="38"/>
  <c r="BQ302" i="38"/>
  <c r="BK306" i="38"/>
  <c r="BT310" i="38"/>
  <c r="BK319" i="38"/>
  <c r="BK130" i="38"/>
  <c r="BK137" i="38"/>
  <c r="BS160" i="38"/>
  <c r="BP163" i="38"/>
  <c r="BR173" i="38"/>
  <c r="BJ197" i="38"/>
  <c r="BH199" i="38"/>
  <c r="BP202" i="38"/>
  <c r="BQ205" i="38"/>
  <c r="BT223" i="38"/>
  <c r="BO230" i="38"/>
  <c r="BH233" i="38"/>
  <c r="BK239" i="38"/>
  <c r="BO241" i="38"/>
  <c r="BI244" i="38"/>
  <c r="BT314" i="38"/>
  <c r="BK41" i="38"/>
  <c r="BH41" i="38"/>
  <c r="BS43" i="38"/>
  <c r="BP43" i="38"/>
  <c r="BJ73" i="38"/>
  <c r="BL87" i="38"/>
  <c r="BJ87" i="38"/>
  <c r="BJ89" i="38"/>
  <c r="BH89" i="38"/>
  <c r="BT132" i="38"/>
  <c r="BS132" i="38"/>
  <c r="BK165" i="38"/>
  <c r="BT184" i="38"/>
  <c r="BS184" i="38"/>
  <c r="BO184" i="38"/>
  <c r="BQ206" i="38"/>
  <c r="BK210" i="38"/>
  <c r="BQ229" i="38"/>
  <c r="BG229" i="38"/>
  <c r="BR254" i="38"/>
  <c r="BT254" i="38"/>
  <c r="BS261" i="38"/>
  <c r="BP76" i="38"/>
  <c r="BS76" i="38"/>
  <c r="BJ76" i="38"/>
  <c r="BH290" i="38"/>
  <c r="BL290" i="38"/>
  <c r="BI290" i="38"/>
  <c r="BJ36" i="38"/>
  <c r="BP36" i="38"/>
  <c r="BQ48" i="38"/>
  <c r="BI48" i="38"/>
  <c r="BL48" i="38"/>
  <c r="BL76" i="38"/>
  <c r="BL96" i="38"/>
  <c r="BI97" i="38"/>
  <c r="BL101" i="38"/>
  <c r="BG103" i="38"/>
  <c r="BQ103" i="38"/>
  <c r="BL122" i="38"/>
  <c r="BP122" i="38"/>
  <c r="BL124" i="38"/>
  <c r="BO128" i="38"/>
  <c r="BL194" i="38"/>
  <c r="BH194" i="38"/>
  <c r="BQ210" i="38"/>
  <c r="BR262" i="38"/>
  <c r="BQ262" i="38"/>
  <c r="BQ274" i="38"/>
  <c r="BQ72" i="38"/>
  <c r="BT72" i="38"/>
  <c r="BI206" i="38"/>
  <c r="BH206" i="38"/>
  <c r="BL225" i="38"/>
  <c r="BS235" i="38"/>
  <c r="BR235" i="38"/>
  <c r="BH261" i="38"/>
  <c r="BR261" i="38"/>
  <c r="BJ261" i="38"/>
  <c r="BR101" i="38"/>
  <c r="BJ147" i="38"/>
  <c r="BL147" i="38"/>
  <c r="BG147" i="38"/>
  <c r="L83" i="38"/>
  <c r="BG83" i="38"/>
  <c r="BK86" i="38"/>
  <c r="AG86" i="38"/>
  <c r="BO92" i="38"/>
  <c r="BL92" i="38"/>
  <c r="BI92" i="38"/>
  <c r="BO97" i="38"/>
  <c r="BS101" i="38"/>
  <c r="BT113" i="38"/>
  <c r="BO113" i="38"/>
  <c r="BL113" i="38"/>
  <c r="L113" i="38"/>
  <c r="BH228" i="38"/>
  <c r="BI232" i="38"/>
  <c r="BP243" i="38"/>
  <c r="BL249" i="38"/>
  <c r="BK249" i="38"/>
  <c r="BH256" i="38"/>
  <c r="L261" i="38"/>
  <c r="BT281" i="38"/>
  <c r="BH165" i="38"/>
  <c r="BR165" i="38"/>
  <c r="BI238" i="38"/>
  <c r="BK238" i="38"/>
  <c r="BO277" i="38"/>
  <c r="BS290" i="38"/>
  <c r="BR118" i="38"/>
  <c r="BQ118" i="38"/>
  <c r="BK34" i="38"/>
  <c r="BR107" i="38"/>
  <c r="L109" i="38"/>
  <c r="BH109" i="38"/>
  <c r="BO129" i="38"/>
  <c r="BR129" i="38"/>
  <c r="BJ132" i="38"/>
  <c r="BQ279" i="38"/>
  <c r="BL279" i="38"/>
  <c r="BJ279" i="38"/>
  <c r="BP10" i="38"/>
  <c r="BT10" i="38"/>
  <c r="BS21" i="38"/>
  <c r="BH28" i="38"/>
  <c r="BJ28" i="38"/>
  <c r="BR45" i="38"/>
  <c r="BG200" i="38"/>
  <c r="BK200" i="38"/>
  <c r="BR212" i="38"/>
  <c r="BO255" i="38"/>
  <c r="BG172" i="38"/>
  <c r="BT179" i="38"/>
  <c r="BS179" i="38"/>
  <c r="BJ184" i="38"/>
  <c r="BI210" i="38"/>
  <c r="BG251" i="38"/>
  <c r="BT255" i="38"/>
  <c r="BO43" i="38"/>
  <c r="AG113" i="38"/>
  <c r="BR132" i="38"/>
  <c r="BJ138" i="38"/>
  <c r="BS143" i="38"/>
  <c r="BG143" i="38"/>
  <c r="BT148" i="38"/>
  <c r="BG148" i="38"/>
  <c r="BJ165" i="38"/>
  <c r="BL172" i="38"/>
  <c r="BH176" i="38"/>
  <c r="BJ176" i="38"/>
  <c r="BI183" i="38"/>
  <c r="BK184" i="38"/>
  <c r="BR209" i="38"/>
  <c r="BJ210" i="38"/>
  <c r="BK221" i="38"/>
  <c r="BK251" i="38"/>
  <c r="BS254" i="38"/>
  <c r="BL286" i="38"/>
  <c r="BP297" i="38"/>
  <c r="BO310" i="38"/>
  <c r="BJ317" i="38"/>
  <c r="BS60" i="38"/>
  <c r="BP70" i="38"/>
  <c r="BL71" i="38"/>
  <c r="BQ104" i="38"/>
  <c r="BO140" i="38"/>
  <c r="BL144" i="38"/>
  <c r="BR199" i="38"/>
  <c r="BH241" i="38"/>
  <c r="BS52" i="38"/>
  <c r="BP71" i="38"/>
  <c r="BT104" i="38"/>
  <c r="BT199" i="38"/>
  <c r="BR241" i="38"/>
  <c r="BK20" i="38"/>
  <c r="BR21" i="38"/>
  <c r="BQ21" i="38"/>
  <c r="BH24" i="38"/>
  <c r="BR25" i="38"/>
  <c r="BT25" i="38"/>
  <c r="BG29" i="38"/>
  <c r="BS29" i="38"/>
  <c r="BP29" i="38"/>
  <c r="BO34" i="38"/>
  <c r="BL44" i="38"/>
  <c r="BO44" i="38"/>
  <c r="BK58" i="38"/>
  <c r="BI60" i="38"/>
  <c r="BO60" i="38"/>
  <c r="BP63" i="38"/>
  <c r="BS63" i="38"/>
  <c r="BR64" i="38"/>
  <c r="BI64" i="38"/>
  <c r="BI65" i="38"/>
  <c r="BO65" i="38"/>
  <c r="BK66" i="38"/>
  <c r="BH66" i="38"/>
  <c r="BR76" i="38"/>
  <c r="BR81" i="38"/>
  <c r="BO81" i="38"/>
  <c r="BH84" i="38"/>
  <c r="BK84" i="38"/>
  <c r="BO85" i="38"/>
  <c r="BT90" i="38"/>
  <c r="BQ96" i="38"/>
  <c r="BH97" i="38"/>
  <c r="BK97" i="38"/>
  <c r="L97" i="38"/>
  <c r="BR102" i="38"/>
  <c r="BT105" i="38"/>
  <c r="BJ105" i="38"/>
  <c r="BI105" i="38"/>
  <c r="BS112" i="38"/>
  <c r="BG112" i="38"/>
  <c r="BL118" i="38"/>
  <c r="L118" i="38"/>
  <c r="BK120" i="38"/>
  <c r="BS130" i="38"/>
  <c r="BP130" i="38"/>
  <c r="BL130" i="38"/>
  <c r="L130" i="38"/>
  <c r="BP132" i="38"/>
  <c r="BK132" i="38"/>
  <c r="L132" i="38"/>
  <c r="BQ134" i="38"/>
  <c r="BL134" i="38"/>
  <c r="BH144" i="38"/>
  <c r="BT144" i="38"/>
  <c r="BR149" i="38"/>
  <c r="BH149" i="38"/>
  <c r="BR152" i="38"/>
  <c r="BS152" i="38"/>
  <c r="BJ160" i="38"/>
  <c r="BP177" i="38"/>
  <c r="BO177" i="38"/>
  <c r="BQ178" i="38"/>
  <c r="BJ178" i="38"/>
  <c r="BI178" i="38"/>
  <c r="BI179" i="38"/>
  <c r="BK179" i="38"/>
  <c r="BK206" i="38"/>
  <c r="BJ206" i="38"/>
  <c r="BP206" i="38"/>
  <c r="L206" i="38"/>
  <c r="BT209" i="38"/>
  <c r="BO209" i="38"/>
  <c r="BO210" i="38"/>
  <c r="BL210" i="38"/>
  <c r="BT210" i="38"/>
  <c r="BS218" i="38"/>
  <c r="BJ220" i="38"/>
  <c r="BH229" i="38"/>
  <c r="BR229" i="38"/>
  <c r="BH232" i="38"/>
  <c r="BG232" i="38"/>
  <c r="BH235" i="38"/>
  <c r="BL238" i="38"/>
  <c r="BI246" i="38"/>
  <c r="BS246" i="38"/>
  <c r="L246" i="38"/>
  <c r="BJ246" i="38"/>
  <c r="BQ249" i="38"/>
  <c r="BS249" i="38"/>
  <c r="BT249" i="38"/>
  <c r="BO249" i="38"/>
  <c r="BL251" i="38"/>
  <c r="L251" i="38"/>
  <c r="BT251" i="38"/>
  <c r="BG253" i="38"/>
  <c r="BS253" i="38"/>
  <c r="BR255" i="38"/>
  <c r="BG255" i="38"/>
  <c r="BQ256" i="38"/>
  <c r="BJ256" i="38"/>
  <c r="BT256" i="38"/>
  <c r="AG256" i="38"/>
  <c r="BR256" i="38"/>
  <c r="BH263" i="38"/>
  <c r="BO264" i="38"/>
  <c r="BL265" i="38"/>
  <c r="BT267" i="38"/>
  <c r="BI268" i="38"/>
  <c r="BQ268" i="38"/>
  <c r="BI276" i="38"/>
  <c r="BO281" i="38"/>
  <c r="BP281" i="38"/>
  <c r="BJ281" i="38"/>
  <c r="BG281" i="38"/>
  <c r="BH284" i="38"/>
  <c r="BG284" i="38"/>
  <c r="BJ292" i="38"/>
  <c r="L292" i="38"/>
  <c r="BP300" i="38"/>
  <c r="BS313" i="38"/>
  <c r="BP313" i="38"/>
  <c r="BL304" i="38"/>
  <c r="BG304" i="38"/>
  <c r="L304" i="38"/>
  <c r="BR299" i="38"/>
  <c r="BK299" i="38"/>
  <c r="BJ299" i="38"/>
  <c r="BP283" i="38"/>
  <c r="BS283" i="38"/>
  <c r="BG283" i="38"/>
  <c r="BT312" i="38"/>
  <c r="BK312" i="38"/>
  <c r="L312" i="38"/>
  <c r="BJ260" i="38"/>
  <c r="BP269" i="38"/>
  <c r="BK269" i="38"/>
  <c r="BR269" i="38"/>
  <c r="BO71" i="38"/>
  <c r="BO138" i="38"/>
  <c r="BK138" i="38"/>
  <c r="BR138" i="38"/>
  <c r="BK143" i="38"/>
  <c r="BH148" i="38"/>
  <c r="BP168" i="38"/>
  <c r="BJ168" i="38"/>
  <c r="BR193" i="38"/>
  <c r="L269" i="38"/>
  <c r="BT285" i="38"/>
  <c r="L285" i="38"/>
  <c r="BQ309" i="38"/>
  <c r="BP309" i="38"/>
  <c r="BJ43" i="38"/>
  <c r="BT279" i="38"/>
  <c r="BQ310" i="38"/>
  <c r="BQ290" i="38"/>
  <c r="BL306" i="38"/>
  <c r="BH164" i="38"/>
  <c r="BL195" i="38"/>
  <c r="BI195" i="38"/>
  <c r="BQ208" i="38"/>
  <c r="BP208" i="38"/>
  <c r="BH208" i="38"/>
  <c r="BI129" i="38"/>
  <c r="BS129" i="38"/>
  <c r="BR139" i="38"/>
  <c r="BK139" i="38"/>
  <c r="BP139" i="38"/>
  <c r="BQ152" i="38"/>
  <c r="BI152" i="38"/>
  <c r="BO152" i="38"/>
  <c r="BP152" i="38"/>
  <c r="BL152" i="38"/>
  <c r="BJ152" i="38"/>
  <c r="BH152" i="38"/>
  <c r="L152" i="38"/>
  <c r="BT152" i="38"/>
  <c r="BI13" i="38"/>
  <c r="L22" i="38"/>
  <c r="BL22" i="38"/>
  <c r="L26" i="38"/>
  <c r="BO26" i="38"/>
  <c r="BT28" i="38"/>
  <c r="BQ30" i="38"/>
  <c r="BJ41" i="38"/>
  <c r="BH42" i="38"/>
  <c r="BK45" i="38"/>
  <c r="BO56" i="38"/>
  <c r="BQ56" i="38"/>
  <c r="BT65" i="38"/>
  <c r="BH73" i="38"/>
  <c r="BH77" i="38"/>
  <c r="BS77" i="38"/>
  <c r="BH80" i="38"/>
  <c r="BO83" i="38"/>
  <c r="BG90" i="38"/>
  <c r="BJ104" i="38"/>
  <c r="BH104" i="38"/>
  <c r="BO104" i="38"/>
  <c r="BG104" i="38"/>
  <c r="BO107" i="38"/>
  <c r="BP107" i="38"/>
  <c r="L129" i="38"/>
  <c r="BL38" i="38"/>
  <c r="BH38" i="38"/>
  <c r="BL28" i="38"/>
  <c r="L38" i="38"/>
  <c r="BP38" i="38"/>
  <c r="BT47" i="38"/>
  <c r="BQ47" i="38"/>
  <c r="BK74" i="38"/>
  <c r="BG74" i="38"/>
  <c r="BK30" i="38"/>
  <c r="BS38" i="38"/>
  <c r="BL20" i="38"/>
  <c r="BS20" i="38"/>
  <c r="BQ22" i="38"/>
  <c r="BS24" i="38"/>
  <c r="BR26" i="38"/>
  <c r="BL29" i="38"/>
  <c r="BI29" i="38"/>
  <c r="L29" i="38"/>
  <c r="BO29" i="38"/>
  <c r="BR30" i="38"/>
  <c r="BH40" i="38"/>
  <c r="BR84" i="38"/>
  <c r="BL84" i="38"/>
  <c r="BJ84" i="38"/>
  <c r="BL104" i="38"/>
  <c r="BJ118" i="38"/>
  <c r="BH118" i="38"/>
  <c r="BG118" i="38"/>
  <c r="BT118" i="38"/>
  <c r="BR128" i="38"/>
  <c r="BT128" i="38"/>
  <c r="BJ136" i="38"/>
  <c r="BR136" i="38"/>
  <c r="BO136" i="38"/>
  <c r="BT157" i="38"/>
  <c r="BS157" i="38"/>
  <c r="BR157" i="38"/>
  <c r="BH157" i="38"/>
  <c r="BK157" i="38"/>
  <c r="L157" i="38"/>
  <c r="BJ164" i="38"/>
  <c r="BL164" i="38"/>
  <c r="BT164" i="38"/>
  <c r="BR164" i="38"/>
  <c r="BQ164" i="38"/>
  <c r="BG164" i="38"/>
  <c r="BK169" i="38"/>
  <c r="L169" i="38"/>
  <c r="BR22" i="38"/>
  <c r="BI25" i="38"/>
  <c r="BP27" i="38"/>
  <c r="BJ27" i="38"/>
  <c r="BG27" i="38"/>
  <c r="AG30" i="38"/>
  <c r="BT30" i="38"/>
  <c r="BR41" i="38"/>
  <c r="BL41" i="38"/>
  <c r="L41" i="38"/>
  <c r="BO41" i="38"/>
  <c r="BS45" i="38"/>
  <c r="BL45" i="38"/>
  <c r="BH45" i="38"/>
  <c r="BK54" i="38"/>
  <c r="BG80" i="38"/>
  <c r="BO80" i="38"/>
  <c r="BL80" i="38"/>
  <c r="BI157" i="38"/>
  <c r="BK57" i="38"/>
  <c r="BT57" i="38"/>
  <c r="BL11" i="38"/>
  <c r="BT67" i="38"/>
  <c r="BI67" i="38"/>
  <c r="BJ11" i="38"/>
  <c r="BO16" i="38"/>
  <c r="L21" i="38"/>
  <c r="P21" i="38" s="1"/>
  <c r="BG21" i="38"/>
  <c r="BT22" i="38"/>
  <c r="L25" i="38"/>
  <c r="BJ25" i="38"/>
  <c r="L27" i="38"/>
  <c r="BK27" i="38"/>
  <c r="BL34" i="38"/>
  <c r="BQ41" i="38"/>
  <c r="BG47" i="38"/>
  <c r="BT54" i="38"/>
  <c r="BL58" i="38"/>
  <c r="BJ58" i="38"/>
  <c r="BR58" i="38"/>
  <c r="BQ58" i="38"/>
  <c r="BR68" i="38"/>
  <c r="BP68" i="38"/>
  <c r="BL74" i="38"/>
  <c r="BH88" i="38"/>
  <c r="BO90" i="38"/>
  <c r="BQ90" i="38"/>
  <c r="BK117" i="38"/>
  <c r="BL117" i="38"/>
  <c r="BL142" i="38"/>
  <c r="BT142" i="38"/>
  <c r="BH142" i="38"/>
  <c r="BJ157" i="38"/>
  <c r="BJ38" i="38"/>
  <c r="BJ30" i="38"/>
  <c r="BL26" i="38"/>
  <c r="BS28" i="38"/>
  <c r="L30" i="38"/>
  <c r="BG17" i="38"/>
  <c r="BO21" i="38"/>
  <c r="BO25" i="38"/>
  <c r="BQ27" i="38"/>
  <c r="BR29" i="38"/>
  <c r="BI38" i="38"/>
  <c r="BI47" i="38"/>
  <c r="BO52" i="38"/>
  <c r="BL52" i="38"/>
  <c r="BI52" i="38"/>
  <c r="BR65" i="38"/>
  <c r="BJ65" i="38"/>
  <c r="BG65" i="38"/>
  <c r="BK65" i="38"/>
  <c r="BR74" i="38"/>
  <c r="BT80" i="38"/>
  <c r="BT88" i="38"/>
  <c r="L117" i="38"/>
  <c r="BO157" i="38"/>
  <c r="BO154" i="38"/>
  <c r="BH154" i="38"/>
  <c r="BL154" i="38"/>
  <c r="BQ156" i="38"/>
  <c r="BJ156" i="38"/>
  <c r="BO187" i="38"/>
  <c r="BJ187" i="38"/>
  <c r="BT187" i="38"/>
  <c r="BS187" i="38"/>
  <c r="BJ247" i="38"/>
  <c r="BG250" i="38"/>
  <c r="L250" i="38"/>
  <c r="BO250" i="38"/>
  <c r="BI151" i="38"/>
  <c r="BG163" i="38"/>
  <c r="BS216" i="38"/>
  <c r="BS222" i="38"/>
  <c r="L222" i="38"/>
  <c r="BI222" i="38"/>
  <c r="BQ247" i="38"/>
  <c r="BL247" i="38"/>
  <c r="BK247" i="38"/>
  <c r="BG247" i="38"/>
  <c r="BT247" i="38"/>
  <c r="BH247" i="38"/>
  <c r="BR247" i="38"/>
  <c r="BL258" i="38"/>
  <c r="BH258" i="38"/>
  <c r="BT275" i="38"/>
  <c r="BQ275" i="38"/>
  <c r="BP275" i="38"/>
  <c r="BK275" i="38"/>
  <c r="BP147" i="38"/>
  <c r="BI149" i="38"/>
  <c r="BL156" i="38"/>
  <c r="BI160" i="38"/>
  <c r="BP160" i="38"/>
  <c r="BT160" i="38"/>
  <c r="BH160" i="38"/>
  <c r="BR176" i="38"/>
  <c r="BO176" i="38"/>
  <c r="BP176" i="38"/>
  <c r="L176" i="38"/>
  <c r="L199" i="38"/>
  <c r="BQ213" i="38"/>
  <c r="BL213" i="38"/>
  <c r="L247" i="38"/>
  <c r="BS147" i="38"/>
  <c r="BP156" i="38"/>
  <c r="L160" i="38"/>
  <c r="BQ194" i="38"/>
  <c r="BR194" i="38"/>
  <c r="BK194" i="38"/>
  <c r="BS194" i="38"/>
  <c r="BJ194" i="38"/>
  <c r="BI194" i="38"/>
  <c r="L194" i="38"/>
  <c r="BP194" i="38"/>
  <c r="BO194" i="38"/>
  <c r="BS212" i="38"/>
  <c r="BQ212" i="38"/>
  <c r="BL212" i="38"/>
  <c r="BO212" i="38"/>
  <c r="BL217" i="38"/>
  <c r="BQ245" i="38"/>
  <c r="BS260" i="38"/>
  <c r="BP260" i="38"/>
  <c r="BO260" i="38"/>
  <c r="BH260" i="38"/>
  <c r="BI260" i="38"/>
  <c r="BL270" i="38"/>
  <c r="BG270" i="38"/>
  <c r="BK105" i="38"/>
  <c r="BS123" i="38"/>
  <c r="BP133" i="38"/>
  <c r="BS140" i="38"/>
  <c r="BK140" i="38"/>
  <c r="BI43" i="38"/>
  <c r="BK71" i="38"/>
  <c r="BS81" i="38"/>
  <c r="BQ81" i="38"/>
  <c r="BK81" i="38"/>
  <c r="BG101" i="38"/>
  <c r="BO101" i="38"/>
  <c r="BL105" i="38"/>
  <c r="BP109" i="38"/>
  <c r="BR109" i="38"/>
  <c r="BO109" i="38"/>
  <c r="BQ113" i="38"/>
  <c r="BK113" i="38"/>
  <c r="BI113" i="38"/>
  <c r="BO127" i="38"/>
  <c r="BJ127" i="38"/>
  <c r="BQ132" i="38"/>
  <c r="BO132" i="38"/>
  <c r="BI132" i="38"/>
  <c r="BH132" i="38"/>
  <c r="BL140" i="38"/>
  <c r="BQ144" i="38"/>
  <c r="BS144" i="38"/>
  <c r="L144" i="38"/>
  <c r="BP144" i="38"/>
  <c r="BI144" i="38"/>
  <c r="BP148" i="38"/>
  <c r="BI148" i="38"/>
  <c r="BJ148" i="38"/>
  <c r="L149" i="38"/>
  <c r="BT149" i="38"/>
  <c r="BS156" i="38"/>
  <c r="BK160" i="38"/>
  <c r="BO166" i="38"/>
  <c r="BK187" i="38"/>
  <c r="BT194" i="38"/>
  <c r="L212" i="38"/>
  <c r="BL224" i="38"/>
  <c r="BK224" i="38"/>
  <c r="BO224" i="38"/>
  <c r="BI250" i="38"/>
  <c r="BS257" i="38"/>
  <c r="BG257" i="38"/>
  <c r="BT217" i="38"/>
  <c r="BK217" i="38"/>
  <c r="BH217" i="38"/>
  <c r="BP217" i="38"/>
  <c r="BR218" i="38"/>
  <c r="BH218" i="38"/>
  <c r="BI218" i="38"/>
  <c r="BQ218" i="38"/>
  <c r="BL218" i="38"/>
  <c r="BG222" i="38"/>
  <c r="BH237" i="38"/>
  <c r="BP237" i="38"/>
  <c r="BI237" i="38"/>
  <c r="L217" i="38"/>
  <c r="L218" i="38"/>
  <c r="BG218" i="38"/>
  <c r="BK222" i="38"/>
  <c r="BP234" i="38"/>
  <c r="L288" i="38"/>
  <c r="BP307" i="38"/>
  <c r="BR307" i="38"/>
  <c r="BQ307" i="38"/>
  <c r="BR221" i="38"/>
  <c r="BO221" i="38"/>
  <c r="BI221" i="38"/>
  <c r="L221" i="38"/>
  <c r="BL221" i="38"/>
  <c r="BR236" i="38"/>
  <c r="BS282" i="38"/>
  <c r="BP282" i="38"/>
  <c r="BO282" i="38"/>
  <c r="BR282" i="38"/>
  <c r="L282" i="38"/>
  <c r="BQ280" i="38"/>
  <c r="BK214" i="38"/>
  <c r="BP235" i="38"/>
  <c r="BJ235" i="38"/>
  <c r="BT235" i="38"/>
  <c r="BG235" i="38"/>
  <c r="BI235" i="38"/>
  <c r="BQ239" i="38"/>
  <c r="BH243" i="38"/>
  <c r="BT243" i="38"/>
  <c r="BS268" i="38"/>
  <c r="BR268" i="38"/>
  <c r="BH268" i="38"/>
  <c r="L268" i="38"/>
  <c r="BG268" i="38"/>
  <c r="BL277" i="38"/>
  <c r="BH277" i="38"/>
  <c r="BT277" i="38"/>
  <c r="BS277" i="38"/>
  <c r="BR277" i="38"/>
  <c r="BQ288" i="38"/>
  <c r="BH72" i="38"/>
  <c r="BL72" i="38"/>
  <c r="BI72" i="38"/>
  <c r="BQ85" i="38"/>
  <c r="BS92" i="38"/>
  <c r="BK92" i="38"/>
  <c r="BR114" i="38"/>
  <c r="BT120" i="38"/>
  <c r="BQ146" i="38"/>
  <c r="L146" i="38"/>
  <c r="BT165" i="38"/>
  <c r="BO165" i="38"/>
  <c r="BS165" i="38"/>
  <c r="BI165" i="38"/>
  <c r="BL199" i="38"/>
  <c r="BK199" i="38"/>
  <c r="BR215" i="38"/>
  <c r="BS225" i="38"/>
  <c r="BJ225" i="38"/>
  <c r="BG225" i="38"/>
  <c r="BQ235" i="38"/>
  <c r="BJ236" i="38"/>
  <c r="BP241" i="38"/>
  <c r="BK241" i="38"/>
  <c r="BI241" i="38"/>
  <c r="BT241" i="38"/>
  <c r="BL241" i="38"/>
  <c r="BP254" i="38"/>
  <c r="BL254" i="38"/>
  <c r="BH254" i="38"/>
  <c r="BI254" i="38"/>
  <c r="BK254" i="38"/>
  <c r="L265" i="38"/>
  <c r="L284" i="38"/>
  <c r="BJ284" i="38"/>
  <c r="BQ282" i="38"/>
  <c r="BO288" i="38"/>
  <c r="BK288" i="38"/>
  <c r="BI288" i="38"/>
  <c r="BG288" i="38"/>
  <c r="BR288" i="38"/>
  <c r="BL288" i="38"/>
  <c r="BS298" i="38"/>
  <c r="BR298" i="38"/>
  <c r="BQ298" i="38"/>
  <c r="BL298" i="38"/>
  <c r="BO297" i="38"/>
  <c r="BL297" i="38"/>
  <c r="BS297" i="38"/>
  <c r="BO289" i="38"/>
  <c r="BG289" i="38"/>
  <c r="BG308" i="38"/>
  <c r="BL308" i="38"/>
  <c r="BJ308" i="38"/>
  <c r="BQ311" i="38"/>
  <c r="BK311" i="38"/>
  <c r="BH311" i="38"/>
  <c r="BP286" i="38"/>
  <c r="BT286" i="38"/>
  <c r="BR286" i="38"/>
  <c r="BJ286" i="38"/>
  <c r="BO298" i="38"/>
  <c r="BJ305" i="38"/>
  <c r="BK305" i="38"/>
  <c r="BT305" i="38"/>
  <c r="BO305" i="38"/>
  <c r="BJ130" i="38"/>
  <c r="BI184" i="38"/>
  <c r="BR184" i="38"/>
  <c r="BJ198" i="38"/>
  <c r="BT200" i="38"/>
  <c r="L200" i="38"/>
  <c r="BQ261" i="38"/>
  <c r="BP261" i="38"/>
  <c r="BO261" i="38"/>
  <c r="BI261" i="38"/>
  <c r="BK261" i="38"/>
  <c r="BS264" i="38"/>
  <c r="BL264" i="38"/>
  <c r="BI264" i="38"/>
  <c r="BL274" i="38"/>
  <c r="BK274" i="38"/>
  <c r="BG274" i="38"/>
  <c r="BK296" i="38"/>
  <c r="BP298" i="38"/>
  <c r="BS193" i="38"/>
  <c r="BG206" i="38"/>
  <c r="BS206" i="38"/>
  <c r="BO240" i="38"/>
  <c r="BT246" i="38"/>
  <c r="BJ249" i="38"/>
  <c r="BI251" i="38"/>
  <c r="BS256" i="38"/>
  <c r="BS269" i="38"/>
  <c r="BH283" i="38"/>
  <c r="BP290" i="38"/>
  <c r="BG301" i="38"/>
  <c r="BH304" i="38"/>
  <c r="BO312" i="38"/>
  <c r="BI304" i="38"/>
  <c r="BP312" i="38"/>
  <c r="BS317" i="38"/>
  <c r="BJ304" i="38"/>
  <c r="BH310" i="38"/>
  <c r="BQ312" i="38"/>
  <c r="BK313" i="38"/>
  <c r="BL229" i="38"/>
  <c r="BQ238" i="38"/>
  <c r="BI265" i="38"/>
  <c r="BG273" i="38"/>
  <c r="BO283" i="38"/>
  <c r="BT290" i="38"/>
  <c r="BO294" i="38"/>
  <c r="BO304" i="38"/>
  <c r="BJ310" i="38"/>
  <c r="BR312" i="38"/>
  <c r="BL315" i="38"/>
  <c r="BJ186" i="38"/>
  <c r="BL206" i="38"/>
  <c r="BP229" i="38"/>
  <c r="L238" i="38"/>
  <c r="BT238" i="38"/>
  <c r="BH246" i="38"/>
  <c r="BR249" i="38"/>
  <c r="BJ269" i="38"/>
  <c r="BQ283" i="38"/>
  <c r="BG290" i="38"/>
  <c r="BP293" i="38"/>
  <c r="BR294" i="38"/>
  <c r="BP303" i="38"/>
  <c r="AG304" i="38"/>
  <c r="BR304" i="38"/>
  <c r="BL310" i="38"/>
  <c r="BR313" i="38"/>
  <c r="BI314" i="38"/>
  <c r="L290" i="38"/>
  <c r="BS304" i="38"/>
  <c r="BG312" i="38"/>
  <c r="BK314" i="38"/>
  <c r="BT304" i="38"/>
  <c r="BJ312" i="38"/>
  <c r="M8" i="38"/>
  <c r="BT75" i="38"/>
  <c r="BS75" i="38"/>
  <c r="BH75" i="38"/>
  <c r="BP75" i="38"/>
  <c r="BO11" i="38"/>
  <c r="BO12" i="38"/>
  <c r="BP16" i="38"/>
  <c r="BG31" i="38"/>
  <c r="BQ31" i="38"/>
  <c r="BP31" i="38"/>
  <c r="BQ33" i="38"/>
  <c r="BO33" i="38"/>
  <c r="BT33" i="38"/>
  <c r="BQ53" i="38"/>
  <c r="BL53" i="38"/>
  <c r="L53" i="38"/>
  <c r="BK53" i="38"/>
  <c r="BP53" i="38"/>
  <c r="BQ108" i="38"/>
  <c r="BP108" i="38"/>
  <c r="BI108" i="38"/>
  <c r="BK108" i="38"/>
  <c r="BJ108" i="38"/>
  <c r="BS108" i="38"/>
  <c r="BL108" i="38"/>
  <c r="BT108" i="38"/>
  <c r="BQ116" i="38"/>
  <c r="BJ116" i="38"/>
  <c r="BT116" i="38"/>
  <c r="BH116" i="38"/>
  <c r="BK116" i="38"/>
  <c r="BI116" i="38"/>
  <c r="L116" i="38"/>
  <c r="BR116" i="38"/>
  <c r="BL116" i="38"/>
  <c r="BJ10" i="38"/>
  <c r="BG11" i="38"/>
  <c r="BS11" i="38"/>
  <c r="BI12" i="38"/>
  <c r="BT12" i="38"/>
  <c r="BK18" i="38"/>
  <c r="BK19" i="38"/>
  <c r="BK33" i="38"/>
  <c r="BI37" i="38"/>
  <c r="BK37" i="38"/>
  <c r="AG37" i="38"/>
  <c r="BT37" i="38"/>
  <c r="BL10" i="38"/>
  <c r="BH11" i="38"/>
  <c r="BT11" i="38"/>
  <c r="BJ12" i="38"/>
  <c r="BQ17" i="38"/>
  <c r="BL18" i="38"/>
  <c r="BP19" i="38"/>
  <c r="BH20" i="38"/>
  <c r="BT20" i="38"/>
  <c r="BT24" i="38"/>
  <c r="BQ28" i="38"/>
  <c r="BO28" i="38"/>
  <c r="L28" i="38"/>
  <c r="BP28" i="38"/>
  <c r="BL33" i="38"/>
  <c r="BK44" i="38"/>
  <c r="BJ48" i="38"/>
  <c r="BO48" i="38"/>
  <c r="L49" i="38"/>
  <c r="BQ49" i="38"/>
  <c r="BQ55" i="38"/>
  <c r="BL68" i="38"/>
  <c r="BG75" i="38"/>
  <c r="BJ99" i="38"/>
  <c r="BR99" i="38"/>
  <c r="BO108" i="38"/>
  <c r="BO110" i="38"/>
  <c r="BT110" i="38"/>
  <c r="BH110" i="38"/>
  <c r="BS110" i="38"/>
  <c r="BI110" i="38"/>
  <c r="BG110" i="38"/>
  <c r="BQ110" i="38"/>
  <c r="BK110" i="38"/>
  <c r="L110" i="38"/>
  <c r="BP110" i="38"/>
  <c r="BR10" i="38"/>
  <c r="BI11" i="38"/>
  <c r="BK12" i="38"/>
  <c r="BR17" i="38"/>
  <c r="BI20" i="38"/>
  <c r="BP21" i="38"/>
  <c r="BI21" i="38"/>
  <c r="BK22" i="38"/>
  <c r="BQ25" i="38"/>
  <c r="BL25" i="38"/>
  <c r="BH25" i="38"/>
  <c r="BK26" i="38"/>
  <c r="BH27" i="38"/>
  <c r="BR28" i="38"/>
  <c r="BJ31" i="38"/>
  <c r="BR33" i="38"/>
  <c r="BJ35" i="38"/>
  <c r="BK35" i="38"/>
  <c r="BG37" i="38"/>
  <c r="BG40" i="38"/>
  <c r="BL43" i="38"/>
  <c r="BR43" i="38"/>
  <c r="BT43" i="38"/>
  <c r="BH43" i="38"/>
  <c r="BQ43" i="38"/>
  <c r="L48" i="38"/>
  <c r="BJ50" i="38"/>
  <c r="BK50" i="38"/>
  <c r="BO53" i="38"/>
  <c r="BQ60" i="38"/>
  <c r="BJ60" i="38"/>
  <c r="BT60" i="38"/>
  <c r="BH60" i="38"/>
  <c r="BL60" i="38"/>
  <c r="BP60" i="38"/>
  <c r="BP62" i="38"/>
  <c r="BG64" i="38"/>
  <c r="BP64" i="38"/>
  <c r="BL64" i="38"/>
  <c r="L64" i="38"/>
  <c r="BQ64" i="38"/>
  <c r="BO64" i="38"/>
  <c r="BG66" i="38"/>
  <c r="BO68" i="38"/>
  <c r="BI73" i="38"/>
  <c r="BR73" i="38"/>
  <c r="BT73" i="38"/>
  <c r="BG73" i="38"/>
  <c r="BO73" i="38"/>
  <c r="L73" i="38"/>
  <c r="BS73" i="38"/>
  <c r="BQ73" i="38"/>
  <c r="BI75" i="38"/>
  <c r="BQ94" i="38"/>
  <c r="L94" i="38"/>
  <c r="BP94" i="38"/>
  <c r="AG94" i="38"/>
  <c r="BS94" i="38"/>
  <c r="BR94" i="38"/>
  <c r="BG94" i="38"/>
  <c r="BI94" i="38"/>
  <c r="BR108" i="38"/>
  <c r="BR110" i="38"/>
  <c r="BG121" i="38"/>
  <c r="BS121" i="38"/>
  <c r="AG121" i="38"/>
  <c r="BK121" i="38"/>
  <c r="BQ121" i="38"/>
  <c r="BS175" i="38"/>
  <c r="BI175" i="38"/>
  <c r="BJ175" i="38"/>
  <c r="BP175" i="38"/>
  <c r="BL12" i="38"/>
  <c r="BG18" i="38"/>
  <c r="BO18" i="38"/>
  <c r="BJ19" i="38"/>
  <c r="BI19" i="38"/>
  <c r="BS19" i="38"/>
  <c r="BS46" i="38"/>
  <c r="BG46" i="38"/>
  <c r="L46" i="38"/>
  <c r="BP46" i="38"/>
  <c r="BI46" i="38"/>
  <c r="L19" i="38"/>
  <c r="BT19" i="38"/>
  <c r="BL40" i="38"/>
  <c r="BQ44" i="38"/>
  <c r="BS44" i="38"/>
  <c r="BH44" i="38"/>
  <c r="BJ44" i="38"/>
  <c r="BP44" i="38"/>
  <c r="BQ46" i="38"/>
  <c r="BR131" i="38"/>
  <c r="BK131" i="38"/>
  <c r="BP131" i="38"/>
  <c r="BR171" i="38"/>
  <c r="BJ171" i="38"/>
  <c r="BO171" i="38"/>
  <c r="BT171" i="38"/>
  <c r="BL171" i="38"/>
  <c r="BK171" i="38"/>
  <c r="BP171" i="38"/>
  <c r="BS171" i="38"/>
  <c r="BI171" i="38"/>
  <c r="L11" i="38"/>
  <c r="BP11" i="38"/>
  <c r="BP12" i="38"/>
  <c r="L16" i="38"/>
  <c r="BQ16" i="38"/>
  <c r="BL21" i="38"/>
  <c r="BJ22" i="38"/>
  <c r="BK25" i="38"/>
  <c r="BQ26" i="38"/>
  <c r="BI28" i="38"/>
  <c r="BI30" i="38"/>
  <c r="BH30" i="38"/>
  <c r="BS32" i="38"/>
  <c r="BQ32" i="38"/>
  <c r="L33" i="38"/>
  <c r="BH33" i="38"/>
  <c r="BP34" i="38"/>
  <c r="BQ34" i="38"/>
  <c r="BG34" i="38"/>
  <c r="BH35" i="38"/>
  <c r="BP37" i="38"/>
  <c r="L40" i="38"/>
  <c r="BQ40" i="38"/>
  <c r="L42" i="38"/>
  <c r="BG43" i="38"/>
  <c r="BR44" i="38"/>
  <c r="BO47" i="38"/>
  <c r="BS47" i="38"/>
  <c r="BK47" i="38"/>
  <c r="BP48" i="38"/>
  <c r="BQ54" i="38"/>
  <c r="BP54" i="38"/>
  <c r="BJ54" i="38"/>
  <c r="BS54" i="38"/>
  <c r="BH54" i="38"/>
  <c r="BJ98" i="38"/>
  <c r="BL98" i="38"/>
  <c r="L98" i="38"/>
  <c r="BP116" i="38"/>
  <c r="BT137" i="38"/>
  <c r="BR137" i="38"/>
  <c r="BI137" i="38"/>
  <c r="BS137" i="38"/>
  <c r="BH137" i="38"/>
  <c r="BO137" i="38"/>
  <c r="BI57" i="38"/>
  <c r="BQ57" i="38"/>
  <c r="BS57" i="38"/>
  <c r="BG57" i="38"/>
  <c r="L57" i="38"/>
  <c r="BJ57" i="38"/>
  <c r="BR75" i="38"/>
  <c r="BR115" i="38"/>
  <c r="BG115" i="38"/>
  <c r="L115" i="38"/>
  <c r="BO115" i="38"/>
  <c r="BJ115" i="38"/>
  <c r="BP115" i="38"/>
  <c r="BO116" i="38"/>
  <c r="BL126" i="38"/>
  <c r="BJ126" i="38"/>
  <c r="BG10" i="38"/>
  <c r="BQ11" i="38"/>
  <c r="BR12" i="38"/>
  <c r="BT14" i="38"/>
  <c r="BT17" i="38"/>
  <c r="BS17" i="38"/>
  <c r="BH17" i="38"/>
  <c r="BG19" i="38"/>
  <c r="BQ20" i="38"/>
  <c r="BO20" i="38"/>
  <c r="L20" i="38"/>
  <c r="BP20" i="38"/>
  <c r="BI33" i="38"/>
  <c r="BQ37" i="38"/>
  <c r="BR40" i="38"/>
  <c r="BT44" i="38"/>
  <c r="BJ55" i="38"/>
  <c r="BO57" i="38"/>
  <c r="BO66" i="38"/>
  <c r="BT66" i="38"/>
  <c r="BJ67" i="38"/>
  <c r="BG67" i="38"/>
  <c r="BO67" i="38"/>
  <c r="L67" i="38"/>
  <c r="BQ68" i="38"/>
  <c r="BS68" i="38"/>
  <c r="BH68" i="38"/>
  <c r="BT68" i="38"/>
  <c r="BJ68" i="38"/>
  <c r="L68" i="38"/>
  <c r="BI68" i="38"/>
  <c r="BS89" i="38"/>
  <c r="BG89" i="38"/>
  <c r="L89" i="38"/>
  <c r="BI89" i="38"/>
  <c r="BK89" i="38"/>
  <c r="BT89" i="38"/>
  <c r="BO89" i="38"/>
  <c r="BH93" i="38"/>
  <c r="BQ93" i="38"/>
  <c r="BQ100" i="38"/>
  <c r="BJ100" i="38"/>
  <c r="BK100" i="38"/>
  <c r="BO100" i="38"/>
  <c r="BL100" i="38"/>
  <c r="BR100" i="38"/>
  <c r="BH100" i="38"/>
  <c r="L100" i="38"/>
  <c r="BT100" i="38"/>
  <c r="BI100" i="38"/>
  <c r="BJ106" i="38"/>
  <c r="BK106" i="38"/>
  <c r="BS116" i="38"/>
  <c r="L137" i="38"/>
  <c r="BQ124" i="38"/>
  <c r="BT124" i="38"/>
  <c r="BI124" i="38"/>
  <c r="BP124" i="38"/>
  <c r="BH124" i="38"/>
  <c r="BS124" i="38"/>
  <c r="L124" i="38"/>
  <c r="BK124" i="38"/>
  <c r="BJ124" i="38"/>
  <c r="BO124" i="38"/>
  <c r="BR124" i="38"/>
  <c r="BH10" i="38"/>
  <c r="BR11" i="38"/>
  <c r="BH12" i="38"/>
  <c r="BS12" i="38"/>
  <c r="BJ17" i="38"/>
  <c r="BH19" i="38"/>
  <c r="BR20" i="38"/>
  <c r="BG24" i="38"/>
  <c r="BI27" i="38"/>
  <c r="BS27" i="38"/>
  <c r="BK28" i="38"/>
  <c r="BJ33" i="38"/>
  <c r="BS37" i="38"/>
  <c r="BS48" i="38"/>
  <c r="BH51" i="38"/>
  <c r="BO51" i="38"/>
  <c r="BR57" i="38"/>
  <c r="BQ89" i="38"/>
  <c r="BP100" i="38"/>
  <c r="BO102" i="38"/>
  <c r="BL102" i="38"/>
  <c r="L102" i="38"/>
  <c r="BS102" i="38"/>
  <c r="BH102" i="38"/>
  <c r="BT102" i="38"/>
  <c r="BG102" i="38"/>
  <c r="BP102" i="38"/>
  <c r="BI102" i="38"/>
  <c r="BS122" i="38"/>
  <c r="BO122" i="38"/>
  <c r="BH122" i="38"/>
  <c r="BT122" i="38"/>
  <c r="BK122" i="38"/>
  <c r="BJ122" i="38"/>
  <c r="BR122" i="38"/>
  <c r="BO123" i="38"/>
  <c r="BI123" i="38"/>
  <c r="BG123" i="38"/>
  <c r="BP123" i="38"/>
  <c r="BJ159" i="38"/>
  <c r="BK159" i="38"/>
  <c r="BI44" i="38"/>
  <c r="BS49" i="38"/>
  <c r="BO49" i="38"/>
  <c r="BK49" i="38"/>
  <c r="BR49" i="38"/>
  <c r="BJ49" i="38"/>
  <c r="BS55" i="38"/>
  <c r="BG55" i="38"/>
  <c r="BP55" i="38"/>
  <c r="BK68" i="38"/>
  <c r="BR89" i="38"/>
  <c r="BS100" i="38"/>
  <c r="BK102" i="38"/>
  <c r="BH108" i="38"/>
  <c r="BL110" i="38"/>
  <c r="L122" i="38"/>
  <c r="BP189" i="38"/>
  <c r="BL189" i="38"/>
  <c r="AG189" i="38"/>
  <c r="BI189" i="38"/>
  <c r="BS189" i="38"/>
  <c r="BR189" i="38"/>
  <c r="BJ189" i="38"/>
  <c r="L189" i="38"/>
  <c r="BH189" i="38"/>
  <c r="BT189" i="38"/>
  <c r="BK189" i="38"/>
  <c r="BS191" i="38"/>
  <c r="BT191" i="38"/>
  <c r="BI191" i="38"/>
  <c r="BH191" i="38"/>
  <c r="BG191" i="38"/>
  <c r="BG45" i="38"/>
  <c r="BQ52" i="38"/>
  <c r="BP52" i="38"/>
  <c r="BJ52" i="38"/>
  <c r="BT52" i="38"/>
  <c r="BQ84" i="38"/>
  <c r="BT84" i="38"/>
  <c r="BI84" i="38"/>
  <c r="BP84" i="38"/>
  <c r="L84" i="38"/>
  <c r="BS84" i="38"/>
  <c r="BH85" i="38"/>
  <c r="BS95" i="38"/>
  <c r="BT95" i="38"/>
  <c r="BK95" i="38"/>
  <c r="BH112" i="38"/>
  <c r="BL112" i="38"/>
  <c r="BQ112" i="38"/>
  <c r="BO112" i="38"/>
  <c r="BJ112" i="38"/>
  <c r="BO96" i="38"/>
  <c r="BS96" i="38"/>
  <c r="BG96" i="38"/>
  <c r="BJ96" i="38"/>
  <c r="BT112" i="38"/>
  <c r="BI119" i="38"/>
  <c r="BQ119" i="38"/>
  <c r="BK119" i="38"/>
  <c r="BH150" i="38"/>
  <c r="BQ150" i="38"/>
  <c r="BJ150" i="38"/>
  <c r="BK192" i="38"/>
  <c r="BR192" i="38"/>
  <c r="BH192" i="38"/>
  <c r="BJ146" i="38"/>
  <c r="BQ173" i="38"/>
  <c r="BI173" i="38"/>
  <c r="BK173" i="38"/>
  <c r="BJ173" i="38"/>
  <c r="BR52" i="38"/>
  <c r="BG63" i="38"/>
  <c r="BH70" i="38"/>
  <c r="BL70" i="38"/>
  <c r="BI77" i="38"/>
  <c r="BQ77" i="38"/>
  <c r="BK77" i="38"/>
  <c r="BR83" i="38"/>
  <c r="BK83" i="38"/>
  <c r="BJ83" i="38"/>
  <c r="BO84" i="38"/>
  <c r="BQ92" i="38"/>
  <c r="BJ92" i="38"/>
  <c r="BR92" i="38"/>
  <c r="L92" i="38"/>
  <c r="BT92" i="38"/>
  <c r="BH92" i="38"/>
  <c r="BG95" i="38"/>
  <c r="BR96" i="38"/>
  <c r="BQ120" i="38"/>
  <c r="BJ120" i="38"/>
  <c r="BL120" i="38"/>
  <c r="BP120" i="38"/>
  <c r="BO120" i="38"/>
  <c r="BH120" i="38"/>
  <c r="BO146" i="38"/>
  <c r="BL146" i="38"/>
  <c r="BK146" i="38"/>
  <c r="BH146" i="38"/>
  <c r="BS146" i="38"/>
  <c r="BP167" i="38"/>
  <c r="BK167" i="38"/>
  <c r="BK207" i="38"/>
  <c r="BJ207" i="38"/>
  <c r="L207" i="38"/>
  <c r="BO207" i="38"/>
  <c r="BH207" i="38"/>
  <c r="BS207" i="38"/>
  <c r="BG111" i="38"/>
  <c r="BI111" i="38"/>
  <c r="BO111" i="38"/>
  <c r="BQ128" i="38"/>
  <c r="BP128" i="38"/>
  <c r="BK128" i="38"/>
  <c r="BJ128" i="38"/>
  <c r="BQ135" i="38"/>
  <c r="BQ168" i="38"/>
  <c r="BL168" i="38"/>
  <c r="L168" i="38"/>
  <c r="BO168" i="38"/>
  <c r="BK168" i="38"/>
  <c r="BH168" i="38"/>
  <c r="BT168" i="38"/>
  <c r="BR168" i="38"/>
  <c r="BI168" i="38"/>
  <c r="BR181" i="38"/>
  <c r="BJ181" i="38"/>
  <c r="BR56" i="38"/>
  <c r="BL69" i="38"/>
  <c r="BQ76" i="38"/>
  <c r="BT76" i="38"/>
  <c r="BI76" i="38"/>
  <c r="BO76" i="38"/>
  <c r="BK79" i="38"/>
  <c r="BQ97" i="38"/>
  <c r="BQ105" i="38"/>
  <c r="L105" i="38"/>
  <c r="L107" i="38"/>
  <c r="BG107" i="38"/>
  <c r="BP111" i="38"/>
  <c r="L128" i="38"/>
  <c r="BL128" i="38"/>
  <c r="BS145" i="38"/>
  <c r="BK145" i="38"/>
  <c r="BH145" i="38"/>
  <c r="L145" i="38"/>
  <c r="BR145" i="38"/>
  <c r="BJ231" i="38"/>
  <c r="BL231" i="38"/>
  <c r="BT231" i="38"/>
  <c r="BS231" i="38"/>
  <c r="BO231" i="38"/>
  <c r="BK231" i="38"/>
  <c r="BI231" i="38"/>
  <c r="BH231" i="38"/>
  <c r="BS168" i="38"/>
  <c r="BK170" i="38"/>
  <c r="L170" i="38"/>
  <c r="BH170" i="38"/>
  <c r="BQ170" i="38"/>
  <c r="BT170" i="38"/>
  <c r="BR170" i="38"/>
  <c r="BK197" i="38"/>
  <c r="BP197" i="38"/>
  <c r="AG197" i="38"/>
  <c r="BS197" i="38"/>
  <c r="BO197" i="38"/>
  <c r="BL197" i="38"/>
  <c r="BR220" i="38"/>
  <c r="BS220" i="38"/>
  <c r="BI220" i="38"/>
  <c r="BG220" i="38"/>
  <c r="BH230" i="38"/>
  <c r="BT230" i="38"/>
  <c r="BQ230" i="38"/>
  <c r="BT129" i="38"/>
  <c r="BK129" i="38"/>
  <c r="BQ136" i="38"/>
  <c r="BP136" i="38"/>
  <c r="BK136" i="38"/>
  <c r="BH136" i="38"/>
  <c r="BQ140" i="38"/>
  <c r="BT140" i="38"/>
  <c r="BI140" i="38"/>
  <c r="BP140" i="38"/>
  <c r="L140" i="38"/>
  <c r="BP141" i="38"/>
  <c r="BG141" i="38"/>
  <c r="BR141" i="38"/>
  <c r="BO172" i="38"/>
  <c r="BP172" i="38"/>
  <c r="BS172" i="38"/>
  <c r="BH227" i="38"/>
  <c r="BI227" i="38"/>
  <c r="BP227" i="38"/>
  <c r="BK227" i="38"/>
  <c r="BS227" i="38"/>
  <c r="BO233" i="38"/>
  <c r="BQ233" i="38"/>
  <c r="BK76" i="38"/>
  <c r="BP79" i="38"/>
  <c r="BT81" i="38"/>
  <c r="BH81" i="38"/>
  <c r="L81" i="38"/>
  <c r="BI81" i="38"/>
  <c r="BQ86" i="38"/>
  <c r="BL86" i="38"/>
  <c r="BJ86" i="38"/>
  <c r="BL88" i="38"/>
  <c r="BL97" i="38"/>
  <c r="BS104" i="38"/>
  <c r="BO105" i="38"/>
  <c r="BG109" i="38"/>
  <c r="BK111" i="38"/>
  <c r="BH128" i="38"/>
  <c r="BH129" i="38"/>
  <c r="BO133" i="38"/>
  <c r="BL136" i="38"/>
  <c r="BS138" i="38"/>
  <c r="BL138" i="38"/>
  <c r="BH138" i="38"/>
  <c r="BJ140" i="38"/>
  <c r="BP151" i="38"/>
  <c r="BG151" i="38"/>
  <c r="BR151" i="38"/>
  <c r="BK158" i="38"/>
  <c r="BO158" i="38"/>
  <c r="BQ215" i="38"/>
  <c r="BS215" i="38"/>
  <c r="BH215" i="38"/>
  <c r="BK215" i="38"/>
  <c r="BP215" i="38"/>
  <c r="BO215" i="38"/>
  <c r="BJ215" i="38"/>
  <c r="BI215" i="38"/>
  <c r="BT215" i="38"/>
  <c r="L215" i="38"/>
  <c r="BS183" i="38"/>
  <c r="BJ183" i="38"/>
  <c r="BO195" i="38"/>
  <c r="BK195" i="38"/>
  <c r="BK202" i="38"/>
  <c r="BT208" i="38"/>
  <c r="BO211" i="38"/>
  <c r="BP223" i="38"/>
  <c r="BJ228" i="38"/>
  <c r="BG234" i="38"/>
  <c r="BQ234" i="38"/>
  <c r="BO234" i="38"/>
  <c r="BK236" i="38"/>
  <c r="BH236" i="38"/>
  <c r="L236" i="38"/>
  <c r="BI236" i="38"/>
  <c r="BL202" i="38"/>
  <c r="BL209" i="38"/>
  <c r="BJ209" i="38"/>
  <c r="BS209" i="38"/>
  <c r="L209" i="38"/>
  <c r="BG209" i="38"/>
  <c r="BP211" i="38"/>
  <c r="BK213" i="38"/>
  <c r="BP213" i="38"/>
  <c r="BG213" i="38"/>
  <c r="BP216" i="38"/>
  <c r="BK216" i="38"/>
  <c r="BG216" i="38"/>
  <c r="BR223" i="38"/>
  <c r="BP228" i="38"/>
  <c r="BR253" i="38"/>
  <c r="BQ253" i="38"/>
  <c r="BI253" i="38"/>
  <c r="BK144" i="38"/>
  <c r="BO149" i="38"/>
  <c r="AG153" i="38"/>
  <c r="BK156" i="38"/>
  <c r="BI156" i="38"/>
  <c r="BR156" i="38"/>
  <c r="BO169" i="38"/>
  <c r="BQ176" i="38"/>
  <c r="BT176" i="38"/>
  <c r="BI176" i="38"/>
  <c r="BK176" i="38"/>
  <c r="BS176" i="38"/>
  <c r="BR179" i="38"/>
  <c r="BP179" i="38"/>
  <c r="BJ179" i="38"/>
  <c r="BR183" i="38"/>
  <c r="BS195" i="38"/>
  <c r="BO198" i="38"/>
  <c r="BR200" i="38"/>
  <c r="BQ200" i="38"/>
  <c r="BJ200" i="38"/>
  <c r="BO202" i="38"/>
  <c r="BJ204" i="38"/>
  <c r="BP204" i="38"/>
  <c r="BR204" i="38"/>
  <c r="BG204" i="38"/>
  <c r="BH209" i="38"/>
  <c r="BQ211" i="38"/>
  <c r="L213" i="38"/>
  <c r="BH213" i="38"/>
  <c r="L216" i="38"/>
  <c r="BI216" i="38"/>
  <c r="BS223" i="38"/>
  <c r="L228" i="38"/>
  <c r="BS228" i="38"/>
  <c r="BR234" i="38"/>
  <c r="BL236" i="38"/>
  <c r="BJ239" i="38"/>
  <c r="BR239" i="38"/>
  <c r="L240" i="38"/>
  <c r="BL243" i="38"/>
  <c r="BI243" i="38"/>
  <c r="L243" i="38"/>
  <c r="BG243" i="38"/>
  <c r="BJ253" i="38"/>
  <c r="BT130" i="38"/>
  <c r="BL132" i="38"/>
  <c r="BK148" i="38"/>
  <c r="BR148" i="38"/>
  <c r="BQ148" i="38"/>
  <c r="BS149" i="38"/>
  <c r="BQ169" i="38"/>
  <c r="BS180" i="38"/>
  <c r="BO180" i="38"/>
  <c r="BP198" i="38"/>
  <c r="BI209" i="38"/>
  <c r="BJ213" i="38"/>
  <c r="BO216" i="38"/>
  <c r="BT234" i="38"/>
  <c r="BO236" i="38"/>
  <c r="BG240" i="38"/>
  <c r="BO253" i="38"/>
  <c r="BQ263" i="38"/>
  <c r="BT263" i="38"/>
  <c r="BK263" i="38"/>
  <c r="BR190" i="38"/>
  <c r="BK190" i="38"/>
  <c r="BH201" i="38"/>
  <c r="BQ202" i="38"/>
  <c r="BT202" i="38"/>
  <c r="BI202" i="38"/>
  <c r="BS202" i="38"/>
  <c r="BJ208" i="38"/>
  <c r="BH223" i="38"/>
  <c r="BG223" i="38"/>
  <c r="BT253" i="38"/>
  <c r="BH58" i="38"/>
  <c r="BT74" i="38"/>
  <c r="BG149" i="38"/>
  <c r="BQ153" i="38"/>
  <c r="BQ160" i="38"/>
  <c r="BR160" i="38"/>
  <c r="BO160" i="38"/>
  <c r="BO162" i="38"/>
  <c r="BK162" i="38"/>
  <c r="L162" i="38"/>
  <c r="BL162" i="38"/>
  <c r="BK164" i="38"/>
  <c r="BI164" i="38"/>
  <c r="BP164" i="38"/>
  <c r="BS164" i="38"/>
  <c r="BK166" i="38"/>
  <c r="BQ193" i="38"/>
  <c r="BI193" i="38"/>
  <c r="BG195" i="38"/>
  <c r="L202" i="38"/>
  <c r="BH202" i="38"/>
  <c r="L208" i="38"/>
  <c r="BL208" i="38"/>
  <c r="BQ209" i="38"/>
  <c r="BH211" i="38"/>
  <c r="BR213" i="38"/>
  <c r="BQ221" i="38"/>
  <c r="BJ221" i="38"/>
  <c r="BS221" i="38"/>
  <c r="BP221" i="38"/>
  <c r="BK223" i="38"/>
  <c r="BT236" i="38"/>
  <c r="BR243" i="38"/>
  <c r="BS245" i="38"/>
  <c r="BJ276" i="38"/>
  <c r="BR276" i="38"/>
  <c r="BG276" i="38"/>
  <c r="BQ276" i="38"/>
  <c r="BK152" i="38"/>
  <c r="BG157" i="38"/>
  <c r="BQ184" i="38"/>
  <c r="BL184" i="38"/>
  <c r="L184" i="38"/>
  <c r="BP184" i="38"/>
  <c r="BR187" i="38"/>
  <c r="BP187" i="38"/>
  <c r="BI187" i="38"/>
  <c r="BR237" i="38"/>
  <c r="BK237" i="38"/>
  <c r="BS241" i="38"/>
  <c r="BL272" i="38"/>
  <c r="BS272" i="38"/>
  <c r="L241" i="38"/>
  <c r="BH285" i="38"/>
  <c r="BP285" i="38"/>
  <c r="BQ285" i="38"/>
  <c r="BG165" i="38"/>
  <c r="BQ231" i="38"/>
  <c r="BR231" i="38"/>
  <c r="BR232" i="38"/>
  <c r="BJ234" i="38"/>
  <c r="L234" i="38"/>
  <c r="BL235" i="38"/>
  <c r="BO235" i="38"/>
  <c r="L235" i="38"/>
  <c r="BQ236" i="38"/>
  <c r="BP236" i="38"/>
  <c r="BG239" i="38"/>
  <c r="BQ240" i="38"/>
  <c r="BH240" i="38"/>
  <c r="BQ241" i="38"/>
  <c r="BJ241" i="38"/>
  <c r="BO243" i="38"/>
  <c r="BQ243" i="38"/>
  <c r="BS243" i="38"/>
  <c r="BP244" i="38"/>
  <c r="BR250" i="38"/>
  <c r="BP250" i="38"/>
  <c r="BO251" i="38"/>
  <c r="BP251" i="38"/>
  <c r="BR251" i="38"/>
  <c r="BL253" i="38"/>
  <c r="BP253" i="38"/>
  <c r="AG253" i="38"/>
  <c r="L253" i="38"/>
  <c r="BH253" i="38"/>
  <c r="BH255" i="38"/>
  <c r="BS255" i="38"/>
  <c r="BO262" i="38"/>
  <c r="BI263" i="38"/>
  <c r="BJ263" i="38"/>
  <c r="BT266" i="38"/>
  <c r="BR266" i="38"/>
  <c r="BQ269" i="38"/>
  <c r="BO269" i="38"/>
  <c r="BI269" i="38"/>
  <c r="BT269" i="38"/>
  <c r="BH269" i="38"/>
  <c r="BR272" i="38"/>
  <c r="BO272" i="38"/>
  <c r="AG272" i="38"/>
  <c r="BK272" i="38"/>
  <c r="BJ272" i="38"/>
  <c r="BQ273" i="38"/>
  <c r="BP273" i="38"/>
  <c r="BO273" i="38"/>
  <c r="BJ274" i="38"/>
  <c r="BS274" i="38"/>
  <c r="BS276" i="38"/>
  <c r="BP276" i="38"/>
  <c r="BO276" i="38"/>
  <c r="BQ277" i="38"/>
  <c r="BK277" i="38"/>
  <c r="BJ277" i="38"/>
  <c r="BI277" i="38"/>
  <c r="BJ278" i="38"/>
  <c r="BS278" i="38"/>
  <c r="BT278" i="38"/>
  <c r="BO278" i="38"/>
  <c r="L278" i="38"/>
  <c r="BI279" i="38"/>
  <c r="BK280" i="38"/>
  <c r="BH280" i="38"/>
  <c r="L280" i="38"/>
  <c r="BL282" i="38"/>
  <c r="BJ282" i="38"/>
  <c r="BT282" i="38"/>
  <c r="BG282" i="38"/>
  <c r="BI282" i="38"/>
  <c r="BH282" i="38"/>
  <c r="BL284" i="38"/>
  <c r="BP284" i="38"/>
  <c r="BQ284" i="38"/>
  <c r="BT284" i="38"/>
  <c r="BR284" i="38"/>
  <c r="BL285" i="38"/>
  <c r="BR285" i="38"/>
  <c r="BI285" i="38"/>
  <c r="BO285" i="38"/>
  <c r="BJ285" i="38"/>
  <c r="BQ289" i="38"/>
  <c r="BT289" i="38"/>
  <c r="BQ294" i="38"/>
  <c r="BP294" i="38"/>
  <c r="BJ294" i="38"/>
  <c r="BI294" i="38"/>
  <c r="BS294" i="38"/>
  <c r="BL294" i="38"/>
  <c r="BK294" i="38"/>
  <c r="BS299" i="38"/>
  <c r="BI299" i="38"/>
  <c r="BH299" i="38"/>
  <c r="L299" i="38"/>
  <c r="BL299" i="38"/>
  <c r="BH303" i="38"/>
  <c r="BT303" i="38"/>
  <c r="BG303" i="38"/>
  <c r="BJ303" i="38"/>
  <c r="L303" i="38"/>
  <c r="BR303" i="38"/>
  <c r="BL303" i="38"/>
  <c r="BK303" i="38"/>
  <c r="BQ254" i="38"/>
  <c r="BO254" i="38"/>
  <c r="BJ254" i="38"/>
  <c r="BR264" i="38"/>
  <c r="BK264" i="38"/>
  <c r="BT264" i="38"/>
  <c r="BL275" i="38"/>
  <c r="BO275" i="38"/>
  <c r="BR281" i="38"/>
  <c r="BH281" i="38"/>
  <c r="L286" i="38"/>
  <c r="BK290" i="38"/>
  <c r="BJ290" i="38"/>
  <c r="BR290" i="38"/>
  <c r="L293" i="38"/>
  <c r="BJ293" i="38"/>
  <c r="L305" i="38"/>
  <c r="BI305" i="38"/>
  <c r="L307" i="38"/>
  <c r="BI307" i="38"/>
  <c r="BO311" i="38"/>
  <c r="BH265" i="38"/>
  <c r="BG265" i="38"/>
  <c r="BP267" i="38"/>
  <c r="BK267" i="38"/>
  <c r="BJ268" i="38"/>
  <c r="BT268" i="38"/>
  <c r="BR297" i="38"/>
  <c r="BJ297" i="38"/>
  <c r="BI297" i="38"/>
  <c r="BK297" i="38"/>
  <c r="BQ313" i="38"/>
  <c r="BO313" i="38"/>
  <c r="L313" i="38"/>
  <c r="BJ313" i="38"/>
  <c r="BI313" i="38"/>
  <c r="BT313" i="38"/>
  <c r="BH313" i="38"/>
  <c r="BO300" i="38"/>
  <c r="BK308" i="38"/>
  <c r="BT308" i="38"/>
  <c r="BQ308" i="38"/>
  <c r="BJ301" i="38"/>
  <c r="BP306" i="38"/>
  <c r="BH306" i="38"/>
  <c r="BO306" i="38"/>
  <c r="BQ286" i="38"/>
  <c r="BS286" i="38"/>
  <c r="BH286" i="38"/>
  <c r="BO286" i="38"/>
  <c r="BQ305" i="38"/>
  <c r="BS305" i="38"/>
  <c r="BH305" i="38"/>
  <c r="BR305" i="38"/>
  <c r="BP305" i="38"/>
  <c r="BS307" i="38"/>
  <c r="BH307" i="38"/>
  <c r="BG307" i="38"/>
  <c r="BG311" i="38"/>
  <c r="BT311" i="38"/>
  <c r="BR311" i="38"/>
  <c r="BL311" i="38"/>
  <c r="BO315" i="38"/>
  <c r="BI315" i="38"/>
  <c r="BS315" i="38"/>
  <c r="BK315" i="38"/>
  <c r="BH314" i="38"/>
  <c r="BI317" i="38"/>
  <c r="BR310" i="38"/>
  <c r="BP314" i="38"/>
  <c r="BP249" i="38"/>
  <c r="BK256" i="38"/>
  <c r="BL261" i="38"/>
  <c r="BK283" i="38"/>
  <c r="BP288" i="38"/>
  <c r="BS310" i="38"/>
  <c r="BR314" i="38"/>
  <c r="L298" i="38"/>
  <c r="BI298" i="38"/>
  <c r="BQ304" i="38"/>
  <c r="BG310" i="38"/>
  <c r="L314" i="38"/>
  <c r="BS314" i="38"/>
  <c r="BL319" i="38"/>
  <c r="BK16" i="38"/>
  <c r="BL16" i="38"/>
  <c r="BT16" i="38"/>
  <c r="BI16" i="38"/>
  <c r="BS16" i="38"/>
  <c r="BH16" i="38"/>
  <c r="BJ16" i="38"/>
  <c r="BR16" i="38"/>
  <c r="BG16" i="38"/>
  <c r="BL24" i="38"/>
  <c r="BK24" i="38"/>
  <c r="BR24" i="38"/>
  <c r="BO24" i="38"/>
  <c r="BQ24" i="38"/>
  <c r="BP24" i="38"/>
  <c r="BJ24" i="38"/>
  <c r="BI24" i="38"/>
  <c r="L24" i="38"/>
  <c r="BL59" i="38"/>
  <c r="BQ59" i="38"/>
  <c r="BO59" i="38"/>
  <c r="BR59" i="38"/>
  <c r="BP59" i="38"/>
  <c r="BT59" i="38"/>
  <c r="BS59" i="38"/>
  <c r="BK59" i="38"/>
  <c r="BJ59" i="38"/>
  <c r="BI59" i="38"/>
  <c r="L59" i="38"/>
  <c r="BG59" i="38"/>
  <c r="BT13" i="38"/>
  <c r="BJ13" i="38"/>
  <c r="BS13" i="38"/>
  <c r="BH13" i="38"/>
  <c r="BQ13" i="38"/>
  <c r="BR13" i="38"/>
  <c r="BG13" i="38"/>
  <c r="BO13" i="38"/>
  <c r="L13" i="38"/>
  <c r="BP13" i="38"/>
  <c r="BI14" i="38"/>
  <c r="BR15" i="38"/>
  <c r="BH15" i="38"/>
  <c r="BJ15" i="38"/>
  <c r="BS15" i="38"/>
  <c r="BG15" i="38"/>
  <c r="BQ15" i="38"/>
  <c r="BT15" i="38"/>
  <c r="BI15" i="38"/>
  <c r="BP15" i="38"/>
  <c r="N8" i="38"/>
  <c r="BO14" i="38"/>
  <c r="BS14" i="38"/>
  <c r="BH14" i="38"/>
  <c r="BQ14" i="38"/>
  <c r="BR14" i="38"/>
  <c r="BG14" i="38"/>
  <c r="BL14" i="38"/>
  <c r="BK14" i="38"/>
  <c r="BK15" i="38"/>
  <c r="L14" i="38"/>
  <c r="BP14" i="38"/>
  <c r="BL15" i="38"/>
  <c r="BP39" i="38"/>
  <c r="BT39" i="38"/>
  <c r="BI39" i="38"/>
  <c r="BS39" i="38"/>
  <c r="BH39" i="38"/>
  <c r="BO39" i="38"/>
  <c r="BS42" i="38"/>
  <c r="BI42" i="38"/>
  <c r="AG42" i="38"/>
  <c r="BK42" i="38"/>
  <c r="BR42" i="38"/>
  <c r="BQ42" i="38"/>
  <c r="BG42" i="38"/>
  <c r="BO62" i="38"/>
  <c r="BR62" i="38"/>
  <c r="BG62" i="38"/>
  <c r="BK62" i="38"/>
  <c r="BH62" i="38"/>
  <c r="AG62" i="38"/>
  <c r="BT62" i="38"/>
  <c r="BS62" i="38"/>
  <c r="BL62" i="38"/>
  <c r="BL91" i="38"/>
  <c r="BQ91" i="38"/>
  <c r="BT91" i="38"/>
  <c r="BH91" i="38"/>
  <c r="BS91" i="38"/>
  <c r="BG91" i="38"/>
  <c r="L91" i="38"/>
  <c r="BO91" i="38"/>
  <c r="BJ91" i="38"/>
  <c r="BI91" i="38"/>
  <c r="BR91" i="38"/>
  <c r="BO78" i="38"/>
  <c r="BR78" i="38"/>
  <c r="BG78" i="38"/>
  <c r="BI78" i="38"/>
  <c r="BH78" i="38"/>
  <c r="BS78" i="38"/>
  <c r="BQ78" i="38"/>
  <c r="BP78" i="38"/>
  <c r="BK78" i="38"/>
  <c r="L78" i="38"/>
  <c r="BT78" i="38"/>
  <c r="BS23" i="38"/>
  <c r="BI23" i="38"/>
  <c r="BR23" i="38"/>
  <c r="BH23" i="38"/>
  <c r="L23" i="38"/>
  <c r="BK23" i="38"/>
  <c r="BH82" i="38"/>
  <c r="BO36" i="38"/>
  <c r="BL36" i="38"/>
  <c r="BK36" i="38"/>
  <c r="L36" i="38"/>
  <c r="BQ36" i="38"/>
  <c r="BR39" i="38"/>
  <c r="BJ42" i="38"/>
  <c r="BS50" i="38"/>
  <c r="BI50" i="38"/>
  <c r="BP50" i="38"/>
  <c r="L50" i="38"/>
  <c r="BH50" i="38"/>
  <c r="BO50" i="38"/>
  <c r="BL50" i="38"/>
  <c r="BQ50" i="38"/>
  <c r="BT61" i="38"/>
  <c r="BJ61" i="38"/>
  <c r="BR61" i="38"/>
  <c r="BG61" i="38"/>
  <c r="BQ61" i="38"/>
  <c r="BS61" i="38"/>
  <c r="BP61" i="38"/>
  <c r="L61" i="38"/>
  <c r="AG61" i="38"/>
  <c r="BQ62" i="38"/>
  <c r="BK10" i="38"/>
  <c r="BK11" i="38"/>
  <c r="BI17" i="38"/>
  <c r="BP18" i="38"/>
  <c r="BL23" i="38"/>
  <c r="BT26" i="38"/>
  <c r="BJ26" i="38"/>
  <c r="BS26" i="38"/>
  <c r="BI26" i="38"/>
  <c r="BH26" i="38"/>
  <c r="BO27" i="38"/>
  <c r="BL27" i="38"/>
  <c r="BR27" i="38"/>
  <c r="BK29" i="38"/>
  <c r="BT29" i="38"/>
  <c r="BJ29" i="38"/>
  <c r="BH29" i="38"/>
  <c r="BP30" i="38"/>
  <c r="BO30" i="38"/>
  <c r="BG30" i="38"/>
  <c r="BS30" i="38"/>
  <c r="BT31" i="38"/>
  <c r="BR32" i="38"/>
  <c r="BR36" i="38"/>
  <c r="BL42" i="38"/>
  <c r="BR46" i="38"/>
  <c r="BR50" i="38"/>
  <c r="BG51" i="38"/>
  <c r="BH61" i="38"/>
  <c r="BR63" i="38"/>
  <c r="BH63" i="38"/>
  <c r="BT63" i="38"/>
  <c r="BI63" i="38"/>
  <c r="BJ63" i="38"/>
  <c r="BO63" i="38"/>
  <c r="BL63" i="38"/>
  <c r="BK63" i="38"/>
  <c r="BL67" i="38"/>
  <c r="BQ67" i="38"/>
  <c r="BK67" i="38"/>
  <c r="BH67" i="38"/>
  <c r="BS67" i="38"/>
  <c r="BR67" i="38"/>
  <c r="BP67" i="38"/>
  <c r="BT69" i="38"/>
  <c r="BJ69" i="38"/>
  <c r="BR69" i="38"/>
  <c r="BG69" i="38"/>
  <c r="BP69" i="38"/>
  <c r="BH69" i="38"/>
  <c r="BS69" i="38"/>
  <c r="BQ69" i="38"/>
  <c r="BO69" i="38"/>
  <c r="AG69" i="38"/>
  <c r="BI69" i="38"/>
  <c r="BK82" i="38"/>
  <c r="BG32" i="38"/>
  <c r="BS36" i="38"/>
  <c r="BK38" i="38"/>
  <c r="BR38" i="38"/>
  <c r="BG38" i="38"/>
  <c r="BQ38" i="38"/>
  <c r="BO38" i="38"/>
  <c r="BG39" i="38"/>
  <c r="BS40" i="38"/>
  <c r="BI40" i="38"/>
  <c r="BK40" i="38"/>
  <c r="BJ40" i="38"/>
  <c r="BP40" i="38"/>
  <c r="BO42" i="38"/>
  <c r="BT45" i="38"/>
  <c r="BJ45" i="38"/>
  <c r="BO45" i="38"/>
  <c r="L45" i="38"/>
  <c r="BQ45" i="38"/>
  <c r="BP45" i="38"/>
  <c r="BT50" i="38"/>
  <c r="BT53" i="38"/>
  <c r="BJ53" i="38"/>
  <c r="BR53" i="38"/>
  <c r="BG53" i="38"/>
  <c r="BS53" i="38"/>
  <c r="BI53" i="38"/>
  <c r="BH53" i="38"/>
  <c r="BI61" i="38"/>
  <c r="BT93" i="38"/>
  <c r="BJ93" i="38"/>
  <c r="BR93" i="38"/>
  <c r="BG93" i="38"/>
  <c r="BK93" i="38"/>
  <c r="BI93" i="38"/>
  <c r="L93" i="38"/>
  <c r="BS93" i="38"/>
  <c r="BP93" i="38"/>
  <c r="BO93" i="38"/>
  <c r="BL93" i="38"/>
  <c r="BG36" i="38"/>
  <c r="BT36" i="38"/>
  <c r="BJ39" i="38"/>
  <c r="BP42" i="38"/>
  <c r="BO46" i="38"/>
  <c r="BL46" i="38"/>
  <c r="BK46" i="38"/>
  <c r="BJ46" i="38"/>
  <c r="BT46" i="38"/>
  <c r="BL51" i="38"/>
  <c r="BQ51" i="38"/>
  <c r="BP51" i="38"/>
  <c r="BS51" i="38"/>
  <c r="BR51" i="38"/>
  <c r="BI51" i="38"/>
  <c r="BK56" i="38"/>
  <c r="BJ56" i="38"/>
  <c r="BI56" i="38"/>
  <c r="L56" i="38"/>
  <c r="BH56" i="38"/>
  <c r="BT56" i="38"/>
  <c r="BG56" i="38"/>
  <c r="BL56" i="38"/>
  <c r="BK61" i="38"/>
  <c r="BK88" i="38"/>
  <c r="BJ88" i="38"/>
  <c r="BQ88" i="38"/>
  <c r="BP88" i="38"/>
  <c r="BG88" i="38"/>
  <c r="L88" i="38"/>
  <c r="BS88" i="38"/>
  <c r="BR88" i="38"/>
  <c r="BO88" i="38"/>
  <c r="BI88" i="38"/>
  <c r="BK91" i="38"/>
  <c r="BP23" i="38"/>
  <c r="BL32" i="38"/>
  <c r="BK32" i="38"/>
  <c r="BH32" i="38"/>
  <c r="BT32" i="38"/>
  <c r="BP17" i="38"/>
  <c r="AG17" i="38"/>
  <c r="BL17" i="38"/>
  <c r="BQ23" i="38"/>
  <c r="BS31" i="38"/>
  <c r="BI31" i="38"/>
  <c r="BR31" i="38"/>
  <c r="BH31" i="38"/>
  <c r="BK31" i="38"/>
  <c r="L32" i="38"/>
  <c r="BI32" i="38"/>
  <c r="BH36" i="38"/>
  <c r="BK39" i="38"/>
  <c r="BT42" i="38"/>
  <c r="BL61" i="38"/>
  <c r="BI62" i="38"/>
  <c r="BP91" i="38"/>
  <c r="BS10" i="38"/>
  <c r="BI10" i="38"/>
  <c r="AG10" i="38"/>
  <c r="BO10" i="38"/>
  <c r="BT18" i="38"/>
  <c r="BJ18" i="38"/>
  <c r="BS18" i="38"/>
  <c r="BI18" i="38"/>
  <c r="BR18" i="38"/>
  <c r="BS82" i="38"/>
  <c r="BI82" i="38"/>
  <c r="BP82" i="38"/>
  <c r="L82" i="38"/>
  <c r="BO82" i="38"/>
  <c r="BL82" i="38"/>
  <c r="BJ82" i="38"/>
  <c r="BG82" i="38"/>
  <c r="BT82" i="38"/>
  <c r="BQ82" i="38"/>
  <c r="BQ10" i="38"/>
  <c r="L17" i="38"/>
  <c r="BO17" i="38"/>
  <c r="BH18" i="38"/>
  <c r="BO19" i="38"/>
  <c r="BL19" i="38"/>
  <c r="BR19" i="38"/>
  <c r="BK21" i="38"/>
  <c r="BT21" i="38"/>
  <c r="BJ21" i="38"/>
  <c r="BH21" i="38"/>
  <c r="BP22" i="38"/>
  <c r="BO22" i="38"/>
  <c r="BG22" i="38"/>
  <c r="BS22" i="38"/>
  <c r="BT23" i="38"/>
  <c r="BL31" i="38"/>
  <c r="BJ32" i="38"/>
  <c r="BT34" i="38"/>
  <c r="BJ34" i="38"/>
  <c r="BS34" i="38"/>
  <c r="BI34" i="38"/>
  <c r="BH34" i="38"/>
  <c r="BT35" i="38"/>
  <c r="BO35" i="38"/>
  <c r="BL35" i="38"/>
  <c r="BR35" i="38"/>
  <c r="BI36" i="38"/>
  <c r="BT38" i="38"/>
  <c r="BL39" i="38"/>
  <c r="BT40" i="38"/>
  <c r="BI45" i="38"/>
  <c r="BH46" i="38"/>
  <c r="BG50" i="38"/>
  <c r="BK51" i="38"/>
  <c r="BP56" i="38"/>
  <c r="BO61" i="38"/>
  <c r="BJ62" i="38"/>
  <c r="BJ78" i="38"/>
  <c r="BR87" i="38"/>
  <c r="BH87" i="38"/>
  <c r="L87" i="38"/>
  <c r="BT87" i="38"/>
  <c r="BI87" i="38"/>
  <c r="BQ87" i="38"/>
  <c r="BP87" i="38"/>
  <c r="BG87" i="38"/>
  <c r="BS87" i="38"/>
  <c r="BO87" i="38"/>
  <c r="BK87" i="38"/>
  <c r="BQ79" i="38"/>
  <c r="BL99" i="38"/>
  <c r="BT99" i="38"/>
  <c r="BI99" i="38"/>
  <c r="BK99" i="38"/>
  <c r="BH99" i="38"/>
  <c r="AG99" i="38"/>
  <c r="BG99" i="38"/>
  <c r="BR103" i="38"/>
  <c r="BH103" i="38"/>
  <c r="L103" i="38"/>
  <c r="BL103" i="38"/>
  <c r="BJ103" i="38"/>
  <c r="BP103" i="38"/>
  <c r="BT103" i="38"/>
  <c r="BS103" i="38"/>
  <c r="BL106" i="38"/>
  <c r="BL66" i="38"/>
  <c r="BS70" i="38"/>
  <c r="BK72" i="38"/>
  <c r="BJ72" i="38"/>
  <c r="BS72" i="38"/>
  <c r="BG72" i="38"/>
  <c r="BO72" i="38"/>
  <c r="BH74" i="38"/>
  <c r="BL75" i="38"/>
  <c r="BQ75" i="38"/>
  <c r="BJ75" i="38"/>
  <c r="BK75" i="38"/>
  <c r="BT77" i="38"/>
  <c r="BJ77" i="38"/>
  <c r="BR77" i="38"/>
  <c r="BG77" i="38"/>
  <c r="BO77" i="38"/>
  <c r="BL77" i="38"/>
  <c r="BG79" i="38"/>
  <c r="BK80" i="38"/>
  <c r="BJ80" i="38"/>
  <c r="BR80" i="38"/>
  <c r="BP80" i="38"/>
  <c r="BP83" i="38"/>
  <c r="BS85" i="38"/>
  <c r="BP86" i="38"/>
  <c r="BS90" i="38"/>
  <c r="BI90" i="38"/>
  <c r="BP90" i="38"/>
  <c r="L90" i="38"/>
  <c r="BL90" i="38"/>
  <c r="BK90" i="38"/>
  <c r="BH90" i="38"/>
  <c r="BG98" i="38"/>
  <c r="BO99" i="38"/>
  <c r="BI103" i="38"/>
  <c r="BQ106" i="38"/>
  <c r="BS114" i="38"/>
  <c r="BI114" i="38"/>
  <c r="BT114" i="38"/>
  <c r="BH114" i="38"/>
  <c r="BP114" i="38"/>
  <c r="BQ114" i="38"/>
  <c r="BK114" i="38"/>
  <c r="BG114" i="38"/>
  <c r="BG12" i="38"/>
  <c r="BG20" i="38"/>
  <c r="BP25" i="38"/>
  <c r="BG28" i="38"/>
  <c r="BP33" i="38"/>
  <c r="BR37" i="38"/>
  <c r="BH37" i="38"/>
  <c r="L37" i="38"/>
  <c r="BO37" i="38"/>
  <c r="AG41" i="38"/>
  <c r="BR47" i="38"/>
  <c r="BH47" i="38"/>
  <c r="L47" i="38"/>
  <c r="BP47" i="38"/>
  <c r="BJ47" i="38"/>
  <c r="BK48" i="38"/>
  <c r="BR48" i="38"/>
  <c r="BG48" i="38"/>
  <c r="BH48" i="38"/>
  <c r="BT48" i="38"/>
  <c r="AG49" i="38"/>
  <c r="BO54" i="38"/>
  <c r="BR54" i="38"/>
  <c r="BG54" i="38"/>
  <c r="BL54" i="38"/>
  <c r="BI54" i="38"/>
  <c r="BR55" i="38"/>
  <c r="BH55" i="38"/>
  <c r="L55" i="38"/>
  <c r="BT55" i="38"/>
  <c r="BI55" i="38"/>
  <c r="BK55" i="38"/>
  <c r="BO55" i="38"/>
  <c r="BT70" i="38"/>
  <c r="L72" i="38"/>
  <c r="BP72" i="38"/>
  <c r="BJ74" i="38"/>
  <c r="L75" i="38"/>
  <c r="BO75" i="38"/>
  <c r="L77" i="38"/>
  <c r="BP77" i="38"/>
  <c r="BJ79" i="38"/>
  <c r="L80" i="38"/>
  <c r="BQ80" i="38"/>
  <c r="BJ90" i="38"/>
  <c r="BP99" i="38"/>
  <c r="BK103" i="38"/>
  <c r="BL107" i="38"/>
  <c r="BT107" i="38"/>
  <c r="BI107" i="38"/>
  <c r="BK107" i="38"/>
  <c r="BS107" i="38"/>
  <c r="BJ107" i="38"/>
  <c r="BH107" i="38"/>
  <c r="BQ107" i="38"/>
  <c r="L114" i="38"/>
  <c r="BG25" i="38"/>
  <c r="BG33" i="38"/>
  <c r="BP41" i="38"/>
  <c r="BT41" i="38"/>
  <c r="BI41" i="38"/>
  <c r="BG41" i="38"/>
  <c r="BS41" i="38"/>
  <c r="BP49" i="38"/>
  <c r="BL49" i="38"/>
  <c r="BI49" i="38"/>
  <c r="BG49" i="38"/>
  <c r="BT49" i="38"/>
  <c r="BS58" i="38"/>
  <c r="BI58" i="38"/>
  <c r="BP58" i="38"/>
  <c r="L58" i="38"/>
  <c r="BT58" i="38"/>
  <c r="BG58" i="38"/>
  <c r="BO58" i="38"/>
  <c r="BS66" i="38"/>
  <c r="BI66" i="38"/>
  <c r="AG66" i="38"/>
  <c r="BP66" i="38"/>
  <c r="BR66" i="38"/>
  <c r="BQ66" i="38"/>
  <c r="BL83" i="38"/>
  <c r="BQ83" i="38"/>
  <c r="BI83" i="38"/>
  <c r="BT83" i="38"/>
  <c r="BH83" i="38"/>
  <c r="BS83" i="38"/>
  <c r="BT85" i="38"/>
  <c r="BJ85" i="38"/>
  <c r="BR85" i="38"/>
  <c r="BG85" i="38"/>
  <c r="BL85" i="38"/>
  <c r="BK85" i="38"/>
  <c r="BO86" i="38"/>
  <c r="BR86" i="38"/>
  <c r="BG86" i="38"/>
  <c r="BT86" i="38"/>
  <c r="BH86" i="38"/>
  <c r="BS86" i="38"/>
  <c r="BS98" i="38"/>
  <c r="BI98" i="38"/>
  <c r="AG98" i="38"/>
  <c r="BT98" i="38"/>
  <c r="BH98" i="38"/>
  <c r="BP98" i="38"/>
  <c r="BR98" i="38"/>
  <c r="BQ98" i="38"/>
  <c r="BK98" i="38"/>
  <c r="BQ99" i="38"/>
  <c r="BO103" i="38"/>
  <c r="BS106" i="38"/>
  <c r="BI106" i="38"/>
  <c r="BT106" i="38"/>
  <c r="BH106" i="38"/>
  <c r="BP106" i="38"/>
  <c r="BO106" i="38"/>
  <c r="L106" i="38"/>
  <c r="BR106" i="38"/>
  <c r="BO70" i="38"/>
  <c r="BR70" i="38"/>
  <c r="BG70" i="38"/>
  <c r="BJ70" i="38"/>
  <c r="BK70" i="38"/>
  <c r="BS74" i="38"/>
  <c r="BI74" i="38"/>
  <c r="AG74" i="38"/>
  <c r="BP74" i="38"/>
  <c r="L74" i="38"/>
  <c r="BQ74" i="38"/>
  <c r="BO74" i="38"/>
  <c r="BR79" i="38"/>
  <c r="BH79" i="38"/>
  <c r="BT79" i="38"/>
  <c r="BI79" i="38"/>
  <c r="BS79" i="38"/>
  <c r="BO79" i="38"/>
  <c r="BI85" i="38"/>
  <c r="BI86" i="38"/>
  <c r="BR90" i="38"/>
  <c r="BO98" i="38"/>
  <c r="BS99" i="38"/>
  <c r="BT101" i="38"/>
  <c r="BJ101" i="38"/>
  <c r="BK101" i="38"/>
  <c r="BQ101" i="38"/>
  <c r="BI101" i="38"/>
  <c r="BH101" i="38"/>
  <c r="AG101" i="38"/>
  <c r="BG106" i="38"/>
  <c r="BJ114" i="38"/>
  <c r="BL114" i="38"/>
  <c r="BO94" i="38"/>
  <c r="BJ94" i="38"/>
  <c r="BK94" i="38"/>
  <c r="BH94" i="38"/>
  <c r="BR95" i="38"/>
  <c r="BH95" i="38"/>
  <c r="BL95" i="38"/>
  <c r="BJ95" i="38"/>
  <c r="BQ95" i="38"/>
  <c r="BT111" i="38"/>
  <c r="BI117" i="38"/>
  <c r="BK43" i="38"/>
  <c r="BK64" i="38"/>
  <c r="BJ64" i="38"/>
  <c r="BH64" i="38"/>
  <c r="BT64" i="38"/>
  <c r="BR71" i="38"/>
  <c r="BH71" i="38"/>
  <c r="BT71" i="38"/>
  <c r="BI71" i="38"/>
  <c r="BG71" i="38"/>
  <c r="BT109" i="38"/>
  <c r="BJ109" i="38"/>
  <c r="BK109" i="38"/>
  <c r="BQ109" i="38"/>
  <c r="BL109" i="38"/>
  <c r="BL115" i="38"/>
  <c r="BT115" i="38"/>
  <c r="BI115" i="38"/>
  <c r="BK115" i="38"/>
  <c r="BH115" i="38"/>
  <c r="BQ115" i="38"/>
  <c r="BP117" i="38"/>
  <c r="BT117" i="38"/>
  <c r="BJ117" i="38"/>
  <c r="BO117" i="38"/>
  <c r="BH117" i="38"/>
  <c r="BG117" i="38"/>
  <c r="BR117" i="38"/>
  <c r="BQ117" i="38"/>
  <c r="BP125" i="38"/>
  <c r="BT125" i="38"/>
  <c r="BJ125" i="38"/>
  <c r="BR125" i="38"/>
  <c r="BH125" i="38"/>
  <c r="L125" i="38"/>
  <c r="BK125" i="38"/>
  <c r="BI125" i="38"/>
  <c r="BQ125" i="38"/>
  <c r="BS125" i="38"/>
  <c r="BO125" i="38"/>
  <c r="BL125" i="38"/>
  <c r="BR111" i="38"/>
  <c r="BH111" i="38"/>
  <c r="L111" i="38"/>
  <c r="BL111" i="38"/>
  <c r="BJ111" i="38"/>
  <c r="BQ111" i="38"/>
  <c r="BL119" i="38"/>
  <c r="BR119" i="38"/>
  <c r="BH119" i="38"/>
  <c r="L119" i="38"/>
  <c r="BP119" i="38"/>
  <c r="BO119" i="38"/>
  <c r="BS126" i="38"/>
  <c r="BI126" i="38"/>
  <c r="AG126" i="38"/>
  <c r="BP126" i="38"/>
  <c r="BO126" i="38"/>
  <c r="BK126" i="38"/>
  <c r="BH126" i="38"/>
  <c r="BG126" i="38"/>
  <c r="L126" i="38"/>
  <c r="BT126" i="38"/>
  <c r="BQ126" i="38"/>
  <c r="BR126" i="38"/>
  <c r="BG119" i="38"/>
  <c r="BL127" i="38"/>
  <c r="BS127" i="38"/>
  <c r="BI127" i="38"/>
  <c r="BR127" i="38"/>
  <c r="BH127" i="38"/>
  <c r="L127" i="38"/>
  <c r="BP127" i="38"/>
  <c r="BT127" i="38"/>
  <c r="BQ127" i="38"/>
  <c r="BK127" i="38"/>
  <c r="BG127" i="38"/>
  <c r="BP57" i="38"/>
  <c r="AG57" i="38"/>
  <c r="BL57" i="38"/>
  <c r="BP65" i="38"/>
  <c r="BL65" i="38"/>
  <c r="BP73" i="38"/>
  <c r="BL73" i="38"/>
  <c r="BP81" i="38"/>
  <c r="AG81" i="38"/>
  <c r="BL81" i="38"/>
  <c r="BP89" i="38"/>
  <c r="AG89" i="38"/>
  <c r="BL89" i="38"/>
  <c r="BK96" i="38"/>
  <c r="BP96" i="38"/>
  <c r="L96" i="38"/>
  <c r="BI96" i="38"/>
  <c r="BP97" i="38"/>
  <c r="BR97" i="38"/>
  <c r="BG97" i="38"/>
  <c r="BS97" i="38"/>
  <c r="BK104" i="38"/>
  <c r="BP104" i="38"/>
  <c r="L104" i="38"/>
  <c r="BI104" i="38"/>
  <c r="BP105" i="38"/>
  <c r="BR105" i="38"/>
  <c r="BG105" i="38"/>
  <c r="BS105" i="38"/>
  <c r="BK112" i="38"/>
  <c r="BP112" i="38"/>
  <c r="L112" i="38"/>
  <c r="BI112" i="38"/>
  <c r="BP113" i="38"/>
  <c r="BR113" i="38"/>
  <c r="BG113" i="38"/>
  <c r="BS113" i="38"/>
  <c r="BT121" i="38"/>
  <c r="BJ121" i="38"/>
  <c r="BP121" i="38"/>
  <c r="BL121" i="38"/>
  <c r="BR121" i="38"/>
  <c r="L121" i="38"/>
  <c r="BH121" i="38"/>
  <c r="BS118" i="38"/>
  <c r="BI118" i="38"/>
  <c r="BO118" i="38"/>
  <c r="BK118" i="38"/>
  <c r="BP118" i="38"/>
  <c r="BJ119" i="38"/>
  <c r="BI121" i="38"/>
  <c r="BJ102" i="38"/>
  <c r="BJ110" i="38"/>
  <c r="BR123" i="38"/>
  <c r="BH123" i="38"/>
  <c r="L123" i="38"/>
  <c r="BL123" i="38"/>
  <c r="BT123" i="38"/>
  <c r="BJ123" i="38"/>
  <c r="BQ123" i="38"/>
  <c r="BG134" i="38"/>
  <c r="BG135" i="38"/>
  <c r="BS134" i="38"/>
  <c r="BI134" i="38"/>
  <c r="BR134" i="38"/>
  <c r="BH134" i="38"/>
  <c r="L134" i="38"/>
  <c r="BP134" i="38"/>
  <c r="BO134" i="38"/>
  <c r="BK134" i="38"/>
  <c r="BT134" i="38"/>
  <c r="BJ134" i="38"/>
  <c r="BL135" i="38"/>
  <c r="BK135" i="38"/>
  <c r="BS135" i="38"/>
  <c r="BI135" i="38"/>
  <c r="BR135" i="38"/>
  <c r="BH135" i="38"/>
  <c r="L135" i="38"/>
  <c r="BP135" i="38"/>
  <c r="BO135" i="38"/>
  <c r="BT135" i="38"/>
  <c r="BK123" i="38"/>
  <c r="L136" i="38"/>
  <c r="BI131" i="38"/>
  <c r="BS131" i="38"/>
  <c r="BG133" i="38"/>
  <c r="BQ133" i="38"/>
  <c r="BI139" i="38"/>
  <c r="BS139" i="38"/>
  <c r="BI141" i="38"/>
  <c r="BT141" i="38"/>
  <c r="BK142" i="38"/>
  <c r="BL143" i="38"/>
  <c r="BP143" i="38"/>
  <c r="BQ143" i="38"/>
  <c r="BT161" i="38"/>
  <c r="BJ161" i="38"/>
  <c r="BP161" i="38"/>
  <c r="BK161" i="38"/>
  <c r="BI161" i="38"/>
  <c r="BS161" i="38"/>
  <c r="BH161" i="38"/>
  <c r="BR161" i="38"/>
  <c r="BG161" i="38"/>
  <c r="BI120" i="38"/>
  <c r="BS120" i="38"/>
  <c r="BG122" i="38"/>
  <c r="BQ122" i="38"/>
  <c r="BI128" i="38"/>
  <c r="BS128" i="38"/>
  <c r="BL129" i="38"/>
  <c r="BG130" i="38"/>
  <c r="BQ130" i="38"/>
  <c r="BJ131" i="38"/>
  <c r="BT131" i="38"/>
  <c r="L133" i="38"/>
  <c r="BH133" i="38"/>
  <c r="BR133" i="38"/>
  <c r="BI136" i="38"/>
  <c r="BS136" i="38"/>
  <c r="BL137" i="38"/>
  <c r="BG138" i="38"/>
  <c r="BQ138" i="38"/>
  <c r="BJ139" i="38"/>
  <c r="BT139" i="38"/>
  <c r="L141" i="38"/>
  <c r="BJ141" i="38"/>
  <c r="L143" i="38"/>
  <c r="BR143" i="38"/>
  <c r="BT145" i="38"/>
  <c r="BJ145" i="38"/>
  <c r="BP145" i="38"/>
  <c r="BL145" i="38"/>
  <c r="AG145" i="38"/>
  <c r="BI145" i="38"/>
  <c r="BT150" i="38"/>
  <c r="L161" i="38"/>
  <c r="BL161" i="38"/>
  <c r="BS142" i="38"/>
  <c r="BI142" i="38"/>
  <c r="BO142" i="38"/>
  <c r="BR155" i="38"/>
  <c r="BH155" i="38"/>
  <c r="L155" i="38"/>
  <c r="BQ155" i="38"/>
  <c r="BL155" i="38"/>
  <c r="BK155" i="38"/>
  <c r="BJ155" i="38"/>
  <c r="BT155" i="38"/>
  <c r="BI155" i="38"/>
  <c r="BO161" i="38"/>
  <c r="BR163" i="38"/>
  <c r="BH163" i="38"/>
  <c r="L163" i="38"/>
  <c r="BQ163" i="38"/>
  <c r="BL163" i="38"/>
  <c r="BK163" i="38"/>
  <c r="BJ163" i="38"/>
  <c r="BT163" i="38"/>
  <c r="BI163" i="38"/>
  <c r="BG44" i="38"/>
  <c r="BG52" i="38"/>
  <c r="BG60" i="38"/>
  <c r="BG68" i="38"/>
  <c r="BG76" i="38"/>
  <c r="BG84" i="38"/>
  <c r="BG92" i="38"/>
  <c r="BG100" i="38"/>
  <c r="BG108" i="38"/>
  <c r="BG116" i="38"/>
  <c r="BI122" i="38"/>
  <c r="BG124" i="38"/>
  <c r="BP129" i="38"/>
  <c r="BI130" i="38"/>
  <c r="BL131" i="38"/>
  <c r="BG132" i="38"/>
  <c r="BJ133" i="38"/>
  <c r="BT133" i="38"/>
  <c r="BP137" i="38"/>
  <c r="AG138" i="38"/>
  <c r="BI138" i="38"/>
  <c r="BL139" i="38"/>
  <c r="BG140" i="38"/>
  <c r="BL141" i="38"/>
  <c r="L142" i="38"/>
  <c r="BP142" i="38"/>
  <c r="BH143" i="38"/>
  <c r="BT143" i="38"/>
  <c r="BO145" i="38"/>
  <c r="BR147" i="38"/>
  <c r="BH147" i="38"/>
  <c r="BQ147" i="38"/>
  <c r="BK147" i="38"/>
  <c r="BT147" i="38"/>
  <c r="BI147" i="38"/>
  <c r="BL151" i="38"/>
  <c r="BO151" i="38"/>
  <c r="L151" i="38"/>
  <c r="BS151" i="38"/>
  <c r="BH151" i="38"/>
  <c r="BQ151" i="38"/>
  <c r="BL159" i="38"/>
  <c r="BO159" i="38"/>
  <c r="BT159" i="38"/>
  <c r="BI159" i="38"/>
  <c r="BS159" i="38"/>
  <c r="BH159" i="38"/>
  <c r="BR159" i="38"/>
  <c r="BG159" i="38"/>
  <c r="BQ159" i="38"/>
  <c r="BQ161" i="38"/>
  <c r="BS182" i="38"/>
  <c r="BI182" i="38"/>
  <c r="BR182" i="38"/>
  <c r="BH182" i="38"/>
  <c r="BJ182" i="38"/>
  <c r="BG182" i="38"/>
  <c r="BT182" i="38"/>
  <c r="BQ182" i="38"/>
  <c r="BP182" i="38"/>
  <c r="BO182" i="38"/>
  <c r="BL182" i="38"/>
  <c r="BK182" i="38"/>
  <c r="BG129" i="38"/>
  <c r="BQ129" i="38"/>
  <c r="BO131" i="38"/>
  <c r="BK133" i="38"/>
  <c r="BG137" i="38"/>
  <c r="BQ137" i="38"/>
  <c r="BO139" i="38"/>
  <c r="BO141" i="38"/>
  <c r="BQ142" i="38"/>
  <c r="BI143" i="38"/>
  <c r="BG155" i="38"/>
  <c r="BG142" i="38"/>
  <c r="BR142" i="38"/>
  <c r="BJ143" i="38"/>
  <c r="BO163" i="38"/>
  <c r="BG131" i="38"/>
  <c r="BQ131" i="38"/>
  <c r="BG139" i="38"/>
  <c r="BQ139" i="38"/>
  <c r="BS150" i="38"/>
  <c r="BI150" i="38"/>
  <c r="BL150" i="38"/>
  <c r="BR150" i="38"/>
  <c r="BG150" i="38"/>
  <c r="BP150" i="38"/>
  <c r="BK150" i="38"/>
  <c r="BT153" i="38"/>
  <c r="BJ153" i="38"/>
  <c r="BP153" i="38"/>
  <c r="BK153" i="38"/>
  <c r="BI153" i="38"/>
  <c r="BR153" i="38"/>
  <c r="BG153" i="38"/>
  <c r="BS153" i="38"/>
  <c r="BP155" i="38"/>
  <c r="BL167" i="38"/>
  <c r="BO167" i="38"/>
  <c r="L167" i="38"/>
  <c r="BJ167" i="38"/>
  <c r="BT167" i="38"/>
  <c r="BI167" i="38"/>
  <c r="BS167" i="38"/>
  <c r="BH167" i="38"/>
  <c r="BR167" i="38"/>
  <c r="BG167" i="38"/>
  <c r="BQ167" i="38"/>
  <c r="BG120" i="38"/>
  <c r="BG128" i="38"/>
  <c r="BJ129" i="38"/>
  <c r="L131" i="38"/>
  <c r="BH131" i="38"/>
  <c r="BG136" i="38"/>
  <c r="BJ137" i="38"/>
  <c r="L139" i="38"/>
  <c r="BH139" i="38"/>
  <c r="BH141" i="38"/>
  <c r="BS141" i="38"/>
  <c r="BJ142" i="38"/>
  <c r="BO143" i="38"/>
  <c r="BG145" i="38"/>
  <c r="BO147" i="38"/>
  <c r="BO150" i="38"/>
  <c r="BK151" i="38"/>
  <c r="L153" i="38"/>
  <c r="BS155" i="38"/>
  <c r="BS158" i="38"/>
  <c r="BI158" i="38"/>
  <c r="BL158" i="38"/>
  <c r="BT158" i="38"/>
  <c r="BH158" i="38"/>
  <c r="BR158" i="38"/>
  <c r="BG158" i="38"/>
  <c r="BQ158" i="38"/>
  <c r="BP158" i="38"/>
  <c r="BJ158" i="38"/>
  <c r="BP159" i="38"/>
  <c r="BS163" i="38"/>
  <c r="BS166" i="38"/>
  <c r="BI166" i="38"/>
  <c r="BL166" i="38"/>
  <c r="BJ166" i="38"/>
  <c r="BT166" i="38"/>
  <c r="BH166" i="38"/>
  <c r="BR166" i="38"/>
  <c r="BG166" i="38"/>
  <c r="BQ166" i="38"/>
  <c r="BP166" i="38"/>
  <c r="BH190" i="38"/>
  <c r="BG146" i="38"/>
  <c r="BR146" i="38"/>
  <c r="BP149" i="38"/>
  <c r="AG149" i="38"/>
  <c r="BL149" i="38"/>
  <c r="BG154" i="38"/>
  <c r="BR154" i="38"/>
  <c r="BP157" i="38"/>
  <c r="AG157" i="38"/>
  <c r="BL157" i="38"/>
  <c r="BG162" i="38"/>
  <c r="BR162" i="38"/>
  <c r="BP165" i="38"/>
  <c r="AG165" i="38"/>
  <c r="BL165" i="38"/>
  <c r="BG169" i="38"/>
  <c r="BR169" i="38"/>
  <c r="BI170" i="38"/>
  <c r="BQ174" i="38"/>
  <c r="BQ175" i="38"/>
  <c r="BT177" i="38"/>
  <c r="BJ177" i="38"/>
  <c r="BS177" i="38"/>
  <c r="BI177" i="38"/>
  <c r="BH177" i="38"/>
  <c r="BO178" i="38"/>
  <c r="BL178" i="38"/>
  <c r="AG178" i="38"/>
  <c r="BR178" i="38"/>
  <c r="BP180" i="38"/>
  <c r="BK181" i="38"/>
  <c r="BQ185" i="38"/>
  <c r="BK186" i="38"/>
  <c r="BH188" i="38"/>
  <c r="BH162" i="38"/>
  <c r="BS162" i="38"/>
  <c r="BH169" i="38"/>
  <c r="BS169" i="38"/>
  <c r="BJ170" i="38"/>
  <c r="BK172" i="38"/>
  <c r="BT172" i="38"/>
  <c r="BJ172" i="38"/>
  <c r="BH172" i="38"/>
  <c r="BP173" i="38"/>
  <c r="BO173" i="38"/>
  <c r="BG173" i="38"/>
  <c r="BS173" i="38"/>
  <c r="BT174" i="38"/>
  <c r="BR175" i="38"/>
  <c r="L177" i="38"/>
  <c r="BK177" i="38"/>
  <c r="L178" i="38"/>
  <c r="BG178" i="38"/>
  <c r="BS178" i="38"/>
  <c r="BQ180" i="38"/>
  <c r="BL181" i="38"/>
  <c r="BO183" i="38"/>
  <c r="BR185" i="38"/>
  <c r="BP186" i="38"/>
  <c r="BI188" i="38"/>
  <c r="BQ190" i="38"/>
  <c r="BL191" i="38"/>
  <c r="BT192" i="38"/>
  <c r="BI146" i="38"/>
  <c r="BT146" i="38"/>
  <c r="BO148" i="38"/>
  <c r="BQ149" i="38"/>
  <c r="BI154" i="38"/>
  <c r="BT154" i="38"/>
  <c r="BO156" i="38"/>
  <c r="BQ157" i="38"/>
  <c r="BI162" i="38"/>
  <c r="BT162" i="38"/>
  <c r="BO164" i="38"/>
  <c r="BQ165" i="38"/>
  <c r="BI169" i="38"/>
  <c r="L172" i="38"/>
  <c r="BI172" i="38"/>
  <c r="L173" i="38"/>
  <c r="BH173" i="38"/>
  <c r="BT173" i="38"/>
  <c r="BG174" i="38"/>
  <c r="BG175" i="38"/>
  <c r="BL177" i="38"/>
  <c r="BH178" i="38"/>
  <c r="BT178" i="38"/>
  <c r="BR180" i="38"/>
  <c r="BQ181" i="38"/>
  <c r="BP183" i="38"/>
  <c r="BO188" i="38"/>
  <c r="BJ154" i="38"/>
  <c r="BJ162" i="38"/>
  <c r="L164" i="38"/>
  <c r="BO170" i="38"/>
  <c r="BL170" i="38"/>
  <c r="BP170" i="38"/>
  <c r="BL175" i="38"/>
  <c r="BK175" i="38"/>
  <c r="BH175" i="38"/>
  <c r="BT175" i="38"/>
  <c r="BG180" i="38"/>
  <c r="AG181" i="38"/>
  <c r="BT185" i="38"/>
  <c r="BJ185" i="38"/>
  <c r="BS185" i="38"/>
  <c r="BI185" i="38"/>
  <c r="AG185" i="38"/>
  <c r="BH185" i="38"/>
  <c r="BO186" i="38"/>
  <c r="BL186" i="38"/>
  <c r="BR186" i="38"/>
  <c r="BT190" i="38"/>
  <c r="BJ190" i="38"/>
  <c r="BO190" i="38"/>
  <c r="BL190" i="38"/>
  <c r="L190" i="38"/>
  <c r="BI190" i="38"/>
  <c r="BP190" i="38"/>
  <c r="BS190" i="38"/>
  <c r="BO196" i="38"/>
  <c r="BP196" i="38"/>
  <c r="BK196" i="38"/>
  <c r="BJ196" i="38"/>
  <c r="BT196" i="38"/>
  <c r="BH196" i="38"/>
  <c r="BQ196" i="38"/>
  <c r="BL196" i="38"/>
  <c r="BI196" i="38"/>
  <c r="BT169" i="38"/>
  <c r="BJ169" i="38"/>
  <c r="BL169" i="38"/>
  <c r="BS174" i="38"/>
  <c r="BI174" i="38"/>
  <c r="BR174" i="38"/>
  <c r="BH174" i="38"/>
  <c r="L174" i="38"/>
  <c r="BK174" i="38"/>
  <c r="BK180" i="38"/>
  <c r="BT180" i="38"/>
  <c r="BJ180" i="38"/>
  <c r="BH180" i="38"/>
  <c r="BP181" i="38"/>
  <c r="BO181" i="38"/>
  <c r="BG181" i="38"/>
  <c r="BS181" i="38"/>
  <c r="L185" i="38"/>
  <c r="BK185" i="38"/>
  <c r="L186" i="38"/>
  <c r="BG186" i="38"/>
  <c r="BS186" i="38"/>
  <c r="BK188" i="38"/>
  <c r="BT188" i="38"/>
  <c r="BJ188" i="38"/>
  <c r="BL188" i="38"/>
  <c r="BQ188" i="38"/>
  <c r="BP191" i="38"/>
  <c r="BJ191" i="38"/>
  <c r="BQ191" i="38"/>
  <c r="BO191" i="38"/>
  <c r="L191" i="38"/>
  <c r="BK191" i="38"/>
  <c r="BR191" i="38"/>
  <c r="BS192" i="38"/>
  <c r="BI192" i="38"/>
  <c r="BL192" i="38"/>
  <c r="BP192" i="38"/>
  <c r="BO192" i="38"/>
  <c r="BJ192" i="38"/>
  <c r="L192" i="38"/>
  <c r="BQ192" i="38"/>
  <c r="L196" i="38"/>
  <c r="BR196" i="38"/>
  <c r="BQ177" i="38"/>
  <c r="BK178" i="38"/>
  <c r="L180" i="38"/>
  <c r="BI180" i="38"/>
  <c r="L181" i="38"/>
  <c r="BH181" i="38"/>
  <c r="BT181" i="38"/>
  <c r="BG183" i="38"/>
  <c r="BL185" i="38"/>
  <c r="BH186" i="38"/>
  <c r="BT186" i="38"/>
  <c r="BR188" i="38"/>
  <c r="BG192" i="38"/>
  <c r="BS196" i="38"/>
  <c r="BG144" i="38"/>
  <c r="BP146" i="38"/>
  <c r="BJ149" i="38"/>
  <c r="BP154" i="38"/>
  <c r="BP162" i="38"/>
  <c r="BP169" i="38"/>
  <c r="BG170" i="38"/>
  <c r="BS170" i="38"/>
  <c r="BQ172" i="38"/>
  <c r="BL173" i="38"/>
  <c r="BO174" i="38"/>
  <c r="BO175" i="38"/>
  <c r="BR177" i="38"/>
  <c r="BP178" i="38"/>
  <c r="BL180" i="38"/>
  <c r="BI181" i="38"/>
  <c r="BL183" i="38"/>
  <c r="BK183" i="38"/>
  <c r="BH183" i="38"/>
  <c r="BT183" i="38"/>
  <c r="BO185" i="38"/>
  <c r="BI186" i="38"/>
  <c r="BS188" i="38"/>
  <c r="BG190" i="38"/>
  <c r="BG189" i="38"/>
  <c r="BQ189" i="38"/>
  <c r="BP193" i="38"/>
  <c r="BK198" i="38"/>
  <c r="BS198" i="38"/>
  <c r="BH198" i="38"/>
  <c r="BG198" i="38"/>
  <c r="BT198" i="38"/>
  <c r="BR201" i="38"/>
  <c r="BK203" i="38"/>
  <c r="BT195" i="38"/>
  <c r="BJ195" i="38"/>
  <c r="BP195" i="38"/>
  <c r="BH195" i="38"/>
  <c r="L198" i="38"/>
  <c r="BI198" i="38"/>
  <c r="BP199" i="38"/>
  <c r="BJ199" i="38"/>
  <c r="BG199" i="38"/>
  <c r="BS199" i="38"/>
  <c r="BS201" i="38"/>
  <c r="BR205" i="38"/>
  <c r="BH205" i="38"/>
  <c r="L205" i="38"/>
  <c r="BK205" i="38"/>
  <c r="BT205" i="38"/>
  <c r="BI205" i="38"/>
  <c r="BS205" i="38"/>
  <c r="BG205" i="38"/>
  <c r="BO205" i="38"/>
  <c r="BL205" i="38"/>
  <c r="BJ205" i="38"/>
  <c r="BP205" i="38"/>
  <c r="BT203" i="38"/>
  <c r="BJ203" i="38"/>
  <c r="BI203" i="38"/>
  <c r="BQ203" i="38"/>
  <c r="BO203" i="38"/>
  <c r="BH203" i="38"/>
  <c r="BS203" i="38"/>
  <c r="BP203" i="38"/>
  <c r="BI199" i="38"/>
  <c r="BS200" i="38"/>
  <c r="BI200" i="38"/>
  <c r="BL200" i="38"/>
  <c r="BH200" i="38"/>
  <c r="BR203" i="38"/>
  <c r="BL193" i="38"/>
  <c r="BO193" i="38"/>
  <c r="L193" i="38"/>
  <c r="BH193" i="38"/>
  <c r="BT193" i="38"/>
  <c r="BL201" i="38"/>
  <c r="BO201" i="38"/>
  <c r="L201" i="38"/>
  <c r="BT201" i="38"/>
  <c r="BI201" i="38"/>
  <c r="BJ201" i="38"/>
  <c r="BG171" i="38"/>
  <c r="BQ171" i="38"/>
  <c r="BG179" i="38"/>
  <c r="BQ179" i="38"/>
  <c r="BG187" i="38"/>
  <c r="BQ187" i="38"/>
  <c r="BO189" i="38"/>
  <c r="BJ193" i="38"/>
  <c r="BQ195" i="38"/>
  <c r="BR197" i="38"/>
  <c r="BH197" i="38"/>
  <c r="L197" i="38"/>
  <c r="BQ197" i="38"/>
  <c r="BG197" i="38"/>
  <c r="BT197" i="38"/>
  <c r="BQ198" i="38"/>
  <c r="BO199" i="38"/>
  <c r="BO200" i="38"/>
  <c r="BP201" i="38"/>
  <c r="BG152" i="38"/>
  <c r="BG160" i="38"/>
  <c r="BG168" i="38"/>
  <c r="L171" i="38"/>
  <c r="BH171" i="38"/>
  <c r="BG176" i="38"/>
  <c r="L179" i="38"/>
  <c r="BH179" i="38"/>
  <c r="BG184" i="38"/>
  <c r="L187" i="38"/>
  <c r="BH187" i="38"/>
  <c r="BK193" i="38"/>
  <c r="BR195" i="38"/>
  <c r="BI197" i="38"/>
  <c r="BR198" i="38"/>
  <c r="BQ199" i="38"/>
  <c r="BP200" i="38"/>
  <c r="BQ201" i="38"/>
  <c r="BG203" i="38"/>
  <c r="BO204" i="38"/>
  <c r="BT204" i="38"/>
  <c r="BI204" i="38"/>
  <c r="BQ204" i="38"/>
  <c r="BK204" i="38"/>
  <c r="BL204" i="38"/>
  <c r="BR219" i="38"/>
  <c r="BH219" i="38"/>
  <c r="L219" i="38"/>
  <c r="BL219" i="38"/>
  <c r="BO219" i="38"/>
  <c r="BG219" i="38"/>
  <c r="BT219" i="38"/>
  <c r="BS219" i="38"/>
  <c r="BQ219" i="38"/>
  <c r="BP219" i="38"/>
  <c r="BJ219" i="38"/>
  <c r="BI219" i="38"/>
  <c r="BS204" i="38"/>
  <c r="BL214" i="38"/>
  <c r="BP214" i="38"/>
  <c r="BH214" i="38"/>
  <c r="BT214" i="38"/>
  <c r="BR224" i="38"/>
  <c r="BH224" i="38"/>
  <c r="L224" i="38"/>
  <c r="BS224" i="38"/>
  <c r="BG224" i="38"/>
  <c r="BI224" i="38"/>
  <c r="BP224" i="38"/>
  <c r="BJ224" i="38"/>
  <c r="BT224" i="38"/>
  <c r="BR226" i="38"/>
  <c r="BG228" i="38"/>
  <c r="BG194" i="38"/>
  <c r="BG202" i="38"/>
  <c r="BS208" i="38"/>
  <c r="BI208" i="38"/>
  <c r="BO208" i="38"/>
  <c r="BI214" i="38"/>
  <c r="BT242" i="38"/>
  <c r="BJ242" i="38"/>
  <c r="BK242" i="38"/>
  <c r="BQ242" i="38"/>
  <c r="BI242" i="38"/>
  <c r="BG242" i="38"/>
  <c r="BL242" i="38"/>
  <c r="BS242" i="38"/>
  <c r="BR242" i="38"/>
  <c r="BL248" i="38"/>
  <c r="BR248" i="38"/>
  <c r="BG248" i="38"/>
  <c r="BP248" i="38"/>
  <c r="BT248" i="38"/>
  <c r="BI248" i="38"/>
  <c r="BH248" i="38"/>
  <c r="L248" i="38"/>
  <c r="BK248" i="38"/>
  <c r="BJ248" i="38"/>
  <c r="AG248" i="38"/>
  <c r="BQ248" i="38"/>
  <c r="BO248" i="38"/>
  <c r="BP207" i="38"/>
  <c r="BL207" i="38"/>
  <c r="BJ214" i="38"/>
  <c r="BL216" i="38"/>
  <c r="BQ226" i="38"/>
  <c r="BG226" i="38"/>
  <c r="BL226" i="38"/>
  <c r="BS226" i="38"/>
  <c r="BP226" i="38"/>
  <c r="L226" i="38"/>
  <c r="BI226" i="38"/>
  <c r="BH226" i="38"/>
  <c r="L242" i="38"/>
  <c r="BO206" i="38"/>
  <c r="BQ207" i="38"/>
  <c r="BG208" i="38"/>
  <c r="BR208" i="38"/>
  <c r="BK211" i="38"/>
  <c r="BT211" i="38"/>
  <c r="BI211" i="38"/>
  <c r="BG211" i="38"/>
  <c r="BS211" i="38"/>
  <c r="BG212" i="38"/>
  <c r="BO214" i="38"/>
  <c r="BP233" i="38"/>
  <c r="BT233" i="38"/>
  <c r="BI233" i="38"/>
  <c r="BJ233" i="38"/>
  <c r="L233" i="38"/>
  <c r="BG233" i="38"/>
  <c r="BL233" i="38"/>
  <c r="BS233" i="38"/>
  <c r="BR233" i="38"/>
  <c r="BH242" i="38"/>
  <c r="BG207" i="38"/>
  <c r="BR207" i="38"/>
  <c r="BP212" i="38"/>
  <c r="BK212" i="38"/>
  <c r="BH212" i="38"/>
  <c r="BT212" i="38"/>
  <c r="BQ214" i="38"/>
  <c r="BT216" i="38"/>
  <c r="BJ216" i="38"/>
  <c r="BQ216" i="38"/>
  <c r="BR216" i="38"/>
  <c r="BJ226" i="38"/>
  <c r="BO228" i="38"/>
  <c r="BL228" i="38"/>
  <c r="BK228" i="38"/>
  <c r="BI228" i="38"/>
  <c r="BR228" i="38"/>
  <c r="BQ228" i="38"/>
  <c r="BT228" i="38"/>
  <c r="BO242" i="38"/>
  <c r="BK226" i="38"/>
  <c r="BP242" i="38"/>
  <c r="BI207" i="38"/>
  <c r="BT207" i="38"/>
  <c r="BK208" i="38"/>
  <c r="BK209" i="38"/>
  <c r="BL211" i="38"/>
  <c r="BJ212" i="38"/>
  <c r="BG214" i="38"/>
  <c r="BS214" i="38"/>
  <c r="BH216" i="38"/>
  <c r="BS217" i="38"/>
  <c r="BI217" i="38"/>
  <c r="AG217" i="38"/>
  <c r="BJ217" i="38"/>
  <c r="BQ217" i="38"/>
  <c r="BG217" i="38"/>
  <c r="BR217" i="38"/>
  <c r="BL220" i="38"/>
  <c r="BP220" i="38"/>
  <c r="BK220" i="38"/>
  <c r="BH220" i="38"/>
  <c r="BQ220" i="38"/>
  <c r="BO220" i="38"/>
  <c r="BT220" i="38"/>
  <c r="BT222" i="38"/>
  <c r="BJ222" i="38"/>
  <c r="BQ222" i="38"/>
  <c r="BO222" i="38"/>
  <c r="BH222" i="38"/>
  <c r="AG222" i="38"/>
  <c r="BP222" i="38"/>
  <c r="BL222" i="38"/>
  <c r="BR222" i="38"/>
  <c r="BQ224" i="38"/>
  <c r="BO226" i="38"/>
  <c r="BL230" i="38"/>
  <c r="BP230" i="38"/>
  <c r="BI230" i="38"/>
  <c r="BK230" i="38"/>
  <c r="BJ230" i="38"/>
  <c r="BS230" i="38"/>
  <c r="BR230" i="38"/>
  <c r="AG230" i="38"/>
  <c r="BG230" i="38"/>
  <c r="BK233" i="38"/>
  <c r="BS248" i="38"/>
  <c r="BR210" i="38"/>
  <c r="BH210" i="38"/>
  <c r="BG210" i="38"/>
  <c r="BS210" i="38"/>
  <c r="BS213" i="38"/>
  <c r="BI213" i="38"/>
  <c r="BO213" i="38"/>
  <c r="BO218" i="38"/>
  <c r="BJ218" i="38"/>
  <c r="BP218" i="38"/>
  <c r="BK218" i="38"/>
  <c r="BK225" i="38"/>
  <c r="BT225" i="38"/>
  <c r="BI225" i="38"/>
  <c r="BR225" i="38"/>
  <c r="BO225" i="38"/>
  <c r="BT237" i="38"/>
  <c r="BJ237" i="38"/>
  <c r="BO237" i="38"/>
  <c r="L237" i="38"/>
  <c r="BS237" i="38"/>
  <c r="BG237" i="38"/>
  <c r="BQ237" i="38"/>
  <c r="L225" i="38"/>
  <c r="BP225" i="38"/>
  <c r="BT227" i="38"/>
  <c r="BJ227" i="38"/>
  <c r="BO227" i="38"/>
  <c r="BQ227" i="38"/>
  <c r="BL227" i="38"/>
  <c r="BT232" i="38"/>
  <c r="BJ232" i="38"/>
  <c r="BQ232" i="38"/>
  <c r="BK232" i="38"/>
  <c r="BO232" i="38"/>
  <c r="L232" i="38"/>
  <c r="BP238" i="38"/>
  <c r="BR238" i="38"/>
  <c r="BG238" i="38"/>
  <c r="BS238" i="38"/>
  <c r="BJ238" i="38"/>
  <c r="BH238" i="38"/>
  <c r="BS239" i="38"/>
  <c r="BI239" i="38"/>
  <c r="BT239" i="38"/>
  <c r="BH239" i="38"/>
  <c r="BP239" i="38"/>
  <c r="BO239" i="38"/>
  <c r="L239" i="38"/>
  <c r="BL240" i="38"/>
  <c r="BT240" i="38"/>
  <c r="BI240" i="38"/>
  <c r="BK240" i="38"/>
  <c r="BS240" i="38"/>
  <c r="BR240" i="38"/>
  <c r="BR244" i="38"/>
  <c r="BH244" i="38"/>
  <c r="L244" i="38"/>
  <c r="BS244" i="38"/>
  <c r="BG244" i="38"/>
  <c r="BL244" i="38"/>
  <c r="BO244" i="38"/>
  <c r="BJ244" i="38"/>
  <c r="BQ244" i="38"/>
  <c r="BK244" i="38"/>
  <c r="BK245" i="38"/>
  <c r="BT245" i="38"/>
  <c r="BI245" i="38"/>
  <c r="BP245" i="38"/>
  <c r="L245" i="38"/>
  <c r="BG245" i="38"/>
  <c r="BR245" i="38"/>
  <c r="BJ245" i="38"/>
  <c r="BL245" i="38"/>
  <c r="BH245" i="38"/>
  <c r="BO223" i="38"/>
  <c r="BQ223" i="38"/>
  <c r="BI223" i="38"/>
  <c r="BJ223" i="38"/>
  <c r="BH225" i="38"/>
  <c r="BG227" i="38"/>
  <c r="BS229" i="38"/>
  <c r="BI229" i="38"/>
  <c r="BO229" i="38"/>
  <c r="BK229" i="38"/>
  <c r="BT229" i="38"/>
  <c r="BJ229" i="38"/>
  <c r="BL232" i="38"/>
  <c r="BL237" i="38"/>
  <c r="BO238" i="38"/>
  <c r="BL239" i="38"/>
  <c r="BJ240" i="38"/>
  <c r="BO245" i="38"/>
  <c r="BS252" i="38"/>
  <c r="BI252" i="38"/>
  <c r="AG252" i="38"/>
  <c r="L252" i="38"/>
  <c r="BK252" i="38"/>
  <c r="BJ252" i="38"/>
  <c r="BT252" i="38"/>
  <c r="BH252" i="38"/>
  <c r="BO252" i="38"/>
  <c r="BG252" i="38"/>
  <c r="BP252" i="38"/>
  <c r="BQ252" i="38"/>
  <c r="BL252" i="38"/>
  <c r="BS259" i="38"/>
  <c r="BI259" i="38"/>
  <c r="BR259" i="38"/>
  <c r="BH259" i="38"/>
  <c r="BQ259" i="38"/>
  <c r="BK259" i="38"/>
  <c r="BT259" i="38"/>
  <c r="BJ259" i="38"/>
  <c r="BO259" i="38"/>
  <c r="BL259" i="38"/>
  <c r="BG259" i="38"/>
  <c r="BG215" i="38"/>
  <c r="BQ246" i="38"/>
  <c r="BT250" i="38"/>
  <c r="BJ250" i="38"/>
  <c r="BS250" i="38"/>
  <c r="BH250" i="38"/>
  <c r="BQ250" i="38"/>
  <c r="BK250" i="38"/>
  <c r="BT257" i="38"/>
  <c r="BJ257" i="38"/>
  <c r="BO257" i="38"/>
  <c r="L257" i="38"/>
  <c r="BR257" i="38"/>
  <c r="BL257" i="38"/>
  <c r="BK257" i="38"/>
  <c r="BI257" i="38"/>
  <c r="BQ257" i="38"/>
  <c r="BH257" i="38"/>
  <c r="BL250" i="38"/>
  <c r="BP258" i="38"/>
  <c r="BO258" i="38"/>
  <c r="BR258" i="38"/>
  <c r="BS258" i="38"/>
  <c r="BG258" i="38"/>
  <c r="BT258" i="38"/>
  <c r="BQ258" i="38"/>
  <c r="L258" i="38"/>
  <c r="BI258" i="38"/>
  <c r="BJ258" i="38"/>
  <c r="BK258" i="38"/>
  <c r="BS234" i="38"/>
  <c r="BI234" i="38"/>
  <c r="BK234" i="38"/>
  <c r="BH234" i="38"/>
  <c r="BP246" i="38"/>
  <c r="BK246" i="38"/>
  <c r="BR246" i="38"/>
  <c r="BG246" i="38"/>
  <c r="BL246" i="38"/>
  <c r="BP266" i="38"/>
  <c r="BO266" i="38"/>
  <c r="BL266" i="38"/>
  <c r="BS266" i="38"/>
  <c r="BK266" i="38"/>
  <c r="L266" i="38"/>
  <c r="BJ266" i="38"/>
  <c r="BQ271" i="38"/>
  <c r="BK235" i="38"/>
  <c r="BJ243" i="38"/>
  <c r="BJ251" i="38"/>
  <c r="BP255" i="38"/>
  <c r="BP262" i="38"/>
  <c r="BQ266" i="38"/>
  <c r="BT270" i="38"/>
  <c r="BJ270" i="38"/>
  <c r="BS270" i="38"/>
  <c r="BI270" i="38"/>
  <c r="BR270" i="38"/>
  <c r="BO270" i="38"/>
  <c r="BK270" i="38"/>
  <c r="BH270" i="38"/>
  <c r="BQ270" i="38"/>
  <c r="L270" i="38"/>
  <c r="BS271" i="38"/>
  <c r="BP270" i="38"/>
  <c r="BS247" i="38"/>
  <c r="BI247" i="38"/>
  <c r="BO247" i="38"/>
  <c r="BO263" i="38"/>
  <c r="BL263" i="38"/>
  <c r="BS263" i="38"/>
  <c r="BG263" i="38"/>
  <c r="L263" i="38"/>
  <c r="BP263" i="38"/>
  <c r="BR263" i="38"/>
  <c r="BG266" i="38"/>
  <c r="BS267" i="38"/>
  <c r="BI267" i="38"/>
  <c r="BR267" i="38"/>
  <c r="BH267" i="38"/>
  <c r="L267" i="38"/>
  <c r="BO267" i="38"/>
  <c r="BL267" i="38"/>
  <c r="BG267" i="38"/>
  <c r="BQ267" i="38"/>
  <c r="BL255" i="38"/>
  <c r="BK255" i="38"/>
  <c r="BQ255" i="38"/>
  <c r="L255" i="38"/>
  <c r="BI255" i="38"/>
  <c r="BT262" i="38"/>
  <c r="BJ262" i="38"/>
  <c r="BS262" i="38"/>
  <c r="BI262" i="38"/>
  <c r="BK262" i="38"/>
  <c r="L262" i="38"/>
  <c r="BL262" i="38"/>
  <c r="BG262" i="38"/>
  <c r="BO271" i="38"/>
  <c r="BL271" i="38"/>
  <c r="BP271" i="38"/>
  <c r="BR271" i="38"/>
  <c r="BK271" i="38"/>
  <c r="BJ271" i="38"/>
  <c r="L271" i="38"/>
  <c r="BT271" i="38"/>
  <c r="BG271" i="38"/>
  <c r="BH271" i="38"/>
  <c r="BH251" i="38"/>
  <c r="BS251" i="38"/>
  <c r="BK253" i="38"/>
  <c r="BJ255" i="38"/>
  <c r="BL260" i="38"/>
  <c r="BK260" i="38"/>
  <c r="BQ260" i="38"/>
  <c r="BR260" i="38"/>
  <c r="BG260" i="38"/>
  <c r="BH262" i="38"/>
  <c r="BI266" i="38"/>
  <c r="BI271" i="38"/>
  <c r="BL268" i="38"/>
  <c r="BK268" i="38"/>
  <c r="BO268" i="38"/>
  <c r="BP268" i="38"/>
  <c r="BK273" i="38"/>
  <c r="BT273" i="38"/>
  <c r="BJ273" i="38"/>
  <c r="BL273" i="38"/>
  <c r="BI273" i="38"/>
  <c r="L273" i="38"/>
  <c r="BH273" i="38"/>
  <c r="BK265" i="38"/>
  <c r="BT265" i="38"/>
  <c r="BJ265" i="38"/>
  <c r="BQ265" i="38"/>
  <c r="BO265" i="38"/>
  <c r="BP274" i="38"/>
  <c r="BO274" i="38"/>
  <c r="BI274" i="38"/>
  <c r="BT274" i="38"/>
  <c r="BH274" i="38"/>
  <c r="BS275" i="38"/>
  <c r="BI275" i="38"/>
  <c r="BR275" i="38"/>
  <c r="BH275" i="38"/>
  <c r="BJ275" i="38"/>
  <c r="BG275" i="38"/>
  <c r="BG278" i="38"/>
  <c r="BR280" i="38"/>
  <c r="BG221" i="38"/>
  <c r="BG231" i="38"/>
  <c r="BG236" i="38"/>
  <c r="BG241" i="38"/>
  <c r="BG249" i="38"/>
  <c r="BG254" i="38"/>
  <c r="BL276" i="38"/>
  <c r="BK276" i="38"/>
  <c r="BH276" i="38"/>
  <c r="BT276" i="38"/>
  <c r="BI278" i="38"/>
  <c r="BK279" i="38"/>
  <c r="BS279" i="38"/>
  <c r="BH279" i="38"/>
  <c r="BR279" i="38"/>
  <c r="BG279" i="38"/>
  <c r="BO279" i="38"/>
  <c r="BS280" i="38"/>
  <c r="L279" i="38"/>
  <c r="BP279" i="38"/>
  <c r="BG280" i="38"/>
  <c r="BS281" i="38"/>
  <c r="BI281" i="38"/>
  <c r="BL281" i="38"/>
  <c r="BK281" i="38"/>
  <c r="BQ281" i="38"/>
  <c r="BT287" i="38"/>
  <c r="BJ287" i="38"/>
  <c r="BK287" i="38"/>
  <c r="BS287" i="38"/>
  <c r="BH287" i="38"/>
  <c r="BI287" i="38"/>
  <c r="BR287" i="38"/>
  <c r="BQ287" i="38"/>
  <c r="BO287" i="38"/>
  <c r="BL287" i="38"/>
  <c r="BR278" i="38"/>
  <c r="BH278" i="38"/>
  <c r="BQ278" i="38"/>
  <c r="BP278" i="38"/>
  <c r="BL278" i="38"/>
  <c r="L287" i="38"/>
  <c r="BP280" i="38"/>
  <c r="BJ280" i="38"/>
  <c r="BT280" i="38"/>
  <c r="BI280" i="38"/>
  <c r="BL280" i="38"/>
  <c r="BG287" i="38"/>
  <c r="BT295" i="38"/>
  <c r="BJ295" i="38"/>
  <c r="BS295" i="38"/>
  <c r="BI295" i="38"/>
  <c r="BP295" i="38"/>
  <c r="BO295" i="38"/>
  <c r="BL295" i="38"/>
  <c r="BK295" i="38"/>
  <c r="BH295" i="38"/>
  <c r="BG295" i="38"/>
  <c r="BR295" i="38"/>
  <c r="BP291" i="38"/>
  <c r="BR291" i="38"/>
  <c r="BG291" i="38"/>
  <c r="BQ291" i="38"/>
  <c r="BO291" i="38"/>
  <c r="L291" i="38"/>
  <c r="BH291" i="38"/>
  <c r="BT291" i="38"/>
  <c r="BS291" i="38"/>
  <c r="BL291" i="38"/>
  <c r="BK291" i="38"/>
  <c r="BJ291" i="38"/>
  <c r="BG256" i="38"/>
  <c r="BG264" i="38"/>
  <c r="BQ264" i="38"/>
  <c r="BG272" i="38"/>
  <c r="BQ272" i="38"/>
  <c r="BP277" i="38"/>
  <c r="BK282" i="38"/>
  <c r="BG261" i="38"/>
  <c r="L264" i="38"/>
  <c r="BH264" i="38"/>
  <c r="BG269" i="38"/>
  <c r="L272" i="38"/>
  <c r="BH272" i="38"/>
  <c r="BG277" i="38"/>
  <c r="BQ295" i="38"/>
  <c r="BI283" i="38"/>
  <c r="BT283" i="38"/>
  <c r="BK284" i="38"/>
  <c r="BK285" i="38"/>
  <c r="BK292" i="38"/>
  <c r="BK293" i="38"/>
  <c r="BG296" i="38"/>
  <c r="BR289" i="38"/>
  <c r="BH289" i="38"/>
  <c r="L289" i="38"/>
  <c r="BL289" i="38"/>
  <c r="BJ289" i="38"/>
  <c r="BP289" i="38"/>
  <c r="BL292" i="38"/>
  <c r="BO293" i="38"/>
  <c r="BS284" i="38"/>
  <c r="BI284" i="38"/>
  <c r="AG284" i="38"/>
  <c r="BO284" i="38"/>
  <c r="BO292" i="38"/>
  <c r="BO296" i="38"/>
  <c r="BL296" i="38"/>
  <c r="BJ296" i="38"/>
  <c r="BI296" i="38"/>
  <c r="BT296" i="38"/>
  <c r="BH296" i="38"/>
  <c r="BP296" i="38"/>
  <c r="BP302" i="38"/>
  <c r="BK302" i="38"/>
  <c r="BJ302" i="38"/>
  <c r="BL302" i="38"/>
  <c r="BI302" i="38"/>
  <c r="BH302" i="38"/>
  <c r="BT302" i="38"/>
  <c r="BG302" i="38"/>
  <c r="BS302" i="38"/>
  <c r="BR302" i="38"/>
  <c r="BS289" i="38"/>
  <c r="BP292" i="38"/>
  <c r="L296" i="38"/>
  <c r="BQ296" i="38"/>
  <c r="L302" i="38"/>
  <c r="BR296" i="38"/>
  <c r="BL293" i="38"/>
  <c r="BT293" i="38"/>
  <c r="BI293" i="38"/>
  <c r="BS293" i="38"/>
  <c r="BH293" i="38"/>
  <c r="BR293" i="38"/>
  <c r="BG293" i="38"/>
  <c r="BS296" i="38"/>
  <c r="BS292" i="38"/>
  <c r="BI292" i="38"/>
  <c r="BT292" i="38"/>
  <c r="BH292" i="38"/>
  <c r="BR292" i="38"/>
  <c r="BG292" i="38"/>
  <c r="BQ292" i="38"/>
  <c r="BR300" i="38"/>
  <c r="BH300" i="38"/>
  <c r="L300" i="38"/>
  <c r="BS300" i="38"/>
  <c r="BG300" i="38"/>
  <c r="BQ300" i="38"/>
  <c r="BL300" i="38"/>
  <c r="BK300" i="38"/>
  <c r="BJ300" i="38"/>
  <c r="BI300" i="38"/>
  <c r="BT300" i="38"/>
  <c r="BO302" i="38"/>
  <c r="BK309" i="38"/>
  <c r="BR309" i="38"/>
  <c r="BH309" i="38"/>
  <c r="L309" i="38"/>
  <c r="BI309" i="38"/>
  <c r="BS309" i="38"/>
  <c r="BO309" i="38"/>
  <c r="BL309" i="38"/>
  <c r="BJ309" i="38"/>
  <c r="BG309" i="38"/>
  <c r="BT309" i="38"/>
  <c r="BH288" i="38"/>
  <c r="BS288" i="38"/>
  <c r="BK301" i="38"/>
  <c r="BT301" i="38"/>
  <c r="BI301" i="38"/>
  <c r="BS301" i="38"/>
  <c r="BH301" i="38"/>
  <c r="BO301" i="38"/>
  <c r="BO290" i="38"/>
  <c r="BG298" i="38"/>
  <c r="BP301" i="38"/>
  <c r="BJ288" i="38"/>
  <c r="BK298" i="38"/>
  <c r="BT298" i="38"/>
  <c r="BJ298" i="38"/>
  <c r="BH298" i="38"/>
  <c r="BO299" i="38"/>
  <c r="BQ299" i="38"/>
  <c r="BP299" i="38"/>
  <c r="BG299" i="38"/>
  <c r="BT299" i="38"/>
  <c r="BQ301" i="38"/>
  <c r="BR301" i="38"/>
  <c r="BT306" i="38"/>
  <c r="BJ306" i="38"/>
  <c r="BQ306" i="38"/>
  <c r="BR306" i="38"/>
  <c r="BK304" i="38"/>
  <c r="L306" i="38"/>
  <c r="BG306" i="38"/>
  <c r="BS306" i="38"/>
  <c r="BR308" i="38"/>
  <c r="BH308" i="38"/>
  <c r="L308" i="38"/>
  <c r="BO308" i="38"/>
  <c r="BI308" i="38"/>
  <c r="BP308" i="38"/>
  <c r="BG297" i="38"/>
  <c r="BQ297" i="38"/>
  <c r="BR316" i="38"/>
  <c r="BH316" i="38"/>
  <c r="L316" i="38"/>
  <c r="BO316" i="38"/>
  <c r="BL316" i="38"/>
  <c r="BK316" i="38"/>
  <c r="BT316" i="38"/>
  <c r="BJ316" i="38"/>
  <c r="BS316" i="38"/>
  <c r="BQ316" i="38"/>
  <c r="BP316" i="38"/>
  <c r="BI316" i="38"/>
  <c r="BG316" i="38"/>
  <c r="BG286" i="38"/>
  <c r="BG294" i="38"/>
  <c r="L297" i="38"/>
  <c r="BH297" i="38"/>
  <c r="BS303" i="38"/>
  <c r="BI303" i="38"/>
  <c r="BO303" i="38"/>
  <c r="BP304" i="38"/>
  <c r="BI306" i="38"/>
  <c r="BO307" i="38"/>
  <c r="BT307" i="38"/>
  <c r="BJ307" i="38"/>
  <c r="BK307" i="38"/>
  <c r="BL307" i="38"/>
  <c r="BS308" i="38"/>
  <c r="BP318" i="38"/>
  <c r="BO318" i="38"/>
  <c r="BL318" i="38"/>
  <c r="BK318" i="38"/>
  <c r="BT318" i="38"/>
  <c r="BJ318" i="38"/>
  <c r="BS318" i="38"/>
  <c r="BI318" i="38"/>
  <c r="BR318" i="38"/>
  <c r="BH318" i="38"/>
  <c r="L318" i="38"/>
  <c r="BG305" i="38"/>
  <c r="BP310" i="38"/>
  <c r="BK310" i="38"/>
  <c r="BI310" i="38"/>
  <c r="BS311" i="38"/>
  <c r="BI311" i="38"/>
  <c r="BP311" i="38"/>
  <c r="BJ311" i="38"/>
  <c r="BL312" i="38"/>
  <c r="BS312" i="38"/>
  <c r="BI312" i="38"/>
  <c r="BH312" i="38"/>
  <c r="BG318" i="38"/>
  <c r="BQ318" i="38"/>
  <c r="BL314" i="38"/>
  <c r="BG315" i="38"/>
  <c r="BQ315" i="38"/>
  <c r="BO317" i="38"/>
  <c r="BO319" i="38"/>
  <c r="BO314" i="38"/>
  <c r="L315" i="38"/>
  <c r="BH315" i="38"/>
  <c r="BR315" i="38"/>
  <c r="BP317" i="38"/>
  <c r="BP319" i="38"/>
  <c r="BG317" i="38"/>
  <c r="BQ317" i="38"/>
  <c r="BG319" i="38"/>
  <c r="BQ319" i="38"/>
  <c r="BL313" i="38"/>
  <c r="BG314" i="38"/>
  <c r="BQ314" i="38"/>
  <c r="BJ315" i="38"/>
  <c r="BT315" i="38"/>
  <c r="BH317" i="38"/>
  <c r="BR317" i="38"/>
  <c r="BH319" i="38"/>
  <c r="BR319" i="38"/>
  <c r="BI319" i="38"/>
  <c r="BS319" i="38"/>
  <c r="BT317" i="38"/>
  <c r="L319" i="38"/>
  <c r="BJ319" i="38"/>
  <c r="BT319" i="38"/>
  <c r="BG313" i="38"/>
  <c r="BJ314" i="38"/>
  <c r="BX319" i="38" l="1"/>
  <c r="BZ319" i="38" s="1"/>
  <c r="CC319" i="38" s="1"/>
  <c r="CB319" i="38"/>
  <c r="CD319" i="38" s="1"/>
  <c r="BX318" i="38"/>
  <c r="BZ318" i="38" s="1"/>
  <c r="CC318" i="38" s="1"/>
  <c r="CB318" i="38"/>
  <c r="CD318" i="38" s="1"/>
  <c r="BX317" i="38"/>
  <c r="BZ317" i="38" s="1"/>
  <c r="CB317" i="38"/>
  <c r="CD317" i="38" s="1"/>
  <c r="BX316" i="38"/>
  <c r="BZ316" i="38" s="1"/>
  <c r="CC316" i="38" s="1"/>
  <c r="CB316" i="38"/>
  <c r="CD316" i="38" s="1"/>
  <c r="CB315" i="38"/>
  <c r="CD315" i="38" s="1"/>
  <c r="BX315" i="38"/>
  <c r="BX314" i="38"/>
  <c r="BZ314" i="38" s="1"/>
  <c r="CB314" i="38"/>
  <c r="CD314" i="38" s="1"/>
  <c r="BX313" i="38"/>
  <c r="BZ313" i="38" s="1"/>
  <c r="CB313" i="38"/>
  <c r="CD313" i="38" s="1"/>
  <c r="BZ312" i="38"/>
  <c r="CC312" i="38" s="1"/>
  <c r="BX312" i="38"/>
  <c r="CB312" i="38"/>
  <c r="CD312" i="38" s="1"/>
  <c r="CB311" i="38"/>
  <c r="CD311" i="38" s="1"/>
  <c r="BX311" i="38"/>
  <c r="BX310" i="38"/>
  <c r="BZ310" i="38" s="1"/>
  <c r="CB310" i="38"/>
  <c r="CD310" i="38" s="1"/>
  <c r="BX309" i="38"/>
  <c r="BZ309" i="38" s="1"/>
  <c r="CC309" i="38" s="1"/>
  <c r="CB309" i="38"/>
  <c r="CD309" i="38" s="1"/>
  <c r="BX308" i="38"/>
  <c r="BZ308" i="38" s="1"/>
  <c r="CC308" i="38" s="1"/>
  <c r="CB308" i="38"/>
  <c r="CD308" i="38" s="1"/>
  <c r="BX307" i="38"/>
  <c r="BZ307" i="38" s="1"/>
  <c r="CC307" i="38" s="1"/>
  <c r="CB307" i="38"/>
  <c r="CD307" i="38" s="1"/>
  <c r="BX306" i="38"/>
  <c r="BZ306" i="38" s="1"/>
  <c r="CB306" i="38"/>
  <c r="CD306" i="38" s="1"/>
  <c r="BX305" i="38"/>
  <c r="BZ305" i="38" s="1"/>
  <c r="CB305" i="38"/>
  <c r="CD305" i="38" s="1"/>
  <c r="BX304" i="38"/>
  <c r="BZ304" i="38" s="1"/>
  <c r="CC304" i="38" s="1"/>
  <c r="CB304" i="38"/>
  <c r="CD304" i="38" s="1"/>
  <c r="BX303" i="38"/>
  <c r="BZ303" i="38" s="1"/>
  <c r="CB303" i="38"/>
  <c r="CD303" i="38" s="1"/>
  <c r="BX302" i="38"/>
  <c r="BZ302" i="38" s="1"/>
  <c r="CB302" i="38"/>
  <c r="CD302" i="38" s="1"/>
  <c r="BX301" i="38"/>
  <c r="BZ301" i="38" s="1"/>
  <c r="CD301" i="38"/>
  <c r="CB301" i="38"/>
  <c r="BX300" i="38"/>
  <c r="BZ300" i="38" s="1"/>
  <c r="CB300" i="38"/>
  <c r="CD300" i="38" s="1"/>
  <c r="BX299" i="38"/>
  <c r="BZ299" i="38" s="1"/>
  <c r="CB299" i="38"/>
  <c r="CD299" i="38" s="1"/>
  <c r="BX298" i="38"/>
  <c r="BZ298" i="38" s="1"/>
  <c r="CB298" i="38"/>
  <c r="CD298" i="38" s="1"/>
  <c r="BZ297" i="38"/>
  <c r="BX297" i="38"/>
  <c r="CB297" i="38"/>
  <c r="CD297" i="38" s="1"/>
  <c r="BX296" i="38"/>
  <c r="BZ296" i="38" s="1"/>
  <c r="CB296" i="38"/>
  <c r="CD296" i="38" s="1"/>
  <c r="BX295" i="38"/>
  <c r="BZ295" i="38" s="1"/>
  <c r="CB295" i="38"/>
  <c r="CD295" i="38" s="1"/>
  <c r="BX294" i="38"/>
  <c r="BZ294" i="38" s="1"/>
  <c r="CB294" i="38"/>
  <c r="CD294" i="38" s="1"/>
  <c r="BX293" i="38"/>
  <c r="BZ293" i="38" s="1"/>
  <c r="CC293" i="38" s="1"/>
  <c r="CB293" i="38"/>
  <c r="CD293" i="38" s="1"/>
  <c r="BX292" i="38"/>
  <c r="BZ292" i="38" s="1"/>
  <c r="CB292" i="38"/>
  <c r="CD292" i="38" s="1"/>
  <c r="BX291" i="38"/>
  <c r="BZ291" i="38" s="1"/>
  <c r="CB291" i="38"/>
  <c r="CD291" i="38" s="1"/>
  <c r="BX290" i="38"/>
  <c r="BZ290" i="38" s="1"/>
  <c r="CC290" i="38" s="1"/>
  <c r="CD290" i="38"/>
  <c r="CB290" i="38"/>
  <c r="BX289" i="38"/>
  <c r="BZ289" i="38" s="1"/>
  <c r="CB289" i="38"/>
  <c r="CD289" i="38" s="1"/>
  <c r="BX288" i="38"/>
  <c r="BZ288" i="38" s="1"/>
  <c r="CB288" i="38"/>
  <c r="CD288" i="38" s="1"/>
  <c r="BX287" i="38"/>
  <c r="BZ287" i="38" s="1"/>
  <c r="CB287" i="38"/>
  <c r="CD287" i="38" s="1"/>
  <c r="BX286" i="38"/>
  <c r="BZ286" i="38" s="1"/>
  <c r="CC286" i="38" s="1"/>
  <c r="CB286" i="38"/>
  <c r="CD286" i="38" s="1"/>
  <c r="BX285" i="38"/>
  <c r="BZ285" i="38" s="1"/>
  <c r="CB285" i="38"/>
  <c r="CD285" i="38" s="1"/>
  <c r="BX284" i="38"/>
  <c r="BZ284" i="38" s="1"/>
  <c r="CD284" i="38"/>
  <c r="CB284" i="38"/>
  <c r="BX283" i="38"/>
  <c r="CB283" i="38"/>
  <c r="CD283" i="38" s="1"/>
  <c r="BX282" i="38"/>
  <c r="BZ282" i="38" s="1"/>
  <c r="CB282" i="38"/>
  <c r="CD282" i="38" s="1"/>
  <c r="BZ281" i="38"/>
  <c r="CC281" i="38" s="1"/>
  <c r="BX281" i="38"/>
  <c r="CB281" i="38"/>
  <c r="CD281" i="38" s="1"/>
  <c r="BX280" i="38"/>
  <c r="BZ280" i="38" s="1"/>
  <c r="CB280" i="38"/>
  <c r="CD280" i="38" s="1"/>
  <c r="BX279" i="38"/>
  <c r="BZ279" i="38" s="1"/>
  <c r="CB279" i="38"/>
  <c r="CD279" i="38" s="1"/>
  <c r="BX278" i="38"/>
  <c r="BZ278" i="38" s="1"/>
  <c r="CD278" i="38"/>
  <c r="CB278" i="38"/>
  <c r="BX277" i="38"/>
  <c r="BZ277" i="38" s="1"/>
  <c r="CC277" i="38" s="1"/>
  <c r="CB277" i="38"/>
  <c r="CD277" i="38" s="1"/>
  <c r="BX276" i="38"/>
  <c r="BZ276" i="38" s="1"/>
  <c r="CB276" i="38"/>
  <c r="CD276" i="38" s="1"/>
  <c r="BX275" i="38"/>
  <c r="BZ275" i="38" s="1"/>
  <c r="CB275" i="38"/>
  <c r="CD275" i="38" s="1"/>
  <c r="BX274" i="38"/>
  <c r="BZ274" i="38" s="1"/>
  <c r="CB274" i="38"/>
  <c r="CD274" i="38" s="1"/>
  <c r="BX273" i="38"/>
  <c r="BZ273" i="38" s="1"/>
  <c r="CB273" i="38"/>
  <c r="CD273" i="38" s="1"/>
  <c r="BX272" i="38"/>
  <c r="BZ272" i="38" s="1"/>
  <c r="CB272" i="38"/>
  <c r="CD272" i="38" s="1"/>
  <c r="CB271" i="38"/>
  <c r="CD271" i="38" s="1"/>
  <c r="BX271" i="38"/>
  <c r="BZ271" i="38" s="1"/>
  <c r="BX270" i="38"/>
  <c r="BZ270" i="38" s="1"/>
  <c r="CC270" i="38" s="1"/>
  <c r="CB270" i="38"/>
  <c r="CD270" i="38" s="1"/>
  <c r="BX269" i="38"/>
  <c r="BZ269" i="38" s="1"/>
  <c r="CB269" i="38"/>
  <c r="CD269" i="38" s="1"/>
  <c r="BX268" i="38"/>
  <c r="BZ268" i="38" s="1"/>
  <c r="CB268" i="38"/>
  <c r="CD268" i="38" s="1"/>
  <c r="BX267" i="38"/>
  <c r="BZ267" i="38" s="1"/>
  <c r="CB267" i="38"/>
  <c r="CD267" i="38" s="1"/>
  <c r="BX266" i="38"/>
  <c r="BZ266" i="38" s="1"/>
  <c r="CB266" i="38"/>
  <c r="CD266" i="38" s="1"/>
  <c r="BX265" i="38"/>
  <c r="CB265" i="38"/>
  <c r="CD265" i="38" s="1"/>
  <c r="BX264" i="38"/>
  <c r="BZ264" i="38" s="1"/>
  <c r="CB264" i="38"/>
  <c r="CD264" i="38" s="1"/>
  <c r="BX263" i="38"/>
  <c r="BZ263" i="38" s="1"/>
  <c r="CC263" i="38" s="1"/>
  <c r="CB263" i="38"/>
  <c r="CD263" i="38" s="1"/>
  <c r="BX262" i="38"/>
  <c r="BZ262" i="38" s="1"/>
  <c r="CB262" i="38"/>
  <c r="CD262" i="38" s="1"/>
  <c r="BX261" i="38"/>
  <c r="BZ261" i="38" s="1"/>
  <c r="CC261" i="38" s="1"/>
  <c r="CB261" i="38"/>
  <c r="CD261" i="38" s="1"/>
  <c r="BX260" i="38"/>
  <c r="BZ260" i="38" s="1"/>
  <c r="CD260" i="38"/>
  <c r="CB260" i="38"/>
  <c r="BX259" i="38"/>
  <c r="BZ259" i="38" s="1"/>
  <c r="CC259" i="38" s="1"/>
  <c r="CB259" i="38"/>
  <c r="CD259" i="38" s="1"/>
  <c r="BX258" i="38"/>
  <c r="BZ258" i="38" s="1"/>
  <c r="CB258" i="38"/>
  <c r="CD258" i="38" s="1"/>
  <c r="BX257" i="38"/>
  <c r="BZ257" i="38" s="1"/>
  <c r="CB257" i="38"/>
  <c r="CD257" i="38" s="1"/>
  <c r="BX256" i="38"/>
  <c r="BZ256" i="38" s="1"/>
  <c r="CB256" i="38"/>
  <c r="CD256" i="38" s="1"/>
  <c r="BX255" i="38"/>
  <c r="BZ255" i="38" s="1"/>
  <c r="CC255" i="38" s="1"/>
  <c r="CB255" i="38"/>
  <c r="CD255" i="38" s="1"/>
  <c r="BX254" i="38"/>
  <c r="BZ254" i="38" s="1"/>
  <c r="CB254" i="38"/>
  <c r="CD254" i="38" s="1"/>
  <c r="BX253" i="38"/>
  <c r="BZ253" i="38" s="1"/>
  <c r="CB253" i="38"/>
  <c r="CD253" i="38" s="1"/>
  <c r="BX252" i="38"/>
  <c r="BZ252" i="38" s="1"/>
  <c r="CB252" i="38"/>
  <c r="CD252" i="38" s="1"/>
  <c r="BX251" i="38"/>
  <c r="BZ251" i="38" s="1"/>
  <c r="CB251" i="38"/>
  <c r="CD251" i="38" s="1"/>
  <c r="BX250" i="38"/>
  <c r="BZ250" i="38" s="1"/>
  <c r="CB250" i="38"/>
  <c r="CD250" i="38" s="1"/>
  <c r="BX249" i="38"/>
  <c r="CB249" i="38"/>
  <c r="CD249" i="38" s="1"/>
  <c r="BX248" i="38"/>
  <c r="BZ248" i="38" s="1"/>
  <c r="CB248" i="38"/>
  <c r="CD248" i="38" s="1"/>
  <c r="BX247" i="38"/>
  <c r="BZ247" i="38" s="1"/>
  <c r="CB247" i="38"/>
  <c r="CD247" i="38" s="1"/>
  <c r="BX246" i="38"/>
  <c r="BZ246" i="38" s="1"/>
  <c r="CB246" i="38"/>
  <c r="CD246" i="38" s="1"/>
  <c r="BX245" i="38"/>
  <c r="BZ245" i="38" s="1"/>
  <c r="CB245" i="38"/>
  <c r="CD245" i="38" s="1"/>
  <c r="BX244" i="38"/>
  <c r="BZ244" i="38" s="1"/>
  <c r="CB244" i="38"/>
  <c r="CD244" i="38" s="1"/>
  <c r="BX243" i="38"/>
  <c r="BZ243" i="38" s="1"/>
  <c r="CB243" i="38"/>
  <c r="CD243" i="38" s="1"/>
  <c r="BX242" i="38"/>
  <c r="BZ242" i="38" s="1"/>
  <c r="CB242" i="38"/>
  <c r="CD242" i="38" s="1"/>
  <c r="BX241" i="38"/>
  <c r="BZ241" i="38" s="1"/>
  <c r="CB241" i="38"/>
  <c r="CD241" i="38" s="1"/>
  <c r="BX240" i="38"/>
  <c r="BZ240" i="38" s="1"/>
  <c r="CB240" i="38"/>
  <c r="CD240" i="38" s="1"/>
  <c r="BX239" i="38"/>
  <c r="BZ239" i="38" s="1"/>
  <c r="CB239" i="38"/>
  <c r="CD239" i="38" s="1"/>
  <c r="BX238" i="38"/>
  <c r="BZ238" i="38" s="1"/>
  <c r="CB238" i="38"/>
  <c r="CD238" i="38" s="1"/>
  <c r="BX237" i="38"/>
  <c r="CB237" i="38"/>
  <c r="CD237" i="38" s="1"/>
  <c r="BX236" i="38"/>
  <c r="BZ236" i="38" s="1"/>
  <c r="CC236" i="38" s="1"/>
  <c r="CB236" i="38"/>
  <c r="CD236" i="38" s="1"/>
  <c r="BX235" i="38"/>
  <c r="BZ235" i="38" s="1"/>
  <c r="CC235" i="38" s="1"/>
  <c r="CB235" i="38"/>
  <c r="CD235" i="38" s="1"/>
  <c r="BX234" i="38"/>
  <c r="BZ234" i="38" s="1"/>
  <c r="CB234" i="38"/>
  <c r="CD234" i="38" s="1"/>
  <c r="BX233" i="38"/>
  <c r="BZ233" i="38" s="1"/>
  <c r="CC233" i="38" s="1"/>
  <c r="CB233" i="38"/>
  <c r="CD233" i="38" s="1"/>
  <c r="BX232" i="38"/>
  <c r="BZ232" i="38" s="1"/>
  <c r="CC232" i="38" s="1"/>
  <c r="CB232" i="38"/>
  <c r="CD232" i="38" s="1"/>
  <c r="CB231" i="38"/>
  <c r="CD231" i="38" s="1"/>
  <c r="BX231" i="38"/>
  <c r="BZ231" i="38" s="1"/>
  <c r="BX230" i="38"/>
  <c r="BZ230" i="38" s="1"/>
  <c r="CB230" i="38"/>
  <c r="CD230" i="38" s="1"/>
  <c r="BX229" i="38"/>
  <c r="CB229" i="38"/>
  <c r="CD229" i="38" s="1"/>
  <c r="BX228" i="38"/>
  <c r="BZ228" i="38" s="1"/>
  <c r="CB228" i="38"/>
  <c r="CD228" i="38" s="1"/>
  <c r="BX227" i="38"/>
  <c r="CB227" i="38"/>
  <c r="CD227" i="38" s="1"/>
  <c r="BX226" i="38"/>
  <c r="BZ226" i="38" s="1"/>
  <c r="CB226" i="38"/>
  <c r="CD226" i="38" s="1"/>
  <c r="BX225" i="38"/>
  <c r="CB225" i="38"/>
  <c r="CD225" i="38" s="1"/>
  <c r="BX224" i="38"/>
  <c r="BZ224" i="38" s="1"/>
  <c r="CC224" i="38" s="1"/>
  <c r="CB224" i="38"/>
  <c r="CD224" i="38" s="1"/>
  <c r="BX223" i="38"/>
  <c r="CB223" i="38"/>
  <c r="CD223" i="38" s="1"/>
  <c r="BX222" i="38"/>
  <c r="CB222" i="38"/>
  <c r="CD222" i="38" s="1"/>
  <c r="BX221" i="38"/>
  <c r="CB221" i="38"/>
  <c r="CD221" i="38" s="1"/>
  <c r="BX220" i="38"/>
  <c r="BZ220" i="38" s="1"/>
  <c r="CC220" i="38" s="1"/>
  <c r="CB220" i="38"/>
  <c r="CD220" i="38" s="1"/>
  <c r="BX219" i="38"/>
  <c r="BZ219" i="38" s="1"/>
  <c r="CC219" i="38" s="1"/>
  <c r="CB219" i="38"/>
  <c r="CD219" i="38" s="1"/>
  <c r="BX218" i="38"/>
  <c r="BZ218" i="38" s="1"/>
  <c r="CB218" i="38"/>
  <c r="CD218" i="38" s="1"/>
  <c r="BX217" i="38"/>
  <c r="CB217" i="38"/>
  <c r="CD217" i="38" s="1"/>
  <c r="BX216" i="38"/>
  <c r="BZ216" i="38" s="1"/>
  <c r="CB216" i="38"/>
  <c r="CD216" i="38" s="1"/>
  <c r="BX215" i="38"/>
  <c r="BZ215" i="38" s="1"/>
  <c r="CB215" i="38"/>
  <c r="CD215" i="38" s="1"/>
  <c r="BX214" i="38"/>
  <c r="CB214" i="38"/>
  <c r="CD214" i="38" s="1"/>
  <c r="BX213" i="38"/>
  <c r="BZ213" i="38" s="1"/>
  <c r="CB213" i="38"/>
  <c r="CD213" i="38" s="1"/>
  <c r="BX212" i="38"/>
  <c r="CD212" i="38"/>
  <c r="CB212" i="38"/>
  <c r="BX211" i="38"/>
  <c r="CB211" i="38"/>
  <c r="CD211" i="38" s="1"/>
  <c r="BX210" i="38"/>
  <c r="BZ210" i="38" s="1"/>
  <c r="CB210" i="38"/>
  <c r="CD210" i="38" s="1"/>
  <c r="BX209" i="38"/>
  <c r="BZ209" i="38" s="1"/>
  <c r="CB209" i="38"/>
  <c r="CD209" i="38" s="1"/>
  <c r="BX208" i="38"/>
  <c r="BZ208" i="38" s="1"/>
  <c r="CC208" i="38" s="1"/>
  <c r="CB208" i="38"/>
  <c r="CD208" i="38" s="1"/>
  <c r="BX207" i="38"/>
  <c r="CB207" i="38"/>
  <c r="CD207" i="38" s="1"/>
  <c r="BX206" i="38"/>
  <c r="CB206" i="38"/>
  <c r="CD206" i="38" s="1"/>
  <c r="BX205" i="38"/>
  <c r="CB205" i="38"/>
  <c r="CD205" i="38" s="1"/>
  <c r="BX204" i="38"/>
  <c r="CB204" i="38"/>
  <c r="CD204" i="38" s="1"/>
  <c r="BX203" i="38"/>
  <c r="CB203" i="38"/>
  <c r="CD203" i="38" s="1"/>
  <c r="BX202" i="38"/>
  <c r="CD202" i="38"/>
  <c r="CB202" i="38"/>
  <c r="BX201" i="38"/>
  <c r="BZ201" i="38" s="1"/>
  <c r="CC201" i="38" s="1"/>
  <c r="CB201" i="38"/>
  <c r="CD201" i="38" s="1"/>
  <c r="BX200" i="38"/>
  <c r="BZ200" i="38" s="1"/>
  <c r="CB200" i="38"/>
  <c r="CD200" i="38" s="1"/>
  <c r="BX199" i="38"/>
  <c r="BZ199" i="38" s="1"/>
  <c r="CB199" i="38"/>
  <c r="CD199" i="38" s="1"/>
  <c r="BX198" i="38"/>
  <c r="CB198" i="38"/>
  <c r="CD198" i="38" s="1"/>
  <c r="BX197" i="38"/>
  <c r="CB197" i="38"/>
  <c r="CD197" i="38" s="1"/>
  <c r="BX196" i="38"/>
  <c r="CB196" i="38"/>
  <c r="CD196" i="38" s="1"/>
  <c r="BX195" i="38"/>
  <c r="CB195" i="38"/>
  <c r="CD195" i="38" s="1"/>
  <c r="BX194" i="38"/>
  <c r="CB194" i="38"/>
  <c r="CD194" i="38" s="1"/>
  <c r="BX193" i="38"/>
  <c r="BZ193" i="38" s="1"/>
  <c r="CC193" i="38" s="1"/>
  <c r="CB193" i="38"/>
  <c r="CD193" i="38" s="1"/>
  <c r="BX192" i="38"/>
  <c r="BZ192" i="38" s="1"/>
  <c r="CB192" i="38"/>
  <c r="CD192" i="38" s="1"/>
  <c r="BX191" i="38"/>
  <c r="BZ191" i="38" s="1"/>
  <c r="CB191" i="38"/>
  <c r="CD191" i="38" s="1"/>
  <c r="BX190" i="38"/>
  <c r="BZ190" i="38" s="1"/>
  <c r="CB190" i="38"/>
  <c r="CD190" i="38" s="1"/>
  <c r="BX189" i="38"/>
  <c r="BZ189" i="38" s="1"/>
  <c r="CC189" i="38" s="1"/>
  <c r="CB189" i="38"/>
  <c r="CD189" i="38" s="1"/>
  <c r="BX188" i="38"/>
  <c r="BZ188" i="38" s="1"/>
  <c r="CB188" i="38"/>
  <c r="CD188" i="38" s="1"/>
  <c r="CB187" i="38"/>
  <c r="CD187" i="38" s="1"/>
  <c r="BX187" i="38"/>
  <c r="BX186" i="38"/>
  <c r="BZ186" i="38" s="1"/>
  <c r="CB186" i="38"/>
  <c r="CD186" i="38" s="1"/>
  <c r="BX185" i="38"/>
  <c r="CB185" i="38"/>
  <c r="CD185" i="38" s="1"/>
  <c r="BX184" i="38"/>
  <c r="BZ184" i="38" s="1"/>
  <c r="CB184" i="38"/>
  <c r="CD184" i="38" s="1"/>
  <c r="CB183" i="38"/>
  <c r="CD183" i="38" s="1"/>
  <c r="BX183" i="38"/>
  <c r="BX182" i="38"/>
  <c r="BZ182" i="38" s="1"/>
  <c r="CB182" i="38"/>
  <c r="CD182" i="38" s="1"/>
  <c r="BX181" i="38"/>
  <c r="BZ181" i="38" s="1"/>
  <c r="CC181" i="38" s="1"/>
  <c r="CB181" i="38"/>
  <c r="CD181" i="38" s="1"/>
  <c r="BX180" i="38"/>
  <c r="BZ180" i="38" s="1"/>
  <c r="CB180" i="38"/>
  <c r="CD180" i="38" s="1"/>
  <c r="BX179" i="38"/>
  <c r="BZ179" i="38" s="1"/>
  <c r="CB179" i="38"/>
  <c r="CD179" i="38" s="1"/>
  <c r="BX178" i="38"/>
  <c r="BZ178" i="38" s="1"/>
  <c r="CB178" i="38"/>
  <c r="CD178" i="38" s="1"/>
  <c r="BX177" i="38"/>
  <c r="BZ177" i="38" s="1"/>
  <c r="CB177" i="38"/>
  <c r="CD177" i="38" s="1"/>
  <c r="BX176" i="38"/>
  <c r="BZ176" i="38" s="1"/>
  <c r="CB176" i="38"/>
  <c r="CD176" i="38" s="1"/>
  <c r="BX175" i="38"/>
  <c r="BZ175" i="38" s="1"/>
  <c r="CB175" i="38"/>
  <c r="CD175" i="38" s="1"/>
  <c r="BX174" i="38"/>
  <c r="CB174" i="38"/>
  <c r="CD174" i="38" s="1"/>
  <c r="BX173" i="38"/>
  <c r="BZ173" i="38" s="1"/>
  <c r="CB173" i="38"/>
  <c r="CD173" i="38" s="1"/>
  <c r="BX172" i="38"/>
  <c r="CB172" i="38"/>
  <c r="CD172" i="38" s="1"/>
  <c r="BX171" i="38"/>
  <c r="BZ171" i="38" s="1"/>
  <c r="CB171" i="38"/>
  <c r="CD171" i="38" s="1"/>
  <c r="BX170" i="38"/>
  <c r="CB170" i="38"/>
  <c r="CD170" i="38" s="1"/>
  <c r="BX169" i="38"/>
  <c r="BZ169" i="38" s="1"/>
  <c r="CC169" i="38" s="1"/>
  <c r="CB169" i="38"/>
  <c r="CD169" i="38" s="1"/>
  <c r="BX168" i="38"/>
  <c r="CB168" i="38"/>
  <c r="CD168" i="38" s="1"/>
  <c r="BX167" i="38"/>
  <c r="BZ167" i="38" s="1"/>
  <c r="CB167" i="38"/>
  <c r="CD167" i="38" s="1"/>
  <c r="BX166" i="38"/>
  <c r="CB166" i="38"/>
  <c r="CD166" i="38" s="1"/>
  <c r="BX165" i="38"/>
  <c r="BZ165" i="38" s="1"/>
  <c r="CB165" i="38"/>
  <c r="CD165" i="38" s="1"/>
  <c r="BX164" i="38"/>
  <c r="CB164" i="38"/>
  <c r="CD164" i="38" s="1"/>
  <c r="BZ163" i="38"/>
  <c r="CC163" i="38" s="1"/>
  <c r="BX163" i="38"/>
  <c r="CB163" i="38"/>
  <c r="CD163" i="38" s="1"/>
  <c r="BX162" i="38"/>
  <c r="CB162" i="38"/>
  <c r="CD162" i="38" s="1"/>
  <c r="BX161" i="38"/>
  <c r="CB161" i="38"/>
  <c r="CD161" i="38" s="1"/>
  <c r="BX160" i="38"/>
  <c r="CB160" i="38"/>
  <c r="CD160" i="38" s="1"/>
  <c r="BX159" i="38"/>
  <c r="BZ159" i="38" s="1"/>
  <c r="CB159" i="38"/>
  <c r="CD159" i="38" s="1"/>
  <c r="BX158" i="38"/>
  <c r="CB158" i="38"/>
  <c r="CD158" i="38" s="1"/>
  <c r="BX157" i="38"/>
  <c r="BZ157" i="38" s="1"/>
  <c r="CB157" i="38"/>
  <c r="CD157" i="38" s="1"/>
  <c r="BX156" i="38"/>
  <c r="CB156" i="38"/>
  <c r="CD156" i="38" s="1"/>
  <c r="BX155" i="38"/>
  <c r="BZ155" i="38" s="1"/>
  <c r="CB155" i="38"/>
  <c r="CD155" i="38" s="1"/>
  <c r="BX154" i="38"/>
  <c r="CB154" i="38"/>
  <c r="CD154" i="38" s="1"/>
  <c r="BX153" i="38"/>
  <c r="BZ153" i="38" s="1"/>
  <c r="CB153" i="38"/>
  <c r="CD153" i="38" s="1"/>
  <c r="BX152" i="38"/>
  <c r="CB152" i="38"/>
  <c r="CD152" i="38" s="1"/>
  <c r="BX151" i="38"/>
  <c r="CB151" i="38"/>
  <c r="CD151" i="38" s="1"/>
  <c r="BX150" i="38"/>
  <c r="BZ150" i="38" s="1"/>
  <c r="CB150" i="38"/>
  <c r="CD150" i="38" s="1"/>
  <c r="BX149" i="38"/>
  <c r="CB149" i="38"/>
  <c r="CD149" i="38" s="1"/>
  <c r="BX148" i="38"/>
  <c r="CB148" i="38"/>
  <c r="CD148" i="38" s="1"/>
  <c r="CB147" i="38"/>
  <c r="CD147" i="38" s="1"/>
  <c r="BX147" i="38"/>
  <c r="BX146" i="38"/>
  <c r="CB146" i="38"/>
  <c r="CD146" i="38" s="1"/>
  <c r="BX145" i="38"/>
  <c r="CB145" i="38"/>
  <c r="CD145" i="38" s="1"/>
  <c r="BX144" i="38"/>
  <c r="CB144" i="38"/>
  <c r="CD144" i="38" s="1"/>
  <c r="CB143" i="38"/>
  <c r="CD143" i="38" s="1"/>
  <c r="BX143" i="38"/>
  <c r="BX142" i="38"/>
  <c r="CB142" i="38"/>
  <c r="CD142" i="38" s="1"/>
  <c r="BX141" i="38"/>
  <c r="BZ141" i="38" s="1"/>
  <c r="CB141" i="38"/>
  <c r="CD141" i="38" s="1"/>
  <c r="BX140" i="38"/>
  <c r="CB140" i="38"/>
  <c r="CD140" i="38" s="1"/>
  <c r="BX139" i="38"/>
  <c r="BZ139" i="38" s="1"/>
  <c r="CB139" i="38"/>
  <c r="CD139" i="38" s="1"/>
  <c r="BX138" i="38"/>
  <c r="CB138" i="38"/>
  <c r="CD138" i="38" s="1"/>
  <c r="BX137" i="38"/>
  <c r="CB137" i="38"/>
  <c r="CD137" i="38" s="1"/>
  <c r="BX136" i="38"/>
  <c r="CB136" i="38"/>
  <c r="CD136" i="38" s="1"/>
  <c r="BX135" i="38"/>
  <c r="BZ135" i="38" s="1"/>
  <c r="CB135" i="38"/>
  <c r="CD135" i="38" s="1"/>
  <c r="BX134" i="38"/>
  <c r="CB134" i="38"/>
  <c r="CD134" i="38" s="1"/>
  <c r="BX133" i="38"/>
  <c r="BZ133" i="38" s="1"/>
  <c r="CB133" i="38"/>
  <c r="CD133" i="38" s="1"/>
  <c r="BX132" i="38"/>
  <c r="CB132" i="38"/>
  <c r="CD132" i="38" s="1"/>
  <c r="BX131" i="38"/>
  <c r="BZ131" i="38" s="1"/>
  <c r="CB131" i="38"/>
  <c r="CD131" i="38" s="1"/>
  <c r="BX130" i="38"/>
  <c r="CB130" i="38"/>
  <c r="CD130" i="38" s="1"/>
  <c r="BX129" i="38"/>
  <c r="BZ129" i="38" s="1"/>
  <c r="CB129" i="38"/>
  <c r="CD129" i="38" s="1"/>
  <c r="BX128" i="38"/>
  <c r="CB128" i="38"/>
  <c r="CD128" i="38" s="1"/>
  <c r="BX127" i="38"/>
  <c r="BZ127" i="38" s="1"/>
  <c r="CB127" i="38"/>
  <c r="CD127" i="38" s="1"/>
  <c r="BX126" i="38"/>
  <c r="BZ126" i="38" s="1"/>
  <c r="CB126" i="38"/>
  <c r="CD126" i="38" s="1"/>
  <c r="BX125" i="38"/>
  <c r="CB125" i="38"/>
  <c r="CD125" i="38" s="1"/>
  <c r="BX124" i="38"/>
  <c r="CB124" i="38"/>
  <c r="CD124" i="38" s="1"/>
  <c r="BX123" i="38"/>
  <c r="BZ123" i="38" s="1"/>
  <c r="CB123" i="38"/>
  <c r="CD123" i="38" s="1"/>
  <c r="BX122" i="38"/>
  <c r="CB122" i="38"/>
  <c r="CD122" i="38" s="1"/>
  <c r="BX121" i="38"/>
  <c r="CB121" i="38"/>
  <c r="CD121" i="38" s="1"/>
  <c r="BX120" i="38"/>
  <c r="CB120" i="38"/>
  <c r="CD120" i="38" s="1"/>
  <c r="BX119" i="38"/>
  <c r="BZ119" i="38" s="1"/>
  <c r="CB119" i="38"/>
  <c r="CD119" i="38" s="1"/>
  <c r="BX118" i="38"/>
  <c r="CB118" i="38"/>
  <c r="CD118" i="38" s="1"/>
  <c r="BX117" i="38"/>
  <c r="BZ117" i="38" s="1"/>
  <c r="CB117" i="38"/>
  <c r="CD117" i="38" s="1"/>
  <c r="BX116" i="38"/>
  <c r="CB116" i="38"/>
  <c r="CD116" i="38" s="1"/>
  <c r="BX115" i="38"/>
  <c r="BZ115" i="38" s="1"/>
  <c r="CC115" i="38" s="1"/>
  <c r="CB115" i="38"/>
  <c r="CD115" i="38" s="1"/>
  <c r="BW8" i="38"/>
  <c r="BX114" i="38"/>
  <c r="BZ114" i="38" s="1"/>
  <c r="CA8" i="38"/>
  <c r="CB114" i="38"/>
  <c r="CD114" i="38" s="1"/>
  <c r="BX113" i="38"/>
  <c r="CB113" i="38"/>
  <c r="CD113" i="38" s="1"/>
  <c r="BX112" i="38"/>
  <c r="CB112" i="38"/>
  <c r="CD112" i="38" s="1"/>
  <c r="BX111" i="38"/>
  <c r="CB111" i="38"/>
  <c r="CD111" i="38" s="1"/>
  <c r="BX110" i="38"/>
  <c r="CB110" i="38"/>
  <c r="CD110" i="38" s="1"/>
  <c r="BX109" i="38"/>
  <c r="CB109" i="38"/>
  <c r="CD109" i="38" s="1"/>
  <c r="BX108" i="38"/>
  <c r="CB108" i="38"/>
  <c r="CD108" i="38" s="1"/>
  <c r="BX107" i="38"/>
  <c r="CB107" i="38"/>
  <c r="CD107" i="38" s="1"/>
  <c r="BX106" i="38"/>
  <c r="CB106" i="38"/>
  <c r="CD106" i="38" s="1"/>
  <c r="BX105" i="38"/>
  <c r="CB105" i="38"/>
  <c r="CD105" i="38" s="1"/>
  <c r="BX104" i="38"/>
  <c r="CB104" i="38"/>
  <c r="CD104" i="38" s="1"/>
  <c r="BX103" i="38"/>
  <c r="CB103" i="38"/>
  <c r="CD103" i="38" s="1"/>
  <c r="BX102" i="38"/>
  <c r="CB102" i="38"/>
  <c r="CD102" i="38" s="1"/>
  <c r="BX101" i="38"/>
  <c r="BZ101" i="38" s="1"/>
  <c r="CB101" i="38"/>
  <c r="CD101" i="38" s="1"/>
  <c r="BX100" i="38"/>
  <c r="CB100" i="38"/>
  <c r="CD100" i="38" s="1"/>
  <c r="BX99" i="38"/>
  <c r="CB99" i="38"/>
  <c r="CD99" i="38" s="1"/>
  <c r="BX98" i="38"/>
  <c r="CB98" i="38"/>
  <c r="CD98" i="38" s="1"/>
  <c r="BX97" i="38"/>
  <c r="BZ97" i="38" s="1"/>
  <c r="CB97" i="38"/>
  <c r="CD97" i="38" s="1"/>
  <c r="BX96" i="38"/>
  <c r="BZ96" i="38" s="1"/>
  <c r="CB96" i="38"/>
  <c r="CD96" i="38" s="1"/>
  <c r="BX95" i="38"/>
  <c r="CB95" i="38"/>
  <c r="CD95" i="38" s="1"/>
  <c r="BX94" i="38"/>
  <c r="CB94" i="38"/>
  <c r="CD94" i="38" s="1"/>
  <c r="BX93" i="38"/>
  <c r="CB93" i="38"/>
  <c r="CD93" i="38" s="1"/>
  <c r="BX92" i="38"/>
  <c r="CB92" i="38"/>
  <c r="CD92" i="38" s="1"/>
  <c r="BX91" i="38"/>
  <c r="CB91" i="38"/>
  <c r="CD91" i="38" s="1"/>
  <c r="BX90" i="38"/>
  <c r="CB90" i="38"/>
  <c r="CD90" i="38" s="1"/>
  <c r="BX89" i="38"/>
  <c r="CB89" i="38"/>
  <c r="CD89" i="38" s="1"/>
  <c r="BX88" i="38"/>
  <c r="CB88" i="38"/>
  <c r="CD88" i="38" s="1"/>
  <c r="BX87" i="38"/>
  <c r="CB87" i="38"/>
  <c r="CD87" i="38" s="1"/>
  <c r="BX86" i="38"/>
  <c r="CB86" i="38"/>
  <c r="CD86" i="38" s="1"/>
  <c r="BX85" i="38"/>
  <c r="CB85" i="38"/>
  <c r="CD85" i="38" s="1"/>
  <c r="BX84" i="38"/>
  <c r="CB84" i="38"/>
  <c r="CD84" i="38" s="1"/>
  <c r="BX83" i="38"/>
  <c r="CB83" i="38"/>
  <c r="CD83" i="38" s="1"/>
  <c r="BX82" i="38"/>
  <c r="CB82" i="38"/>
  <c r="CD82" i="38" s="1"/>
  <c r="BX81" i="38"/>
  <c r="CB81" i="38"/>
  <c r="CD81" i="38" s="1"/>
  <c r="BX80" i="38"/>
  <c r="CB80" i="38"/>
  <c r="CD80" i="38" s="1"/>
  <c r="BX79" i="38"/>
  <c r="CB79" i="38"/>
  <c r="CD79" i="38" s="1"/>
  <c r="BX78" i="38"/>
  <c r="CB78" i="38"/>
  <c r="CD78" i="38" s="1"/>
  <c r="BX77" i="38"/>
  <c r="CB77" i="38"/>
  <c r="CD77" i="38" s="1"/>
  <c r="BX76" i="38"/>
  <c r="CB76" i="38"/>
  <c r="CD76" i="38" s="1"/>
  <c r="BX75" i="38"/>
  <c r="CB75" i="38"/>
  <c r="CD75" i="38" s="1"/>
  <c r="BX74" i="38"/>
  <c r="CB74" i="38"/>
  <c r="CD74" i="38" s="1"/>
  <c r="BX73" i="38"/>
  <c r="CB73" i="38"/>
  <c r="CD73" i="38" s="1"/>
  <c r="CB72" i="38"/>
  <c r="CD72" i="38" s="1"/>
  <c r="BX72" i="38"/>
  <c r="BX71" i="38"/>
  <c r="BZ71" i="38" s="1"/>
  <c r="CB71" i="38"/>
  <c r="CD71" i="38" s="1"/>
  <c r="BX70" i="38"/>
  <c r="CB70" i="38"/>
  <c r="CD70" i="38" s="1"/>
  <c r="BX69" i="38"/>
  <c r="BZ69" i="38" s="1"/>
  <c r="CB69" i="38"/>
  <c r="CD69" i="38" s="1"/>
  <c r="BX68" i="38"/>
  <c r="CB68" i="38"/>
  <c r="CD68" i="38" s="1"/>
  <c r="BX67" i="38"/>
  <c r="CB67" i="38"/>
  <c r="CD67" i="38" s="1"/>
  <c r="BX66" i="38"/>
  <c r="CB66" i="38"/>
  <c r="CD66" i="38" s="1"/>
  <c r="BX65" i="38"/>
  <c r="BZ65" i="38" s="1"/>
  <c r="CC65" i="38" s="1"/>
  <c r="CB65" i="38"/>
  <c r="CD65" i="38" s="1"/>
  <c r="BX64" i="38"/>
  <c r="CB64" i="38"/>
  <c r="CD64" i="38" s="1"/>
  <c r="BX63" i="38"/>
  <c r="CB63" i="38"/>
  <c r="CD63" i="38"/>
  <c r="BX62" i="38"/>
  <c r="CD62" i="38"/>
  <c r="CB62" i="38"/>
  <c r="BX61" i="38"/>
  <c r="CB61" i="38"/>
  <c r="CD61" i="38" s="1"/>
  <c r="BX60" i="38"/>
  <c r="CB60" i="38"/>
  <c r="CD60" i="38" s="1"/>
  <c r="BX59" i="38"/>
  <c r="CB59" i="38"/>
  <c r="CD59" i="38" s="1"/>
  <c r="BX58" i="38"/>
  <c r="CB58" i="38"/>
  <c r="CD58" i="38"/>
  <c r="BX57" i="38"/>
  <c r="CB57" i="38"/>
  <c r="CD57" i="38" s="1"/>
  <c r="BX56" i="38"/>
  <c r="CB56" i="38"/>
  <c r="CD56" i="38" s="1"/>
  <c r="BX55" i="38"/>
  <c r="CB55" i="38"/>
  <c r="CD55" i="38" s="1"/>
  <c r="BX54" i="38"/>
  <c r="CB54" i="38"/>
  <c r="CD54" i="38" s="1"/>
  <c r="BX53" i="38"/>
  <c r="CB53" i="38"/>
  <c r="CD53" i="38" s="1"/>
  <c r="BX52" i="38"/>
  <c r="CB52" i="38"/>
  <c r="CD52" i="38" s="1"/>
  <c r="BX51" i="38"/>
  <c r="CB51" i="38"/>
  <c r="CD51" i="38" s="1"/>
  <c r="BX50" i="38"/>
  <c r="CB50" i="38"/>
  <c r="CD50" i="38" s="1"/>
  <c r="BX49" i="38"/>
  <c r="CB49" i="38"/>
  <c r="CD49" i="38" s="1"/>
  <c r="BX48" i="38"/>
  <c r="CB48" i="38"/>
  <c r="CD48" i="38" s="1"/>
  <c r="BX47" i="38"/>
  <c r="CB47" i="38"/>
  <c r="CD47" i="38" s="1"/>
  <c r="BX46" i="38"/>
  <c r="CB46" i="38"/>
  <c r="CD46" i="38" s="1"/>
  <c r="BX45" i="38"/>
  <c r="CB45" i="38"/>
  <c r="CD45" i="38" s="1"/>
  <c r="BX44" i="38"/>
  <c r="CB44" i="38"/>
  <c r="CD44" i="38" s="1"/>
  <c r="BX43" i="38"/>
  <c r="CB43" i="38"/>
  <c r="CD43" i="38" s="1"/>
  <c r="BX42" i="38"/>
  <c r="CB42" i="38"/>
  <c r="CD42" i="38" s="1"/>
  <c r="BX41" i="38"/>
  <c r="CB41" i="38"/>
  <c r="CD41" i="38" s="1"/>
  <c r="BX40" i="38"/>
  <c r="CB40" i="38"/>
  <c r="CD40" i="38" s="1"/>
  <c r="BX39" i="38"/>
  <c r="BZ39" i="38" s="1"/>
  <c r="CB39" i="38"/>
  <c r="CD39" i="38" s="1"/>
  <c r="BX38" i="38"/>
  <c r="BZ38" i="38" s="1"/>
  <c r="CB38" i="38"/>
  <c r="CD38" i="38" s="1"/>
  <c r="BX37" i="38"/>
  <c r="BZ37" i="38" s="1"/>
  <c r="CB37" i="38"/>
  <c r="CD37" i="38" s="1"/>
  <c r="BX36" i="38"/>
  <c r="BZ36" i="38" s="1"/>
  <c r="CC36" i="38" s="1"/>
  <c r="CB36" i="38"/>
  <c r="CD36" i="38" s="1"/>
  <c r="BX35" i="38"/>
  <c r="BZ35" i="38" s="1"/>
  <c r="CB35" i="38"/>
  <c r="CD35" i="38" s="1"/>
  <c r="BX34" i="38"/>
  <c r="BZ34" i="38" s="1"/>
  <c r="CB34" i="38"/>
  <c r="CD34" i="38" s="1"/>
  <c r="BX33" i="38"/>
  <c r="BZ33" i="38" s="1"/>
  <c r="CD33" i="38"/>
  <c r="CB33" i="38"/>
  <c r="BX32" i="38"/>
  <c r="BZ32" i="38" s="1"/>
  <c r="CC32" i="38" s="1"/>
  <c r="CB32" i="38"/>
  <c r="CD32" i="38" s="1"/>
  <c r="BZ31" i="38"/>
  <c r="BX31" i="38"/>
  <c r="CB31" i="38"/>
  <c r="CD31" i="38" s="1"/>
  <c r="BX30" i="38"/>
  <c r="BZ30" i="38" s="1"/>
  <c r="CB30" i="38"/>
  <c r="CD30" i="38" s="1"/>
  <c r="BX29" i="38"/>
  <c r="BZ29" i="38" s="1"/>
  <c r="CD29" i="38"/>
  <c r="CB29" i="38"/>
  <c r="BX28" i="38"/>
  <c r="BZ28" i="38" s="1"/>
  <c r="CC28" i="38" s="1"/>
  <c r="CB28" i="38"/>
  <c r="CD28" i="38" s="1"/>
  <c r="BX27" i="38"/>
  <c r="BZ27" i="38" s="1"/>
  <c r="CB27" i="38"/>
  <c r="CD27" i="38" s="1"/>
  <c r="BX26" i="38"/>
  <c r="BZ26" i="38" s="1"/>
  <c r="CB26" i="38"/>
  <c r="CD26" i="38" s="1"/>
  <c r="BX25" i="38"/>
  <c r="BZ25" i="38" s="1"/>
  <c r="CB25" i="38"/>
  <c r="CD25" i="38" s="1"/>
  <c r="BX24" i="38"/>
  <c r="BZ24" i="38" s="1"/>
  <c r="CC24" i="38" s="1"/>
  <c r="CB24" i="38"/>
  <c r="CD24" i="38" s="1"/>
  <c r="BX23" i="38"/>
  <c r="BZ23" i="38" s="1"/>
  <c r="CB23" i="38"/>
  <c r="CD23" i="38" s="1"/>
  <c r="BX22" i="38"/>
  <c r="CB22" i="38"/>
  <c r="CD22" i="38" s="1"/>
  <c r="BX21" i="38"/>
  <c r="BZ21" i="38" s="1"/>
  <c r="CB21" i="38"/>
  <c r="CD21" i="38" s="1"/>
  <c r="BX20" i="38"/>
  <c r="CB20" i="38"/>
  <c r="CD20" i="38" s="1"/>
  <c r="BX19" i="38"/>
  <c r="BZ19" i="38" s="1"/>
  <c r="CD19" i="38"/>
  <c r="CB19" i="38"/>
  <c r="BX18" i="38"/>
  <c r="CB18" i="38"/>
  <c r="CD18" i="38" s="1"/>
  <c r="BX17" i="38"/>
  <c r="BZ17" i="38" s="1"/>
  <c r="CB17" i="38"/>
  <c r="CD17" i="38" s="1"/>
  <c r="BX16" i="38"/>
  <c r="CB16" i="38"/>
  <c r="CD16" i="38" s="1"/>
  <c r="BX15" i="38"/>
  <c r="BZ15" i="38" s="1"/>
  <c r="CB15" i="38"/>
  <c r="CD15" i="38" s="1"/>
  <c r="BX14" i="38"/>
  <c r="CB14" i="38"/>
  <c r="CD14" i="38" s="1"/>
  <c r="BX13" i="38"/>
  <c r="BZ13" i="38" s="1"/>
  <c r="CC13" i="38" s="1"/>
  <c r="CB13" i="38"/>
  <c r="CD13" i="38" s="1"/>
  <c r="BX12" i="38"/>
  <c r="CB12" i="38"/>
  <c r="CD12" i="38" s="1"/>
  <c r="BX11" i="38"/>
  <c r="BZ11" i="38" s="1"/>
  <c r="CB11" i="38"/>
  <c r="CD11" i="38" s="1"/>
  <c r="BX10" i="38"/>
  <c r="CB10" i="38"/>
  <c r="CD10" i="38" s="1"/>
  <c r="L231" i="38"/>
  <c r="L71" i="38"/>
  <c r="L158" i="38"/>
  <c r="L52" i="38"/>
  <c r="L12" i="38"/>
  <c r="P12" i="38" s="1"/>
  <c r="L275" i="38"/>
  <c r="L227" i="38"/>
  <c r="P227" i="38" s="1"/>
  <c r="L203" i="38"/>
  <c r="L51" i="38"/>
  <c r="L35" i="38"/>
  <c r="L274" i="38"/>
  <c r="L154" i="38"/>
  <c r="L66" i="38"/>
  <c r="L34" i="38"/>
  <c r="P34" i="38" s="1"/>
  <c r="S34" i="38" s="1"/>
  <c r="BE34" i="38" s="1"/>
  <c r="L18" i="38"/>
  <c r="L295" i="38"/>
  <c r="L175" i="38"/>
  <c r="L79" i="38"/>
  <c r="L15" i="38"/>
  <c r="L254" i="38"/>
  <c r="L230" i="38"/>
  <c r="L166" i="38"/>
  <c r="L317" i="38"/>
  <c r="P317" i="38" s="1"/>
  <c r="L220" i="38"/>
  <c r="L156" i="38"/>
  <c r="L60" i="38"/>
  <c r="L259" i="38"/>
  <c r="L211" i="38"/>
  <c r="L311" i="38"/>
  <c r="P311" i="38" s="1"/>
  <c r="L95" i="38"/>
  <c r="L31" i="38"/>
  <c r="L182" i="38"/>
  <c r="L86" i="38"/>
  <c r="L101" i="38"/>
  <c r="L260" i="38"/>
  <c r="P260" i="38" s="1"/>
  <c r="L76" i="38"/>
  <c r="L188" i="38"/>
  <c r="P188" i="38" s="1"/>
  <c r="P264" i="38"/>
  <c r="S264" i="38" s="1"/>
  <c r="P235" i="38"/>
  <c r="S235" i="38" s="1"/>
  <c r="L223" i="38"/>
  <c r="L159" i="38"/>
  <c r="L63" i="38"/>
  <c r="L310" i="38"/>
  <c r="L214" i="38"/>
  <c r="L150" i="38"/>
  <c r="P150" i="38" s="1"/>
  <c r="L54" i="38"/>
  <c r="P54" i="38" s="1"/>
  <c r="S54" i="38" s="1"/>
  <c r="L301" i="38"/>
  <c r="P301" i="38" s="1"/>
  <c r="L277" i="38"/>
  <c r="L229" i="38"/>
  <c r="L165" i="38"/>
  <c r="L69" i="38"/>
  <c r="L204" i="38"/>
  <c r="L108" i="38"/>
  <c r="P108" i="38" s="1"/>
  <c r="L44" i="38"/>
  <c r="L195" i="38"/>
  <c r="L99" i="38"/>
  <c r="P210" i="38"/>
  <c r="AE285" i="38"/>
  <c r="AE253" i="38"/>
  <c r="X8" i="38"/>
  <c r="T8" i="38"/>
  <c r="I8" i="38"/>
  <c r="L147" i="38"/>
  <c r="P147" i="38" s="1"/>
  <c r="AG93" i="38"/>
  <c r="AE141" i="38"/>
  <c r="P29" i="38"/>
  <c r="S29" i="38" s="1"/>
  <c r="BE29" i="38" s="1"/>
  <c r="AE145" i="38"/>
  <c r="AE124" i="38"/>
  <c r="AE299" i="38"/>
  <c r="AE123" i="38"/>
  <c r="AE118" i="38"/>
  <c r="AE257" i="38"/>
  <c r="AE142" i="38"/>
  <c r="AE251" i="38"/>
  <c r="AE288" i="38"/>
  <c r="AE256" i="38"/>
  <c r="AE137" i="38"/>
  <c r="AE125" i="38"/>
  <c r="AE284" i="38"/>
  <c r="AE264" i="38"/>
  <c r="AE133" i="38"/>
  <c r="AE140" i="38"/>
  <c r="AE131" i="38"/>
  <c r="AE249" i="38"/>
  <c r="AE273" i="38"/>
  <c r="AE126" i="38"/>
  <c r="AE248" i="38"/>
  <c r="AE272" i="38"/>
  <c r="AE129" i="38"/>
  <c r="AE117" i="38"/>
  <c r="AE243" i="38"/>
  <c r="AE135" i="38"/>
  <c r="AE263" i="38"/>
  <c r="AE120" i="38"/>
  <c r="AE262" i="38"/>
  <c r="AE128" i="38"/>
  <c r="AE116" i="38"/>
  <c r="AE242" i="38"/>
  <c r="AE139" i="38"/>
  <c r="AE245" i="38"/>
  <c r="AE134" i="38"/>
  <c r="AE244" i="38"/>
  <c r="AE280" i="38"/>
  <c r="AE279" i="38"/>
  <c r="AE136" i="38"/>
  <c r="AE250" i="38"/>
  <c r="AE278" i="38"/>
  <c r="AE127" i="38"/>
  <c r="AE122" i="38"/>
  <c r="AE287" i="38"/>
  <c r="AE144" i="38"/>
  <c r="AE132" i="38"/>
  <c r="AE286" i="38"/>
  <c r="AE247" i="38"/>
  <c r="AE130" i="38"/>
  <c r="AE246" i="38"/>
  <c r="AE143" i="38"/>
  <c r="AE138" i="38"/>
  <c r="AE283" i="38"/>
  <c r="AE282" i="38"/>
  <c r="AE119" i="38"/>
  <c r="AE210" i="38"/>
  <c r="AE146" i="38"/>
  <c r="AE114" i="38"/>
  <c r="P71" i="38"/>
  <c r="S71" i="38" s="1"/>
  <c r="BE71" i="38" s="1"/>
  <c r="P77" i="38"/>
  <c r="S77" i="38" s="1"/>
  <c r="BE77" i="38" s="1"/>
  <c r="P45" i="38"/>
  <c r="AE45" i="38" s="1"/>
  <c r="P193" i="38"/>
  <c r="S193" i="38" s="1"/>
  <c r="BE193" i="38" s="1"/>
  <c r="P158" i="38"/>
  <c r="P272" i="38"/>
  <c r="S272" i="38" s="1"/>
  <c r="BE272" i="38" s="1"/>
  <c r="P279" i="38"/>
  <c r="S279" i="38" s="1"/>
  <c r="P11" i="38"/>
  <c r="BE11" i="38" s="1"/>
  <c r="P273" i="38"/>
  <c r="S273" i="38" s="1"/>
  <c r="AJ272" i="38"/>
  <c r="P111" i="38"/>
  <c r="P263" i="38"/>
  <c r="S263" i="38" s="1"/>
  <c r="BE263" i="38" s="1"/>
  <c r="P136" i="38"/>
  <c r="S136" i="38" s="1"/>
  <c r="BE136" i="38" s="1"/>
  <c r="P43" i="38"/>
  <c r="AE43" i="38" s="1"/>
  <c r="P179" i="38"/>
  <c r="S179" i="38" s="1"/>
  <c r="BE179" i="38" s="1"/>
  <c r="P225" i="38"/>
  <c r="S225" i="38" s="1"/>
  <c r="BE225" i="38" s="1"/>
  <c r="P255" i="38"/>
  <c r="S255" i="38" s="1"/>
  <c r="BE255" i="38" s="1"/>
  <c r="L10" i="38"/>
  <c r="J8" i="38"/>
  <c r="P267" i="38"/>
  <c r="P228" i="38"/>
  <c r="P140" i="38"/>
  <c r="P68" i="38"/>
  <c r="P104" i="38"/>
  <c r="AE104" i="38" s="1"/>
  <c r="P178" i="38"/>
  <c r="P229" i="38"/>
  <c r="P164" i="38"/>
  <c r="P128" i="38"/>
  <c r="P275" i="38"/>
  <c r="AE275" i="38" s="1"/>
  <c r="P139" i="38"/>
  <c r="P184" i="38"/>
  <c r="P297" i="38"/>
  <c r="AE297" i="38" s="1"/>
  <c r="P271" i="38"/>
  <c r="P58" i="38"/>
  <c r="P106" i="38"/>
  <c r="P83" i="38"/>
  <c r="P85" i="38"/>
  <c r="P285" i="38"/>
  <c r="P156" i="38"/>
  <c r="P42" i="38"/>
  <c r="P314" i="38"/>
  <c r="AE314" i="38" s="1"/>
  <c r="P16" i="38"/>
  <c r="P201" i="38"/>
  <c r="P296" i="38"/>
  <c r="AE296" i="38" s="1"/>
  <c r="P122" i="38"/>
  <c r="P304" i="38"/>
  <c r="AE304" i="38" s="1"/>
  <c r="P220" i="38"/>
  <c r="P119" i="38"/>
  <c r="P92" i="38"/>
  <c r="P160" i="38"/>
  <c r="P169" i="38"/>
  <c r="P303" i="38"/>
  <c r="P206" i="38"/>
  <c r="P283" i="38"/>
  <c r="P130" i="38"/>
  <c r="P112" i="38"/>
  <c r="P132" i="38"/>
  <c r="P41" i="38"/>
  <c r="AE41" i="38" s="1"/>
  <c r="P151" i="38"/>
  <c r="P53" i="38"/>
  <c r="P27" i="38"/>
  <c r="P261" i="38"/>
  <c r="P144" i="38"/>
  <c r="P115" i="38"/>
  <c r="P245" i="38"/>
  <c r="P70" i="38"/>
  <c r="AE70" i="38" s="1"/>
  <c r="P101" i="38"/>
  <c r="P93" i="38"/>
  <c r="P131" i="38"/>
  <c r="P239" i="38"/>
  <c r="P100" i="38"/>
  <c r="P172" i="38"/>
  <c r="P96" i="38"/>
  <c r="P258" i="38"/>
  <c r="P238" i="38"/>
  <c r="P187" i="38"/>
  <c r="P170" i="38"/>
  <c r="P159" i="38"/>
  <c r="P105" i="38"/>
  <c r="P114" i="38"/>
  <c r="P47" i="38"/>
  <c r="P305" i="38"/>
  <c r="P286" i="38"/>
  <c r="P94" i="38"/>
  <c r="P256" i="38"/>
  <c r="P89" i="38"/>
  <c r="P22" i="38"/>
  <c r="P299" i="38"/>
  <c r="P154" i="38"/>
  <c r="P129" i="38"/>
  <c r="P241" i="38"/>
  <c r="P149" i="38"/>
  <c r="P99" i="38"/>
  <c r="P250" i="38"/>
  <c r="P200" i="38"/>
  <c r="P222" i="38"/>
  <c r="AE222" i="38" s="1"/>
  <c r="P98" i="38"/>
  <c r="P313" i="38"/>
  <c r="P231" i="38"/>
  <c r="AE231" i="38" s="1"/>
  <c r="P97" i="38"/>
  <c r="P113" i="38"/>
  <c r="P281" i="38"/>
  <c r="P189" i="38"/>
  <c r="P162" i="38"/>
  <c r="P65" i="38"/>
  <c r="P76" i="38"/>
  <c r="P148" i="38"/>
  <c r="P120" i="38"/>
  <c r="P278" i="38"/>
  <c r="P199" i="38"/>
  <c r="P284" i="38"/>
  <c r="P294" i="38"/>
  <c r="AE294" i="38" s="1"/>
  <c r="P26" i="38"/>
  <c r="P249" i="38"/>
  <c r="P244" i="38"/>
  <c r="P251" i="38"/>
  <c r="P254" i="38"/>
  <c r="AE254" i="38" s="1"/>
  <c r="P95" i="38"/>
  <c r="P308" i="38"/>
  <c r="P124" i="38"/>
  <c r="P44" i="38"/>
  <c r="AE44" i="38" s="1"/>
  <c r="P268" i="38"/>
  <c r="P207" i="38"/>
  <c r="AE207" i="38" s="1"/>
  <c r="P280" i="38"/>
  <c r="P84" i="38"/>
  <c r="P209" i="38"/>
  <c r="AE209" i="38" s="1"/>
  <c r="P52" i="38"/>
  <c r="P290" i="38"/>
  <c r="P78" i="38"/>
  <c r="P102" i="38"/>
  <c r="P218" i="38"/>
  <c r="P276" i="38"/>
  <c r="P138" i="38"/>
  <c r="P141" i="38"/>
  <c r="P80" i="38"/>
  <c r="P33" i="38"/>
  <c r="P40" i="38"/>
  <c r="AE40" i="38" s="1"/>
  <c r="P289" i="38"/>
  <c r="AE289" i="38" s="1"/>
  <c r="P237" i="38"/>
  <c r="P103" i="38"/>
  <c r="P243" i="38"/>
  <c r="P234" i="38"/>
  <c r="AE234" i="38" s="1"/>
  <c r="P315" i="38"/>
  <c r="P75" i="38"/>
  <c r="P240" i="38"/>
  <c r="P292" i="38"/>
  <c r="AE292" i="38" s="1"/>
  <c r="P236" i="38"/>
  <c r="P116" i="38"/>
  <c r="P282" i="38"/>
  <c r="P55" i="38"/>
  <c r="AE55" i="38" s="1"/>
  <c r="P265" i="38"/>
  <c r="AE265" i="38" s="1"/>
  <c r="P194" i="38"/>
  <c r="P288" i="38"/>
  <c r="P180" i="38"/>
  <c r="P145" i="38"/>
  <c r="P221" i="38"/>
  <c r="AE221" i="38" s="1"/>
  <c r="P212" i="38"/>
  <c r="P109" i="38"/>
  <c r="P51" i="38"/>
  <c r="P152" i="38"/>
  <c r="P309" i="38"/>
  <c r="AE309" i="38" s="1"/>
  <c r="P176" i="38"/>
  <c r="P117" i="38"/>
  <c r="P50" i="38"/>
  <c r="P28" i="38"/>
  <c r="P73" i="38"/>
  <c r="P74" i="38"/>
  <c r="P107" i="38"/>
  <c r="P67" i="38"/>
  <c r="P30" i="38"/>
  <c r="P202" i="38"/>
  <c r="P293" i="38"/>
  <c r="AE293" i="38" s="1"/>
  <c r="P88" i="38"/>
  <c r="P168" i="38"/>
  <c r="P38" i="38"/>
  <c r="AE38" i="38" s="1"/>
  <c r="P49" i="38"/>
  <c r="P208" i="38"/>
  <c r="AE208" i="38" s="1"/>
  <c r="P219" i="38"/>
  <c r="AE219" i="38" s="1"/>
  <c r="P32" i="38"/>
  <c r="P39" i="38"/>
  <c r="P312" i="38"/>
  <c r="P175" i="38"/>
  <c r="AE175" i="38" s="1"/>
  <c r="P166" i="38"/>
  <c r="P118" i="38"/>
  <c r="P37" i="38"/>
  <c r="P269" i="38"/>
  <c r="P215" i="38"/>
  <c r="AE215" i="38" s="1"/>
  <c r="P192" i="38"/>
  <c r="P198" i="38"/>
  <c r="P137" i="38"/>
  <c r="P302" i="38"/>
  <c r="AE302" i="38" s="1"/>
  <c r="P262" i="38"/>
  <c r="P217" i="38"/>
  <c r="P216" i="38"/>
  <c r="P171" i="38"/>
  <c r="P197" i="38"/>
  <c r="P35" i="38"/>
  <c r="P246" i="38"/>
  <c r="P226" i="38"/>
  <c r="P64" i="38"/>
  <c r="P157" i="38"/>
  <c r="P25" i="38"/>
  <c r="P125" i="38"/>
  <c r="P14" i="38"/>
  <c r="P247" i="38"/>
  <c r="P163" i="38"/>
  <c r="P232" i="38"/>
  <c r="AE232" i="38" s="1"/>
  <c r="P242" i="38"/>
  <c r="P185" i="38"/>
  <c r="AE185" i="38" s="1"/>
  <c r="P62" i="38"/>
  <c r="P253" i="38"/>
  <c r="P183" i="38"/>
  <c r="P20" i="38"/>
  <c r="P123" i="38"/>
  <c r="P110" i="38"/>
  <c r="P298" i="38"/>
  <c r="AE298" i="38" s="1"/>
  <c r="P316" i="38"/>
  <c r="P306" i="38"/>
  <c r="AE306" i="38" s="1"/>
  <c r="P319" i="38"/>
  <c r="P196" i="38"/>
  <c r="P48" i="38"/>
  <c r="AE48" i="38" s="1"/>
  <c r="P146" i="38"/>
  <c r="P230" i="38"/>
  <c r="AE230" i="38" s="1"/>
  <c r="P155" i="38"/>
  <c r="P61" i="38"/>
  <c r="P19" i="38"/>
  <c r="P174" i="38"/>
  <c r="P57" i="38"/>
  <c r="P307" i="38"/>
  <c r="P211" i="38"/>
  <c r="P213" i="38"/>
  <c r="P143" i="38"/>
  <c r="P126" i="38"/>
  <c r="P270" i="38"/>
  <c r="P186" i="38"/>
  <c r="AE186" i="38" s="1"/>
  <c r="P142" i="38"/>
  <c r="P161" i="38"/>
  <c r="P133" i="38"/>
  <c r="P87" i="38"/>
  <c r="P63" i="38"/>
  <c r="P287" i="38"/>
  <c r="P233" i="38"/>
  <c r="P300" i="38"/>
  <c r="P291" i="38"/>
  <c r="AE291" i="38" s="1"/>
  <c r="P17" i="38"/>
  <c r="P18" i="38"/>
  <c r="P274" i="38"/>
  <c r="AE274" i="38" s="1"/>
  <c r="P135" i="38"/>
  <c r="P56" i="38"/>
  <c r="AE56" i="38" s="1"/>
  <c r="P59" i="38"/>
  <c r="P190" i="38"/>
  <c r="P153" i="38"/>
  <c r="P127" i="38"/>
  <c r="P121" i="38"/>
  <c r="P90" i="38"/>
  <c r="P82" i="38"/>
  <c r="P24" i="38"/>
  <c r="P46" i="38"/>
  <c r="AE46" i="38" s="1"/>
  <c r="P204" i="38"/>
  <c r="P191" i="38"/>
  <c r="P167" i="38"/>
  <c r="P66" i="38"/>
  <c r="P91" i="38"/>
  <c r="P257" i="38"/>
  <c r="P248" i="38"/>
  <c r="P181" i="38"/>
  <c r="P173" i="38"/>
  <c r="P72" i="38"/>
  <c r="P81" i="38"/>
  <c r="P205" i="38"/>
  <c r="S21" i="38"/>
  <c r="BE21" i="38" s="1"/>
  <c r="P134" i="38"/>
  <c r="P23" i="38"/>
  <c r="P224" i="38"/>
  <c r="P203" i="38"/>
  <c r="P36" i="38"/>
  <c r="AE36" i="38" s="1"/>
  <c r="P13" i="38"/>
  <c r="P266" i="38"/>
  <c r="AE266" i="38" s="1"/>
  <c r="O8" i="38"/>
  <c r="P252" i="38"/>
  <c r="P177" i="38"/>
  <c r="Q8" i="38"/>
  <c r="P318" i="38"/>
  <c r="S210" i="38"/>
  <c r="BE210" i="38" s="1"/>
  <c r="AG13" i="38"/>
  <c r="AG8" i="38" s="1"/>
  <c r="AD8" i="38"/>
  <c r="CC131" i="38" l="1"/>
  <c r="CC135" i="38"/>
  <c r="CC129" i="38"/>
  <c r="CC199" i="38"/>
  <c r="CC218" i="38"/>
  <c r="CC230" i="38"/>
  <c r="CC242" i="38"/>
  <c r="CC257" i="38"/>
  <c r="CC275" i="38"/>
  <c r="CC299" i="38"/>
  <c r="CC313" i="38"/>
  <c r="CC317" i="38"/>
  <c r="CC27" i="38"/>
  <c r="CC37" i="38"/>
  <c r="CC133" i="38"/>
  <c r="CC157" i="38"/>
  <c r="CC246" i="38"/>
  <c r="CC33" i="38"/>
  <c r="CC153" i="38"/>
  <c r="CC175" i="38"/>
  <c r="CC179" i="38"/>
  <c r="CC209" i="38"/>
  <c r="CC243" i="38"/>
  <c r="CC247" i="38"/>
  <c r="CC278" i="38"/>
  <c r="CC284" i="38"/>
  <c r="CC305" i="38"/>
  <c r="CC123" i="38"/>
  <c r="CC127" i="38"/>
  <c r="CC165" i="38"/>
  <c r="CC191" i="38"/>
  <c r="CC291" i="38"/>
  <c r="CC302" i="38"/>
  <c r="CC177" i="38"/>
  <c r="CC266" i="38"/>
  <c r="CC292" i="38"/>
  <c r="CC303" i="38"/>
  <c r="CC21" i="38"/>
  <c r="CC300" i="38"/>
  <c r="CC11" i="38"/>
  <c r="CC119" i="38"/>
  <c r="CC141" i="38"/>
  <c r="CC213" i="38"/>
  <c r="CC234" i="38"/>
  <c r="CC244" i="38"/>
  <c r="CC250" i="38"/>
  <c r="CC253" i="38"/>
  <c r="CC269" i="38"/>
  <c r="CC272" i="38"/>
  <c r="CC287" i="38"/>
  <c r="CC296" i="38"/>
  <c r="CC35" i="38"/>
  <c r="CC38" i="38"/>
  <c r="CC155" i="38"/>
  <c r="CC210" i="38"/>
  <c r="CC228" i="38"/>
  <c r="CC241" i="38"/>
  <c r="CC256" i="38"/>
  <c r="CC306" i="38"/>
  <c r="CC19" i="38"/>
  <c r="CC26" i="38"/>
  <c r="CC29" i="38"/>
  <c r="CC159" i="38"/>
  <c r="CC173" i="38"/>
  <c r="CC200" i="38"/>
  <c r="CC238" i="38"/>
  <c r="CC273" i="38"/>
  <c r="CC276" i="38"/>
  <c r="CC279" i="38"/>
  <c r="CC288" i="38"/>
  <c r="CC310" i="38"/>
  <c r="CC245" i="38"/>
  <c r="CC254" i="38"/>
  <c r="CC267" i="38"/>
  <c r="CC297" i="38"/>
  <c r="CC30" i="38"/>
  <c r="CC96" i="38"/>
  <c r="CC117" i="38"/>
  <c r="CC139" i="38"/>
  <c r="CC167" i="38"/>
  <c r="CC215" i="38"/>
  <c r="CC239" i="38"/>
  <c r="CC280" i="38"/>
  <c r="CC301" i="38"/>
  <c r="CC226" i="38"/>
  <c r="CC289" i="38"/>
  <c r="CC34" i="38"/>
  <c r="CC171" i="38"/>
  <c r="CC192" i="38"/>
  <c r="CC216" i="38"/>
  <c r="CC240" i="38"/>
  <c r="CC252" i="38"/>
  <c r="CC268" i="38"/>
  <c r="CC295" i="38"/>
  <c r="CC248" i="38"/>
  <c r="CC251" i="38"/>
  <c r="CC258" i="38"/>
  <c r="CC260" i="38"/>
  <c r="CC262" i="38"/>
  <c r="CC264" i="38"/>
  <c r="CC282" i="38"/>
  <c r="CC285" i="38"/>
  <c r="CC294" i="38"/>
  <c r="CC17" i="38"/>
  <c r="BZ41" i="38"/>
  <c r="CC41" i="38" s="1"/>
  <c r="BZ56" i="38"/>
  <c r="CC56" i="38" s="1"/>
  <c r="BZ53" i="38"/>
  <c r="CC53" i="38" s="1"/>
  <c r="BZ90" i="38"/>
  <c r="CC90" i="38" s="1"/>
  <c r="BZ104" i="38"/>
  <c r="CC104" i="38" s="1"/>
  <c r="BZ110" i="38"/>
  <c r="CC110" i="38" s="1"/>
  <c r="BZ196" i="38"/>
  <c r="CC196" i="38" s="1"/>
  <c r="P15" i="38"/>
  <c r="BZ82" i="38"/>
  <c r="CC82" i="38" s="1"/>
  <c r="BZ88" i="38"/>
  <c r="CC88" i="38" s="1"/>
  <c r="BZ94" i="38"/>
  <c r="CC94" i="38" s="1"/>
  <c r="BZ102" i="38"/>
  <c r="CC102" i="38" s="1"/>
  <c r="BZ194" i="38"/>
  <c r="CC194" i="38" s="1"/>
  <c r="CC15" i="38"/>
  <c r="CC23" i="38"/>
  <c r="CC25" i="38"/>
  <c r="CC31" i="38"/>
  <c r="CC39" i="38"/>
  <c r="BZ45" i="38"/>
  <c r="CC45" i="38" s="1"/>
  <c r="BZ51" i="38"/>
  <c r="CC51" i="38" s="1"/>
  <c r="BZ54" i="38"/>
  <c r="CC54" i="38" s="1"/>
  <c r="BZ68" i="38"/>
  <c r="CC68" i="38" s="1"/>
  <c r="BZ108" i="38"/>
  <c r="CC108" i="38" s="1"/>
  <c r="BZ204" i="38"/>
  <c r="CC204" i="38" s="1"/>
  <c r="BZ47" i="38"/>
  <c r="CC47" i="38" s="1"/>
  <c r="BZ59" i="38"/>
  <c r="CC59" i="38" s="1"/>
  <c r="P86" i="38"/>
  <c r="S86" i="38" s="1"/>
  <c r="BE86" i="38" s="1"/>
  <c r="BZ42" i="38"/>
  <c r="CC42" i="38" s="1"/>
  <c r="BZ48" i="38"/>
  <c r="CC48" i="38" s="1"/>
  <c r="BZ57" i="38"/>
  <c r="CC57" i="38" s="1"/>
  <c r="BZ60" i="38"/>
  <c r="CC60" i="38" s="1"/>
  <c r="BZ63" i="38"/>
  <c r="CC63" i="38" s="1"/>
  <c r="BZ74" i="38"/>
  <c r="CC74" i="38" s="1"/>
  <c r="BZ80" i="38"/>
  <c r="CC80" i="38" s="1"/>
  <c r="BZ86" i="38"/>
  <c r="CC86" i="38" s="1"/>
  <c r="BZ100" i="38"/>
  <c r="CC100" i="38" s="1"/>
  <c r="BZ237" i="38"/>
  <c r="CC237" i="38" s="1"/>
  <c r="BZ92" i="38"/>
  <c r="CC92" i="38" s="1"/>
  <c r="BZ202" i="38"/>
  <c r="CC202" i="38" s="1"/>
  <c r="BZ50" i="38"/>
  <c r="CC50" i="38" s="1"/>
  <c r="BZ76" i="38"/>
  <c r="CC76" i="38" s="1"/>
  <c r="BZ206" i="38"/>
  <c r="CC206" i="38" s="1"/>
  <c r="P259" i="38"/>
  <c r="P310" i="38"/>
  <c r="BZ40" i="38"/>
  <c r="CC40" i="38" s="1"/>
  <c r="BZ43" i="38"/>
  <c r="CC43" i="38" s="1"/>
  <c r="BZ46" i="38"/>
  <c r="CC46" i="38" s="1"/>
  <c r="BZ49" i="38"/>
  <c r="CC49" i="38" s="1"/>
  <c r="BZ52" i="38"/>
  <c r="CC52" i="38" s="1"/>
  <c r="BZ55" i="38"/>
  <c r="CC55" i="38" s="1"/>
  <c r="BZ61" i="38"/>
  <c r="CC61" i="38" s="1"/>
  <c r="BZ66" i="38"/>
  <c r="CC66" i="38" s="1"/>
  <c r="BZ72" i="38"/>
  <c r="CC72" i="38" s="1"/>
  <c r="BZ78" i="38"/>
  <c r="CC78" i="38" s="1"/>
  <c r="BZ106" i="38"/>
  <c r="CC106" i="38" s="1"/>
  <c r="BZ112" i="38"/>
  <c r="CC112" i="38" s="1"/>
  <c r="BZ198" i="38"/>
  <c r="CC198" i="38" s="1"/>
  <c r="BZ44" i="38"/>
  <c r="CC44" i="38" s="1"/>
  <c r="BZ62" i="38"/>
  <c r="CC62" i="38" s="1"/>
  <c r="BZ70" i="38"/>
  <c r="CC70" i="38" s="1"/>
  <c r="BZ222" i="38"/>
  <c r="CC222" i="38" s="1"/>
  <c r="BZ10" i="38"/>
  <c r="CC10" i="38" s="1"/>
  <c r="BZ12" i="38"/>
  <c r="CC12" i="38" s="1"/>
  <c r="BZ14" i="38"/>
  <c r="CC14" i="38" s="1"/>
  <c r="BZ16" i="38"/>
  <c r="CC16" i="38" s="1"/>
  <c r="BZ18" i="38"/>
  <c r="CC18" i="38" s="1"/>
  <c r="BZ20" i="38"/>
  <c r="CC20" i="38" s="1"/>
  <c r="BZ22" i="38"/>
  <c r="CC22" i="38" s="1"/>
  <c r="BZ58" i="38"/>
  <c r="CC58" i="38" s="1"/>
  <c r="BZ64" i="38"/>
  <c r="CC64" i="38" s="1"/>
  <c r="BZ84" i="38"/>
  <c r="CC84" i="38" s="1"/>
  <c r="BZ98" i="38"/>
  <c r="CC98" i="38" s="1"/>
  <c r="BZ211" i="38"/>
  <c r="CC211" i="38" s="1"/>
  <c r="CD8" i="38"/>
  <c r="CC126" i="38"/>
  <c r="CC150" i="38"/>
  <c r="BZ116" i="38"/>
  <c r="CC116" i="38" s="1"/>
  <c r="BZ118" i="38"/>
  <c r="CC118" i="38" s="1"/>
  <c r="BZ120" i="38"/>
  <c r="CC120" i="38" s="1"/>
  <c r="BZ122" i="38"/>
  <c r="CC122" i="38" s="1"/>
  <c r="BZ124" i="38"/>
  <c r="CC124" i="38" s="1"/>
  <c r="BZ128" i="38"/>
  <c r="CC128" i="38" s="1"/>
  <c r="BZ130" i="38"/>
  <c r="CC130" i="38" s="1"/>
  <c r="BZ132" i="38"/>
  <c r="CC132" i="38" s="1"/>
  <c r="BZ134" i="38"/>
  <c r="CC134" i="38" s="1"/>
  <c r="BZ136" i="38"/>
  <c r="CC136" i="38" s="1"/>
  <c r="BZ138" i="38"/>
  <c r="CC138" i="38" s="1"/>
  <c r="BZ140" i="38"/>
  <c r="CC140" i="38" s="1"/>
  <c r="BZ142" i="38"/>
  <c r="CC142" i="38" s="1"/>
  <c r="BZ144" i="38"/>
  <c r="CC144" i="38" s="1"/>
  <c r="BZ146" i="38"/>
  <c r="CC146" i="38" s="1"/>
  <c r="BZ148" i="38"/>
  <c r="CC148" i="38" s="1"/>
  <c r="BZ152" i="38"/>
  <c r="CC152" i="38" s="1"/>
  <c r="BZ154" i="38"/>
  <c r="CC154" i="38" s="1"/>
  <c r="BZ156" i="38"/>
  <c r="CC156" i="38" s="1"/>
  <c r="BZ158" i="38"/>
  <c r="CC158" i="38" s="1"/>
  <c r="BZ160" i="38"/>
  <c r="CC160" i="38" s="1"/>
  <c r="BZ162" i="38"/>
  <c r="CC162" i="38" s="1"/>
  <c r="BZ164" i="38"/>
  <c r="CC164" i="38" s="1"/>
  <c r="BZ166" i="38"/>
  <c r="CC166" i="38" s="1"/>
  <c r="BZ168" i="38"/>
  <c r="CC168" i="38" s="1"/>
  <c r="BZ170" i="38"/>
  <c r="CC170" i="38" s="1"/>
  <c r="BZ172" i="38"/>
  <c r="CC172" i="38" s="1"/>
  <c r="BZ174" i="38"/>
  <c r="CC174" i="38" s="1"/>
  <c r="CC176" i="38"/>
  <c r="CC178" i="38"/>
  <c r="CC180" i="38"/>
  <c r="CC182" i="38"/>
  <c r="CC184" i="38"/>
  <c r="CC186" i="38"/>
  <c r="CC188" i="38"/>
  <c r="CC190" i="38"/>
  <c r="CC69" i="38"/>
  <c r="CC71" i="38"/>
  <c r="CC97" i="38"/>
  <c r="CC101" i="38"/>
  <c r="BZ207" i="38"/>
  <c r="CC207" i="38" s="1"/>
  <c r="BZ214" i="38"/>
  <c r="CC214" i="38" s="1"/>
  <c r="BZ223" i="38"/>
  <c r="CC223" i="38" s="1"/>
  <c r="BZ225" i="38"/>
  <c r="CC225" i="38" s="1"/>
  <c r="BZ227" i="38"/>
  <c r="CC227" i="38" s="1"/>
  <c r="BZ229" i="38"/>
  <c r="CC229" i="38" s="1"/>
  <c r="BZ67" i="38"/>
  <c r="CC67" i="38" s="1"/>
  <c r="BZ73" i="38"/>
  <c r="CC73" i="38" s="1"/>
  <c r="BZ75" i="38"/>
  <c r="CC75" i="38" s="1"/>
  <c r="BZ77" i="38"/>
  <c r="CC77" i="38" s="1"/>
  <c r="BZ79" i="38"/>
  <c r="CC79" i="38" s="1"/>
  <c r="BZ81" i="38"/>
  <c r="CC81" i="38" s="1"/>
  <c r="BZ83" i="38"/>
  <c r="CC83" i="38" s="1"/>
  <c r="BZ85" i="38"/>
  <c r="CC85" i="38" s="1"/>
  <c r="BZ87" i="38"/>
  <c r="CC87" i="38" s="1"/>
  <c r="BZ89" i="38"/>
  <c r="CC89" i="38" s="1"/>
  <c r="BZ91" i="38"/>
  <c r="CC91" i="38" s="1"/>
  <c r="BZ93" i="38"/>
  <c r="CC93" i="38" s="1"/>
  <c r="BZ95" i="38"/>
  <c r="CC95" i="38" s="1"/>
  <c r="BZ99" i="38"/>
  <c r="CC99" i="38" s="1"/>
  <c r="BZ103" i="38"/>
  <c r="CC103" i="38" s="1"/>
  <c r="BZ105" i="38"/>
  <c r="CC105" i="38" s="1"/>
  <c r="BZ107" i="38"/>
  <c r="CC107" i="38" s="1"/>
  <c r="BZ109" i="38"/>
  <c r="CC109" i="38" s="1"/>
  <c r="BZ111" i="38"/>
  <c r="CC111" i="38" s="1"/>
  <c r="BZ113" i="38"/>
  <c r="CC113" i="38" s="1"/>
  <c r="BZ143" i="38"/>
  <c r="CC143" i="38" s="1"/>
  <c r="BZ147" i="38"/>
  <c r="CC147" i="38" s="1"/>
  <c r="BZ183" i="38"/>
  <c r="CC183" i="38" s="1"/>
  <c r="BZ187" i="38"/>
  <c r="CC187" i="38" s="1"/>
  <c r="BZ195" i="38"/>
  <c r="CC195" i="38" s="1"/>
  <c r="BZ197" i="38"/>
  <c r="CC197" i="38" s="1"/>
  <c r="BZ203" i="38"/>
  <c r="CC203" i="38" s="1"/>
  <c r="BZ205" i="38"/>
  <c r="CC205" i="38" s="1"/>
  <c r="BZ212" i="38"/>
  <c r="CC212" i="38" s="1"/>
  <c r="BZ221" i="38"/>
  <c r="CC221" i="38" s="1"/>
  <c r="BZ249" i="38"/>
  <c r="CC249" i="38" s="1"/>
  <c r="BZ283" i="38"/>
  <c r="CC283" i="38" s="1"/>
  <c r="CB8" i="38"/>
  <c r="BZ121" i="38"/>
  <c r="CC121" i="38" s="1"/>
  <c r="BZ125" i="38"/>
  <c r="CC125" i="38" s="1"/>
  <c r="BZ137" i="38"/>
  <c r="CC137" i="38" s="1"/>
  <c r="BZ145" i="38"/>
  <c r="CC145" i="38" s="1"/>
  <c r="BZ149" i="38"/>
  <c r="CC149" i="38" s="1"/>
  <c r="BZ151" i="38"/>
  <c r="CC151" i="38" s="1"/>
  <c r="BZ161" i="38"/>
  <c r="CC161" i="38" s="1"/>
  <c r="BZ185" i="38"/>
  <c r="CC185" i="38" s="1"/>
  <c r="BZ217" i="38"/>
  <c r="CC217" i="38" s="1"/>
  <c r="BZ265" i="38"/>
  <c r="CC265" i="38" s="1"/>
  <c r="CC274" i="38"/>
  <c r="CC298" i="38"/>
  <c r="CC314" i="38"/>
  <c r="CC231" i="38"/>
  <c r="CC271" i="38"/>
  <c r="BZ311" i="38"/>
  <c r="CC311" i="38" s="1"/>
  <c r="BZ315" i="38"/>
  <c r="CC315" i="38" s="1"/>
  <c r="BX8" i="38"/>
  <c r="CC114" i="38"/>
  <c r="P182" i="38"/>
  <c r="S182" i="38" s="1"/>
  <c r="P295" i="38"/>
  <c r="AE295" i="38" s="1"/>
  <c r="P277" i="38"/>
  <c r="P223" i="38"/>
  <c r="AE223" i="38" s="1"/>
  <c r="P79" i="38"/>
  <c r="P195" i="38"/>
  <c r="S195" i="38" s="1"/>
  <c r="BE195" i="38" s="1"/>
  <c r="P31" i="38"/>
  <c r="S31" i="38" s="1"/>
  <c r="P214" i="38"/>
  <c r="P60" i="38"/>
  <c r="AE60" i="38" s="1"/>
  <c r="P69" i="38"/>
  <c r="P165" i="38"/>
  <c r="S165" i="38" s="1"/>
  <c r="BE165" i="38" s="1"/>
  <c r="P10" i="38"/>
  <c r="S10" i="38" s="1"/>
  <c r="BE10" i="38" s="1"/>
  <c r="AJ264" i="38"/>
  <c r="BE264" i="38"/>
  <c r="U235" i="38"/>
  <c r="V235" i="38" s="1"/>
  <c r="BE235" i="38"/>
  <c r="U54" i="38"/>
  <c r="AK54" i="38" s="1"/>
  <c r="BE54" i="38"/>
  <c r="AJ273" i="38"/>
  <c r="BE273" i="38"/>
  <c r="AJ279" i="38"/>
  <c r="BE279" i="38"/>
  <c r="AE255" i="38"/>
  <c r="S158" i="38"/>
  <c r="BE158" i="38" s="1"/>
  <c r="S45" i="38"/>
  <c r="BE45" i="38" s="1"/>
  <c r="P332" i="38"/>
  <c r="S93" i="38"/>
  <c r="S43" i="38"/>
  <c r="BE43" i="38" s="1"/>
  <c r="AJ136" i="38"/>
  <c r="AJ263" i="38"/>
  <c r="S111" i="38"/>
  <c r="L8" i="38"/>
  <c r="L7" i="38" s="1"/>
  <c r="S42" i="38"/>
  <c r="BE42" i="38" s="1"/>
  <c r="S46" i="38"/>
  <c r="S24" i="38"/>
  <c r="BE24" i="38" s="1"/>
  <c r="S82" i="38"/>
  <c r="BE82" i="38" s="1"/>
  <c r="S90" i="38"/>
  <c r="BE90" i="38" s="1"/>
  <c r="S121" i="38"/>
  <c r="S127" i="38"/>
  <c r="U127" i="38" s="1"/>
  <c r="S153" i="38"/>
  <c r="S190" i="38"/>
  <c r="S59" i="38"/>
  <c r="BE59" i="38" s="1"/>
  <c r="S56" i="38"/>
  <c r="BE56" i="38" s="1"/>
  <c r="S135" i="38"/>
  <c r="S274" i="38"/>
  <c r="BE274" i="38" s="1"/>
  <c r="S18" i="38"/>
  <c r="BE18" i="38" s="1"/>
  <c r="S17" i="38"/>
  <c r="BE17" i="38" s="1"/>
  <c r="S291" i="38"/>
  <c r="S300" i="38"/>
  <c r="BE300" i="38" s="1"/>
  <c r="S233" i="38"/>
  <c r="BE233" i="38" s="1"/>
  <c r="S287" i="38"/>
  <c r="S63" i="38"/>
  <c r="S87" i="38"/>
  <c r="S133" i="38"/>
  <c r="S161" i="38"/>
  <c r="S142" i="38"/>
  <c r="S186" i="38"/>
  <c r="BE186" i="38" s="1"/>
  <c r="S270" i="38"/>
  <c r="S126" i="38"/>
  <c r="S143" i="38"/>
  <c r="BE143" i="38" s="1"/>
  <c r="S213" i="38"/>
  <c r="S211" i="38"/>
  <c r="S307" i="38"/>
  <c r="S57" i="38"/>
  <c r="BE57" i="38" s="1"/>
  <c r="S174" i="38"/>
  <c r="S19" i="38"/>
  <c r="S61" i="38"/>
  <c r="S155" i="38"/>
  <c r="BE155" i="38" s="1"/>
  <c r="S230" i="38"/>
  <c r="S146" i="38"/>
  <c r="BE146" i="38" s="1"/>
  <c r="S48" i="38"/>
  <c r="BE48" i="38" s="1"/>
  <c r="S147" i="38"/>
  <c r="S196" i="38"/>
  <c r="BE196" i="38" s="1"/>
  <c r="S259" i="38"/>
  <c r="S319" i="38"/>
  <c r="BE319" i="38" s="1"/>
  <c r="S306" i="38"/>
  <c r="S316" i="38"/>
  <c r="S15" i="38"/>
  <c r="BE15" i="38" s="1"/>
  <c r="S298" i="38"/>
  <c r="S110" i="38"/>
  <c r="S123" i="38"/>
  <c r="S317" i="38"/>
  <c r="S20" i="38"/>
  <c r="BE20" i="38" s="1"/>
  <c r="S183" i="38"/>
  <c r="S253" i="38"/>
  <c r="S62" i="38"/>
  <c r="BE62" i="38" s="1"/>
  <c r="S185" i="38"/>
  <c r="S242" i="38"/>
  <c r="S232" i="38"/>
  <c r="BE232" i="38" s="1"/>
  <c r="S163" i="38"/>
  <c r="S247" i="38"/>
  <c r="U247" i="38" s="1"/>
  <c r="S260" i="38"/>
  <c r="S14" i="38"/>
  <c r="BE14" i="38" s="1"/>
  <c r="S125" i="38"/>
  <c r="S25" i="38"/>
  <c r="BE25" i="38" s="1"/>
  <c r="S157" i="38"/>
  <c r="BE157" i="38" s="1"/>
  <c r="S64" i="38"/>
  <c r="BE64" i="38" s="1"/>
  <c r="S226" i="38"/>
  <c r="S246" i="38"/>
  <c r="BE246" i="38" s="1"/>
  <c r="S35" i="38"/>
  <c r="BE35" i="38" s="1"/>
  <c r="S197" i="38"/>
  <c r="S171" i="38"/>
  <c r="BE171" i="38" s="1"/>
  <c r="S216" i="38"/>
  <c r="S217" i="38"/>
  <c r="BE217" i="38" s="1"/>
  <c r="S262" i="38"/>
  <c r="U262" i="38" s="1"/>
  <c r="S302" i="38"/>
  <c r="S137" i="38"/>
  <c r="BE137" i="38" s="1"/>
  <c r="S198" i="38"/>
  <c r="S192" i="38"/>
  <c r="BE192" i="38" s="1"/>
  <c r="S215" i="38"/>
  <c r="BE215" i="38" s="1"/>
  <c r="S269" i="38"/>
  <c r="S37" i="38"/>
  <c r="S118" i="38"/>
  <c r="S166" i="38"/>
  <c r="S175" i="38"/>
  <c r="BE175" i="38" s="1"/>
  <c r="S227" i="38"/>
  <c r="S312" i="38"/>
  <c r="BE312" i="38" s="1"/>
  <c r="S39" i="38"/>
  <c r="S32" i="38"/>
  <c r="BE32" i="38" s="1"/>
  <c r="S219" i="38"/>
  <c r="BE219" i="38" s="1"/>
  <c r="S208" i="38"/>
  <c r="BE208" i="38" s="1"/>
  <c r="S310" i="38"/>
  <c r="BE310" i="38" s="1"/>
  <c r="S49" i="38"/>
  <c r="S12" i="38"/>
  <c r="BE12" i="38" s="1"/>
  <c r="S38" i="38"/>
  <c r="S168" i="38"/>
  <c r="S88" i="38"/>
  <c r="BE88" i="38" s="1"/>
  <c r="S293" i="38"/>
  <c r="S202" i="38"/>
  <c r="BE202" i="38" s="1"/>
  <c r="S30" i="38"/>
  <c r="BE30" i="38" s="1"/>
  <c r="S67" i="38"/>
  <c r="BE67" i="38" s="1"/>
  <c r="S107" i="38"/>
  <c r="BE107" i="38" s="1"/>
  <c r="S74" i="38"/>
  <c r="BE74" i="38" s="1"/>
  <c r="S73" i="38"/>
  <c r="S150" i="38"/>
  <c r="BE150" i="38" s="1"/>
  <c r="S28" i="38"/>
  <c r="BE28" i="38" s="1"/>
  <c r="S50" i="38"/>
  <c r="BE50" i="38" s="1"/>
  <c r="S117" i="38"/>
  <c r="S176" i="38"/>
  <c r="BE176" i="38" s="1"/>
  <c r="S309" i="38"/>
  <c r="BE309" i="38" s="1"/>
  <c r="S152" i="38"/>
  <c r="S51" i="38"/>
  <c r="S109" i="38"/>
  <c r="BE109" i="38" s="1"/>
  <c r="S212" i="38"/>
  <c r="S221" i="38"/>
  <c r="S145" i="38"/>
  <c r="BE145" i="38" s="1"/>
  <c r="S180" i="38"/>
  <c r="S288" i="38"/>
  <c r="S194" i="38"/>
  <c r="S265" i="38"/>
  <c r="BE265" i="38" s="1"/>
  <c r="S55" i="38"/>
  <c r="BE55" i="38" s="1"/>
  <c r="S282" i="38"/>
  <c r="S116" i="38"/>
  <c r="S236" i="38"/>
  <c r="S292" i="38"/>
  <c r="S295" i="38"/>
  <c r="BE295" i="38" s="1"/>
  <c r="S240" i="38"/>
  <c r="BE240" i="38" s="1"/>
  <c r="S75" i="38"/>
  <c r="S315" i="38"/>
  <c r="BE315" i="38" s="1"/>
  <c r="S234" i="38"/>
  <c r="S243" i="38"/>
  <c r="S103" i="38"/>
  <c r="S237" i="38"/>
  <c r="BE237" i="38" s="1"/>
  <c r="S289" i="38"/>
  <c r="BE289" i="38" s="1"/>
  <c r="S311" i="38"/>
  <c r="BE311" i="38" s="1"/>
  <c r="S40" i="38"/>
  <c r="S33" i="38"/>
  <c r="BE33" i="38" s="1"/>
  <c r="S80" i="38"/>
  <c r="S141" i="38"/>
  <c r="S138" i="38"/>
  <c r="BE138" i="38" s="1"/>
  <c r="S276" i="38"/>
  <c r="S218" i="38"/>
  <c r="S102" i="38"/>
  <c r="BE102" i="38" s="1"/>
  <c r="S78" i="38"/>
  <c r="BE78" i="38" s="1"/>
  <c r="S290" i="38"/>
  <c r="BE290" i="38" s="1"/>
  <c r="S108" i="38"/>
  <c r="BE108" i="38" s="1"/>
  <c r="S52" i="38"/>
  <c r="BE52" i="38" s="1"/>
  <c r="S209" i="38"/>
  <c r="S84" i="38"/>
  <c r="S280" i="38"/>
  <c r="S207" i="38"/>
  <c r="S268" i="38"/>
  <c r="BE268" i="38" s="1"/>
  <c r="S44" i="38"/>
  <c r="S124" i="38"/>
  <c r="U124" i="38" s="1"/>
  <c r="S308" i="38"/>
  <c r="BE308" i="38" s="1"/>
  <c r="S95" i="38"/>
  <c r="BE95" i="38" s="1"/>
  <c r="S254" i="38"/>
  <c r="BE254" i="38" s="1"/>
  <c r="S251" i="38"/>
  <c r="S244" i="38"/>
  <c r="BE244" i="38" s="1"/>
  <c r="S249" i="38"/>
  <c r="S26" i="38"/>
  <c r="BE26" i="38" s="1"/>
  <c r="S294" i="38"/>
  <c r="S284" i="38"/>
  <c r="S199" i="38"/>
  <c r="S278" i="38"/>
  <c r="BE278" i="38" s="1"/>
  <c r="S120" i="38"/>
  <c r="BE120" i="38" s="1"/>
  <c r="S148" i="38"/>
  <c r="S76" i="38"/>
  <c r="S65" i="38"/>
  <c r="S162" i="38"/>
  <c r="BE162" i="38" s="1"/>
  <c r="S189" i="38"/>
  <c r="S281" i="38"/>
  <c r="S113" i="38"/>
  <c r="S97" i="38"/>
  <c r="S231" i="38"/>
  <c r="BE231" i="38" s="1"/>
  <c r="S313" i="38"/>
  <c r="S98" i="38"/>
  <c r="BE98" i="38" s="1"/>
  <c r="S79" i="38"/>
  <c r="BE79" i="38" s="1"/>
  <c r="S222" i="38"/>
  <c r="S200" i="38"/>
  <c r="S250" i="38"/>
  <c r="S99" i="38"/>
  <c r="S149" i="38"/>
  <c r="BE149" i="38" s="1"/>
  <c r="S241" i="38"/>
  <c r="BE241" i="38" s="1"/>
  <c r="S129" i="38"/>
  <c r="S154" i="38"/>
  <c r="BE154" i="38" s="1"/>
  <c r="S299" i="38"/>
  <c r="BE299" i="38" s="1"/>
  <c r="S22" i="38"/>
  <c r="BE22" i="38" s="1"/>
  <c r="S89" i="38"/>
  <c r="BE89" i="38" s="1"/>
  <c r="S256" i="38"/>
  <c r="S94" i="38"/>
  <c r="S286" i="38"/>
  <c r="BE286" i="38" s="1"/>
  <c r="S305" i="38"/>
  <c r="BE305" i="38" s="1"/>
  <c r="S47" i="38"/>
  <c r="BE47" i="38" s="1"/>
  <c r="S114" i="38"/>
  <c r="BE114" i="38" s="1"/>
  <c r="S105" i="38"/>
  <c r="BE105" i="38" s="1"/>
  <c r="S159" i="38"/>
  <c r="BE159" i="38" s="1"/>
  <c r="S170" i="38"/>
  <c r="S187" i="38"/>
  <c r="BE187" i="38" s="1"/>
  <c r="S238" i="38"/>
  <c r="BE238" i="38" s="1"/>
  <c r="S258" i="38"/>
  <c r="S96" i="38"/>
  <c r="BE96" i="38" s="1"/>
  <c r="S172" i="38"/>
  <c r="S100" i="38"/>
  <c r="BE100" i="38" s="1"/>
  <c r="S239" i="38"/>
  <c r="BE239" i="38" s="1"/>
  <c r="S131" i="38"/>
  <c r="BE131" i="38" s="1"/>
  <c r="S301" i="38"/>
  <c r="BE301" i="38" s="1"/>
  <c r="S101" i="38"/>
  <c r="BE101" i="38" s="1"/>
  <c r="S70" i="38"/>
  <c r="BE70" i="38" s="1"/>
  <c r="S245" i="38"/>
  <c r="BE245" i="38" s="1"/>
  <c r="S115" i="38"/>
  <c r="S144" i="38"/>
  <c r="S261" i="38"/>
  <c r="S27" i="38"/>
  <c r="S53" i="38"/>
  <c r="S151" i="38"/>
  <c r="S41" i="38"/>
  <c r="BE41" i="38" s="1"/>
  <c r="S132" i="38"/>
  <c r="BE132" i="38" s="1"/>
  <c r="S112" i="38"/>
  <c r="BE112" i="38" s="1"/>
  <c r="S130" i="38"/>
  <c r="BE130" i="38" s="1"/>
  <c r="S283" i="38"/>
  <c r="S277" i="38"/>
  <c r="BE277" i="38" s="1"/>
  <c r="S206" i="38"/>
  <c r="S303" i="38"/>
  <c r="BE303" i="38" s="1"/>
  <c r="S169" i="38"/>
  <c r="BE169" i="38" s="1"/>
  <c r="S160" i="38"/>
  <c r="BE160" i="38" s="1"/>
  <c r="S92" i="38"/>
  <c r="S119" i="38"/>
  <c r="BE119" i="38" s="1"/>
  <c r="S214" i="38"/>
  <c r="S220" i="38"/>
  <c r="BE220" i="38" s="1"/>
  <c r="S304" i="38"/>
  <c r="S122" i="38"/>
  <c r="S296" i="38"/>
  <c r="BE296" i="38" s="1"/>
  <c r="S201" i="38"/>
  <c r="S16" i="38"/>
  <c r="BE16" i="38" s="1"/>
  <c r="S314" i="38"/>
  <c r="S156" i="38"/>
  <c r="BE156" i="38" s="1"/>
  <c r="S285" i="38"/>
  <c r="BE285" i="38" s="1"/>
  <c r="S85" i="38"/>
  <c r="S83" i="38"/>
  <c r="BE83" i="38" s="1"/>
  <c r="S106" i="38"/>
  <c r="BE106" i="38" s="1"/>
  <c r="S58" i="38"/>
  <c r="BE58" i="38" s="1"/>
  <c r="S271" i="38"/>
  <c r="S297" i="38"/>
  <c r="S184" i="38"/>
  <c r="BE184" i="38" s="1"/>
  <c r="S139" i="38"/>
  <c r="BE139" i="38" s="1"/>
  <c r="S275" i="38"/>
  <c r="S128" i="38"/>
  <c r="BE128" i="38" s="1"/>
  <c r="S164" i="38"/>
  <c r="BE164" i="38" s="1"/>
  <c r="S229" i="38"/>
  <c r="BE229" i="38" s="1"/>
  <c r="S178" i="38"/>
  <c r="BE178" i="38" s="1"/>
  <c r="S104" i="38"/>
  <c r="BE104" i="38" s="1"/>
  <c r="S68" i="38"/>
  <c r="BE68" i="38" s="1"/>
  <c r="S140" i="38"/>
  <c r="S228" i="38"/>
  <c r="BE228" i="38" s="1"/>
  <c r="S267" i="38"/>
  <c r="U34" i="38"/>
  <c r="AH34" i="38" s="1"/>
  <c r="U71" i="38"/>
  <c r="S318" i="38"/>
  <c r="BE318" i="38" s="1"/>
  <c r="U264" i="38"/>
  <c r="S203" i="38"/>
  <c r="BE203" i="38" s="1"/>
  <c r="U225" i="38"/>
  <c r="U11" i="38"/>
  <c r="S177" i="38"/>
  <c r="BE177" i="38" s="1"/>
  <c r="S13" i="38"/>
  <c r="BE13" i="38" s="1"/>
  <c r="U193" i="38"/>
  <c r="S23" i="38"/>
  <c r="BE23" i="38" s="1"/>
  <c r="S72" i="38"/>
  <c r="BE72" i="38" s="1"/>
  <c r="S91" i="38"/>
  <c r="BE91" i="38" s="1"/>
  <c r="U255" i="38"/>
  <c r="U272" i="38"/>
  <c r="U77" i="38"/>
  <c r="S191" i="38"/>
  <c r="BE191" i="38" s="1"/>
  <c r="U179" i="38"/>
  <c r="U136" i="38"/>
  <c r="S188" i="38"/>
  <c r="BE188" i="38" s="1"/>
  <c r="U210" i="38"/>
  <c r="S248" i="38"/>
  <c r="S81" i="38"/>
  <c r="BE81" i="38" s="1"/>
  <c r="S66" i="38"/>
  <c r="BE66" i="38" s="1"/>
  <c r="U263" i="38"/>
  <c r="S224" i="38"/>
  <c r="BE224" i="38" s="1"/>
  <c r="U86" i="38"/>
  <c r="S173" i="38"/>
  <c r="BE173" i="38" s="1"/>
  <c r="U279" i="38"/>
  <c r="S266" i="38"/>
  <c r="BE266" i="38" s="1"/>
  <c r="S181" i="38"/>
  <c r="BE181" i="38" s="1"/>
  <c r="S257" i="38"/>
  <c r="U29" i="38"/>
  <c r="S252" i="38"/>
  <c r="BE252" i="38" s="1"/>
  <c r="U273" i="38"/>
  <c r="S36" i="38"/>
  <c r="BE36" i="38" s="1"/>
  <c r="S134" i="38"/>
  <c r="U21" i="38"/>
  <c r="S205" i="38"/>
  <c r="BE205" i="38" s="1"/>
  <c r="S167" i="38"/>
  <c r="BE167" i="38" s="1"/>
  <c r="S204" i="38"/>
  <c r="BE204" i="38" s="1"/>
  <c r="L6" i="38" l="1"/>
  <c r="U14" i="38"/>
  <c r="S223" i="38"/>
  <c r="BZ8" i="38"/>
  <c r="CC8" i="38"/>
  <c r="S60" i="38"/>
  <c r="BE60" i="38" s="1"/>
  <c r="P8" i="38"/>
  <c r="U165" i="38"/>
  <c r="AH165" i="38" s="1"/>
  <c r="S69" i="38"/>
  <c r="AE69" i="38"/>
  <c r="AK235" i="38"/>
  <c r="AH235" i="38"/>
  <c r="U17" i="38"/>
  <c r="AK17" i="38" s="1"/>
  <c r="U233" i="38"/>
  <c r="V233" i="38" s="1"/>
  <c r="U309" i="38"/>
  <c r="AK309" i="38" s="1"/>
  <c r="U192" i="38"/>
  <c r="AK192" i="38" s="1"/>
  <c r="AH54" i="38"/>
  <c r="V54" i="38"/>
  <c r="W54" i="38" s="1"/>
  <c r="U56" i="38"/>
  <c r="AK56" i="38" s="1"/>
  <c r="U186" i="38"/>
  <c r="AH186" i="38" s="1"/>
  <c r="U24" i="38"/>
  <c r="AK24" i="38" s="1"/>
  <c r="U196" i="38"/>
  <c r="AK196" i="38" s="1"/>
  <c r="U45" i="38"/>
  <c r="AK45" i="38" s="1"/>
  <c r="U42" i="38"/>
  <c r="AK42" i="38" s="1"/>
  <c r="U32" i="38"/>
  <c r="AH32" i="38" s="1"/>
  <c r="U108" i="38"/>
  <c r="V108" i="38" s="1"/>
  <c r="U232" i="38"/>
  <c r="V232" i="38" s="1"/>
  <c r="U150" i="38"/>
  <c r="AK150" i="38" s="1"/>
  <c r="U300" i="38"/>
  <c r="AH300" i="38" s="1"/>
  <c r="AJ134" i="38"/>
  <c r="BE134" i="38"/>
  <c r="AJ257" i="38"/>
  <c r="BE257" i="38"/>
  <c r="AJ248" i="38"/>
  <c r="BE248" i="38"/>
  <c r="U267" i="38"/>
  <c r="AK267" i="38" s="1"/>
  <c r="BE267" i="38"/>
  <c r="U140" i="38"/>
  <c r="AK140" i="38" s="1"/>
  <c r="BE140" i="38"/>
  <c r="U275" i="38"/>
  <c r="V275" i="38" s="1"/>
  <c r="BE275" i="38"/>
  <c r="U297" i="38"/>
  <c r="AK297" i="38" s="1"/>
  <c r="BE297" i="38"/>
  <c r="AE271" i="38"/>
  <c r="BE271" i="38"/>
  <c r="U85" i="38"/>
  <c r="AH85" i="38" s="1"/>
  <c r="BE85" i="38"/>
  <c r="U314" i="38"/>
  <c r="AK314" i="38" s="1"/>
  <c r="BE314" i="38"/>
  <c r="U201" i="38"/>
  <c r="AH201" i="38" s="1"/>
  <c r="BE201" i="38"/>
  <c r="AJ122" i="38"/>
  <c r="BE122" i="38"/>
  <c r="U304" i="38"/>
  <c r="AK304" i="38" s="1"/>
  <c r="BE304" i="38"/>
  <c r="U214" i="38"/>
  <c r="AK214" i="38" s="1"/>
  <c r="BE214" i="38"/>
  <c r="U92" i="38"/>
  <c r="AK92" i="38" s="1"/>
  <c r="BE92" i="38"/>
  <c r="U206" i="38"/>
  <c r="AK206" i="38" s="1"/>
  <c r="BE206" i="38"/>
  <c r="AJ283" i="38"/>
  <c r="BE283" i="38"/>
  <c r="U151" i="38"/>
  <c r="AK151" i="38" s="1"/>
  <c r="BE151" i="38"/>
  <c r="U53" i="38"/>
  <c r="V53" i="38" s="1"/>
  <c r="BE53" i="38"/>
  <c r="U27" i="38"/>
  <c r="V27" i="38" s="1"/>
  <c r="W27" i="38" s="1"/>
  <c r="BE27" i="38"/>
  <c r="U261" i="38"/>
  <c r="V261" i="38" s="1"/>
  <c r="BE261" i="38"/>
  <c r="AJ144" i="38"/>
  <c r="BE144" i="38"/>
  <c r="AE115" i="38"/>
  <c r="BE115" i="38"/>
  <c r="U172" i="38"/>
  <c r="AH172" i="38" s="1"/>
  <c r="BE172" i="38"/>
  <c r="AE258" i="38"/>
  <c r="BE258" i="38"/>
  <c r="U170" i="38"/>
  <c r="V170" i="38" s="1"/>
  <c r="BE170" i="38"/>
  <c r="U94" i="38"/>
  <c r="AK94" i="38" s="1"/>
  <c r="BE94" i="38"/>
  <c r="U256" i="38"/>
  <c r="V256" i="38" s="1"/>
  <c r="BE256" i="38"/>
  <c r="AJ129" i="38"/>
  <c r="BE129" i="38"/>
  <c r="U99" i="38"/>
  <c r="AH99" i="38" s="1"/>
  <c r="BE99" i="38"/>
  <c r="AJ250" i="38"/>
  <c r="BE250" i="38"/>
  <c r="U200" i="38"/>
  <c r="AH200" i="38" s="1"/>
  <c r="BE200" i="38"/>
  <c r="U222" i="38"/>
  <c r="AH222" i="38" s="1"/>
  <c r="BE222" i="38"/>
  <c r="U313" i="38"/>
  <c r="AK313" i="38" s="1"/>
  <c r="BE313" i="38"/>
  <c r="U97" i="38"/>
  <c r="AH97" i="38" s="1"/>
  <c r="BE97" i="38"/>
  <c r="U113" i="38"/>
  <c r="AH113" i="38" s="1"/>
  <c r="BE113" i="38"/>
  <c r="AE281" i="38"/>
  <c r="BE281" i="38"/>
  <c r="U189" i="38"/>
  <c r="AH189" i="38" s="1"/>
  <c r="BE189" i="38"/>
  <c r="U65" i="38"/>
  <c r="V65" i="38" s="1"/>
  <c r="BE65" i="38"/>
  <c r="U76" i="38"/>
  <c r="AH76" i="38" s="1"/>
  <c r="BE76" i="38"/>
  <c r="U148" i="38"/>
  <c r="AK148" i="38" s="1"/>
  <c r="BE148" i="38"/>
  <c r="U199" i="38"/>
  <c r="V199" i="38" s="1"/>
  <c r="BE199" i="38"/>
  <c r="AJ284" i="38"/>
  <c r="BE284" i="38"/>
  <c r="U294" i="38"/>
  <c r="AH294" i="38" s="1"/>
  <c r="BE294" i="38"/>
  <c r="U249" i="38"/>
  <c r="AK249" i="38" s="1"/>
  <c r="BE249" i="38"/>
  <c r="U251" i="38"/>
  <c r="V251" i="38" s="1"/>
  <c r="W251" i="38" s="1"/>
  <c r="BE251" i="38"/>
  <c r="AJ124" i="38"/>
  <c r="BE124" i="38"/>
  <c r="U44" i="38"/>
  <c r="V44" i="38" s="1"/>
  <c r="BE44" i="38"/>
  <c r="U207" i="38"/>
  <c r="AK207" i="38" s="1"/>
  <c r="BE207" i="38"/>
  <c r="AJ280" i="38"/>
  <c r="BE280" i="38"/>
  <c r="U84" i="38"/>
  <c r="AK84" i="38" s="1"/>
  <c r="BE84" i="38"/>
  <c r="U209" i="38"/>
  <c r="AH209" i="38" s="1"/>
  <c r="BE209" i="38"/>
  <c r="U218" i="38"/>
  <c r="AK218" i="38" s="1"/>
  <c r="BE218" i="38"/>
  <c r="U276" i="38"/>
  <c r="AH276" i="38" s="1"/>
  <c r="BE276" i="38"/>
  <c r="AJ141" i="38"/>
  <c r="BE141" i="38"/>
  <c r="U80" i="38"/>
  <c r="V80" i="38" s="1"/>
  <c r="BE80" i="38"/>
  <c r="U40" i="38"/>
  <c r="AK40" i="38" s="1"/>
  <c r="BE40" i="38"/>
  <c r="U103" i="38"/>
  <c r="AK103" i="38" s="1"/>
  <c r="BE103" i="38"/>
  <c r="AJ243" i="38"/>
  <c r="BE243" i="38"/>
  <c r="U234" i="38"/>
  <c r="AH234" i="38" s="1"/>
  <c r="BE234" i="38"/>
  <c r="U75" i="38"/>
  <c r="AH75" i="38" s="1"/>
  <c r="BE75" i="38"/>
  <c r="U292" i="38"/>
  <c r="AK292" i="38" s="1"/>
  <c r="BE292" i="38"/>
  <c r="U236" i="38"/>
  <c r="AH236" i="38" s="1"/>
  <c r="BE236" i="38"/>
  <c r="AJ116" i="38"/>
  <c r="BE116" i="38"/>
  <c r="AJ282" i="38"/>
  <c r="BE282" i="38"/>
  <c r="U194" i="38"/>
  <c r="AK194" i="38" s="1"/>
  <c r="BE194" i="38"/>
  <c r="U288" i="38"/>
  <c r="AH288" i="38" s="1"/>
  <c r="BE288" i="38"/>
  <c r="U180" i="38"/>
  <c r="V180" i="38" s="1"/>
  <c r="BE180" i="38"/>
  <c r="U221" i="38"/>
  <c r="V221" i="38" s="1"/>
  <c r="W221" i="38" s="1"/>
  <c r="Y221" i="38" s="1"/>
  <c r="Z221" i="38" s="1"/>
  <c r="BE221" i="38"/>
  <c r="U212" i="38"/>
  <c r="AH212" i="38" s="1"/>
  <c r="BE212" i="38"/>
  <c r="U51" i="38"/>
  <c r="AH51" i="38" s="1"/>
  <c r="BE51" i="38"/>
  <c r="U152" i="38"/>
  <c r="AK152" i="38" s="1"/>
  <c r="BE152" i="38"/>
  <c r="U182" i="38"/>
  <c r="AK182" i="38" s="1"/>
  <c r="BE182" i="38"/>
  <c r="AJ117" i="38"/>
  <c r="BE117" i="38"/>
  <c r="U73" i="38"/>
  <c r="V73" i="38" s="1"/>
  <c r="BE73" i="38"/>
  <c r="U293" i="38"/>
  <c r="AH293" i="38" s="1"/>
  <c r="BE293" i="38"/>
  <c r="U168" i="38"/>
  <c r="AK168" i="38" s="1"/>
  <c r="BE168" i="38"/>
  <c r="U38" i="38"/>
  <c r="AH38" i="38" s="1"/>
  <c r="BE38" i="38"/>
  <c r="U49" i="38"/>
  <c r="AK49" i="38" s="1"/>
  <c r="BE49" i="38"/>
  <c r="U39" i="38"/>
  <c r="AH39" i="38" s="1"/>
  <c r="BE39" i="38"/>
  <c r="U227" i="38"/>
  <c r="V227" i="38" s="1"/>
  <c r="BE227" i="38"/>
  <c r="U166" i="38"/>
  <c r="AH166" i="38" s="1"/>
  <c r="BE166" i="38"/>
  <c r="AJ118" i="38"/>
  <c r="BE118" i="38"/>
  <c r="U37" i="38"/>
  <c r="V37" i="38" s="1"/>
  <c r="BE37" i="38"/>
  <c r="U269" i="38"/>
  <c r="AK269" i="38" s="1"/>
  <c r="BE269" i="38"/>
  <c r="U198" i="38"/>
  <c r="AH198" i="38" s="1"/>
  <c r="BE198" i="38"/>
  <c r="U302" i="38"/>
  <c r="V302" i="38" s="1"/>
  <c r="BE302" i="38"/>
  <c r="AJ262" i="38"/>
  <c r="BE262" i="38"/>
  <c r="U216" i="38"/>
  <c r="V216" i="38" s="1"/>
  <c r="BE216" i="38"/>
  <c r="U197" i="38"/>
  <c r="AK197" i="38" s="1"/>
  <c r="BE197" i="38"/>
  <c r="U226" i="38"/>
  <c r="AH226" i="38" s="1"/>
  <c r="BE226" i="38"/>
  <c r="AJ125" i="38"/>
  <c r="BE125" i="38"/>
  <c r="U260" i="38"/>
  <c r="V260" i="38" s="1"/>
  <c r="W260" i="38" s="1"/>
  <c r="BE260" i="38"/>
  <c r="AJ247" i="38"/>
  <c r="BE247" i="38"/>
  <c r="U163" i="38"/>
  <c r="V163" i="38" s="1"/>
  <c r="BE163" i="38"/>
  <c r="AJ242" i="38"/>
  <c r="BE242" i="38"/>
  <c r="U185" i="38"/>
  <c r="AH185" i="38" s="1"/>
  <c r="BE185" i="38"/>
  <c r="AJ253" i="38"/>
  <c r="BE253" i="38"/>
  <c r="U183" i="38"/>
  <c r="AH183" i="38" s="1"/>
  <c r="BE183" i="38"/>
  <c r="U317" i="38"/>
  <c r="AK317" i="38" s="1"/>
  <c r="BE317" i="38"/>
  <c r="AJ123" i="38"/>
  <c r="BE123" i="38"/>
  <c r="U110" i="38"/>
  <c r="AK110" i="38" s="1"/>
  <c r="BE110" i="38"/>
  <c r="U298" i="38"/>
  <c r="AK298" i="38" s="1"/>
  <c r="BE298" i="38"/>
  <c r="U316" i="38"/>
  <c r="AH316" i="38" s="1"/>
  <c r="BE316" i="38"/>
  <c r="U306" i="38"/>
  <c r="AK306" i="38" s="1"/>
  <c r="BE306" i="38"/>
  <c r="U259" i="38"/>
  <c r="AK259" i="38" s="1"/>
  <c r="BE259" i="38"/>
  <c r="U147" i="38"/>
  <c r="AH147" i="38" s="1"/>
  <c r="BE147" i="38"/>
  <c r="U230" i="38"/>
  <c r="V230" i="38" s="1"/>
  <c r="BE230" i="38"/>
  <c r="U61" i="38"/>
  <c r="AK61" i="38" s="1"/>
  <c r="BE61" i="38"/>
  <c r="U19" i="38"/>
  <c r="V19" i="38" s="1"/>
  <c r="W19" i="38" s="1"/>
  <c r="BE19" i="38"/>
  <c r="U174" i="38"/>
  <c r="AK174" i="38" s="1"/>
  <c r="BE174" i="38"/>
  <c r="U307" i="38"/>
  <c r="V307" i="38" s="1"/>
  <c r="W307" i="38" s="1"/>
  <c r="BE307" i="38"/>
  <c r="U211" i="38"/>
  <c r="V211" i="38" s="1"/>
  <c r="W211" i="38" s="1"/>
  <c r="BE211" i="38"/>
  <c r="U213" i="38"/>
  <c r="BE213" i="38"/>
  <c r="U126" i="38"/>
  <c r="AK126" i="38" s="1"/>
  <c r="BE126" i="38"/>
  <c r="U270" i="38"/>
  <c r="AH270" i="38" s="1"/>
  <c r="BE270" i="38"/>
  <c r="U142" i="38"/>
  <c r="AK142" i="38" s="1"/>
  <c r="BE142" i="38"/>
  <c r="U161" i="38"/>
  <c r="V161" i="38" s="1"/>
  <c r="BE161" i="38"/>
  <c r="AJ133" i="38"/>
  <c r="BE133" i="38"/>
  <c r="U87" i="38"/>
  <c r="AH87" i="38" s="1"/>
  <c r="BE87" i="38"/>
  <c r="U63" i="38"/>
  <c r="V63" i="38" s="1"/>
  <c r="BE63" i="38"/>
  <c r="U287" i="38"/>
  <c r="AK287" i="38" s="1"/>
  <c r="BE287" i="38"/>
  <c r="U291" i="38"/>
  <c r="AH291" i="38" s="1"/>
  <c r="BE291" i="38"/>
  <c r="U31" i="38"/>
  <c r="AK31" i="38" s="1"/>
  <c r="BE31" i="38"/>
  <c r="U223" i="38"/>
  <c r="AK223" i="38" s="1"/>
  <c r="BE223" i="38"/>
  <c r="AJ135" i="38"/>
  <c r="BE135" i="38"/>
  <c r="U190" i="38"/>
  <c r="AK190" i="38" s="1"/>
  <c r="BE190" i="38"/>
  <c r="U153" i="38"/>
  <c r="AH153" i="38" s="1"/>
  <c r="BE153" i="38"/>
  <c r="AJ127" i="38"/>
  <c r="BE127" i="38"/>
  <c r="AE121" i="38"/>
  <c r="BE121" i="38"/>
  <c r="U46" i="38"/>
  <c r="AK46" i="38" s="1"/>
  <c r="BE46" i="38"/>
  <c r="U111" i="38"/>
  <c r="AH111" i="38" s="1"/>
  <c r="BE111" i="38"/>
  <c r="U93" i="38"/>
  <c r="AH93" i="38" s="1"/>
  <c r="BE93" i="38"/>
  <c r="U59" i="38"/>
  <c r="AK59" i="38" s="1"/>
  <c r="U158" i="38"/>
  <c r="AH158" i="38" s="1"/>
  <c r="U319" i="38"/>
  <c r="V319" i="38" s="1"/>
  <c r="U283" i="38"/>
  <c r="V283" i="38" s="1"/>
  <c r="U89" i="38"/>
  <c r="AH89" i="38" s="1"/>
  <c r="U250" i="38"/>
  <c r="AK250" i="38" s="1"/>
  <c r="U57" i="38"/>
  <c r="AK57" i="38" s="1"/>
  <c r="U217" i="38"/>
  <c r="AK217" i="38" s="1"/>
  <c r="U208" i="38"/>
  <c r="AH208" i="38" s="1"/>
  <c r="U295" i="38"/>
  <c r="AK295" i="38" s="1"/>
  <c r="U83" i="38"/>
  <c r="AK83" i="38" s="1"/>
  <c r="U141" i="38"/>
  <c r="V141" i="38" s="1"/>
  <c r="U123" i="38"/>
  <c r="AH123" i="38" s="1"/>
  <c r="U171" i="38"/>
  <c r="AK171" i="38" s="1"/>
  <c r="U25" i="38"/>
  <c r="AK25" i="38" s="1"/>
  <c r="U265" i="38"/>
  <c r="AH265" i="38" s="1"/>
  <c r="U62" i="38"/>
  <c r="AH62" i="38" s="1"/>
  <c r="U274" i="38"/>
  <c r="V274" i="38" s="1"/>
  <c r="U133" i="38"/>
  <c r="V133" i="38" s="1"/>
  <c r="U215" i="38"/>
  <c r="AH215" i="38" s="1"/>
  <c r="U67" i="38"/>
  <c r="AH67" i="38" s="1"/>
  <c r="U311" i="38"/>
  <c r="AH311" i="38" s="1"/>
  <c r="U125" i="38"/>
  <c r="AK125" i="38" s="1"/>
  <c r="U18" i="38"/>
  <c r="AH18" i="38" s="1"/>
  <c r="U240" i="38"/>
  <c r="AH240" i="38" s="1"/>
  <c r="U121" i="38"/>
  <c r="V121" i="38" s="1"/>
  <c r="U15" i="38"/>
  <c r="V15" i="38" s="1"/>
  <c r="U41" i="38"/>
  <c r="V41" i="38" s="1"/>
  <c r="U243" i="38"/>
  <c r="V243" i="38" s="1"/>
  <c r="U282" i="38"/>
  <c r="AK282" i="38" s="1"/>
  <c r="U202" i="38"/>
  <c r="AH202" i="38" s="1"/>
  <c r="U118" i="38"/>
  <c r="V118" i="38" s="1"/>
  <c r="U47" i="38"/>
  <c r="AK47" i="38" s="1"/>
  <c r="U135" i="38"/>
  <c r="AH135" i="38" s="1"/>
  <c r="U101" i="38"/>
  <c r="AK101" i="38" s="1"/>
  <c r="U10" i="38"/>
  <c r="AH10" i="38" s="1"/>
  <c r="U43" i="38"/>
  <c r="AH43" i="38" s="1"/>
  <c r="U129" i="38"/>
  <c r="AH129" i="38" s="1"/>
  <c r="U82" i="38"/>
  <c r="V82" i="38" s="1"/>
  <c r="U116" i="38"/>
  <c r="AK116" i="38" s="1"/>
  <c r="U241" i="38"/>
  <c r="V241" i="38" s="1"/>
  <c r="U64" i="38"/>
  <c r="AH64" i="38" s="1"/>
  <c r="U169" i="38"/>
  <c r="AH169" i="38" s="1"/>
  <c r="U162" i="38"/>
  <c r="AK162" i="38" s="1"/>
  <c r="U195" i="38"/>
  <c r="AK195" i="38" s="1"/>
  <c r="U308" i="38"/>
  <c r="AK308" i="38" s="1"/>
  <c r="U33" i="38"/>
  <c r="AK33" i="38" s="1"/>
  <c r="U74" i="38"/>
  <c r="AH74" i="38" s="1"/>
  <c r="U155" i="38"/>
  <c r="AH155" i="38" s="1"/>
  <c r="U154" i="38"/>
  <c r="AK154" i="38" s="1"/>
  <c r="U303" i="38"/>
  <c r="AK303" i="38" s="1"/>
  <c r="U187" i="38"/>
  <c r="AK187" i="38" s="1"/>
  <c r="U284" i="38"/>
  <c r="AK284" i="38" s="1"/>
  <c r="U184" i="38"/>
  <c r="AH184" i="38" s="1"/>
  <c r="U242" i="38"/>
  <c r="AH242" i="38" s="1"/>
  <c r="U102" i="38"/>
  <c r="AH102" i="38" s="1"/>
  <c r="U280" i="38"/>
  <c r="AH280" i="38" s="1"/>
  <c r="U55" i="38"/>
  <c r="AK55" i="38" s="1"/>
  <c r="U305" i="38"/>
  <c r="AK305" i="38" s="1"/>
  <c r="U289" i="38"/>
  <c r="AK289" i="38" s="1"/>
  <c r="U312" i="38"/>
  <c r="AK312" i="38" s="1"/>
  <c r="U104" i="38"/>
  <c r="AH104" i="38" s="1"/>
  <c r="U122" i="38"/>
  <c r="AH122" i="38" s="1"/>
  <c r="U30" i="38"/>
  <c r="AK30" i="38" s="1"/>
  <c r="U96" i="38"/>
  <c r="AH96" i="38" s="1"/>
  <c r="U258" i="38"/>
  <c r="AH258" i="38" s="1"/>
  <c r="U239" i="38"/>
  <c r="AK239" i="38" s="1"/>
  <c r="U159" i="38"/>
  <c r="AH159" i="38" s="1"/>
  <c r="U50" i="38"/>
  <c r="AH50" i="38" s="1"/>
  <c r="U253" i="38"/>
  <c r="V253" i="38" s="1"/>
  <c r="W253" i="38" s="1"/>
  <c r="U271" i="38"/>
  <c r="AK271" i="38" s="1"/>
  <c r="U117" i="38"/>
  <c r="AK117" i="38" s="1"/>
  <c r="U52" i="38"/>
  <c r="V52" i="38" s="1"/>
  <c r="U281" i="38"/>
  <c r="AK281" i="38" s="1"/>
  <c r="U164" i="38"/>
  <c r="V164" i="38" s="1"/>
  <c r="U98" i="38"/>
  <c r="V98" i="38" s="1"/>
  <c r="U79" i="38"/>
  <c r="AK79" i="38" s="1"/>
  <c r="U68" i="38"/>
  <c r="AH68" i="38" s="1"/>
  <c r="U144" i="38"/>
  <c r="V144" i="38" s="1"/>
  <c r="AJ139" i="38"/>
  <c r="AJ140" i="38"/>
  <c r="AJ131" i="38"/>
  <c r="AJ256" i="38"/>
  <c r="AJ120" i="38"/>
  <c r="U244" i="38"/>
  <c r="V244" i="38" s="1"/>
  <c r="AJ244" i="38"/>
  <c r="U146" i="38"/>
  <c r="AJ146" i="38"/>
  <c r="U296" i="38"/>
  <c r="AH296" i="38" s="1"/>
  <c r="U119" i="38"/>
  <c r="AH119" i="38" s="1"/>
  <c r="AJ119" i="38"/>
  <c r="U130" i="38"/>
  <c r="AH130" i="38" s="1"/>
  <c r="AJ130" i="38"/>
  <c r="U278" i="38"/>
  <c r="AK278" i="38" s="1"/>
  <c r="AJ278" i="38"/>
  <c r="AJ288" i="38"/>
  <c r="AJ128" i="38"/>
  <c r="U286" i="38"/>
  <c r="AH286" i="38" s="1"/>
  <c r="AJ286" i="38"/>
  <c r="U143" i="38"/>
  <c r="AK143" i="38" s="1"/>
  <c r="AJ143" i="38"/>
  <c r="AJ142" i="38"/>
  <c r="AJ285" i="38"/>
  <c r="U132" i="38"/>
  <c r="AK132" i="38" s="1"/>
  <c r="AJ132" i="38"/>
  <c r="AJ245" i="38"/>
  <c r="AJ114" i="38"/>
  <c r="AJ299" i="38"/>
  <c r="AJ138" i="38"/>
  <c r="U145" i="38"/>
  <c r="AH145" i="38" s="1"/>
  <c r="AJ145" i="38"/>
  <c r="U137" i="38"/>
  <c r="AH137" i="38" s="1"/>
  <c r="AJ137" i="38"/>
  <c r="AJ246" i="38"/>
  <c r="AJ126" i="38"/>
  <c r="AL126" i="38" s="1"/>
  <c r="AJ287" i="38"/>
  <c r="U299" i="38"/>
  <c r="V299" i="38" s="1"/>
  <c r="U156" i="38"/>
  <c r="AK156" i="38" s="1"/>
  <c r="U120" i="38"/>
  <c r="AH120" i="38" s="1"/>
  <c r="U106" i="38"/>
  <c r="AK106" i="38" s="1"/>
  <c r="U178" i="38"/>
  <c r="AK178" i="38" s="1"/>
  <c r="U315" i="38"/>
  <c r="AH315" i="38" s="1"/>
  <c r="U219" i="38"/>
  <c r="V219" i="38" s="1"/>
  <c r="U131" i="38"/>
  <c r="V131" i="38" s="1"/>
  <c r="AK27" i="38"/>
  <c r="U310" i="38"/>
  <c r="AH310" i="38" s="1"/>
  <c r="U220" i="38"/>
  <c r="AH220" i="38" s="1"/>
  <c r="U70" i="38"/>
  <c r="AK70" i="38" s="1"/>
  <c r="U128" i="38"/>
  <c r="AK128" i="38" s="1"/>
  <c r="U112" i="38"/>
  <c r="AK112" i="38" s="1"/>
  <c r="U245" i="38"/>
  <c r="AK245" i="38" s="1"/>
  <c r="U268" i="38"/>
  <c r="AH268" i="38" s="1"/>
  <c r="U90" i="38"/>
  <c r="AH90" i="38" s="1"/>
  <c r="U231" i="38"/>
  <c r="AH231" i="38" s="1"/>
  <c r="U238" i="38"/>
  <c r="AH238" i="38" s="1"/>
  <c r="U107" i="38"/>
  <c r="AH107" i="38" s="1"/>
  <c r="U290" i="38"/>
  <c r="AK290" i="38" s="1"/>
  <c r="U160" i="38"/>
  <c r="V160" i="38" s="1"/>
  <c r="U114" i="38"/>
  <c r="V114" i="38" s="1"/>
  <c r="U35" i="38"/>
  <c r="AK35" i="38" s="1"/>
  <c r="U20" i="38"/>
  <c r="V20" i="38" s="1"/>
  <c r="W20" i="38" s="1"/>
  <c r="U285" i="38"/>
  <c r="AH285" i="38" s="1"/>
  <c r="U105" i="38"/>
  <c r="AK105" i="38" s="1"/>
  <c r="U78" i="38"/>
  <c r="AH78" i="38" s="1"/>
  <c r="U115" i="38"/>
  <c r="AK115" i="38" s="1"/>
  <c r="U301" i="38"/>
  <c r="V301" i="38" s="1"/>
  <c r="U254" i="38"/>
  <c r="AK254" i="38" s="1"/>
  <c r="U229" i="38"/>
  <c r="AK229" i="38" s="1"/>
  <c r="U149" i="38"/>
  <c r="AK149" i="38" s="1"/>
  <c r="U12" i="38"/>
  <c r="AK12" i="38" s="1"/>
  <c r="U277" i="38"/>
  <c r="AK277" i="38" s="1"/>
  <c r="U175" i="38"/>
  <c r="AH175" i="38" s="1"/>
  <c r="U88" i="38"/>
  <c r="AK88" i="38" s="1"/>
  <c r="U48" i="38"/>
  <c r="AH48" i="38" s="1"/>
  <c r="U228" i="38"/>
  <c r="V228" i="38" s="1"/>
  <c r="W228" i="38" s="1"/>
  <c r="U237" i="38"/>
  <c r="AH237" i="38" s="1"/>
  <c r="U176" i="38"/>
  <c r="AH176" i="38" s="1"/>
  <c r="U58" i="38"/>
  <c r="AK58" i="38" s="1"/>
  <c r="U16" i="38"/>
  <c r="AK16" i="38" s="1"/>
  <c r="U139" i="38"/>
  <c r="AK139" i="38" s="1"/>
  <c r="U22" i="38"/>
  <c r="AH22" i="38" s="1"/>
  <c r="U28" i="38"/>
  <c r="AK28" i="38" s="1"/>
  <c r="U138" i="38"/>
  <c r="V138" i="38" s="1"/>
  <c r="U157" i="38"/>
  <c r="V157" i="38" s="1"/>
  <c r="U95" i="38"/>
  <c r="AK95" i="38" s="1"/>
  <c r="U100" i="38"/>
  <c r="AH100" i="38" s="1"/>
  <c r="U246" i="38"/>
  <c r="V246" i="38" s="1"/>
  <c r="U109" i="38"/>
  <c r="AH109" i="38" s="1"/>
  <c r="U26" i="38"/>
  <c r="AH26" i="38" s="1"/>
  <c r="V34" i="38"/>
  <c r="W34" i="38" s="1"/>
  <c r="AK34" i="38"/>
  <c r="S8" i="38"/>
  <c r="U134" i="38"/>
  <c r="AH247" i="38"/>
  <c r="AK247" i="38"/>
  <c r="V247" i="38"/>
  <c r="U257" i="38"/>
  <c r="U188" i="38"/>
  <c r="U203" i="38"/>
  <c r="U266" i="38"/>
  <c r="AK279" i="38"/>
  <c r="AL279" i="38" s="1"/>
  <c r="AH279" i="38"/>
  <c r="V279" i="38"/>
  <c r="U66" i="38"/>
  <c r="U248" i="38"/>
  <c r="AK136" i="38"/>
  <c r="AL136" i="38" s="1"/>
  <c r="AH136" i="38"/>
  <c r="V136" i="38"/>
  <c r="AK77" i="38"/>
  <c r="AH77" i="38"/>
  <c r="V77" i="38"/>
  <c r="U181" i="38"/>
  <c r="AK124" i="38"/>
  <c r="AH124" i="38"/>
  <c r="V124" i="38"/>
  <c r="AH263" i="38"/>
  <c r="AK263" i="38"/>
  <c r="AL263" i="38" s="1"/>
  <c r="V263" i="38"/>
  <c r="AK14" i="38"/>
  <c r="AH14" i="38"/>
  <c r="V14" i="38"/>
  <c r="AH21" i="38"/>
  <c r="AK21" i="38"/>
  <c r="V21" i="38"/>
  <c r="U36" i="38"/>
  <c r="U173" i="38"/>
  <c r="U81" i="38"/>
  <c r="AK210" i="38"/>
  <c r="AH210" i="38"/>
  <c r="V210" i="38"/>
  <c r="AH11" i="38"/>
  <c r="AK11" i="38"/>
  <c r="V11" i="38"/>
  <c r="U224" i="38"/>
  <c r="U23" i="38"/>
  <c r="U318" i="38"/>
  <c r="U204" i="38"/>
  <c r="AH273" i="38"/>
  <c r="AK273" i="38"/>
  <c r="AL273" i="38" s="1"/>
  <c r="V273" i="38"/>
  <c r="AK86" i="38"/>
  <c r="AH86" i="38"/>
  <c r="V86" i="38"/>
  <c r="AK262" i="38"/>
  <c r="AH262" i="38"/>
  <c r="V262" i="38"/>
  <c r="AK179" i="38"/>
  <c r="AH179" i="38"/>
  <c r="V179" i="38"/>
  <c r="U91" i="38"/>
  <c r="AH193" i="38"/>
  <c r="AK193" i="38"/>
  <c r="V193" i="38"/>
  <c r="U205" i="38"/>
  <c r="U252" i="38"/>
  <c r="AK29" i="38"/>
  <c r="AH29" i="38"/>
  <c r="V29" i="38"/>
  <c r="U191" i="38"/>
  <c r="AK272" i="38"/>
  <c r="AL272" i="38" s="1"/>
  <c r="AH272" i="38"/>
  <c r="V272" i="38"/>
  <c r="AH255" i="38"/>
  <c r="AK255" i="38"/>
  <c r="V255" i="38"/>
  <c r="U72" i="38"/>
  <c r="U13" i="38"/>
  <c r="AK225" i="38"/>
  <c r="AH225" i="38"/>
  <c r="V225" i="38"/>
  <c r="U167" i="38"/>
  <c r="W235" i="38"/>
  <c r="AH127" i="38"/>
  <c r="AK127" i="38"/>
  <c r="V127" i="38"/>
  <c r="U177" i="38"/>
  <c r="AK264" i="38"/>
  <c r="AL264" i="38" s="1"/>
  <c r="AH264" i="38"/>
  <c r="V264" i="38"/>
  <c r="AK71" i="38"/>
  <c r="AH71" i="38"/>
  <c r="V71" i="38"/>
  <c r="V165" i="38" l="1"/>
  <c r="U60" i="38"/>
  <c r="AH60" i="38" s="1"/>
  <c r="AK165" i="38"/>
  <c r="AA221" i="38"/>
  <c r="AC221" i="38" s="1"/>
  <c r="AJ221" i="38" s="1"/>
  <c r="BV221" i="38"/>
  <c r="BY221" i="38" s="1"/>
  <c r="BE69" i="38"/>
  <c r="U69" i="38"/>
  <c r="AH233" i="38"/>
  <c r="AL142" i="38"/>
  <c r="AK233" i="38"/>
  <c r="AL140" i="38"/>
  <c r="AL143" i="38"/>
  <c r="AL125" i="38"/>
  <c r="AL116" i="38"/>
  <c r="AL287" i="38"/>
  <c r="AL250" i="38"/>
  <c r="AL245" i="38"/>
  <c r="AL124" i="38"/>
  <c r="AL132" i="38"/>
  <c r="AL128" i="38"/>
  <c r="AL247" i="38"/>
  <c r="AL117" i="38"/>
  <c r="AL262" i="38"/>
  <c r="AL284" i="38"/>
  <c r="AL139" i="38"/>
  <c r="AL278" i="38"/>
  <c r="AL127" i="38"/>
  <c r="AL282" i="38"/>
  <c r="AH192" i="38"/>
  <c r="V60" i="38"/>
  <c r="W60" i="38" s="1"/>
  <c r="AK60" i="38"/>
  <c r="AH267" i="38"/>
  <c r="AK200" i="38"/>
  <c r="V172" i="38"/>
  <c r="W172" i="38" s="1"/>
  <c r="AH256" i="38"/>
  <c r="V200" i="38"/>
  <c r="W200" i="38" s="1"/>
  <c r="V76" i="38"/>
  <c r="W76" i="38" s="1"/>
  <c r="AK232" i="38"/>
  <c r="V192" i="38"/>
  <c r="W192" i="38" s="1"/>
  <c r="V113" i="38"/>
  <c r="W113" i="38" s="1"/>
  <c r="AH150" i="38"/>
  <c r="AK186" i="38"/>
  <c r="AH17" i="38"/>
  <c r="AH56" i="38"/>
  <c r="AH232" i="38"/>
  <c r="AH309" i="38"/>
  <c r="V309" i="38"/>
  <c r="W309" i="38" s="1"/>
  <c r="V17" i="38"/>
  <c r="W17" i="38" s="1"/>
  <c r="V56" i="38"/>
  <c r="W56" i="38" s="1"/>
  <c r="AH24" i="38"/>
  <c r="AK209" i="38"/>
  <c r="V31" i="38"/>
  <c r="W31" i="38" s="1"/>
  <c r="V294" i="38"/>
  <c r="W294" i="38" s="1"/>
  <c r="AK76" i="38"/>
  <c r="AH317" i="38"/>
  <c r="AK111" i="38"/>
  <c r="V150" i="38"/>
  <c r="W150" i="38" s="1"/>
  <c r="V267" i="38"/>
  <c r="W267" i="38" s="1"/>
  <c r="V186" i="38"/>
  <c r="W186" i="38" s="1"/>
  <c r="AK234" i="38"/>
  <c r="V293" i="38"/>
  <c r="W293" i="38" s="1"/>
  <c r="AK294" i="38"/>
  <c r="AK172" i="38"/>
  <c r="V270" i="38"/>
  <c r="W270" i="38" s="1"/>
  <c r="AK153" i="38"/>
  <c r="AH80" i="38"/>
  <c r="AK270" i="38"/>
  <c r="AK256" i="38"/>
  <c r="AL256" i="38" s="1"/>
  <c r="AK180" i="38"/>
  <c r="V209" i="38"/>
  <c r="W209" i="38" s="1"/>
  <c r="AK300" i="38"/>
  <c r="AK293" i="38"/>
  <c r="V24" i="38"/>
  <c r="W24" i="38" s="1"/>
  <c r="AK44" i="38"/>
  <c r="AK39" i="38"/>
  <c r="AH196" i="38"/>
  <c r="V140" i="38"/>
  <c r="W140" i="38" s="1"/>
  <c r="V196" i="38"/>
  <c r="W196" i="38" s="1"/>
  <c r="AH304" i="38"/>
  <c r="AH261" i="38"/>
  <c r="AH73" i="38"/>
  <c r="AK113" i="38"/>
  <c r="AK80" i="38"/>
  <c r="AK87" i="38"/>
  <c r="V206" i="38"/>
  <c r="W206" i="38" s="1"/>
  <c r="Y206" i="38" s="1"/>
  <c r="Z206" i="38" s="1"/>
  <c r="AH143" i="38"/>
  <c r="AH152" i="38"/>
  <c r="AH44" i="38"/>
  <c r="AH250" i="38"/>
  <c r="V171" i="38"/>
  <c r="W171" i="38" s="1"/>
  <c r="V182" i="38"/>
  <c r="W182" i="38" s="1"/>
  <c r="V249" i="38"/>
  <c r="W249" i="38" s="1"/>
  <c r="V276" i="38"/>
  <c r="W276" i="38" s="1"/>
  <c r="Y276" i="38" s="1"/>
  <c r="Z276" i="38" s="1"/>
  <c r="AK185" i="38"/>
  <c r="V234" i="38"/>
  <c r="W234" i="38" s="1"/>
  <c r="AK37" i="38"/>
  <c r="AK316" i="38"/>
  <c r="V300" i="38"/>
  <c r="W300" i="38" s="1"/>
  <c r="AH180" i="38"/>
  <c r="V39" i="38"/>
  <c r="W39" i="38" s="1"/>
  <c r="AH31" i="38"/>
  <c r="AH206" i="38"/>
  <c r="AK216" i="38"/>
  <c r="AH314" i="38"/>
  <c r="AH45" i="38"/>
  <c r="V45" i="38"/>
  <c r="W45" i="38" s="1"/>
  <c r="V259" i="38"/>
  <c r="W259" i="38" s="1"/>
  <c r="AH275" i="38"/>
  <c r="V198" i="38"/>
  <c r="W198" i="38" s="1"/>
  <c r="AH118" i="38"/>
  <c r="AH117" i="38"/>
  <c r="AK118" i="38"/>
  <c r="AL118" i="38" s="1"/>
  <c r="AK275" i="38"/>
  <c r="AK199" i="38"/>
  <c r="V103" i="38"/>
  <c r="W103" i="38" s="1"/>
  <c r="AH170" i="38"/>
  <c r="AK170" i="38"/>
  <c r="AK274" i="38"/>
  <c r="V32" i="38"/>
  <c r="W32" i="38" s="1"/>
  <c r="V42" i="38"/>
  <c r="W42" i="38" s="1"/>
  <c r="AK121" i="38"/>
  <c r="AH292" i="38"/>
  <c r="AH214" i="38"/>
  <c r="AH274" i="38"/>
  <c r="AK32" i="38"/>
  <c r="AK63" i="38"/>
  <c r="AH110" i="38"/>
  <c r="V84" i="38"/>
  <c r="W84" i="38" s="1"/>
  <c r="V250" i="38"/>
  <c r="W250" i="38" s="1"/>
  <c r="AK230" i="38"/>
  <c r="V291" i="38"/>
  <c r="W291" i="38" s="1"/>
  <c r="V297" i="38"/>
  <c r="W297" i="38" s="1"/>
  <c r="AK184" i="38"/>
  <c r="AH307" i="38"/>
  <c r="AH108" i="38"/>
  <c r="V153" i="38"/>
  <c r="W153" i="38" s="1"/>
  <c r="AK307" i="38"/>
  <c r="AH197" i="38"/>
  <c r="AH259" i="38"/>
  <c r="AK212" i="38"/>
  <c r="AH199" i="38"/>
  <c r="AH59" i="38"/>
  <c r="V151" i="38"/>
  <c r="W151" i="38" s="1"/>
  <c r="AH194" i="38"/>
  <c r="AH287" i="38"/>
  <c r="AK189" i="38"/>
  <c r="AH151" i="38"/>
  <c r="AK38" i="38"/>
  <c r="AK99" i="38"/>
  <c r="AK166" i="38"/>
  <c r="V292" i="38"/>
  <c r="W292" i="38" s="1"/>
  <c r="V197" i="38"/>
  <c r="W197" i="38" s="1"/>
  <c r="AH161" i="38"/>
  <c r="AK198" i="38"/>
  <c r="AH42" i="38"/>
  <c r="V99" i="38"/>
  <c r="W99" i="38" s="1"/>
  <c r="V317" i="38"/>
  <c r="W317" i="38" s="1"/>
  <c r="V194" i="38"/>
  <c r="W194" i="38" s="1"/>
  <c r="AK82" i="38"/>
  <c r="V314" i="38"/>
  <c r="W314" i="38" s="1"/>
  <c r="AH230" i="38"/>
  <c r="AK161" i="38"/>
  <c r="AH37" i="38"/>
  <c r="V152" i="38"/>
  <c r="W152" i="38" s="1"/>
  <c r="AH103" i="38"/>
  <c r="V313" i="38"/>
  <c r="W313" i="38" s="1"/>
  <c r="AK19" i="38"/>
  <c r="V38" i="38"/>
  <c r="W38" i="38" s="1"/>
  <c r="Y38" i="38" s="1"/>
  <c r="V59" i="38"/>
  <c r="W59" i="38" s="1"/>
  <c r="V212" i="38"/>
  <c r="W212" i="38" s="1"/>
  <c r="V89" i="38"/>
  <c r="W89" i="38" s="1"/>
  <c r="V189" i="38"/>
  <c r="W189" i="38" s="1"/>
  <c r="AH313" i="38"/>
  <c r="AH19" i="38"/>
  <c r="V111" i="38"/>
  <c r="W111" i="38" s="1"/>
  <c r="V166" i="38"/>
  <c r="W166" i="38" s="1"/>
  <c r="V214" i="38"/>
  <c r="W214" i="38" s="1"/>
  <c r="AK251" i="38"/>
  <c r="AK89" i="38"/>
  <c r="V287" i="38"/>
  <c r="W287" i="38" s="1"/>
  <c r="V110" i="38"/>
  <c r="W110" i="38" s="1"/>
  <c r="V316" i="38"/>
  <c r="W316" i="38" s="1"/>
  <c r="AK208" i="38"/>
  <c r="AH251" i="38"/>
  <c r="AK276" i="38"/>
  <c r="V94" i="38"/>
  <c r="W94" i="38" s="1"/>
  <c r="V183" i="38"/>
  <c r="W183" i="38" s="1"/>
  <c r="BF183" i="38" s="1"/>
  <c r="AK73" i="38"/>
  <c r="AH94" i="38"/>
  <c r="AH319" i="38"/>
  <c r="AK226" i="38"/>
  <c r="AK65" i="38"/>
  <c r="V190" i="38"/>
  <c r="W190" i="38" s="1"/>
  <c r="AH53" i="38"/>
  <c r="AK302" i="38"/>
  <c r="V46" i="38"/>
  <c r="W46" i="38" s="1"/>
  <c r="Y46" i="38" s="1"/>
  <c r="AH298" i="38"/>
  <c r="AH297" i="38"/>
  <c r="V226" i="38"/>
  <c r="W226" i="38" s="1"/>
  <c r="AH302" i="38"/>
  <c r="V174" i="38"/>
  <c r="W174" i="38" s="1"/>
  <c r="AH174" i="38"/>
  <c r="AK319" i="38"/>
  <c r="V147" i="38"/>
  <c r="W147" i="38" s="1"/>
  <c r="AH65" i="38"/>
  <c r="AH190" i="38"/>
  <c r="AK53" i="38"/>
  <c r="V288" i="38"/>
  <c r="W288" i="38" s="1"/>
  <c r="Y288" i="38" s="1"/>
  <c r="Z288" i="38" s="1"/>
  <c r="AK236" i="38"/>
  <c r="AK108" i="38"/>
  <c r="AK163" i="38"/>
  <c r="AH163" i="38"/>
  <c r="V201" i="38"/>
  <c r="W201" i="38" s="1"/>
  <c r="AK133" i="38"/>
  <c r="AL133" i="38" s="1"/>
  <c r="V51" i="38"/>
  <c r="W51" i="38" s="1"/>
  <c r="V92" i="38"/>
  <c r="W92" i="38" s="1"/>
  <c r="V126" i="38"/>
  <c r="W126" i="38" s="1"/>
  <c r="V49" i="38"/>
  <c r="W49" i="38" s="1"/>
  <c r="V298" i="38"/>
  <c r="W298" i="38" s="1"/>
  <c r="Y298" i="38" s="1"/>
  <c r="AK291" i="38"/>
  <c r="AH84" i="38"/>
  <c r="AH52" i="38"/>
  <c r="V97" i="38"/>
  <c r="W97" i="38" s="1"/>
  <c r="AK147" i="38"/>
  <c r="V158" i="38"/>
  <c r="W158" i="38" s="1"/>
  <c r="AK97" i="38"/>
  <c r="AK201" i="38"/>
  <c r="AK158" i="38"/>
  <c r="AK51" i="38"/>
  <c r="AH92" i="38"/>
  <c r="AH126" i="38"/>
  <c r="AH49" i="38"/>
  <c r="AK288" i="38"/>
  <c r="AL288" i="38" s="1"/>
  <c r="AH295" i="38"/>
  <c r="V236" i="38"/>
  <c r="W236" i="38" s="1"/>
  <c r="Y236" i="38" s="1"/>
  <c r="Z236" i="38" s="1"/>
  <c r="AK85" i="38"/>
  <c r="AH249" i="38"/>
  <c r="AH140" i="38"/>
  <c r="AH216" i="38"/>
  <c r="AK261" i="38"/>
  <c r="AH182" i="38"/>
  <c r="V75" i="38"/>
  <c r="W75" i="38" s="1"/>
  <c r="V142" i="38"/>
  <c r="W142" i="38" s="1"/>
  <c r="V61" i="38"/>
  <c r="W61" i="38" s="1"/>
  <c r="AK227" i="38"/>
  <c r="V168" i="38"/>
  <c r="W168" i="38" s="1"/>
  <c r="V222" i="38"/>
  <c r="W222" i="38" s="1"/>
  <c r="AH57" i="38"/>
  <c r="AH223" i="38"/>
  <c r="AH148" i="38"/>
  <c r="AH218" i="38"/>
  <c r="AH63" i="38"/>
  <c r="AH306" i="38"/>
  <c r="V207" i="38"/>
  <c r="W207" i="38" s="1"/>
  <c r="AK75" i="38"/>
  <c r="V269" i="38"/>
  <c r="W269" i="38" s="1"/>
  <c r="AH142" i="38"/>
  <c r="V40" i="38"/>
  <c r="W40" i="38" s="1"/>
  <c r="AH61" i="38"/>
  <c r="AH227" i="38"/>
  <c r="AH168" i="38"/>
  <c r="AK222" i="38"/>
  <c r="V223" i="38"/>
  <c r="W223" i="38" s="1"/>
  <c r="Y223" i="38" s="1"/>
  <c r="AH260" i="38"/>
  <c r="AK221" i="38"/>
  <c r="V306" i="38"/>
  <c r="W306" i="38" s="1"/>
  <c r="V185" i="38"/>
  <c r="W185" i="38" s="1"/>
  <c r="V25" i="38"/>
  <c r="W25" i="38" s="1"/>
  <c r="AH207" i="38"/>
  <c r="AH269" i="38"/>
  <c r="AH40" i="38"/>
  <c r="V93" i="38"/>
  <c r="W93" i="38" s="1"/>
  <c r="V304" i="38"/>
  <c r="W304" i="38" s="1"/>
  <c r="AK260" i="38"/>
  <c r="AK211" i="38"/>
  <c r="AH25" i="38"/>
  <c r="AK93" i="38"/>
  <c r="V85" i="38"/>
  <c r="W85" i="38" s="1"/>
  <c r="Y85" i="38" s="1"/>
  <c r="AH211" i="38"/>
  <c r="AH282" i="38"/>
  <c r="V148" i="38"/>
  <c r="W148" i="38" s="1"/>
  <c r="BF148" i="38" s="1"/>
  <c r="AH283" i="38"/>
  <c r="V217" i="38"/>
  <c r="W217" i="38" s="1"/>
  <c r="AH217" i="38"/>
  <c r="AK283" i="38"/>
  <c r="AL283" i="38" s="1"/>
  <c r="V128" i="38"/>
  <c r="W128" i="38" s="1"/>
  <c r="AH128" i="38"/>
  <c r="AK129" i="38"/>
  <c r="AL129" i="38" s="1"/>
  <c r="AK159" i="38"/>
  <c r="AK141" i="38"/>
  <c r="AL141" i="38" s="1"/>
  <c r="AH46" i="38"/>
  <c r="AH27" i="38"/>
  <c r="AK183" i="38"/>
  <c r="V218" i="38"/>
  <c r="W218" i="38" s="1"/>
  <c r="Y218" i="38" s="1"/>
  <c r="V213" i="38"/>
  <c r="W213" i="38" s="1"/>
  <c r="BF213" i="38" s="1"/>
  <c r="AH213" i="38"/>
  <c r="AK213" i="38"/>
  <c r="V195" i="38"/>
  <c r="W195" i="38" s="1"/>
  <c r="V87" i="38"/>
  <c r="W87" i="38" s="1"/>
  <c r="V18" i="38"/>
  <c r="W18" i="38" s="1"/>
  <c r="AH195" i="38"/>
  <c r="AH133" i="38"/>
  <c r="V208" i="38"/>
  <c r="W208" i="38" s="1"/>
  <c r="AH221" i="38"/>
  <c r="AI221" i="38" s="1"/>
  <c r="V43" i="38"/>
  <c r="W43" i="38" s="1"/>
  <c r="V289" i="38"/>
  <c r="W289" i="38" s="1"/>
  <c r="AK102" i="38"/>
  <c r="AK67" i="38"/>
  <c r="V284" i="38"/>
  <c r="W284" i="38" s="1"/>
  <c r="V67" i="38"/>
  <c r="W67" i="38" s="1"/>
  <c r="AK310" i="38"/>
  <c r="V154" i="38"/>
  <c r="W154" i="38" s="1"/>
  <c r="V277" i="38"/>
  <c r="W277" i="38" s="1"/>
  <c r="AH164" i="38"/>
  <c r="AK169" i="38"/>
  <c r="V308" i="38"/>
  <c r="W308" i="38" s="1"/>
  <c r="AK265" i="38"/>
  <c r="AH83" i="38"/>
  <c r="AH281" i="38"/>
  <c r="AK176" i="38"/>
  <c r="AH229" i="38"/>
  <c r="AH82" i="38"/>
  <c r="V281" i="38"/>
  <c r="W281" i="38" s="1"/>
  <c r="V265" i="38"/>
  <c r="W265" i="38" s="1"/>
  <c r="Y265" i="38" s="1"/>
  <c r="V135" i="38"/>
  <c r="W135" i="38" s="1"/>
  <c r="AK18" i="38"/>
  <c r="AH141" i="38"/>
  <c r="V50" i="38"/>
  <c r="W50" i="38" s="1"/>
  <c r="AK62" i="38"/>
  <c r="AH15" i="38"/>
  <c r="AK15" i="38"/>
  <c r="V57" i="38"/>
  <c r="W57" i="38" s="1"/>
  <c r="AK215" i="38"/>
  <c r="V295" i="38"/>
  <c r="W295" i="38" s="1"/>
  <c r="V215" i="38"/>
  <c r="W215" i="38" s="1"/>
  <c r="AK164" i="38"/>
  <c r="AH308" i="38"/>
  <c r="V202" i="38"/>
  <c r="W202" i="38" s="1"/>
  <c r="V245" i="38"/>
  <c r="W245" i="38" s="1"/>
  <c r="AK202" i="38"/>
  <c r="AH244" i="38"/>
  <c r="AH245" i="38"/>
  <c r="V123" i="38"/>
  <c r="W123" i="38" s="1"/>
  <c r="AK253" i="38"/>
  <c r="AL253" i="38" s="1"/>
  <c r="AK123" i="38"/>
  <c r="AL123" i="38" s="1"/>
  <c r="AH253" i="38"/>
  <c r="V115" i="38"/>
  <c r="W115" i="38" s="1"/>
  <c r="V70" i="38"/>
  <c r="W70" i="38" s="1"/>
  <c r="AH41" i="38"/>
  <c r="V79" i="38"/>
  <c r="W79" i="38" s="1"/>
  <c r="AK41" i="38"/>
  <c r="V104" i="38"/>
  <c r="W104" i="38" s="1"/>
  <c r="V311" i="38"/>
  <c r="W311" i="38" s="1"/>
  <c r="V117" i="38"/>
  <c r="W117" i="38" s="1"/>
  <c r="AK104" i="38"/>
  <c r="AK280" i="38"/>
  <c r="AL280" i="38" s="1"/>
  <c r="AK311" i="38"/>
  <c r="AH139" i="38"/>
  <c r="V285" i="38"/>
  <c r="W285" i="38" s="1"/>
  <c r="AK244" i="38"/>
  <c r="AL244" i="38" s="1"/>
  <c r="V176" i="38"/>
  <c r="W176" i="38" s="1"/>
  <c r="V129" i="38"/>
  <c r="W129" i="38" s="1"/>
  <c r="V102" i="38"/>
  <c r="W102" i="38" s="1"/>
  <c r="AH154" i="38"/>
  <c r="V169" i="38"/>
  <c r="W169" i="38" s="1"/>
  <c r="V178" i="38"/>
  <c r="W178" i="38" s="1"/>
  <c r="V83" i="38"/>
  <c r="W83" i="38" s="1"/>
  <c r="AH243" i="38"/>
  <c r="V159" i="38"/>
  <c r="W159" i="38" s="1"/>
  <c r="AH178" i="38"/>
  <c r="V116" i="38"/>
  <c r="W116" i="38" s="1"/>
  <c r="AK243" i="38"/>
  <c r="AL243" i="38" s="1"/>
  <c r="AH277" i="38"/>
  <c r="V229" i="38"/>
  <c r="W229" i="38" s="1"/>
  <c r="AH284" i="38"/>
  <c r="AK50" i="38"/>
  <c r="AH289" i="38"/>
  <c r="V282" i="38"/>
  <c r="W282" i="38" s="1"/>
  <c r="V280" i="38"/>
  <c r="W280" i="38" s="1"/>
  <c r="AH171" i="38"/>
  <c r="V62" i="38"/>
  <c r="W62" i="38" s="1"/>
  <c r="AK43" i="38"/>
  <c r="AK241" i="38"/>
  <c r="AH160" i="38"/>
  <c r="V254" i="38"/>
  <c r="W254" i="38" s="1"/>
  <c r="AK231" i="38"/>
  <c r="AK135" i="38"/>
  <c r="AL135" i="38" s="1"/>
  <c r="AH254" i="38"/>
  <c r="V231" i="38"/>
  <c r="W231" i="38" s="1"/>
  <c r="AK122" i="38"/>
  <c r="AL122" i="38" s="1"/>
  <c r="V125" i="38"/>
  <c r="W125" i="38" s="1"/>
  <c r="V240" i="38"/>
  <c r="W240" i="38" s="1"/>
  <c r="AH125" i="38"/>
  <c r="AK240" i="38"/>
  <c r="AK258" i="38"/>
  <c r="V74" i="38"/>
  <c r="W74" i="38" s="1"/>
  <c r="AK74" i="38"/>
  <c r="AK138" i="38"/>
  <c r="AL138" i="38" s="1"/>
  <c r="AH116" i="38"/>
  <c r="V58" i="38"/>
  <c r="W58" i="38" s="1"/>
  <c r="AH121" i="38"/>
  <c r="V155" i="38"/>
  <c r="W155" i="38" s="1"/>
  <c r="AK155" i="38"/>
  <c r="V101" i="38"/>
  <c r="W101" i="38" s="1"/>
  <c r="V303" i="38"/>
  <c r="W303" i="38" s="1"/>
  <c r="V162" i="38"/>
  <c r="W162" i="38" s="1"/>
  <c r="V242" i="38"/>
  <c r="W242" i="38" s="1"/>
  <c r="V64" i="38"/>
  <c r="W64" i="38" s="1"/>
  <c r="AH101" i="38"/>
  <c r="AH303" i="38"/>
  <c r="AH162" i="38"/>
  <c r="V187" i="38"/>
  <c r="W187" i="38" s="1"/>
  <c r="AK242" i="38"/>
  <c r="AL242" i="38" s="1"/>
  <c r="AK64" i="38"/>
  <c r="AK299" i="38"/>
  <c r="AL299" i="38" s="1"/>
  <c r="AH187" i="38"/>
  <c r="V10" i="38"/>
  <c r="W10" i="38" s="1"/>
  <c r="V122" i="38"/>
  <c r="W122" i="38" s="1"/>
  <c r="AK10" i="38"/>
  <c r="V258" i="38"/>
  <c r="W258" i="38" s="1"/>
  <c r="AH278" i="38"/>
  <c r="V239" i="38"/>
  <c r="W239" i="38" s="1"/>
  <c r="AH239" i="38"/>
  <c r="V132" i="38"/>
  <c r="W132" i="38" s="1"/>
  <c r="V305" i="38"/>
  <c r="W305" i="38" s="1"/>
  <c r="V119" i="38"/>
  <c r="W119" i="38" s="1"/>
  <c r="V47" i="38"/>
  <c r="W47" i="38" s="1"/>
  <c r="AH132" i="38"/>
  <c r="V30" i="38"/>
  <c r="W30" i="38" s="1"/>
  <c r="AH144" i="38"/>
  <c r="AK119" i="38"/>
  <c r="AL119" i="38" s="1"/>
  <c r="AH47" i="38"/>
  <c r="AH305" i="38"/>
  <c r="V143" i="38"/>
  <c r="W143" i="38" s="1"/>
  <c r="AH30" i="38"/>
  <c r="AK144" i="38"/>
  <c r="AL144" i="38" s="1"/>
  <c r="AK22" i="38"/>
  <c r="AH271" i="38"/>
  <c r="AH241" i="38"/>
  <c r="V268" i="38"/>
  <c r="W268" i="38" s="1"/>
  <c r="AH115" i="38"/>
  <c r="AH79" i="38"/>
  <c r="V184" i="38"/>
  <c r="W184" i="38" s="1"/>
  <c r="AK238" i="38"/>
  <c r="AH95" i="38"/>
  <c r="AK78" i="38"/>
  <c r="AH131" i="38"/>
  <c r="AH228" i="38"/>
  <c r="V33" i="38"/>
  <c r="W33" i="38" s="1"/>
  <c r="AH312" i="38"/>
  <c r="V149" i="38"/>
  <c r="W149" i="38" s="1"/>
  <c r="AH33" i="38"/>
  <c r="AK100" i="38"/>
  <c r="V312" i="38"/>
  <c r="W312" i="38" s="1"/>
  <c r="AH149" i="38"/>
  <c r="AH98" i="38"/>
  <c r="AK109" i="38"/>
  <c r="V271" i="38"/>
  <c r="W271" i="38" s="1"/>
  <c r="AK98" i="38"/>
  <c r="V175" i="38"/>
  <c r="W175" i="38" s="1"/>
  <c r="V278" i="38"/>
  <c r="W278" i="38" s="1"/>
  <c r="AJ115" i="38"/>
  <c r="AL115" i="38" s="1"/>
  <c r="V139" i="38"/>
  <c r="W139" i="38" s="1"/>
  <c r="AH301" i="38"/>
  <c r="V95" i="38"/>
  <c r="W95" i="38" s="1"/>
  <c r="V238" i="38"/>
  <c r="W238" i="38" s="1"/>
  <c r="AK26" i="38"/>
  <c r="AH114" i="38"/>
  <c r="AK114" i="38"/>
  <c r="AL114" i="38" s="1"/>
  <c r="V106" i="38"/>
  <c r="W106" i="38" s="1"/>
  <c r="AK219" i="38"/>
  <c r="AH106" i="38"/>
  <c r="V96" i="38"/>
  <c r="W96" i="38" s="1"/>
  <c r="AK268" i="38"/>
  <c r="V22" i="38"/>
  <c r="W22" i="38" s="1"/>
  <c r="AK52" i="38"/>
  <c r="AK175" i="38"/>
  <c r="AH299" i="38"/>
  <c r="V296" i="38"/>
  <c r="W296" i="38" s="1"/>
  <c r="AK96" i="38"/>
  <c r="AK145" i="38"/>
  <c r="AL145" i="38" s="1"/>
  <c r="V220" i="38"/>
  <c r="W220" i="38" s="1"/>
  <c r="V88" i="38"/>
  <c r="W88" i="38" s="1"/>
  <c r="V315" i="38"/>
  <c r="W315" i="38" s="1"/>
  <c r="V286" i="38"/>
  <c r="W286" i="38" s="1"/>
  <c r="AK296" i="38"/>
  <c r="V55" i="38"/>
  <c r="W55" i="38" s="1"/>
  <c r="AK220" i="38"/>
  <c r="AH88" i="38"/>
  <c r="AK315" i="38"/>
  <c r="AH55" i="38"/>
  <c r="V100" i="38"/>
  <c r="W100" i="38" s="1"/>
  <c r="AH219" i="38"/>
  <c r="V145" i="38"/>
  <c r="W145" i="38" s="1"/>
  <c r="Y145" i="38" s="1"/>
  <c r="Z145" i="38" s="1"/>
  <c r="AK237" i="38"/>
  <c r="AH58" i="38"/>
  <c r="AH112" i="38"/>
  <c r="AK137" i="38"/>
  <c r="AL137" i="38" s="1"/>
  <c r="V109" i="38"/>
  <c r="W109" i="38" s="1"/>
  <c r="V12" i="38"/>
  <c r="W12" i="38" s="1"/>
  <c r="AK301" i="38"/>
  <c r="AK131" i="38"/>
  <c r="AL131" i="38" s="1"/>
  <c r="AH12" i="38"/>
  <c r="AK130" i="38"/>
  <c r="AL130" i="38" s="1"/>
  <c r="V68" i="38"/>
  <c r="W68" i="38" s="1"/>
  <c r="Y68" i="38" s="1"/>
  <c r="Z68" i="38" s="1"/>
  <c r="AK68" i="38"/>
  <c r="V112" i="38"/>
  <c r="W112" i="38" s="1"/>
  <c r="AK157" i="38"/>
  <c r="AK286" i="38"/>
  <c r="AL286" i="38" s="1"/>
  <c r="AH157" i="38"/>
  <c r="V237" i="38"/>
  <c r="W237" i="38" s="1"/>
  <c r="V156" i="38"/>
  <c r="W156" i="38" s="1"/>
  <c r="AH70" i="38"/>
  <c r="AK146" i="38"/>
  <c r="AL146" i="38" s="1"/>
  <c r="AH146" i="38"/>
  <c r="V146" i="38"/>
  <c r="W146" i="38" s="1"/>
  <c r="Y146" i="38" s="1"/>
  <c r="Z146" i="38" s="1"/>
  <c r="AH156" i="38"/>
  <c r="V137" i="38"/>
  <c r="W137" i="38" s="1"/>
  <c r="V105" i="38"/>
  <c r="W105" i="38" s="1"/>
  <c r="V107" i="38"/>
  <c r="W107" i="38" s="1"/>
  <c r="V130" i="38"/>
  <c r="W130" i="38" s="1"/>
  <c r="AH105" i="38"/>
  <c r="AH28" i="38"/>
  <c r="V26" i="38"/>
  <c r="W26" i="38" s="1"/>
  <c r="V120" i="38"/>
  <c r="W120" i="38" s="1"/>
  <c r="Y120" i="38" s="1"/>
  <c r="Z120" i="38" s="1"/>
  <c r="AK120" i="38"/>
  <c r="AL120" i="38" s="1"/>
  <c r="AK160" i="38"/>
  <c r="AH138" i="38"/>
  <c r="V78" i="38"/>
  <c r="W78" i="38" s="1"/>
  <c r="V16" i="38"/>
  <c r="W16" i="38" s="1"/>
  <c r="AK285" i="38"/>
  <c r="AL285" i="38" s="1"/>
  <c r="AK228" i="38"/>
  <c r="V310" i="38"/>
  <c r="W310" i="38" s="1"/>
  <c r="AK107" i="38"/>
  <c r="V90" i="38"/>
  <c r="W90" i="38" s="1"/>
  <c r="V35" i="38"/>
  <c r="W35" i="38" s="1"/>
  <c r="AK90" i="38"/>
  <c r="V28" i="38"/>
  <c r="W28" i="38" s="1"/>
  <c r="AK246" i="38"/>
  <c r="AL246" i="38" s="1"/>
  <c r="AH246" i="38"/>
  <c r="V290" i="38"/>
  <c r="W290" i="38" s="1"/>
  <c r="V48" i="38"/>
  <c r="W48" i="38" s="1"/>
  <c r="Y48" i="38" s="1"/>
  <c r="Z48" i="38" s="1"/>
  <c r="AH20" i="38"/>
  <c r="AH290" i="38"/>
  <c r="AK20" i="38"/>
  <c r="AH16" i="38"/>
  <c r="AH35" i="38"/>
  <c r="AK48" i="38"/>
  <c r="Y19" i="38"/>
  <c r="BF19" i="38"/>
  <c r="Y253" i="38"/>
  <c r="Z253" i="38" s="1"/>
  <c r="W73" i="38"/>
  <c r="W193" i="38"/>
  <c r="W86" i="38"/>
  <c r="AH204" i="38"/>
  <c r="AK204" i="38"/>
  <c r="V204" i="38"/>
  <c r="W114" i="38"/>
  <c r="W274" i="38"/>
  <c r="W98" i="38"/>
  <c r="W37" i="38"/>
  <c r="W82" i="38"/>
  <c r="AK36" i="38"/>
  <c r="AH36" i="38"/>
  <c r="V36" i="38"/>
  <c r="W124" i="38"/>
  <c r="W77" i="38"/>
  <c r="AH188" i="38"/>
  <c r="AK188" i="38"/>
  <c r="V188" i="38"/>
  <c r="W164" i="38"/>
  <c r="AH205" i="38"/>
  <c r="AK205" i="38"/>
  <c r="V205" i="38"/>
  <c r="W21" i="38"/>
  <c r="W133" i="38"/>
  <c r="W227" i="38"/>
  <c r="W244" i="38"/>
  <c r="W243" i="38"/>
  <c r="W161" i="38"/>
  <c r="W63" i="38"/>
  <c r="W247" i="38"/>
  <c r="W108" i="38"/>
  <c r="W225" i="38"/>
  <c r="AK72" i="38"/>
  <c r="AH72" i="38"/>
  <c r="V72" i="38"/>
  <c r="W29" i="38"/>
  <c r="Y20" i="38"/>
  <c r="Z20" i="38" s="1"/>
  <c r="W199" i="38"/>
  <c r="W41" i="38"/>
  <c r="W11" i="38"/>
  <c r="W157" i="38"/>
  <c r="W216" i="38"/>
  <c r="W256" i="38"/>
  <c r="W65" i="38"/>
  <c r="W53" i="38"/>
  <c r="W219" i="38"/>
  <c r="W71" i="38"/>
  <c r="Y260" i="38"/>
  <c r="Z260" i="38" s="1"/>
  <c r="BF235" i="38"/>
  <c r="Y235" i="38"/>
  <c r="W272" i="38"/>
  <c r="W275" i="38"/>
  <c r="W319" i="38"/>
  <c r="AH318" i="38"/>
  <c r="AK318" i="38"/>
  <c r="V318" i="38"/>
  <c r="AK23" i="38"/>
  <c r="AH23" i="38"/>
  <c r="V23" i="38"/>
  <c r="BF34" i="38"/>
  <c r="Y34" i="38"/>
  <c r="Z34" i="38" s="1"/>
  <c r="AH224" i="38"/>
  <c r="AK224" i="38"/>
  <c r="V224" i="38"/>
  <c r="W118" i="38"/>
  <c r="AH81" i="38"/>
  <c r="AK81" i="38"/>
  <c r="V81" i="38"/>
  <c r="AH266" i="38"/>
  <c r="AK266" i="38"/>
  <c r="V266" i="38"/>
  <c r="W241" i="38"/>
  <c r="Y54" i="38"/>
  <c r="Z54" i="38" s="1"/>
  <c r="W302" i="38"/>
  <c r="Y27" i="38"/>
  <c r="BF27" i="38"/>
  <c r="AH13" i="38"/>
  <c r="AK13" i="38"/>
  <c r="V13" i="38"/>
  <c r="W160" i="38"/>
  <c r="W138" i="38"/>
  <c r="W263" i="38"/>
  <c r="AK66" i="38"/>
  <c r="AH66" i="38"/>
  <c r="V66" i="38"/>
  <c r="W131" i="38"/>
  <c r="AH257" i="38"/>
  <c r="AK257" i="38"/>
  <c r="AL257" i="38" s="1"/>
  <c r="V257" i="38"/>
  <c r="AK134" i="38"/>
  <c r="AL134" i="38" s="1"/>
  <c r="AH134" i="38"/>
  <c r="V134" i="38"/>
  <c r="AK177" i="38"/>
  <c r="AH177" i="38"/>
  <c r="V177" i="38"/>
  <c r="AH167" i="38"/>
  <c r="AK167" i="38"/>
  <c r="V167" i="38"/>
  <c r="W255" i="38"/>
  <c r="W170" i="38"/>
  <c r="AK252" i="38"/>
  <c r="AH252" i="38"/>
  <c r="V252" i="38"/>
  <c r="W179" i="38"/>
  <c r="W262" i="38"/>
  <c r="Y251" i="38"/>
  <c r="W233" i="38"/>
  <c r="AK173" i="38"/>
  <c r="AH173" i="38"/>
  <c r="V173" i="38"/>
  <c r="W301" i="38"/>
  <c r="AK203" i="38"/>
  <c r="AH203" i="38"/>
  <c r="V203" i="38"/>
  <c r="W264" i="38"/>
  <c r="W52" i="38"/>
  <c r="AH191" i="38"/>
  <c r="AK191" i="38"/>
  <c r="V191" i="38"/>
  <c r="Y211" i="38"/>
  <c r="Z211" i="38" s="1"/>
  <c r="AH91" i="38"/>
  <c r="AK91" i="38"/>
  <c r="V91" i="38"/>
  <c r="W273" i="38"/>
  <c r="W246" i="38"/>
  <c r="Y228" i="38"/>
  <c r="Z228" i="38" s="1"/>
  <c r="BF228" i="38"/>
  <c r="Y307" i="38"/>
  <c r="Z307" i="38" s="1"/>
  <c r="BF307" i="38"/>
  <c r="W121" i="38"/>
  <c r="U8" i="38"/>
  <c r="W80" i="38"/>
  <c r="W136" i="38"/>
  <c r="W230" i="38"/>
  <c r="W15" i="38"/>
  <c r="W165" i="38"/>
  <c r="W127" i="38"/>
  <c r="W163" i="38"/>
  <c r="W144" i="38"/>
  <c r="W232" i="38"/>
  <c r="W210" i="38"/>
  <c r="W14" i="38"/>
  <c r="W141" i="38"/>
  <c r="AH181" i="38"/>
  <c r="AK181" i="38"/>
  <c r="V181" i="38"/>
  <c r="W299" i="38"/>
  <c r="AH248" i="38"/>
  <c r="AK248" i="38"/>
  <c r="AL248" i="38" s="1"/>
  <c r="V248" i="38"/>
  <c r="W279" i="38"/>
  <c r="W44" i="38"/>
  <c r="W180" i="38"/>
  <c r="W261" i="38"/>
  <c r="W283" i="38"/>
  <c r="AA236" i="38" l="1"/>
  <c r="AC236" i="38" s="1"/>
  <c r="BV236" i="38"/>
  <c r="BY236" i="38" s="1"/>
  <c r="AA54" i="38"/>
  <c r="AC54" i="38" s="1"/>
  <c r="BV54" i="38"/>
  <c r="BY54" i="38" s="1"/>
  <c r="AA68" i="38"/>
  <c r="AC68" i="38" s="1"/>
  <c r="BV68" i="38"/>
  <c r="BY68" i="38" s="1"/>
  <c r="AA307" i="38"/>
  <c r="AC307" i="38" s="1"/>
  <c r="BV307" i="38"/>
  <c r="BY307" i="38" s="1"/>
  <c r="AA211" i="38"/>
  <c r="AC211" i="38" s="1"/>
  <c r="BV211" i="38"/>
  <c r="BY211" i="38" s="1"/>
  <c r="AA260" i="38"/>
  <c r="AC260" i="38" s="1"/>
  <c r="BV260" i="38"/>
  <c r="BY260" i="38" s="1"/>
  <c r="AA253" i="38"/>
  <c r="AC253" i="38" s="1"/>
  <c r="BV253" i="38"/>
  <c r="BY253" i="38" s="1"/>
  <c r="AA288" i="38"/>
  <c r="AC288" i="38" s="1"/>
  <c r="BV288" i="38"/>
  <c r="BY288" i="38" s="1"/>
  <c r="AA228" i="38"/>
  <c r="AC228" i="38" s="1"/>
  <c r="BV228" i="38"/>
  <c r="BY228" i="38" s="1"/>
  <c r="AA48" i="38"/>
  <c r="AC48" i="38" s="1"/>
  <c r="BV48" i="38"/>
  <c r="BY48" i="38" s="1"/>
  <c r="AA145" i="38"/>
  <c r="AC145" i="38" s="1"/>
  <c r="BV145" i="38"/>
  <c r="BY145" i="38" s="1"/>
  <c r="AA34" i="38"/>
  <c r="AC34" i="38" s="1"/>
  <c r="BV34" i="38"/>
  <c r="BY34" i="38" s="1"/>
  <c r="AA20" i="38"/>
  <c r="AC20" i="38" s="1"/>
  <c r="BV20" i="38"/>
  <c r="BY20" i="38" s="1"/>
  <c r="AA120" i="38"/>
  <c r="AC120" i="38" s="1"/>
  <c r="BV120" i="38"/>
  <c r="BY120" i="38" s="1"/>
  <c r="AA146" i="38"/>
  <c r="AC146" i="38" s="1"/>
  <c r="BV146" i="38"/>
  <c r="BY146" i="38" s="1"/>
  <c r="AA276" i="38"/>
  <c r="AC276" i="38" s="1"/>
  <c r="BV276" i="38"/>
  <c r="BY276" i="38" s="1"/>
  <c r="AA206" i="38"/>
  <c r="AC206" i="38" s="1"/>
  <c r="BV206" i="38"/>
  <c r="BY206" i="38" s="1"/>
  <c r="AK69" i="38"/>
  <c r="AH69" i="38"/>
  <c r="V69" i="38"/>
  <c r="W69" i="38" s="1"/>
  <c r="AL221" i="38"/>
  <c r="Y213" i="38"/>
  <c r="Z213" i="38" s="1"/>
  <c r="BF85" i="38"/>
  <c r="BF218" i="38"/>
  <c r="AV221" i="38"/>
  <c r="Y183" i="38"/>
  <c r="Z183" i="38" s="1"/>
  <c r="AJ236" i="38"/>
  <c r="AE236" i="38"/>
  <c r="Y148" i="38"/>
  <c r="Z148" i="38" s="1"/>
  <c r="Y268" i="38"/>
  <c r="Z268" i="38" s="1"/>
  <c r="AE276" i="38"/>
  <c r="AE206" i="38"/>
  <c r="BF312" i="38"/>
  <c r="AE54" i="38"/>
  <c r="AE260" i="38"/>
  <c r="AE68" i="38"/>
  <c r="AE211" i="38"/>
  <c r="AE20" i="38"/>
  <c r="Z251" i="38"/>
  <c r="Y35" i="38"/>
  <c r="Z35" i="38" s="1"/>
  <c r="AE228" i="38"/>
  <c r="Y312" i="38"/>
  <c r="Z312" i="38" s="1"/>
  <c r="BF268" i="38"/>
  <c r="Z38" i="38"/>
  <c r="BF35" i="38"/>
  <c r="AJ68" i="38"/>
  <c r="AL68" i="38" s="1"/>
  <c r="AJ20" i="38"/>
  <c r="AL20" i="38" s="1"/>
  <c r="AJ260" i="38"/>
  <c r="AL260" i="38" s="1"/>
  <c r="Z223" i="38"/>
  <c r="AJ54" i="38"/>
  <c r="AL54" i="38" s="1"/>
  <c r="AJ307" i="38"/>
  <c r="AL307" i="38" s="1"/>
  <c r="AJ276" i="38"/>
  <c r="AL276" i="38" s="1"/>
  <c r="AJ206" i="38"/>
  <c r="AL206" i="38" s="1"/>
  <c r="Z265" i="38"/>
  <c r="Z46" i="38"/>
  <c r="Y26" i="38"/>
  <c r="Z26" i="38" s="1"/>
  <c r="Z298" i="38"/>
  <c r="AJ48" i="38"/>
  <c r="AL48" i="38" s="1"/>
  <c r="AJ211" i="38"/>
  <c r="AL211" i="38" s="1"/>
  <c r="Z19" i="38"/>
  <c r="Z235" i="38"/>
  <c r="Z27" i="38"/>
  <c r="Z85" i="38"/>
  <c r="AJ228" i="38"/>
  <c r="AL228" i="38" s="1"/>
  <c r="Z218" i="38"/>
  <c r="AO221" i="38"/>
  <c r="AP221" i="38"/>
  <c r="AQ221" i="38" s="1"/>
  <c r="AR221" i="38" s="1"/>
  <c r="AI276" i="38"/>
  <c r="AI236" i="38"/>
  <c r="AI251" i="38"/>
  <c r="AI307" i="38"/>
  <c r="AH8" i="38"/>
  <c r="AI312" i="38"/>
  <c r="AK8" i="38"/>
  <c r="V8" i="38"/>
  <c r="AI146" i="38"/>
  <c r="AI26" i="38"/>
  <c r="AI206" i="38"/>
  <c r="Y44" i="38"/>
  <c r="W181" i="38"/>
  <c r="Y14" i="38"/>
  <c r="Y242" i="38"/>
  <c r="Z242" i="38" s="1"/>
  <c r="BF240" i="38"/>
  <c r="Y240" i="38"/>
  <c r="BF182" i="38"/>
  <c r="Y182" i="38"/>
  <c r="BF165" i="38"/>
  <c r="Y165" i="38"/>
  <c r="Y121" i="38"/>
  <c r="Y143" i="38"/>
  <c r="Z143" i="38" s="1"/>
  <c r="Y296" i="38"/>
  <c r="Y262" i="38"/>
  <c r="Z262" i="38" s="1"/>
  <c r="Y277" i="38"/>
  <c r="Z277" i="38" s="1"/>
  <c r="W66" i="38"/>
  <c r="Y278" i="38"/>
  <c r="Z278" i="38" s="1"/>
  <c r="W266" i="38"/>
  <c r="Y94" i="38"/>
  <c r="BF94" i="38"/>
  <c r="Y219" i="38"/>
  <c r="BF219" i="38"/>
  <c r="Y41" i="38"/>
  <c r="BF108" i="38"/>
  <c r="Y108" i="38"/>
  <c r="Y247" i="38"/>
  <c r="Z247" i="38" s="1"/>
  <c r="Y168" i="38"/>
  <c r="BF168" i="38"/>
  <c r="Y133" i="38"/>
  <c r="Z133" i="38" s="1"/>
  <c r="Y234" i="38"/>
  <c r="Y254" i="38"/>
  <c r="W188" i="38"/>
  <c r="Y271" i="38"/>
  <c r="BF73" i="38"/>
  <c r="Y73" i="38"/>
  <c r="Y79" i="38"/>
  <c r="BF30" i="38"/>
  <c r="Y30" i="38"/>
  <c r="Y132" i="38"/>
  <c r="Z132" i="38" s="1"/>
  <c r="BF51" i="38"/>
  <c r="Y51" i="38"/>
  <c r="Y246" i="38"/>
  <c r="Z246" i="38" s="1"/>
  <c r="BF84" i="38"/>
  <c r="Y84" i="38"/>
  <c r="Y259" i="38"/>
  <c r="Y303" i="38"/>
  <c r="Z303" i="38" s="1"/>
  <c r="BF111" i="38"/>
  <c r="Y111" i="38"/>
  <c r="Z111" i="38" s="1"/>
  <c r="BF32" i="38"/>
  <c r="Y32" i="38"/>
  <c r="Y282" i="38"/>
  <c r="Z282" i="38" s="1"/>
  <c r="Y170" i="38"/>
  <c r="BF170" i="38"/>
  <c r="Y69" i="38"/>
  <c r="Y311" i="38"/>
  <c r="Z311" i="38" s="1"/>
  <c r="Y40" i="38"/>
  <c r="Y297" i="38"/>
  <c r="Y90" i="38"/>
  <c r="Z90" i="38" s="1"/>
  <c r="Y75" i="38"/>
  <c r="Y275" i="38"/>
  <c r="Y245" i="38"/>
  <c r="Z245" i="38" s="1"/>
  <c r="BF149" i="38"/>
  <c r="Y149" i="38"/>
  <c r="Y208" i="38"/>
  <c r="Y256" i="38"/>
  <c r="Z256" i="38" s="1"/>
  <c r="Y286" i="38"/>
  <c r="Z286" i="38" s="1"/>
  <c r="BF11" i="38"/>
  <c r="Y11" i="38"/>
  <c r="W72" i="38"/>
  <c r="Y63" i="38"/>
  <c r="BF83" i="38"/>
  <c r="Y83" i="38"/>
  <c r="BF229" i="38"/>
  <c r="Y229" i="38"/>
  <c r="Y169" i="38"/>
  <c r="BF169" i="38"/>
  <c r="Y114" i="38"/>
  <c r="Z114" i="38" s="1"/>
  <c r="Y86" i="38"/>
  <c r="BF86" i="38"/>
  <c r="Y122" i="38"/>
  <c r="Z122" i="38" s="1"/>
  <c r="Y198" i="38"/>
  <c r="BF198" i="38"/>
  <c r="Y15" i="38"/>
  <c r="BF15" i="38"/>
  <c r="Y285" i="38"/>
  <c r="Z285" i="38" s="1"/>
  <c r="Y97" i="38"/>
  <c r="Z97" i="38" s="1"/>
  <c r="Y239" i="38"/>
  <c r="Y222" i="38"/>
  <c r="Y12" i="38"/>
  <c r="Y308" i="38"/>
  <c r="Z308" i="38" s="1"/>
  <c r="BF308" i="38"/>
  <c r="BF179" i="38"/>
  <c r="Y179" i="38"/>
  <c r="Y284" i="38"/>
  <c r="Z284" i="38" s="1"/>
  <c r="W177" i="38"/>
  <c r="Y137" i="38"/>
  <c r="Z137" i="38" s="1"/>
  <c r="Y112" i="38"/>
  <c r="BF112" i="38"/>
  <c r="Y249" i="38"/>
  <c r="BF18" i="38"/>
  <c r="Y18" i="38"/>
  <c r="Y78" i="38"/>
  <c r="BF78" i="38"/>
  <c r="Y178" i="38"/>
  <c r="BF178" i="38"/>
  <c r="W318" i="38"/>
  <c r="Y201" i="38"/>
  <c r="Z201" i="38" s="1"/>
  <c r="BF201" i="38"/>
  <c r="BF28" i="38"/>
  <c r="Y28" i="38"/>
  <c r="Z28" i="38" s="1"/>
  <c r="Y250" i="38"/>
  <c r="Z250" i="38" s="1"/>
  <c r="Y16" i="38"/>
  <c r="BF16" i="38"/>
  <c r="BF176" i="38"/>
  <c r="Y176" i="38"/>
  <c r="Y243" i="38"/>
  <c r="Z243" i="38" s="1"/>
  <c r="Y244" i="38"/>
  <c r="Z244" i="38" s="1"/>
  <c r="Y294" i="38"/>
  <c r="Y60" i="38"/>
  <c r="BF50" i="38"/>
  <c r="Y50" i="38"/>
  <c r="Z50" i="38" s="1"/>
  <c r="Y164" i="38"/>
  <c r="BF164" i="38"/>
  <c r="BF77" i="38"/>
  <c r="Y77" i="38"/>
  <c r="W36" i="38"/>
  <c r="Y293" i="38"/>
  <c r="Y56" i="38"/>
  <c r="Y299" i="38"/>
  <c r="Z299" i="38" s="1"/>
  <c r="Y141" i="38"/>
  <c r="Z141" i="38" s="1"/>
  <c r="BF31" i="38"/>
  <c r="Y31" i="38"/>
  <c r="Y62" i="38"/>
  <c r="BF62" i="38"/>
  <c r="Y212" i="38"/>
  <c r="Y123" i="38"/>
  <c r="Z123" i="38" s="1"/>
  <c r="BF313" i="38"/>
  <c r="Y313" i="38"/>
  <c r="Z313" i="38" s="1"/>
  <c r="BF96" i="38"/>
  <c r="Y96" i="38"/>
  <c r="BF80" i="38"/>
  <c r="Y80" i="38"/>
  <c r="Y196" i="38"/>
  <c r="Z196" i="38" s="1"/>
  <c r="W91" i="38"/>
  <c r="Y289" i="38"/>
  <c r="W191" i="38"/>
  <c r="Y264" i="38"/>
  <c r="Z264" i="38" s="1"/>
  <c r="Y45" i="38"/>
  <c r="Y166" i="38"/>
  <c r="BF166" i="38"/>
  <c r="BF233" i="38"/>
  <c r="Y233" i="38"/>
  <c r="Y158" i="38"/>
  <c r="BF158" i="38"/>
  <c r="Y231" i="38"/>
  <c r="W257" i="38"/>
  <c r="Y116" i="38"/>
  <c r="Z116" i="38" s="1"/>
  <c r="Y22" i="38"/>
  <c r="Y267" i="38"/>
  <c r="BF267" i="38"/>
  <c r="Y162" i="38"/>
  <c r="BF162" i="38"/>
  <c r="Y304" i="38"/>
  <c r="Y61" i="38"/>
  <c r="Z61" i="38" s="1"/>
  <c r="BF194" i="38"/>
  <c r="Y194" i="38"/>
  <c r="Y29" i="38"/>
  <c r="BF29" i="38"/>
  <c r="BF238" i="38"/>
  <c r="Y238" i="38"/>
  <c r="Y47" i="38"/>
  <c r="BF47" i="38"/>
  <c r="Y186" i="38"/>
  <c r="Y159" i="38"/>
  <c r="BF317" i="38"/>
  <c r="Y317" i="38"/>
  <c r="Z317" i="38" s="1"/>
  <c r="BF49" i="38"/>
  <c r="Y49" i="38"/>
  <c r="Y37" i="38"/>
  <c r="Z37" i="38" s="1"/>
  <c r="BF109" i="38"/>
  <c r="Y109" i="38"/>
  <c r="W204" i="38"/>
  <c r="Y151" i="38"/>
  <c r="BF151" i="38"/>
  <c r="Y115" i="38"/>
  <c r="Z115" i="38" s="1"/>
  <c r="BF103" i="38"/>
  <c r="Y103" i="38"/>
  <c r="Y279" i="38"/>
  <c r="Z279" i="38" s="1"/>
  <c r="W248" i="38"/>
  <c r="Y210" i="38"/>
  <c r="BF76" i="38"/>
  <c r="Y76" i="38"/>
  <c r="Z76" i="38" s="1"/>
  <c r="Y105" i="38"/>
  <c r="BF155" i="38"/>
  <c r="Y155" i="38"/>
  <c r="Y171" i="38"/>
  <c r="BF171" i="38"/>
  <c r="Y273" i="38"/>
  <c r="Z273" i="38" s="1"/>
  <c r="W203" i="38"/>
  <c r="BF226" i="38"/>
  <c r="Y226" i="38"/>
  <c r="Y207" i="38"/>
  <c r="Y255" i="38"/>
  <c r="Y129" i="38"/>
  <c r="Z129" i="38" s="1"/>
  <c r="Y175" i="38"/>
  <c r="Y160" i="38"/>
  <c r="BF160" i="38"/>
  <c r="Y241" i="38"/>
  <c r="Y209" i="38"/>
  <c r="Y172" i="38"/>
  <c r="BF172" i="38"/>
  <c r="W81" i="38"/>
  <c r="Y118" i="38"/>
  <c r="Z118" i="38" s="1"/>
  <c r="Y216" i="38"/>
  <c r="Z216" i="38" s="1"/>
  <c r="Y315" i="38"/>
  <c r="BF315" i="38"/>
  <c r="BF199" i="38"/>
  <c r="Y199" i="38"/>
  <c r="Z199" i="38" s="1"/>
  <c r="BF225" i="38"/>
  <c r="Y225" i="38"/>
  <c r="Z225" i="38" s="1"/>
  <c r="BF21" i="38"/>
  <c r="Y21" i="38"/>
  <c r="Z21" i="38" s="1"/>
  <c r="Y153" i="38"/>
  <c r="BF153" i="38"/>
  <c r="BF147" i="38"/>
  <c r="Y147" i="38"/>
  <c r="Y156" i="38"/>
  <c r="BF156" i="38"/>
  <c r="BF42" i="38"/>
  <c r="Y42" i="38"/>
  <c r="BF93" i="38"/>
  <c r="Y93" i="38"/>
  <c r="Y174" i="38"/>
  <c r="BF174" i="38"/>
  <c r="BF17" i="38"/>
  <c r="Y17" i="38"/>
  <c r="Z17" i="38" s="1"/>
  <c r="Y316" i="38"/>
  <c r="Y55" i="38"/>
  <c r="Y305" i="38"/>
  <c r="Z305" i="38" s="1"/>
  <c r="Y261" i="38"/>
  <c r="Y215" i="38"/>
  <c r="Y232" i="38"/>
  <c r="Y127" i="38"/>
  <c r="Z127" i="38" s="1"/>
  <c r="BF190" i="38"/>
  <c r="Y190" i="38"/>
  <c r="Y230" i="38"/>
  <c r="Y280" i="38"/>
  <c r="Z280" i="38" s="1"/>
  <c r="Y33" i="38"/>
  <c r="Z33" i="38" s="1"/>
  <c r="Y150" i="38"/>
  <c r="BF150" i="38"/>
  <c r="Y58" i="38"/>
  <c r="Y152" i="38"/>
  <c r="BF152" i="38"/>
  <c r="Y119" i="38"/>
  <c r="Z119" i="38" s="1"/>
  <c r="W134" i="38"/>
  <c r="Y130" i="38"/>
  <c r="Z130" i="38" s="1"/>
  <c r="BF74" i="38"/>
  <c r="Y74" i="38"/>
  <c r="Y220" i="38"/>
  <c r="BF220" i="38"/>
  <c r="Y287" i="38"/>
  <c r="Z287" i="38" s="1"/>
  <c r="BF184" i="38"/>
  <c r="Y184" i="38"/>
  <c r="W23" i="38"/>
  <c r="Y187" i="38"/>
  <c r="Y135" i="38"/>
  <c r="Z135" i="38" s="1"/>
  <c r="BF300" i="38"/>
  <c r="Y300" i="38"/>
  <c r="Z300" i="38" s="1"/>
  <c r="Y10" i="38"/>
  <c r="Z10" i="38" s="1"/>
  <c r="Y87" i="38"/>
  <c r="Z87" i="38" s="1"/>
  <c r="Y110" i="38"/>
  <c r="BF110" i="38"/>
  <c r="BF270" i="38"/>
  <c r="Y270" i="38"/>
  <c r="Y126" i="38"/>
  <c r="Z126" i="38" s="1"/>
  <c r="Y295" i="38"/>
  <c r="Y88" i="38"/>
  <c r="Y107" i="38"/>
  <c r="Y283" i="38"/>
  <c r="Z283" i="38" s="1"/>
  <c r="Y180" i="38"/>
  <c r="Y144" i="38"/>
  <c r="Z144" i="38" s="1"/>
  <c r="BF163" i="38"/>
  <c r="Y163" i="38"/>
  <c r="Y200" i="38"/>
  <c r="BF200" i="38"/>
  <c r="BF189" i="38"/>
  <c r="Y189" i="38"/>
  <c r="Y136" i="38"/>
  <c r="Z136" i="38" s="1"/>
  <c r="BF202" i="38"/>
  <c r="Y202" i="38"/>
  <c r="Y154" i="38"/>
  <c r="BF154" i="38"/>
  <c r="Y117" i="38"/>
  <c r="Z117" i="38" s="1"/>
  <c r="Y57" i="38"/>
  <c r="Z57" i="38" s="1"/>
  <c r="Y140" i="38"/>
  <c r="Z140" i="38" s="1"/>
  <c r="Y142" i="38"/>
  <c r="Z142" i="38" s="1"/>
  <c r="Y25" i="38"/>
  <c r="W252" i="38"/>
  <c r="Y306" i="38"/>
  <c r="Y263" i="38"/>
  <c r="Z263" i="38" s="1"/>
  <c r="Y309" i="38"/>
  <c r="Y138" i="38"/>
  <c r="Z138" i="38" s="1"/>
  <c r="W13" i="38"/>
  <c r="Y67" i="38"/>
  <c r="Z67" i="38" s="1"/>
  <c r="Y95" i="38"/>
  <c r="BF95" i="38"/>
  <c r="Y70" i="38"/>
  <c r="Y272" i="38"/>
  <c r="Z272" i="38" s="1"/>
  <c r="Y71" i="38"/>
  <c r="Z71" i="38" s="1"/>
  <c r="BF71" i="38"/>
  <c r="BF65" i="38"/>
  <c r="Y65" i="38"/>
  <c r="Z65" i="38" s="1"/>
  <c r="BF100" i="38"/>
  <c r="Y100" i="38"/>
  <c r="BF157" i="38"/>
  <c r="Y157" i="38"/>
  <c r="Y310" i="38"/>
  <c r="Y128" i="38"/>
  <c r="Z128" i="38" s="1"/>
  <c r="Y227" i="38"/>
  <c r="Z227" i="38" s="1"/>
  <c r="W205" i="38"/>
  <c r="Y104" i="38"/>
  <c r="BF101" i="38"/>
  <c r="Y101" i="38"/>
  <c r="Y124" i="38"/>
  <c r="Z124" i="38" s="1"/>
  <c r="Y98" i="38"/>
  <c r="BF98" i="38"/>
  <c r="Y89" i="38"/>
  <c r="Z89" i="38" s="1"/>
  <c r="BF195" i="38"/>
  <c r="Y195" i="38"/>
  <c r="Y43" i="38"/>
  <c r="BF269" i="38"/>
  <c r="Y269" i="38"/>
  <c r="Y292" i="38"/>
  <c r="Y125" i="38"/>
  <c r="Z125" i="38" s="1"/>
  <c r="BF52" i="38"/>
  <c r="Y52" i="38"/>
  <c r="Y301" i="38"/>
  <c r="Z301" i="38" s="1"/>
  <c r="BF301" i="38"/>
  <c r="Y314" i="38"/>
  <c r="BF314" i="38"/>
  <c r="W173" i="38"/>
  <c r="W167" i="38"/>
  <c r="BF24" i="38"/>
  <c r="Y24" i="38"/>
  <c r="Y131" i="38"/>
  <c r="Z131" i="38" s="1"/>
  <c r="Y237" i="38"/>
  <c r="BF237" i="38"/>
  <c r="Y106" i="38"/>
  <c r="BF106" i="38"/>
  <c r="Y291" i="38"/>
  <c r="BF302" i="38"/>
  <c r="Y302" i="38"/>
  <c r="Y214" i="38"/>
  <c r="BF64" i="38"/>
  <c r="Y64" i="38"/>
  <c r="Y281" i="38"/>
  <c r="Y113" i="38"/>
  <c r="W224" i="38"/>
  <c r="BF319" i="38"/>
  <c r="Y319" i="38"/>
  <c r="Y192" i="38"/>
  <c r="BF53" i="38"/>
  <c r="Y53" i="38"/>
  <c r="Y102" i="38"/>
  <c r="Z102" i="38" s="1"/>
  <c r="BF39" i="38"/>
  <c r="Y39" i="38"/>
  <c r="Y139" i="38"/>
  <c r="Z139" i="38" s="1"/>
  <c r="Y161" i="38"/>
  <c r="BF161" i="38"/>
  <c r="BF197" i="38"/>
  <c r="Y197" i="38"/>
  <c r="Y258" i="38"/>
  <c r="BF290" i="38"/>
  <c r="Y290" i="38"/>
  <c r="Z290" i="38" s="1"/>
  <c r="Y185" i="38"/>
  <c r="Y59" i="38"/>
  <c r="Z59" i="38" s="1"/>
  <c r="BF92" i="38"/>
  <c r="Y92" i="38"/>
  <c r="Y82" i="38"/>
  <c r="BF82" i="38"/>
  <c r="Y217" i="38"/>
  <c r="Y274" i="38"/>
  <c r="Y193" i="38"/>
  <c r="Y99" i="38"/>
  <c r="BF99" i="38"/>
  <c r="AE34" i="38" l="1"/>
  <c r="AE307" i="38"/>
  <c r="AA89" i="38"/>
  <c r="AC89" i="38" s="1"/>
  <c r="BV89" i="38"/>
  <c r="BY89" i="38" s="1"/>
  <c r="AA227" i="38"/>
  <c r="AC227" i="38" s="1"/>
  <c r="BV227" i="38"/>
  <c r="BY227" i="38" s="1"/>
  <c r="AA140" i="38"/>
  <c r="AC140" i="38" s="1"/>
  <c r="BV140" i="38"/>
  <c r="BY140" i="38" s="1"/>
  <c r="AA283" i="38"/>
  <c r="AC283" i="38" s="1"/>
  <c r="BV283" i="38"/>
  <c r="BY283" i="38" s="1"/>
  <c r="AA280" i="38"/>
  <c r="AC280" i="38" s="1"/>
  <c r="BV280" i="38"/>
  <c r="BY280" i="38" s="1"/>
  <c r="AA305" i="38"/>
  <c r="AC305" i="38" s="1"/>
  <c r="BV305" i="38"/>
  <c r="BY305" i="38" s="1"/>
  <c r="AA196" i="38"/>
  <c r="AC196" i="38" s="1"/>
  <c r="BV196" i="38"/>
  <c r="BY196" i="38" s="1"/>
  <c r="AA250" i="38"/>
  <c r="AC250" i="38" s="1"/>
  <c r="BV250" i="38"/>
  <c r="BY250" i="38" s="1"/>
  <c r="AA311" i="38"/>
  <c r="AC311" i="38" s="1"/>
  <c r="BV311" i="38"/>
  <c r="BY311" i="38" s="1"/>
  <c r="AA132" i="38"/>
  <c r="AC132" i="38" s="1"/>
  <c r="BV132" i="38"/>
  <c r="BY132" i="38" s="1"/>
  <c r="AA277" i="38"/>
  <c r="AC277" i="38" s="1"/>
  <c r="BV277" i="38"/>
  <c r="BY277" i="38" s="1"/>
  <c r="AA235" i="38"/>
  <c r="AE235" i="38" s="1"/>
  <c r="BV235" i="38"/>
  <c r="BY235" i="38" s="1"/>
  <c r="AA139" i="38"/>
  <c r="AC139" i="38" s="1"/>
  <c r="BV139" i="38"/>
  <c r="BY139" i="38" s="1"/>
  <c r="AA290" i="38"/>
  <c r="AC290" i="38" s="1"/>
  <c r="BV290" i="38"/>
  <c r="BY290" i="38" s="1"/>
  <c r="AA125" i="38"/>
  <c r="AC125" i="38" s="1"/>
  <c r="BV125" i="38"/>
  <c r="BY125" i="38" s="1"/>
  <c r="AA128" i="38"/>
  <c r="AC128" i="38" s="1"/>
  <c r="BV128" i="38"/>
  <c r="BY128" i="38" s="1"/>
  <c r="AA138" i="38"/>
  <c r="AC138" i="38" s="1"/>
  <c r="BV138" i="38"/>
  <c r="BY138" i="38" s="1"/>
  <c r="AA57" i="38"/>
  <c r="AC57" i="38" s="1"/>
  <c r="BV57" i="38"/>
  <c r="BY57" i="38" s="1"/>
  <c r="AA87" i="38"/>
  <c r="AC87" i="38" s="1"/>
  <c r="BV87" i="38"/>
  <c r="BY87" i="38" s="1"/>
  <c r="AA119" i="38"/>
  <c r="AC119" i="38" s="1"/>
  <c r="BV119" i="38"/>
  <c r="BY119" i="38" s="1"/>
  <c r="AA21" i="38"/>
  <c r="AC21" i="38" s="1"/>
  <c r="BV21" i="38"/>
  <c r="BY21" i="38" s="1"/>
  <c r="AA216" i="38"/>
  <c r="AC216" i="38" s="1"/>
  <c r="BV216" i="38"/>
  <c r="BY216" i="38" s="1"/>
  <c r="AA273" i="38"/>
  <c r="AC273" i="38" s="1"/>
  <c r="BV273" i="38"/>
  <c r="BY273" i="38" s="1"/>
  <c r="AA28" i="38"/>
  <c r="AC28" i="38" s="1"/>
  <c r="BV28" i="38"/>
  <c r="BY28" i="38" s="1"/>
  <c r="AA284" i="38"/>
  <c r="AC284" i="38" s="1"/>
  <c r="BV284" i="38"/>
  <c r="BY284" i="38" s="1"/>
  <c r="AA97" i="38"/>
  <c r="AC97" i="38" s="1"/>
  <c r="BV97" i="38"/>
  <c r="BY97" i="38" s="1"/>
  <c r="AA303" i="38"/>
  <c r="AC303" i="38" s="1"/>
  <c r="BV303" i="38"/>
  <c r="BY303" i="38" s="1"/>
  <c r="AA262" i="38"/>
  <c r="AC262" i="38" s="1"/>
  <c r="BV262" i="38"/>
  <c r="BY262" i="38" s="1"/>
  <c r="AA19" i="38"/>
  <c r="AE19" i="38" s="1"/>
  <c r="BV19" i="38"/>
  <c r="BY19" i="38" s="1"/>
  <c r="AA38" i="38"/>
  <c r="AC38" i="38" s="1"/>
  <c r="AJ38" i="38" s="1"/>
  <c r="AL38" i="38" s="1"/>
  <c r="BV38" i="38"/>
  <c r="BY38" i="38" s="1"/>
  <c r="AA268" i="38"/>
  <c r="AC268" i="38" s="1"/>
  <c r="AJ268" i="38" s="1"/>
  <c r="AL268" i="38" s="1"/>
  <c r="BV268" i="38"/>
  <c r="BY268" i="38" s="1"/>
  <c r="AA213" i="38"/>
  <c r="AE213" i="38" s="1"/>
  <c r="BV213" i="38"/>
  <c r="BY213" i="38" s="1"/>
  <c r="AA71" i="38"/>
  <c r="AC71" i="38" s="1"/>
  <c r="BV71" i="38"/>
  <c r="BY71" i="38" s="1"/>
  <c r="AA117" i="38"/>
  <c r="AC117" i="38" s="1"/>
  <c r="BV117" i="38"/>
  <c r="BY117" i="38" s="1"/>
  <c r="AA10" i="38"/>
  <c r="AC10" i="38" s="1"/>
  <c r="BV10" i="38"/>
  <c r="BY10" i="38" s="1"/>
  <c r="AA287" i="38"/>
  <c r="AC287" i="38" s="1"/>
  <c r="BV287" i="38"/>
  <c r="BY287" i="38" s="1"/>
  <c r="AA118" i="38"/>
  <c r="AC118" i="38" s="1"/>
  <c r="BV118" i="38"/>
  <c r="BY118" i="38" s="1"/>
  <c r="AA116" i="38"/>
  <c r="AC116" i="38" s="1"/>
  <c r="BV116" i="38"/>
  <c r="BY116" i="38" s="1"/>
  <c r="AA244" i="38"/>
  <c r="AC244" i="38" s="1"/>
  <c r="BV244" i="38"/>
  <c r="BY244" i="38" s="1"/>
  <c r="AA285" i="38"/>
  <c r="AC285" i="38" s="1"/>
  <c r="BV285" i="38"/>
  <c r="BY285" i="38" s="1"/>
  <c r="AA114" i="38"/>
  <c r="AC114" i="38" s="1"/>
  <c r="BV114" i="38"/>
  <c r="AA245" i="38"/>
  <c r="AC245" i="38" s="1"/>
  <c r="BV245" i="38"/>
  <c r="BY245" i="38" s="1"/>
  <c r="AA133" i="38"/>
  <c r="AC133" i="38" s="1"/>
  <c r="BV133" i="38"/>
  <c r="BY133" i="38" s="1"/>
  <c r="AA148" i="38"/>
  <c r="AE148" i="38" s="1"/>
  <c r="BV148" i="38"/>
  <c r="BY148" i="38" s="1"/>
  <c r="AA263" i="38"/>
  <c r="AC263" i="38" s="1"/>
  <c r="BV263" i="38"/>
  <c r="BY263" i="38" s="1"/>
  <c r="AA300" i="38"/>
  <c r="AC300" i="38" s="1"/>
  <c r="BV300" i="38"/>
  <c r="BY300" i="38" s="1"/>
  <c r="AA17" i="38"/>
  <c r="AC17" i="38" s="1"/>
  <c r="BV17" i="38"/>
  <c r="BY17" i="38" s="1"/>
  <c r="AA225" i="38"/>
  <c r="AC225" i="38" s="1"/>
  <c r="BV225" i="38"/>
  <c r="BY225" i="38" s="1"/>
  <c r="AA129" i="38"/>
  <c r="AC129" i="38" s="1"/>
  <c r="BV129" i="38"/>
  <c r="BY129" i="38" s="1"/>
  <c r="AA279" i="38"/>
  <c r="AC279" i="38" s="1"/>
  <c r="BV279" i="38"/>
  <c r="BY279" i="38" s="1"/>
  <c r="AA61" i="38"/>
  <c r="AC61" i="38" s="1"/>
  <c r="BV61" i="38"/>
  <c r="BY61" i="38" s="1"/>
  <c r="AA243" i="38"/>
  <c r="AC243" i="38" s="1"/>
  <c r="BV243" i="38"/>
  <c r="BY243" i="38" s="1"/>
  <c r="AA143" i="38"/>
  <c r="AC143" i="38" s="1"/>
  <c r="BV143" i="38"/>
  <c r="BY143" i="38" s="1"/>
  <c r="AA242" i="38"/>
  <c r="AC242" i="38" s="1"/>
  <c r="BV242" i="38"/>
  <c r="BY242" i="38" s="1"/>
  <c r="AA312" i="38"/>
  <c r="AC312" i="38" s="1"/>
  <c r="AJ312" i="38" s="1"/>
  <c r="BV312" i="38"/>
  <c r="BY312" i="38" s="1"/>
  <c r="AA135" i="38"/>
  <c r="AC135" i="38" s="1"/>
  <c r="BV135" i="38"/>
  <c r="BY135" i="38" s="1"/>
  <c r="AA102" i="38"/>
  <c r="AC102" i="38" s="1"/>
  <c r="BV102" i="38"/>
  <c r="BY102" i="38" s="1"/>
  <c r="AA124" i="38"/>
  <c r="AC124" i="38" s="1"/>
  <c r="BV124" i="38"/>
  <c r="BY124" i="38" s="1"/>
  <c r="AA272" i="38"/>
  <c r="AC272" i="38" s="1"/>
  <c r="BV272" i="38"/>
  <c r="BY272" i="38" s="1"/>
  <c r="AA126" i="38"/>
  <c r="AC126" i="38" s="1"/>
  <c r="BV126" i="38"/>
  <c r="BY126" i="38" s="1"/>
  <c r="AA127" i="38"/>
  <c r="AC127" i="38" s="1"/>
  <c r="BV127" i="38"/>
  <c r="BY127" i="38" s="1"/>
  <c r="AA37" i="38"/>
  <c r="AC37" i="38" s="1"/>
  <c r="BV37" i="38"/>
  <c r="BY37" i="38" s="1"/>
  <c r="AA264" i="38"/>
  <c r="AC264" i="38" s="1"/>
  <c r="BV264" i="38"/>
  <c r="BY264" i="38" s="1"/>
  <c r="AA201" i="38"/>
  <c r="AC201" i="38" s="1"/>
  <c r="BV201" i="38"/>
  <c r="BY201" i="38" s="1"/>
  <c r="AA282" i="38"/>
  <c r="AC282" i="38" s="1"/>
  <c r="BV282" i="38"/>
  <c r="BY282" i="38" s="1"/>
  <c r="AA218" i="38"/>
  <c r="AE218" i="38" s="1"/>
  <c r="BV218" i="38"/>
  <c r="BY218" i="38" s="1"/>
  <c r="AA298" i="38"/>
  <c r="AC298" i="38" s="1"/>
  <c r="AJ298" i="38" s="1"/>
  <c r="AL298" i="38" s="1"/>
  <c r="BV298" i="38"/>
  <c r="BY298" i="38" s="1"/>
  <c r="AA223" i="38"/>
  <c r="AC223" i="38" s="1"/>
  <c r="AJ223" i="38" s="1"/>
  <c r="AL223" i="38" s="1"/>
  <c r="BV223" i="38"/>
  <c r="BY223" i="38" s="1"/>
  <c r="AA308" i="38"/>
  <c r="AC308" i="38" s="1"/>
  <c r="BV308" i="38"/>
  <c r="BY308" i="38" s="1"/>
  <c r="AA286" i="38"/>
  <c r="AC286" i="38" s="1"/>
  <c r="BV286" i="38"/>
  <c r="BY286" i="38" s="1"/>
  <c r="AA90" i="38"/>
  <c r="AC90" i="38" s="1"/>
  <c r="BV90" i="38"/>
  <c r="BY90" i="38" s="1"/>
  <c r="AA246" i="38"/>
  <c r="AC246" i="38" s="1"/>
  <c r="BV246" i="38"/>
  <c r="BY246" i="38" s="1"/>
  <c r="AA247" i="38"/>
  <c r="AC247" i="38" s="1"/>
  <c r="BV247" i="38"/>
  <c r="BY247" i="38" s="1"/>
  <c r="AA26" i="38"/>
  <c r="AC26" i="38" s="1"/>
  <c r="BV26" i="38"/>
  <c r="BY26" i="38" s="1"/>
  <c r="AA183" i="38"/>
  <c r="AE183" i="38" s="1"/>
  <c r="BV183" i="38"/>
  <c r="BY183" i="38" s="1"/>
  <c r="AA199" i="38"/>
  <c r="AC199" i="38" s="1"/>
  <c r="BV199" i="38"/>
  <c r="BY199" i="38" s="1"/>
  <c r="AA141" i="38"/>
  <c r="AC141" i="38" s="1"/>
  <c r="BV141" i="38"/>
  <c r="BY141" i="38" s="1"/>
  <c r="AA131" i="38"/>
  <c r="AC131" i="38" s="1"/>
  <c r="BV131" i="38"/>
  <c r="BY131" i="38" s="1"/>
  <c r="AA301" i="38"/>
  <c r="AC301" i="38" s="1"/>
  <c r="BV301" i="38"/>
  <c r="BY301" i="38" s="1"/>
  <c r="AA144" i="38"/>
  <c r="AC144" i="38" s="1"/>
  <c r="BV144" i="38"/>
  <c r="BY144" i="38" s="1"/>
  <c r="AA115" i="38"/>
  <c r="AC115" i="38" s="1"/>
  <c r="BV115" i="38"/>
  <c r="BY115" i="38" s="1"/>
  <c r="AA299" i="38"/>
  <c r="AC299" i="38" s="1"/>
  <c r="BV299" i="38"/>
  <c r="BY299" i="38" s="1"/>
  <c r="AA50" i="38"/>
  <c r="AC50" i="38" s="1"/>
  <c r="BV50" i="38"/>
  <c r="BY50" i="38" s="1"/>
  <c r="AA256" i="38"/>
  <c r="AC256" i="38" s="1"/>
  <c r="BV256" i="38"/>
  <c r="BY256" i="38" s="1"/>
  <c r="AA278" i="38"/>
  <c r="AC278" i="38" s="1"/>
  <c r="BV278" i="38"/>
  <c r="BY278" i="38" s="1"/>
  <c r="AA85" i="38"/>
  <c r="AE85" i="38" s="1"/>
  <c r="BV85" i="38"/>
  <c r="BY85" i="38" s="1"/>
  <c r="AA46" i="38"/>
  <c r="AC46" i="38" s="1"/>
  <c r="AJ46" i="38" s="1"/>
  <c r="AL46" i="38" s="1"/>
  <c r="BV46" i="38"/>
  <c r="BY46" i="38" s="1"/>
  <c r="AA35" i="38"/>
  <c r="AC35" i="38" s="1"/>
  <c r="AJ35" i="38" s="1"/>
  <c r="BV35" i="38"/>
  <c r="BY35" i="38" s="1"/>
  <c r="AA313" i="38"/>
  <c r="AC313" i="38" s="1"/>
  <c r="BV313" i="38"/>
  <c r="BY313" i="38" s="1"/>
  <c r="AA59" i="38"/>
  <c r="AC59" i="38" s="1"/>
  <c r="BV59" i="38"/>
  <c r="BY59" i="38" s="1"/>
  <c r="AA65" i="38"/>
  <c r="AC65" i="38" s="1"/>
  <c r="BV65" i="38"/>
  <c r="BY65" i="38" s="1"/>
  <c r="AA67" i="38"/>
  <c r="AC67" i="38" s="1"/>
  <c r="BV67" i="38"/>
  <c r="BY67" i="38" s="1"/>
  <c r="AA142" i="38"/>
  <c r="AC142" i="38" s="1"/>
  <c r="BV142" i="38"/>
  <c r="BY142" i="38" s="1"/>
  <c r="AA136" i="38"/>
  <c r="AC136" i="38" s="1"/>
  <c r="BV136" i="38"/>
  <c r="BY136" i="38" s="1"/>
  <c r="AA130" i="38"/>
  <c r="AC130" i="38" s="1"/>
  <c r="BV130" i="38"/>
  <c r="BY130" i="38" s="1"/>
  <c r="AA33" i="38"/>
  <c r="AC33" i="38" s="1"/>
  <c r="BV33" i="38"/>
  <c r="BY33" i="38" s="1"/>
  <c r="AA76" i="38"/>
  <c r="AC76" i="38" s="1"/>
  <c r="BV76" i="38"/>
  <c r="BY76" i="38" s="1"/>
  <c r="AA317" i="38"/>
  <c r="AC317" i="38" s="1"/>
  <c r="BV317" i="38"/>
  <c r="BY317" i="38" s="1"/>
  <c r="AA123" i="38"/>
  <c r="AC123" i="38" s="1"/>
  <c r="BV123" i="38"/>
  <c r="BY123" i="38" s="1"/>
  <c r="AA137" i="38"/>
  <c r="AC137" i="38" s="1"/>
  <c r="BV137" i="38"/>
  <c r="BY137" i="38" s="1"/>
  <c r="AA122" i="38"/>
  <c r="AC122" i="38" s="1"/>
  <c r="BV122" i="38"/>
  <c r="BY122" i="38" s="1"/>
  <c r="AA111" i="38"/>
  <c r="AC111" i="38" s="1"/>
  <c r="BV111" i="38"/>
  <c r="BY111" i="38" s="1"/>
  <c r="AA27" i="38"/>
  <c r="AE27" i="38" s="1"/>
  <c r="BV27" i="38"/>
  <c r="BY27" i="38" s="1"/>
  <c r="AA265" i="38"/>
  <c r="AC265" i="38" s="1"/>
  <c r="AJ265" i="38" s="1"/>
  <c r="AL265" i="38" s="1"/>
  <c r="BV265" i="38"/>
  <c r="BY265" i="38" s="1"/>
  <c r="AA251" i="38"/>
  <c r="AC251" i="38" s="1"/>
  <c r="AJ251" i="38" s="1"/>
  <c r="AL251" i="38" s="1"/>
  <c r="BV251" i="38"/>
  <c r="BY251" i="38" s="1"/>
  <c r="AW236" i="38"/>
  <c r="AL236" i="38"/>
  <c r="AW228" i="38"/>
  <c r="AW20" i="38"/>
  <c r="AW276" i="38"/>
  <c r="AO236" i="38"/>
  <c r="AP236" i="38"/>
  <c r="AQ236" i="38" s="1"/>
  <c r="AR236" i="38" s="1"/>
  <c r="Z271" i="38"/>
  <c r="Z281" i="38"/>
  <c r="AE90" i="38"/>
  <c r="AE308" i="38"/>
  <c r="AE227" i="38"/>
  <c r="AE311" i="38"/>
  <c r="AE59" i="38"/>
  <c r="AE28" i="38"/>
  <c r="AE300" i="38"/>
  <c r="AE290" i="38"/>
  <c r="AE225" i="38"/>
  <c r="AE277" i="38"/>
  <c r="Z249" i="38"/>
  <c r="AE313" i="38"/>
  <c r="AE102" i="38"/>
  <c r="AE76" i="38"/>
  <c r="AE37" i="38"/>
  <c r="AE97" i="38"/>
  <c r="AE201" i="38"/>
  <c r="AE216" i="38"/>
  <c r="AE305" i="38"/>
  <c r="AE57" i="38"/>
  <c r="AE26" i="38"/>
  <c r="AE71" i="38"/>
  <c r="AE89" i="38"/>
  <c r="AE21" i="38"/>
  <c r="AJ26" i="38"/>
  <c r="AL26" i="38" s="1"/>
  <c r="Z104" i="38"/>
  <c r="Z232" i="38"/>
  <c r="Z207" i="38"/>
  <c r="Z45" i="38"/>
  <c r="Z275" i="38"/>
  <c r="AJ225" i="38"/>
  <c r="AL225" i="38" s="1"/>
  <c r="AJ303" i="38"/>
  <c r="AL303" i="38" s="1"/>
  <c r="AJ57" i="38"/>
  <c r="AL57" i="38" s="1"/>
  <c r="AJ290" i="38"/>
  <c r="AL290" i="38" s="1"/>
  <c r="AJ67" i="38"/>
  <c r="AL67" i="38" s="1"/>
  <c r="AJ21" i="38"/>
  <c r="AL21" i="38" s="1"/>
  <c r="AJ34" i="38"/>
  <c r="AL34" i="38" s="1"/>
  <c r="Z215" i="38"/>
  <c r="Z209" i="38"/>
  <c r="Z231" i="38"/>
  <c r="AJ102" i="38"/>
  <c r="AL102" i="38" s="1"/>
  <c r="AJ50" i="38"/>
  <c r="AL50" i="38" s="1"/>
  <c r="Z302" i="38"/>
  <c r="Z185" i="38"/>
  <c r="AC85" i="38"/>
  <c r="AJ85" i="38" s="1"/>
  <c r="AL85" i="38" s="1"/>
  <c r="AC19" i="38"/>
  <c r="AJ37" i="38"/>
  <c r="AL37" i="38" s="1"/>
  <c r="AJ61" i="38"/>
  <c r="AL61" i="38" s="1"/>
  <c r="AJ90" i="38"/>
  <c r="AL90" i="38" s="1"/>
  <c r="Z289" i="38"/>
  <c r="Z297" i="38"/>
  <c r="Z44" i="38"/>
  <c r="AI27" i="38"/>
  <c r="AJ59" i="38"/>
  <c r="AL59" i="38" s="1"/>
  <c r="AJ71" i="38"/>
  <c r="AL71" i="38" s="1"/>
  <c r="Z292" i="38"/>
  <c r="Z309" i="38"/>
  <c r="Z55" i="38"/>
  <c r="Z210" i="38"/>
  <c r="Z56" i="38"/>
  <c r="Z222" i="38"/>
  <c r="Z208" i="38"/>
  <c r="Z40" i="38"/>
  <c r="AJ301" i="38"/>
  <c r="AL301" i="38" s="1"/>
  <c r="AJ196" i="38"/>
  <c r="AL196" i="38" s="1"/>
  <c r="Z291" i="38"/>
  <c r="Z230" i="38"/>
  <c r="Z175" i="38"/>
  <c r="Z186" i="38"/>
  <c r="Z293" i="38"/>
  <c r="Z60" i="38"/>
  <c r="Z254" i="38"/>
  <c r="Z41" i="38"/>
  <c r="AC235" i="38"/>
  <c r="AI235" i="38"/>
  <c r="AJ313" i="38"/>
  <c r="AL313" i="38" s="1"/>
  <c r="AJ216" i="38"/>
  <c r="AL216" i="38" s="1"/>
  <c r="AJ311" i="38"/>
  <c r="AL311" i="38" s="1"/>
  <c r="Z274" i="38"/>
  <c r="Z314" i="38"/>
  <c r="Z70" i="38"/>
  <c r="Z306" i="38"/>
  <c r="Z295" i="38"/>
  <c r="Z294" i="38"/>
  <c r="Z69" i="38"/>
  <c r="Z234" i="38"/>
  <c r="AC148" i="38"/>
  <c r="AJ148" i="38" s="1"/>
  <c r="AL148" i="38" s="1"/>
  <c r="AJ28" i="38"/>
  <c r="AL28" i="38" s="1"/>
  <c r="AJ97" i="38"/>
  <c r="AL97" i="38" s="1"/>
  <c r="AJ227" i="38"/>
  <c r="AL227" i="38" s="1"/>
  <c r="AJ199" i="38"/>
  <c r="AL199" i="38" s="1"/>
  <c r="AJ277" i="38"/>
  <c r="AL277" i="38" s="1"/>
  <c r="AJ201" i="38"/>
  <c r="AL201" i="38" s="1"/>
  <c r="AJ308" i="38"/>
  <c r="AL308" i="38" s="1"/>
  <c r="AJ317" i="38"/>
  <c r="AL317" i="38" s="1"/>
  <c r="AJ65" i="38"/>
  <c r="AL65" i="38" s="1"/>
  <c r="AJ76" i="38"/>
  <c r="AL76" i="38" s="1"/>
  <c r="Z43" i="38"/>
  <c r="Z255" i="38"/>
  <c r="Z304" i="38"/>
  <c r="Z219" i="38"/>
  <c r="Z296" i="38"/>
  <c r="AC218" i="38"/>
  <c r="AC213" i="38"/>
  <c r="AJ300" i="38"/>
  <c r="AL300" i="38" s="1"/>
  <c r="AJ17" i="38"/>
  <c r="AL17" i="38" s="1"/>
  <c r="AJ33" i="38"/>
  <c r="AL33" i="38" s="1"/>
  <c r="AJ87" i="38"/>
  <c r="AL87" i="38" s="1"/>
  <c r="AJ89" i="38"/>
  <c r="AL89" i="38" s="1"/>
  <c r="AJ111" i="38"/>
  <c r="AL111" i="38" s="1"/>
  <c r="AJ305" i="38"/>
  <c r="AL305" i="38" s="1"/>
  <c r="Z217" i="38"/>
  <c r="Z113" i="38"/>
  <c r="Z98" i="38"/>
  <c r="Z310" i="38"/>
  <c r="Z107" i="38"/>
  <c r="Z42" i="38"/>
  <c r="Z160" i="38"/>
  <c r="Z159" i="38"/>
  <c r="Z194" i="38"/>
  <c r="Z22" i="38"/>
  <c r="Z233" i="38"/>
  <c r="Z16" i="38"/>
  <c r="Z178" i="38"/>
  <c r="Z83" i="38"/>
  <c r="Z182" i="38"/>
  <c r="Z258" i="38"/>
  <c r="Z106" i="38"/>
  <c r="Z269" i="38"/>
  <c r="Z157" i="38"/>
  <c r="Z200" i="38"/>
  <c r="Z88" i="38"/>
  <c r="Z190" i="38"/>
  <c r="Z316" i="38"/>
  <c r="Z109" i="38"/>
  <c r="Z212" i="38"/>
  <c r="Z239" i="38"/>
  <c r="Z149" i="38"/>
  <c r="Z82" i="38"/>
  <c r="Z154" i="38"/>
  <c r="Z163" i="38"/>
  <c r="Z152" i="38"/>
  <c r="Z171" i="38"/>
  <c r="Z80" i="38"/>
  <c r="Z78" i="38"/>
  <c r="Z86" i="38"/>
  <c r="Z63" i="38"/>
  <c r="Z30" i="38"/>
  <c r="Z240" i="38"/>
  <c r="Z101" i="38"/>
  <c r="Z58" i="38"/>
  <c r="Z156" i="38"/>
  <c r="Z155" i="38"/>
  <c r="Z103" i="38"/>
  <c r="Z47" i="38"/>
  <c r="Z166" i="38"/>
  <c r="Z62" i="38"/>
  <c r="Z77" i="38"/>
  <c r="Z18" i="38"/>
  <c r="Z179" i="38"/>
  <c r="Z259" i="38"/>
  <c r="Z53" i="38"/>
  <c r="Z100" i="38"/>
  <c r="Z220" i="38"/>
  <c r="Z192" i="38"/>
  <c r="Z214" i="38"/>
  <c r="Z195" i="38"/>
  <c r="Z95" i="38"/>
  <c r="Z25" i="38"/>
  <c r="Z270" i="38"/>
  <c r="Z74" i="38"/>
  <c r="Z147" i="38"/>
  <c r="Z172" i="38"/>
  <c r="Z49" i="38"/>
  <c r="Z238" i="38"/>
  <c r="Z96" i="38"/>
  <c r="Z31" i="38"/>
  <c r="Z11" i="38"/>
  <c r="Z170" i="38"/>
  <c r="Z84" i="38"/>
  <c r="Z79" i="38"/>
  <c r="Z197" i="38"/>
  <c r="Z64" i="38"/>
  <c r="Z92" i="38"/>
  <c r="Z237" i="38"/>
  <c r="Z202" i="38"/>
  <c r="Z99" i="38"/>
  <c r="Z161" i="38"/>
  <c r="Z319" i="38"/>
  <c r="Z24" i="38"/>
  <c r="Z52" i="38"/>
  <c r="Z187" i="38"/>
  <c r="Z150" i="38"/>
  <c r="Z174" i="38"/>
  <c r="Z226" i="38"/>
  <c r="Z105" i="38"/>
  <c r="Z162" i="38"/>
  <c r="Z176" i="38"/>
  <c r="Z15" i="38"/>
  <c r="Z169" i="38"/>
  <c r="Z75" i="38"/>
  <c r="Z73" i="38"/>
  <c r="Z168" i="38"/>
  <c r="Z94" i="38"/>
  <c r="Z121" i="38"/>
  <c r="Z14" i="38"/>
  <c r="Z189" i="38"/>
  <c r="Z180" i="38"/>
  <c r="Z261" i="38"/>
  <c r="Z93" i="38"/>
  <c r="Z241" i="38"/>
  <c r="Z164" i="38"/>
  <c r="Z229" i="38"/>
  <c r="Z32" i="38"/>
  <c r="Z165" i="38"/>
  <c r="Z193" i="38"/>
  <c r="Z39" i="38"/>
  <c r="Z110" i="38"/>
  <c r="Z184" i="38"/>
  <c r="Z153" i="38"/>
  <c r="Z315" i="38"/>
  <c r="Z151" i="38"/>
  <c r="Z29" i="38"/>
  <c r="Z267" i="38"/>
  <c r="Z158" i="38"/>
  <c r="Z112" i="38"/>
  <c r="Z198" i="38"/>
  <c r="Z51" i="38"/>
  <c r="Z108" i="38"/>
  <c r="AI48" i="38"/>
  <c r="AI129" i="38"/>
  <c r="AI19" i="38"/>
  <c r="AI302" i="38"/>
  <c r="AI210" i="38"/>
  <c r="AI21" i="38"/>
  <c r="AI255" i="38"/>
  <c r="AI279" i="38"/>
  <c r="AI278" i="38"/>
  <c r="AI43" i="38"/>
  <c r="AI304" i="38"/>
  <c r="AI70" i="38"/>
  <c r="AI17" i="38"/>
  <c r="AI317" i="38"/>
  <c r="AI135" i="38"/>
  <c r="AI90" i="38"/>
  <c r="AI292" i="38"/>
  <c r="AI124" i="38"/>
  <c r="AI306" i="38"/>
  <c r="AI111" i="38"/>
  <c r="AI253" i="38"/>
  <c r="AI281" i="38"/>
  <c r="AI119" i="38"/>
  <c r="AI122" i="38"/>
  <c r="AI254" i="38"/>
  <c r="AI273" i="38"/>
  <c r="AI256" i="38"/>
  <c r="AI142" i="38"/>
  <c r="AI87" i="38"/>
  <c r="W8" i="38"/>
  <c r="AI139" i="38"/>
  <c r="AI133" i="38"/>
  <c r="AI288" i="38"/>
  <c r="Y248" i="38"/>
  <c r="Z248" i="38" s="1"/>
  <c r="Y257" i="38"/>
  <c r="Z257" i="38" s="1"/>
  <c r="Y266" i="38"/>
  <c r="AI35" i="38"/>
  <c r="Y36" i="38"/>
  <c r="AI34" i="38"/>
  <c r="AI38" i="38"/>
  <c r="Y205" i="38"/>
  <c r="Z205" i="38" s="1"/>
  <c r="AI183" i="38"/>
  <c r="BF81" i="38"/>
  <c r="Y81" i="38"/>
  <c r="Y91" i="38"/>
  <c r="Z12" i="38"/>
  <c r="BV12" i="38" s="1"/>
  <c r="BY12" i="38" s="1"/>
  <c r="AI211" i="38"/>
  <c r="AI268" i="38"/>
  <c r="BF181" i="38"/>
  <c r="Y181" i="38"/>
  <c r="AI223" i="38"/>
  <c r="BF23" i="38"/>
  <c r="Y23" i="38"/>
  <c r="AV48" i="38"/>
  <c r="AP48" i="38"/>
  <c r="AO48" i="38"/>
  <c r="AI120" i="38"/>
  <c r="Y203" i="38"/>
  <c r="Z203" i="38" s="1"/>
  <c r="BF72" i="38"/>
  <c r="Y72" i="38"/>
  <c r="Z72" i="38" s="1"/>
  <c r="Y188" i="38"/>
  <c r="Y224" i="38"/>
  <c r="AI265" i="38"/>
  <c r="Y252" i="38"/>
  <c r="BF252" i="38"/>
  <c r="AI68" i="38"/>
  <c r="AI260" i="38"/>
  <c r="Y191" i="38"/>
  <c r="AI218" i="38"/>
  <c r="Y204" i="38"/>
  <c r="Z204" i="38" s="1"/>
  <c r="AI46" i="38"/>
  <c r="BF177" i="38"/>
  <c r="Y177" i="38"/>
  <c r="AI85" i="38"/>
  <c r="BF66" i="38"/>
  <c r="Y66" i="38"/>
  <c r="Y167" i="38"/>
  <c r="Z167" i="38" s="1"/>
  <c r="BF167" i="38"/>
  <c r="Y134" i="38"/>
  <c r="Z134" i="38" s="1"/>
  <c r="AI145" i="38"/>
  <c r="AI54" i="38"/>
  <c r="AI20" i="38"/>
  <c r="AI213" i="38"/>
  <c r="AI228" i="38"/>
  <c r="BF173" i="38"/>
  <c r="Y173" i="38"/>
  <c r="Y13" i="38"/>
  <c r="BF13" i="38"/>
  <c r="BF318" i="38"/>
  <c r="Y318" i="38"/>
  <c r="AI298" i="38"/>
  <c r="AI148" i="38"/>
  <c r="AE67" i="38" l="1"/>
  <c r="AE50" i="38"/>
  <c r="AE196" i="38"/>
  <c r="AE35" i="38"/>
  <c r="AE312" i="38"/>
  <c r="AE17" i="38"/>
  <c r="AE87" i="38"/>
  <c r="AC183" i="38"/>
  <c r="AE303" i="38"/>
  <c r="AE10" i="38"/>
  <c r="AE65" i="38"/>
  <c r="AE301" i="38"/>
  <c r="AE33" i="38"/>
  <c r="AE111" i="38"/>
  <c r="AC27" i="38"/>
  <c r="AJ27" i="38" s="1"/>
  <c r="AL27" i="38" s="1"/>
  <c r="AA64" i="38"/>
  <c r="AE64" i="38" s="1"/>
  <c r="BV64" i="38"/>
  <c r="BY64" i="38" s="1"/>
  <c r="AA32" i="38"/>
  <c r="AE32" i="38" s="1"/>
  <c r="BV32" i="38"/>
  <c r="BY32" i="38" s="1"/>
  <c r="AA176" i="38"/>
  <c r="AE176" i="38" s="1"/>
  <c r="BV176" i="38"/>
  <c r="BY176" i="38" s="1"/>
  <c r="AA49" i="38"/>
  <c r="AE49" i="38" s="1"/>
  <c r="BV49" i="38"/>
  <c r="BY49" i="38" s="1"/>
  <c r="AA77" i="38"/>
  <c r="AE77" i="38" s="1"/>
  <c r="BV77" i="38"/>
  <c r="BY77" i="38" s="1"/>
  <c r="AA152" i="38"/>
  <c r="AE152" i="38" s="1"/>
  <c r="BV152" i="38"/>
  <c r="BY152" i="38" s="1"/>
  <c r="AA182" i="38"/>
  <c r="AE182" i="38" s="1"/>
  <c r="BV182" i="38"/>
  <c r="BY182" i="38" s="1"/>
  <c r="AA160" i="38"/>
  <c r="AE160" i="38" s="1"/>
  <c r="BV160" i="38"/>
  <c r="BY160" i="38" s="1"/>
  <c r="AA234" i="38"/>
  <c r="AC234" i="38" s="1"/>
  <c r="AJ234" i="38" s="1"/>
  <c r="AL234" i="38" s="1"/>
  <c r="BV234" i="38"/>
  <c r="BY234" i="38" s="1"/>
  <c r="AA293" i="38"/>
  <c r="AC293" i="38" s="1"/>
  <c r="AJ293" i="38" s="1"/>
  <c r="AL293" i="38" s="1"/>
  <c r="BV293" i="38"/>
  <c r="BY293" i="38" s="1"/>
  <c r="AA231" i="38"/>
  <c r="AC231" i="38" s="1"/>
  <c r="AJ231" i="38" s="1"/>
  <c r="AL231" i="38" s="1"/>
  <c r="BV231" i="38"/>
  <c r="BY231" i="38" s="1"/>
  <c r="AA52" i="38"/>
  <c r="AE52" i="38" s="1"/>
  <c r="BV52" i="38"/>
  <c r="BY52" i="38" s="1"/>
  <c r="AA58" i="38"/>
  <c r="AE58" i="38" s="1"/>
  <c r="BV58" i="38"/>
  <c r="BY58" i="38" s="1"/>
  <c r="AA159" i="38"/>
  <c r="AE159" i="38" s="1"/>
  <c r="BV159" i="38"/>
  <c r="BY159" i="38" s="1"/>
  <c r="AA40" i="38"/>
  <c r="AC40" i="38" s="1"/>
  <c r="AJ40" i="38" s="1"/>
  <c r="AL40" i="38" s="1"/>
  <c r="BV40" i="38"/>
  <c r="BY40" i="38" s="1"/>
  <c r="AA205" i="38"/>
  <c r="AC205" i="38" s="1"/>
  <c r="BV205" i="38"/>
  <c r="BY205" i="38" s="1"/>
  <c r="AA151" i="38"/>
  <c r="AE151" i="38" s="1"/>
  <c r="BV151" i="38"/>
  <c r="BY151" i="38" s="1"/>
  <c r="AA14" i="38"/>
  <c r="AE14" i="38" s="1"/>
  <c r="BV14" i="38"/>
  <c r="BY14" i="38" s="1"/>
  <c r="AA24" i="38"/>
  <c r="AE24" i="38" s="1"/>
  <c r="BV24" i="38"/>
  <c r="BY24" i="38" s="1"/>
  <c r="AA197" i="38"/>
  <c r="AE197" i="38" s="1"/>
  <c r="BV197" i="38"/>
  <c r="BY197" i="38" s="1"/>
  <c r="AA214" i="38"/>
  <c r="AE214" i="38" s="1"/>
  <c r="BV214" i="38"/>
  <c r="BY214" i="38" s="1"/>
  <c r="AA101" i="38"/>
  <c r="AE101" i="38" s="1"/>
  <c r="BV101" i="38"/>
  <c r="BY101" i="38" s="1"/>
  <c r="AA316" i="38"/>
  <c r="AE316" i="38" s="1"/>
  <c r="BV316" i="38"/>
  <c r="BY316" i="38" s="1"/>
  <c r="AA296" i="38"/>
  <c r="AC296" i="38" s="1"/>
  <c r="AJ296" i="38" s="1"/>
  <c r="AL296" i="38" s="1"/>
  <c r="BV296" i="38"/>
  <c r="BY296" i="38" s="1"/>
  <c r="AA208" i="38"/>
  <c r="AC208" i="38" s="1"/>
  <c r="AJ208" i="38" s="1"/>
  <c r="AL208" i="38" s="1"/>
  <c r="BV208" i="38"/>
  <c r="BY208" i="38" s="1"/>
  <c r="AA108" i="38"/>
  <c r="AE108" i="38" s="1"/>
  <c r="BV108" i="38"/>
  <c r="BY108" i="38" s="1"/>
  <c r="AA315" i="38"/>
  <c r="AE315" i="38" s="1"/>
  <c r="BV315" i="38"/>
  <c r="BY315" i="38" s="1"/>
  <c r="AA229" i="38"/>
  <c r="AE229" i="38" s="1"/>
  <c r="BV229" i="38"/>
  <c r="BY229" i="38" s="1"/>
  <c r="AA121" i="38"/>
  <c r="AC121" i="38" s="1"/>
  <c r="AJ121" i="38" s="1"/>
  <c r="AL121" i="38" s="1"/>
  <c r="BV121" i="38"/>
  <c r="BY121" i="38" s="1"/>
  <c r="AA162" i="38"/>
  <c r="AE162" i="38" s="1"/>
  <c r="BV162" i="38"/>
  <c r="BY162" i="38" s="1"/>
  <c r="AA319" i="38"/>
  <c r="AE319" i="38" s="1"/>
  <c r="BV319" i="38"/>
  <c r="BY319" i="38" s="1"/>
  <c r="AA79" i="38"/>
  <c r="AE79" i="38" s="1"/>
  <c r="BV79" i="38"/>
  <c r="BY79" i="38" s="1"/>
  <c r="AA172" i="38"/>
  <c r="AE172" i="38" s="1"/>
  <c r="BV172" i="38"/>
  <c r="BY172" i="38" s="1"/>
  <c r="AA192" i="38"/>
  <c r="AE192" i="38" s="1"/>
  <c r="BV192" i="38"/>
  <c r="BY192" i="38" s="1"/>
  <c r="AA62" i="38"/>
  <c r="AE62" i="38" s="1"/>
  <c r="BV62" i="38"/>
  <c r="BY62" i="38" s="1"/>
  <c r="AA240" i="38"/>
  <c r="AE240" i="38" s="1"/>
  <c r="BV240" i="38"/>
  <c r="BY240" i="38" s="1"/>
  <c r="AA163" i="38"/>
  <c r="AE163" i="38" s="1"/>
  <c r="BV163" i="38"/>
  <c r="BY163" i="38" s="1"/>
  <c r="AA190" i="38"/>
  <c r="AE190" i="38" s="1"/>
  <c r="BV190" i="38"/>
  <c r="BY190" i="38" s="1"/>
  <c r="AA83" i="38"/>
  <c r="AE83" i="38" s="1"/>
  <c r="BV83" i="38"/>
  <c r="BY83" i="38" s="1"/>
  <c r="AA42" i="38"/>
  <c r="AE42" i="38" s="1"/>
  <c r="BV42" i="38"/>
  <c r="BY42" i="38" s="1"/>
  <c r="AA219" i="38"/>
  <c r="AC219" i="38" s="1"/>
  <c r="AJ219" i="38" s="1"/>
  <c r="AL219" i="38" s="1"/>
  <c r="BV219" i="38"/>
  <c r="BY219" i="38" s="1"/>
  <c r="AA69" i="38"/>
  <c r="AC69" i="38" s="1"/>
  <c r="AJ69" i="38" s="1"/>
  <c r="AL69" i="38" s="1"/>
  <c r="BV69" i="38"/>
  <c r="BY69" i="38" s="1"/>
  <c r="AA186" i="38"/>
  <c r="AC186" i="38" s="1"/>
  <c r="AJ186" i="38" s="1"/>
  <c r="AL186" i="38" s="1"/>
  <c r="BV186" i="38"/>
  <c r="BY186" i="38" s="1"/>
  <c r="AA222" i="38"/>
  <c r="AC222" i="38" s="1"/>
  <c r="AJ222" i="38" s="1"/>
  <c r="AL222" i="38" s="1"/>
  <c r="BV222" i="38"/>
  <c r="BY222" i="38" s="1"/>
  <c r="AA209" i="38"/>
  <c r="AC209" i="38" s="1"/>
  <c r="AJ209" i="38" s="1"/>
  <c r="AL209" i="38" s="1"/>
  <c r="BV209" i="38"/>
  <c r="BY209" i="38" s="1"/>
  <c r="AE61" i="38"/>
  <c r="AA203" i="38"/>
  <c r="AC203" i="38" s="1"/>
  <c r="BV203" i="38"/>
  <c r="BY203" i="38" s="1"/>
  <c r="AA165" i="38"/>
  <c r="AE165" i="38" s="1"/>
  <c r="BV165" i="38"/>
  <c r="BY165" i="38" s="1"/>
  <c r="AA238" i="38"/>
  <c r="AE238" i="38" s="1"/>
  <c r="BV238" i="38"/>
  <c r="BY238" i="38" s="1"/>
  <c r="AA171" i="38"/>
  <c r="AE171" i="38" s="1"/>
  <c r="BV171" i="38"/>
  <c r="BY171" i="38" s="1"/>
  <c r="AA51" i="38"/>
  <c r="AE51" i="38" s="1"/>
  <c r="BV51" i="38"/>
  <c r="BY51" i="38" s="1"/>
  <c r="AA84" i="38"/>
  <c r="AE84" i="38" s="1"/>
  <c r="BV84" i="38"/>
  <c r="BY84" i="38" s="1"/>
  <c r="AA154" i="38"/>
  <c r="AE154" i="38" s="1"/>
  <c r="BV154" i="38"/>
  <c r="BY154" i="38" s="1"/>
  <c r="AA107" i="38"/>
  <c r="AE107" i="38" s="1"/>
  <c r="BV107" i="38"/>
  <c r="BY107" i="38" s="1"/>
  <c r="AA56" i="38"/>
  <c r="AC56" i="38" s="1"/>
  <c r="AJ56" i="38" s="1"/>
  <c r="AL56" i="38" s="1"/>
  <c r="BV56" i="38"/>
  <c r="BY56" i="38" s="1"/>
  <c r="AA215" i="38"/>
  <c r="AC215" i="38" s="1"/>
  <c r="AJ215" i="38" s="1"/>
  <c r="AL215" i="38" s="1"/>
  <c r="BV215" i="38"/>
  <c r="BY215" i="38" s="1"/>
  <c r="AA275" i="38"/>
  <c r="AC275" i="38" s="1"/>
  <c r="AJ275" i="38" s="1"/>
  <c r="AL275" i="38" s="1"/>
  <c r="BV275" i="38"/>
  <c r="BY275" i="38" s="1"/>
  <c r="AA15" i="38"/>
  <c r="AE15" i="38" s="1"/>
  <c r="BV15" i="38"/>
  <c r="BY15" i="38" s="1"/>
  <c r="AA18" i="38"/>
  <c r="AE18" i="38" s="1"/>
  <c r="BV18" i="38"/>
  <c r="BY18" i="38" s="1"/>
  <c r="AA258" i="38"/>
  <c r="AC258" i="38" s="1"/>
  <c r="AJ258" i="38" s="1"/>
  <c r="AL258" i="38" s="1"/>
  <c r="BV258" i="38"/>
  <c r="BY258" i="38" s="1"/>
  <c r="AA60" i="38"/>
  <c r="AC60" i="38" s="1"/>
  <c r="AJ60" i="38" s="1"/>
  <c r="AL60" i="38" s="1"/>
  <c r="BV60" i="38"/>
  <c r="BY60" i="38" s="1"/>
  <c r="AA134" i="38"/>
  <c r="AC134" i="38" s="1"/>
  <c r="BV134" i="38"/>
  <c r="BY134" i="38" s="1"/>
  <c r="AA164" i="38"/>
  <c r="AE164" i="38" s="1"/>
  <c r="BV164" i="38"/>
  <c r="BY164" i="38" s="1"/>
  <c r="AA220" i="38"/>
  <c r="AE220" i="38" s="1"/>
  <c r="BV220" i="38"/>
  <c r="BY220" i="38" s="1"/>
  <c r="AA204" i="38"/>
  <c r="AC204" i="38" s="1"/>
  <c r="BV204" i="38"/>
  <c r="BY204" i="38" s="1"/>
  <c r="AA198" i="38"/>
  <c r="AE198" i="38" s="1"/>
  <c r="BV198" i="38"/>
  <c r="BY198" i="38" s="1"/>
  <c r="AA184" i="38"/>
  <c r="AE184" i="38" s="1"/>
  <c r="BV184" i="38"/>
  <c r="BY184" i="38" s="1"/>
  <c r="AA241" i="38"/>
  <c r="AE241" i="38" s="1"/>
  <c r="BV241" i="38"/>
  <c r="BY241" i="38" s="1"/>
  <c r="AA168" i="38"/>
  <c r="AE168" i="38" s="1"/>
  <c r="BV168" i="38"/>
  <c r="BY168" i="38" s="1"/>
  <c r="AA226" i="38"/>
  <c r="AE226" i="38" s="1"/>
  <c r="BV226" i="38"/>
  <c r="BY226" i="38" s="1"/>
  <c r="AA99" i="38"/>
  <c r="AE99" i="38" s="1"/>
  <c r="BV99" i="38"/>
  <c r="BY99" i="38" s="1"/>
  <c r="AA170" i="38"/>
  <c r="AE170" i="38" s="1"/>
  <c r="BV170" i="38"/>
  <c r="BY170" i="38" s="1"/>
  <c r="AA74" i="38"/>
  <c r="AE74" i="38" s="1"/>
  <c r="BV74" i="38"/>
  <c r="BY74" i="38" s="1"/>
  <c r="AA100" i="38"/>
  <c r="AE100" i="38" s="1"/>
  <c r="BV100" i="38"/>
  <c r="BY100" i="38" s="1"/>
  <c r="AA47" i="38"/>
  <c r="AE47" i="38" s="1"/>
  <c r="BV47" i="38"/>
  <c r="BY47" i="38" s="1"/>
  <c r="AA63" i="38"/>
  <c r="AE63" i="38" s="1"/>
  <c r="BV63" i="38"/>
  <c r="BY63" i="38" s="1"/>
  <c r="AA82" i="38"/>
  <c r="AE82" i="38" s="1"/>
  <c r="BV82" i="38"/>
  <c r="BY82" i="38" s="1"/>
  <c r="AA200" i="38"/>
  <c r="AE200" i="38" s="1"/>
  <c r="BV200" i="38"/>
  <c r="BY200" i="38" s="1"/>
  <c r="AA16" i="38"/>
  <c r="AE16" i="38" s="1"/>
  <c r="BV16" i="38"/>
  <c r="BY16" i="38" s="1"/>
  <c r="AA310" i="38"/>
  <c r="AE310" i="38" s="1"/>
  <c r="BV310" i="38"/>
  <c r="BY310" i="38" s="1"/>
  <c r="AA255" i="38"/>
  <c r="AC255" i="38" s="1"/>
  <c r="AJ255" i="38" s="1"/>
  <c r="AL255" i="38" s="1"/>
  <c r="BV255" i="38"/>
  <c r="BY255" i="38" s="1"/>
  <c r="AA295" i="38"/>
  <c r="AC295" i="38" s="1"/>
  <c r="AJ295" i="38" s="1"/>
  <c r="AL295" i="38" s="1"/>
  <c r="BV295" i="38"/>
  <c r="BY295" i="38" s="1"/>
  <c r="AA230" i="38"/>
  <c r="AC230" i="38" s="1"/>
  <c r="AJ230" i="38" s="1"/>
  <c r="AL230" i="38" s="1"/>
  <c r="BV230" i="38"/>
  <c r="BY230" i="38" s="1"/>
  <c r="AA210" i="38"/>
  <c r="AC210" i="38" s="1"/>
  <c r="AJ210" i="38" s="1"/>
  <c r="AL210" i="38" s="1"/>
  <c r="BV210" i="38"/>
  <c r="BY210" i="38" s="1"/>
  <c r="AA44" i="38"/>
  <c r="AC44" i="38" s="1"/>
  <c r="AJ44" i="38" s="1"/>
  <c r="AL44" i="38" s="1"/>
  <c r="BV44" i="38"/>
  <c r="BY44" i="38" s="1"/>
  <c r="AA185" i="38"/>
  <c r="AC185" i="38" s="1"/>
  <c r="AJ185" i="38" s="1"/>
  <c r="AL185" i="38" s="1"/>
  <c r="BV185" i="38"/>
  <c r="BY185" i="38" s="1"/>
  <c r="AA45" i="38"/>
  <c r="AC45" i="38" s="1"/>
  <c r="AJ45" i="38" s="1"/>
  <c r="AL45" i="38" s="1"/>
  <c r="BV45" i="38"/>
  <c r="BY45" i="38" s="1"/>
  <c r="AA249" i="38"/>
  <c r="AC249" i="38" s="1"/>
  <c r="AJ249" i="38" s="1"/>
  <c r="AL249" i="38" s="1"/>
  <c r="BV249" i="38"/>
  <c r="BY249" i="38" s="1"/>
  <c r="AE317" i="38"/>
  <c r="AA281" i="38"/>
  <c r="AC281" i="38" s="1"/>
  <c r="AJ281" i="38" s="1"/>
  <c r="AL281" i="38" s="1"/>
  <c r="BV281" i="38"/>
  <c r="BY281" i="38" s="1"/>
  <c r="AA29" i="38"/>
  <c r="AE29" i="38" s="1"/>
  <c r="BV29" i="38"/>
  <c r="BY29" i="38" s="1"/>
  <c r="AA94" i="38"/>
  <c r="AE94" i="38" s="1"/>
  <c r="BV94" i="38"/>
  <c r="BY94" i="38" s="1"/>
  <c r="AA161" i="38"/>
  <c r="AE161" i="38" s="1"/>
  <c r="BV161" i="38"/>
  <c r="BY161" i="38" s="1"/>
  <c r="AA166" i="38"/>
  <c r="AE166" i="38" s="1"/>
  <c r="BV166" i="38"/>
  <c r="BY166" i="38" s="1"/>
  <c r="AA88" i="38"/>
  <c r="AE88" i="38" s="1"/>
  <c r="BV88" i="38"/>
  <c r="BY88" i="38" s="1"/>
  <c r="AA178" i="38"/>
  <c r="AE178" i="38" s="1"/>
  <c r="BV178" i="38"/>
  <c r="BY178" i="38" s="1"/>
  <c r="AA304" i="38"/>
  <c r="AC304" i="38" s="1"/>
  <c r="AJ304" i="38" s="1"/>
  <c r="AL304" i="38" s="1"/>
  <c r="BV304" i="38"/>
  <c r="BY304" i="38" s="1"/>
  <c r="AA175" i="38"/>
  <c r="AC175" i="38" s="1"/>
  <c r="AJ175" i="38" s="1"/>
  <c r="AL175" i="38" s="1"/>
  <c r="BV175" i="38"/>
  <c r="BY175" i="38" s="1"/>
  <c r="AA167" i="38"/>
  <c r="AC167" i="38" s="1"/>
  <c r="BV167" i="38"/>
  <c r="BY167" i="38" s="1"/>
  <c r="AA112" i="38"/>
  <c r="AE112" i="38" s="1"/>
  <c r="BV112" i="38"/>
  <c r="BY112" i="38" s="1"/>
  <c r="AA73" i="38"/>
  <c r="AE73" i="38" s="1"/>
  <c r="BV73" i="38"/>
  <c r="BY73" i="38" s="1"/>
  <c r="AA202" i="38"/>
  <c r="AE202" i="38" s="1"/>
  <c r="BV202" i="38"/>
  <c r="BY202" i="38" s="1"/>
  <c r="AA270" i="38"/>
  <c r="AE270" i="38" s="1"/>
  <c r="BV270" i="38"/>
  <c r="BY270" i="38" s="1"/>
  <c r="AA103" i="38"/>
  <c r="AE103" i="38" s="1"/>
  <c r="BV103" i="38"/>
  <c r="BY103" i="38" s="1"/>
  <c r="AA149" i="38"/>
  <c r="AE149" i="38" s="1"/>
  <c r="BV149" i="38"/>
  <c r="BY149" i="38" s="1"/>
  <c r="AA157" i="38"/>
  <c r="AE157" i="38" s="1"/>
  <c r="BV157" i="38"/>
  <c r="BY157" i="38" s="1"/>
  <c r="AA233" i="38"/>
  <c r="AE233" i="38" s="1"/>
  <c r="BV233" i="38"/>
  <c r="BY233" i="38" s="1"/>
  <c r="AA98" i="38"/>
  <c r="AE98" i="38" s="1"/>
  <c r="BV98" i="38"/>
  <c r="BY98" i="38" s="1"/>
  <c r="AA43" i="38"/>
  <c r="AC43" i="38" s="1"/>
  <c r="AJ43" i="38" s="1"/>
  <c r="AL43" i="38" s="1"/>
  <c r="BV43" i="38"/>
  <c r="BY43" i="38" s="1"/>
  <c r="AA306" i="38"/>
  <c r="AC306" i="38" s="1"/>
  <c r="AJ306" i="38" s="1"/>
  <c r="AL306" i="38" s="1"/>
  <c r="BV306" i="38"/>
  <c r="BY306" i="38" s="1"/>
  <c r="AA291" i="38"/>
  <c r="AC291" i="38" s="1"/>
  <c r="AJ291" i="38" s="1"/>
  <c r="AL291" i="38" s="1"/>
  <c r="BV291" i="38"/>
  <c r="BY291" i="38" s="1"/>
  <c r="AA55" i="38"/>
  <c r="AC55" i="38" s="1"/>
  <c r="AJ55" i="38" s="1"/>
  <c r="AL55" i="38" s="1"/>
  <c r="BV55" i="38"/>
  <c r="BY55" i="38" s="1"/>
  <c r="AA297" i="38"/>
  <c r="AC297" i="38" s="1"/>
  <c r="AJ297" i="38" s="1"/>
  <c r="AL297" i="38" s="1"/>
  <c r="BV297" i="38"/>
  <c r="BY297" i="38" s="1"/>
  <c r="AA302" i="38"/>
  <c r="AC302" i="38" s="1"/>
  <c r="AJ302" i="38" s="1"/>
  <c r="AL302" i="38" s="1"/>
  <c r="BV302" i="38"/>
  <c r="BY302" i="38" s="1"/>
  <c r="AA207" i="38"/>
  <c r="AC207" i="38" s="1"/>
  <c r="AJ207" i="38" s="1"/>
  <c r="AL207" i="38" s="1"/>
  <c r="BV207" i="38"/>
  <c r="BY207" i="38" s="1"/>
  <c r="AA271" i="38"/>
  <c r="AC271" i="38" s="1"/>
  <c r="AJ271" i="38" s="1"/>
  <c r="AL271" i="38" s="1"/>
  <c r="BV271" i="38"/>
  <c r="BY271" i="38" s="1"/>
  <c r="AA153" i="38"/>
  <c r="AE153" i="38" s="1"/>
  <c r="BV153" i="38"/>
  <c r="BY153" i="38" s="1"/>
  <c r="AA105" i="38"/>
  <c r="AE105" i="38" s="1"/>
  <c r="BV105" i="38"/>
  <c r="BY105" i="38" s="1"/>
  <c r="AA147" i="38"/>
  <c r="AE147" i="38" s="1"/>
  <c r="BV147" i="38"/>
  <c r="BY147" i="38" s="1"/>
  <c r="AA30" i="38"/>
  <c r="AE30" i="38" s="1"/>
  <c r="BV30" i="38"/>
  <c r="BY30" i="38" s="1"/>
  <c r="AA294" i="38"/>
  <c r="AC294" i="38" s="1"/>
  <c r="AJ294" i="38" s="1"/>
  <c r="AL294" i="38" s="1"/>
  <c r="BV294" i="38"/>
  <c r="BY294" i="38" s="1"/>
  <c r="AA110" i="38"/>
  <c r="AE110" i="38" s="1"/>
  <c r="BV110" i="38"/>
  <c r="BY110" i="38" s="1"/>
  <c r="AA93" i="38"/>
  <c r="AE93" i="38" s="1"/>
  <c r="BV93" i="38"/>
  <c r="BY93" i="38" s="1"/>
  <c r="AA174" i="38"/>
  <c r="AE174" i="38" s="1"/>
  <c r="BV174" i="38"/>
  <c r="BY174" i="38" s="1"/>
  <c r="AA11" i="38"/>
  <c r="AE11" i="38" s="1"/>
  <c r="BV11" i="38"/>
  <c r="BY11" i="38" s="1"/>
  <c r="AA53" i="38"/>
  <c r="AE53" i="38" s="1"/>
  <c r="BV53" i="38"/>
  <c r="BY53" i="38" s="1"/>
  <c r="AA86" i="38"/>
  <c r="AE86" i="38" s="1"/>
  <c r="BV86" i="38"/>
  <c r="BY86" i="38" s="1"/>
  <c r="AA72" i="38"/>
  <c r="AC72" i="38" s="1"/>
  <c r="AJ72" i="38" s="1"/>
  <c r="AL72" i="38" s="1"/>
  <c r="BV72" i="38"/>
  <c r="BY72" i="38" s="1"/>
  <c r="AA158" i="38"/>
  <c r="AE158" i="38" s="1"/>
  <c r="BV158" i="38"/>
  <c r="BY158" i="38" s="1"/>
  <c r="AA39" i="38"/>
  <c r="AE39" i="38" s="1"/>
  <c r="BV39" i="38"/>
  <c r="BY39" i="38" s="1"/>
  <c r="AA261" i="38"/>
  <c r="AE261" i="38" s="1"/>
  <c r="BV261" i="38"/>
  <c r="BY261" i="38" s="1"/>
  <c r="AA75" i="38"/>
  <c r="AE75" i="38" s="1"/>
  <c r="BV75" i="38"/>
  <c r="BY75" i="38" s="1"/>
  <c r="AA150" i="38"/>
  <c r="AE150" i="38" s="1"/>
  <c r="BV150" i="38"/>
  <c r="BY150" i="38" s="1"/>
  <c r="AA237" i="38"/>
  <c r="AE237" i="38" s="1"/>
  <c r="BV237" i="38"/>
  <c r="BY237" i="38" s="1"/>
  <c r="AA31" i="38"/>
  <c r="AE31" i="38" s="1"/>
  <c r="BV31" i="38"/>
  <c r="BY31" i="38" s="1"/>
  <c r="AA25" i="38"/>
  <c r="AE25" i="38" s="1"/>
  <c r="BV25" i="38"/>
  <c r="BY25" i="38" s="1"/>
  <c r="AA259" i="38"/>
  <c r="AE259" i="38" s="1"/>
  <c r="BV259" i="38"/>
  <c r="BY259" i="38" s="1"/>
  <c r="AA155" i="38"/>
  <c r="AE155" i="38" s="1"/>
  <c r="BV155" i="38"/>
  <c r="BY155" i="38" s="1"/>
  <c r="AA78" i="38"/>
  <c r="AE78" i="38" s="1"/>
  <c r="BV78" i="38"/>
  <c r="BY78" i="38" s="1"/>
  <c r="AA239" i="38"/>
  <c r="AE239" i="38" s="1"/>
  <c r="BV239" i="38"/>
  <c r="BY239" i="38" s="1"/>
  <c r="AA269" i="38"/>
  <c r="AE269" i="38" s="1"/>
  <c r="BV269" i="38"/>
  <c r="BY269" i="38" s="1"/>
  <c r="AA22" i="38"/>
  <c r="AE22" i="38" s="1"/>
  <c r="BV22" i="38"/>
  <c r="BY22" i="38" s="1"/>
  <c r="AA113" i="38"/>
  <c r="AE113" i="38" s="1"/>
  <c r="BV113" i="38"/>
  <c r="BY113" i="38" s="1"/>
  <c r="AA70" i="38"/>
  <c r="AC70" i="38" s="1"/>
  <c r="AJ70" i="38" s="1"/>
  <c r="AL70" i="38" s="1"/>
  <c r="BV70" i="38"/>
  <c r="BY70" i="38" s="1"/>
  <c r="AA41" i="38"/>
  <c r="AC41" i="38" s="1"/>
  <c r="AJ41" i="38" s="1"/>
  <c r="AL41" i="38" s="1"/>
  <c r="BV41" i="38"/>
  <c r="BY41" i="38" s="1"/>
  <c r="AA309" i="38"/>
  <c r="AC309" i="38" s="1"/>
  <c r="AJ309" i="38" s="1"/>
  <c r="AL309" i="38" s="1"/>
  <c r="BV309" i="38"/>
  <c r="BY309" i="38" s="1"/>
  <c r="AA289" i="38"/>
  <c r="AC289" i="38" s="1"/>
  <c r="AJ289" i="38" s="1"/>
  <c r="AL289" i="38" s="1"/>
  <c r="BV289" i="38"/>
  <c r="BY289" i="38" s="1"/>
  <c r="AA232" i="38"/>
  <c r="AC232" i="38" s="1"/>
  <c r="AJ232" i="38" s="1"/>
  <c r="AL232" i="38" s="1"/>
  <c r="BV232" i="38"/>
  <c r="BY232" i="38" s="1"/>
  <c r="AE199" i="38"/>
  <c r="AE268" i="38"/>
  <c r="BY114" i="38"/>
  <c r="AA248" i="38"/>
  <c r="AC248" i="38" s="1"/>
  <c r="BV248" i="38"/>
  <c r="BY248" i="38" s="1"/>
  <c r="AA189" i="38"/>
  <c r="AE189" i="38" s="1"/>
  <c r="BV189" i="38"/>
  <c r="BY189" i="38" s="1"/>
  <c r="AA195" i="38"/>
  <c r="AE195" i="38" s="1"/>
  <c r="BV195" i="38"/>
  <c r="BY195" i="38" s="1"/>
  <c r="AA109" i="38"/>
  <c r="AE109" i="38" s="1"/>
  <c r="BV109" i="38"/>
  <c r="BY109" i="38" s="1"/>
  <c r="AA274" i="38"/>
  <c r="AC274" i="38" s="1"/>
  <c r="AJ274" i="38" s="1"/>
  <c r="AL274" i="38" s="1"/>
  <c r="BV274" i="38"/>
  <c r="BY274" i="38" s="1"/>
  <c r="AA257" i="38"/>
  <c r="AC257" i="38" s="1"/>
  <c r="BV257" i="38"/>
  <c r="BY257" i="38" s="1"/>
  <c r="AA267" i="38"/>
  <c r="AE267" i="38" s="1"/>
  <c r="BV267" i="38"/>
  <c r="BY267" i="38" s="1"/>
  <c r="AA193" i="38"/>
  <c r="AE193" i="38" s="1"/>
  <c r="BV193" i="38"/>
  <c r="BY193" i="38" s="1"/>
  <c r="AA180" i="38"/>
  <c r="AE180" i="38" s="1"/>
  <c r="BV180" i="38"/>
  <c r="BY180" i="38" s="1"/>
  <c r="AA169" i="38"/>
  <c r="AE169" i="38" s="1"/>
  <c r="BV169" i="38"/>
  <c r="BY169" i="38" s="1"/>
  <c r="AA187" i="38"/>
  <c r="AE187" i="38" s="1"/>
  <c r="BV187" i="38"/>
  <c r="BY187" i="38" s="1"/>
  <c r="AA92" i="38"/>
  <c r="AE92" i="38" s="1"/>
  <c r="BV92" i="38"/>
  <c r="BY92" i="38" s="1"/>
  <c r="AA96" i="38"/>
  <c r="AE96" i="38" s="1"/>
  <c r="BV96" i="38"/>
  <c r="BY96" i="38" s="1"/>
  <c r="AA95" i="38"/>
  <c r="AE95" i="38" s="1"/>
  <c r="BV95" i="38"/>
  <c r="BY95" i="38" s="1"/>
  <c r="AA179" i="38"/>
  <c r="AE179" i="38" s="1"/>
  <c r="BV179" i="38"/>
  <c r="BY179" i="38" s="1"/>
  <c r="AA156" i="38"/>
  <c r="AE156" i="38" s="1"/>
  <c r="BV156" i="38"/>
  <c r="BY156" i="38" s="1"/>
  <c r="AA80" i="38"/>
  <c r="AE80" i="38" s="1"/>
  <c r="BV80" i="38"/>
  <c r="BY80" i="38" s="1"/>
  <c r="AA212" i="38"/>
  <c r="AE212" i="38" s="1"/>
  <c r="BV212" i="38"/>
  <c r="BY212" i="38" s="1"/>
  <c r="AA106" i="38"/>
  <c r="AE106" i="38" s="1"/>
  <c r="BV106" i="38"/>
  <c r="BY106" i="38" s="1"/>
  <c r="AA194" i="38"/>
  <c r="AE194" i="38" s="1"/>
  <c r="BV194" i="38"/>
  <c r="BY194" i="38" s="1"/>
  <c r="AA217" i="38"/>
  <c r="AE217" i="38" s="1"/>
  <c r="BV217" i="38"/>
  <c r="BY217" i="38" s="1"/>
  <c r="AA314" i="38"/>
  <c r="AC314" i="38" s="1"/>
  <c r="AJ314" i="38" s="1"/>
  <c r="AL314" i="38" s="1"/>
  <c r="BV314" i="38"/>
  <c r="BY314" i="38" s="1"/>
  <c r="AA254" i="38"/>
  <c r="AC254" i="38" s="1"/>
  <c r="AJ254" i="38" s="1"/>
  <c r="AL254" i="38" s="1"/>
  <c r="BV254" i="38"/>
  <c r="BY254" i="38" s="1"/>
  <c r="AA292" i="38"/>
  <c r="AC292" i="38" s="1"/>
  <c r="AJ292" i="38" s="1"/>
  <c r="AL292" i="38" s="1"/>
  <c r="BV292" i="38"/>
  <c r="BY292" i="38" s="1"/>
  <c r="AA104" i="38"/>
  <c r="AC104" i="38" s="1"/>
  <c r="AJ104" i="38" s="1"/>
  <c r="AL104" i="38" s="1"/>
  <c r="BV104" i="38"/>
  <c r="BY104" i="38" s="1"/>
  <c r="AW35" i="38"/>
  <c r="AL35" i="38"/>
  <c r="AW312" i="38"/>
  <c r="AL312" i="38"/>
  <c r="AW26" i="38"/>
  <c r="AW21" i="38"/>
  <c r="AW28" i="38"/>
  <c r="AE203" i="38"/>
  <c r="AE167" i="38"/>
  <c r="AI167" i="38" s="1"/>
  <c r="AJ218" i="38"/>
  <c r="AC198" i="38"/>
  <c r="AC184" i="38"/>
  <c r="AJ184" i="38" s="1"/>
  <c r="AL184" i="38" s="1"/>
  <c r="AC241" i="38"/>
  <c r="AC226" i="38"/>
  <c r="AC99" i="38"/>
  <c r="AJ99" i="38" s="1"/>
  <c r="AL99" i="38" s="1"/>
  <c r="AC170" i="38"/>
  <c r="AC74" i="38"/>
  <c r="AJ74" i="38" s="1"/>
  <c r="AL74" i="38" s="1"/>
  <c r="AC100" i="38"/>
  <c r="AC47" i="38"/>
  <c r="AJ47" i="38" s="1"/>
  <c r="AC63" i="38"/>
  <c r="AC200" i="38"/>
  <c r="AC16" i="38"/>
  <c r="AC310" i="38"/>
  <c r="AC112" i="38"/>
  <c r="AJ112" i="38" s="1"/>
  <c r="AC93" i="38"/>
  <c r="AI11" i="38"/>
  <c r="AC103" i="38"/>
  <c r="AC86" i="38"/>
  <c r="AJ86" i="38" s="1"/>
  <c r="AL86" i="38" s="1"/>
  <c r="AC233" i="38"/>
  <c r="AC98" i="38"/>
  <c r="AJ98" i="38" s="1"/>
  <c r="AL98" i="38" s="1"/>
  <c r="AI98" i="38"/>
  <c r="AJ10" i="38"/>
  <c r="AL10" i="38" s="1"/>
  <c r="AC270" i="38"/>
  <c r="Z36" i="38"/>
  <c r="AI158" i="38"/>
  <c r="AC75" i="38"/>
  <c r="AI75" i="38"/>
  <c r="AI150" i="38"/>
  <c r="AC25" i="38"/>
  <c r="AI78" i="38"/>
  <c r="AC113" i="38"/>
  <c r="AI113" i="38"/>
  <c r="AC267" i="38"/>
  <c r="AI169" i="38"/>
  <c r="AI96" i="38"/>
  <c r="AI95" i="38"/>
  <c r="AC212" i="38"/>
  <c r="AI217" i="38"/>
  <c r="AJ204" i="38"/>
  <c r="AL204" i="38" s="1"/>
  <c r="AC108" i="38"/>
  <c r="AC29" i="38"/>
  <c r="AC165" i="38"/>
  <c r="AC189" i="38"/>
  <c r="AC15" i="38"/>
  <c r="AC64" i="38"/>
  <c r="AC18" i="38"/>
  <c r="AC58" i="38"/>
  <c r="AC171" i="38"/>
  <c r="AC159" i="38"/>
  <c r="AJ213" i="38"/>
  <c r="AJ235" i="38"/>
  <c r="AL235" i="38" s="1"/>
  <c r="Z266" i="38"/>
  <c r="AC32" i="38"/>
  <c r="AC176" i="38"/>
  <c r="AC49" i="38"/>
  <c r="AC214" i="38"/>
  <c r="AC101" i="38"/>
  <c r="AC152" i="38"/>
  <c r="AC316" i="38"/>
  <c r="AI316" i="38"/>
  <c r="AC182" i="38"/>
  <c r="AI182" i="38"/>
  <c r="AC160" i="38"/>
  <c r="AJ205" i="38"/>
  <c r="AL205" i="38" s="1"/>
  <c r="AC151" i="38"/>
  <c r="AJ151" i="38" s="1"/>
  <c r="AL151" i="38" s="1"/>
  <c r="AC14" i="38"/>
  <c r="AJ14" i="38" s="1"/>
  <c r="AL14" i="38" s="1"/>
  <c r="AC24" i="38"/>
  <c r="AJ24" i="38" s="1"/>
  <c r="AL24" i="38" s="1"/>
  <c r="AC77" i="38"/>
  <c r="AJ77" i="38" s="1"/>
  <c r="AL77" i="38" s="1"/>
  <c r="AC51" i="38"/>
  <c r="AC315" i="38"/>
  <c r="AJ315" i="38" s="1"/>
  <c r="AC229" i="38"/>
  <c r="AJ229" i="38" s="1"/>
  <c r="AC162" i="38"/>
  <c r="AJ162" i="38" s="1"/>
  <c r="AL162" i="38" s="1"/>
  <c r="AC319" i="38"/>
  <c r="AJ319" i="38" s="1"/>
  <c r="AL319" i="38" s="1"/>
  <c r="AI79" i="38"/>
  <c r="AC172" i="38"/>
  <c r="AJ172" i="38" s="1"/>
  <c r="AL172" i="38" s="1"/>
  <c r="AC192" i="38"/>
  <c r="AJ192" i="38" s="1"/>
  <c r="AL192" i="38" s="1"/>
  <c r="AI192" i="38"/>
  <c r="AC62" i="38"/>
  <c r="AJ62" i="38" s="1"/>
  <c r="AL62" i="38" s="1"/>
  <c r="AC163" i="38"/>
  <c r="AJ163" i="38" s="1"/>
  <c r="AL163" i="38" s="1"/>
  <c r="AC190" i="38"/>
  <c r="AJ190" i="38" s="1"/>
  <c r="AL190" i="38" s="1"/>
  <c r="AI190" i="38"/>
  <c r="AC83" i="38"/>
  <c r="AJ83" i="38" s="1"/>
  <c r="AL83" i="38" s="1"/>
  <c r="AJ19" i="38"/>
  <c r="AJ183" i="38"/>
  <c r="AL183" i="38" s="1"/>
  <c r="AC164" i="38"/>
  <c r="AJ164" i="38" s="1"/>
  <c r="AL164" i="38" s="1"/>
  <c r="AC94" i="38"/>
  <c r="AJ94" i="38" s="1"/>
  <c r="AL94" i="38" s="1"/>
  <c r="AC84" i="38"/>
  <c r="AJ84" i="38" s="1"/>
  <c r="AL84" i="38" s="1"/>
  <c r="AC147" i="38"/>
  <c r="AJ147" i="38" s="1"/>
  <c r="AL147" i="38" s="1"/>
  <c r="AC220" i="38"/>
  <c r="AJ220" i="38" s="1"/>
  <c r="AC30" i="38"/>
  <c r="AJ30" i="38" s="1"/>
  <c r="AL30" i="38" s="1"/>
  <c r="AC154" i="38"/>
  <c r="AJ154" i="38" s="1"/>
  <c r="AL154" i="38" s="1"/>
  <c r="AI154" i="38"/>
  <c r="AC88" i="38"/>
  <c r="AJ88" i="38" s="1"/>
  <c r="AL88" i="38" s="1"/>
  <c r="AC178" i="38"/>
  <c r="AJ178" i="38" s="1"/>
  <c r="AL178" i="38" s="1"/>
  <c r="AC107" i="38"/>
  <c r="AJ107" i="38" s="1"/>
  <c r="AJ203" i="38"/>
  <c r="AL203" i="38" s="1"/>
  <c r="Z177" i="38"/>
  <c r="Z224" i="38"/>
  <c r="Z318" i="38"/>
  <c r="Z188" i="38"/>
  <c r="Z23" i="38"/>
  <c r="Z173" i="38"/>
  <c r="Z252" i="38"/>
  <c r="Z13" i="38"/>
  <c r="Z66" i="38"/>
  <c r="Z91" i="38"/>
  <c r="Z191" i="38"/>
  <c r="Z181" i="38"/>
  <c r="Z81" i="38"/>
  <c r="AO312" i="38"/>
  <c r="AV312" i="38"/>
  <c r="BA312" i="38" s="1"/>
  <c r="AP312" i="38"/>
  <c r="AQ312" i="38" s="1"/>
  <c r="AR312" i="38" s="1"/>
  <c r="AV206" i="38"/>
  <c r="BA206" i="38" s="1"/>
  <c r="BC206" i="38" s="1"/>
  <c r="AW206" i="38" s="1"/>
  <c r="AV307" i="38"/>
  <c r="BA307" i="38" s="1"/>
  <c r="BC307" i="38" s="1"/>
  <c r="AW307" i="38" s="1"/>
  <c r="AO27" i="38"/>
  <c r="AO251" i="38"/>
  <c r="AP276" i="38"/>
  <c r="AQ276" i="38" s="1"/>
  <c r="AR276" i="38" s="1"/>
  <c r="AI138" i="38"/>
  <c r="AI73" i="38"/>
  <c r="AO276" i="38"/>
  <c r="AO26" i="38"/>
  <c r="AO146" i="38"/>
  <c r="AI246" i="38"/>
  <c r="AI50" i="38"/>
  <c r="AP251" i="38"/>
  <c r="AQ251" i="38" s="1"/>
  <c r="AR251" i="38" s="1"/>
  <c r="AP146" i="38"/>
  <c r="AQ146" i="38" s="1"/>
  <c r="AR146" i="38" s="1"/>
  <c r="AI71" i="38"/>
  <c r="AI39" i="38"/>
  <c r="AI59" i="38"/>
  <c r="AP26" i="38"/>
  <c r="AQ26" i="38" s="1"/>
  <c r="AR26" i="38" s="1"/>
  <c r="AI291" i="38"/>
  <c r="AP206" i="38"/>
  <c r="AQ206" i="38" s="1"/>
  <c r="AR206" i="38" s="1"/>
  <c r="AI207" i="38"/>
  <c r="AI76" i="38"/>
  <c r="AO206" i="38"/>
  <c r="AI88" i="38"/>
  <c r="AI200" i="38"/>
  <c r="AI308" i="38"/>
  <c r="AI24" i="38"/>
  <c r="AI238" i="38"/>
  <c r="AI267" i="38"/>
  <c r="AI144" i="38"/>
  <c r="AI264" i="38"/>
  <c r="AI243" i="38"/>
  <c r="AI201" i="38"/>
  <c r="AI172" i="38"/>
  <c r="AP307" i="38"/>
  <c r="AQ307" i="38" s="1"/>
  <c r="AR307" i="38" s="1"/>
  <c r="AI69" i="38"/>
  <c r="AI226" i="38"/>
  <c r="AP256" i="38"/>
  <c r="AI314" i="38"/>
  <c r="AI315" i="38"/>
  <c r="AI301" i="38"/>
  <c r="AI274" i="38"/>
  <c r="AI295" i="38"/>
  <c r="AI232" i="38"/>
  <c r="AI303" i="38"/>
  <c r="AI247" i="38"/>
  <c r="AI171" i="38"/>
  <c r="AI184" i="38"/>
  <c r="AI290" i="38"/>
  <c r="AO307" i="38"/>
  <c r="AI240" i="38"/>
  <c r="AI28" i="38"/>
  <c r="AI29" i="38"/>
  <c r="AI141" i="38"/>
  <c r="AI127" i="38"/>
  <c r="AI185" i="38"/>
  <c r="AI106" i="38"/>
  <c r="AI319" i="38"/>
  <c r="AI311" i="38"/>
  <c r="AI287" i="38"/>
  <c r="AI94" i="38"/>
  <c r="AI310" i="38"/>
  <c r="AI156" i="38"/>
  <c r="AI215" i="38"/>
  <c r="AI42" i="38"/>
  <c r="AI269" i="38"/>
  <c r="AI72" i="38"/>
  <c r="AO253" i="38"/>
  <c r="AV253" i="38"/>
  <c r="BA253" i="38" s="1"/>
  <c r="BC253" i="38" s="1"/>
  <c r="AW253" i="38" s="1"/>
  <c r="AP253" i="38"/>
  <c r="AI270" i="38"/>
  <c r="AI49" i="38"/>
  <c r="AI47" i="38"/>
  <c r="AI110" i="38"/>
  <c r="AI194" i="38"/>
  <c r="AI99" i="38"/>
  <c r="AP298" i="38"/>
  <c r="AO298" i="38"/>
  <c r="AV298" i="38"/>
  <c r="AI102" i="38"/>
  <c r="AI83" i="38"/>
  <c r="AP265" i="38"/>
  <c r="AO265" i="38"/>
  <c r="AV265" i="38"/>
  <c r="AI132" i="38"/>
  <c r="AI130" i="38"/>
  <c r="AI65" i="38"/>
  <c r="AI41" i="38"/>
  <c r="AI63" i="38"/>
  <c r="AI209" i="38"/>
  <c r="AI100" i="38"/>
  <c r="AI82" i="38"/>
  <c r="AP20" i="38"/>
  <c r="AO20" i="38"/>
  <c r="AI162" i="38"/>
  <c r="AI189" i="38"/>
  <c r="AI193" i="38"/>
  <c r="AI168" i="38"/>
  <c r="AP232" i="38"/>
  <c r="AO232" i="38"/>
  <c r="AV71" i="38"/>
  <c r="BA71" i="38" s="1"/>
  <c r="BC71" i="38" s="1"/>
  <c r="AW71" i="38" s="1"/>
  <c r="AP71" i="38"/>
  <c r="AO71" i="38"/>
  <c r="AI222" i="38"/>
  <c r="AI116" i="38"/>
  <c r="AI143" i="38"/>
  <c r="AI245" i="38"/>
  <c r="AI56" i="38"/>
  <c r="AI155" i="38"/>
  <c r="AI101" i="38"/>
  <c r="AI15" i="38"/>
  <c r="AI31" i="38"/>
  <c r="AI37" i="38"/>
  <c r="AO247" i="38"/>
  <c r="AV247" i="38"/>
  <c r="BA247" i="38" s="1"/>
  <c r="BC247" i="38" s="1"/>
  <c r="AW247" i="38" s="1"/>
  <c r="AP247" i="38"/>
  <c r="AI33" i="38"/>
  <c r="AP138" i="38"/>
  <c r="AO138" i="38"/>
  <c r="AV138" i="38"/>
  <c r="BA138" i="38" s="1"/>
  <c r="BC138" i="38" s="1"/>
  <c r="AW138" i="38" s="1"/>
  <c r="AI219" i="38"/>
  <c r="AI97" i="38"/>
  <c r="AI212" i="38"/>
  <c r="AI151" i="38"/>
  <c r="AI153" i="38"/>
  <c r="AO50" i="38"/>
  <c r="AV50" i="38"/>
  <c r="BA50" i="38" s="1"/>
  <c r="BC50" i="38" s="1"/>
  <c r="AW50" i="38" s="1"/>
  <c r="AP50" i="38"/>
  <c r="AP35" i="38"/>
  <c r="AO35" i="38"/>
  <c r="AV35" i="38"/>
  <c r="BA35" i="38" s="1"/>
  <c r="AO144" i="38"/>
  <c r="AP144" i="38"/>
  <c r="AV144" i="38"/>
  <c r="BA144" i="38" s="1"/>
  <c r="BC144" i="38" s="1"/>
  <c r="AW144" i="38" s="1"/>
  <c r="AI51" i="38"/>
  <c r="AI18" i="38"/>
  <c r="AI74" i="38"/>
  <c r="AI289" i="38"/>
  <c r="AO120" i="38"/>
  <c r="AP120" i="38"/>
  <c r="AV120" i="38"/>
  <c r="BA120" i="38" s="1"/>
  <c r="BC120" i="38" s="1"/>
  <c r="AW120" i="38" s="1"/>
  <c r="AI30" i="38"/>
  <c r="AO303" i="38"/>
  <c r="AP303" i="38"/>
  <c r="AV303" i="38"/>
  <c r="BA303" i="38" s="1"/>
  <c r="BC303" i="38" s="1"/>
  <c r="AW303" i="38" s="1"/>
  <c r="AI262" i="38"/>
  <c r="AI196" i="38"/>
  <c r="AP223" i="38"/>
  <c r="AO223" i="38"/>
  <c r="AV223" i="38"/>
  <c r="AI147" i="38"/>
  <c r="AI10" i="38"/>
  <c r="AI52" i="38"/>
  <c r="AI32" i="38"/>
  <c r="AI250" i="38"/>
  <c r="AI186" i="38"/>
  <c r="AI263" i="38"/>
  <c r="AI44" i="38"/>
  <c r="AO246" i="38"/>
  <c r="AV246" i="38"/>
  <c r="BA246" i="38" s="1"/>
  <c r="BC246" i="38" s="1"/>
  <c r="AW246" i="38" s="1"/>
  <c r="AP246" i="38"/>
  <c r="AI208" i="38"/>
  <c r="AV308" i="38"/>
  <c r="BA308" i="38" s="1"/>
  <c r="BC308" i="38" s="1"/>
  <c r="AW308" i="38" s="1"/>
  <c r="AP308" i="38"/>
  <c r="AO308" i="38"/>
  <c r="AP69" i="38"/>
  <c r="AO69" i="38"/>
  <c r="AV69" i="38"/>
  <c r="AP201" i="38"/>
  <c r="AV201" i="38"/>
  <c r="BA201" i="38" s="1"/>
  <c r="BC201" i="38" s="1"/>
  <c r="AW201" i="38" s="1"/>
  <c r="AO201" i="38"/>
  <c r="AI108" i="38"/>
  <c r="AI166" i="38"/>
  <c r="AQ48" i="38"/>
  <c r="AR48" i="38" s="1"/>
  <c r="AA12" i="38"/>
  <c r="AE12" i="38" s="1"/>
  <c r="AI175" i="38"/>
  <c r="AI55" i="38"/>
  <c r="AI300" i="38"/>
  <c r="AI89" i="38"/>
  <c r="AP274" i="38"/>
  <c r="AO274" i="38"/>
  <c r="AV274" i="38"/>
  <c r="AI176" i="38"/>
  <c r="AV211" i="38"/>
  <c r="BA211" i="38" s="1"/>
  <c r="BC211" i="38" s="1"/>
  <c r="AW211" i="38" s="1"/>
  <c r="AP211" i="38"/>
  <c r="AO211" i="38"/>
  <c r="AI118" i="38"/>
  <c r="AI61" i="38"/>
  <c r="AO243" i="38"/>
  <c r="AV243" i="38"/>
  <c r="BA243" i="38" s="1"/>
  <c r="BC243" i="38" s="1"/>
  <c r="AW243" i="38" s="1"/>
  <c r="AP243" i="38"/>
  <c r="AI294" i="38"/>
  <c r="AI14" i="38"/>
  <c r="AI259" i="38"/>
  <c r="AI285" i="38"/>
  <c r="AI62" i="38"/>
  <c r="AI305" i="38"/>
  <c r="AI283" i="38"/>
  <c r="AO228" i="38"/>
  <c r="AV228" i="38"/>
  <c r="BA228" i="38" s="1"/>
  <c r="AP228" i="38"/>
  <c r="AI40" i="38"/>
  <c r="AI164" i="38"/>
  <c r="AI105" i="38"/>
  <c r="AI128" i="38"/>
  <c r="AP85" i="38"/>
  <c r="AV85" i="38"/>
  <c r="BA85" i="38" s="1"/>
  <c r="BC85" i="38" s="1"/>
  <c r="AW85" i="38" s="1"/>
  <c r="AO85" i="38"/>
  <c r="AV207" i="38"/>
  <c r="AP207" i="38"/>
  <c r="AO207" i="38"/>
  <c r="AI242" i="38"/>
  <c r="AI60" i="38"/>
  <c r="AO260" i="38"/>
  <c r="AV260" i="38"/>
  <c r="BA260" i="38" s="1"/>
  <c r="BC260" i="38" s="1"/>
  <c r="AW260" i="38" s="1"/>
  <c r="AP260" i="38"/>
  <c r="AI216" i="38"/>
  <c r="AI180" i="38"/>
  <c r="AI126" i="38"/>
  <c r="AI237" i="38"/>
  <c r="AO268" i="38"/>
  <c r="AV268" i="38"/>
  <c r="BA268" i="38" s="1"/>
  <c r="BC268" i="38" s="1"/>
  <c r="AW268" i="38" s="1"/>
  <c r="AP268" i="38"/>
  <c r="Y8" i="38"/>
  <c r="AI241" i="38"/>
  <c r="AI230" i="38"/>
  <c r="AI107" i="38"/>
  <c r="AI125" i="38"/>
  <c r="AI277" i="38"/>
  <c r="AI299" i="38"/>
  <c r="AP287" i="38"/>
  <c r="AO287" i="38"/>
  <c r="AV287" i="38"/>
  <c r="BA287" i="38" s="1"/>
  <c r="BC287" i="38" s="1"/>
  <c r="AW287" i="38" s="1"/>
  <c r="AI112" i="38"/>
  <c r="AI261" i="38"/>
  <c r="AI234" i="38"/>
  <c r="AI195" i="38"/>
  <c r="AP145" i="38"/>
  <c r="AO145" i="38"/>
  <c r="AV145" i="38"/>
  <c r="BA145" i="38" s="1"/>
  <c r="BC145" i="38" s="1"/>
  <c r="AW145" i="38" s="1"/>
  <c r="AI25" i="38"/>
  <c r="AI22" i="38"/>
  <c r="AI157" i="38"/>
  <c r="AI170" i="38"/>
  <c r="AI123" i="38"/>
  <c r="AI57" i="38"/>
  <c r="AO54" i="38"/>
  <c r="AP54" i="38"/>
  <c r="AI293" i="38"/>
  <c r="AI199" i="38"/>
  <c r="AI104" i="38"/>
  <c r="AP141" i="38"/>
  <c r="AO141" i="38"/>
  <c r="AI313" i="38"/>
  <c r="AI163" i="38"/>
  <c r="AI86" i="38"/>
  <c r="AI225" i="38"/>
  <c r="AI136" i="38"/>
  <c r="AI64" i="38"/>
  <c r="AI84" i="38"/>
  <c r="AI179" i="38"/>
  <c r="AI58" i="38"/>
  <c r="AI117" i="38"/>
  <c r="AI53" i="38"/>
  <c r="AP34" i="38"/>
  <c r="AO34" i="38"/>
  <c r="AV34" i="38"/>
  <c r="BA34" i="38" s="1"/>
  <c r="BC34" i="38" s="1"/>
  <c r="AW34" i="38" s="1"/>
  <c r="AP76" i="38"/>
  <c r="AV76" i="38"/>
  <c r="BA76" i="38" s="1"/>
  <c r="BC76" i="38" s="1"/>
  <c r="AW76" i="38" s="1"/>
  <c r="AO76" i="38"/>
  <c r="AI149" i="38"/>
  <c r="AI233" i="38"/>
  <c r="AI187" i="38"/>
  <c r="AI214" i="38"/>
  <c r="AI16" i="38"/>
  <c r="AP290" i="38"/>
  <c r="AO290" i="38"/>
  <c r="AV290" i="38"/>
  <c r="BA290" i="38" s="1"/>
  <c r="BC290" i="38" s="1"/>
  <c r="AW290" i="38" s="1"/>
  <c r="AI271" i="38"/>
  <c r="AI121" i="38"/>
  <c r="AI239" i="38"/>
  <c r="AI152" i="38"/>
  <c r="AI296" i="38"/>
  <c r="AI284" i="38"/>
  <c r="AI109" i="38"/>
  <c r="AI80" i="38"/>
  <c r="AI93" i="38"/>
  <c r="AI131" i="38"/>
  <c r="AO291" i="38"/>
  <c r="AV291" i="38"/>
  <c r="AP291" i="38"/>
  <c r="AP68" i="38"/>
  <c r="AO68" i="38"/>
  <c r="AV68" i="38"/>
  <c r="BA68" i="38" s="1"/>
  <c r="BC68" i="38" s="1"/>
  <c r="AW68" i="38" s="1"/>
  <c r="AI140" i="38"/>
  <c r="AV301" i="38"/>
  <c r="BA301" i="38" s="1"/>
  <c r="BC301" i="38" s="1"/>
  <c r="AW301" i="38" s="1"/>
  <c r="AO301" i="38"/>
  <c r="AP301" i="38"/>
  <c r="AI249" i="38"/>
  <c r="AI174" i="38"/>
  <c r="AI280" i="38"/>
  <c r="AI309" i="38"/>
  <c r="AI197" i="38"/>
  <c r="AI282" i="38"/>
  <c r="AI137" i="38"/>
  <c r="AI231" i="38"/>
  <c r="AI272" i="38"/>
  <c r="AP38" i="38"/>
  <c r="AO38" i="38"/>
  <c r="AV38" i="38"/>
  <c r="AO215" i="38"/>
  <c r="AV215" i="38"/>
  <c r="AP215" i="38"/>
  <c r="AP295" i="38"/>
  <c r="AO295" i="38"/>
  <c r="AV295" i="38"/>
  <c r="AO288" i="38"/>
  <c r="AV288" i="38"/>
  <c r="BA288" i="38" s="1"/>
  <c r="BC288" i="38" s="1"/>
  <c r="AW288" i="38" s="1"/>
  <c r="AP288" i="38"/>
  <c r="AI115" i="38"/>
  <c r="AI275" i="38"/>
  <c r="AI103" i="38"/>
  <c r="AI67" i="38"/>
  <c r="AI178" i="38"/>
  <c r="AP148" i="38"/>
  <c r="AO148" i="38"/>
  <c r="AV148" i="38"/>
  <c r="BA148" i="38" s="1"/>
  <c r="BC148" i="38" s="1"/>
  <c r="AW148" i="38" s="1"/>
  <c r="AI286" i="38"/>
  <c r="AI160" i="38"/>
  <c r="AI258" i="38"/>
  <c r="AI114" i="38"/>
  <c r="AI45" i="38"/>
  <c r="AI161" i="38"/>
  <c r="AV46" i="38"/>
  <c r="AP46" i="38"/>
  <c r="AO46" i="38"/>
  <c r="AO59" i="38"/>
  <c r="AV59" i="38"/>
  <c r="BA59" i="38" s="1"/>
  <c r="BC59" i="38" s="1"/>
  <c r="AW59" i="38" s="1"/>
  <c r="AP59" i="38"/>
  <c r="AI229" i="38"/>
  <c r="AI165" i="38"/>
  <c r="AI297" i="38"/>
  <c r="AI77" i="38"/>
  <c r="AI159" i="38"/>
  <c r="AI220" i="38"/>
  <c r="AI227" i="38"/>
  <c r="AI244" i="38"/>
  <c r="AI92" i="38"/>
  <c r="AP185" i="38"/>
  <c r="AO185" i="38"/>
  <c r="AV185" i="38"/>
  <c r="AO311" i="38"/>
  <c r="AP311" i="38"/>
  <c r="AV28" i="38"/>
  <c r="BA28" i="38" s="1"/>
  <c r="AO28" i="38"/>
  <c r="AP28" i="38"/>
  <c r="AV264" i="38"/>
  <c r="BA264" i="38" s="1"/>
  <c r="BC264" i="38" s="1"/>
  <c r="AW264" i="38" s="1"/>
  <c r="AO264" i="38"/>
  <c r="AP264" i="38"/>
  <c r="AP314" i="38"/>
  <c r="AV314" i="38"/>
  <c r="AO314" i="38"/>
  <c r="AO127" i="38"/>
  <c r="AV127" i="38"/>
  <c r="BA127" i="38" s="1"/>
  <c r="BC127" i="38" s="1"/>
  <c r="AW127" i="38" s="1"/>
  <c r="AP127" i="38"/>
  <c r="AI202" i="38"/>
  <c r="AC240" i="38" l="1"/>
  <c r="AJ240" i="38" s="1"/>
  <c r="AW27" i="38"/>
  <c r="AE204" i="38"/>
  <c r="AC42" i="38"/>
  <c r="AJ42" i="38" s="1"/>
  <c r="AC238" i="38"/>
  <c r="AC149" i="38"/>
  <c r="AE205" i="38"/>
  <c r="AV27" i="38"/>
  <c r="BA27" i="38" s="1"/>
  <c r="AC52" i="38"/>
  <c r="AC194" i="38"/>
  <c r="AC158" i="38"/>
  <c r="AC82" i="38"/>
  <c r="AJ82" i="38" s="1"/>
  <c r="AL82" i="38" s="1"/>
  <c r="AC168" i="38"/>
  <c r="AJ168" i="38" s="1"/>
  <c r="AL168" i="38" s="1"/>
  <c r="AC92" i="38"/>
  <c r="AP27" i="38"/>
  <c r="AQ27" i="38" s="1"/>
  <c r="AR27" i="38" s="1"/>
  <c r="AC161" i="38"/>
  <c r="AJ161" i="38" s="1"/>
  <c r="AL161" i="38" s="1"/>
  <c r="AC79" i="38"/>
  <c r="AJ79" i="38" s="1"/>
  <c r="AL79" i="38" s="1"/>
  <c r="AC156" i="38"/>
  <c r="AO306" i="38"/>
  <c r="AC166" i="38"/>
  <c r="AJ166" i="38" s="1"/>
  <c r="AL166" i="38" s="1"/>
  <c r="AC153" i="38"/>
  <c r="AJ153" i="38" s="1"/>
  <c r="AL153" i="38" s="1"/>
  <c r="AC73" i="38"/>
  <c r="AC269" i="38"/>
  <c r="AJ269" i="38" s="1"/>
  <c r="AL269" i="38" s="1"/>
  <c r="AC53" i="38"/>
  <c r="AJ53" i="38" s="1"/>
  <c r="AO281" i="38"/>
  <c r="AC39" i="38"/>
  <c r="AJ39" i="38" s="1"/>
  <c r="AO39" i="38" s="1"/>
  <c r="AC155" i="38"/>
  <c r="AJ155" i="38" s="1"/>
  <c r="AL155" i="38" s="1"/>
  <c r="AC11" i="38"/>
  <c r="AC105" i="38"/>
  <c r="AJ105" i="38" s="1"/>
  <c r="AL105" i="38" s="1"/>
  <c r="AC197" i="38"/>
  <c r="AJ197" i="38" s="1"/>
  <c r="AL197" i="38" s="1"/>
  <c r="AC180" i="38"/>
  <c r="AJ180" i="38" s="1"/>
  <c r="AL180" i="38" s="1"/>
  <c r="AC237" i="38"/>
  <c r="AJ237" i="38" s="1"/>
  <c r="AL237" i="38" s="1"/>
  <c r="AC157" i="38"/>
  <c r="AJ157" i="38" s="1"/>
  <c r="AL157" i="38" s="1"/>
  <c r="AC150" i="38"/>
  <c r="AC202" i="38"/>
  <c r="AJ202" i="38" s="1"/>
  <c r="AL202" i="38" s="1"/>
  <c r="AA173" i="38"/>
  <c r="AE173" i="38" s="1"/>
  <c r="BV173" i="38"/>
  <c r="BY173" i="38" s="1"/>
  <c r="AC106" i="38"/>
  <c r="AC96" i="38"/>
  <c r="AJ96" i="38" s="1"/>
  <c r="AL96" i="38" s="1"/>
  <c r="AC259" i="38"/>
  <c r="AC261" i="38"/>
  <c r="AC110" i="38"/>
  <c r="AE72" i="38"/>
  <c r="AA81" i="38"/>
  <c r="AE81" i="38" s="1"/>
  <c r="BV81" i="38"/>
  <c r="BY81" i="38" s="1"/>
  <c r="AA23" i="38"/>
  <c r="AE23" i="38" s="1"/>
  <c r="BV23" i="38"/>
  <c r="BY23" i="38" s="1"/>
  <c r="AA181" i="38"/>
  <c r="AE181" i="38" s="1"/>
  <c r="BV181" i="38"/>
  <c r="BY181" i="38" s="1"/>
  <c r="AA188" i="38"/>
  <c r="AE188" i="38" s="1"/>
  <c r="BV188" i="38"/>
  <c r="BY188" i="38" s="1"/>
  <c r="AA266" i="38"/>
  <c r="AC266" i="38" s="1"/>
  <c r="AJ266" i="38" s="1"/>
  <c r="AL266" i="38" s="1"/>
  <c r="BV266" i="38"/>
  <c r="BY266" i="38" s="1"/>
  <c r="AC195" i="38"/>
  <c r="AC80" i="38"/>
  <c r="AC187" i="38"/>
  <c r="AC22" i="38"/>
  <c r="AJ22" i="38" s="1"/>
  <c r="AW22" i="38" s="1"/>
  <c r="AC31" i="38"/>
  <c r="AA191" i="38"/>
  <c r="AE191" i="38" s="1"/>
  <c r="BV191" i="38"/>
  <c r="BY191" i="38" s="1"/>
  <c r="AA318" i="38"/>
  <c r="AE318" i="38" s="1"/>
  <c r="BV318" i="38"/>
  <c r="BY318" i="38" s="1"/>
  <c r="AA91" i="38"/>
  <c r="AE91" i="38" s="1"/>
  <c r="BV91" i="38"/>
  <c r="BY91" i="38" s="1"/>
  <c r="AA224" i="38"/>
  <c r="AE224" i="38" s="1"/>
  <c r="BV224" i="38"/>
  <c r="BY224" i="38" s="1"/>
  <c r="AC179" i="38"/>
  <c r="AC169" i="38"/>
  <c r="AC239" i="38"/>
  <c r="AA36" i="38"/>
  <c r="AC36" i="38" s="1"/>
  <c r="AJ36" i="38" s="1"/>
  <c r="AL36" i="38" s="1"/>
  <c r="BV36" i="38"/>
  <c r="BY36" i="38" s="1"/>
  <c r="AC174" i="38"/>
  <c r="AJ174" i="38" s="1"/>
  <c r="AL174" i="38" s="1"/>
  <c r="AA66" i="38"/>
  <c r="AE66" i="38" s="1"/>
  <c r="BV66" i="38"/>
  <c r="BY66" i="38" s="1"/>
  <c r="AA177" i="38"/>
  <c r="AE177" i="38" s="1"/>
  <c r="BV177" i="38"/>
  <c r="BY177" i="38" s="1"/>
  <c r="AV232" i="38"/>
  <c r="AA13" i="38"/>
  <c r="AE13" i="38" s="1"/>
  <c r="BV13" i="38"/>
  <c r="BY13" i="38" s="1"/>
  <c r="AC109" i="38"/>
  <c r="AC217" i="38"/>
  <c r="AC95" i="38"/>
  <c r="AC193" i="38"/>
  <c r="AC78" i="38"/>
  <c r="AA252" i="38"/>
  <c r="AE252" i="38" s="1"/>
  <c r="BV252" i="38"/>
  <c r="BY252" i="38" s="1"/>
  <c r="AW47" i="38"/>
  <c r="AL47" i="38"/>
  <c r="AW220" i="38"/>
  <c r="AL220" i="38"/>
  <c r="AW229" i="38"/>
  <c r="AL229" i="38"/>
  <c r="AW112" i="38"/>
  <c r="AL112" i="38"/>
  <c r="AW218" i="38"/>
  <c r="AL218" i="38"/>
  <c r="AW213" i="38"/>
  <c r="AL213" i="38"/>
  <c r="AW107" i="38"/>
  <c r="AL107" i="38"/>
  <c r="AW19" i="38"/>
  <c r="AL19" i="38"/>
  <c r="AW315" i="38"/>
  <c r="AL315" i="38"/>
  <c r="AW240" i="38"/>
  <c r="AL240" i="38"/>
  <c r="AW42" i="38"/>
  <c r="AL42" i="38"/>
  <c r="AW39" i="38"/>
  <c r="AW53" i="38"/>
  <c r="AL53" i="38"/>
  <c r="AW24" i="38"/>
  <c r="AW30" i="38"/>
  <c r="AW14" i="38"/>
  <c r="AW72" i="38"/>
  <c r="AW235" i="38"/>
  <c r="AW62" i="38"/>
  <c r="AW10" i="38"/>
  <c r="AO88" i="38"/>
  <c r="AO183" i="38"/>
  <c r="AV19" i="38"/>
  <c r="BA19" i="38" s="1"/>
  <c r="AV240" i="38"/>
  <c r="BA240" i="38" s="1"/>
  <c r="AO172" i="38"/>
  <c r="AP319" i="38"/>
  <c r="AQ319" i="38" s="1"/>
  <c r="AR319" i="38" s="1"/>
  <c r="AP213" i="38"/>
  <c r="AQ213" i="38" s="1"/>
  <c r="AR213" i="38" s="1"/>
  <c r="AV47" i="38"/>
  <c r="BA47" i="38" s="1"/>
  <c r="AO99" i="38"/>
  <c r="AO218" i="38"/>
  <c r="AJ167" i="38"/>
  <c r="AL167" i="38" s="1"/>
  <c r="AV218" i="38"/>
  <c r="BA218" i="38" s="1"/>
  <c r="AP218" i="38"/>
  <c r="AQ218" i="38" s="1"/>
  <c r="AR218" i="38" s="1"/>
  <c r="AO213" i="38"/>
  <c r="AO42" i="38"/>
  <c r="AP19" i="38"/>
  <c r="AQ19" i="38" s="1"/>
  <c r="AR19" i="38" s="1"/>
  <c r="AP183" i="38"/>
  <c r="AQ183" i="38" s="1"/>
  <c r="AR183" i="38" s="1"/>
  <c r="AV213" i="38"/>
  <c r="BA213" i="38" s="1"/>
  <c r="AV183" i="38"/>
  <c r="BA183" i="38" s="1"/>
  <c r="BC183" i="38" s="1"/>
  <c r="AW183" i="38" s="1"/>
  <c r="AJ108" i="38"/>
  <c r="AP184" i="38"/>
  <c r="AQ184" i="38" s="1"/>
  <c r="AR184" i="38" s="1"/>
  <c r="AO235" i="38"/>
  <c r="AV99" i="38"/>
  <c r="BA99" i="38" s="1"/>
  <c r="BC99" i="38" s="1"/>
  <c r="AW99" i="38" s="1"/>
  <c r="AO319" i="38"/>
  <c r="Z8" i="38"/>
  <c r="AO47" i="38"/>
  <c r="AV319" i="38"/>
  <c r="BA319" i="38" s="1"/>
  <c r="BC319" i="38" s="1"/>
  <c r="AW319" i="38" s="1"/>
  <c r="AP99" i="38"/>
  <c r="AQ99" i="38" s="1"/>
  <c r="AR99" i="38" s="1"/>
  <c r="AV184" i="38"/>
  <c r="BA184" i="38" s="1"/>
  <c r="BC184" i="38" s="1"/>
  <c r="AW184" i="38" s="1"/>
  <c r="AP47" i="38"/>
  <c r="AQ47" i="38" s="1"/>
  <c r="AR47" i="38" s="1"/>
  <c r="AO184" i="38"/>
  <c r="AO19" i="38"/>
  <c r="AV172" i="38"/>
  <c r="BA172" i="38" s="1"/>
  <c r="BC172" i="38" s="1"/>
  <c r="AW172" i="38" s="1"/>
  <c r="AP88" i="38"/>
  <c r="AQ88" i="38" s="1"/>
  <c r="AR88" i="38" s="1"/>
  <c r="AP172" i="38"/>
  <c r="AQ172" i="38" s="1"/>
  <c r="AR172" i="38" s="1"/>
  <c r="AP94" i="38"/>
  <c r="AQ94" i="38" s="1"/>
  <c r="AR94" i="38" s="1"/>
  <c r="AO240" i="38"/>
  <c r="AP235" i="38"/>
  <c r="AQ235" i="38" s="1"/>
  <c r="AR235" i="38" s="1"/>
  <c r="AV94" i="38"/>
  <c r="BA94" i="38" s="1"/>
  <c r="BC94" i="38" s="1"/>
  <c r="AW94" i="38" s="1"/>
  <c r="AP240" i="38"/>
  <c r="AQ240" i="38" s="1"/>
  <c r="AR240" i="38" s="1"/>
  <c r="AV24" i="38"/>
  <c r="BA24" i="38" s="1"/>
  <c r="AO94" i="38"/>
  <c r="AO315" i="38"/>
  <c r="AO24" i="38"/>
  <c r="AV235" i="38"/>
  <c r="BA235" i="38" s="1"/>
  <c r="AV315" i="38"/>
  <c r="BA315" i="38" s="1"/>
  <c r="AP24" i="38"/>
  <c r="AQ24" i="38" s="1"/>
  <c r="AR24" i="38" s="1"/>
  <c r="AP315" i="38"/>
  <c r="AQ315" i="38" s="1"/>
  <c r="AR315" i="38" s="1"/>
  <c r="AV42" i="38"/>
  <c r="BA42" i="38" s="1"/>
  <c r="AI252" i="38"/>
  <c r="AJ316" i="38"/>
  <c r="AL316" i="38" s="1"/>
  <c r="AJ49" i="38"/>
  <c r="AL49" i="38" s="1"/>
  <c r="AJ58" i="38"/>
  <c r="AJ64" i="38"/>
  <c r="AJ165" i="38"/>
  <c r="AL165" i="38" s="1"/>
  <c r="AJ217" i="38"/>
  <c r="AL217" i="38" s="1"/>
  <c r="AJ80" i="38"/>
  <c r="AL80" i="38" s="1"/>
  <c r="AC173" i="38"/>
  <c r="AJ173" i="38" s="1"/>
  <c r="AL173" i="38" s="1"/>
  <c r="AJ16" i="38"/>
  <c r="AP42" i="38"/>
  <c r="AQ42" i="38" s="1"/>
  <c r="AR42" i="38" s="1"/>
  <c r="AC81" i="38"/>
  <c r="AC23" i="38"/>
  <c r="AJ152" i="38"/>
  <c r="AL152" i="38" s="1"/>
  <c r="AJ176" i="38"/>
  <c r="AL176" i="38" s="1"/>
  <c r="AJ159" i="38"/>
  <c r="AL159" i="38" s="1"/>
  <c r="AJ18" i="38"/>
  <c r="AJ52" i="38"/>
  <c r="AJ29" i="38"/>
  <c r="AL29" i="38" s="1"/>
  <c r="AJ194" i="38"/>
  <c r="AL194" i="38" s="1"/>
  <c r="AJ156" i="38"/>
  <c r="AL156" i="38" s="1"/>
  <c r="AJ92" i="38"/>
  <c r="AL92" i="38" s="1"/>
  <c r="AJ193" i="38"/>
  <c r="AL193" i="38" s="1"/>
  <c r="AJ259" i="38"/>
  <c r="AL259" i="38" s="1"/>
  <c r="AJ150" i="38"/>
  <c r="AL150" i="38" s="1"/>
  <c r="AJ158" i="38"/>
  <c r="AL158" i="38" s="1"/>
  <c r="AJ73" i="38"/>
  <c r="AL73" i="38" s="1"/>
  <c r="AJ233" i="38"/>
  <c r="AJ103" i="38"/>
  <c r="AL103" i="38" s="1"/>
  <c r="AJ93" i="38"/>
  <c r="AL93" i="38" s="1"/>
  <c r="AJ198" i="38"/>
  <c r="AL198" i="38" s="1"/>
  <c r="AI198" i="38"/>
  <c r="AC181" i="38"/>
  <c r="AC188" i="38"/>
  <c r="AJ200" i="38"/>
  <c r="AL200" i="38" s="1"/>
  <c r="AJ100" i="38"/>
  <c r="AL100" i="38" s="1"/>
  <c r="AJ226" i="38"/>
  <c r="AL226" i="38" s="1"/>
  <c r="AC191" i="38"/>
  <c r="AJ191" i="38" s="1"/>
  <c r="AL191" i="38" s="1"/>
  <c r="AC318" i="38"/>
  <c r="AJ318" i="38" s="1"/>
  <c r="AL318" i="38" s="1"/>
  <c r="AJ160" i="38"/>
  <c r="AL160" i="38" s="1"/>
  <c r="AJ101" i="38"/>
  <c r="AL101" i="38" s="1"/>
  <c r="AJ32" i="38"/>
  <c r="AJ109" i="38"/>
  <c r="AJ195" i="38"/>
  <c r="AL195" i="38" s="1"/>
  <c r="AJ15" i="38"/>
  <c r="AJ106" i="38"/>
  <c r="AL106" i="38" s="1"/>
  <c r="AJ179" i="38"/>
  <c r="AL179" i="38" s="1"/>
  <c r="AJ187" i="38"/>
  <c r="AL187" i="38" s="1"/>
  <c r="AJ267" i="38"/>
  <c r="AL267" i="38" s="1"/>
  <c r="AJ239" i="38"/>
  <c r="AJ25" i="38"/>
  <c r="AJ75" i="38"/>
  <c r="AL75" i="38" s="1"/>
  <c r="AJ110" i="38"/>
  <c r="AL110" i="38" s="1"/>
  <c r="AC91" i="38"/>
  <c r="AJ91" i="38" s="1"/>
  <c r="AL91" i="38" s="1"/>
  <c r="AI91" i="38"/>
  <c r="AC224" i="38"/>
  <c r="AJ224" i="38" s="1"/>
  <c r="AC177" i="38"/>
  <c r="AJ51" i="38"/>
  <c r="AJ182" i="38"/>
  <c r="AL182" i="38" s="1"/>
  <c r="AJ214" i="38"/>
  <c r="AJ171" i="38"/>
  <c r="AL171" i="38" s="1"/>
  <c r="AJ238" i="38"/>
  <c r="AL238" i="38" s="1"/>
  <c r="AJ189" i="38"/>
  <c r="AL189" i="38" s="1"/>
  <c r="AJ212" i="38"/>
  <c r="AL212" i="38" s="1"/>
  <c r="AJ95" i="38"/>
  <c r="AL95" i="38" s="1"/>
  <c r="AJ169" i="38"/>
  <c r="AL169" i="38" s="1"/>
  <c r="AJ113" i="38"/>
  <c r="AL113" i="38" s="1"/>
  <c r="AJ78" i="38"/>
  <c r="AL78" i="38" s="1"/>
  <c r="AJ31" i="38"/>
  <c r="AJ261" i="38"/>
  <c r="AJ270" i="38"/>
  <c r="AL270" i="38" s="1"/>
  <c r="AJ149" i="38"/>
  <c r="AL149" i="38" s="1"/>
  <c r="AJ11" i="38"/>
  <c r="AL11" i="38" s="1"/>
  <c r="AC13" i="38"/>
  <c r="AJ310" i="38"/>
  <c r="AL310" i="38" s="1"/>
  <c r="AJ63" i="38"/>
  <c r="AJ170" i="38"/>
  <c r="AL170" i="38" s="1"/>
  <c r="AJ241" i="38"/>
  <c r="AV306" i="38"/>
  <c r="AP90" i="38"/>
  <c r="AQ90" i="38" s="1"/>
  <c r="AR90" i="38" s="1"/>
  <c r="AP122" i="38"/>
  <c r="AQ122" i="38" s="1"/>
  <c r="AR122" i="38" s="1"/>
  <c r="AV273" i="38"/>
  <c r="BA273" i="38" s="1"/>
  <c r="BC273" i="38" s="1"/>
  <c r="AW273" i="38" s="1"/>
  <c r="AV210" i="38"/>
  <c r="AV119" i="38"/>
  <c r="BA119" i="38" s="1"/>
  <c r="BC119" i="38" s="1"/>
  <c r="AW119" i="38" s="1"/>
  <c r="AP135" i="38"/>
  <c r="AQ135" i="38" s="1"/>
  <c r="AR135" i="38" s="1"/>
  <c r="AP139" i="38"/>
  <c r="AQ139" i="38" s="1"/>
  <c r="AR139" i="38" s="1"/>
  <c r="AP142" i="38"/>
  <c r="AQ142" i="38" s="1"/>
  <c r="AR142" i="38" s="1"/>
  <c r="AP317" i="38"/>
  <c r="AQ317" i="38" s="1"/>
  <c r="AR317" i="38" s="1"/>
  <c r="AP192" i="38"/>
  <c r="AQ192" i="38" s="1"/>
  <c r="AR192" i="38" s="1"/>
  <c r="AV43" i="38"/>
  <c r="AO256" i="38"/>
  <c r="AP21" i="38"/>
  <c r="AQ21" i="38" s="1"/>
  <c r="AR21" i="38" s="1"/>
  <c r="AP306" i="38"/>
  <c r="AQ306" i="38" s="1"/>
  <c r="AR306" i="38" s="1"/>
  <c r="AV190" i="38"/>
  <c r="BA190" i="38" s="1"/>
  <c r="BC190" i="38" s="1"/>
  <c r="AW190" i="38" s="1"/>
  <c r="AP255" i="38"/>
  <c r="AQ255" i="38" s="1"/>
  <c r="AR255" i="38" s="1"/>
  <c r="AP133" i="38"/>
  <c r="AQ133" i="38" s="1"/>
  <c r="AR133" i="38" s="1"/>
  <c r="AV111" i="38"/>
  <c r="BA111" i="38" s="1"/>
  <c r="BC111" i="38" s="1"/>
  <c r="AW111" i="38" s="1"/>
  <c r="AV87" i="38"/>
  <c r="BA87" i="38" s="1"/>
  <c r="BC87" i="38" s="1"/>
  <c r="AW87" i="38" s="1"/>
  <c r="AP281" i="38"/>
  <c r="AQ281" i="38" s="1"/>
  <c r="AR281" i="38" s="1"/>
  <c r="AO98" i="38"/>
  <c r="AP254" i="38"/>
  <c r="AQ254" i="38" s="1"/>
  <c r="AR254" i="38" s="1"/>
  <c r="AO129" i="38"/>
  <c r="AP124" i="38"/>
  <c r="AQ124" i="38" s="1"/>
  <c r="AR124" i="38" s="1"/>
  <c r="AO292" i="38"/>
  <c r="AV304" i="38"/>
  <c r="AO192" i="38"/>
  <c r="AP70" i="38"/>
  <c r="AQ70" i="38" s="1"/>
  <c r="AR70" i="38" s="1"/>
  <c r="AV256" i="38"/>
  <c r="BA256" i="38" s="1"/>
  <c r="BC256" i="38" s="1"/>
  <c r="AW256" i="38" s="1"/>
  <c r="AO79" i="38"/>
  <c r="AO70" i="38"/>
  <c r="AP87" i="38"/>
  <c r="AQ87" i="38" s="1"/>
  <c r="AR87" i="38" s="1"/>
  <c r="AP119" i="38"/>
  <c r="AQ119" i="38" s="1"/>
  <c r="AR119" i="38" s="1"/>
  <c r="AO119" i="38"/>
  <c r="AV122" i="38"/>
  <c r="BA122" i="38" s="1"/>
  <c r="BC122" i="38" s="1"/>
  <c r="AW122" i="38" s="1"/>
  <c r="AO122" i="38"/>
  <c r="AO135" i="38"/>
  <c r="AV70" i="38"/>
  <c r="AP111" i="38"/>
  <c r="AQ111" i="38" s="1"/>
  <c r="AR111" i="38" s="1"/>
  <c r="AO142" i="38"/>
  <c r="AO111" i="38"/>
  <c r="AO87" i="38"/>
  <c r="AO317" i="38"/>
  <c r="AV129" i="38"/>
  <c r="BA129" i="38" s="1"/>
  <c r="BC129" i="38" s="1"/>
  <c r="AW129" i="38" s="1"/>
  <c r="AP129" i="38"/>
  <c r="AQ129" i="38" s="1"/>
  <c r="AR129" i="38" s="1"/>
  <c r="AP302" i="38"/>
  <c r="AQ302" i="38" s="1"/>
  <c r="AR302" i="38" s="1"/>
  <c r="AO302" i="38"/>
  <c r="AO304" i="38"/>
  <c r="AP304" i="38"/>
  <c r="AQ304" i="38" s="1"/>
  <c r="AR304" i="38" s="1"/>
  <c r="AP273" i="38"/>
  <c r="AQ273" i="38" s="1"/>
  <c r="AR273" i="38" s="1"/>
  <c r="AP79" i="38"/>
  <c r="AQ79" i="38" s="1"/>
  <c r="AR79" i="38" s="1"/>
  <c r="AO273" i="38"/>
  <c r="AO21" i="38"/>
  <c r="AV279" i="38"/>
  <c r="BA279" i="38" s="1"/>
  <c r="BC279" i="38" s="1"/>
  <c r="AW279" i="38" s="1"/>
  <c r="AO279" i="38"/>
  <c r="AV90" i="38"/>
  <c r="BA90" i="38" s="1"/>
  <c r="BC90" i="38" s="1"/>
  <c r="AW90" i="38" s="1"/>
  <c r="AO90" i="38"/>
  <c r="AV21" i="38"/>
  <c r="BA21" i="38" s="1"/>
  <c r="AV255" i="38"/>
  <c r="AP279" i="38"/>
  <c r="AQ279" i="38" s="1"/>
  <c r="AR279" i="38" s="1"/>
  <c r="AP17" i="38"/>
  <c r="AQ17" i="38" s="1"/>
  <c r="AR17" i="38" s="1"/>
  <c r="AO17" i="38"/>
  <c r="AO255" i="38"/>
  <c r="AO133" i="38"/>
  <c r="AI36" i="38"/>
  <c r="AV317" i="38"/>
  <c r="BA317" i="38" s="1"/>
  <c r="BC317" i="38" s="1"/>
  <c r="AW317" i="38" s="1"/>
  <c r="AV302" i="38"/>
  <c r="AV17" i="38"/>
  <c r="BA17" i="38" s="1"/>
  <c r="BC17" i="38" s="1"/>
  <c r="AW17" i="38" s="1"/>
  <c r="AO278" i="38"/>
  <c r="AP278" i="38"/>
  <c r="AQ278" i="38" s="1"/>
  <c r="AR278" i="38" s="1"/>
  <c r="AO139" i="38"/>
  <c r="AV124" i="38"/>
  <c r="BA124" i="38" s="1"/>
  <c r="BC124" i="38" s="1"/>
  <c r="AW124" i="38" s="1"/>
  <c r="AV292" i="38"/>
  <c r="AP292" i="38"/>
  <c r="AQ292" i="38" s="1"/>
  <c r="AR292" i="38" s="1"/>
  <c r="AP210" i="38"/>
  <c r="AQ210" i="38" s="1"/>
  <c r="AR210" i="38" s="1"/>
  <c r="AO210" i="38"/>
  <c r="AV254" i="38"/>
  <c r="AP43" i="38"/>
  <c r="AQ43" i="38" s="1"/>
  <c r="AR43" i="38" s="1"/>
  <c r="AO254" i="38"/>
  <c r="AO43" i="38"/>
  <c r="AO190" i="38"/>
  <c r="AP190" i="38"/>
  <c r="AQ190" i="38" s="1"/>
  <c r="AR190" i="38" s="1"/>
  <c r="AI203" i="38"/>
  <c r="AO124" i="38"/>
  <c r="AP154" i="38"/>
  <c r="AQ154" i="38" s="1"/>
  <c r="AR154" i="38" s="1"/>
  <c r="AV98" i="38"/>
  <c r="BA98" i="38" s="1"/>
  <c r="BC98" i="38" s="1"/>
  <c r="AW98" i="38" s="1"/>
  <c r="AV154" i="38"/>
  <c r="BA154" i="38" s="1"/>
  <c r="BC154" i="38" s="1"/>
  <c r="AW154" i="38" s="1"/>
  <c r="AO154" i="38"/>
  <c r="AP98" i="38"/>
  <c r="AQ98" i="38" s="1"/>
  <c r="AR98" i="38" s="1"/>
  <c r="AQ253" i="38"/>
  <c r="AR253" i="38" s="1"/>
  <c r="AQ148" i="38"/>
  <c r="AR148" i="38" s="1"/>
  <c r="AQ185" i="38"/>
  <c r="AR185" i="38" s="1"/>
  <c r="AP77" i="38"/>
  <c r="AV77" i="38"/>
  <c r="BA77" i="38" s="1"/>
  <c r="BC77" i="38" s="1"/>
  <c r="AW77" i="38" s="1"/>
  <c r="AO77" i="38"/>
  <c r="AQ46" i="38"/>
  <c r="AR46" i="38" s="1"/>
  <c r="AO114" i="38"/>
  <c r="AP114" i="38"/>
  <c r="AV114" i="38"/>
  <c r="BA114" i="38" s="1"/>
  <c r="BC114" i="38" s="1"/>
  <c r="AW114" i="38" s="1"/>
  <c r="AV272" i="38"/>
  <c r="BA272" i="38" s="1"/>
  <c r="BC272" i="38" s="1"/>
  <c r="AW272" i="38" s="1"/>
  <c r="AP272" i="38"/>
  <c r="AO272" i="38"/>
  <c r="AQ34" i="38"/>
  <c r="AR34" i="38" s="1"/>
  <c r="AV293" i="38"/>
  <c r="AO293" i="38"/>
  <c r="AP293" i="38"/>
  <c r="AV112" i="38"/>
  <c r="BA112" i="38" s="1"/>
  <c r="AP112" i="38"/>
  <c r="AO112" i="38"/>
  <c r="AQ85" i="38"/>
  <c r="AR85" i="38" s="1"/>
  <c r="AP164" i="38"/>
  <c r="AO164" i="38"/>
  <c r="AV164" i="38"/>
  <c r="BA164" i="38" s="1"/>
  <c r="BC164" i="38" s="1"/>
  <c r="AW164" i="38" s="1"/>
  <c r="AI173" i="38"/>
  <c r="AP285" i="38"/>
  <c r="AO285" i="38"/>
  <c r="AP36" i="38"/>
  <c r="AO36" i="38"/>
  <c r="AV36" i="38"/>
  <c r="AP175" i="38"/>
  <c r="AO175" i="38"/>
  <c r="AV175" i="38"/>
  <c r="AQ246" i="38"/>
  <c r="AR246" i="38" s="1"/>
  <c r="AV30" i="38"/>
  <c r="BA30" i="38" s="1"/>
  <c r="AP30" i="38"/>
  <c r="AO30" i="38"/>
  <c r="AQ144" i="38"/>
  <c r="AR144" i="38" s="1"/>
  <c r="AQ50" i="38"/>
  <c r="AR50" i="38" s="1"/>
  <c r="AV33" i="38"/>
  <c r="BA33" i="38" s="1"/>
  <c r="BC33" i="38" s="1"/>
  <c r="AW33" i="38" s="1"/>
  <c r="AP33" i="38"/>
  <c r="AO33" i="38"/>
  <c r="AV37" i="38"/>
  <c r="BA37" i="38" s="1"/>
  <c r="BC37" i="38" s="1"/>
  <c r="AW37" i="38" s="1"/>
  <c r="AP37" i="38"/>
  <c r="AO37" i="38"/>
  <c r="AP56" i="38"/>
  <c r="AO56" i="38"/>
  <c r="AV56" i="38"/>
  <c r="AP65" i="38"/>
  <c r="AV65" i="38"/>
  <c r="BA65" i="38" s="1"/>
  <c r="BC65" i="38" s="1"/>
  <c r="AW65" i="38" s="1"/>
  <c r="AO65" i="38"/>
  <c r="AQ311" i="38"/>
  <c r="AR311" i="38" s="1"/>
  <c r="AO258" i="38"/>
  <c r="AP258" i="38"/>
  <c r="AP286" i="38"/>
  <c r="AV286" i="38"/>
  <c r="BA286" i="38" s="1"/>
  <c r="BC286" i="38" s="1"/>
  <c r="AW286" i="38" s="1"/>
  <c r="AO286" i="38"/>
  <c r="AO275" i="38"/>
  <c r="AV275" i="38"/>
  <c r="AP275" i="38"/>
  <c r="AV231" i="38"/>
  <c r="AP231" i="38"/>
  <c r="AO231" i="38"/>
  <c r="AV309" i="38"/>
  <c r="AO309" i="38"/>
  <c r="AP309" i="38"/>
  <c r="AQ291" i="38"/>
  <c r="AR291" i="38" s="1"/>
  <c r="AI266" i="38"/>
  <c r="AI81" i="38"/>
  <c r="AO136" i="38"/>
  <c r="AV136" i="38"/>
  <c r="BA136" i="38" s="1"/>
  <c r="BC136" i="38" s="1"/>
  <c r="AW136" i="38" s="1"/>
  <c r="AP136" i="38"/>
  <c r="AV123" i="38"/>
  <c r="BA123" i="38" s="1"/>
  <c r="BC123" i="38" s="1"/>
  <c r="AW123" i="38" s="1"/>
  <c r="AP123" i="38"/>
  <c r="AO123" i="38"/>
  <c r="AO22" i="38"/>
  <c r="AP22" i="38"/>
  <c r="AP107" i="38"/>
  <c r="AO107" i="38"/>
  <c r="AP237" i="38"/>
  <c r="AO237" i="38"/>
  <c r="AV237" i="38"/>
  <c r="BA237" i="38" s="1"/>
  <c r="BC237" i="38" s="1"/>
  <c r="AW237" i="38" s="1"/>
  <c r="AP60" i="38"/>
  <c r="AO60" i="38"/>
  <c r="AV60" i="38"/>
  <c r="AI66" i="38"/>
  <c r="AP61" i="38"/>
  <c r="AO61" i="38"/>
  <c r="AV61" i="38"/>
  <c r="BA61" i="38" s="1"/>
  <c r="BC61" i="38" s="1"/>
  <c r="AW61" i="38" s="1"/>
  <c r="AQ274" i="38"/>
  <c r="AR274" i="38" s="1"/>
  <c r="AO166" i="38"/>
  <c r="AP166" i="38"/>
  <c r="AV166" i="38"/>
  <c r="BA166" i="38" s="1"/>
  <c r="BC166" i="38" s="1"/>
  <c r="AW166" i="38" s="1"/>
  <c r="AP186" i="38"/>
  <c r="AO186" i="38"/>
  <c r="AV186" i="38"/>
  <c r="AV147" i="38"/>
  <c r="BA147" i="38" s="1"/>
  <c r="BC147" i="38" s="1"/>
  <c r="AW147" i="38" s="1"/>
  <c r="AO147" i="38"/>
  <c r="AP147" i="38"/>
  <c r="AP262" i="38"/>
  <c r="AO262" i="38"/>
  <c r="AV262" i="38"/>
  <c r="BA262" i="38" s="1"/>
  <c r="BC262" i="38" s="1"/>
  <c r="AW262" i="38" s="1"/>
  <c r="AQ71" i="38"/>
  <c r="AR71" i="38" s="1"/>
  <c r="AO162" i="38"/>
  <c r="AV162" i="38"/>
  <c r="BA162" i="38" s="1"/>
  <c r="BC162" i="38" s="1"/>
  <c r="AW162" i="38" s="1"/>
  <c r="AP162" i="38"/>
  <c r="AO82" i="38"/>
  <c r="AP82" i="38"/>
  <c r="AV82" i="38"/>
  <c r="BA82" i="38" s="1"/>
  <c r="BC82" i="38" s="1"/>
  <c r="AW82" i="38" s="1"/>
  <c r="AV41" i="38"/>
  <c r="AP41" i="38"/>
  <c r="AO41" i="38"/>
  <c r="AP130" i="38"/>
  <c r="AO130" i="38"/>
  <c r="AQ265" i="38"/>
  <c r="AR265" i="38" s="1"/>
  <c r="AO102" i="38"/>
  <c r="AV102" i="38"/>
  <c r="BA102" i="38" s="1"/>
  <c r="BC102" i="38" s="1"/>
  <c r="AW102" i="38" s="1"/>
  <c r="AP102" i="38"/>
  <c r="AP45" i="38"/>
  <c r="AO45" i="38"/>
  <c r="AQ127" i="38"/>
  <c r="AR127" i="38" s="1"/>
  <c r="AP227" i="38"/>
  <c r="AO227" i="38"/>
  <c r="AQ59" i="38"/>
  <c r="AR59" i="38" s="1"/>
  <c r="AP161" i="38"/>
  <c r="AV161" i="38"/>
  <c r="BA161" i="38" s="1"/>
  <c r="BC161" i="38" s="1"/>
  <c r="AW161" i="38" s="1"/>
  <c r="AO161" i="38"/>
  <c r="AI257" i="38"/>
  <c r="AO284" i="38"/>
  <c r="AP284" i="38"/>
  <c r="AV284" i="38"/>
  <c r="BA284" i="38" s="1"/>
  <c r="BC284" i="38" s="1"/>
  <c r="AW284" i="38" s="1"/>
  <c r="AP121" i="38"/>
  <c r="AO121" i="38"/>
  <c r="AV230" i="38"/>
  <c r="AP230" i="38"/>
  <c r="AO230" i="38"/>
  <c r="AP216" i="38"/>
  <c r="AV216" i="38"/>
  <c r="BA216" i="38" s="1"/>
  <c r="BC216" i="38" s="1"/>
  <c r="AW216" i="38" s="1"/>
  <c r="AO216" i="38"/>
  <c r="AQ207" i="38"/>
  <c r="AR207" i="38" s="1"/>
  <c r="AO40" i="38"/>
  <c r="AV40" i="38"/>
  <c r="AP40" i="38"/>
  <c r="AV283" i="38"/>
  <c r="BA283" i="38" s="1"/>
  <c r="BC283" i="38" s="1"/>
  <c r="AW283" i="38" s="1"/>
  <c r="AP283" i="38"/>
  <c r="AO283" i="38"/>
  <c r="AI181" i="38"/>
  <c r="AO168" i="38"/>
  <c r="AV168" i="38"/>
  <c r="BA168" i="38" s="1"/>
  <c r="BC168" i="38" s="1"/>
  <c r="AW168" i="38" s="1"/>
  <c r="AP168" i="38"/>
  <c r="AP67" i="38"/>
  <c r="AO67" i="38"/>
  <c r="AV67" i="38"/>
  <c r="BA67" i="38" s="1"/>
  <c r="BC67" i="38" s="1"/>
  <c r="AW67" i="38" s="1"/>
  <c r="AQ28" i="38"/>
  <c r="AR28" i="38" s="1"/>
  <c r="AI205" i="38"/>
  <c r="AV297" i="38"/>
  <c r="AP297" i="38"/>
  <c r="AO297" i="38"/>
  <c r="AO178" i="38"/>
  <c r="AV178" i="38"/>
  <c r="BA178" i="38" s="1"/>
  <c r="BC178" i="38" s="1"/>
  <c r="AW178" i="38" s="1"/>
  <c r="AP178" i="38"/>
  <c r="AV115" i="38"/>
  <c r="BA115" i="38" s="1"/>
  <c r="BC115" i="38" s="1"/>
  <c r="AW115" i="38" s="1"/>
  <c r="AP115" i="38"/>
  <c r="AO115" i="38"/>
  <c r="AP140" i="38"/>
  <c r="AO140" i="38"/>
  <c r="AV296" i="38"/>
  <c r="AP296" i="38"/>
  <c r="AO296" i="38"/>
  <c r="AO271" i="38"/>
  <c r="AP271" i="38"/>
  <c r="AQ290" i="38"/>
  <c r="AR290" i="38" s="1"/>
  <c r="AP53" i="38"/>
  <c r="AO53" i="38"/>
  <c r="AV53" i="38"/>
  <c r="BA53" i="38" s="1"/>
  <c r="AV225" i="38"/>
  <c r="BA225" i="38" s="1"/>
  <c r="BC225" i="38" s="1"/>
  <c r="AW225" i="38" s="1"/>
  <c r="AP225" i="38"/>
  <c r="AO225" i="38"/>
  <c r="AP104" i="38"/>
  <c r="AV104" i="38"/>
  <c r="AO104" i="38"/>
  <c r="AQ287" i="38"/>
  <c r="AR287" i="38" s="1"/>
  <c r="AP277" i="38"/>
  <c r="AO277" i="38"/>
  <c r="AV277" i="38"/>
  <c r="BA277" i="38" s="1"/>
  <c r="BC277" i="38" s="1"/>
  <c r="AW277" i="38" s="1"/>
  <c r="AO126" i="38"/>
  <c r="AP126" i="38"/>
  <c r="AV126" i="38"/>
  <c r="BA126" i="38" s="1"/>
  <c r="BC126" i="38" s="1"/>
  <c r="AW126" i="38" s="1"/>
  <c r="AO128" i="38"/>
  <c r="AP128" i="38"/>
  <c r="AQ228" i="38"/>
  <c r="AR228" i="38" s="1"/>
  <c r="AP14" i="38"/>
  <c r="AO14" i="38"/>
  <c r="AO118" i="38"/>
  <c r="AV118" i="38"/>
  <c r="BA118" i="38" s="1"/>
  <c r="BC118" i="38" s="1"/>
  <c r="AW118" i="38" s="1"/>
  <c r="AP118" i="38"/>
  <c r="AP89" i="38"/>
  <c r="AO89" i="38"/>
  <c r="AV89" i="38"/>
  <c r="BA89" i="38" s="1"/>
  <c r="BC89" i="38" s="1"/>
  <c r="AW89" i="38" s="1"/>
  <c r="AQ308" i="38"/>
  <c r="AR308" i="38" s="1"/>
  <c r="AQ120" i="38"/>
  <c r="AR120" i="38" s="1"/>
  <c r="AV97" i="38"/>
  <c r="BA97" i="38" s="1"/>
  <c r="BC97" i="38" s="1"/>
  <c r="AW97" i="38" s="1"/>
  <c r="AP97" i="38"/>
  <c r="AO97" i="38"/>
  <c r="AQ247" i="38"/>
  <c r="AR247" i="38" s="1"/>
  <c r="AV245" i="38"/>
  <c r="BA245" i="38" s="1"/>
  <c r="BC245" i="38" s="1"/>
  <c r="AW245" i="38" s="1"/>
  <c r="AP245" i="38"/>
  <c r="AO245" i="38"/>
  <c r="AP132" i="38"/>
  <c r="AV132" i="38"/>
  <c r="BA132" i="38" s="1"/>
  <c r="BC132" i="38" s="1"/>
  <c r="AW132" i="38" s="1"/>
  <c r="AO132" i="38"/>
  <c r="AP83" i="38"/>
  <c r="AO83" i="38"/>
  <c r="AV83" i="38"/>
  <c r="BA83" i="38" s="1"/>
  <c r="BC83" i="38" s="1"/>
  <c r="AW83" i="38" s="1"/>
  <c r="AQ256" i="38"/>
  <c r="AR256" i="38" s="1"/>
  <c r="AO229" i="38"/>
  <c r="AV229" i="38"/>
  <c r="BA229" i="38" s="1"/>
  <c r="AP229" i="38"/>
  <c r="AQ215" i="38"/>
  <c r="AR215" i="38" s="1"/>
  <c r="AP137" i="38"/>
  <c r="AO137" i="38"/>
  <c r="AV280" i="38"/>
  <c r="BA280" i="38" s="1"/>
  <c r="BC280" i="38" s="1"/>
  <c r="AW280" i="38" s="1"/>
  <c r="AP280" i="38"/>
  <c r="AO280" i="38"/>
  <c r="AI13" i="38"/>
  <c r="AI248" i="38"/>
  <c r="AP84" i="38"/>
  <c r="AO84" i="38"/>
  <c r="AV84" i="38"/>
  <c r="BA84" i="38" s="1"/>
  <c r="BC84" i="38" s="1"/>
  <c r="AW84" i="38" s="1"/>
  <c r="AO86" i="38"/>
  <c r="AP86" i="38"/>
  <c r="AV86" i="38"/>
  <c r="BA86" i="38" s="1"/>
  <c r="BC86" i="38" s="1"/>
  <c r="AW86" i="38" s="1"/>
  <c r="AV163" i="38"/>
  <c r="BA163" i="38" s="1"/>
  <c r="BC163" i="38" s="1"/>
  <c r="AW163" i="38" s="1"/>
  <c r="AP163" i="38"/>
  <c r="AO163" i="38"/>
  <c r="AQ141" i="38"/>
  <c r="AR141" i="38" s="1"/>
  <c r="AQ54" i="38"/>
  <c r="AR54" i="38" s="1"/>
  <c r="AQ145" i="38"/>
  <c r="AR145" i="38" s="1"/>
  <c r="AP299" i="38"/>
  <c r="AV299" i="38"/>
  <c r="BA299" i="38" s="1"/>
  <c r="BC299" i="38" s="1"/>
  <c r="AW299" i="38" s="1"/>
  <c r="AO299" i="38"/>
  <c r="AQ268" i="38"/>
  <c r="AR268" i="38" s="1"/>
  <c r="AQ260" i="38"/>
  <c r="AR260" i="38" s="1"/>
  <c r="AP242" i="38"/>
  <c r="AO242" i="38"/>
  <c r="AV242" i="38"/>
  <c r="BA242" i="38" s="1"/>
  <c r="BC242" i="38" s="1"/>
  <c r="AW242" i="38" s="1"/>
  <c r="AI134" i="38"/>
  <c r="AP305" i="38"/>
  <c r="AO305" i="38"/>
  <c r="AV305" i="38"/>
  <c r="BA305" i="38" s="1"/>
  <c r="BC305" i="38" s="1"/>
  <c r="AW305" i="38" s="1"/>
  <c r="AQ243" i="38"/>
  <c r="AR243" i="38" s="1"/>
  <c r="AV300" i="38"/>
  <c r="BA300" i="38" s="1"/>
  <c r="BC300" i="38" s="1"/>
  <c r="AW300" i="38" s="1"/>
  <c r="AP300" i="38"/>
  <c r="AO300" i="38"/>
  <c r="AQ69" i="38"/>
  <c r="AR69" i="38" s="1"/>
  <c r="AP250" i="38"/>
  <c r="AV250" i="38"/>
  <c r="BA250" i="38" s="1"/>
  <c r="BC250" i="38" s="1"/>
  <c r="AW250" i="38" s="1"/>
  <c r="AO250" i="38"/>
  <c r="AP153" i="38"/>
  <c r="AV153" i="38"/>
  <c r="BA153" i="38" s="1"/>
  <c r="BC153" i="38" s="1"/>
  <c r="AW153" i="38" s="1"/>
  <c r="AO153" i="38"/>
  <c r="AP116" i="38"/>
  <c r="AO116" i="38"/>
  <c r="AV116" i="38"/>
  <c r="BA116" i="38" s="1"/>
  <c r="BC116" i="38" s="1"/>
  <c r="AW116" i="38" s="1"/>
  <c r="AQ20" i="38"/>
  <c r="AR20" i="38" s="1"/>
  <c r="AV244" i="38"/>
  <c r="BA244" i="38" s="1"/>
  <c r="BC244" i="38" s="1"/>
  <c r="AW244" i="38" s="1"/>
  <c r="AP244" i="38"/>
  <c r="AO244" i="38"/>
  <c r="AQ264" i="38"/>
  <c r="AR264" i="38" s="1"/>
  <c r="AV220" i="38"/>
  <c r="BA220" i="38" s="1"/>
  <c r="AP220" i="38"/>
  <c r="AO220" i="38"/>
  <c r="AQ288" i="38"/>
  <c r="AR288" i="38" s="1"/>
  <c r="AQ295" i="38"/>
  <c r="AR295" i="38" s="1"/>
  <c r="AO174" i="38"/>
  <c r="AV174" i="38"/>
  <c r="BA174" i="38" s="1"/>
  <c r="BC174" i="38" s="1"/>
  <c r="AW174" i="38" s="1"/>
  <c r="AP174" i="38"/>
  <c r="AV313" i="38"/>
  <c r="BA313" i="38" s="1"/>
  <c r="BC313" i="38" s="1"/>
  <c r="AW313" i="38" s="1"/>
  <c r="AP313" i="38"/>
  <c r="AO313" i="38"/>
  <c r="AI177" i="38"/>
  <c r="AP203" i="38"/>
  <c r="AV203" i="38"/>
  <c r="BA203" i="38" s="1"/>
  <c r="BC203" i="38" s="1"/>
  <c r="AW203" i="38" s="1"/>
  <c r="AO203" i="38"/>
  <c r="AP62" i="38"/>
  <c r="AV62" i="38"/>
  <c r="BA62" i="38" s="1"/>
  <c r="AO62" i="38"/>
  <c r="AC12" i="38"/>
  <c r="AF8" i="38"/>
  <c r="AQ303" i="38"/>
  <c r="AR303" i="38" s="1"/>
  <c r="AO74" i="38"/>
  <c r="AP74" i="38"/>
  <c r="AV74" i="38"/>
  <c r="BA74" i="38" s="1"/>
  <c r="BC74" i="38" s="1"/>
  <c r="AW74" i="38" s="1"/>
  <c r="AV219" i="38"/>
  <c r="AP219" i="38"/>
  <c r="AO219" i="38"/>
  <c r="AI23" i="38"/>
  <c r="AV143" i="38"/>
  <c r="BA143" i="38" s="1"/>
  <c r="BC143" i="38" s="1"/>
  <c r="AW143" i="38" s="1"/>
  <c r="AP143" i="38"/>
  <c r="AO143" i="38"/>
  <c r="AO209" i="38"/>
  <c r="AV209" i="38"/>
  <c r="AP209" i="38"/>
  <c r="AP282" i="38"/>
  <c r="AO282" i="38"/>
  <c r="AV282" i="38"/>
  <c r="BA282" i="38" s="1"/>
  <c r="BC282" i="38" s="1"/>
  <c r="AW282" i="38" s="1"/>
  <c r="AQ301" i="38"/>
  <c r="AR301" i="38" s="1"/>
  <c r="AQ68" i="38"/>
  <c r="AR68" i="38" s="1"/>
  <c r="AP131" i="38"/>
  <c r="AO131" i="38"/>
  <c r="AQ76" i="38"/>
  <c r="AR76" i="38" s="1"/>
  <c r="AP117" i="38"/>
  <c r="AO117" i="38"/>
  <c r="AP199" i="38"/>
  <c r="AO199" i="38"/>
  <c r="AV199" i="38"/>
  <c r="BA199" i="38" s="1"/>
  <c r="BC199" i="38" s="1"/>
  <c r="AW199" i="38" s="1"/>
  <c r="AP105" i="38"/>
  <c r="AO105" i="38"/>
  <c r="AP294" i="38"/>
  <c r="AO294" i="38"/>
  <c r="AV294" i="38"/>
  <c r="AP44" i="38"/>
  <c r="AV44" i="38"/>
  <c r="AO44" i="38"/>
  <c r="AQ223" i="38"/>
  <c r="AR223" i="38" s="1"/>
  <c r="AV289" i="38"/>
  <c r="AP289" i="38"/>
  <c r="AO289" i="38"/>
  <c r="AQ138" i="38"/>
  <c r="AR138" i="38" s="1"/>
  <c r="AI224" i="38"/>
  <c r="AQ232" i="38"/>
  <c r="AR232" i="38" s="1"/>
  <c r="AQ38" i="38"/>
  <c r="AR38" i="38" s="1"/>
  <c r="AP202" i="38"/>
  <c r="AO202" i="38"/>
  <c r="AV202" i="38"/>
  <c r="AQ314" i="38"/>
  <c r="AR314" i="38" s="1"/>
  <c r="AI318" i="38"/>
  <c r="AV197" i="38"/>
  <c r="BA197" i="38" s="1"/>
  <c r="BC197" i="38" s="1"/>
  <c r="AW197" i="38" s="1"/>
  <c r="AP197" i="38"/>
  <c r="AO197" i="38"/>
  <c r="AP249" i="38"/>
  <c r="AO249" i="38"/>
  <c r="AI191" i="38"/>
  <c r="AI204" i="38"/>
  <c r="AP57" i="38"/>
  <c r="AV57" i="38"/>
  <c r="BA57" i="38" s="1"/>
  <c r="BC57" i="38" s="1"/>
  <c r="AW57" i="38" s="1"/>
  <c r="AO57" i="38"/>
  <c r="AP157" i="38"/>
  <c r="AV157" i="38"/>
  <c r="BA157" i="38" s="1"/>
  <c r="BC157" i="38" s="1"/>
  <c r="AW157" i="38" s="1"/>
  <c r="AO157" i="38"/>
  <c r="AO234" i="38"/>
  <c r="AV234" i="38"/>
  <c r="AP234" i="38"/>
  <c r="AP125" i="38"/>
  <c r="AV125" i="38"/>
  <c r="BA125" i="38" s="1"/>
  <c r="BC125" i="38" s="1"/>
  <c r="AW125" i="38" s="1"/>
  <c r="AO125" i="38"/>
  <c r="AI188" i="38"/>
  <c r="AQ211" i="38"/>
  <c r="AR211" i="38" s="1"/>
  <c r="AV55" i="38"/>
  <c r="AP55" i="38"/>
  <c r="AO55" i="38"/>
  <c r="AQ201" i="38"/>
  <c r="AR201" i="38" s="1"/>
  <c r="AO208" i="38"/>
  <c r="AP208" i="38"/>
  <c r="AV208" i="38"/>
  <c r="AP263" i="38"/>
  <c r="AO263" i="38"/>
  <c r="AV263" i="38"/>
  <c r="BA263" i="38" s="1"/>
  <c r="BC263" i="38" s="1"/>
  <c r="AW263" i="38" s="1"/>
  <c r="AO10" i="38"/>
  <c r="AP10" i="38"/>
  <c r="AP196" i="38"/>
  <c r="AO196" i="38"/>
  <c r="AQ35" i="38"/>
  <c r="AR35" i="38" s="1"/>
  <c r="AP151" i="38"/>
  <c r="AO151" i="38"/>
  <c r="AV151" i="38"/>
  <c r="BA151" i="38" s="1"/>
  <c r="BC151" i="38" s="1"/>
  <c r="AW151" i="38" s="1"/>
  <c r="AV155" i="38"/>
  <c r="BA155" i="38" s="1"/>
  <c r="BC155" i="38" s="1"/>
  <c r="AW155" i="38" s="1"/>
  <c r="AP155" i="38"/>
  <c r="AO155" i="38"/>
  <c r="AP222" i="38"/>
  <c r="AO222" i="38"/>
  <c r="AV222" i="38"/>
  <c r="AQ298" i="38"/>
  <c r="AR298" i="38" s="1"/>
  <c r="AO180" i="38" l="1"/>
  <c r="AP180" i="38"/>
  <c r="AA8" i="38"/>
  <c r="BY8" i="38"/>
  <c r="AC252" i="38"/>
  <c r="AV39" i="38"/>
  <c r="BA39" i="38" s="1"/>
  <c r="AL39" i="38"/>
  <c r="BV8" i="38"/>
  <c r="AP39" i="38"/>
  <c r="AQ39" i="38" s="1"/>
  <c r="AR39" i="38" s="1"/>
  <c r="AL22" i="38"/>
  <c r="AC66" i="38"/>
  <c r="AJ66" i="38" s="1"/>
  <c r="AW233" i="38"/>
  <c r="AL233" i="38"/>
  <c r="AW31" i="38"/>
  <c r="AL31" i="38"/>
  <c r="AW51" i="38"/>
  <c r="AL51" i="38"/>
  <c r="AW25" i="38"/>
  <c r="AL25" i="38"/>
  <c r="AW109" i="38"/>
  <c r="AL109" i="38"/>
  <c r="AW64" i="38"/>
  <c r="AL64" i="38"/>
  <c r="AW214" i="38"/>
  <c r="AL214" i="38"/>
  <c r="AW239" i="38"/>
  <c r="AL239" i="38"/>
  <c r="AW32" i="38"/>
  <c r="AL32" i="38"/>
  <c r="AW58" i="38"/>
  <c r="AL58" i="38"/>
  <c r="AW63" i="38"/>
  <c r="AL63" i="38"/>
  <c r="AW52" i="38"/>
  <c r="AL52" i="38"/>
  <c r="AW16" i="38"/>
  <c r="AL16" i="38"/>
  <c r="AW15" i="38"/>
  <c r="AL15" i="38"/>
  <c r="AW224" i="38"/>
  <c r="AL224" i="38"/>
  <c r="AW18" i="38"/>
  <c r="AL18" i="38"/>
  <c r="AW108" i="38"/>
  <c r="AL108" i="38"/>
  <c r="AW241" i="38"/>
  <c r="AL241" i="38"/>
  <c r="AW261" i="38"/>
  <c r="AL261" i="38"/>
  <c r="AW11" i="38"/>
  <c r="AW29" i="38"/>
  <c r="AW270" i="38"/>
  <c r="AW316" i="38"/>
  <c r="AW269" i="38"/>
  <c r="AW49" i="38"/>
  <c r="AW110" i="38"/>
  <c r="AW226" i="38"/>
  <c r="AW217" i="38"/>
  <c r="AW310" i="38"/>
  <c r="AW113" i="38"/>
  <c r="AP241" i="38"/>
  <c r="AP170" i="38"/>
  <c r="AQ170" i="38" s="1"/>
  <c r="AR170" i="38" s="1"/>
  <c r="AP63" i="38"/>
  <c r="AQ63" i="38" s="1"/>
  <c r="AR63" i="38" s="1"/>
  <c r="AV149" i="38"/>
  <c r="BA149" i="38" s="1"/>
  <c r="BC149" i="38" s="1"/>
  <c r="AW149" i="38" s="1"/>
  <c r="AP261" i="38"/>
  <c r="AQ261" i="38" s="1"/>
  <c r="AR261" i="38" s="1"/>
  <c r="AV31" i="38"/>
  <c r="BA31" i="38" s="1"/>
  <c r="AO212" i="38"/>
  <c r="AV189" i="38"/>
  <c r="BA189" i="38" s="1"/>
  <c r="BC189" i="38" s="1"/>
  <c r="AW189" i="38" s="1"/>
  <c r="AP214" i="38"/>
  <c r="AQ214" i="38" s="1"/>
  <c r="AR214" i="38" s="1"/>
  <c r="AV51" i="38"/>
  <c r="BA51" i="38" s="1"/>
  <c r="AP25" i="38"/>
  <c r="AQ25" i="38" s="1"/>
  <c r="AR25" i="38" s="1"/>
  <c r="AO239" i="38"/>
  <c r="AO187" i="38"/>
  <c r="AV179" i="38"/>
  <c r="BA179" i="38" s="1"/>
  <c r="BC179" i="38" s="1"/>
  <c r="AW179" i="38" s="1"/>
  <c r="AV15" i="38"/>
  <c r="BA15" i="38" s="1"/>
  <c r="AP195" i="38"/>
  <c r="AQ195" i="38" s="1"/>
  <c r="AR195" i="38" s="1"/>
  <c r="AP109" i="38"/>
  <c r="AQ109" i="38" s="1"/>
  <c r="AR109" i="38" s="1"/>
  <c r="AP32" i="38"/>
  <c r="AQ32" i="38" s="1"/>
  <c r="AR32" i="38" s="1"/>
  <c r="AP101" i="38"/>
  <c r="AQ101" i="38" s="1"/>
  <c r="AR101" i="38" s="1"/>
  <c r="AO160" i="38"/>
  <c r="AV100" i="38"/>
  <c r="BA100" i="38" s="1"/>
  <c r="BC100" i="38" s="1"/>
  <c r="AW100" i="38" s="1"/>
  <c r="AV93" i="38"/>
  <c r="BA93" i="38" s="1"/>
  <c r="BC93" i="38" s="1"/>
  <c r="AW93" i="38" s="1"/>
  <c r="AV103" i="38"/>
  <c r="BA103" i="38" s="1"/>
  <c r="BC103" i="38" s="1"/>
  <c r="AW103" i="38" s="1"/>
  <c r="AV233" i="38"/>
  <c r="BA233" i="38" s="1"/>
  <c r="AO259" i="38"/>
  <c r="AP193" i="38"/>
  <c r="AO92" i="38"/>
  <c r="AO52" i="38"/>
  <c r="AP18" i="38"/>
  <c r="AQ18" i="38" s="1"/>
  <c r="AR18" i="38" s="1"/>
  <c r="AO159" i="38"/>
  <c r="AV176" i="38"/>
  <c r="BA176" i="38" s="1"/>
  <c r="BC176" i="38" s="1"/>
  <c r="AW176" i="38" s="1"/>
  <c r="AO152" i="38"/>
  <c r="AO16" i="38"/>
  <c r="AO80" i="38"/>
  <c r="AP165" i="38"/>
  <c r="AQ165" i="38" s="1"/>
  <c r="AR165" i="38" s="1"/>
  <c r="AO64" i="38"/>
  <c r="AO58" i="38"/>
  <c r="AV108" i="38"/>
  <c r="BA108" i="38" s="1"/>
  <c r="AP187" i="38"/>
  <c r="AQ187" i="38" s="1"/>
  <c r="AR187" i="38" s="1"/>
  <c r="AV80" i="38"/>
  <c r="BA80" i="38" s="1"/>
  <c r="BC80" i="38" s="1"/>
  <c r="AW80" i="38" s="1"/>
  <c r="AP212" i="38"/>
  <c r="AQ212" i="38" s="1"/>
  <c r="AR212" i="38" s="1"/>
  <c r="AP152" i="38"/>
  <c r="AQ152" i="38" s="1"/>
  <c r="AR152" i="38" s="1"/>
  <c r="AV101" i="38"/>
  <c r="BA101" i="38" s="1"/>
  <c r="BC101" i="38" s="1"/>
  <c r="AW101" i="38" s="1"/>
  <c r="AP80" i="38"/>
  <c r="AQ80" i="38" s="1"/>
  <c r="AR80" i="38" s="1"/>
  <c r="AP198" i="38"/>
  <c r="AQ198" i="38" s="1"/>
  <c r="AR198" i="38" s="1"/>
  <c r="AP108" i="38"/>
  <c r="AQ108" i="38" s="1"/>
  <c r="AR108" i="38" s="1"/>
  <c r="AO108" i="38"/>
  <c r="AV32" i="38"/>
  <c r="BA32" i="38" s="1"/>
  <c r="AP160" i="38"/>
  <c r="AQ160" i="38" s="1"/>
  <c r="AR160" i="38" s="1"/>
  <c r="AP316" i="38"/>
  <c r="AQ316" i="38" s="1"/>
  <c r="AR316" i="38" s="1"/>
  <c r="AO31" i="38"/>
  <c r="AO217" i="38"/>
  <c r="AP31" i="38"/>
  <c r="AQ31" i="38" s="1"/>
  <c r="AR31" i="38" s="1"/>
  <c r="AV160" i="38"/>
  <c r="BA160" i="38" s="1"/>
  <c r="BC160" i="38" s="1"/>
  <c r="AW160" i="38" s="1"/>
  <c r="AP217" i="38"/>
  <c r="AQ217" i="38" s="1"/>
  <c r="AR217" i="38" s="1"/>
  <c r="AP93" i="38"/>
  <c r="AQ93" i="38" s="1"/>
  <c r="AR93" i="38" s="1"/>
  <c r="AO316" i="38"/>
  <c r="AP159" i="38"/>
  <c r="AQ159" i="38" s="1"/>
  <c r="AR159" i="38" s="1"/>
  <c r="AO195" i="38"/>
  <c r="AO193" i="38"/>
  <c r="AO101" i="38"/>
  <c r="AO96" i="38"/>
  <c r="AO63" i="38"/>
  <c r="AO214" i="38"/>
  <c r="AO176" i="38"/>
  <c r="AO149" i="38"/>
  <c r="AP176" i="38"/>
  <c r="AQ176" i="38" s="1"/>
  <c r="AR176" i="38" s="1"/>
  <c r="AP92" i="38"/>
  <c r="AQ92" i="38" s="1"/>
  <c r="AR92" i="38" s="1"/>
  <c r="AP149" i="38"/>
  <c r="AQ149" i="38" s="1"/>
  <c r="AR149" i="38" s="1"/>
  <c r="AV198" i="38"/>
  <c r="BA198" i="38" s="1"/>
  <c r="BC198" i="38" s="1"/>
  <c r="AW198" i="38" s="1"/>
  <c r="AO93" i="38"/>
  <c r="AO198" i="38"/>
  <c r="AP233" i="38"/>
  <c r="AQ233" i="38" s="1"/>
  <c r="AR233" i="38" s="1"/>
  <c r="AO233" i="38"/>
  <c r="AV64" i="38"/>
  <c r="BA64" i="38" s="1"/>
  <c r="AP64" i="38"/>
  <c r="AQ64" i="38" s="1"/>
  <c r="AR64" i="38" s="1"/>
  <c r="AO51" i="38"/>
  <c r="AP239" i="38"/>
  <c r="AQ239" i="38" s="1"/>
  <c r="AR239" i="38" s="1"/>
  <c r="AV18" i="38"/>
  <c r="BA18" i="38" s="1"/>
  <c r="AV78" i="38"/>
  <c r="BA78" i="38" s="1"/>
  <c r="BC78" i="38" s="1"/>
  <c r="AW78" i="38" s="1"/>
  <c r="AO18" i="38"/>
  <c r="AV158" i="38"/>
  <c r="BA158" i="38" s="1"/>
  <c r="BC158" i="38" s="1"/>
  <c r="AW158" i="38" s="1"/>
  <c r="AO32" i="38"/>
  <c r="AP100" i="38"/>
  <c r="AQ100" i="38" s="1"/>
  <c r="AR100" i="38" s="1"/>
  <c r="AO261" i="38"/>
  <c r="AV96" i="38"/>
  <c r="BA96" i="38" s="1"/>
  <c r="BC96" i="38" s="1"/>
  <c r="AW96" i="38" s="1"/>
  <c r="AO100" i="38"/>
  <c r="AP259" i="38"/>
  <c r="AQ259" i="38" s="1"/>
  <c r="AR259" i="38" s="1"/>
  <c r="AV170" i="38"/>
  <c r="BA170" i="38" s="1"/>
  <c r="BC170" i="38" s="1"/>
  <c r="AW170" i="38" s="1"/>
  <c r="AP96" i="38"/>
  <c r="AQ96" i="38" s="1"/>
  <c r="AR96" i="38" s="1"/>
  <c r="AV109" i="38"/>
  <c r="BA109" i="38" s="1"/>
  <c r="AP52" i="38"/>
  <c r="AQ52" i="38" s="1"/>
  <c r="AR52" i="38" s="1"/>
  <c r="AV52" i="38"/>
  <c r="BA52" i="38" s="1"/>
  <c r="AO25" i="38"/>
  <c r="AO95" i="38"/>
  <c r="AP51" i="38"/>
  <c r="AQ51" i="38" s="1"/>
  <c r="AR51" i="38" s="1"/>
  <c r="AO179" i="38"/>
  <c r="AO78" i="38"/>
  <c r="AP78" i="38"/>
  <c r="AQ78" i="38" s="1"/>
  <c r="AR78" i="38" s="1"/>
  <c r="AV150" i="38"/>
  <c r="BA150" i="38" s="1"/>
  <c r="BC150" i="38" s="1"/>
  <c r="AW150" i="38" s="1"/>
  <c r="AO109" i="38"/>
  <c r="AV11" i="38"/>
  <c r="BA11" i="38" s="1"/>
  <c r="AP150" i="38"/>
  <c r="AQ150" i="38" s="1"/>
  <c r="AR150" i="38" s="1"/>
  <c r="AO150" i="38"/>
  <c r="AV152" i="38"/>
  <c r="BA152" i="38" s="1"/>
  <c r="BC152" i="38" s="1"/>
  <c r="AW152" i="38" s="1"/>
  <c r="AP179" i="38"/>
  <c r="AQ179" i="38" s="1"/>
  <c r="AR179" i="38" s="1"/>
  <c r="AO165" i="38"/>
  <c r="AP113" i="38"/>
  <c r="AQ113" i="38" s="1"/>
  <c r="AR113" i="38" s="1"/>
  <c r="AV165" i="38"/>
  <c r="BA165" i="38" s="1"/>
  <c r="BC165" i="38" s="1"/>
  <c r="AW165" i="38" s="1"/>
  <c r="AO103" i="38"/>
  <c r="AP103" i="38"/>
  <c r="AQ103" i="38" s="1"/>
  <c r="AR103" i="38" s="1"/>
  <c r="AV92" i="38"/>
  <c r="BA92" i="38" s="1"/>
  <c r="BC92" i="38" s="1"/>
  <c r="AW92" i="38" s="1"/>
  <c r="AP11" i="38"/>
  <c r="AQ11" i="38" s="1"/>
  <c r="AR11" i="38" s="1"/>
  <c r="AP95" i="38"/>
  <c r="AQ95" i="38" s="1"/>
  <c r="AR95" i="38" s="1"/>
  <c r="AO189" i="38"/>
  <c r="AP189" i="38"/>
  <c r="AQ189" i="38" s="1"/>
  <c r="AR189" i="38" s="1"/>
  <c r="AO241" i="38"/>
  <c r="AO170" i="38"/>
  <c r="AP58" i="38"/>
  <c r="AQ58" i="38" s="1"/>
  <c r="AR58" i="38" s="1"/>
  <c r="AP158" i="38"/>
  <c r="AQ158" i="38" s="1"/>
  <c r="AR158" i="38" s="1"/>
  <c r="AV195" i="38"/>
  <c r="BA195" i="38" s="1"/>
  <c r="BC195" i="38" s="1"/>
  <c r="AW195" i="38" s="1"/>
  <c r="AO15" i="38"/>
  <c r="AP16" i="38"/>
  <c r="AQ16" i="38" s="1"/>
  <c r="AR16" i="38" s="1"/>
  <c r="AP15" i="38"/>
  <c r="AQ15" i="38" s="1"/>
  <c r="AR15" i="38" s="1"/>
  <c r="AO158" i="38"/>
  <c r="AP73" i="38"/>
  <c r="AQ73" i="38" s="1"/>
  <c r="AR73" i="38" s="1"/>
  <c r="AO75" i="38"/>
  <c r="AO73" i="38"/>
  <c r="AV16" i="38"/>
  <c r="BA16" i="38" s="1"/>
  <c r="AP75" i="38"/>
  <c r="AQ75" i="38" s="1"/>
  <c r="AR75" i="38" s="1"/>
  <c r="AV73" i="38"/>
  <c r="BA73" i="38" s="1"/>
  <c r="BC73" i="38" s="1"/>
  <c r="AW73" i="38" s="1"/>
  <c r="AV95" i="38"/>
  <c r="BA95" i="38" s="1"/>
  <c r="BC95" i="38" s="1"/>
  <c r="AW95" i="38" s="1"/>
  <c r="AO169" i="38"/>
  <c r="AV169" i="38"/>
  <c r="BA169" i="38" s="1"/>
  <c r="BC169" i="38" s="1"/>
  <c r="AW169" i="38" s="1"/>
  <c r="AP169" i="38"/>
  <c r="AQ169" i="38" s="1"/>
  <c r="AR169" i="38" s="1"/>
  <c r="AO11" i="38"/>
  <c r="AP238" i="38"/>
  <c r="AQ238" i="38" s="1"/>
  <c r="AR238" i="38" s="1"/>
  <c r="AO238" i="38"/>
  <c r="AV238" i="38"/>
  <c r="BA238" i="38" s="1"/>
  <c r="BC238" i="38" s="1"/>
  <c r="AW238" i="38" s="1"/>
  <c r="AJ177" i="38"/>
  <c r="AL177" i="38" s="1"/>
  <c r="AV110" i="38"/>
  <c r="BA110" i="38" s="1"/>
  <c r="AO110" i="38"/>
  <c r="AP110" i="38"/>
  <c r="AQ110" i="38" s="1"/>
  <c r="AR110" i="38" s="1"/>
  <c r="AJ81" i="38"/>
  <c r="AL81" i="38" s="1"/>
  <c r="AV171" i="38"/>
  <c r="BA171" i="38" s="1"/>
  <c r="BC171" i="38" s="1"/>
  <c r="AW171" i="38" s="1"/>
  <c r="AO171" i="38"/>
  <c r="AP171" i="38"/>
  <c r="AQ171" i="38" s="1"/>
  <c r="AR171" i="38" s="1"/>
  <c r="AP156" i="38"/>
  <c r="AQ156" i="38" s="1"/>
  <c r="AR156" i="38" s="1"/>
  <c r="AO156" i="38"/>
  <c r="AV156" i="38"/>
  <c r="BA156" i="38" s="1"/>
  <c r="BC156" i="38" s="1"/>
  <c r="AW156" i="38" s="1"/>
  <c r="AP310" i="38"/>
  <c r="AQ310" i="38" s="1"/>
  <c r="AR310" i="38" s="1"/>
  <c r="AO310" i="38"/>
  <c r="AJ188" i="38"/>
  <c r="AL188" i="38" s="1"/>
  <c r="AP194" i="38"/>
  <c r="AQ194" i="38" s="1"/>
  <c r="AR194" i="38" s="1"/>
  <c r="AV194" i="38"/>
  <c r="BA194" i="38" s="1"/>
  <c r="BC194" i="38" s="1"/>
  <c r="AW194" i="38" s="1"/>
  <c r="AO194" i="38"/>
  <c r="AO182" i="38"/>
  <c r="AV182" i="38"/>
  <c r="BA182" i="38" s="1"/>
  <c r="BC182" i="38" s="1"/>
  <c r="AW182" i="38" s="1"/>
  <c r="AP182" i="38"/>
  <c r="AQ182" i="38" s="1"/>
  <c r="AR182" i="38" s="1"/>
  <c r="AE8" i="38"/>
  <c r="AP29" i="38"/>
  <c r="AQ29" i="38" s="1"/>
  <c r="AR29" i="38" s="1"/>
  <c r="AV29" i="38"/>
  <c r="BA29" i="38" s="1"/>
  <c r="AO29" i="38"/>
  <c r="AJ13" i="38"/>
  <c r="AO267" i="38"/>
  <c r="AV267" i="38"/>
  <c r="BA267" i="38" s="1"/>
  <c r="BC267" i="38" s="1"/>
  <c r="AW267" i="38" s="1"/>
  <c r="AP267" i="38"/>
  <c r="AQ267" i="38" s="1"/>
  <c r="AR267" i="38" s="1"/>
  <c r="AO226" i="38"/>
  <c r="AP226" i="38"/>
  <c r="AQ226" i="38" s="1"/>
  <c r="AR226" i="38" s="1"/>
  <c r="AV226" i="38"/>
  <c r="AJ181" i="38"/>
  <c r="AL181" i="38" s="1"/>
  <c r="AJ252" i="38"/>
  <c r="AL252" i="38" s="1"/>
  <c r="AO113" i="38"/>
  <c r="AO200" i="38"/>
  <c r="AP200" i="38"/>
  <c r="AQ200" i="38" s="1"/>
  <c r="AR200" i="38" s="1"/>
  <c r="AV200" i="38"/>
  <c r="BA200" i="38" s="1"/>
  <c r="BC200" i="38" s="1"/>
  <c r="AW200" i="38" s="1"/>
  <c r="AV269" i="38"/>
  <c r="BA269" i="38" s="1"/>
  <c r="AO269" i="38"/>
  <c r="AP269" i="38"/>
  <c r="AQ269" i="38" s="1"/>
  <c r="AR269" i="38" s="1"/>
  <c r="AJ23" i="38"/>
  <c r="AV49" i="38"/>
  <c r="BA49" i="38" s="1"/>
  <c r="AP49" i="38"/>
  <c r="AQ49" i="38" s="1"/>
  <c r="AR49" i="38" s="1"/>
  <c r="AO49" i="38"/>
  <c r="AP270" i="38"/>
  <c r="AQ270" i="38" s="1"/>
  <c r="AR270" i="38" s="1"/>
  <c r="AO270" i="38"/>
  <c r="AV270" i="38"/>
  <c r="BA270" i="38" s="1"/>
  <c r="AO106" i="38"/>
  <c r="AP106" i="38"/>
  <c r="AQ106" i="38" s="1"/>
  <c r="AR106" i="38" s="1"/>
  <c r="AV106" i="38"/>
  <c r="BA106" i="38" s="1"/>
  <c r="BC106" i="38" s="1"/>
  <c r="AW106" i="38" s="1"/>
  <c r="AC8" i="38"/>
  <c r="AJ12" i="38"/>
  <c r="AL12" i="38" s="1"/>
  <c r="AP167" i="38"/>
  <c r="AQ167" i="38" s="1"/>
  <c r="AR167" i="38" s="1"/>
  <c r="AP91" i="38"/>
  <c r="AQ91" i="38" s="1"/>
  <c r="AR91" i="38" s="1"/>
  <c r="AP72" i="38"/>
  <c r="AQ72" i="38" s="1"/>
  <c r="AR72" i="38" s="1"/>
  <c r="AV72" i="38"/>
  <c r="BA72" i="38" s="1"/>
  <c r="AO72" i="38"/>
  <c r="AO91" i="38"/>
  <c r="AO167" i="38"/>
  <c r="AV167" i="38"/>
  <c r="BA167" i="38" s="1"/>
  <c r="BC167" i="38" s="1"/>
  <c r="AW167" i="38" s="1"/>
  <c r="AP191" i="38"/>
  <c r="AO191" i="38"/>
  <c r="AQ289" i="38"/>
  <c r="AR289" i="38" s="1"/>
  <c r="AQ125" i="38"/>
  <c r="AR125" i="38" s="1"/>
  <c r="AQ157" i="38"/>
  <c r="AR157" i="38" s="1"/>
  <c r="AQ244" i="38"/>
  <c r="AR244" i="38" s="1"/>
  <c r="AO134" i="38"/>
  <c r="AV134" i="38"/>
  <c r="BA134" i="38" s="1"/>
  <c r="BC134" i="38" s="1"/>
  <c r="AW134" i="38" s="1"/>
  <c r="AP134" i="38"/>
  <c r="AQ178" i="38"/>
  <c r="AR178" i="38" s="1"/>
  <c r="AQ230" i="38"/>
  <c r="AR230" i="38" s="1"/>
  <c r="AQ186" i="38"/>
  <c r="AR186" i="38" s="1"/>
  <c r="AQ61" i="38"/>
  <c r="AR61" i="38" s="1"/>
  <c r="AQ258" i="38"/>
  <c r="AR258" i="38" s="1"/>
  <c r="AQ56" i="38"/>
  <c r="AR56" i="38" s="1"/>
  <c r="AQ199" i="38"/>
  <c r="AR199" i="38" s="1"/>
  <c r="AQ10" i="38"/>
  <c r="AR10" i="38" s="1"/>
  <c r="AQ249" i="38"/>
  <c r="AR249" i="38" s="1"/>
  <c r="AQ105" i="38"/>
  <c r="AR105" i="38" s="1"/>
  <c r="AQ219" i="38"/>
  <c r="AR219" i="38" s="1"/>
  <c r="AQ250" i="38"/>
  <c r="AR250" i="38" s="1"/>
  <c r="AQ300" i="38"/>
  <c r="AR300" i="38" s="1"/>
  <c r="AQ86" i="38"/>
  <c r="AR86" i="38" s="1"/>
  <c r="AQ84" i="38"/>
  <c r="AR84" i="38" s="1"/>
  <c r="AQ121" i="38"/>
  <c r="AR121" i="38" s="1"/>
  <c r="AQ60" i="38"/>
  <c r="AR60" i="38" s="1"/>
  <c r="AQ175" i="38"/>
  <c r="AR175" i="38" s="1"/>
  <c r="AQ263" i="38"/>
  <c r="AR263" i="38" s="1"/>
  <c r="AO224" i="38"/>
  <c r="AP224" i="38"/>
  <c r="AQ131" i="38"/>
  <c r="AR131" i="38" s="1"/>
  <c r="AI12" i="38"/>
  <c r="AI8" i="38" s="1"/>
  <c r="AQ299" i="38"/>
  <c r="AR299" i="38" s="1"/>
  <c r="AQ245" i="38"/>
  <c r="AR245" i="38" s="1"/>
  <c r="AQ97" i="38"/>
  <c r="AR97" i="38" s="1"/>
  <c r="AQ277" i="38"/>
  <c r="AR277" i="38" s="1"/>
  <c r="AQ225" i="38"/>
  <c r="AR225" i="38" s="1"/>
  <c r="AQ296" i="38"/>
  <c r="AR296" i="38" s="1"/>
  <c r="AQ115" i="38"/>
  <c r="AR115" i="38" s="1"/>
  <c r="AV205" i="38"/>
  <c r="BA205" i="38" s="1"/>
  <c r="BC205" i="38" s="1"/>
  <c r="AW205" i="38" s="1"/>
  <c r="AO205" i="38"/>
  <c r="AP205" i="38"/>
  <c r="AQ102" i="38"/>
  <c r="AR102" i="38" s="1"/>
  <c r="AQ136" i="38"/>
  <c r="AR136" i="38" s="1"/>
  <c r="AQ112" i="38"/>
  <c r="AR112" i="38" s="1"/>
  <c r="AQ241" i="38"/>
  <c r="AR241" i="38" s="1"/>
  <c r="AQ116" i="38"/>
  <c r="AR116" i="38" s="1"/>
  <c r="AQ118" i="38"/>
  <c r="AR118" i="38" s="1"/>
  <c r="AQ14" i="38"/>
  <c r="AR14" i="38" s="1"/>
  <c r="AQ271" i="38"/>
  <c r="AR271" i="38" s="1"/>
  <c r="AQ67" i="38"/>
  <c r="AR67" i="38" s="1"/>
  <c r="AQ216" i="38"/>
  <c r="AR216" i="38" s="1"/>
  <c r="AQ82" i="38"/>
  <c r="AR82" i="38" s="1"/>
  <c r="AQ166" i="38"/>
  <c r="AR166" i="38" s="1"/>
  <c r="AQ237" i="38"/>
  <c r="AR237" i="38" s="1"/>
  <c r="AQ123" i="38"/>
  <c r="AR123" i="38" s="1"/>
  <c r="AQ231" i="38"/>
  <c r="AR231" i="38" s="1"/>
  <c r="AQ275" i="38"/>
  <c r="AR275" i="38" s="1"/>
  <c r="AQ65" i="38"/>
  <c r="AR65" i="38" s="1"/>
  <c r="AQ164" i="38"/>
  <c r="AR164" i="38" s="1"/>
  <c r="AQ55" i="38"/>
  <c r="AR55" i="38" s="1"/>
  <c r="AQ202" i="38"/>
  <c r="AR202" i="38" s="1"/>
  <c r="AQ62" i="38"/>
  <c r="AR62" i="38" s="1"/>
  <c r="AQ305" i="38"/>
  <c r="AR305" i="38" s="1"/>
  <c r="AQ132" i="38"/>
  <c r="AR132" i="38" s="1"/>
  <c r="AQ140" i="38"/>
  <c r="AR140" i="38" s="1"/>
  <c r="AQ297" i="38"/>
  <c r="AR297" i="38" s="1"/>
  <c r="AQ283" i="38"/>
  <c r="AR283" i="38" s="1"/>
  <c r="AQ284" i="38"/>
  <c r="AR284" i="38" s="1"/>
  <c r="AQ130" i="38"/>
  <c r="AR130" i="38" s="1"/>
  <c r="AQ262" i="38"/>
  <c r="AR262" i="38" s="1"/>
  <c r="AO266" i="38"/>
  <c r="AP266" i="38"/>
  <c r="AV266" i="38"/>
  <c r="AQ37" i="38"/>
  <c r="AR37" i="38" s="1"/>
  <c r="AQ285" i="38"/>
  <c r="AR285" i="38" s="1"/>
  <c r="AQ114" i="38"/>
  <c r="AR114" i="38" s="1"/>
  <c r="AQ196" i="38"/>
  <c r="AR196" i="38" s="1"/>
  <c r="AQ197" i="38"/>
  <c r="AR197" i="38" s="1"/>
  <c r="AP318" i="38"/>
  <c r="AO318" i="38"/>
  <c r="AV318" i="38"/>
  <c r="BA318" i="38" s="1"/>
  <c r="BC318" i="38" s="1"/>
  <c r="AW318" i="38" s="1"/>
  <c r="AQ209" i="38"/>
  <c r="AR209" i="38" s="1"/>
  <c r="AQ313" i="38"/>
  <c r="AR313" i="38" s="1"/>
  <c r="AQ174" i="38"/>
  <c r="AR174" i="38" s="1"/>
  <c r="AQ153" i="38"/>
  <c r="AR153" i="38" s="1"/>
  <c r="AQ163" i="38"/>
  <c r="AR163" i="38" s="1"/>
  <c r="AV248" i="38"/>
  <c r="BA248" i="38" s="1"/>
  <c r="BC248" i="38" s="1"/>
  <c r="AW248" i="38" s="1"/>
  <c r="AO248" i="38"/>
  <c r="AP248" i="38"/>
  <c r="AQ280" i="38"/>
  <c r="AR280" i="38" s="1"/>
  <c r="AQ137" i="38"/>
  <c r="AR137" i="38" s="1"/>
  <c r="AQ104" i="38"/>
  <c r="AR104" i="38" s="1"/>
  <c r="AQ168" i="38"/>
  <c r="AR168" i="38" s="1"/>
  <c r="AQ309" i="38"/>
  <c r="AR309" i="38" s="1"/>
  <c r="AQ33" i="38"/>
  <c r="AR33" i="38" s="1"/>
  <c r="AQ272" i="38"/>
  <c r="AR272" i="38" s="1"/>
  <c r="AQ117" i="38"/>
  <c r="AR117" i="38" s="1"/>
  <c r="AQ222" i="38"/>
  <c r="AR222" i="38" s="1"/>
  <c r="AQ234" i="38"/>
  <c r="AR234" i="38" s="1"/>
  <c r="AQ208" i="38"/>
  <c r="AR208" i="38" s="1"/>
  <c r="AQ44" i="38"/>
  <c r="AR44" i="38" s="1"/>
  <c r="AQ294" i="38"/>
  <c r="AR294" i="38" s="1"/>
  <c r="AQ143" i="38"/>
  <c r="AR143" i="38" s="1"/>
  <c r="AQ193" i="38"/>
  <c r="AR193" i="38" s="1"/>
  <c r="AQ128" i="38"/>
  <c r="AR128" i="38" s="1"/>
  <c r="AQ53" i="38"/>
  <c r="AR53" i="38" s="1"/>
  <c r="AQ40" i="38"/>
  <c r="AR40" i="38" s="1"/>
  <c r="AQ161" i="38"/>
  <c r="AR161" i="38" s="1"/>
  <c r="AQ45" i="38"/>
  <c r="AR45" i="38" s="1"/>
  <c r="AQ147" i="38"/>
  <c r="AR147" i="38" s="1"/>
  <c r="AQ180" i="38"/>
  <c r="AR180" i="38" s="1"/>
  <c r="AQ107" i="38"/>
  <c r="AR107" i="38" s="1"/>
  <c r="AQ286" i="38"/>
  <c r="AR286" i="38" s="1"/>
  <c r="AQ30" i="38"/>
  <c r="AR30" i="38" s="1"/>
  <c r="AO173" i="38"/>
  <c r="AV173" i="38"/>
  <c r="BA173" i="38" s="1"/>
  <c r="BC173" i="38" s="1"/>
  <c r="AW173" i="38" s="1"/>
  <c r="AP173" i="38"/>
  <c r="AQ155" i="38"/>
  <c r="AR155" i="38" s="1"/>
  <c r="AQ151" i="38"/>
  <c r="AR151" i="38" s="1"/>
  <c r="AQ57" i="38"/>
  <c r="AR57" i="38" s="1"/>
  <c r="AV204" i="38"/>
  <c r="BA204" i="38" s="1"/>
  <c r="BC204" i="38" s="1"/>
  <c r="AW204" i="38" s="1"/>
  <c r="AP204" i="38"/>
  <c r="AO204" i="38"/>
  <c r="AQ282" i="38"/>
  <c r="AR282" i="38" s="1"/>
  <c r="AQ74" i="38"/>
  <c r="AR74" i="38" s="1"/>
  <c r="AQ203" i="38"/>
  <c r="AR203" i="38" s="1"/>
  <c r="AQ220" i="38"/>
  <c r="AR220" i="38" s="1"/>
  <c r="AQ242" i="38"/>
  <c r="AR242" i="38" s="1"/>
  <c r="AQ229" i="38"/>
  <c r="AR229" i="38" s="1"/>
  <c r="AQ83" i="38"/>
  <c r="AR83" i="38" s="1"/>
  <c r="AQ89" i="38"/>
  <c r="AR89" i="38" s="1"/>
  <c r="AQ126" i="38"/>
  <c r="AR126" i="38" s="1"/>
  <c r="AP257" i="38"/>
  <c r="AV257" i="38"/>
  <c r="BA257" i="38" s="1"/>
  <c r="BC257" i="38" s="1"/>
  <c r="AW257" i="38" s="1"/>
  <c r="AO257" i="38"/>
  <c r="AQ227" i="38"/>
  <c r="AR227" i="38" s="1"/>
  <c r="AQ41" i="38"/>
  <c r="AR41" i="38" s="1"/>
  <c r="AQ162" i="38"/>
  <c r="AR162" i="38" s="1"/>
  <c r="AQ22" i="38"/>
  <c r="AR22" i="38" s="1"/>
  <c r="AQ36" i="38"/>
  <c r="AR36" i="38" s="1"/>
  <c r="AQ293" i="38"/>
  <c r="AR293" i="38" s="1"/>
  <c r="AQ77" i="38"/>
  <c r="AR77" i="38" s="1"/>
  <c r="AW13" i="38" l="1"/>
  <c r="AL13" i="38"/>
  <c r="AW23" i="38"/>
  <c r="AL23" i="38"/>
  <c r="AW66" i="38"/>
  <c r="AL66" i="38"/>
  <c r="AW12" i="38"/>
  <c r="AP23" i="38"/>
  <c r="AQ23" i="38" s="1"/>
  <c r="AR23" i="38" s="1"/>
  <c r="AV181" i="38"/>
  <c r="BA181" i="38" s="1"/>
  <c r="BC181" i="38" s="1"/>
  <c r="AW181" i="38" s="1"/>
  <c r="AP13" i="38"/>
  <c r="AQ13" i="38" s="1"/>
  <c r="AR13" i="38" s="1"/>
  <c r="AO188" i="38"/>
  <c r="AO66" i="38"/>
  <c r="AP81" i="38"/>
  <c r="AQ81" i="38" s="1"/>
  <c r="AR81" i="38" s="1"/>
  <c r="AP177" i="38"/>
  <c r="AQ177" i="38" s="1"/>
  <c r="AR177" i="38" s="1"/>
  <c r="AP252" i="38"/>
  <c r="AQ252" i="38" s="1"/>
  <c r="AR252" i="38" s="1"/>
  <c r="AO23" i="38"/>
  <c r="AO181" i="38"/>
  <c r="AP181" i="38"/>
  <c r="AQ181" i="38" s="1"/>
  <c r="AR181" i="38" s="1"/>
  <c r="AO13" i="38"/>
  <c r="AV66" i="38"/>
  <c r="BA66" i="38" s="1"/>
  <c r="AV177" i="38"/>
  <c r="BA177" i="38" s="1"/>
  <c r="BC177" i="38" s="1"/>
  <c r="AW177" i="38" s="1"/>
  <c r="AP66" i="38"/>
  <c r="AQ66" i="38" s="1"/>
  <c r="AR66" i="38" s="1"/>
  <c r="AV23" i="38"/>
  <c r="BA23" i="38" s="1"/>
  <c r="AO177" i="38"/>
  <c r="AV81" i="38"/>
  <c r="BA81" i="38" s="1"/>
  <c r="BC81" i="38" s="1"/>
  <c r="AW81" i="38" s="1"/>
  <c r="AO81" i="38"/>
  <c r="AO252" i="38"/>
  <c r="AP188" i="38"/>
  <c r="AQ188" i="38" s="1"/>
  <c r="AR188" i="38" s="1"/>
  <c r="AV252" i="38"/>
  <c r="BA252" i="38" s="1"/>
  <c r="BC252" i="38" s="1"/>
  <c r="AW252" i="38" s="1"/>
  <c r="AV13" i="38"/>
  <c r="BA13" i="38" s="1"/>
  <c r="AQ248" i="38"/>
  <c r="AR248" i="38" s="1"/>
  <c r="AQ266" i="38"/>
  <c r="AR266" i="38" s="1"/>
  <c r="AQ205" i="38"/>
  <c r="AR205" i="38" s="1"/>
  <c r="AQ173" i="38"/>
  <c r="AR173" i="38" s="1"/>
  <c r="AQ257" i="38"/>
  <c r="AR257" i="38" s="1"/>
  <c r="AQ224" i="38"/>
  <c r="AR224" i="38" s="1"/>
  <c r="AJ8" i="38"/>
  <c r="AP12" i="38"/>
  <c r="AO12" i="38"/>
  <c r="AQ191" i="38"/>
  <c r="AR191" i="38" s="1"/>
  <c r="AQ318" i="38"/>
  <c r="AR318" i="38" s="1"/>
  <c r="AQ134" i="38"/>
  <c r="AR134" i="38" s="1"/>
  <c r="AQ204" i="38"/>
  <c r="AR204" i="38" s="1"/>
  <c r="AL8" i="38" l="1"/>
  <c r="AQ12" i="38"/>
  <c r="AQ8" i="38" s="1"/>
  <c r="AP8" i="38"/>
  <c r="AR12" i="38" l="1"/>
  <c r="AR8" i="38" s="1"/>
  <c r="M10" i="2" l="1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B319" i="2" l="1"/>
  <c r="N319" i="2"/>
  <c r="AR319" i="2"/>
  <c r="AT319" i="2" l="1"/>
  <c r="BJ319" i="2"/>
  <c r="BG319" i="2"/>
  <c r="I319" i="2"/>
  <c r="L319" i="2" s="1"/>
  <c r="J319" i="2"/>
  <c r="BQ319" i="2" s="1"/>
  <c r="BN319" i="2"/>
  <c r="BL319" i="2"/>
  <c r="BK319" i="2"/>
  <c r="BF319" i="2"/>
  <c r="BD319" i="2"/>
  <c r="BM319" i="2"/>
  <c r="AD319" i="2"/>
  <c r="AG319" i="2" s="1"/>
  <c r="BI319" i="2"/>
  <c r="Q319" i="2"/>
  <c r="BH319" i="2"/>
  <c r="O319" i="2"/>
  <c r="BE319" i="2"/>
  <c r="BO319" i="2"/>
  <c r="P319" i="2" l="1"/>
  <c r="S319" i="2" s="1"/>
  <c r="U319" i="2" s="1"/>
  <c r="BB319" i="2" l="1"/>
  <c r="AK319" i="2"/>
  <c r="AH319" i="2"/>
  <c r="V319" i="2"/>
  <c r="W319" i="2" s="1"/>
  <c r="Y319" i="2" l="1"/>
  <c r="Z319" i="2" s="1"/>
  <c r="AA319" i="2" s="1"/>
  <c r="AC319" i="2" s="1"/>
  <c r="BC319" i="2"/>
  <c r="AF319" i="2" l="1"/>
  <c r="AI319" i="2" l="1"/>
  <c r="AJ319" i="2"/>
  <c r="AU319" i="2" s="1"/>
  <c r="AL319" i="2" l="1"/>
  <c r="AN319" i="2"/>
  <c r="AO319" i="2"/>
  <c r="AP319" i="2" l="1"/>
  <c r="AQ319" i="2" s="1"/>
  <c r="AZ319" i="2"/>
  <c r="AV319" i="2"/>
  <c r="K10" i="2" l="1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9" i="2"/>
  <c r="K221" i="2"/>
  <c r="K222" i="2"/>
  <c r="K223" i="2"/>
  <c r="K224" i="2"/>
  <c r="K225" i="2"/>
  <c r="K226" i="2"/>
  <c r="K227" i="2"/>
  <c r="K228" i="2"/>
  <c r="K230" i="2"/>
  <c r="K231" i="2"/>
  <c r="K232" i="2"/>
  <c r="K234" i="2"/>
  <c r="K235" i="2"/>
  <c r="K236" i="2"/>
  <c r="K237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B317" i="2" l="1"/>
  <c r="AT317" i="2" s="1"/>
  <c r="B318" i="2"/>
  <c r="AT318" i="2" s="1"/>
  <c r="N317" i="2"/>
  <c r="N318" i="2"/>
  <c r="AR317" i="2"/>
  <c r="AR318" i="2"/>
  <c r="B316" i="2"/>
  <c r="N316" i="2"/>
  <c r="AR316" i="2"/>
  <c r="B315" i="2"/>
  <c r="AT315" i="2" s="1"/>
  <c r="N315" i="2"/>
  <c r="AR315" i="2"/>
  <c r="AT316" i="2" l="1"/>
  <c r="AS315" i="2"/>
  <c r="AS318" i="2"/>
  <c r="AS317" i="2"/>
  <c r="BF318" i="2"/>
  <c r="BF317" i="2"/>
  <c r="BK318" i="2"/>
  <c r="BJ317" i="2"/>
  <c r="BG317" i="2"/>
  <c r="BG318" i="2"/>
  <c r="O316" i="2"/>
  <c r="I316" i="2"/>
  <c r="J316" i="2"/>
  <c r="O318" i="2"/>
  <c r="J318" i="2"/>
  <c r="I318" i="2"/>
  <c r="O315" i="2"/>
  <c r="J315" i="2"/>
  <c r="I315" i="2"/>
  <c r="O317" i="2"/>
  <c r="I317" i="2"/>
  <c r="J317" i="2"/>
  <c r="BO317" i="2"/>
  <c r="BN317" i="2"/>
  <c r="BN318" i="2"/>
  <c r="BM318" i="2"/>
  <c r="BJ318" i="2"/>
  <c r="AD318" i="2"/>
  <c r="AG318" i="2" s="1"/>
  <c r="BO318" i="2"/>
  <c r="BI318" i="2"/>
  <c r="BK317" i="2"/>
  <c r="BE318" i="2"/>
  <c r="AD317" i="2"/>
  <c r="AG317" i="2" s="1"/>
  <c r="BO316" i="2"/>
  <c r="BM316" i="2"/>
  <c r="BK316" i="2"/>
  <c r="BM317" i="2"/>
  <c r="BI317" i="2"/>
  <c r="BE317" i="2"/>
  <c r="BI316" i="2"/>
  <c r="BL318" i="2"/>
  <c r="BH318" i="2"/>
  <c r="BD318" i="2"/>
  <c r="Q318" i="2"/>
  <c r="BE316" i="2"/>
  <c r="BL317" i="2"/>
  <c r="BH317" i="2"/>
  <c r="BD317" i="2"/>
  <c r="Q317" i="2"/>
  <c r="BK315" i="2"/>
  <c r="BJ316" i="2"/>
  <c r="BH315" i="2"/>
  <c r="BI315" i="2"/>
  <c r="BJ315" i="2"/>
  <c r="BH316" i="2"/>
  <c r="BG316" i="2"/>
  <c r="BE315" i="2"/>
  <c r="BD315" i="2"/>
  <c r="BN316" i="2"/>
  <c r="BF316" i="2"/>
  <c r="AD316" i="2"/>
  <c r="AG316" i="2" s="1"/>
  <c r="Q316" i="2"/>
  <c r="BM315" i="2"/>
  <c r="BL315" i="2"/>
  <c r="BL316" i="2"/>
  <c r="BD316" i="2"/>
  <c r="BO315" i="2"/>
  <c r="BG315" i="2"/>
  <c r="BN315" i="2"/>
  <c r="BF315" i="2"/>
  <c r="AD315" i="2"/>
  <c r="AG315" i="2" s="1"/>
  <c r="Q315" i="2"/>
  <c r="L318" i="2" l="1"/>
  <c r="P318" i="2" s="1"/>
  <c r="L315" i="2"/>
  <c r="P315" i="2" s="1"/>
  <c r="L316" i="2"/>
  <c r="P316" i="2" s="1"/>
  <c r="L317" i="2"/>
  <c r="P317" i="2" s="1"/>
  <c r="BQ315" i="2"/>
  <c r="BQ316" i="2"/>
  <c r="BQ317" i="2"/>
  <c r="BQ318" i="2"/>
  <c r="B313" i="2"/>
  <c r="AT313" i="2" s="1"/>
  <c r="B314" i="2"/>
  <c r="AT314" i="2" s="1"/>
  <c r="N313" i="2"/>
  <c r="N314" i="2"/>
  <c r="AR313" i="2"/>
  <c r="AR314" i="2"/>
  <c r="AS314" i="2" l="1"/>
  <c r="AS313" i="2"/>
  <c r="J313" i="2"/>
  <c r="BQ313" i="2" s="1"/>
  <c r="I313" i="2"/>
  <c r="BD314" i="2"/>
  <c r="J314" i="2"/>
  <c r="BQ314" i="2" s="1"/>
  <c r="I314" i="2"/>
  <c r="S317" i="2"/>
  <c r="S316" i="2"/>
  <c r="S315" i="2"/>
  <c r="S318" i="2"/>
  <c r="BJ314" i="2"/>
  <c r="BH314" i="2"/>
  <c r="BE314" i="2"/>
  <c r="AD314" i="2"/>
  <c r="AG314" i="2" s="1"/>
  <c r="BG314" i="2"/>
  <c r="BO314" i="2"/>
  <c r="BI314" i="2"/>
  <c r="Q314" i="2"/>
  <c r="BM314" i="2"/>
  <c r="BK314" i="2"/>
  <c r="BN314" i="2"/>
  <c r="BF314" i="2"/>
  <c r="O314" i="2"/>
  <c r="BL314" i="2"/>
  <c r="AD313" i="2"/>
  <c r="AG313" i="2" s="1"/>
  <c r="BM313" i="2"/>
  <c r="BI313" i="2"/>
  <c r="BE313" i="2"/>
  <c r="BL313" i="2"/>
  <c r="BH313" i="2"/>
  <c r="BD313" i="2"/>
  <c r="Q313" i="2"/>
  <c r="BO313" i="2"/>
  <c r="BK313" i="2"/>
  <c r="BG313" i="2"/>
  <c r="O313" i="2"/>
  <c r="BN313" i="2"/>
  <c r="BJ313" i="2"/>
  <c r="BF313" i="2"/>
  <c r="BB317" i="2" l="1"/>
  <c r="U317" i="2"/>
  <c r="AK317" i="2" s="1"/>
  <c r="U315" i="2"/>
  <c r="AH315" i="2" s="1"/>
  <c r="BB315" i="2"/>
  <c r="BB318" i="2"/>
  <c r="U318" i="2"/>
  <c r="V318" i="2" s="1"/>
  <c r="W318" i="2" s="1"/>
  <c r="BB316" i="2"/>
  <c r="U316" i="2"/>
  <c r="AK316" i="2" s="1"/>
  <c r="L314" i="2"/>
  <c r="P314" i="2" s="1"/>
  <c r="L313" i="2"/>
  <c r="P313" i="2" s="1"/>
  <c r="AH316" i="2" l="1"/>
  <c r="V316" i="2"/>
  <c r="AH318" i="2"/>
  <c r="AK318" i="2"/>
  <c r="AH317" i="2"/>
  <c r="V317" i="2"/>
  <c r="S313" i="2"/>
  <c r="V315" i="2"/>
  <c r="S314" i="2"/>
  <c r="U314" i="2" s="1"/>
  <c r="V314" i="2" s="1"/>
  <c r="W314" i="2" s="1"/>
  <c r="AK315" i="2"/>
  <c r="Y318" i="2"/>
  <c r="Z318" i="2" s="1"/>
  <c r="AA318" i="2" s="1"/>
  <c r="AC318" i="2" s="1"/>
  <c r="BC318" i="2"/>
  <c r="W315" i="2" l="1"/>
  <c r="BC315" i="2" s="1"/>
  <c r="W317" i="2"/>
  <c r="BC317" i="2" s="1"/>
  <c r="W316" i="2"/>
  <c r="U313" i="2"/>
  <c r="AK313" i="2" s="1"/>
  <c r="BB313" i="2"/>
  <c r="BB314" i="2"/>
  <c r="AH314" i="2"/>
  <c r="AF318" i="2"/>
  <c r="AK314" i="2"/>
  <c r="B311" i="2"/>
  <c r="B312" i="2"/>
  <c r="AT312" i="2" s="1"/>
  <c r="N311" i="2"/>
  <c r="N312" i="2"/>
  <c r="AR311" i="2"/>
  <c r="AR312" i="2"/>
  <c r="AT311" i="2" l="1"/>
  <c r="AS312" i="2"/>
  <c r="Y316" i="2"/>
  <c r="Z316" i="2" s="1"/>
  <c r="AA316" i="2" s="1"/>
  <c r="AC316" i="2" s="1"/>
  <c r="Y315" i="2"/>
  <c r="Z315" i="2" s="1"/>
  <c r="AA315" i="2" s="1"/>
  <c r="AC315" i="2" s="1"/>
  <c r="Y317" i="2"/>
  <c r="Z317" i="2" s="1"/>
  <c r="AA317" i="2" s="1"/>
  <c r="AC317" i="2" s="1"/>
  <c r="J312" i="2"/>
  <c r="BQ312" i="2" s="1"/>
  <c r="I312" i="2"/>
  <c r="J311" i="2"/>
  <c r="BQ311" i="2" s="1"/>
  <c r="I311" i="2"/>
  <c r="AH313" i="2"/>
  <c r="V313" i="2"/>
  <c r="AJ318" i="2"/>
  <c r="AU318" i="2" s="1"/>
  <c r="AI318" i="2"/>
  <c r="BO311" i="2"/>
  <c r="BF311" i="2"/>
  <c r="O311" i="2"/>
  <c r="BN311" i="2"/>
  <c r="O312" i="2"/>
  <c r="BM312" i="2"/>
  <c r="BK312" i="2"/>
  <c r="BF312" i="2"/>
  <c r="BE312" i="2"/>
  <c r="BO312" i="2"/>
  <c r="BK311" i="2"/>
  <c r="BG311" i="2"/>
  <c r="Q311" i="2"/>
  <c r="BJ311" i="2"/>
  <c r="BJ312" i="2"/>
  <c r="BI312" i="2"/>
  <c r="BN312" i="2"/>
  <c r="BG312" i="2"/>
  <c r="Q312" i="2"/>
  <c r="BC314" i="2"/>
  <c r="Y314" i="2"/>
  <c r="Z314" i="2" s="1"/>
  <c r="AA314" i="2" s="1"/>
  <c r="AC314" i="2" s="1"/>
  <c r="BL311" i="2"/>
  <c r="BH311" i="2"/>
  <c r="BD311" i="2"/>
  <c r="AD311" i="2"/>
  <c r="AG311" i="2" s="1"/>
  <c r="BM311" i="2"/>
  <c r="BI311" i="2"/>
  <c r="BE311" i="2"/>
  <c r="BL312" i="2"/>
  <c r="BH312" i="2"/>
  <c r="BD312" i="2"/>
  <c r="AD312" i="2"/>
  <c r="AG312" i="2" s="1"/>
  <c r="AF315" i="2" l="1"/>
  <c r="AJ315" i="2" s="1"/>
  <c r="AU315" i="2" s="1"/>
  <c r="AF316" i="2"/>
  <c r="AJ316" i="2" s="1"/>
  <c r="AU316" i="2" s="1"/>
  <c r="AF317" i="2"/>
  <c r="AJ317" i="2" s="1"/>
  <c r="AU317" i="2" s="1"/>
  <c r="W313" i="2"/>
  <c r="Y313" i="2" s="1"/>
  <c r="Z313" i="2" s="1"/>
  <c r="AA313" i="2" s="1"/>
  <c r="AC313" i="2" s="1"/>
  <c r="L311" i="2"/>
  <c r="P311" i="2" s="1"/>
  <c r="L312" i="2"/>
  <c r="P312" i="2" s="1"/>
  <c r="AF314" i="2"/>
  <c r="AO318" i="2"/>
  <c r="AP318" i="2" s="1"/>
  <c r="AQ318" i="2" s="1"/>
  <c r="AV318" i="2"/>
  <c r="AL318" i="2"/>
  <c r="AN318" i="2"/>
  <c r="AL316" i="2" l="1"/>
  <c r="AL317" i="2"/>
  <c r="AN317" i="2"/>
  <c r="AO316" i="2"/>
  <c r="AP316" i="2" s="1"/>
  <c r="AQ316" i="2" s="1"/>
  <c r="AN315" i="2"/>
  <c r="AZ315" i="2"/>
  <c r="AN316" i="2"/>
  <c r="AL315" i="2"/>
  <c r="AI315" i="2"/>
  <c r="AO315" i="2"/>
  <c r="AP315" i="2" s="1"/>
  <c r="AQ315" i="2" s="1"/>
  <c r="AI316" i="2"/>
  <c r="AO317" i="2"/>
  <c r="AP317" i="2" s="1"/>
  <c r="AQ317" i="2" s="1"/>
  <c r="AI317" i="2"/>
  <c r="BC313" i="2"/>
  <c r="AF313" i="2"/>
  <c r="AJ313" i="2" s="1"/>
  <c r="AU313" i="2" s="1"/>
  <c r="S311" i="2"/>
  <c r="S312" i="2"/>
  <c r="AV316" i="2"/>
  <c r="AZ318" i="2"/>
  <c r="AJ314" i="2"/>
  <c r="AU314" i="2" s="1"/>
  <c r="AI314" i="2"/>
  <c r="AV315" i="2" l="1"/>
  <c r="AV317" i="2"/>
  <c r="AZ317" i="2"/>
  <c r="AI313" i="2"/>
  <c r="AZ316" i="2"/>
  <c r="U311" i="2"/>
  <c r="AK311" i="2" s="1"/>
  <c r="BB311" i="2"/>
  <c r="U312" i="2"/>
  <c r="AK312" i="2" s="1"/>
  <c r="BB312" i="2"/>
  <c r="AV314" i="2"/>
  <c r="AO314" i="2"/>
  <c r="AP314" i="2" s="1"/>
  <c r="AQ314" i="2" s="1"/>
  <c r="AN314" i="2"/>
  <c r="AL314" i="2"/>
  <c r="AL313" i="2"/>
  <c r="AO313" i="2"/>
  <c r="AP313" i="2" s="1"/>
  <c r="AQ313" i="2" s="1"/>
  <c r="AN313" i="2"/>
  <c r="V312" i="2" l="1"/>
  <c r="W312" i="2" s="1"/>
  <c r="AH312" i="2"/>
  <c r="V311" i="2"/>
  <c r="W311" i="2" s="1"/>
  <c r="AH311" i="2"/>
  <c r="AV313" i="2"/>
  <c r="AZ313" i="2"/>
  <c r="AZ314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Y311" i="2" l="1"/>
  <c r="Y312" i="2" l="1"/>
  <c r="Z312" i="2" s="1"/>
  <c r="AA312" i="2" s="1"/>
  <c r="AC312" i="2" s="1"/>
  <c r="BC312" i="2"/>
  <c r="Z311" i="2"/>
  <c r="AA311" i="2" s="1"/>
  <c r="AC311" i="2" s="1"/>
  <c r="AF311" i="2" l="1"/>
  <c r="AF312" i="2"/>
  <c r="AJ312" i="2" l="1"/>
  <c r="AU312" i="2" s="1"/>
  <c r="AI312" i="2"/>
  <c r="AJ311" i="2"/>
  <c r="AI311" i="2"/>
  <c r="B310" i="2"/>
  <c r="AR310" i="2"/>
  <c r="AT310" i="2" l="1"/>
  <c r="J310" i="2"/>
  <c r="BQ310" i="2" s="1"/>
  <c r="I310" i="2"/>
  <c r="L310" i="2" s="1"/>
  <c r="AN312" i="2"/>
  <c r="AO312" i="2"/>
  <c r="AP312" i="2" s="1"/>
  <c r="AQ312" i="2" s="1"/>
  <c r="AL312" i="2"/>
  <c r="AZ312" i="2"/>
  <c r="AL311" i="2"/>
  <c r="AN311" i="2"/>
  <c r="AO311" i="2"/>
  <c r="AP311" i="2" s="1"/>
  <c r="AQ311" i="2" s="1"/>
  <c r="AD310" i="2"/>
  <c r="AG310" i="2" s="1"/>
  <c r="O310" i="2"/>
  <c r="BE310" i="2"/>
  <c r="BD310" i="2"/>
  <c r="BO310" i="2"/>
  <c r="BN310" i="2"/>
  <c r="Q310" i="2"/>
  <c r="BM310" i="2"/>
  <c r="BG310" i="2"/>
  <c r="BH310" i="2"/>
  <c r="BF310" i="2"/>
  <c r="BL310" i="2"/>
  <c r="BK310" i="2"/>
  <c r="BJ310" i="2"/>
  <c r="BI310" i="2"/>
  <c r="P310" i="2" l="1"/>
  <c r="S310" i="2" s="1"/>
  <c r="AV312" i="2"/>
  <c r="U310" i="2" l="1"/>
  <c r="V310" i="2" s="1"/>
  <c r="W310" i="2" s="1"/>
  <c r="BB310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Y310" i="2" l="1"/>
  <c r="Z310" i="2" s="1"/>
  <c r="AA310" i="2" s="1"/>
  <c r="AC310" i="2" s="1"/>
  <c r="AH310" i="2"/>
  <c r="AK310" i="2"/>
  <c r="H22" i="33"/>
  <c r="H16" i="33"/>
  <c r="I19" i="33"/>
  <c r="H19" i="33"/>
  <c r="E5" i="33"/>
  <c r="AF310" i="2" l="1"/>
  <c r="L4" i="34"/>
  <c r="L14" i="34"/>
  <c r="L13" i="34"/>
  <c r="L12" i="34"/>
  <c r="L11" i="34"/>
  <c r="L10" i="34"/>
  <c r="L9" i="34"/>
  <c r="L8" i="34"/>
  <c r="L7" i="34"/>
  <c r="L6" i="34"/>
  <c r="L5" i="34"/>
  <c r="K14" i="34"/>
  <c r="K13" i="34"/>
  <c r="K12" i="34"/>
  <c r="K11" i="34"/>
  <c r="K10" i="34"/>
  <c r="K9" i="34"/>
  <c r="K8" i="34"/>
  <c r="K7" i="34"/>
  <c r="K6" i="34"/>
  <c r="K5" i="34"/>
  <c r="J14" i="34"/>
  <c r="J13" i="34"/>
  <c r="J12" i="34"/>
  <c r="J11" i="34"/>
  <c r="J10" i="34"/>
  <c r="J9" i="34"/>
  <c r="J8" i="34"/>
  <c r="J7" i="34"/>
  <c r="J6" i="34"/>
  <c r="J5" i="34"/>
  <c r="I14" i="34"/>
  <c r="I13" i="34"/>
  <c r="I12" i="34"/>
  <c r="I11" i="34"/>
  <c r="I10" i="34"/>
  <c r="I9" i="34"/>
  <c r="I8" i="34"/>
  <c r="I7" i="34"/>
  <c r="I6" i="34"/>
  <c r="I5" i="34"/>
  <c r="H15" i="34"/>
  <c r="E24" i="33"/>
  <c r="D24" i="33"/>
  <c r="C24" i="33"/>
  <c r="G24" i="33"/>
  <c r="F24" i="33"/>
  <c r="C9" i="33"/>
  <c r="D9" i="33"/>
  <c r="H8" i="33"/>
  <c r="H7" i="33"/>
  <c r="H6" i="33"/>
  <c r="H5" i="33"/>
  <c r="H4" i="33"/>
  <c r="H9" i="33"/>
  <c r="G9" i="33"/>
  <c r="E8" i="33"/>
  <c r="F8" i="33" s="1"/>
  <c r="I8" i="33" s="1"/>
  <c r="J8" i="33" s="1"/>
  <c r="E7" i="33"/>
  <c r="F7" i="33" s="1"/>
  <c r="I7" i="33" s="1"/>
  <c r="J7" i="33" s="1"/>
  <c r="E6" i="33"/>
  <c r="F6" i="33" s="1"/>
  <c r="I6" i="33" s="1"/>
  <c r="J6" i="33" s="1"/>
  <c r="F5" i="33"/>
  <c r="I5" i="33" s="1"/>
  <c r="J5" i="33" s="1"/>
  <c r="E4" i="33"/>
  <c r="F4" i="33" s="1"/>
  <c r="AJ310" i="2" l="1"/>
  <c r="AI310" i="2"/>
  <c r="I4" i="33"/>
  <c r="F9" i="33"/>
  <c r="E9" i="33"/>
  <c r="AO310" i="2" l="1"/>
  <c r="AP310" i="2" s="1"/>
  <c r="AQ310" i="2" s="1"/>
  <c r="AL310" i="2"/>
  <c r="AN310" i="2"/>
  <c r="I9" i="33"/>
  <c r="J9" i="33" s="1"/>
  <c r="J4" i="33"/>
  <c r="C1" i="2" l="1"/>
  <c r="D1" i="2" s="1"/>
  <c r="E1" i="2" s="1"/>
  <c r="F1" i="2" s="1"/>
  <c r="G1" i="2" s="1"/>
  <c r="H1" i="2" s="1"/>
  <c r="I1" i="2" l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D1" i="2" s="1"/>
  <c r="AF1" i="2" s="1"/>
  <c r="AG1" i="2" s="1"/>
  <c r="AH1" i="2" s="1"/>
  <c r="AI1" i="2" s="1"/>
  <c r="AJ1" i="2" s="1"/>
  <c r="AK1" i="2" s="1"/>
  <c r="AL1" i="2" s="1"/>
  <c r="AM1" i="2" s="1"/>
  <c r="AS1" i="2" s="1"/>
  <c r="AT1" i="2" s="1"/>
  <c r="AU1" i="2" s="1"/>
  <c r="AV1" i="2" s="1"/>
  <c r="AW1" i="2" s="1"/>
  <c r="AX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309" i="2"/>
  <c r="AT309" i="2" l="1"/>
  <c r="I309" i="2"/>
  <c r="L309" i="2" s="1"/>
  <c r="J309" i="2"/>
  <c r="BQ309" i="2" s="1"/>
  <c r="O309" i="2"/>
  <c r="AD309" i="2"/>
  <c r="AG309" i="2" s="1"/>
  <c r="Q309" i="2"/>
  <c r="BJ309" i="2"/>
  <c r="BE309" i="2"/>
  <c r="BH309" i="2"/>
  <c r="BG309" i="2"/>
  <c r="BO309" i="2"/>
  <c r="BM309" i="2"/>
  <c r="BN309" i="2"/>
  <c r="BF309" i="2"/>
  <c r="BL309" i="2"/>
  <c r="BD309" i="2"/>
  <c r="BK309" i="2"/>
  <c r="BI309" i="2"/>
  <c r="P309" i="2" l="1"/>
  <c r="S309" i="2" l="1"/>
  <c r="U309" i="2" l="1"/>
  <c r="AK309" i="2" s="1"/>
  <c r="BB309" i="2"/>
  <c r="AH309" i="2" l="1"/>
  <c r="V309" i="2"/>
  <c r="W309" i="2" s="1"/>
  <c r="Y309" i="2" l="1"/>
  <c r="Z309" i="2" s="1"/>
  <c r="AA309" i="2" s="1"/>
  <c r="AC309" i="2" s="1"/>
  <c r="AF309" i="2" l="1"/>
  <c r="AJ309" i="2" l="1"/>
  <c r="AU309" i="2" s="1"/>
  <c r="AI309" i="2"/>
  <c r="G12" i="27"/>
  <c r="G11" i="27"/>
  <c r="G10" i="27"/>
  <c r="G9" i="27"/>
  <c r="G8" i="27"/>
  <c r="G7" i="27"/>
  <c r="G6" i="27"/>
  <c r="AO309" i="2" l="1"/>
  <c r="AP309" i="2" s="1"/>
  <c r="AQ309" i="2" s="1"/>
  <c r="AV309" i="2"/>
  <c r="AN309" i="2"/>
  <c r="AL309" i="2"/>
  <c r="B17" i="2"/>
  <c r="AT17" i="2" s="1"/>
  <c r="B306" i="2"/>
  <c r="B305" i="2"/>
  <c r="B304" i="2"/>
  <c r="B303" i="2"/>
  <c r="B302" i="2"/>
  <c r="AT302" i="2" s="1"/>
  <c r="B301" i="2"/>
  <c r="AT301" i="2" s="1"/>
  <c r="B300" i="2"/>
  <c r="AT300" i="2" s="1"/>
  <c r="B299" i="2"/>
  <c r="AT305" i="2" l="1"/>
  <c r="AT304" i="2"/>
  <c r="AT306" i="2"/>
  <c r="AT299" i="2"/>
  <c r="AT303" i="2"/>
  <c r="AS300" i="2"/>
  <c r="AS301" i="2"/>
  <c r="AS302" i="2"/>
  <c r="AS17" i="2"/>
  <c r="J299" i="2"/>
  <c r="BQ299" i="2" s="1"/>
  <c r="I299" i="2"/>
  <c r="I300" i="2"/>
  <c r="J300" i="2"/>
  <c r="BQ300" i="2" s="1"/>
  <c r="I301" i="2"/>
  <c r="J301" i="2"/>
  <c r="BQ301" i="2" s="1"/>
  <c r="J302" i="2"/>
  <c r="BQ302" i="2" s="1"/>
  <c r="I302" i="2"/>
  <c r="J303" i="2"/>
  <c r="BQ303" i="2" s="1"/>
  <c r="I303" i="2"/>
  <c r="J304" i="2"/>
  <c r="BQ304" i="2" s="1"/>
  <c r="I304" i="2"/>
  <c r="I305" i="2"/>
  <c r="J305" i="2"/>
  <c r="BQ305" i="2" s="1"/>
  <c r="J306" i="2"/>
  <c r="BQ306" i="2" s="1"/>
  <c r="I306" i="2"/>
  <c r="J17" i="2"/>
  <c r="BQ17" i="2" s="1"/>
  <c r="I17" i="2"/>
  <c r="AZ309" i="2"/>
  <c r="O300" i="2"/>
  <c r="O302" i="2"/>
  <c r="O303" i="2"/>
  <c r="O304" i="2"/>
  <c r="O305" i="2"/>
  <c r="O301" i="2"/>
  <c r="O306" i="2"/>
  <c r="O299" i="2"/>
  <c r="O17" i="2"/>
  <c r="AD300" i="2"/>
  <c r="AG300" i="2" s="1"/>
  <c r="AD301" i="2"/>
  <c r="AG301" i="2" s="1"/>
  <c r="AD302" i="2"/>
  <c r="AG302" i="2" s="1"/>
  <c r="AD299" i="2"/>
  <c r="AD303" i="2"/>
  <c r="AG303" i="2" s="1"/>
  <c r="AD304" i="2"/>
  <c r="AG304" i="2" s="1"/>
  <c r="AD305" i="2"/>
  <c r="AG305" i="2" s="1"/>
  <c r="AD306" i="2"/>
  <c r="AG306" i="2" s="1"/>
  <c r="AD17" i="2"/>
  <c r="AG17" i="2" s="1"/>
  <c r="Q301" i="2"/>
  <c r="Q303" i="2"/>
  <c r="Q300" i="2"/>
  <c r="Q304" i="2"/>
  <c r="Q302" i="2"/>
  <c r="Q305" i="2"/>
  <c r="Q306" i="2"/>
  <c r="Q299" i="2"/>
  <c r="Q17" i="2"/>
  <c r="BO306" i="2"/>
  <c r="BM306" i="2"/>
  <c r="BN306" i="2"/>
  <c r="BL306" i="2"/>
  <c r="BK306" i="2"/>
  <c r="BJ306" i="2"/>
  <c r="BI306" i="2"/>
  <c r="BO301" i="2"/>
  <c r="BN301" i="2"/>
  <c r="BL301" i="2"/>
  <c r="BK301" i="2"/>
  <c r="BM301" i="2"/>
  <c r="BJ301" i="2"/>
  <c r="BI301" i="2"/>
  <c r="BO302" i="2"/>
  <c r="BN302" i="2"/>
  <c r="BM302" i="2"/>
  <c r="BL302" i="2"/>
  <c r="BK302" i="2"/>
  <c r="BJ302" i="2"/>
  <c r="BI302" i="2"/>
  <c r="BN303" i="2"/>
  <c r="BM303" i="2"/>
  <c r="BO303" i="2"/>
  <c r="BL303" i="2"/>
  <c r="BK303" i="2"/>
  <c r="BJ303" i="2"/>
  <c r="BI303" i="2"/>
  <c r="BO300" i="2"/>
  <c r="BM300" i="2"/>
  <c r="BL300" i="2"/>
  <c r="BJ300" i="2"/>
  <c r="BK300" i="2"/>
  <c r="BN300" i="2"/>
  <c r="BI300" i="2"/>
  <c r="BN304" i="2"/>
  <c r="BO304" i="2"/>
  <c r="BM304" i="2"/>
  <c r="BL304" i="2"/>
  <c r="BK304" i="2"/>
  <c r="BJ304" i="2"/>
  <c r="BI304" i="2"/>
  <c r="BO305" i="2"/>
  <c r="BM305" i="2"/>
  <c r="BN305" i="2"/>
  <c r="BL305" i="2"/>
  <c r="BK305" i="2"/>
  <c r="BJ305" i="2"/>
  <c r="BI305" i="2"/>
  <c r="BO299" i="2"/>
  <c r="BN299" i="2"/>
  <c r="BM299" i="2"/>
  <c r="BL299" i="2"/>
  <c r="BJ299" i="2"/>
  <c r="BK299" i="2"/>
  <c r="BI299" i="2"/>
  <c r="BO17" i="2"/>
  <c r="BM17" i="2"/>
  <c r="BN17" i="2"/>
  <c r="BL17" i="2"/>
  <c r="BK17" i="2"/>
  <c r="BJ17" i="2"/>
  <c r="BI17" i="2"/>
  <c r="BE17" i="2"/>
  <c r="BH17" i="2"/>
  <c r="BF17" i="2"/>
  <c r="BD17" i="2"/>
  <c r="BG17" i="2"/>
  <c r="B290" i="2"/>
  <c r="AT290" i="2" s="1"/>
  <c r="B11" i="2"/>
  <c r="AT11" i="2" s="1"/>
  <c r="B307" i="2"/>
  <c r="AT307" i="2" s="1"/>
  <c r="B308" i="2"/>
  <c r="AT308" i="2" s="1"/>
  <c r="B114" i="2"/>
  <c r="AT114" i="2" l="1"/>
  <c r="AS308" i="2"/>
  <c r="AS307" i="2"/>
  <c r="AS11" i="2"/>
  <c r="AS290" i="2"/>
  <c r="J114" i="2"/>
  <c r="BQ114" i="2" s="1"/>
  <c r="I114" i="2"/>
  <c r="I308" i="2"/>
  <c r="J308" i="2"/>
  <c r="BQ308" i="2" s="1"/>
  <c r="J307" i="2"/>
  <c r="BQ307" i="2" s="1"/>
  <c r="I307" i="2"/>
  <c r="J11" i="2"/>
  <c r="BQ11" i="2" s="1"/>
  <c r="I11" i="2"/>
  <c r="J290" i="2"/>
  <c r="BQ290" i="2" s="1"/>
  <c r="I290" i="2"/>
  <c r="O308" i="2"/>
  <c r="O307" i="2"/>
  <c r="O290" i="2"/>
  <c r="O11" i="2"/>
  <c r="O114" i="2"/>
  <c r="AD308" i="2"/>
  <c r="AG308" i="2" s="1"/>
  <c r="AD307" i="2"/>
  <c r="AG307" i="2" s="1"/>
  <c r="AD11" i="2"/>
  <c r="AG11" i="2" s="1"/>
  <c r="AD290" i="2"/>
  <c r="AG290" i="2" s="1"/>
  <c r="AD114" i="2"/>
  <c r="Q114" i="2"/>
  <c r="Q308" i="2"/>
  <c r="Q307" i="2"/>
  <c r="Q11" i="2"/>
  <c r="Q290" i="2"/>
  <c r="AG299" i="2"/>
  <c r="BO308" i="2"/>
  <c r="BN308" i="2"/>
  <c r="BK308" i="2"/>
  <c r="BJ308" i="2"/>
  <c r="BM308" i="2"/>
  <c r="BL308" i="2"/>
  <c r="BI308" i="2"/>
  <c r="BO307" i="2"/>
  <c r="BN307" i="2"/>
  <c r="BM307" i="2"/>
  <c r="BL307" i="2"/>
  <c r="BK307" i="2"/>
  <c r="BJ307" i="2"/>
  <c r="BI307" i="2"/>
  <c r="BO11" i="2"/>
  <c r="BN11" i="2"/>
  <c r="BM11" i="2"/>
  <c r="BL11" i="2"/>
  <c r="BK11" i="2"/>
  <c r="BJ11" i="2"/>
  <c r="BI11" i="2"/>
  <c r="BO290" i="2"/>
  <c r="BN290" i="2"/>
  <c r="BM290" i="2"/>
  <c r="BL290" i="2"/>
  <c r="BJ290" i="2"/>
  <c r="BK290" i="2"/>
  <c r="BI290" i="2"/>
  <c r="BO114" i="2"/>
  <c r="BM114" i="2"/>
  <c r="BN114" i="2"/>
  <c r="BL114" i="2"/>
  <c r="BK114" i="2"/>
  <c r="BJ114" i="2"/>
  <c r="BI114" i="2"/>
  <c r="BG11" i="2"/>
  <c r="BH308" i="2"/>
  <c r="BD290" i="2"/>
  <c r="BD11" i="2"/>
  <c r="BF11" i="2"/>
  <c r="BH290" i="2"/>
  <c r="BG290" i="2"/>
  <c r="BF290" i="2"/>
  <c r="BH11" i="2"/>
  <c r="BE290" i="2"/>
  <c r="BG307" i="2"/>
  <c r="BF307" i="2"/>
  <c r="BE307" i="2"/>
  <c r="BD307" i="2"/>
  <c r="BE11" i="2"/>
  <c r="BD308" i="2"/>
  <c r="BH307" i="2"/>
  <c r="BG308" i="2"/>
  <c r="BG114" i="2"/>
  <c r="BF308" i="2"/>
  <c r="BE308" i="2"/>
  <c r="BF114" i="2"/>
  <c r="BE114" i="2"/>
  <c r="BD114" i="2"/>
  <c r="BH114" i="2"/>
  <c r="AG114" i="2" l="1"/>
  <c r="L11" i="2" l="1"/>
  <c r="P11" i="2" s="1"/>
  <c r="L17" i="2"/>
  <c r="P17" i="2" s="1"/>
  <c r="L290" i="2"/>
  <c r="P290" i="2" s="1"/>
  <c r="L307" i="2"/>
  <c r="P307" i="2" s="1"/>
  <c r="L114" i="2"/>
  <c r="P114" i="2" s="1"/>
  <c r="L308" i="2"/>
  <c r="P308" i="2" s="1"/>
  <c r="H44" i="19"/>
  <c r="H43" i="19"/>
  <c r="H42" i="19"/>
  <c r="S307" i="2" l="1"/>
  <c r="BB307" i="2" l="1"/>
  <c r="U307" i="2"/>
  <c r="AK307" i="2" s="1"/>
  <c r="N55" i="19"/>
  <c r="AH307" i="2" l="1"/>
  <c r="V307" i="2"/>
  <c r="W307" i="2" s="1"/>
  <c r="BE300" i="2"/>
  <c r="BD300" i="2"/>
  <c r="BH300" i="2"/>
  <c r="BG300" i="2"/>
  <c r="BF300" i="2"/>
  <c r="BF301" i="2"/>
  <c r="BE301" i="2"/>
  <c r="BD301" i="2"/>
  <c r="BH301" i="2"/>
  <c r="BG301" i="2"/>
  <c r="BG302" i="2"/>
  <c r="BF302" i="2"/>
  <c r="BE302" i="2"/>
  <c r="BD302" i="2"/>
  <c r="BH302" i="2"/>
  <c r="BH303" i="2"/>
  <c r="BG303" i="2"/>
  <c r="BF303" i="2"/>
  <c r="BE303" i="2"/>
  <c r="BD303" i="2"/>
  <c r="BH304" i="2"/>
  <c r="BG304" i="2"/>
  <c r="BF304" i="2"/>
  <c r="BE304" i="2"/>
  <c r="BD304" i="2"/>
  <c r="L305" i="2"/>
  <c r="P305" i="2" s="1"/>
  <c r="BH305" i="2"/>
  <c r="BG305" i="2"/>
  <c r="BF305" i="2"/>
  <c r="BE305" i="2"/>
  <c r="BD305" i="2"/>
  <c r="L306" i="2"/>
  <c r="P306" i="2" s="1"/>
  <c r="BH306" i="2"/>
  <c r="BG306" i="2"/>
  <c r="BF306" i="2"/>
  <c r="BE306" i="2"/>
  <c r="BD306" i="2"/>
  <c r="K23" i="19"/>
  <c r="K13" i="19"/>
  <c r="BC307" i="2" l="1"/>
  <c r="Y307" i="2"/>
  <c r="Z307" i="2" s="1"/>
  <c r="AA307" i="2" s="1"/>
  <c r="AC307" i="2" s="1"/>
  <c r="S306" i="2"/>
  <c r="L302" i="2"/>
  <c r="P302" i="2" s="1"/>
  <c r="L303" i="2"/>
  <c r="P303" i="2" s="1"/>
  <c r="L301" i="2"/>
  <c r="P301" i="2" s="1"/>
  <c r="L304" i="2"/>
  <c r="P304" i="2" s="1"/>
  <c r="L300" i="2"/>
  <c r="P300" i="2" s="1"/>
  <c r="AF307" i="2" l="1"/>
  <c r="BB306" i="2"/>
  <c r="S305" i="2"/>
  <c r="AJ307" i="2" l="1"/>
  <c r="AU307" i="2" s="1"/>
  <c r="AI307" i="2"/>
  <c r="BB305" i="2"/>
  <c r="S300" i="2"/>
  <c r="S302" i="2"/>
  <c r="S304" i="2"/>
  <c r="S303" i="2"/>
  <c r="S301" i="2"/>
  <c r="U306" i="2"/>
  <c r="AK306" i="2" s="1"/>
  <c r="U305" i="2"/>
  <c r="AK305" i="2" s="1"/>
  <c r="AL307" i="2" l="1"/>
  <c r="AO307" i="2"/>
  <c r="AP307" i="2" s="1"/>
  <c r="AQ307" i="2" s="1"/>
  <c r="AN307" i="2"/>
  <c r="BB301" i="2"/>
  <c r="BB303" i="2"/>
  <c r="BB302" i="2"/>
  <c r="BB300" i="2"/>
  <c r="U300" i="2"/>
  <c r="AK300" i="2" s="1"/>
  <c r="U302" i="2"/>
  <c r="AK302" i="2" s="1"/>
  <c r="BB304" i="2"/>
  <c r="V305" i="2"/>
  <c r="W305" i="2" s="1"/>
  <c r="AH305" i="2"/>
  <c r="V306" i="2"/>
  <c r="W306" i="2" s="1"/>
  <c r="AH306" i="2"/>
  <c r="U304" i="2"/>
  <c r="AK304" i="2" s="1"/>
  <c r="U303" i="2"/>
  <c r="AK303" i="2" s="1"/>
  <c r="U301" i="2"/>
  <c r="AK301" i="2" s="1"/>
  <c r="AZ307" i="2" l="1"/>
  <c r="AV307" i="2"/>
  <c r="V300" i="2"/>
  <c r="W300" i="2" s="1"/>
  <c r="AH300" i="2"/>
  <c r="AH302" i="2"/>
  <c r="V302" i="2"/>
  <c r="W302" i="2" s="1"/>
  <c r="Y306" i="2"/>
  <c r="Z306" i="2" s="1"/>
  <c r="AA306" i="2" s="1"/>
  <c r="AC306" i="2" s="1"/>
  <c r="Y305" i="2"/>
  <c r="Z305" i="2" s="1"/>
  <c r="AA305" i="2" s="1"/>
  <c r="AC305" i="2" s="1"/>
  <c r="V301" i="2"/>
  <c r="W301" i="2" s="1"/>
  <c r="AH301" i="2"/>
  <c r="V303" i="2"/>
  <c r="W303" i="2" s="1"/>
  <c r="AH303" i="2"/>
  <c r="V304" i="2"/>
  <c r="W304" i="2" s="1"/>
  <c r="AH304" i="2"/>
  <c r="AF306" i="2" l="1"/>
  <c r="AF305" i="2"/>
  <c r="Y302" i="2"/>
  <c r="Z302" i="2" s="1"/>
  <c r="AA302" i="2" s="1"/>
  <c r="AC302" i="2" s="1"/>
  <c r="BC302" i="2"/>
  <c r="BC300" i="2"/>
  <c r="Y303" i="2"/>
  <c r="Z303" i="2" s="1"/>
  <c r="AA303" i="2" s="1"/>
  <c r="AC303" i="2" s="1"/>
  <c r="Y301" i="2"/>
  <c r="Z301" i="2" s="1"/>
  <c r="AA301" i="2" s="1"/>
  <c r="AC301" i="2" s="1"/>
  <c r="BC301" i="2"/>
  <c r="Y300" i="2"/>
  <c r="I11" i="8"/>
  <c r="H11" i="8"/>
  <c r="G11" i="8"/>
  <c r="F11" i="8"/>
  <c r="E11" i="8"/>
  <c r="C11" i="8"/>
  <c r="AJ305" i="2" l="1"/>
  <c r="AU305" i="2" s="1"/>
  <c r="AI305" i="2"/>
  <c r="AF302" i="2"/>
  <c r="AJ306" i="2"/>
  <c r="AU306" i="2" s="1"/>
  <c r="AI306" i="2"/>
  <c r="AF301" i="2"/>
  <c r="AF303" i="2"/>
  <c r="Z300" i="2"/>
  <c r="AA300" i="2" s="1"/>
  <c r="AC300" i="2" s="1"/>
  <c r="Y304" i="2"/>
  <c r="Z304" i="2" s="1"/>
  <c r="AA304" i="2" s="1"/>
  <c r="AC304" i="2" s="1"/>
  <c r="B298" i="2"/>
  <c r="B297" i="2"/>
  <c r="B296" i="2"/>
  <c r="B294" i="2"/>
  <c r="B295" i="2"/>
  <c r="B292" i="2"/>
  <c r="B293" i="2"/>
  <c r="B291" i="2"/>
  <c r="B289" i="2"/>
  <c r="B282" i="2"/>
  <c r="B283" i="2"/>
  <c r="B284" i="2"/>
  <c r="B285" i="2"/>
  <c r="B286" i="2"/>
  <c r="B287" i="2"/>
  <c r="B288" i="2"/>
  <c r="B281" i="2"/>
  <c r="B280" i="2"/>
  <c r="B279" i="2"/>
  <c r="B278" i="2"/>
  <c r="B277" i="2"/>
  <c r="B276" i="2"/>
  <c r="B275" i="2"/>
  <c r="B274" i="2"/>
  <c r="B269" i="2"/>
  <c r="AT269" i="2" s="1"/>
  <c r="B270" i="2"/>
  <c r="AT270" i="2" s="1"/>
  <c r="B271" i="2"/>
  <c r="B272" i="2"/>
  <c r="B273" i="2"/>
  <c r="AT273" i="2" l="1"/>
  <c r="AT272" i="2"/>
  <c r="AT271" i="2"/>
  <c r="AT274" i="2"/>
  <c r="AT275" i="2"/>
  <c r="AT276" i="2"/>
  <c r="AT277" i="2"/>
  <c r="AT278" i="2"/>
  <c r="AT279" i="2"/>
  <c r="AT280" i="2"/>
  <c r="AT281" i="2"/>
  <c r="AT288" i="2"/>
  <c r="AT287" i="2"/>
  <c r="AT286" i="2"/>
  <c r="AT285" i="2"/>
  <c r="AT284" i="2"/>
  <c r="AT283" i="2"/>
  <c r="AT282" i="2"/>
  <c r="AT289" i="2"/>
  <c r="AT291" i="2"/>
  <c r="AT293" i="2"/>
  <c r="AT292" i="2"/>
  <c r="AT295" i="2"/>
  <c r="AT294" i="2"/>
  <c r="AT296" i="2"/>
  <c r="AT297" i="2"/>
  <c r="AT298" i="2"/>
  <c r="AS270" i="2"/>
  <c r="AS269" i="2"/>
  <c r="J273" i="2"/>
  <c r="BQ273" i="2" s="1"/>
  <c r="I273" i="2"/>
  <c r="L273" i="2" s="1"/>
  <c r="J272" i="2"/>
  <c r="BQ272" i="2" s="1"/>
  <c r="I272" i="2"/>
  <c r="L272" i="2" s="1"/>
  <c r="I271" i="2"/>
  <c r="L271" i="2" s="1"/>
  <c r="J271" i="2"/>
  <c r="BQ271" i="2" s="1"/>
  <c r="J270" i="2"/>
  <c r="BQ270" i="2" s="1"/>
  <c r="I270" i="2"/>
  <c r="L270" i="2" s="1"/>
  <c r="I269" i="2"/>
  <c r="L269" i="2" s="1"/>
  <c r="J269" i="2"/>
  <c r="BQ269" i="2" s="1"/>
  <c r="J274" i="2"/>
  <c r="BQ274" i="2" s="1"/>
  <c r="I274" i="2"/>
  <c r="J275" i="2"/>
  <c r="BQ275" i="2" s="1"/>
  <c r="I275" i="2"/>
  <c r="L275" i="2" s="1"/>
  <c r="I276" i="2"/>
  <c r="J276" i="2"/>
  <c r="BQ276" i="2" s="1"/>
  <c r="I277" i="2"/>
  <c r="L277" i="2" s="1"/>
  <c r="J277" i="2"/>
  <c r="BQ277" i="2" s="1"/>
  <c r="J278" i="2"/>
  <c r="BQ278" i="2" s="1"/>
  <c r="I278" i="2"/>
  <c r="J279" i="2"/>
  <c r="BQ279" i="2" s="1"/>
  <c r="I279" i="2"/>
  <c r="L279" i="2" s="1"/>
  <c r="J280" i="2"/>
  <c r="BQ280" i="2" s="1"/>
  <c r="I280" i="2"/>
  <c r="L280" i="2" s="1"/>
  <c r="J281" i="2"/>
  <c r="BQ281" i="2" s="1"/>
  <c r="I281" i="2"/>
  <c r="J288" i="2"/>
  <c r="BQ288" i="2" s="1"/>
  <c r="I288" i="2"/>
  <c r="L288" i="2" s="1"/>
  <c r="J287" i="2"/>
  <c r="BQ287" i="2" s="1"/>
  <c r="I287" i="2"/>
  <c r="L287" i="2" s="1"/>
  <c r="J286" i="2"/>
  <c r="BQ286" i="2" s="1"/>
  <c r="I286" i="2"/>
  <c r="L286" i="2" s="1"/>
  <c r="I285" i="2"/>
  <c r="L285" i="2" s="1"/>
  <c r="J285" i="2"/>
  <c r="BQ285" i="2" s="1"/>
  <c r="I284" i="2"/>
  <c r="L284" i="2" s="1"/>
  <c r="J284" i="2"/>
  <c r="BQ284" i="2" s="1"/>
  <c r="J283" i="2"/>
  <c r="BQ283" i="2" s="1"/>
  <c r="I283" i="2"/>
  <c r="L283" i="2" s="1"/>
  <c r="J282" i="2"/>
  <c r="BQ282" i="2" s="1"/>
  <c r="I282" i="2"/>
  <c r="L282" i="2" s="1"/>
  <c r="J289" i="2"/>
  <c r="BQ289" i="2" s="1"/>
  <c r="I289" i="2"/>
  <c r="L289" i="2" s="1"/>
  <c r="J291" i="2"/>
  <c r="BQ291" i="2" s="1"/>
  <c r="I291" i="2"/>
  <c r="L291" i="2" s="1"/>
  <c r="I293" i="2"/>
  <c r="L293" i="2" s="1"/>
  <c r="J293" i="2"/>
  <c r="BQ293" i="2" s="1"/>
  <c r="I292" i="2"/>
  <c r="J292" i="2"/>
  <c r="BQ292" i="2" s="1"/>
  <c r="I295" i="2"/>
  <c r="L295" i="2" s="1"/>
  <c r="J295" i="2"/>
  <c r="BQ295" i="2" s="1"/>
  <c r="J294" i="2"/>
  <c r="BQ294" i="2" s="1"/>
  <c r="I294" i="2"/>
  <c r="L294" i="2" s="1"/>
  <c r="J296" i="2"/>
  <c r="BQ296" i="2" s="1"/>
  <c r="I296" i="2"/>
  <c r="L296" i="2" s="1"/>
  <c r="I297" i="2"/>
  <c r="L297" i="2" s="1"/>
  <c r="J297" i="2"/>
  <c r="BQ297" i="2" s="1"/>
  <c r="J298" i="2"/>
  <c r="BQ298" i="2" s="1"/>
  <c r="I298" i="2"/>
  <c r="L298" i="2" s="1"/>
  <c r="AJ302" i="2"/>
  <c r="AU302" i="2" s="1"/>
  <c r="AF300" i="2"/>
  <c r="AJ301" i="2"/>
  <c r="AU301" i="2" s="1"/>
  <c r="AI301" i="2"/>
  <c r="AN306" i="2"/>
  <c r="AZ306" i="2"/>
  <c r="AL306" i="2"/>
  <c r="AO306" i="2"/>
  <c r="AP306" i="2" s="1"/>
  <c r="AQ306" i="2" s="1"/>
  <c r="AF304" i="2"/>
  <c r="AI304" i="2" s="1"/>
  <c r="AI302" i="2"/>
  <c r="AJ303" i="2"/>
  <c r="AU303" i="2" s="1"/>
  <c r="AI303" i="2"/>
  <c r="AO305" i="2"/>
  <c r="AP305" i="2" s="1"/>
  <c r="AQ305" i="2" s="1"/>
  <c r="AL305" i="2"/>
  <c r="AZ305" i="2"/>
  <c r="AN305" i="2"/>
  <c r="O276" i="2"/>
  <c r="O292" i="2"/>
  <c r="O285" i="2"/>
  <c r="O295" i="2"/>
  <c r="O273" i="2"/>
  <c r="O272" i="2"/>
  <c r="O278" i="2"/>
  <c r="O284" i="2"/>
  <c r="O294" i="2"/>
  <c r="O287" i="2"/>
  <c r="O277" i="2"/>
  <c r="O271" i="2"/>
  <c r="O279" i="2"/>
  <c r="O283" i="2"/>
  <c r="O296" i="2"/>
  <c r="O293" i="2"/>
  <c r="O280" i="2"/>
  <c r="O282" i="2"/>
  <c r="O297" i="2"/>
  <c r="O270" i="2"/>
  <c r="O281" i="2"/>
  <c r="O289" i="2"/>
  <c r="O298" i="2"/>
  <c r="O275" i="2"/>
  <c r="O286" i="2"/>
  <c r="O269" i="2"/>
  <c r="O274" i="2"/>
  <c r="L274" i="2"/>
  <c r="O288" i="2"/>
  <c r="O291" i="2"/>
  <c r="AD275" i="2"/>
  <c r="AG275" i="2" s="1"/>
  <c r="AD287" i="2"/>
  <c r="AD293" i="2"/>
  <c r="AG293" i="2" s="1"/>
  <c r="AD276" i="2"/>
  <c r="AG276" i="2" s="1"/>
  <c r="AD286" i="2"/>
  <c r="AD292" i="2"/>
  <c r="AD273" i="2"/>
  <c r="AD277" i="2"/>
  <c r="AG277" i="2" s="1"/>
  <c r="AD285" i="2"/>
  <c r="AD295" i="2"/>
  <c r="AG295" i="2" s="1"/>
  <c r="AD272" i="2"/>
  <c r="AD278" i="2"/>
  <c r="AD284" i="2"/>
  <c r="AD294" i="2"/>
  <c r="AG294" i="2" s="1"/>
  <c r="AD271" i="2"/>
  <c r="AD279" i="2"/>
  <c r="AD283" i="2"/>
  <c r="AD296" i="2"/>
  <c r="AG296" i="2" s="1"/>
  <c r="AD270" i="2"/>
  <c r="AG270" i="2" s="1"/>
  <c r="AD280" i="2"/>
  <c r="AD282" i="2"/>
  <c r="AD297" i="2"/>
  <c r="AG297" i="2" s="1"/>
  <c r="AD269" i="2"/>
  <c r="AG269" i="2" s="1"/>
  <c r="AD281" i="2"/>
  <c r="AD289" i="2"/>
  <c r="AG289" i="2" s="1"/>
  <c r="AD298" i="2"/>
  <c r="AG298" i="2" s="1"/>
  <c r="AD274" i="2"/>
  <c r="AG274" i="2" s="1"/>
  <c r="AD288" i="2"/>
  <c r="AD291" i="2"/>
  <c r="AG291" i="2" s="1"/>
  <c r="Q273" i="2"/>
  <c r="Q272" i="2"/>
  <c r="Q271" i="2"/>
  <c r="Q270" i="2"/>
  <c r="Q269" i="2"/>
  <c r="Q274" i="2"/>
  <c r="Q275" i="2"/>
  <c r="Q276" i="2"/>
  <c r="Q277" i="2"/>
  <c r="Q278" i="2"/>
  <c r="Q279" i="2"/>
  <c r="Q280" i="2"/>
  <c r="Q281" i="2"/>
  <c r="Q288" i="2"/>
  <c r="Q287" i="2"/>
  <c r="Q286" i="2"/>
  <c r="Q285" i="2"/>
  <c r="Q284" i="2"/>
  <c r="Q283" i="2"/>
  <c r="Q282" i="2"/>
  <c r="Q289" i="2"/>
  <c r="Q291" i="2"/>
  <c r="Q293" i="2"/>
  <c r="Q292" i="2"/>
  <c r="Q295" i="2"/>
  <c r="Q294" i="2"/>
  <c r="Q296" i="2"/>
  <c r="Q297" i="2"/>
  <c r="Q298" i="2"/>
  <c r="BO277" i="2"/>
  <c r="BN277" i="2"/>
  <c r="BL277" i="2"/>
  <c r="BK277" i="2"/>
  <c r="BM277" i="2"/>
  <c r="BJ277" i="2"/>
  <c r="BI277" i="2"/>
  <c r="BN276" i="2"/>
  <c r="BM276" i="2"/>
  <c r="BL276" i="2"/>
  <c r="BK276" i="2"/>
  <c r="BJ276" i="2"/>
  <c r="BO276" i="2"/>
  <c r="BI276" i="2"/>
  <c r="BO286" i="2"/>
  <c r="BM286" i="2"/>
  <c r="BK286" i="2"/>
  <c r="BN286" i="2"/>
  <c r="BL286" i="2"/>
  <c r="BJ286" i="2"/>
  <c r="BI286" i="2"/>
  <c r="BN292" i="2"/>
  <c r="BO292" i="2"/>
  <c r="BM292" i="2"/>
  <c r="BL292" i="2"/>
  <c r="BJ292" i="2"/>
  <c r="BK292" i="2"/>
  <c r="BI292" i="2"/>
  <c r="BO285" i="2"/>
  <c r="BN285" i="2"/>
  <c r="BL285" i="2"/>
  <c r="BK285" i="2"/>
  <c r="BM285" i="2"/>
  <c r="BJ285" i="2"/>
  <c r="BI285" i="2"/>
  <c r="BN295" i="2"/>
  <c r="BM295" i="2"/>
  <c r="BK295" i="2"/>
  <c r="BL295" i="2"/>
  <c r="BO295" i="2"/>
  <c r="BJ295" i="2"/>
  <c r="BI295" i="2"/>
  <c r="BO278" i="2"/>
  <c r="BN278" i="2"/>
  <c r="BM278" i="2"/>
  <c r="BL278" i="2"/>
  <c r="BK278" i="2"/>
  <c r="BJ278" i="2"/>
  <c r="BI278" i="2"/>
  <c r="BO284" i="2"/>
  <c r="BM284" i="2"/>
  <c r="BN284" i="2"/>
  <c r="BK284" i="2"/>
  <c r="BJ284" i="2"/>
  <c r="BL284" i="2"/>
  <c r="BI284" i="2"/>
  <c r="BO294" i="2"/>
  <c r="BM294" i="2"/>
  <c r="BN294" i="2"/>
  <c r="BK294" i="2"/>
  <c r="BL294" i="2"/>
  <c r="BJ294" i="2"/>
  <c r="BI294" i="2"/>
  <c r="BN271" i="2"/>
  <c r="BO271" i="2"/>
  <c r="BM271" i="2"/>
  <c r="BL271" i="2"/>
  <c r="BJ271" i="2"/>
  <c r="BK271" i="2"/>
  <c r="BI271" i="2"/>
  <c r="BN279" i="2"/>
  <c r="BO279" i="2"/>
  <c r="BM279" i="2"/>
  <c r="BL279" i="2"/>
  <c r="BK279" i="2"/>
  <c r="BJ279" i="2"/>
  <c r="BI279" i="2"/>
  <c r="BO283" i="2"/>
  <c r="BN283" i="2"/>
  <c r="BM283" i="2"/>
  <c r="BL283" i="2"/>
  <c r="BK283" i="2"/>
  <c r="BJ283" i="2"/>
  <c r="BI283" i="2"/>
  <c r="BN296" i="2"/>
  <c r="BM296" i="2"/>
  <c r="BL296" i="2"/>
  <c r="BK296" i="2"/>
  <c r="BJ296" i="2"/>
  <c r="BO296" i="2"/>
  <c r="BI296" i="2"/>
  <c r="BO273" i="2"/>
  <c r="BM273" i="2"/>
  <c r="BN273" i="2"/>
  <c r="BL273" i="2"/>
  <c r="BK273" i="2"/>
  <c r="BJ273" i="2"/>
  <c r="BI273" i="2"/>
  <c r="BO270" i="2"/>
  <c r="BM270" i="2"/>
  <c r="BN270" i="2"/>
  <c r="BL270" i="2"/>
  <c r="BK270" i="2"/>
  <c r="BJ270" i="2"/>
  <c r="BI270" i="2"/>
  <c r="BN280" i="2"/>
  <c r="BM280" i="2"/>
  <c r="BO280" i="2"/>
  <c r="BL280" i="2"/>
  <c r="BK280" i="2"/>
  <c r="BJ280" i="2"/>
  <c r="BI280" i="2"/>
  <c r="BO282" i="2"/>
  <c r="BM282" i="2"/>
  <c r="BN282" i="2"/>
  <c r="BL282" i="2"/>
  <c r="BJ282" i="2"/>
  <c r="BK282" i="2"/>
  <c r="BI282" i="2"/>
  <c r="BO297" i="2"/>
  <c r="BM297" i="2"/>
  <c r="BL297" i="2"/>
  <c r="BJ297" i="2"/>
  <c r="BK297" i="2"/>
  <c r="BN297" i="2"/>
  <c r="BI297" i="2"/>
  <c r="BO281" i="2"/>
  <c r="BM281" i="2"/>
  <c r="BN281" i="2"/>
  <c r="BL281" i="2"/>
  <c r="BJ281" i="2"/>
  <c r="BK281" i="2"/>
  <c r="BI281" i="2"/>
  <c r="BO289" i="2"/>
  <c r="BN289" i="2"/>
  <c r="BM289" i="2"/>
  <c r="BL289" i="2"/>
  <c r="BJ289" i="2"/>
  <c r="BK289" i="2"/>
  <c r="BI289" i="2"/>
  <c r="BO298" i="2"/>
  <c r="BM298" i="2"/>
  <c r="BN298" i="2"/>
  <c r="BL298" i="2"/>
  <c r="BJ298" i="2"/>
  <c r="BK298" i="2"/>
  <c r="BI298" i="2"/>
  <c r="BN272" i="2"/>
  <c r="BM272" i="2"/>
  <c r="BL272" i="2"/>
  <c r="BO272" i="2"/>
  <c r="BK272" i="2"/>
  <c r="BJ272" i="2"/>
  <c r="BI272" i="2"/>
  <c r="BO274" i="2"/>
  <c r="BM274" i="2"/>
  <c r="BN274" i="2"/>
  <c r="BL274" i="2"/>
  <c r="BK274" i="2"/>
  <c r="BJ274" i="2"/>
  <c r="BI274" i="2"/>
  <c r="BN288" i="2"/>
  <c r="BM288" i="2"/>
  <c r="BO288" i="2"/>
  <c r="BL288" i="2"/>
  <c r="BK288" i="2"/>
  <c r="BJ288" i="2"/>
  <c r="BI288" i="2"/>
  <c r="BO291" i="2"/>
  <c r="BN291" i="2"/>
  <c r="BM291" i="2"/>
  <c r="BL291" i="2"/>
  <c r="BJ291" i="2"/>
  <c r="BK291" i="2"/>
  <c r="BI291" i="2"/>
  <c r="BO269" i="2"/>
  <c r="BL269" i="2"/>
  <c r="BM269" i="2"/>
  <c r="BK269" i="2"/>
  <c r="BN269" i="2"/>
  <c r="BJ269" i="2"/>
  <c r="BI269" i="2"/>
  <c r="BO275" i="2"/>
  <c r="BN275" i="2"/>
  <c r="BM275" i="2"/>
  <c r="BL275" i="2"/>
  <c r="BK275" i="2"/>
  <c r="BJ275" i="2"/>
  <c r="BI275" i="2"/>
  <c r="BN287" i="2"/>
  <c r="BO287" i="2"/>
  <c r="BM287" i="2"/>
  <c r="BK287" i="2"/>
  <c r="BL287" i="2"/>
  <c r="BJ287" i="2"/>
  <c r="BI287" i="2"/>
  <c r="BO293" i="2"/>
  <c r="BN293" i="2"/>
  <c r="BL293" i="2"/>
  <c r="BK293" i="2"/>
  <c r="BM293" i="2"/>
  <c r="BJ293" i="2"/>
  <c r="BI293" i="2"/>
  <c r="AG292" i="2"/>
  <c r="L299" i="2"/>
  <c r="P299" i="2" s="1"/>
  <c r="BE299" i="2"/>
  <c r="BH295" i="2"/>
  <c r="BF294" i="2"/>
  <c r="BF296" i="2"/>
  <c r="BF297" i="2"/>
  <c r="BG298" i="2"/>
  <c r="BF298" i="2"/>
  <c r="BG297" i="2"/>
  <c r="BE294" i="2"/>
  <c r="BE297" i="2"/>
  <c r="BD294" i="2"/>
  <c r="BG296" i="2"/>
  <c r="BE296" i="2"/>
  <c r="BD296" i="2"/>
  <c r="BD299" i="2"/>
  <c r="BH283" i="2"/>
  <c r="BG299" i="2"/>
  <c r="BF287" i="2"/>
  <c r="BF293" i="2"/>
  <c r="BF285" i="2"/>
  <c r="BE283" i="2"/>
  <c r="BG292" i="2"/>
  <c r="BD297" i="2"/>
  <c r="BD298" i="2"/>
  <c r="BF299" i="2"/>
  <c r="BD295" i="2"/>
  <c r="BF282" i="2"/>
  <c r="BD279" i="2"/>
  <c r="BH282" i="2"/>
  <c r="BD288" i="2"/>
  <c r="BH291" i="2"/>
  <c r="BE292" i="2"/>
  <c r="BG281" i="2"/>
  <c r="BH281" i="2"/>
  <c r="BE298" i="2"/>
  <c r="BE293" i="2"/>
  <c r="BE295" i="2"/>
  <c r="BF281" i="2"/>
  <c r="BG291" i="2"/>
  <c r="BH294" i="2"/>
  <c r="BF288" i="2"/>
  <c r="BD292" i="2"/>
  <c r="BG295" i="2"/>
  <c r="BF295" i="2"/>
  <c r="BH296" i="2"/>
  <c r="BH297" i="2"/>
  <c r="BH298" i="2"/>
  <c r="BH299" i="2"/>
  <c r="BF291" i="2"/>
  <c r="BD293" i="2"/>
  <c r="BD281" i="2"/>
  <c r="BH288" i="2"/>
  <c r="BD285" i="2"/>
  <c r="BE291" i="2"/>
  <c r="BH293" i="2"/>
  <c r="BH287" i="2"/>
  <c r="BD291" i="2"/>
  <c r="BH292" i="2"/>
  <c r="BG293" i="2"/>
  <c r="BF284" i="2"/>
  <c r="BG288" i="2"/>
  <c r="BE287" i="2"/>
  <c r="BH280" i="2"/>
  <c r="BG287" i="2"/>
  <c r="BE286" i="2"/>
  <c r="BF292" i="2"/>
  <c r="BG294" i="2"/>
  <c r="BG286" i="2"/>
  <c r="BE285" i="2"/>
  <c r="BE284" i="2"/>
  <c r="BF286" i="2"/>
  <c r="BD286" i="2"/>
  <c r="BF280" i="2"/>
  <c r="BF289" i="2"/>
  <c r="BG285" i="2"/>
  <c r="BF283" i="2"/>
  <c r="BD283" i="2"/>
  <c r="BE289" i="2"/>
  <c r="BH286" i="2"/>
  <c r="BG283" i="2"/>
  <c r="BD282" i="2"/>
  <c r="BH285" i="2"/>
  <c r="BG282" i="2"/>
  <c r="BD280" i="2"/>
  <c r="BD289" i="2"/>
  <c r="BH278" i="2"/>
  <c r="BD287" i="2"/>
  <c r="BE288" i="2"/>
  <c r="BH289" i="2"/>
  <c r="BF278" i="2"/>
  <c r="BG289" i="2"/>
  <c r="BG276" i="2"/>
  <c r="BD278" i="2"/>
  <c r="BD284" i="2"/>
  <c r="BG284" i="2"/>
  <c r="BE282" i="2"/>
  <c r="BH284" i="2"/>
  <c r="BE276" i="2"/>
  <c r="BE281" i="2"/>
  <c r="BG280" i="2"/>
  <c r="BH279" i="2"/>
  <c r="BE280" i="2"/>
  <c r="BG279" i="2"/>
  <c r="BF279" i="2"/>
  <c r="BD276" i="2"/>
  <c r="BE279" i="2"/>
  <c r="BG278" i="2"/>
  <c r="BE278" i="2"/>
  <c r="BH275" i="2"/>
  <c r="BF276" i="2"/>
  <c r="BH277" i="2"/>
  <c r="BG277" i="2"/>
  <c r="BF277" i="2"/>
  <c r="BE277" i="2"/>
  <c r="BF275" i="2"/>
  <c r="BE272" i="2"/>
  <c r="BD277" i="2"/>
  <c r="BD275" i="2"/>
  <c r="BH276" i="2"/>
  <c r="BH271" i="2"/>
  <c r="BH270" i="2"/>
  <c r="BH274" i="2"/>
  <c r="BD274" i="2"/>
  <c r="BH273" i="2"/>
  <c r="BG275" i="2"/>
  <c r="BE275" i="2"/>
  <c r="BE273" i="2"/>
  <c r="BG273" i="2"/>
  <c r="BG269" i="2"/>
  <c r="BF274" i="2"/>
  <c r="BF272" i="2"/>
  <c r="BF269" i="2"/>
  <c r="BD269" i="2"/>
  <c r="BH269" i="2"/>
  <c r="BG272" i="2"/>
  <c r="BG274" i="2"/>
  <c r="BD272" i="2"/>
  <c r="BH272" i="2"/>
  <c r="BD270" i="2"/>
  <c r="BE274" i="2"/>
  <c r="BG271" i="2"/>
  <c r="BE269" i="2"/>
  <c r="BF273" i="2"/>
  <c r="BD273" i="2"/>
  <c r="BF271" i="2"/>
  <c r="BD271" i="2"/>
  <c r="BE271" i="2"/>
  <c r="BE270" i="2"/>
  <c r="BF270" i="2"/>
  <c r="BG270" i="2"/>
  <c r="AZ302" i="2" l="1"/>
  <c r="AV306" i="2"/>
  <c r="P269" i="2"/>
  <c r="P289" i="2"/>
  <c r="P282" i="2"/>
  <c r="P283" i="2"/>
  <c r="P287" i="2"/>
  <c r="P272" i="2"/>
  <c r="P291" i="2"/>
  <c r="P286" i="2"/>
  <c r="P280" i="2"/>
  <c r="P279" i="2"/>
  <c r="P294" i="2"/>
  <c r="P273" i="2"/>
  <c r="P288" i="2"/>
  <c r="P275" i="2"/>
  <c r="P270" i="2"/>
  <c r="P293" i="2"/>
  <c r="P271" i="2"/>
  <c r="P284" i="2"/>
  <c r="P295" i="2"/>
  <c r="P274" i="2"/>
  <c r="P298" i="2"/>
  <c r="P297" i="2"/>
  <c r="P296" i="2"/>
  <c r="P277" i="2"/>
  <c r="P285" i="2"/>
  <c r="AO302" i="2"/>
  <c r="AP302" i="2" s="1"/>
  <c r="AQ302" i="2" s="1"/>
  <c r="AV302" i="2"/>
  <c r="AL302" i="2"/>
  <c r="AN302" i="2"/>
  <c r="AV305" i="2"/>
  <c r="L292" i="2"/>
  <c r="P292" i="2" s="1"/>
  <c r="AJ304" i="2"/>
  <c r="AU304" i="2" s="1"/>
  <c r="AO303" i="2"/>
  <c r="AP303" i="2" s="1"/>
  <c r="AQ303" i="2" s="1"/>
  <c r="AN303" i="2"/>
  <c r="AZ303" i="2"/>
  <c r="AL303" i="2"/>
  <c r="AL301" i="2"/>
  <c r="AO301" i="2"/>
  <c r="AP301" i="2" s="1"/>
  <c r="AQ301" i="2" s="1"/>
  <c r="AN301" i="2"/>
  <c r="AJ300" i="2"/>
  <c r="AU300" i="2" s="1"/>
  <c r="AI300" i="2"/>
  <c r="L278" i="2"/>
  <c r="P278" i="2" s="1"/>
  <c r="AG282" i="2"/>
  <c r="AG283" i="2"/>
  <c r="AG284" i="2"/>
  <c r="AG285" i="2"/>
  <c r="AG286" i="2"/>
  <c r="AG287" i="2"/>
  <c r="AG288" i="2"/>
  <c r="AG281" i="2"/>
  <c r="AG280" i="2"/>
  <c r="AG279" i="2"/>
  <c r="AG278" i="2"/>
  <c r="AG271" i="2"/>
  <c r="AG272" i="2"/>
  <c r="AG273" i="2"/>
  <c r="L276" i="2"/>
  <c r="P276" i="2" s="1"/>
  <c r="L281" i="2"/>
  <c r="P281" i="2" s="1"/>
  <c r="AN304" i="2" l="1"/>
  <c r="AL304" i="2"/>
  <c r="AZ304" i="2"/>
  <c r="AO304" i="2"/>
  <c r="AP304" i="2" s="1"/>
  <c r="AQ304" i="2" s="1"/>
  <c r="AV303" i="2"/>
  <c r="AZ301" i="2"/>
  <c r="AV301" i="2"/>
  <c r="AN300" i="2"/>
  <c r="AO300" i="2"/>
  <c r="AP300" i="2" s="1"/>
  <c r="AQ300" i="2" s="1"/>
  <c r="AL300" i="2"/>
  <c r="S298" i="2"/>
  <c r="S288" i="2"/>
  <c r="S283" i="2"/>
  <c r="S295" i="2"/>
  <c r="S273" i="2"/>
  <c r="S293" i="2"/>
  <c r="S291" i="2"/>
  <c r="S275" i="2"/>
  <c r="S274" i="2"/>
  <c r="S278" i="2"/>
  <c r="S296" i="2"/>
  <c r="S276" i="2"/>
  <c r="S299" i="2"/>
  <c r="S292" i="2"/>
  <c r="S294" i="2"/>
  <c r="S297" i="2"/>
  <c r="S282" i="2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AV304" i="2" l="1"/>
  <c r="AZ300" i="2"/>
  <c r="AV300" i="2"/>
  <c r="BB282" i="2"/>
  <c r="BB297" i="2"/>
  <c r="BB294" i="2"/>
  <c r="BB292" i="2"/>
  <c r="BB299" i="2"/>
  <c r="BB276" i="2"/>
  <c r="BB296" i="2"/>
  <c r="BB278" i="2"/>
  <c r="BB274" i="2"/>
  <c r="BB275" i="2"/>
  <c r="BB291" i="2"/>
  <c r="BB293" i="2"/>
  <c r="BB273" i="2"/>
  <c r="BB295" i="2"/>
  <c r="BB283" i="2"/>
  <c r="BB288" i="2"/>
  <c r="BB298" i="2"/>
  <c r="U299" i="2"/>
  <c r="AK299" i="2" s="1"/>
  <c r="U283" i="2"/>
  <c r="AK283" i="2" s="1"/>
  <c r="U274" i="2"/>
  <c r="AK274" i="2" s="1"/>
  <c r="U273" i="2"/>
  <c r="AK273" i="2" s="1"/>
  <c r="U275" i="2"/>
  <c r="AK275" i="2" s="1"/>
  <c r="U293" i="2"/>
  <c r="AK293" i="2" s="1"/>
  <c r="U294" i="2"/>
  <c r="AK294" i="2" s="1"/>
  <c r="U288" i="2"/>
  <c r="AK288" i="2" s="1"/>
  <c r="U295" i="2"/>
  <c r="AK295" i="2" s="1"/>
  <c r="U297" i="2"/>
  <c r="AK297" i="2" s="1"/>
  <c r="U276" i="2"/>
  <c r="AK276" i="2" s="1"/>
  <c r="U282" i="2"/>
  <c r="AK282" i="2" s="1"/>
  <c r="U278" i="2"/>
  <c r="AK278" i="2" s="1"/>
  <c r="U291" i="2"/>
  <c r="AK291" i="2" s="1"/>
  <c r="U292" i="2"/>
  <c r="AK292" i="2" s="1"/>
  <c r="U298" i="2"/>
  <c r="AK298" i="2" s="1"/>
  <c r="U296" i="2"/>
  <c r="AK296" i="2" s="1"/>
  <c r="F83" i="5"/>
  <c r="F82" i="5"/>
  <c r="F81" i="5"/>
  <c r="F80" i="5"/>
  <c r="F79" i="5"/>
  <c r="F78" i="5"/>
  <c r="F77" i="5"/>
  <c r="A83" i="5"/>
  <c r="A82" i="5"/>
  <c r="A81" i="5"/>
  <c r="A80" i="5"/>
  <c r="A79" i="5"/>
  <c r="V296" i="2" l="1"/>
  <c r="W296" i="2" s="1"/>
  <c r="AH296" i="2"/>
  <c r="V298" i="2"/>
  <c r="W298" i="2" s="1"/>
  <c r="AH298" i="2"/>
  <c r="V292" i="2"/>
  <c r="W292" i="2" s="1"/>
  <c r="AH292" i="2"/>
  <c r="V291" i="2"/>
  <c r="W291" i="2" s="1"/>
  <c r="AH291" i="2"/>
  <c r="V278" i="2"/>
  <c r="W278" i="2" s="1"/>
  <c r="AH278" i="2"/>
  <c r="V282" i="2"/>
  <c r="W282" i="2" s="1"/>
  <c r="AH282" i="2"/>
  <c r="V276" i="2"/>
  <c r="W276" i="2" s="1"/>
  <c r="AH276" i="2"/>
  <c r="V297" i="2"/>
  <c r="W297" i="2" s="1"/>
  <c r="AH297" i="2"/>
  <c r="V295" i="2"/>
  <c r="W295" i="2" s="1"/>
  <c r="AH295" i="2"/>
  <c r="V288" i="2"/>
  <c r="W288" i="2" s="1"/>
  <c r="AH288" i="2"/>
  <c r="V294" i="2"/>
  <c r="W294" i="2" s="1"/>
  <c r="AH294" i="2"/>
  <c r="V293" i="2"/>
  <c r="W293" i="2" s="1"/>
  <c r="AH293" i="2"/>
  <c r="V275" i="2"/>
  <c r="W275" i="2" s="1"/>
  <c r="AH275" i="2"/>
  <c r="V273" i="2"/>
  <c r="W273" i="2" s="1"/>
  <c r="AH273" i="2"/>
  <c r="V274" i="2"/>
  <c r="W274" i="2" s="1"/>
  <c r="AH274" i="2"/>
  <c r="V283" i="2"/>
  <c r="W283" i="2" s="1"/>
  <c r="AH283" i="2"/>
  <c r="V299" i="2"/>
  <c r="W299" i="2" s="1"/>
  <c r="AH299" i="2"/>
  <c r="S292" i="7"/>
  <c r="O292" i="7"/>
  <c r="M292" i="7"/>
  <c r="B292" i="7"/>
  <c r="S291" i="7"/>
  <c r="O291" i="7"/>
  <c r="M291" i="7"/>
  <c r="B291" i="7"/>
  <c r="S290" i="7"/>
  <c r="O290" i="7"/>
  <c r="M290" i="7"/>
  <c r="B290" i="7"/>
  <c r="S289" i="7"/>
  <c r="O289" i="7"/>
  <c r="M289" i="7"/>
  <c r="B289" i="7"/>
  <c r="S288" i="7"/>
  <c r="O288" i="7"/>
  <c r="M288" i="7"/>
  <c r="B288" i="7"/>
  <c r="AB288" i="7" s="1"/>
  <c r="S287" i="7"/>
  <c r="O287" i="7"/>
  <c r="M287" i="7"/>
  <c r="B287" i="7"/>
  <c r="S286" i="7"/>
  <c r="O286" i="7"/>
  <c r="M286" i="7"/>
  <c r="B286" i="7"/>
  <c r="AE286" i="7" s="1"/>
  <c r="S285" i="7"/>
  <c r="O285" i="7"/>
  <c r="M285" i="7"/>
  <c r="B285" i="7"/>
  <c r="S284" i="7"/>
  <c r="O284" i="7"/>
  <c r="M284" i="7"/>
  <c r="B284" i="7"/>
  <c r="S283" i="7"/>
  <c r="O283" i="7"/>
  <c r="M283" i="7"/>
  <c r="B283" i="7"/>
  <c r="S282" i="7"/>
  <c r="O282" i="7"/>
  <c r="M282" i="7"/>
  <c r="B282" i="7"/>
  <c r="AF281" i="7"/>
  <c r="S281" i="7"/>
  <c r="O281" i="7"/>
  <c r="M281" i="7"/>
  <c r="B281" i="7"/>
  <c r="S280" i="7"/>
  <c r="O280" i="7"/>
  <c r="M280" i="7"/>
  <c r="B280" i="7"/>
  <c r="AF280" i="7" s="1"/>
  <c r="S279" i="7"/>
  <c r="O279" i="7"/>
  <c r="M279" i="7"/>
  <c r="B279" i="7"/>
  <c r="S278" i="7"/>
  <c r="O278" i="7"/>
  <c r="M278" i="7"/>
  <c r="B278" i="7"/>
  <c r="AF278" i="7" s="1"/>
  <c r="AB277" i="7"/>
  <c r="S277" i="7"/>
  <c r="O277" i="7"/>
  <c r="M277" i="7"/>
  <c r="K277" i="7"/>
  <c r="B277" i="7"/>
  <c r="R277" i="7" s="1"/>
  <c r="S276" i="7"/>
  <c r="O276" i="7"/>
  <c r="M276" i="7"/>
  <c r="B276" i="7"/>
  <c r="AB276" i="7" s="1"/>
  <c r="S275" i="7"/>
  <c r="O275" i="7"/>
  <c r="M275" i="7"/>
  <c r="B275" i="7"/>
  <c r="AF275" i="7" s="1"/>
  <c r="S274" i="7"/>
  <c r="O274" i="7"/>
  <c r="M274" i="7"/>
  <c r="K274" i="7"/>
  <c r="B274" i="7"/>
  <c r="AE274" i="7" s="1"/>
  <c r="S273" i="7"/>
  <c r="O273" i="7"/>
  <c r="M273" i="7"/>
  <c r="K273" i="7"/>
  <c r="B273" i="7"/>
  <c r="AE273" i="7" s="1"/>
  <c r="S272" i="7"/>
  <c r="O272" i="7"/>
  <c r="M272" i="7"/>
  <c r="K272" i="7"/>
  <c r="B272" i="7"/>
  <c r="AC272" i="7" s="1"/>
  <c r="S271" i="7"/>
  <c r="O271" i="7"/>
  <c r="M271" i="7"/>
  <c r="B271" i="7"/>
  <c r="AF270" i="7"/>
  <c r="S270" i="7"/>
  <c r="O270" i="7"/>
  <c r="M270" i="7"/>
  <c r="K270" i="7"/>
  <c r="B270" i="7"/>
  <c r="AD270" i="7" s="1"/>
  <c r="S269" i="7"/>
  <c r="O269" i="7"/>
  <c r="M269" i="7"/>
  <c r="K269" i="7"/>
  <c r="B269" i="7"/>
  <c r="S268" i="7"/>
  <c r="O268" i="7"/>
  <c r="M268" i="7"/>
  <c r="K268" i="7"/>
  <c r="B268" i="7"/>
  <c r="S267" i="7"/>
  <c r="O267" i="7"/>
  <c r="M267" i="7"/>
  <c r="K267" i="7"/>
  <c r="B267" i="7"/>
  <c r="AC267" i="7" s="1"/>
  <c r="S266" i="7"/>
  <c r="R266" i="7"/>
  <c r="O266" i="7"/>
  <c r="M266" i="7"/>
  <c r="B266" i="7"/>
  <c r="AB266" i="7" s="1"/>
  <c r="S265" i="7"/>
  <c r="O265" i="7"/>
  <c r="M265" i="7"/>
  <c r="B265" i="7"/>
  <c r="AF265" i="7" s="1"/>
  <c r="S264" i="7"/>
  <c r="O264" i="7"/>
  <c r="M264" i="7"/>
  <c r="B264" i="7"/>
  <c r="AF264" i="7" s="1"/>
  <c r="S263" i="7"/>
  <c r="O263" i="7"/>
  <c r="M263" i="7"/>
  <c r="B263" i="7"/>
  <c r="AF263" i="7" s="1"/>
  <c r="S262" i="7"/>
  <c r="R262" i="7"/>
  <c r="O262" i="7"/>
  <c r="M262" i="7"/>
  <c r="B262" i="7"/>
  <c r="AB262" i="7" s="1"/>
  <c r="S261" i="7"/>
  <c r="O261" i="7"/>
  <c r="M261" i="7"/>
  <c r="B261" i="7"/>
  <c r="R261" i="7" s="1"/>
  <c r="S260" i="7"/>
  <c r="O260" i="7"/>
  <c r="M260" i="7"/>
  <c r="B260" i="7"/>
  <c r="S259" i="7"/>
  <c r="O259" i="7"/>
  <c r="M259" i="7"/>
  <c r="B259" i="7"/>
  <c r="AD259" i="7" s="1"/>
  <c r="S258" i="7"/>
  <c r="O258" i="7"/>
  <c r="M258" i="7"/>
  <c r="B258" i="7"/>
  <c r="AF258" i="7" s="1"/>
  <c r="S257" i="7"/>
  <c r="O257" i="7"/>
  <c r="M257" i="7"/>
  <c r="B257" i="7"/>
  <c r="S256" i="7"/>
  <c r="O256" i="7"/>
  <c r="M256" i="7"/>
  <c r="B256" i="7"/>
  <c r="R256" i="7" s="1"/>
  <c r="S255" i="7"/>
  <c r="O255" i="7"/>
  <c r="M255" i="7"/>
  <c r="B255" i="7"/>
  <c r="AF255" i="7" s="1"/>
  <c r="S254" i="7"/>
  <c r="O254" i="7"/>
  <c r="M254" i="7"/>
  <c r="B254" i="7"/>
  <c r="R254" i="7" s="1"/>
  <c r="S253" i="7"/>
  <c r="O253" i="7"/>
  <c r="M253" i="7"/>
  <c r="B253" i="7"/>
  <c r="AE253" i="7" s="1"/>
  <c r="S252" i="7"/>
  <c r="O252" i="7"/>
  <c r="M252" i="7"/>
  <c r="B252" i="7"/>
  <c r="AE252" i="7" s="1"/>
  <c r="S251" i="7"/>
  <c r="O251" i="7"/>
  <c r="M251" i="7"/>
  <c r="B251" i="7"/>
  <c r="AD251" i="7" s="1"/>
  <c r="S250" i="7"/>
  <c r="O250" i="7"/>
  <c r="M250" i="7"/>
  <c r="B250" i="7"/>
  <c r="AE250" i="7" s="1"/>
  <c r="S249" i="7"/>
  <c r="O249" i="7"/>
  <c r="M249" i="7"/>
  <c r="B249" i="7"/>
  <c r="S248" i="7"/>
  <c r="O248" i="7"/>
  <c r="M248" i="7"/>
  <c r="B248" i="7"/>
  <c r="S247" i="7"/>
  <c r="O247" i="7"/>
  <c r="M247" i="7"/>
  <c r="B247" i="7"/>
  <c r="AB247" i="7" s="1"/>
  <c r="S246" i="7"/>
  <c r="O246" i="7"/>
  <c r="M246" i="7"/>
  <c r="B246" i="7"/>
  <c r="S245" i="7"/>
  <c r="O245" i="7"/>
  <c r="M245" i="7"/>
  <c r="B245" i="7"/>
  <c r="AE245" i="7" s="1"/>
  <c r="S244" i="7"/>
  <c r="O244" i="7"/>
  <c r="M244" i="7"/>
  <c r="B244" i="7"/>
  <c r="S243" i="7"/>
  <c r="O243" i="7"/>
  <c r="M243" i="7"/>
  <c r="B243" i="7"/>
  <c r="S242" i="7"/>
  <c r="O242" i="7"/>
  <c r="M242" i="7"/>
  <c r="B242" i="7"/>
  <c r="AD242" i="7" s="1"/>
  <c r="S241" i="7"/>
  <c r="O241" i="7"/>
  <c r="M241" i="7"/>
  <c r="B241" i="7"/>
  <c r="AB241" i="7" s="1"/>
  <c r="S240" i="7"/>
  <c r="O240" i="7"/>
  <c r="M240" i="7"/>
  <c r="B240" i="7"/>
  <c r="AF240" i="7" s="1"/>
  <c r="S239" i="7"/>
  <c r="O239" i="7"/>
  <c r="M239" i="7"/>
  <c r="B239" i="7"/>
  <c r="AC239" i="7" s="1"/>
  <c r="S238" i="7"/>
  <c r="O238" i="7"/>
  <c r="M238" i="7"/>
  <c r="B238" i="7"/>
  <c r="S237" i="7"/>
  <c r="O237" i="7"/>
  <c r="M237" i="7"/>
  <c r="B237" i="7"/>
  <c r="S236" i="7"/>
  <c r="O236" i="7"/>
  <c r="M236" i="7"/>
  <c r="B236" i="7"/>
  <c r="AF236" i="7" s="1"/>
  <c r="S235" i="7"/>
  <c r="O235" i="7"/>
  <c r="M235" i="7"/>
  <c r="B235" i="7"/>
  <c r="AC235" i="7" s="1"/>
  <c r="AC234" i="7"/>
  <c r="S234" i="7"/>
  <c r="O234" i="7"/>
  <c r="M234" i="7"/>
  <c r="B234" i="7"/>
  <c r="AE234" i="7" s="1"/>
  <c r="S233" i="7"/>
  <c r="O233" i="7"/>
  <c r="M233" i="7"/>
  <c r="B233" i="7"/>
  <c r="S232" i="7"/>
  <c r="O232" i="7"/>
  <c r="M232" i="7"/>
  <c r="B232" i="7"/>
  <c r="S231" i="7"/>
  <c r="O231" i="7"/>
  <c r="M231" i="7"/>
  <c r="B231" i="7"/>
  <c r="AE231" i="7" s="1"/>
  <c r="S230" i="7"/>
  <c r="R230" i="7"/>
  <c r="O230" i="7"/>
  <c r="M230" i="7"/>
  <c r="B230" i="7"/>
  <c r="AF230" i="7" s="1"/>
  <c r="S229" i="7"/>
  <c r="O229" i="7"/>
  <c r="M229" i="7"/>
  <c r="B229" i="7"/>
  <c r="S228" i="7"/>
  <c r="O228" i="7"/>
  <c r="M228" i="7"/>
  <c r="B228" i="7"/>
  <c r="S227" i="7"/>
  <c r="O227" i="7"/>
  <c r="M227" i="7"/>
  <c r="B227" i="7"/>
  <c r="S226" i="7"/>
  <c r="O226" i="7"/>
  <c r="M226" i="7"/>
  <c r="B226" i="7"/>
  <c r="AD226" i="7" s="1"/>
  <c r="S225" i="7"/>
  <c r="O225" i="7"/>
  <c r="M225" i="7"/>
  <c r="B225" i="7"/>
  <c r="AB225" i="7" s="1"/>
  <c r="S224" i="7"/>
  <c r="O224" i="7"/>
  <c r="M224" i="7"/>
  <c r="B224" i="7"/>
  <c r="S223" i="7"/>
  <c r="O223" i="7"/>
  <c r="M223" i="7"/>
  <c r="B223" i="7"/>
  <c r="AD222" i="7"/>
  <c r="S222" i="7"/>
  <c r="O222" i="7"/>
  <c r="M222" i="7"/>
  <c r="B222" i="7"/>
  <c r="S221" i="7"/>
  <c r="O221" i="7"/>
  <c r="M221" i="7"/>
  <c r="B221" i="7"/>
  <c r="S220" i="7"/>
  <c r="O220" i="7"/>
  <c r="M220" i="7"/>
  <c r="B220" i="7"/>
  <c r="S219" i="7"/>
  <c r="O219" i="7"/>
  <c r="M219" i="7"/>
  <c r="B219" i="7"/>
  <c r="AD219" i="7" s="1"/>
  <c r="S218" i="7"/>
  <c r="O218" i="7"/>
  <c r="M218" i="7"/>
  <c r="B218" i="7"/>
  <c r="AF218" i="7" s="1"/>
  <c r="S217" i="7"/>
  <c r="O217" i="7"/>
  <c r="M217" i="7"/>
  <c r="B217" i="7"/>
  <c r="AC217" i="7" s="1"/>
  <c r="S216" i="7"/>
  <c r="O216" i="7"/>
  <c r="M216" i="7"/>
  <c r="B216" i="7"/>
  <c r="S215" i="7"/>
  <c r="O215" i="7"/>
  <c r="M215" i="7"/>
  <c r="B215" i="7"/>
  <c r="S214" i="7"/>
  <c r="O214" i="7"/>
  <c r="M214" i="7"/>
  <c r="B214" i="7"/>
  <c r="S213" i="7"/>
  <c r="O213" i="7"/>
  <c r="M213" i="7"/>
  <c r="B213" i="7"/>
  <c r="AB213" i="7" s="1"/>
  <c r="S212" i="7"/>
  <c r="O212" i="7"/>
  <c r="M212" i="7"/>
  <c r="B212" i="7"/>
  <c r="AC212" i="7" s="1"/>
  <c r="S211" i="7"/>
  <c r="O211" i="7"/>
  <c r="M211" i="7"/>
  <c r="B211" i="7"/>
  <c r="S210" i="7"/>
  <c r="O210" i="7"/>
  <c r="M210" i="7"/>
  <c r="B210" i="7"/>
  <c r="S209" i="7"/>
  <c r="O209" i="7"/>
  <c r="M209" i="7"/>
  <c r="B209" i="7"/>
  <c r="R209" i="7" s="1"/>
  <c r="S208" i="7"/>
  <c r="O208" i="7"/>
  <c r="M208" i="7"/>
  <c r="B208" i="7"/>
  <c r="AE208" i="7" s="1"/>
  <c r="S207" i="7"/>
  <c r="O207" i="7"/>
  <c r="M207" i="7"/>
  <c r="B207" i="7"/>
  <c r="S206" i="7"/>
  <c r="O206" i="7"/>
  <c r="M206" i="7"/>
  <c r="B206" i="7"/>
  <c r="S205" i="7"/>
  <c r="O205" i="7"/>
  <c r="M205" i="7"/>
  <c r="B205" i="7"/>
  <c r="AC205" i="7" s="1"/>
  <c r="S204" i="7"/>
  <c r="O204" i="7"/>
  <c r="M204" i="7"/>
  <c r="B204" i="7"/>
  <c r="S203" i="7"/>
  <c r="O203" i="7"/>
  <c r="M203" i="7"/>
  <c r="B203" i="7"/>
  <c r="S202" i="7"/>
  <c r="O202" i="7"/>
  <c r="M202" i="7"/>
  <c r="B202" i="7"/>
  <c r="S201" i="7"/>
  <c r="O201" i="7"/>
  <c r="M201" i="7"/>
  <c r="B201" i="7"/>
  <c r="S200" i="7"/>
  <c r="O200" i="7"/>
  <c r="M200" i="7"/>
  <c r="B200" i="7"/>
  <c r="S199" i="7"/>
  <c r="O199" i="7"/>
  <c r="M199" i="7"/>
  <c r="B199" i="7"/>
  <c r="S198" i="7"/>
  <c r="O198" i="7"/>
  <c r="M198" i="7"/>
  <c r="B198" i="7"/>
  <c r="S197" i="7"/>
  <c r="O197" i="7"/>
  <c r="M197" i="7"/>
  <c r="B197" i="7"/>
  <c r="R197" i="7" s="1"/>
  <c r="S196" i="7"/>
  <c r="O196" i="7"/>
  <c r="M196" i="7"/>
  <c r="B196" i="7"/>
  <c r="AF195" i="7"/>
  <c r="S195" i="7"/>
  <c r="O195" i="7"/>
  <c r="M195" i="7"/>
  <c r="B195" i="7"/>
  <c r="AF194" i="7"/>
  <c r="AD194" i="7"/>
  <c r="S194" i="7"/>
  <c r="O194" i="7"/>
  <c r="M194" i="7"/>
  <c r="B194" i="7"/>
  <c r="R194" i="7" s="1"/>
  <c r="AF193" i="7"/>
  <c r="S193" i="7"/>
  <c r="R193" i="7"/>
  <c r="O193" i="7"/>
  <c r="M193" i="7"/>
  <c r="B193" i="7"/>
  <c r="AD193" i="7" s="1"/>
  <c r="S192" i="7"/>
  <c r="O192" i="7"/>
  <c r="M192" i="7"/>
  <c r="B192" i="7"/>
  <c r="AB192" i="7" s="1"/>
  <c r="S191" i="7"/>
  <c r="O191" i="7"/>
  <c r="M191" i="7"/>
  <c r="B191" i="7"/>
  <c r="S190" i="7"/>
  <c r="O190" i="7"/>
  <c r="M190" i="7"/>
  <c r="B190" i="7"/>
  <c r="AE189" i="7"/>
  <c r="S189" i="7"/>
  <c r="O189" i="7"/>
  <c r="M189" i="7"/>
  <c r="B189" i="7"/>
  <c r="AB189" i="7" s="1"/>
  <c r="S188" i="7"/>
  <c r="O188" i="7"/>
  <c r="M188" i="7"/>
  <c r="B188" i="7"/>
  <c r="S187" i="7"/>
  <c r="O187" i="7"/>
  <c r="M187" i="7"/>
  <c r="B187" i="7"/>
  <c r="S186" i="7"/>
  <c r="O186" i="7"/>
  <c r="M186" i="7"/>
  <c r="B186" i="7"/>
  <c r="S185" i="7"/>
  <c r="O185" i="7"/>
  <c r="M185" i="7"/>
  <c r="B185" i="7"/>
  <c r="AD185" i="7" s="1"/>
  <c r="S184" i="7"/>
  <c r="O184" i="7"/>
  <c r="M184" i="7"/>
  <c r="B184" i="7"/>
  <c r="S183" i="7"/>
  <c r="O183" i="7"/>
  <c r="M183" i="7"/>
  <c r="B183" i="7"/>
  <c r="AB183" i="7" s="1"/>
  <c r="S182" i="7"/>
  <c r="O182" i="7"/>
  <c r="M182" i="7"/>
  <c r="B182" i="7"/>
  <c r="AC181" i="7"/>
  <c r="S181" i="7"/>
  <c r="O181" i="7"/>
  <c r="M181" i="7"/>
  <c r="B181" i="7"/>
  <c r="AE181" i="7" s="1"/>
  <c r="S180" i="7"/>
  <c r="O180" i="7"/>
  <c r="M180" i="7"/>
  <c r="B180" i="7"/>
  <c r="AD180" i="7" s="1"/>
  <c r="S179" i="7"/>
  <c r="O179" i="7"/>
  <c r="M179" i="7"/>
  <c r="B179" i="7"/>
  <c r="S178" i="7"/>
  <c r="O178" i="7"/>
  <c r="M178" i="7"/>
  <c r="B178" i="7"/>
  <c r="AD178" i="7" s="1"/>
  <c r="S177" i="7"/>
  <c r="O177" i="7"/>
  <c r="M177" i="7"/>
  <c r="B177" i="7"/>
  <c r="S176" i="7"/>
  <c r="O176" i="7"/>
  <c r="M176" i="7"/>
  <c r="B176" i="7"/>
  <c r="AF176" i="7" s="1"/>
  <c r="S175" i="7"/>
  <c r="O175" i="7"/>
  <c r="M175" i="7"/>
  <c r="B175" i="7"/>
  <c r="AE175" i="7" s="1"/>
  <c r="S174" i="7"/>
  <c r="O174" i="7"/>
  <c r="M174" i="7"/>
  <c r="B174" i="7"/>
  <c r="S173" i="7"/>
  <c r="O173" i="7"/>
  <c r="M173" i="7"/>
  <c r="B173" i="7"/>
  <c r="S172" i="7"/>
  <c r="O172" i="7"/>
  <c r="M172" i="7"/>
  <c r="B172" i="7"/>
  <c r="AB172" i="7" s="1"/>
  <c r="S171" i="7"/>
  <c r="O171" i="7"/>
  <c r="M171" i="7"/>
  <c r="B171" i="7"/>
  <c r="S170" i="7"/>
  <c r="O170" i="7"/>
  <c r="M170" i="7"/>
  <c r="B170" i="7"/>
  <c r="S169" i="7"/>
  <c r="O169" i="7"/>
  <c r="M169" i="7"/>
  <c r="B169" i="7"/>
  <c r="S168" i="7"/>
  <c r="O168" i="7"/>
  <c r="M168" i="7"/>
  <c r="B168" i="7"/>
  <c r="AF168" i="7" s="1"/>
  <c r="S167" i="7"/>
  <c r="O167" i="7"/>
  <c r="M167" i="7"/>
  <c r="B167" i="7"/>
  <c r="AF166" i="7"/>
  <c r="AD166" i="7"/>
  <c r="S166" i="7"/>
  <c r="O166" i="7"/>
  <c r="M166" i="7"/>
  <c r="B166" i="7"/>
  <c r="S165" i="7"/>
  <c r="O165" i="7"/>
  <c r="M165" i="7"/>
  <c r="B165" i="7"/>
  <c r="AD165" i="7" s="1"/>
  <c r="S164" i="7"/>
  <c r="O164" i="7"/>
  <c r="M164" i="7"/>
  <c r="B164" i="7"/>
  <c r="AC164" i="7" s="1"/>
  <c r="AC163" i="7"/>
  <c r="S163" i="7"/>
  <c r="O163" i="7"/>
  <c r="M163" i="7"/>
  <c r="B163" i="7"/>
  <c r="AB163" i="7" s="1"/>
  <c r="S162" i="7"/>
  <c r="O162" i="7"/>
  <c r="M162" i="7"/>
  <c r="B162" i="7"/>
  <c r="S161" i="7"/>
  <c r="O161" i="7"/>
  <c r="M161" i="7"/>
  <c r="B161" i="7"/>
  <c r="AB161" i="7" s="1"/>
  <c r="S160" i="7"/>
  <c r="O160" i="7"/>
  <c r="M160" i="7"/>
  <c r="B160" i="7"/>
  <c r="AF160" i="7" s="1"/>
  <c r="S159" i="7"/>
  <c r="O159" i="7"/>
  <c r="M159" i="7"/>
  <c r="B159" i="7"/>
  <c r="AD159" i="7" s="1"/>
  <c r="S158" i="7"/>
  <c r="O158" i="7"/>
  <c r="M158" i="7"/>
  <c r="B158" i="7"/>
  <c r="R158" i="7" s="1"/>
  <c r="S157" i="7"/>
  <c r="O157" i="7"/>
  <c r="M157" i="7"/>
  <c r="B157" i="7"/>
  <c r="AF157" i="7" s="1"/>
  <c r="S156" i="7"/>
  <c r="O156" i="7"/>
  <c r="M156" i="7"/>
  <c r="B156" i="7"/>
  <c r="AB156" i="7" s="1"/>
  <c r="S155" i="7"/>
  <c r="O155" i="7"/>
  <c r="M155" i="7"/>
  <c r="B155" i="7"/>
  <c r="AB155" i="7" s="1"/>
  <c r="S154" i="7"/>
  <c r="O154" i="7"/>
  <c r="M154" i="7"/>
  <c r="B154" i="7"/>
  <c r="S153" i="7"/>
  <c r="O153" i="7"/>
  <c r="M153" i="7"/>
  <c r="B153" i="7"/>
  <c r="AB153" i="7" s="1"/>
  <c r="S152" i="7"/>
  <c r="O152" i="7"/>
  <c r="M152" i="7"/>
  <c r="B152" i="7"/>
  <c r="AE152" i="7" s="1"/>
  <c r="S151" i="7"/>
  <c r="O151" i="7"/>
  <c r="M151" i="7"/>
  <c r="B151" i="7"/>
  <c r="AF151" i="7" s="1"/>
  <c r="S150" i="7"/>
  <c r="O150" i="7"/>
  <c r="M150" i="7"/>
  <c r="B150" i="7"/>
  <c r="S149" i="7"/>
  <c r="O149" i="7"/>
  <c r="M149" i="7"/>
  <c r="B149" i="7"/>
  <c r="R149" i="7" s="1"/>
  <c r="S148" i="7"/>
  <c r="O148" i="7"/>
  <c r="M148" i="7"/>
  <c r="B148" i="7"/>
  <c r="S147" i="7"/>
  <c r="O147" i="7"/>
  <c r="M147" i="7"/>
  <c r="B147" i="7"/>
  <c r="S146" i="7"/>
  <c r="O146" i="7"/>
  <c r="M146" i="7"/>
  <c r="B146" i="7"/>
  <c r="S145" i="7"/>
  <c r="O145" i="7"/>
  <c r="M145" i="7"/>
  <c r="B145" i="7"/>
  <c r="AD145" i="7" s="1"/>
  <c r="AD144" i="7"/>
  <c r="S144" i="7"/>
  <c r="O144" i="7"/>
  <c r="M144" i="7"/>
  <c r="B144" i="7"/>
  <c r="AE144" i="7" s="1"/>
  <c r="AF143" i="7"/>
  <c r="S143" i="7"/>
  <c r="O143" i="7"/>
  <c r="M143" i="7"/>
  <c r="B143" i="7"/>
  <c r="AD143" i="7" s="1"/>
  <c r="S142" i="7"/>
  <c r="O142" i="7"/>
  <c r="M142" i="7"/>
  <c r="B142" i="7"/>
  <c r="S141" i="7"/>
  <c r="O141" i="7"/>
  <c r="M141" i="7"/>
  <c r="B141" i="7"/>
  <c r="S140" i="7"/>
  <c r="O140" i="7"/>
  <c r="M140" i="7"/>
  <c r="B140" i="7"/>
  <c r="AF140" i="7" s="1"/>
  <c r="S139" i="7"/>
  <c r="O139" i="7"/>
  <c r="M139" i="7"/>
  <c r="B139" i="7"/>
  <c r="AD139" i="7" s="1"/>
  <c r="S138" i="7"/>
  <c r="O138" i="7"/>
  <c r="M138" i="7"/>
  <c r="B138" i="7"/>
  <c r="AE138" i="7" s="1"/>
  <c r="S137" i="7"/>
  <c r="O137" i="7"/>
  <c r="M137" i="7"/>
  <c r="B137" i="7"/>
  <c r="AB137" i="7" s="1"/>
  <c r="AF136" i="7"/>
  <c r="S136" i="7"/>
  <c r="O136" i="7"/>
  <c r="M136" i="7"/>
  <c r="B136" i="7"/>
  <c r="AD136" i="7" s="1"/>
  <c r="AD135" i="7"/>
  <c r="S135" i="7"/>
  <c r="O135" i="7"/>
  <c r="M135" i="7"/>
  <c r="B135" i="7"/>
  <c r="AC135" i="7" s="1"/>
  <c r="AF134" i="7"/>
  <c r="S134" i="7"/>
  <c r="O134" i="7"/>
  <c r="M134" i="7"/>
  <c r="B134" i="7"/>
  <c r="S133" i="7"/>
  <c r="O133" i="7"/>
  <c r="M133" i="7"/>
  <c r="B133" i="7"/>
  <c r="AF133" i="7" s="1"/>
  <c r="S132" i="7"/>
  <c r="O132" i="7"/>
  <c r="M132" i="7"/>
  <c r="B132" i="7"/>
  <c r="R132" i="7" s="1"/>
  <c r="S131" i="7"/>
  <c r="O131" i="7"/>
  <c r="M131" i="7"/>
  <c r="B131" i="7"/>
  <c r="S130" i="7"/>
  <c r="O130" i="7"/>
  <c r="M130" i="7"/>
  <c r="B130" i="7"/>
  <c r="R130" i="7" s="1"/>
  <c r="S129" i="7"/>
  <c r="O129" i="7"/>
  <c r="M129" i="7"/>
  <c r="B129" i="7"/>
  <c r="S128" i="7"/>
  <c r="O128" i="7"/>
  <c r="M128" i="7"/>
  <c r="B128" i="7"/>
  <c r="AD128" i="7" s="1"/>
  <c r="S127" i="7"/>
  <c r="O127" i="7"/>
  <c r="M127" i="7"/>
  <c r="B127" i="7"/>
  <c r="AD127" i="7" s="1"/>
  <c r="S126" i="7"/>
  <c r="O126" i="7"/>
  <c r="M126" i="7"/>
  <c r="B126" i="7"/>
  <c r="S125" i="7"/>
  <c r="O125" i="7"/>
  <c r="M125" i="7"/>
  <c r="B125" i="7"/>
  <c r="R125" i="7" s="1"/>
  <c r="S124" i="7"/>
  <c r="O124" i="7"/>
  <c r="M124" i="7"/>
  <c r="B124" i="7"/>
  <c r="S123" i="7"/>
  <c r="O123" i="7"/>
  <c r="M123" i="7"/>
  <c r="B123" i="7"/>
  <c r="R123" i="7" s="1"/>
  <c r="AB122" i="7"/>
  <c r="S122" i="7"/>
  <c r="O122" i="7"/>
  <c r="M122" i="7"/>
  <c r="B122" i="7"/>
  <c r="AD122" i="7" s="1"/>
  <c r="S121" i="7"/>
  <c r="O121" i="7"/>
  <c r="M121" i="7"/>
  <c r="B121" i="7"/>
  <c r="AD121" i="7" s="1"/>
  <c r="S120" i="7"/>
  <c r="O120" i="7"/>
  <c r="M120" i="7"/>
  <c r="B120" i="7"/>
  <c r="AE119" i="7"/>
  <c r="S119" i="7"/>
  <c r="O119" i="7"/>
  <c r="M119" i="7"/>
  <c r="B119" i="7"/>
  <c r="AF119" i="7" s="1"/>
  <c r="AC118" i="7"/>
  <c r="S118" i="7"/>
  <c r="R118" i="7"/>
  <c r="O118" i="7"/>
  <c r="M118" i="7"/>
  <c r="B118" i="7"/>
  <c r="AF118" i="7" s="1"/>
  <c r="S117" i="7"/>
  <c r="O117" i="7"/>
  <c r="M117" i="7"/>
  <c r="B117" i="7"/>
  <c r="AB117" i="7" s="1"/>
  <c r="S116" i="7"/>
  <c r="O116" i="7"/>
  <c r="M116" i="7"/>
  <c r="B116" i="7"/>
  <c r="AC115" i="7"/>
  <c r="S115" i="7"/>
  <c r="O115" i="7"/>
  <c r="M115" i="7"/>
  <c r="B115" i="7"/>
  <c r="S114" i="7"/>
  <c r="O114" i="7"/>
  <c r="M114" i="7"/>
  <c r="B114" i="7"/>
  <c r="AE114" i="7" s="1"/>
  <c r="S113" i="7"/>
  <c r="O113" i="7"/>
  <c r="M113" i="7"/>
  <c r="B113" i="7"/>
  <c r="AF113" i="7" s="1"/>
  <c r="S112" i="7"/>
  <c r="O112" i="7"/>
  <c r="M112" i="7"/>
  <c r="B112" i="7"/>
  <c r="AE112" i="7" s="1"/>
  <c r="S111" i="7"/>
  <c r="O111" i="7"/>
  <c r="M111" i="7"/>
  <c r="B111" i="7"/>
  <c r="AF111" i="7" s="1"/>
  <c r="S110" i="7"/>
  <c r="O110" i="7"/>
  <c r="M110" i="7"/>
  <c r="B110" i="7"/>
  <c r="AB110" i="7" s="1"/>
  <c r="S109" i="7"/>
  <c r="O109" i="7"/>
  <c r="M109" i="7"/>
  <c r="B109" i="7"/>
  <c r="R109" i="7" s="1"/>
  <c r="S108" i="7"/>
  <c r="O108" i="7"/>
  <c r="M108" i="7"/>
  <c r="B108" i="7"/>
  <c r="R108" i="7" s="1"/>
  <c r="S107" i="7"/>
  <c r="O107" i="7"/>
  <c r="M107" i="7"/>
  <c r="B107" i="7"/>
  <c r="AE106" i="7"/>
  <c r="S106" i="7"/>
  <c r="R106" i="7"/>
  <c r="O106" i="7"/>
  <c r="M106" i="7"/>
  <c r="B106" i="7"/>
  <c r="AD106" i="7" s="1"/>
  <c r="S105" i="7"/>
  <c r="O105" i="7"/>
  <c r="M105" i="7"/>
  <c r="B105" i="7"/>
  <c r="AC105" i="7" s="1"/>
  <c r="S104" i="7"/>
  <c r="O104" i="7"/>
  <c r="M104" i="7"/>
  <c r="B104" i="7"/>
  <c r="AF104" i="7" s="1"/>
  <c r="S103" i="7"/>
  <c r="O103" i="7"/>
  <c r="M103" i="7"/>
  <c r="B103" i="7"/>
  <c r="AB103" i="7" s="1"/>
  <c r="S102" i="7"/>
  <c r="O102" i="7"/>
  <c r="M102" i="7"/>
  <c r="B102" i="7"/>
  <c r="S101" i="7"/>
  <c r="O101" i="7"/>
  <c r="M101" i="7"/>
  <c r="B101" i="7"/>
  <c r="S100" i="7"/>
  <c r="O100" i="7"/>
  <c r="M100" i="7"/>
  <c r="B100" i="7"/>
  <c r="S99" i="7"/>
  <c r="O99" i="7"/>
  <c r="M99" i="7"/>
  <c r="B99" i="7"/>
  <c r="AB99" i="7" s="1"/>
  <c r="S98" i="7"/>
  <c r="O98" i="7"/>
  <c r="M98" i="7"/>
  <c r="B98" i="7"/>
  <c r="AB98" i="7" s="1"/>
  <c r="S97" i="7"/>
  <c r="O97" i="7"/>
  <c r="M97" i="7"/>
  <c r="B97" i="7"/>
  <c r="AF97" i="7" s="1"/>
  <c r="S96" i="7"/>
  <c r="O96" i="7"/>
  <c r="M96" i="7"/>
  <c r="B96" i="7"/>
  <c r="AF95" i="7"/>
  <c r="S95" i="7"/>
  <c r="O95" i="7"/>
  <c r="M95" i="7"/>
  <c r="B95" i="7"/>
  <c r="AD95" i="7" s="1"/>
  <c r="S94" i="7"/>
  <c r="O94" i="7"/>
  <c r="M94" i="7"/>
  <c r="B94" i="7"/>
  <c r="AB94" i="7" s="1"/>
  <c r="AE93" i="7"/>
  <c r="S93" i="7"/>
  <c r="O93" i="7"/>
  <c r="M93" i="7"/>
  <c r="B93" i="7"/>
  <c r="AC93" i="7" s="1"/>
  <c r="AF92" i="7"/>
  <c r="S92" i="7"/>
  <c r="O92" i="7"/>
  <c r="M92" i="7"/>
  <c r="B92" i="7"/>
  <c r="R92" i="7" s="1"/>
  <c r="S91" i="7"/>
  <c r="O91" i="7"/>
  <c r="M91" i="7"/>
  <c r="B91" i="7"/>
  <c r="AC91" i="7" s="1"/>
  <c r="S90" i="7"/>
  <c r="O90" i="7"/>
  <c r="M90" i="7"/>
  <c r="B90" i="7"/>
  <c r="AF90" i="7" s="1"/>
  <c r="S89" i="7"/>
  <c r="O89" i="7"/>
  <c r="M89" i="7"/>
  <c r="B89" i="7"/>
  <c r="AD89" i="7" s="1"/>
  <c r="AB88" i="7"/>
  <c r="S88" i="7"/>
  <c r="O88" i="7"/>
  <c r="M88" i="7"/>
  <c r="B88" i="7"/>
  <c r="AE88" i="7" s="1"/>
  <c r="S87" i="7"/>
  <c r="O87" i="7"/>
  <c r="M87" i="7"/>
  <c r="B87" i="7"/>
  <c r="AF87" i="7" s="1"/>
  <c r="S86" i="7"/>
  <c r="O86" i="7"/>
  <c r="M86" i="7"/>
  <c r="B86" i="7"/>
  <c r="R86" i="7" s="1"/>
  <c r="S85" i="7"/>
  <c r="O85" i="7"/>
  <c r="M85" i="7"/>
  <c r="B85" i="7"/>
  <c r="AE85" i="7" s="1"/>
  <c r="S84" i="7"/>
  <c r="O84" i="7"/>
  <c r="M84" i="7"/>
  <c r="B84" i="7"/>
  <c r="S83" i="7"/>
  <c r="O83" i="7"/>
  <c r="M83" i="7"/>
  <c r="B83" i="7"/>
  <c r="AE83" i="7" s="1"/>
  <c r="S82" i="7"/>
  <c r="O82" i="7"/>
  <c r="M82" i="7"/>
  <c r="B82" i="7"/>
  <c r="AD82" i="7" s="1"/>
  <c r="S81" i="7"/>
  <c r="O81" i="7"/>
  <c r="M81" i="7"/>
  <c r="B81" i="7"/>
  <c r="AE81" i="7" s="1"/>
  <c r="S80" i="7"/>
  <c r="O80" i="7"/>
  <c r="M80" i="7"/>
  <c r="B80" i="7"/>
  <c r="AF80" i="7" s="1"/>
  <c r="AD79" i="7"/>
  <c r="S79" i="7"/>
  <c r="R79" i="7"/>
  <c r="O79" i="7"/>
  <c r="M79" i="7"/>
  <c r="B79" i="7"/>
  <c r="AB79" i="7" s="1"/>
  <c r="AD78" i="7"/>
  <c r="S78" i="7"/>
  <c r="O78" i="7"/>
  <c r="M78" i="7"/>
  <c r="B78" i="7"/>
  <c r="AC78" i="7" s="1"/>
  <c r="S77" i="7"/>
  <c r="O77" i="7"/>
  <c r="M77" i="7"/>
  <c r="B77" i="7"/>
  <c r="S76" i="7"/>
  <c r="O76" i="7"/>
  <c r="M76" i="7"/>
  <c r="B76" i="7"/>
  <c r="AB76" i="7" s="1"/>
  <c r="S75" i="7"/>
  <c r="O75" i="7"/>
  <c r="M75" i="7"/>
  <c r="B75" i="7"/>
  <c r="S74" i="7"/>
  <c r="O74" i="7"/>
  <c r="M74" i="7"/>
  <c r="B74" i="7"/>
  <c r="R74" i="7" s="1"/>
  <c r="S73" i="7"/>
  <c r="O73" i="7"/>
  <c r="M73" i="7"/>
  <c r="B73" i="7"/>
  <c r="AE73" i="7" s="1"/>
  <c r="S72" i="7"/>
  <c r="O72" i="7"/>
  <c r="M72" i="7"/>
  <c r="B72" i="7"/>
  <c r="S71" i="7"/>
  <c r="O71" i="7"/>
  <c r="M71" i="7"/>
  <c r="B71" i="7"/>
  <c r="AE71" i="7" s="1"/>
  <c r="S70" i="7"/>
  <c r="O70" i="7"/>
  <c r="M70" i="7"/>
  <c r="B70" i="7"/>
  <c r="AD70" i="7" s="1"/>
  <c r="S69" i="7"/>
  <c r="O69" i="7"/>
  <c r="M69" i="7"/>
  <c r="B69" i="7"/>
  <c r="AD69" i="7" s="1"/>
  <c r="S68" i="7"/>
  <c r="O68" i="7"/>
  <c r="M68" i="7"/>
  <c r="B68" i="7"/>
  <c r="R68" i="7" s="1"/>
  <c r="S67" i="7"/>
  <c r="O67" i="7"/>
  <c r="M67" i="7"/>
  <c r="B67" i="7"/>
  <c r="S66" i="7"/>
  <c r="O66" i="7"/>
  <c r="M66" i="7"/>
  <c r="B66" i="7"/>
  <c r="R66" i="7" s="1"/>
  <c r="S65" i="7"/>
  <c r="O65" i="7"/>
  <c r="M65" i="7"/>
  <c r="B65" i="7"/>
  <c r="AC65" i="7" s="1"/>
  <c r="S64" i="7"/>
  <c r="O64" i="7"/>
  <c r="M64" i="7"/>
  <c r="B64" i="7"/>
  <c r="AC64" i="7" s="1"/>
  <c r="S63" i="7"/>
  <c r="O63" i="7"/>
  <c r="M63" i="7"/>
  <c r="B63" i="7"/>
  <c r="R63" i="7" s="1"/>
  <c r="S62" i="7"/>
  <c r="O62" i="7"/>
  <c r="M62" i="7"/>
  <c r="B62" i="7"/>
  <c r="AF62" i="7" s="1"/>
  <c r="S61" i="7"/>
  <c r="O61" i="7"/>
  <c r="M61" i="7"/>
  <c r="B61" i="7"/>
  <c r="AC61" i="7" s="1"/>
  <c r="S60" i="7"/>
  <c r="O60" i="7"/>
  <c r="M60" i="7"/>
  <c r="B60" i="7"/>
  <c r="AF60" i="7" s="1"/>
  <c r="S59" i="7"/>
  <c r="O59" i="7"/>
  <c r="M59" i="7"/>
  <c r="B59" i="7"/>
  <c r="AF59" i="7" s="1"/>
  <c r="S58" i="7"/>
  <c r="O58" i="7"/>
  <c r="M58" i="7"/>
  <c r="B58" i="7"/>
  <c r="AE58" i="7" s="1"/>
  <c r="S57" i="7"/>
  <c r="O57" i="7"/>
  <c r="M57" i="7"/>
  <c r="B57" i="7"/>
  <c r="AE57" i="7" s="1"/>
  <c r="S56" i="7"/>
  <c r="O56" i="7"/>
  <c r="M56" i="7"/>
  <c r="B56" i="7"/>
  <c r="S55" i="7"/>
  <c r="O55" i="7"/>
  <c r="M55" i="7"/>
  <c r="B55" i="7"/>
  <c r="S54" i="7"/>
  <c r="O54" i="7"/>
  <c r="M54" i="7"/>
  <c r="B54" i="7"/>
  <c r="R54" i="7" s="1"/>
  <c r="S53" i="7"/>
  <c r="O53" i="7"/>
  <c r="M53" i="7"/>
  <c r="B53" i="7"/>
  <c r="AE53" i="7" s="1"/>
  <c r="S52" i="7"/>
  <c r="O52" i="7"/>
  <c r="M52" i="7"/>
  <c r="B52" i="7"/>
  <c r="AF52" i="7" s="1"/>
  <c r="S51" i="7"/>
  <c r="O51" i="7"/>
  <c r="M51" i="7"/>
  <c r="B51" i="7"/>
  <c r="AB51" i="7" s="1"/>
  <c r="S50" i="7"/>
  <c r="O50" i="7"/>
  <c r="M50" i="7"/>
  <c r="B50" i="7"/>
  <c r="S49" i="7"/>
  <c r="O49" i="7"/>
  <c r="M49" i="7"/>
  <c r="B49" i="7"/>
  <c r="S48" i="7"/>
  <c r="O48" i="7"/>
  <c r="M48" i="7"/>
  <c r="B48" i="7"/>
  <c r="AE48" i="7" s="1"/>
  <c r="S47" i="7"/>
  <c r="O47" i="7"/>
  <c r="M47" i="7"/>
  <c r="B47" i="7"/>
  <c r="AE47" i="7" s="1"/>
  <c r="S46" i="7"/>
  <c r="O46" i="7"/>
  <c r="M46" i="7"/>
  <c r="B46" i="7"/>
  <c r="S45" i="7"/>
  <c r="O45" i="7"/>
  <c r="M45" i="7"/>
  <c r="B45" i="7"/>
  <c r="AD45" i="7" s="1"/>
  <c r="S44" i="7"/>
  <c r="O44" i="7"/>
  <c r="M44" i="7"/>
  <c r="B44" i="7"/>
  <c r="R44" i="7" s="1"/>
  <c r="S43" i="7"/>
  <c r="O43" i="7"/>
  <c r="M43" i="7"/>
  <c r="B43" i="7"/>
  <c r="R43" i="7" s="1"/>
  <c r="AB42" i="7"/>
  <c r="S42" i="7"/>
  <c r="O42" i="7"/>
  <c r="M42" i="7"/>
  <c r="B42" i="7"/>
  <c r="R42" i="7" s="1"/>
  <c r="S41" i="7"/>
  <c r="O41" i="7"/>
  <c r="M41" i="7"/>
  <c r="B41" i="7"/>
  <c r="AF41" i="7" s="1"/>
  <c r="S40" i="7"/>
  <c r="O40" i="7"/>
  <c r="M40" i="7"/>
  <c r="B40" i="7"/>
  <c r="AE40" i="7" s="1"/>
  <c r="AB39" i="7"/>
  <c r="S39" i="7"/>
  <c r="O39" i="7"/>
  <c r="M39" i="7"/>
  <c r="B39" i="7"/>
  <c r="AC39" i="7" s="1"/>
  <c r="S38" i="7"/>
  <c r="O38" i="7"/>
  <c r="M38" i="7"/>
  <c r="B38" i="7"/>
  <c r="AE38" i="7" s="1"/>
  <c r="S37" i="7"/>
  <c r="O37" i="7"/>
  <c r="M37" i="7"/>
  <c r="B37" i="7"/>
  <c r="R37" i="7" s="1"/>
  <c r="S36" i="7"/>
  <c r="O36" i="7"/>
  <c r="M36" i="7"/>
  <c r="B36" i="7"/>
  <c r="AE36" i="7" s="1"/>
  <c r="S35" i="7"/>
  <c r="O35" i="7"/>
  <c r="M35" i="7"/>
  <c r="B35" i="7"/>
  <c r="AD35" i="7" s="1"/>
  <c r="S34" i="7"/>
  <c r="O34" i="7"/>
  <c r="M34" i="7"/>
  <c r="B34" i="7"/>
  <c r="S33" i="7"/>
  <c r="O33" i="7"/>
  <c r="M33" i="7"/>
  <c r="B33" i="7"/>
  <c r="AD33" i="7" s="1"/>
  <c r="AB32" i="7"/>
  <c r="S32" i="7"/>
  <c r="O32" i="7"/>
  <c r="M32" i="7"/>
  <c r="B32" i="7"/>
  <c r="AD31" i="7"/>
  <c r="AC31" i="7"/>
  <c r="S31" i="7"/>
  <c r="O31" i="7"/>
  <c r="M31" i="7"/>
  <c r="B31" i="7"/>
  <c r="AB31" i="7" s="1"/>
  <c r="S30" i="7"/>
  <c r="O30" i="7"/>
  <c r="M30" i="7"/>
  <c r="B30" i="7"/>
  <c r="AE30" i="7" s="1"/>
  <c r="S29" i="7"/>
  <c r="O29" i="7"/>
  <c r="M29" i="7"/>
  <c r="B29" i="7"/>
  <c r="AE29" i="7" s="1"/>
  <c r="S28" i="7"/>
  <c r="O28" i="7"/>
  <c r="M28" i="7"/>
  <c r="B28" i="7"/>
  <c r="AE28" i="7" s="1"/>
  <c r="S27" i="7"/>
  <c r="O27" i="7"/>
  <c r="M27" i="7"/>
  <c r="B27" i="7"/>
  <c r="S26" i="7"/>
  <c r="O26" i="7"/>
  <c r="M26" i="7"/>
  <c r="B26" i="7"/>
  <c r="AE26" i="7" s="1"/>
  <c r="S25" i="7"/>
  <c r="O25" i="7"/>
  <c r="M25" i="7"/>
  <c r="B25" i="7"/>
  <c r="AD25" i="7" s="1"/>
  <c r="S24" i="7"/>
  <c r="O24" i="7"/>
  <c r="M24" i="7"/>
  <c r="B24" i="7"/>
  <c r="S23" i="7"/>
  <c r="R23" i="7"/>
  <c r="O23" i="7"/>
  <c r="M23" i="7"/>
  <c r="B23" i="7"/>
  <c r="AD23" i="7" s="1"/>
  <c r="S22" i="7"/>
  <c r="O22" i="7"/>
  <c r="M22" i="7"/>
  <c r="B22" i="7"/>
  <c r="S21" i="7"/>
  <c r="O21" i="7"/>
  <c r="M21" i="7"/>
  <c r="B21" i="7"/>
  <c r="AD21" i="7" s="1"/>
  <c r="S20" i="7"/>
  <c r="O20" i="7"/>
  <c r="M20" i="7"/>
  <c r="B20" i="7"/>
  <c r="AE20" i="7" s="1"/>
  <c r="S19" i="7"/>
  <c r="O19" i="7"/>
  <c r="M19" i="7"/>
  <c r="B19" i="7"/>
  <c r="AE19" i="7" s="1"/>
  <c r="S18" i="7"/>
  <c r="O18" i="7"/>
  <c r="M18" i="7"/>
  <c r="B18" i="7"/>
  <c r="S17" i="7"/>
  <c r="O17" i="7"/>
  <c r="M17" i="7"/>
  <c r="B17" i="7"/>
  <c r="AF16" i="7"/>
  <c r="S16" i="7"/>
  <c r="O16" i="7"/>
  <c r="M16" i="7"/>
  <c r="B16" i="7"/>
  <c r="AE15" i="7"/>
  <c r="AD15" i="7"/>
  <c r="S15" i="7"/>
  <c r="R15" i="7"/>
  <c r="O15" i="7"/>
  <c r="M15" i="7"/>
  <c r="B15" i="7"/>
  <c r="AF15" i="7" s="1"/>
  <c r="S14" i="7"/>
  <c r="O14" i="7"/>
  <c r="M14" i="7"/>
  <c r="B14" i="7"/>
  <c r="S13" i="7"/>
  <c r="O13" i="7"/>
  <c r="M13" i="7"/>
  <c r="B13" i="7"/>
  <c r="AB12" i="7"/>
  <c r="S12" i="7"/>
  <c r="O12" i="7"/>
  <c r="M12" i="7"/>
  <c r="B12" i="7"/>
  <c r="S11" i="7"/>
  <c r="O11" i="7"/>
  <c r="M11" i="7"/>
  <c r="B11" i="7"/>
  <c r="AD11" i="7" s="1"/>
  <c r="S10" i="7"/>
  <c r="O10" i="7"/>
  <c r="M10" i="7"/>
  <c r="B10" i="7"/>
  <c r="AC10" i="7" s="1"/>
  <c r="Y8" i="7"/>
  <c r="X8" i="7"/>
  <c r="Y299" i="2" l="1"/>
  <c r="Z299" i="2" s="1"/>
  <c r="AA299" i="2" s="1"/>
  <c r="AC299" i="2" s="1"/>
  <c r="Y283" i="2"/>
  <c r="Z283" i="2" s="1"/>
  <c r="AA283" i="2" s="1"/>
  <c r="AC283" i="2" s="1"/>
  <c r="Y274" i="2"/>
  <c r="Z274" i="2" s="1"/>
  <c r="AA274" i="2" s="1"/>
  <c r="AC274" i="2" s="1"/>
  <c r="Y273" i="2"/>
  <c r="Z273" i="2" s="1"/>
  <c r="AA273" i="2" s="1"/>
  <c r="AC273" i="2" s="1"/>
  <c r="Y275" i="2"/>
  <c r="Z275" i="2" s="1"/>
  <c r="AA275" i="2" s="1"/>
  <c r="AC275" i="2" s="1"/>
  <c r="Y293" i="2"/>
  <c r="Z293" i="2" s="1"/>
  <c r="AA293" i="2" s="1"/>
  <c r="AC293" i="2" s="1"/>
  <c r="Y294" i="2"/>
  <c r="Z294" i="2" s="1"/>
  <c r="AA294" i="2" s="1"/>
  <c r="AC294" i="2" s="1"/>
  <c r="Y288" i="2"/>
  <c r="Z288" i="2" s="1"/>
  <c r="AA288" i="2" s="1"/>
  <c r="AC288" i="2" s="1"/>
  <c r="Y295" i="2"/>
  <c r="Z295" i="2" s="1"/>
  <c r="AA295" i="2" s="1"/>
  <c r="AC295" i="2" s="1"/>
  <c r="Y297" i="2"/>
  <c r="Z297" i="2" s="1"/>
  <c r="AA297" i="2" s="1"/>
  <c r="AC297" i="2" s="1"/>
  <c r="Y282" i="2"/>
  <c r="Z282" i="2" s="1"/>
  <c r="AA282" i="2" s="1"/>
  <c r="AC282" i="2" s="1"/>
  <c r="Y278" i="2"/>
  <c r="Z278" i="2" s="1"/>
  <c r="AA278" i="2" s="1"/>
  <c r="AC278" i="2" s="1"/>
  <c r="Y291" i="2"/>
  <c r="Z291" i="2" s="1"/>
  <c r="AA291" i="2" s="1"/>
  <c r="AC291" i="2" s="1"/>
  <c r="Y292" i="2"/>
  <c r="Z292" i="2" s="1"/>
  <c r="AA292" i="2" s="1"/>
  <c r="AC292" i="2" s="1"/>
  <c r="Y298" i="2"/>
  <c r="Z298" i="2" s="1"/>
  <c r="AA298" i="2" s="1"/>
  <c r="AC298" i="2" s="1"/>
  <c r="Y296" i="2"/>
  <c r="Z296" i="2" s="1"/>
  <c r="AA296" i="2" s="1"/>
  <c r="AC296" i="2" s="1"/>
  <c r="R60" i="7"/>
  <c r="R30" i="7"/>
  <c r="AD84" i="7"/>
  <c r="AB87" i="7"/>
  <c r="R117" i="7"/>
  <c r="R121" i="7"/>
  <c r="AD125" i="7"/>
  <c r="AF183" i="7"/>
  <c r="AB246" i="7"/>
  <c r="R71" i="7"/>
  <c r="AC182" i="7"/>
  <c r="AB202" i="7"/>
  <c r="AD225" i="7"/>
  <c r="R234" i="7"/>
  <c r="AF182" i="7"/>
  <c r="AF202" i="7"/>
  <c r="AC215" i="7"/>
  <c r="AE225" i="7"/>
  <c r="AE263" i="7"/>
  <c r="AE277" i="7"/>
  <c r="R99" i="7"/>
  <c r="R286" i="7"/>
  <c r="AB287" i="7"/>
  <c r="AF47" i="7"/>
  <c r="AB50" i="7"/>
  <c r="AC111" i="7"/>
  <c r="R114" i="7"/>
  <c r="AB165" i="7"/>
  <c r="R172" i="7"/>
  <c r="AE193" i="7"/>
  <c r="AE194" i="7"/>
  <c r="AF259" i="7"/>
  <c r="R285" i="7"/>
  <c r="AF99" i="7"/>
  <c r="R271" i="7"/>
  <c r="AC286" i="7"/>
  <c r="AD114" i="7"/>
  <c r="AF213" i="7"/>
  <c r="R225" i="7"/>
  <c r="R267" i="7"/>
  <c r="AB271" i="7"/>
  <c r="AC117" i="7"/>
  <c r="AC23" i="7"/>
  <c r="AE87" i="7"/>
  <c r="AD117" i="7"/>
  <c r="AD119" i="7"/>
  <c r="AB120" i="7"/>
  <c r="AE126" i="7"/>
  <c r="AE134" i="7"/>
  <c r="R181" i="7"/>
  <c r="R189" i="7"/>
  <c r="AB212" i="7"/>
  <c r="AB228" i="7"/>
  <c r="R26" i="7"/>
  <c r="AC79" i="7"/>
  <c r="R104" i="7"/>
  <c r="AE117" i="7"/>
  <c r="AE121" i="7"/>
  <c r="AE212" i="7"/>
  <c r="R218" i="7"/>
  <c r="R224" i="7"/>
  <c r="R11" i="7"/>
  <c r="AC77" i="7"/>
  <c r="AF212" i="7"/>
  <c r="AE271" i="7"/>
  <c r="AF286" i="7"/>
  <c r="AE98" i="7"/>
  <c r="R103" i="7"/>
  <c r="AF114" i="7"/>
  <c r="AF117" i="7"/>
  <c r="AF121" i="7"/>
  <c r="R138" i="7"/>
  <c r="AD152" i="7"/>
  <c r="AE99" i="7"/>
  <c r="AC100" i="7"/>
  <c r="AC104" i="7"/>
  <c r="R111" i="7"/>
  <c r="R128" i="7"/>
  <c r="R141" i="7"/>
  <c r="AC151" i="7"/>
  <c r="AF189" i="7"/>
  <c r="AC192" i="7"/>
  <c r="AC225" i="7"/>
  <c r="R251" i="7"/>
  <c r="AF271" i="7"/>
  <c r="AE25" i="7"/>
  <c r="AE33" i="7"/>
  <c r="AE79" i="7"/>
  <c r="O8" i="7"/>
  <c r="AF25" i="7"/>
  <c r="AF33" i="7"/>
  <c r="AB55" i="7"/>
  <c r="AE61" i="7"/>
  <c r="AD64" i="7"/>
  <c r="AF79" i="7"/>
  <c r="AD92" i="7"/>
  <c r="AB93" i="7"/>
  <c r="AE104" i="7"/>
  <c r="AE132" i="7"/>
  <c r="AD138" i="7"/>
  <c r="AB158" i="7"/>
  <c r="AC178" i="7"/>
  <c r="AD191" i="7"/>
  <c r="AD192" i="7"/>
  <c r="R236" i="7"/>
  <c r="AF266" i="7"/>
  <c r="AB279" i="7"/>
  <c r="AF158" i="7"/>
  <c r="AF192" i="7"/>
  <c r="AC208" i="7"/>
  <c r="AE251" i="7"/>
  <c r="AE278" i="7"/>
  <c r="AF279" i="7"/>
  <c r="R283" i="7"/>
  <c r="AF225" i="7"/>
  <c r="AB236" i="7"/>
  <c r="AB250" i="7"/>
  <c r="R263" i="7"/>
  <c r="AE264" i="7"/>
  <c r="AD277" i="7"/>
  <c r="R282" i="7"/>
  <c r="AC288" i="7"/>
  <c r="AE39" i="7"/>
  <c r="AD288" i="7"/>
  <c r="AD205" i="7"/>
  <c r="AF205" i="7"/>
  <c r="AE221" i="7"/>
  <c r="AC221" i="7"/>
  <c r="AE191" i="7"/>
  <c r="AC233" i="7"/>
  <c r="AD63" i="7"/>
  <c r="AD102" i="7"/>
  <c r="AC102" i="7"/>
  <c r="AD116" i="7"/>
  <c r="AD120" i="7"/>
  <c r="AF152" i="7"/>
  <c r="R169" i="7"/>
  <c r="AD195" i="7"/>
  <c r="R205" i="7"/>
  <c r="AE207" i="7"/>
  <c r="AD207" i="7"/>
  <c r="AB207" i="7"/>
  <c r="AE220" i="7"/>
  <c r="R220" i="7"/>
  <c r="AC18" i="7"/>
  <c r="AF18" i="7"/>
  <c r="AC20" i="7"/>
  <c r="R72" i="7"/>
  <c r="AD101" i="7"/>
  <c r="AD103" i="7"/>
  <c r="AC103" i="7"/>
  <c r="R148" i="7"/>
  <c r="AC148" i="7"/>
  <c r="AE23" i="7"/>
  <c r="AE41" i="7"/>
  <c r="R45" i="7"/>
  <c r="R59" i="7"/>
  <c r="AE66" i="7"/>
  <c r="R69" i="7"/>
  <c r="R94" i="7"/>
  <c r="AE94" i="7"/>
  <c r="AC94" i="7"/>
  <c r="AE103" i="7"/>
  <c r="AC124" i="7"/>
  <c r="AF174" i="7"/>
  <c r="AE174" i="7"/>
  <c r="AC174" i="7"/>
  <c r="AE188" i="7"/>
  <c r="AD188" i="7"/>
  <c r="R191" i="7"/>
  <c r="AE233" i="7"/>
  <c r="AD233" i="7"/>
  <c r="AD18" i="7"/>
  <c r="AF30" i="7"/>
  <c r="AD30" i="7"/>
  <c r="AF31" i="7"/>
  <c r="AB40" i="7"/>
  <c r="R58" i="7"/>
  <c r="AC71" i="7"/>
  <c r="R85" i="7"/>
  <c r="AB86" i="7"/>
  <c r="AD94" i="7"/>
  <c r="AB95" i="7"/>
  <c r="R102" i="7"/>
  <c r="AF103" i="7"/>
  <c r="AB114" i="7"/>
  <c r="AD13" i="7"/>
  <c r="AE18" i="7"/>
  <c r="AD40" i="7"/>
  <c r="AE45" i="7"/>
  <c r="R64" i="7"/>
  <c r="AE69" i="7"/>
  <c r="AD71" i="7"/>
  <c r="R90" i="7"/>
  <c r="AF94" i="7"/>
  <c r="AB111" i="7"/>
  <c r="AE111" i="7"/>
  <c r="AD111" i="7"/>
  <c r="AF112" i="7"/>
  <c r="AC114" i="7"/>
  <c r="AE116" i="7"/>
  <c r="AD141" i="7"/>
  <c r="AF108" i="7"/>
  <c r="AE109" i="7"/>
  <c r="AD109" i="7"/>
  <c r="AE63" i="7"/>
  <c r="AE102" i="7"/>
  <c r="AC26" i="7"/>
  <c r="AF26" i="7"/>
  <c r="AB26" i="7"/>
  <c r="AD77" i="7"/>
  <c r="AE77" i="7"/>
  <c r="AF102" i="7"/>
  <c r="AD149" i="7"/>
  <c r="AD26" i="7"/>
  <c r="AD19" i="7"/>
  <c r="AC19" i="7"/>
  <c r="AF19" i="7"/>
  <c r="AB20" i="7"/>
  <c r="AF28" i="7"/>
  <c r="AF57" i="7"/>
  <c r="AF58" i="7"/>
  <c r="AC63" i="7"/>
  <c r="AB70" i="7"/>
  <c r="AE70" i="7"/>
  <c r="AF75" i="7"/>
  <c r="AE75" i="7"/>
  <c r="R77" i="7"/>
  <c r="AD81" i="7"/>
  <c r="AC95" i="7"/>
  <c r="R95" i="7"/>
  <c r="AE95" i="7"/>
  <c r="AB102" i="7"/>
  <c r="AB108" i="7"/>
  <c r="AC109" i="7"/>
  <c r="AF116" i="7"/>
  <c r="AF141" i="7"/>
  <c r="AB159" i="7"/>
  <c r="AC149" i="7"/>
  <c r="AC158" i="7"/>
  <c r="AB174" i="7"/>
  <c r="AD183" i="7"/>
  <c r="AF187" i="7"/>
  <c r="R187" i="7"/>
  <c r="AE205" i="7"/>
  <c r="AC222" i="7"/>
  <c r="AB222" i="7"/>
  <c r="R222" i="7"/>
  <c r="AF124" i="7"/>
  <c r="AD126" i="7"/>
  <c r="AE148" i="7"/>
  <c r="AD150" i="7"/>
  <c r="AE162" i="7"/>
  <c r="AB162" i="7"/>
  <c r="AD174" i="7"/>
  <c r="AE183" i="7"/>
  <c r="AB191" i="7"/>
  <c r="AE195" i="7"/>
  <c r="AD208" i="7"/>
  <c r="AB208" i="7"/>
  <c r="R208" i="7"/>
  <c r="AF208" i="7"/>
  <c r="R233" i="7"/>
  <c r="R248" i="7"/>
  <c r="AF248" i="7"/>
  <c r="AF251" i="7"/>
  <c r="AC287" i="7"/>
  <c r="AB261" i="7"/>
  <c r="AB263" i="7"/>
  <c r="AC279" i="7"/>
  <c r="AE282" i="7"/>
  <c r="AB285" i="7"/>
  <c r="AD287" i="7"/>
  <c r="AC263" i="7"/>
  <c r="AD279" i="7"/>
  <c r="AF282" i="7"/>
  <c r="AC285" i="7"/>
  <c r="AE287" i="7"/>
  <c r="AB82" i="7"/>
  <c r="AF89" i="7"/>
  <c r="R93" i="7"/>
  <c r="AC99" i="7"/>
  <c r="AC121" i="7"/>
  <c r="AD164" i="7"/>
  <c r="AE192" i="7"/>
  <c r="R212" i="7"/>
  <c r="AC218" i="7"/>
  <c r="AB229" i="7"/>
  <c r="AC236" i="7"/>
  <c r="AE246" i="7"/>
  <c r="AC260" i="7"/>
  <c r="AD263" i="7"/>
  <c r="AC264" i="7"/>
  <c r="R274" i="7"/>
  <c r="R276" i="7"/>
  <c r="AE279" i="7"/>
  <c r="AB283" i="7"/>
  <c r="AB286" i="7"/>
  <c r="AF287" i="7"/>
  <c r="AE288" i="7"/>
  <c r="AB193" i="7"/>
  <c r="AD224" i="7"/>
  <c r="AF229" i="7"/>
  <c r="AB230" i="7"/>
  <c r="AB234" i="7"/>
  <c r="AE236" i="7"/>
  <c r="AB251" i="7"/>
  <c r="AD273" i="7"/>
  <c r="AF288" i="7"/>
  <c r="AC251" i="7"/>
  <c r="AC253" i="7"/>
  <c r="AE258" i="7"/>
  <c r="AC271" i="7"/>
  <c r="AB274" i="7"/>
  <c r="AC275" i="7"/>
  <c r="AD286" i="7"/>
  <c r="R287" i="7"/>
  <c r="AC193" i="7"/>
  <c r="AF224" i="7"/>
  <c r="AD230" i="7"/>
  <c r="AD212" i="7"/>
  <c r="AD271" i="7"/>
  <c r="R279" i="7"/>
  <c r="AD179" i="7"/>
  <c r="AB179" i="7"/>
  <c r="AC190" i="7"/>
  <c r="AC201" i="7"/>
  <c r="AB201" i="7"/>
  <c r="AE201" i="7"/>
  <c r="AF201" i="7"/>
  <c r="AD206" i="7"/>
  <c r="AC206" i="7"/>
  <c r="AF210" i="7"/>
  <c r="AE210" i="7"/>
  <c r="AB210" i="7"/>
  <c r="AB216" i="7"/>
  <c r="AF216" i="7"/>
  <c r="AE216" i="7"/>
  <c r="AF243" i="7"/>
  <c r="AE243" i="7"/>
  <c r="R243" i="7"/>
  <c r="AD250" i="7"/>
  <c r="AF250" i="7"/>
  <c r="AC46" i="7"/>
  <c r="AE49" i="7"/>
  <c r="R67" i="7"/>
  <c r="AB67" i="7"/>
  <c r="AB74" i="7"/>
  <c r="AC85" i="7"/>
  <c r="AE125" i="7"/>
  <c r="AC129" i="7"/>
  <c r="AB133" i="7"/>
  <c r="AC137" i="7"/>
  <c r="AF237" i="7"/>
  <c r="AE237" i="7"/>
  <c r="AC237" i="7"/>
  <c r="AF242" i="7"/>
  <c r="AF146" i="7"/>
  <c r="AE146" i="7"/>
  <c r="R180" i="7"/>
  <c r="AE180" i="7"/>
  <c r="AF190" i="7"/>
  <c r="AD210" i="7"/>
  <c r="AE232" i="7"/>
  <c r="AB11" i="7"/>
  <c r="AB16" i="7"/>
  <c r="R19" i="7"/>
  <c r="AD20" i="7"/>
  <c r="AF23" i="7"/>
  <c r="AD28" i="7"/>
  <c r="AC30" i="7"/>
  <c r="AE31" i="7"/>
  <c r="AD39" i="7"/>
  <c r="AF46" i="7"/>
  <c r="R47" i="7"/>
  <c r="AE50" i="7"/>
  <c r="R51" i="7"/>
  <c r="AC55" i="7"/>
  <c r="AB58" i="7"/>
  <c r="AB59" i="7"/>
  <c r="AB62" i="7"/>
  <c r="AE64" i="7"/>
  <c r="AE65" i="7"/>
  <c r="AE72" i="7"/>
  <c r="AD74" i="7"/>
  <c r="R80" i="7"/>
  <c r="AD85" i="7"/>
  <c r="R87" i="7"/>
  <c r="AC87" i="7"/>
  <c r="AD87" i="7"/>
  <c r="AF125" i="7"/>
  <c r="AE129" i="7"/>
  <c r="AC133" i="7"/>
  <c r="AC141" i="7"/>
  <c r="AB141" i="7"/>
  <c r="AE141" i="7"/>
  <c r="AB171" i="7"/>
  <c r="AF171" i="7"/>
  <c r="AC176" i="7"/>
  <c r="AC211" i="7"/>
  <c r="AD228" i="7"/>
  <c r="AD229" i="7"/>
  <c r="AE229" i="7"/>
  <c r="AC229" i="7"/>
  <c r="R229" i="7"/>
  <c r="AC245" i="7"/>
  <c r="AF36" i="7"/>
  <c r="AE133" i="7"/>
  <c r="AE143" i="7"/>
  <c r="AD155" i="7"/>
  <c r="AC160" i="7"/>
  <c r="AD160" i="7"/>
  <c r="R175" i="7"/>
  <c r="AF175" i="7"/>
  <c r="AD241" i="7"/>
  <c r="AE241" i="7"/>
  <c r="AC241" i="7"/>
  <c r="R241" i="7"/>
  <c r="R35" i="7"/>
  <c r="AB80" i="7"/>
  <c r="AF81" i="7"/>
  <c r="R84" i="7"/>
  <c r="R150" i="7"/>
  <c r="AD168" i="7"/>
  <c r="R182" i="7"/>
  <c r="AD182" i="7"/>
  <c r="AB182" i="7"/>
  <c r="AE182" i="7"/>
  <c r="R186" i="7"/>
  <c r="AD213" i="7"/>
  <c r="AE213" i="7"/>
  <c r="AC213" i="7"/>
  <c r="R213" i="7"/>
  <c r="R216" i="7"/>
  <c r="AD240" i="7"/>
  <c r="R240" i="7"/>
  <c r="AD46" i="7"/>
  <c r="AD50" i="7"/>
  <c r="AC11" i="7"/>
  <c r="AB24" i="7"/>
  <c r="AD55" i="7"/>
  <c r="AC60" i="7"/>
  <c r="AC62" i="7"/>
  <c r="AD72" i="7"/>
  <c r="AF74" i="7"/>
  <c r="AE11" i="7"/>
  <c r="AD24" i="7"/>
  <c r="AF39" i="7"/>
  <c r="AB47" i="7"/>
  <c r="AE51" i="7"/>
  <c r="AB54" i="7"/>
  <c r="AE55" i="7"/>
  <c r="AD60" i="7"/>
  <c r="AE62" i="7"/>
  <c r="AC80" i="7"/>
  <c r="AC127" i="7"/>
  <c r="AD134" i="7"/>
  <c r="AB134" i="7"/>
  <c r="AD142" i="7"/>
  <c r="AC142" i="7"/>
  <c r="R170" i="7"/>
  <c r="AE170" i="7"/>
  <c r="AB196" i="7"/>
  <c r="R201" i="7"/>
  <c r="R235" i="7"/>
  <c r="AD235" i="7"/>
  <c r="AB235" i="7"/>
  <c r="AE235" i="7"/>
  <c r="R239" i="7"/>
  <c r="AB239" i="7"/>
  <c r="AE239" i="7"/>
  <c r="AE247" i="7"/>
  <c r="R247" i="7"/>
  <c r="AF10" i="7"/>
  <c r="AD36" i="7"/>
  <c r="AD129" i="7"/>
  <c r="AF129" i="7"/>
  <c r="AD133" i="7"/>
  <c r="AF11" i="7"/>
  <c r="AE13" i="7"/>
  <c r="AB15" i="7"/>
  <c r="AE24" i="7"/>
  <c r="R31" i="7"/>
  <c r="AC35" i="7"/>
  <c r="AC45" i="7"/>
  <c r="AC47" i="7"/>
  <c r="AC54" i="7"/>
  <c r="AF55" i="7"/>
  <c r="AB61" i="7"/>
  <c r="AC68" i="7"/>
  <c r="AD10" i="7"/>
  <c r="AC15" i="7"/>
  <c r="R20" i="7"/>
  <c r="AB23" i="7"/>
  <c r="AF24" i="7"/>
  <c r="AE35" i="7"/>
  <c r="AF38" i="7"/>
  <c r="R39" i="7"/>
  <c r="AD47" i="7"/>
  <c r="AC49" i="7"/>
  <c r="AE54" i="7"/>
  <c r="AF63" i="7"/>
  <c r="AB63" i="7"/>
  <c r="AB84" i="7"/>
  <c r="AC132" i="7"/>
  <c r="AB154" i="7"/>
  <c r="AE168" i="7"/>
  <c r="R179" i="7"/>
  <c r="AF186" i="7"/>
  <c r="AC199" i="7"/>
  <c r="AB209" i="7"/>
  <c r="AF209" i="7"/>
  <c r="AD209" i="7"/>
  <c r="AC209" i="7"/>
  <c r="R217" i="7"/>
  <c r="AD217" i="7"/>
  <c r="AB217" i="7"/>
  <c r="AE217" i="7"/>
  <c r="AF235" i="7"/>
  <c r="AC243" i="7"/>
  <c r="AD62" i="7"/>
  <c r="AE10" i="7"/>
  <c r="AF35" i="7"/>
  <c r="AB36" i="7"/>
  <c r="AB46" i="7"/>
  <c r="AD49" i="7"/>
  <c r="R55" i="7"/>
  <c r="R62" i="7"/>
  <c r="AF67" i="7"/>
  <c r="AF71" i="7"/>
  <c r="AB71" i="7"/>
  <c r="AC84" i="7"/>
  <c r="AB125" i="7"/>
  <c r="AC125" i="7"/>
  <c r="AC128" i="7"/>
  <c r="AB128" i="7"/>
  <c r="AF128" i="7"/>
  <c r="AE128" i="7"/>
  <c r="R129" i="7"/>
  <c r="R133" i="7"/>
  <c r="AC136" i="7"/>
  <c r="R136" i="7"/>
  <c r="AB136" i="7"/>
  <c r="AE136" i="7"/>
  <c r="AC150" i="7"/>
  <c r="AB150" i="7"/>
  <c r="AE150" i="7"/>
  <c r="AF150" i="7"/>
  <c r="AF165" i="7"/>
  <c r="AC165" i="7"/>
  <c r="AD172" i="7"/>
  <c r="AC185" i="7"/>
  <c r="R185" i="7"/>
  <c r="AE185" i="7"/>
  <c r="AB185" i="7"/>
  <c r="AF185" i="7"/>
  <c r="AD187" i="7"/>
  <c r="AB187" i="7"/>
  <c r="AD201" i="7"/>
  <c r="AB206" i="7"/>
  <c r="AE209" i="7"/>
  <c r="AF217" i="7"/>
  <c r="AC220" i="7"/>
  <c r="AD220" i="7"/>
  <c r="AB220" i="7"/>
  <c r="AF220" i="7"/>
  <c r="AD221" i="7"/>
  <c r="AF221" i="7"/>
  <c r="AB221" i="7"/>
  <c r="R221" i="7"/>
  <c r="AF238" i="7"/>
  <c r="AD238" i="7"/>
  <c r="AD243" i="7"/>
  <c r="AF126" i="7"/>
  <c r="AF138" i="7"/>
  <c r="AD148" i="7"/>
  <c r="R151" i="7"/>
  <c r="AE157" i="7"/>
  <c r="AE166" i="7"/>
  <c r="R174" i="7"/>
  <c r="R192" i="7"/>
  <c r="AB198" i="7"/>
  <c r="AE270" i="7"/>
  <c r="AF149" i="7"/>
  <c r="AB151" i="7"/>
  <c r="R166" i="7"/>
  <c r="R178" i="7"/>
  <c r="AE202" i="7"/>
  <c r="R259" i="7"/>
  <c r="R270" i="7"/>
  <c r="R278" i="7"/>
  <c r="AE82" i="7"/>
  <c r="AB126" i="7"/>
  <c r="AB138" i="7"/>
  <c r="AD158" i="7"/>
  <c r="AB166" i="7"/>
  <c r="AE178" i="7"/>
  <c r="AD234" i="7"/>
  <c r="AC259" i="7"/>
  <c r="AB270" i="7"/>
  <c r="AB278" i="7"/>
  <c r="AC138" i="7"/>
  <c r="AE158" i="7"/>
  <c r="AC166" i="7"/>
  <c r="AF178" i="7"/>
  <c r="AF234" i="7"/>
  <c r="AE259" i="7"/>
  <c r="AC270" i="7"/>
  <c r="AC278" i="7"/>
  <c r="AD278" i="7"/>
  <c r="AF56" i="7"/>
  <c r="AC56" i="7"/>
  <c r="AB56" i="7"/>
  <c r="R56" i="7"/>
  <c r="AD56" i="7"/>
  <c r="AE56" i="7"/>
  <c r="AD22" i="7"/>
  <c r="AF22" i="7"/>
  <c r="AE22" i="7"/>
  <c r="AC22" i="7"/>
  <c r="R22" i="7"/>
  <c r="AE32" i="7"/>
  <c r="AD32" i="7"/>
  <c r="AF32" i="7"/>
  <c r="AC32" i="7"/>
  <c r="AF37" i="7"/>
  <c r="AE37" i="7"/>
  <c r="AD37" i="7"/>
  <c r="AB37" i="7"/>
  <c r="S8" i="7"/>
  <c r="AB17" i="7"/>
  <c r="R17" i="7"/>
  <c r="AE17" i="7"/>
  <c r="AF17" i="7"/>
  <c r="AD17" i="7"/>
  <c r="AC17" i="7"/>
  <c r="AB22" i="7"/>
  <c r="AC37" i="7"/>
  <c r="AD27" i="7"/>
  <c r="AE27" i="7"/>
  <c r="AC27" i="7"/>
  <c r="R27" i="7"/>
  <c r="AF27" i="7"/>
  <c r="AB27" i="7"/>
  <c r="M8" i="7"/>
  <c r="AE52" i="7"/>
  <c r="AD52" i="7"/>
  <c r="AC52" i="7"/>
  <c r="R52" i="7"/>
  <c r="AB52" i="7"/>
  <c r="AB14" i="7"/>
  <c r="AF14" i="7"/>
  <c r="AC14" i="7"/>
  <c r="R14" i="7"/>
  <c r="AE14" i="7"/>
  <c r="AD14" i="7"/>
  <c r="AD43" i="7"/>
  <c r="AC43" i="7"/>
  <c r="AF43" i="7"/>
  <c r="AE43" i="7"/>
  <c r="AB43" i="7"/>
  <c r="AC34" i="7"/>
  <c r="AB34" i="7"/>
  <c r="R34" i="7"/>
  <c r="AF34" i="7"/>
  <c r="AE34" i="7"/>
  <c r="AD34" i="7"/>
  <c r="AE12" i="7"/>
  <c r="AC12" i="7"/>
  <c r="R12" i="7"/>
  <c r="AD12" i="7"/>
  <c r="AF12" i="7"/>
  <c r="R32" i="7"/>
  <c r="AE44" i="7"/>
  <c r="AF44" i="7"/>
  <c r="AC44" i="7"/>
  <c r="AB44" i="7"/>
  <c r="AD44" i="7"/>
  <c r="AD29" i="7"/>
  <c r="AB38" i="7"/>
  <c r="AF96" i="7"/>
  <c r="AD96" i="7"/>
  <c r="R96" i="7"/>
  <c r="AE96" i="7"/>
  <c r="AC96" i="7"/>
  <c r="AB96" i="7"/>
  <c r="AB33" i="7"/>
  <c r="R33" i="7"/>
  <c r="AC33" i="7"/>
  <c r="R36" i="7"/>
  <c r="AC36" i="7"/>
  <c r="AC38" i="7"/>
  <c r="R40" i="7"/>
  <c r="AC53" i="7"/>
  <c r="AC59" i="7"/>
  <c r="AE76" i="7"/>
  <c r="AF76" i="7"/>
  <c r="R76" i="7"/>
  <c r="AD76" i="7"/>
  <c r="AB49" i="7"/>
  <c r="R49" i="7"/>
  <c r="AC50" i="7"/>
  <c r="AF50" i="7"/>
  <c r="AB53" i="7"/>
  <c r="R16" i="7"/>
  <c r="AC16" i="7"/>
  <c r="R10" i="7"/>
  <c r="AB10" i="7"/>
  <c r="AF13" i="7"/>
  <c r="AB13" i="7"/>
  <c r="AD16" i="7"/>
  <c r="AB28" i="7"/>
  <c r="R38" i="7"/>
  <c r="AD38" i="7"/>
  <c r="AF40" i="7"/>
  <c r="AD48" i="7"/>
  <c r="AC48" i="7"/>
  <c r="R48" i="7"/>
  <c r="AB48" i="7"/>
  <c r="AB57" i="7"/>
  <c r="R57" i="7"/>
  <c r="AD57" i="7"/>
  <c r="AC57" i="7"/>
  <c r="AE59" i="7"/>
  <c r="AC66" i="7"/>
  <c r="AF66" i="7"/>
  <c r="AB66" i="7"/>
  <c r="AD66" i="7"/>
  <c r="AE68" i="7"/>
  <c r="AD68" i="7"/>
  <c r="AF68" i="7"/>
  <c r="AB68" i="7"/>
  <c r="AE110" i="7"/>
  <c r="AC110" i="7"/>
  <c r="R110" i="7"/>
  <c r="AF110" i="7"/>
  <c r="AD110" i="7"/>
  <c r="AF29" i="7"/>
  <c r="AB29" i="7"/>
  <c r="AF53" i="7"/>
  <c r="AD53" i="7"/>
  <c r="AF21" i="7"/>
  <c r="AB21" i="7"/>
  <c r="R21" i="7"/>
  <c r="AC21" i="7"/>
  <c r="R13" i="7"/>
  <c r="AC13" i="7"/>
  <c r="AE16" i="7"/>
  <c r="R18" i="7"/>
  <c r="AB18" i="7"/>
  <c r="AE21" i="7"/>
  <c r="AB25" i="7"/>
  <c r="R25" i="7"/>
  <c r="AC25" i="7"/>
  <c r="R28" i="7"/>
  <c r="AC28" i="7"/>
  <c r="AB30" i="7"/>
  <c r="AB35" i="7"/>
  <c r="AC42" i="7"/>
  <c r="AF42" i="7"/>
  <c r="AE42" i="7"/>
  <c r="AD42" i="7"/>
  <c r="AF54" i="7"/>
  <c r="R53" i="7"/>
  <c r="AE60" i="7"/>
  <c r="AB60" i="7"/>
  <c r="AC70" i="7"/>
  <c r="R70" i="7"/>
  <c r="AF70" i="7"/>
  <c r="AC76" i="7"/>
  <c r="AF123" i="7"/>
  <c r="AD123" i="7"/>
  <c r="AB123" i="7"/>
  <c r="AE123" i="7"/>
  <c r="AC123" i="7"/>
  <c r="AB97" i="7"/>
  <c r="R97" i="7"/>
  <c r="AD97" i="7"/>
  <c r="AE97" i="7"/>
  <c r="AC97" i="7"/>
  <c r="AD59" i="7"/>
  <c r="AB19" i="7"/>
  <c r="AF20" i="7"/>
  <c r="R24" i="7"/>
  <c r="AC24" i="7"/>
  <c r="R29" i="7"/>
  <c r="AC29" i="7"/>
  <c r="AC40" i="7"/>
  <c r="AE46" i="7"/>
  <c r="R46" i="7"/>
  <c r="AF48" i="7"/>
  <c r="AF49" i="7"/>
  <c r="R50" i="7"/>
  <c r="AD54" i="7"/>
  <c r="AC58" i="7"/>
  <c r="AD58" i="7"/>
  <c r="AD67" i="7"/>
  <c r="AE67" i="7"/>
  <c r="AC67" i="7"/>
  <c r="AF69" i="7"/>
  <c r="AB69" i="7"/>
  <c r="AC69" i="7"/>
  <c r="AB73" i="7"/>
  <c r="R73" i="7"/>
  <c r="AF73" i="7"/>
  <c r="AD73" i="7"/>
  <c r="AC73" i="7"/>
  <c r="AD91" i="7"/>
  <c r="AF91" i="7"/>
  <c r="AE91" i="7"/>
  <c r="AB91" i="7"/>
  <c r="R91" i="7"/>
  <c r="AE84" i="7"/>
  <c r="AF84" i="7"/>
  <c r="AB41" i="7"/>
  <c r="R41" i="7"/>
  <c r="AC41" i="7"/>
  <c r="AB64" i="7"/>
  <c r="AF64" i="7"/>
  <c r="AD75" i="7"/>
  <c r="AC75" i="7"/>
  <c r="R75" i="7"/>
  <c r="AB75" i="7"/>
  <c r="AB81" i="7"/>
  <c r="R81" i="7"/>
  <c r="AC81" i="7"/>
  <c r="AC82" i="7"/>
  <c r="R82" i="7"/>
  <c r="AF82" i="7"/>
  <c r="AE86" i="7"/>
  <c r="AC86" i="7"/>
  <c r="AF88" i="7"/>
  <c r="AD88" i="7"/>
  <c r="AC88" i="7"/>
  <c r="AC90" i="7"/>
  <c r="AD90" i="7"/>
  <c r="AC98" i="7"/>
  <c r="AF98" i="7"/>
  <c r="AD98" i="7"/>
  <c r="AD41" i="7"/>
  <c r="AD51" i="7"/>
  <c r="AF51" i="7"/>
  <c r="AC51" i="7"/>
  <c r="AB65" i="7"/>
  <c r="R65" i="7"/>
  <c r="AD65" i="7"/>
  <c r="AF65" i="7"/>
  <c r="AD83" i="7"/>
  <c r="AF83" i="7"/>
  <c r="AC83" i="7"/>
  <c r="R83" i="7"/>
  <c r="AB83" i="7"/>
  <c r="AC92" i="7"/>
  <c r="R98" i="7"/>
  <c r="AD107" i="7"/>
  <c r="AC107" i="7"/>
  <c r="R107" i="7"/>
  <c r="AF107" i="7"/>
  <c r="AE107" i="7"/>
  <c r="AB107" i="7"/>
  <c r="AF101" i="7"/>
  <c r="AB101" i="7"/>
  <c r="R101" i="7"/>
  <c r="AC101" i="7"/>
  <c r="AB105" i="7"/>
  <c r="R105" i="7"/>
  <c r="AF105" i="7"/>
  <c r="AD105" i="7"/>
  <c r="AB72" i="7"/>
  <c r="AC72" i="7"/>
  <c r="AF72" i="7"/>
  <c r="AC74" i="7"/>
  <c r="AE74" i="7"/>
  <c r="AE78" i="7"/>
  <c r="AB78" i="7"/>
  <c r="R78" i="7"/>
  <c r="AF78" i="7"/>
  <c r="AD86" i="7"/>
  <c r="AB89" i="7"/>
  <c r="R89" i="7"/>
  <c r="AE89" i="7"/>
  <c r="AB90" i="7"/>
  <c r="AE101" i="7"/>
  <c r="AE105" i="7"/>
  <c r="AF86" i="7"/>
  <c r="R88" i="7"/>
  <c r="AC89" i="7"/>
  <c r="AE90" i="7"/>
  <c r="AE92" i="7"/>
  <c r="AB92" i="7"/>
  <c r="AC106" i="7"/>
  <c r="AF106" i="7"/>
  <c r="AB106" i="7"/>
  <c r="AF131" i="7"/>
  <c r="AC131" i="7"/>
  <c r="R131" i="7"/>
  <c r="AE131" i="7"/>
  <c r="AD131" i="7"/>
  <c r="AB131" i="7"/>
  <c r="AB104" i="7"/>
  <c r="AD104" i="7"/>
  <c r="AE108" i="7"/>
  <c r="AD108" i="7"/>
  <c r="AC108" i="7"/>
  <c r="AD113" i="7"/>
  <c r="AB113" i="7"/>
  <c r="AE113" i="7"/>
  <c r="R113" i="7"/>
  <c r="AC116" i="7"/>
  <c r="R116" i="7"/>
  <c r="AC113" i="7"/>
  <c r="AB118" i="7"/>
  <c r="AD118" i="7"/>
  <c r="AC153" i="7"/>
  <c r="AF153" i="7"/>
  <c r="AE153" i="7"/>
  <c r="R153" i="7"/>
  <c r="AD153" i="7"/>
  <c r="AF61" i="7"/>
  <c r="R61" i="7"/>
  <c r="AD61" i="7"/>
  <c r="AD80" i="7"/>
  <c r="AE80" i="7"/>
  <c r="AF93" i="7"/>
  <c r="AD93" i="7"/>
  <c r="AD99" i="7"/>
  <c r="AE100" i="7"/>
  <c r="AD100" i="7"/>
  <c r="AB100" i="7"/>
  <c r="R100" i="7"/>
  <c r="AF100" i="7"/>
  <c r="AF115" i="7"/>
  <c r="AE115" i="7"/>
  <c r="AD115" i="7"/>
  <c r="R115" i="7"/>
  <c r="AB115" i="7"/>
  <c r="AB116" i="7"/>
  <c r="AE118" i="7"/>
  <c r="AE130" i="7"/>
  <c r="AF130" i="7"/>
  <c r="AC130" i="7"/>
  <c r="AB130" i="7"/>
  <c r="AD130" i="7"/>
  <c r="AE147" i="7"/>
  <c r="AF147" i="7"/>
  <c r="R147" i="7"/>
  <c r="AD147" i="7"/>
  <c r="AB147" i="7"/>
  <c r="AC147" i="7"/>
  <c r="AF132" i="7"/>
  <c r="AD132" i="7"/>
  <c r="AB132" i="7"/>
  <c r="AF135" i="7"/>
  <c r="R140" i="7"/>
  <c r="AE140" i="7"/>
  <c r="AC177" i="7"/>
  <c r="AF177" i="7"/>
  <c r="AE177" i="7"/>
  <c r="AD177" i="7"/>
  <c r="AB177" i="7"/>
  <c r="AF167" i="7"/>
  <c r="R167" i="7"/>
  <c r="AE167" i="7"/>
  <c r="AD167" i="7"/>
  <c r="AC167" i="7"/>
  <c r="AB167" i="7"/>
  <c r="AB142" i="7"/>
  <c r="AC144" i="7"/>
  <c r="AC155" i="7"/>
  <c r="AC169" i="7"/>
  <c r="AE169" i="7"/>
  <c r="AD169" i="7"/>
  <c r="AB169" i="7"/>
  <c r="AB184" i="7"/>
  <c r="R184" i="7"/>
  <c r="AF184" i="7"/>
  <c r="AE184" i="7"/>
  <c r="AD184" i="7"/>
  <c r="AC184" i="7"/>
  <c r="AC161" i="7"/>
  <c r="AD161" i="7"/>
  <c r="AF161" i="7"/>
  <c r="AE161" i="7"/>
  <c r="R161" i="7"/>
  <c r="AF85" i="7"/>
  <c r="AB85" i="7"/>
  <c r="AC112" i="7"/>
  <c r="AB112" i="7"/>
  <c r="R112" i="7"/>
  <c r="AD112" i="7"/>
  <c r="AC120" i="7"/>
  <c r="AE120" i="7"/>
  <c r="R120" i="7"/>
  <c r="AF120" i="7"/>
  <c r="AB127" i="7"/>
  <c r="R127" i="7"/>
  <c r="AE127" i="7"/>
  <c r="AF127" i="7"/>
  <c r="AB139" i="7"/>
  <c r="AF155" i="7"/>
  <c r="AF169" i="7"/>
  <c r="AD137" i="7"/>
  <c r="AE137" i="7"/>
  <c r="R137" i="7"/>
  <c r="AF137" i="7"/>
  <c r="AB140" i="7"/>
  <c r="AE142" i="7"/>
  <c r="R142" i="7"/>
  <c r="AF142" i="7"/>
  <c r="AC145" i="7"/>
  <c r="AE145" i="7"/>
  <c r="AB145" i="7"/>
  <c r="R145" i="7"/>
  <c r="AF145" i="7"/>
  <c r="AB152" i="7"/>
  <c r="R152" i="7"/>
  <c r="AC152" i="7"/>
  <c r="AD170" i="7"/>
  <c r="AF170" i="7"/>
  <c r="AC170" i="7"/>
  <c r="AB170" i="7"/>
  <c r="R177" i="7"/>
  <c r="AF45" i="7"/>
  <c r="AB45" i="7"/>
  <c r="AF77" i="7"/>
  <c r="AB77" i="7"/>
  <c r="AF109" i="7"/>
  <c r="AB109" i="7"/>
  <c r="AE122" i="7"/>
  <c r="AF122" i="7"/>
  <c r="AC122" i="7"/>
  <c r="R122" i="7"/>
  <c r="AD124" i="7"/>
  <c r="AB124" i="7"/>
  <c r="R124" i="7"/>
  <c r="AE124" i="7"/>
  <c r="AC140" i="7"/>
  <c r="AD146" i="7"/>
  <c r="AC146" i="7"/>
  <c r="R146" i="7"/>
  <c r="AB146" i="7"/>
  <c r="AB173" i="7"/>
  <c r="AF173" i="7"/>
  <c r="R173" i="7"/>
  <c r="AE173" i="7"/>
  <c r="AD173" i="7"/>
  <c r="AC173" i="7"/>
  <c r="AB135" i="7"/>
  <c r="R135" i="7"/>
  <c r="AE135" i="7"/>
  <c r="AF139" i="7"/>
  <c r="AE139" i="7"/>
  <c r="AC139" i="7"/>
  <c r="R139" i="7"/>
  <c r="AD140" i="7"/>
  <c r="AB144" i="7"/>
  <c r="R144" i="7"/>
  <c r="AF144" i="7"/>
  <c r="AE149" i="7"/>
  <c r="AB149" i="7"/>
  <c r="AE155" i="7"/>
  <c r="R155" i="7"/>
  <c r="AF156" i="7"/>
  <c r="AD156" i="7"/>
  <c r="R156" i="7"/>
  <c r="AC156" i="7"/>
  <c r="AC159" i="7"/>
  <c r="AC162" i="7"/>
  <c r="AE165" i="7"/>
  <c r="AB200" i="7"/>
  <c r="AC200" i="7"/>
  <c r="AE200" i="7"/>
  <c r="R200" i="7"/>
  <c r="AD200" i="7"/>
  <c r="AB203" i="7"/>
  <c r="R203" i="7"/>
  <c r="AE203" i="7"/>
  <c r="AF203" i="7"/>
  <c r="AD203" i="7"/>
  <c r="AC203" i="7"/>
  <c r="AC204" i="7"/>
  <c r="AF204" i="7"/>
  <c r="AE204" i="7"/>
  <c r="AD204" i="7"/>
  <c r="R204" i="7"/>
  <c r="AB204" i="7"/>
  <c r="AB119" i="7"/>
  <c r="R119" i="7"/>
  <c r="AC119" i="7"/>
  <c r="AB129" i="7"/>
  <c r="R134" i="7"/>
  <c r="AC134" i="7"/>
  <c r="AE156" i="7"/>
  <c r="AB157" i="7"/>
  <c r="R159" i="7"/>
  <c r="AF164" i="7"/>
  <c r="AE164" i="7"/>
  <c r="AB164" i="7"/>
  <c r="R164" i="7"/>
  <c r="R165" i="7"/>
  <c r="AC172" i="7"/>
  <c r="AB175" i="7"/>
  <c r="AD181" i="7"/>
  <c r="AF181" i="7"/>
  <c r="AB181" i="7"/>
  <c r="AD189" i="7"/>
  <c r="AC189" i="7"/>
  <c r="AF200" i="7"/>
  <c r="AD154" i="7"/>
  <c r="AF154" i="7"/>
  <c r="AC154" i="7"/>
  <c r="AC157" i="7"/>
  <c r="AF159" i="7"/>
  <c r="AE159" i="7"/>
  <c r="AD162" i="7"/>
  <c r="R162" i="7"/>
  <c r="AF162" i="7"/>
  <c r="AC175" i="7"/>
  <c r="AC186" i="7"/>
  <c r="AD197" i="7"/>
  <c r="AB197" i="7"/>
  <c r="AE197" i="7"/>
  <c r="AF197" i="7"/>
  <c r="AC197" i="7"/>
  <c r="AE214" i="7"/>
  <c r="AF214" i="7"/>
  <c r="AD214" i="7"/>
  <c r="R214" i="7"/>
  <c r="AC214" i="7"/>
  <c r="AB214" i="7"/>
  <c r="AB121" i="7"/>
  <c r="R126" i="7"/>
  <c r="AC126" i="7"/>
  <c r="AB143" i="7"/>
  <c r="R143" i="7"/>
  <c r="AC143" i="7"/>
  <c r="AD151" i="7"/>
  <c r="AE151" i="7"/>
  <c r="R154" i="7"/>
  <c r="AE154" i="7"/>
  <c r="R157" i="7"/>
  <c r="AD157" i="7"/>
  <c r="AB160" i="7"/>
  <c r="R160" i="7"/>
  <c r="AE160" i="7"/>
  <c r="AE163" i="7"/>
  <c r="AF163" i="7"/>
  <c r="AD163" i="7"/>
  <c r="R163" i="7"/>
  <c r="AF172" i="7"/>
  <c r="AE172" i="7"/>
  <c r="AD175" i="7"/>
  <c r="AF180" i="7"/>
  <c r="AC180" i="7"/>
  <c r="AB180" i="7"/>
  <c r="AF188" i="7"/>
  <c r="AC188" i="7"/>
  <c r="R188" i="7"/>
  <c r="AB188" i="7"/>
  <c r="AE198" i="7"/>
  <c r="AC198" i="7"/>
  <c r="R198" i="7"/>
  <c r="AF198" i="7"/>
  <c r="AD198" i="7"/>
  <c r="AD186" i="7"/>
  <c r="AE186" i="7"/>
  <c r="AB186" i="7"/>
  <c r="AF199" i="7"/>
  <c r="AE199" i="7"/>
  <c r="AD199" i="7"/>
  <c r="R199" i="7"/>
  <c r="AB199" i="7"/>
  <c r="AB211" i="7"/>
  <c r="R211" i="7"/>
  <c r="AE211" i="7"/>
  <c r="AD211" i="7"/>
  <c r="AF211" i="7"/>
  <c r="AF207" i="7"/>
  <c r="R207" i="7"/>
  <c r="AC207" i="7"/>
  <c r="AB219" i="7"/>
  <c r="R219" i="7"/>
  <c r="AF219" i="7"/>
  <c r="AC219" i="7"/>
  <c r="AE219" i="7"/>
  <c r="AB227" i="7"/>
  <c r="R227" i="7"/>
  <c r="AF227" i="7"/>
  <c r="AD227" i="7"/>
  <c r="AE227" i="7"/>
  <c r="AC227" i="7"/>
  <c r="AF148" i="7"/>
  <c r="AB148" i="7"/>
  <c r="AB176" i="7"/>
  <c r="R176" i="7"/>
  <c r="AE176" i="7"/>
  <c r="AD176" i="7"/>
  <c r="AE179" i="7"/>
  <c r="AF179" i="7"/>
  <c r="AC179" i="7"/>
  <c r="AE187" i="7"/>
  <c r="AC187" i="7"/>
  <c r="AF191" i="7"/>
  <c r="AC191" i="7"/>
  <c r="AC196" i="7"/>
  <c r="AE196" i="7"/>
  <c r="AF196" i="7"/>
  <c r="AD196" i="7"/>
  <c r="R196" i="7"/>
  <c r="AF231" i="7"/>
  <c r="AB231" i="7"/>
  <c r="R231" i="7"/>
  <c r="AD231" i="7"/>
  <c r="AC231" i="7"/>
  <c r="AE171" i="7"/>
  <c r="AC171" i="7"/>
  <c r="R171" i="7"/>
  <c r="AD171" i="7"/>
  <c r="AF223" i="7"/>
  <c r="AB223" i="7"/>
  <c r="R223" i="7"/>
  <c r="AD223" i="7"/>
  <c r="AC223" i="7"/>
  <c r="AE223" i="7"/>
  <c r="AE226" i="7"/>
  <c r="AC226" i="7"/>
  <c r="AB226" i="7"/>
  <c r="AF226" i="7"/>
  <c r="AC232" i="7"/>
  <c r="AD232" i="7"/>
  <c r="R232" i="7"/>
  <c r="AB232" i="7"/>
  <c r="AF232" i="7"/>
  <c r="AB168" i="7"/>
  <c r="R168" i="7"/>
  <c r="AC168" i="7"/>
  <c r="AB178" i="7"/>
  <c r="R183" i="7"/>
  <c r="AC183" i="7"/>
  <c r="AE190" i="7"/>
  <c r="AB190" i="7"/>
  <c r="R190" i="7"/>
  <c r="AD190" i="7"/>
  <c r="AC194" i="7"/>
  <c r="AB194" i="7"/>
  <c r="AE218" i="7"/>
  <c r="AB218" i="7"/>
  <c r="AC224" i="7"/>
  <c r="AB224" i="7"/>
  <c r="AF249" i="7"/>
  <c r="AD249" i="7"/>
  <c r="AE249" i="7"/>
  <c r="AC249" i="7"/>
  <c r="AB249" i="7"/>
  <c r="R249" i="7"/>
  <c r="AE206" i="7"/>
  <c r="AF206" i="7"/>
  <c r="R206" i="7"/>
  <c r="AD218" i="7"/>
  <c r="R226" i="7"/>
  <c r="AF215" i="7"/>
  <c r="AB215" i="7"/>
  <c r="R215" i="7"/>
  <c r="AD215" i="7"/>
  <c r="AE215" i="7"/>
  <c r="AE224" i="7"/>
  <c r="AB245" i="7"/>
  <c r="R245" i="7"/>
  <c r="AD245" i="7"/>
  <c r="AF245" i="7"/>
  <c r="AC202" i="7"/>
  <c r="AE222" i="7"/>
  <c r="AF222" i="7"/>
  <c r="R202" i="7"/>
  <c r="AD202" i="7"/>
  <c r="AC216" i="7"/>
  <c r="AD216" i="7"/>
  <c r="AC228" i="7"/>
  <c r="AF228" i="7"/>
  <c r="AE228" i="7"/>
  <c r="R228" i="7"/>
  <c r="AE230" i="7"/>
  <c r="AC230" i="7"/>
  <c r="AF269" i="7"/>
  <c r="AB269" i="7"/>
  <c r="AC269" i="7"/>
  <c r="AE269" i="7"/>
  <c r="AD269" i="7"/>
  <c r="R269" i="7"/>
  <c r="AB195" i="7"/>
  <c r="R195" i="7"/>
  <c r="AC195" i="7"/>
  <c r="AB205" i="7"/>
  <c r="R210" i="7"/>
  <c r="AC210" i="7"/>
  <c r="AE248" i="7"/>
  <c r="AD248" i="7"/>
  <c r="AB248" i="7"/>
  <c r="AC248" i="7"/>
  <c r="AE242" i="7"/>
  <c r="AC242" i="7"/>
  <c r="R242" i="7"/>
  <c r="AD244" i="7"/>
  <c r="AF244" i="7"/>
  <c r="AE244" i="7"/>
  <c r="AC244" i="7"/>
  <c r="AB244" i="7"/>
  <c r="AE255" i="7"/>
  <c r="AD255" i="7"/>
  <c r="R255" i="7"/>
  <c r="AB255" i="7"/>
  <c r="AC255" i="7"/>
  <c r="AF256" i="7"/>
  <c r="AB256" i="7"/>
  <c r="AE256" i="7"/>
  <c r="AD256" i="7"/>
  <c r="AC256" i="7"/>
  <c r="AD236" i="7"/>
  <c r="AB237" i="7"/>
  <c r="R237" i="7"/>
  <c r="AD237" i="7"/>
  <c r="AE238" i="7"/>
  <c r="AC238" i="7"/>
  <c r="AB238" i="7"/>
  <c r="R238" i="7"/>
  <c r="AF239" i="7"/>
  <c r="AD239" i="7"/>
  <c r="AB242" i="7"/>
  <c r="R244" i="7"/>
  <c r="AF252" i="7"/>
  <c r="AB252" i="7"/>
  <c r="R252" i="7"/>
  <c r="AD252" i="7"/>
  <c r="AC252" i="7"/>
  <c r="AB257" i="7"/>
  <c r="R257" i="7"/>
  <c r="AE257" i="7"/>
  <c r="AC257" i="7"/>
  <c r="AF257" i="7"/>
  <c r="AD257" i="7"/>
  <c r="AE267" i="7"/>
  <c r="AD267" i="7"/>
  <c r="AB267" i="7"/>
  <c r="AF267" i="7"/>
  <c r="AE260" i="7"/>
  <c r="AF260" i="7"/>
  <c r="AB260" i="7"/>
  <c r="AD260" i="7"/>
  <c r="R260" i="7"/>
  <c r="AD261" i="7"/>
  <c r="AC265" i="7"/>
  <c r="AB265" i="7"/>
  <c r="R265" i="7"/>
  <c r="AE265" i="7"/>
  <c r="AD265" i="7"/>
  <c r="AE272" i="7"/>
  <c r="AC240" i="7"/>
  <c r="AE240" i="7"/>
  <c r="AB240" i="7"/>
  <c r="AC246" i="7"/>
  <c r="AF246" i="7"/>
  <c r="AD246" i="7"/>
  <c r="R246" i="7"/>
  <c r="AD247" i="7"/>
  <c r="AF247" i="7"/>
  <c r="AC254" i="7"/>
  <c r="AD254" i="7"/>
  <c r="AF254" i="7"/>
  <c r="AB254" i="7"/>
  <c r="AD262" i="7"/>
  <c r="AE262" i="7"/>
  <c r="AC262" i="7"/>
  <c r="AF268" i="7"/>
  <c r="AE268" i="7"/>
  <c r="AD268" i="7"/>
  <c r="R268" i="7"/>
  <c r="AB268" i="7"/>
  <c r="AE254" i="7"/>
  <c r="AC258" i="7"/>
  <c r="AD258" i="7"/>
  <c r="R258" i="7"/>
  <c r="AF262" i="7"/>
  <c r="AC268" i="7"/>
  <c r="AF276" i="7"/>
  <c r="AE276" i="7"/>
  <c r="AC276" i="7"/>
  <c r="AD276" i="7"/>
  <c r="AB253" i="7"/>
  <c r="R253" i="7"/>
  <c r="AF253" i="7"/>
  <c r="AD253" i="7"/>
  <c r="AF261" i="7"/>
  <c r="AE261" i="7"/>
  <c r="AC261" i="7"/>
  <c r="AF233" i="7"/>
  <c r="AB233" i="7"/>
  <c r="AC247" i="7"/>
  <c r="AB258" i="7"/>
  <c r="AB272" i="7"/>
  <c r="R272" i="7"/>
  <c r="AD272" i="7"/>
  <c r="AF272" i="7"/>
  <c r="AC273" i="7"/>
  <c r="AB273" i="7"/>
  <c r="R273" i="7"/>
  <c r="AF273" i="7"/>
  <c r="AE291" i="7"/>
  <c r="AD291" i="7"/>
  <c r="AC291" i="7"/>
  <c r="AB291" i="7"/>
  <c r="R291" i="7"/>
  <c r="AF241" i="7"/>
  <c r="AB243" i="7"/>
  <c r="AC281" i="7"/>
  <c r="AB281" i="7"/>
  <c r="R281" i="7"/>
  <c r="AE281" i="7"/>
  <c r="AF284" i="7"/>
  <c r="AE284" i="7"/>
  <c r="AD284" i="7"/>
  <c r="AC284" i="7"/>
  <c r="AB284" i="7"/>
  <c r="AC289" i="7"/>
  <c r="AB289" i="7"/>
  <c r="R289" i="7"/>
  <c r="AF289" i="7"/>
  <c r="AE289" i="7"/>
  <c r="AD289" i="7"/>
  <c r="AD290" i="7"/>
  <c r="AC290" i="7"/>
  <c r="AB290" i="7"/>
  <c r="R290" i="7"/>
  <c r="AF290" i="7"/>
  <c r="AE290" i="7"/>
  <c r="R250" i="7"/>
  <c r="AC250" i="7"/>
  <c r="AB264" i="7"/>
  <c r="R264" i="7"/>
  <c r="AD266" i="7"/>
  <c r="AC266" i="7"/>
  <c r="AE266" i="7"/>
  <c r="AD281" i="7"/>
  <c r="AE275" i="7"/>
  <c r="AD275" i="7"/>
  <c r="AB275" i="7"/>
  <c r="R275" i="7"/>
  <c r="AB280" i="7"/>
  <c r="R280" i="7"/>
  <c r="AE280" i="7"/>
  <c r="AD280" i="7"/>
  <c r="R284" i="7"/>
  <c r="AD264" i="7"/>
  <c r="AD274" i="7"/>
  <c r="AC274" i="7"/>
  <c r="AF274" i="7"/>
  <c r="AC280" i="7"/>
  <c r="AF291" i="7"/>
  <c r="AD282" i="7"/>
  <c r="AC282" i="7"/>
  <c r="AB282" i="7"/>
  <c r="AF292" i="7"/>
  <c r="AE292" i="7"/>
  <c r="AD292" i="7"/>
  <c r="R292" i="7"/>
  <c r="AF277" i="7"/>
  <c r="AC277" i="7"/>
  <c r="AE283" i="7"/>
  <c r="AD283" i="7"/>
  <c r="AC283" i="7"/>
  <c r="AF283" i="7"/>
  <c r="AF285" i="7"/>
  <c r="AE285" i="7"/>
  <c r="AD285" i="7"/>
  <c r="AB292" i="7"/>
  <c r="AB259" i="7"/>
  <c r="AC292" i="7"/>
  <c r="R288" i="7"/>
  <c r="AF295" i="2" l="1"/>
  <c r="AF288" i="2"/>
  <c r="AF273" i="2"/>
  <c r="AF291" i="2"/>
  <c r="AF275" i="2"/>
  <c r="AF292" i="2"/>
  <c r="AF297" i="2"/>
  <c r="AF299" i="2"/>
  <c r="AF296" i="2"/>
  <c r="AF298" i="2"/>
  <c r="AF294" i="2"/>
  <c r="AF293" i="2"/>
  <c r="AF278" i="2"/>
  <c r="AF282" i="2"/>
  <c r="AF274" i="2"/>
  <c r="AF283" i="2"/>
  <c r="Y276" i="2"/>
  <c r="Z276" i="2" s="1"/>
  <c r="AA276" i="2" s="1"/>
  <c r="AC276" i="2" s="1"/>
  <c r="R8" i="7"/>
  <c r="AJ283" i="2" l="1"/>
  <c r="AJ282" i="2"/>
  <c r="AJ278" i="2"/>
  <c r="AJ299" i="2"/>
  <c r="AU299" i="2" s="1"/>
  <c r="AJ273" i="2"/>
  <c r="AU273" i="2" s="1"/>
  <c r="AJ288" i="2"/>
  <c r="AJ274" i="2"/>
  <c r="AU274" i="2" s="1"/>
  <c r="AI274" i="2"/>
  <c r="AJ297" i="2"/>
  <c r="AU297" i="2" s="1"/>
  <c r="AI297" i="2"/>
  <c r="AJ292" i="2"/>
  <c r="AU292" i="2" s="1"/>
  <c r="AI292" i="2"/>
  <c r="AJ275" i="2"/>
  <c r="AU275" i="2" s="1"/>
  <c r="AI275" i="2"/>
  <c r="AJ293" i="2"/>
  <c r="AU293" i="2" s="1"/>
  <c r="AI293" i="2"/>
  <c r="AJ291" i="2"/>
  <c r="AU291" i="2" s="1"/>
  <c r="AI291" i="2"/>
  <c r="AJ294" i="2"/>
  <c r="AU294" i="2" s="1"/>
  <c r="AI294" i="2"/>
  <c r="AF276" i="2"/>
  <c r="AJ298" i="2"/>
  <c r="AU298" i="2" s="1"/>
  <c r="AI298" i="2"/>
  <c r="AJ296" i="2"/>
  <c r="AU296" i="2" s="1"/>
  <c r="AI296" i="2"/>
  <c r="AJ295" i="2"/>
  <c r="AU295" i="2" s="1"/>
  <c r="AI295" i="2"/>
  <c r="AI282" i="2"/>
  <c r="AI283" i="2"/>
  <c r="AI288" i="2"/>
  <c r="AI278" i="2"/>
  <c r="AI299" i="2"/>
  <c r="AI273" i="2"/>
  <c r="B265" i="2"/>
  <c r="B266" i="2"/>
  <c r="B267" i="2"/>
  <c r="AT267" i="2" s="1"/>
  <c r="B268" i="2"/>
  <c r="AT268" i="2" s="1"/>
  <c r="B264" i="2"/>
  <c r="B263" i="2"/>
  <c r="B262" i="2"/>
  <c r="B260" i="2"/>
  <c r="B261" i="2"/>
  <c r="B259" i="2"/>
  <c r="B258" i="2"/>
  <c r="B256" i="2"/>
  <c r="B257" i="2"/>
  <c r="AT257" i="2" l="1"/>
  <c r="AT256" i="2"/>
  <c r="AT258" i="2"/>
  <c r="AT259" i="2"/>
  <c r="AT261" i="2"/>
  <c r="AT260" i="2"/>
  <c r="AT262" i="2"/>
  <c r="AT263" i="2"/>
  <c r="AT264" i="2"/>
  <c r="AT266" i="2"/>
  <c r="AT265" i="2"/>
  <c r="AO273" i="2"/>
  <c r="AP273" i="2" s="1"/>
  <c r="AQ273" i="2" s="1"/>
  <c r="AO299" i="2"/>
  <c r="AP299" i="2" s="1"/>
  <c r="AQ299" i="2" s="1"/>
  <c r="AS268" i="2"/>
  <c r="AS267" i="2"/>
  <c r="AL299" i="2"/>
  <c r="J257" i="2"/>
  <c r="BQ257" i="2" s="1"/>
  <c r="I257" i="2"/>
  <c r="J256" i="2"/>
  <c r="BQ256" i="2" s="1"/>
  <c r="I256" i="2"/>
  <c r="J258" i="2"/>
  <c r="BQ258" i="2" s="1"/>
  <c r="I258" i="2"/>
  <c r="J259" i="2"/>
  <c r="BQ259" i="2" s="1"/>
  <c r="I259" i="2"/>
  <c r="I261" i="2"/>
  <c r="J261" i="2"/>
  <c r="BQ261" i="2" s="1"/>
  <c r="I260" i="2"/>
  <c r="J260" i="2"/>
  <c r="BQ260" i="2" s="1"/>
  <c r="J262" i="2"/>
  <c r="BQ262" i="2" s="1"/>
  <c r="I262" i="2"/>
  <c r="J263" i="2"/>
  <c r="BQ263" i="2" s="1"/>
  <c r="I263" i="2"/>
  <c r="J264" i="2"/>
  <c r="BQ264" i="2" s="1"/>
  <c r="I264" i="2"/>
  <c r="I268" i="2"/>
  <c r="J268" i="2"/>
  <c r="BQ268" i="2" s="1"/>
  <c r="J267" i="2"/>
  <c r="BQ267" i="2" s="1"/>
  <c r="I267" i="2"/>
  <c r="J266" i="2"/>
  <c r="BQ266" i="2" s="1"/>
  <c r="I266" i="2"/>
  <c r="I265" i="2"/>
  <c r="J265" i="2"/>
  <c r="BQ265" i="2" s="1"/>
  <c r="AN278" i="2"/>
  <c r="AL282" i="2"/>
  <c r="AO282" i="2"/>
  <c r="AP282" i="2" s="1"/>
  <c r="AQ282" i="2" s="1"/>
  <c r="AN282" i="2"/>
  <c r="AN299" i="2"/>
  <c r="AN288" i="2"/>
  <c r="AL288" i="2"/>
  <c r="AV273" i="2"/>
  <c r="AO278" i="2"/>
  <c r="AP278" i="2" s="1"/>
  <c r="AQ278" i="2" s="1"/>
  <c r="AL283" i="2"/>
  <c r="AL273" i="2"/>
  <c r="AN283" i="2"/>
  <c r="AO283" i="2"/>
  <c r="AP283" i="2" s="1"/>
  <c r="AQ283" i="2" s="1"/>
  <c r="AL278" i="2"/>
  <c r="AO288" i="2"/>
  <c r="AP288" i="2" s="1"/>
  <c r="AQ288" i="2" s="1"/>
  <c r="AN273" i="2"/>
  <c r="AJ276" i="2"/>
  <c r="AU276" i="2" s="1"/>
  <c r="AZ292" i="2"/>
  <c r="AN292" i="2"/>
  <c r="AL292" i="2"/>
  <c r="AO292" i="2"/>
  <c r="AP292" i="2" s="1"/>
  <c r="AQ292" i="2" s="1"/>
  <c r="AZ295" i="2"/>
  <c r="AL295" i="2"/>
  <c r="AN295" i="2"/>
  <c r="AO295" i="2"/>
  <c r="AP295" i="2" s="1"/>
  <c r="AQ295" i="2" s="1"/>
  <c r="AI276" i="2"/>
  <c r="AN293" i="2"/>
  <c r="AL293" i="2"/>
  <c r="AO293" i="2"/>
  <c r="AP293" i="2" s="1"/>
  <c r="AQ293" i="2" s="1"/>
  <c r="AZ293" i="2"/>
  <c r="AL297" i="2"/>
  <c r="AO297" i="2"/>
  <c r="AP297" i="2" s="1"/>
  <c r="AQ297" i="2" s="1"/>
  <c r="AZ297" i="2"/>
  <c r="AN297" i="2"/>
  <c r="AZ296" i="2"/>
  <c r="AN296" i="2"/>
  <c r="AL296" i="2"/>
  <c r="AO296" i="2"/>
  <c r="AP296" i="2" s="1"/>
  <c r="AQ296" i="2" s="1"/>
  <c r="AL294" i="2"/>
  <c r="AZ294" i="2"/>
  <c r="AO294" i="2"/>
  <c r="AP294" i="2" s="1"/>
  <c r="AQ294" i="2" s="1"/>
  <c r="AN294" i="2"/>
  <c r="AN275" i="2"/>
  <c r="AL275" i="2"/>
  <c r="AZ275" i="2"/>
  <c r="AO275" i="2"/>
  <c r="AP275" i="2" s="1"/>
  <c r="AQ275" i="2" s="1"/>
  <c r="AL274" i="2"/>
  <c r="AO274" i="2"/>
  <c r="AP274" i="2" s="1"/>
  <c r="AQ274" i="2" s="1"/>
  <c r="AZ274" i="2"/>
  <c r="AN274" i="2"/>
  <c r="AN298" i="2"/>
  <c r="AL298" i="2"/>
  <c r="AO298" i="2"/>
  <c r="AP298" i="2" s="1"/>
  <c r="AQ298" i="2" s="1"/>
  <c r="AZ298" i="2"/>
  <c r="AN291" i="2"/>
  <c r="AL291" i="2"/>
  <c r="AZ291" i="2"/>
  <c r="AO291" i="2"/>
  <c r="AP291" i="2" s="1"/>
  <c r="AQ291" i="2" s="1"/>
  <c r="O262" i="2"/>
  <c r="O263" i="2"/>
  <c r="O257" i="2"/>
  <c r="O264" i="2"/>
  <c r="O256" i="2"/>
  <c r="O268" i="2"/>
  <c r="O258" i="2"/>
  <c r="O267" i="2"/>
  <c r="O259" i="2"/>
  <c r="O266" i="2"/>
  <c r="O261" i="2"/>
  <c r="O265" i="2"/>
  <c r="O260" i="2"/>
  <c r="AD257" i="2"/>
  <c r="AD256" i="2"/>
  <c r="AD258" i="2"/>
  <c r="AD259" i="2"/>
  <c r="AG259" i="2" s="1"/>
  <c r="AD261" i="2"/>
  <c r="AG261" i="2" s="1"/>
  <c r="AD260" i="2"/>
  <c r="AG260" i="2" s="1"/>
  <c r="AD262" i="2"/>
  <c r="AD263" i="2"/>
  <c r="AD264" i="2"/>
  <c r="AD268" i="2"/>
  <c r="AG268" i="2" s="1"/>
  <c r="AD267" i="2"/>
  <c r="AG267" i="2" s="1"/>
  <c r="AD266" i="2"/>
  <c r="AG266" i="2" s="1"/>
  <c r="AD265" i="2"/>
  <c r="AG265" i="2" s="1"/>
  <c r="Q257" i="2"/>
  <c r="Q256" i="2"/>
  <c r="Q258" i="2"/>
  <c r="Q259" i="2"/>
  <c r="Q261" i="2"/>
  <c r="Q260" i="2"/>
  <c r="Q262" i="2"/>
  <c r="Q263" i="2"/>
  <c r="Q264" i="2"/>
  <c r="Q268" i="2"/>
  <c r="Q267" i="2"/>
  <c r="Q266" i="2"/>
  <c r="Q265" i="2"/>
  <c r="AZ273" i="2"/>
  <c r="BN260" i="2"/>
  <c r="BO260" i="2"/>
  <c r="BL260" i="2"/>
  <c r="BJ260" i="2"/>
  <c r="BM260" i="2"/>
  <c r="BK260" i="2"/>
  <c r="BI260" i="2"/>
  <c r="BO262" i="2"/>
  <c r="BN262" i="2"/>
  <c r="BM262" i="2"/>
  <c r="BK262" i="2"/>
  <c r="BL262" i="2"/>
  <c r="BJ262" i="2"/>
  <c r="BI262" i="2"/>
  <c r="BN263" i="2"/>
  <c r="BO263" i="2"/>
  <c r="BK263" i="2"/>
  <c r="BM263" i="2"/>
  <c r="BL263" i="2"/>
  <c r="BJ263" i="2"/>
  <c r="BI263" i="2"/>
  <c r="BN264" i="2"/>
  <c r="BM264" i="2"/>
  <c r="BO264" i="2"/>
  <c r="BL264" i="2"/>
  <c r="BK264" i="2"/>
  <c r="BJ264" i="2"/>
  <c r="BI264" i="2"/>
  <c r="BN256" i="2"/>
  <c r="BM256" i="2"/>
  <c r="BO256" i="2"/>
  <c r="BL256" i="2"/>
  <c r="BK256" i="2"/>
  <c r="BJ256" i="2"/>
  <c r="BI256" i="2"/>
  <c r="BO268" i="2"/>
  <c r="BN268" i="2"/>
  <c r="BM268" i="2"/>
  <c r="BJ268" i="2"/>
  <c r="BK268" i="2"/>
  <c r="BL268" i="2"/>
  <c r="BI268" i="2"/>
  <c r="BO258" i="2"/>
  <c r="BM258" i="2"/>
  <c r="BN258" i="2"/>
  <c r="BL258" i="2"/>
  <c r="BJ258" i="2"/>
  <c r="BK258" i="2"/>
  <c r="BI258" i="2"/>
  <c r="BO267" i="2"/>
  <c r="BN267" i="2"/>
  <c r="BM267" i="2"/>
  <c r="BL267" i="2"/>
  <c r="BJ267" i="2"/>
  <c r="BK267" i="2"/>
  <c r="BI267" i="2"/>
  <c r="BO257" i="2"/>
  <c r="BM257" i="2"/>
  <c r="BL257" i="2"/>
  <c r="BJ257" i="2"/>
  <c r="BN257" i="2"/>
  <c r="BK257" i="2"/>
  <c r="BI257" i="2"/>
  <c r="BO259" i="2"/>
  <c r="BN259" i="2"/>
  <c r="BM259" i="2"/>
  <c r="BL259" i="2"/>
  <c r="BJ259" i="2"/>
  <c r="BK259" i="2"/>
  <c r="BI259" i="2"/>
  <c r="BO266" i="2"/>
  <c r="BN266" i="2"/>
  <c r="BM266" i="2"/>
  <c r="BL266" i="2"/>
  <c r="BJ266" i="2"/>
  <c r="BK266" i="2"/>
  <c r="BI266" i="2"/>
  <c r="BO261" i="2"/>
  <c r="BM261" i="2"/>
  <c r="BL261" i="2"/>
  <c r="BK261" i="2"/>
  <c r="BN261" i="2"/>
  <c r="BJ261" i="2"/>
  <c r="BI261" i="2"/>
  <c r="BO265" i="2"/>
  <c r="BN265" i="2"/>
  <c r="BM265" i="2"/>
  <c r="BL265" i="2"/>
  <c r="BJ265" i="2"/>
  <c r="BK265" i="2"/>
  <c r="BI265" i="2"/>
  <c r="BG265" i="2"/>
  <c r="BF265" i="2"/>
  <c r="BE265" i="2"/>
  <c r="BD265" i="2"/>
  <c r="BH265" i="2"/>
  <c r="BG257" i="2"/>
  <c r="BH257" i="2"/>
  <c r="BE257" i="2"/>
  <c r="BD257" i="2"/>
  <c r="BF257" i="2"/>
  <c r="BH256" i="2"/>
  <c r="BG256" i="2"/>
  <c r="BE256" i="2"/>
  <c r="BD256" i="2"/>
  <c r="BF256" i="2"/>
  <c r="BH261" i="2"/>
  <c r="BG261" i="2"/>
  <c r="BF261" i="2"/>
  <c r="BD261" i="2"/>
  <c r="BE261" i="2"/>
  <c r="BG264" i="2"/>
  <c r="BH264" i="2"/>
  <c r="BE264" i="2"/>
  <c r="BD264" i="2"/>
  <c r="BF264" i="2"/>
  <c r="BH260" i="2"/>
  <c r="BF260" i="2"/>
  <c r="BG260" i="2"/>
  <c r="BE260" i="2"/>
  <c r="BD260" i="2"/>
  <c r="BG259" i="2"/>
  <c r="BH259" i="2"/>
  <c r="BF259" i="2"/>
  <c r="BE259" i="2"/>
  <c r="BD259" i="2"/>
  <c r="BG258" i="2"/>
  <c r="BF258" i="2"/>
  <c r="BH258" i="2"/>
  <c r="BE258" i="2"/>
  <c r="BD258" i="2"/>
  <c r="BH263" i="2"/>
  <c r="BF263" i="2"/>
  <c r="BD263" i="2"/>
  <c r="BG263" i="2"/>
  <c r="BE263" i="2"/>
  <c r="BE262" i="2"/>
  <c r="BF262" i="2"/>
  <c r="BH262" i="2"/>
  <c r="BD262" i="2"/>
  <c r="BG262" i="2"/>
  <c r="BG266" i="2"/>
  <c r="BE266" i="2"/>
  <c r="BD266" i="2"/>
  <c r="BH266" i="2"/>
  <c r="BF266" i="2"/>
  <c r="BH268" i="2"/>
  <c r="BG268" i="2"/>
  <c r="BF268" i="2"/>
  <c r="BE268" i="2"/>
  <c r="BD268" i="2"/>
  <c r="BH267" i="2"/>
  <c r="BG267" i="2"/>
  <c r="BF267" i="2"/>
  <c r="BE267" i="2"/>
  <c r="BD267" i="2"/>
  <c r="AV299" i="2" l="1"/>
  <c r="AZ299" i="2"/>
  <c r="AV295" i="2"/>
  <c r="AV297" i="2"/>
  <c r="AV274" i="2"/>
  <c r="AV292" i="2"/>
  <c r="AV293" i="2"/>
  <c r="AV275" i="2"/>
  <c r="AV294" i="2"/>
  <c r="AO276" i="2"/>
  <c r="AP276" i="2" s="1"/>
  <c r="AQ276" i="2" s="1"/>
  <c r="AV296" i="2"/>
  <c r="AV298" i="2"/>
  <c r="AV291" i="2"/>
  <c r="AL276" i="2"/>
  <c r="AN276" i="2"/>
  <c r="AV276" i="2"/>
  <c r="AZ276" i="2"/>
  <c r="AG264" i="2"/>
  <c r="AG263" i="2"/>
  <c r="AG262" i="2"/>
  <c r="AG258" i="2"/>
  <c r="AG256" i="2"/>
  <c r="AG257" i="2"/>
  <c r="B255" i="2"/>
  <c r="B254" i="2"/>
  <c r="B253" i="2"/>
  <c r="AT253" i="2" l="1"/>
  <c r="AT254" i="2"/>
  <c r="AT255" i="2"/>
  <c r="I253" i="2"/>
  <c r="J253" i="2"/>
  <c r="BQ253" i="2" s="1"/>
  <c r="J254" i="2"/>
  <c r="BQ254" i="2" s="1"/>
  <c r="I254" i="2"/>
  <c r="I255" i="2"/>
  <c r="J255" i="2"/>
  <c r="BQ255" i="2" s="1"/>
  <c r="O253" i="2"/>
  <c r="O254" i="2"/>
  <c r="O255" i="2"/>
  <c r="AD253" i="2"/>
  <c r="AD254" i="2"/>
  <c r="AG254" i="2" s="1"/>
  <c r="AD255" i="2"/>
  <c r="AG255" i="2" s="1"/>
  <c r="Q253" i="2"/>
  <c r="Q254" i="2"/>
  <c r="Q255" i="2"/>
  <c r="BO254" i="2"/>
  <c r="BN254" i="2"/>
  <c r="BM254" i="2"/>
  <c r="BL254" i="2"/>
  <c r="BK254" i="2"/>
  <c r="BJ254" i="2"/>
  <c r="BI254" i="2"/>
  <c r="BN255" i="2"/>
  <c r="BO255" i="2"/>
  <c r="BM255" i="2"/>
  <c r="BL255" i="2"/>
  <c r="BK255" i="2"/>
  <c r="BJ255" i="2"/>
  <c r="BI255" i="2"/>
  <c r="BO253" i="2"/>
  <c r="BN253" i="2"/>
  <c r="BL253" i="2"/>
  <c r="BK253" i="2"/>
  <c r="BM253" i="2"/>
  <c r="BJ253" i="2"/>
  <c r="BI253" i="2"/>
  <c r="BH253" i="2"/>
  <c r="BG253" i="2"/>
  <c r="BF253" i="2"/>
  <c r="BD253" i="2"/>
  <c r="BE253" i="2"/>
  <c r="BH255" i="2"/>
  <c r="BG255" i="2"/>
  <c r="BF255" i="2"/>
  <c r="BE255" i="2"/>
  <c r="BD255" i="2"/>
  <c r="BH254" i="2"/>
  <c r="BF254" i="2"/>
  <c r="BG254" i="2"/>
  <c r="BD254" i="2"/>
  <c r="BE254" i="2"/>
  <c r="AG253" i="2" l="1"/>
  <c r="K279" i="7"/>
  <c r="K259" i="7"/>
  <c r="K158" i="7"/>
  <c r="K150" i="7"/>
  <c r="K287" i="7"/>
  <c r="K155" i="7"/>
  <c r="K132" i="7"/>
  <c r="K271" i="7"/>
  <c r="K265" i="7"/>
  <c r="K262" i="7"/>
  <c r="K153" i="7"/>
  <c r="K145" i="7"/>
  <c r="K139" i="7"/>
  <c r="K136" i="7"/>
  <c r="K130" i="7"/>
  <c r="K160" i="7"/>
  <c r="K135" i="7"/>
  <c r="K288" i="7"/>
  <c r="K257" i="7"/>
  <c r="K156" i="7"/>
  <c r="K148" i="7"/>
  <c r="K142" i="7"/>
  <c r="K133" i="7"/>
  <c r="K261" i="7"/>
  <c r="K152" i="7"/>
  <c r="K147" i="7"/>
  <c r="K280" i="7"/>
  <c r="K263" i="7"/>
  <c r="K260" i="7"/>
  <c r="K159" i="7"/>
  <c r="K151" i="7"/>
  <c r="K137" i="7"/>
  <c r="K264" i="7"/>
  <c r="K129" i="7"/>
  <c r="K141" i="7"/>
  <c r="K286" i="7"/>
  <c r="K266" i="7"/>
  <c r="K154" i="7"/>
  <c r="K146" i="7"/>
  <c r="K140" i="7"/>
  <c r="K131" i="7"/>
  <c r="K144" i="7"/>
  <c r="K278" i="7"/>
  <c r="K258" i="7"/>
  <c r="K157" i="7"/>
  <c r="K149" i="7"/>
  <c r="K143" i="7"/>
  <c r="K134" i="7"/>
  <c r="K281" i="7"/>
  <c r="K138" i="7"/>
  <c r="K127" i="7"/>
  <c r="K254" i="7"/>
  <c r="K256" i="7"/>
  <c r="K125" i="7"/>
  <c r="K122" i="7"/>
  <c r="K283" i="7"/>
  <c r="K128" i="7"/>
  <c r="K255" i="7"/>
  <c r="K123" i="7"/>
  <c r="K126" i="7"/>
  <c r="K124" i="7"/>
  <c r="B252" i="2"/>
  <c r="AT252" i="2" s="1"/>
  <c r="AS252" i="2" l="1"/>
  <c r="I252" i="2"/>
  <c r="J252" i="2"/>
  <c r="BQ252" i="2" s="1"/>
  <c r="O252" i="2"/>
  <c r="AD252" i="2"/>
  <c r="AG252" i="2" s="1"/>
  <c r="Q252" i="2"/>
  <c r="BN252" i="2"/>
  <c r="BO252" i="2"/>
  <c r="BM252" i="2"/>
  <c r="BL252" i="2"/>
  <c r="BK252" i="2"/>
  <c r="BJ252" i="2"/>
  <c r="BI252" i="2"/>
  <c r="K290" i="7"/>
  <c r="K282" i="7"/>
  <c r="K112" i="7"/>
  <c r="K106" i="7"/>
  <c r="K98" i="7"/>
  <c r="K95" i="7"/>
  <c r="K89" i="7"/>
  <c r="K292" i="7"/>
  <c r="K253" i="7"/>
  <c r="K117" i="7"/>
  <c r="K88" i="7"/>
  <c r="K103" i="7"/>
  <c r="K224" i="7"/>
  <c r="K118" i="7"/>
  <c r="K115" i="7"/>
  <c r="K107" i="7"/>
  <c r="K101" i="7"/>
  <c r="K92" i="7"/>
  <c r="K109" i="7"/>
  <c r="K119" i="7"/>
  <c r="K110" i="7"/>
  <c r="K104" i="7"/>
  <c r="K96" i="7"/>
  <c r="K91" i="7"/>
  <c r="K226" i="7"/>
  <c r="K121" i="7"/>
  <c r="K291" i="7"/>
  <c r="K252" i="7"/>
  <c r="K116" i="7"/>
  <c r="K113" i="7"/>
  <c r="K99" i="7"/>
  <c r="K93" i="7"/>
  <c r="K90" i="7"/>
  <c r="K225" i="7"/>
  <c r="K120" i="7"/>
  <c r="K108" i="7"/>
  <c r="K102" i="7"/>
  <c r="K114" i="7"/>
  <c r="K289" i="7"/>
  <c r="K111" i="7"/>
  <c r="K105" i="7"/>
  <c r="K97" i="7"/>
  <c r="K94" i="7"/>
  <c r="K100" i="7"/>
  <c r="K276" i="7"/>
  <c r="K251" i="7"/>
  <c r="K243" i="7"/>
  <c r="K235" i="7"/>
  <c r="K232" i="7"/>
  <c r="K229" i="7"/>
  <c r="K218" i="7"/>
  <c r="K86" i="7"/>
  <c r="K77" i="7"/>
  <c r="K69" i="7"/>
  <c r="K61" i="7"/>
  <c r="K53" i="7"/>
  <c r="K45" i="7"/>
  <c r="K42" i="7"/>
  <c r="K39" i="7"/>
  <c r="K30" i="7"/>
  <c r="K19" i="7"/>
  <c r="K16" i="7"/>
  <c r="K15" i="7"/>
  <c r="K12" i="7"/>
  <c r="K223" i="7"/>
  <c r="K55" i="7"/>
  <c r="K215" i="7"/>
  <c r="K36" i="7"/>
  <c r="K285" i="7"/>
  <c r="K246" i="7"/>
  <c r="K238" i="7"/>
  <c r="K221" i="7"/>
  <c r="K81" i="7"/>
  <c r="K72" i="7"/>
  <c r="K64" i="7"/>
  <c r="K56" i="7"/>
  <c r="K48" i="7"/>
  <c r="K34" i="7"/>
  <c r="K25" i="7"/>
  <c r="K22" i="7"/>
  <c r="K10" i="7"/>
  <c r="K284" i="7"/>
  <c r="K245" i="7"/>
  <c r="K63" i="7"/>
  <c r="K24" i="7"/>
  <c r="K50" i="7"/>
  <c r="K249" i="7"/>
  <c r="K241" i="7"/>
  <c r="K227" i="7"/>
  <c r="K216" i="7"/>
  <c r="K84" i="7"/>
  <c r="K75" i="7"/>
  <c r="K67" i="7"/>
  <c r="K59" i="7"/>
  <c r="K51" i="7"/>
  <c r="K43" i="7"/>
  <c r="K40" i="7"/>
  <c r="K37" i="7"/>
  <c r="K28" i="7"/>
  <c r="K17" i="7"/>
  <c r="K13" i="7"/>
  <c r="K234" i="7"/>
  <c r="K47" i="7"/>
  <c r="K74" i="7"/>
  <c r="K27" i="7"/>
  <c r="K244" i="7"/>
  <c r="K236" i="7"/>
  <c r="K233" i="7"/>
  <c r="K230" i="7"/>
  <c r="K219" i="7"/>
  <c r="K87" i="7"/>
  <c r="K78" i="7"/>
  <c r="K70" i="7"/>
  <c r="K62" i="7"/>
  <c r="K54" i="7"/>
  <c r="K46" i="7"/>
  <c r="K31" i="7"/>
  <c r="K20" i="7"/>
  <c r="K14" i="7"/>
  <c r="K237" i="7"/>
  <c r="K80" i="7"/>
  <c r="K248" i="7"/>
  <c r="K83" i="7"/>
  <c r="K247" i="7"/>
  <c r="K239" i="7"/>
  <c r="K222" i="7"/>
  <c r="K82" i="7"/>
  <c r="K73" i="7"/>
  <c r="K65" i="7"/>
  <c r="K57" i="7"/>
  <c r="K49" i="7"/>
  <c r="K35" i="7"/>
  <c r="K32" i="7"/>
  <c r="K26" i="7"/>
  <c r="K23" i="7"/>
  <c r="K11" i="7"/>
  <c r="K71" i="7"/>
  <c r="K21" i="7"/>
  <c r="K240" i="7"/>
  <c r="K66" i="7"/>
  <c r="K275" i="7"/>
  <c r="K250" i="7"/>
  <c r="K242" i="7"/>
  <c r="K231" i="7"/>
  <c r="K228" i="7"/>
  <c r="K217" i="7"/>
  <c r="K85" i="7"/>
  <c r="K79" i="7"/>
  <c r="K76" i="7"/>
  <c r="K68" i="7"/>
  <c r="K60" i="7"/>
  <c r="K52" i="7"/>
  <c r="K44" i="7"/>
  <c r="K41" i="7"/>
  <c r="K38" i="7"/>
  <c r="K29" i="7"/>
  <c r="K18" i="7"/>
  <c r="K220" i="7"/>
  <c r="K33" i="7"/>
  <c r="K58" i="7"/>
  <c r="K206" i="7"/>
  <c r="K195" i="7"/>
  <c r="K193" i="7"/>
  <c r="K189" i="7"/>
  <c r="K181" i="7"/>
  <c r="K176" i="7"/>
  <c r="K174" i="7"/>
  <c r="K169" i="7"/>
  <c r="K161" i="7"/>
  <c r="K213" i="7"/>
  <c r="K210" i="7"/>
  <c r="K208" i="7"/>
  <c r="K200" i="7"/>
  <c r="K197" i="7"/>
  <c r="K184" i="7"/>
  <c r="K162" i="7"/>
  <c r="K214" i="7"/>
  <c r="K204" i="7"/>
  <c r="K177" i="7"/>
  <c r="K170" i="7"/>
  <c r="K166" i="7"/>
  <c r="K164" i="7"/>
  <c r="K183" i="7"/>
  <c r="K207" i="7"/>
  <c r="K205" i="7"/>
  <c r="K198" i="7"/>
  <c r="K194" i="7"/>
  <c r="K185" i="7"/>
  <c r="K179" i="7"/>
  <c r="K178" i="7"/>
  <c r="K167" i="7"/>
  <c r="K165" i="7"/>
  <c r="K163" i="7"/>
  <c r="K211" i="7"/>
  <c r="K201" i="7"/>
  <c r="K192" i="7"/>
  <c r="K186" i="7"/>
  <c r="K212" i="7"/>
  <c r="K182" i="7"/>
  <c r="K175" i="7"/>
  <c r="K171" i="7"/>
  <c r="K209" i="7"/>
  <c r="K202" i="7"/>
  <c r="K199" i="7"/>
  <c r="K190" i="7"/>
  <c r="K180" i="7"/>
  <c r="K168" i="7"/>
  <c r="K203" i="7"/>
  <c r="K196" i="7"/>
  <c r="K191" i="7"/>
  <c r="K188" i="7"/>
  <c r="K187" i="7"/>
  <c r="K173" i="7"/>
  <c r="K172" i="7"/>
  <c r="BH252" i="2"/>
  <c r="BG252" i="2"/>
  <c r="BF252" i="2"/>
  <c r="BE252" i="2"/>
  <c r="BD252" i="2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N8" i="2"/>
  <c r="B244" i="2"/>
  <c r="B245" i="2"/>
  <c r="B246" i="2"/>
  <c r="B247" i="2"/>
  <c r="B248" i="2"/>
  <c r="B249" i="2"/>
  <c r="B250" i="2"/>
  <c r="B251" i="2"/>
  <c r="AT251" i="2" l="1"/>
  <c r="AT250" i="2"/>
  <c r="AT249" i="2"/>
  <c r="AT248" i="2"/>
  <c r="AT247" i="2"/>
  <c r="AT246" i="2"/>
  <c r="AT245" i="2"/>
  <c r="AT244" i="2"/>
  <c r="J251" i="2"/>
  <c r="BQ251" i="2" s="1"/>
  <c r="I251" i="2"/>
  <c r="J250" i="2"/>
  <c r="BQ250" i="2" s="1"/>
  <c r="I250" i="2"/>
  <c r="J249" i="2"/>
  <c r="BQ249" i="2" s="1"/>
  <c r="I249" i="2"/>
  <c r="J248" i="2"/>
  <c r="BQ248" i="2" s="1"/>
  <c r="I248" i="2"/>
  <c r="J247" i="2"/>
  <c r="BQ247" i="2" s="1"/>
  <c r="I247" i="2"/>
  <c r="J246" i="2"/>
  <c r="BQ246" i="2" s="1"/>
  <c r="I246" i="2"/>
  <c r="I245" i="2"/>
  <c r="J245" i="2"/>
  <c r="BQ245" i="2" s="1"/>
  <c r="I244" i="2"/>
  <c r="J244" i="2"/>
  <c r="BQ244" i="2" s="1"/>
  <c r="O246" i="2"/>
  <c r="O245" i="2"/>
  <c r="O244" i="2"/>
  <c r="O248" i="2"/>
  <c r="O247" i="2"/>
  <c r="O251" i="2"/>
  <c r="O250" i="2"/>
  <c r="O249" i="2"/>
  <c r="AD251" i="2"/>
  <c r="AD250" i="2"/>
  <c r="AD249" i="2"/>
  <c r="AD248" i="2"/>
  <c r="AD247" i="2"/>
  <c r="AD246" i="2"/>
  <c r="AD245" i="2"/>
  <c r="AD244" i="2"/>
  <c r="Q251" i="2"/>
  <c r="Q250" i="2"/>
  <c r="Q249" i="2"/>
  <c r="Q248" i="2"/>
  <c r="Q247" i="2"/>
  <c r="Q246" i="2"/>
  <c r="Q245" i="2"/>
  <c r="Q244" i="2"/>
  <c r="BO246" i="2"/>
  <c r="BN246" i="2"/>
  <c r="BM246" i="2"/>
  <c r="BL246" i="2"/>
  <c r="BK246" i="2"/>
  <c r="BJ246" i="2"/>
  <c r="BI246" i="2"/>
  <c r="BO251" i="2"/>
  <c r="BN251" i="2"/>
  <c r="BM251" i="2"/>
  <c r="BL251" i="2"/>
  <c r="BK251" i="2"/>
  <c r="BJ251" i="2"/>
  <c r="BI251" i="2"/>
  <c r="BO250" i="2"/>
  <c r="BN250" i="2"/>
  <c r="BM250" i="2"/>
  <c r="BL250" i="2"/>
  <c r="BJ250" i="2"/>
  <c r="BK250" i="2"/>
  <c r="BI250" i="2"/>
  <c r="BN248" i="2"/>
  <c r="BM248" i="2"/>
  <c r="BO248" i="2"/>
  <c r="BL248" i="2"/>
  <c r="BK248" i="2"/>
  <c r="BJ248" i="2"/>
  <c r="BI248" i="2"/>
  <c r="BN247" i="2"/>
  <c r="BO247" i="2"/>
  <c r="BM247" i="2"/>
  <c r="BL247" i="2"/>
  <c r="BK247" i="2"/>
  <c r="BJ247" i="2"/>
  <c r="BI247" i="2"/>
  <c r="BO245" i="2"/>
  <c r="BL245" i="2"/>
  <c r="BK245" i="2"/>
  <c r="BN245" i="2"/>
  <c r="BM245" i="2"/>
  <c r="BJ245" i="2"/>
  <c r="BI245" i="2"/>
  <c r="BO244" i="2"/>
  <c r="BN244" i="2"/>
  <c r="BK244" i="2"/>
  <c r="BM244" i="2"/>
  <c r="BJ244" i="2"/>
  <c r="BL244" i="2"/>
  <c r="BI244" i="2"/>
  <c r="BO249" i="2"/>
  <c r="BM249" i="2"/>
  <c r="BL249" i="2"/>
  <c r="BN249" i="2"/>
  <c r="BJ249" i="2"/>
  <c r="BK249" i="2"/>
  <c r="BI249" i="2"/>
  <c r="J8" i="7"/>
  <c r="I8" i="7"/>
  <c r="N286" i="7"/>
  <c r="N275" i="7"/>
  <c r="N267" i="7"/>
  <c r="P266" i="7"/>
  <c r="N260" i="7"/>
  <c r="N253" i="7"/>
  <c r="P237" i="7"/>
  <c r="P161" i="7"/>
  <c r="P135" i="7"/>
  <c r="P134" i="7"/>
  <c r="N121" i="7"/>
  <c r="N116" i="7"/>
  <c r="N103" i="7"/>
  <c r="N100" i="7"/>
  <c r="P58" i="7"/>
  <c r="P42" i="7"/>
  <c r="P33" i="7"/>
  <c r="P24" i="7"/>
  <c r="N19" i="7"/>
  <c r="N185" i="7"/>
  <c r="P156" i="7"/>
  <c r="P151" i="7"/>
  <c r="P126" i="7"/>
  <c r="P124" i="7"/>
  <c r="N108" i="7"/>
  <c r="P77" i="7"/>
  <c r="P70" i="7"/>
  <c r="N25" i="7"/>
  <c r="P205" i="7"/>
  <c r="N174" i="7"/>
  <c r="N124" i="7"/>
  <c r="P283" i="7"/>
  <c r="N263" i="7"/>
  <c r="N248" i="7"/>
  <c r="P218" i="7"/>
  <c r="N205" i="7"/>
  <c r="P120" i="7"/>
  <c r="N111" i="7"/>
  <c r="P109" i="7"/>
  <c r="P83" i="7"/>
  <c r="P19" i="7"/>
  <c r="P16" i="7"/>
  <c r="N14" i="7"/>
  <c r="N112" i="7"/>
  <c r="N30" i="7"/>
  <c r="N126" i="7"/>
  <c r="P80" i="7"/>
  <c r="P27" i="7"/>
  <c r="P285" i="7"/>
  <c r="N274" i="7"/>
  <c r="P273" i="7"/>
  <c r="N266" i="7"/>
  <c r="P265" i="7"/>
  <c r="N262" i="7"/>
  <c r="P236" i="7"/>
  <c r="N234" i="7"/>
  <c r="P228" i="7"/>
  <c r="N212" i="7"/>
  <c r="N208" i="7"/>
  <c r="P195" i="7"/>
  <c r="N193" i="7"/>
  <c r="P183" i="7"/>
  <c r="N141" i="7"/>
  <c r="P98" i="7"/>
  <c r="N95" i="7"/>
  <c r="P93" i="7"/>
  <c r="P82" i="7"/>
  <c r="P61" i="7"/>
  <c r="P60" i="7"/>
  <c r="N42" i="7"/>
  <c r="P40" i="7"/>
  <c r="N33" i="7"/>
  <c r="P17" i="7"/>
  <c r="N16" i="7"/>
  <c r="N88" i="7"/>
  <c r="N15" i="7"/>
  <c r="N222" i="7"/>
  <c r="N287" i="7"/>
  <c r="N283" i="7"/>
  <c r="N279" i="7"/>
  <c r="P264" i="7"/>
  <c r="N251" i="7"/>
  <c r="N225" i="7"/>
  <c r="N218" i="7"/>
  <c r="P148" i="7"/>
  <c r="N114" i="7"/>
  <c r="P112" i="7"/>
  <c r="P92" i="7"/>
  <c r="N83" i="7"/>
  <c r="P64" i="7"/>
  <c r="N51" i="7"/>
  <c r="N47" i="7"/>
  <c r="N41" i="7"/>
  <c r="N35" i="7"/>
  <c r="N31" i="7"/>
  <c r="P29" i="7"/>
  <c r="N26" i="7"/>
  <c r="N278" i="7"/>
  <c r="N265" i="7"/>
  <c r="N195" i="7"/>
  <c r="P189" i="7"/>
  <c r="N183" i="7"/>
  <c r="N182" i="7"/>
  <c r="P181" i="7"/>
  <c r="P178" i="7"/>
  <c r="N159" i="7"/>
  <c r="N122" i="7"/>
  <c r="P119" i="7"/>
  <c r="N117" i="7"/>
  <c r="P106" i="7"/>
  <c r="P85" i="7"/>
  <c r="N82" i="7"/>
  <c r="N79" i="7"/>
  <c r="P282" i="7"/>
  <c r="P277" i="7"/>
  <c r="N271" i="7"/>
  <c r="N264" i="7"/>
  <c r="P246" i="7"/>
  <c r="P233" i="7"/>
  <c r="P224" i="7"/>
  <c r="P222" i="7"/>
  <c r="N192" i="7"/>
  <c r="P280" i="7"/>
  <c r="N270" i="7"/>
  <c r="N242" i="7"/>
  <c r="N194" i="7"/>
  <c r="N189" i="7"/>
  <c r="N181" i="7"/>
  <c r="N178" i="7"/>
  <c r="N158" i="7"/>
  <c r="N132" i="7"/>
  <c r="P121" i="7"/>
  <c r="N119" i="7"/>
  <c r="P116" i="7"/>
  <c r="N102" i="7"/>
  <c r="P101" i="7"/>
  <c r="P100" i="7"/>
  <c r="N87" i="7"/>
  <c r="N288" i="7"/>
  <c r="N282" i="7"/>
  <c r="P281" i="7"/>
  <c r="N254" i="7"/>
  <c r="N246" i="7"/>
  <c r="P278" i="7"/>
  <c r="P263" i="7"/>
  <c r="P34" i="7"/>
  <c r="P12" i="7"/>
  <c r="P55" i="7"/>
  <c r="P15" i="7"/>
  <c r="P239" i="7"/>
  <c r="N147" i="7"/>
  <c r="P13" i="7"/>
  <c r="N171" i="7"/>
  <c r="N125" i="7"/>
  <c r="N179" i="7"/>
  <c r="N190" i="7"/>
  <c r="N10" i="7"/>
  <c r="P49" i="7"/>
  <c r="P25" i="7"/>
  <c r="N74" i="7"/>
  <c r="N160" i="7"/>
  <c r="P209" i="7"/>
  <c r="P217" i="7"/>
  <c r="P71" i="7"/>
  <c r="P259" i="7"/>
  <c r="N202" i="7"/>
  <c r="N22" i="7"/>
  <c r="N12" i="7"/>
  <c r="P44" i="7"/>
  <c r="N13" i="7"/>
  <c r="P30" i="7"/>
  <c r="P59" i="7"/>
  <c r="N18" i="7"/>
  <c r="N58" i="7"/>
  <c r="N81" i="7"/>
  <c r="N98" i="7"/>
  <c r="P72" i="7"/>
  <c r="P89" i="7"/>
  <c r="N131" i="7"/>
  <c r="P177" i="7"/>
  <c r="P122" i="7"/>
  <c r="N140" i="7"/>
  <c r="P162" i="7"/>
  <c r="P136" i="7"/>
  <c r="N211" i="7"/>
  <c r="P207" i="7"/>
  <c r="N191" i="7"/>
  <c r="N223" i="7"/>
  <c r="P216" i="7"/>
  <c r="P269" i="7"/>
  <c r="N255" i="7"/>
  <c r="N257" i="7"/>
  <c r="P213" i="7"/>
  <c r="N247" i="7"/>
  <c r="P262" i="7"/>
  <c r="P253" i="7"/>
  <c r="P272" i="7"/>
  <c r="N241" i="7"/>
  <c r="N277" i="7"/>
  <c r="P279" i="7"/>
  <c r="N240" i="7"/>
  <c r="N72" i="7"/>
  <c r="N50" i="7"/>
  <c r="P206" i="7"/>
  <c r="N11" i="7"/>
  <c r="N60" i="7"/>
  <c r="N78" i="7"/>
  <c r="P168" i="7"/>
  <c r="P62" i="7"/>
  <c r="P125" i="7"/>
  <c r="P150" i="7"/>
  <c r="P165" i="7"/>
  <c r="P187" i="7"/>
  <c r="N259" i="7"/>
  <c r="N37" i="7"/>
  <c r="P14" i="7"/>
  <c r="N198" i="7"/>
  <c r="P102" i="7"/>
  <c r="N157" i="7"/>
  <c r="N76" i="7"/>
  <c r="P39" i="7"/>
  <c r="P201" i="7"/>
  <c r="P242" i="7"/>
  <c r="N168" i="7"/>
  <c r="N209" i="7"/>
  <c r="P35" i="7"/>
  <c r="P182" i="7"/>
  <c r="N210" i="7"/>
  <c r="P47" i="7"/>
  <c r="P256" i="7"/>
  <c r="N129" i="7"/>
  <c r="P31" i="7"/>
  <c r="P79" i="7"/>
  <c r="N163" i="7"/>
  <c r="P179" i="7"/>
  <c r="N250" i="7"/>
  <c r="P141" i="7"/>
  <c r="N217" i="7"/>
  <c r="N136" i="7"/>
  <c r="N36" i="7"/>
  <c r="P235" i="7"/>
  <c r="N71" i="7"/>
  <c r="N56" i="7"/>
  <c r="N43" i="7"/>
  <c r="N49" i="7"/>
  <c r="P18" i="7"/>
  <c r="P53" i="7"/>
  <c r="P20" i="7"/>
  <c r="N66" i="7"/>
  <c r="N69" i="7"/>
  <c r="N84" i="7"/>
  <c r="P51" i="7"/>
  <c r="P81" i="7"/>
  <c r="P86" i="7"/>
  <c r="N92" i="7"/>
  <c r="P107" i="7"/>
  <c r="P153" i="7"/>
  <c r="P167" i="7"/>
  <c r="N145" i="7"/>
  <c r="P144" i="7"/>
  <c r="P203" i="7"/>
  <c r="P154" i="7"/>
  <c r="N186" i="7"/>
  <c r="N197" i="7"/>
  <c r="N172" i="7"/>
  <c r="N200" i="7"/>
  <c r="P211" i="7"/>
  <c r="N227" i="7"/>
  <c r="P191" i="7"/>
  <c r="P215" i="7"/>
  <c r="P245" i="7"/>
  <c r="N230" i="7"/>
  <c r="N236" i="7"/>
  <c r="N252" i="7"/>
  <c r="P229" i="7"/>
  <c r="P284" i="7"/>
  <c r="P250" i="7"/>
  <c r="P274" i="7"/>
  <c r="N292" i="7"/>
  <c r="N94" i="7"/>
  <c r="P231" i="7"/>
  <c r="P202" i="7"/>
  <c r="P255" i="7"/>
  <c r="N258" i="7"/>
  <c r="N284" i="7"/>
  <c r="P105" i="7"/>
  <c r="P286" i="7"/>
  <c r="P158" i="7"/>
  <c r="P65" i="7"/>
  <c r="P117" i="7"/>
  <c r="P225" i="7"/>
  <c r="P41" i="7"/>
  <c r="N176" i="7"/>
  <c r="N220" i="7"/>
  <c r="N229" i="7"/>
  <c r="N143" i="7"/>
  <c r="N39" i="7"/>
  <c r="N55" i="7"/>
  <c r="P63" i="7"/>
  <c r="P37" i="7"/>
  <c r="P22" i="7"/>
  <c r="N44" i="7"/>
  <c r="N96" i="7"/>
  <c r="P28" i="7"/>
  <c r="P66" i="7"/>
  <c r="N54" i="7"/>
  <c r="N123" i="7"/>
  <c r="P21" i="7"/>
  <c r="P36" i="7"/>
  <c r="P54" i="7"/>
  <c r="N73" i="7"/>
  <c r="N90" i="7"/>
  <c r="P104" i="7"/>
  <c r="P118" i="7"/>
  <c r="P99" i="7"/>
  <c r="P115" i="7"/>
  <c r="P132" i="7"/>
  <c r="N184" i="7"/>
  <c r="N85" i="7"/>
  <c r="P145" i="7"/>
  <c r="P173" i="7"/>
  <c r="P149" i="7"/>
  <c r="N162" i="7"/>
  <c r="P128" i="7"/>
  <c r="P163" i="7"/>
  <c r="P171" i="7"/>
  <c r="N231" i="7"/>
  <c r="N249" i="7"/>
  <c r="P249" i="7"/>
  <c r="P260" i="7"/>
  <c r="P234" i="7"/>
  <c r="N268" i="7"/>
  <c r="P276" i="7"/>
  <c r="N233" i="7"/>
  <c r="N281" i="7"/>
  <c r="N146" i="7"/>
  <c r="N256" i="7"/>
  <c r="N291" i="7"/>
  <c r="P94" i="7"/>
  <c r="N165" i="7"/>
  <c r="P84" i="7"/>
  <c r="P127" i="7"/>
  <c r="P251" i="7"/>
  <c r="P243" i="7"/>
  <c r="N137" i="7"/>
  <c r="N23" i="7"/>
  <c r="P45" i="7"/>
  <c r="P143" i="7"/>
  <c r="N133" i="7"/>
  <c r="N166" i="7"/>
  <c r="N27" i="7"/>
  <c r="P52" i="7"/>
  <c r="N57" i="7"/>
  <c r="N29" i="7"/>
  <c r="P10" i="7"/>
  <c r="N70" i="7"/>
  <c r="P123" i="7"/>
  <c r="P67" i="7"/>
  <c r="P69" i="7"/>
  <c r="P90" i="7"/>
  <c r="N64" i="7"/>
  <c r="P75" i="7"/>
  <c r="N105" i="7"/>
  <c r="P131" i="7"/>
  <c r="N104" i="7"/>
  <c r="N153" i="7"/>
  <c r="N99" i="7"/>
  <c r="P130" i="7"/>
  <c r="N120" i="7"/>
  <c r="N152" i="7"/>
  <c r="P170" i="7"/>
  <c r="N77" i="7"/>
  <c r="P146" i="7"/>
  <c r="N139" i="7"/>
  <c r="N149" i="7"/>
  <c r="P204" i="7"/>
  <c r="N128" i="7"/>
  <c r="P164" i="7"/>
  <c r="P214" i="7"/>
  <c r="P138" i="7"/>
  <c r="N188" i="7"/>
  <c r="P219" i="7"/>
  <c r="P226" i="7"/>
  <c r="N215" i="7"/>
  <c r="P192" i="7"/>
  <c r="P230" i="7"/>
  <c r="P220" i="7"/>
  <c r="P248" i="7"/>
  <c r="P257" i="7"/>
  <c r="P254" i="7"/>
  <c r="P291" i="7"/>
  <c r="P289" i="7"/>
  <c r="P292" i="7"/>
  <c r="P48" i="7"/>
  <c r="N67" i="7"/>
  <c r="P73" i="7"/>
  <c r="P91" i="7"/>
  <c r="P74" i="7"/>
  <c r="N106" i="7"/>
  <c r="N167" i="7"/>
  <c r="P139" i="7"/>
  <c r="P140" i="7"/>
  <c r="P157" i="7"/>
  <c r="N214" i="7"/>
  <c r="N187" i="7"/>
  <c r="N261" i="7"/>
  <c r="P147" i="7"/>
  <c r="P184" i="7"/>
  <c r="P174" i="7"/>
  <c r="P95" i="7"/>
  <c r="N151" i="7"/>
  <c r="N232" i="7"/>
  <c r="N134" i="7"/>
  <c r="N196" i="7"/>
  <c r="N63" i="7"/>
  <c r="N24" i="7"/>
  <c r="N32" i="7"/>
  <c r="P43" i="7"/>
  <c r="N40" i="7"/>
  <c r="N59" i="7"/>
  <c r="P113" i="7"/>
  <c r="N115" i="7"/>
  <c r="P193" i="7"/>
  <c r="N235" i="7"/>
  <c r="P190" i="7"/>
  <c r="P270" i="7"/>
  <c r="P186" i="7"/>
  <c r="N243" i="7"/>
  <c r="N127" i="7"/>
  <c r="P176" i="7"/>
  <c r="P155" i="7"/>
  <c r="N20" i="7"/>
  <c r="P129" i="7"/>
  <c r="P46" i="7"/>
  <c r="N62" i="7"/>
  <c r="P199" i="7"/>
  <c r="N80" i="7"/>
  <c r="N150" i="7"/>
  <c r="P175" i="7"/>
  <c r="N221" i="7"/>
  <c r="P96" i="7"/>
  <c r="N97" i="7"/>
  <c r="N110" i="7"/>
  <c r="N21" i="7"/>
  <c r="P26" i="7"/>
  <c r="N46" i="7"/>
  <c r="N107" i="7"/>
  <c r="N75" i="7"/>
  <c r="N113" i="7"/>
  <c r="N61" i="7"/>
  <c r="N161" i="7"/>
  <c r="N135" i="7"/>
  <c r="P152" i="7"/>
  <c r="N170" i="7"/>
  <c r="N173" i="7"/>
  <c r="N155" i="7"/>
  <c r="P159" i="7"/>
  <c r="P200" i="7"/>
  <c r="N204" i="7"/>
  <c r="P111" i="7"/>
  <c r="P172" i="7"/>
  <c r="N180" i="7"/>
  <c r="N199" i="7"/>
  <c r="P223" i="7"/>
  <c r="N224" i="7"/>
  <c r="N206" i="7"/>
  <c r="N228" i="7"/>
  <c r="N269" i="7"/>
  <c r="P212" i="7"/>
  <c r="N244" i="7"/>
  <c r="P238" i="7"/>
  <c r="N237" i="7"/>
  <c r="P267" i="7"/>
  <c r="P240" i="7"/>
  <c r="N276" i="7"/>
  <c r="P261" i="7"/>
  <c r="N273" i="7"/>
  <c r="N289" i="7"/>
  <c r="P290" i="7"/>
  <c r="P288" i="7"/>
  <c r="N238" i="7"/>
  <c r="N272" i="7"/>
  <c r="P103" i="7"/>
  <c r="P23" i="7"/>
  <c r="P166" i="7"/>
  <c r="P87" i="7"/>
  <c r="N201" i="7"/>
  <c r="N38" i="7"/>
  <c r="N213" i="7"/>
  <c r="N48" i="7"/>
  <c r="P137" i="7"/>
  <c r="P196" i="7"/>
  <c r="P133" i="7"/>
  <c r="N65" i="7"/>
  <c r="N68" i="7"/>
  <c r="P11" i="7"/>
  <c r="N89" i="7"/>
  <c r="N118" i="7"/>
  <c r="P169" i="7"/>
  <c r="P142" i="7"/>
  <c r="P160" i="7"/>
  <c r="N219" i="7"/>
  <c r="P268" i="7"/>
  <c r="N86" i="7"/>
  <c r="P78" i="7"/>
  <c r="N45" i="7"/>
  <c r="N203" i="7"/>
  <c r="P247" i="7"/>
  <c r="N290" i="7"/>
  <c r="P271" i="7"/>
  <c r="N144" i="7"/>
  <c r="P210" i="7"/>
  <c r="P38" i="7"/>
  <c r="P57" i="7"/>
  <c r="P76" i="7"/>
  <c r="P88" i="7"/>
  <c r="P108" i="7"/>
  <c r="N93" i="7"/>
  <c r="N177" i="7"/>
  <c r="P208" i="7"/>
  <c r="P275" i="7"/>
  <c r="N280" i="7"/>
  <c r="P287" i="7"/>
  <c r="P50" i="7"/>
  <c r="N17" i="7"/>
  <c r="P32" i="7"/>
  <c r="P97" i="7"/>
  <c r="N164" i="7"/>
  <c r="P198" i="7"/>
  <c r="N216" i="7"/>
  <c r="N239" i="7"/>
  <c r="P241" i="7"/>
  <c r="N285" i="7"/>
  <c r="N52" i="7"/>
  <c r="P68" i="7"/>
  <c r="N53" i="7"/>
  <c r="N91" i="7"/>
  <c r="P227" i="7"/>
  <c r="P232" i="7"/>
  <c r="P185" i="7"/>
  <c r="P194" i="7"/>
  <c r="P244" i="7"/>
  <c r="P252" i="7"/>
  <c r="N28" i="7"/>
  <c r="P114" i="7"/>
  <c r="N138" i="7"/>
  <c r="P197" i="7"/>
  <c r="P180" i="7"/>
  <c r="P188" i="7"/>
  <c r="N226" i="7"/>
  <c r="N245" i="7"/>
  <c r="N207" i="7"/>
  <c r="N154" i="7"/>
  <c r="N34" i="7"/>
  <c r="N101" i="7"/>
  <c r="N130" i="7"/>
  <c r="N169" i="7"/>
  <c r="N109" i="7"/>
  <c r="N156" i="7"/>
  <c r="N175" i="7"/>
  <c r="N148" i="7"/>
  <c r="P221" i="7"/>
  <c r="P258" i="7"/>
  <c r="P56" i="7"/>
  <c r="P110" i="7"/>
  <c r="N142" i="7"/>
  <c r="BG251" i="2"/>
  <c r="BH251" i="2"/>
  <c r="BE251" i="2"/>
  <c r="BD251" i="2"/>
  <c r="BF251" i="2"/>
  <c r="BG250" i="2"/>
  <c r="BF250" i="2"/>
  <c r="BH250" i="2"/>
  <c r="BE250" i="2"/>
  <c r="BD250" i="2"/>
  <c r="BG249" i="2"/>
  <c r="BH249" i="2"/>
  <c r="BE249" i="2"/>
  <c r="BD249" i="2"/>
  <c r="BF249" i="2"/>
  <c r="BH247" i="2"/>
  <c r="BG247" i="2"/>
  <c r="BE247" i="2"/>
  <c r="BF247" i="2"/>
  <c r="BD247" i="2"/>
  <c r="BH244" i="2"/>
  <c r="BF244" i="2"/>
  <c r="BG244" i="2"/>
  <c r="BE244" i="2"/>
  <c r="BD244" i="2"/>
  <c r="BH248" i="2"/>
  <c r="BG248" i="2"/>
  <c r="BF248" i="2"/>
  <c r="BD248" i="2"/>
  <c r="BE248" i="2"/>
  <c r="BH246" i="2"/>
  <c r="BG246" i="2"/>
  <c r="BF246" i="2"/>
  <c r="BD246" i="2"/>
  <c r="BE246" i="2"/>
  <c r="BH245" i="2"/>
  <c r="BF245" i="2"/>
  <c r="BG245" i="2"/>
  <c r="BE245" i="2"/>
  <c r="BD245" i="2"/>
  <c r="R8" i="2"/>
  <c r="AG244" i="2" l="1"/>
  <c r="AG245" i="2"/>
  <c r="AG246" i="2"/>
  <c r="AG247" i="2"/>
  <c r="AG248" i="2"/>
  <c r="AG249" i="2"/>
  <c r="AG250" i="2"/>
  <c r="AG251" i="2"/>
  <c r="N8" i="7"/>
  <c r="P8" i="7"/>
  <c r="B243" i="2" l="1"/>
  <c r="B242" i="2"/>
  <c r="B241" i="2"/>
  <c r="B240" i="2"/>
  <c r="AT240" i="2" s="1"/>
  <c r="B239" i="2"/>
  <c r="B238" i="2"/>
  <c r="AT238" i="2" s="1"/>
  <c r="B237" i="2"/>
  <c r="AT237" i="2" s="1"/>
  <c r="B236" i="2"/>
  <c r="B235" i="2"/>
  <c r="AT235" i="2" s="1"/>
  <c r="B234" i="2"/>
  <c r="B233" i="2"/>
  <c r="AT233" i="2" s="1"/>
  <c r="B232" i="2"/>
  <c r="B231" i="2"/>
  <c r="B230" i="2"/>
  <c r="B229" i="2"/>
  <c r="AT229" i="2" s="1"/>
  <c r="B228" i="2"/>
  <c r="AT228" i="2" s="1"/>
  <c r="B227" i="2"/>
  <c r="B226" i="2"/>
  <c r="B225" i="2"/>
  <c r="AT225" i="2" s="1"/>
  <c r="B224" i="2"/>
  <c r="B223" i="2"/>
  <c r="B222" i="2"/>
  <c r="B221" i="2"/>
  <c r="B220" i="2"/>
  <c r="AT220" i="2" s="1"/>
  <c r="B219" i="2"/>
  <c r="AT219" i="2" s="1"/>
  <c r="B218" i="2"/>
  <c r="AT218" i="2" s="1"/>
  <c r="B217" i="2"/>
  <c r="B216" i="2"/>
  <c r="B215" i="2"/>
  <c r="B214" i="2"/>
  <c r="B213" i="2"/>
  <c r="AT213" i="2" s="1"/>
  <c r="B212" i="2"/>
  <c r="B211" i="2"/>
  <c r="B210" i="2"/>
  <c r="B209" i="2"/>
  <c r="B208" i="2"/>
  <c r="B207" i="2"/>
  <c r="B206" i="2"/>
  <c r="B205" i="2"/>
  <c r="B204" i="2"/>
  <c r="B203" i="2"/>
  <c r="B202" i="2"/>
  <c r="AT202" i="2" s="1"/>
  <c r="B201" i="2"/>
  <c r="AT201" i="2" s="1"/>
  <c r="B200" i="2"/>
  <c r="AT200" i="2" s="1"/>
  <c r="B199" i="2"/>
  <c r="AT199" i="2" s="1"/>
  <c r="B198" i="2"/>
  <c r="AT198" i="2" s="1"/>
  <c r="B197" i="2"/>
  <c r="AT197" i="2" s="1"/>
  <c r="B196" i="2"/>
  <c r="B195" i="2"/>
  <c r="AT195" i="2" s="1"/>
  <c r="B194" i="2"/>
  <c r="AT194" i="2" s="1"/>
  <c r="B193" i="2"/>
  <c r="B192" i="2"/>
  <c r="B191" i="2"/>
  <c r="B190" i="2"/>
  <c r="AT190" i="2" s="1"/>
  <c r="B189" i="2"/>
  <c r="AT189" i="2" s="1"/>
  <c r="B188" i="2"/>
  <c r="B187" i="2"/>
  <c r="B186" i="2"/>
  <c r="B185" i="2"/>
  <c r="B184" i="2"/>
  <c r="AT184" i="2" s="1"/>
  <c r="B183" i="2"/>
  <c r="AT183" i="2" s="1"/>
  <c r="B182" i="2"/>
  <c r="AT182" i="2" s="1"/>
  <c r="B181" i="2"/>
  <c r="AT181" i="2" s="1"/>
  <c r="B180" i="2"/>
  <c r="B179" i="2"/>
  <c r="AT179" i="2" s="1"/>
  <c r="B178" i="2"/>
  <c r="AT178" i="2" s="1"/>
  <c r="B177" i="2"/>
  <c r="AT177" i="2" s="1"/>
  <c r="B176" i="2"/>
  <c r="AT176" i="2" s="1"/>
  <c r="B175" i="2"/>
  <c r="B174" i="2"/>
  <c r="AT174" i="2" s="1"/>
  <c r="B173" i="2"/>
  <c r="AT173" i="2" s="1"/>
  <c r="B172" i="2"/>
  <c r="AT172" i="2" s="1"/>
  <c r="B171" i="2"/>
  <c r="AT171" i="2" s="1"/>
  <c r="B170" i="2"/>
  <c r="AT170" i="2" s="1"/>
  <c r="B169" i="2"/>
  <c r="AT169" i="2" s="1"/>
  <c r="B168" i="2"/>
  <c r="AT168" i="2" s="1"/>
  <c r="B167" i="2"/>
  <c r="AT167" i="2" s="1"/>
  <c r="B166" i="2"/>
  <c r="AT166" i="2" s="1"/>
  <c r="B165" i="2"/>
  <c r="AT165" i="2" s="1"/>
  <c r="B164" i="2"/>
  <c r="AT164" i="2" s="1"/>
  <c r="B163" i="2"/>
  <c r="AT163" i="2" s="1"/>
  <c r="B162" i="2"/>
  <c r="AT162" i="2" s="1"/>
  <c r="B161" i="2"/>
  <c r="AT161" i="2" s="1"/>
  <c r="B160" i="2"/>
  <c r="AT160" i="2" s="1"/>
  <c r="B159" i="2"/>
  <c r="B158" i="2"/>
  <c r="AT158" i="2" s="1"/>
  <c r="B157" i="2"/>
  <c r="AT157" i="2" s="1"/>
  <c r="B156" i="2"/>
  <c r="AT156" i="2" s="1"/>
  <c r="B155" i="2"/>
  <c r="AT155" i="2" s="1"/>
  <c r="B154" i="2"/>
  <c r="AT154" i="2" s="1"/>
  <c r="B153" i="2"/>
  <c r="AT153" i="2" s="1"/>
  <c r="B152" i="2"/>
  <c r="AT152" i="2" s="1"/>
  <c r="B151" i="2"/>
  <c r="AT151" i="2" s="1"/>
  <c r="B150" i="2"/>
  <c r="AT150" i="2" s="1"/>
  <c r="B149" i="2"/>
  <c r="AT149" i="2" s="1"/>
  <c r="B148" i="2"/>
  <c r="AT148" i="2" s="1"/>
  <c r="B147" i="2"/>
  <c r="AT147" i="2" s="1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3" i="2"/>
  <c r="B112" i="2"/>
  <c r="AT112" i="2" s="1"/>
  <c r="B111" i="2"/>
  <c r="AT111" i="2" s="1"/>
  <c r="B110" i="2"/>
  <c r="AT110" i="2" s="1"/>
  <c r="B109" i="2"/>
  <c r="AT109" i="2" s="1"/>
  <c r="B108" i="2"/>
  <c r="AT108" i="2" s="1"/>
  <c r="B107" i="2"/>
  <c r="B106" i="2"/>
  <c r="AT106" i="2" s="1"/>
  <c r="B105" i="2"/>
  <c r="B104" i="2"/>
  <c r="B103" i="2"/>
  <c r="AT103" i="2" s="1"/>
  <c r="B102" i="2"/>
  <c r="B101" i="2"/>
  <c r="AT101" i="2" s="1"/>
  <c r="B100" i="2"/>
  <c r="AT100" i="2" s="1"/>
  <c r="B99" i="2"/>
  <c r="AT99" i="2" s="1"/>
  <c r="B98" i="2"/>
  <c r="AT98" i="2" s="1"/>
  <c r="B97" i="2"/>
  <c r="B96" i="2"/>
  <c r="AT96" i="2" s="1"/>
  <c r="B95" i="2"/>
  <c r="AT95" i="2" s="1"/>
  <c r="B94" i="2"/>
  <c r="AT94" i="2" s="1"/>
  <c r="B93" i="2"/>
  <c r="AT93" i="2" s="1"/>
  <c r="B92" i="2"/>
  <c r="AT92" i="2" s="1"/>
  <c r="B91" i="2"/>
  <c r="B90" i="2"/>
  <c r="B89" i="2"/>
  <c r="B88" i="2"/>
  <c r="B87" i="2"/>
  <c r="B86" i="2"/>
  <c r="AT86" i="2" s="1"/>
  <c r="B85" i="2"/>
  <c r="AT85" i="2" s="1"/>
  <c r="B84" i="2"/>
  <c r="AT84" i="2" s="1"/>
  <c r="B83" i="2"/>
  <c r="AT83" i="2" s="1"/>
  <c r="B82" i="2"/>
  <c r="AT82" i="2" s="1"/>
  <c r="B81" i="2"/>
  <c r="AT81" i="2" s="1"/>
  <c r="B80" i="2"/>
  <c r="AT80" i="2" s="1"/>
  <c r="B79" i="2"/>
  <c r="B78" i="2"/>
  <c r="AT78" i="2" s="1"/>
  <c r="B77" i="2"/>
  <c r="AT77" i="2" s="1"/>
  <c r="B76" i="2"/>
  <c r="AT76" i="2" s="1"/>
  <c r="B75" i="2"/>
  <c r="B74" i="2"/>
  <c r="AT74" i="2" s="1"/>
  <c r="B73" i="2"/>
  <c r="AT73" i="2" s="1"/>
  <c r="B72" i="2"/>
  <c r="AT72" i="2" s="1"/>
  <c r="B71" i="2"/>
  <c r="AT71" i="2" s="1"/>
  <c r="B70" i="2"/>
  <c r="B69" i="2"/>
  <c r="B68" i="2"/>
  <c r="B67" i="2"/>
  <c r="B66" i="2"/>
  <c r="AT66" i="2" s="1"/>
  <c r="B65" i="2"/>
  <c r="AT65" i="2" s="1"/>
  <c r="B64" i="2"/>
  <c r="AT64" i="2" s="1"/>
  <c r="B63" i="2"/>
  <c r="B62" i="2"/>
  <c r="AT62" i="2" s="1"/>
  <c r="B61" i="2"/>
  <c r="B60" i="2"/>
  <c r="B59" i="2"/>
  <c r="B58" i="2"/>
  <c r="B57" i="2"/>
  <c r="B56" i="2"/>
  <c r="B55" i="2"/>
  <c r="B54" i="2"/>
  <c r="B53" i="2"/>
  <c r="AT53" i="2" s="1"/>
  <c r="B52" i="2"/>
  <c r="AT52" i="2" s="1"/>
  <c r="B51" i="2"/>
  <c r="AT51" i="2" s="1"/>
  <c r="B50" i="2"/>
  <c r="AT50" i="2" s="1"/>
  <c r="B49" i="2"/>
  <c r="AT49" i="2" s="1"/>
  <c r="B48" i="2"/>
  <c r="B47" i="2"/>
  <c r="AT47" i="2" s="1"/>
  <c r="B46" i="2"/>
  <c r="B45" i="2"/>
  <c r="B44" i="2"/>
  <c r="B43" i="2"/>
  <c r="B42" i="2"/>
  <c r="AT42" i="2" s="1"/>
  <c r="B41" i="2"/>
  <c r="B40" i="2"/>
  <c r="B39" i="2"/>
  <c r="AT39" i="2" s="1"/>
  <c r="B38" i="2"/>
  <c r="B37" i="2"/>
  <c r="B36" i="2"/>
  <c r="B35" i="2"/>
  <c r="AT35" i="2" s="1"/>
  <c r="B34" i="2"/>
  <c r="AT34" i="2" s="1"/>
  <c r="B33" i="2"/>
  <c r="B32" i="2"/>
  <c r="AT32" i="2" s="1"/>
  <c r="B31" i="2"/>
  <c r="AT31" i="2" s="1"/>
  <c r="B30" i="2"/>
  <c r="AT30" i="2" s="1"/>
  <c r="B29" i="2"/>
  <c r="AT29" i="2" s="1"/>
  <c r="B28" i="2"/>
  <c r="AT28" i="2" s="1"/>
  <c r="B27" i="2"/>
  <c r="AT27" i="2" s="1"/>
  <c r="B26" i="2"/>
  <c r="B25" i="2"/>
  <c r="B24" i="2"/>
  <c r="AT24" i="2" s="1"/>
  <c r="B23" i="2"/>
  <c r="AT23" i="2" s="1"/>
  <c r="B22" i="2"/>
  <c r="B21" i="2"/>
  <c r="AT21" i="2" s="1"/>
  <c r="B20" i="2"/>
  <c r="B19" i="2"/>
  <c r="AT19" i="2" s="1"/>
  <c r="B18" i="2"/>
  <c r="AT18" i="2" s="1"/>
  <c r="B16" i="2"/>
  <c r="AT16" i="2" s="1"/>
  <c r="B15" i="2"/>
  <c r="AT15" i="2" s="1"/>
  <c r="B14" i="2"/>
  <c r="B13" i="2"/>
  <c r="AT13" i="2" s="1"/>
  <c r="B12" i="2"/>
  <c r="B10" i="2"/>
  <c r="AT10" i="2" l="1"/>
  <c r="AT12" i="2"/>
  <c r="AT14" i="2"/>
  <c r="AT20" i="2"/>
  <c r="AT22" i="2"/>
  <c r="AT25" i="2"/>
  <c r="AT26" i="2"/>
  <c r="AT36" i="2"/>
  <c r="AT37" i="2"/>
  <c r="AT38" i="2"/>
  <c r="AT40" i="2"/>
  <c r="AT41" i="2"/>
  <c r="AT43" i="2"/>
  <c r="AT44" i="2"/>
  <c r="AT45" i="2"/>
  <c r="AT46" i="2"/>
  <c r="AT48" i="2"/>
  <c r="AT54" i="2"/>
  <c r="AT55" i="2"/>
  <c r="AT56" i="2"/>
  <c r="AT57" i="2"/>
  <c r="AT58" i="2"/>
  <c r="AT59" i="2"/>
  <c r="AT60" i="2"/>
  <c r="AT61" i="2"/>
  <c r="AT63" i="2"/>
  <c r="AT67" i="2"/>
  <c r="AT68" i="2"/>
  <c r="AT69" i="2"/>
  <c r="AT70" i="2"/>
  <c r="AT75" i="2"/>
  <c r="AT79" i="2"/>
  <c r="AT87" i="2"/>
  <c r="AT88" i="2"/>
  <c r="AT89" i="2"/>
  <c r="AT90" i="2"/>
  <c r="AT91" i="2"/>
  <c r="AT97" i="2"/>
  <c r="AT102" i="2"/>
  <c r="AT104" i="2"/>
  <c r="AT105" i="2"/>
  <c r="AT107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8" i="2"/>
  <c r="AT139" i="2"/>
  <c r="AT140" i="2"/>
  <c r="AT142" i="2"/>
  <c r="AT143" i="2"/>
  <c r="AT144" i="2"/>
  <c r="AT145" i="2"/>
  <c r="AT146" i="2"/>
  <c r="AT159" i="2"/>
  <c r="AT175" i="2"/>
  <c r="AT185" i="2"/>
  <c r="AT186" i="2"/>
  <c r="AT187" i="2"/>
  <c r="AT188" i="2"/>
  <c r="AT192" i="2"/>
  <c r="AT193" i="2"/>
  <c r="AT196" i="2"/>
  <c r="AT203" i="2"/>
  <c r="AT204" i="2"/>
  <c r="AT207" i="2"/>
  <c r="AT208" i="2"/>
  <c r="AT209" i="2"/>
  <c r="AT210" i="2"/>
  <c r="AT211" i="2"/>
  <c r="AT212" i="2"/>
  <c r="AT214" i="2"/>
  <c r="AT215" i="2"/>
  <c r="AT216" i="2"/>
  <c r="AT217" i="2"/>
  <c r="AT221" i="2"/>
  <c r="AT222" i="2"/>
  <c r="AT223" i="2"/>
  <c r="AT224" i="2"/>
  <c r="AT226" i="2"/>
  <c r="AT227" i="2"/>
  <c r="AT230" i="2"/>
  <c r="AT231" i="2"/>
  <c r="AT232" i="2"/>
  <c r="AT234" i="2"/>
  <c r="AT236" i="2"/>
  <c r="AT239" i="2"/>
  <c r="AT241" i="2"/>
  <c r="AT242" i="2"/>
  <c r="AT243" i="2"/>
  <c r="AS13" i="2"/>
  <c r="AS15" i="2"/>
  <c r="AS16" i="2"/>
  <c r="AS18" i="2"/>
  <c r="AS19" i="2"/>
  <c r="AS21" i="2"/>
  <c r="AS23" i="2"/>
  <c r="AS24" i="2"/>
  <c r="AS27" i="2"/>
  <c r="AS28" i="2"/>
  <c r="AS29" i="2"/>
  <c r="AS30" i="2"/>
  <c r="AS31" i="2"/>
  <c r="AS32" i="2"/>
  <c r="AS34" i="2"/>
  <c r="AS35" i="2"/>
  <c r="AS39" i="2"/>
  <c r="AS42" i="2"/>
  <c r="AS47" i="2"/>
  <c r="AS49" i="2"/>
  <c r="AS50" i="2"/>
  <c r="AS51" i="2"/>
  <c r="AS52" i="2"/>
  <c r="AS53" i="2"/>
  <c r="AS62" i="2"/>
  <c r="AS64" i="2"/>
  <c r="AS65" i="2"/>
  <c r="AS66" i="2"/>
  <c r="AS71" i="2"/>
  <c r="AS72" i="2"/>
  <c r="AS73" i="2"/>
  <c r="AS74" i="2"/>
  <c r="AS76" i="2"/>
  <c r="AS77" i="2"/>
  <c r="AS78" i="2"/>
  <c r="AS80" i="2"/>
  <c r="AS81" i="2"/>
  <c r="AS82" i="2"/>
  <c r="AS83" i="2"/>
  <c r="AS84" i="2"/>
  <c r="AS85" i="2"/>
  <c r="AS86" i="2"/>
  <c r="AS92" i="2"/>
  <c r="AS93" i="2"/>
  <c r="AS94" i="2"/>
  <c r="AS95" i="2"/>
  <c r="AS96" i="2"/>
  <c r="AS98" i="2"/>
  <c r="AS99" i="2"/>
  <c r="AS100" i="2"/>
  <c r="AS101" i="2"/>
  <c r="AS103" i="2"/>
  <c r="AS106" i="2"/>
  <c r="AS108" i="2"/>
  <c r="AS109" i="2"/>
  <c r="AS110" i="2"/>
  <c r="AS111" i="2"/>
  <c r="AS112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6" i="2"/>
  <c r="AS177" i="2"/>
  <c r="AS178" i="2"/>
  <c r="AS179" i="2"/>
  <c r="AS181" i="2"/>
  <c r="AS182" i="2"/>
  <c r="AS183" i="2"/>
  <c r="AS184" i="2"/>
  <c r="AS189" i="2"/>
  <c r="AS190" i="2"/>
  <c r="AS194" i="2"/>
  <c r="AS195" i="2"/>
  <c r="AS197" i="2"/>
  <c r="AS198" i="2"/>
  <c r="AS199" i="2"/>
  <c r="AS200" i="2"/>
  <c r="AS201" i="2"/>
  <c r="AS202" i="2"/>
  <c r="AS213" i="2"/>
  <c r="AS218" i="2"/>
  <c r="AS219" i="2"/>
  <c r="AS220" i="2"/>
  <c r="AS225" i="2"/>
  <c r="AS228" i="2"/>
  <c r="AS229" i="2"/>
  <c r="AS233" i="2"/>
  <c r="AS235" i="2"/>
  <c r="AS237" i="2"/>
  <c r="AS238" i="2"/>
  <c r="AS240" i="2"/>
  <c r="J10" i="2"/>
  <c r="I10" i="2"/>
  <c r="I12" i="2"/>
  <c r="J12" i="2"/>
  <c r="BQ12" i="2" s="1"/>
  <c r="I13" i="2"/>
  <c r="J13" i="2"/>
  <c r="BQ13" i="2" s="1"/>
  <c r="I14" i="2"/>
  <c r="J14" i="2"/>
  <c r="BQ14" i="2" s="1"/>
  <c r="J15" i="2"/>
  <c r="BQ15" i="2" s="1"/>
  <c r="I15" i="2"/>
  <c r="I16" i="2"/>
  <c r="J16" i="2"/>
  <c r="BQ16" i="2" s="1"/>
  <c r="J18" i="2"/>
  <c r="BQ18" i="2" s="1"/>
  <c r="I18" i="2"/>
  <c r="J19" i="2"/>
  <c r="BQ19" i="2" s="1"/>
  <c r="I19" i="2"/>
  <c r="I20" i="2"/>
  <c r="J20" i="2"/>
  <c r="BQ20" i="2" s="1"/>
  <c r="I21" i="2"/>
  <c r="J21" i="2"/>
  <c r="BQ21" i="2" s="1"/>
  <c r="I22" i="2"/>
  <c r="J22" i="2"/>
  <c r="BQ22" i="2" s="1"/>
  <c r="J23" i="2"/>
  <c r="BQ23" i="2" s="1"/>
  <c r="I23" i="2"/>
  <c r="I24" i="2"/>
  <c r="J24" i="2"/>
  <c r="BQ24" i="2" s="1"/>
  <c r="J25" i="2"/>
  <c r="BQ25" i="2" s="1"/>
  <c r="I25" i="2"/>
  <c r="J26" i="2"/>
  <c r="BQ26" i="2" s="1"/>
  <c r="I26" i="2"/>
  <c r="J27" i="2"/>
  <c r="BQ27" i="2" s="1"/>
  <c r="I27" i="2"/>
  <c r="I28" i="2"/>
  <c r="J28" i="2"/>
  <c r="BQ28" i="2" s="1"/>
  <c r="I29" i="2"/>
  <c r="J29" i="2"/>
  <c r="BQ29" i="2" s="1"/>
  <c r="I30" i="2"/>
  <c r="J30" i="2"/>
  <c r="BQ30" i="2" s="1"/>
  <c r="J31" i="2"/>
  <c r="BQ31" i="2" s="1"/>
  <c r="I31" i="2"/>
  <c r="I32" i="2"/>
  <c r="J32" i="2"/>
  <c r="BQ32" i="2" s="1"/>
  <c r="J33" i="2"/>
  <c r="BQ33" i="2" s="1"/>
  <c r="I33" i="2"/>
  <c r="J34" i="2"/>
  <c r="BQ34" i="2" s="1"/>
  <c r="I34" i="2"/>
  <c r="J35" i="2"/>
  <c r="BQ35" i="2" s="1"/>
  <c r="I35" i="2"/>
  <c r="I36" i="2"/>
  <c r="J36" i="2"/>
  <c r="BQ36" i="2" s="1"/>
  <c r="I37" i="2"/>
  <c r="J37" i="2"/>
  <c r="BQ37" i="2" s="1"/>
  <c r="I38" i="2"/>
  <c r="J38" i="2"/>
  <c r="BQ38" i="2" s="1"/>
  <c r="J39" i="2"/>
  <c r="BQ39" i="2" s="1"/>
  <c r="I39" i="2"/>
  <c r="I40" i="2"/>
  <c r="J40" i="2"/>
  <c r="BQ40" i="2" s="1"/>
  <c r="J41" i="2"/>
  <c r="BQ41" i="2" s="1"/>
  <c r="I41" i="2"/>
  <c r="J42" i="2"/>
  <c r="BQ42" i="2" s="1"/>
  <c r="I42" i="2"/>
  <c r="J43" i="2"/>
  <c r="BQ43" i="2" s="1"/>
  <c r="I43" i="2"/>
  <c r="I44" i="2"/>
  <c r="J44" i="2"/>
  <c r="BQ44" i="2" s="1"/>
  <c r="I45" i="2"/>
  <c r="J45" i="2"/>
  <c r="BQ45" i="2" s="1"/>
  <c r="I46" i="2"/>
  <c r="J46" i="2"/>
  <c r="BQ46" i="2" s="1"/>
  <c r="J47" i="2"/>
  <c r="BQ47" i="2" s="1"/>
  <c r="I47" i="2"/>
  <c r="I48" i="2"/>
  <c r="J48" i="2"/>
  <c r="BQ48" i="2" s="1"/>
  <c r="J49" i="2"/>
  <c r="BQ49" i="2" s="1"/>
  <c r="I49" i="2"/>
  <c r="J50" i="2"/>
  <c r="BQ50" i="2" s="1"/>
  <c r="I50" i="2"/>
  <c r="J51" i="2"/>
  <c r="BQ51" i="2" s="1"/>
  <c r="I51" i="2"/>
  <c r="I52" i="2"/>
  <c r="J52" i="2"/>
  <c r="BQ52" i="2" s="1"/>
  <c r="I53" i="2"/>
  <c r="J53" i="2"/>
  <c r="BQ53" i="2" s="1"/>
  <c r="I54" i="2"/>
  <c r="J54" i="2"/>
  <c r="BQ54" i="2" s="1"/>
  <c r="J55" i="2"/>
  <c r="BQ55" i="2" s="1"/>
  <c r="I55" i="2"/>
  <c r="I56" i="2"/>
  <c r="J56" i="2"/>
  <c r="BQ56" i="2" s="1"/>
  <c r="I57" i="2"/>
  <c r="J57" i="2"/>
  <c r="BQ57" i="2" s="1"/>
  <c r="J58" i="2"/>
  <c r="BQ58" i="2" s="1"/>
  <c r="I58" i="2"/>
  <c r="J59" i="2"/>
  <c r="BQ59" i="2" s="1"/>
  <c r="I59" i="2"/>
  <c r="I60" i="2"/>
  <c r="J60" i="2"/>
  <c r="BQ60" i="2" s="1"/>
  <c r="I61" i="2"/>
  <c r="J61" i="2"/>
  <c r="BQ61" i="2" s="1"/>
  <c r="I62" i="2"/>
  <c r="J62" i="2"/>
  <c r="BQ62" i="2" s="1"/>
  <c r="J63" i="2"/>
  <c r="BQ63" i="2" s="1"/>
  <c r="I63" i="2"/>
  <c r="I64" i="2"/>
  <c r="J64" i="2"/>
  <c r="BQ64" i="2" s="1"/>
  <c r="I65" i="2"/>
  <c r="J65" i="2"/>
  <c r="BQ65" i="2" s="1"/>
  <c r="J66" i="2"/>
  <c r="BQ66" i="2" s="1"/>
  <c r="I66" i="2"/>
  <c r="J67" i="2"/>
  <c r="BQ67" i="2" s="1"/>
  <c r="I67" i="2"/>
  <c r="I68" i="2"/>
  <c r="J68" i="2"/>
  <c r="BQ68" i="2" s="1"/>
  <c r="I69" i="2"/>
  <c r="J69" i="2"/>
  <c r="BQ69" i="2" s="1"/>
  <c r="I70" i="2"/>
  <c r="J70" i="2"/>
  <c r="BQ70" i="2" s="1"/>
  <c r="J71" i="2"/>
  <c r="BQ71" i="2" s="1"/>
  <c r="I71" i="2"/>
  <c r="I72" i="2"/>
  <c r="J72" i="2"/>
  <c r="BQ72" i="2" s="1"/>
  <c r="I73" i="2"/>
  <c r="J73" i="2"/>
  <c r="BQ73" i="2" s="1"/>
  <c r="J74" i="2"/>
  <c r="BQ74" i="2" s="1"/>
  <c r="I74" i="2"/>
  <c r="J75" i="2"/>
  <c r="BQ75" i="2" s="1"/>
  <c r="I75" i="2"/>
  <c r="I76" i="2"/>
  <c r="J76" i="2"/>
  <c r="BQ76" i="2" s="1"/>
  <c r="I77" i="2"/>
  <c r="J77" i="2"/>
  <c r="BQ77" i="2" s="1"/>
  <c r="I78" i="2"/>
  <c r="J78" i="2"/>
  <c r="BQ78" i="2" s="1"/>
  <c r="J79" i="2"/>
  <c r="BQ79" i="2" s="1"/>
  <c r="I79" i="2"/>
  <c r="I80" i="2"/>
  <c r="J80" i="2"/>
  <c r="BQ80" i="2" s="1"/>
  <c r="I81" i="2"/>
  <c r="J81" i="2"/>
  <c r="BQ81" i="2" s="1"/>
  <c r="J82" i="2"/>
  <c r="BQ82" i="2" s="1"/>
  <c r="I82" i="2"/>
  <c r="J83" i="2"/>
  <c r="BQ83" i="2" s="1"/>
  <c r="I83" i="2"/>
  <c r="I84" i="2"/>
  <c r="J84" i="2"/>
  <c r="BQ84" i="2" s="1"/>
  <c r="I85" i="2"/>
  <c r="J85" i="2"/>
  <c r="BQ85" i="2" s="1"/>
  <c r="I86" i="2"/>
  <c r="J86" i="2"/>
  <c r="BQ86" i="2" s="1"/>
  <c r="J87" i="2"/>
  <c r="BQ87" i="2" s="1"/>
  <c r="I87" i="2"/>
  <c r="I88" i="2"/>
  <c r="J88" i="2"/>
  <c r="BQ88" i="2" s="1"/>
  <c r="I89" i="2"/>
  <c r="J89" i="2"/>
  <c r="BQ89" i="2" s="1"/>
  <c r="J90" i="2"/>
  <c r="BQ90" i="2" s="1"/>
  <c r="I90" i="2"/>
  <c r="J91" i="2"/>
  <c r="BQ91" i="2" s="1"/>
  <c r="I91" i="2"/>
  <c r="I92" i="2"/>
  <c r="J92" i="2"/>
  <c r="BQ92" i="2" s="1"/>
  <c r="I93" i="2"/>
  <c r="J93" i="2"/>
  <c r="BQ93" i="2" s="1"/>
  <c r="I94" i="2"/>
  <c r="J94" i="2"/>
  <c r="BQ94" i="2" s="1"/>
  <c r="J95" i="2"/>
  <c r="BQ95" i="2" s="1"/>
  <c r="I95" i="2"/>
  <c r="I96" i="2"/>
  <c r="J96" i="2"/>
  <c r="BQ96" i="2" s="1"/>
  <c r="I97" i="2"/>
  <c r="J97" i="2"/>
  <c r="BQ97" i="2" s="1"/>
  <c r="J98" i="2"/>
  <c r="BQ98" i="2" s="1"/>
  <c r="I98" i="2"/>
  <c r="J99" i="2"/>
  <c r="BQ99" i="2" s="1"/>
  <c r="I99" i="2"/>
  <c r="I100" i="2"/>
  <c r="J100" i="2"/>
  <c r="BQ100" i="2" s="1"/>
  <c r="I101" i="2"/>
  <c r="J101" i="2"/>
  <c r="BQ101" i="2" s="1"/>
  <c r="I102" i="2"/>
  <c r="J102" i="2"/>
  <c r="BQ102" i="2" s="1"/>
  <c r="J103" i="2"/>
  <c r="BQ103" i="2" s="1"/>
  <c r="I103" i="2"/>
  <c r="I104" i="2"/>
  <c r="J104" i="2"/>
  <c r="BQ104" i="2" s="1"/>
  <c r="J105" i="2"/>
  <c r="BQ105" i="2" s="1"/>
  <c r="I105" i="2"/>
  <c r="J106" i="2"/>
  <c r="BQ106" i="2" s="1"/>
  <c r="I106" i="2"/>
  <c r="J107" i="2"/>
  <c r="BQ107" i="2" s="1"/>
  <c r="I107" i="2"/>
  <c r="I108" i="2"/>
  <c r="J108" i="2"/>
  <c r="BQ108" i="2" s="1"/>
  <c r="I109" i="2"/>
  <c r="J109" i="2"/>
  <c r="BQ109" i="2" s="1"/>
  <c r="I110" i="2"/>
  <c r="J110" i="2"/>
  <c r="BQ110" i="2" s="1"/>
  <c r="J111" i="2"/>
  <c r="BQ111" i="2" s="1"/>
  <c r="I111" i="2"/>
  <c r="I112" i="2"/>
  <c r="J112" i="2"/>
  <c r="BQ112" i="2" s="1"/>
  <c r="J113" i="2"/>
  <c r="BQ113" i="2" s="1"/>
  <c r="I113" i="2"/>
  <c r="J115" i="2"/>
  <c r="BQ115" i="2" s="1"/>
  <c r="I115" i="2"/>
  <c r="I116" i="2"/>
  <c r="J116" i="2"/>
  <c r="BQ116" i="2" s="1"/>
  <c r="I117" i="2"/>
  <c r="J117" i="2"/>
  <c r="BQ117" i="2" s="1"/>
  <c r="I118" i="2"/>
  <c r="J118" i="2"/>
  <c r="BQ118" i="2" s="1"/>
  <c r="J119" i="2"/>
  <c r="BQ119" i="2" s="1"/>
  <c r="I119" i="2"/>
  <c r="I120" i="2"/>
  <c r="J120" i="2"/>
  <c r="BQ120" i="2" s="1"/>
  <c r="I121" i="2"/>
  <c r="J121" i="2"/>
  <c r="BQ121" i="2" s="1"/>
  <c r="J122" i="2"/>
  <c r="BQ122" i="2" s="1"/>
  <c r="I122" i="2"/>
  <c r="J123" i="2"/>
  <c r="BQ123" i="2" s="1"/>
  <c r="I123" i="2"/>
  <c r="I124" i="2"/>
  <c r="J124" i="2"/>
  <c r="BQ124" i="2" s="1"/>
  <c r="I125" i="2"/>
  <c r="J125" i="2"/>
  <c r="BQ125" i="2" s="1"/>
  <c r="I126" i="2"/>
  <c r="J126" i="2"/>
  <c r="BQ126" i="2" s="1"/>
  <c r="J127" i="2"/>
  <c r="BQ127" i="2" s="1"/>
  <c r="I127" i="2"/>
  <c r="I128" i="2"/>
  <c r="J128" i="2"/>
  <c r="BQ128" i="2" s="1"/>
  <c r="J129" i="2"/>
  <c r="BQ129" i="2" s="1"/>
  <c r="I129" i="2"/>
  <c r="J130" i="2"/>
  <c r="BQ130" i="2" s="1"/>
  <c r="I130" i="2"/>
  <c r="J131" i="2"/>
  <c r="BQ131" i="2" s="1"/>
  <c r="I131" i="2"/>
  <c r="I132" i="2"/>
  <c r="J132" i="2"/>
  <c r="BQ132" i="2" s="1"/>
  <c r="I133" i="2"/>
  <c r="J133" i="2"/>
  <c r="BQ133" i="2" s="1"/>
  <c r="I134" i="2"/>
  <c r="J134" i="2"/>
  <c r="BQ134" i="2" s="1"/>
  <c r="J135" i="2"/>
  <c r="BQ135" i="2" s="1"/>
  <c r="I135" i="2"/>
  <c r="I136" i="2"/>
  <c r="J136" i="2"/>
  <c r="BQ136" i="2" s="1"/>
  <c r="J137" i="2"/>
  <c r="BQ137" i="2" s="1"/>
  <c r="I137" i="2"/>
  <c r="J138" i="2"/>
  <c r="BQ138" i="2" s="1"/>
  <c r="I138" i="2"/>
  <c r="J139" i="2"/>
  <c r="BQ139" i="2" s="1"/>
  <c r="I139" i="2"/>
  <c r="I140" i="2"/>
  <c r="J140" i="2"/>
  <c r="BQ140" i="2" s="1"/>
  <c r="I141" i="2"/>
  <c r="J141" i="2"/>
  <c r="BQ141" i="2" s="1"/>
  <c r="I142" i="2"/>
  <c r="J142" i="2"/>
  <c r="BQ142" i="2" s="1"/>
  <c r="J143" i="2"/>
  <c r="BQ143" i="2" s="1"/>
  <c r="I143" i="2"/>
  <c r="I144" i="2"/>
  <c r="J144" i="2"/>
  <c r="BQ144" i="2" s="1"/>
  <c r="I145" i="2"/>
  <c r="J145" i="2"/>
  <c r="BQ145" i="2" s="1"/>
  <c r="J146" i="2"/>
  <c r="BQ146" i="2" s="1"/>
  <c r="I146" i="2"/>
  <c r="J147" i="2"/>
  <c r="BQ147" i="2" s="1"/>
  <c r="I147" i="2"/>
  <c r="I148" i="2"/>
  <c r="J148" i="2"/>
  <c r="BQ148" i="2" s="1"/>
  <c r="I149" i="2"/>
  <c r="J149" i="2"/>
  <c r="BQ149" i="2" s="1"/>
  <c r="I150" i="2"/>
  <c r="J150" i="2"/>
  <c r="BQ150" i="2" s="1"/>
  <c r="J151" i="2"/>
  <c r="BQ151" i="2" s="1"/>
  <c r="I151" i="2"/>
  <c r="I152" i="2"/>
  <c r="J152" i="2"/>
  <c r="BQ152" i="2" s="1"/>
  <c r="I153" i="2"/>
  <c r="J153" i="2"/>
  <c r="BQ153" i="2" s="1"/>
  <c r="J154" i="2"/>
  <c r="BQ154" i="2" s="1"/>
  <c r="I154" i="2"/>
  <c r="J155" i="2"/>
  <c r="BQ155" i="2" s="1"/>
  <c r="I155" i="2"/>
  <c r="I156" i="2"/>
  <c r="J156" i="2"/>
  <c r="BQ156" i="2" s="1"/>
  <c r="I157" i="2"/>
  <c r="J157" i="2"/>
  <c r="BQ157" i="2" s="1"/>
  <c r="I158" i="2"/>
  <c r="J158" i="2"/>
  <c r="BQ158" i="2" s="1"/>
  <c r="J159" i="2"/>
  <c r="BQ159" i="2" s="1"/>
  <c r="I159" i="2"/>
  <c r="I160" i="2"/>
  <c r="J160" i="2"/>
  <c r="BQ160" i="2" s="1"/>
  <c r="I161" i="2"/>
  <c r="J161" i="2"/>
  <c r="BQ161" i="2" s="1"/>
  <c r="J162" i="2"/>
  <c r="BQ162" i="2" s="1"/>
  <c r="I162" i="2"/>
  <c r="J163" i="2"/>
  <c r="BQ163" i="2" s="1"/>
  <c r="I163" i="2"/>
  <c r="I164" i="2"/>
  <c r="J164" i="2"/>
  <c r="BQ164" i="2" s="1"/>
  <c r="I165" i="2"/>
  <c r="J165" i="2"/>
  <c r="BQ165" i="2" s="1"/>
  <c r="I166" i="2"/>
  <c r="J166" i="2"/>
  <c r="BQ166" i="2" s="1"/>
  <c r="J167" i="2"/>
  <c r="BQ167" i="2" s="1"/>
  <c r="I167" i="2"/>
  <c r="I168" i="2"/>
  <c r="J168" i="2"/>
  <c r="BQ168" i="2" s="1"/>
  <c r="J169" i="2"/>
  <c r="BQ169" i="2" s="1"/>
  <c r="I169" i="2"/>
  <c r="J170" i="2"/>
  <c r="BQ170" i="2" s="1"/>
  <c r="I170" i="2"/>
  <c r="J171" i="2"/>
  <c r="BQ171" i="2" s="1"/>
  <c r="I171" i="2"/>
  <c r="I172" i="2"/>
  <c r="J172" i="2"/>
  <c r="BQ172" i="2" s="1"/>
  <c r="I173" i="2"/>
  <c r="J173" i="2"/>
  <c r="BQ173" i="2" s="1"/>
  <c r="I174" i="2"/>
  <c r="J174" i="2"/>
  <c r="BQ174" i="2" s="1"/>
  <c r="J175" i="2"/>
  <c r="BQ175" i="2" s="1"/>
  <c r="I175" i="2"/>
  <c r="J176" i="2"/>
  <c r="BQ176" i="2" s="1"/>
  <c r="I176" i="2"/>
  <c r="J177" i="2"/>
  <c r="BQ177" i="2" s="1"/>
  <c r="I177" i="2"/>
  <c r="J178" i="2"/>
  <c r="BQ178" i="2" s="1"/>
  <c r="I178" i="2"/>
  <c r="J179" i="2"/>
  <c r="BQ179" i="2" s="1"/>
  <c r="I179" i="2"/>
  <c r="I180" i="2"/>
  <c r="J180" i="2"/>
  <c r="BQ180" i="2" s="1"/>
  <c r="I181" i="2"/>
  <c r="J181" i="2"/>
  <c r="BQ181" i="2" s="1"/>
  <c r="I182" i="2"/>
  <c r="J182" i="2"/>
  <c r="BQ182" i="2" s="1"/>
  <c r="J183" i="2"/>
  <c r="BQ183" i="2" s="1"/>
  <c r="I183" i="2"/>
  <c r="J184" i="2"/>
  <c r="BQ184" i="2" s="1"/>
  <c r="I184" i="2"/>
  <c r="I185" i="2"/>
  <c r="J185" i="2"/>
  <c r="BQ185" i="2" s="1"/>
  <c r="J186" i="2"/>
  <c r="BQ186" i="2" s="1"/>
  <c r="I186" i="2"/>
  <c r="J187" i="2"/>
  <c r="BQ187" i="2" s="1"/>
  <c r="I187" i="2"/>
  <c r="I188" i="2"/>
  <c r="J188" i="2"/>
  <c r="BQ188" i="2" s="1"/>
  <c r="I189" i="2"/>
  <c r="J189" i="2"/>
  <c r="BQ189" i="2" s="1"/>
  <c r="I190" i="2"/>
  <c r="J190" i="2"/>
  <c r="BQ190" i="2" s="1"/>
  <c r="J191" i="2"/>
  <c r="BQ191" i="2" s="1"/>
  <c r="I191" i="2"/>
  <c r="J192" i="2"/>
  <c r="BQ192" i="2" s="1"/>
  <c r="I192" i="2"/>
  <c r="J193" i="2"/>
  <c r="BQ193" i="2" s="1"/>
  <c r="I193" i="2"/>
  <c r="J194" i="2"/>
  <c r="BQ194" i="2" s="1"/>
  <c r="I194" i="2"/>
  <c r="J195" i="2"/>
  <c r="BQ195" i="2" s="1"/>
  <c r="I195" i="2"/>
  <c r="I196" i="2"/>
  <c r="J196" i="2"/>
  <c r="BQ196" i="2" s="1"/>
  <c r="I197" i="2"/>
  <c r="J197" i="2"/>
  <c r="BQ197" i="2" s="1"/>
  <c r="I198" i="2"/>
  <c r="J198" i="2"/>
  <c r="BQ198" i="2" s="1"/>
  <c r="J199" i="2"/>
  <c r="BQ199" i="2" s="1"/>
  <c r="I199" i="2"/>
  <c r="J200" i="2"/>
  <c r="BQ200" i="2" s="1"/>
  <c r="I200" i="2"/>
  <c r="J201" i="2"/>
  <c r="BQ201" i="2" s="1"/>
  <c r="I201" i="2"/>
  <c r="J202" i="2"/>
  <c r="BQ202" i="2" s="1"/>
  <c r="I202" i="2"/>
  <c r="J203" i="2"/>
  <c r="BQ203" i="2" s="1"/>
  <c r="I203" i="2"/>
  <c r="I204" i="2"/>
  <c r="J204" i="2"/>
  <c r="BQ204" i="2" s="1"/>
  <c r="I205" i="2"/>
  <c r="J205" i="2"/>
  <c r="BQ205" i="2" s="1"/>
  <c r="I206" i="2"/>
  <c r="J206" i="2"/>
  <c r="BQ206" i="2" s="1"/>
  <c r="J207" i="2"/>
  <c r="BQ207" i="2" s="1"/>
  <c r="I207" i="2"/>
  <c r="J208" i="2"/>
  <c r="BQ208" i="2" s="1"/>
  <c r="I208" i="2"/>
  <c r="J209" i="2"/>
  <c r="BQ209" i="2" s="1"/>
  <c r="I209" i="2"/>
  <c r="J210" i="2"/>
  <c r="BQ210" i="2" s="1"/>
  <c r="I210" i="2"/>
  <c r="J211" i="2"/>
  <c r="BQ211" i="2" s="1"/>
  <c r="I211" i="2"/>
  <c r="I212" i="2"/>
  <c r="J212" i="2"/>
  <c r="BQ212" i="2" s="1"/>
  <c r="I213" i="2"/>
  <c r="J213" i="2"/>
  <c r="BQ213" i="2" s="1"/>
  <c r="I214" i="2"/>
  <c r="J214" i="2"/>
  <c r="BQ214" i="2" s="1"/>
  <c r="J215" i="2"/>
  <c r="BQ215" i="2" s="1"/>
  <c r="I215" i="2"/>
  <c r="J216" i="2"/>
  <c r="BQ216" i="2" s="1"/>
  <c r="I216" i="2"/>
  <c r="J217" i="2"/>
  <c r="BQ217" i="2" s="1"/>
  <c r="I217" i="2"/>
  <c r="J218" i="2"/>
  <c r="BQ218" i="2" s="1"/>
  <c r="I218" i="2"/>
  <c r="J219" i="2"/>
  <c r="BQ219" i="2" s="1"/>
  <c r="I219" i="2"/>
  <c r="I220" i="2"/>
  <c r="J220" i="2"/>
  <c r="BQ220" i="2" s="1"/>
  <c r="I221" i="2"/>
  <c r="J221" i="2"/>
  <c r="BQ221" i="2" s="1"/>
  <c r="I222" i="2"/>
  <c r="J222" i="2"/>
  <c r="BQ222" i="2" s="1"/>
  <c r="I223" i="2"/>
  <c r="J223" i="2"/>
  <c r="BQ223" i="2" s="1"/>
  <c r="J224" i="2"/>
  <c r="BQ224" i="2" s="1"/>
  <c r="I224" i="2"/>
  <c r="I225" i="2"/>
  <c r="J225" i="2"/>
  <c r="BQ225" i="2" s="1"/>
  <c r="J226" i="2"/>
  <c r="BQ226" i="2" s="1"/>
  <c r="I226" i="2"/>
  <c r="J227" i="2"/>
  <c r="BQ227" i="2" s="1"/>
  <c r="I227" i="2"/>
  <c r="I228" i="2"/>
  <c r="J228" i="2"/>
  <c r="BQ228" i="2" s="1"/>
  <c r="I229" i="2"/>
  <c r="J229" i="2"/>
  <c r="BQ229" i="2" s="1"/>
  <c r="J230" i="2"/>
  <c r="BQ230" i="2" s="1"/>
  <c r="I230" i="2"/>
  <c r="I231" i="2"/>
  <c r="J231" i="2"/>
  <c r="BQ231" i="2" s="1"/>
  <c r="J232" i="2"/>
  <c r="BQ232" i="2" s="1"/>
  <c r="I232" i="2"/>
  <c r="J233" i="2"/>
  <c r="BQ233" i="2" s="1"/>
  <c r="I233" i="2"/>
  <c r="J234" i="2"/>
  <c r="BQ234" i="2" s="1"/>
  <c r="I234" i="2"/>
  <c r="J235" i="2"/>
  <c r="BQ235" i="2" s="1"/>
  <c r="I235" i="2"/>
  <c r="I236" i="2"/>
  <c r="J236" i="2"/>
  <c r="BQ236" i="2" s="1"/>
  <c r="I237" i="2"/>
  <c r="J237" i="2"/>
  <c r="BQ237" i="2" s="1"/>
  <c r="J238" i="2"/>
  <c r="BQ238" i="2" s="1"/>
  <c r="I238" i="2"/>
  <c r="L238" i="2" s="1"/>
  <c r="J239" i="2"/>
  <c r="BQ239" i="2" s="1"/>
  <c r="I239" i="2"/>
  <c r="J240" i="2"/>
  <c r="BQ240" i="2" s="1"/>
  <c r="I240" i="2"/>
  <c r="I241" i="2"/>
  <c r="J241" i="2"/>
  <c r="BQ241" i="2" s="1"/>
  <c r="J242" i="2"/>
  <c r="BQ242" i="2" s="1"/>
  <c r="I242" i="2"/>
  <c r="J243" i="2"/>
  <c r="BQ243" i="2" s="1"/>
  <c r="I243" i="2"/>
  <c r="O16" i="2"/>
  <c r="O49" i="2"/>
  <c r="O73" i="2"/>
  <c r="O105" i="2"/>
  <c r="O138" i="2"/>
  <c r="O170" i="2"/>
  <c r="O18" i="2"/>
  <c r="O42" i="2"/>
  <c r="O66" i="2"/>
  <c r="O90" i="2"/>
  <c r="O19" i="2"/>
  <c r="O27" i="2"/>
  <c r="O35" i="2"/>
  <c r="O43" i="2"/>
  <c r="O51" i="2"/>
  <c r="O59" i="2"/>
  <c r="O67" i="2"/>
  <c r="O75" i="2"/>
  <c r="O83" i="2"/>
  <c r="O91" i="2"/>
  <c r="O99" i="2"/>
  <c r="O107" i="2"/>
  <c r="O116" i="2"/>
  <c r="O124" i="2"/>
  <c r="O132" i="2"/>
  <c r="O140" i="2"/>
  <c r="O148" i="2"/>
  <c r="O156" i="2"/>
  <c r="O164" i="2"/>
  <c r="O172" i="2"/>
  <c r="O180" i="2"/>
  <c r="O188" i="2"/>
  <c r="O196" i="2"/>
  <c r="O204" i="2"/>
  <c r="O212" i="2"/>
  <c r="O220" i="2"/>
  <c r="O228" i="2"/>
  <c r="O236" i="2"/>
  <c r="O33" i="2"/>
  <c r="O65" i="2"/>
  <c r="O97" i="2"/>
  <c r="O130" i="2"/>
  <c r="O186" i="2"/>
  <c r="O34" i="2"/>
  <c r="O58" i="2"/>
  <c r="O82" i="2"/>
  <c r="O10" i="2"/>
  <c r="O20" i="2"/>
  <c r="O28" i="2"/>
  <c r="O36" i="2"/>
  <c r="O44" i="2"/>
  <c r="O52" i="2"/>
  <c r="O60" i="2"/>
  <c r="O68" i="2"/>
  <c r="O76" i="2"/>
  <c r="O84" i="2"/>
  <c r="O92" i="2"/>
  <c r="O100" i="2"/>
  <c r="O108" i="2"/>
  <c r="O117" i="2"/>
  <c r="O125" i="2"/>
  <c r="O133" i="2"/>
  <c r="O141" i="2"/>
  <c r="O149" i="2"/>
  <c r="O157" i="2"/>
  <c r="O165" i="2"/>
  <c r="O173" i="2"/>
  <c r="O181" i="2"/>
  <c r="O189" i="2"/>
  <c r="O197" i="2"/>
  <c r="O205" i="2"/>
  <c r="O213" i="2"/>
  <c r="O221" i="2"/>
  <c r="O229" i="2"/>
  <c r="O237" i="2"/>
  <c r="O37" i="2"/>
  <c r="O77" i="2"/>
  <c r="O118" i="2"/>
  <c r="O150" i="2"/>
  <c r="O166" i="2"/>
  <c r="O190" i="2"/>
  <c r="O198" i="2"/>
  <c r="O206" i="2"/>
  <c r="O214" i="2"/>
  <c r="O222" i="2"/>
  <c r="O230" i="2"/>
  <c r="O238" i="2"/>
  <c r="O21" i="2"/>
  <c r="O53" i="2"/>
  <c r="O85" i="2"/>
  <c r="O109" i="2"/>
  <c r="O142" i="2"/>
  <c r="O182" i="2"/>
  <c r="O38" i="2"/>
  <c r="O62" i="2"/>
  <c r="O86" i="2"/>
  <c r="O94" i="2"/>
  <c r="O102" i="2"/>
  <c r="O110" i="2"/>
  <c r="O119" i="2"/>
  <c r="O127" i="2"/>
  <c r="O135" i="2"/>
  <c r="O143" i="2"/>
  <c r="O151" i="2"/>
  <c r="O159" i="2"/>
  <c r="O167" i="2"/>
  <c r="O175" i="2"/>
  <c r="O183" i="2"/>
  <c r="O191" i="2"/>
  <c r="O199" i="2"/>
  <c r="O207" i="2"/>
  <c r="O215" i="2"/>
  <c r="O223" i="2"/>
  <c r="O231" i="2"/>
  <c r="O239" i="2"/>
  <c r="O12" i="2"/>
  <c r="O45" i="2"/>
  <c r="O69" i="2"/>
  <c r="O101" i="2"/>
  <c r="O134" i="2"/>
  <c r="O158" i="2"/>
  <c r="O13" i="2"/>
  <c r="O30" i="2"/>
  <c r="O54" i="2"/>
  <c r="O70" i="2"/>
  <c r="O14" i="2"/>
  <c r="O23" i="2"/>
  <c r="O31" i="2"/>
  <c r="O39" i="2"/>
  <c r="O47" i="2"/>
  <c r="O55" i="2"/>
  <c r="O63" i="2"/>
  <c r="O71" i="2"/>
  <c r="O79" i="2"/>
  <c r="O87" i="2"/>
  <c r="O95" i="2"/>
  <c r="O103" i="2"/>
  <c r="O111" i="2"/>
  <c r="O120" i="2"/>
  <c r="O128" i="2"/>
  <c r="O136" i="2"/>
  <c r="O144" i="2"/>
  <c r="O152" i="2"/>
  <c r="O160" i="2"/>
  <c r="O168" i="2"/>
  <c r="O176" i="2"/>
  <c r="O184" i="2"/>
  <c r="O192" i="2"/>
  <c r="O200" i="2"/>
  <c r="O208" i="2"/>
  <c r="O216" i="2"/>
  <c r="O224" i="2"/>
  <c r="O232" i="2"/>
  <c r="O240" i="2"/>
  <c r="O29" i="2"/>
  <c r="O61" i="2"/>
  <c r="O93" i="2"/>
  <c r="O126" i="2"/>
  <c r="O174" i="2"/>
  <c r="O22" i="2"/>
  <c r="O46" i="2"/>
  <c r="O78" i="2"/>
  <c r="O15" i="2"/>
  <c r="O24" i="2"/>
  <c r="O32" i="2"/>
  <c r="O40" i="2"/>
  <c r="O48" i="2"/>
  <c r="O56" i="2"/>
  <c r="O64" i="2"/>
  <c r="O72" i="2"/>
  <c r="O80" i="2"/>
  <c r="O88" i="2"/>
  <c r="O96" i="2"/>
  <c r="O104" i="2"/>
  <c r="O112" i="2"/>
  <c r="O121" i="2"/>
  <c r="O129" i="2"/>
  <c r="O137" i="2"/>
  <c r="O145" i="2"/>
  <c r="O153" i="2"/>
  <c r="O161" i="2"/>
  <c r="O169" i="2"/>
  <c r="O177" i="2"/>
  <c r="O185" i="2"/>
  <c r="O193" i="2"/>
  <c r="O201" i="2"/>
  <c r="O209" i="2"/>
  <c r="O217" i="2"/>
  <c r="O225" i="2"/>
  <c r="O233" i="2"/>
  <c r="O241" i="2"/>
  <c r="O41" i="2"/>
  <c r="O81" i="2"/>
  <c r="O122" i="2"/>
  <c r="O154" i="2"/>
  <c r="O162" i="2"/>
  <c r="O194" i="2"/>
  <c r="O202" i="2"/>
  <c r="O210" i="2"/>
  <c r="O218" i="2"/>
  <c r="O226" i="2"/>
  <c r="O234" i="2"/>
  <c r="O242" i="2"/>
  <c r="O25" i="2"/>
  <c r="O57" i="2"/>
  <c r="O89" i="2"/>
  <c r="O113" i="2"/>
  <c r="O146" i="2"/>
  <c r="O178" i="2"/>
  <c r="O26" i="2"/>
  <c r="O50" i="2"/>
  <c r="O74" i="2"/>
  <c r="O98" i="2"/>
  <c r="O106" i="2"/>
  <c r="O115" i="2"/>
  <c r="O123" i="2"/>
  <c r="O131" i="2"/>
  <c r="O139" i="2"/>
  <c r="O147" i="2"/>
  <c r="O155" i="2"/>
  <c r="O163" i="2"/>
  <c r="O171" i="2"/>
  <c r="O179" i="2"/>
  <c r="O187" i="2"/>
  <c r="O195" i="2"/>
  <c r="O203" i="2"/>
  <c r="O211" i="2"/>
  <c r="O219" i="2"/>
  <c r="O227" i="2"/>
  <c r="O235" i="2"/>
  <c r="O243" i="2"/>
  <c r="AD10" i="2"/>
  <c r="AG10" i="2" s="1"/>
  <c r="AD12" i="2"/>
  <c r="AG12" i="2" s="1"/>
  <c r="AD13" i="2"/>
  <c r="AG13" i="2" s="1"/>
  <c r="AD14" i="2"/>
  <c r="AG14" i="2" s="1"/>
  <c r="AD15" i="2"/>
  <c r="AG15" i="2" s="1"/>
  <c r="AD16" i="2"/>
  <c r="AG16" i="2" s="1"/>
  <c r="AD18" i="2"/>
  <c r="AG18" i="2" s="1"/>
  <c r="AD19" i="2"/>
  <c r="AG19" i="2" s="1"/>
  <c r="AD20" i="2"/>
  <c r="AG20" i="2" s="1"/>
  <c r="AD21" i="2"/>
  <c r="AG21" i="2" s="1"/>
  <c r="AD22" i="2"/>
  <c r="AG22" i="2" s="1"/>
  <c r="AD23" i="2"/>
  <c r="AG23" i="2" s="1"/>
  <c r="AD24" i="2"/>
  <c r="AG24" i="2" s="1"/>
  <c r="AD25" i="2"/>
  <c r="AG25" i="2" s="1"/>
  <c r="AD26" i="2"/>
  <c r="AG26" i="2" s="1"/>
  <c r="AD27" i="2"/>
  <c r="AG27" i="2" s="1"/>
  <c r="AD28" i="2"/>
  <c r="AG28" i="2" s="1"/>
  <c r="AD29" i="2"/>
  <c r="AG29" i="2" s="1"/>
  <c r="AD30" i="2"/>
  <c r="AG30" i="2" s="1"/>
  <c r="AD31" i="2"/>
  <c r="AG31" i="2" s="1"/>
  <c r="AD32" i="2"/>
  <c r="AG32" i="2" s="1"/>
  <c r="AD33" i="2"/>
  <c r="AG33" i="2" s="1"/>
  <c r="AD34" i="2"/>
  <c r="AG34" i="2" s="1"/>
  <c r="AD35" i="2"/>
  <c r="AG35" i="2" s="1"/>
  <c r="AD36" i="2"/>
  <c r="AG36" i="2" s="1"/>
  <c r="AD37" i="2"/>
  <c r="AG37" i="2" s="1"/>
  <c r="AD38" i="2"/>
  <c r="AG38" i="2" s="1"/>
  <c r="AD39" i="2"/>
  <c r="AG39" i="2" s="1"/>
  <c r="AD40" i="2"/>
  <c r="AG40" i="2" s="1"/>
  <c r="AD41" i="2"/>
  <c r="AG41" i="2" s="1"/>
  <c r="AD42" i="2"/>
  <c r="AG42" i="2" s="1"/>
  <c r="AD43" i="2"/>
  <c r="AD44" i="2"/>
  <c r="AG44" i="2" s="1"/>
  <c r="AD45" i="2"/>
  <c r="AG45" i="2" s="1"/>
  <c r="AD46" i="2"/>
  <c r="AG46" i="2" s="1"/>
  <c r="AD47" i="2"/>
  <c r="AG47" i="2" s="1"/>
  <c r="AD48" i="2"/>
  <c r="AG48" i="2" s="1"/>
  <c r="AD49" i="2"/>
  <c r="AG49" i="2" s="1"/>
  <c r="AD50" i="2"/>
  <c r="AG50" i="2" s="1"/>
  <c r="AD51" i="2"/>
  <c r="AG51" i="2" s="1"/>
  <c r="AD52" i="2"/>
  <c r="AG52" i="2" s="1"/>
  <c r="AD53" i="2"/>
  <c r="AG53" i="2" s="1"/>
  <c r="AD54" i="2"/>
  <c r="AG54" i="2" s="1"/>
  <c r="AD55" i="2"/>
  <c r="AG55" i="2" s="1"/>
  <c r="AD56" i="2"/>
  <c r="AG56" i="2" s="1"/>
  <c r="AD57" i="2"/>
  <c r="AG57" i="2" s="1"/>
  <c r="AD58" i="2"/>
  <c r="AG58" i="2" s="1"/>
  <c r="AD59" i="2"/>
  <c r="AG59" i="2" s="1"/>
  <c r="AD60" i="2"/>
  <c r="AG60" i="2" s="1"/>
  <c r="AD61" i="2"/>
  <c r="AG61" i="2" s="1"/>
  <c r="AD62" i="2"/>
  <c r="AG62" i="2" s="1"/>
  <c r="AD63" i="2"/>
  <c r="AG63" i="2" s="1"/>
  <c r="AD64" i="2"/>
  <c r="AG64" i="2" s="1"/>
  <c r="AD65" i="2"/>
  <c r="AG65" i="2" s="1"/>
  <c r="AD66" i="2"/>
  <c r="AG66" i="2" s="1"/>
  <c r="AD67" i="2"/>
  <c r="AG67" i="2" s="1"/>
  <c r="AD68" i="2"/>
  <c r="AG68" i="2" s="1"/>
  <c r="AD69" i="2"/>
  <c r="AG69" i="2" s="1"/>
  <c r="AD70" i="2"/>
  <c r="AG70" i="2" s="1"/>
  <c r="AD71" i="2"/>
  <c r="AG71" i="2" s="1"/>
  <c r="AD72" i="2"/>
  <c r="AG72" i="2" s="1"/>
  <c r="AD73" i="2"/>
  <c r="AG73" i="2" s="1"/>
  <c r="AD74" i="2"/>
  <c r="AG74" i="2" s="1"/>
  <c r="AD75" i="2"/>
  <c r="AG75" i="2" s="1"/>
  <c r="AD76" i="2"/>
  <c r="AG76" i="2" s="1"/>
  <c r="AD77" i="2"/>
  <c r="AG77" i="2" s="1"/>
  <c r="AD78" i="2"/>
  <c r="AG78" i="2" s="1"/>
  <c r="AD79" i="2"/>
  <c r="AG79" i="2" s="1"/>
  <c r="AD80" i="2"/>
  <c r="AG80" i="2" s="1"/>
  <c r="AD81" i="2"/>
  <c r="AG81" i="2" s="1"/>
  <c r="AD82" i="2"/>
  <c r="AG82" i="2" s="1"/>
  <c r="AD83" i="2"/>
  <c r="AG83" i="2" s="1"/>
  <c r="AD84" i="2"/>
  <c r="AG84" i="2" s="1"/>
  <c r="AD85" i="2"/>
  <c r="AG85" i="2" s="1"/>
  <c r="AD86" i="2"/>
  <c r="AG86" i="2" s="1"/>
  <c r="AD87" i="2"/>
  <c r="AG87" i="2" s="1"/>
  <c r="AD88" i="2"/>
  <c r="AG88" i="2" s="1"/>
  <c r="AD89" i="2"/>
  <c r="AG89" i="2" s="1"/>
  <c r="AD90" i="2"/>
  <c r="AG90" i="2" s="1"/>
  <c r="AD91" i="2"/>
  <c r="AG91" i="2" s="1"/>
  <c r="AD92" i="2"/>
  <c r="AG92" i="2" s="1"/>
  <c r="AD93" i="2"/>
  <c r="AG93" i="2" s="1"/>
  <c r="AD94" i="2"/>
  <c r="AG94" i="2" s="1"/>
  <c r="AD95" i="2"/>
  <c r="AG95" i="2" s="1"/>
  <c r="AD96" i="2"/>
  <c r="AG96" i="2" s="1"/>
  <c r="AD97" i="2"/>
  <c r="AG97" i="2" s="1"/>
  <c r="AD98" i="2"/>
  <c r="AG98" i="2" s="1"/>
  <c r="AD99" i="2"/>
  <c r="AG99" i="2" s="1"/>
  <c r="AD100" i="2"/>
  <c r="AG100" i="2" s="1"/>
  <c r="AD101" i="2"/>
  <c r="AG101" i="2" s="1"/>
  <c r="AD102" i="2"/>
  <c r="AG102" i="2" s="1"/>
  <c r="AD103" i="2"/>
  <c r="AG103" i="2" s="1"/>
  <c r="AD104" i="2"/>
  <c r="AG104" i="2" s="1"/>
  <c r="AD105" i="2"/>
  <c r="AG105" i="2" s="1"/>
  <c r="AD106" i="2"/>
  <c r="AG106" i="2" s="1"/>
  <c r="AD107" i="2"/>
  <c r="AG107" i="2" s="1"/>
  <c r="AD108" i="2"/>
  <c r="AG108" i="2" s="1"/>
  <c r="AD109" i="2"/>
  <c r="AG109" i="2" s="1"/>
  <c r="AD110" i="2"/>
  <c r="AG110" i="2" s="1"/>
  <c r="AD111" i="2"/>
  <c r="AG111" i="2" s="1"/>
  <c r="AD112" i="2"/>
  <c r="AG112" i="2" s="1"/>
  <c r="AD113" i="2"/>
  <c r="AG113" i="2" s="1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G147" i="2" s="1"/>
  <c r="AD148" i="2"/>
  <c r="AG148" i="2" s="1"/>
  <c r="AD149" i="2"/>
  <c r="AG149" i="2" s="1"/>
  <c r="AD150" i="2"/>
  <c r="AG150" i="2" s="1"/>
  <c r="AD151" i="2"/>
  <c r="AG151" i="2" s="1"/>
  <c r="AD152" i="2"/>
  <c r="AG152" i="2" s="1"/>
  <c r="AD153" i="2"/>
  <c r="AG153" i="2" s="1"/>
  <c r="AD154" i="2"/>
  <c r="AG154" i="2" s="1"/>
  <c r="AD155" i="2"/>
  <c r="AG155" i="2" s="1"/>
  <c r="AD156" i="2"/>
  <c r="AG156" i="2" s="1"/>
  <c r="AD157" i="2"/>
  <c r="AG157" i="2" s="1"/>
  <c r="AD158" i="2"/>
  <c r="AG158" i="2" s="1"/>
  <c r="AD159" i="2"/>
  <c r="AG159" i="2" s="1"/>
  <c r="AD160" i="2"/>
  <c r="AG160" i="2" s="1"/>
  <c r="AD161" i="2"/>
  <c r="AG161" i="2" s="1"/>
  <c r="AD162" i="2"/>
  <c r="AG162" i="2" s="1"/>
  <c r="AD163" i="2"/>
  <c r="AG163" i="2" s="1"/>
  <c r="AD164" i="2"/>
  <c r="AG164" i="2" s="1"/>
  <c r="AD165" i="2"/>
  <c r="AG165" i="2" s="1"/>
  <c r="AD166" i="2"/>
  <c r="AG166" i="2" s="1"/>
  <c r="AD167" i="2"/>
  <c r="AG167" i="2" s="1"/>
  <c r="AD168" i="2"/>
  <c r="AG168" i="2" s="1"/>
  <c r="AD169" i="2"/>
  <c r="AG169" i="2" s="1"/>
  <c r="AD170" i="2"/>
  <c r="AG170" i="2" s="1"/>
  <c r="AD171" i="2"/>
  <c r="AG171" i="2" s="1"/>
  <c r="AD172" i="2"/>
  <c r="AG172" i="2" s="1"/>
  <c r="AD173" i="2"/>
  <c r="AG173" i="2" s="1"/>
  <c r="AD174" i="2"/>
  <c r="AG174" i="2" s="1"/>
  <c r="AD175" i="2"/>
  <c r="AG175" i="2" s="1"/>
  <c r="AD176" i="2"/>
  <c r="AG176" i="2" s="1"/>
  <c r="AD177" i="2"/>
  <c r="AG177" i="2" s="1"/>
  <c r="AD178" i="2"/>
  <c r="AG178" i="2" s="1"/>
  <c r="AD179" i="2"/>
  <c r="AG179" i="2" s="1"/>
  <c r="AD180" i="2"/>
  <c r="AG180" i="2" s="1"/>
  <c r="AD181" i="2"/>
  <c r="AG181" i="2" s="1"/>
  <c r="AD182" i="2"/>
  <c r="AG182" i="2" s="1"/>
  <c r="AD183" i="2"/>
  <c r="AG183" i="2" s="1"/>
  <c r="AD184" i="2"/>
  <c r="AG184" i="2" s="1"/>
  <c r="AD185" i="2"/>
  <c r="AG185" i="2" s="1"/>
  <c r="AD186" i="2"/>
  <c r="AG186" i="2" s="1"/>
  <c r="AD187" i="2"/>
  <c r="AG187" i="2" s="1"/>
  <c r="AD188" i="2"/>
  <c r="AG188" i="2" s="1"/>
  <c r="AD189" i="2"/>
  <c r="AG189" i="2" s="1"/>
  <c r="AD190" i="2"/>
  <c r="AG190" i="2" s="1"/>
  <c r="AD191" i="2"/>
  <c r="AG191" i="2" s="1"/>
  <c r="AD192" i="2"/>
  <c r="AG192" i="2" s="1"/>
  <c r="AD193" i="2"/>
  <c r="AG193" i="2" s="1"/>
  <c r="AD194" i="2"/>
  <c r="AG194" i="2" s="1"/>
  <c r="AD195" i="2"/>
  <c r="AG195" i="2" s="1"/>
  <c r="AD196" i="2"/>
  <c r="AG196" i="2" s="1"/>
  <c r="AD197" i="2"/>
  <c r="AG197" i="2" s="1"/>
  <c r="AD198" i="2"/>
  <c r="AG198" i="2" s="1"/>
  <c r="AD199" i="2"/>
  <c r="AG199" i="2" s="1"/>
  <c r="AD200" i="2"/>
  <c r="AG200" i="2" s="1"/>
  <c r="AD201" i="2"/>
  <c r="AG201" i="2" s="1"/>
  <c r="AD202" i="2"/>
  <c r="AG202" i="2" s="1"/>
  <c r="AD203" i="2"/>
  <c r="AG203" i="2" s="1"/>
  <c r="AD204" i="2"/>
  <c r="AG204" i="2" s="1"/>
  <c r="AD205" i="2"/>
  <c r="AG205" i="2" s="1"/>
  <c r="AD206" i="2"/>
  <c r="AG206" i="2" s="1"/>
  <c r="AD207" i="2"/>
  <c r="AG207" i="2" s="1"/>
  <c r="AD208" i="2"/>
  <c r="AG208" i="2" s="1"/>
  <c r="AD209" i="2"/>
  <c r="AG209" i="2" s="1"/>
  <c r="AD210" i="2"/>
  <c r="AG210" i="2" s="1"/>
  <c r="AD211" i="2"/>
  <c r="AG211" i="2" s="1"/>
  <c r="AD212" i="2"/>
  <c r="AG212" i="2" s="1"/>
  <c r="AD213" i="2"/>
  <c r="AG213" i="2" s="1"/>
  <c r="AD214" i="2"/>
  <c r="AG214" i="2" s="1"/>
  <c r="AD215" i="2"/>
  <c r="AG215" i="2" s="1"/>
  <c r="AD216" i="2"/>
  <c r="AG216" i="2" s="1"/>
  <c r="AD217" i="2"/>
  <c r="AG217" i="2" s="1"/>
  <c r="AD218" i="2"/>
  <c r="AG218" i="2" s="1"/>
  <c r="AD219" i="2"/>
  <c r="AG219" i="2" s="1"/>
  <c r="AD220" i="2"/>
  <c r="AG220" i="2" s="1"/>
  <c r="AD221" i="2"/>
  <c r="AG221" i="2" s="1"/>
  <c r="AD222" i="2"/>
  <c r="AG222" i="2" s="1"/>
  <c r="AD223" i="2"/>
  <c r="AG223" i="2" s="1"/>
  <c r="AD224" i="2"/>
  <c r="AG224" i="2" s="1"/>
  <c r="AD225" i="2"/>
  <c r="AG225" i="2" s="1"/>
  <c r="AD226" i="2"/>
  <c r="AG226" i="2" s="1"/>
  <c r="AD227" i="2"/>
  <c r="AG227" i="2" s="1"/>
  <c r="AD228" i="2"/>
  <c r="AG228" i="2" s="1"/>
  <c r="AD229" i="2"/>
  <c r="AG229" i="2" s="1"/>
  <c r="AD230" i="2"/>
  <c r="AG230" i="2" s="1"/>
  <c r="AD231" i="2"/>
  <c r="AG231" i="2" s="1"/>
  <c r="AD232" i="2"/>
  <c r="AG232" i="2" s="1"/>
  <c r="AD233" i="2"/>
  <c r="AG233" i="2" s="1"/>
  <c r="AD234" i="2"/>
  <c r="AG234" i="2" s="1"/>
  <c r="AD235" i="2"/>
  <c r="AG235" i="2" s="1"/>
  <c r="AD236" i="2"/>
  <c r="AG236" i="2" s="1"/>
  <c r="AD237" i="2"/>
  <c r="AG237" i="2" s="1"/>
  <c r="AD238" i="2"/>
  <c r="AG238" i="2" s="1"/>
  <c r="AD239" i="2"/>
  <c r="AG239" i="2" s="1"/>
  <c r="AD240" i="2"/>
  <c r="AG240" i="2" s="1"/>
  <c r="AD241" i="2"/>
  <c r="AG241" i="2" s="1"/>
  <c r="AD242" i="2"/>
  <c r="AD243" i="2"/>
  <c r="Q10" i="2"/>
  <c r="Q12" i="2"/>
  <c r="Q13" i="2"/>
  <c r="Q14" i="2"/>
  <c r="Q15" i="2"/>
  <c r="Q16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BN16" i="2"/>
  <c r="BM16" i="2"/>
  <c r="BL16" i="2"/>
  <c r="BO16" i="2"/>
  <c r="BK16" i="2"/>
  <c r="BJ16" i="2"/>
  <c r="BI16" i="2"/>
  <c r="BO41" i="2"/>
  <c r="BM41" i="2"/>
  <c r="BN41" i="2"/>
  <c r="BL41" i="2"/>
  <c r="BK41" i="2"/>
  <c r="BJ41" i="2"/>
  <c r="BI41" i="2"/>
  <c r="BO57" i="2"/>
  <c r="BM57" i="2"/>
  <c r="BN57" i="2"/>
  <c r="BL57" i="2"/>
  <c r="BK57" i="2"/>
  <c r="BJ57" i="2"/>
  <c r="BI57" i="2"/>
  <c r="BO81" i="2"/>
  <c r="BM81" i="2"/>
  <c r="BN81" i="2"/>
  <c r="BL81" i="2"/>
  <c r="BJ81" i="2"/>
  <c r="BK81" i="2"/>
  <c r="BI81" i="2"/>
  <c r="BO105" i="2"/>
  <c r="BM105" i="2"/>
  <c r="BL105" i="2"/>
  <c r="BN105" i="2"/>
  <c r="BK105" i="2"/>
  <c r="BJ105" i="2"/>
  <c r="BI105" i="2"/>
  <c r="BO130" i="2"/>
  <c r="BM130" i="2"/>
  <c r="BN130" i="2"/>
  <c r="BJ130" i="2"/>
  <c r="BK130" i="2"/>
  <c r="BL130" i="2"/>
  <c r="BI130" i="2"/>
  <c r="BO146" i="2"/>
  <c r="BM146" i="2"/>
  <c r="BL146" i="2"/>
  <c r="BN146" i="2"/>
  <c r="BJ146" i="2"/>
  <c r="BK146" i="2"/>
  <c r="BI146" i="2"/>
  <c r="BO170" i="2"/>
  <c r="BM170" i="2"/>
  <c r="BN170" i="2"/>
  <c r="BL170" i="2"/>
  <c r="BJ170" i="2"/>
  <c r="BK170" i="2"/>
  <c r="BI170" i="2"/>
  <c r="BO186" i="2"/>
  <c r="BN186" i="2"/>
  <c r="BM186" i="2"/>
  <c r="BL186" i="2"/>
  <c r="BJ186" i="2"/>
  <c r="BK186" i="2"/>
  <c r="BI186" i="2"/>
  <c r="BO202" i="2"/>
  <c r="BN202" i="2"/>
  <c r="BM202" i="2"/>
  <c r="BL202" i="2"/>
  <c r="BK202" i="2"/>
  <c r="BJ202" i="2"/>
  <c r="BI202" i="2"/>
  <c r="BO218" i="2"/>
  <c r="BM218" i="2"/>
  <c r="BL218" i="2"/>
  <c r="BN218" i="2"/>
  <c r="BK218" i="2"/>
  <c r="BJ218" i="2"/>
  <c r="BI218" i="2"/>
  <c r="BO234" i="2"/>
  <c r="BM234" i="2"/>
  <c r="BN234" i="2"/>
  <c r="BL234" i="2"/>
  <c r="BJ234" i="2"/>
  <c r="BK234" i="2"/>
  <c r="BI234" i="2"/>
  <c r="BO19" i="2"/>
  <c r="BN19" i="2"/>
  <c r="BM19" i="2"/>
  <c r="BL19" i="2"/>
  <c r="BK19" i="2"/>
  <c r="BJ19" i="2"/>
  <c r="BI19" i="2"/>
  <c r="BO27" i="2"/>
  <c r="BN27" i="2"/>
  <c r="BM27" i="2"/>
  <c r="BL27" i="2"/>
  <c r="BJ27" i="2"/>
  <c r="BK27" i="2"/>
  <c r="BI27" i="2"/>
  <c r="BO35" i="2"/>
  <c r="BN35" i="2"/>
  <c r="BL35" i="2"/>
  <c r="BK35" i="2"/>
  <c r="BM35" i="2"/>
  <c r="BJ35" i="2"/>
  <c r="BI35" i="2"/>
  <c r="BO43" i="2"/>
  <c r="BN43" i="2"/>
  <c r="BM43" i="2"/>
  <c r="BL43" i="2"/>
  <c r="BJ43" i="2"/>
  <c r="BK43" i="2"/>
  <c r="BI43" i="2"/>
  <c r="BO51" i="2"/>
  <c r="BN51" i="2"/>
  <c r="BL51" i="2"/>
  <c r="BM51" i="2"/>
  <c r="BK51" i="2"/>
  <c r="BJ51" i="2"/>
  <c r="BI51" i="2"/>
  <c r="BO59" i="2"/>
  <c r="BN59" i="2"/>
  <c r="BL59" i="2"/>
  <c r="BJ59" i="2"/>
  <c r="BK59" i="2"/>
  <c r="BM59" i="2"/>
  <c r="BI59" i="2"/>
  <c r="BO67" i="2"/>
  <c r="BN67" i="2"/>
  <c r="BM67" i="2"/>
  <c r="BL67" i="2"/>
  <c r="BK67" i="2"/>
  <c r="BJ67" i="2"/>
  <c r="BI67" i="2"/>
  <c r="BO75" i="2"/>
  <c r="BN75" i="2"/>
  <c r="BL75" i="2"/>
  <c r="BM75" i="2"/>
  <c r="BK75" i="2"/>
  <c r="BJ75" i="2"/>
  <c r="BI75" i="2"/>
  <c r="BO83" i="2"/>
  <c r="BN83" i="2"/>
  <c r="BL83" i="2"/>
  <c r="BM83" i="2"/>
  <c r="BJ83" i="2"/>
  <c r="BK83" i="2"/>
  <c r="BI83" i="2"/>
  <c r="BO91" i="2"/>
  <c r="BN91" i="2"/>
  <c r="BM91" i="2"/>
  <c r="BL91" i="2"/>
  <c r="BJ91" i="2"/>
  <c r="BK91" i="2"/>
  <c r="BI91" i="2"/>
  <c r="BO99" i="2"/>
  <c r="BN99" i="2"/>
  <c r="BM99" i="2"/>
  <c r="BL99" i="2"/>
  <c r="BK99" i="2"/>
  <c r="BJ99" i="2"/>
  <c r="BI99" i="2"/>
  <c r="BO107" i="2"/>
  <c r="BN107" i="2"/>
  <c r="BM107" i="2"/>
  <c r="BL107" i="2"/>
  <c r="BJ107" i="2"/>
  <c r="BK107" i="2"/>
  <c r="BI107" i="2"/>
  <c r="BO116" i="2"/>
  <c r="BN116" i="2"/>
  <c r="BL116" i="2"/>
  <c r="BM116" i="2"/>
  <c r="BK116" i="2"/>
  <c r="BJ116" i="2"/>
  <c r="BI116" i="2"/>
  <c r="BN124" i="2"/>
  <c r="BM124" i="2"/>
  <c r="BK124" i="2"/>
  <c r="BL124" i="2"/>
  <c r="BJ124" i="2"/>
  <c r="BO124" i="2"/>
  <c r="BI124" i="2"/>
  <c r="BN132" i="2"/>
  <c r="BL132" i="2"/>
  <c r="BO132" i="2"/>
  <c r="BM132" i="2"/>
  <c r="BJ132" i="2"/>
  <c r="BK132" i="2"/>
  <c r="BI132" i="2"/>
  <c r="BO140" i="2"/>
  <c r="BN140" i="2"/>
  <c r="BK140" i="2"/>
  <c r="BJ140" i="2"/>
  <c r="BL140" i="2"/>
  <c r="BM140" i="2"/>
  <c r="BI140" i="2"/>
  <c r="BN148" i="2"/>
  <c r="BO148" i="2"/>
  <c r="BM148" i="2"/>
  <c r="BL148" i="2"/>
  <c r="BJ148" i="2"/>
  <c r="BK148" i="2"/>
  <c r="BI148" i="2"/>
  <c r="BO156" i="2"/>
  <c r="BN156" i="2"/>
  <c r="BM156" i="2"/>
  <c r="BK156" i="2"/>
  <c r="BJ156" i="2"/>
  <c r="BL156" i="2"/>
  <c r="BI156" i="2"/>
  <c r="BN164" i="2"/>
  <c r="BO164" i="2"/>
  <c r="BM164" i="2"/>
  <c r="BL164" i="2"/>
  <c r="BK164" i="2"/>
  <c r="BJ164" i="2"/>
  <c r="BI164" i="2"/>
  <c r="BO172" i="2"/>
  <c r="BN172" i="2"/>
  <c r="BM172" i="2"/>
  <c r="BL172" i="2"/>
  <c r="BJ172" i="2"/>
  <c r="BK172" i="2"/>
  <c r="BI172" i="2"/>
  <c r="BO180" i="2"/>
  <c r="BN180" i="2"/>
  <c r="BM180" i="2"/>
  <c r="BK180" i="2"/>
  <c r="BJ180" i="2"/>
  <c r="BL180" i="2"/>
  <c r="BI180" i="2"/>
  <c r="BN188" i="2"/>
  <c r="BM188" i="2"/>
  <c r="BK188" i="2"/>
  <c r="BO188" i="2"/>
  <c r="BL188" i="2"/>
  <c r="BJ188" i="2"/>
  <c r="BI188" i="2"/>
  <c r="BN196" i="2"/>
  <c r="BO196" i="2"/>
  <c r="BL196" i="2"/>
  <c r="BJ196" i="2"/>
  <c r="BM196" i="2"/>
  <c r="BK196" i="2"/>
  <c r="BI196" i="2"/>
  <c r="BO204" i="2"/>
  <c r="BN204" i="2"/>
  <c r="BM204" i="2"/>
  <c r="BL204" i="2"/>
  <c r="BK204" i="2"/>
  <c r="BJ204" i="2"/>
  <c r="BI204" i="2"/>
  <c r="BN212" i="2"/>
  <c r="BM212" i="2"/>
  <c r="BO212" i="2"/>
  <c r="BL212" i="2"/>
  <c r="BJ212" i="2"/>
  <c r="BK212" i="2"/>
  <c r="BI212" i="2"/>
  <c r="BO220" i="2"/>
  <c r="BM220" i="2"/>
  <c r="BN220" i="2"/>
  <c r="BK220" i="2"/>
  <c r="BJ220" i="2"/>
  <c r="BL220" i="2"/>
  <c r="BI220" i="2"/>
  <c r="BN228" i="2"/>
  <c r="BO228" i="2"/>
  <c r="BM228" i="2"/>
  <c r="BL228" i="2"/>
  <c r="BK228" i="2"/>
  <c r="BJ228" i="2"/>
  <c r="BI228" i="2"/>
  <c r="BO236" i="2"/>
  <c r="BN236" i="2"/>
  <c r="BM236" i="2"/>
  <c r="BL236" i="2"/>
  <c r="BJ236" i="2"/>
  <c r="BK236" i="2"/>
  <c r="BI236" i="2"/>
  <c r="BO25" i="2"/>
  <c r="BM25" i="2"/>
  <c r="BL25" i="2"/>
  <c r="BN25" i="2"/>
  <c r="BK25" i="2"/>
  <c r="BJ25" i="2"/>
  <c r="BI25" i="2"/>
  <c r="BO73" i="2"/>
  <c r="BN73" i="2"/>
  <c r="BL73" i="2"/>
  <c r="BM73" i="2"/>
  <c r="BJ73" i="2"/>
  <c r="BK73" i="2"/>
  <c r="BI73" i="2"/>
  <c r="BO97" i="2"/>
  <c r="BN97" i="2"/>
  <c r="BM97" i="2"/>
  <c r="BL97" i="2"/>
  <c r="BJ97" i="2"/>
  <c r="BK97" i="2"/>
  <c r="BI97" i="2"/>
  <c r="BO122" i="2"/>
  <c r="BN122" i="2"/>
  <c r="BM122" i="2"/>
  <c r="BL122" i="2"/>
  <c r="BJ122" i="2"/>
  <c r="BK122" i="2"/>
  <c r="BI122" i="2"/>
  <c r="BO162" i="2"/>
  <c r="BN162" i="2"/>
  <c r="BM162" i="2"/>
  <c r="BL162" i="2"/>
  <c r="BJ162" i="2"/>
  <c r="BK162" i="2"/>
  <c r="BI162" i="2"/>
  <c r="BO210" i="2"/>
  <c r="BM210" i="2"/>
  <c r="BN210" i="2"/>
  <c r="BL210" i="2"/>
  <c r="BJ210" i="2"/>
  <c r="BK210" i="2"/>
  <c r="BI210" i="2"/>
  <c r="BO10" i="2"/>
  <c r="BN10" i="2"/>
  <c r="BK10" i="2"/>
  <c r="BJ10" i="2"/>
  <c r="BM10" i="2"/>
  <c r="BL10" i="2"/>
  <c r="BI10" i="2"/>
  <c r="BM20" i="2"/>
  <c r="BO20" i="2"/>
  <c r="BN20" i="2"/>
  <c r="BL20" i="2"/>
  <c r="BK20" i="2"/>
  <c r="BJ20" i="2"/>
  <c r="BI20" i="2"/>
  <c r="BM28" i="2"/>
  <c r="BO28" i="2"/>
  <c r="BN28" i="2"/>
  <c r="BL28" i="2"/>
  <c r="BJ28" i="2"/>
  <c r="BK28" i="2"/>
  <c r="BI28" i="2"/>
  <c r="BM36" i="2"/>
  <c r="BO36" i="2"/>
  <c r="BN36" i="2"/>
  <c r="BL36" i="2"/>
  <c r="BK36" i="2"/>
  <c r="BJ36" i="2"/>
  <c r="BI36" i="2"/>
  <c r="BM44" i="2"/>
  <c r="BO44" i="2"/>
  <c r="BN44" i="2"/>
  <c r="BL44" i="2"/>
  <c r="BJ44" i="2"/>
  <c r="BK44" i="2"/>
  <c r="BI44" i="2"/>
  <c r="BM52" i="2"/>
  <c r="BO52" i="2"/>
  <c r="BN52" i="2"/>
  <c r="BL52" i="2"/>
  <c r="BK52" i="2"/>
  <c r="BJ52" i="2"/>
  <c r="BI52" i="2"/>
  <c r="BM60" i="2"/>
  <c r="BO60" i="2"/>
  <c r="BK60" i="2"/>
  <c r="BL60" i="2"/>
  <c r="BJ60" i="2"/>
  <c r="BN60" i="2"/>
  <c r="BI60" i="2"/>
  <c r="BM68" i="2"/>
  <c r="BN68" i="2"/>
  <c r="BL68" i="2"/>
  <c r="BO68" i="2"/>
  <c r="BK68" i="2"/>
  <c r="BJ68" i="2"/>
  <c r="BI68" i="2"/>
  <c r="BM76" i="2"/>
  <c r="BO76" i="2"/>
  <c r="BN76" i="2"/>
  <c r="BL76" i="2"/>
  <c r="BK76" i="2"/>
  <c r="BJ76" i="2"/>
  <c r="BI76" i="2"/>
  <c r="BM84" i="2"/>
  <c r="BN84" i="2"/>
  <c r="BO84" i="2"/>
  <c r="BL84" i="2"/>
  <c r="BJ84" i="2"/>
  <c r="BK84" i="2"/>
  <c r="BI84" i="2"/>
  <c r="BO92" i="2"/>
  <c r="BM92" i="2"/>
  <c r="BJ92" i="2"/>
  <c r="BN92" i="2"/>
  <c r="BK92" i="2"/>
  <c r="BL92" i="2"/>
  <c r="BI92" i="2"/>
  <c r="BN100" i="2"/>
  <c r="BO100" i="2"/>
  <c r="BM100" i="2"/>
  <c r="BL100" i="2"/>
  <c r="BK100" i="2"/>
  <c r="BJ100" i="2"/>
  <c r="BI100" i="2"/>
  <c r="BO108" i="2"/>
  <c r="BN108" i="2"/>
  <c r="BM108" i="2"/>
  <c r="BL108" i="2"/>
  <c r="BJ108" i="2"/>
  <c r="BK108" i="2"/>
  <c r="BI108" i="2"/>
  <c r="BO117" i="2"/>
  <c r="BL117" i="2"/>
  <c r="BK117" i="2"/>
  <c r="BM117" i="2"/>
  <c r="BJ117" i="2"/>
  <c r="BN117" i="2"/>
  <c r="BI117" i="2"/>
  <c r="BO125" i="2"/>
  <c r="BN125" i="2"/>
  <c r="BL125" i="2"/>
  <c r="BK125" i="2"/>
  <c r="BM125" i="2"/>
  <c r="BJ125" i="2"/>
  <c r="BI125" i="2"/>
  <c r="BO133" i="2"/>
  <c r="BM133" i="2"/>
  <c r="BN133" i="2"/>
  <c r="BK133" i="2"/>
  <c r="BL133" i="2"/>
  <c r="BJ133" i="2"/>
  <c r="BI133" i="2"/>
  <c r="BO141" i="2"/>
  <c r="BL141" i="2"/>
  <c r="BM141" i="2"/>
  <c r="BK141" i="2"/>
  <c r="BN141" i="2"/>
  <c r="BJ141" i="2"/>
  <c r="BI141" i="2"/>
  <c r="BO149" i="2"/>
  <c r="BN149" i="2"/>
  <c r="BL149" i="2"/>
  <c r="BK149" i="2"/>
  <c r="BM149" i="2"/>
  <c r="BJ149" i="2"/>
  <c r="BI149" i="2"/>
  <c r="BO157" i="2"/>
  <c r="BN157" i="2"/>
  <c r="BL157" i="2"/>
  <c r="BK157" i="2"/>
  <c r="BM157" i="2"/>
  <c r="BJ157" i="2"/>
  <c r="BI157" i="2"/>
  <c r="BO165" i="2"/>
  <c r="BN165" i="2"/>
  <c r="BL165" i="2"/>
  <c r="BK165" i="2"/>
  <c r="BM165" i="2"/>
  <c r="BJ165" i="2"/>
  <c r="BI165" i="2"/>
  <c r="BO173" i="2"/>
  <c r="BN173" i="2"/>
  <c r="BL173" i="2"/>
  <c r="BK173" i="2"/>
  <c r="BM173" i="2"/>
  <c r="BJ173" i="2"/>
  <c r="BI173" i="2"/>
  <c r="BO181" i="2"/>
  <c r="BL181" i="2"/>
  <c r="BK181" i="2"/>
  <c r="BN181" i="2"/>
  <c r="BM181" i="2"/>
  <c r="BJ181" i="2"/>
  <c r="BI181" i="2"/>
  <c r="BO189" i="2"/>
  <c r="BN189" i="2"/>
  <c r="BL189" i="2"/>
  <c r="BK189" i="2"/>
  <c r="BM189" i="2"/>
  <c r="BJ189" i="2"/>
  <c r="BI189" i="2"/>
  <c r="BO197" i="2"/>
  <c r="BM197" i="2"/>
  <c r="BL197" i="2"/>
  <c r="BK197" i="2"/>
  <c r="BJ197" i="2"/>
  <c r="BN197" i="2"/>
  <c r="BI197" i="2"/>
  <c r="BO205" i="2"/>
  <c r="BL205" i="2"/>
  <c r="BN205" i="2"/>
  <c r="BM205" i="2"/>
  <c r="BK205" i="2"/>
  <c r="BJ205" i="2"/>
  <c r="BI205" i="2"/>
  <c r="BO213" i="2"/>
  <c r="BN213" i="2"/>
  <c r="BL213" i="2"/>
  <c r="BK213" i="2"/>
  <c r="BM213" i="2"/>
  <c r="BJ213" i="2"/>
  <c r="BI213" i="2"/>
  <c r="BO221" i="2"/>
  <c r="BN221" i="2"/>
  <c r="BL221" i="2"/>
  <c r="BK221" i="2"/>
  <c r="BM221" i="2"/>
  <c r="BJ221" i="2"/>
  <c r="BI221" i="2"/>
  <c r="BO229" i="2"/>
  <c r="BN229" i="2"/>
  <c r="BL229" i="2"/>
  <c r="BK229" i="2"/>
  <c r="BM229" i="2"/>
  <c r="BJ229" i="2"/>
  <c r="BI229" i="2"/>
  <c r="BO237" i="2"/>
  <c r="BN237" i="2"/>
  <c r="BL237" i="2"/>
  <c r="BK237" i="2"/>
  <c r="BM237" i="2"/>
  <c r="BJ237" i="2"/>
  <c r="BI237" i="2"/>
  <c r="BM53" i="2"/>
  <c r="BO53" i="2"/>
  <c r="BL53" i="2"/>
  <c r="BN53" i="2"/>
  <c r="BK53" i="2"/>
  <c r="BJ53" i="2"/>
  <c r="BI53" i="2"/>
  <c r="BM29" i="2"/>
  <c r="BO29" i="2"/>
  <c r="BL29" i="2"/>
  <c r="BN29" i="2"/>
  <c r="BK29" i="2"/>
  <c r="BJ29" i="2"/>
  <c r="BI29" i="2"/>
  <c r="BM61" i="2"/>
  <c r="BO61" i="2"/>
  <c r="BL61" i="2"/>
  <c r="BN61" i="2"/>
  <c r="BK61" i="2"/>
  <c r="BJ61" i="2"/>
  <c r="BI61" i="2"/>
  <c r="BM85" i="2"/>
  <c r="BO85" i="2"/>
  <c r="BL85" i="2"/>
  <c r="BN85" i="2"/>
  <c r="BK85" i="2"/>
  <c r="BJ85" i="2"/>
  <c r="BI85" i="2"/>
  <c r="BO109" i="2"/>
  <c r="BN109" i="2"/>
  <c r="BL109" i="2"/>
  <c r="BK109" i="2"/>
  <c r="BJ109" i="2"/>
  <c r="BM109" i="2"/>
  <c r="BI109" i="2"/>
  <c r="BO134" i="2"/>
  <c r="BN134" i="2"/>
  <c r="BM134" i="2"/>
  <c r="BK134" i="2"/>
  <c r="BL134" i="2"/>
  <c r="BJ134" i="2"/>
  <c r="BI134" i="2"/>
  <c r="BO166" i="2"/>
  <c r="BM166" i="2"/>
  <c r="BK166" i="2"/>
  <c r="BL166" i="2"/>
  <c r="BN166" i="2"/>
  <c r="BJ166" i="2"/>
  <c r="BI166" i="2"/>
  <c r="BO182" i="2"/>
  <c r="BN182" i="2"/>
  <c r="BM182" i="2"/>
  <c r="BK182" i="2"/>
  <c r="BL182" i="2"/>
  <c r="BJ182" i="2"/>
  <c r="BI182" i="2"/>
  <c r="BO206" i="2"/>
  <c r="BM206" i="2"/>
  <c r="BN206" i="2"/>
  <c r="BK206" i="2"/>
  <c r="BL206" i="2"/>
  <c r="BJ206" i="2"/>
  <c r="BI206" i="2"/>
  <c r="BO222" i="2"/>
  <c r="BM222" i="2"/>
  <c r="BN222" i="2"/>
  <c r="BK222" i="2"/>
  <c r="BL222" i="2"/>
  <c r="BJ222" i="2"/>
  <c r="BI222" i="2"/>
  <c r="BO230" i="2"/>
  <c r="BM230" i="2"/>
  <c r="BK230" i="2"/>
  <c r="BN230" i="2"/>
  <c r="BL230" i="2"/>
  <c r="BJ230" i="2"/>
  <c r="BI230" i="2"/>
  <c r="BM13" i="2"/>
  <c r="BO13" i="2"/>
  <c r="BL13" i="2"/>
  <c r="BN13" i="2"/>
  <c r="BK13" i="2"/>
  <c r="BJ13" i="2"/>
  <c r="BI13" i="2"/>
  <c r="BN22" i="2"/>
  <c r="BO22" i="2"/>
  <c r="BL22" i="2"/>
  <c r="BK22" i="2"/>
  <c r="BM22" i="2"/>
  <c r="BJ22" i="2"/>
  <c r="BI22" i="2"/>
  <c r="BN30" i="2"/>
  <c r="BO30" i="2"/>
  <c r="BM30" i="2"/>
  <c r="BL30" i="2"/>
  <c r="BK30" i="2"/>
  <c r="BJ30" i="2"/>
  <c r="BI30" i="2"/>
  <c r="BN38" i="2"/>
  <c r="BO38" i="2"/>
  <c r="BL38" i="2"/>
  <c r="BM38" i="2"/>
  <c r="BK38" i="2"/>
  <c r="BJ38" i="2"/>
  <c r="BI38" i="2"/>
  <c r="BN46" i="2"/>
  <c r="BO46" i="2"/>
  <c r="BL46" i="2"/>
  <c r="BM46" i="2"/>
  <c r="BK46" i="2"/>
  <c r="BJ46" i="2"/>
  <c r="BI46" i="2"/>
  <c r="BN54" i="2"/>
  <c r="BO54" i="2"/>
  <c r="BM54" i="2"/>
  <c r="BL54" i="2"/>
  <c r="BK54" i="2"/>
  <c r="BJ54" i="2"/>
  <c r="BI54" i="2"/>
  <c r="BN62" i="2"/>
  <c r="BO62" i="2"/>
  <c r="BL62" i="2"/>
  <c r="BM62" i="2"/>
  <c r="BK62" i="2"/>
  <c r="BJ62" i="2"/>
  <c r="BI62" i="2"/>
  <c r="BO70" i="2"/>
  <c r="BN70" i="2"/>
  <c r="BL70" i="2"/>
  <c r="BM70" i="2"/>
  <c r="BK70" i="2"/>
  <c r="BJ70" i="2"/>
  <c r="BI70" i="2"/>
  <c r="BO78" i="2"/>
  <c r="BM78" i="2"/>
  <c r="BL78" i="2"/>
  <c r="BK78" i="2"/>
  <c r="BN78" i="2"/>
  <c r="BJ78" i="2"/>
  <c r="BI78" i="2"/>
  <c r="BO86" i="2"/>
  <c r="BL86" i="2"/>
  <c r="BN86" i="2"/>
  <c r="BM86" i="2"/>
  <c r="BK86" i="2"/>
  <c r="BJ86" i="2"/>
  <c r="BI86" i="2"/>
  <c r="BO94" i="2"/>
  <c r="BL94" i="2"/>
  <c r="BM94" i="2"/>
  <c r="BK94" i="2"/>
  <c r="BJ94" i="2"/>
  <c r="BN94" i="2"/>
  <c r="BI94" i="2"/>
  <c r="BO102" i="2"/>
  <c r="BL102" i="2"/>
  <c r="BM102" i="2"/>
  <c r="BN102" i="2"/>
  <c r="BK102" i="2"/>
  <c r="BJ102" i="2"/>
  <c r="BI102" i="2"/>
  <c r="BO110" i="2"/>
  <c r="BN110" i="2"/>
  <c r="BL110" i="2"/>
  <c r="BM110" i="2"/>
  <c r="BK110" i="2"/>
  <c r="BJ110" i="2"/>
  <c r="BI110" i="2"/>
  <c r="BN119" i="2"/>
  <c r="BO119" i="2"/>
  <c r="BM119" i="2"/>
  <c r="BL119" i="2"/>
  <c r="BK119" i="2"/>
  <c r="BJ119" i="2"/>
  <c r="BI119" i="2"/>
  <c r="BN127" i="2"/>
  <c r="BL127" i="2"/>
  <c r="BM127" i="2"/>
  <c r="BK127" i="2"/>
  <c r="BO127" i="2"/>
  <c r="BJ127" i="2"/>
  <c r="BI127" i="2"/>
  <c r="BN135" i="2"/>
  <c r="BO135" i="2"/>
  <c r="BL135" i="2"/>
  <c r="BM135" i="2"/>
  <c r="BK135" i="2"/>
  <c r="BJ135" i="2"/>
  <c r="BI135" i="2"/>
  <c r="BN143" i="2"/>
  <c r="BO143" i="2"/>
  <c r="BM143" i="2"/>
  <c r="BL143" i="2"/>
  <c r="BK143" i="2"/>
  <c r="BJ143" i="2"/>
  <c r="BI143" i="2"/>
  <c r="BN151" i="2"/>
  <c r="BO151" i="2"/>
  <c r="BK151" i="2"/>
  <c r="BL151" i="2"/>
  <c r="BM151" i="2"/>
  <c r="BJ151" i="2"/>
  <c r="BI151" i="2"/>
  <c r="BN159" i="2"/>
  <c r="BO159" i="2"/>
  <c r="BM159" i="2"/>
  <c r="BK159" i="2"/>
  <c r="BL159" i="2"/>
  <c r="BJ159" i="2"/>
  <c r="BI159" i="2"/>
  <c r="BN167" i="2"/>
  <c r="BM167" i="2"/>
  <c r="BL167" i="2"/>
  <c r="BK167" i="2"/>
  <c r="BO167" i="2"/>
  <c r="BJ167" i="2"/>
  <c r="BI167" i="2"/>
  <c r="BN175" i="2"/>
  <c r="BM175" i="2"/>
  <c r="BO175" i="2"/>
  <c r="BK175" i="2"/>
  <c r="BL175" i="2"/>
  <c r="BJ175" i="2"/>
  <c r="BI175" i="2"/>
  <c r="BN183" i="2"/>
  <c r="BO183" i="2"/>
  <c r="BM183" i="2"/>
  <c r="BL183" i="2"/>
  <c r="BK183" i="2"/>
  <c r="BJ183" i="2"/>
  <c r="BI183" i="2"/>
  <c r="BN191" i="2"/>
  <c r="BO191" i="2"/>
  <c r="BM191" i="2"/>
  <c r="BK191" i="2"/>
  <c r="BL191" i="2"/>
  <c r="BJ191" i="2"/>
  <c r="BI191" i="2"/>
  <c r="BN199" i="2"/>
  <c r="BO199" i="2"/>
  <c r="BM199" i="2"/>
  <c r="BL199" i="2"/>
  <c r="BK199" i="2"/>
  <c r="BJ199" i="2"/>
  <c r="BI199" i="2"/>
  <c r="BN207" i="2"/>
  <c r="BO207" i="2"/>
  <c r="BM207" i="2"/>
  <c r="BL207" i="2"/>
  <c r="BK207" i="2"/>
  <c r="BJ207" i="2"/>
  <c r="BI207" i="2"/>
  <c r="BN215" i="2"/>
  <c r="BO215" i="2"/>
  <c r="BM215" i="2"/>
  <c r="BK215" i="2"/>
  <c r="BL215" i="2"/>
  <c r="BJ215" i="2"/>
  <c r="BI215" i="2"/>
  <c r="BN223" i="2"/>
  <c r="BO223" i="2"/>
  <c r="BM223" i="2"/>
  <c r="BK223" i="2"/>
  <c r="BL223" i="2"/>
  <c r="BJ223" i="2"/>
  <c r="BI223" i="2"/>
  <c r="BN231" i="2"/>
  <c r="BO231" i="2"/>
  <c r="BM231" i="2"/>
  <c r="BL231" i="2"/>
  <c r="BK231" i="2"/>
  <c r="BJ231" i="2"/>
  <c r="BI231" i="2"/>
  <c r="BN239" i="2"/>
  <c r="BM239" i="2"/>
  <c r="BO239" i="2"/>
  <c r="BL239" i="2"/>
  <c r="BK239" i="2"/>
  <c r="BJ239" i="2"/>
  <c r="BI239" i="2"/>
  <c r="BM21" i="2"/>
  <c r="BO21" i="2"/>
  <c r="BL21" i="2"/>
  <c r="BN21" i="2"/>
  <c r="BK21" i="2"/>
  <c r="BJ21" i="2"/>
  <c r="BI21" i="2"/>
  <c r="BM37" i="2"/>
  <c r="BO37" i="2"/>
  <c r="BL37" i="2"/>
  <c r="BK37" i="2"/>
  <c r="BJ37" i="2"/>
  <c r="BN37" i="2"/>
  <c r="BI37" i="2"/>
  <c r="BM69" i="2"/>
  <c r="BO69" i="2"/>
  <c r="BN69" i="2"/>
  <c r="BL69" i="2"/>
  <c r="BK69" i="2"/>
  <c r="BJ69" i="2"/>
  <c r="BI69" i="2"/>
  <c r="BO93" i="2"/>
  <c r="BL93" i="2"/>
  <c r="BN93" i="2"/>
  <c r="BK93" i="2"/>
  <c r="BJ93" i="2"/>
  <c r="BM93" i="2"/>
  <c r="BI93" i="2"/>
  <c r="BO118" i="2"/>
  <c r="BL118" i="2"/>
  <c r="BN118" i="2"/>
  <c r="BM118" i="2"/>
  <c r="BK118" i="2"/>
  <c r="BJ118" i="2"/>
  <c r="BI118" i="2"/>
  <c r="BO142" i="2"/>
  <c r="BM142" i="2"/>
  <c r="BK142" i="2"/>
  <c r="BN142" i="2"/>
  <c r="BL142" i="2"/>
  <c r="BJ142" i="2"/>
  <c r="BI142" i="2"/>
  <c r="BO158" i="2"/>
  <c r="BM158" i="2"/>
  <c r="BK158" i="2"/>
  <c r="BN158" i="2"/>
  <c r="BL158" i="2"/>
  <c r="BJ158" i="2"/>
  <c r="BI158" i="2"/>
  <c r="BO174" i="2"/>
  <c r="BN174" i="2"/>
  <c r="BM174" i="2"/>
  <c r="BK174" i="2"/>
  <c r="BL174" i="2"/>
  <c r="BJ174" i="2"/>
  <c r="BI174" i="2"/>
  <c r="BO190" i="2"/>
  <c r="BN190" i="2"/>
  <c r="BM190" i="2"/>
  <c r="BK190" i="2"/>
  <c r="BL190" i="2"/>
  <c r="BJ190" i="2"/>
  <c r="BI190" i="2"/>
  <c r="BO214" i="2"/>
  <c r="BN214" i="2"/>
  <c r="BM214" i="2"/>
  <c r="BK214" i="2"/>
  <c r="BL214" i="2"/>
  <c r="BJ214" i="2"/>
  <c r="BI214" i="2"/>
  <c r="BO238" i="2"/>
  <c r="BN238" i="2"/>
  <c r="BM238" i="2"/>
  <c r="BK238" i="2"/>
  <c r="BL238" i="2"/>
  <c r="BJ238" i="2"/>
  <c r="BI238" i="2"/>
  <c r="BN14" i="2"/>
  <c r="BO14" i="2"/>
  <c r="BL14" i="2"/>
  <c r="BK14" i="2"/>
  <c r="BM14" i="2"/>
  <c r="BJ14" i="2"/>
  <c r="BI14" i="2"/>
  <c r="BN23" i="2"/>
  <c r="BO23" i="2"/>
  <c r="BK23" i="2"/>
  <c r="BM23" i="2"/>
  <c r="BJ23" i="2"/>
  <c r="BL23" i="2"/>
  <c r="BI23" i="2"/>
  <c r="BN31" i="2"/>
  <c r="BO31" i="2"/>
  <c r="BM31" i="2"/>
  <c r="BL31" i="2"/>
  <c r="BK31" i="2"/>
  <c r="BJ31" i="2"/>
  <c r="BI31" i="2"/>
  <c r="BN39" i="2"/>
  <c r="BM39" i="2"/>
  <c r="BO39" i="2"/>
  <c r="BJ39" i="2"/>
  <c r="BL39" i="2"/>
  <c r="BK39" i="2"/>
  <c r="BI39" i="2"/>
  <c r="BN47" i="2"/>
  <c r="BL47" i="2"/>
  <c r="BM47" i="2"/>
  <c r="BK47" i="2"/>
  <c r="BO47" i="2"/>
  <c r="BJ47" i="2"/>
  <c r="BI47" i="2"/>
  <c r="BN55" i="2"/>
  <c r="BM55" i="2"/>
  <c r="BO55" i="2"/>
  <c r="BK55" i="2"/>
  <c r="BL55" i="2"/>
  <c r="BJ55" i="2"/>
  <c r="BI55" i="2"/>
  <c r="BN63" i="2"/>
  <c r="BM63" i="2"/>
  <c r="BO63" i="2"/>
  <c r="BL63" i="2"/>
  <c r="BK63" i="2"/>
  <c r="BJ63" i="2"/>
  <c r="BI63" i="2"/>
  <c r="BN71" i="2"/>
  <c r="BO71" i="2"/>
  <c r="BM71" i="2"/>
  <c r="BL71" i="2"/>
  <c r="BJ71" i="2"/>
  <c r="BK71" i="2"/>
  <c r="BI71" i="2"/>
  <c r="BN79" i="2"/>
  <c r="BM79" i="2"/>
  <c r="BO79" i="2"/>
  <c r="BL79" i="2"/>
  <c r="BK79" i="2"/>
  <c r="BJ79" i="2"/>
  <c r="BI79" i="2"/>
  <c r="BN87" i="2"/>
  <c r="BO87" i="2"/>
  <c r="BK87" i="2"/>
  <c r="BL87" i="2"/>
  <c r="BJ87" i="2"/>
  <c r="BM87" i="2"/>
  <c r="BI87" i="2"/>
  <c r="BN95" i="2"/>
  <c r="BO95" i="2"/>
  <c r="BL95" i="2"/>
  <c r="BM95" i="2"/>
  <c r="BJ95" i="2"/>
  <c r="BK95" i="2"/>
  <c r="BI95" i="2"/>
  <c r="BN103" i="2"/>
  <c r="BM103" i="2"/>
  <c r="BO103" i="2"/>
  <c r="BJ103" i="2"/>
  <c r="BK103" i="2"/>
  <c r="BL103" i="2"/>
  <c r="BI103" i="2"/>
  <c r="BN111" i="2"/>
  <c r="BO111" i="2"/>
  <c r="BM111" i="2"/>
  <c r="BL111" i="2"/>
  <c r="BK111" i="2"/>
  <c r="BJ111" i="2"/>
  <c r="BI111" i="2"/>
  <c r="BN120" i="2"/>
  <c r="BM120" i="2"/>
  <c r="BO120" i="2"/>
  <c r="BL120" i="2"/>
  <c r="BK120" i="2"/>
  <c r="BJ120" i="2"/>
  <c r="BI120" i="2"/>
  <c r="BN128" i="2"/>
  <c r="BM128" i="2"/>
  <c r="BL128" i="2"/>
  <c r="BO128" i="2"/>
  <c r="BK128" i="2"/>
  <c r="BJ128" i="2"/>
  <c r="BI128" i="2"/>
  <c r="BN136" i="2"/>
  <c r="BM136" i="2"/>
  <c r="BO136" i="2"/>
  <c r="BL136" i="2"/>
  <c r="BK136" i="2"/>
  <c r="BJ136" i="2"/>
  <c r="BI136" i="2"/>
  <c r="BN144" i="2"/>
  <c r="BM144" i="2"/>
  <c r="BL144" i="2"/>
  <c r="BO144" i="2"/>
  <c r="BK144" i="2"/>
  <c r="BJ144" i="2"/>
  <c r="BI144" i="2"/>
  <c r="BN152" i="2"/>
  <c r="BM152" i="2"/>
  <c r="BL152" i="2"/>
  <c r="BO152" i="2"/>
  <c r="BK152" i="2"/>
  <c r="BJ152" i="2"/>
  <c r="BI152" i="2"/>
  <c r="BN160" i="2"/>
  <c r="BM160" i="2"/>
  <c r="BO160" i="2"/>
  <c r="BL160" i="2"/>
  <c r="BK160" i="2"/>
  <c r="BJ160" i="2"/>
  <c r="BI160" i="2"/>
  <c r="BN168" i="2"/>
  <c r="BM168" i="2"/>
  <c r="BO168" i="2"/>
  <c r="BL168" i="2"/>
  <c r="BK168" i="2"/>
  <c r="BJ168" i="2"/>
  <c r="BI168" i="2"/>
  <c r="BN176" i="2"/>
  <c r="BO176" i="2"/>
  <c r="BM176" i="2"/>
  <c r="BL176" i="2"/>
  <c r="BK176" i="2"/>
  <c r="BJ176" i="2"/>
  <c r="BI176" i="2"/>
  <c r="BN184" i="2"/>
  <c r="BM184" i="2"/>
  <c r="BO184" i="2"/>
  <c r="BL184" i="2"/>
  <c r="BK184" i="2"/>
  <c r="BJ184" i="2"/>
  <c r="BI184" i="2"/>
  <c r="BN192" i="2"/>
  <c r="BM192" i="2"/>
  <c r="BO192" i="2"/>
  <c r="BL192" i="2"/>
  <c r="BK192" i="2"/>
  <c r="BJ192" i="2"/>
  <c r="BI192" i="2"/>
  <c r="BN200" i="2"/>
  <c r="BM200" i="2"/>
  <c r="BO200" i="2"/>
  <c r="BL200" i="2"/>
  <c r="BK200" i="2"/>
  <c r="BJ200" i="2"/>
  <c r="BI200" i="2"/>
  <c r="BN208" i="2"/>
  <c r="BM208" i="2"/>
  <c r="BL208" i="2"/>
  <c r="BO208" i="2"/>
  <c r="BK208" i="2"/>
  <c r="BJ208" i="2"/>
  <c r="BI208" i="2"/>
  <c r="BN216" i="2"/>
  <c r="BM216" i="2"/>
  <c r="BL216" i="2"/>
  <c r="BK216" i="2"/>
  <c r="BJ216" i="2"/>
  <c r="BO216" i="2"/>
  <c r="BI216" i="2"/>
  <c r="BN224" i="2"/>
  <c r="BM224" i="2"/>
  <c r="BO224" i="2"/>
  <c r="BL224" i="2"/>
  <c r="BK224" i="2"/>
  <c r="BJ224" i="2"/>
  <c r="BI224" i="2"/>
  <c r="BN232" i="2"/>
  <c r="BM232" i="2"/>
  <c r="BL232" i="2"/>
  <c r="BK232" i="2"/>
  <c r="BJ232" i="2"/>
  <c r="BO232" i="2"/>
  <c r="BI232" i="2"/>
  <c r="BN240" i="2"/>
  <c r="BO240" i="2"/>
  <c r="BM240" i="2"/>
  <c r="BL240" i="2"/>
  <c r="BK240" i="2"/>
  <c r="BJ240" i="2"/>
  <c r="BI240" i="2"/>
  <c r="BM12" i="2"/>
  <c r="BO12" i="2"/>
  <c r="BN12" i="2"/>
  <c r="BL12" i="2"/>
  <c r="BK12" i="2"/>
  <c r="BJ12" i="2"/>
  <c r="BI12" i="2"/>
  <c r="BM45" i="2"/>
  <c r="BO45" i="2"/>
  <c r="BL45" i="2"/>
  <c r="BK45" i="2"/>
  <c r="BJ45" i="2"/>
  <c r="BN45" i="2"/>
  <c r="BI45" i="2"/>
  <c r="BM77" i="2"/>
  <c r="BO77" i="2"/>
  <c r="BL77" i="2"/>
  <c r="BK77" i="2"/>
  <c r="BN77" i="2"/>
  <c r="BJ77" i="2"/>
  <c r="BI77" i="2"/>
  <c r="BO101" i="2"/>
  <c r="BL101" i="2"/>
  <c r="BN101" i="2"/>
  <c r="BK101" i="2"/>
  <c r="BM101" i="2"/>
  <c r="BJ101" i="2"/>
  <c r="BI101" i="2"/>
  <c r="BO126" i="2"/>
  <c r="BN126" i="2"/>
  <c r="BM126" i="2"/>
  <c r="BL126" i="2"/>
  <c r="BK126" i="2"/>
  <c r="BJ126" i="2"/>
  <c r="BI126" i="2"/>
  <c r="BO150" i="2"/>
  <c r="BN150" i="2"/>
  <c r="BM150" i="2"/>
  <c r="BK150" i="2"/>
  <c r="BL150" i="2"/>
  <c r="BJ150" i="2"/>
  <c r="BI150" i="2"/>
  <c r="BO198" i="2"/>
  <c r="BN198" i="2"/>
  <c r="BM198" i="2"/>
  <c r="BK198" i="2"/>
  <c r="BL198" i="2"/>
  <c r="BJ198" i="2"/>
  <c r="BI198" i="2"/>
  <c r="BN15" i="2"/>
  <c r="BM15" i="2"/>
  <c r="BL15" i="2"/>
  <c r="BO15" i="2"/>
  <c r="BK15" i="2"/>
  <c r="BJ15" i="2"/>
  <c r="BI15" i="2"/>
  <c r="BN24" i="2"/>
  <c r="BM24" i="2"/>
  <c r="BL24" i="2"/>
  <c r="BO24" i="2"/>
  <c r="BK24" i="2"/>
  <c r="BJ24" i="2"/>
  <c r="BI24" i="2"/>
  <c r="BN32" i="2"/>
  <c r="BM32" i="2"/>
  <c r="BO32" i="2"/>
  <c r="BL32" i="2"/>
  <c r="BK32" i="2"/>
  <c r="BJ32" i="2"/>
  <c r="BI32" i="2"/>
  <c r="BN40" i="2"/>
  <c r="BM40" i="2"/>
  <c r="BL40" i="2"/>
  <c r="BO40" i="2"/>
  <c r="BK40" i="2"/>
  <c r="BJ40" i="2"/>
  <c r="BI40" i="2"/>
  <c r="BN48" i="2"/>
  <c r="BM48" i="2"/>
  <c r="BO48" i="2"/>
  <c r="BL48" i="2"/>
  <c r="BK48" i="2"/>
  <c r="BJ48" i="2"/>
  <c r="BI48" i="2"/>
  <c r="BN56" i="2"/>
  <c r="BM56" i="2"/>
  <c r="BO56" i="2"/>
  <c r="BL56" i="2"/>
  <c r="BK56" i="2"/>
  <c r="BJ56" i="2"/>
  <c r="BI56" i="2"/>
  <c r="BN64" i="2"/>
  <c r="BM64" i="2"/>
  <c r="BL64" i="2"/>
  <c r="BO64" i="2"/>
  <c r="BK64" i="2"/>
  <c r="BJ64" i="2"/>
  <c r="BI64" i="2"/>
  <c r="BN72" i="2"/>
  <c r="BO72" i="2"/>
  <c r="BL72" i="2"/>
  <c r="BK72" i="2"/>
  <c r="BJ72" i="2"/>
  <c r="BM72" i="2"/>
  <c r="BI72" i="2"/>
  <c r="BN80" i="2"/>
  <c r="BM80" i="2"/>
  <c r="BL80" i="2"/>
  <c r="BO80" i="2"/>
  <c r="BK80" i="2"/>
  <c r="BJ80" i="2"/>
  <c r="BI80" i="2"/>
  <c r="BN88" i="2"/>
  <c r="BM88" i="2"/>
  <c r="BL88" i="2"/>
  <c r="BO88" i="2"/>
  <c r="BK88" i="2"/>
  <c r="BJ88" i="2"/>
  <c r="BI88" i="2"/>
  <c r="BN96" i="2"/>
  <c r="BM96" i="2"/>
  <c r="BO96" i="2"/>
  <c r="BL96" i="2"/>
  <c r="BK96" i="2"/>
  <c r="BJ96" i="2"/>
  <c r="BI96" i="2"/>
  <c r="BN104" i="2"/>
  <c r="BM104" i="2"/>
  <c r="BL104" i="2"/>
  <c r="BK104" i="2"/>
  <c r="BJ104" i="2"/>
  <c r="BO104" i="2"/>
  <c r="BI104" i="2"/>
  <c r="BN112" i="2"/>
  <c r="BO112" i="2"/>
  <c r="BM112" i="2"/>
  <c r="BL112" i="2"/>
  <c r="BK112" i="2"/>
  <c r="BJ112" i="2"/>
  <c r="BI112" i="2"/>
  <c r="BO121" i="2"/>
  <c r="BM121" i="2"/>
  <c r="BN121" i="2"/>
  <c r="BL121" i="2"/>
  <c r="BJ121" i="2"/>
  <c r="BK121" i="2"/>
  <c r="BI121" i="2"/>
  <c r="BO129" i="2"/>
  <c r="BM129" i="2"/>
  <c r="BL129" i="2"/>
  <c r="BN129" i="2"/>
  <c r="BJ129" i="2"/>
  <c r="BK129" i="2"/>
  <c r="BI129" i="2"/>
  <c r="BO137" i="2"/>
  <c r="BN137" i="2"/>
  <c r="BM137" i="2"/>
  <c r="BL137" i="2"/>
  <c r="BJ137" i="2"/>
  <c r="BK137" i="2"/>
  <c r="BI137" i="2"/>
  <c r="BO145" i="2"/>
  <c r="BM145" i="2"/>
  <c r="BN145" i="2"/>
  <c r="BL145" i="2"/>
  <c r="BJ145" i="2"/>
  <c r="BK145" i="2"/>
  <c r="BI145" i="2"/>
  <c r="BO153" i="2"/>
  <c r="BM153" i="2"/>
  <c r="BN153" i="2"/>
  <c r="BL153" i="2"/>
  <c r="BK153" i="2"/>
  <c r="BJ153" i="2"/>
  <c r="BI153" i="2"/>
  <c r="BO161" i="2"/>
  <c r="BN161" i="2"/>
  <c r="BM161" i="2"/>
  <c r="BL161" i="2"/>
  <c r="BJ161" i="2"/>
  <c r="BK161" i="2"/>
  <c r="BI161" i="2"/>
  <c r="BO169" i="2"/>
  <c r="BM169" i="2"/>
  <c r="BN169" i="2"/>
  <c r="BL169" i="2"/>
  <c r="BJ169" i="2"/>
  <c r="BK169" i="2"/>
  <c r="BI169" i="2"/>
  <c r="BO177" i="2"/>
  <c r="BM177" i="2"/>
  <c r="BN177" i="2"/>
  <c r="BL177" i="2"/>
  <c r="BK177" i="2"/>
  <c r="BJ177" i="2"/>
  <c r="BI177" i="2"/>
  <c r="BO185" i="2"/>
  <c r="BM185" i="2"/>
  <c r="BL185" i="2"/>
  <c r="BJ185" i="2"/>
  <c r="BN185" i="2"/>
  <c r="BK185" i="2"/>
  <c r="BI185" i="2"/>
  <c r="BO193" i="2"/>
  <c r="BM193" i="2"/>
  <c r="BN193" i="2"/>
  <c r="BL193" i="2"/>
  <c r="BJ193" i="2"/>
  <c r="BK193" i="2"/>
  <c r="BI193" i="2"/>
  <c r="BO201" i="2"/>
  <c r="BN201" i="2"/>
  <c r="BM201" i="2"/>
  <c r="BL201" i="2"/>
  <c r="BJ201" i="2"/>
  <c r="BK201" i="2"/>
  <c r="BI201" i="2"/>
  <c r="BO209" i="2"/>
  <c r="BM209" i="2"/>
  <c r="BN209" i="2"/>
  <c r="BL209" i="2"/>
  <c r="BJ209" i="2"/>
  <c r="BK209" i="2"/>
  <c r="BI209" i="2"/>
  <c r="BO217" i="2"/>
  <c r="BM217" i="2"/>
  <c r="BN217" i="2"/>
  <c r="BL217" i="2"/>
  <c r="BK217" i="2"/>
  <c r="BJ217" i="2"/>
  <c r="BI217" i="2"/>
  <c r="BO225" i="2"/>
  <c r="BN225" i="2"/>
  <c r="BM225" i="2"/>
  <c r="BL225" i="2"/>
  <c r="BJ225" i="2"/>
  <c r="BK225" i="2"/>
  <c r="BI225" i="2"/>
  <c r="BO233" i="2"/>
  <c r="BM233" i="2"/>
  <c r="BL233" i="2"/>
  <c r="BN233" i="2"/>
  <c r="BJ233" i="2"/>
  <c r="BK233" i="2"/>
  <c r="BI233" i="2"/>
  <c r="BO241" i="2"/>
  <c r="BM241" i="2"/>
  <c r="BN241" i="2"/>
  <c r="BL241" i="2"/>
  <c r="BK241" i="2"/>
  <c r="BJ241" i="2"/>
  <c r="BI241" i="2"/>
  <c r="BO49" i="2"/>
  <c r="BN49" i="2"/>
  <c r="BL49" i="2"/>
  <c r="BM49" i="2"/>
  <c r="BK49" i="2"/>
  <c r="BJ49" i="2"/>
  <c r="BI49" i="2"/>
  <c r="BO33" i="2"/>
  <c r="BN33" i="2"/>
  <c r="BM33" i="2"/>
  <c r="BL33" i="2"/>
  <c r="BJ33" i="2"/>
  <c r="BK33" i="2"/>
  <c r="BI33" i="2"/>
  <c r="BO65" i="2"/>
  <c r="BN65" i="2"/>
  <c r="BL65" i="2"/>
  <c r="BK65" i="2"/>
  <c r="BM65" i="2"/>
  <c r="BJ65" i="2"/>
  <c r="BI65" i="2"/>
  <c r="BO89" i="2"/>
  <c r="BM89" i="2"/>
  <c r="BN89" i="2"/>
  <c r="BL89" i="2"/>
  <c r="BK89" i="2"/>
  <c r="BJ89" i="2"/>
  <c r="BI89" i="2"/>
  <c r="BO113" i="2"/>
  <c r="BM113" i="2"/>
  <c r="BN113" i="2"/>
  <c r="BL113" i="2"/>
  <c r="BK113" i="2"/>
  <c r="BJ113" i="2"/>
  <c r="BI113" i="2"/>
  <c r="BO138" i="2"/>
  <c r="BN138" i="2"/>
  <c r="BM138" i="2"/>
  <c r="BL138" i="2"/>
  <c r="BK138" i="2"/>
  <c r="BJ138" i="2"/>
  <c r="BI138" i="2"/>
  <c r="BO154" i="2"/>
  <c r="BM154" i="2"/>
  <c r="BL154" i="2"/>
  <c r="BN154" i="2"/>
  <c r="BK154" i="2"/>
  <c r="BJ154" i="2"/>
  <c r="BI154" i="2"/>
  <c r="BO178" i="2"/>
  <c r="BM178" i="2"/>
  <c r="BN178" i="2"/>
  <c r="BL178" i="2"/>
  <c r="BK178" i="2"/>
  <c r="BJ178" i="2"/>
  <c r="BI178" i="2"/>
  <c r="BO194" i="2"/>
  <c r="BM194" i="2"/>
  <c r="BL194" i="2"/>
  <c r="BJ194" i="2"/>
  <c r="BK194" i="2"/>
  <c r="BN194" i="2"/>
  <c r="BI194" i="2"/>
  <c r="BO226" i="2"/>
  <c r="BN226" i="2"/>
  <c r="BM226" i="2"/>
  <c r="BL226" i="2"/>
  <c r="BJ226" i="2"/>
  <c r="BK226" i="2"/>
  <c r="BI226" i="2"/>
  <c r="BO242" i="2"/>
  <c r="BM242" i="2"/>
  <c r="BN242" i="2"/>
  <c r="BL242" i="2"/>
  <c r="BK242" i="2"/>
  <c r="BJ242" i="2"/>
  <c r="BI242" i="2"/>
  <c r="BO18" i="2"/>
  <c r="BN18" i="2"/>
  <c r="BM18" i="2"/>
  <c r="BK18" i="2"/>
  <c r="BJ18" i="2"/>
  <c r="BL18" i="2"/>
  <c r="BI18" i="2"/>
  <c r="BO26" i="2"/>
  <c r="BN26" i="2"/>
  <c r="BM26" i="2"/>
  <c r="BK26" i="2"/>
  <c r="BJ26" i="2"/>
  <c r="BL26" i="2"/>
  <c r="BI26" i="2"/>
  <c r="BO34" i="2"/>
  <c r="BN34" i="2"/>
  <c r="BK34" i="2"/>
  <c r="BJ34" i="2"/>
  <c r="BL34" i="2"/>
  <c r="BM34" i="2"/>
  <c r="BI34" i="2"/>
  <c r="BO42" i="2"/>
  <c r="BN42" i="2"/>
  <c r="BM42" i="2"/>
  <c r="BJ42" i="2"/>
  <c r="BL42" i="2"/>
  <c r="BK42" i="2"/>
  <c r="BI42" i="2"/>
  <c r="BO50" i="2"/>
  <c r="BN50" i="2"/>
  <c r="BM50" i="2"/>
  <c r="BJ50" i="2"/>
  <c r="BL50" i="2"/>
  <c r="BK50" i="2"/>
  <c r="BI50" i="2"/>
  <c r="BO58" i="2"/>
  <c r="BN58" i="2"/>
  <c r="BM58" i="2"/>
  <c r="BJ58" i="2"/>
  <c r="BL58" i="2"/>
  <c r="BK58" i="2"/>
  <c r="BI58" i="2"/>
  <c r="BO66" i="2"/>
  <c r="BN66" i="2"/>
  <c r="BM66" i="2"/>
  <c r="BJ66" i="2"/>
  <c r="BL66" i="2"/>
  <c r="BK66" i="2"/>
  <c r="BI66" i="2"/>
  <c r="BO74" i="2"/>
  <c r="BN74" i="2"/>
  <c r="BM74" i="2"/>
  <c r="BJ74" i="2"/>
  <c r="BK74" i="2"/>
  <c r="BL74" i="2"/>
  <c r="BI74" i="2"/>
  <c r="BO82" i="2"/>
  <c r="BJ82" i="2"/>
  <c r="BM82" i="2"/>
  <c r="BL82" i="2"/>
  <c r="BN82" i="2"/>
  <c r="BK82" i="2"/>
  <c r="BI82" i="2"/>
  <c r="BO90" i="2"/>
  <c r="BM90" i="2"/>
  <c r="BN90" i="2"/>
  <c r="BJ90" i="2"/>
  <c r="BK90" i="2"/>
  <c r="BL90" i="2"/>
  <c r="BI90" i="2"/>
  <c r="BO98" i="2"/>
  <c r="BN98" i="2"/>
  <c r="BM98" i="2"/>
  <c r="BJ98" i="2"/>
  <c r="BL98" i="2"/>
  <c r="BK98" i="2"/>
  <c r="BI98" i="2"/>
  <c r="BO106" i="2"/>
  <c r="BM106" i="2"/>
  <c r="BN106" i="2"/>
  <c r="BJ106" i="2"/>
  <c r="BK106" i="2"/>
  <c r="BL106" i="2"/>
  <c r="BI106" i="2"/>
  <c r="BO115" i="2"/>
  <c r="BN115" i="2"/>
  <c r="BM115" i="2"/>
  <c r="BL115" i="2"/>
  <c r="BK115" i="2"/>
  <c r="BJ115" i="2"/>
  <c r="BI115" i="2"/>
  <c r="BO123" i="2"/>
  <c r="BN123" i="2"/>
  <c r="BM123" i="2"/>
  <c r="BL123" i="2"/>
  <c r="BJ123" i="2"/>
  <c r="BK123" i="2"/>
  <c r="BI123" i="2"/>
  <c r="BO131" i="2"/>
  <c r="BN131" i="2"/>
  <c r="BM131" i="2"/>
  <c r="BL131" i="2"/>
  <c r="BJ131" i="2"/>
  <c r="BK131" i="2"/>
  <c r="BI131" i="2"/>
  <c r="BO139" i="2"/>
  <c r="BN139" i="2"/>
  <c r="BM139" i="2"/>
  <c r="BL139" i="2"/>
  <c r="BK139" i="2"/>
  <c r="BJ139" i="2"/>
  <c r="BI139" i="2"/>
  <c r="BO147" i="2"/>
  <c r="BN147" i="2"/>
  <c r="BM147" i="2"/>
  <c r="BL147" i="2"/>
  <c r="BJ147" i="2"/>
  <c r="BK147" i="2"/>
  <c r="BI147" i="2"/>
  <c r="BO155" i="2"/>
  <c r="BN155" i="2"/>
  <c r="BM155" i="2"/>
  <c r="BL155" i="2"/>
  <c r="BK155" i="2"/>
  <c r="BJ155" i="2"/>
  <c r="BI155" i="2"/>
  <c r="BO163" i="2"/>
  <c r="BN163" i="2"/>
  <c r="BM163" i="2"/>
  <c r="BL163" i="2"/>
  <c r="BK163" i="2"/>
  <c r="BJ163" i="2"/>
  <c r="BI163" i="2"/>
  <c r="BO171" i="2"/>
  <c r="BN171" i="2"/>
  <c r="BM171" i="2"/>
  <c r="BL171" i="2"/>
  <c r="BJ171" i="2"/>
  <c r="BK171" i="2"/>
  <c r="BI171" i="2"/>
  <c r="BO179" i="2"/>
  <c r="BN179" i="2"/>
  <c r="BM179" i="2"/>
  <c r="BL179" i="2"/>
  <c r="BK179" i="2"/>
  <c r="BJ179" i="2"/>
  <c r="BI179" i="2"/>
  <c r="BO187" i="2"/>
  <c r="BN187" i="2"/>
  <c r="BM187" i="2"/>
  <c r="BL187" i="2"/>
  <c r="BJ187" i="2"/>
  <c r="BK187" i="2"/>
  <c r="BI187" i="2"/>
  <c r="BO195" i="2"/>
  <c r="BN195" i="2"/>
  <c r="BM195" i="2"/>
  <c r="BL195" i="2"/>
  <c r="BJ195" i="2"/>
  <c r="BK195" i="2"/>
  <c r="BI195" i="2"/>
  <c r="BO203" i="2"/>
  <c r="BN203" i="2"/>
  <c r="BM203" i="2"/>
  <c r="BL203" i="2"/>
  <c r="BK203" i="2"/>
  <c r="BJ203" i="2"/>
  <c r="BI203" i="2"/>
  <c r="BO211" i="2"/>
  <c r="BN211" i="2"/>
  <c r="BM211" i="2"/>
  <c r="BL211" i="2"/>
  <c r="BJ211" i="2"/>
  <c r="BK211" i="2"/>
  <c r="BI211" i="2"/>
  <c r="BO219" i="2"/>
  <c r="BN219" i="2"/>
  <c r="BM219" i="2"/>
  <c r="BL219" i="2"/>
  <c r="BK219" i="2"/>
  <c r="BJ219" i="2"/>
  <c r="BI219" i="2"/>
  <c r="BO227" i="2"/>
  <c r="BN227" i="2"/>
  <c r="BM227" i="2"/>
  <c r="BL227" i="2"/>
  <c r="BK227" i="2"/>
  <c r="BJ227" i="2"/>
  <c r="BI227" i="2"/>
  <c r="BO235" i="2"/>
  <c r="BN235" i="2"/>
  <c r="BM235" i="2"/>
  <c r="BL235" i="2"/>
  <c r="BJ235" i="2"/>
  <c r="BK235" i="2"/>
  <c r="BI235" i="2"/>
  <c r="BO243" i="2"/>
  <c r="BN243" i="2"/>
  <c r="BM243" i="2"/>
  <c r="BL243" i="2"/>
  <c r="BK243" i="2"/>
  <c r="BJ243" i="2"/>
  <c r="BI243" i="2"/>
  <c r="AG43" i="2"/>
  <c r="BG18" i="2"/>
  <c r="BH18" i="2"/>
  <c r="BE18" i="2"/>
  <c r="BF18" i="2"/>
  <c r="BD18" i="2"/>
  <c r="BG98" i="2"/>
  <c r="BF98" i="2"/>
  <c r="BH98" i="2"/>
  <c r="BE98" i="2"/>
  <c r="BD98" i="2"/>
  <c r="BG131" i="2"/>
  <c r="BH131" i="2"/>
  <c r="BF131" i="2"/>
  <c r="BE131" i="2"/>
  <c r="BD131" i="2"/>
  <c r="BG179" i="2"/>
  <c r="BF179" i="2"/>
  <c r="BH179" i="2"/>
  <c r="BE179" i="2"/>
  <c r="BD179" i="2"/>
  <c r="BG211" i="2"/>
  <c r="BF211" i="2"/>
  <c r="BE211" i="2"/>
  <c r="BH211" i="2"/>
  <c r="BD211" i="2"/>
  <c r="BG242" i="2"/>
  <c r="BF242" i="2"/>
  <c r="BH242" i="2"/>
  <c r="BE242" i="2"/>
  <c r="BD242" i="2"/>
  <c r="BG10" i="2"/>
  <c r="BF10" i="2"/>
  <c r="BH10" i="2"/>
  <c r="BD10" i="2"/>
  <c r="BE10" i="2"/>
  <c r="BG19" i="2"/>
  <c r="BF19" i="2"/>
  <c r="BH19" i="2"/>
  <c r="BE19" i="2"/>
  <c r="BD19" i="2"/>
  <c r="BG27" i="2"/>
  <c r="BF27" i="2"/>
  <c r="BH27" i="2"/>
  <c r="BE27" i="2"/>
  <c r="BD27" i="2"/>
  <c r="BG35" i="2"/>
  <c r="BF35" i="2"/>
  <c r="BH35" i="2"/>
  <c r="BD35" i="2"/>
  <c r="BE35" i="2"/>
  <c r="BG42" i="2"/>
  <c r="BF42" i="2"/>
  <c r="BH42" i="2"/>
  <c r="BE42" i="2"/>
  <c r="BD42" i="2"/>
  <c r="BG60" i="2"/>
  <c r="BF60" i="2"/>
  <c r="BH60" i="2"/>
  <c r="BD60" i="2"/>
  <c r="BE60" i="2"/>
  <c r="BG63" i="2"/>
  <c r="BF63" i="2"/>
  <c r="BH63" i="2"/>
  <c r="BE63" i="2"/>
  <c r="BD63" i="2"/>
  <c r="BG75" i="2"/>
  <c r="BF75" i="2"/>
  <c r="BH75" i="2"/>
  <c r="BE75" i="2"/>
  <c r="BD75" i="2"/>
  <c r="BG83" i="2"/>
  <c r="BF83" i="2"/>
  <c r="BH83" i="2"/>
  <c r="BE83" i="2"/>
  <c r="BD83" i="2"/>
  <c r="BG91" i="2"/>
  <c r="BF91" i="2"/>
  <c r="BH91" i="2"/>
  <c r="BE91" i="2"/>
  <c r="BD91" i="2"/>
  <c r="BG99" i="2"/>
  <c r="BF99" i="2"/>
  <c r="BH99" i="2"/>
  <c r="BE99" i="2"/>
  <c r="BD99" i="2"/>
  <c r="BG107" i="2"/>
  <c r="BH107" i="2"/>
  <c r="BF107" i="2"/>
  <c r="BD107" i="2"/>
  <c r="BE107" i="2"/>
  <c r="BG116" i="2"/>
  <c r="BH116" i="2"/>
  <c r="BF116" i="2"/>
  <c r="BE116" i="2"/>
  <c r="BD116" i="2"/>
  <c r="BG124" i="2"/>
  <c r="BH124" i="2"/>
  <c r="BF124" i="2"/>
  <c r="BD124" i="2"/>
  <c r="BE124" i="2"/>
  <c r="BG132" i="2"/>
  <c r="BH132" i="2"/>
  <c r="BF132" i="2"/>
  <c r="BE132" i="2"/>
  <c r="BD132" i="2"/>
  <c r="BG140" i="2"/>
  <c r="BH140" i="2"/>
  <c r="BF140" i="2"/>
  <c r="BE140" i="2"/>
  <c r="BD140" i="2"/>
  <c r="BG148" i="2"/>
  <c r="BH148" i="2"/>
  <c r="BD148" i="2"/>
  <c r="BE148" i="2"/>
  <c r="BF148" i="2"/>
  <c r="BG156" i="2"/>
  <c r="BH156" i="2"/>
  <c r="BE156" i="2"/>
  <c r="BF156" i="2"/>
  <c r="BD156" i="2"/>
  <c r="BF164" i="2"/>
  <c r="BD164" i="2"/>
  <c r="BE164" i="2"/>
  <c r="BH164" i="2"/>
  <c r="BG164" i="2"/>
  <c r="BH172" i="2"/>
  <c r="BG172" i="2"/>
  <c r="BF172" i="2"/>
  <c r="BE172" i="2"/>
  <c r="BD172" i="2"/>
  <c r="BH180" i="2"/>
  <c r="BG180" i="2"/>
  <c r="BF180" i="2"/>
  <c r="BE180" i="2"/>
  <c r="BD180" i="2"/>
  <c r="BG188" i="2"/>
  <c r="BH188" i="2"/>
  <c r="BF188" i="2"/>
  <c r="BE188" i="2"/>
  <c r="BD188" i="2"/>
  <c r="BH196" i="2"/>
  <c r="BF196" i="2"/>
  <c r="BG196" i="2"/>
  <c r="BD196" i="2"/>
  <c r="BE196" i="2"/>
  <c r="BG204" i="2"/>
  <c r="BH204" i="2"/>
  <c r="BF204" i="2"/>
  <c r="BE204" i="2"/>
  <c r="BD204" i="2"/>
  <c r="BG212" i="2"/>
  <c r="BH212" i="2"/>
  <c r="BE212" i="2"/>
  <c r="BF212" i="2"/>
  <c r="BD212" i="2"/>
  <c r="BH219" i="2"/>
  <c r="BG219" i="2"/>
  <c r="BF219" i="2"/>
  <c r="BE219" i="2"/>
  <c r="BD219" i="2"/>
  <c r="BG227" i="2"/>
  <c r="BE227" i="2"/>
  <c r="BH227" i="2"/>
  <c r="BF227" i="2"/>
  <c r="BD227" i="2"/>
  <c r="BH235" i="2"/>
  <c r="BF235" i="2"/>
  <c r="BG235" i="2"/>
  <c r="BD235" i="2"/>
  <c r="BE235" i="2"/>
  <c r="BH243" i="2"/>
  <c r="BG243" i="2"/>
  <c r="BF243" i="2"/>
  <c r="BE243" i="2"/>
  <c r="BD243" i="2"/>
  <c r="BG82" i="2"/>
  <c r="BF82" i="2"/>
  <c r="BE82" i="2"/>
  <c r="BH82" i="2"/>
  <c r="BD82" i="2"/>
  <c r="BG195" i="2"/>
  <c r="BH195" i="2"/>
  <c r="BF195" i="2"/>
  <c r="BE195" i="2"/>
  <c r="BD195" i="2"/>
  <c r="BH64" i="2"/>
  <c r="BG64" i="2"/>
  <c r="BD64" i="2"/>
  <c r="BE64" i="2"/>
  <c r="BF64" i="2"/>
  <c r="BH108" i="2"/>
  <c r="BG108" i="2"/>
  <c r="BF108" i="2"/>
  <c r="BD108" i="2"/>
  <c r="BE108" i="2"/>
  <c r="BH125" i="2"/>
  <c r="BG125" i="2"/>
  <c r="BF125" i="2"/>
  <c r="BD125" i="2"/>
  <c r="BE125" i="2"/>
  <c r="BH133" i="2"/>
  <c r="BF133" i="2"/>
  <c r="BG133" i="2"/>
  <c r="BD133" i="2"/>
  <c r="BE133" i="2"/>
  <c r="BH141" i="2"/>
  <c r="BF141" i="2"/>
  <c r="BD141" i="2"/>
  <c r="BG141" i="2"/>
  <c r="BE141" i="2"/>
  <c r="BH149" i="2"/>
  <c r="BG149" i="2"/>
  <c r="BF149" i="2"/>
  <c r="BD149" i="2"/>
  <c r="BE149" i="2"/>
  <c r="BH157" i="2"/>
  <c r="BF157" i="2"/>
  <c r="BG157" i="2"/>
  <c r="BD157" i="2"/>
  <c r="BE157" i="2"/>
  <c r="BH165" i="2"/>
  <c r="BG165" i="2"/>
  <c r="BF165" i="2"/>
  <c r="BE165" i="2"/>
  <c r="BD165" i="2"/>
  <c r="BH173" i="2"/>
  <c r="BF173" i="2"/>
  <c r="BG173" i="2"/>
  <c r="BD173" i="2"/>
  <c r="BE173" i="2"/>
  <c r="BH181" i="2"/>
  <c r="BG181" i="2"/>
  <c r="BF181" i="2"/>
  <c r="BD181" i="2"/>
  <c r="BE181" i="2"/>
  <c r="BH189" i="2"/>
  <c r="BF189" i="2"/>
  <c r="BG189" i="2"/>
  <c r="BD189" i="2"/>
  <c r="BE189" i="2"/>
  <c r="BH197" i="2"/>
  <c r="BG197" i="2"/>
  <c r="BF197" i="2"/>
  <c r="BD197" i="2"/>
  <c r="BE197" i="2"/>
  <c r="BH205" i="2"/>
  <c r="BF205" i="2"/>
  <c r="BG205" i="2"/>
  <c r="BD205" i="2"/>
  <c r="BE205" i="2"/>
  <c r="BH213" i="2"/>
  <c r="BG213" i="2"/>
  <c r="BF213" i="2"/>
  <c r="BD213" i="2"/>
  <c r="BE213" i="2"/>
  <c r="BH220" i="2"/>
  <c r="BF220" i="2"/>
  <c r="BG220" i="2"/>
  <c r="BE220" i="2"/>
  <c r="BD220" i="2"/>
  <c r="BH228" i="2"/>
  <c r="BF228" i="2"/>
  <c r="BG228" i="2"/>
  <c r="BE228" i="2"/>
  <c r="BD228" i="2"/>
  <c r="BH236" i="2"/>
  <c r="BG236" i="2"/>
  <c r="BF236" i="2"/>
  <c r="BE236" i="2"/>
  <c r="BD236" i="2"/>
  <c r="BG34" i="2"/>
  <c r="BF34" i="2"/>
  <c r="BE34" i="2"/>
  <c r="BH34" i="2"/>
  <c r="BD34" i="2"/>
  <c r="BG139" i="2"/>
  <c r="BF139" i="2"/>
  <c r="BH139" i="2"/>
  <c r="BD139" i="2"/>
  <c r="BE139" i="2"/>
  <c r="BG234" i="2"/>
  <c r="BF234" i="2"/>
  <c r="BH234" i="2"/>
  <c r="BE234" i="2"/>
  <c r="BD234" i="2"/>
  <c r="BH49" i="2"/>
  <c r="BF49" i="2"/>
  <c r="BE49" i="2"/>
  <c r="BD49" i="2"/>
  <c r="BG49" i="2"/>
  <c r="BH117" i="2"/>
  <c r="BF117" i="2"/>
  <c r="BD117" i="2"/>
  <c r="BE117" i="2"/>
  <c r="BG117" i="2"/>
  <c r="BH13" i="2"/>
  <c r="BG13" i="2"/>
  <c r="BF13" i="2"/>
  <c r="BE13" i="2"/>
  <c r="BD13" i="2"/>
  <c r="BH21" i="2"/>
  <c r="BG21" i="2"/>
  <c r="BF21" i="2"/>
  <c r="BD21" i="2"/>
  <c r="BE21" i="2"/>
  <c r="BH29" i="2"/>
  <c r="BG29" i="2"/>
  <c r="BE29" i="2"/>
  <c r="BF29" i="2"/>
  <c r="BD29" i="2"/>
  <c r="BH36" i="2"/>
  <c r="BG36" i="2"/>
  <c r="BF36" i="2"/>
  <c r="BE36" i="2"/>
  <c r="BD36" i="2"/>
  <c r="BH44" i="2"/>
  <c r="BG44" i="2"/>
  <c r="BF44" i="2"/>
  <c r="BE44" i="2"/>
  <c r="BD44" i="2"/>
  <c r="BH50" i="2"/>
  <c r="BG50" i="2"/>
  <c r="BF50" i="2"/>
  <c r="BD50" i="2"/>
  <c r="BE50" i="2"/>
  <c r="BH62" i="2"/>
  <c r="BG62" i="2"/>
  <c r="BF62" i="2"/>
  <c r="BE62" i="2"/>
  <c r="BD62" i="2"/>
  <c r="BH65" i="2"/>
  <c r="BG65" i="2"/>
  <c r="BD65" i="2"/>
  <c r="BE65" i="2"/>
  <c r="BF65" i="2"/>
  <c r="BH77" i="2"/>
  <c r="BG77" i="2"/>
  <c r="BF77" i="2"/>
  <c r="BE77" i="2"/>
  <c r="BD77" i="2"/>
  <c r="BH85" i="2"/>
  <c r="BG85" i="2"/>
  <c r="BF85" i="2"/>
  <c r="BE85" i="2"/>
  <c r="BD85" i="2"/>
  <c r="BH93" i="2"/>
  <c r="BG93" i="2"/>
  <c r="BE93" i="2"/>
  <c r="BF93" i="2"/>
  <c r="BD93" i="2"/>
  <c r="BH101" i="2"/>
  <c r="BG101" i="2"/>
  <c r="BF101" i="2"/>
  <c r="BE101" i="2"/>
  <c r="BD101" i="2"/>
  <c r="BH109" i="2"/>
  <c r="BG109" i="2"/>
  <c r="BF109" i="2"/>
  <c r="BE109" i="2"/>
  <c r="BD109" i="2"/>
  <c r="BH118" i="2"/>
  <c r="BG118" i="2"/>
  <c r="BF118" i="2"/>
  <c r="BE118" i="2"/>
  <c r="BD118" i="2"/>
  <c r="BH126" i="2"/>
  <c r="BG126" i="2"/>
  <c r="BF126" i="2"/>
  <c r="BD126" i="2"/>
  <c r="BE126" i="2"/>
  <c r="BH134" i="2"/>
  <c r="BG134" i="2"/>
  <c r="BF134" i="2"/>
  <c r="BD134" i="2"/>
  <c r="BE134" i="2"/>
  <c r="BH142" i="2"/>
  <c r="BG142" i="2"/>
  <c r="BF142" i="2"/>
  <c r="BE142" i="2"/>
  <c r="BD142" i="2"/>
  <c r="BH150" i="2"/>
  <c r="BG150" i="2"/>
  <c r="BF150" i="2"/>
  <c r="BE150" i="2"/>
  <c r="BD150" i="2"/>
  <c r="BH158" i="2"/>
  <c r="BG158" i="2"/>
  <c r="BF158" i="2"/>
  <c r="BE158" i="2"/>
  <c r="BD158" i="2"/>
  <c r="BH166" i="2"/>
  <c r="BG166" i="2"/>
  <c r="BF166" i="2"/>
  <c r="BD166" i="2"/>
  <c r="BE166" i="2"/>
  <c r="BH174" i="2"/>
  <c r="BG174" i="2"/>
  <c r="BF174" i="2"/>
  <c r="BE174" i="2"/>
  <c r="BD174" i="2"/>
  <c r="BH182" i="2"/>
  <c r="BG182" i="2"/>
  <c r="BF182" i="2"/>
  <c r="BE182" i="2"/>
  <c r="BD182" i="2"/>
  <c r="BH190" i="2"/>
  <c r="BG190" i="2"/>
  <c r="BF190" i="2"/>
  <c r="BE190" i="2"/>
  <c r="BD190" i="2"/>
  <c r="BH198" i="2"/>
  <c r="BG198" i="2"/>
  <c r="BF198" i="2"/>
  <c r="BD198" i="2"/>
  <c r="BE198" i="2"/>
  <c r="BH206" i="2"/>
  <c r="BF206" i="2"/>
  <c r="BG206" i="2"/>
  <c r="BD206" i="2"/>
  <c r="BE206" i="2"/>
  <c r="BH214" i="2"/>
  <c r="BG214" i="2"/>
  <c r="BF214" i="2"/>
  <c r="BE214" i="2"/>
  <c r="BD214" i="2"/>
  <c r="BH221" i="2"/>
  <c r="BF221" i="2"/>
  <c r="BG221" i="2"/>
  <c r="BE221" i="2"/>
  <c r="BD221" i="2"/>
  <c r="BH229" i="2"/>
  <c r="BF229" i="2"/>
  <c r="BG229" i="2"/>
  <c r="BE229" i="2"/>
  <c r="BD229" i="2"/>
  <c r="BH237" i="2"/>
  <c r="BG237" i="2"/>
  <c r="BF237" i="2"/>
  <c r="BE237" i="2"/>
  <c r="BD237" i="2"/>
  <c r="BG41" i="2"/>
  <c r="BH41" i="2"/>
  <c r="BE41" i="2"/>
  <c r="BF41" i="2"/>
  <c r="BD41" i="2"/>
  <c r="BG74" i="2"/>
  <c r="BF74" i="2"/>
  <c r="BH74" i="2"/>
  <c r="BE74" i="2"/>
  <c r="BD74" i="2"/>
  <c r="BG123" i="2"/>
  <c r="BF123" i="2"/>
  <c r="BE123" i="2"/>
  <c r="BD123" i="2"/>
  <c r="BH123" i="2"/>
  <c r="BG171" i="2"/>
  <c r="BF171" i="2"/>
  <c r="BH171" i="2"/>
  <c r="BE171" i="2"/>
  <c r="BD171" i="2"/>
  <c r="BG203" i="2"/>
  <c r="BF203" i="2"/>
  <c r="BH203" i="2"/>
  <c r="BE203" i="2"/>
  <c r="BD203" i="2"/>
  <c r="BH20" i="2"/>
  <c r="BF20" i="2"/>
  <c r="BG20" i="2"/>
  <c r="BD20" i="2"/>
  <c r="BE20" i="2"/>
  <c r="BH55" i="2"/>
  <c r="BF55" i="2"/>
  <c r="BG55" i="2"/>
  <c r="BD55" i="2"/>
  <c r="BE55" i="2"/>
  <c r="BH92" i="2"/>
  <c r="BG92" i="2"/>
  <c r="BD92" i="2"/>
  <c r="BF92" i="2"/>
  <c r="BE92" i="2"/>
  <c r="BF14" i="2"/>
  <c r="BH14" i="2"/>
  <c r="BG14" i="2"/>
  <c r="BD14" i="2"/>
  <c r="BE14" i="2"/>
  <c r="BF22" i="2"/>
  <c r="BH22" i="2"/>
  <c r="BG22" i="2"/>
  <c r="BD22" i="2"/>
  <c r="BE22" i="2"/>
  <c r="BF30" i="2"/>
  <c r="BH30" i="2"/>
  <c r="BG30" i="2"/>
  <c r="BD30" i="2"/>
  <c r="BE30" i="2"/>
  <c r="BF37" i="2"/>
  <c r="BH37" i="2"/>
  <c r="BG37" i="2"/>
  <c r="BE37" i="2"/>
  <c r="BD37" i="2"/>
  <c r="BF45" i="2"/>
  <c r="BH45" i="2"/>
  <c r="BG45" i="2"/>
  <c r="BD45" i="2"/>
  <c r="BE45" i="2"/>
  <c r="BF51" i="2"/>
  <c r="BH51" i="2"/>
  <c r="BG51" i="2"/>
  <c r="BE51" i="2"/>
  <c r="BD51" i="2"/>
  <c r="BF56" i="2"/>
  <c r="BH56" i="2"/>
  <c r="BG56" i="2"/>
  <c r="BD56" i="2"/>
  <c r="BE56" i="2"/>
  <c r="BF66" i="2"/>
  <c r="BH66" i="2"/>
  <c r="BG66" i="2"/>
  <c r="BD66" i="2"/>
  <c r="BE66" i="2"/>
  <c r="BF71" i="2"/>
  <c r="BH71" i="2"/>
  <c r="BG71" i="2"/>
  <c r="BD71" i="2"/>
  <c r="BE71" i="2"/>
  <c r="BF78" i="2"/>
  <c r="BH78" i="2"/>
  <c r="BG78" i="2"/>
  <c r="BD78" i="2"/>
  <c r="BE78" i="2"/>
  <c r="BF86" i="2"/>
  <c r="BH86" i="2"/>
  <c r="BG86" i="2"/>
  <c r="BD86" i="2"/>
  <c r="BE86" i="2"/>
  <c r="BF94" i="2"/>
  <c r="BH94" i="2"/>
  <c r="BG94" i="2"/>
  <c r="BD94" i="2"/>
  <c r="BE94" i="2"/>
  <c r="BF102" i="2"/>
  <c r="BH102" i="2"/>
  <c r="BG102" i="2"/>
  <c r="BE102" i="2"/>
  <c r="BD102" i="2"/>
  <c r="BH110" i="2"/>
  <c r="BG110" i="2"/>
  <c r="BD110" i="2"/>
  <c r="BE110" i="2"/>
  <c r="BF110" i="2"/>
  <c r="BH119" i="2"/>
  <c r="BG119" i="2"/>
  <c r="BE119" i="2"/>
  <c r="BF119" i="2"/>
  <c r="BD119" i="2"/>
  <c r="BH127" i="2"/>
  <c r="BG127" i="2"/>
  <c r="BD127" i="2"/>
  <c r="BE127" i="2"/>
  <c r="BF127" i="2"/>
  <c r="BH135" i="2"/>
  <c r="BG135" i="2"/>
  <c r="BD135" i="2"/>
  <c r="BF135" i="2"/>
  <c r="BE135" i="2"/>
  <c r="BH143" i="2"/>
  <c r="BG143" i="2"/>
  <c r="BF143" i="2"/>
  <c r="BD143" i="2"/>
  <c r="BE143" i="2"/>
  <c r="BH151" i="2"/>
  <c r="BG151" i="2"/>
  <c r="BD151" i="2"/>
  <c r="BF151" i="2"/>
  <c r="BE151" i="2"/>
  <c r="BH159" i="2"/>
  <c r="BG159" i="2"/>
  <c r="BD159" i="2"/>
  <c r="BF159" i="2"/>
  <c r="BE159" i="2"/>
  <c r="BH167" i="2"/>
  <c r="BG167" i="2"/>
  <c r="BF167" i="2"/>
  <c r="BE167" i="2"/>
  <c r="BD167" i="2"/>
  <c r="BH175" i="2"/>
  <c r="BG175" i="2"/>
  <c r="BD175" i="2"/>
  <c r="BE175" i="2"/>
  <c r="BF175" i="2"/>
  <c r="BH183" i="2"/>
  <c r="BG183" i="2"/>
  <c r="BE183" i="2"/>
  <c r="BF183" i="2"/>
  <c r="BD183" i="2"/>
  <c r="BH191" i="2"/>
  <c r="BG191" i="2"/>
  <c r="BD191" i="2"/>
  <c r="BF191" i="2"/>
  <c r="BE191" i="2"/>
  <c r="BH199" i="2"/>
  <c r="BG199" i="2"/>
  <c r="BF199" i="2"/>
  <c r="BE199" i="2"/>
  <c r="BD199" i="2"/>
  <c r="BH207" i="2"/>
  <c r="BG207" i="2"/>
  <c r="BF207" i="2"/>
  <c r="BD207" i="2"/>
  <c r="BE207" i="2"/>
  <c r="BH215" i="2"/>
  <c r="BG215" i="2"/>
  <c r="BE215" i="2"/>
  <c r="BD215" i="2"/>
  <c r="BF215" i="2"/>
  <c r="BH222" i="2"/>
  <c r="BG222" i="2"/>
  <c r="BF222" i="2"/>
  <c r="BD222" i="2"/>
  <c r="BE222" i="2"/>
  <c r="BH230" i="2"/>
  <c r="BG230" i="2"/>
  <c r="BF230" i="2"/>
  <c r="BD230" i="2"/>
  <c r="BE230" i="2"/>
  <c r="BH238" i="2"/>
  <c r="BG238" i="2"/>
  <c r="BE238" i="2"/>
  <c r="BF238" i="2"/>
  <c r="BD238" i="2"/>
  <c r="BG59" i="2"/>
  <c r="BH59" i="2"/>
  <c r="BF59" i="2"/>
  <c r="BD59" i="2"/>
  <c r="BE59" i="2"/>
  <c r="BG106" i="2"/>
  <c r="BF106" i="2"/>
  <c r="BH106" i="2"/>
  <c r="BE106" i="2"/>
  <c r="BD106" i="2"/>
  <c r="BG163" i="2"/>
  <c r="BF163" i="2"/>
  <c r="BH163" i="2"/>
  <c r="BD163" i="2"/>
  <c r="BE163" i="2"/>
  <c r="BG218" i="2"/>
  <c r="BF218" i="2"/>
  <c r="BH218" i="2"/>
  <c r="BE218" i="2"/>
  <c r="BD218" i="2"/>
  <c r="BH28" i="2"/>
  <c r="BG28" i="2"/>
  <c r="BD28" i="2"/>
  <c r="BF28" i="2"/>
  <c r="BE28" i="2"/>
  <c r="BH61" i="2"/>
  <c r="BD61" i="2"/>
  <c r="BE61" i="2"/>
  <c r="BF61" i="2"/>
  <c r="BG61" i="2"/>
  <c r="BH84" i="2"/>
  <c r="BG84" i="2"/>
  <c r="BD84" i="2"/>
  <c r="BF84" i="2"/>
  <c r="BE84" i="2"/>
  <c r="BF15" i="2"/>
  <c r="BE15" i="2"/>
  <c r="BG15" i="2"/>
  <c r="BH15" i="2"/>
  <c r="BD15" i="2"/>
  <c r="BF23" i="2"/>
  <c r="BE23" i="2"/>
  <c r="BH23" i="2"/>
  <c r="BG23" i="2"/>
  <c r="BD23" i="2"/>
  <c r="BF31" i="2"/>
  <c r="BE31" i="2"/>
  <c r="BH31" i="2"/>
  <c r="BG31" i="2"/>
  <c r="BD31" i="2"/>
  <c r="BF38" i="2"/>
  <c r="BH38" i="2"/>
  <c r="BE38" i="2"/>
  <c r="BG38" i="2"/>
  <c r="BD38" i="2"/>
  <c r="BF46" i="2"/>
  <c r="BE46" i="2"/>
  <c r="BH46" i="2"/>
  <c r="BG46" i="2"/>
  <c r="BD46" i="2"/>
  <c r="BF52" i="2"/>
  <c r="BG52" i="2"/>
  <c r="BE52" i="2"/>
  <c r="BD52" i="2"/>
  <c r="BH52" i="2"/>
  <c r="BE57" i="2"/>
  <c r="BH57" i="2"/>
  <c r="BG57" i="2"/>
  <c r="BF57" i="2"/>
  <c r="BD57" i="2"/>
  <c r="BE67" i="2"/>
  <c r="BG67" i="2"/>
  <c r="BH67" i="2"/>
  <c r="BF67" i="2"/>
  <c r="BD67" i="2"/>
  <c r="BE79" i="2"/>
  <c r="BF79" i="2"/>
  <c r="BH79" i="2"/>
  <c r="BG79" i="2"/>
  <c r="BD79" i="2"/>
  <c r="BH87" i="2"/>
  <c r="BE87" i="2"/>
  <c r="BG87" i="2"/>
  <c r="BF87" i="2"/>
  <c r="BD87" i="2"/>
  <c r="BE95" i="2"/>
  <c r="BH95" i="2"/>
  <c r="BG95" i="2"/>
  <c r="BD95" i="2"/>
  <c r="BF95" i="2"/>
  <c r="BG103" i="2"/>
  <c r="BE103" i="2"/>
  <c r="BF103" i="2"/>
  <c r="BD103" i="2"/>
  <c r="BH103" i="2"/>
  <c r="BE111" i="2"/>
  <c r="BH111" i="2"/>
  <c r="BG111" i="2"/>
  <c r="BD111" i="2"/>
  <c r="BF111" i="2"/>
  <c r="BE120" i="2"/>
  <c r="BH120" i="2"/>
  <c r="BF120" i="2"/>
  <c r="BD120" i="2"/>
  <c r="BG120" i="2"/>
  <c r="BE128" i="2"/>
  <c r="BG128" i="2"/>
  <c r="BF128" i="2"/>
  <c r="BH128" i="2"/>
  <c r="BD128" i="2"/>
  <c r="BE136" i="2"/>
  <c r="BH136" i="2"/>
  <c r="BG136" i="2"/>
  <c r="BD136" i="2"/>
  <c r="BF136" i="2"/>
  <c r="BE144" i="2"/>
  <c r="BH144" i="2"/>
  <c r="BF144" i="2"/>
  <c r="BG144" i="2"/>
  <c r="BD144" i="2"/>
  <c r="BH152" i="2"/>
  <c r="BE152" i="2"/>
  <c r="BG152" i="2"/>
  <c r="BD152" i="2"/>
  <c r="BF152" i="2"/>
  <c r="BE160" i="2"/>
  <c r="BH160" i="2"/>
  <c r="BD160" i="2"/>
  <c r="BG160" i="2"/>
  <c r="BF160" i="2"/>
  <c r="BE168" i="2"/>
  <c r="BG168" i="2"/>
  <c r="BF168" i="2"/>
  <c r="BD168" i="2"/>
  <c r="BH168" i="2"/>
  <c r="BE176" i="2"/>
  <c r="BH176" i="2"/>
  <c r="BD176" i="2"/>
  <c r="BG176" i="2"/>
  <c r="BF176" i="2"/>
  <c r="BE184" i="2"/>
  <c r="BG184" i="2"/>
  <c r="BH184" i="2"/>
  <c r="BF184" i="2"/>
  <c r="BD184" i="2"/>
  <c r="BF192" i="2"/>
  <c r="BE192" i="2"/>
  <c r="BH192" i="2"/>
  <c r="BG192" i="2"/>
  <c r="BD192" i="2"/>
  <c r="BG200" i="2"/>
  <c r="BH200" i="2"/>
  <c r="BE200" i="2"/>
  <c r="BF200" i="2"/>
  <c r="BD200" i="2"/>
  <c r="BE208" i="2"/>
  <c r="BF208" i="2"/>
  <c r="BH208" i="2"/>
  <c r="BG208" i="2"/>
  <c r="BD208" i="2"/>
  <c r="BG223" i="2"/>
  <c r="BH223" i="2"/>
  <c r="BE223" i="2"/>
  <c r="BF223" i="2"/>
  <c r="BD223" i="2"/>
  <c r="BE231" i="2"/>
  <c r="BF231" i="2"/>
  <c r="BG231" i="2"/>
  <c r="BD231" i="2"/>
  <c r="BH231" i="2"/>
  <c r="BH239" i="2"/>
  <c r="BG239" i="2"/>
  <c r="BE239" i="2"/>
  <c r="BD239" i="2"/>
  <c r="BF239" i="2"/>
  <c r="BG26" i="2"/>
  <c r="BH26" i="2"/>
  <c r="BE26" i="2"/>
  <c r="BF26" i="2"/>
  <c r="BD26" i="2"/>
  <c r="BG115" i="2"/>
  <c r="BF115" i="2"/>
  <c r="BH115" i="2"/>
  <c r="BE115" i="2"/>
  <c r="BD115" i="2"/>
  <c r="BG155" i="2"/>
  <c r="BF155" i="2"/>
  <c r="BH155" i="2"/>
  <c r="BD155" i="2"/>
  <c r="BE155" i="2"/>
  <c r="BG226" i="2"/>
  <c r="BF226" i="2"/>
  <c r="BH226" i="2"/>
  <c r="BE226" i="2"/>
  <c r="BD226" i="2"/>
  <c r="BH70" i="2"/>
  <c r="BG70" i="2"/>
  <c r="BF70" i="2"/>
  <c r="BD70" i="2"/>
  <c r="BE70" i="2"/>
  <c r="BH100" i="2"/>
  <c r="BF100" i="2"/>
  <c r="BE100" i="2"/>
  <c r="BD100" i="2"/>
  <c r="BG100" i="2"/>
  <c r="BH24" i="2"/>
  <c r="BF24" i="2"/>
  <c r="BD24" i="2"/>
  <c r="BE24" i="2"/>
  <c r="BG24" i="2"/>
  <c r="BH32" i="2"/>
  <c r="BG32" i="2"/>
  <c r="BF32" i="2"/>
  <c r="BE32" i="2"/>
  <c r="BD32" i="2"/>
  <c r="BH39" i="2"/>
  <c r="BG39" i="2"/>
  <c r="BF39" i="2"/>
  <c r="BE39" i="2"/>
  <c r="BD39" i="2"/>
  <c r="BH53" i="2"/>
  <c r="BG53" i="2"/>
  <c r="BF53" i="2"/>
  <c r="BE53" i="2"/>
  <c r="BD53" i="2"/>
  <c r="BH58" i="2"/>
  <c r="BG58" i="2"/>
  <c r="BF58" i="2"/>
  <c r="BE58" i="2"/>
  <c r="BD58" i="2"/>
  <c r="BH68" i="2"/>
  <c r="BF68" i="2"/>
  <c r="BG68" i="2"/>
  <c r="BE68" i="2"/>
  <c r="BD68" i="2"/>
  <c r="BH72" i="2"/>
  <c r="BG72" i="2"/>
  <c r="BF72" i="2"/>
  <c r="BD72" i="2"/>
  <c r="BE72" i="2"/>
  <c r="BH80" i="2"/>
  <c r="BG80" i="2"/>
  <c r="BF80" i="2"/>
  <c r="BE80" i="2"/>
  <c r="BD80" i="2"/>
  <c r="BH88" i="2"/>
  <c r="BF88" i="2"/>
  <c r="BG88" i="2"/>
  <c r="BE88" i="2"/>
  <c r="BD88" i="2"/>
  <c r="BH96" i="2"/>
  <c r="BF96" i="2"/>
  <c r="BG96" i="2"/>
  <c r="BD96" i="2"/>
  <c r="BE96" i="2"/>
  <c r="BH104" i="2"/>
  <c r="BG104" i="2"/>
  <c r="BF104" i="2"/>
  <c r="BE104" i="2"/>
  <c r="BD104" i="2"/>
  <c r="BH112" i="2"/>
  <c r="BG112" i="2"/>
  <c r="BE112" i="2"/>
  <c r="BF112" i="2"/>
  <c r="BD112" i="2"/>
  <c r="BH121" i="2"/>
  <c r="BG121" i="2"/>
  <c r="BF121" i="2"/>
  <c r="BE121" i="2"/>
  <c r="BD121" i="2"/>
  <c r="BH129" i="2"/>
  <c r="BG129" i="2"/>
  <c r="BE129" i="2"/>
  <c r="BF129" i="2"/>
  <c r="BD129" i="2"/>
  <c r="BH137" i="2"/>
  <c r="BG137" i="2"/>
  <c r="BD137" i="2"/>
  <c r="BF137" i="2"/>
  <c r="BE137" i="2"/>
  <c r="BH145" i="2"/>
  <c r="BG145" i="2"/>
  <c r="BF145" i="2"/>
  <c r="BE145" i="2"/>
  <c r="BD145" i="2"/>
  <c r="BH153" i="2"/>
  <c r="BG153" i="2"/>
  <c r="BF153" i="2"/>
  <c r="BD153" i="2"/>
  <c r="BE153" i="2"/>
  <c r="BH161" i="2"/>
  <c r="BD161" i="2"/>
  <c r="BF161" i="2"/>
  <c r="BE161" i="2"/>
  <c r="BG161" i="2"/>
  <c r="BH169" i="2"/>
  <c r="BG169" i="2"/>
  <c r="BF169" i="2"/>
  <c r="BE169" i="2"/>
  <c r="BD169" i="2"/>
  <c r="BH177" i="2"/>
  <c r="BG177" i="2"/>
  <c r="BE177" i="2"/>
  <c r="BD177" i="2"/>
  <c r="BF177" i="2"/>
  <c r="BH185" i="2"/>
  <c r="BG185" i="2"/>
  <c r="BF185" i="2"/>
  <c r="BE185" i="2"/>
  <c r="BD185" i="2"/>
  <c r="BH193" i="2"/>
  <c r="BF193" i="2"/>
  <c r="BG193" i="2"/>
  <c r="BE193" i="2"/>
  <c r="BD193" i="2"/>
  <c r="BH201" i="2"/>
  <c r="BG201" i="2"/>
  <c r="BE201" i="2"/>
  <c r="BF201" i="2"/>
  <c r="BD201" i="2"/>
  <c r="BH209" i="2"/>
  <c r="BF209" i="2"/>
  <c r="BG209" i="2"/>
  <c r="BD209" i="2"/>
  <c r="BE209" i="2"/>
  <c r="BH216" i="2"/>
  <c r="BG216" i="2"/>
  <c r="BF216" i="2"/>
  <c r="BD216" i="2"/>
  <c r="BE216" i="2"/>
  <c r="BH224" i="2"/>
  <c r="BG224" i="2"/>
  <c r="BF224" i="2"/>
  <c r="BE224" i="2"/>
  <c r="BD224" i="2"/>
  <c r="BH232" i="2"/>
  <c r="BF232" i="2"/>
  <c r="BG232" i="2"/>
  <c r="BD232" i="2"/>
  <c r="BE232" i="2"/>
  <c r="BH240" i="2"/>
  <c r="BG240" i="2"/>
  <c r="BD240" i="2"/>
  <c r="BE240" i="2"/>
  <c r="BF240" i="2"/>
  <c r="BG48" i="2"/>
  <c r="BF48" i="2"/>
  <c r="BE48" i="2"/>
  <c r="BH48" i="2"/>
  <c r="BD48" i="2"/>
  <c r="BG90" i="2"/>
  <c r="BH90" i="2"/>
  <c r="BF90" i="2"/>
  <c r="BE90" i="2"/>
  <c r="BD90" i="2"/>
  <c r="BG147" i="2"/>
  <c r="BF147" i="2"/>
  <c r="BE147" i="2"/>
  <c r="BH147" i="2"/>
  <c r="BD147" i="2"/>
  <c r="BG187" i="2"/>
  <c r="BF187" i="2"/>
  <c r="BH187" i="2"/>
  <c r="BE187" i="2"/>
  <c r="BD187" i="2"/>
  <c r="BH12" i="2"/>
  <c r="BG12" i="2"/>
  <c r="BF12" i="2"/>
  <c r="BD12" i="2"/>
  <c r="BE12" i="2"/>
  <c r="BH43" i="2"/>
  <c r="BG43" i="2"/>
  <c r="BD43" i="2"/>
  <c r="BE43" i="2"/>
  <c r="BF43" i="2"/>
  <c r="BH76" i="2"/>
  <c r="BD76" i="2"/>
  <c r="BG76" i="2"/>
  <c r="BE76" i="2"/>
  <c r="BF76" i="2"/>
  <c r="BH16" i="2"/>
  <c r="BG16" i="2"/>
  <c r="BE16" i="2"/>
  <c r="BF16" i="2"/>
  <c r="BD16" i="2"/>
  <c r="BG25" i="2"/>
  <c r="BH25" i="2"/>
  <c r="BE25" i="2"/>
  <c r="BF25" i="2"/>
  <c r="BD25" i="2"/>
  <c r="BG33" i="2"/>
  <c r="BH33" i="2"/>
  <c r="BF33" i="2"/>
  <c r="BE33" i="2"/>
  <c r="BD33" i="2"/>
  <c r="BG40" i="2"/>
  <c r="BH40" i="2"/>
  <c r="BE40" i="2"/>
  <c r="BF40" i="2"/>
  <c r="BD40" i="2"/>
  <c r="BG47" i="2"/>
  <c r="BH47" i="2"/>
  <c r="BF47" i="2"/>
  <c r="BE47" i="2"/>
  <c r="BD47" i="2"/>
  <c r="BG54" i="2"/>
  <c r="BH54" i="2"/>
  <c r="BF54" i="2"/>
  <c r="BE54" i="2"/>
  <c r="BD54" i="2"/>
  <c r="BG69" i="2"/>
  <c r="BH69" i="2"/>
  <c r="BF69" i="2"/>
  <c r="BD69" i="2"/>
  <c r="BE69" i="2"/>
  <c r="BG73" i="2"/>
  <c r="BH73" i="2"/>
  <c r="BE73" i="2"/>
  <c r="BF73" i="2"/>
  <c r="BD73" i="2"/>
  <c r="BG81" i="2"/>
  <c r="BH81" i="2"/>
  <c r="BF81" i="2"/>
  <c r="BD81" i="2"/>
  <c r="BE81" i="2"/>
  <c r="BG89" i="2"/>
  <c r="BH89" i="2"/>
  <c r="BF89" i="2"/>
  <c r="BE89" i="2"/>
  <c r="BD89" i="2"/>
  <c r="BG97" i="2"/>
  <c r="BH97" i="2"/>
  <c r="BD97" i="2"/>
  <c r="BE97" i="2"/>
  <c r="BF97" i="2"/>
  <c r="BG105" i="2"/>
  <c r="BH105" i="2"/>
  <c r="BF105" i="2"/>
  <c r="BE105" i="2"/>
  <c r="BD105" i="2"/>
  <c r="BG113" i="2"/>
  <c r="BH113" i="2"/>
  <c r="BF113" i="2"/>
  <c r="BE113" i="2"/>
  <c r="BD113" i="2"/>
  <c r="BG122" i="2"/>
  <c r="BH122" i="2"/>
  <c r="BE122" i="2"/>
  <c r="BF122" i="2"/>
  <c r="BD122" i="2"/>
  <c r="BG130" i="2"/>
  <c r="BH130" i="2"/>
  <c r="BF130" i="2"/>
  <c r="BE130" i="2"/>
  <c r="BD130" i="2"/>
  <c r="BG138" i="2"/>
  <c r="BH138" i="2"/>
  <c r="BE138" i="2"/>
  <c r="BD138" i="2"/>
  <c r="BF138" i="2"/>
  <c r="BG146" i="2"/>
  <c r="BH146" i="2"/>
  <c r="BF146" i="2"/>
  <c r="BD146" i="2"/>
  <c r="BE146" i="2"/>
  <c r="BG154" i="2"/>
  <c r="BH154" i="2"/>
  <c r="BF154" i="2"/>
  <c r="BD154" i="2"/>
  <c r="BE154" i="2"/>
  <c r="BG162" i="2"/>
  <c r="BH162" i="2"/>
  <c r="BD162" i="2"/>
  <c r="BF162" i="2"/>
  <c r="BE162" i="2"/>
  <c r="BG170" i="2"/>
  <c r="BH170" i="2"/>
  <c r="BF170" i="2"/>
  <c r="BE170" i="2"/>
  <c r="BD170" i="2"/>
  <c r="BG178" i="2"/>
  <c r="BH178" i="2"/>
  <c r="BF178" i="2"/>
  <c r="BE178" i="2"/>
  <c r="BD178" i="2"/>
  <c r="BG186" i="2"/>
  <c r="BH186" i="2"/>
  <c r="BE186" i="2"/>
  <c r="BD186" i="2"/>
  <c r="BF186" i="2"/>
  <c r="BG194" i="2"/>
  <c r="BH194" i="2"/>
  <c r="BF194" i="2"/>
  <c r="BE194" i="2"/>
  <c r="BD194" i="2"/>
  <c r="BG202" i="2"/>
  <c r="BH202" i="2"/>
  <c r="BE202" i="2"/>
  <c r="BF202" i="2"/>
  <c r="BD202" i="2"/>
  <c r="BG210" i="2"/>
  <c r="BH210" i="2"/>
  <c r="BE210" i="2"/>
  <c r="BF210" i="2"/>
  <c r="BD210" i="2"/>
  <c r="BG217" i="2"/>
  <c r="BH217" i="2"/>
  <c r="BF217" i="2"/>
  <c r="BE217" i="2"/>
  <c r="BD217" i="2"/>
  <c r="BG225" i="2"/>
  <c r="BH225" i="2"/>
  <c r="BE225" i="2"/>
  <c r="BF225" i="2"/>
  <c r="BD225" i="2"/>
  <c r="BG233" i="2"/>
  <c r="BH233" i="2"/>
  <c r="BE233" i="2"/>
  <c r="BF233" i="2"/>
  <c r="BD233" i="2"/>
  <c r="BG241" i="2"/>
  <c r="BH241" i="2"/>
  <c r="BF241" i="2"/>
  <c r="BE241" i="2"/>
  <c r="BD241" i="2"/>
  <c r="J8" i="2" l="1"/>
  <c r="I8" i="2"/>
  <c r="BQ10" i="2"/>
  <c r="BQ8" i="2" s="1"/>
  <c r="X8" i="2"/>
  <c r="T8" i="2"/>
  <c r="AG243" i="2"/>
  <c r="AG242" i="2"/>
  <c r="AG144" i="2"/>
  <c r="AG136" i="2"/>
  <c r="AG128" i="2"/>
  <c r="AG120" i="2"/>
  <c r="AG143" i="2"/>
  <c r="AG135" i="2"/>
  <c r="AG127" i="2"/>
  <c r="AG119" i="2"/>
  <c r="AG142" i="2"/>
  <c r="AG134" i="2"/>
  <c r="AG126" i="2"/>
  <c r="AG118" i="2"/>
  <c r="AG140" i="2"/>
  <c r="AG132" i="2"/>
  <c r="AG124" i="2"/>
  <c r="AG116" i="2"/>
  <c r="AG139" i="2"/>
  <c r="AG131" i="2"/>
  <c r="AG123" i="2"/>
  <c r="AG115" i="2"/>
  <c r="AG146" i="2"/>
  <c r="AG138" i="2"/>
  <c r="AG130" i="2"/>
  <c r="AG122" i="2"/>
  <c r="AG145" i="2"/>
  <c r="AG137" i="2"/>
  <c r="AG129" i="2"/>
  <c r="AG121" i="2"/>
  <c r="AG141" i="2"/>
  <c r="AG133" i="2"/>
  <c r="AG125" i="2"/>
  <c r="AG117" i="2"/>
  <c r="AD8" i="2"/>
  <c r="O8" i="2"/>
  <c r="Q8" i="2"/>
  <c r="AG8" i="2" l="1"/>
  <c r="J194" i="7"/>
  <c r="J72" i="7"/>
  <c r="I286" i="7"/>
  <c r="L286" i="7" s="1"/>
  <c r="Q286" i="7" s="1"/>
  <c r="I206" i="7"/>
  <c r="L206" i="7" s="1"/>
  <c r="Q206" i="7" s="1"/>
  <c r="T206" i="7" s="1"/>
  <c r="J235" i="7"/>
  <c r="I30" i="7"/>
  <c r="L30" i="7" s="1"/>
  <c r="Q30" i="7" s="1"/>
  <c r="I80" i="7"/>
  <c r="L80" i="7" s="1"/>
  <c r="Q80" i="7" s="1"/>
  <c r="T80" i="7" s="1"/>
  <c r="I120" i="7"/>
  <c r="L120" i="7" s="1"/>
  <c r="Q120" i="7" s="1"/>
  <c r="I121" i="7"/>
  <c r="L121" i="7" s="1"/>
  <c r="Q121" i="7" s="1"/>
  <c r="I150" i="7"/>
  <c r="L150" i="7" s="1"/>
  <c r="Q150" i="7" s="1"/>
  <c r="T150" i="7" s="1"/>
  <c r="J85" i="7"/>
  <c r="I168" i="7"/>
  <c r="L168" i="7" s="1"/>
  <c r="Q168" i="7" s="1"/>
  <c r="T168" i="7" s="1"/>
  <c r="J36" i="7"/>
  <c r="I58" i="7"/>
  <c r="L58" i="7" s="1"/>
  <c r="Q58" i="7" s="1"/>
  <c r="J131" i="7"/>
  <c r="I151" i="7"/>
  <c r="L151" i="7" s="1"/>
  <c r="Q151" i="7" s="1"/>
  <c r="T151" i="7" s="1"/>
  <c r="J248" i="7"/>
  <c r="J100" i="7"/>
  <c r="J23" i="7"/>
  <c r="J262" i="7"/>
  <c r="I128" i="7"/>
  <c r="L128" i="7" s="1"/>
  <c r="Q128" i="7" s="1"/>
  <c r="J110" i="7"/>
  <c r="J82" i="7"/>
  <c r="J140" i="7"/>
  <c r="I219" i="7"/>
  <c r="L219" i="7" s="1"/>
  <c r="Q219" i="7" s="1"/>
  <c r="J280" i="7"/>
  <c r="I158" i="7"/>
  <c r="L158" i="7" s="1"/>
  <c r="Q158" i="7" s="1"/>
  <c r="J103" i="7"/>
  <c r="J263" i="7"/>
  <c r="J241" i="7"/>
  <c r="J270" i="7"/>
  <c r="I91" i="7"/>
  <c r="L91" i="7" s="1"/>
  <c r="Q91" i="7" s="1"/>
  <c r="J151" i="7"/>
  <c r="I236" i="7"/>
  <c r="L236" i="7" s="1"/>
  <c r="Q236" i="7" s="1"/>
  <c r="J142" i="7"/>
  <c r="J164" i="7"/>
  <c r="J83" i="7"/>
  <c r="I211" i="7"/>
  <c r="L211" i="7" s="1"/>
  <c r="Q211" i="7" s="1"/>
  <c r="T211" i="7" s="1"/>
  <c r="I27" i="7"/>
  <c r="L27" i="7" s="1"/>
  <c r="Q27" i="7" s="1"/>
  <c r="I67" i="7"/>
  <c r="L67" i="7" s="1"/>
  <c r="Q67" i="7" s="1"/>
  <c r="T67" i="7" s="1"/>
  <c r="I145" i="7"/>
  <c r="L145" i="7" s="1"/>
  <c r="Q145" i="7" s="1"/>
  <c r="I166" i="7"/>
  <c r="L166" i="7" s="1"/>
  <c r="Q166" i="7" s="1"/>
  <c r="T166" i="7" s="1"/>
  <c r="J266" i="7"/>
  <c r="I77" i="7"/>
  <c r="L77" i="7" s="1"/>
  <c r="Q77" i="7" s="1"/>
  <c r="T77" i="7" s="1"/>
  <c r="I36" i="7"/>
  <c r="L36" i="7" s="1"/>
  <c r="Q36" i="7" s="1"/>
  <c r="I172" i="7"/>
  <c r="L172" i="7" s="1"/>
  <c r="Q172" i="7" s="1"/>
  <c r="T172" i="7" s="1"/>
  <c r="J18" i="7"/>
  <c r="I131" i="7"/>
  <c r="L131" i="7" s="1"/>
  <c r="Q131" i="7" s="1"/>
  <c r="I154" i="7"/>
  <c r="L154" i="7" s="1"/>
  <c r="Q154" i="7" s="1"/>
  <c r="J236" i="7"/>
  <c r="J224" i="7"/>
  <c r="I103" i="7"/>
  <c r="L103" i="7" s="1"/>
  <c r="Q103" i="7" s="1"/>
  <c r="T103" i="7" s="1"/>
  <c r="J286" i="7"/>
  <c r="J129" i="7"/>
  <c r="I125" i="7"/>
  <c r="L125" i="7" s="1"/>
  <c r="Q125" i="7" s="1"/>
  <c r="I68" i="7"/>
  <c r="L68" i="7" s="1"/>
  <c r="Q68" i="7" s="1"/>
  <c r="I149" i="7"/>
  <c r="L149" i="7" s="1"/>
  <c r="Q149" i="7" s="1"/>
  <c r="I163" i="7"/>
  <c r="L163" i="7" s="1"/>
  <c r="Q163" i="7" s="1"/>
  <c r="I252" i="7"/>
  <c r="L252" i="7" s="1"/>
  <c r="I139" i="7"/>
  <c r="L139" i="7" s="1"/>
  <c r="Q139" i="7" s="1"/>
  <c r="I291" i="7"/>
  <c r="L291" i="7" s="1"/>
  <c r="Q291" i="7" s="1"/>
  <c r="J289" i="7"/>
  <c r="J257" i="7"/>
  <c r="J58" i="7"/>
  <c r="I265" i="7"/>
  <c r="L265" i="7" s="1"/>
  <c r="Q265" i="7" s="1"/>
  <c r="I135" i="7"/>
  <c r="L135" i="7" s="1"/>
  <c r="Q135" i="7" s="1"/>
  <c r="T135" i="7" s="1"/>
  <c r="I249" i="7"/>
  <c r="L249" i="7" s="1"/>
  <c r="Q249" i="7" s="1"/>
  <c r="J227" i="7"/>
  <c r="I281" i="7"/>
  <c r="L281" i="7" s="1"/>
  <c r="Q281" i="7" s="1"/>
  <c r="T281" i="7" s="1"/>
  <c r="I188" i="7"/>
  <c r="L188" i="7" s="1"/>
  <c r="Q188" i="7" s="1"/>
  <c r="L256" i="2"/>
  <c r="P256" i="2" s="1"/>
  <c r="L252" i="2"/>
  <c r="P252" i="2" s="1"/>
  <c r="J252" i="7"/>
  <c r="J225" i="7"/>
  <c r="I229" i="7"/>
  <c r="L229" i="7" s="1"/>
  <c r="Q229" i="7" s="1"/>
  <c r="T229" i="7" s="1"/>
  <c r="I117" i="7"/>
  <c r="L117" i="7" s="1"/>
  <c r="Q117" i="7" s="1"/>
  <c r="T117" i="7" s="1"/>
  <c r="J175" i="7"/>
  <c r="I56" i="7"/>
  <c r="L56" i="7" s="1"/>
  <c r="Q56" i="7" s="1"/>
  <c r="T56" i="7" s="1"/>
  <c r="J54" i="7"/>
  <c r="J167" i="7"/>
  <c r="J283" i="7"/>
  <c r="J114" i="7"/>
  <c r="J258" i="7"/>
  <c r="J210" i="7"/>
  <c r="J78" i="7"/>
  <c r="J49" i="7"/>
  <c r="I88" i="7"/>
  <c r="L88" i="7" s="1"/>
  <c r="Q88" i="7" s="1"/>
  <c r="T88" i="7" s="1"/>
  <c r="I147" i="7"/>
  <c r="L147" i="7" s="1"/>
  <c r="Q147" i="7" s="1"/>
  <c r="I199" i="7"/>
  <c r="L199" i="7" s="1"/>
  <c r="Q199" i="7" s="1"/>
  <c r="T199" i="7" s="1"/>
  <c r="I255" i="7"/>
  <c r="L255" i="7" s="1"/>
  <c r="Q255" i="7" s="1"/>
  <c r="J71" i="7"/>
  <c r="J145" i="7"/>
  <c r="J179" i="7"/>
  <c r="I136" i="7"/>
  <c r="L136" i="7" s="1"/>
  <c r="Q136" i="7" s="1"/>
  <c r="J53" i="7"/>
  <c r="J90" i="7"/>
  <c r="I177" i="7"/>
  <c r="L177" i="7" s="1"/>
  <c r="Q177" i="7" s="1"/>
  <c r="I218" i="7"/>
  <c r="L218" i="7" s="1"/>
  <c r="Q218" i="7" s="1"/>
  <c r="T218" i="7" s="1"/>
  <c r="I288" i="7"/>
  <c r="L288" i="7" s="1"/>
  <c r="Q288" i="7" s="1"/>
  <c r="J158" i="7"/>
  <c r="I148" i="7"/>
  <c r="L148" i="7" s="1"/>
  <c r="Q148" i="7" s="1"/>
  <c r="J230" i="7"/>
  <c r="J24" i="7"/>
  <c r="I50" i="7"/>
  <c r="L50" i="7" s="1"/>
  <c r="Q50" i="7" s="1"/>
  <c r="I82" i="7"/>
  <c r="L82" i="7" s="1"/>
  <c r="Q82" i="7" s="1"/>
  <c r="J159" i="7"/>
  <c r="I257" i="7"/>
  <c r="L257" i="7" s="1"/>
  <c r="Q257" i="7" s="1"/>
  <c r="J182" i="7"/>
  <c r="I87" i="7"/>
  <c r="L87" i="7" s="1"/>
  <c r="Q87" i="7" s="1"/>
  <c r="J109" i="7"/>
  <c r="I160" i="7"/>
  <c r="L160" i="7" s="1"/>
  <c r="Q160" i="7" s="1"/>
  <c r="J14" i="7"/>
  <c r="J41" i="7"/>
  <c r="J122" i="7"/>
  <c r="J188" i="7"/>
  <c r="J183" i="7"/>
  <c r="I44" i="7"/>
  <c r="L44" i="7" s="1"/>
  <c r="Q44" i="7" s="1"/>
  <c r="I175" i="7"/>
  <c r="L175" i="7" s="1"/>
  <c r="Q175" i="7" s="1"/>
  <c r="J187" i="7"/>
  <c r="J28" i="7"/>
  <c r="J104" i="7"/>
  <c r="J198" i="7"/>
  <c r="J265" i="7"/>
  <c r="J95" i="7"/>
  <c r="J233" i="7"/>
  <c r="I164" i="7"/>
  <c r="L164" i="7" s="1"/>
  <c r="Q164" i="7" s="1"/>
  <c r="T164" i="7" s="1"/>
  <c r="I171" i="7"/>
  <c r="L171" i="7" s="1"/>
  <c r="Q171" i="7" s="1"/>
  <c r="T171" i="7" s="1"/>
  <c r="J150" i="7"/>
  <c r="I21" i="7"/>
  <c r="L21" i="7" s="1"/>
  <c r="Q21" i="7" s="1"/>
  <c r="I167" i="7"/>
  <c r="L167" i="7" s="1"/>
  <c r="Q167" i="7" s="1"/>
  <c r="T167" i="7" s="1"/>
  <c r="J199" i="7"/>
  <c r="I246" i="7"/>
  <c r="L246" i="7" s="1"/>
  <c r="Q246" i="7" s="1"/>
  <c r="T246" i="7" s="1"/>
  <c r="I197" i="7"/>
  <c r="L197" i="7" s="1"/>
  <c r="Q197" i="7" s="1"/>
  <c r="T197" i="7" s="1"/>
  <c r="J285" i="7"/>
  <c r="J256" i="7"/>
  <c r="I289" i="7"/>
  <c r="L289" i="7" s="1"/>
  <c r="Q289" i="7" s="1"/>
  <c r="T289" i="7" s="1"/>
  <c r="I247" i="7"/>
  <c r="L247" i="7" s="1"/>
  <c r="Q247" i="7" s="1"/>
  <c r="J260" i="7"/>
  <c r="J112" i="7"/>
  <c r="J255" i="7"/>
  <c r="J171" i="7"/>
  <c r="J205" i="7"/>
  <c r="J245" i="7"/>
  <c r="L268" i="2"/>
  <c r="P268" i="2" s="1"/>
  <c r="L264" i="2"/>
  <c r="P264" i="2" s="1"/>
  <c r="J213" i="7"/>
  <c r="I143" i="7"/>
  <c r="L143" i="7" s="1"/>
  <c r="Q143" i="7" s="1"/>
  <c r="I277" i="7"/>
  <c r="L277" i="7" s="1"/>
  <c r="Q277" i="7" s="1"/>
  <c r="I49" i="7"/>
  <c r="L49" i="7" s="1"/>
  <c r="Q49" i="7" s="1"/>
  <c r="T49" i="7" s="1"/>
  <c r="I101" i="7"/>
  <c r="L101" i="7" s="1"/>
  <c r="Q101" i="7" s="1"/>
  <c r="T101" i="7" s="1"/>
  <c r="I73" i="7"/>
  <c r="L73" i="7" s="1"/>
  <c r="Q73" i="7" s="1"/>
  <c r="I17" i="7"/>
  <c r="L17" i="7" s="1"/>
  <c r="Q17" i="7" s="1"/>
  <c r="J59" i="7"/>
  <c r="I140" i="7"/>
  <c r="L140" i="7" s="1"/>
  <c r="Q140" i="7" s="1"/>
  <c r="J55" i="7"/>
  <c r="J79" i="7"/>
  <c r="J287" i="7"/>
  <c r="J67" i="7"/>
  <c r="I220" i="7"/>
  <c r="L220" i="7" s="1"/>
  <c r="Q220" i="7" s="1"/>
  <c r="J10" i="7"/>
  <c r="J64" i="7"/>
  <c r="J139" i="7"/>
  <c r="J176" i="7"/>
  <c r="I267" i="7"/>
  <c r="L267" i="7" s="1"/>
  <c r="Q267" i="7" s="1"/>
  <c r="I234" i="7"/>
  <c r="L234" i="7" s="1"/>
  <c r="Q234" i="7" s="1"/>
  <c r="I71" i="7"/>
  <c r="L71" i="7" s="1"/>
  <c r="Q71" i="7" s="1"/>
  <c r="T71" i="7" s="1"/>
  <c r="J87" i="7"/>
  <c r="I185" i="7"/>
  <c r="L185" i="7" s="1"/>
  <c r="Q185" i="7" s="1"/>
  <c r="T185" i="7" s="1"/>
  <c r="I54" i="7"/>
  <c r="L54" i="7" s="1"/>
  <c r="Q54" i="7" s="1"/>
  <c r="T54" i="7" s="1"/>
  <c r="I92" i="7"/>
  <c r="L92" i="7" s="1"/>
  <c r="Q92" i="7" s="1"/>
  <c r="I184" i="7"/>
  <c r="L184" i="7" s="1"/>
  <c r="Q184" i="7" s="1"/>
  <c r="T184" i="7" s="1"/>
  <c r="I230" i="7"/>
  <c r="L230" i="7" s="1"/>
  <c r="Q230" i="7" s="1"/>
  <c r="T230" i="7" s="1"/>
  <c r="J77" i="7"/>
  <c r="J120" i="7"/>
  <c r="I94" i="7"/>
  <c r="L94" i="7" s="1"/>
  <c r="Q94" i="7" s="1"/>
  <c r="T94" i="7" s="1"/>
  <c r="J201" i="7"/>
  <c r="J239" i="7"/>
  <c r="J48" i="7"/>
  <c r="J107" i="7"/>
  <c r="J163" i="7"/>
  <c r="J253" i="7"/>
  <c r="I198" i="7"/>
  <c r="L198" i="7" s="1"/>
  <c r="Q198" i="7" s="1"/>
  <c r="T198" i="7" s="1"/>
  <c r="J121" i="7"/>
  <c r="J108" i="7"/>
  <c r="I240" i="7"/>
  <c r="L240" i="7" s="1"/>
  <c r="Q240" i="7" s="1"/>
  <c r="J96" i="7"/>
  <c r="I75" i="7"/>
  <c r="L75" i="7" s="1"/>
  <c r="Q75" i="7" s="1"/>
  <c r="J144" i="7"/>
  <c r="I202" i="7"/>
  <c r="L202" i="7" s="1"/>
  <c r="Q202" i="7" s="1"/>
  <c r="I195" i="7"/>
  <c r="L195" i="7" s="1"/>
  <c r="Q195" i="7" s="1"/>
  <c r="J279" i="7"/>
  <c r="I241" i="7"/>
  <c r="L241" i="7" s="1"/>
  <c r="Q241" i="7" s="1"/>
  <c r="J259" i="7"/>
  <c r="J68" i="7"/>
  <c r="I113" i="7"/>
  <c r="L113" i="7" s="1"/>
  <c r="Q113" i="7" s="1"/>
  <c r="J211" i="7"/>
  <c r="J276" i="7"/>
  <c r="I93" i="7"/>
  <c r="L93" i="7" s="1"/>
  <c r="Q93" i="7" s="1"/>
  <c r="I42" i="7"/>
  <c r="L42" i="7" s="1"/>
  <c r="Q42" i="7" s="1"/>
  <c r="J271" i="7"/>
  <c r="I228" i="7"/>
  <c r="L228" i="7" s="1"/>
  <c r="Q228" i="7" s="1"/>
  <c r="I221" i="7"/>
  <c r="L221" i="7" s="1"/>
  <c r="Q221" i="7" s="1"/>
  <c r="J91" i="7"/>
  <c r="J170" i="7"/>
  <c r="J196" i="7"/>
  <c r="I276" i="7"/>
  <c r="L276" i="7" s="1"/>
  <c r="Q276" i="7" s="1"/>
  <c r="T276" i="7" s="1"/>
  <c r="I162" i="7"/>
  <c r="L162" i="7" s="1"/>
  <c r="Q162" i="7" s="1"/>
  <c r="T162" i="7" s="1"/>
  <c r="J99" i="7"/>
  <c r="J282" i="7"/>
  <c r="J290" i="7"/>
  <c r="J220" i="7"/>
  <c r="I282" i="7"/>
  <c r="L282" i="7" s="1"/>
  <c r="Q282" i="7" s="1"/>
  <c r="J127" i="7"/>
  <c r="I213" i="7"/>
  <c r="L213" i="7" s="1"/>
  <c r="Q213" i="7" s="1"/>
  <c r="T213" i="7" s="1"/>
  <c r="J244" i="7"/>
  <c r="J20" i="7"/>
  <c r="I268" i="7"/>
  <c r="L268" i="7" s="1"/>
  <c r="Q268" i="7" s="1"/>
  <c r="L263" i="2"/>
  <c r="P263" i="2" s="1"/>
  <c r="L262" i="2"/>
  <c r="P262" i="2" s="1"/>
  <c r="J277" i="7"/>
  <c r="J42" i="7"/>
  <c r="I24" i="7"/>
  <c r="L24" i="7" s="1"/>
  <c r="Q24" i="7" s="1"/>
  <c r="J254" i="7"/>
  <c r="J74" i="7"/>
  <c r="J34" i="7"/>
  <c r="I86" i="7"/>
  <c r="L86" i="7" s="1"/>
  <c r="Q86" i="7" s="1"/>
  <c r="I165" i="7"/>
  <c r="L165" i="7" s="1"/>
  <c r="Q165" i="7" s="1"/>
  <c r="T165" i="7" s="1"/>
  <c r="J202" i="7"/>
  <c r="I152" i="7"/>
  <c r="L152" i="7" s="1"/>
  <c r="Q152" i="7" s="1"/>
  <c r="I292" i="7"/>
  <c r="L292" i="7" s="1"/>
  <c r="Q292" i="7" s="1"/>
  <c r="J11" i="7"/>
  <c r="J32" i="7"/>
  <c r="I48" i="7"/>
  <c r="L48" i="7" s="1"/>
  <c r="Q48" i="7" s="1"/>
  <c r="T48" i="7" s="1"/>
  <c r="J86" i="7"/>
  <c r="J152" i="7"/>
  <c r="J223" i="7"/>
  <c r="J246" i="7"/>
  <c r="J138" i="7"/>
  <c r="I108" i="7"/>
  <c r="L108" i="7" s="1"/>
  <c r="Q108" i="7" s="1"/>
  <c r="J229" i="7"/>
  <c r="I22" i="7"/>
  <c r="L22" i="7" s="1"/>
  <c r="Q22" i="7" s="1"/>
  <c r="T22" i="7" s="1"/>
  <c r="I123" i="7"/>
  <c r="L123" i="7" s="1"/>
  <c r="Q123" i="7" s="1"/>
  <c r="J153" i="7"/>
  <c r="J189" i="7"/>
  <c r="I237" i="7"/>
  <c r="L237" i="7" s="1"/>
  <c r="Q237" i="7" s="1"/>
  <c r="J134" i="7"/>
  <c r="J212" i="7"/>
  <c r="J63" i="7"/>
  <c r="I216" i="7"/>
  <c r="L216" i="7" s="1"/>
  <c r="Q216" i="7" s="1"/>
  <c r="I84" i="7"/>
  <c r="L84" i="7" s="1"/>
  <c r="Q84" i="7" s="1"/>
  <c r="I53" i="7"/>
  <c r="L53" i="7" s="1"/>
  <c r="Q53" i="7" s="1"/>
  <c r="I118" i="7"/>
  <c r="L118" i="7" s="1"/>
  <c r="Q118" i="7" s="1"/>
  <c r="I223" i="7"/>
  <c r="L223" i="7" s="1"/>
  <c r="Q223" i="7" s="1"/>
  <c r="I273" i="7"/>
  <c r="L273" i="7" s="1"/>
  <c r="Q273" i="7" s="1"/>
  <c r="J173" i="7"/>
  <c r="J26" i="7"/>
  <c r="J234" i="7"/>
  <c r="J51" i="7"/>
  <c r="J76" i="7"/>
  <c r="I41" i="7"/>
  <c r="L41" i="7" s="1"/>
  <c r="Q41" i="7" s="1"/>
  <c r="J203" i="7"/>
  <c r="J177" i="7"/>
  <c r="J98" i="7"/>
  <c r="I201" i="7"/>
  <c r="L201" i="7" s="1"/>
  <c r="Q201" i="7" s="1"/>
  <c r="T201" i="7" s="1"/>
  <c r="I35" i="7"/>
  <c r="L35" i="7" s="1"/>
  <c r="Q35" i="7" s="1"/>
  <c r="T35" i="7" s="1"/>
  <c r="J56" i="7"/>
  <c r="I29" i="7"/>
  <c r="L29" i="7" s="1"/>
  <c r="Q29" i="7" s="1"/>
  <c r="T29" i="7" s="1"/>
  <c r="J169" i="7"/>
  <c r="J168" i="7"/>
  <c r="I191" i="7"/>
  <c r="L191" i="7" s="1"/>
  <c r="Q191" i="7" s="1"/>
  <c r="I178" i="7"/>
  <c r="L178" i="7" s="1"/>
  <c r="Q178" i="7" s="1"/>
  <c r="I20" i="7"/>
  <c r="L20" i="7" s="1"/>
  <c r="Q20" i="7" s="1"/>
  <c r="T20" i="7" s="1"/>
  <c r="I243" i="7"/>
  <c r="L243" i="7" s="1"/>
  <c r="Q243" i="7" s="1"/>
  <c r="T243" i="7" s="1"/>
  <c r="I235" i="7"/>
  <c r="L235" i="7" s="1"/>
  <c r="Q235" i="7" s="1"/>
  <c r="I43" i="7"/>
  <c r="L43" i="7" s="1"/>
  <c r="Q43" i="7" s="1"/>
  <c r="I65" i="7"/>
  <c r="L65" i="7" s="1"/>
  <c r="Q65" i="7" s="1"/>
  <c r="J146" i="7"/>
  <c r="J269" i="7"/>
  <c r="J264" i="7"/>
  <c r="J261" i="7"/>
  <c r="I231" i="7"/>
  <c r="L231" i="7" s="1"/>
  <c r="Q231" i="7" s="1"/>
  <c r="I174" i="7"/>
  <c r="L174" i="7" s="1"/>
  <c r="Q174" i="7" s="1"/>
  <c r="T174" i="7" s="1"/>
  <c r="I270" i="7"/>
  <c r="L270" i="7" s="1"/>
  <c r="Q270" i="7" s="1"/>
  <c r="T270" i="7" s="1"/>
  <c r="I124" i="7"/>
  <c r="L124" i="7" s="1"/>
  <c r="Q124" i="7" s="1"/>
  <c r="I209" i="7"/>
  <c r="L209" i="7" s="1"/>
  <c r="Q209" i="7" s="1"/>
  <c r="T209" i="7" s="1"/>
  <c r="J143" i="7"/>
  <c r="J37" i="7"/>
  <c r="J281" i="7"/>
  <c r="J44" i="7"/>
  <c r="J250" i="7"/>
  <c r="L261" i="2"/>
  <c r="P261" i="2" s="1"/>
  <c r="L265" i="2"/>
  <c r="P265" i="2" s="1"/>
  <c r="L253" i="2"/>
  <c r="P253" i="2" s="1"/>
  <c r="J50" i="7"/>
  <c r="J292" i="7"/>
  <c r="J136" i="7"/>
  <c r="J162" i="7"/>
  <c r="I284" i="7"/>
  <c r="L284" i="7" s="1"/>
  <c r="Q284" i="7" s="1"/>
  <c r="I193" i="7"/>
  <c r="L193" i="7" s="1"/>
  <c r="Q193" i="7" s="1"/>
  <c r="T193" i="7" s="1"/>
  <c r="I45" i="7"/>
  <c r="L45" i="7" s="1"/>
  <c r="Q45" i="7" s="1"/>
  <c r="T45" i="7" s="1"/>
  <c r="J12" i="7"/>
  <c r="I90" i="7"/>
  <c r="L90" i="7" s="1"/>
  <c r="Q90" i="7" s="1"/>
  <c r="J181" i="7"/>
  <c r="I132" i="7"/>
  <c r="L132" i="7" s="1"/>
  <c r="Q132" i="7" s="1"/>
  <c r="J157" i="7"/>
  <c r="J197" i="7"/>
  <c r="I51" i="7"/>
  <c r="L51" i="7" s="1"/>
  <c r="Q51" i="7" s="1"/>
  <c r="J27" i="7"/>
  <c r="J57" i="7"/>
  <c r="I107" i="7"/>
  <c r="L107" i="7" s="1"/>
  <c r="Q107" i="7" s="1"/>
  <c r="I173" i="7"/>
  <c r="L173" i="7" s="1"/>
  <c r="Q173" i="7" s="1"/>
  <c r="T173" i="7" s="1"/>
  <c r="I232" i="7"/>
  <c r="L232" i="7" s="1"/>
  <c r="Q232" i="7" s="1"/>
  <c r="J13" i="7"/>
  <c r="J132" i="7"/>
  <c r="I102" i="7"/>
  <c r="L102" i="7" s="1"/>
  <c r="Q102" i="7" s="1"/>
  <c r="T102" i="7" s="1"/>
  <c r="I182" i="7"/>
  <c r="L182" i="7" s="1"/>
  <c r="Q182" i="7" s="1"/>
  <c r="T182" i="7" s="1"/>
  <c r="J43" i="7"/>
  <c r="J97" i="7"/>
  <c r="J80" i="7"/>
  <c r="I214" i="7"/>
  <c r="L214" i="7" s="1"/>
  <c r="Q214" i="7" s="1"/>
  <c r="T214" i="7" s="1"/>
  <c r="I239" i="7"/>
  <c r="L239" i="7" s="1"/>
  <c r="Q239" i="7" s="1"/>
  <c r="I16" i="7"/>
  <c r="L16" i="7" s="1"/>
  <c r="Q16" i="7" s="1"/>
  <c r="T16" i="7" s="1"/>
  <c r="I266" i="7"/>
  <c r="L266" i="7" s="1"/>
  <c r="Q266" i="7" s="1"/>
  <c r="I26" i="7"/>
  <c r="L26" i="7" s="1"/>
  <c r="Q26" i="7" s="1"/>
  <c r="I129" i="7"/>
  <c r="L129" i="7" s="1"/>
  <c r="Q129" i="7" s="1"/>
  <c r="J165" i="7"/>
  <c r="J25" i="7"/>
  <c r="I100" i="7"/>
  <c r="L100" i="7" s="1"/>
  <c r="Q100" i="7" s="1"/>
  <c r="J226" i="7"/>
  <c r="I280" i="7"/>
  <c r="L280" i="7" s="1"/>
  <c r="Q280" i="7" s="1"/>
  <c r="T280" i="7" s="1"/>
  <c r="I79" i="7"/>
  <c r="L79" i="7" s="1"/>
  <c r="Q79" i="7" s="1"/>
  <c r="J191" i="7"/>
  <c r="I62" i="7"/>
  <c r="L62" i="7" s="1"/>
  <c r="Q62" i="7" s="1"/>
  <c r="J45" i="7"/>
  <c r="J38" i="7"/>
  <c r="J65" i="7"/>
  <c r="I204" i="7"/>
  <c r="L204" i="7" s="1"/>
  <c r="Q204" i="7" s="1"/>
  <c r="J113" i="7"/>
  <c r="J174" i="7"/>
  <c r="J133" i="7"/>
  <c r="J247" i="7"/>
  <c r="J22" i="7"/>
  <c r="J73" i="7"/>
  <c r="I142" i="7"/>
  <c r="L142" i="7" s="1"/>
  <c r="Q142" i="7" s="1"/>
  <c r="J218" i="7"/>
  <c r="J228" i="7"/>
  <c r="I283" i="7"/>
  <c r="L283" i="7" s="1"/>
  <c r="Q283" i="7" s="1"/>
  <c r="I112" i="7"/>
  <c r="L112" i="7" s="1"/>
  <c r="Q112" i="7" s="1"/>
  <c r="J243" i="7"/>
  <c r="J35" i="7"/>
  <c r="I76" i="7"/>
  <c r="L76" i="7" s="1"/>
  <c r="Q76" i="7" s="1"/>
  <c r="T76" i="7" s="1"/>
  <c r="J89" i="7"/>
  <c r="J200" i="7"/>
  <c r="J195" i="7"/>
  <c r="I215" i="7"/>
  <c r="L215" i="7" s="1"/>
  <c r="Q215" i="7" s="1"/>
  <c r="J273" i="7"/>
  <c r="I224" i="7"/>
  <c r="L224" i="7" s="1"/>
  <c r="Q224" i="7" s="1"/>
  <c r="I83" i="7"/>
  <c r="L83" i="7" s="1"/>
  <c r="Q83" i="7" s="1"/>
  <c r="I287" i="7"/>
  <c r="L287" i="7" s="1"/>
  <c r="Q287" i="7" s="1"/>
  <c r="I264" i="7"/>
  <c r="L264" i="7" s="1"/>
  <c r="Q264" i="7" s="1"/>
  <c r="T264" i="7" s="1"/>
  <c r="I187" i="7"/>
  <c r="L187" i="7" s="1"/>
  <c r="Q187" i="7" s="1"/>
  <c r="T187" i="7" s="1"/>
  <c r="J232" i="7"/>
  <c r="J123" i="7"/>
  <c r="J291" i="7"/>
  <c r="I40" i="7"/>
  <c r="L40" i="7" s="1"/>
  <c r="Q40" i="7" s="1"/>
  <c r="I248" i="7"/>
  <c r="L248" i="7" s="1"/>
  <c r="Q248" i="7" s="1"/>
  <c r="L267" i="2"/>
  <c r="P267" i="2" s="1"/>
  <c r="L254" i="2"/>
  <c r="P254" i="2" s="1"/>
  <c r="I19" i="7"/>
  <c r="L19" i="7" s="1"/>
  <c r="Q19" i="7" s="1"/>
  <c r="T19" i="7" s="1"/>
  <c r="I14" i="7"/>
  <c r="L14" i="7" s="1"/>
  <c r="Q14" i="7" s="1"/>
  <c r="I205" i="7"/>
  <c r="L205" i="7" s="1"/>
  <c r="Q205" i="7" s="1"/>
  <c r="J192" i="7"/>
  <c r="I122" i="7"/>
  <c r="L122" i="7" s="1"/>
  <c r="Q122" i="7" s="1"/>
  <c r="T122" i="7" s="1"/>
  <c r="I225" i="7"/>
  <c r="L225" i="7" s="1"/>
  <c r="Q225" i="7" s="1"/>
  <c r="I186" i="7"/>
  <c r="L186" i="7" s="1"/>
  <c r="Q186" i="7" s="1"/>
  <c r="I31" i="7"/>
  <c r="L31" i="7" s="1"/>
  <c r="Q31" i="7" s="1"/>
  <c r="I18" i="7"/>
  <c r="L18" i="7" s="1"/>
  <c r="Q18" i="7" s="1"/>
  <c r="J75" i="7"/>
  <c r="J115" i="7"/>
  <c r="J128" i="7"/>
  <c r="J124" i="7"/>
  <c r="J206" i="7"/>
  <c r="I134" i="7"/>
  <c r="L134" i="7" s="1"/>
  <c r="Q134" i="7" s="1"/>
  <c r="J52" i="7"/>
  <c r="I13" i="7"/>
  <c r="L13" i="7" s="1"/>
  <c r="Q13" i="7" s="1"/>
  <c r="J101" i="7"/>
  <c r="J135" i="7"/>
  <c r="J215" i="7"/>
  <c r="J126" i="7"/>
  <c r="J208" i="7"/>
  <c r="I25" i="7"/>
  <c r="L25" i="7" s="1"/>
  <c r="Q25" i="7" s="1"/>
  <c r="T25" i="7" s="1"/>
  <c r="J47" i="7"/>
  <c r="J29" i="7"/>
  <c r="I59" i="7"/>
  <c r="L59" i="7" s="1"/>
  <c r="Q59" i="7" s="1"/>
  <c r="T59" i="7" s="1"/>
  <c r="I115" i="7"/>
  <c r="L115" i="7" s="1"/>
  <c r="Q115" i="7" s="1"/>
  <c r="J186" i="7"/>
  <c r="I254" i="7"/>
  <c r="L254" i="7" s="1"/>
  <c r="Q254" i="7" s="1"/>
  <c r="T254" i="7" s="1"/>
  <c r="J84" i="7"/>
  <c r="J102" i="7"/>
  <c r="J185" i="7"/>
  <c r="I74" i="7"/>
  <c r="L74" i="7" s="1"/>
  <c r="Q74" i="7" s="1"/>
  <c r="J217" i="7"/>
  <c r="J40" i="7"/>
  <c r="J161" i="7"/>
  <c r="J249" i="7"/>
  <c r="J274" i="7"/>
  <c r="J172" i="7"/>
  <c r="I33" i="7"/>
  <c r="L33" i="7" s="1"/>
  <c r="Q33" i="7" s="1"/>
  <c r="J180" i="7"/>
  <c r="J17" i="7"/>
  <c r="J66" i="7"/>
  <c r="I98" i="7"/>
  <c r="L98" i="7" s="1"/>
  <c r="Q98" i="7" s="1"/>
  <c r="J214" i="7"/>
  <c r="I259" i="7"/>
  <c r="L259" i="7" s="1"/>
  <c r="Q259" i="7" s="1"/>
  <c r="T259" i="7" s="1"/>
  <c r="I114" i="7"/>
  <c r="L114" i="7" s="1"/>
  <c r="Q114" i="7" s="1"/>
  <c r="T114" i="7" s="1"/>
  <c r="J242" i="7"/>
  <c r="I133" i="7"/>
  <c r="L133" i="7" s="1"/>
  <c r="Q133" i="7" s="1"/>
  <c r="I52" i="7"/>
  <c r="L52" i="7" s="1"/>
  <c r="Q52" i="7" s="1"/>
  <c r="J105" i="7"/>
  <c r="J156" i="7"/>
  <c r="I222" i="7"/>
  <c r="L222" i="7" s="1"/>
  <c r="Q222" i="7" s="1"/>
  <c r="I279" i="7"/>
  <c r="L279" i="7" s="1"/>
  <c r="Q279" i="7" s="1"/>
  <c r="J130" i="7"/>
  <c r="I95" i="7"/>
  <c r="L95" i="7" s="1"/>
  <c r="Q95" i="7" s="1"/>
  <c r="J190" i="7"/>
  <c r="J209" i="7"/>
  <c r="I10" i="7"/>
  <c r="L10" i="7" s="1"/>
  <c r="Q10" i="7" s="1"/>
  <c r="I106" i="7"/>
  <c r="L106" i="7" s="1"/>
  <c r="Q106" i="7" s="1"/>
  <c r="I203" i="7"/>
  <c r="L203" i="7" s="1"/>
  <c r="Q203" i="7" s="1"/>
  <c r="T203" i="7" s="1"/>
  <c r="I244" i="7"/>
  <c r="L244" i="7" s="1"/>
  <c r="Q244" i="7" s="1"/>
  <c r="T244" i="7" s="1"/>
  <c r="I251" i="7"/>
  <c r="L251" i="7" s="1"/>
  <c r="Q251" i="7" s="1"/>
  <c r="I111" i="7"/>
  <c r="L111" i="7" s="1"/>
  <c r="Q111" i="7" s="1"/>
  <c r="J267" i="7"/>
  <c r="I157" i="7"/>
  <c r="L157" i="7" s="1"/>
  <c r="Q157" i="7" s="1"/>
  <c r="J221" i="7"/>
  <c r="J117" i="7"/>
  <c r="J106" i="7"/>
  <c r="J222" i="7"/>
  <c r="J147" i="7"/>
  <c r="I290" i="7"/>
  <c r="L290" i="7" s="1"/>
  <c r="Q290" i="7" s="1"/>
  <c r="I70" i="7"/>
  <c r="L70" i="7" s="1"/>
  <c r="Q70" i="7" s="1"/>
  <c r="J268" i="7"/>
  <c r="L257" i="2"/>
  <c r="P257" i="2" s="1"/>
  <c r="L266" i="2"/>
  <c r="P266" i="2" s="1"/>
  <c r="I274" i="7"/>
  <c r="L274" i="7" s="1"/>
  <c r="Q274" i="7" s="1"/>
  <c r="J81" i="7"/>
  <c r="J193" i="7"/>
  <c r="J19" i="7"/>
  <c r="I99" i="7"/>
  <c r="L99" i="7" s="1"/>
  <c r="Q99" i="7" s="1"/>
  <c r="T99" i="7" s="1"/>
  <c r="I137" i="7"/>
  <c r="L137" i="7" s="1"/>
  <c r="Q137" i="7" s="1"/>
  <c r="T137" i="7" s="1"/>
  <c r="I61" i="7"/>
  <c r="L61" i="7" s="1"/>
  <c r="Q61" i="7" s="1"/>
  <c r="I66" i="7"/>
  <c r="L66" i="7" s="1"/>
  <c r="Q66" i="7" s="1"/>
  <c r="I105" i="7"/>
  <c r="L105" i="7" s="1"/>
  <c r="Q105" i="7" s="1"/>
  <c r="I271" i="7"/>
  <c r="L271" i="7" s="1"/>
  <c r="Q271" i="7" s="1"/>
  <c r="I208" i="7"/>
  <c r="L208" i="7" s="1"/>
  <c r="Q208" i="7" s="1"/>
  <c r="T208" i="7" s="1"/>
  <c r="J149" i="7"/>
  <c r="J216" i="7"/>
  <c r="I15" i="7"/>
  <c r="L15" i="7" s="1"/>
  <c r="Q15" i="7" s="1"/>
  <c r="I34" i="7"/>
  <c r="L34" i="7" s="1"/>
  <c r="Q34" i="7" s="1"/>
  <c r="T34" i="7" s="1"/>
  <c r="I60" i="7"/>
  <c r="L60" i="7" s="1"/>
  <c r="Q60" i="7" s="1"/>
  <c r="I72" i="7"/>
  <c r="L72" i="7" s="1"/>
  <c r="Q72" i="7" s="1"/>
  <c r="I159" i="7"/>
  <c r="L159" i="7" s="1"/>
  <c r="Q159" i="7" s="1"/>
  <c r="T159" i="7" s="1"/>
  <c r="I245" i="7"/>
  <c r="L245" i="7" s="1"/>
  <c r="Q245" i="7" s="1"/>
  <c r="I12" i="7"/>
  <c r="L12" i="7" s="1"/>
  <c r="Q12" i="7" s="1"/>
  <c r="I119" i="7"/>
  <c r="L119" i="7" s="1"/>
  <c r="Q119" i="7" s="1"/>
  <c r="J275" i="7"/>
  <c r="J15" i="7"/>
  <c r="I28" i="7"/>
  <c r="L28" i="7" s="1"/>
  <c r="Q28" i="7" s="1"/>
  <c r="J69" i="7"/>
  <c r="I130" i="7"/>
  <c r="L130" i="7" s="1"/>
  <c r="Q130" i="7" s="1"/>
  <c r="T130" i="7" s="1"/>
  <c r="J207" i="7"/>
  <c r="J272" i="7"/>
  <c r="I69" i="7"/>
  <c r="L69" i="7" s="1"/>
  <c r="Q69" i="7" s="1"/>
  <c r="T69" i="7" s="1"/>
  <c r="I169" i="7"/>
  <c r="L169" i="7" s="1"/>
  <c r="Q169" i="7" s="1"/>
  <c r="T169" i="7" s="1"/>
  <c r="I263" i="7"/>
  <c r="L263" i="7" s="1"/>
  <c r="Q263" i="7" s="1"/>
  <c r="T263" i="7" s="1"/>
  <c r="J141" i="7"/>
  <c r="I138" i="7"/>
  <c r="L138" i="7" s="1"/>
  <c r="Q138" i="7" s="1"/>
  <c r="T138" i="7" s="1"/>
  <c r="I57" i="7"/>
  <c r="L57" i="7" s="1"/>
  <c r="Q57" i="7" s="1"/>
  <c r="T57" i="7" s="1"/>
  <c r="J119" i="7"/>
  <c r="I242" i="7"/>
  <c r="L242" i="7" s="1"/>
  <c r="Q242" i="7" s="1"/>
  <c r="T242" i="7" s="1"/>
  <c r="J288" i="7"/>
  <c r="I39" i="7"/>
  <c r="L39" i="7" s="1"/>
  <c r="Q39" i="7" s="1"/>
  <c r="T39" i="7" s="1"/>
  <c r="J31" i="7"/>
  <c r="I11" i="7"/>
  <c r="L11" i="7" s="1"/>
  <c r="Q11" i="7" s="1"/>
  <c r="I37" i="7"/>
  <c r="L37" i="7" s="1"/>
  <c r="Q37" i="7" s="1"/>
  <c r="I97" i="7"/>
  <c r="L97" i="7" s="1"/>
  <c r="Q97" i="7" s="1"/>
  <c r="I161" i="7"/>
  <c r="L161" i="7" s="1"/>
  <c r="Q161" i="7" s="1"/>
  <c r="T161" i="7" s="1"/>
  <c r="I227" i="7"/>
  <c r="L227" i="7" s="1"/>
  <c r="Q227" i="7" s="1"/>
  <c r="T227" i="7" s="1"/>
  <c r="I55" i="7"/>
  <c r="L55" i="7" s="1"/>
  <c r="Q55" i="7" s="1"/>
  <c r="T55" i="7" s="1"/>
  <c r="I109" i="7"/>
  <c r="L109" i="7" s="1"/>
  <c r="Q109" i="7" s="1"/>
  <c r="J62" i="7"/>
  <c r="I23" i="7"/>
  <c r="L23" i="7" s="1"/>
  <c r="Q23" i="7" s="1"/>
  <c r="T23" i="7" s="1"/>
  <c r="I96" i="7"/>
  <c r="L96" i="7" s="1"/>
  <c r="Q96" i="7" s="1"/>
  <c r="I89" i="7"/>
  <c r="L89" i="7" s="1"/>
  <c r="Q89" i="7" s="1"/>
  <c r="J204" i="7"/>
  <c r="I256" i="7"/>
  <c r="L256" i="7" s="1"/>
  <c r="Q256" i="7" s="1"/>
  <c r="I233" i="7"/>
  <c r="L233" i="7" s="1"/>
  <c r="Q233" i="7" s="1"/>
  <c r="T233" i="7" s="1"/>
  <c r="J118" i="7"/>
  <c r="I127" i="7"/>
  <c r="L127" i="7" s="1"/>
  <c r="Q127" i="7" s="1"/>
  <c r="I85" i="7"/>
  <c r="L85" i="7" s="1"/>
  <c r="Q85" i="7" s="1"/>
  <c r="T85" i="7" s="1"/>
  <c r="I217" i="7"/>
  <c r="L217" i="7" s="1"/>
  <c r="Q217" i="7" s="1"/>
  <c r="J16" i="7"/>
  <c r="J93" i="7"/>
  <c r="J160" i="7"/>
  <c r="I238" i="7"/>
  <c r="L238" i="7" s="1"/>
  <c r="Q238" i="7" s="1"/>
  <c r="T238" i="7" s="1"/>
  <c r="I155" i="7"/>
  <c r="L155" i="7" s="1"/>
  <c r="Q155" i="7" s="1"/>
  <c r="I190" i="7"/>
  <c r="L190" i="7" s="1"/>
  <c r="Q190" i="7" s="1"/>
  <c r="T190" i="7" s="1"/>
  <c r="I260" i="7"/>
  <c r="L260" i="7" s="1"/>
  <c r="Q260" i="7" s="1"/>
  <c r="T260" i="7" s="1"/>
  <c r="I194" i="7"/>
  <c r="L194" i="7" s="1"/>
  <c r="Q194" i="7" s="1"/>
  <c r="T194" i="7" s="1"/>
  <c r="J148" i="7"/>
  <c r="J219" i="7"/>
  <c r="I153" i="7"/>
  <c r="L153" i="7" s="1"/>
  <c r="Q153" i="7" s="1"/>
  <c r="I170" i="7"/>
  <c r="L170" i="7" s="1"/>
  <c r="Q170" i="7" s="1"/>
  <c r="T170" i="7" s="1"/>
  <c r="J184" i="7"/>
  <c r="I275" i="7"/>
  <c r="L275" i="7" s="1"/>
  <c r="Q275" i="7" s="1"/>
  <c r="I116" i="7"/>
  <c r="L116" i="7" s="1"/>
  <c r="Q116" i="7" s="1"/>
  <c r="L259" i="2"/>
  <c r="P259" i="2" s="1"/>
  <c r="L258" i="2"/>
  <c r="P258" i="2" s="1"/>
  <c r="L255" i="2"/>
  <c r="P255" i="2" s="1"/>
  <c r="I63" i="7"/>
  <c r="L63" i="7" s="1"/>
  <c r="Q63" i="7" s="1"/>
  <c r="I285" i="7"/>
  <c r="L285" i="7" s="1"/>
  <c r="Q285" i="7" s="1"/>
  <c r="J166" i="7"/>
  <c r="I141" i="7"/>
  <c r="L141" i="7" s="1"/>
  <c r="Q141" i="7" s="1"/>
  <c r="T141" i="7" s="1"/>
  <c r="I272" i="7"/>
  <c r="L272" i="7" s="1"/>
  <c r="Q272" i="7" s="1"/>
  <c r="J116" i="7"/>
  <c r="J284" i="7"/>
  <c r="I226" i="7"/>
  <c r="L226" i="7" s="1"/>
  <c r="Q226" i="7" s="1"/>
  <c r="T226" i="7" s="1"/>
  <c r="I181" i="7"/>
  <c r="L181" i="7" s="1"/>
  <c r="Q181" i="7" s="1"/>
  <c r="T181" i="7" s="1"/>
  <c r="I200" i="7"/>
  <c r="L200" i="7" s="1"/>
  <c r="Q200" i="7" s="1"/>
  <c r="T200" i="7" s="1"/>
  <c r="I176" i="7"/>
  <c r="L176" i="7" s="1"/>
  <c r="Q176" i="7" s="1"/>
  <c r="J111" i="7"/>
  <c r="I212" i="7"/>
  <c r="L212" i="7" s="1"/>
  <c r="Q212" i="7" s="1"/>
  <c r="T212" i="7" s="1"/>
  <c r="J46" i="7"/>
  <c r="J125" i="7"/>
  <c r="J39" i="7"/>
  <c r="I253" i="7"/>
  <c r="L253" i="7" s="1"/>
  <c r="Q253" i="7" s="1"/>
  <c r="I250" i="7"/>
  <c r="L250" i="7" s="1"/>
  <c r="Q250" i="7" s="1"/>
  <c r="T250" i="7" s="1"/>
  <c r="I207" i="7"/>
  <c r="L207" i="7" s="1"/>
  <c r="Q207" i="7" s="1"/>
  <c r="T207" i="7" s="1"/>
  <c r="I278" i="7"/>
  <c r="L278" i="7" s="1"/>
  <c r="Q278" i="7" s="1"/>
  <c r="I180" i="7"/>
  <c r="L180" i="7" s="1"/>
  <c r="Q180" i="7" s="1"/>
  <c r="J30" i="7"/>
  <c r="I183" i="7"/>
  <c r="L183" i="7" s="1"/>
  <c r="Q183" i="7" s="1"/>
  <c r="T183" i="7" s="1"/>
  <c r="J251" i="7"/>
  <c r="J94" i="7"/>
  <c r="J237" i="7"/>
  <c r="I258" i="7"/>
  <c r="L258" i="7" s="1"/>
  <c r="Q258" i="7" s="1"/>
  <c r="I269" i="7"/>
  <c r="L269" i="7" s="1"/>
  <c r="Q269" i="7" s="1"/>
  <c r="J21" i="7"/>
  <c r="J238" i="7"/>
  <c r="I210" i="7"/>
  <c r="L210" i="7" s="1"/>
  <c r="Q210" i="7" s="1"/>
  <c r="T210" i="7" s="1"/>
  <c r="I126" i="7"/>
  <c r="L126" i="7" s="1"/>
  <c r="Q126" i="7" s="1"/>
  <c r="J155" i="7"/>
  <c r="I179" i="7"/>
  <c r="L179" i="7" s="1"/>
  <c r="Q179" i="7" s="1"/>
  <c r="T179" i="7" s="1"/>
  <c r="I47" i="7"/>
  <c r="L47" i="7" s="1"/>
  <c r="Q47" i="7" s="1"/>
  <c r="J154" i="7"/>
  <c r="I261" i="7"/>
  <c r="L261" i="7" s="1"/>
  <c r="Q261" i="7" s="1"/>
  <c r="I81" i="7"/>
  <c r="L81" i="7" s="1"/>
  <c r="Q81" i="7" s="1"/>
  <c r="J60" i="7"/>
  <c r="I78" i="7"/>
  <c r="L78" i="7" s="1"/>
  <c r="Q78" i="7" s="1"/>
  <c r="J240" i="7"/>
  <c r="J278" i="7"/>
  <c r="I46" i="7"/>
  <c r="L46" i="7" s="1"/>
  <c r="Q46" i="7" s="1"/>
  <c r="I192" i="7"/>
  <c r="L192" i="7" s="1"/>
  <c r="Q192" i="7" s="1"/>
  <c r="I262" i="7"/>
  <c r="L262" i="7" s="1"/>
  <c r="Q262" i="7" s="1"/>
  <c r="T262" i="7" s="1"/>
  <c r="L260" i="2"/>
  <c r="P260" i="2" s="1"/>
  <c r="I146" i="7"/>
  <c r="L146" i="7" s="1"/>
  <c r="Q146" i="7" s="1"/>
  <c r="T146" i="7" s="1"/>
  <c r="J137" i="7"/>
  <c r="I104" i="7"/>
  <c r="L104" i="7" s="1"/>
  <c r="Q104" i="7" s="1"/>
  <c r="T104" i="7" s="1"/>
  <c r="I110" i="7"/>
  <c r="L110" i="7" s="1"/>
  <c r="Q110" i="7" s="1"/>
  <c r="I38" i="7"/>
  <c r="L38" i="7" s="1"/>
  <c r="Q38" i="7" s="1"/>
  <c r="T38" i="7" s="1"/>
  <c r="J70" i="7"/>
  <c r="I32" i="7"/>
  <c r="L32" i="7" s="1"/>
  <c r="Q32" i="7" s="1"/>
  <c r="J61" i="7"/>
  <c r="J231" i="7"/>
  <c r="I196" i="7"/>
  <c r="L196" i="7" s="1"/>
  <c r="Q196" i="7" s="1"/>
  <c r="I189" i="7"/>
  <c r="L189" i="7" s="1"/>
  <c r="Q189" i="7" s="1"/>
  <c r="T189" i="7" s="1"/>
  <c r="J92" i="7"/>
  <c r="J88" i="7"/>
  <c r="I144" i="7"/>
  <c r="L144" i="7" s="1"/>
  <c r="Q144" i="7" s="1"/>
  <c r="I64" i="7"/>
  <c r="L64" i="7" s="1"/>
  <c r="Q64" i="7" s="1"/>
  <c r="J33" i="7"/>
  <c r="I156" i="7"/>
  <c r="L156" i="7" s="1"/>
  <c r="Q156" i="7" s="1"/>
  <c r="J178" i="7"/>
  <c r="L246" i="2"/>
  <c r="P246" i="2" s="1"/>
  <c r="L244" i="2"/>
  <c r="P244" i="2" s="1"/>
  <c r="L248" i="2"/>
  <c r="P248" i="2" s="1"/>
  <c r="L245" i="2"/>
  <c r="P245" i="2" s="1"/>
  <c r="L251" i="2"/>
  <c r="P251" i="2" s="1"/>
  <c r="L249" i="2"/>
  <c r="P249" i="2" s="1"/>
  <c r="L250" i="2"/>
  <c r="P250" i="2" s="1"/>
  <c r="L247" i="2"/>
  <c r="P247" i="2" s="1"/>
  <c r="L180" i="2"/>
  <c r="P180" i="2" s="1"/>
  <c r="L133" i="2"/>
  <c r="P133" i="2" s="1"/>
  <c r="L66" i="2"/>
  <c r="P66" i="2" s="1"/>
  <c r="L159" i="2"/>
  <c r="P159" i="2" s="1"/>
  <c r="L191" i="2"/>
  <c r="P191" i="2" s="1"/>
  <c r="L222" i="2"/>
  <c r="P222" i="2" s="1"/>
  <c r="L23" i="2"/>
  <c r="P23" i="2" s="1"/>
  <c r="L52" i="2"/>
  <c r="P52" i="2" s="1"/>
  <c r="L103" i="2"/>
  <c r="P103" i="2" s="1"/>
  <c r="L136" i="2"/>
  <c r="P136" i="2" s="1"/>
  <c r="L168" i="2"/>
  <c r="P168" i="2" s="1"/>
  <c r="L200" i="2"/>
  <c r="P200" i="2" s="1"/>
  <c r="L231" i="2"/>
  <c r="P231" i="2" s="1"/>
  <c r="L116" i="2"/>
  <c r="P116" i="2" s="1"/>
  <c r="L125" i="2"/>
  <c r="P125" i="2" s="1"/>
  <c r="L102" i="2"/>
  <c r="P102" i="2" s="1"/>
  <c r="L53" i="2"/>
  <c r="P53" i="2" s="1"/>
  <c r="L72" i="2"/>
  <c r="P72" i="2" s="1"/>
  <c r="L104" i="2"/>
  <c r="P104" i="2" s="1"/>
  <c r="L137" i="2"/>
  <c r="P137" i="2" s="1"/>
  <c r="L169" i="2"/>
  <c r="P169" i="2" s="1"/>
  <c r="L201" i="2"/>
  <c r="P201" i="2" s="1"/>
  <c r="L232" i="2"/>
  <c r="P232" i="2" s="1"/>
  <c r="L91" i="2"/>
  <c r="P91" i="2" s="1"/>
  <c r="L64" i="2"/>
  <c r="P64" i="2" s="1"/>
  <c r="L22" i="2"/>
  <c r="P22" i="2" s="1"/>
  <c r="L127" i="2"/>
  <c r="P127" i="2" s="1"/>
  <c r="L47" i="2"/>
  <c r="P47" i="2" s="1"/>
  <c r="L97" i="2"/>
  <c r="P97" i="2" s="1"/>
  <c r="L146" i="2"/>
  <c r="P146" i="2" s="1"/>
  <c r="L178" i="2"/>
  <c r="P178" i="2" s="1"/>
  <c r="L210" i="2"/>
  <c r="P210" i="2" s="1"/>
  <c r="L241" i="2"/>
  <c r="P241" i="2" s="1"/>
  <c r="L164" i="2"/>
  <c r="P164" i="2" s="1"/>
  <c r="L141" i="2"/>
  <c r="P141" i="2" s="1"/>
  <c r="L78" i="2"/>
  <c r="P78" i="2" s="1"/>
  <c r="L39" i="2"/>
  <c r="P39" i="2" s="1"/>
  <c r="L130" i="2"/>
  <c r="P130" i="2" s="1"/>
  <c r="L41" i="2"/>
  <c r="P41" i="2" s="1"/>
  <c r="L90" i="2"/>
  <c r="P90" i="2" s="1"/>
  <c r="L123" i="2"/>
  <c r="P123" i="2" s="1"/>
  <c r="L155" i="2"/>
  <c r="P155" i="2" s="1"/>
  <c r="L187" i="2"/>
  <c r="P187" i="2" s="1"/>
  <c r="L218" i="2"/>
  <c r="P218" i="2" s="1"/>
  <c r="L99" i="2"/>
  <c r="P99" i="2" s="1"/>
  <c r="L219" i="2"/>
  <c r="P219" i="2" s="1"/>
  <c r="L35" i="2"/>
  <c r="P35" i="2" s="1"/>
  <c r="L213" i="2"/>
  <c r="P213" i="2" s="1"/>
  <c r="L75" i="2"/>
  <c r="P75" i="2" s="1"/>
  <c r="L49" i="2"/>
  <c r="P49" i="2" s="1"/>
  <c r="L181" i="2"/>
  <c r="P181" i="2" s="1"/>
  <c r="L29" i="2"/>
  <c r="P29" i="2" s="1"/>
  <c r="L77" i="2"/>
  <c r="P77" i="2" s="1"/>
  <c r="L109" i="2"/>
  <c r="P109" i="2" s="1"/>
  <c r="L142" i="2"/>
  <c r="P142" i="2" s="1"/>
  <c r="L174" i="2"/>
  <c r="P174" i="2" s="1"/>
  <c r="L206" i="2"/>
  <c r="P206" i="2" s="1"/>
  <c r="L237" i="2"/>
  <c r="P237" i="2" s="1"/>
  <c r="L42" i="2"/>
  <c r="P42" i="2" s="1"/>
  <c r="L28" i="2"/>
  <c r="P28" i="2" s="1"/>
  <c r="L173" i="2"/>
  <c r="P173" i="2" s="1"/>
  <c r="L86" i="2"/>
  <c r="P86" i="2" s="1"/>
  <c r="L167" i="2"/>
  <c r="P167" i="2" s="1"/>
  <c r="L199" i="2"/>
  <c r="P199" i="2" s="1"/>
  <c r="L230" i="2"/>
  <c r="P230" i="2" s="1"/>
  <c r="L31" i="2"/>
  <c r="P31" i="2" s="1"/>
  <c r="L57" i="2"/>
  <c r="P57" i="2" s="1"/>
  <c r="L79" i="2"/>
  <c r="P79" i="2" s="1"/>
  <c r="L111" i="2"/>
  <c r="P111" i="2" s="1"/>
  <c r="L144" i="2"/>
  <c r="P144" i="2" s="1"/>
  <c r="L176" i="2"/>
  <c r="P176" i="2" s="1"/>
  <c r="L208" i="2"/>
  <c r="P208" i="2" s="1"/>
  <c r="L239" i="2"/>
  <c r="P239" i="2" s="1"/>
  <c r="L172" i="2"/>
  <c r="P172" i="2" s="1"/>
  <c r="L197" i="2"/>
  <c r="P197" i="2" s="1"/>
  <c r="L151" i="2"/>
  <c r="P151" i="2" s="1"/>
  <c r="L58" i="2"/>
  <c r="P58" i="2" s="1"/>
  <c r="L80" i="2"/>
  <c r="P80" i="2" s="1"/>
  <c r="L112" i="2"/>
  <c r="P112" i="2" s="1"/>
  <c r="L145" i="2"/>
  <c r="P145" i="2" s="1"/>
  <c r="L177" i="2"/>
  <c r="P177" i="2" s="1"/>
  <c r="L209" i="2"/>
  <c r="P209" i="2" s="1"/>
  <c r="L240" i="2"/>
  <c r="P240" i="2" s="1"/>
  <c r="L148" i="2"/>
  <c r="P148" i="2" s="1"/>
  <c r="L117" i="2"/>
  <c r="P117" i="2" s="1"/>
  <c r="L51" i="2"/>
  <c r="P51" i="2" s="1"/>
  <c r="L16" i="2"/>
  <c r="P16" i="2" s="1"/>
  <c r="L113" i="2"/>
  <c r="P113" i="2" s="1"/>
  <c r="L154" i="2"/>
  <c r="P154" i="2" s="1"/>
  <c r="L186" i="2"/>
  <c r="P186" i="2" s="1"/>
  <c r="L217" i="2"/>
  <c r="P217" i="2" s="1"/>
  <c r="L20" i="2"/>
  <c r="P20" i="2" s="1"/>
  <c r="L205" i="2"/>
  <c r="P205" i="2" s="1"/>
  <c r="L94" i="2"/>
  <c r="P94" i="2" s="1"/>
  <c r="L25" i="2"/>
  <c r="P25" i="2" s="1"/>
  <c r="L73" i="2"/>
  <c r="P73" i="2" s="1"/>
  <c r="L18" i="2"/>
  <c r="P18" i="2" s="1"/>
  <c r="L48" i="2"/>
  <c r="P48" i="2" s="1"/>
  <c r="L98" i="2"/>
  <c r="P98" i="2" s="1"/>
  <c r="L131" i="2"/>
  <c r="P131" i="2" s="1"/>
  <c r="L163" i="2"/>
  <c r="P163" i="2" s="1"/>
  <c r="L195" i="2"/>
  <c r="P195" i="2" s="1"/>
  <c r="L226" i="2"/>
  <c r="P226" i="2" s="1"/>
  <c r="L196" i="2"/>
  <c r="P196" i="2" s="1"/>
  <c r="L227" i="2"/>
  <c r="P227" i="2" s="1"/>
  <c r="L107" i="2"/>
  <c r="P107" i="2" s="1"/>
  <c r="L228" i="2"/>
  <c r="P228" i="2" s="1"/>
  <c r="L124" i="2"/>
  <c r="P124" i="2" s="1"/>
  <c r="L70" i="2"/>
  <c r="P70" i="2" s="1"/>
  <c r="L220" i="2"/>
  <c r="P220" i="2" s="1"/>
  <c r="L36" i="2"/>
  <c r="P36" i="2" s="1"/>
  <c r="L62" i="2"/>
  <c r="P62" i="2" s="1"/>
  <c r="L85" i="2"/>
  <c r="P85" i="2" s="1"/>
  <c r="L118" i="2"/>
  <c r="P118" i="2" s="1"/>
  <c r="L150" i="2"/>
  <c r="P150" i="2" s="1"/>
  <c r="L182" i="2"/>
  <c r="P182" i="2" s="1"/>
  <c r="L214" i="2"/>
  <c r="P214" i="2" s="1"/>
  <c r="L10" i="2"/>
  <c r="P10" i="2" s="1"/>
  <c r="L61" i="2"/>
  <c r="P61" i="2" s="1"/>
  <c r="L14" i="2"/>
  <c r="P14" i="2" s="1"/>
  <c r="L119" i="2"/>
  <c r="P119" i="2" s="1"/>
  <c r="L175" i="2"/>
  <c r="P175" i="2" s="1"/>
  <c r="L207" i="2"/>
  <c r="P207" i="2" s="1"/>
  <c r="P238" i="2"/>
  <c r="L38" i="2"/>
  <c r="P38" i="2" s="1"/>
  <c r="L87" i="2"/>
  <c r="P87" i="2" s="1"/>
  <c r="L120" i="2"/>
  <c r="P120" i="2" s="1"/>
  <c r="L152" i="2"/>
  <c r="P152" i="2" s="1"/>
  <c r="L184" i="2"/>
  <c r="P184" i="2" s="1"/>
  <c r="L19" i="2"/>
  <c r="P19" i="2" s="1"/>
  <c r="L37" i="2"/>
  <c r="P37" i="2" s="1"/>
  <c r="L32" i="2"/>
  <c r="P32" i="2" s="1"/>
  <c r="L88" i="2"/>
  <c r="P88" i="2" s="1"/>
  <c r="L121" i="2"/>
  <c r="P121" i="2" s="1"/>
  <c r="L153" i="2"/>
  <c r="P153" i="2" s="1"/>
  <c r="L185" i="2"/>
  <c r="P185" i="2" s="1"/>
  <c r="L216" i="2"/>
  <c r="P216" i="2" s="1"/>
  <c r="L27" i="2"/>
  <c r="P27" i="2" s="1"/>
  <c r="L188" i="2"/>
  <c r="P188" i="2" s="1"/>
  <c r="L149" i="2"/>
  <c r="P149" i="2" s="1"/>
  <c r="L71" i="2"/>
  <c r="P71" i="2" s="1"/>
  <c r="L69" i="2"/>
  <c r="P69" i="2" s="1"/>
  <c r="L122" i="2"/>
  <c r="P122" i="2" s="1"/>
  <c r="L162" i="2"/>
  <c r="P162" i="2" s="1"/>
  <c r="L194" i="2"/>
  <c r="P194" i="2" s="1"/>
  <c r="L225" i="2"/>
  <c r="P225" i="2" s="1"/>
  <c r="L83" i="2"/>
  <c r="P83" i="2" s="1"/>
  <c r="L55" i="2"/>
  <c r="P55" i="2" s="1"/>
  <c r="L30" i="2"/>
  <c r="P30" i="2" s="1"/>
  <c r="L135" i="2"/>
  <c r="P135" i="2" s="1"/>
  <c r="L40" i="2"/>
  <c r="P40" i="2" s="1"/>
  <c r="L89" i="2"/>
  <c r="P89" i="2" s="1"/>
  <c r="L26" i="2"/>
  <c r="P26" i="2" s="1"/>
  <c r="L74" i="2"/>
  <c r="P74" i="2" s="1"/>
  <c r="L106" i="2"/>
  <c r="P106" i="2" s="1"/>
  <c r="L139" i="2"/>
  <c r="P139" i="2" s="1"/>
  <c r="L171" i="2"/>
  <c r="P171" i="2" s="1"/>
  <c r="L203" i="2"/>
  <c r="P203" i="2" s="1"/>
  <c r="L234" i="2"/>
  <c r="P234" i="2" s="1"/>
  <c r="L204" i="2"/>
  <c r="P204" i="2" s="1"/>
  <c r="L235" i="2"/>
  <c r="P235" i="2" s="1"/>
  <c r="L84" i="2"/>
  <c r="P84" i="2" s="1"/>
  <c r="L236" i="2"/>
  <c r="P236" i="2" s="1"/>
  <c r="L156" i="2"/>
  <c r="P156" i="2" s="1"/>
  <c r="L13" i="2"/>
  <c r="P13" i="2" s="1"/>
  <c r="L44" i="2"/>
  <c r="P44" i="2" s="1"/>
  <c r="L65" i="2"/>
  <c r="P65" i="2" s="1"/>
  <c r="L93" i="2"/>
  <c r="P93" i="2" s="1"/>
  <c r="L126" i="2"/>
  <c r="P126" i="2" s="1"/>
  <c r="L158" i="2"/>
  <c r="P158" i="2" s="1"/>
  <c r="L190" i="2"/>
  <c r="P190" i="2" s="1"/>
  <c r="L221" i="2"/>
  <c r="P221" i="2" s="1"/>
  <c r="L132" i="2"/>
  <c r="P132" i="2" s="1"/>
  <c r="L100" i="2"/>
  <c r="P100" i="2" s="1"/>
  <c r="L45" i="2"/>
  <c r="P45" i="2" s="1"/>
  <c r="L143" i="2"/>
  <c r="P143" i="2" s="1"/>
  <c r="L183" i="2"/>
  <c r="P183" i="2" s="1"/>
  <c r="L215" i="2"/>
  <c r="P215" i="2" s="1"/>
  <c r="L15" i="2"/>
  <c r="P15" i="2" s="1"/>
  <c r="L46" i="2"/>
  <c r="P46" i="2" s="1"/>
  <c r="L67" i="2"/>
  <c r="P67" i="2" s="1"/>
  <c r="L95" i="2"/>
  <c r="P95" i="2" s="1"/>
  <c r="L128" i="2"/>
  <c r="P128" i="2" s="1"/>
  <c r="L160" i="2"/>
  <c r="P160" i="2" s="1"/>
  <c r="L192" i="2"/>
  <c r="P192" i="2" s="1"/>
  <c r="L223" i="2"/>
  <c r="P223" i="2" s="1"/>
  <c r="L63" i="2"/>
  <c r="P63" i="2" s="1"/>
  <c r="L76" i="2"/>
  <c r="P76" i="2" s="1"/>
  <c r="L68" i="2"/>
  <c r="P68" i="2" s="1"/>
  <c r="L96" i="2"/>
  <c r="P96" i="2" s="1"/>
  <c r="L129" i="2"/>
  <c r="P129" i="2" s="1"/>
  <c r="L161" i="2"/>
  <c r="P161" i="2" s="1"/>
  <c r="L193" i="2"/>
  <c r="P193" i="2" s="1"/>
  <c r="L224" i="2"/>
  <c r="P224" i="2" s="1"/>
  <c r="L60" i="2"/>
  <c r="P60" i="2" s="1"/>
  <c r="L43" i="2"/>
  <c r="P43" i="2" s="1"/>
  <c r="L189" i="2"/>
  <c r="P189" i="2" s="1"/>
  <c r="L110" i="2"/>
  <c r="P110" i="2" s="1"/>
  <c r="L33" i="2"/>
  <c r="P33" i="2" s="1"/>
  <c r="L81" i="2"/>
  <c r="P81" i="2" s="1"/>
  <c r="L138" i="2"/>
  <c r="P138" i="2" s="1"/>
  <c r="L170" i="2"/>
  <c r="P170" i="2" s="1"/>
  <c r="L202" i="2"/>
  <c r="P202" i="2" s="1"/>
  <c r="L233" i="2"/>
  <c r="P233" i="2" s="1"/>
  <c r="L140" i="2"/>
  <c r="P140" i="2" s="1"/>
  <c r="L92" i="2"/>
  <c r="P92" i="2" s="1"/>
  <c r="L56" i="2"/>
  <c r="P56" i="2" s="1"/>
  <c r="L24" i="2"/>
  <c r="P24" i="2" s="1"/>
  <c r="L54" i="2"/>
  <c r="P54" i="2" s="1"/>
  <c r="L105" i="2"/>
  <c r="P105" i="2" s="1"/>
  <c r="L34" i="2"/>
  <c r="P34" i="2" s="1"/>
  <c r="L59" i="2"/>
  <c r="P59" i="2" s="1"/>
  <c r="L82" i="2"/>
  <c r="P82" i="2" s="1"/>
  <c r="L115" i="2"/>
  <c r="P115" i="2" s="1"/>
  <c r="L147" i="2"/>
  <c r="P147" i="2" s="1"/>
  <c r="L179" i="2"/>
  <c r="P179" i="2" s="1"/>
  <c r="L211" i="2"/>
  <c r="P211" i="2" s="1"/>
  <c r="L242" i="2"/>
  <c r="P242" i="2" s="1"/>
  <c r="L212" i="2"/>
  <c r="P212" i="2" s="1"/>
  <c r="L243" i="2"/>
  <c r="P243" i="2" s="1"/>
  <c r="L165" i="2"/>
  <c r="P165" i="2" s="1"/>
  <c r="L12" i="2"/>
  <c r="P12" i="2" s="1"/>
  <c r="L157" i="2"/>
  <c r="P157" i="2" s="1"/>
  <c r="L21" i="2"/>
  <c r="P21" i="2" s="1"/>
  <c r="L50" i="2"/>
  <c r="P50" i="2" s="1"/>
  <c r="L101" i="2"/>
  <c r="P101" i="2" s="1"/>
  <c r="L134" i="2"/>
  <c r="P134" i="2" s="1"/>
  <c r="L166" i="2"/>
  <c r="P166" i="2" s="1"/>
  <c r="L198" i="2"/>
  <c r="P198" i="2" s="1"/>
  <c r="L229" i="2"/>
  <c r="P229" i="2" s="1"/>
  <c r="T64" i="7" l="1"/>
  <c r="U64" i="7" s="1"/>
  <c r="V64" i="7" s="1"/>
  <c r="W64" i="7" s="1"/>
  <c r="T81" i="7"/>
  <c r="U81" i="7" s="1"/>
  <c r="V81" i="7" s="1"/>
  <c r="W81" i="7" s="1"/>
  <c r="U210" i="7"/>
  <c r="V210" i="7" s="1"/>
  <c r="W210" i="7" s="1"/>
  <c r="U183" i="7"/>
  <c r="V183" i="7" s="1"/>
  <c r="W183" i="7" s="1"/>
  <c r="U181" i="7"/>
  <c r="V181" i="7" s="1"/>
  <c r="W181" i="7" s="1"/>
  <c r="T63" i="7"/>
  <c r="U63" i="7" s="1"/>
  <c r="V63" i="7" s="1"/>
  <c r="W63" i="7" s="1"/>
  <c r="U194" i="7"/>
  <c r="V194" i="7" s="1"/>
  <c r="W194" i="7" s="1"/>
  <c r="T217" i="7"/>
  <c r="U217" i="7" s="1"/>
  <c r="V217" i="7" s="1"/>
  <c r="W217" i="7" s="1"/>
  <c r="T96" i="7"/>
  <c r="U96" i="7" s="1"/>
  <c r="V96" i="7" s="1"/>
  <c r="W96" i="7" s="1"/>
  <c r="T37" i="7"/>
  <c r="U37" i="7" s="1"/>
  <c r="V37" i="7" s="1"/>
  <c r="W37" i="7" s="1"/>
  <c r="U138" i="7"/>
  <c r="V138" i="7" s="1"/>
  <c r="W138" i="7" s="1"/>
  <c r="T72" i="7"/>
  <c r="U72" i="7" s="1"/>
  <c r="V72" i="7" s="1"/>
  <c r="W72" i="7" s="1"/>
  <c r="T105" i="7"/>
  <c r="U203" i="7"/>
  <c r="V203" i="7" s="1"/>
  <c r="W203" i="7" s="1"/>
  <c r="T222" i="7"/>
  <c r="U222" i="7" s="1"/>
  <c r="V222" i="7" s="1"/>
  <c r="W222" i="7" s="1"/>
  <c r="U254" i="7"/>
  <c r="V254" i="7" s="1"/>
  <c r="W254" i="7" s="1"/>
  <c r="U122" i="7"/>
  <c r="V122" i="7" s="1"/>
  <c r="W122" i="7" s="1"/>
  <c r="T112" i="7"/>
  <c r="U112" i="7" s="1"/>
  <c r="V112" i="7" s="1"/>
  <c r="W112" i="7" s="1"/>
  <c r="T26" i="7"/>
  <c r="U26" i="7" s="1"/>
  <c r="V26" i="7" s="1"/>
  <c r="W26" i="7" s="1"/>
  <c r="U182" i="7"/>
  <c r="V182" i="7" s="1"/>
  <c r="W182" i="7" s="1"/>
  <c r="U45" i="7"/>
  <c r="V45" i="7" s="1"/>
  <c r="W45" i="7" s="1"/>
  <c r="U174" i="7"/>
  <c r="V174" i="7" s="1"/>
  <c r="W174" i="7" s="1"/>
  <c r="T235" i="7"/>
  <c r="U235" i="7" s="1"/>
  <c r="V235" i="7" s="1"/>
  <c r="W235" i="7" s="1"/>
  <c r="T84" i="7"/>
  <c r="U84" i="7" s="1"/>
  <c r="V84" i="7" s="1"/>
  <c r="W84" i="7" s="1"/>
  <c r="T123" i="7"/>
  <c r="U123" i="7" s="1"/>
  <c r="V123" i="7" s="1"/>
  <c r="W123" i="7" s="1"/>
  <c r="T86" i="7"/>
  <c r="T113" i="7"/>
  <c r="U113" i="7" s="1"/>
  <c r="V113" i="7" s="1"/>
  <c r="W113" i="7" s="1"/>
  <c r="T75" i="7"/>
  <c r="U75" i="7" s="1"/>
  <c r="V75" i="7" s="1"/>
  <c r="W75" i="7" s="1"/>
  <c r="U184" i="7"/>
  <c r="V184" i="7" s="1"/>
  <c r="W184" i="7" s="1"/>
  <c r="T143" i="7"/>
  <c r="U143" i="7" s="1"/>
  <c r="V143" i="7" s="1"/>
  <c r="W143" i="7" s="1"/>
  <c r="U246" i="7"/>
  <c r="V246" i="7" s="1"/>
  <c r="W246" i="7" s="1"/>
  <c r="U117" i="7"/>
  <c r="V117" i="7" s="1"/>
  <c r="W117" i="7" s="1"/>
  <c r="U281" i="7"/>
  <c r="V281" i="7" s="1"/>
  <c r="W281" i="7" s="1"/>
  <c r="T291" i="7"/>
  <c r="U291" i="7" s="1"/>
  <c r="V291" i="7" s="1"/>
  <c r="W291" i="7" s="1"/>
  <c r="T36" i="7"/>
  <c r="T128" i="7"/>
  <c r="U128" i="7" s="1"/>
  <c r="V128" i="7" s="1"/>
  <c r="W128" i="7" s="1"/>
  <c r="L108" i="2"/>
  <c r="P108" i="2" s="1"/>
  <c r="T144" i="7"/>
  <c r="U144" i="7" s="1"/>
  <c r="V144" i="7" s="1"/>
  <c r="W144" i="7" s="1"/>
  <c r="T32" i="7"/>
  <c r="U32" i="7" s="1"/>
  <c r="V32" i="7" s="1"/>
  <c r="W32" i="7" s="1"/>
  <c r="U262" i="7"/>
  <c r="V262" i="7" s="1"/>
  <c r="W262" i="7" s="1"/>
  <c r="U226" i="7"/>
  <c r="V226" i="7" s="1"/>
  <c r="W226" i="7" s="1"/>
  <c r="T116" i="7"/>
  <c r="U116" i="7" s="1"/>
  <c r="V116" i="7" s="1"/>
  <c r="W116" i="7" s="1"/>
  <c r="U260" i="7"/>
  <c r="V260" i="7" s="1"/>
  <c r="W260" i="7" s="1"/>
  <c r="U85" i="7"/>
  <c r="V85" i="7" s="1"/>
  <c r="W85" i="7" s="1"/>
  <c r="U23" i="7"/>
  <c r="V23" i="7" s="1"/>
  <c r="W23" i="7" s="1"/>
  <c r="T11" i="7"/>
  <c r="U11" i="7" s="1"/>
  <c r="V11" i="7" s="1"/>
  <c r="W11" i="7" s="1"/>
  <c r="T28" i="7"/>
  <c r="U28" i="7" s="1"/>
  <c r="V28" i="7" s="1"/>
  <c r="W28" i="7" s="1"/>
  <c r="T60" i="7"/>
  <c r="U60" i="7" s="1"/>
  <c r="V60" i="7" s="1"/>
  <c r="W60" i="7" s="1"/>
  <c r="T66" i="7"/>
  <c r="U66" i="7" s="1"/>
  <c r="V66" i="7" s="1"/>
  <c r="W66" i="7" s="1"/>
  <c r="T106" i="7"/>
  <c r="U106" i="7" s="1"/>
  <c r="V106" i="7" s="1"/>
  <c r="W106" i="7" s="1"/>
  <c r="T98" i="7"/>
  <c r="U98" i="7" s="1"/>
  <c r="V98" i="7" s="1"/>
  <c r="W98" i="7" s="1"/>
  <c r="T215" i="7"/>
  <c r="U215" i="7" s="1"/>
  <c r="V215" i="7" s="1"/>
  <c r="W215" i="7" s="1"/>
  <c r="T283" i="7"/>
  <c r="U283" i="7" s="1"/>
  <c r="V283" i="7" s="1"/>
  <c r="W283" i="7" s="1"/>
  <c r="T79" i="7"/>
  <c r="U79" i="7" s="1"/>
  <c r="V79" i="7" s="1"/>
  <c r="W79" i="7" s="1"/>
  <c r="T266" i="7"/>
  <c r="U102" i="7"/>
  <c r="V102" i="7" s="1"/>
  <c r="W102" i="7" s="1"/>
  <c r="T51" i="7"/>
  <c r="U51" i="7" s="1"/>
  <c r="V51" i="7" s="1"/>
  <c r="W51" i="7" s="1"/>
  <c r="U193" i="7"/>
  <c r="V193" i="7" s="1"/>
  <c r="W193" i="7" s="1"/>
  <c r="T231" i="7"/>
  <c r="U231" i="7" s="1"/>
  <c r="V231" i="7" s="1"/>
  <c r="W231" i="7" s="1"/>
  <c r="U243" i="7"/>
  <c r="V243" i="7" s="1"/>
  <c r="W243" i="7" s="1"/>
  <c r="U35" i="7"/>
  <c r="V35" i="7" s="1"/>
  <c r="W35" i="7" s="1"/>
  <c r="T216" i="7"/>
  <c r="U216" i="7" s="1"/>
  <c r="V216" i="7" s="1"/>
  <c r="W216" i="7" s="1"/>
  <c r="U22" i="7"/>
  <c r="V22" i="7" s="1"/>
  <c r="W22" i="7" s="1"/>
  <c r="U48" i="7"/>
  <c r="V48" i="7" s="1"/>
  <c r="W48" i="7" s="1"/>
  <c r="T221" i="7"/>
  <c r="U221" i="7" s="1"/>
  <c r="V221" i="7" s="1"/>
  <c r="W221" i="7" s="1"/>
  <c r="T92" i="7"/>
  <c r="U92" i="7" s="1"/>
  <c r="V92" i="7" s="1"/>
  <c r="W92" i="7" s="1"/>
  <c r="T140" i="7"/>
  <c r="U140" i="7" s="1"/>
  <c r="V140" i="7" s="1"/>
  <c r="W140" i="7" s="1"/>
  <c r="T257" i="7"/>
  <c r="U257" i="7" s="1"/>
  <c r="V257" i="7" s="1"/>
  <c r="W257" i="7" s="1"/>
  <c r="T288" i="7"/>
  <c r="U288" i="7" s="1"/>
  <c r="V288" i="7" s="1"/>
  <c r="W288" i="7" s="1"/>
  <c r="U229" i="7"/>
  <c r="V229" i="7" s="1"/>
  <c r="W229" i="7" s="1"/>
  <c r="T139" i="7"/>
  <c r="U139" i="7" s="1"/>
  <c r="V139" i="7" s="1"/>
  <c r="W139" i="7" s="1"/>
  <c r="U103" i="7"/>
  <c r="V103" i="7" s="1"/>
  <c r="W103" i="7" s="1"/>
  <c r="U77" i="7"/>
  <c r="V77" i="7" s="1"/>
  <c r="W77" i="7" s="1"/>
  <c r="U168" i="7"/>
  <c r="V168" i="7" s="1"/>
  <c r="W168" i="7" s="1"/>
  <c r="U206" i="7"/>
  <c r="V206" i="7" s="1"/>
  <c r="W206" i="7" s="1"/>
  <c r="T192" i="7"/>
  <c r="U192" i="7" s="1"/>
  <c r="V192" i="7" s="1"/>
  <c r="W192" i="7" s="1"/>
  <c r="T261" i="7"/>
  <c r="U261" i="7" s="1"/>
  <c r="V261" i="7" s="1"/>
  <c r="W261" i="7" s="1"/>
  <c r="T180" i="7"/>
  <c r="U180" i="7" s="1"/>
  <c r="V180" i="7" s="1"/>
  <c r="W180" i="7" s="1"/>
  <c r="T275" i="7"/>
  <c r="U275" i="7" s="1"/>
  <c r="V275" i="7" s="1"/>
  <c r="W275" i="7" s="1"/>
  <c r="U190" i="7"/>
  <c r="V190" i="7" s="1"/>
  <c r="W190" i="7" s="1"/>
  <c r="T127" i="7"/>
  <c r="U127" i="7" s="1"/>
  <c r="V127" i="7" s="1"/>
  <c r="W127" i="7" s="1"/>
  <c r="U263" i="7"/>
  <c r="V263" i="7" s="1"/>
  <c r="U34" i="7"/>
  <c r="V34" i="7" s="1"/>
  <c r="W34" i="7" s="1"/>
  <c r="T61" i="7"/>
  <c r="U61" i="7" s="1"/>
  <c r="V61" i="7" s="1"/>
  <c r="W61" i="7" s="1"/>
  <c r="T10" i="7"/>
  <c r="U10" i="7" s="1"/>
  <c r="V10" i="7" s="1"/>
  <c r="T115" i="7"/>
  <c r="U115" i="7" s="1"/>
  <c r="V115" i="7" s="1"/>
  <c r="W115" i="7" s="1"/>
  <c r="U280" i="7"/>
  <c r="V280" i="7" s="1"/>
  <c r="W280" i="7" s="1"/>
  <c r="U16" i="7"/>
  <c r="V16" i="7" s="1"/>
  <c r="T284" i="7"/>
  <c r="U284" i="7" s="1"/>
  <c r="V284" i="7" s="1"/>
  <c r="W284" i="7" s="1"/>
  <c r="U20" i="7"/>
  <c r="V20" i="7" s="1"/>
  <c r="W20" i="7" s="1"/>
  <c r="U201" i="7"/>
  <c r="V201" i="7" s="1"/>
  <c r="T268" i="7"/>
  <c r="U268" i="7" s="1"/>
  <c r="V268" i="7" s="1"/>
  <c r="W268" i="7" s="1"/>
  <c r="T228" i="7"/>
  <c r="U228" i="7" s="1"/>
  <c r="V228" i="7" s="1"/>
  <c r="W228" i="7" s="1"/>
  <c r="T240" i="7"/>
  <c r="U240" i="7" s="1"/>
  <c r="V240" i="7" s="1"/>
  <c r="W240" i="7" s="1"/>
  <c r="U54" i="7"/>
  <c r="V54" i="7" s="1"/>
  <c r="W54" i="7" s="1"/>
  <c r="U167" i="7"/>
  <c r="V167" i="7" s="1"/>
  <c r="W167" i="7" s="1"/>
  <c r="U218" i="7"/>
  <c r="V218" i="7" s="1"/>
  <c r="W218" i="7" s="1"/>
  <c r="T255" i="7"/>
  <c r="T249" i="7"/>
  <c r="Q252" i="7"/>
  <c r="L8" i="7"/>
  <c r="T158" i="7"/>
  <c r="T286" i="7"/>
  <c r="U286" i="7" s="1"/>
  <c r="V286" i="7" s="1"/>
  <c r="W286" i="7" s="1"/>
  <c r="T178" i="7"/>
  <c r="T108" i="7"/>
  <c r="U108" i="7" s="1"/>
  <c r="V108" i="7" s="1"/>
  <c r="W108" i="7" s="1"/>
  <c r="T241" i="7"/>
  <c r="U185" i="7"/>
  <c r="V185" i="7" s="1"/>
  <c r="W185" i="7" s="1"/>
  <c r="T17" i="7"/>
  <c r="U17" i="7" s="1"/>
  <c r="V17" i="7" s="1"/>
  <c r="W17" i="7" s="1"/>
  <c r="T247" i="7"/>
  <c r="U247" i="7" s="1"/>
  <c r="V247" i="7" s="1"/>
  <c r="W247" i="7" s="1"/>
  <c r="T21" i="7"/>
  <c r="U21" i="7" s="1"/>
  <c r="V21" i="7" s="1"/>
  <c r="W21" i="7" s="1"/>
  <c r="T82" i="7"/>
  <c r="U82" i="7" s="1"/>
  <c r="V82" i="7" s="1"/>
  <c r="W82" i="7" s="1"/>
  <c r="T177" i="7"/>
  <c r="U177" i="7" s="1"/>
  <c r="V177" i="7" s="1"/>
  <c r="W177" i="7" s="1"/>
  <c r="U199" i="7"/>
  <c r="V199" i="7" s="1"/>
  <c r="W199" i="7" s="1"/>
  <c r="U135" i="7"/>
  <c r="V135" i="7" s="1"/>
  <c r="T163" i="7"/>
  <c r="U163" i="7" s="1"/>
  <c r="V163" i="7" s="1"/>
  <c r="W163" i="7" s="1"/>
  <c r="U166" i="7"/>
  <c r="V166" i="7" s="1"/>
  <c r="W166" i="7" s="1"/>
  <c r="T236" i="7"/>
  <c r="U150" i="7"/>
  <c r="V150" i="7" s="1"/>
  <c r="W150" i="7" s="1"/>
  <c r="U38" i="7"/>
  <c r="V38" i="7" s="1"/>
  <c r="W38" i="7" s="1"/>
  <c r="T46" i="7"/>
  <c r="U46" i="7" s="1"/>
  <c r="V46" i="7" s="1"/>
  <c r="W46" i="7" s="1"/>
  <c r="T269" i="7"/>
  <c r="T278" i="7"/>
  <c r="U278" i="7" s="1"/>
  <c r="V278" i="7" s="1"/>
  <c r="W278" i="7" s="1"/>
  <c r="U212" i="7"/>
  <c r="V212" i="7" s="1"/>
  <c r="T155" i="7"/>
  <c r="U155" i="7" s="1"/>
  <c r="V155" i="7" s="1"/>
  <c r="W155" i="7" s="1"/>
  <c r="T109" i="7"/>
  <c r="U39" i="7"/>
  <c r="V39" i="7" s="1"/>
  <c r="W39" i="7" s="1"/>
  <c r="U169" i="7"/>
  <c r="V169" i="7" s="1"/>
  <c r="W169" i="7" s="1"/>
  <c r="T15" i="7"/>
  <c r="U137" i="7"/>
  <c r="V137" i="7" s="1"/>
  <c r="W137" i="7" s="1"/>
  <c r="T274" i="7"/>
  <c r="U274" i="7" s="1"/>
  <c r="V274" i="7" s="1"/>
  <c r="W274" i="7" s="1"/>
  <c r="T157" i="7"/>
  <c r="U157" i="7" s="1"/>
  <c r="V157" i="7" s="1"/>
  <c r="W157" i="7" s="1"/>
  <c r="T52" i="7"/>
  <c r="U52" i="7" s="1"/>
  <c r="V52" i="7" s="1"/>
  <c r="W52" i="7" s="1"/>
  <c r="U59" i="7"/>
  <c r="V59" i="7" s="1"/>
  <c r="AA59" i="7" s="1"/>
  <c r="U187" i="7"/>
  <c r="V187" i="7" s="1"/>
  <c r="T204" i="7"/>
  <c r="U204" i="7" s="1"/>
  <c r="V204" i="7" s="1"/>
  <c r="W204" i="7" s="1"/>
  <c r="T239" i="7"/>
  <c r="U239" i="7" s="1"/>
  <c r="V239" i="7" s="1"/>
  <c r="U189" i="7"/>
  <c r="V189" i="7" s="1"/>
  <c r="T110" i="7"/>
  <c r="U110" i="7" s="1"/>
  <c r="V110" i="7" s="1"/>
  <c r="W110" i="7" s="1"/>
  <c r="T47" i="7"/>
  <c r="T258" i="7"/>
  <c r="U258" i="7" s="1"/>
  <c r="V258" i="7" s="1"/>
  <c r="W258" i="7" s="1"/>
  <c r="U207" i="7"/>
  <c r="V207" i="7" s="1"/>
  <c r="W207" i="7" s="1"/>
  <c r="T272" i="7"/>
  <c r="U272" i="7" s="1"/>
  <c r="V272" i="7" s="1"/>
  <c r="W272" i="7" s="1"/>
  <c r="U170" i="7"/>
  <c r="V170" i="7" s="1"/>
  <c r="U238" i="7"/>
  <c r="V238" i="7" s="1"/>
  <c r="W238" i="7" s="1"/>
  <c r="U233" i="7"/>
  <c r="V233" i="7" s="1"/>
  <c r="W233" i="7" s="1"/>
  <c r="U55" i="7"/>
  <c r="V55" i="7" s="1"/>
  <c r="W55" i="7" s="1"/>
  <c r="U69" i="7"/>
  <c r="V69" i="7" s="1"/>
  <c r="Z69" i="7" s="1"/>
  <c r="T119" i="7"/>
  <c r="U119" i="7" s="1"/>
  <c r="V119" i="7" s="1"/>
  <c r="W119" i="7" s="1"/>
  <c r="U99" i="7"/>
  <c r="V99" i="7" s="1"/>
  <c r="W99" i="7" s="1"/>
  <c r="T70" i="7"/>
  <c r="U70" i="7" s="1"/>
  <c r="V70" i="7" s="1"/>
  <c r="W70" i="7" s="1"/>
  <c r="T133" i="7"/>
  <c r="U133" i="7" s="1"/>
  <c r="V133" i="7" s="1"/>
  <c r="W133" i="7" s="1"/>
  <c r="T74" i="7"/>
  <c r="T13" i="7"/>
  <c r="U13" i="7" s="1"/>
  <c r="V13" i="7" s="1"/>
  <c r="W13" i="7" s="1"/>
  <c r="T18" i="7"/>
  <c r="U18" i="7" s="1"/>
  <c r="V18" i="7" s="1"/>
  <c r="W18" i="7" s="1"/>
  <c r="U264" i="7"/>
  <c r="V264" i="7" s="1"/>
  <c r="T142" i="7"/>
  <c r="U142" i="7" s="1"/>
  <c r="V142" i="7" s="1"/>
  <c r="W142" i="7" s="1"/>
  <c r="T100" i="7"/>
  <c r="U214" i="7"/>
  <c r="V214" i="7" s="1"/>
  <c r="W214" i="7" s="1"/>
  <c r="T232" i="7"/>
  <c r="U232" i="7" s="1"/>
  <c r="V232" i="7" s="1"/>
  <c r="W232" i="7" s="1"/>
  <c r="T132" i="7"/>
  <c r="U132" i="7" s="1"/>
  <c r="V132" i="7" s="1"/>
  <c r="W132" i="7" s="1"/>
  <c r="T191" i="7"/>
  <c r="U191" i="7" s="1"/>
  <c r="V191" i="7" s="1"/>
  <c r="T273" i="7"/>
  <c r="T292" i="7"/>
  <c r="U292" i="7" s="1"/>
  <c r="V292" i="7" s="1"/>
  <c r="W292" i="7" s="1"/>
  <c r="T24" i="7"/>
  <c r="U24" i="7" s="1"/>
  <c r="V24" i="7" s="1"/>
  <c r="W24" i="7" s="1"/>
  <c r="U162" i="7"/>
  <c r="V162" i="7" s="1"/>
  <c r="T42" i="7"/>
  <c r="U94" i="7"/>
  <c r="V94" i="7" s="1"/>
  <c r="T220" i="7"/>
  <c r="T73" i="7"/>
  <c r="U73" i="7" s="1"/>
  <c r="V73" i="7" s="1"/>
  <c r="W73" i="7" s="1"/>
  <c r="U289" i="7"/>
  <c r="V289" i="7" s="1"/>
  <c r="Z289" i="7" s="1"/>
  <c r="T50" i="7"/>
  <c r="U50" i="7" s="1"/>
  <c r="V50" i="7" s="1"/>
  <c r="W50" i="7" s="1"/>
  <c r="T147" i="7"/>
  <c r="U147" i="7" s="1"/>
  <c r="V147" i="7" s="1"/>
  <c r="W147" i="7" s="1"/>
  <c r="T265" i="7"/>
  <c r="U265" i="7" s="1"/>
  <c r="V265" i="7" s="1"/>
  <c r="W265" i="7" s="1"/>
  <c r="T149" i="7"/>
  <c r="T154" i="7"/>
  <c r="U154" i="7" s="1"/>
  <c r="V154" i="7" s="1"/>
  <c r="W154" i="7" s="1"/>
  <c r="T145" i="7"/>
  <c r="U145" i="7" s="1"/>
  <c r="V145" i="7" s="1"/>
  <c r="W145" i="7" s="1"/>
  <c r="T219" i="7"/>
  <c r="U219" i="7" s="1"/>
  <c r="V219" i="7" s="1"/>
  <c r="W219" i="7" s="1"/>
  <c r="T121" i="7"/>
  <c r="T156" i="7"/>
  <c r="U156" i="7" s="1"/>
  <c r="V156" i="7" s="1"/>
  <c r="W156" i="7" s="1"/>
  <c r="T196" i="7"/>
  <c r="U196" i="7" s="1"/>
  <c r="V196" i="7" s="1"/>
  <c r="W196" i="7" s="1"/>
  <c r="U104" i="7"/>
  <c r="V104" i="7" s="1"/>
  <c r="W104" i="7" s="1"/>
  <c r="U179" i="7"/>
  <c r="V179" i="7" s="1"/>
  <c r="W179" i="7" s="1"/>
  <c r="T176" i="7"/>
  <c r="U176" i="7" s="1"/>
  <c r="V176" i="7" s="1"/>
  <c r="W176" i="7" s="1"/>
  <c r="U141" i="7"/>
  <c r="V141" i="7" s="1"/>
  <c r="W141" i="7" s="1"/>
  <c r="T153" i="7"/>
  <c r="U153" i="7" s="1"/>
  <c r="V153" i="7" s="1"/>
  <c r="W153" i="7" s="1"/>
  <c r="T256" i="7"/>
  <c r="U256" i="7" s="1"/>
  <c r="V256" i="7" s="1"/>
  <c r="W256" i="7" s="1"/>
  <c r="U227" i="7"/>
  <c r="V227" i="7" s="1"/>
  <c r="Z227" i="7" s="1"/>
  <c r="U242" i="7"/>
  <c r="V242" i="7" s="1"/>
  <c r="T12" i="7"/>
  <c r="U12" i="7" s="1"/>
  <c r="V12" i="7" s="1"/>
  <c r="W12" i="7" s="1"/>
  <c r="T290" i="7"/>
  <c r="U290" i="7" s="1"/>
  <c r="V290" i="7" s="1"/>
  <c r="W290" i="7" s="1"/>
  <c r="T111" i="7"/>
  <c r="U111" i="7" s="1"/>
  <c r="V111" i="7" s="1"/>
  <c r="W111" i="7" s="1"/>
  <c r="T95" i="7"/>
  <c r="U95" i="7" s="1"/>
  <c r="V95" i="7" s="1"/>
  <c r="W95" i="7" s="1"/>
  <c r="T33" i="7"/>
  <c r="U33" i="7" s="1"/>
  <c r="V33" i="7" s="1"/>
  <c r="W33" i="7" s="1"/>
  <c r="T31" i="7"/>
  <c r="U31" i="7" s="1"/>
  <c r="V31" i="7" s="1"/>
  <c r="W31" i="7" s="1"/>
  <c r="T205" i="7"/>
  <c r="U205" i="7" s="1"/>
  <c r="V205" i="7" s="1"/>
  <c r="W205" i="7" s="1"/>
  <c r="T287" i="7"/>
  <c r="U287" i="7" s="1"/>
  <c r="V287" i="7" s="1"/>
  <c r="W287" i="7" s="1"/>
  <c r="U76" i="7"/>
  <c r="V76" i="7" s="1"/>
  <c r="W76" i="7" s="1"/>
  <c r="U173" i="7"/>
  <c r="V173" i="7" s="1"/>
  <c r="AA173" i="7" s="1"/>
  <c r="U209" i="7"/>
  <c r="V209" i="7" s="1"/>
  <c r="W209" i="7" s="1"/>
  <c r="T223" i="7"/>
  <c r="T237" i="7"/>
  <c r="T152" i="7"/>
  <c r="U152" i="7" s="1"/>
  <c r="V152" i="7" s="1"/>
  <c r="W152" i="7" s="1"/>
  <c r="U213" i="7"/>
  <c r="V213" i="7" s="1"/>
  <c r="W213" i="7" s="1"/>
  <c r="U276" i="7"/>
  <c r="V276" i="7" s="1"/>
  <c r="W276" i="7" s="1"/>
  <c r="T93" i="7"/>
  <c r="U93" i="7" s="1"/>
  <c r="V93" i="7" s="1"/>
  <c r="W93" i="7" s="1"/>
  <c r="T195" i="7"/>
  <c r="U195" i="7" s="1"/>
  <c r="V195" i="7" s="1"/>
  <c r="W195" i="7" s="1"/>
  <c r="U198" i="7"/>
  <c r="V198" i="7" s="1"/>
  <c r="Z198" i="7" s="1"/>
  <c r="U71" i="7"/>
  <c r="V71" i="7" s="1"/>
  <c r="W71" i="7" s="1"/>
  <c r="U101" i="7"/>
  <c r="V101" i="7" s="1"/>
  <c r="W101" i="7" s="1"/>
  <c r="U171" i="7"/>
  <c r="V171" i="7" s="1"/>
  <c r="W171" i="7" s="1"/>
  <c r="T160" i="7"/>
  <c r="U160" i="7" s="1"/>
  <c r="V160" i="7" s="1"/>
  <c r="W160" i="7" s="1"/>
  <c r="U88" i="7"/>
  <c r="V88" i="7" s="1"/>
  <c r="AA88" i="7" s="1"/>
  <c r="T68" i="7"/>
  <c r="T131" i="7"/>
  <c r="U131" i="7" s="1"/>
  <c r="V131" i="7" s="1"/>
  <c r="W131" i="7" s="1"/>
  <c r="U67" i="7"/>
  <c r="V67" i="7" s="1"/>
  <c r="W67" i="7" s="1"/>
  <c r="T91" i="7"/>
  <c r="U91" i="7" s="1"/>
  <c r="V91" i="7" s="1"/>
  <c r="W91" i="7" s="1"/>
  <c r="U151" i="7"/>
  <c r="V151" i="7" s="1"/>
  <c r="W151" i="7" s="1"/>
  <c r="T120" i="7"/>
  <c r="U120" i="7" s="1"/>
  <c r="V120" i="7" s="1"/>
  <c r="W120" i="7" s="1"/>
  <c r="T78" i="7"/>
  <c r="U78" i="7" s="1"/>
  <c r="V78" i="7" s="1"/>
  <c r="W78" i="7" s="1"/>
  <c r="U250" i="7"/>
  <c r="V250" i="7" s="1"/>
  <c r="W250" i="7" s="1"/>
  <c r="U200" i="7"/>
  <c r="V200" i="7" s="1"/>
  <c r="W200" i="7" s="1"/>
  <c r="U161" i="7"/>
  <c r="V161" i="7" s="1"/>
  <c r="W161" i="7" s="1"/>
  <c r="T245" i="7"/>
  <c r="U245" i="7" s="1"/>
  <c r="V245" i="7" s="1"/>
  <c r="W245" i="7" s="1"/>
  <c r="U208" i="7"/>
  <c r="V208" i="7" s="1"/>
  <c r="W208" i="7" s="1"/>
  <c r="T251" i="7"/>
  <c r="U251" i="7" s="1"/>
  <c r="V251" i="7" s="1"/>
  <c r="W251" i="7" s="1"/>
  <c r="U114" i="7"/>
  <c r="V114" i="7" s="1"/>
  <c r="W114" i="7" s="1"/>
  <c r="U25" i="7"/>
  <c r="V25" i="7" s="1"/>
  <c r="W25" i="7" s="1"/>
  <c r="T134" i="7"/>
  <c r="U134" i="7" s="1"/>
  <c r="V134" i="7" s="1"/>
  <c r="W134" i="7" s="1"/>
  <c r="T186" i="7"/>
  <c r="U186" i="7" s="1"/>
  <c r="V186" i="7" s="1"/>
  <c r="W186" i="7" s="1"/>
  <c r="T14" i="7"/>
  <c r="U14" i="7" s="1"/>
  <c r="V14" i="7" s="1"/>
  <c r="W14" i="7" s="1"/>
  <c r="T248" i="7"/>
  <c r="U248" i="7" s="1"/>
  <c r="V248" i="7" s="1"/>
  <c r="W248" i="7" s="1"/>
  <c r="T83" i="7"/>
  <c r="U83" i="7" s="1"/>
  <c r="V83" i="7" s="1"/>
  <c r="W83" i="7" s="1"/>
  <c r="T107" i="7"/>
  <c r="U107" i="7" s="1"/>
  <c r="V107" i="7" s="1"/>
  <c r="W107" i="7" s="1"/>
  <c r="T90" i="7"/>
  <c r="U90" i="7" s="1"/>
  <c r="V90" i="7" s="1"/>
  <c r="W90" i="7" s="1"/>
  <c r="T124" i="7"/>
  <c r="U124" i="7" s="1"/>
  <c r="V124" i="7" s="1"/>
  <c r="W124" i="7" s="1"/>
  <c r="T65" i="7"/>
  <c r="U65" i="7" s="1"/>
  <c r="V65" i="7" s="1"/>
  <c r="W65" i="7" s="1"/>
  <c r="T41" i="7"/>
  <c r="U41" i="7" s="1"/>
  <c r="V41" i="7" s="1"/>
  <c r="W41" i="7" s="1"/>
  <c r="T118" i="7"/>
  <c r="U118" i="7" s="1"/>
  <c r="V118" i="7" s="1"/>
  <c r="W118" i="7" s="1"/>
  <c r="T202" i="7"/>
  <c r="U202" i="7" s="1"/>
  <c r="V202" i="7" s="1"/>
  <c r="W202" i="7" s="1"/>
  <c r="T234" i="7"/>
  <c r="U234" i="7" s="1"/>
  <c r="V234" i="7" s="1"/>
  <c r="W234" i="7" s="1"/>
  <c r="U49" i="7"/>
  <c r="V49" i="7" s="1"/>
  <c r="W49" i="7" s="1"/>
  <c r="U164" i="7"/>
  <c r="V164" i="7" s="1"/>
  <c r="W164" i="7" s="1"/>
  <c r="T175" i="7"/>
  <c r="T136" i="7"/>
  <c r="U136" i="7" s="1"/>
  <c r="V136" i="7" s="1"/>
  <c r="W136" i="7" s="1"/>
  <c r="U56" i="7"/>
  <c r="V56" i="7" s="1"/>
  <c r="W56" i="7" s="1"/>
  <c r="T125" i="7"/>
  <c r="U125" i="7" s="1"/>
  <c r="V125" i="7" s="1"/>
  <c r="W125" i="7" s="1"/>
  <c r="T27" i="7"/>
  <c r="U27" i="7" s="1"/>
  <c r="V27" i="7" s="1"/>
  <c r="W27" i="7" s="1"/>
  <c r="U80" i="7"/>
  <c r="V80" i="7" s="1"/>
  <c r="W80" i="7" s="1"/>
  <c r="U146" i="7"/>
  <c r="V146" i="7" s="1"/>
  <c r="W146" i="7" s="1"/>
  <c r="T126" i="7"/>
  <c r="U126" i="7" s="1"/>
  <c r="V126" i="7" s="1"/>
  <c r="W126" i="7" s="1"/>
  <c r="T253" i="7"/>
  <c r="U253" i="7" s="1"/>
  <c r="V253" i="7" s="1"/>
  <c r="W253" i="7" s="1"/>
  <c r="T285" i="7"/>
  <c r="T89" i="7"/>
  <c r="U89" i="7" s="1"/>
  <c r="V89" i="7" s="1"/>
  <c r="W89" i="7" s="1"/>
  <c r="T97" i="7"/>
  <c r="U97" i="7" s="1"/>
  <c r="V97" i="7" s="1"/>
  <c r="W97" i="7" s="1"/>
  <c r="U57" i="7"/>
  <c r="V57" i="7" s="1"/>
  <c r="W57" i="7" s="1"/>
  <c r="U130" i="7"/>
  <c r="V130" i="7" s="1"/>
  <c r="W130" i="7" s="1"/>
  <c r="U159" i="7"/>
  <c r="V159" i="7" s="1"/>
  <c r="W159" i="7" s="1"/>
  <c r="T271" i="7"/>
  <c r="U271" i="7" s="1"/>
  <c r="V271" i="7" s="1"/>
  <c r="W271" i="7" s="1"/>
  <c r="U244" i="7"/>
  <c r="V244" i="7" s="1"/>
  <c r="W244" i="7" s="1"/>
  <c r="T279" i="7"/>
  <c r="U279" i="7" s="1"/>
  <c r="V279" i="7" s="1"/>
  <c r="W279" i="7" s="1"/>
  <c r="U259" i="7"/>
  <c r="V259" i="7" s="1"/>
  <c r="W259" i="7" s="1"/>
  <c r="T225" i="7"/>
  <c r="U225" i="7" s="1"/>
  <c r="V225" i="7" s="1"/>
  <c r="W225" i="7" s="1"/>
  <c r="U19" i="7"/>
  <c r="V19" i="7" s="1"/>
  <c r="W19" i="7" s="1"/>
  <c r="T40" i="7"/>
  <c r="U40" i="7" s="1"/>
  <c r="V40" i="7" s="1"/>
  <c r="W40" i="7" s="1"/>
  <c r="T224" i="7"/>
  <c r="U224" i="7" s="1"/>
  <c r="V224" i="7" s="1"/>
  <c r="W224" i="7" s="1"/>
  <c r="T62" i="7"/>
  <c r="U62" i="7" s="1"/>
  <c r="V62" i="7" s="1"/>
  <c r="W62" i="7" s="1"/>
  <c r="T129" i="7"/>
  <c r="U129" i="7" s="1"/>
  <c r="V129" i="7" s="1"/>
  <c r="W129" i="7" s="1"/>
  <c r="U270" i="7"/>
  <c r="V270" i="7" s="1"/>
  <c r="W270" i="7" s="1"/>
  <c r="T43" i="7"/>
  <c r="U43" i="7" s="1"/>
  <c r="V43" i="7" s="1"/>
  <c r="W43" i="7" s="1"/>
  <c r="U29" i="7"/>
  <c r="V29" i="7" s="1"/>
  <c r="W29" i="7" s="1"/>
  <c r="T53" i="7"/>
  <c r="U53" i="7" s="1"/>
  <c r="V53" i="7" s="1"/>
  <c r="W53" i="7" s="1"/>
  <c r="U165" i="7"/>
  <c r="V165" i="7" s="1"/>
  <c r="W165" i="7" s="1"/>
  <c r="T282" i="7"/>
  <c r="U282" i="7" s="1"/>
  <c r="V282" i="7" s="1"/>
  <c r="W282" i="7" s="1"/>
  <c r="U230" i="7"/>
  <c r="V230" i="7" s="1"/>
  <c r="W230" i="7" s="1"/>
  <c r="T267" i="7"/>
  <c r="U267" i="7" s="1"/>
  <c r="V267" i="7" s="1"/>
  <c r="W267" i="7" s="1"/>
  <c r="T277" i="7"/>
  <c r="U277" i="7" s="1"/>
  <c r="V277" i="7" s="1"/>
  <c r="W277" i="7" s="1"/>
  <c r="U197" i="7"/>
  <c r="V197" i="7" s="1"/>
  <c r="W197" i="7" s="1"/>
  <c r="T44" i="7"/>
  <c r="U44" i="7" s="1"/>
  <c r="V44" i="7" s="1"/>
  <c r="W44" i="7" s="1"/>
  <c r="T87" i="7"/>
  <c r="U87" i="7" s="1"/>
  <c r="V87" i="7" s="1"/>
  <c r="W87" i="7" s="1"/>
  <c r="T148" i="7"/>
  <c r="U148" i="7" s="1"/>
  <c r="V148" i="7" s="1"/>
  <c r="W148" i="7" s="1"/>
  <c r="T188" i="7"/>
  <c r="U188" i="7" s="1"/>
  <c r="V188" i="7" s="1"/>
  <c r="W188" i="7" s="1"/>
  <c r="U172" i="7"/>
  <c r="V172" i="7" s="1"/>
  <c r="W172" i="7" s="1"/>
  <c r="U211" i="7"/>
  <c r="V211" i="7" s="1"/>
  <c r="W211" i="7" s="1"/>
  <c r="T58" i="7"/>
  <c r="U58" i="7" s="1"/>
  <c r="V58" i="7" s="1"/>
  <c r="W58" i="7" s="1"/>
  <c r="T30" i="7"/>
  <c r="U30" i="7" s="1"/>
  <c r="V30" i="7" s="1"/>
  <c r="W30" i="7" s="1"/>
  <c r="S264" i="2" l="1"/>
  <c r="S254" i="2"/>
  <c r="S208" i="2"/>
  <c r="S145" i="2"/>
  <c r="S36" i="2"/>
  <c r="S61" i="2"/>
  <c r="S120" i="2"/>
  <c r="S55" i="2"/>
  <c r="S46" i="2"/>
  <c r="S60" i="2"/>
  <c r="S244" i="2"/>
  <c r="S230" i="2"/>
  <c r="S43" i="2"/>
  <c r="S261" i="2"/>
  <c r="S104" i="2"/>
  <c r="S209" i="2"/>
  <c r="S186" i="2"/>
  <c r="S69" i="2"/>
  <c r="S134" i="2"/>
  <c r="S265" i="2"/>
  <c r="S159" i="2"/>
  <c r="S217" i="2"/>
  <c r="S48" i="2"/>
  <c r="S175" i="2"/>
  <c r="S185" i="2"/>
  <c r="S40" i="2"/>
  <c r="S234" i="2"/>
  <c r="S45" i="2"/>
  <c r="S266" i="2"/>
  <c r="S231" i="2"/>
  <c r="S207" i="2"/>
  <c r="S56" i="2"/>
  <c r="S259" i="2"/>
  <c r="S222" i="2"/>
  <c r="S130" i="2"/>
  <c r="S232" i="2"/>
  <c r="S41" i="2"/>
  <c r="S38" i="2"/>
  <c r="S37" i="2"/>
  <c r="S223" i="2"/>
  <c r="S255" i="2"/>
  <c r="S210" i="2"/>
  <c r="L8" i="2"/>
  <c r="AA203" i="7"/>
  <c r="Z80" i="7"/>
  <c r="AA151" i="7"/>
  <c r="Z254" i="7"/>
  <c r="Z19" i="7"/>
  <c r="Z214" i="7"/>
  <c r="AA168" i="7"/>
  <c r="Z184" i="7"/>
  <c r="AA166" i="7"/>
  <c r="Z25" i="7"/>
  <c r="AA99" i="7"/>
  <c r="AA39" i="7"/>
  <c r="Z85" i="7"/>
  <c r="AA172" i="7"/>
  <c r="AA270" i="7"/>
  <c r="AA150" i="7"/>
  <c r="AA35" i="7"/>
  <c r="AA85" i="7"/>
  <c r="AA19" i="7"/>
  <c r="Z276" i="7"/>
  <c r="Z190" i="7"/>
  <c r="AA184" i="7"/>
  <c r="AA254" i="7"/>
  <c r="AA207" i="7"/>
  <c r="Z167" i="7"/>
  <c r="AA281" i="7"/>
  <c r="Z101" i="7"/>
  <c r="AA213" i="7"/>
  <c r="Z48" i="7"/>
  <c r="AA48" i="7"/>
  <c r="AA146" i="7"/>
  <c r="Z39" i="7"/>
  <c r="Z197" i="7"/>
  <c r="AA49" i="7"/>
  <c r="AA199" i="7"/>
  <c r="Z146" i="7"/>
  <c r="AA200" i="7"/>
  <c r="AA141" i="7"/>
  <c r="AA185" i="7"/>
  <c r="Z20" i="7"/>
  <c r="AA229" i="7"/>
  <c r="Z29" i="7"/>
  <c r="Z259" i="7"/>
  <c r="AA130" i="7"/>
  <c r="AA56" i="7"/>
  <c r="AA71" i="7"/>
  <c r="AA179" i="7"/>
  <c r="Z77" i="7"/>
  <c r="AA246" i="7"/>
  <c r="AA194" i="7"/>
  <c r="AA211" i="7"/>
  <c r="AA259" i="7"/>
  <c r="AA208" i="7"/>
  <c r="AA137" i="7"/>
  <c r="AA38" i="7"/>
  <c r="Z211" i="7"/>
  <c r="Z57" i="7"/>
  <c r="AA76" i="7"/>
  <c r="AA104" i="7"/>
  <c r="Z137" i="7"/>
  <c r="Z38" i="7"/>
  <c r="Z280" i="7"/>
  <c r="Z34" i="7"/>
  <c r="Z185" i="7"/>
  <c r="Z229" i="7"/>
  <c r="AA159" i="7"/>
  <c r="AA161" i="7"/>
  <c r="AA171" i="7"/>
  <c r="AA238" i="7"/>
  <c r="AA167" i="7"/>
  <c r="Z35" i="7"/>
  <c r="Z102" i="7"/>
  <c r="Z138" i="7"/>
  <c r="Z270" i="7"/>
  <c r="Z159" i="7"/>
  <c r="Z161" i="7"/>
  <c r="Z171" i="7"/>
  <c r="Z141" i="7"/>
  <c r="AA214" i="7"/>
  <c r="Z238" i="7"/>
  <c r="AA77" i="7"/>
  <c r="AA138" i="7"/>
  <c r="AA29" i="7"/>
  <c r="AA244" i="7"/>
  <c r="AA80" i="7"/>
  <c r="Z114" i="7"/>
  <c r="Z208" i="7"/>
  <c r="Z200" i="7"/>
  <c r="AA55" i="7"/>
  <c r="AA193" i="7"/>
  <c r="AA23" i="7"/>
  <c r="Z181" i="7"/>
  <c r="AA206" i="7"/>
  <c r="Z193" i="7"/>
  <c r="Z23" i="7"/>
  <c r="AA226" i="7"/>
  <c r="AA117" i="7"/>
  <c r="AA174" i="7"/>
  <c r="Z122" i="7"/>
  <c r="AA181" i="7"/>
  <c r="AA57" i="7"/>
  <c r="Z164" i="7"/>
  <c r="Z250" i="7"/>
  <c r="Z67" i="7"/>
  <c r="AA276" i="7"/>
  <c r="AA209" i="7"/>
  <c r="AA233" i="7"/>
  <c r="Z226" i="7"/>
  <c r="Z117" i="7"/>
  <c r="Z174" i="7"/>
  <c r="Z282" i="7"/>
  <c r="AA282" i="7"/>
  <c r="Z129" i="7"/>
  <c r="AA129" i="7"/>
  <c r="Z97" i="7"/>
  <c r="AA97" i="7"/>
  <c r="AA186" i="7"/>
  <c r="Z186" i="7"/>
  <c r="U100" i="7"/>
  <c r="V100" i="7" s="1"/>
  <c r="W100" i="7" s="1"/>
  <c r="U158" i="7"/>
  <c r="V158" i="7" s="1"/>
  <c r="W158" i="7" s="1"/>
  <c r="Z172" i="7"/>
  <c r="AA267" i="7"/>
  <c r="Z267" i="7"/>
  <c r="Z244" i="7"/>
  <c r="Z130" i="7"/>
  <c r="AA253" i="7"/>
  <c r="Z253" i="7"/>
  <c r="Z202" i="7"/>
  <c r="AA202" i="7"/>
  <c r="Z124" i="7"/>
  <c r="AA124" i="7"/>
  <c r="AA251" i="7"/>
  <c r="Z251" i="7"/>
  <c r="AA245" i="7"/>
  <c r="Z245" i="7"/>
  <c r="AA250" i="7"/>
  <c r="W198" i="7"/>
  <c r="AA198" i="7"/>
  <c r="Z213" i="7"/>
  <c r="Z209" i="7"/>
  <c r="W227" i="7"/>
  <c r="AA227" i="7"/>
  <c r="W162" i="7"/>
  <c r="AA162" i="7"/>
  <c r="Z162" i="7"/>
  <c r="U74" i="7"/>
  <c r="V74" i="7" s="1"/>
  <c r="W74" i="7" s="1"/>
  <c r="AA30" i="7"/>
  <c r="Z30" i="7"/>
  <c r="AA44" i="7"/>
  <c r="Z44" i="7"/>
  <c r="AA89" i="7"/>
  <c r="Z89" i="7"/>
  <c r="Z83" i="7"/>
  <c r="AA83" i="7"/>
  <c r="U68" i="7"/>
  <c r="V68" i="7" s="1"/>
  <c r="W68" i="7" s="1"/>
  <c r="W289" i="7"/>
  <c r="AA289" i="7"/>
  <c r="Z132" i="7"/>
  <c r="AA132" i="7"/>
  <c r="AA142" i="7"/>
  <c r="Z142" i="7"/>
  <c r="W69" i="7"/>
  <c r="AA69" i="7"/>
  <c r="W170" i="7"/>
  <c r="AA170" i="7"/>
  <c r="Z170" i="7"/>
  <c r="U47" i="7"/>
  <c r="V47" i="7" s="1"/>
  <c r="W47" i="7" s="1"/>
  <c r="W59" i="7"/>
  <c r="Z59" i="7"/>
  <c r="U15" i="7"/>
  <c r="V15" i="7" s="1"/>
  <c r="W15" i="7" s="1"/>
  <c r="W201" i="7"/>
  <c r="Z201" i="7"/>
  <c r="AA201" i="7"/>
  <c r="Z271" i="7"/>
  <c r="AA271" i="7"/>
  <c r="Z53" i="7"/>
  <c r="AA53" i="7"/>
  <c r="AA277" i="7"/>
  <c r="Z277" i="7"/>
  <c r="Z87" i="7"/>
  <c r="AA87" i="7"/>
  <c r="AA230" i="7"/>
  <c r="Z165" i="7"/>
  <c r="Z62" i="7"/>
  <c r="AA62" i="7"/>
  <c r="AA136" i="7"/>
  <c r="Z136" i="7"/>
  <c r="Z134" i="7"/>
  <c r="AA134" i="7"/>
  <c r="AA197" i="7"/>
  <c r="Z230" i="7"/>
  <c r="AA165" i="7"/>
  <c r="AA43" i="7"/>
  <c r="Z43" i="7"/>
  <c r="Z225" i="7"/>
  <c r="AA225" i="7"/>
  <c r="Z126" i="7"/>
  <c r="AA126" i="7"/>
  <c r="Z27" i="7"/>
  <c r="AA27" i="7"/>
  <c r="U175" i="7"/>
  <c r="V175" i="7" s="1"/>
  <c r="W175" i="7" s="1"/>
  <c r="Z49" i="7"/>
  <c r="Z118" i="7"/>
  <c r="AA118" i="7"/>
  <c r="AA25" i="7"/>
  <c r="AA101" i="7"/>
  <c r="AA195" i="7"/>
  <c r="Z195" i="7"/>
  <c r="AA256" i="7"/>
  <c r="Z256" i="7"/>
  <c r="U149" i="7"/>
  <c r="V149" i="7" s="1"/>
  <c r="W149" i="7" s="1"/>
  <c r="W264" i="7"/>
  <c r="AA264" i="7"/>
  <c r="Z264" i="7"/>
  <c r="W212" i="7"/>
  <c r="Z212" i="7"/>
  <c r="AA212" i="7"/>
  <c r="U241" i="7"/>
  <c r="V241" i="7" s="1"/>
  <c r="W241" i="7" s="1"/>
  <c r="U249" i="7"/>
  <c r="V249" i="7" s="1"/>
  <c r="W249" i="7" s="1"/>
  <c r="W263" i="7"/>
  <c r="AA263" i="7"/>
  <c r="Z263" i="7"/>
  <c r="Z188" i="7"/>
  <c r="AA188" i="7"/>
  <c r="AA290" i="7"/>
  <c r="Z290" i="7"/>
  <c r="AA24" i="7"/>
  <c r="Z24" i="7"/>
  <c r="AA70" i="7"/>
  <c r="Z70" i="7"/>
  <c r="Z110" i="7"/>
  <c r="AA110" i="7"/>
  <c r="Z239" i="7"/>
  <c r="W239" i="7"/>
  <c r="W135" i="7"/>
  <c r="AA135" i="7"/>
  <c r="Z135" i="7"/>
  <c r="AA58" i="7"/>
  <c r="Z58" i="7"/>
  <c r="Z224" i="7"/>
  <c r="AA224" i="7"/>
  <c r="AA125" i="7"/>
  <c r="Z125" i="7"/>
  <c r="AA41" i="7"/>
  <c r="Z41" i="7"/>
  <c r="Z88" i="7"/>
  <c r="W88" i="7"/>
  <c r="W173" i="7"/>
  <c r="Z173" i="7"/>
  <c r="Z31" i="7"/>
  <c r="AA31" i="7"/>
  <c r="U121" i="7"/>
  <c r="V121" i="7" s="1"/>
  <c r="W121" i="7" s="1"/>
  <c r="Z265" i="7"/>
  <c r="AA265" i="7"/>
  <c r="U220" i="7"/>
  <c r="V220" i="7" s="1"/>
  <c r="W220" i="7" s="1"/>
  <c r="AA272" i="7"/>
  <c r="Z272" i="7"/>
  <c r="W189" i="7"/>
  <c r="Z189" i="7"/>
  <c r="AA189" i="7"/>
  <c r="U269" i="7"/>
  <c r="V269" i="7" s="1"/>
  <c r="W269" i="7" s="1"/>
  <c r="U178" i="7"/>
  <c r="V178" i="7" s="1"/>
  <c r="W178" i="7" s="1"/>
  <c r="Z10" i="7"/>
  <c r="W10" i="7"/>
  <c r="AA40" i="7"/>
  <c r="Z40" i="7"/>
  <c r="U285" i="7"/>
  <c r="V285" i="7" s="1"/>
  <c r="W285" i="7" s="1"/>
  <c r="Z56" i="7"/>
  <c r="AA164" i="7"/>
  <c r="AA90" i="7"/>
  <c r="Z90" i="7"/>
  <c r="Z14" i="7"/>
  <c r="AA14" i="7"/>
  <c r="AA67" i="7"/>
  <c r="U237" i="7"/>
  <c r="V237" i="7" s="1"/>
  <c r="W237" i="7" s="1"/>
  <c r="Z76" i="7"/>
  <c r="Z12" i="7"/>
  <c r="AA12" i="7"/>
  <c r="Z104" i="7"/>
  <c r="W94" i="7"/>
  <c r="AA94" i="7"/>
  <c r="Z94" i="7"/>
  <c r="AA18" i="7"/>
  <c r="Z18" i="7"/>
  <c r="AA204" i="7"/>
  <c r="Z204" i="7"/>
  <c r="U255" i="7"/>
  <c r="V255" i="7" s="1"/>
  <c r="W255" i="7" s="1"/>
  <c r="AA248" i="7"/>
  <c r="Z248" i="7"/>
  <c r="AA234" i="7"/>
  <c r="Z234" i="7"/>
  <c r="AA65" i="7"/>
  <c r="Z65" i="7"/>
  <c r="U223" i="7"/>
  <c r="V223" i="7" s="1"/>
  <c r="W223" i="7" s="1"/>
  <c r="AA33" i="7"/>
  <c r="Z33" i="7"/>
  <c r="W242" i="7"/>
  <c r="Z242" i="7"/>
  <c r="AA242" i="7"/>
  <c r="Z219" i="7"/>
  <c r="AA219" i="7"/>
  <c r="U42" i="7"/>
  <c r="V42" i="7" s="1"/>
  <c r="W42" i="7" s="1"/>
  <c r="U273" i="7"/>
  <c r="V273" i="7" s="1"/>
  <c r="W273" i="7" s="1"/>
  <c r="W187" i="7"/>
  <c r="AA187" i="7"/>
  <c r="Z187" i="7"/>
  <c r="U109" i="7"/>
  <c r="V109" i="7" s="1"/>
  <c r="W109" i="7" s="1"/>
  <c r="U236" i="7"/>
  <c r="V236" i="7" s="1"/>
  <c r="W236" i="7" s="1"/>
  <c r="W16" i="7"/>
  <c r="Z16" i="7"/>
  <c r="AA16" i="7"/>
  <c r="Z148" i="7"/>
  <c r="AA148" i="7"/>
  <c r="AA279" i="7"/>
  <c r="Z279" i="7"/>
  <c r="AA107" i="7"/>
  <c r="Z107" i="7"/>
  <c r="Z120" i="7"/>
  <c r="AA120" i="7"/>
  <c r="AA191" i="7"/>
  <c r="W191" i="7"/>
  <c r="Z21" i="7"/>
  <c r="AA21" i="7"/>
  <c r="AA240" i="7"/>
  <c r="Z240" i="7"/>
  <c r="AA10" i="7"/>
  <c r="Z261" i="7"/>
  <c r="AA261" i="7"/>
  <c r="AA92" i="7"/>
  <c r="Z92" i="7"/>
  <c r="AA66" i="7"/>
  <c r="Z66" i="7"/>
  <c r="Z26" i="7"/>
  <c r="AA26" i="7"/>
  <c r="Z96" i="7"/>
  <c r="AA96" i="7"/>
  <c r="AA210" i="7"/>
  <c r="AA64" i="7"/>
  <c r="Z64" i="7"/>
  <c r="AA78" i="7"/>
  <c r="Z78" i="7"/>
  <c r="Z151" i="7"/>
  <c r="AA131" i="7"/>
  <c r="Z131" i="7"/>
  <c r="AA160" i="7"/>
  <c r="Z160" i="7"/>
  <c r="Z71" i="7"/>
  <c r="AA93" i="7"/>
  <c r="Z93" i="7"/>
  <c r="Z152" i="7"/>
  <c r="AA152" i="7"/>
  <c r="Z73" i="7"/>
  <c r="AA73" i="7"/>
  <c r="Z292" i="7"/>
  <c r="AA292" i="7"/>
  <c r="AA232" i="7"/>
  <c r="Z232" i="7"/>
  <c r="AA13" i="7"/>
  <c r="Z13" i="7"/>
  <c r="Z99" i="7"/>
  <c r="Z55" i="7"/>
  <c r="Z207" i="7"/>
  <c r="AA46" i="7"/>
  <c r="Z46" i="7"/>
  <c r="Z166" i="7"/>
  <c r="Z199" i="7"/>
  <c r="AA286" i="7"/>
  <c r="Z286" i="7"/>
  <c r="AA20" i="7"/>
  <c r="AA280" i="7"/>
  <c r="Z206" i="7"/>
  <c r="AA103" i="7"/>
  <c r="AA22" i="7"/>
  <c r="Z243" i="7"/>
  <c r="AA79" i="7"/>
  <c r="Z79" i="7"/>
  <c r="AA116" i="7"/>
  <c r="Z116" i="7"/>
  <c r="Z32" i="7"/>
  <c r="AA32" i="7"/>
  <c r="AA291" i="7"/>
  <c r="Z291" i="7"/>
  <c r="Z123" i="7"/>
  <c r="AA123" i="7"/>
  <c r="AA45" i="7"/>
  <c r="Z72" i="7"/>
  <c r="AA72" i="7"/>
  <c r="Z63" i="7"/>
  <c r="AA63" i="7"/>
  <c r="Z210" i="7"/>
  <c r="AA114" i="7"/>
  <c r="AA287" i="7"/>
  <c r="Z287" i="7"/>
  <c r="Z95" i="7"/>
  <c r="AA95" i="7"/>
  <c r="Z153" i="7"/>
  <c r="AA153" i="7"/>
  <c r="Z176" i="7"/>
  <c r="AA176" i="7"/>
  <c r="Z196" i="7"/>
  <c r="AA196" i="7"/>
  <c r="Z145" i="7"/>
  <c r="AA145" i="7"/>
  <c r="AA147" i="7"/>
  <c r="Z147" i="7"/>
  <c r="AA52" i="7"/>
  <c r="Z52" i="7"/>
  <c r="AA247" i="7"/>
  <c r="Z247" i="7"/>
  <c r="Z228" i="7"/>
  <c r="AA228" i="7"/>
  <c r="Z275" i="7"/>
  <c r="AA275" i="7"/>
  <c r="Z192" i="7"/>
  <c r="AA192" i="7"/>
  <c r="Z103" i="7"/>
  <c r="AA288" i="7"/>
  <c r="Z288" i="7"/>
  <c r="AA221" i="7"/>
  <c r="Z221" i="7"/>
  <c r="Z22" i="7"/>
  <c r="AA243" i="7"/>
  <c r="Z51" i="7"/>
  <c r="AA51" i="7"/>
  <c r="Z98" i="7"/>
  <c r="AA98" i="7"/>
  <c r="Z60" i="7"/>
  <c r="AA60" i="7"/>
  <c r="Z281" i="7"/>
  <c r="Z246" i="7"/>
  <c r="Z45" i="7"/>
  <c r="Z112" i="7"/>
  <c r="AA112" i="7"/>
  <c r="AA222" i="7"/>
  <c r="Z222" i="7"/>
  <c r="Z217" i="7"/>
  <c r="AA217" i="7"/>
  <c r="Z283" i="7"/>
  <c r="AA283" i="7"/>
  <c r="Z144" i="7"/>
  <c r="AA144" i="7"/>
  <c r="AA75" i="7"/>
  <c r="Z75" i="7"/>
  <c r="Z84" i="7"/>
  <c r="AA84" i="7"/>
  <c r="Z91" i="7"/>
  <c r="AA91" i="7"/>
  <c r="AA205" i="7"/>
  <c r="Z205" i="7"/>
  <c r="AA111" i="7"/>
  <c r="Z111" i="7"/>
  <c r="Z179" i="7"/>
  <c r="Z156" i="7"/>
  <c r="AA156" i="7"/>
  <c r="Z154" i="7"/>
  <c r="AA154" i="7"/>
  <c r="Z50" i="7"/>
  <c r="AA50" i="7"/>
  <c r="AA119" i="7"/>
  <c r="Z119" i="7"/>
  <c r="Z233" i="7"/>
  <c r="AA258" i="7"/>
  <c r="Z258" i="7"/>
  <c r="AA157" i="7"/>
  <c r="Z157" i="7"/>
  <c r="Z169" i="7"/>
  <c r="Z150" i="7"/>
  <c r="AA163" i="7"/>
  <c r="Z163" i="7"/>
  <c r="Z177" i="7"/>
  <c r="AA177" i="7"/>
  <c r="Z218" i="7"/>
  <c r="Z54" i="7"/>
  <c r="AA268" i="7"/>
  <c r="Z268" i="7"/>
  <c r="AA284" i="7"/>
  <c r="Z284" i="7"/>
  <c r="Z168" i="7"/>
  <c r="AA257" i="7"/>
  <c r="Z257" i="7"/>
  <c r="AA102" i="7"/>
  <c r="AA106" i="7"/>
  <c r="Z106" i="7"/>
  <c r="Z28" i="7"/>
  <c r="AA28" i="7"/>
  <c r="AA182" i="7"/>
  <c r="AA122" i="7"/>
  <c r="Z203" i="7"/>
  <c r="Z194" i="7"/>
  <c r="AA81" i="7"/>
  <c r="Z81" i="7"/>
  <c r="Z191" i="7"/>
  <c r="AA133" i="7"/>
  <c r="Z133" i="7"/>
  <c r="AA169" i="7"/>
  <c r="AA155" i="7"/>
  <c r="Z155" i="7"/>
  <c r="AA278" i="7"/>
  <c r="Z278" i="7"/>
  <c r="AA108" i="7"/>
  <c r="Z108" i="7"/>
  <c r="T252" i="7"/>
  <c r="U252" i="7" s="1"/>
  <c r="Q8" i="7"/>
  <c r="AA218" i="7"/>
  <c r="AA54" i="7"/>
  <c r="AA61" i="7"/>
  <c r="Z61" i="7"/>
  <c r="Z127" i="7"/>
  <c r="AA127" i="7"/>
  <c r="AA139" i="7"/>
  <c r="Z139" i="7"/>
  <c r="AA216" i="7"/>
  <c r="Z216" i="7"/>
  <c r="AA231" i="7"/>
  <c r="Z231" i="7"/>
  <c r="Z215" i="7"/>
  <c r="AA215" i="7"/>
  <c r="Z260" i="7"/>
  <c r="AA262" i="7"/>
  <c r="Z128" i="7"/>
  <c r="AA128" i="7"/>
  <c r="AA113" i="7"/>
  <c r="Z113" i="7"/>
  <c r="Z235" i="7"/>
  <c r="AA235" i="7"/>
  <c r="Z182" i="7"/>
  <c r="AA183" i="7"/>
  <c r="AA239" i="7"/>
  <c r="Z274" i="7"/>
  <c r="AA274" i="7"/>
  <c r="AA82" i="7"/>
  <c r="Z82" i="7"/>
  <c r="Z17" i="7"/>
  <c r="AA17" i="7"/>
  <c r="Z115" i="7"/>
  <c r="AA115" i="7"/>
  <c r="AA34" i="7"/>
  <c r="AA190" i="7"/>
  <c r="Z180" i="7"/>
  <c r="AA180" i="7"/>
  <c r="AA140" i="7"/>
  <c r="Z140" i="7"/>
  <c r="U266" i="7"/>
  <c r="V266" i="7" s="1"/>
  <c r="W266" i="7" s="1"/>
  <c r="AA11" i="7"/>
  <c r="Z11" i="7"/>
  <c r="AA260" i="7"/>
  <c r="Z262" i="7"/>
  <c r="U36" i="7"/>
  <c r="V36" i="7" s="1"/>
  <c r="W36" i="7" s="1"/>
  <c r="Z143" i="7"/>
  <c r="AA143" i="7"/>
  <c r="U86" i="7"/>
  <c r="V86" i="7" s="1"/>
  <c r="U105" i="7"/>
  <c r="V105" i="7" s="1"/>
  <c r="W105" i="7" s="1"/>
  <c r="Z37" i="7"/>
  <c r="AA37" i="7"/>
  <c r="Z183" i="7"/>
  <c r="BB255" i="2" l="1"/>
  <c r="BB223" i="2"/>
  <c r="BB37" i="2"/>
  <c r="BB38" i="2"/>
  <c r="BB41" i="2"/>
  <c r="BB232" i="2"/>
  <c r="BB222" i="2"/>
  <c r="BB259" i="2"/>
  <c r="BB56" i="2"/>
  <c r="BB207" i="2"/>
  <c r="BB231" i="2"/>
  <c r="BB266" i="2"/>
  <c r="BB45" i="2"/>
  <c r="BB234" i="2"/>
  <c r="BB40" i="2"/>
  <c r="BB185" i="2"/>
  <c r="BB175" i="2"/>
  <c r="BB48" i="2"/>
  <c r="BB265" i="2"/>
  <c r="BB134" i="2"/>
  <c r="BB186" i="2"/>
  <c r="BB209" i="2"/>
  <c r="BB104" i="2"/>
  <c r="BB43" i="2"/>
  <c r="BB230" i="2"/>
  <c r="BB244" i="2"/>
  <c r="BB60" i="2"/>
  <c r="BB46" i="2"/>
  <c r="BB55" i="2"/>
  <c r="BB120" i="2"/>
  <c r="BB61" i="2"/>
  <c r="BB36" i="2"/>
  <c r="BB145" i="2"/>
  <c r="BB208" i="2"/>
  <c r="BB254" i="2"/>
  <c r="BB264" i="2"/>
  <c r="BB217" i="2"/>
  <c r="BB261" i="2"/>
  <c r="BB159" i="2"/>
  <c r="BB130" i="2"/>
  <c r="BB210" i="2"/>
  <c r="BB69" i="2"/>
  <c r="U210" i="2"/>
  <c r="AK210" i="2" s="1"/>
  <c r="U223" i="2"/>
  <c r="AK223" i="2" s="1"/>
  <c r="U38" i="2"/>
  <c r="AK38" i="2" s="1"/>
  <c r="U41" i="2"/>
  <c r="AK41" i="2" s="1"/>
  <c r="U222" i="2"/>
  <c r="AK222" i="2" s="1"/>
  <c r="U259" i="2"/>
  <c r="AK259" i="2" s="1"/>
  <c r="U207" i="2"/>
  <c r="AK207" i="2" s="1"/>
  <c r="U266" i="2"/>
  <c r="AK266" i="2" s="1"/>
  <c r="U175" i="2"/>
  <c r="AK175" i="2" s="1"/>
  <c r="U159" i="2"/>
  <c r="U186" i="2"/>
  <c r="AK186" i="2" s="1"/>
  <c r="U69" i="2"/>
  <c r="AK69" i="2" s="1"/>
  <c r="U55" i="2"/>
  <c r="AK55" i="2" s="1"/>
  <c r="U60" i="2"/>
  <c r="AK60" i="2" s="1"/>
  <c r="U120" i="2"/>
  <c r="AK120" i="2" s="1"/>
  <c r="U46" i="2"/>
  <c r="AK46" i="2" s="1"/>
  <c r="U61" i="2"/>
  <c r="AK61" i="2" s="1"/>
  <c r="U36" i="2"/>
  <c r="AK36" i="2" s="1"/>
  <c r="U255" i="2"/>
  <c r="AK255" i="2" s="1"/>
  <c r="U185" i="2"/>
  <c r="AK185" i="2" s="1"/>
  <c r="U134" i="2"/>
  <c r="AK134" i="2" s="1"/>
  <c r="U231" i="2"/>
  <c r="AK231" i="2" s="1"/>
  <c r="U254" i="2"/>
  <c r="AK254" i="2" s="1"/>
  <c r="U56" i="2"/>
  <c r="AK56" i="2" s="1"/>
  <c r="U37" i="2"/>
  <c r="AK37" i="2" s="1"/>
  <c r="U104" i="2"/>
  <c r="AK104" i="2" s="1"/>
  <c r="U208" i="2"/>
  <c r="AK208" i="2" s="1"/>
  <c r="U264" i="2"/>
  <c r="U43" i="2"/>
  <c r="AK43" i="2" s="1"/>
  <c r="U209" i="2"/>
  <c r="AK209" i="2" s="1"/>
  <c r="U230" i="2"/>
  <c r="AK230" i="2" s="1"/>
  <c r="U45" i="2"/>
  <c r="AK45" i="2" s="1"/>
  <c r="U244" i="2"/>
  <c r="AK244" i="2" s="1"/>
  <c r="U217" i="2"/>
  <c r="U40" i="2"/>
  <c r="AK40" i="2" s="1"/>
  <c r="U234" i="2"/>
  <c r="AK234" i="2" s="1"/>
  <c r="U48" i="2"/>
  <c r="AK48" i="2" s="1"/>
  <c r="U265" i="2"/>
  <c r="AK265" i="2" s="1"/>
  <c r="U261" i="2"/>
  <c r="AK261" i="2" s="1"/>
  <c r="U130" i="2"/>
  <c r="U145" i="2"/>
  <c r="AK145" i="2" s="1"/>
  <c r="U232" i="2"/>
  <c r="AK232" i="2" s="1"/>
  <c r="L7" i="2"/>
  <c r="Z68" i="7"/>
  <c r="AA237" i="7"/>
  <c r="Z236" i="7"/>
  <c r="Z220" i="7"/>
  <c r="AA241" i="7"/>
  <c r="Z237" i="7"/>
  <c r="Z109" i="7"/>
  <c r="AA223" i="7"/>
  <c r="AA255" i="7"/>
  <c r="AA178" i="7"/>
  <c r="Z178" i="7"/>
  <c r="Z121" i="7"/>
  <c r="AA149" i="7"/>
  <c r="AA109" i="7"/>
  <c r="Z15" i="7"/>
  <c r="AA100" i="7"/>
  <c r="AA15" i="7"/>
  <c r="V252" i="7"/>
  <c r="Z252" i="7" s="1"/>
  <c r="U8" i="7"/>
  <c r="T8" i="7"/>
  <c r="Z36" i="7"/>
  <c r="AA236" i="7"/>
  <c r="Z223" i="7"/>
  <c r="Z149" i="7"/>
  <c r="Z266" i="7"/>
  <c r="Z273" i="7"/>
  <c r="AA121" i="7"/>
  <c r="Z241" i="7"/>
  <c r="AA175" i="7"/>
  <c r="AA266" i="7"/>
  <c r="AA273" i="7"/>
  <c r="Z175" i="7"/>
  <c r="Z86" i="7"/>
  <c r="W86" i="7"/>
  <c r="AA105" i="7"/>
  <c r="AA220" i="7"/>
  <c r="AA285" i="7"/>
  <c r="AA68" i="7"/>
  <c r="Z100" i="7"/>
  <c r="Z105" i="7"/>
  <c r="Z285" i="7"/>
  <c r="AA86" i="7"/>
  <c r="Z255" i="7"/>
  <c r="AA269" i="7"/>
  <c r="AA249" i="7"/>
  <c r="Z47" i="7"/>
  <c r="AA74" i="7"/>
  <c r="AA158" i="7"/>
  <c r="Z42" i="7"/>
  <c r="AA36" i="7"/>
  <c r="Z269" i="7"/>
  <c r="Z249" i="7"/>
  <c r="AA47" i="7"/>
  <c r="Z74" i="7"/>
  <c r="Z158" i="7"/>
  <c r="AA42" i="7"/>
  <c r="AK130" i="2" l="1"/>
  <c r="AK264" i="2"/>
  <c r="AK217" i="2"/>
  <c r="AK159" i="2"/>
  <c r="V232" i="2"/>
  <c r="W232" i="2" s="1"/>
  <c r="AH232" i="2"/>
  <c r="V145" i="2"/>
  <c r="W145" i="2" s="1"/>
  <c r="AH145" i="2"/>
  <c r="V130" i="2"/>
  <c r="W130" i="2" s="1"/>
  <c r="AH130" i="2"/>
  <c r="V261" i="2"/>
  <c r="W261" i="2" s="1"/>
  <c r="AH261" i="2"/>
  <c r="V265" i="2"/>
  <c r="W265" i="2" s="1"/>
  <c r="AH265" i="2"/>
  <c r="V48" i="2"/>
  <c r="W48" i="2" s="1"/>
  <c r="AH48" i="2"/>
  <c r="V234" i="2"/>
  <c r="W234" i="2" s="1"/>
  <c r="AH234" i="2"/>
  <c r="V40" i="2"/>
  <c r="W40" i="2" s="1"/>
  <c r="AH40" i="2"/>
  <c r="V217" i="2"/>
  <c r="W217" i="2" s="1"/>
  <c r="AH217" i="2"/>
  <c r="V244" i="2"/>
  <c r="W244" i="2" s="1"/>
  <c r="AH244" i="2"/>
  <c r="V45" i="2"/>
  <c r="W45" i="2" s="1"/>
  <c r="AH45" i="2"/>
  <c r="V230" i="2"/>
  <c r="W230" i="2" s="1"/>
  <c r="AH230" i="2"/>
  <c r="V209" i="2"/>
  <c r="W209" i="2" s="1"/>
  <c r="AH209" i="2"/>
  <c r="V43" i="2"/>
  <c r="W43" i="2" s="1"/>
  <c r="AH43" i="2"/>
  <c r="V264" i="2"/>
  <c r="W264" i="2" s="1"/>
  <c r="AH264" i="2"/>
  <c r="V208" i="2"/>
  <c r="W208" i="2" s="1"/>
  <c r="AH208" i="2"/>
  <c r="V104" i="2"/>
  <c r="W104" i="2" s="1"/>
  <c r="AH104" i="2"/>
  <c r="V37" i="2"/>
  <c r="W37" i="2" s="1"/>
  <c r="AH37" i="2"/>
  <c r="V56" i="2"/>
  <c r="W56" i="2" s="1"/>
  <c r="AH56" i="2"/>
  <c r="V254" i="2"/>
  <c r="W254" i="2" s="1"/>
  <c r="AH254" i="2"/>
  <c r="V231" i="2"/>
  <c r="W231" i="2" s="1"/>
  <c r="AH231" i="2"/>
  <c r="V134" i="2"/>
  <c r="W134" i="2" s="1"/>
  <c r="AH134" i="2"/>
  <c r="V185" i="2"/>
  <c r="W185" i="2" s="1"/>
  <c r="AH185" i="2"/>
  <c r="V255" i="2"/>
  <c r="W255" i="2" s="1"/>
  <c r="AH255" i="2"/>
  <c r="V36" i="2"/>
  <c r="W36" i="2" s="1"/>
  <c r="AH36" i="2"/>
  <c r="V61" i="2"/>
  <c r="W61" i="2" s="1"/>
  <c r="AH61" i="2"/>
  <c r="V46" i="2"/>
  <c r="W46" i="2" s="1"/>
  <c r="AH46" i="2"/>
  <c r="V120" i="2"/>
  <c r="W120" i="2" s="1"/>
  <c r="AH120" i="2"/>
  <c r="V60" i="2"/>
  <c r="W60" i="2" s="1"/>
  <c r="AH60" i="2"/>
  <c r="V55" i="2"/>
  <c r="W55" i="2" s="1"/>
  <c r="AH55" i="2"/>
  <c r="V69" i="2"/>
  <c r="W69" i="2" s="1"/>
  <c r="AH69" i="2"/>
  <c r="V186" i="2"/>
  <c r="W186" i="2" s="1"/>
  <c r="AH186" i="2"/>
  <c r="V159" i="2"/>
  <c r="W159" i="2" s="1"/>
  <c r="AH159" i="2"/>
  <c r="V175" i="2"/>
  <c r="W175" i="2" s="1"/>
  <c r="AH175" i="2"/>
  <c r="V266" i="2"/>
  <c r="W266" i="2" s="1"/>
  <c r="AH266" i="2"/>
  <c r="V207" i="2"/>
  <c r="W207" i="2" s="1"/>
  <c r="AH207" i="2"/>
  <c r="V259" i="2"/>
  <c r="W259" i="2" s="1"/>
  <c r="AH259" i="2"/>
  <c r="V222" i="2"/>
  <c r="W222" i="2" s="1"/>
  <c r="AH222" i="2"/>
  <c r="V41" i="2"/>
  <c r="W41" i="2" s="1"/>
  <c r="AH41" i="2"/>
  <c r="V38" i="2"/>
  <c r="W38" i="2" s="1"/>
  <c r="AH38" i="2"/>
  <c r="V223" i="2"/>
  <c r="W223" i="2" s="1"/>
  <c r="AH223" i="2"/>
  <c r="V210" i="2"/>
  <c r="W210" i="2" s="1"/>
  <c r="AH210" i="2"/>
  <c r="AA252" i="7"/>
  <c r="AA8" i="7" s="1"/>
  <c r="W252" i="7"/>
  <c r="W8" i="7" s="1"/>
  <c r="V8" i="7"/>
  <c r="Y232" i="2" l="1"/>
  <c r="Z232" i="2" s="1"/>
  <c r="AA232" i="2" s="1"/>
  <c r="AC232" i="2" s="1"/>
  <c r="Y223" i="2"/>
  <c r="Z223" i="2" s="1"/>
  <c r="AA223" i="2" s="1"/>
  <c r="AC223" i="2" s="1"/>
  <c r="Y38" i="2"/>
  <c r="Z38" i="2" s="1"/>
  <c r="AA38" i="2" s="1"/>
  <c r="AC38" i="2" s="1"/>
  <c r="Y41" i="2"/>
  <c r="Z41" i="2" s="1"/>
  <c r="AA41" i="2" s="1"/>
  <c r="AC41" i="2" s="1"/>
  <c r="Y222" i="2"/>
  <c r="Z222" i="2" s="1"/>
  <c r="AA222" i="2" s="1"/>
  <c r="AC222" i="2" s="1"/>
  <c r="Y259" i="2"/>
  <c r="Z259" i="2" s="1"/>
  <c r="AA259" i="2" s="1"/>
  <c r="AC259" i="2" s="1"/>
  <c r="Y207" i="2"/>
  <c r="Z207" i="2" s="1"/>
  <c r="AA207" i="2" s="1"/>
  <c r="AC207" i="2" s="1"/>
  <c r="Y266" i="2"/>
  <c r="Z266" i="2" s="1"/>
  <c r="AA266" i="2" s="1"/>
  <c r="AC266" i="2" s="1"/>
  <c r="Y175" i="2"/>
  <c r="Z175" i="2" s="1"/>
  <c r="AA175" i="2" s="1"/>
  <c r="AC175" i="2" s="1"/>
  <c r="Y186" i="2"/>
  <c r="Z186" i="2" s="1"/>
  <c r="AA186" i="2" s="1"/>
  <c r="AC186" i="2" s="1"/>
  <c r="Y55" i="2"/>
  <c r="Z55" i="2" s="1"/>
  <c r="AA55" i="2" s="1"/>
  <c r="AC55" i="2" s="1"/>
  <c r="Y60" i="2"/>
  <c r="Z60" i="2" s="1"/>
  <c r="AA60" i="2" s="1"/>
  <c r="AC60" i="2" s="1"/>
  <c r="Y120" i="2"/>
  <c r="Z120" i="2" s="1"/>
  <c r="AA120" i="2" s="1"/>
  <c r="AC120" i="2" s="1"/>
  <c r="Y46" i="2"/>
  <c r="Z46" i="2" s="1"/>
  <c r="AA46" i="2" s="1"/>
  <c r="AC46" i="2" s="1"/>
  <c r="Y61" i="2"/>
  <c r="Z61" i="2" s="1"/>
  <c r="AA61" i="2" s="1"/>
  <c r="AC61" i="2" s="1"/>
  <c r="Y36" i="2"/>
  <c r="Z36" i="2" s="1"/>
  <c r="AA36" i="2" s="1"/>
  <c r="AC36" i="2" s="1"/>
  <c r="Y255" i="2"/>
  <c r="Z255" i="2" s="1"/>
  <c r="AA255" i="2" s="1"/>
  <c r="AC255" i="2" s="1"/>
  <c r="Y185" i="2"/>
  <c r="Z185" i="2" s="1"/>
  <c r="AA185" i="2" s="1"/>
  <c r="AC185" i="2" s="1"/>
  <c r="Y134" i="2"/>
  <c r="Z134" i="2" s="1"/>
  <c r="AA134" i="2" s="1"/>
  <c r="AC134" i="2" s="1"/>
  <c r="Y231" i="2"/>
  <c r="Z231" i="2" s="1"/>
  <c r="AA231" i="2" s="1"/>
  <c r="AC231" i="2" s="1"/>
  <c r="Y254" i="2"/>
  <c r="Z254" i="2" s="1"/>
  <c r="AA254" i="2" s="1"/>
  <c r="AC254" i="2" s="1"/>
  <c r="Y56" i="2"/>
  <c r="Z56" i="2" s="1"/>
  <c r="AA56" i="2" s="1"/>
  <c r="AC56" i="2" s="1"/>
  <c r="Y37" i="2"/>
  <c r="Z37" i="2" s="1"/>
  <c r="AA37" i="2" s="1"/>
  <c r="AC37" i="2" s="1"/>
  <c r="Y104" i="2"/>
  <c r="Z104" i="2" s="1"/>
  <c r="AA104" i="2" s="1"/>
  <c r="AC104" i="2" s="1"/>
  <c r="Y208" i="2"/>
  <c r="Z208" i="2" s="1"/>
  <c r="AA208" i="2" s="1"/>
  <c r="AC208" i="2" s="1"/>
  <c r="Y43" i="2"/>
  <c r="Z43" i="2" s="1"/>
  <c r="AA43" i="2" s="1"/>
  <c r="AC43" i="2" s="1"/>
  <c r="Y209" i="2"/>
  <c r="Z209" i="2" s="1"/>
  <c r="AA209" i="2" s="1"/>
  <c r="AC209" i="2" s="1"/>
  <c r="Y230" i="2"/>
  <c r="Z230" i="2" s="1"/>
  <c r="AA230" i="2" s="1"/>
  <c r="AC230" i="2" s="1"/>
  <c r="Y45" i="2"/>
  <c r="Z45" i="2" s="1"/>
  <c r="AA45" i="2" s="1"/>
  <c r="AC45" i="2" s="1"/>
  <c r="Y244" i="2"/>
  <c r="Z244" i="2" s="1"/>
  <c r="AA244" i="2" s="1"/>
  <c r="AC244" i="2" s="1"/>
  <c r="Y40" i="2"/>
  <c r="Z40" i="2" s="1"/>
  <c r="AA40" i="2" s="1"/>
  <c r="AC40" i="2" s="1"/>
  <c r="Y234" i="2"/>
  <c r="Z234" i="2" s="1"/>
  <c r="AA234" i="2" s="1"/>
  <c r="AC234" i="2" s="1"/>
  <c r="Y48" i="2"/>
  <c r="Z48" i="2" s="1"/>
  <c r="AA48" i="2" s="1"/>
  <c r="AC48" i="2" s="1"/>
  <c r="Y265" i="2"/>
  <c r="Z265" i="2" s="1"/>
  <c r="AA265" i="2" s="1"/>
  <c r="AC265" i="2" s="1"/>
  <c r="Y145" i="2"/>
  <c r="Z145" i="2" s="1"/>
  <c r="AA145" i="2" s="1"/>
  <c r="AC145" i="2" s="1"/>
  <c r="Y264" i="2"/>
  <c r="Y130" i="2"/>
  <c r="AF234" i="2" l="1"/>
  <c r="AF266" i="2"/>
  <c r="AI266" i="2" s="1"/>
  <c r="AF41" i="2"/>
  <c r="AI41" i="2" s="1"/>
  <c r="AF40" i="2"/>
  <c r="AF120" i="2"/>
  <c r="AF207" i="2"/>
  <c r="AI207" i="2" s="1"/>
  <c r="AF60" i="2"/>
  <c r="AF175" i="2"/>
  <c r="AF259" i="2"/>
  <c r="AF48" i="2"/>
  <c r="AF45" i="2"/>
  <c r="AF254" i="2"/>
  <c r="AF230" i="2"/>
  <c r="AF222" i="2"/>
  <c r="AF104" i="2"/>
  <c r="AF244" i="2"/>
  <c r="AI244" i="2" s="1"/>
  <c r="AF186" i="2"/>
  <c r="AF209" i="2"/>
  <c r="AF223" i="2"/>
  <c r="AF43" i="2"/>
  <c r="AF265" i="2"/>
  <c r="AF56" i="2"/>
  <c r="AF38" i="2"/>
  <c r="AF208" i="2"/>
  <c r="AF36" i="2"/>
  <c r="AF37" i="2"/>
  <c r="AF145" i="2"/>
  <c r="AF185" i="2"/>
  <c r="AF231" i="2"/>
  <c r="AF55" i="2"/>
  <c r="AF134" i="2"/>
  <c r="AF46" i="2"/>
  <c r="AF255" i="2"/>
  <c r="AF232" i="2"/>
  <c r="AF61" i="2"/>
  <c r="Z130" i="2"/>
  <c r="AA130" i="2" s="1"/>
  <c r="AC130" i="2" s="1"/>
  <c r="Z264" i="2"/>
  <c r="AA264" i="2" s="1"/>
  <c r="AC264" i="2" s="1"/>
  <c r="Y261" i="2"/>
  <c r="Z261" i="2" s="1"/>
  <c r="AA261" i="2" s="1"/>
  <c r="AC261" i="2" s="1"/>
  <c r="Y69" i="2"/>
  <c r="Z69" i="2" s="1"/>
  <c r="AA69" i="2" s="1"/>
  <c r="AC69" i="2" s="1"/>
  <c r="Y210" i="2"/>
  <c r="Z210" i="2" s="1"/>
  <c r="AA210" i="2" s="1"/>
  <c r="AC210" i="2" s="1"/>
  <c r="Y217" i="2"/>
  <c r="Y159" i="2"/>
  <c r="AJ134" i="2" l="1"/>
  <c r="AU134" i="2" s="1"/>
  <c r="AJ145" i="2"/>
  <c r="AU145" i="2" s="1"/>
  <c r="AJ175" i="2"/>
  <c r="AU175" i="2" s="1"/>
  <c r="AJ60" i="2"/>
  <c r="AU60" i="2" s="1"/>
  <c r="AJ207" i="2"/>
  <c r="AU207" i="2" s="1"/>
  <c r="AJ120" i="2"/>
  <c r="AU120" i="2" s="1"/>
  <c r="AJ41" i="2"/>
  <c r="AU41" i="2" s="1"/>
  <c r="AJ40" i="2"/>
  <c r="AU40" i="2" s="1"/>
  <c r="AI40" i="2"/>
  <c r="AI175" i="2"/>
  <c r="AJ266" i="2"/>
  <c r="AU266" i="2" s="1"/>
  <c r="AI60" i="2"/>
  <c r="AJ234" i="2"/>
  <c r="AU234" i="2" s="1"/>
  <c r="AI234" i="2"/>
  <c r="AJ55" i="2"/>
  <c r="AU55" i="2" s="1"/>
  <c r="AI55" i="2"/>
  <c r="AJ104" i="2"/>
  <c r="AU104" i="2" s="1"/>
  <c r="AI104" i="2"/>
  <c r="AJ231" i="2"/>
  <c r="AU231" i="2" s="1"/>
  <c r="AI231" i="2"/>
  <c r="AJ186" i="2"/>
  <c r="AU186" i="2" s="1"/>
  <c r="AI186" i="2"/>
  <c r="AJ222" i="2"/>
  <c r="AU222" i="2" s="1"/>
  <c r="AI222" i="2"/>
  <c r="AJ56" i="2"/>
  <c r="AU56" i="2" s="1"/>
  <c r="AI56" i="2"/>
  <c r="AJ61" i="2"/>
  <c r="AU61" i="2" s="1"/>
  <c r="AI61" i="2"/>
  <c r="AJ185" i="2"/>
  <c r="AU185" i="2" s="1"/>
  <c r="AI185" i="2"/>
  <c r="AJ230" i="2"/>
  <c r="AU230" i="2" s="1"/>
  <c r="AI230" i="2"/>
  <c r="AJ232" i="2"/>
  <c r="AU232" i="2" s="1"/>
  <c r="AI232" i="2"/>
  <c r="AJ254" i="2"/>
  <c r="AU254" i="2" s="1"/>
  <c r="AI254" i="2"/>
  <c r="AF261" i="2"/>
  <c r="AJ209" i="2"/>
  <c r="AU209" i="2" s="1"/>
  <c r="AI209" i="2"/>
  <c r="AJ255" i="2"/>
  <c r="AU255" i="2" s="1"/>
  <c r="AI255" i="2"/>
  <c r="AJ37" i="2"/>
  <c r="AU37" i="2" s="1"/>
  <c r="AI37" i="2"/>
  <c r="AJ45" i="2"/>
  <c r="AU45" i="2" s="1"/>
  <c r="AI45" i="2"/>
  <c r="AJ48" i="2"/>
  <c r="AU48" i="2" s="1"/>
  <c r="AI48" i="2"/>
  <c r="AF264" i="2"/>
  <c r="AI264" i="2" s="1"/>
  <c r="AJ46" i="2"/>
  <c r="AU46" i="2" s="1"/>
  <c r="AI46" i="2"/>
  <c r="AJ36" i="2"/>
  <c r="AU36" i="2" s="1"/>
  <c r="AI36" i="2"/>
  <c r="AJ265" i="2"/>
  <c r="AU265" i="2" s="1"/>
  <c r="AI265" i="2"/>
  <c r="AJ259" i="2"/>
  <c r="AU259" i="2" s="1"/>
  <c r="AI259" i="2"/>
  <c r="AF210" i="2"/>
  <c r="AF130" i="2"/>
  <c r="AI130" i="2" s="1"/>
  <c r="AJ208" i="2"/>
  <c r="AU208" i="2" s="1"/>
  <c r="AI208" i="2"/>
  <c r="AJ43" i="2"/>
  <c r="AU43" i="2" s="1"/>
  <c r="AI43" i="2"/>
  <c r="AF69" i="2"/>
  <c r="AJ38" i="2"/>
  <c r="AU38" i="2" s="1"/>
  <c r="AI38" i="2"/>
  <c r="AJ223" i="2"/>
  <c r="AU223" i="2" s="1"/>
  <c r="AI223" i="2"/>
  <c r="AJ244" i="2"/>
  <c r="AU244" i="2" s="1"/>
  <c r="Z159" i="2"/>
  <c r="AA159" i="2" s="1"/>
  <c r="AC159" i="2" s="1"/>
  <c r="Z217" i="2"/>
  <c r="AA217" i="2" s="1"/>
  <c r="AC217" i="2" s="1"/>
  <c r="AI145" i="2"/>
  <c r="AI120" i="2"/>
  <c r="AI134" i="2"/>
  <c r="AV175" i="2" l="1"/>
  <c r="AL134" i="2"/>
  <c r="AV134" i="2"/>
  <c r="AN134" i="2"/>
  <c r="AO134" i="2"/>
  <c r="AP134" i="2" s="1"/>
  <c r="AQ134" i="2" s="1"/>
  <c r="AN120" i="2"/>
  <c r="AO41" i="2"/>
  <c r="AP41" i="2" s="1"/>
  <c r="AQ41" i="2" s="1"/>
  <c r="AN41" i="2"/>
  <c r="AO175" i="2"/>
  <c r="AP175" i="2" s="1"/>
  <c r="AQ175" i="2" s="1"/>
  <c r="AL41" i="2"/>
  <c r="AL60" i="2"/>
  <c r="AL120" i="2"/>
  <c r="AZ145" i="2"/>
  <c r="AN145" i="2"/>
  <c r="AO145" i="2"/>
  <c r="AP145" i="2" s="1"/>
  <c r="AQ145" i="2" s="1"/>
  <c r="AO60" i="2"/>
  <c r="AP60" i="2" s="1"/>
  <c r="AQ60" i="2" s="1"/>
  <c r="AO120" i="2"/>
  <c r="AP120" i="2" s="1"/>
  <c r="AQ120" i="2" s="1"/>
  <c r="AN207" i="2"/>
  <c r="AV207" i="2"/>
  <c r="AL207" i="2"/>
  <c r="AO207" i="2"/>
  <c r="AP207" i="2" s="1"/>
  <c r="AQ207" i="2" s="1"/>
  <c r="AZ60" i="2"/>
  <c r="AN60" i="2"/>
  <c r="AV41" i="2"/>
  <c r="AL175" i="2"/>
  <c r="AN175" i="2"/>
  <c r="AJ69" i="2"/>
  <c r="AO234" i="2"/>
  <c r="AP234" i="2" s="1"/>
  <c r="AQ234" i="2" s="1"/>
  <c r="AZ234" i="2"/>
  <c r="AN234" i="2"/>
  <c r="AL234" i="2"/>
  <c r="AZ40" i="2"/>
  <c r="AO40" i="2"/>
  <c r="AP40" i="2" s="1"/>
  <c r="AQ40" i="2" s="1"/>
  <c r="AL40" i="2"/>
  <c r="AN40" i="2"/>
  <c r="AV266" i="2"/>
  <c r="AL266" i="2"/>
  <c r="AN266" i="2"/>
  <c r="AO266" i="2"/>
  <c r="AP266" i="2" s="1"/>
  <c r="AQ266" i="2" s="1"/>
  <c r="AN223" i="2"/>
  <c r="AV223" i="2"/>
  <c r="AL223" i="2"/>
  <c r="AO223" i="2"/>
  <c r="AP223" i="2" s="1"/>
  <c r="AQ223" i="2" s="1"/>
  <c r="AO43" i="2"/>
  <c r="AP43" i="2" s="1"/>
  <c r="AQ43" i="2" s="1"/>
  <c r="AN43" i="2"/>
  <c r="AZ43" i="2"/>
  <c r="AL43" i="2"/>
  <c r="AL36" i="2"/>
  <c r="AO36" i="2"/>
  <c r="AP36" i="2" s="1"/>
  <c r="AQ36" i="2" s="1"/>
  <c r="AV36" i="2"/>
  <c r="AN36" i="2"/>
  <c r="AN48" i="2"/>
  <c r="AO48" i="2"/>
  <c r="AP48" i="2" s="1"/>
  <c r="AQ48" i="2" s="1"/>
  <c r="AL48" i="2"/>
  <c r="AZ48" i="2"/>
  <c r="AO56" i="2"/>
  <c r="AP56" i="2" s="1"/>
  <c r="AQ56" i="2" s="1"/>
  <c r="AN56" i="2"/>
  <c r="AL56" i="2"/>
  <c r="AL255" i="2"/>
  <c r="AN255" i="2"/>
  <c r="AO255" i="2"/>
  <c r="AP255" i="2" s="1"/>
  <c r="AQ255" i="2" s="1"/>
  <c r="AZ255" i="2"/>
  <c r="AO254" i="2"/>
  <c r="AP254" i="2" s="1"/>
  <c r="AQ254" i="2" s="1"/>
  <c r="AN254" i="2"/>
  <c r="AL254" i="2"/>
  <c r="AZ254" i="2"/>
  <c r="AL231" i="2"/>
  <c r="AN231" i="2"/>
  <c r="AO231" i="2"/>
  <c r="AP231" i="2" s="1"/>
  <c r="AQ231" i="2" s="1"/>
  <c r="AZ231" i="2"/>
  <c r="AN259" i="2"/>
  <c r="AO259" i="2"/>
  <c r="AP259" i="2" s="1"/>
  <c r="AQ259" i="2" s="1"/>
  <c r="AV259" i="2"/>
  <c r="AL259" i="2"/>
  <c r="AN185" i="2"/>
  <c r="AO185" i="2"/>
  <c r="AP185" i="2" s="1"/>
  <c r="AQ185" i="2" s="1"/>
  <c r="AZ185" i="2"/>
  <c r="AL185" i="2"/>
  <c r="AF217" i="2"/>
  <c r="AL38" i="2"/>
  <c r="AN38" i="2"/>
  <c r="AO38" i="2"/>
  <c r="AP38" i="2" s="1"/>
  <c r="AQ38" i="2" s="1"/>
  <c r="AO208" i="2"/>
  <c r="AP208" i="2" s="1"/>
  <c r="AQ208" i="2" s="1"/>
  <c r="AN208" i="2"/>
  <c r="AL208" i="2"/>
  <c r="AN46" i="2"/>
  <c r="AO46" i="2"/>
  <c r="AP46" i="2" s="1"/>
  <c r="AQ46" i="2" s="1"/>
  <c r="AL46" i="2"/>
  <c r="AV46" i="2"/>
  <c r="AL45" i="2"/>
  <c r="AN45" i="2"/>
  <c r="AO45" i="2"/>
  <c r="AP45" i="2" s="1"/>
  <c r="AQ45" i="2" s="1"/>
  <c r="AO222" i="2"/>
  <c r="AP222" i="2" s="1"/>
  <c r="AQ222" i="2" s="1"/>
  <c r="AL222" i="2"/>
  <c r="AN222" i="2"/>
  <c r="AV222" i="2"/>
  <c r="AF159" i="2"/>
  <c r="AJ130" i="2"/>
  <c r="AJ264" i="2"/>
  <c r="AU264" i="2" s="1"/>
  <c r="AL209" i="2"/>
  <c r="AN209" i="2"/>
  <c r="AO209" i="2"/>
  <c r="AP209" i="2" s="1"/>
  <c r="AQ209" i="2" s="1"/>
  <c r="AZ209" i="2"/>
  <c r="AL232" i="2"/>
  <c r="AO232" i="2"/>
  <c r="AP232" i="2" s="1"/>
  <c r="AQ232" i="2" s="1"/>
  <c r="AZ232" i="2"/>
  <c r="AN232" i="2"/>
  <c r="AO104" i="2"/>
  <c r="AP104" i="2" s="1"/>
  <c r="AQ104" i="2" s="1"/>
  <c r="AN104" i="2"/>
  <c r="AL104" i="2"/>
  <c r="AV104" i="2"/>
  <c r="AV244" i="2"/>
  <c r="AL244" i="2"/>
  <c r="AN244" i="2"/>
  <c r="AO244" i="2"/>
  <c r="AP244" i="2" s="1"/>
  <c r="AQ244" i="2" s="1"/>
  <c r="AO265" i="2"/>
  <c r="AP265" i="2" s="1"/>
  <c r="AQ265" i="2" s="1"/>
  <c r="AV265" i="2"/>
  <c r="AL265" i="2"/>
  <c r="AN265" i="2"/>
  <c r="AJ261" i="2"/>
  <c r="AU261" i="2" s="1"/>
  <c r="AI261" i="2"/>
  <c r="AL61" i="2"/>
  <c r="AV61" i="2"/>
  <c r="AN61" i="2"/>
  <c r="AO61" i="2"/>
  <c r="AP61" i="2" s="1"/>
  <c r="AQ61" i="2" s="1"/>
  <c r="AJ210" i="2"/>
  <c r="AU210" i="2" s="1"/>
  <c r="AI210" i="2"/>
  <c r="AL37" i="2"/>
  <c r="AN37" i="2"/>
  <c r="AO37" i="2"/>
  <c r="AP37" i="2" s="1"/>
  <c r="AQ37" i="2" s="1"/>
  <c r="AO186" i="2"/>
  <c r="AP186" i="2" s="1"/>
  <c r="AQ186" i="2" s="1"/>
  <c r="AN186" i="2"/>
  <c r="AL186" i="2"/>
  <c r="AV186" i="2"/>
  <c r="AI69" i="2"/>
  <c r="AO230" i="2"/>
  <c r="AP230" i="2" s="1"/>
  <c r="AQ230" i="2" s="1"/>
  <c r="AL230" i="2"/>
  <c r="AZ230" i="2"/>
  <c r="AN230" i="2"/>
  <c r="AO55" i="2"/>
  <c r="AP55" i="2" s="1"/>
  <c r="AQ55" i="2" s="1"/>
  <c r="AN55" i="2"/>
  <c r="AV55" i="2"/>
  <c r="AL55" i="2"/>
  <c r="AL145" i="2"/>
  <c r="AZ175" i="2" l="1"/>
  <c r="AZ134" i="2"/>
  <c r="AV43" i="2"/>
  <c r="AN210" i="2"/>
  <c r="AL261" i="2"/>
  <c r="AL210" i="2"/>
  <c r="AV209" i="2"/>
  <c r="AV40" i="2"/>
  <c r="AV254" i="2"/>
  <c r="AV232" i="2"/>
  <c r="AO210" i="2"/>
  <c r="AP210" i="2" s="1"/>
  <c r="AL130" i="2"/>
  <c r="AV234" i="2"/>
  <c r="AO261" i="2"/>
  <c r="AP261" i="2" s="1"/>
  <c r="AQ261" i="2" s="1"/>
  <c r="AV185" i="2"/>
  <c r="AV145" i="2"/>
  <c r="AV231" i="2"/>
  <c r="AZ244" i="2"/>
  <c r="AV48" i="2"/>
  <c r="AZ265" i="2"/>
  <c r="AV255" i="2"/>
  <c r="AV230" i="2"/>
  <c r="AV210" i="2"/>
  <c r="AV60" i="2"/>
  <c r="AL69" i="2"/>
  <c r="AN69" i="2"/>
  <c r="AO69" i="2"/>
  <c r="AP69" i="2" s="1"/>
  <c r="AQ69" i="2" s="1"/>
  <c r="AZ41" i="2"/>
  <c r="AZ207" i="2"/>
  <c r="AZ266" i="2"/>
  <c r="AZ261" i="2"/>
  <c r="AZ55" i="2"/>
  <c r="AO130" i="2"/>
  <c r="AP130" i="2" s="1"/>
  <c r="AQ130" i="2" s="1"/>
  <c r="AN130" i="2"/>
  <c r="AZ45" i="2"/>
  <c r="AV45" i="2"/>
  <c r="AZ38" i="2"/>
  <c r="AZ104" i="2"/>
  <c r="AJ159" i="2"/>
  <c r="AU159" i="2" s="1"/>
  <c r="AI159" i="2"/>
  <c r="AZ208" i="2"/>
  <c r="AV208" i="2"/>
  <c r="AJ217" i="2"/>
  <c r="AU217" i="2" s="1"/>
  <c r="AI217" i="2"/>
  <c r="AZ259" i="2"/>
  <c r="AZ56" i="2"/>
  <c r="AV56" i="2"/>
  <c r="AZ36" i="2"/>
  <c r="AZ186" i="2"/>
  <c r="AZ37" i="2"/>
  <c r="AV37" i="2"/>
  <c r="AZ61" i="2"/>
  <c r="AZ222" i="2"/>
  <c r="AN261" i="2"/>
  <c r="AZ46" i="2"/>
  <c r="AV38" i="2"/>
  <c r="AZ223" i="2"/>
  <c r="AN264" i="2"/>
  <c r="AL264" i="2"/>
  <c r="AO264" i="2"/>
  <c r="AZ120" i="2"/>
  <c r="AV120" i="2"/>
  <c r="AZ210" i="2" l="1"/>
  <c r="AQ210" i="2"/>
  <c r="AV261" i="2"/>
  <c r="AP264" i="2"/>
  <c r="AQ264" i="2" s="1"/>
  <c r="AN159" i="2"/>
  <c r="AO159" i="2"/>
  <c r="AP159" i="2" s="1"/>
  <c r="AQ159" i="2" s="1"/>
  <c r="AL159" i="2"/>
  <c r="AZ264" i="2"/>
  <c r="AV264" i="2"/>
  <c r="AL217" i="2"/>
  <c r="AO217" i="2"/>
  <c r="AP217" i="2" s="1"/>
  <c r="AQ217" i="2" s="1"/>
  <c r="AN217" i="2"/>
  <c r="S197" i="2"/>
  <c r="M8" i="2"/>
  <c r="S106" i="2"/>
  <c r="S289" i="2"/>
  <c r="S267" i="2"/>
  <c r="S200" i="2"/>
  <c r="AZ217" i="2" l="1"/>
  <c r="AV217" i="2"/>
  <c r="AZ159" i="2"/>
  <c r="AV159" i="2"/>
  <c r="S105" i="2"/>
  <c r="S243" i="2"/>
  <c r="S277" i="2"/>
  <c r="S123" i="2"/>
  <c r="S269" i="2"/>
  <c r="S308" i="2"/>
  <c r="S138" i="2"/>
  <c r="S238" i="2"/>
  <c r="S158" i="2"/>
  <c r="S183" i="2"/>
  <c r="S113" i="2"/>
  <c r="S44" i="2"/>
  <c r="S97" i="2"/>
  <c r="S184" i="2"/>
  <c r="S129" i="2"/>
  <c r="S27" i="2"/>
  <c r="S272" i="2"/>
  <c r="S181" i="2"/>
  <c r="S251" i="2"/>
  <c r="S126" i="2"/>
  <c r="S150" i="2"/>
  <c r="S257" i="2"/>
  <c r="S116" i="2"/>
  <c r="S135" i="2"/>
  <c r="S146" i="2"/>
  <c r="S31" i="2"/>
  <c r="S32" i="2"/>
  <c r="S10" i="2"/>
  <c r="S250" i="2"/>
  <c r="S149" i="2"/>
  <c r="S178" i="2"/>
  <c r="S133" i="2"/>
  <c r="S196" i="2"/>
  <c r="S111" i="2"/>
  <c r="S170" i="2"/>
  <c r="S241" i="2"/>
  <c r="S118" i="2"/>
  <c r="S47" i="2"/>
  <c r="S108" i="2"/>
  <c r="S74" i="2"/>
  <c r="S235" i="2"/>
  <c r="S26" i="2"/>
  <c r="BB197" i="2"/>
  <c r="U197" i="2"/>
  <c r="S23" i="2"/>
  <c r="S24" i="2"/>
  <c r="S122" i="2"/>
  <c r="S163" i="2"/>
  <c r="S271" i="2"/>
  <c r="S284" i="2"/>
  <c r="S245" i="2"/>
  <c r="S211" i="2"/>
  <c r="S77" i="2"/>
  <c r="S33" i="2"/>
  <c r="S139" i="2"/>
  <c r="S182" i="2"/>
  <c r="S180" i="2"/>
  <c r="S236" i="2"/>
  <c r="S172" i="2"/>
  <c r="S151" i="2"/>
  <c r="S220" i="2"/>
  <c r="S188" i="2"/>
  <c r="S57" i="2"/>
  <c r="S285" i="2"/>
  <c r="S52" i="2"/>
  <c r="S193" i="2"/>
  <c r="S86" i="2"/>
  <c r="S103" i="2"/>
  <c r="S168" i="2"/>
  <c r="S99" i="2"/>
  <c r="S141" i="2"/>
  <c r="S176" i="2"/>
  <c r="S287" i="2"/>
  <c r="S152" i="2"/>
  <c r="S192" i="2"/>
  <c r="S84" i="2"/>
  <c r="S132" i="2"/>
  <c r="S127" i="2"/>
  <c r="S101" i="2"/>
  <c r="S76" i="2"/>
  <c r="S247" i="2"/>
  <c r="S75" i="2"/>
  <c r="S39" i="2"/>
  <c r="S166" i="2"/>
  <c r="BB289" i="2"/>
  <c r="U289" i="2"/>
  <c r="S20" i="2"/>
  <c r="S205" i="2"/>
  <c r="S215" i="2"/>
  <c r="S80" i="2"/>
  <c r="S202" i="2"/>
  <c r="S256" i="2"/>
  <c r="S64" i="2"/>
  <c r="S165" i="2"/>
  <c r="S121" i="2"/>
  <c r="S199" i="2"/>
  <c r="S11" i="2"/>
  <c r="S98" i="2"/>
  <c r="S30" i="2"/>
  <c r="S219" i="2"/>
  <c r="S88" i="2"/>
  <c r="S280" i="2"/>
  <c r="S50" i="2"/>
  <c r="S258" i="2"/>
  <c r="S68" i="2"/>
  <c r="S268" i="2"/>
  <c r="S137" i="2"/>
  <c r="S212" i="2"/>
  <c r="S117" i="2"/>
  <c r="S124" i="2"/>
  <c r="S201" i="2"/>
  <c r="S114" i="2"/>
  <c r="S72" i="2"/>
  <c r="S59" i="2"/>
  <c r="BB267" i="2"/>
  <c r="U267" i="2"/>
  <c r="S110" i="2"/>
  <c r="S91" i="2"/>
  <c r="S87" i="2"/>
  <c r="S228" i="2"/>
  <c r="S249" i="2"/>
  <c r="S78" i="2"/>
  <c r="S49" i="2"/>
  <c r="BB106" i="2"/>
  <c r="U106" i="2"/>
  <c r="S83" i="2"/>
  <c r="S53" i="2"/>
  <c r="S148" i="2"/>
  <c r="S109" i="2"/>
  <c r="S213" i="2"/>
  <c r="S28" i="2"/>
  <c r="S153" i="2"/>
  <c r="S239" i="2"/>
  <c r="S93" i="2"/>
  <c r="S262" i="2"/>
  <c r="S171" i="2"/>
  <c r="S100" i="2"/>
  <c r="S125" i="2"/>
  <c r="S144" i="2"/>
  <c r="S177" i="2"/>
  <c r="S131" i="2"/>
  <c r="S71" i="2"/>
  <c r="S90" i="2"/>
  <c r="S204" i="2"/>
  <c r="S18" i="2"/>
  <c r="S21" i="2"/>
  <c r="S162" i="2"/>
  <c r="S194" i="2"/>
  <c r="S82" i="2"/>
  <c r="S161" i="2"/>
  <c r="S140" i="2"/>
  <c r="S164" i="2"/>
  <c r="S136" i="2"/>
  <c r="S29" i="2"/>
  <c r="S216" i="2"/>
  <c r="S160" i="2"/>
  <c r="S260" i="2"/>
  <c r="S54" i="2"/>
  <c r="S157" i="2"/>
  <c r="S143" i="2"/>
  <c r="S225" i="2"/>
  <c r="S174" i="2"/>
  <c r="S102" i="2"/>
  <c r="S214" i="2"/>
  <c r="S281" i="2"/>
  <c r="S85" i="2"/>
  <c r="S252" i="2"/>
  <c r="S51" i="2"/>
  <c r="S206" i="2"/>
  <c r="S279" i="2"/>
  <c r="S63" i="2"/>
  <c r="S173" i="2"/>
  <c r="S237" i="2"/>
  <c r="S226" i="2"/>
  <c r="S92" i="2"/>
  <c r="BB200" i="2"/>
  <c r="U200" i="2"/>
  <c r="S66" i="2"/>
  <c r="S67" i="2"/>
  <c r="S179" i="2"/>
  <c r="S79" i="2"/>
  <c r="S154" i="2"/>
  <c r="S290" i="2"/>
  <c r="S189" i="2"/>
  <c r="S70" i="2"/>
  <c r="S233" i="2"/>
  <c r="S94" i="2"/>
  <c r="S19" i="2"/>
  <c r="S65" i="2"/>
  <c r="S167" i="2"/>
  <c r="S25" i="2"/>
  <c r="S89" i="2"/>
  <c r="S229" i="2"/>
  <c r="S286" i="2"/>
  <c r="S17" i="2"/>
  <c r="S156" i="2"/>
  <c r="S224" i="2"/>
  <c r="S35" i="2"/>
  <c r="S218" i="2"/>
  <c r="S169" i="2"/>
  <c r="S14" i="2"/>
  <c r="S112" i="2"/>
  <c r="S142" i="2"/>
  <c r="S203" i="2"/>
  <c r="S155" i="2"/>
  <c r="S242" i="2"/>
  <c r="S263" i="2"/>
  <c r="S270" i="2"/>
  <c r="S42" i="2"/>
  <c r="S119" i="2"/>
  <c r="S58" i="2"/>
  <c r="S198" i="2"/>
  <c r="S22" i="2"/>
  <c r="S96" i="2"/>
  <c r="S16" i="2"/>
  <c r="S191" i="2"/>
  <c r="S107" i="2"/>
  <c r="S248" i="2"/>
  <c r="S128" i="2"/>
  <c r="S13" i="2"/>
  <c r="S12" i="2"/>
  <c r="S221" i="2"/>
  <c r="S187" i="2"/>
  <c r="S115" i="2"/>
  <c r="S81" i="2"/>
  <c r="S195" i="2"/>
  <c r="S253" i="2"/>
  <c r="S95" i="2"/>
  <c r="S15" i="2"/>
  <c r="S190" i="2"/>
  <c r="S34" i="2"/>
  <c r="S73" i="2"/>
  <c r="S147" i="2"/>
  <c r="S62" i="2"/>
  <c r="S246" i="2"/>
  <c r="U12" i="2" l="1"/>
  <c r="BB246" i="2"/>
  <c r="U246" i="2"/>
  <c r="BB253" i="2"/>
  <c r="U253" i="2"/>
  <c r="BB128" i="2"/>
  <c r="U128" i="2"/>
  <c r="BB58" i="2"/>
  <c r="U58" i="2"/>
  <c r="BB142" i="2"/>
  <c r="U142" i="2"/>
  <c r="BB17" i="2"/>
  <c r="U17" i="2"/>
  <c r="BB94" i="2"/>
  <c r="U94" i="2"/>
  <c r="BB67" i="2"/>
  <c r="U67" i="2"/>
  <c r="BB92" i="2"/>
  <c r="U92" i="2"/>
  <c r="BB252" i="2"/>
  <c r="U252" i="2"/>
  <c r="BB157" i="2"/>
  <c r="U157" i="2"/>
  <c r="BB140" i="2"/>
  <c r="U140" i="2"/>
  <c r="BB90" i="2"/>
  <c r="U90" i="2"/>
  <c r="BB262" i="2"/>
  <c r="U262" i="2"/>
  <c r="BB53" i="2"/>
  <c r="U53" i="2"/>
  <c r="BB49" i="2"/>
  <c r="U49" i="2"/>
  <c r="BB201" i="2"/>
  <c r="U201" i="2"/>
  <c r="BB50" i="2"/>
  <c r="U50" i="2"/>
  <c r="BB121" i="2"/>
  <c r="U121" i="2"/>
  <c r="BB20" i="2"/>
  <c r="U20" i="2"/>
  <c r="BB39" i="2"/>
  <c r="U39" i="2"/>
  <c r="BB192" i="2"/>
  <c r="U192" i="2"/>
  <c r="BB86" i="2"/>
  <c r="U86" i="2"/>
  <c r="BB52" i="2"/>
  <c r="U52" i="2"/>
  <c r="U180" i="2"/>
  <c r="BB271" i="2"/>
  <c r="U271" i="2"/>
  <c r="S240" i="2"/>
  <c r="BB170" i="2"/>
  <c r="U170" i="2"/>
  <c r="BB184" i="2"/>
  <c r="U184" i="2"/>
  <c r="BB308" i="2"/>
  <c r="U308" i="2"/>
  <c r="BB73" i="2"/>
  <c r="U73" i="2"/>
  <c r="BB115" i="2"/>
  <c r="U115" i="2"/>
  <c r="BB191" i="2"/>
  <c r="U191" i="2"/>
  <c r="BB270" i="2"/>
  <c r="U270" i="2"/>
  <c r="BB169" i="2"/>
  <c r="U169" i="2"/>
  <c r="BB89" i="2"/>
  <c r="U89" i="2"/>
  <c r="BB189" i="2"/>
  <c r="U189" i="2"/>
  <c r="BB173" i="2"/>
  <c r="U173" i="2"/>
  <c r="BB214" i="2"/>
  <c r="U214" i="2"/>
  <c r="BB160" i="2"/>
  <c r="U160" i="2"/>
  <c r="BB194" i="2"/>
  <c r="U194" i="2"/>
  <c r="BB177" i="2"/>
  <c r="U177" i="2"/>
  <c r="BB153" i="2"/>
  <c r="U153" i="2"/>
  <c r="BB228" i="2"/>
  <c r="U228" i="2"/>
  <c r="BB212" i="2"/>
  <c r="U212" i="2"/>
  <c r="BB219" i="2"/>
  <c r="U219" i="2"/>
  <c r="BB256" i="2"/>
  <c r="U256" i="2"/>
  <c r="AK289" i="2"/>
  <c r="AH289" i="2"/>
  <c r="V289" i="2"/>
  <c r="W289" i="2" s="1"/>
  <c r="BB76" i="2"/>
  <c r="U76" i="2"/>
  <c r="BB176" i="2"/>
  <c r="U176" i="2"/>
  <c r="BB188" i="2"/>
  <c r="U188" i="2"/>
  <c r="U33" i="2"/>
  <c r="BB24" i="2"/>
  <c r="U24" i="2"/>
  <c r="BB74" i="2"/>
  <c r="U74" i="2"/>
  <c r="BB133" i="2"/>
  <c r="U133" i="2"/>
  <c r="BB32" i="2"/>
  <c r="U32" i="2"/>
  <c r="BB251" i="2"/>
  <c r="U251" i="2"/>
  <c r="U113" i="2"/>
  <c r="BB277" i="2"/>
  <c r="U277" i="2"/>
  <c r="BB15" i="2"/>
  <c r="U15" i="2"/>
  <c r="BB12" i="2"/>
  <c r="BB22" i="2"/>
  <c r="U22" i="2"/>
  <c r="BB155" i="2"/>
  <c r="U155" i="2"/>
  <c r="BB224" i="2"/>
  <c r="U224" i="2"/>
  <c r="BB65" i="2"/>
  <c r="U65" i="2"/>
  <c r="BB79" i="2"/>
  <c r="U79" i="2"/>
  <c r="U206" i="2"/>
  <c r="BB225" i="2"/>
  <c r="U225" i="2"/>
  <c r="BB136" i="2"/>
  <c r="U136" i="2"/>
  <c r="BB18" i="2"/>
  <c r="U18" i="2"/>
  <c r="BB100" i="2"/>
  <c r="U100" i="2"/>
  <c r="BB109" i="2"/>
  <c r="U109" i="2"/>
  <c r="BB110" i="2"/>
  <c r="U110" i="2"/>
  <c r="BB72" i="2"/>
  <c r="U72" i="2"/>
  <c r="BB68" i="2"/>
  <c r="U68" i="2"/>
  <c r="BB280" i="2"/>
  <c r="U280" i="2"/>
  <c r="BB11" i="2"/>
  <c r="U11" i="2"/>
  <c r="BB215" i="2"/>
  <c r="U215" i="2"/>
  <c r="BB132" i="2"/>
  <c r="U132" i="2"/>
  <c r="BB168" i="2"/>
  <c r="U168" i="2"/>
  <c r="S227" i="2"/>
  <c r="BB172" i="2"/>
  <c r="U172" i="2"/>
  <c r="BB245" i="2"/>
  <c r="U245" i="2"/>
  <c r="BB118" i="2"/>
  <c r="U118" i="2"/>
  <c r="BB250" i="2"/>
  <c r="U250" i="2"/>
  <c r="BB135" i="2"/>
  <c r="U135" i="2"/>
  <c r="BB27" i="2"/>
  <c r="U27" i="2"/>
  <c r="BB238" i="2"/>
  <c r="U238" i="2"/>
  <c r="BB62" i="2"/>
  <c r="U62" i="2"/>
  <c r="BB195" i="2"/>
  <c r="U195" i="2"/>
  <c r="BB248" i="2"/>
  <c r="U248" i="2"/>
  <c r="BB119" i="2"/>
  <c r="U119" i="2"/>
  <c r="BB112" i="2"/>
  <c r="U112" i="2"/>
  <c r="BB286" i="2"/>
  <c r="U286" i="2"/>
  <c r="BB233" i="2"/>
  <c r="U233" i="2"/>
  <c r="BB66" i="2"/>
  <c r="U66" i="2"/>
  <c r="BB226" i="2"/>
  <c r="U226" i="2"/>
  <c r="BB85" i="2"/>
  <c r="U85" i="2"/>
  <c r="BB54" i="2"/>
  <c r="U54" i="2"/>
  <c r="BB161" i="2"/>
  <c r="U161" i="2"/>
  <c r="BB71" i="2"/>
  <c r="U71" i="2"/>
  <c r="BB93" i="2"/>
  <c r="U93" i="2"/>
  <c r="BB83" i="2"/>
  <c r="U83" i="2"/>
  <c r="BB78" i="2"/>
  <c r="U78" i="2"/>
  <c r="AK267" i="2"/>
  <c r="AH267" i="2"/>
  <c r="V267" i="2"/>
  <c r="W267" i="2" s="1"/>
  <c r="BB124" i="2"/>
  <c r="U124" i="2"/>
  <c r="BB165" i="2"/>
  <c r="U165" i="2"/>
  <c r="BB75" i="2"/>
  <c r="U75" i="2"/>
  <c r="BB152" i="2"/>
  <c r="U152" i="2"/>
  <c r="BB285" i="2"/>
  <c r="U285" i="2"/>
  <c r="BB182" i="2"/>
  <c r="U182" i="2"/>
  <c r="BB163" i="2"/>
  <c r="U163" i="2"/>
  <c r="BB26" i="2"/>
  <c r="U26" i="2"/>
  <c r="BB111" i="2"/>
  <c r="U111" i="2"/>
  <c r="BB150" i="2"/>
  <c r="U150" i="2"/>
  <c r="BB97" i="2"/>
  <c r="U97" i="2"/>
  <c r="BB269" i="2"/>
  <c r="U269" i="2"/>
  <c r="BB34" i="2"/>
  <c r="U34" i="2"/>
  <c r="BB187" i="2"/>
  <c r="U187" i="2"/>
  <c r="BB16" i="2"/>
  <c r="U16" i="2"/>
  <c r="BB263" i="2"/>
  <c r="U263" i="2"/>
  <c r="BB218" i="2"/>
  <c r="U218" i="2"/>
  <c r="BB25" i="2"/>
  <c r="U25" i="2"/>
  <c r="BB290" i="2"/>
  <c r="U290" i="2"/>
  <c r="AK200" i="2"/>
  <c r="AH200" i="2"/>
  <c r="V200" i="2"/>
  <c r="W200" i="2" s="1"/>
  <c r="BB63" i="2"/>
  <c r="U63" i="2"/>
  <c r="BB102" i="2"/>
  <c r="U102" i="2"/>
  <c r="BB216" i="2"/>
  <c r="U216" i="2"/>
  <c r="BB162" i="2"/>
  <c r="U162" i="2"/>
  <c r="BB144" i="2"/>
  <c r="U144" i="2"/>
  <c r="BB28" i="2"/>
  <c r="U28" i="2"/>
  <c r="AK106" i="2"/>
  <c r="AH106" i="2"/>
  <c r="V106" i="2"/>
  <c r="W106" i="2" s="1"/>
  <c r="BB87" i="2"/>
  <c r="U87" i="2"/>
  <c r="U137" i="2"/>
  <c r="BB30" i="2"/>
  <c r="U30" i="2"/>
  <c r="BB202" i="2"/>
  <c r="U202" i="2"/>
  <c r="BB101" i="2"/>
  <c r="U101" i="2"/>
  <c r="U141" i="2"/>
  <c r="BB220" i="2"/>
  <c r="U220" i="2"/>
  <c r="BB77" i="2"/>
  <c r="U77" i="2"/>
  <c r="BB23" i="2"/>
  <c r="U23" i="2"/>
  <c r="BB108" i="2"/>
  <c r="U108" i="2"/>
  <c r="BB178" i="2"/>
  <c r="U178" i="2"/>
  <c r="BB31" i="2"/>
  <c r="U31" i="2"/>
  <c r="BB181" i="2"/>
  <c r="U181" i="2"/>
  <c r="BB183" i="2"/>
  <c r="U183" i="2"/>
  <c r="BB243" i="2"/>
  <c r="U243" i="2"/>
  <c r="BB95" i="2"/>
  <c r="U95" i="2"/>
  <c r="BB13" i="2"/>
  <c r="U13" i="2"/>
  <c r="BB198" i="2"/>
  <c r="U198" i="2"/>
  <c r="BB203" i="2"/>
  <c r="U203" i="2"/>
  <c r="BB156" i="2"/>
  <c r="U156" i="2"/>
  <c r="BB19" i="2"/>
  <c r="U19" i="2"/>
  <c r="BB179" i="2"/>
  <c r="U179" i="2"/>
  <c r="BB51" i="2"/>
  <c r="U51" i="2"/>
  <c r="BB143" i="2"/>
  <c r="U143" i="2"/>
  <c r="BB164" i="2"/>
  <c r="U164" i="2"/>
  <c r="BB204" i="2"/>
  <c r="U204" i="2"/>
  <c r="BB171" i="2"/>
  <c r="U171" i="2"/>
  <c r="BB148" i="2"/>
  <c r="U148" i="2"/>
  <c r="BB114" i="2"/>
  <c r="U114" i="2"/>
  <c r="BB258" i="2"/>
  <c r="U258" i="2"/>
  <c r="BB199" i="2"/>
  <c r="U199" i="2"/>
  <c r="U205" i="2"/>
  <c r="BB166" i="2"/>
  <c r="U166" i="2"/>
  <c r="BB84" i="2"/>
  <c r="U84" i="2"/>
  <c r="BB103" i="2"/>
  <c r="U103" i="2"/>
  <c r="BB193" i="2"/>
  <c r="U193" i="2"/>
  <c r="BB236" i="2"/>
  <c r="U236" i="2"/>
  <c r="BB284" i="2"/>
  <c r="U284" i="2"/>
  <c r="AK197" i="2"/>
  <c r="AH197" i="2"/>
  <c r="V197" i="2"/>
  <c r="W197" i="2" s="1"/>
  <c r="BB241" i="2"/>
  <c r="U241" i="2"/>
  <c r="BB10" i="2"/>
  <c r="U10" i="2"/>
  <c r="BB116" i="2"/>
  <c r="U116" i="2"/>
  <c r="BB129" i="2"/>
  <c r="U129" i="2"/>
  <c r="BB138" i="2"/>
  <c r="U138" i="2"/>
  <c r="BB147" i="2"/>
  <c r="U147" i="2"/>
  <c r="BB81" i="2"/>
  <c r="U81" i="2"/>
  <c r="BB107" i="2"/>
  <c r="U107" i="2"/>
  <c r="BB42" i="2"/>
  <c r="U42" i="2"/>
  <c r="BB14" i="2"/>
  <c r="U14" i="2"/>
  <c r="BB229" i="2"/>
  <c r="U229" i="2"/>
  <c r="BB70" i="2"/>
  <c r="U70" i="2"/>
  <c r="BB237" i="2"/>
  <c r="U237" i="2"/>
  <c r="BB281" i="2"/>
  <c r="U281" i="2"/>
  <c r="BB260" i="2"/>
  <c r="U260" i="2"/>
  <c r="BB82" i="2"/>
  <c r="U82" i="2"/>
  <c r="BB131" i="2"/>
  <c r="U131" i="2"/>
  <c r="BB239" i="2"/>
  <c r="U239" i="2"/>
  <c r="BB249" i="2"/>
  <c r="U249" i="2"/>
  <c r="BB117" i="2"/>
  <c r="U117" i="2"/>
  <c r="BB88" i="2"/>
  <c r="U88" i="2"/>
  <c r="BB64" i="2"/>
  <c r="U64" i="2"/>
  <c r="BB247" i="2"/>
  <c r="U247" i="2"/>
  <c r="BB287" i="2"/>
  <c r="U287" i="2"/>
  <c r="BB57" i="2"/>
  <c r="U57" i="2"/>
  <c r="BB139" i="2"/>
  <c r="U139" i="2"/>
  <c r="BB122" i="2"/>
  <c r="U122" i="2"/>
  <c r="BB235" i="2"/>
  <c r="U235" i="2"/>
  <c r="BB196" i="2"/>
  <c r="U196" i="2"/>
  <c r="P8" i="2"/>
  <c r="BB126" i="2"/>
  <c r="U126" i="2"/>
  <c r="BB44" i="2"/>
  <c r="U44" i="2"/>
  <c r="BB123" i="2"/>
  <c r="U123" i="2"/>
  <c r="BB190" i="2"/>
  <c r="U190" i="2"/>
  <c r="BB221" i="2"/>
  <c r="U221" i="2"/>
  <c r="BB96" i="2"/>
  <c r="U96" i="2"/>
  <c r="BB242" i="2"/>
  <c r="U242" i="2"/>
  <c r="BB35" i="2"/>
  <c r="U35" i="2"/>
  <c r="BB167" i="2"/>
  <c r="U167" i="2"/>
  <c r="BB154" i="2"/>
  <c r="U154" i="2"/>
  <c r="BB279" i="2"/>
  <c r="U279" i="2"/>
  <c r="BB174" i="2"/>
  <c r="U174" i="2"/>
  <c r="BB29" i="2"/>
  <c r="U29" i="2"/>
  <c r="BB21" i="2"/>
  <c r="U21" i="2"/>
  <c r="BB125" i="2"/>
  <c r="U125" i="2"/>
  <c r="BB213" i="2"/>
  <c r="U213" i="2"/>
  <c r="BB91" i="2"/>
  <c r="U91" i="2"/>
  <c r="BB59" i="2"/>
  <c r="U59" i="2"/>
  <c r="BB268" i="2"/>
  <c r="U268" i="2"/>
  <c r="BB98" i="2"/>
  <c r="U98" i="2"/>
  <c r="BB80" i="2"/>
  <c r="U80" i="2"/>
  <c r="BB127" i="2"/>
  <c r="U127" i="2"/>
  <c r="BB99" i="2"/>
  <c r="U99" i="2"/>
  <c r="BB151" i="2"/>
  <c r="U151" i="2"/>
  <c r="BB211" i="2"/>
  <c r="U211" i="2"/>
  <c r="BB47" i="2"/>
  <c r="U47" i="2"/>
  <c r="BB149" i="2"/>
  <c r="U149" i="2"/>
  <c r="BB146" i="2"/>
  <c r="U146" i="2"/>
  <c r="BB257" i="2"/>
  <c r="U257" i="2"/>
  <c r="BB272" i="2"/>
  <c r="U272" i="2"/>
  <c r="BB158" i="2"/>
  <c r="U158" i="2"/>
  <c r="BB105" i="2"/>
  <c r="U105" i="2"/>
  <c r="S8" i="2" l="1"/>
  <c r="AK122" i="2"/>
  <c r="AH122" i="2"/>
  <c r="V122" i="2"/>
  <c r="W122" i="2" s="1"/>
  <c r="AK247" i="2"/>
  <c r="AH247" i="2"/>
  <c r="V247" i="2"/>
  <c r="W247" i="2" s="1"/>
  <c r="AK249" i="2"/>
  <c r="AH249" i="2"/>
  <c r="V249" i="2"/>
  <c r="W249" i="2" s="1"/>
  <c r="AK260" i="2"/>
  <c r="AH260" i="2"/>
  <c r="V260" i="2"/>
  <c r="W260" i="2" s="1"/>
  <c r="AK229" i="2"/>
  <c r="AH229" i="2"/>
  <c r="V229" i="2"/>
  <c r="W229" i="2" s="1"/>
  <c r="AK81" i="2"/>
  <c r="AH81" i="2"/>
  <c r="V81" i="2"/>
  <c r="W81" i="2" s="1"/>
  <c r="AK116" i="2"/>
  <c r="AH116" i="2"/>
  <c r="V116" i="2"/>
  <c r="W116" i="2" s="1"/>
  <c r="AK103" i="2"/>
  <c r="AH103" i="2"/>
  <c r="V103" i="2"/>
  <c r="W103" i="2" s="1"/>
  <c r="AK199" i="2"/>
  <c r="AH199" i="2"/>
  <c r="V199" i="2"/>
  <c r="W199" i="2" s="1"/>
  <c r="AK171" i="2"/>
  <c r="AH171" i="2"/>
  <c r="V171" i="2"/>
  <c r="W171" i="2" s="1"/>
  <c r="AK51" i="2"/>
  <c r="AH51" i="2"/>
  <c r="V51" i="2"/>
  <c r="W51" i="2" s="1"/>
  <c r="AK203" i="2"/>
  <c r="AH203" i="2"/>
  <c r="V203" i="2"/>
  <c r="W203" i="2" s="1"/>
  <c r="AK243" i="2"/>
  <c r="AH243" i="2"/>
  <c r="V243" i="2"/>
  <c r="W243" i="2" s="1"/>
  <c r="AK178" i="2"/>
  <c r="AH178" i="2"/>
  <c r="V178" i="2"/>
  <c r="W178" i="2" s="1"/>
  <c r="AK220" i="2"/>
  <c r="AH220" i="2"/>
  <c r="V220" i="2"/>
  <c r="W220" i="2" s="1"/>
  <c r="AK30" i="2"/>
  <c r="AH30" i="2"/>
  <c r="V30" i="2"/>
  <c r="W30" i="2" s="1"/>
  <c r="AK290" i="2"/>
  <c r="AH290" i="2"/>
  <c r="V290" i="2"/>
  <c r="W290" i="2" s="1"/>
  <c r="AK16" i="2"/>
  <c r="AH16" i="2"/>
  <c r="V16" i="2"/>
  <c r="W16" i="2" s="1"/>
  <c r="AK97" i="2"/>
  <c r="AH97" i="2"/>
  <c r="V97" i="2"/>
  <c r="W97" i="2" s="1"/>
  <c r="AK163" i="2"/>
  <c r="AH163" i="2"/>
  <c r="V163" i="2"/>
  <c r="W163" i="2" s="1"/>
  <c r="AK75" i="2"/>
  <c r="AH75" i="2"/>
  <c r="V75" i="2"/>
  <c r="W75" i="2" s="1"/>
  <c r="BC267" i="2"/>
  <c r="Y267" i="2"/>
  <c r="AK215" i="2"/>
  <c r="AH215" i="2"/>
  <c r="V215" i="2"/>
  <c r="W215" i="2" s="1"/>
  <c r="AK72" i="2"/>
  <c r="AH72" i="2"/>
  <c r="V72" i="2"/>
  <c r="W72" i="2" s="1"/>
  <c r="AK18" i="2"/>
  <c r="AH18" i="2"/>
  <c r="V18" i="2"/>
  <c r="W18" i="2" s="1"/>
  <c r="AK79" i="2"/>
  <c r="AH79" i="2"/>
  <c r="V79" i="2"/>
  <c r="W79" i="2" s="1"/>
  <c r="AK22" i="2"/>
  <c r="AH22" i="2"/>
  <c r="V22" i="2"/>
  <c r="W22" i="2" s="1"/>
  <c r="AK113" i="2"/>
  <c r="AH113" i="2"/>
  <c r="V113" i="2"/>
  <c r="W113" i="2" s="1"/>
  <c r="AK74" i="2"/>
  <c r="AH74" i="2"/>
  <c r="V74" i="2"/>
  <c r="W74" i="2" s="1"/>
  <c r="AK176" i="2"/>
  <c r="AH176" i="2"/>
  <c r="V176" i="2"/>
  <c r="W176" i="2" s="1"/>
  <c r="AK52" i="2"/>
  <c r="AH52" i="2"/>
  <c r="V52" i="2"/>
  <c r="W52" i="2" s="1"/>
  <c r="AK20" i="2"/>
  <c r="AH20" i="2"/>
  <c r="V20" i="2"/>
  <c r="W20" i="2" s="1"/>
  <c r="AK49" i="2"/>
  <c r="AH49" i="2"/>
  <c r="V49" i="2"/>
  <c r="W49" i="2" s="1"/>
  <c r="AK140" i="2"/>
  <c r="AH140" i="2"/>
  <c r="V140" i="2"/>
  <c r="W140" i="2" s="1"/>
  <c r="AK67" i="2"/>
  <c r="AH67" i="2"/>
  <c r="V67" i="2"/>
  <c r="W67" i="2" s="1"/>
  <c r="AK58" i="2"/>
  <c r="AH58" i="2"/>
  <c r="V58" i="2"/>
  <c r="W58" i="2" s="1"/>
  <c r="AK257" i="2"/>
  <c r="AH257" i="2"/>
  <c r="V257" i="2"/>
  <c r="W257" i="2" s="1"/>
  <c r="AK211" i="2"/>
  <c r="AH211" i="2"/>
  <c r="V211" i="2"/>
  <c r="W211" i="2" s="1"/>
  <c r="AK80" i="2"/>
  <c r="AH80" i="2"/>
  <c r="V80" i="2"/>
  <c r="W80" i="2" s="1"/>
  <c r="AK91" i="2"/>
  <c r="AH91" i="2"/>
  <c r="V91" i="2"/>
  <c r="W91" i="2" s="1"/>
  <c r="AK29" i="2"/>
  <c r="AH29" i="2"/>
  <c r="V29" i="2"/>
  <c r="W29" i="2" s="1"/>
  <c r="AK167" i="2"/>
  <c r="AH167" i="2"/>
  <c r="V167" i="2"/>
  <c r="W167" i="2" s="1"/>
  <c r="AK221" i="2"/>
  <c r="AH221" i="2"/>
  <c r="V221" i="2"/>
  <c r="W221" i="2" s="1"/>
  <c r="AK126" i="2"/>
  <c r="AH126" i="2"/>
  <c r="V126" i="2"/>
  <c r="W126" i="2" s="1"/>
  <c r="AK28" i="2"/>
  <c r="AH28" i="2"/>
  <c r="V28" i="2"/>
  <c r="W28" i="2" s="1"/>
  <c r="AK102" i="2"/>
  <c r="AH102" i="2"/>
  <c r="V102" i="2"/>
  <c r="W102" i="2" s="1"/>
  <c r="AK71" i="2"/>
  <c r="AH71" i="2"/>
  <c r="V71" i="2"/>
  <c r="W71" i="2" s="1"/>
  <c r="AK226" i="2"/>
  <c r="AH226" i="2"/>
  <c r="V226" i="2"/>
  <c r="W226" i="2" s="1"/>
  <c r="AK112" i="2"/>
  <c r="AH112" i="2"/>
  <c r="V112" i="2"/>
  <c r="W112" i="2" s="1"/>
  <c r="AK62" i="2"/>
  <c r="AH62" i="2"/>
  <c r="V62" i="2"/>
  <c r="W62" i="2" s="1"/>
  <c r="AK250" i="2"/>
  <c r="AH250" i="2"/>
  <c r="V250" i="2"/>
  <c r="W250" i="2" s="1"/>
  <c r="AK219" i="2"/>
  <c r="AH219" i="2"/>
  <c r="V219" i="2"/>
  <c r="W219" i="2" s="1"/>
  <c r="AK177" i="2"/>
  <c r="AH177" i="2"/>
  <c r="V177" i="2"/>
  <c r="W177" i="2" s="1"/>
  <c r="AK173" i="2"/>
  <c r="AH173" i="2"/>
  <c r="V173" i="2"/>
  <c r="W173" i="2" s="1"/>
  <c r="AH270" i="2"/>
  <c r="AK270" i="2"/>
  <c r="V270" i="2"/>
  <c r="W270" i="2" s="1"/>
  <c r="AK308" i="2"/>
  <c r="AH308" i="2"/>
  <c r="V308" i="2"/>
  <c r="W308" i="2" s="1"/>
  <c r="AK139" i="2"/>
  <c r="AH139" i="2"/>
  <c r="V139" i="2"/>
  <c r="W139" i="2" s="1"/>
  <c r="AK64" i="2"/>
  <c r="AH64" i="2"/>
  <c r="V64" i="2"/>
  <c r="W64" i="2" s="1"/>
  <c r="AK239" i="2"/>
  <c r="AH239" i="2"/>
  <c r="V239" i="2"/>
  <c r="W239" i="2" s="1"/>
  <c r="AK281" i="2"/>
  <c r="AH281" i="2"/>
  <c r="V281" i="2"/>
  <c r="W281" i="2" s="1"/>
  <c r="AK14" i="2"/>
  <c r="AH14" i="2"/>
  <c r="V14" i="2"/>
  <c r="W14" i="2" s="1"/>
  <c r="AK147" i="2"/>
  <c r="AH147" i="2"/>
  <c r="V147" i="2"/>
  <c r="W147" i="2" s="1"/>
  <c r="AK284" i="2"/>
  <c r="AH284" i="2"/>
  <c r="V284" i="2"/>
  <c r="W284" i="2" s="1"/>
  <c r="AK84" i="2"/>
  <c r="AH84" i="2"/>
  <c r="V84" i="2"/>
  <c r="W84" i="2" s="1"/>
  <c r="AK258" i="2"/>
  <c r="AH258" i="2"/>
  <c r="V258" i="2"/>
  <c r="W258" i="2" s="1"/>
  <c r="AK204" i="2"/>
  <c r="AH204" i="2"/>
  <c r="V204" i="2"/>
  <c r="W204" i="2" s="1"/>
  <c r="AK179" i="2"/>
  <c r="AH179" i="2"/>
  <c r="V179" i="2"/>
  <c r="W179" i="2" s="1"/>
  <c r="AK198" i="2"/>
  <c r="AH198" i="2"/>
  <c r="V198" i="2"/>
  <c r="W198" i="2" s="1"/>
  <c r="AK183" i="2"/>
  <c r="AH183" i="2"/>
  <c r="V183" i="2"/>
  <c r="W183" i="2" s="1"/>
  <c r="AK108" i="2"/>
  <c r="AH108" i="2"/>
  <c r="V108" i="2"/>
  <c r="W108" i="2" s="1"/>
  <c r="AK141" i="2"/>
  <c r="AH141" i="2"/>
  <c r="V141" i="2"/>
  <c r="W141" i="2" s="1"/>
  <c r="AK137" i="2"/>
  <c r="AH137" i="2"/>
  <c r="V137" i="2"/>
  <c r="W137" i="2" s="1"/>
  <c r="AK25" i="2"/>
  <c r="AH25" i="2"/>
  <c r="V25" i="2"/>
  <c r="W25" i="2" s="1"/>
  <c r="AK187" i="2"/>
  <c r="AH187" i="2"/>
  <c r="V187" i="2"/>
  <c r="W187" i="2" s="1"/>
  <c r="AK150" i="2"/>
  <c r="AH150" i="2"/>
  <c r="V150" i="2"/>
  <c r="W150" i="2" s="1"/>
  <c r="AK182" i="2"/>
  <c r="AH182" i="2"/>
  <c r="V182" i="2"/>
  <c r="W182" i="2" s="1"/>
  <c r="AK165" i="2"/>
  <c r="AH165" i="2"/>
  <c r="V165" i="2"/>
  <c r="W165" i="2" s="1"/>
  <c r="AK11" i="2"/>
  <c r="AH11" i="2"/>
  <c r="V11" i="2"/>
  <c r="W11" i="2" s="1"/>
  <c r="AK110" i="2"/>
  <c r="AH110" i="2"/>
  <c r="V110" i="2"/>
  <c r="W110" i="2" s="1"/>
  <c r="AK136" i="2"/>
  <c r="AH136" i="2"/>
  <c r="V136" i="2"/>
  <c r="W136" i="2" s="1"/>
  <c r="AK65" i="2"/>
  <c r="AH65" i="2"/>
  <c r="V65" i="2"/>
  <c r="W65" i="2" s="1"/>
  <c r="AK12" i="2"/>
  <c r="AH12" i="2"/>
  <c r="V12" i="2"/>
  <c r="W12" i="2" s="1"/>
  <c r="AK251" i="2"/>
  <c r="AH251" i="2"/>
  <c r="V251" i="2"/>
  <c r="W251" i="2" s="1"/>
  <c r="AK24" i="2"/>
  <c r="AH24" i="2"/>
  <c r="V24" i="2"/>
  <c r="W24" i="2" s="1"/>
  <c r="AK76" i="2"/>
  <c r="AH76" i="2"/>
  <c r="V76" i="2"/>
  <c r="W76" i="2" s="1"/>
  <c r="AK86" i="2"/>
  <c r="AH86" i="2"/>
  <c r="V86" i="2"/>
  <c r="W86" i="2" s="1"/>
  <c r="AK121" i="2"/>
  <c r="AH121" i="2"/>
  <c r="V121" i="2"/>
  <c r="W121" i="2" s="1"/>
  <c r="AK53" i="2"/>
  <c r="AH53" i="2"/>
  <c r="V53" i="2"/>
  <c r="W53" i="2" s="1"/>
  <c r="AK157" i="2"/>
  <c r="AH157" i="2"/>
  <c r="V157" i="2"/>
  <c r="W157" i="2" s="1"/>
  <c r="AK94" i="2"/>
  <c r="AH94" i="2"/>
  <c r="V94" i="2"/>
  <c r="W94" i="2" s="1"/>
  <c r="AK128" i="2"/>
  <c r="AH128" i="2"/>
  <c r="V128" i="2"/>
  <c r="W128" i="2" s="1"/>
  <c r="AK105" i="2"/>
  <c r="AH105" i="2"/>
  <c r="V105" i="2"/>
  <c r="W105" i="2" s="1"/>
  <c r="AK146" i="2"/>
  <c r="AH146" i="2"/>
  <c r="V146" i="2"/>
  <c r="W146" i="2" s="1"/>
  <c r="AK151" i="2"/>
  <c r="AH151" i="2"/>
  <c r="V151" i="2"/>
  <c r="W151" i="2" s="1"/>
  <c r="AK98" i="2"/>
  <c r="AH98" i="2"/>
  <c r="V98" i="2"/>
  <c r="W98" i="2" s="1"/>
  <c r="AK213" i="2"/>
  <c r="AH213" i="2"/>
  <c r="V213" i="2"/>
  <c r="W213" i="2" s="1"/>
  <c r="AK174" i="2"/>
  <c r="AH174" i="2"/>
  <c r="V174" i="2"/>
  <c r="W174" i="2" s="1"/>
  <c r="AK35" i="2"/>
  <c r="AH35" i="2"/>
  <c r="V35" i="2"/>
  <c r="W35" i="2" s="1"/>
  <c r="AK190" i="2"/>
  <c r="AH190" i="2"/>
  <c r="V190" i="2"/>
  <c r="W190" i="2" s="1"/>
  <c r="AK10" i="2"/>
  <c r="AH10" i="2"/>
  <c r="V10" i="2"/>
  <c r="W10" i="2" s="1"/>
  <c r="AK144" i="2"/>
  <c r="AH144" i="2"/>
  <c r="V144" i="2"/>
  <c r="W144" i="2" s="1"/>
  <c r="AK63" i="2"/>
  <c r="AH63" i="2"/>
  <c r="V63" i="2"/>
  <c r="W63" i="2" s="1"/>
  <c r="AK78" i="2"/>
  <c r="AH78" i="2"/>
  <c r="V78" i="2"/>
  <c r="W78" i="2" s="1"/>
  <c r="AK161" i="2"/>
  <c r="AH161" i="2"/>
  <c r="V161" i="2"/>
  <c r="W161" i="2" s="1"/>
  <c r="AK66" i="2"/>
  <c r="AH66" i="2"/>
  <c r="V66" i="2"/>
  <c r="W66" i="2" s="1"/>
  <c r="AK119" i="2"/>
  <c r="AH119" i="2"/>
  <c r="V119" i="2"/>
  <c r="W119" i="2" s="1"/>
  <c r="AK238" i="2"/>
  <c r="AH238" i="2"/>
  <c r="V238" i="2"/>
  <c r="W238" i="2" s="1"/>
  <c r="AK118" i="2"/>
  <c r="AH118" i="2"/>
  <c r="V118" i="2"/>
  <c r="W118" i="2" s="1"/>
  <c r="BB227" i="2"/>
  <c r="U227" i="2"/>
  <c r="AK212" i="2"/>
  <c r="AH212" i="2"/>
  <c r="V212" i="2"/>
  <c r="W212" i="2" s="1"/>
  <c r="AK194" i="2"/>
  <c r="AH194" i="2"/>
  <c r="V194" i="2"/>
  <c r="W194" i="2" s="1"/>
  <c r="AK189" i="2"/>
  <c r="AH189" i="2"/>
  <c r="V189" i="2"/>
  <c r="W189" i="2" s="1"/>
  <c r="AK191" i="2"/>
  <c r="AH191" i="2"/>
  <c r="V191" i="2"/>
  <c r="W191" i="2" s="1"/>
  <c r="AK184" i="2"/>
  <c r="AH184" i="2"/>
  <c r="V184" i="2"/>
  <c r="W184" i="2" s="1"/>
  <c r="BB240" i="2"/>
  <c r="U240" i="2"/>
  <c r="AK196" i="2"/>
  <c r="AH196" i="2"/>
  <c r="V196" i="2"/>
  <c r="W196" i="2" s="1"/>
  <c r="AK57" i="2"/>
  <c r="AH57" i="2"/>
  <c r="V57" i="2"/>
  <c r="W57" i="2" s="1"/>
  <c r="AK88" i="2"/>
  <c r="AH88" i="2"/>
  <c r="V88" i="2"/>
  <c r="W88" i="2" s="1"/>
  <c r="AK131" i="2"/>
  <c r="AH131" i="2"/>
  <c r="V131" i="2"/>
  <c r="W131" i="2" s="1"/>
  <c r="AK237" i="2"/>
  <c r="AH237" i="2"/>
  <c r="V237" i="2"/>
  <c r="W237" i="2" s="1"/>
  <c r="AK42" i="2"/>
  <c r="AH42" i="2"/>
  <c r="V42" i="2"/>
  <c r="W42" i="2" s="1"/>
  <c r="AK138" i="2"/>
  <c r="AH138" i="2"/>
  <c r="V138" i="2"/>
  <c r="W138" i="2" s="1"/>
  <c r="AK236" i="2"/>
  <c r="AH236" i="2"/>
  <c r="V236" i="2"/>
  <c r="W236" i="2" s="1"/>
  <c r="AK166" i="2"/>
  <c r="AH166" i="2"/>
  <c r="V166" i="2"/>
  <c r="W166" i="2" s="1"/>
  <c r="AK114" i="2"/>
  <c r="AH114" i="2"/>
  <c r="V114" i="2"/>
  <c r="W114" i="2" s="1"/>
  <c r="AK164" i="2"/>
  <c r="AH164" i="2"/>
  <c r="V164" i="2"/>
  <c r="W164" i="2" s="1"/>
  <c r="AK19" i="2"/>
  <c r="AH19" i="2"/>
  <c r="V19" i="2"/>
  <c r="W19" i="2" s="1"/>
  <c r="AK13" i="2"/>
  <c r="AH13" i="2"/>
  <c r="V13" i="2"/>
  <c r="W13" i="2" s="1"/>
  <c r="AK181" i="2"/>
  <c r="AH181" i="2"/>
  <c r="V181" i="2"/>
  <c r="W181" i="2" s="1"/>
  <c r="AK23" i="2"/>
  <c r="AH23" i="2"/>
  <c r="V23" i="2"/>
  <c r="W23" i="2" s="1"/>
  <c r="AK101" i="2"/>
  <c r="AH101" i="2"/>
  <c r="V101" i="2"/>
  <c r="W101" i="2" s="1"/>
  <c r="AK87" i="2"/>
  <c r="AH87" i="2"/>
  <c r="V87" i="2"/>
  <c r="W87" i="2" s="1"/>
  <c r="AK218" i="2"/>
  <c r="AH218" i="2"/>
  <c r="V218" i="2"/>
  <c r="W218" i="2" s="1"/>
  <c r="AK34" i="2"/>
  <c r="AH34" i="2"/>
  <c r="V34" i="2"/>
  <c r="W34" i="2" s="1"/>
  <c r="AK111" i="2"/>
  <c r="AH111" i="2"/>
  <c r="V111" i="2"/>
  <c r="W111" i="2" s="1"/>
  <c r="AK285" i="2"/>
  <c r="AH285" i="2"/>
  <c r="V285" i="2"/>
  <c r="W285" i="2" s="1"/>
  <c r="AK168" i="2"/>
  <c r="AH168" i="2"/>
  <c r="V168" i="2"/>
  <c r="W168" i="2" s="1"/>
  <c r="AK280" i="2"/>
  <c r="AH280" i="2"/>
  <c r="V280" i="2"/>
  <c r="W280" i="2" s="1"/>
  <c r="AK109" i="2"/>
  <c r="AH109" i="2"/>
  <c r="V109" i="2"/>
  <c r="W109" i="2" s="1"/>
  <c r="AK225" i="2"/>
  <c r="AH225" i="2"/>
  <c r="V225" i="2"/>
  <c r="W225" i="2" s="1"/>
  <c r="AK224" i="2"/>
  <c r="AH224" i="2"/>
  <c r="V224" i="2"/>
  <c r="W224" i="2" s="1"/>
  <c r="AK15" i="2"/>
  <c r="AH15" i="2"/>
  <c r="V15" i="2"/>
  <c r="W15" i="2" s="1"/>
  <c r="AK32" i="2"/>
  <c r="AH32" i="2"/>
  <c r="V32" i="2"/>
  <c r="W32" i="2" s="1"/>
  <c r="AK33" i="2"/>
  <c r="AH33" i="2"/>
  <c r="V33" i="2"/>
  <c r="W33" i="2" s="1"/>
  <c r="AK271" i="2"/>
  <c r="AH271" i="2"/>
  <c r="V271" i="2"/>
  <c r="W271" i="2" s="1"/>
  <c r="AK192" i="2"/>
  <c r="AH192" i="2"/>
  <c r="V192" i="2"/>
  <c r="W192" i="2" s="1"/>
  <c r="AK50" i="2"/>
  <c r="AH50" i="2"/>
  <c r="V50" i="2"/>
  <c r="W50" i="2" s="1"/>
  <c r="AK262" i="2"/>
  <c r="AH262" i="2"/>
  <c r="V262" i="2"/>
  <c r="W262" i="2" s="1"/>
  <c r="AK252" i="2"/>
  <c r="AH252" i="2"/>
  <c r="V252" i="2"/>
  <c r="W252" i="2" s="1"/>
  <c r="AK17" i="2"/>
  <c r="AH17" i="2"/>
  <c r="V17" i="2"/>
  <c r="W17" i="2" s="1"/>
  <c r="AK253" i="2"/>
  <c r="AH253" i="2"/>
  <c r="V253" i="2"/>
  <c r="W253" i="2" s="1"/>
  <c r="AK158" i="2"/>
  <c r="AH158" i="2"/>
  <c r="V158" i="2"/>
  <c r="W158" i="2" s="1"/>
  <c r="AK149" i="2"/>
  <c r="AH149" i="2"/>
  <c r="V149" i="2"/>
  <c r="W149" i="2" s="1"/>
  <c r="AK99" i="2"/>
  <c r="AH99" i="2"/>
  <c r="V99" i="2"/>
  <c r="W99" i="2" s="1"/>
  <c r="AK268" i="2"/>
  <c r="AH268" i="2"/>
  <c r="V268" i="2"/>
  <c r="W268" i="2" s="1"/>
  <c r="AK125" i="2"/>
  <c r="AH125" i="2"/>
  <c r="V125" i="2"/>
  <c r="W125" i="2" s="1"/>
  <c r="AH279" i="2"/>
  <c r="AK279" i="2"/>
  <c r="V279" i="2"/>
  <c r="W279" i="2" s="1"/>
  <c r="AK242" i="2"/>
  <c r="AH242" i="2"/>
  <c r="V242" i="2"/>
  <c r="W242" i="2" s="1"/>
  <c r="AK123" i="2"/>
  <c r="AH123" i="2"/>
  <c r="V123" i="2"/>
  <c r="W123" i="2" s="1"/>
  <c r="AK241" i="2"/>
  <c r="AH241" i="2"/>
  <c r="V241" i="2"/>
  <c r="W241" i="2" s="1"/>
  <c r="AK162" i="2"/>
  <c r="AH162" i="2"/>
  <c r="V162" i="2"/>
  <c r="W162" i="2" s="1"/>
  <c r="BC200" i="2"/>
  <c r="Y200" i="2"/>
  <c r="AK83" i="2"/>
  <c r="AH83" i="2"/>
  <c r="V83" i="2"/>
  <c r="W83" i="2" s="1"/>
  <c r="AK54" i="2"/>
  <c r="AH54" i="2"/>
  <c r="V54" i="2"/>
  <c r="W54" i="2" s="1"/>
  <c r="AK233" i="2"/>
  <c r="AH233" i="2"/>
  <c r="V233" i="2"/>
  <c r="W233" i="2" s="1"/>
  <c r="AK248" i="2"/>
  <c r="AH248" i="2"/>
  <c r="V248" i="2"/>
  <c r="W248" i="2" s="1"/>
  <c r="AK27" i="2"/>
  <c r="AH27" i="2"/>
  <c r="V27" i="2"/>
  <c r="W27" i="2" s="1"/>
  <c r="AK245" i="2"/>
  <c r="AH245" i="2"/>
  <c r="V245" i="2"/>
  <c r="W245" i="2" s="1"/>
  <c r="AK228" i="2"/>
  <c r="AH228" i="2"/>
  <c r="V228" i="2"/>
  <c r="W228" i="2" s="1"/>
  <c r="AK160" i="2"/>
  <c r="AH160" i="2"/>
  <c r="V160" i="2"/>
  <c r="W160" i="2" s="1"/>
  <c r="AK89" i="2"/>
  <c r="AH89" i="2"/>
  <c r="V89" i="2"/>
  <c r="W89" i="2" s="1"/>
  <c r="AK115" i="2"/>
  <c r="AH115" i="2"/>
  <c r="V115" i="2"/>
  <c r="W115" i="2" s="1"/>
  <c r="AK235" i="2"/>
  <c r="AH235" i="2"/>
  <c r="V235" i="2"/>
  <c r="W235" i="2" s="1"/>
  <c r="AK287" i="2"/>
  <c r="AH287" i="2"/>
  <c r="V287" i="2"/>
  <c r="W287" i="2" s="1"/>
  <c r="AK117" i="2"/>
  <c r="AH117" i="2"/>
  <c r="V117" i="2"/>
  <c r="W117" i="2" s="1"/>
  <c r="AK82" i="2"/>
  <c r="AH82" i="2"/>
  <c r="V82" i="2"/>
  <c r="W82" i="2" s="1"/>
  <c r="AK70" i="2"/>
  <c r="AH70" i="2"/>
  <c r="V70" i="2"/>
  <c r="W70" i="2" s="1"/>
  <c r="AK107" i="2"/>
  <c r="AH107" i="2"/>
  <c r="V107" i="2"/>
  <c r="W107" i="2" s="1"/>
  <c r="AK129" i="2"/>
  <c r="AH129" i="2"/>
  <c r="V129" i="2"/>
  <c r="W129" i="2" s="1"/>
  <c r="AK193" i="2"/>
  <c r="AH193" i="2"/>
  <c r="V193" i="2"/>
  <c r="W193" i="2" s="1"/>
  <c r="AK205" i="2"/>
  <c r="AH205" i="2"/>
  <c r="V205" i="2"/>
  <c r="W205" i="2" s="1"/>
  <c r="AK148" i="2"/>
  <c r="AH148" i="2"/>
  <c r="V148" i="2"/>
  <c r="W148" i="2" s="1"/>
  <c r="AK143" i="2"/>
  <c r="AH143" i="2"/>
  <c r="V143" i="2"/>
  <c r="W143" i="2" s="1"/>
  <c r="AK156" i="2"/>
  <c r="AH156" i="2"/>
  <c r="V156" i="2"/>
  <c r="W156" i="2" s="1"/>
  <c r="AK95" i="2"/>
  <c r="AH95" i="2"/>
  <c r="V95" i="2"/>
  <c r="W95" i="2" s="1"/>
  <c r="AK31" i="2"/>
  <c r="AH31" i="2"/>
  <c r="V31" i="2"/>
  <c r="W31" i="2" s="1"/>
  <c r="AK77" i="2"/>
  <c r="AH77" i="2"/>
  <c r="V77" i="2"/>
  <c r="W77" i="2" s="1"/>
  <c r="AK202" i="2"/>
  <c r="AH202" i="2"/>
  <c r="V202" i="2"/>
  <c r="W202" i="2" s="1"/>
  <c r="BC106" i="2"/>
  <c r="Y106" i="2"/>
  <c r="AK263" i="2"/>
  <c r="AH263" i="2"/>
  <c r="V263" i="2"/>
  <c r="W263" i="2" s="1"/>
  <c r="AH269" i="2"/>
  <c r="AK269" i="2"/>
  <c r="V269" i="2"/>
  <c r="W269" i="2" s="1"/>
  <c r="AK26" i="2"/>
  <c r="AH26" i="2"/>
  <c r="V26" i="2"/>
  <c r="W26" i="2" s="1"/>
  <c r="AK152" i="2"/>
  <c r="AH152" i="2"/>
  <c r="V152" i="2"/>
  <c r="W152" i="2" s="1"/>
  <c r="AK124" i="2"/>
  <c r="AH124" i="2"/>
  <c r="V124" i="2"/>
  <c r="W124" i="2" s="1"/>
  <c r="AK132" i="2"/>
  <c r="AH132" i="2"/>
  <c r="V132" i="2"/>
  <c r="W132" i="2" s="1"/>
  <c r="AK68" i="2"/>
  <c r="AH68" i="2"/>
  <c r="V68" i="2"/>
  <c r="W68" i="2" s="1"/>
  <c r="AK100" i="2"/>
  <c r="AH100" i="2"/>
  <c r="V100" i="2"/>
  <c r="W100" i="2" s="1"/>
  <c r="AK206" i="2"/>
  <c r="AH206" i="2"/>
  <c r="V206" i="2"/>
  <c r="W206" i="2" s="1"/>
  <c r="AK155" i="2"/>
  <c r="AH155" i="2"/>
  <c r="V155" i="2"/>
  <c r="W155" i="2" s="1"/>
  <c r="AK277" i="2"/>
  <c r="AH277" i="2"/>
  <c r="V277" i="2"/>
  <c r="W277" i="2" s="1"/>
  <c r="AK133" i="2"/>
  <c r="AH133" i="2"/>
  <c r="V133" i="2"/>
  <c r="W133" i="2" s="1"/>
  <c r="AK188" i="2"/>
  <c r="AH188" i="2"/>
  <c r="V188" i="2"/>
  <c r="W188" i="2" s="1"/>
  <c r="AK180" i="2"/>
  <c r="AH180" i="2"/>
  <c r="V180" i="2"/>
  <c r="W180" i="2" s="1"/>
  <c r="AK39" i="2"/>
  <c r="AH39" i="2"/>
  <c r="V39" i="2"/>
  <c r="W39" i="2" s="1"/>
  <c r="AK201" i="2"/>
  <c r="AH201" i="2"/>
  <c r="V201" i="2"/>
  <c r="W201" i="2" s="1"/>
  <c r="AK90" i="2"/>
  <c r="AH90" i="2"/>
  <c r="V90" i="2"/>
  <c r="W90" i="2" s="1"/>
  <c r="AK92" i="2"/>
  <c r="AH92" i="2"/>
  <c r="V92" i="2"/>
  <c r="W92" i="2" s="1"/>
  <c r="AK142" i="2"/>
  <c r="AH142" i="2"/>
  <c r="V142" i="2"/>
  <c r="W142" i="2" s="1"/>
  <c r="AK246" i="2"/>
  <c r="AH246" i="2"/>
  <c r="V246" i="2"/>
  <c r="W246" i="2" s="1"/>
  <c r="AK272" i="2"/>
  <c r="AH272" i="2"/>
  <c r="V272" i="2"/>
  <c r="W272" i="2" s="1"/>
  <c r="AK47" i="2"/>
  <c r="AH47" i="2"/>
  <c r="V47" i="2"/>
  <c r="W47" i="2" s="1"/>
  <c r="AK127" i="2"/>
  <c r="AH127" i="2"/>
  <c r="V127" i="2"/>
  <c r="W127" i="2" s="1"/>
  <c r="AK59" i="2"/>
  <c r="AH59" i="2"/>
  <c r="V59" i="2"/>
  <c r="W59" i="2" s="1"/>
  <c r="AK21" i="2"/>
  <c r="AH21" i="2"/>
  <c r="V21" i="2"/>
  <c r="W21" i="2" s="1"/>
  <c r="AK154" i="2"/>
  <c r="AH154" i="2"/>
  <c r="V154" i="2"/>
  <c r="W154" i="2" s="1"/>
  <c r="AK96" i="2"/>
  <c r="AH96" i="2"/>
  <c r="V96" i="2"/>
  <c r="W96" i="2" s="1"/>
  <c r="AK44" i="2"/>
  <c r="AH44" i="2"/>
  <c r="V44" i="2"/>
  <c r="W44" i="2" s="1"/>
  <c r="BC197" i="2"/>
  <c r="Y197" i="2"/>
  <c r="AK216" i="2"/>
  <c r="AH216" i="2"/>
  <c r="V216" i="2"/>
  <c r="W216" i="2" s="1"/>
  <c r="AK93" i="2"/>
  <c r="AH93" i="2"/>
  <c r="V93" i="2"/>
  <c r="W93" i="2" s="1"/>
  <c r="AK85" i="2"/>
  <c r="AH85" i="2"/>
  <c r="V85" i="2"/>
  <c r="W85" i="2" s="1"/>
  <c r="AK286" i="2"/>
  <c r="AH286" i="2"/>
  <c r="V286" i="2"/>
  <c r="W286" i="2" s="1"/>
  <c r="AK195" i="2"/>
  <c r="AH195" i="2"/>
  <c r="V195" i="2"/>
  <c r="W195" i="2" s="1"/>
  <c r="AK135" i="2"/>
  <c r="AH135" i="2"/>
  <c r="V135" i="2"/>
  <c r="W135" i="2" s="1"/>
  <c r="AK172" i="2"/>
  <c r="AH172" i="2"/>
  <c r="V172" i="2"/>
  <c r="W172" i="2" s="1"/>
  <c r="AK256" i="2"/>
  <c r="AH256" i="2"/>
  <c r="V256" i="2"/>
  <c r="W256" i="2" s="1"/>
  <c r="AK153" i="2"/>
  <c r="AH153" i="2"/>
  <c r="V153" i="2"/>
  <c r="W153" i="2" s="1"/>
  <c r="AK214" i="2"/>
  <c r="AH214" i="2"/>
  <c r="V214" i="2"/>
  <c r="W214" i="2" s="1"/>
  <c r="AK169" i="2"/>
  <c r="AH169" i="2"/>
  <c r="V169" i="2"/>
  <c r="W169" i="2" s="1"/>
  <c r="AK73" i="2"/>
  <c r="AH73" i="2"/>
  <c r="V73" i="2"/>
  <c r="W73" i="2" s="1"/>
  <c r="AK170" i="2"/>
  <c r="AH170" i="2"/>
  <c r="V170" i="2"/>
  <c r="W170" i="2" s="1"/>
  <c r="U8" i="2" l="1"/>
  <c r="Z106" i="2"/>
  <c r="AA106" i="2" s="1"/>
  <c r="AC106" i="2" s="1"/>
  <c r="Z200" i="2"/>
  <c r="AA200" i="2" s="1"/>
  <c r="AC200" i="2" s="1"/>
  <c r="Z267" i="2"/>
  <c r="AA267" i="2" s="1"/>
  <c r="AC267" i="2" s="1"/>
  <c r="Z197" i="2"/>
  <c r="AA197" i="2" s="1"/>
  <c r="AC197" i="2" s="1"/>
  <c r="Y289" i="2"/>
  <c r="Z289" i="2" s="1"/>
  <c r="AA289" i="2" s="1"/>
  <c r="AC289" i="2" s="1"/>
  <c r="BC174" i="2"/>
  <c r="Y147" i="2"/>
  <c r="Y216" i="2"/>
  <c r="Z216" i="2" s="1"/>
  <c r="AA216" i="2" s="1"/>
  <c r="AC216" i="2" s="1"/>
  <c r="Y205" i="2"/>
  <c r="Y235" i="2"/>
  <c r="BC233" i="2"/>
  <c r="Y233" i="2"/>
  <c r="Y125" i="2"/>
  <c r="Y285" i="2"/>
  <c r="Z285" i="2" s="1"/>
  <c r="AA285" i="2" s="1"/>
  <c r="AC285" i="2" s="1"/>
  <c r="Y13" i="2"/>
  <c r="Z13" i="2" s="1"/>
  <c r="AA13" i="2" s="1"/>
  <c r="AC13" i="2" s="1"/>
  <c r="BC237" i="2"/>
  <c r="Y237" i="2"/>
  <c r="AK227" i="2"/>
  <c r="AH227" i="2"/>
  <c r="V227" i="2"/>
  <c r="W227" i="2" s="1"/>
  <c r="Y119" i="2"/>
  <c r="Z119" i="2" s="1"/>
  <c r="AA119" i="2" s="1"/>
  <c r="AC119" i="2" s="1"/>
  <c r="Y146" i="2"/>
  <c r="BC76" i="2"/>
  <c r="Y76" i="2"/>
  <c r="BC28" i="2"/>
  <c r="Y28" i="2"/>
  <c r="BC30" i="2"/>
  <c r="BC103" i="2"/>
  <c r="Y103" i="2"/>
  <c r="Y135" i="2"/>
  <c r="BC47" i="2"/>
  <c r="Y47" i="2"/>
  <c r="BC155" i="2"/>
  <c r="BC269" i="2"/>
  <c r="Y269" i="2"/>
  <c r="BC31" i="2"/>
  <c r="Y31" i="2"/>
  <c r="Z31" i="2" s="1"/>
  <c r="AA31" i="2" s="1"/>
  <c r="AC31" i="2" s="1"/>
  <c r="Y107" i="2"/>
  <c r="Z107" i="2" s="1"/>
  <c r="AA107" i="2" s="1"/>
  <c r="AC107" i="2" s="1"/>
  <c r="Y160" i="2"/>
  <c r="BC149" i="2"/>
  <c r="Y271" i="2"/>
  <c r="Z271" i="2" s="1"/>
  <c r="AA271" i="2" s="1"/>
  <c r="AC271" i="2" s="1"/>
  <c r="Y224" i="2"/>
  <c r="Y114" i="2"/>
  <c r="Y57" i="2"/>
  <c r="Z57" i="2" s="1"/>
  <c r="AA57" i="2" s="1"/>
  <c r="AC57" i="2" s="1"/>
  <c r="Y78" i="2"/>
  <c r="BC35" i="2"/>
  <c r="Y35" i="2"/>
  <c r="Y94" i="2"/>
  <c r="Y204" i="2"/>
  <c r="Z204" i="2" s="1"/>
  <c r="AA204" i="2" s="1"/>
  <c r="AC204" i="2" s="1"/>
  <c r="BC64" i="2"/>
  <c r="BC62" i="2"/>
  <c r="Y62" i="2"/>
  <c r="Y167" i="2"/>
  <c r="Y79" i="2"/>
  <c r="Z79" i="2" s="1"/>
  <c r="AA79" i="2" s="1"/>
  <c r="AC79" i="2" s="1"/>
  <c r="Y75" i="2"/>
  <c r="BC229" i="2"/>
  <c r="Y229" i="2"/>
  <c r="BC85" i="2"/>
  <c r="Y85" i="2"/>
  <c r="BC96" i="2"/>
  <c r="Y96" i="2"/>
  <c r="Y142" i="2"/>
  <c r="Y68" i="2"/>
  <c r="Z68" i="2" s="1"/>
  <c r="AA68" i="2" s="1"/>
  <c r="AC68" i="2" s="1"/>
  <c r="Y143" i="2"/>
  <c r="Z143" i="2" s="1"/>
  <c r="AA143" i="2" s="1"/>
  <c r="AC143" i="2" s="1"/>
  <c r="Y117" i="2"/>
  <c r="BC17" i="2"/>
  <c r="Y17" i="2"/>
  <c r="Z17" i="2" s="1"/>
  <c r="AA17" i="2" s="1"/>
  <c r="AC17" i="2" s="1"/>
  <c r="Y280" i="2"/>
  <c r="Z280" i="2" s="1"/>
  <c r="AA280" i="2" s="1"/>
  <c r="AC280" i="2" s="1"/>
  <c r="BC23" i="2"/>
  <c r="Y23" i="2"/>
  <c r="BC98" i="2"/>
  <c r="Y121" i="2"/>
  <c r="BC110" i="2"/>
  <c r="Y110" i="2"/>
  <c r="Y141" i="2"/>
  <c r="Z141" i="2" s="1"/>
  <c r="AA141" i="2" s="1"/>
  <c r="AC141" i="2" s="1"/>
  <c r="Y284" i="2"/>
  <c r="Z284" i="2" s="1"/>
  <c r="AA284" i="2" s="1"/>
  <c r="AC284" i="2" s="1"/>
  <c r="BC270" i="2"/>
  <c r="Y270" i="2"/>
  <c r="BC80" i="2"/>
  <c r="BC52" i="2"/>
  <c r="Y52" i="2"/>
  <c r="Y256" i="2"/>
  <c r="Z256" i="2" s="1"/>
  <c r="AA256" i="2" s="1"/>
  <c r="AC256" i="2" s="1"/>
  <c r="Y201" i="2"/>
  <c r="Y133" i="2"/>
  <c r="Y54" i="2"/>
  <c r="Z54" i="2" s="1"/>
  <c r="AA54" i="2" s="1"/>
  <c r="AC54" i="2" s="1"/>
  <c r="BC50" i="2"/>
  <c r="Y50" i="2"/>
  <c r="BC32" i="2"/>
  <c r="BC111" i="2"/>
  <c r="Y111" i="2"/>
  <c r="BC19" i="2"/>
  <c r="Y19" i="2"/>
  <c r="Z19" i="2" s="1"/>
  <c r="AA19" i="2" s="1"/>
  <c r="AC19" i="2" s="1"/>
  <c r="BC66" i="2"/>
  <c r="Y66" i="2"/>
  <c r="Z66" i="2" s="1"/>
  <c r="AA66" i="2" s="1"/>
  <c r="AC66" i="2" s="1"/>
  <c r="Y105" i="2"/>
  <c r="BC24" i="2"/>
  <c r="Y24" i="2"/>
  <c r="Y182" i="2"/>
  <c r="BC198" i="2"/>
  <c r="Y198" i="2"/>
  <c r="Y281" i="2"/>
  <c r="Z281" i="2" s="1"/>
  <c r="AA281" i="2" s="1"/>
  <c r="AC281" i="2" s="1"/>
  <c r="Y58" i="2"/>
  <c r="Y113" i="2"/>
  <c r="Z113" i="2" s="1"/>
  <c r="AA113" i="2" s="1"/>
  <c r="AC113" i="2" s="1"/>
  <c r="BC220" i="2"/>
  <c r="Y220" i="2"/>
  <c r="BC195" i="2"/>
  <c r="Y206" i="2"/>
  <c r="BC228" i="2"/>
  <c r="Y228" i="2"/>
  <c r="Z228" i="2" s="1"/>
  <c r="AA228" i="2" s="1"/>
  <c r="AC228" i="2" s="1"/>
  <c r="BC158" i="2"/>
  <c r="Y158" i="2"/>
  <c r="Y87" i="2"/>
  <c r="Z87" i="2" s="1"/>
  <c r="AA87" i="2" s="1"/>
  <c r="AC87" i="2" s="1"/>
  <c r="BC166" i="2"/>
  <c r="Y166" i="2"/>
  <c r="Y191" i="2"/>
  <c r="Y63" i="2"/>
  <c r="BC65" i="2"/>
  <c r="Y258" i="2"/>
  <c r="BC112" i="2"/>
  <c r="Y112" i="2"/>
  <c r="BC29" i="2"/>
  <c r="Y29" i="2"/>
  <c r="Z29" i="2" s="1"/>
  <c r="AA29" i="2" s="1"/>
  <c r="AC29" i="2" s="1"/>
  <c r="BC49" i="2"/>
  <c r="BC163" i="2"/>
  <c r="Y163" i="2"/>
  <c r="Y260" i="2"/>
  <c r="Y214" i="2"/>
  <c r="BC154" i="2"/>
  <c r="BC92" i="2"/>
  <c r="Y92" i="2"/>
  <c r="Y287" i="2"/>
  <c r="Z287" i="2" s="1"/>
  <c r="AA287" i="2" s="1"/>
  <c r="AC287" i="2" s="1"/>
  <c r="Y279" i="2"/>
  <c r="Z279" i="2" s="1"/>
  <c r="AA279" i="2" s="1"/>
  <c r="AC279" i="2" s="1"/>
  <c r="BC252" i="2"/>
  <c r="BC181" i="2"/>
  <c r="Y181" i="2"/>
  <c r="BC42" i="2"/>
  <c r="Y42" i="2"/>
  <c r="Y212" i="2"/>
  <c r="Y238" i="2"/>
  <c r="Y11" i="2"/>
  <c r="Z11" i="2" s="1"/>
  <c r="AA11" i="2" s="1"/>
  <c r="AC11" i="2" s="1"/>
  <c r="BC108" i="2"/>
  <c r="Y102" i="2"/>
  <c r="Y211" i="2"/>
  <c r="BC176" i="2"/>
  <c r="Y176" i="2"/>
  <c r="Y290" i="2"/>
  <c r="Z290" i="2" s="1"/>
  <c r="AA290" i="2" s="1"/>
  <c r="AC290" i="2" s="1"/>
  <c r="Y122" i="2"/>
  <c r="Y127" i="2"/>
  <c r="BC39" i="2"/>
  <c r="Y39" i="2"/>
  <c r="Y26" i="2"/>
  <c r="BC77" i="2"/>
  <c r="Y77" i="2"/>
  <c r="BC99" i="2"/>
  <c r="Y99" i="2"/>
  <c r="Y192" i="2"/>
  <c r="Z192" i="2" s="1"/>
  <c r="AA192" i="2" s="1"/>
  <c r="AC192" i="2" s="1"/>
  <c r="BC15" i="2"/>
  <c r="Y15" i="2"/>
  <c r="BC34" i="2"/>
  <c r="Y88" i="2"/>
  <c r="Z88" i="2" s="1"/>
  <c r="AA88" i="2" s="1"/>
  <c r="AC88" i="2" s="1"/>
  <c r="BC190" i="2"/>
  <c r="Y190" i="2"/>
  <c r="Y128" i="2"/>
  <c r="Z128" i="2" s="1"/>
  <c r="AA128" i="2" s="1"/>
  <c r="AC128" i="2" s="1"/>
  <c r="Y251" i="2"/>
  <c r="Z251" i="2" s="1"/>
  <c r="AA251" i="2" s="1"/>
  <c r="AC251" i="2" s="1"/>
  <c r="BC150" i="2"/>
  <c r="Y150" i="2"/>
  <c r="Y239" i="2"/>
  <c r="Y250" i="2"/>
  <c r="Z250" i="2" s="1"/>
  <c r="AA250" i="2" s="1"/>
  <c r="AC250" i="2" s="1"/>
  <c r="Y221" i="2"/>
  <c r="Z221" i="2" s="1"/>
  <c r="AA221" i="2" s="1"/>
  <c r="AC221" i="2" s="1"/>
  <c r="Y67" i="2"/>
  <c r="Z67" i="2" s="1"/>
  <c r="AA67" i="2" s="1"/>
  <c r="AC67" i="2" s="1"/>
  <c r="Y22" i="2"/>
  <c r="BC178" i="2"/>
  <c r="Y178" i="2"/>
  <c r="BC81" i="2"/>
  <c r="BC73" i="2"/>
  <c r="Y73" i="2"/>
  <c r="Y286" i="2"/>
  <c r="Z286" i="2" s="1"/>
  <c r="AA286" i="2" s="1"/>
  <c r="AC286" i="2" s="1"/>
  <c r="Y44" i="2"/>
  <c r="Z44" i="2" s="1"/>
  <c r="AA44" i="2" s="1"/>
  <c r="AC44" i="2" s="1"/>
  <c r="Y246" i="2"/>
  <c r="BC100" i="2"/>
  <c r="Y100" i="2"/>
  <c r="Z100" i="2" s="1"/>
  <c r="AA100" i="2" s="1"/>
  <c r="AC100" i="2" s="1"/>
  <c r="BC156" i="2"/>
  <c r="Y156" i="2"/>
  <c r="BC82" i="2"/>
  <c r="Y82" i="2"/>
  <c r="Y245" i="2"/>
  <c r="Y253" i="2"/>
  <c r="Z253" i="2" s="1"/>
  <c r="AA253" i="2" s="1"/>
  <c r="AC253" i="2" s="1"/>
  <c r="BC109" i="2"/>
  <c r="Y109" i="2"/>
  <c r="BC101" i="2"/>
  <c r="Y101" i="2"/>
  <c r="AK240" i="2"/>
  <c r="AH240" i="2"/>
  <c r="V240" i="2"/>
  <c r="W240" i="2" s="1"/>
  <c r="BC189" i="2"/>
  <c r="Y189" i="2"/>
  <c r="Y144" i="2"/>
  <c r="Z144" i="2" s="1"/>
  <c r="AA144" i="2" s="1"/>
  <c r="AC144" i="2" s="1"/>
  <c r="BC213" i="2"/>
  <c r="Y213" i="2"/>
  <c r="BC53" i="2"/>
  <c r="Y53" i="2"/>
  <c r="Y136" i="2"/>
  <c r="Y137" i="2"/>
  <c r="BC84" i="2"/>
  <c r="Y84" i="2"/>
  <c r="BC308" i="2"/>
  <c r="Y308" i="2"/>
  <c r="Z308" i="2" s="1"/>
  <c r="AA308" i="2" s="1"/>
  <c r="AC308" i="2" s="1"/>
  <c r="BC226" i="2"/>
  <c r="Y91" i="2"/>
  <c r="Y20" i="2"/>
  <c r="Z20" i="2" s="1"/>
  <c r="AA20" i="2" s="1"/>
  <c r="AC20" i="2" s="1"/>
  <c r="BC72" i="2"/>
  <c r="Y97" i="2"/>
  <c r="Z97" i="2" s="1"/>
  <c r="AA97" i="2" s="1"/>
  <c r="AC97" i="2" s="1"/>
  <c r="BC51" i="2"/>
  <c r="Y51" i="2"/>
  <c r="AK8" i="2" l="1"/>
  <c r="AF31" i="2"/>
  <c r="AI31" i="2" s="1"/>
  <c r="AF285" i="2"/>
  <c r="AI285" i="2" s="1"/>
  <c r="AF200" i="2"/>
  <c r="AF216" i="2"/>
  <c r="AI216" i="2" s="1"/>
  <c r="AF144" i="2"/>
  <c r="AI144" i="2" s="1"/>
  <c r="AF287" i="2"/>
  <c r="AI287" i="2" s="1"/>
  <c r="AF221" i="2"/>
  <c r="AF54" i="2"/>
  <c r="AI54" i="2" s="1"/>
  <c r="AF106" i="2"/>
  <c r="AF57" i="2"/>
  <c r="AI57" i="2" s="1"/>
  <c r="AF79" i="2"/>
  <c r="AI79" i="2" s="1"/>
  <c r="AF250" i="2"/>
  <c r="AI250" i="2" s="1"/>
  <c r="AF253" i="2"/>
  <c r="AI253" i="2" s="1"/>
  <c r="AF284" i="2"/>
  <c r="AF17" i="2"/>
  <c r="AI17" i="2" s="1"/>
  <c r="AF143" i="2"/>
  <c r="AI143" i="2" s="1"/>
  <c r="AF281" i="2"/>
  <c r="AI281" i="2" s="1"/>
  <c r="AF141" i="2"/>
  <c r="AI141" i="2" s="1"/>
  <c r="AF119" i="2"/>
  <c r="AI119" i="2" s="1"/>
  <c r="AF20" i="2"/>
  <c r="AF228" i="2"/>
  <c r="AI228" i="2" s="1"/>
  <c r="AF87" i="2"/>
  <c r="AI87" i="2" s="1"/>
  <c r="AF29" i="2"/>
  <c r="AI29" i="2" s="1"/>
  <c r="AF66" i="2"/>
  <c r="AI66" i="2" s="1"/>
  <c r="AF107" i="2"/>
  <c r="AI107" i="2" s="1"/>
  <c r="AF280" i="2"/>
  <c r="AF286" i="2"/>
  <c r="AI286" i="2" s="1"/>
  <c r="AF13" i="2"/>
  <c r="AF44" i="2"/>
  <c r="AI44" i="2" s="1"/>
  <c r="AF251" i="2"/>
  <c r="AI251" i="2" s="1"/>
  <c r="AF271" i="2"/>
  <c r="AI271" i="2" s="1"/>
  <c r="AF289" i="2"/>
  <c r="AI289" i="2" s="1"/>
  <c r="AF197" i="2"/>
  <c r="AF11" i="2"/>
  <c r="AI11" i="2" s="1"/>
  <c r="AF290" i="2"/>
  <c r="AI290" i="2" s="1"/>
  <c r="AF279" i="2"/>
  <c r="AF256" i="2"/>
  <c r="AI256" i="2" s="1"/>
  <c r="AF204" i="2"/>
  <c r="AI204" i="2" s="1"/>
  <c r="AF88" i="2"/>
  <c r="AI88" i="2" s="1"/>
  <c r="AF128" i="2"/>
  <c r="AI128" i="2" s="1"/>
  <c r="AF267" i="2"/>
  <c r="AF97" i="2"/>
  <c r="AI97" i="2" s="1"/>
  <c r="AF19" i="2"/>
  <c r="AF100" i="2"/>
  <c r="AI100" i="2" s="1"/>
  <c r="AF113" i="2"/>
  <c r="AI113" i="2" s="1"/>
  <c r="AF192" i="2"/>
  <c r="AF308" i="2"/>
  <c r="AF68" i="2"/>
  <c r="AI68" i="2" s="1"/>
  <c r="AF67" i="2"/>
  <c r="AH8" i="2"/>
  <c r="Z245" i="2"/>
  <c r="AA245" i="2" s="1"/>
  <c r="AC245" i="2" s="1"/>
  <c r="Z73" i="2"/>
  <c r="AA73" i="2" s="1"/>
  <c r="AC73" i="2" s="1"/>
  <c r="Z15" i="2"/>
  <c r="AA15" i="2" s="1"/>
  <c r="AC15" i="2" s="1"/>
  <c r="Z26" i="2"/>
  <c r="AA26" i="2" s="1"/>
  <c r="AC26" i="2" s="1"/>
  <c r="Z92" i="2"/>
  <c r="AA92" i="2" s="1"/>
  <c r="AC92" i="2" s="1"/>
  <c r="Z198" i="2"/>
  <c r="AA198" i="2" s="1"/>
  <c r="AC198" i="2" s="1"/>
  <c r="Z142" i="2"/>
  <c r="AA142" i="2" s="1"/>
  <c r="AC142" i="2" s="1"/>
  <c r="Z75" i="2"/>
  <c r="AA75" i="2" s="1"/>
  <c r="AC75" i="2" s="1"/>
  <c r="Z76" i="2"/>
  <c r="AA76" i="2" s="1"/>
  <c r="AC76" i="2" s="1"/>
  <c r="Z84" i="2"/>
  <c r="AA84" i="2" s="1"/>
  <c r="AC84" i="2" s="1"/>
  <c r="Z63" i="2"/>
  <c r="AA63" i="2" s="1"/>
  <c r="AC63" i="2" s="1"/>
  <c r="Z121" i="2"/>
  <c r="AA121" i="2" s="1"/>
  <c r="AC121" i="2" s="1"/>
  <c r="Z94" i="2"/>
  <c r="AA94" i="2" s="1"/>
  <c r="AC94" i="2" s="1"/>
  <c r="Z224" i="2"/>
  <c r="AA224" i="2" s="1"/>
  <c r="AC224" i="2" s="1"/>
  <c r="Z135" i="2"/>
  <c r="AA135" i="2" s="1"/>
  <c r="AC135" i="2" s="1"/>
  <c r="Z237" i="2"/>
  <c r="AA237" i="2" s="1"/>
  <c r="AC237" i="2" s="1"/>
  <c r="Z233" i="2"/>
  <c r="AA233" i="2" s="1"/>
  <c r="AC233" i="2" s="1"/>
  <c r="Z147" i="2"/>
  <c r="AA147" i="2" s="1"/>
  <c r="AC147" i="2" s="1"/>
  <c r="Z101" i="2"/>
  <c r="AA101" i="2" s="1"/>
  <c r="AC101" i="2" s="1"/>
  <c r="Z82" i="2"/>
  <c r="AA82" i="2" s="1"/>
  <c r="AC82" i="2" s="1"/>
  <c r="Z246" i="2"/>
  <c r="AA246" i="2" s="1"/>
  <c r="AC246" i="2" s="1"/>
  <c r="Z176" i="2"/>
  <c r="AA176" i="2" s="1"/>
  <c r="AC176" i="2" s="1"/>
  <c r="Z212" i="2"/>
  <c r="AA212" i="2" s="1"/>
  <c r="AC212" i="2" s="1"/>
  <c r="Z191" i="2"/>
  <c r="AA191" i="2" s="1"/>
  <c r="AC191" i="2" s="1"/>
  <c r="Z182" i="2"/>
  <c r="AA182" i="2" s="1"/>
  <c r="AC182" i="2" s="1"/>
  <c r="Z133" i="2"/>
  <c r="AA133" i="2" s="1"/>
  <c r="AC133" i="2" s="1"/>
  <c r="Z270" i="2"/>
  <c r="AA270" i="2" s="1"/>
  <c r="AC270" i="2" s="1"/>
  <c r="Z96" i="2"/>
  <c r="AA96" i="2" s="1"/>
  <c r="AC96" i="2" s="1"/>
  <c r="Z35" i="2"/>
  <c r="AA35" i="2" s="1"/>
  <c r="AC35" i="2" s="1"/>
  <c r="Z103" i="2"/>
  <c r="AA103" i="2" s="1"/>
  <c r="AC103" i="2" s="1"/>
  <c r="Z146" i="2"/>
  <c r="AA146" i="2" s="1"/>
  <c r="AC146" i="2" s="1"/>
  <c r="Z213" i="2"/>
  <c r="AA213" i="2" s="1"/>
  <c r="AC213" i="2" s="1"/>
  <c r="Z137" i="2"/>
  <c r="AA137" i="2" s="1"/>
  <c r="AC137" i="2" s="1"/>
  <c r="Z178" i="2"/>
  <c r="AA178" i="2" s="1"/>
  <c r="AC178" i="2" s="1"/>
  <c r="Z99" i="2"/>
  <c r="AA99" i="2" s="1"/>
  <c r="AC99" i="2" s="1"/>
  <c r="Z39" i="2"/>
  <c r="AA39" i="2" s="1"/>
  <c r="AC39" i="2" s="1"/>
  <c r="Z214" i="2"/>
  <c r="AA214" i="2" s="1"/>
  <c r="AC214" i="2" s="1"/>
  <c r="Z166" i="2"/>
  <c r="AA166" i="2" s="1"/>
  <c r="AC166" i="2" s="1"/>
  <c r="Z58" i="2"/>
  <c r="AA58" i="2" s="1"/>
  <c r="AC58" i="2" s="1"/>
  <c r="Z24" i="2"/>
  <c r="AA24" i="2" s="1"/>
  <c r="AC24" i="2" s="1"/>
  <c r="Z111" i="2"/>
  <c r="AA111" i="2" s="1"/>
  <c r="AC111" i="2" s="1"/>
  <c r="Z117" i="2"/>
  <c r="AA117" i="2" s="1"/>
  <c r="AC117" i="2" s="1"/>
  <c r="Z269" i="2"/>
  <c r="AA269" i="2" s="1"/>
  <c r="AC269" i="2" s="1"/>
  <c r="Z235" i="2"/>
  <c r="AA235" i="2" s="1"/>
  <c r="AC235" i="2" s="1"/>
  <c r="Z91" i="2"/>
  <c r="AA91" i="2" s="1"/>
  <c r="AC91" i="2" s="1"/>
  <c r="Z109" i="2"/>
  <c r="AA109" i="2" s="1"/>
  <c r="AC109" i="2" s="1"/>
  <c r="Z156" i="2"/>
  <c r="AA156" i="2" s="1"/>
  <c r="AC156" i="2" s="1"/>
  <c r="Z239" i="2"/>
  <c r="AA239" i="2" s="1"/>
  <c r="AC239" i="2" s="1"/>
  <c r="Z190" i="2"/>
  <c r="AA190" i="2" s="1"/>
  <c r="AC190" i="2" s="1"/>
  <c r="Z211" i="2"/>
  <c r="AA211" i="2" s="1"/>
  <c r="AC211" i="2" s="1"/>
  <c r="Z42" i="2"/>
  <c r="AA42" i="2" s="1"/>
  <c r="AC42" i="2" s="1"/>
  <c r="Z112" i="2"/>
  <c r="AA112" i="2" s="1"/>
  <c r="AC112" i="2" s="1"/>
  <c r="Z206" i="2"/>
  <c r="AA206" i="2" s="1"/>
  <c r="AC206" i="2" s="1"/>
  <c r="Z201" i="2"/>
  <c r="AA201" i="2" s="1"/>
  <c r="AC201" i="2" s="1"/>
  <c r="Z85" i="2"/>
  <c r="AA85" i="2" s="1"/>
  <c r="AC85" i="2" s="1"/>
  <c r="Z167" i="2"/>
  <c r="AA167" i="2" s="1"/>
  <c r="AC167" i="2" s="1"/>
  <c r="Z78" i="2"/>
  <c r="AA78" i="2" s="1"/>
  <c r="AC78" i="2" s="1"/>
  <c r="Z205" i="2"/>
  <c r="AA205" i="2" s="1"/>
  <c r="AC205" i="2" s="1"/>
  <c r="Z51" i="2"/>
  <c r="AA51" i="2" s="1"/>
  <c r="AC51" i="2" s="1"/>
  <c r="Z136" i="2"/>
  <c r="AA136" i="2" s="1"/>
  <c r="AC136" i="2" s="1"/>
  <c r="Z189" i="2"/>
  <c r="AA189" i="2" s="1"/>
  <c r="AC189" i="2" s="1"/>
  <c r="Z22" i="2"/>
  <c r="AA22" i="2" s="1"/>
  <c r="AC22" i="2" s="1"/>
  <c r="Z127" i="2"/>
  <c r="AA127" i="2" s="1"/>
  <c r="AC127" i="2" s="1"/>
  <c r="Z102" i="2"/>
  <c r="AA102" i="2" s="1"/>
  <c r="AC102" i="2" s="1"/>
  <c r="Z260" i="2"/>
  <c r="AA260" i="2" s="1"/>
  <c r="AC260" i="2" s="1"/>
  <c r="Z105" i="2"/>
  <c r="AA105" i="2" s="1"/>
  <c r="AC105" i="2" s="1"/>
  <c r="Z23" i="2"/>
  <c r="AA23" i="2" s="1"/>
  <c r="AC23" i="2" s="1"/>
  <c r="Z62" i="2"/>
  <c r="AA62" i="2" s="1"/>
  <c r="AC62" i="2" s="1"/>
  <c r="Z28" i="2"/>
  <c r="AA28" i="2" s="1"/>
  <c r="AC28" i="2" s="1"/>
  <c r="Z53" i="2"/>
  <c r="AA53" i="2" s="1"/>
  <c r="AC53" i="2" s="1"/>
  <c r="Z150" i="2"/>
  <c r="AA150" i="2" s="1"/>
  <c r="AC150" i="2" s="1"/>
  <c r="Z77" i="2"/>
  <c r="AA77" i="2" s="1"/>
  <c r="AC77" i="2" s="1"/>
  <c r="Z181" i="2"/>
  <c r="AA181" i="2" s="1"/>
  <c r="AC181" i="2" s="1"/>
  <c r="Z258" i="2"/>
  <c r="AA258" i="2" s="1"/>
  <c r="AC258" i="2" s="1"/>
  <c r="Z50" i="2"/>
  <c r="AA50" i="2" s="1"/>
  <c r="AC50" i="2" s="1"/>
  <c r="Z229" i="2"/>
  <c r="AA229" i="2" s="1"/>
  <c r="AC229" i="2" s="1"/>
  <c r="Z160" i="2"/>
  <c r="AA160" i="2" s="1"/>
  <c r="AC160" i="2" s="1"/>
  <c r="Z122" i="2"/>
  <c r="AA122" i="2" s="1"/>
  <c r="AC122" i="2" s="1"/>
  <c r="Z163" i="2"/>
  <c r="AA163" i="2" s="1"/>
  <c r="AC163" i="2" s="1"/>
  <c r="Z158" i="2"/>
  <c r="AA158" i="2" s="1"/>
  <c r="AC158" i="2" s="1"/>
  <c r="Z220" i="2"/>
  <c r="AA220" i="2" s="1"/>
  <c r="AC220" i="2" s="1"/>
  <c r="Z52" i="2"/>
  <c r="AA52" i="2" s="1"/>
  <c r="AC52" i="2" s="1"/>
  <c r="Z110" i="2"/>
  <c r="AA110" i="2" s="1"/>
  <c r="AC110" i="2" s="1"/>
  <c r="Z114" i="2"/>
  <c r="AA114" i="2" s="1"/>
  <c r="AC114" i="2" s="1"/>
  <c r="Z47" i="2"/>
  <c r="AA47" i="2" s="1"/>
  <c r="AC47" i="2" s="1"/>
  <c r="Z125" i="2"/>
  <c r="AA125" i="2" s="1"/>
  <c r="AC125" i="2" s="1"/>
  <c r="AI267" i="2"/>
  <c r="Y174" i="2"/>
  <c r="Y170" i="2"/>
  <c r="BC170" i="2"/>
  <c r="BC167" i="2"/>
  <c r="Y196" i="2"/>
  <c r="BC184" i="2"/>
  <c r="Y155" i="2"/>
  <c r="Y195" i="2"/>
  <c r="BC86" i="2"/>
  <c r="BC268" i="2"/>
  <c r="BC27" i="2"/>
  <c r="Y70" i="2"/>
  <c r="Z70" i="2" s="1"/>
  <c r="AA70" i="2" s="1"/>
  <c r="AC70" i="2" s="1"/>
  <c r="BC93" i="2"/>
  <c r="Y165" i="2"/>
  <c r="BC148" i="2"/>
  <c r="Y188" i="2"/>
  <c r="Y30" i="2"/>
  <c r="BC165" i="2"/>
  <c r="BC169" i="2"/>
  <c r="BC179" i="2"/>
  <c r="BC172" i="2"/>
  <c r="BC162" i="2"/>
  <c r="Y81" i="2"/>
  <c r="BC71" i="2"/>
  <c r="Y65" i="2"/>
  <c r="Z65" i="2" s="1"/>
  <c r="AA65" i="2" s="1"/>
  <c r="AC65" i="2" s="1"/>
  <c r="BC94" i="2"/>
  <c r="Y89" i="2"/>
  <c r="Z89" i="2" s="1"/>
  <c r="AA89" i="2" s="1"/>
  <c r="AC89" i="2" s="1"/>
  <c r="Y124" i="2"/>
  <c r="BC201" i="2"/>
  <c r="BC171" i="2"/>
  <c r="BC182" i="2"/>
  <c r="Y16" i="2"/>
  <c r="BC74" i="2"/>
  <c r="Y226" i="2"/>
  <c r="Y64" i="2"/>
  <c r="Y108" i="2"/>
  <c r="Y12" i="2"/>
  <c r="BC225" i="2"/>
  <c r="Y252" i="2"/>
  <c r="BC83" i="2"/>
  <c r="Y21" i="2"/>
  <c r="Y153" i="2"/>
  <c r="Y184" i="2"/>
  <c r="BC160" i="2"/>
  <c r="BC177" i="2"/>
  <c r="BC161" i="2"/>
  <c r="BC168" i="2"/>
  <c r="BC173" i="2"/>
  <c r="Y154" i="2"/>
  <c r="Y49" i="2"/>
  <c r="Y98" i="2"/>
  <c r="BC238" i="2"/>
  <c r="Y138" i="2"/>
  <c r="BC218" i="2"/>
  <c r="Y32" i="2"/>
  <c r="Y248" i="2"/>
  <c r="Z248" i="2" s="1"/>
  <c r="AA248" i="2" s="1"/>
  <c r="AC248" i="2" s="1"/>
  <c r="BC202" i="2"/>
  <c r="Y187" i="2"/>
  <c r="Y183" i="2"/>
  <c r="BC183" i="2"/>
  <c r="Y34" i="2"/>
  <c r="Z34" i="2" s="1"/>
  <c r="AA34" i="2" s="1"/>
  <c r="AC34" i="2" s="1"/>
  <c r="Y277" i="2"/>
  <c r="Z277" i="2" s="1"/>
  <c r="AA277" i="2" s="1"/>
  <c r="AC277" i="2" s="1"/>
  <c r="BC290" i="2"/>
  <c r="Y95" i="2"/>
  <c r="Y219" i="2"/>
  <c r="Z219" i="2" s="1"/>
  <c r="AA219" i="2" s="1"/>
  <c r="AC219" i="2" s="1"/>
  <c r="BC16" i="2"/>
  <c r="Y80" i="2"/>
  <c r="Y118" i="2"/>
  <c r="Y242" i="2"/>
  <c r="BC78" i="2"/>
  <c r="Y14" i="2"/>
  <c r="BC13" i="2"/>
  <c r="Y262" i="2"/>
  <c r="Z262" i="2" s="1"/>
  <c r="AA262" i="2" s="1"/>
  <c r="AC262" i="2" s="1"/>
  <c r="BC21" i="2"/>
  <c r="Y83" i="2"/>
  <c r="Z83" i="2" s="1"/>
  <c r="AA83" i="2" s="1"/>
  <c r="AC83" i="2" s="1"/>
  <c r="BC11" i="2"/>
  <c r="Y132" i="2"/>
  <c r="Z132" i="2" s="1"/>
  <c r="AA132" i="2" s="1"/>
  <c r="AC132" i="2" s="1"/>
  <c r="Y93" i="2"/>
  <c r="Y25" i="2"/>
  <c r="Y225" i="2"/>
  <c r="BC95" i="2"/>
  <c r="Y272" i="2"/>
  <c r="Z272" i="2" s="1"/>
  <c r="AA272" i="2" s="1"/>
  <c r="AC272" i="2" s="1"/>
  <c r="Y116" i="2"/>
  <c r="BC219" i="2"/>
  <c r="Y202" i="2"/>
  <c r="Y215" i="2"/>
  <c r="Z215" i="2" s="1"/>
  <c r="AA215" i="2" s="1"/>
  <c r="AC215" i="2" s="1"/>
  <c r="Y218" i="2"/>
  <c r="Y180" i="2"/>
  <c r="Y74" i="2"/>
  <c r="BC235" i="2"/>
  <c r="Y249" i="2"/>
  <c r="Y203" i="2"/>
  <c r="Y139" i="2"/>
  <c r="Y263" i="2"/>
  <c r="Z263" i="2" s="1"/>
  <c r="AA263" i="2" s="1"/>
  <c r="AC263" i="2" s="1"/>
  <c r="Y131" i="2"/>
  <c r="Z131" i="2" s="1"/>
  <c r="AA131" i="2" s="1"/>
  <c r="AC131" i="2" s="1"/>
  <c r="Y268" i="2"/>
  <c r="Y59" i="2"/>
  <c r="Z59" i="2" s="1"/>
  <c r="AA59" i="2" s="1"/>
  <c r="AC59" i="2" s="1"/>
  <c r="Y71" i="2"/>
  <c r="Z71" i="2" s="1"/>
  <c r="AA71" i="2" s="1"/>
  <c r="AC71" i="2" s="1"/>
  <c r="Y27" i="2"/>
  <c r="Y149" i="2"/>
  <c r="Y236" i="2"/>
  <c r="Y199" i="2"/>
  <c r="Z199" i="2" s="1"/>
  <c r="AA199" i="2" s="1"/>
  <c r="AC199" i="2" s="1"/>
  <c r="Y86" i="2"/>
  <c r="Z86" i="2" s="1"/>
  <c r="AA86" i="2" s="1"/>
  <c r="AC86" i="2" s="1"/>
  <c r="Y247" i="2"/>
  <c r="Y243" i="2"/>
  <c r="Z243" i="2" s="1"/>
  <c r="AA243" i="2" s="1"/>
  <c r="AC243" i="2" s="1"/>
  <c r="Y140" i="2"/>
  <c r="Y90" i="2"/>
  <c r="Z90" i="2" s="1"/>
  <c r="AA90" i="2" s="1"/>
  <c r="AC90" i="2" s="1"/>
  <c r="Y72" i="2"/>
  <c r="BC199" i="2"/>
  <c r="Y126" i="2"/>
  <c r="Y33" i="2"/>
  <c r="BC153" i="2"/>
  <c r="Y148" i="2"/>
  <c r="Y169" i="2"/>
  <c r="Y173" i="2"/>
  <c r="Y162" i="2"/>
  <c r="Y177" i="2"/>
  <c r="Y161" i="2"/>
  <c r="Y179" i="2"/>
  <c r="Y172" i="2"/>
  <c r="Z172" i="2" s="1"/>
  <c r="AA172" i="2" s="1"/>
  <c r="AC172" i="2" s="1"/>
  <c r="Y168" i="2"/>
  <c r="Y193" i="2"/>
  <c r="Y171" i="2"/>
  <c r="BC147" i="2"/>
  <c r="Z238" i="2"/>
  <c r="AA238" i="2" s="1"/>
  <c r="AC238" i="2" s="1"/>
  <c r="V8" i="2"/>
  <c r="Y257" i="2"/>
  <c r="Z257" i="2" s="1"/>
  <c r="AA257" i="2" s="1"/>
  <c r="AC257" i="2" s="1"/>
  <c r="BC164" i="2"/>
  <c r="Y164" i="2"/>
  <c r="Y241" i="2"/>
  <c r="BC152" i="2"/>
  <c r="Y152" i="2"/>
  <c r="Y10" i="2"/>
  <c r="W8" i="2"/>
  <c r="Y227" i="2"/>
  <c r="Y129" i="2"/>
  <c r="BC151" i="2"/>
  <c r="Y151" i="2"/>
  <c r="Y123" i="2"/>
  <c r="BC157" i="2"/>
  <c r="Y157" i="2"/>
  <c r="BC18" i="2"/>
  <c r="Y18" i="2"/>
  <c r="Y115" i="2"/>
  <c r="BC194" i="2"/>
  <c r="Y194" i="2"/>
  <c r="AI284" i="2" l="1"/>
  <c r="AI279" i="2"/>
  <c r="AI19" i="2"/>
  <c r="AJ67" i="2"/>
  <c r="AU67" i="2" s="1"/>
  <c r="AJ68" i="2"/>
  <c r="AU68" i="2" s="1"/>
  <c r="AJ308" i="2"/>
  <c r="AU308" i="2" s="1"/>
  <c r="AJ192" i="2"/>
  <c r="AU192" i="2" s="1"/>
  <c r="AJ113" i="2"/>
  <c r="AJ100" i="2"/>
  <c r="AU100" i="2" s="1"/>
  <c r="AJ19" i="2"/>
  <c r="AU19" i="2" s="1"/>
  <c r="AJ97" i="2"/>
  <c r="AL97" i="2" s="1"/>
  <c r="AJ128" i="2"/>
  <c r="AJ88" i="2"/>
  <c r="AJ204" i="2"/>
  <c r="AU204" i="2" s="1"/>
  <c r="AJ256" i="2"/>
  <c r="AU256" i="2" s="1"/>
  <c r="AJ279" i="2"/>
  <c r="AU279" i="2" s="1"/>
  <c r="AJ290" i="2"/>
  <c r="AU290" i="2" s="1"/>
  <c r="AJ11" i="2"/>
  <c r="AU11" i="2" s="1"/>
  <c r="AJ271" i="2"/>
  <c r="AU271" i="2" s="1"/>
  <c r="AJ251" i="2"/>
  <c r="AU251" i="2" s="1"/>
  <c r="AJ44" i="2"/>
  <c r="AU44" i="2" s="1"/>
  <c r="AJ13" i="2"/>
  <c r="AU13" i="2" s="1"/>
  <c r="AJ286" i="2"/>
  <c r="AU286" i="2" s="1"/>
  <c r="AJ107" i="2"/>
  <c r="AJ66" i="2"/>
  <c r="AU66" i="2" s="1"/>
  <c r="AJ29" i="2"/>
  <c r="AU29" i="2" s="1"/>
  <c r="AJ87" i="2"/>
  <c r="AJ228" i="2"/>
  <c r="AU228" i="2" s="1"/>
  <c r="AJ20" i="2"/>
  <c r="AU20" i="2" s="1"/>
  <c r="AJ119" i="2"/>
  <c r="AU119" i="2" s="1"/>
  <c r="AJ141" i="2"/>
  <c r="AJ281" i="2"/>
  <c r="AU281" i="2" s="1"/>
  <c r="AJ143" i="2"/>
  <c r="AU143" i="2" s="1"/>
  <c r="AJ17" i="2"/>
  <c r="AU17" i="2" s="1"/>
  <c r="AJ284" i="2"/>
  <c r="AU284" i="2" s="1"/>
  <c r="AJ253" i="2"/>
  <c r="AU253" i="2" s="1"/>
  <c r="AJ250" i="2"/>
  <c r="AU250" i="2" s="1"/>
  <c r="AJ79" i="2"/>
  <c r="AU79" i="2" s="1"/>
  <c r="AJ57" i="2"/>
  <c r="AU57" i="2" s="1"/>
  <c r="AJ54" i="2"/>
  <c r="AJ221" i="2"/>
  <c r="AU221" i="2" s="1"/>
  <c r="AJ287" i="2"/>
  <c r="AU287" i="2" s="1"/>
  <c r="AJ144" i="2"/>
  <c r="AU144" i="2" s="1"/>
  <c r="AJ216" i="2"/>
  <c r="AU216" i="2" s="1"/>
  <c r="AJ285" i="2"/>
  <c r="AU285" i="2" s="1"/>
  <c r="AJ31" i="2"/>
  <c r="AU31" i="2" s="1"/>
  <c r="AF272" i="2"/>
  <c r="AF277" i="2"/>
  <c r="AF70" i="2"/>
  <c r="AF220" i="2"/>
  <c r="AF181" i="2"/>
  <c r="AF260" i="2"/>
  <c r="AF78" i="2"/>
  <c r="AF190" i="2"/>
  <c r="AF111" i="2"/>
  <c r="AF137" i="2"/>
  <c r="AI137" i="2" s="1"/>
  <c r="AF182" i="2"/>
  <c r="AF233" i="2"/>
  <c r="AF76" i="2"/>
  <c r="AF245" i="2"/>
  <c r="AF90" i="2"/>
  <c r="AF248" i="2"/>
  <c r="AF257" i="2"/>
  <c r="AF238" i="2"/>
  <c r="AF71" i="2"/>
  <c r="AI71" i="2" s="1"/>
  <c r="AF34" i="2"/>
  <c r="AI13" i="2"/>
  <c r="AF158" i="2"/>
  <c r="AI158" i="2" s="1"/>
  <c r="AF77" i="2"/>
  <c r="AF102" i="2"/>
  <c r="AF167" i="2"/>
  <c r="AF239" i="2"/>
  <c r="AF24" i="2"/>
  <c r="AF213" i="2"/>
  <c r="AF191" i="2"/>
  <c r="AF237" i="2"/>
  <c r="AF75" i="2"/>
  <c r="AF59" i="2"/>
  <c r="AF127" i="2"/>
  <c r="AI127" i="2" s="1"/>
  <c r="AF212" i="2"/>
  <c r="AF215" i="2"/>
  <c r="AI215" i="2" s="1"/>
  <c r="AF262" i="2"/>
  <c r="AF219" i="2"/>
  <c r="AF125" i="2"/>
  <c r="AF122" i="2"/>
  <c r="AF53" i="2"/>
  <c r="AF22" i="2"/>
  <c r="AF201" i="2"/>
  <c r="AI201" i="2" s="1"/>
  <c r="AF109" i="2"/>
  <c r="AF166" i="2"/>
  <c r="AF103" i="2"/>
  <c r="AF176" i="2"/>
  <c r="AF224" i="2"/>
  <c r="AF198" i="2"/>
  <c r="AJ197" i="2"/>
  <c r="AU197" i="2" s="1"/>
  <c r="AI197" i="2"/>
  <c r="AF243" i="2"/>
  <c r="AF150" i="2"/>
  <c r="AF58" i="2"/>
  <c r="AF142" i="2"/>
  <c r="AJ267" i="2"/>
  <c r="AU267" i="2" s="1"/>
  <c r="AI67" i="2"/>
  <c r="AF86" i="2"/>
  <c r="AF131" i="2"/>
  <c r="AF47" i="2"/>
  <c r="AF160" i="2"/>
  <c r="AF28" i="2"/>
  <c r="AF189" i="2"/>
  <c r="AF206" i="2"/>
  <c r="AF91" i="2"/>
  <c r="AF214" i="2"/>
  <c r="AF35" i="2"/>
  <c r="AF246" i="2"/>
  <c r="AF94" i="2"/>
  <c r="AF92" i="2"/>
  <c r="AJ280" i="2"/>
  <c r="AU280" i="2" s="1"/>
  <c r="AI280" i="2"/>
  <c r="AF163" i="2"/>
  <c r="AF156" i="2"/>
  <c r="AF135" i="2"/>
  <c r="AF199" i="2"/>
  <c r="AF263" i="2"/>
  <c r="AF132" i="2"/>
  <c r="AF65" i="2"/>
  <c r="AF114" i="2"/>
  <c r="AF229" i="2"/>
  <c r="AF62" i="2"/>
  <c r="AF136" i="2"/>
  <c r="AF112" i="2"/>
  <c r="AF235" i="2"/>
  <c r="AF39" i="2"/>
  <c r="AF96" i="2"/>
  <c r="AF82" i="2"/>
  <c r="AF121" i="2"/>
  <c r="AF26" i="2"/>
  <c r="AJ289" i="2"/>
  <c r="AU289" i="2" s="1"/>
  <c r="AF85" i="2"/>
  <c r="AF146" i="2"/>
  <c r="AI20" i="2"/>
  <c r="AF89" i="2"/>
  <c r="AF110" i="2"/>
  <c r="AF50" i="2"/>
  <c r="AF23" i="2"/>
  <c r="AF51" i="2"/>
  <c r="AF42" i="2"/>
  <c r="AF269" i="2"/>
  <c r="AF99" i="2"/>
  <c r="AF270" i="2"/>
  <c r="AF101" i="2"/>
  <c r="AF63" i="2"/>
  <c r="AF15" i="2"/>
  <c r="AJ106" i="2"/>
  <c r="AU106" i="2" s="1"/>
  <c r="AI106" i="2"/>
  <c r="AJ200" i="2"/>
  <c r="AU200" i="2" s="1"/>
  <c r="AI200" i="2"/>
  <c r="AF172" i="2"/>
  <c r="AF83" i="2"/>
  <c r="AF52" i="2"/>
  <c r="AF258" i="2"/>
  <c r="AF105" i="2"/>
  <c r="AF205" i="2"/>
  <c r="AF211" i="2"/>
  <c r="AF117" i="2"/>
  <c r="AF178" i="2"/>
  <c r="AF133" i="2"/>
  <c r="AF147" i="2"/>
  <c r="AF84" i="2"/>
  <c r="AF73" i="2"/>
  <c r="AI73" i="2" s="1"/>
  <c r="Z123" i="2"/>
  <c r="AA123" i="2" s="1"/>
  <c r="AC123" i="2" s="1"/>
  <c r="Z115" i="2"/>
  <c r="AA115" i="2" s="1"/>
  <c r="AC115" i="2" s="1"/>
  <c r="Z157" i="2"/>
  <c r="AA157" i="2" s="1"/>
  <c r="AC157" i="2" s="1"/>
  <c r="Z152" i="2"/>
  <c r="AA152" i="2" s="1"/>
  <c r="AC152" i="2" s="1"/>
  <c r="Z179" i="2"/>
  <c r="AA179" i="2" s="1"/>
  <c r="AC179" i="2" s="1"/>
  <c r="Z27" i="2"/>
  <c r="AA27" i="2" s="1"/>
  <c r="AC27" i="2" s="1"/>
  <c r="Z249" i="2"/>
  <c r="AA249" i="2" s="1"/>
  <c r="AC249" i="2" s="1"/>
  <c r="Z218" i="2"/>
  <c r="AA218" i="2" s="1"/>
  <c r="AC218" i="2" s="1"/>
  <c r="Z118" i="2"/>
  <c r="AA118" i="2" s="1"/>
  <c r="AC118" i="2" s="1"/>
  <c r="Z30" i="2"/>
  <c r="AA30" i="2" s="1"/>
  <c r="AC30" i="2" s="1"/>
  <c r="Z196" i="2"/>
  <c r="AA196" i="2" s="1"/>
  <c r="AC196" i="2" s="1"/>
  <c r="Z174" i="2"/>
  <c r="AA174" i="2" s="1"/>
  <c r="AC174" i="2" s="1"/>
  <c r="Z161" i="2"/>
  <c r="AA161" i="2" s="1"/>
  <c r="AC161" i="2" s="1"/>
  <c r="Z140" i="2"/>
  <c r="AA140" i="2" s="1"/>
  <c r="AC140" i="2" s="1"/>
  <c r="Z80" i="2"/>
  <c r="AA80" i="2" s="1"/>
  <c r="AC80" i="2" s="1"/>
  <c r="Z49" i="2"/>
  <c r="AA49" i="2" s="1"/>
  <c r="AC49" i="2" s="1"/>
  <c r="Z21" i="2"/>
  <c r="AA21" i="2" s="1"/>
  <c r="AC21" i="2" s="1"/>
  <c r="Z188" i="2"/>
  <c r="AA188" i="2" s="1"/>
  <c r="AC188" i="2" s="1"/>
  <c r="Z194" i="2"/>
  <c r="AA194" i="2" s="1"/>
  <c r="AC194" i="2" s="1"/>
  <c r="Z18" i="2"/>
  <c r="AA18" i="2" s="1"/>
  <c r="AC18" i="2" s="1"/>
  <c r="Z151" i="2"/>
  <c r="AA151" i="2" s="1"/>
  <c r="AC151" i="2" s="1"/>
  <c r="Z241" i="2"/>
  <c r="AA241" i="2" s="1"/>
  <c r="AC241" i="2" s="1"/>
  <c r="Z148" i="2"/>
  <c r="AA148" i="2" s="1"/>
  <c r="AC148" i="2" s="1"/>
  <c r="Z225" i="2"/>
  <c r="AA225" i="2" s="1"/>
  <c r="AC225" i="2" s="1"/>
  <c r="Z32" i="2"/>
  <c r="AA32" i="2" s="1"/>
  <c r="AC32" i="2" s="1"/>
  <c r="Z16" i="2"/>
  <c r="AA16" i="2" s="1"/>
  <c r="AC16" i="2" s="1"/>
  <c r="Z81" i="2"/>
  <c r="AA81" i="2" s="1"/>
  <c r="AC81" i="2" s="1"/>
  <c r="Z247" i="2"/>
  <c r="AA247" i="2" s="1"/>
  <c r="AC247" i="2" s="1"/>
  <c r="Z268" i="2"/>
  <c r="AA268" i="2" s="1"/>
  <c r="AC268" i="2" s="1"/>
  <c r="Z25" i="2"/>
  <c r="AA25" i="2" s="1"/>
  <c r="AC25" i="2" s="1"/>
  <c r="Z183" i="2"/>
  <c r="AA183" i="2" s="1"/>
  <c r="AC183" i="2" s="1"/>
  <c r="Z129" i="2"/>
  <c r="AA129" i="2" s="1"/>
  <c r="AC129" i="2" s="1"/>
  <c r="Z171" i="2"/>
  <c r="AA171" i="2" s="1"/>
  <c r="AC171" i="2" s="1"/>
  <c r="Z177" i="2"/>
  <c r="AA177" i="2" s="1"/>
  <c r="AC177" i="2" s="1"/>
  <c r="Z33" i="2"/>
  <c r="AA33" i="2" s="1"/>
  <c r="AC33" i="2" s="1"/>
  <c r="Z93" i="2"/>
  <c r="AA93" i="2" s="1"/>
  <c r="AC93" i="2" s="1"/>
  <c r="Z95" i="2"/>
  <c r="AA95" i="2" s="1"/>
  <c r="AC95" i="2" s="1"/>
  <c r="Z187" i="2"/>
  <c r="AA187" i="2" s="1"/>
  <c r="AC187" i="2" s="1"/>
  <c r="Z138" i="2"/>
  <c r="AA138" i="2" s="1"/>
  <c r="AC138" i="2" s="1"/>
  <c r="Z12" i="2"/>
  <c r="AA12" i="2" s="1"/>
  <c r="AC12" i="2" s="1"/>
  <c r="Z124" i="2"/>
  <c r="AA124" i="2" s="1"/>
  <c r="AC124" i="2" s="1"/>
  <c r="Z165" i="2"/>
  <c r="AA165" i="2" s="1"/>
  <c r="AC165" i="2" s="1"/>
  <c r="Z195" i="2"/>
  <c r="AA195" i="2" s="1"/>
  <c r="AC195" i="2" s="1"/>
  <c r="Z164" i="2"/>
  <c r="AA164" i="2" s="1"/>
  <c r="AC164" i="2" s="1"/>
  <c r="Z193" i="2"/>
  <c r="AA193" i="2" s="1"/>
  <c r="AC193" i="2" s="1"/>
  <c r="Z162" i="2"/>
  <c r="AA162" i="2" s="1"/>
  <c r="AC162" i="2" s="1"/>
  <c r="Z126" i="2"/>
  <c r="AA126" i="2" s="1"/>
  <c r="AC126" i="2" s="1"/>
  <c r="Z202" i="2"/>
  <c r="AA202" i="2" s="1"/>
  <c r="AC202" i="2" s="1"/>
  <c r="Z14" i="2"/>
  <c r="AA14" i="2" s="1"/>
  <c r="AC14" i="2" s="1"/>
  <c r="Z108" i="2"/>
  <c r="AA108" i="2" s="1"/>
  <c r="AC108" i="2" s="1"/>
  <c r="Z227" i="2"/>
  <c r="AA227" i="2" s="1"/>
  <c r="AC227" i="2" s="1"/>
  <c r="Z168" i="2"/>
  <c r="AA168" i="2" s="1"/>
  <c r="AC168" i="2" s="1"/>
  <c r="Z173" i="2"/>
  <c r="AA173" i="2" s="1"/>
  <c r="AC173" i="2" s="1"/>
  <c r="Z236" i="2"/>
  <c r="AA236" i="2" s="1"/>
  <c r="AC236" i="2" s="1"/>
  <c r="Z139" i="2"/>
  <c r="AA139" i="2" s="1"/>
  <c r="AC139" i="2" s="1"/>
  <c r="Z74" i="2"/>
  <c r="AA74" i="2" s="1"/>
  <c r="AC74" i="2" s="1"/>
  <c r="Z98" i="2"/>
  <c r="AA98" i="2" s="1"/>
  <c r="AC98" i="2" s="1"/>
  <c r="Z184" i="2"/>
  <c r="AA184" i="2" s="1"/>
  <c r="AC184" i="2" s="1"/>
  <c r="Z64" i="2"/>
  <c r="AA64" i="2" s="1"/>
  <c r="AC64" i="2" s="1"/>
  <c r="Z155" i="2"/>
  <c r="AA155" i="2" s="1"/>
  <c r="AC155" i="2" s="1"/>
  <c r="Z169" i="2"/>
  <c r="AA169" i="2" s="1"/>
  <c r="AC169" i="2" s="1"/>
  <c r="Z72" i="2"/>
  <c r="AA72" i="2" s="1"/>
  <c r="AC72" i="2" s="1"/>
  <c r="Z149" i="2"/>
  <c r="AA149" i="2" s="1"/>
  <c r="AC149" i="2" s="1"/>
  <c r="Z203" i="2"/>
  <c r="AA203" i="2" s="1"/>
  <c r="AC203" i="2" s="1"/>
  <c r="Z180" i="2"/>
  <c r="AA180" i="2" s="1"/>
  <c r="AC180" i="2" s="1"/>
  <c r="Z116" i="2"/>
  <c r="AA116" i="2" s="1"/>
  <c r="AC116" i="2" s="1"/>
  <c r="Z242" i="2"/>
  <c r="AA242" i="2" s="1"/>
  <c r="AC242" i="2" s="1"/>
  <c r="Z154" i="2"/>
  <c r="AA154" i="2" s="1"/>
  <c r="AC154" i="2" s="1"/>
  <c r="Z153" i="2"/>
  <c r="AA153" i="2" s="1"/>
  <c r="AC153" i="2" s="1"/>
  <c r="Z252" i="2"/>
  <c r="AA252" i="2" s="1"/>
  <c r="AC252" i="2" s="1"/>
  <c r="Z226" i="2"/>
  <c r="AA226" i="2" s="1"/>
  <c r="AC226" i="2" s="1"/>
  <c r="Z170" i="2"/>
  <c r="AA170" i="2" s="1"/>
  <c r="AC170" i="2" s="1"/>
  <c r="AI192" i="2"/>
  <c r="AI308" i="2"/>
  <c r="AI221" i="2"/>
  <c r="BC240" i="2"/>
  <c r="Y240" i="2"/>
  <c r="AL67" i="2"/>
  <c r="AL228" i="2"/>
  <c r="Z10" i="2"/>
  <c r="AA10" i="2" s="1"/>
  <c r="AC10" i="2" s="1"/>
  <c r="AL271" i="2" l="1"/>
  <c r="AL216" i="2"/>
  <c r="AN144" i="2"/>
  <c r="AN216" i="2"/>
  <c r="AO216" i="2"/>
  <c r="AP216" i="2" s="1"/>
  <c r="AQ216" i="2" s="1"/>
  <c r="AO67" i="2"/>
  <c r="AP67" i="2" s="1"/>
  <c r="AQ67" i="2" s="1"/>
  <c r="AO57" i="2"/>
  <c r="AP57" i="2" s="1"/>
  <c r="AQ57" i="2" s="1"/>
  <c r="AZ19" i="2"/>
  <c r="AL66" i="2"/>
  <c r="AO284" i="2"/>
  <c r="AP284" i="2" s="1"/>
  <c r="AQ284" i="2" s="1"/>
  <c r="AL144" i="2"/>
  <c r="AN251" i="2"/>
  <c r="AO19" i="2"/>
  <c r="AP19" i="2" s="1"/>
  <c r="AQ19" i="2" s="1"/>
  <c r="AN284" i="2"/>
  <c r="AN97" i="2"/>
  <c r="AZ271" i="2"/>
  <c r="AO271" i="2"/>
  <c r="AP271" i="2" s="1"/>
  <c r="AQ271" i="2" s="1"/>
  <c r="AZ253" i="2"/>
  <c r="AO87" i="2"/>
  <c r="AP87" i="2" s="1"/>
  <c r="AQ87" i="2" s="1"/>
  <c r="AL284" i="2"/>
  <c r="AN87" i="2"/>
  <c r="AO144" i="2"/>
  <c r="AP144" i="2" s="1"/>
  <c r="AQ144" i="2" s="1"/>
  <c r="AL87" i="2"/>
  <c r="AN271" i="2"/>
  <c r="AO97" i="2"/>
  <c r="AP97" i="2" s="1"/>
  <c r="AQ97" i="2" s="1"/>
  <c r="AL287" i="2"/>
  <c r="AL17" i="2"/>
  <c r="AZ251" i="2"/>
  <c r="AN128" i="2"/>
  <c r="AZ228" i="2"/>
  <c r="AN228" i="2"/>
  <c r="AO128" i="2"/>
  <c r="AP128" i="2" s="1"/>
  <c r="AQ128" i="2" s="1"/>
  <c r="AL253" i="2"/>
  <c r="AZ216" i="2"/>
  <c r="AN19" i="2"/>
  <c r="AN67" i="2"/>
  <c r="AO287" i="2"/>
  <c r="AP287" i="2" s="1"/>
  <c r="AQ287" i="2" s="1"/>
  <c r="AL19" i="2"/>
  <c r="AZ17" i="2"/>
  <c r="AN287" i="2"/>
  <c r="AN17" i="2"/>
  <c r="AO17" i="2"/>
  <c r="AP17" i="2" s="1"/>
  <c r="AQ17" i="2" s="1"/>
  <c r="AV286" i="2"/>
  <c r="AO256" i="2"/>
  <c r="AP256" i="2" s="1"/>
  <c r="AQ256" i="2" s="1"/>
  <c r="AL256" i="2"/>
  <c r="AO143" i="2"/>
  <c r="AP143" i="2" s="1"/>
  <c r="AQ143" i="2" s="1"/>
  <c r="AL286" i="2"/>
  <c r="AL251" i="2"/>
  <c r="AL141" i="2"/>
  <c r="AN253" i="2"/>
  <c r="AO251" i="2"/>
  <c r="AP251" i="2" s="1"/>
  <c r="AQ251" i="2" s="1"/>
  <c r="AZ67" i="2"/>
  <c r="AN141" i="2"/>
  <c r="AN57" i="2"/>
  <c r="AO228" i="2"/>
  <c r="AP228" i="2" s="1"/>
  <c r="AQ228" i="2" s="1"/>
  <c r="AZ57" i="2"/>
  <c r="AN286" i="2"/>
  <c r="AO253" i="2"/>
  <c r="AP253" i="2" s="1"/>
  <c r="AQ253" i="2" s="1"/>
  <c r="AL128" i="2"/>
  <c r="AL57" i="2"/>
  <c r="AN256" i="2"/>
  <c r="AO141" i="2"/>
  <c r="AP141" i="2" s="1"/>
  <c r="AQ141" i="2" s="1"/>
  <c r="AO286" i="2"/>
  <c r="AP286" i="2" s="1"/>
  <c r="AQ286" i="2" s="1"/>
  <c r="AL281" i="2"/>
  <c r="AL279" i="2"/>
  <c r="AL54" i="2"/>
  <c r="AZ281" i="2"/>
  <c r="AN281" i="2"/>
  <c r="AO279" i="2"/>
  <c r="AP279" i="2" s="1"/>
  <c r="AQ279" i="2" s="1"/>
  <c r="AN54" i="2"/>
  <c r="AO281" i="2"/>
  <c r="AP281" i="2" s="1"/>
  <c r="AQ281" i="2" s="1"/>
  <c r="AZ279" i="2"/>
  <c r="AO54" i="2"/>
  <c r="AP54" i="2" s="1"/>
  <c r="AQ54" i="2" s="1"/>
  <c r="AN279" i="2"/>
  <c r="AL308" i="2"/>
  <c r="AL31" i="2"/>
  <c r="AZ308" i="2"/>
  <c r="AO204" i="2"/>
  <c r="AP204" i="2" s="1"/>
  <c r="AQ204" i="2" s="1"/>
  <c r="AN79" i="2"/>
  <c r="AO192" i="2"/>
  <c r="AP192" i="2" s="1"/>
  <c r="AQ192" i="2" s="1"/>
  <c r="AO31" i="2"/>
  <c r="AP31" i="2" s="1"/>
  <c r="AQ31" i="2" s="1"/>
  <c r="AZ31" i="2"/>
  <c r="AZ79" i="2"/>
  <c r="AN192" i="2"/>
  <c r="AO308" i="2"/>
  <c r="AP308" i="2" s="1"/>
  <c r="AQ308" i="2" s="1"/>
  <c r="AO79" i="2"/>
  <c r="AP79" i="2" s="1"/>
  <c r="AQ79" i="2" s="1"/>
  <c r="AN204" i="2"/>
  <c r="AL192" i="2"/>
  <c r="AL79" i="2"/>
  <c r="AV192" i="2"/>
  <c r="AN285" i="2"/>
  <c r="AN31" i="2"/>
  <c r="AL119" i="2"/>
  <c r="AN119" i="2"/>
  <c r="AO285" i="2"/>
  <c r="AP285" i="2" s="1"/>
  <c r="AQ285" i="2" s="1"/>
  <c r="AL204" i="2"/>
  <c r="AZ204" i="2"/>
  <c r="AN308" i="2"/>
  <c r="AO119" i="2"/>
  <c r="AP119" i="2" s="1"/>
  <c r="AQ119" i="2" s="1"/>
  <c r="AL221" i="2"/>
  <c r="AZ221" i="2"/>
  <c r="AZ66" i="2"/>
  <c r="AN290" i="2"/>
  <c r="AL285" i="2"/>
  <c r="AZ250" i="2"/>
  <c r="AN20" i="2"/>
  <c r="AN66" i="2"/>
  <c r="AN221" i="2"/>
  <c r="AL100" i="2"/>
  <c r="AN44" i="2"/>
  <c r="AN143" i="2"/>
  <c r="AO100" i="2"/>
  <c r="AP100" i="2" s="1"/>
  <c r="AQ100" i="2" s="1"/>
  <c r="AO20" i="2"/>
  <c r="AP20" i="2" s="1"/>
  <c r="AQ20" i="2" s="1"/>
  <c r="AO66" i="2"/>
  <c r="AP66" i="2" s="1"/>
  <c r="AQ66" i="2" s="1"/>
  <c r="AZ290" i="2"/>
  <c r="AN100" i="2"/>
  <c r="AO44" i="2"/>
  <c r="AP44" i="2" s="1"/>
  <c r="AQ44" i="2" s="1"/>
  <c r="AO88" i="2"/>
  <c r="AP88" i="2" s="1"/>
  <c r="AQ88" i="2" s="1"/>
  <c r="AL88" i="2"/>
  <c r="AL68" i="2"/>
  <c r="AL20" i="2"/>
  <c r="AL143" i="2"/>
  <c r="AL290" i="2"/>
  <c r="AZ20" i="2"/>
  <c r="AN88" i="2"/>
  <c r="AO290" i="2"/>
  <c r="AP290" i="2" s="1"/>
  <c r="AQ290" i="2" s="1"/>
  <c r="AL44" i="2"/>
  <c r="AZ44" i="2"/>
  <c r="AZ68" i="2"/>
  <c r="AN68" i="2"/>
  <c r="AO221" i="2"/>
  <c r="AP221" i="2" s="1"/>
  <c r="AQ221" i="2" s="1"/>
  <c r="AO250" i="2"/>
  <c r="AP250" i="2" s="1"/>
  <c r="AQ250" i="2" s="1"/>
  <c r="AL250" i="2"/>
  <c r="AN250" i="2"/>
  <c r="AO68" i="2"/>
  <c r="AP68" i="2" s="1"/>
  <c r="AQ68" i="2" s="1"/>
  <c r="AF184" i="2"/>
  <c r="AF108" i="2"/>
  <c r="AF177" i="2"/>
  <c r="AF16" i="2"/>
  <c r="AF188" i="2"/>
  <c r="AF30" i="2"/>
  <c r="AF115" i="2"/>
  <c r="AF116" i="2"/>
  <c r="AF165" i="2"/>
  <c r="AJ147" i="2"/>
  <c r="AU147" i="2" s="1"/>
  <c r="AI147" i="2"/>
  <c r="AJ211" i="2"/>
  <c r="AU211" i="2" s="1"/>
  <c r="AI211" i="2"/>
  <c r="AJ52" i="2"/>
  <c r="AU52" i="2" s="1"/>
  <c r="AI52" i="2"/>
  <c r="AN289" i="2"/>
  <c r="AL289" i="2"/>
  <c r="AO289" i="2"/>
  <c r="AP289" i="2" s="1"/>
  <c r="AQ289" i="2" s="1"/>
  <c r="AJ78" i="2"/>
  <c r="AU78" i="2" s="1"/>
  <c r="AI78" i="2"/>
  <c r="AJ70" i="2"/>
  <c r="AU70" i="2" s="1"/>
  <c r="AI70" i="2"/>
  <c r="AJ15" i="2"/>
  <c r="AU15" i="2" s="1"/>
  <c r="AI15" i="2"/>
  <c r="AJ99" i="2"/>
  <c r="AU99" i="2" s="1"/>
  <c r="AI99" i="2"/>
  <c r="AJ23" i="2"/>
  <c r="AU23" i="2" s="1"/>
  <c r="AI23" i="2"/>
  <c r="AJ182" i="2"/>
  <c r="AU182" i="2" s="1"/>
  <c r="AI182" i="2"/>
  <c r="AJ90" i="2"/>
  <c r="AU90" i="2" s="1"/>
  <c r="AI90" i="2"/>
  <c r="AJ172" i="2"/>
  <c r="AU172" i="2" s="1"/>
  <c r="AI172" i="2"/>
  <c r="AJ35" i="2"/>
  <c r="AU35" i="2" s="1"/>
  <c r="AI35" i="2"/>
  <c r="AJ189" i="2"/>
  <c r="AU189" i="2" s="1"/>
  <c r="AI189" i="2"/>
  <c r="AJ131" i="2"/>
  <c r="AI131" i="2"/>
  <c r="AF154" i="2"/>
  <c r="AF155" i="2"/>
  <c r="AF168" i="2"/>
  <c r="AF164" i="2"/>
  <c r="AF93" i="2"/>
  <c r="AF247" i="2"/>
  <c r="AF18" i="2"/>
  <c r="AF174" i="2"/>
  <c r="AF152" i="2"/>
  <c r="AJ84" i="2"/>
  <c r="AU84" i="2" s="1"/>
  <c r="AI84" i="2"/>
  <c r="AJ117" i="2"/>
  <c r="AI117" i="2"/>
  <c r="AJ258" i="2"/>
  <c r="AU258" i="2" s="1"/>
  <c r="AI258" i="2"/>
  <c r="AJ270" i="2"/>
  <c r="AU270" i="2" s="1"/>
  <c r="AI270" i="2"/>
  <c r="AJ51" i="2"/>
  <c r="AU51" i="2" s="1"/>
  <c r="AI51" i="2"/>
  <c r="AJ246" i="2"/>
  <c r="AU246" i="2" s="1"/>
  <c r="AI246" i="2"/>
  <c r="AJ206" i="2"/>
  <c r="AI206" i="2"/>
  <c r="AJ47" i="2"/>
  <c r="AU47" i="2" s="1"/>
  <c r="AI47" i="2"/>
  <c r="AN267" i="2"/>
  <c r="AL267" i="2"/>
  <c r="AO267" i="2"/>
  <c r="AP267" i="2" s="1"/>
  <c r="AQ267" i="2" s="1"/>
  <c r="AJ243" i="2"/>
  <c r="AU243" i="2" s="1"/>
  <c r="AI243" i="2"/>
  <c r="AJ233" i="2"/>
  <c r="AU233" i="2" s="1"/>
  <c r="AI233" i="2"/>
  <c r="AJ190" i="2"/>
  <c r="AU190" i="2" s="1"/>
  <c r="AI190" i="2"/>
  <c r="AJ220" i="2"/>
  <c r="AU220" i="2" s="1"/>
  <c r="AI220" i="2"/>
  <c r="AF242" i="2"/>
  <c r="AF64" i="2"/>
  <c r="AF227" i="2"/>
  <c r="AF195" i="2"/>
  <c r="AF33" i="2"/>
  <c r="AF81" i="2"/>
  <c r="AF194" i="2"/>
  <c r="AF196" i="2"/>
  <c r="AF157" i="2"/>
  <c r="AO106" i="2"/>
  <c r="AP106" i="2" s="1"/>
  <c r="AQ106" i="2" s="1"/>
  <c r="AL106" i="2"/>
  <c r="AN106" i="2"/>
  <c r="AJ89" i="2"/>
  <c r="AU89" i="2" s="1"/>
  <c r="AI89" i="2"/>
  <c r="AJ96" i="2"/>
  <c r="AU96" i="2" s="1"/>
  <c r="AI96" i="2"/>
  <c r="AJ136" i="2"/>
  <c r="AU136" i="2" s="1"/>
  <c r="AI136" i="2"/>
  <c r="AJ65" i="2"/>
  <c r="AU65" i="2" s="1"/>
  <c r="AI65" i="2"/>
  <c r="AJ199" i="2"/>
  <c r="AU199" i="2" s="1"/>
  <c r="AI199" i="2"/>
  <c r="AJ142" i="2"/>
  <c r="AI142" i="2"/>
  <c r="AJ176" i="2"/>
  <c r="AU176" i="2" s="1"/>
  <c r="AI176" i="2"/>
  <c r="AJ201" i="2"/>
  <c r="AU201" i="2" s="1"/>
  <c r="AJ125" i="2"/>
  <c r="AU125" i="2" s="1"/>
  <c r="AI125" i="2"/>
  <c r="AJ75" i="2"/>
  <c r="AI75" i="2"/>
  <c r="AJ24" i="2"/>
  <c r="AU24" i="2" s="1"/>
  <c r="AI24" i="2"/>
  <c r="AJ77" i="2"/>
  <c r="AU77" i="2" s="1"/>
  <c r="AI77" i="2"/>
  <c r="AJ71" i="2"/>
  <c r="AU71" i="2" s="1"/>
  <c r="AF180" i="2"/>
  <c r="AF98" i="2"/>
  <c r="AF14" i="2"/>
  <c r="AF124" i="2"/>
  <c r="AF171" i="2"/>
  <c r="AF32" i="2"/>
  <c r="AF21" i="2"/>
  <c r="AF118" i="2"/>
  <c r="AF123" i="2"/>
  <c r="AJ26" i="2"/>
  <c r="AI26" i="2"/>
  <c r="AJ39" i="2"/>
  <c r="AU39" i="2" s="1"/>
  <c r="AI39" i="2"/>
  <c r="AJ62" i="2"/>
  <c r="AU62" i="2" s="1"/>
  <c r="AI62" i="2"/>
  <c r="AJ135" i="2"/>
  <c r="AI135" i="2"/>
  <c r="AO280" i="2"/>
  <c r="AP280" i="2" s="1"/>
  <c r="AQ280" i="2" s="1"/>
  <c r="AL280" i="2"/>
  <c r="AN280" i="2"/>
  <c r="AJ58" i="2"/>
  <c r="AU58" i="2" s="1"/>
  <c r="AI58" i="2"/>
  <c r="AJ103" i="2"/>
  <c r="AU103" i="2" s="1"/>
  <c r="AI103" i="2"/>
  <c r="AJ22" i="2"/>
  <c r="AU22" i="2" s="1"/>
  <c r="AI22" i="2"/>
  <c r="AJ219" i="2"/>
  <c r="AU219" i="2" s="1"/>
  <c r="AI219" i="2"/>
  <c r="AJ212" i="2"/>
  <c r="AU212" i="2" s="1"/>
  <c r="AI212" i="2"/>
  <c r="AJ237" i="2"/>
  <c r="AU237" i="2" s="1"/>
  <c r="AI237" i="2"/>
  <c r="AJ239" i="2"/>
  <c r="AI239" i="2"/>
  <c r="AJ158" i="2"/>
  <c r="AU158" i="2" s="1"/>
  <c r="AJ238" i="2"/>
  <c r="AU238" i="2" s="1"/>
  <c r="AI238" i="2"/>
  <c r="AF170" i="2"/>
  <c r="AF203" i="2"/>
  <c r="AF74" i="2"/>
  <c r="AF202" i="2"/>
  <c r="AF12" i="2"/>
  <c r="AF129" i="2"/>
  <c r="AF225" i="2"/>
  <c r="AF49" i="2"/>
  <c r="AF218" i="2"/>
  <c r="AJ133" i="2"/>
  <c r="AI133" i="2"/>
  <c r="AJ205" i="2"/>
  <c r="AI205" i="2"/>
  <c r="AJ63" i="2"/>
  <c r="AI63" i="2"/>
  <c r="AJ269" i="2"/>
  <c r="AU269" i="2" s="1"/>
  <c r="AI269" i="2"/>
  <c r="AJ50" i="2"/>
  <c r="AU50" i="2" s="1"/>
  <c r="AI50" i="2"/>
  <c r="AJ146" i="2"/>
  <c r="AI146" i="2"/>
  <c r="AJ132" i="2"/>
  <c r="AU132" i="2" s="1"/>
  <c r="AI132" i="2"/>
  <c r="AJ92" i="2"/>
  <c r="AU92" i="2" s="1"/>
  <c r="AI92" i="2"/>
  <c r="AJ214" i="2"/>
  <c r="AI214" i="2"/>
  <c r="AJ28" i="2"/>
  <c r="AU28" i="2" s="1"/>
  <c r="AI28" i="2"/>
  <c r="AJ86" i="2"/>
  <c r="AU86" i="2" s="1"/>
  <c r="AI86" i="2"/>
  <c r="AO197" i="2"/>
  <c r="AP197" i="2" s="1"/>
  <c r="AQ197" i="2" s="1"/>
  <c r="AN197" i="2"/>
  <c r="AL197" i="2"/>
  <c r="AJ245" i="2"/>
  <c r="AU245" i="2" s="1"/>
  <c r="AI245" i="2"/>
  <c r="AJ137" i="2"/>
  <c r="AJ260" i="2"/>
  <c r="AU260" i="2" s="1"/>
  <c r="AI260" i="2"/>
  <c r="AJ277" i="2"/>
  <c r="AU277" i="2" s="1"/>
  <c r="AI277" i="2"/>
  <c r="AF226" i="2"/>
  <c r="AF149" i="2"/>
  <c r="AF139" i="2"/>
  <c r="AF126" i="2"/>
  <c r="AF138" i="2"/>
  <c r="AF183" i="2"/>
  <c r="AF148" i="2"/>
  <c r="AF80" i="2"/>
  <c r="AF249" i="2"/>
  <c r="AJ121" i="2"/>
  <c r="AI121" i="2"/>
  <c r="AJ235" i="2"/>
  <c r="AU235" i="2" s="1"/>
  <c r="AI235" i="2"/>
  <c r="AJ229" i="2"/>
  <c r="AU229" i="2" s="1"/>
  <c r="AI229" i="2"/>
  <c r="AJ156" i="2"/>
  <c r="AU156" i="2" s="1"/>
  <c r="AI156" i="2"/>
  <c r="AJ150" i="2"/>
  <c r="AU150" i="2" s="1"/>
  <c r="AI150" i="2"/>
  <c r="AJ198" i="2"/>
  <c r="AU198" i="2" s="1"/>
  <c r="AI198" i="2"/>
  <c r="AJ166" i="2"/>
  <c r="AU166" i="2" s="1"/>
  <c r="AI166" i="2"/>
  <c r="AJ53" i="2"/>
  <c r="AU53" i="2" s="1"/>
  <c r="AI53" i="2"/>
  <c r="AJ262" i="2"/>
  <c r="AU262" i="2" s="1"/>
  <c r="AI262" i="2"/>
  <c r="AJ127" i="2"/>
  <c r="AU127" i="2" s="1"/>
  <c r="AJ191" i="2"/>
  <c r="AI191" i="2"/>
  <c r="AJ167" i="2"/>
  <c r="AU167" i="2" s="1"/>
  <c r="AI167" i="2"/>
  <c r="AJ257" i="2"/>
  <c r="AU257" i="2" s="1"/>
  <c r="AI257" i="2"/>
  <c r="AF10" i="2"/>
  <c r="AF252" i="2"/>
  <c r="AF72" i="2"/>
  <c r="AF236" i="2"/>
  <c r="AF162" i="2"/>
  <c r="AF187" i="2"/>
  <c r="AF25" i="2"/>
  <c r="AF241" i="2"/>
  <c r="AF140" i="2"/>
  <c r="AF27" i="2"/>
  <c r="AJ73" i="2"/>
  <c r="AU73" i="2" s="1"/>
  <c r="AJ178" i="2"/>
  <c r="AU178" i="2" s="1"/>
  <c r="AI178" i="2"/>
  <c r="AJ105" i="2"/>
  <c r="AU105" i="2" s="1"/>
  <c r="AI105" i="2"/>
  <c r="AO200" i="2"/>
  <c r="AP200" i="2" s="1"/>
  <c r="AQ200" i="2" s="1"/>
  <c r="AL200" i="2"/>
  <c r="AN200" i="2"/>
  <c r="AJ101" i="2"/>
  <c r="AU101" i="2" s="1"/>
  <c r="AI101" i="2"/>
  <c r="AJ42" i="2"/>
  <c r="AU42" i="2" s="1"/>
  <c r="AI42" i="2"/>
  <c r="AJ110" i="2"/>
  <c r="AU110" i="2" s="1"/>
  <c r="AI110" i="2"/>
  <c r="AJ85" i="2"/>
  <c r="AU85" i="2" s="1"/>
  <c r="AI85" i="2"/>
  <c r="AJ94" i="2"/>
  <c r="AU94" i="2" s="1"/>
  <c r="AI94" i="2"/>
  <c r="AJ91" i="2"/>
  <c r="AI91" i="2"/>
  <c r="AJ160" i="2"/>
  <c r="AU160" i="2" s="1"/>
  <c r="AI160" i="2"/>
  <c r="AJ76" i="2"/>
  <c r="AU76" i="2" s="1"/>
  <c r="AI76" i="2"/>
  <c r="AJ111" i="2"/>
  <c r="AU111" i="2" s="1"/>
  <c r="AI111" i="2"/>
  <c r="AJ181" i="2"/>
  <c r="AU181" i="2" s="1"/>
  <c r="AI181" i="2"/>
  <c r="AJ272" i="2"/>
  <c r="AU272" i="2" s="1"/>
  <c r="AI272" i="2"/>
  <c r="AF153" i="2"/>
  <c r="AF169" i="2"/>
  <c r="AF173" i="2"/>
  <c r="AF193" i="2"/>
  <c r="AF95" i="2"/>
  <c r="AF268" i="2"/>
  <c r="AF151" i="2"/>
  <c r="AF161" i="2"/>
  <c r="AF179" i="2"/>
  <c r="AJ83" i="2"/>
  <c r="AU83" i="2" s="1"/>
  <c r="AI83" i="2"/>
  <c r="AJ82" i="2"/>
  <c r="AU82" i="2" s="1"/>
  <c r="AI82" i="2"/>
  <c r="AJ112" i="2"/>
  <c r="AU112" i="2" s="1"/>
  <c r="AI112" i="2"/>
  <c r="AJ114" i="2"/>
  <c r="AU114" i="2" s="1"/>
  <c r="AI114" i="2"/>
  <c r="AJ263" i="2"/>
  <c r="AU263" i="2" s="1"/>
  <c r="AI263" i="2"/>
  <c r="AJ163" i="2"/>
  <c r="AU163" i="2" s="1"/>
  <c r="AI163" i="2"/>
  <c r="AJ224" i="2"/>
  <c r="AI224" i="2"/>
  <c r="AJ109" i="2"/>
  <c r="AU109" i="2" s="1"/>
  <c r="AI109" i="2"/>
  <c r="AJ122" i="2"/>
  <c r="AU122" i="2" s="1"/>
  <c r="AI122" i="2"/>
  <c r="AJ215" i="2"/>
  <c r="AU215" i="2" s="1"/>
  <c r="AJ59" i="2"/>
  <c r="AU59" i="2" s="1"/>
  <c r="AI59" i="2"/>
  <c r="AJ213" i="2"/>
  <c r="AU213" i="2" s="1"/>
  <c r="AI213" i="2"/>
  <c r="AJ102" i="2"/>
  <c r="AU102" i="2" s="1"/>
  <c r="AI102" i="2"/>
  <c r="AJ34" i="2"/>
  <c r="AU34" i="2" s="1"/>
  <c r="AI34" i="2"/>
  <c r="AJ248" i="2"/>
  <c r="AU248" i="2" s="1"/>
  <c r="AI248" i="2"/>
  <c r="AO13" i="2"/>
  <c r="AP13" i="2" s="1"/>
  <c r="AQ13" i="2" s="1"/>
  <c r="AO11" i="2"/>
  <c r="AP11" i="2" s="1"/>
  <c r="AQ11" i="2" s="1"/>
  <c r="AO29" i="2"/>
  <c r="AP29" i="2" s="1"/>
  <c r="AQ29" i="2" s="1"/>
  <c r="AO107" i="2"/>
  <c r="AP107" i="2" s="1"/>
  <c r="AQ107" i="2" s="1"/>
  <c r="AO113" i="2"/>
  <c r="AP113" i="2" s="1"/>
  <c r="AQ113" i="2" s="1"/>
  <c r="AN29" i="2"/>
  <c r="AN11" i="2"/>
  <c r="AN107" i="2"/>
  <c r="AN13" i="2"/>
  <c r="AN113" i="2"/>
  <c r="AV13" i="2"/>
  <c r="AZ29" i="2"/>
  <c r="AZ11" i="2"/>
  <c r="Z240" i="2"/>
  <c r="AA240" i="2" s="1"/>
  <c r="AL29" i="2"/>
  <c r="AL11" i="2"/>
  <c r="AL113" i="2"/>
  <c r="Y8" i="2"/>
  <c r="AL13" i="2"/>
  <c r="AL107" i="2"/>
  <c r="AV256" i="2"/>
  <c r="AV19" i="2"/>
  <c r="AF240" i="2" l="1"/>
  <c r="AE8" i="2" s="1"/>
  <c r="AC240" i="2"/>
  <c r="AV17" i="2"/>
  <c r="AZ284" i="2"/>
  <c r="AV67" i="2"/>
  <c r="AN172" i="2"/>
  <c r="AV250" i="2"/>
  <c r="AV271" i="2"/>
  <c r="AO71" i="2"/>
  <c r="AP71" i="2" s="1"/>
  <c r="AQ71" i="2" s="1"/>
  <c r="AV253" i="2"/>
  <c r="AV284" i="2"/>
  <c r="AV144" i="2"/>
  <c r="AV287" i="2"/>
  <c r="AV82" i="2"/>
  <c r="AZ287" i="2"/>
  <c r="AV251" i="2"/>
  <c r="AZ256" i="2"/>
  <c r="AZ144" i="2"/>
  <c r="AZ286" i="2"/>
  <c r="AV119" i="2"/>
  <c r="AV44" i="2"/>
  <c r="AN70" i="2"/>
  <c r="AV228" i="2"/>
  <c r="AO70" i="2"/>
  <c r="AP70" i="2" s="1"/>
  <c r="AQ70" i="2" s="1"/>
  <c r="AV216" i="2"/>
  <c r="AV279" i="2"/>
  <c r="AV308" i="2"/>
  <c r="AL70" i="2"/>
  <c r="AZ70" i="2"/>
  <c r="AO121" i="2"/>
  <c r="AP121" i="2" s="1"/>
  <c r="AQ121" i="2" s="1"/>
  <c r="AO181" i="2"/>
  <c r="AP181" i="2" s="1"/>
  <c r="AZ192" i="2"/>
  <c r="AV57" i="2"/>
  <c r="AN121" i="2"/>
  <c r="AL181" i="2"/>
  <c r="AV79" i="2"/>
  <c r="AV66" i="2"/>
  <c r="AV290" i="2"/>
  <c r="AL121" i="2"/>
  <c r="AV285" i="2"/>
  <c r="AV68" i="2"/>
  <c r="AZ285" i="2"/>
  <c r="AL101" i="2"/>
  <c r="AV281" i="2"/>
  <c r="AV221" i="2"/>
  <c r="AZ101" i="2"/>
  <c r="AV204" i="2"/>
  <c r="AV20" i="2"/>
  <c r="AL82" i="2"/>
  <c r="AV100" i="2"/>
  <c r="AV31" i="2"/>
  <c r="AL205" i="2"/>
  <c r="AZ100" i="2"/>
  <c r="AN205" i="2"/>
  <c r="AO205" i="2"/>
  <c r="AP205" i="2" s="1"/>
  <c r="AQ205" i="2" s="1"/>
  <c r="AV143" i="2"/>
  <c r="AN82" i="2"/>
  <c r="AN181" i="2"/>
  <c r="AZ233" i="2"/>
  <c r="AL233" i="2"/>
  <c r="AN233" i="2"/>
  <c r="AO233" i="2"/>
  <c r="AP233" i="2" s="1"/>
  <c r="AQ233" i="2" s="1"/>
  <c r="AZ119" i="2"/>
  <c r="AN101" i="2"/>
  <c r="AO101" i="2"/>
  <c r="AP101" i="2" s="1"/>
  <c r="AQ101" i="2" s="1"/>
  <c r="AN263" i="2"/>
  <c r="AO82" i="2"/>
  <c r="AP82" i="2" s="1"/>
  <c r="AQ82" i="2" s="1"/>
  <c r="AZ143" i="2"/>
  <c r="AL263" i="2"/>
  <c r="AO263" i="2"/>
  <c r="AP263" i="2" s="1"/>
  <c r="AQ263" i="2" s="1"/>
  <c r="AJ161" i="2"/>
  <c r="AU161" i="2" s="1"/>
  <c r="AI161" i="2"/>
  <c r="AJ193" i="2"/>
  <c r="AU193" i="2" s="1"/>
  <c r="AI193" i="2"/>
  <c r="AO178" i="2"/>
  <c r="AP178" i="2" s="1"/>
  <c r="AQ178" i="2" s="1"/>
  <c r="AL178" i="2"/>
  <c r="AN178" i="2"/>
  <c r="AV178" i="2"/>
  <c r="AO172" i="2"/>
  <c r="AP172" i="2" s="1"/>
  <c r="AQ172" i="2" s="1"/>
  <c r="AV172" i="2"/>
  <c r="AL172" i="2"/>
  <c r="AL131" i="2"/>
  <c r="AO131" i="2"/>
  <c r="AP131" i="2" s="1"/>
  <c r="AQ131" i="2" s="1"/>
  <c r="AN131" i="2"/>
  <c r="AJ115" i="2"/>
  <c r="AU115" i="2" s="1"/>
  <c r="AI115" i="2"/>
  <c r="AO109" i="2"/>
  <c r="AP109" i="2" s="1"/>
  <c r="AQ109" i="2" s="1"/>
  <c r="AN109" i="2"/>
  <c r="AL109" i="2"/>
  <c r="AZ200" i="2"/>
  <c r="AV200" i="2"/>
  <c r="AN211" i="2"/>
  <c r="AO211" i="2"/>
  <c r="AP211" i="2" s="1"/>
  <c r="AQ211" i="2" s="1"/>
  <c r="AL211" i="2"/>
  <c r="AO239" i="2"/>
  <c r="AP239" i="2" s="1"/>
  <c r="AQ239" i="2" s="1"/>
  <c r="AN239" i="2"/>
  <c r="AL239" i="2"/>
  <c r="AJ177" i="2"/>
  <c r="AU177" i="2" s="1"/>
  <c r="AI177" i="2"/>
  <c r="AN51" i="2"/>
  <c r="AL51" i="2"/>
  <c r="AO51" i="2"/>
  <c r="AP51" i="2" s="1"/>
  <c r="AQ51" i="2" s="1"/>
  <c r="AN91" i="2"/>
  <c r="AO91" i="2"/>
  <c r="AP91" i="2" s="1"/>
  <c r="AQ91" i="2" s="1"/>
  <c r="AL91" i="2"/>
  <c r="AN39" i="2"/>
  <c r="AO39" i="2"/>
  <c r="AP39" i="2" s="1"/>
  <c r="AQ39" i="2" s="1"/>
  <c r="AL39" i="2"/>
  <c r="AJ21" i="2"/>
  <c r="AU21" i="2" s="1"/>
  <c r="AI21" i="2"/>
  <c r="AJ14" i="2"/>
  <c r="AI14" i="2"/>
  <c r="AV59" i="2"/>
  <c r="AO59" i="2"/>
  <c r="AP59" i="2" s="1"/>
  <c r="AQ59" i="2" s="1"/>
  <c r="AN59" i="2"/>
  <c r="AL59" i="2"/>
  <c r="AL150" i="2"/>
  <c r="AO150" i="2"/>
  <c r="AP150" i="2" s="1"/>
  <c r="AQ150" i="2" s="1"/>
  <c r="AN150" i="2"/>
  <c r="AV243" i="2"/>
  <c r="AO243" i="2"/>
  <c r="AP243" i="2" s="1"/>
  <c r="AQ243" i="2" s="1"/>
  <c r="AL243" i="2"/>
  <c r="AN243" i="2"/>
  <c r="AL146" i="2"/>
  <c r="AO146" i="2"/>
  <c r="AP146" i="2" s="1"/>
  <c r="AQ146" i="2" s="1"/>
  <c r="AN146" i="2"/>
  <c r="AL89" i="2"/>
  <c r="AN89" i="2"/>
  <c r="AV89" i="2"/>
  <c r="AO89" i="2"/>
  <c r="AP89" i="2" s="1"/>
  <c r="AQ89" i="2" s="1"/>
  <c r="AV220" i="2"/>
  <c r="AO220" i="2"/>
  <c r="AP220" i="2" s="1"/>
  <c r="AQ220" i="2" s="1"/>
  <c r="AN220" i="2"/>
  <c r="AL220" i="2"/>
  <c r="AJ179" i="2"/>
  <c r="AU179" i="2" s="1"/>
  <c r="AI179" i="2"/>
  <c r="AJ95" i="2"/>
  <c r="AU95" i="2" s="1"/>
  <c r="AI95" i="2"/>
  <c r="AJ153" i="2"/>
  <c r="AU153" i="2" s="1"/>
  <c r="AI153" i="2"/>
  <c r="AO85" i="2"/>
  <c r="AP85" i="2" s="1"/>
  <c r="AQ85" i="2" s="1"/>
  <c r="AL85" i="2"/>
  <c r="AN85" i="2"/>
  <c r="AO229" i="2"/>
  <c r="AP229" i="2" s="1"/>
  <c r="AQ229" i="2" s="1"/>
  <c r="AN229" i="2"/>
  <c r="AL229" i="2"/>
  <c r="AL269" i="2"/>
  <c r="AN269" i="2"/>
  <c r="AO269" i="2"/>
  <c r="AP269" i="2" s="1"/>
  <c r="AQ269" i="2" s="1"/>
  <c r="AN133" i="2"/>
  <c r="AO133" i="2"/>
  <c r="AP133" i="2" s="1"/>
  <c r="AQ133" i="2" s="1"/>
  <c r="AL133" i="2"/>
  <c r="AO212" i="2"/>
  <c r="AP212" i="2" s="1"/>
  <c r="AQ212" i="2" s="1"/>
  <c r="AL212" i="2"/>
  <c r="AN212" i="2"/>
  <c r="AZ280" i="2"/>
  <c r="AJ118" i="2"/>
  <c r="AU118" i="2" s="1"/>
  <c r="AI118" i="2"/>
  <c r="AJ124" i="2"/>
  <c r="AU124" i="2" s="1"/>
  <c r="AI124" i="2"/>
  <c r="AL71" i="2"/>
  <c r="AN71" i="2"/>
  <c r="AL258" i="2"/>
  <c r="AN258" i="2"/>
  <c r="AO258" i="2"/>
  <c r="AP258" i="2" s="1"/>
  <c r="AQ258" i="2" s="1"/>
  <c r="AN35" i="2"/>
  <c r="AL35" i="2"/>
  <c r="AO35" i="2"/>
  <c r="AP35" i="2" s="1"/>
  <c r="AQ35" i="2" s="1"/>
  <c r="AO182" i="2"/>
  <c r="AP182" i="2" s="1"/>
  <c r="AQ182" i="2" s="1"/>
  <c r="AN182" i="2"/>
  <c r="AL182" i="2"/>
  <c r="AJ116" i="2"/>
  <c r="AU116" i="2" s="1"/>
  <c r="AI116" i="2"/>
  <c r="AJ16" i="2"/>
  <c r="AU16" i="2" s="1"/>
  <c r="AI16" i="2"/>
  <c r="AL34" i="2"/>
  <c r="AO34" i="2"/>
  <c r="AP34" i="2" s="1"/>
  <c r="AQ34" i="2" s="1"/>
  <c r="AN34" i="2"/>
  <c r="AO163" i="2"/>
  <c r="AP163" i="2" s="1"/>
  <c r="AQ163" i="2" s="1"/>
  <c r="AN163" i="2"/>
  <c r="AL163" i="2"/>
  <c r="AO112" i="2"/>
  <c r="AP112" i="2" s="1"/>
  <c r="AQ112" i="2" s="1"/>
  <c r="AN112" i="2"/>
  <c r="AL112" i="2"/>
  <c r="AL111" i="2"/>
  <c r="AO111" i="2"/>
  <c r="AP111" i="2" s="1"/>
  <c r="AQ111" i="2" s="1"/>
  <c r="AN111" i="2"/>
  <c r="AJ241" i="2"/>
  <c r="AI241" i="2"/>
  <c r="AJ236" i="2"/>
  <c r="AI236" i="2"/>
  <c r="AN191" i="2"/>
  <c r="AL191" i="2"/>
  <c r="AO191" i="2"/>
  <c r="AP191" i="2" s="1"/>
  <c r="AQ191" i="2" s="1"/>
  <c r="AO53" i="2"/>
  <c r="AP53" i="2" s="1"/>
  <c r="AQ53" i="2" s="1"/>
  <c r="AL53" i="2"/>
  <c r="AN53" i="2"/>
  <c r="AJ80" i="2"/>
  <c r="AU80" i="2" s="1"/>
  <c r="AI80" i="2"/>
  <c r="AJ126" i="2"/>
  <c r="AU126" i="2" s="1"/>
  <c r="AI126" i="2"/>
  <c r="AO137" i="2"/>
  <c r="AP137" i="2" s="1"/>
  <c r="AQ137" i="2" s="1"/>
  <c r="AN137" i="2"/>
  <c r="AL137" i="2"/>
  <c r="AO214" i="2"/>
  <c r="AP214" i="2" s="1"/>
  <c r="AQ214" i="2" s="1"/>
  <c r="AL214" i="2"/>
  <c r="AN214" i="2"/>
  <c r="AJ218" i="2"/>
  <c r="AU218" i="2" s="1"/>
  <c r="AI218" i="2"/>
  <c r="AJ12" i="2"/>
  <c r="AI12" i="2"/>
  <c r="AJ170" i="2"/>
  <c r="AU170" i="2" s="1"/>
  <c r="AI170" i="2"/>
  <c r="AN103" i="2"/>
  <c r="AO103" i="2"/>
  <c r="AP103" i="2" s="1"/>
  <c r="AQ103" i="2" s="1"/>
  <c r="AL103" i="2"/>
  <c r="AO75" i="2"/>
  <c r="AP75" i="2" s="1"/>
  <c r="AQ75" i="2" s="1"/>
  <c r="AL75" i="2"/>
  <c r="AN75" i="2"/>
  <c r="AL176" i="2"/>
  <c r="AO176" i="2"/>
  <c r="AP176" i="2" s="1"/>
  <c r="AQ176" i="2" s="1"/>
  <c r="AN176" i="2"/>
  <c r="AN65" i="2"/>
  <c r="AL65" i="2"/>
  <c r="AO65" i="2"/>
  <c r="AP65" i="2" s="1"/>
  <c r="AQ65" i="2" s="1"/>
  <c r="AJ196" i="2"/>
  <c r="AI196" i="2"/>
  <c r="AJ195" i="2"/>
  <c r="AU195" i="2" s="1"/>
  <c r="AI195" i="2"/>
  <c r="AO47" i="2"/>
  <c r="AP47" i="2" s="1"/>
  <c r="AQ47" i="2" s="1"/>
  <c r="AN47" i="2"/>
  <c r="AL47" i="2"/>
  <c r="AJ174" i="2"/>
  <c r="AU174" i="2" s="1"/>
  <c r="AI174" i="2"/>
  <c r="AJ164" i="2"/>
  <c r="AU164" i="2" s="1"/>
  <c r="AI164" i="2"/>
  <c r="AL15" i="2"/>
  <c r="AN15" i="2"/>
  <c r="AO15" i="2"/>
  <c r="AP15" i="2" s="1"/>
  <c r="AQ15" i="2" s="1"/>
  <c r="AZ289" i="2"/>
  <c r="AV289" i="2"/>
  <c r="AO110" i="2"/>
  <c r="AP110" i="2" s="1"/>
  <c r="AQ110" i="2" s="1"/>
  <c r="AN110" i="2"/>
  <c r="AL110" i="2"/>
  <c r="AJ25" i="2"/>
  <c r="AI25" i="2"/>
  <c r="AJ72" i="2"/>
  <c r="AU72" i="2" s="1"/>
  <c r="AI72" i="2"/>
  <c r="AO257" i="2"/>
  <c r="AP257" i="2" s="1"/>
  <c r="AQ257" i="2" s="1"/>
  <c r="AV257" i="2"/>
  <c r="AN257" i="2"/>
  <c r="AL257" i="2"/>
  <c r="AO127" i="2"/>
  <c r="AP127" i="2" s="1"/>
  <c r="AQ127" i="2" s="1"/>
  <c r="AL127" i="2"/>
  <c r="AN127" i="2"/>
  <c r="AN235" i="2"/>
  <c r="AO235" i="2"/>
  <c r="AP235" i="2" s="1"/>
  <c r="AQ235" i="2" s="1"/>
  <c r="AL235" i="2"/>
  <c r="AJ148" i="2"/>
  <c r="AU148" i="2" s="1"/>
  <c r="AI148" i="2"/>
  <c r="AJ139" i="2"/>
  <c r="AI139" i="2"/>
  <c r="AL86" i="2"/>
  <c r="AO86" i="2"/>
  <c r="AP86" i="2" s="1"/>
  <c r="AQ86" i="2" s="1"/>
  <c r="AN86" i="2"/>
  <c r="AN63" i="2"/>
  <c r="AL63" i="2"/>
  <c r="AO63" i="2"/>
  <c r="AP63" i="2" s="1"/>
  <c r="AQ63" i="2" s="1"/>
  <c r="AJ49" i="2"/>
  <c r="AU49" i="2" s="1"/>
  <c r="AI49" i="2"/>
  <c r="AJ202" i="2"/>
  <c r="AU202" i="2" s="1"/>
  <c r="AI202" i="2"/>
  <c r="AO219" i="2"/>
  <c r="AP219" i="2" s="1"/>
  <c r="AQ219" i="2" s="1"/>
  <c r="AL219" i="2"/>
  <c r="AN219" i="2"/>
  <c r="AO77" i="2"/>
  <c r="AP77" i="2" s="1"/>
  <c r="AQ77" i="2" s="1"/>
  <c r="AN77" i="2"/>
  <c r="AL77" i="2"/>
  <c r="AJ194" i="2"/>
  <c r="AU194" i="2" s="1"/>
  <c r="AI194" i="2"/>
  <c r="AJ227" i="2"/>
  <c r="AI227" i="2"/>
  <c r="AV267" i="2"/>
  <c r="AZ267" i="2"/>
  <c r="AN117" i="2"/>
  <c r="AO117" i="2"/>
  <c r="AP117" i="2" s="1"/>
  <c r="AQ117" i="2" s="1"/>
  <c r="AL117" i="2"/>
  <c r="AJ18" i="2"/>
  <c r="AU18" i="2" s="1"/>
  <c r="AI18" i="2"/>
  <c r="AJ168" i="2"/>
  <c r="AU168" i="2" s="1"/>
  <c r="AI168" i="2"/>
  <c r="AN23" i="2"/>
  <c r="AO23" i="2"/>
  <c r="AP23" i="2" s="1"/>
  <c r="AQ23" i="2" s="1"/>
  <c r="AL23" i="2"/>
  <c r="AL102" i="2"/>
  <c r="AO102" i="2"/>
  <c r="AP102" i="2" s="1"/>
  <c r="AQ102" i="2" s="1"/>
  <c r="AN102" i="2"/>
  <c r="AO215" i="2"/>
  <c r="AP215" i="2" s="1"/>
  <c r="AQ215" i="2" s="1"/>
  <c r="AN215" i="2"/>
  <c r="AL215" i="2"/>
  <c r="AJ151" i="2"/>
  <c r="AU151" i="2" s="1"/>
  <c r="AI151" i="2"/>
  <c r="AJ173" i="2"/>
  <c r="AU173" i="2" s="1"/>
  <c r="AI173" i="2"/>
  <c r="AN272" i="2"/>
  <c r="AO272" i="2"/>
  <c r="AP272" i="2" s="1"/>
  <c r="AQ272" i="2" s="1"/>
  <c r="AL272" i="2"/>
  <c r="AO76" i="2"/>
  <c r="AP76" i="2" s="1"/>
  <c r="AQ76" i="2" s="1"/>
  <c r="AN76" i="2"/>
  <c r="AL76" i="2"/>
  <c r="AO73" i="2"/>
  <c r="AP73" i="2" s="1"/>
  <c r="AQ73" i="2" s="1"/>
  <c r="AN73" i="2"/>
  <c r="AL73" i="2"/>
  <c r="AN166" i="2"/>
  <c r="AO166" i="2"/>
  <c r="AP166" i="2" s="1"/>
  <c r="AQ166" i="2" s="1"/>
  <c r="AL166" i="2"/>
  <c r="AL277" i="2"/>
  <c r="AO277" i="2"/>
  <c r="AP277" i="2" s="1"/>
  <c r="AQ277" i="2" s="1"/>
  <c r="AN277" i="2"/>
  <c r="AL245" i="2"/>
  <c r="AO245" i="2"/>
  <c r="AP245" i="2" s="1"/>
  <c r="AQ245" i="2" s="1"/>
  <c r="AN245" i="2"/>
  <c r="AO92" i="2"/>
  <c r="AP92" i="2" s="1"/>
  <c r="AQ92" i="2" s="1"/>
  <c r="AN92" i="2"/>
  <c r="AL92" i="2"/>
  <c r="AN58" i="2"/>
  <c r="AO58" i="2"/>
  <c r="AP58" i="2" s="1"/>
  <c r="AQ58" i="2" s="1"/>
  <c r="AL58" i="2"/>
  <c r="AN135" i="2"/>
  <c r="AO135" i="2"/>
  <c r="AP135" i="2" s="1"/>
  <c r="AQ135" i="2" s="1"/>
  <c r="AL135" i="2"/>
  <c r="AJ32" i="2"/>
  <c r="AU32" i="2" s="1"/>
  <c r="AI32" i="2"/>
  <c r="AJ98" i="2"/>
  <c r="AU98" i="2" s="1"/>
  <c r="AI98" i="2"/>
  <c r="AN125" i="2"/>
  <c r="AO125" i="2"/>
  <c r="AP125" i="2" s="1"/>
  <c r="AQ125" i="2" s="1"/>
  <c r="AL125" i="2"/>
  <c r="AN142" i="2"/>
  <c r="AL142" i="2"/>
  <c r="AO142" i="2"/>
  <c r="AP142" i="2" s="1"/>
  <c r="AQ142" i="2" s="1"/>
  <c r="AL136" i="2"/>
  <c r="AO136" i="2"/>
  <c r="AP136" i="2" s="1"/>
  <c r="AQ136" i="2" s="1"/>
  <c r="AN136" i="2"/>
  <c r="AL206" i="2"/>
  <c r="AO206" i="2"/>
  <c r="AP206" i="2" s="1"/>
  <c r="AQ206" i="2" s="1"/>
  <c r="AN206" i="2"/>
  <c r="AJ30" i="2"/>
  <c r="AU30" i="2" s="1"/>
  <c r="AI30" i="2"/>
  <c r="AJ108" i="2"/>
  <c r="AU108" i="2" s="1"/>
  <c r="AI108" i="2"/>
  <c r="AO224" i="2"/>
  <c r="AP224" i="2" s="1"/>
  <c r="AQ224" i="2" s="1"/>
  <c r="AN224" i="2"/>
  <c r="AL224" i="2"/>
  <c r="AN94" i="2"/>
  <c r="AO94" i="2"/>
  <c r="AP94" i="2" s="1"/>
  <c r="AQ94" i="2" s="1"/>
  <c r="AL94" i="2"/>
  <c r="AJ27" i="2"/>
  <c r="AU27" i="2" s="1"/>
  <c r="AI27" i="2"/>
  <c r="AJ187" i="2"/>
  <c r="AI187" i="2"/>
  <c r="AJ252" i="2"/>
  <c r="AU252" i="2" s="1"/>
  <c r="AI252" i="2"/>
  <c r="AL156" i="2"/>
  <c r="AO156" i="2"/>
  <c r="AP156" i="2" s="1"/>
  <c r="AQ156" i="2" s="1"/>
  <c r="AN156" i="2"/>
  <c r="AJ183" i="2"/>
  <c r="AU183" i="2" s="1"/>
  <c r="AI183" i="2"/>
  <c r="AJ149" i="2"/>
  <c r="AU149" i="2" s="1"/>
  <c r="AI149" i="2"/>
  <c r="AO50" i="2"/>
  <c r="AP50" i="2" s="1"/>
  <c r="AQ50" i="2" s="1"/>
  <c r="AN50" i="2"/>
  <c r="AL50" i="2"/>
  <c r="AJ225" i="2"/>
  <c r="AU225" i="2" s="1"/>
  <c r="AI225" i="2"/>
  <c r="AJ74" i="2"/>
  <c r="AU74" i="2" s="1"/>
  <c r="AI74" i="2"/>
  <c r="AO238" i="2"/>
  <c r="AP238" i="2" s="1"/>
  <c r="AQ238" i="2" s="1"/>
  <c r="AN238" i="2"/>
  <c r="AL238" i="2"/>
  <c r="AL237" i="2"/>
  <c r="AO237" i="2"/>
  <c r="AP237" i="2" s="1"/>
  <c r="AQ237" i="2" s="1"/>
  <c r="AN237" i="2"/>
  <c r="AV280" i="2"/>
  <c r="AN26" i="2"/>
  <c r="AL26" i="2"/>
  <c r="AO26" i="2"/>
  <c r="AP26" i="2" s="1"/>
  <c r="AQ26" i="2" s="1"/>
  <c r="AV106" i="2"/>
  <c r="AZ106" i="2"/>
  <c r="AJ81" i="2"/>
  <c r="AU81" i="2" s="1"/>
  <c r="AI81" i="2"/>
  <c r="AJ64" i="2"/>
  <c r="AU64" i="2" s="1"/>
  <c r="AI64" i="2"/>
  <c r="AO190" i="2"/>
  <c r="AP190" i="2" s="1"/>
  <c r="AQ190" i="2" s="1"/>
  <c r="AL190" i="2"/>
  <c r="AN190" i="2"/>
  <c r="AN270" i="2"/>
  <c r="AO270" i="2"/>
  <c r="AP270" i="2" s="1"/>
  <c r="AQ270" i="2" s="1"/>
  <c r="AL270" i="2"/>
  <c r="AJ247" i="2"/>
  <c r="AU247" i="2" s="1"/>
  <c r="AI247" i="2"/>
  <c r="AJ155" i="2"/>
  <c r="AU155" i="2" s="1"/>
  <c r="AI155" i="2"/>
  <c r="AN189" i="2"/>
  <c r="AO189" i="2"/>
  <c r="AP189" i="2" s="1"/>
  <c r="AQ189" i="2" s="1"/>
  <c r="AL189" i="2"/>
  <c r="AO90" i="2"/>
  <c r="AP90" i="2" s="1"/>
  <c r="AQ90" i="2" s="1"/>
  <c r="AN90" i="2"/>
  <c r="AL90" i="2"/>
  <c r="AN147" i="2"/>
  <c r="AO147" i="2"/>
  <c r="AP147" i="2" s="1"/>
  <c r="AQ147" i="2" s="1"/>
  <c r="AL147" i="2"/>
  <c r="AO248" i="2"/>
  <c r="AP248" i="2" s="1"/>
  <c r="AQ248" i="2" s="1"/>
  <c r="AN248" i="2"/>
  <c r="AL248" i="2"/>
  <c r="AO114" i="2"/>
  <c r="AP114" i="2" s="1"/>
  <c r="AQ114" i="2" s="1"/>
  <c r="AN114" i="2"/>
  <c r="AL114" i="2"/>
  <c r="AJ268" i="2"/>
  <c r="AU268" i="2" s="1"/>
  <c r="AI268" i="2"/>
  <c r="AJ169" i="2"/>
  <c r="AU169" i="2" s="1"/>
  <c r="AI169" i="2"/>
  <c r="AL42" i="2"/>
  <c r="AO42" i="2"/>
  <c r="AP42" i="2" s="1"/>
  <c r="AQ42" i="2" s="1"/>
  <c r="AN42" i="2"/>
  <c r="AO167" i="2"/>
  <c r="AP167" i="2" s="1"/>
  <c r="AQ167" i="2" s="1"/>
  <c r="AL167" i="2"/>
  <c r="AN167" i="2"/>
  <c r="AL262" i="2"/>
  <c r="AN262" i="2"/>
  <c r="AO262" i="2"/>
  <c r="AP262" i="2" s="1"/>
  <c r="AQ262" i="2" s="1"/>
  <c r="AO28" i="2"/>
  <c r="AP28" i="2" s="1"/>
  <c r="AQ28" i="2" s="1"/>
  <c r="AN28" i="2"/>
  <c r="AL28" i="2"/>
  <c r="AL22" i="2"/>
  <c r="AO22" i="2"/>
  <c r="AP22" i="2" s="1"/>
  <c r="AQ22" i="2" s="1"/>
  <c r="AN22" i="2"/>
  <c r="AJ123" i="2"/>
  <c r="AU123" i="2" s="1"/>
  <c r="AI123" i="2"/>
  <c r="AJ171" i="2"/>
  <c r="AU171" i="2" s="1"/>
  <c r="AI171" i="2"/>
  <c r="AJ180" i="2"/>
  <c r="AI180" i="2"/>
  <c r="AO24" i="2"/>
  <c r="AP24" i="2" s="1"/>
  <c r="AQ24" i="2" s="1"/>
  <c r="AN24" i="2"/>
  <c r="AL24" i="2"/>
  <c r="AN201" i="2"/>
  <c r="AO201" i="2"/>
  <c r="AP201" i="2" s="1"/>
  <c r="AQ201" i="2" s="1"/>
  <c r="AL201" i="2"/>
  <c r="AL199" i="2"/>
  <c r="AN199" i="2"/>
  <c r="AO199" i="2"/>
  <c r="AP199" i="2" s="1"/>
  <c r="AQ199" i="2" s="1"/>
  <c r="AO84" i="2"/>
  <c r="AP84" i="2" s="1"/>
  <c r="AQ84" i="2" s="1"/>
  <c r="AN84" i="2"/>
  <c r="AL84" i="2"/>
  <c r="AN99" i="2"/>
  <c r="AO99" i="2"/>
  <c r="AP99" i="2" s="1"/>
  <c r="AQ99" i="2" s="1"/>
  <c r="AL99" i="2"/>
  <c r="AJ165" i="2"/>
  <c r="AU165" i="2" s="1"/>
  <c r="AI165" i="2"/>
  <c r="AJ188" i="2"/>
  <c r="AU188" i="2" s="1"/>
  <c r="AI188" i="2"/>
  <c r="AJ184" i="2"/>
  <c r="AU184" i="2" s="1"/>
  <c r="AI184" i="2"/>
  <c r="AN213" i="2"/>
  <c r="AL213" i="2"/>
  <c r="AO213" i="2"/>
  <c r="AP213" i="2" s="1"/>
  <c r="AQ213" i="2" s="1"/>
  <c r="AN122" i="2"/>
  <c r="AO122" i="2"/>
  <c r="AP122" i="2" s="1"/>
  <c r="AQ122" i="2" s="1"/>
  <c r="AL122" i="2"/>
  <c r="AL83" i="2"/>
  <c r="AN83" i="2"/>
  <c r="AO83" i="2"/>
  <c r="AP83" i="2" s="1"/>
  <c r="AQ83" i="2" s="1"/>
  <c r="AN160" i="2"/>
  <c r="AO160" i="2"/>
  <c r="AP160" i="2" s="1"/>
  <c r="AQ160" i="2" s="1"/>
  <c r="AL160" i="2"/>
  <c r="AN105" i="2"/>
  <c r="AL105" i="2"/>
  <c r="AO105" i="2"/>
  <c r="AP105" i="2" s="1"/>
  <c r="AQ105" i="2" s="1"/>
  <c r="AJ140" i="2"/>
  <c r="AI140" i="2"/>
  <c r="AJ162" i="2"/>
  <c r="AU162" i="2" s="1"/>
  <c r="AI162" i="2"/>
  <c r="AJ10" i="2"/>
  <c r="AU10" i="2" s="1"/>
  <c r="AI10" i="2"/>
  <c r="AN198" i="2"/>
  <c r="AO198" i="2"/>
  <c r="AP198" i="2" s="1"/>
  <c r="AQ198" i="2" s="1"/>
  <c r="AL198" i="2"/>
  <c r="AJ249" i="2"/>
  <c r="AI249" i="2"/>
  <c r="AJ138" i="2"/>
  <c r="AU138" i="2" s="1"/>
  <c r="AI138" i="2"/>
  <c r="AJ226" i="2"/>
  <c r="AU226" i="2" s="1"/>
  <c r="AI226" i="2"/>
  <c r="AO260" i="2"/>
  <c r="AP260" i="2" s="1"/>
  <c r="AQ260" i="2" s="1"/>
  <c r="AN260" i="2"/>
  <c r="AL260" i="2"/>
  <c r="AV197" i="2"/>
  <c r="AZ197" i="2"/>
  <c r="AO132" i="2"/>
  <c r="AP132" i="2" s="1"/>
  <c r="AQ132" i="2" s="1"/>
  <c r="AL132" i="2"/>
  <c r="AN132" i="2"/>
  <c r="AJ129" i="2"/>
  <c r="AU129" i="2" s="1"/>
  <c r="AI129" i="2"/>
  <c r="AJ203" i="2"/>
  <c r="AU203" i="2" s="1"/>
  <c r="AI203" i="2"/>
  <c r="AO158" i="2"/>
  <c r="AP158" i="2" s="1"/>
  <c r="AQ158" i="2" s="1"/>
  <c r="AN158" i="2"/>
  <c r="AL158" i="2"/>
  <c r="AN62" i="2"/>
  <c r="AO62" i="2"/>
  <c r="AP62" i="2" s="1"/>
  <c r="AQ62" i="2" s="1"/>
  <c r="AL62" i="2"/>
  <c r="AN96" i="2"/>
  <c r="AL96" i="2"/>
  <c r="AO96" i="2"/>
  <c r="AP96" i="2" s="1"/>
  <c r="AQ96" i="2" s="1"/>
  <c r="AJ157" i="2"/>
  <c r="AU157" i="2" s="1"/>
  <c r="AI157" i="2"/>
  <c r="AJ33" i="2"/>
  <c r="AI33" i="2"/>
  <c r="AJ242" i="2"/>
  <c r="AU242" i="2" s="1"/>
  <c r="AI242" i="2"/>
  <c r="AO246" i="2"/>
  <c r="AP246" i="2" s="1"/>
  <c r="AQ246" i="2" s="1"/>
  <c r="AL246" i="2"/>
  <c r="AN246" i="2"/>
  <c r="AJ152" i="2"/>
  <c r="AU152" i="2" s="1"/>
  <c r="AI152" i="2"/>
  <c r="AJ93" i="2"/>
  <c r="AU93" i="2" s="1"/>
  <c r="AI93" i="2"/>
  <c r="AJ154" i="2"/>
  <c r="AU154" i="2" s="1"/>
  <c r="AI154" i="2"/>
  <c r="AO78" i="2"/>
  <c r="AP78" i="2" s="1"/>
  <c r="AQ78" i="2" s="1"/>
  <c r="AN78" i="2"/>
  <c r="AL78" i="2"/>
  <c r="AN52" i="2"/>
  <c r="AO52" i="2"/>
  <c r="AP52" i="2" s="1"/>
  <c r="AQ52" i="2" s="1"/>
  <c r="AL52" i="2"/>
  <c r="AA8" i="2"/>
  <c r="AJ240" i="2"/>
  <c r="AU240" i="2" s="1"/>
  <c r="AV11" i="2"/>
  <c r="Z8" i="2"/>
  <c r="AZ13" i="2"/>
  <c r="AV29" i="2"/>
  <c r="AF8" i="2" l="1"/>
  <c r="AI240" i="2"/>
  <c r="AZ82" i="2"/>
  <c r="AC8" i="2"/>
  <c r="AV101" i="2"/>
  <c r="AV263" i="2"/>
  <c r="AQ181" i="2"/>
  <c r="AV70" i="2"/>
  <c r="AZ181" i="2"/>
  <c r="AV181" i="2"/>
  <c r="AV233" i="2"/>
  <c r="AZ263" i="2"/>
  <c r="AZ220" i="2"/>
  <c r="AV240" i="2"/>
  <c r="AO240" i="2"/>
  <c r="AP240" i="2" s="1"/>
  <c r="AQ240" i="2" s="1"/>
  <c r="AN240" i="2"/>
  <c r="AL240" i="2"/>
  <c r="AV78" i="2"/>
  <c r="AZ78" i="2"/>
  <c r="AO129" i="2"/>
  <c r="AP129" i="2" s="1"/>
  <c r="AQ129" i="2" s="1"/>
  <c r="AL129" i="2"/>
  <c r="AN129" i="2"/>
  <c r="AN226" i="2"/>
  <c r="AL226" i="2"/>
  <c r="AO226" i="2"/>
  <c r="AP226" i="2" s="1"/>
  <c r="AQ226" i="2" s="1"/>
  <c r="AZ105" i="2"/>
  <c r="AV105" i="2"/>
  <c r="AZ24" i="2"/>
  <c r="AV24" i="2"/>
  <c r="AZ147" i="2"/>
  <c r="AV147" i="2"/>
  <c r="AZ189" i="2"/>
  <c r="AV189" i="2"/>
  <c r="AV136" i="2"/>
  <c r="AZ136" i="2"/>
  <c r="AZ125" i="2"/>
  <c r="AV125" i="2"/>
  <c r="AN32" i="2"/>
  <c r="AL32" i="2"/>
  <c r="AO32" i="2"/>
  <c r="AP32" i="2" s="1"/>
  <c r="AQ32" i="2" s="1"/>
  <c r="AV32" i="2"/>
  <c r="AZ58" i="2"/>
  <c r="AV58" i="2"/>
  <c r="AZ245" i="2"/>
  <c r="AV245" i="2"/>
  <c r="AN25" i="2"/>
  <c r="AO25" i="2"/>
  <c r="AP25" i="2" s="1"/>
  <c r="AQ25" i="2" s="1"/>
  <c r="AL25" i="2"/>
  <c r="AL195" i="2"/>
  <c r="AN195" i="2"/>
  <c r="AO195" i="2"/>
  <c r="AP195" i="2" s="1"/>
  <c r="AQ195" i="2" s="1"/>
  <c r="AV176" i="2"/>
  <c r="AZ176" i="2"/>
  <c r="AN241" i="2"/>
  <c r="AL241" i="2"/>
  <c r="AO241" i="2"/>
  <c r="AP241" i="2" s="1"/>
  <c r="AQ241" i="2" s="1"/>
  <c r="AV212" i="2"/>
  <c r="AZ212" i="2"/>
  <c r="AZ85" i="2"/>
  <c r="AV85" i="2"/>
  <c r="AL95" i="2"/>
  <c r="AO95" i="2"/>
  <c r="AP95" i="2" s="1"/>
  <c r="AQ95" i="2" s="1"/>
  <c r="AN95" i="2"/>
  <c r="AO14" i="2"/>
  <c r="AP14" i="2" s="1"/>
  <c r="AQ14" i="2" s="1"/>
  <c r="AN14" i="2"/>
  <c r="AL14" i="2"/>
  <c r="AZ246" i="2"/>
  <c r="AV246" i="2"/>
  <c r="AN33" i="2"/>
  <c r="AL33" i="2"/>
  <c r="AO33" i="2"/>
  <c r="AP33" i="2" s="1"/>
  <c r="AQ33" i="2" s="1"/>
  <c r="AZ158" i="2"/>
  <c r="AV158" i="2"/>
  <c r="AV198" i="2"/>
  <c r="AZ198" i="2"/>
  <c r="AO162" i="2"/>
  <c r="AP162" i="2" s="1"/>
  <c r="AQ162" i="2" s="1"/>
  <c r="AL162" i="2"/>
  <c r="AN162" i="2"/>
  <c r="AZ83" i="2"/>
  <c r="AV83" i="2"/>
  <c r="AN188" i="2"/>
  <c r="AL188" i="2"/>
  <c r="AO188" i="2"/>
  <c r="AP188" i="2" s="1"/>
  <c r="AQ188" i="2" s="1"/>
  <c r="AZ42" i="2"/>
  <c r="AV42" i="2"/>
  <c r="AZ114" i="2"/>
  <c r="AV114" i="2"/>
  <c r="AN247" i="2"/>
  <c r="AO247" i="2"/>
  <c r="AP247" i="2" s="1"/>
  <c r="AQ247" i="2" s="1"/>
  <c r="AL247" i="2"/>
  <c r="AZ190" i="2"/>
  <c r="AV190" i="2"/>
  <c r="AZ237" i="2"/>
  <c r="AV237" i="2"/>
  <c r="AZ156" i="2"/>
  <c r="AV156" i="2"/>
  <c r="AL187" i="2"/>
  <c r="AN187" i="2"/>
  <c r="AO187" i="2"/>
  <c r="AP187" i="2" s="1"/>
  <c r="AQ187" i="2" s="1"/>
  <c r="AZ92" i="2"/>
  <c r="AV92" i="2"/>
  <c r="AZ102" i="2"/>
  <c r="AV102" i="2"/>
  <c r="AO168" i="2"/>
  <c r="AP168" i="2" s="1"/>
  <c r="AQ168" i="2" s="1"/>
  <c r="AN168" i="2"/>
  <c r="AL168" i="2"/>
  <c r="AN194" i="2"/>
  <c r="AO194" i="2"/>
  <c r="AP194" i="2" s="1"/>
  <c r="AQ194" i="2" s="1"/>
  <c r="AL194" i="2"/>
  <c r="AZ219" i="2"/>
  <c r="AV219" i="2"/>
  <c r="AZ257" i="2"/>
  <c r="AZ15" i="2"/>
  <c r="AV15" i="2"/>
  <c r="AL174" i="2"/>
  <c r="AN174" i="2"/>
  <c r="AO174" i="2"/>
  <c r="AP174" i="2" s="1"/>
  <c r="AQ174" i="2" s="1"/>
  <c r="AZ103" i="2"/>
  <c r="AV103" i="2"/>
  <c r="AN12" i="2"/>
  <c r="AL12" i="2"/>
  <c r="AO12" i="2"/>
  <c r="AP12" i="2" s="1"/>
  <c r="AQ12" i="2" s="1"/>
  <c r="AZ111" i="2"/>
  <c r="AV111" i="2"/>
  <c r="AZ182" i="2"/>
  <c r="AV182" i="2"/>
  <c r="AO124" i="2"/>
  <c r="AP124" i="2" s="1"/>
  <c r="AQ124" i="2" s="1"/>
  <c r="AL124" i="2"/>
  <c r="AN124" i="2"/>
  <c r="AZ39" i="2"/>
  <c r="AO115" i="2"/>
  <c r="AN115" i="2"/>
  <c r="AL115" i="2"/>
  <c r="AJ8" i="2"/>
  <c r="AO93" i="2"/>
  <c r="AP93" i="2" s="1"/>
  <c r="AQ93" i="2" s="1"/>
  <c r="AN93" i="2"/>
  <c r="AL93" i="2"/>
  <c r="AZ213" i="2"/>
  <c r="AV213" i="2"/>
  <c r="AO123" i="2"/>
  <c r="AP123" i="2" s="1"/>
  <c r="AQ123" i="2" s="1"/>
  <c r="AN123" i="2"/>
  <c r="AL123" i="2"/>
  <c r="AL74" i="2"/>
  <c r="AN74" i="2"/>
  <c r="AO74" i="2"/>
  <c r="AP74" i="2" s="1"/>
  <c r="AQ74" i="2" s="1"/>
  <c r="AL30" i="2"/>
  <c r="AO30" i="2"/>
  <c r="AP30" i="2" s="1"/>
  <c r="AQ30" i="2" s="1"/>
  <c r="AN30" i="2"/>
  <c r="AZ277" i="2"/>
  <c r="AV277" i="2"/>
  <c r="AZ73" i="2"/>
  <c r="AV73" i="2"/>
  <c r="AZ272" i="2"/>
  <c r="AV272" i="2"/>
  <c r="AN151" i="2"/>
  <c r="AO151" i="2"/>
  <c r="AP151" i="2" s="1"/>
  <c r="AQ151" i="2" s="1"/>
  <c r="AL151" i="2"/>
  <c r="AZ77" i="2"/>
  <c r="AV77" i="2"/>
  <c r="AO139" i="2"/>
  <c r="AP139" i="2" s="1"/>
  <c r="AQ139" i="2" s="1"/>
  <c r="AN139" i="2"/>
  <c r="AL139" i="2"/>
  <c r="AZ127" i="2"/>
  <c r="AV127" i="2"/>
  <c r="AN80" i="2"/>
  <c r="AL80" i="2"/>
  <c r="AO80" i="2"/>
  <c r="AP80" i="2" s="1"/>
  <c r="AQ80" i="2" s="1"/>
  <c r="AZ269" i="2"/>
  <c r="AV269" i="2"/>
  <c r="AZ243" i="2"/>
  <c r="AZ51" i="2"/>
  <c r="AV51" i="2"/>
  <c r="AO177" i="2"/>
  <c r="AP177" i="2" s="1"/>
  <c r="AQ177" i="2" s="1"/>
  <c r="AL177" i="2"/>
  <c r="AN177" i="2"/>
  <c r="AZ172" i="2"/>
  <c r="AZ260" i="2"/>
  <c r="AV260" i="2"/>
  <c r="AN138" i="2"/>
  <c r="AL138" i="2"/>
  <c r="AO138" i="2"/>
  <c r="AP138" i="2" s="1"/>
  <c r="AQ138" i="2" s="1"/>
  <c r="AZ160" i="2"/>
  <c r="AV160" i="2"/>
  <c r="AZ22" i="2"/>
  <c r="AV22" i="2"/>
  <c r="AZ28" i="2"/>
  <c r="AV28" i="2"/>
  <c r="AZ270" i="2"/>
  <c r="AV270" i="2"/>
  <c r="AZ23" i="2"/>
  <c r="AV23" i="2"/>
  <c r="AZ110" i="2"/>
  <c r="AV110" i="2"/>
  <c r="AZ47" i="2"/>
  <c r="AV47" i="2"/>
  <c r="AL196" i="2"/>
  <c r="AO196" i="2"/>
  <c r="AP196" i="2" s="1"/>
  <c r="AQ196" i="2" s="1"/>
  <c r="AN196" i="2"/>
  <c r="AV16" i="2"/>
  <c r="AL16" i="2"/>
  <c r="AN16" i="2"/>
  <c r="AO16" i="2"/>
  <c r="AP16" i="2" s="1"/>
  <c r="AQ16" i="2" s="1"/>
  <c r="AZ229" i="2"/>
  <c r="AV229" i="2"/>
  <c r="AL179" i="2"/>
  <c r="AN179" i="2"/>
  <c r="AO179" i="2"/>
  <c r="AP179" i="2" s="1"/>
  <c r="AQ179" i="2" s="1"/>
  <c r="AL21" i="2"/>
  <c r="AO21" i="2"/>
  <c r="AP21" i="2" s="1"/>
  <c r="AQ21" i="2" s="1"/>
  <c r="AN21" i="2"/>
  <c r="AZ109" i="2"/>
  <c r="AV109" i="2"/>
  <c r="AZ52" i="2"/>
  <c r="AV52" i="2"/>
  <c r="AO157" i="2"/>
  <c r="AP157" i="2" s="1"/>
  <c r="AQ157" i="2" s="1"/>
  <c r="AN157" i="2"/>
  <c r="AL157" i="2"/>
  <c r="AZ132" i="2"/>
  <c r="AV132" i="2"/>
  <c r="AO140" i="2"/>
  <c r="AP140" i="2" s="1"/>
  <c r="AQ140" i="2" s="1"/>
  <c r="AL140" i="2"/>
  <c r="AN140" i="2"/>
  <c r="AN165" i="2"/>
  <c r="AL165" i="2"/>
  <c r="AO165" i="2"/>
  <c r="AP165" i="2" s="1"/>
  <c r="AQ165" i="2" s="1"/>
  <c r="AL180" i="2"/>
  <c r="AO180" i="2"/>
  <c r="AP180" i="2" s="1"/>
  <c r="AQ180" i="2" s="1"/>
  <c r="AN180" i="2"/>
  <c r="AZ167" i="2"/>
  <c r="AV167" i="2"/>
  <c r="AO169" i="2"/>
  <c r="AN169" i="2"/>
  <c r="AL169" i="2"/>
  <c r="AL64" i="2"/>
  <c r="AO64" i="2"/>
  <c r="AP64" i="2" s="1"/>
  <c r="AQ64" i="2" s="1"/>
  <c r="AN64" i="2"/>
  <c r="AZ238" i="2"/>
  <c r="AV238" i="2"/>
  <c r="AO149" i="2"/>
  <c r="AP149" i="2" s="1"/>
  <c r="AQ149" i="2" s="1"/>
  <c r="AN149" i="2"/>
  <c r="AL149" i="2"/>
  <c r="AO27" i="2"/>
  <c r="AP27" i="2" s="1"/>
  <c r="AQ27" i="2" s="1"/>
  <c r="AN27" i="2"/>
  <c r="AL27" i="2"/>
  <c r="AZ215" i="2"/>
  <c r="AV215" i="2"/>
  <c r="AO18" i="2"/>
  <c r="AP18" i="2" s="1"/>
  <c r="AQ18" i="2" s="1"/>
  <c r="AN18" i="2"/>
  <c r="AL18" i="2"/>
  <c r="AN202" i="2"/>
  <c r="AL202" i="2"/>
  <c r="AV202" i="2"/>
  <c r="AO202" i="2"/>
  <c r="AP202" i="2" s="1"/>
  <c r="AQ202" i="2" s="1"/>
  <c r="AL218" i="2"/>
  <c r="AN218" i="2"/>
  <c r="AV218" i="2"/>
  <c r="AO218" i="2"/>
  <c r="AP218" i="2" s="1"/>
  <c r="AQ218" i="2" s="1"/>
  <c r="AZ53" i="2"/>
  <c r="AV53" i="2"/>
  <c r="AZ163" i="2"/>
  <c r="AV163" i="2"/>
  <c r="AN118" i="2"/>
  <c r="AO118" i="2"/>
  <c r="AL118" i="2"/>
  <c r="AZ89" i="2"/>
  <c r="AV39" i="2"/>
  <c r="AL193" i="2"/>
  <c r="AO193" i="2"/>
  <c r="AP193" i="2" s="1"/>
  <c r="AQ193" i="2" s="1"/>
  <c r="AN193" i="2"/>
  <c r="AN152" i="2"/>
  <c r="AO152" i="2"/>
  <c r="AP152" i="2" s="1"/>
  <c r="AQ152" i="2" s="1"/>
  <c r="AL152" i="2"/>
  <c r="AL203" i="2"/>
  <c r="AN203" i="2"/>
  <c r="AO203" i="2"/>
  <c r="AP203" i="2" s="1"/>
  <c r="AQ203" i="2" s="1"/>
  <c r="AV122" i="2"/>
  <c r="AZ122" i="2"/>
  <c r="AZ99" i="2"/>
  <c r="AV99" i="2"/>
  <c r="AZ84" i="2"/>
  <c r="AV84" i="2"/>
  <c r="AZ201" i="2"/>
  <c r="AV201" i="2"/>
  <c r="AZ90" i="2"/>
  <c r="AV90" i="2"/>
  <c r="AL225" i="2"/>
  <c r="AO225" i="2"/>
  <c r="AP225" i="2" s="1"/>
  <c r="AQ225" i="2" s="1"/>
  <c r="AN225" i="2"/>
  <c r="AO98" i="2"/>
  <c r="AP98" i="2" s="1"/>
  <c r="AQ98" i="2" s="1"/>
  <c r="AN98" i="2"/>
  <c r="AL98" i="2"/>
  <c r="AN148" i="2"/>
  <c r="AO148" i="2"/>
  <c r="AP148" i="2" s="1"/>
  <c r="AQ148" i="2" s="1"/>
  <c r="AL148" i="2"/>
  <c r="AO72" i="2"/>
  <c r="AP72" i="2" s="1"/>
  <c r="AQ72" i="2" s="1"/>
  <c r="AN72" i="2"/>
  <c r="AL72" i="2"/>
  <c r="AZ65" i="2"/>
  <c r="AV65" i="2"/>
  <c r="AN236" i="2"/>
  <c r="AL236" i="2"/>
  <c r="AO236" i="2"/>
  <c r="AP236" i="2" s="1"/>
  <c r="AQ236" i="2" s="1"/>
  <c r="AZ112" i="2"/>
  <c r="AV112" i="2"/>
  <c r="AZ35" i="2"/>
  <c r="AV35" i="2"/>
  <c r="AO153" i="2"/>
  <c r="AP153" i="2" s="1"/>
  <c r="AQ153" i="2" s="1"/>
  <c r="AL153" i="2"/>
  <c r="AN153" i="2"/>
  <c r="AZ59" i="2"/>
  <c r="AZ211" i="2"/>
  <c r="AV211" i="2"/>
  <c r="AO242" i="2"/>
  <c r="AP242" i="2" s="1"/>
  <c r="AQ242" i="2" s="1"/>
  <c r="AN242" i="2"/>
  <c r="AL242" i="2"/>
  <c r="AV96" i="2"/>
  <c r="AZ96" i="2"/>
  <c r="AZ62" i="2"/>
  <c r="AV62" i="2"/>
  <c r="AL249" i="2"/>
  <c r="AN249" i="2"/>
  <c r="AO249" i="2"/>
  <c r="AP249" i="2" s="1"/>
  <c r="AQ249" i="2" s="1"/>
  <c r="AN10" i="2"/>
  <c r="AO10" i="2"/>
  <c r="AP10" i="2" s="1"/>
  <c r="AQ10" i="2" s="1"/>
  <c r="AL10" i="2"/>
  <c r="AL184" i="2"/>
  <c r="AO184" i="2"/>
  <c r="AP184" i="2" s="1"/>
  <c r="AQ184" i="2" s="1"/>
  <c r="AN184" i="2"/>
  <c r="AZ199" i="2"/>
  <c r="AV199" i="2"/>
  <c r="AZ262" i="2"/>
  <c r="AV262" i="2"/>
  <c r="AZ248" i="2"/>
  <c r="AV248" i="2"/>
  <c r="AO155" i="2"/>
  <c r="AP155" i="2" s="1"/>
  <c r="AQ155" i="2" s="1"/>
  <c r="AN155" i="2"/>
  <c r="AL155" i="2"/>
  <c r="AO252" i="2"/>
  <c r="AP252" i="2" s="1"/>
  <c r="AQ252" i="2" s="1"/>
  <c r="AN252" i="2"/>
  <c r="AL252" i="2"/>
  <c r="AZ94" i="2"/>
  <c r="AV94" i="2"/>
  <c r="AV166" i="2"/>
  <c r="AZ166" i="2"/>
  <c r="AZ76" i="2"/>
  <c r="AV76" i="2"/>
  <c r="AN227" i="2"/>
  <c r="AL227" i="2"/>
  <c r="AO227" i="2"/>
  <c r="AP227" i="2" s="1"/>
  <c r="AQ227" i="2" s="1"/>
  <c r="AV86" i="2"/>
  <c r="AZ86" i="2"/>
  <c r="AN164" i="2"/>
  <c r="AO164" i="2"/>
  <c r="AP164" i="2" s="1"/>
  <c r="AQ164" i="2" s="1"/>
  <c r="AL164" i="2"/>
  <c r="AN170" i="2"/>
  <c r="AV170" i="2"/>
  <c r="AO170" i="2"/>
  <c r="AP170" i="2" s="1"/>
  <c r="AQ170" i="2" s="1"/>
  <c r="AL170" i="2"/>
  <c r="AZ34" i="2"/>
  <c r="AV34" i="2"/>
  <c r="AO116" i="2"/>
  <c r="AP116" i="2" s="1"/>
  <c r="AQ116" i="2" s="1"/>
  <c r="AL116" i="2"/>
  <c r="AN116" i="2"/>
  <c r="AZ71" i="2"/>
  <c r="AV71" i="2"/>
  <c r="AZ178" i="2"/>
  <c r="AN154" i="2"/>
  <c r="AL154" i="2"/>
  <c r="AO154" i="2"/>
  <c r="AP154" i="2" s="1"/>
  <c r="AQ154" i="2" s="1"/>
  <c r="AO171" i="2"/>
  <c r="AP171" i="2" s="1"/>
  <c r="AQ171" i="2" s="1"/>
  <c r="AN171" i="2"/>
  <c r="AL171" i="2"/>
  <c r="AO268" i="2"/>
  <c r="AP268" i="2" s="1"/>
  <c r="AQ268" i="2" s="1"/>
  <c r="AN268" i="2"/>
  <c r="AL268" i="2"/>
  <c r="AV268" i="2"/>
  <c r="AN81" i="2"/>
  <c r="AO81" i="2"/>
  <c r="AP81" i="2" s="1"/>
  <c r="AQ81" i="2" s="1"/>
  <c r="AL81" i="2"/>
  <c r="AV81" i="2"/>
  <c r="AZ50" i="2"/>
  <c r="AV50" i="2"/>
  <c r="AO183" i="2"/>
  <c r="AP183" i="2" s="1"/>
  <c r="AQ183" i="2" s="1"/>
  <c r="AL183" i="2"/>
  <c r="AN183" i="2"/>
  <c r="AN108" i="2"/>
  <c r="AV108" i="2"/>
  <c r="AO108" i="2"/>
  <c r="AP108" i="2" s="1"/>
  <c r="AQ108" i="2" s="1"/>
  <c r="AL108" i="2"/>
  <c r="AO173" i="2"/>
  <c r="AP173" i="2" s="1"/>
  <c r="AQ173" i="2" s="1"/>
  <c r="AL173" i="2"/>
  <c r="AN173" i="2"/>
  <c r="AO49" i="2"/>
  <c r="AP49" i="2" s="1"/>
  <c r="AQ49" i="2" s="1"/>
  <c r="AL49" i="2"/>
  <c r="AN49" i="2"/>
  <c r="AZ235" i="2"/>
  <c r="AV235" i="2"/>
  <c r="AO126" i="2"/>
  <c r="AP126" i="2" s="1"/>
  <c r="AQ126" i="2" s="1"/>
  <c r="AN126" i="2"/>
  <c r="AL126" i="2"/>
  <c r="AZ258" i="2"/>
  <c r="AV258" i="2"/>
  <c r="AZ150" i="2"/>
  <c r="AV150" i="2"/>
  <c r="AI8" i="2"/>
  <c r="AL161" i="2"/>
  <c r="AO161" i="2"/>
  <c r="AP161" i="2" s="1"/>
  <c r="AQ161" i="2" s="1"/>
  <c r="AN161" i="2"/>
  <c r="AJ7" i="2" l="1"/>
  <c r="AZ126" i="2"/>
  <c r="AV126" i="2"/>
  <c r="AV252" i="2"/>
  <c r="AZ252" i="2"/>
  <c r="AZ184" i="2"/>
  <c r="AV184" i="2"/>
  <c r="AP169" i="2"/>
  <c r="AQ169" i="2" s="1"/>
  <c r="AZ93" i="2"/>
  <c r="AV93" i="2"/>
  <c r="AZ168" i="2"/>
  <c r="AV168" i="2"/>
  <c r="AV226" i="2"/>
  <c r="AZ226" i="2"/>
  <c r="AV183" i="2"/>
  <c r="AZ183" i="2"/>
  <c r="AZ81" i="2"/>
  <c r="AZ153" i="2"/>
  <c r="AZ72" i="2"/>
  <c r="AV72" i="2"/>
  <c r="AP118" i="2"/>
  <c r="AQ118" i="2" s="1"/>
  <c r="AZ202" i="2"/>
  <c r="AV165" i="2"/>
  <c r="AZ165" i="2"/>
  <c r="AZ247" i="2"/>
  <c r="AV247" i="2"/>
  <c r="AZ32" i="2"/>
  <c r="AZ173" i="2"/>
  <c r="AV173" i="2"/>
  <c r="AV171" i="2"/>
  <c r="AZ171" i="2"/>
  <c r="AZ116" i="2"/>
  <c r="AV116" i="2"/>
  <c r="AV164" i="2"/>
  <c r="AZ164" i="2"/>
  <c r="AZ98" i="2"/>
  <c r="AV98" i="2"/>
  <c r="AZ225" i="2"/>
  <c r="AV225" i="2"/>
  <c r="AV152" i="2"/>
  <c r="AZ152" i="2"/>
  <c r="AV118" i="2"/>
  <c r="AZ118" i="2"/>
  <c r="AV149" i="2"/>
  <c r="AZ149" i="2"/>
  <c r="AZ64" i="2"/>
  <c r="AV64" i="2"/>
  <c r="AZ138" i="2"/>
  <c r="AV138" i="2"/>
  <c r="AZ30" i="2"/>
  <c r="AV123" i="2"/>
  <c r="AZ123" i="2"/>
  <c r="AZ162" i="2"/>
  <c r="AV162" i="2"/>
  <c r="AV155" i="2"/>
  <c r="AZ155" i="2"/>
  <c r="AZ21" i="2"/>
  <c r="AV21" i="2"/>
  <c r="AZ177" i="2"/>
  <c r="AV177" i="2"/>
  <c r="AV124" i="2"/>
  <c r="AZ124" i="2"/>
  <c r="AV195" i="2"/>
  <c r="AZ195" i="2"/>
  <c r="AV49" i="2"/>
  <c r="AZ49" i="2"/>
  <c r="AZ170" i="2"/>
  <c r="AZ218" i="2"/>
  <c r="AZ151" i="2"/>
  <c r="AV151" i="2"/>
  <c r="AV74" i="2"/>
  <c r="AZ74" i="2"/>
  <c r="AL8" i="2"/>
  <c r="AZ174" i="2"/>
  <c r="AV174" i="2"/>
  <c r="AV194" i="2"/>
  <c r="AZ194" i="2"/>
  <c r="AV161" i="2"/>
  <c r="AZ161" i="2"/>
  <c r="AZ27" i="2"/>
  <c r="AV27" i="2"/>
  <c r="AZ169" i="2"/>
  <c r="AV169" i="2"/>
  <c r="AZ157" i="2"/>
  <c r="AV157" i="2"/>
  <c r="AZ179" i="2"/>
  <c r="AV179" i="2"/>
  <c r="AV188" i="2"/>
  <c r="AZ188" i="2"/>
  <c r="AZ129" i="2"/>
  <c r="AV129" i="2"/>
  <c r="AZ268" i="2"/>
  <c r="AV154" i="2"/>
  <c r="AZ154" i="2"/>
  <c r="AV242" i="2"/>
  <c r="AZ242" i="2"/>
  <c r="AV153" i="2"/>
  <c r="AV148" i="2"/>
  <c r="AZ148" i="2"/>
  <c r="AZ203" i="2"/>
  <c r="AV203" i="2"/>
  <c r="AV193" i="2"/>
  <c r="AZ193" i="2"/>
  <c r="AV80" i="2"/>
  <c r="AZ80" i="2"/>
  <c r="AP115" i="2"/>
  <c r="AO8" i="2"/>
  <c r="AV95" i="2"/>
  <c r="AZ95" i="2"/>
  <c r="AZ108" i="2"/>
  <c r="AZ10" i="2"/>
  <c r="AV10" i="2"/>
  <c r="AZ18" i="2"/>
  <c r="AV18" i="2"/>
  <c r="AZ16" i="2"/>
  <c r="AV30" i="2"/>
  <c r="AV115" i="2"/>
  <c r="AZ115" i="2"/>
  <c r="AZ240" i="2"/>
  <c r="AQ115" i="2" l="1"/>
  <c r="AQ8" i="2" s="1"/>
  <c r="AP8" i="2"/>
  <c r="BF121" i="38" l="1"/>
  <c r="AV121" i="38"/>
  <c r="BA121" i="38" s="1"/>
  <c r="BC121" i="38" s="1"/>
  <c r="AW121" i="38" s="1"/>
  <c r="BF44" i="38"/>
  <c r="BF286" i="38"/>
  <c r="BF232" i="38"/>
  <c r="BF287" i="38"/>
  <c r="BF192" i="38"/>
  <c r="AV192" i="38"/>
  <c r="BA192" i="38" s="1"/>
  <c r="BC192" i="38" s="1"/>
  <c r="AW192" i="38" s="1"/>
  <c r="BF282" i="38"/>
  <c r="BF134" i="38"/>
  <c r="BF212" i="38"/>
  <c r="AV212" i="38"/>
  <c r="BF221" i="38"/>
  <c r="BF187" i="38"/>
  <c r="AV187" i="38"/>
  <c r="BF231" i="38"/>
  <c r="BF311" i="38"/>
  <c r="AV311" i="38"/>
  <c r="BA311" i="38" s="1"/>
  <c r="BC311" i="38" s="1"/>
  <c r="AW311" i="38" s="1"/>
  <c r="BF297" i="38"/>
  <c r="BF60" i="38"/>
  <c r="BF216" i="38"/>
  <c r="BF273" i="38"/>
  <c r="BF306" i="38"/>
  <c r="BF262" i="38"/>
  <c r="BF214" i="38"/>
  <c r="AV214" i="38"/>
  <c r="BA214" i="38" s="1"/>
  <c r="BF54" i="38"/>
  <c r="AV54" i="38"/>
  <c r="BA54" i="38" s="1"/>
  <c r="BC54" i="38" s="1"/>
  <c r="AW54" i="38" s="1"/>
  <c r="BF272" i="38"/>
  <c r="BF247" i="38"/>
  <c r="BF132" i="38"/>
  <c r="BF115" i="38"/>
  <c r="BF22" i="38"/>
  <c r="AV22" i="38"/>
  <c r="BA22" i="38" s="1"/>
  <c r="BF227" i="38"/>
  <c r="AV227" i="38"/>
  <c r="BA227" i="38" s="1"/>
  <c r="BC227" i="38" s="1"/>
  <c r="AW227" i="38" s="1"/>
  <c r="BF90" i="38"/>
  <c r="BF36" i="38"/>
  <c r="BF284" i="38"/>
  <c r="BF68" i="38"/>
  <c r="BF25" i="38"/>
  <c r="AV25" i="38"/>
  <c r="BA25" i="38" s="1"/>
  <c r="BF114" i="38"/>
  <c r="BF48" i="38"/>
  <c r="BF185" i="38"/>
  <c r="BF243" i="38"/>
  <c r="BF242" i="38"/>
  <c r="BF250" i="38"/>
  <c r="BF207" i="38"/>
  <c r="BF255" i="38"/>
  <c r="BF203" i="38"/>
  <c r="BF144" i="38"/>
  <c r="BF128" i="38"/>
  <c r="AV128" i="38"/>
  <c r="BA128" i="38" s="1"/>
  <c r="BC128" i="38" s="1"/>
  <c r="AW128" i="38" s="1"/>
  <c r="BF208" i="38"/>
  <c r="BF133" i="38"/>
  <c r="AV133" i="38"/>
  <c r="BA133" i="38" s="1"/>
  <c r="BC133" i="38" s="1"/>
  <c r="AW133" i="38" s="1"/>
  <c r="BF283" i="38"/>
  <c r="BF193" i="38"/>
  <c r="AV193" i="38"/>
  <c r="BA193" i="38" s="1"/>
  <c r="BC193" i="38" s="1"/>
  <c r="AW193" i="38" s="1"/>
  <c r="BF88" i="38"/>
  <c r="AV88" i="38"/>
  <c r="BA88" i="38" s="1"/>
  <c r="BC88" i="38" s="1"/>
  <c r="AW88" i="38" s="1"/>
  <c r="BF70" i="38"/>
  <c r="BF87" i="38"/>
  <c r="BF215" i="38"/>
  <c r="BF37" i="38"/>
  <c r="BF125" i="38"/>
  <c r="BF251" i="38"/>
  <c r="AV251" i="38"/>
  <c r="BF104" i="38"/>
  <c r="BF309" i="38"/>
  <c r="BF186" i="38"/>
  <c r="BF69" i="38"/>
  <c r="BF140" i="38"/>
  <c r="AV140" i="38"/>
  <c r="BA140" i="38" s="1"/>
  <c r="BC140" i="38" s="1"/>
  <c r="AW140" i="38" s="1"/>
  <c r="BF211" i="38"/>
  <c r="BF116" i="38"/>
  <c r="BF256" i="38"/>
  <c r="BF274" i="38"/>
  <c r="BF59" i="38"/>
  <c r="BF102" i="38"/>
  <c r="BF224" i="38"/>
  <c r="AV224" i="38"/>
  <c r="BA224" i="38" s="1"/>
  <c r="BF141" i="38"/>
  <c r="BF130" i="38"/>
  <c r="AV130" i="38"/>
  <c r="BA130" i="38" s="1"/>
  <c r="BC130" i="38" s="1"/>
  <c r="AW130" i="38" s="1"/>
  <c r="BF291" i="38"/>
  <c r="BF75" i="38"/>
  <c r="AV75" i="38"/>
  <c r="BA75" i="38" s="1"/>
  <c r="BC75" i="38" s="1"/>
  <c r="AW75" i="38" s="1"/>
  <c r="BF279" i="38"/>
  <c r="BF293" i="38"/>
  <c r="BF97" i="38"/>
  <c r="BF239" i="38"/>
  <c r="AV239" i="38"/>
  <c r="BA239" i="38" s="1"/>
  <c r="BF143" i="38"/>
  <c r="BF63" i="38"/>
  <c r="AV63" i="38"/>
  <c r="BA63" i="38" s="1"/>
  <c r="BF105" i="38"/>
  <c r="AV105" i="38"/>
  <c r="BA105" i="38" s="1"/>
  <c r="BC105" i="38" s="1"/>
  <c r="AW105" i="38" s="1"/>
  <c r="BF236" i="38"/>
  <c r="AV236" i="38"/>
  <c r="BA236" i="38" s="1"/>
  <c r="BF305" i="38"/>
  <c r="BF292" i="38"/>
  <c r="BF188" i="38"/>
  <c r="AV188" i="38"/>
  <c r="BA188" i="38" s="1"/>
  <c r="BC188" i="38" s="1"/>
  <c r="AW188" i="38" s="1"/>
  <c r="BF117" i="38"/>
  <c r="AV117" i="38"/>
  <c r="BA117" i="38" s="1"/>
  <c r="BC117" i="38" s="1"/>
  <c r="AW117" i="38" s="1"/>
  <c r="BF249" i="38"/>
  <c r="AV249" i="38"/>
  <c r="BF295" i="38"/>
  <c r="BF210" i="38"/>
  <c r="BF204" i="38"/>
  <c r="BF230" i="38"/>
  <c r="BF275" i="38"/>
  <c r="BF278" i="38"/>
  <c r="AV278" i="38"/>
  <c r="BA278" i="38" s="1"/>
  <c r="BC278" i="38" s="1"/>
  <c r="AW278" i="38" s="1"/>
  <c r="BF266" i="38"/>
  <c r="BF248" i="38"/>
  <c r="BF131" i="38"/>
  <c r="AV131" i="38"/>
  <c r="BA131" i="38" s="1"/>
  <c r="BC131" i="38" s="1"/>
  <c r="AW131" i="38" s="1"/>
  <c r="BF180" i="38"/>
  <c r="BF285" i="38"/>
  <c r="AV285" i="38"/>
  <c r="BA285" i="38" s="1"/>
  <c r="BC285" i="38" s="1"/>
  <c r="AW285" i="38" s="1"/>
  <c r="BF91" i="38"/>
  <c r="AV91" i="38"/>
  <c r="BA91" i="38" s="1"/>
  <c r="BC91" i="38" s="1"/>
  <c r="AW91" i="38" s="1"/>
  <c r="BF119" i="38"/>
  <c r="BF288" i="38"/>
  <c r="BF123" i="38"/>
  <c r="BF46" i="38"/>
  <c r="BF41" i="38"/>
  <c r="BF280" i="38"/>
  <c r="BF265" i="38"/>
  <c r="BF196" i="38"/>
  <c r="AV196" i="38"/>
  <c r="BA196" i="38" s="1"/>
  <c r="BC196" i="38" s="1"/>
  <c r="AW196" i="38" s="1"/>
  <c r="BF43" i="38"/>
  <c r="BF253" i="38"/>
  <c r="BF38" i="38"/>
  <c r="BF298" i="38"/>
  <c r="BF61" i="38"/>
  <c r="BF241" i="38"/>
  <c r="AV241" i="38"/>
  <c r="BA241" i="38" s="1"/>
  <c r="BF146" i="38"/>
  <c r="AV146" i="38"/>
  <c r="BA146" i="38" s="1"/>
  <c r="BC146" i="38" s="1"/>
  <c r="AW146" i="38" s="1"/>
  <c r="BF303" i="38"/>
  <c r="BF254" i="38"/>
  <c r="BF246" i="38"/>
  <c r="BF304" i="38"/>
  <c r="BF159" i="38"/>
  <c r="AV159" i="38"/>
  <c r="BA159" i="38" s="1"/>
  <c r="BC159" i="38" s="1"/>
  <c r="AW159" i="38" s="1"/>
  <c r="BF234" i="38"/>
  <c r="BF122" i="38"/>
  <c r="BF277" i="38"/>
  <c r="BF118" i="38"/>
  <c r="BF310" i="38"/>
  <c r="AV310" i="38"/>
  <c r="BA310" i="38" s="1"/>
  <c r="BF124" i="38"/>
  <c r="BF245" i="38"/>
  <c r="BF260" i="38"/>
  <c r="BF137" i="38"/>
  <c r="BF223" i="38"/>
  <c r="BF120" i="38"/>
  <c r="BF263" i="38"/>
  <c r="BF135" i="38"/>
  <c r="AV135" i="38"/>
  <c r="BA135" i="38" s="1"/>
  <c r="BC135" i="38" s="1"/>
  <c r="AW135" i="38" s="1"/>
  <c r="BF40" i="38"/>
  <c r="BF139" i="38"/>
  <c r="AV139" i="38"/>
  <c r="BA139" i="38" s="1"/>
  <c r="BC139" i="38" s="1"/>
  <c r="AW139" i="38" s="1"/>
  <c r="BF55" i="38"/>
  <c r="BF56" i="38"/>
  <c r="BF244" i="38"/>
  <c r="BF289" i="38"/>
  <c r="BF142" i="38"/>
  <c r="AV142" i="38"/>
  <c r="BA142" i="38" s="1"/>
  <c r="BC142" i="38" s="1"/>
  <c r="AW142" i="38" s="1"/>
  <c r="BF294" i="38"/>
  <c r="BF12" i="38"/>
  <c r="AV12" i="38"/>
  <c r="BA12" i="38" s="1"/>
  <c r="BF296" i="38"/>
  <c r="BF222" i="38"/>
  <c r="BF126" i="38"/>
  <c r="BF175" i="38"/>
  <c r="BF89" i="38"/>
  <c r="BF271" i="38"/>
  <c r="AV271" i="38"/>
  <c r="BA271" i="38" s="1"/>
  <c r="BC271" i="38" s="1"/>
  <c r="AW271" i="38" s="1"/>
  <c r="BF129" i="38"/>
  <c r="BF138" i="38"/>
  <c r="BF67" i="38"/>
  <c r="BF136" i="38"/>
  <c r="BF127" i="38"/>
  <c r="BF299" i="38"/>
  <c r="BF281" i="38"/>
  <c r="AV281" i="38"/>
  <c r="BF209" i="38"/>
  <c r="BF57" i="38"/>
  <c r="BF145" i="38"/>
  <c r="BF14" i="38"/>
  <c r="AV14" i="38"/>
  <c r="BA14" i="38" s="1"/>
  <c r="BF257" i="38"/>
  <c r="BF107" i="38"/>
  <c r="AV107" i="38"/>
  <c r="BA107" i="38" s="1"/>
  <c r="BF258" i="38"/>
  <c r="AV258" i="38"/>
  <c r="BA258" i="38" s="1"/>
  <c r="BC258" i="38" s="1"/>
  <c r="AW258" i="38" s="1"/>
  <c r="BF26" i="38"/>
  <c r="AV26" i="38"/>
  <c r="BA26" i="38" s="1"/>
  <c r="BF264" i="38"/>
  <c r="BF10" i="38" l="1"/>
  <c r="AV10" i="38"/>
  <c r="BF276" i="38"/>
  <c r="AV276" i="38"/>
  <c r="BA276" i="38" s="1"/>
  <c r="BF20" i="38"/>
  <c r="AV20" i="38"/>
  <c r="BA20" i="38" s="1"/>
  <c r="BF45" i="38"/>
  <c r="AV45" i="38"/>
  <c r="BF261" i="38"/>
  <c r="AV261" i="38"/>
  <c r="BA261" i="38" s="1"/>
  <c r="BF259" i="38"/>
  <c r="AV259" i="38"/>
  <c r="BF79" i="38"/>
  <c r="AV79" i="38"/>
  <c r="BA79" i="38" s="1"/>
  <c r="BC79" i="38" s="1"/>
  <c r="AW79" i="38" s="1"/>
  <c r="BF217" i="38"/>
  <c r="AV217" i="38"/>
  <c r="BA217" i="38" s="1"/>
  <c r="BF58" i="38"/>
  <c r="AV58" i="38"/>
  <c r="BA58" i="38" s="1"/>
  <c r="BF316" i="38"/>
  <c r="AV316" i="38"/>
  <c r="BA316" i="38" s="1"/>
  <c r="BF191" i="38"/>
  <c r="AV191" i="38"/>
  <c r="BF33" i="38"/>
  <c r="BF113" i="38"/>
  <c r="AV180" i="38"/>
  <c r="AV137" i="38"/>
  <c r="BA137" i="38" s="1"/>
  <c r="BC137" i="38" s="1"/>
  <c r="AW137" i="38" s="1"/>
  <c r="BF206" i="38"/>
  <c r="AV141" i="38"/>
  <c r="BA141" i="38" s="1"/>
  <c r="BC141" i="38" s="1"/>
  <c r="AW141" i="38" s="1"/>
  <c r="BF205" i="38"/>
  <c r="AV113" i="38" l="1"/>
  <c r="BA113" i="38" s="1"/>
  <c r="AX325" i="38" l="1"/>
  <c r="AY325" i="38" s="1"/>
  <c r="AX320" i="38"/>
  <c r="AY320" i="38" s="1"/>
  <c r="AX321" i="38"/>
  <c r="AY321" i="38" s="1"/>
  <c r="AX326" i="38"/>
  <c r="AY326" i="38" s="1"/>
  <c r="AX324" i="38"/>
  <c r="AY324" i="38" s="1"/>
  <c r="AX323" i="38"/>
  <c r="AY323" i="38" s="1"/>
  <c r="AX322" i="38"/>
  <c r="AY322" i="38" s="1"/>
  <c r="AX327" i="38"/>
  <c r="AY327" i="38" s="1"/>
  <c r="AX65" i="42"/>
  <c r="AY65" i="42" s="1"/>
  <c r="AX307" i="42"/>
  <c r="AY307" i="42" s="1"/>
  <c r="AX177" i="42"/>
  <c r="AY177" i="42" s="1"/>
  <c r="AX46" i="42"/>
  <c r="AX233" i="42"/>
  <c r="AY233" i="42" s="1"/>
  <c r="AX258" i="42"/>
  <c r="AX208" i="42"/>
  <c r="AX29" i="42"/>
  <c r="AY29" i="42" s="1"/>
  <c r="AX117" i="42"/>
  <c r="AT117" i="42" s="1"/>
  <c r="AX138" i="42"/>
  <c r="AX168" i="42"/>
  <c r="AY168" i="42" s="1"/>
  <c r="AX192" i="42"/>
  <c r="AX220" i="42"/>
  <c r="AY220" i="42" s="1"/>
  <c r="AX239" i="42"/>
  <c r="AT239" i="42" s="1"/>
  <c r="AX303" i="42"/>
  <c r="AX10" i="42"/>
  <c r="AX100" i="42"/>
  <c r="AY100" i="42" s="1"/>
  <c r="AX18" i="42"/>
  <c r="AY18" i="42" s="1"/>
  <c r="AX250" i="42"/>
  <c r="AX240" i="42"/>
  <c r="AY240" i="42" s="1"/>
  <c r="AX66" i="42"/>
  <c r="AY66" i="42" s="1"/>
  <c r="AX53" i="42"/>
  <c r="AY53" i="42" s="1"/>
  <c r="AX70" i="42"/>
  <c r="AX35" i="42"/>
  <c r="AY35" i="42" s="1"/>
  <c r="AX44" i="42"/>
  <c r="AX64" i="42"/>
  <c r="AY64" i="42" s="1"/>
  <c r="AX91" i="42"/>
  <c r="AT91" i="42" s="1"/>
  <c r="AX38" i="42"/>
  <c r="AX89" i="42"/>
  <c r="AX126" i="42"/>
  <c r="AX132" i="42"/>
  <c r="AX163" i="42"/>
  <c r="AY163" i="42" s="1"/>
  <c r="AX154" i="42"/>
  <c r="AY154" i="42" s="1"/>
  <c r="AX183" i="42"/>
  <c r="AY183" i="42" s="1"/>
  <c r="AX184" i="42"/>
  <c r="AY184" i="42" s="1"/>
  <c r="AX194" i="42"/>
  <c r="AY194" i="42" s="1"/>
  <c r="AX286" i="42"/>
  <c r="AX152" i="42"/>
  <c r="AY152" i="42" s="1"/>
  <c r="AX216" i="42"/>
  <c r="AX267" i="42"/>
  <c r="AY267" i="42" s="1"/>
  <c r="AX161" i="42"/>
  <c r="AY161" i="42" s="1"/>
  <c r="AX209" i="42"/>
  <c r="AX157" i="42"/>
  <c r="AY157" i="42" s="1"/>
  <c r="AX149" i="42"/>
  <c r="AY149" i="42" s="1"/>
  <c r="AX178" i="42"/>
  <c r="AY178" i="42" s="1"/>
  <c r="AX74" i="42"/>
  <c r="AY74" i="42" s="1"/>
  <c r="AX129" i="42"/>
  <c r="AX143" i="42"/>
  <c r="AX204" i="42"/>
  <c r="AX37" i="42"/>
  <c r="AX34" i="42"/>
  <c r="AY34" i="42" s="1"/>
  <c r="AX83" i="42"/>
  <c r="AY83" i="42" s="1"/>
  <c r="AX12" i="42"/>
  <c r="AT12" i="42" s="1"/>
  <c r="AX88" i="42"/>
  <c r="AT88" i="42" s="1"/>
  <c r="AX86" i="42"/>
  <c r="AY86" i="42" s="1"/>
  <c r="AX102" i="42"/>
  <c r="AX69" i="42"/>
  <c r="AX166" i="42"/>
  <c r="AY166" i="42" s="1"/>
  <c r="AX231" i="42"/>
  <c r="AX13" i="42"/>
  <c r="AY13" i="42" s="1"/>
  <c r="AX169" i="42"/>
  <c r="AY169" i="42" s="1"/>
  <c r="AX121" i="42"/>
  <c r="AT121" i="42" s="1"/>
  <c r="AX19" i="42"/>
  <c r="AY19" i="42" s="1"/>
  <c r="AX95" i="42"/>
  <c r="AY95" i="42" s="1"/>
  <c r="AX103" i="42"/>
  <c r="AY103" i="42" s="1"/>
  <c r="AX125" i="42"/>
  <c r="AX96" i="42"/>
  <c r="AY96" i="42" s="1"/>
  <c r="AX162" i="42"/>
  <c r="AY162" i="42" s="1"/>
  <c r="AX247" i="42"/>
  <c r="AX268" i="42"/>
  <c r="AY268" i="42" s="1"/>
  <c r="AX300" i="42"/>
  <c r="AY300" i="42" s="1"/>
  <c r="AX14" i="42"/>
  <c r="AT14" i="42" s="1"/>
  <c r="AX11" i="42"/>
  <c r="AY11" i="42" s="1"/>
  <c r="AX39" i="42"/>
  <c r="AY39" i="42" s="1"/>
  <c r="AX155" i="42"/>
  <c r="AY155" i="42" s="1"/>
  <c r="AX137" i="42"/>
  <c r="AT137" i="42" s="1"/>
  <c r="AX170" i="42"/>
  <c r="AY170" i="42" s="1"/>
  <c r="AX185" i="42"/>
  <c r="AX179" i="42"/>
  <c r="AY179" i="42" s="1"/>
  <c r="AX223" i="42"/>
  <c r="AX235" i="42"/>
  <c r="AY235" i="42" s="1"/>
  <c r="AX243" i="42"/>
  <c r="AX226" i="42"/>
  <c r="AY226" i="42" s="1"/>
  <c r="AX60" i="42"/>
  <c r="AX55" i="42"/>
  <c r="AX33" i="42"/>
  <c r="AX26" i="42"/>
  <c r="AT26" i="42" s="1"/>
  <c r="AX32" i="42"/>
  <c r="AY32" i="42" s="1"/>
  <c r="AX98" i="42"/>
  <c r="AY98" i="42" s="1"/>
  <c r="AX79" i="42"/>
  <c r="AX82" i="42"/>
  <c r="AY82" i="42" s="1"/>
  <c r="AX124" i="42"/>
  <c r="AX76" i="42"/>
  <c r="AY76" i="42" s="1"/>
  <c r="AX180" i="42"/>
  <c r="AT180" i="42" s="1"/>
  <c r="AX190" i="42"/>
  <c r="AY190" i="42" s="1"/>
  <c r="AX198" i="42"/>
  <c r="AY198" i="42" s="1"/>
  <c r="AX238" i="42"/>
  <c r="AY238" i="42" s="1"/>
  <c r="AX252" i="42"/>
  <c r="AY252" i="42" s="1"/>
  <c r="AX145" i="42"/>
  <c r="AX306" i="42"/>
  <c r="AX61" i="42"/>
  <c r="AX127" i="42"/>
  <c r="AX211" i="42"/>
  <c r="AX27" i="42"/>
  <c r="AY27" i="42" s="1"/>
  <c r="AX205" i="42"/>
  <c r="AX165" i="42"/>
  <c r="AY165" i="42" s="1"/>
  <c r="AX68" i="42"/>
  <c r="AX262" i="42"/>
  <c r="AX92" i="42"/>
  <c r="AY92" i="42" s="1"/>
  <c r="AX99" i="42"/>
  <c r="AY99" i="42" s="1"/>
  <c r="AX115" i="42"/>
  <c r="AX188" i="42"/>
  <c r="AX219" i="42"/>
  <c r="AY219" i="42" s="1"/>
  <c r="AX254" i="42"/>
  <c r="AX222" i="42"/>
  <c r="AX215" i="42"/>
  <c r="AX287" i="42"/>
  <c r="AX261" i="42"/>
  <c r="AX49" i="42"/>
  <c r="AY49" i="42" s="1"/>
  <c r="AX45" i="42"/>
  <c r="AX317" i="42"/>
  <c r="AY317" i="42" s="1"/>
  <c r="AX164" i="42"/>
  <c r="AY164" i="42" s="1"/>
  <c r="AX90" i="42"/>
  <c r="AX142" i="42"/>
  <c r="AT142" i="42" s="1"/>
  <c r="AX23" i="42"/>
  <c r="AY23" i="42" s="1"/>
  <c r="AX279" i="42"/>
  <c r="AX107" i="42"/>
  <c r="AT107" i="42" s="1"/>
  <c r="AX25" i="42"/>
  <c r="AT25" i="42" s="1"/>
  <c r="AX130" i="42"/>
  <c r="AT130" i="42" s="1"/>
  <c r="AX189" i="42"/>
  <c r="AY189" i="42" s="1"/>
  <c r="AX201" i="42"/>
  <c r="AY201" i="42" s="1"/>
  <c r="AX291" i="42"/>
  <c r="AX52" i="42"/>
  <c r="AY52" i="42" s="1"/>
  <c r="AX24" i="42"/>
  <c r="AY24" i="42" s="1"/>
  <c r="AX63" i="42"/>
  <c r="AT63" i="42" s="1"/>
  <c r="AX56" i="42"/>
  <c r="AX67" i="42"/>
  <c r="AX54" i="42"/>
  <c r="AT54" i="42" s="1"/>
  <c r="AX94" i="42"/>
  <c r="AY94" i="42" s="1"/>
  <c r="AX104" i="42"/>
  <c r="AX110" i="42"/>
  <c r="AY110" i="42" s="1"/>
  <c r="AX139" i="42"/>
  <c r="AT139" i="42" s="1"/>
  <c r="AX147" i="42"/>
  <c r="AY147" i="42" s="1"/>
  <c r="AX176" i="42"/>
  <c r="AY176" i="42" s="1"/>
  <c r="AX174" i="42"/>
  <c r="AY174" i="42" s="1"/>
  <c r="AX175" i="42"/>
  <c r="AX199" i="42"/>
  <c r="AY199" i="42" s="1"/>
  <c r="AX195" i="42"/>
  <c r="AY195" i="42" s="1"/>
  <c r="AX224" i="42"/>
  <c r="AT224" i="42" s="1"/>
  <c r="AX213" i="42"/>
  <c r="AY213" i="42" s="1"/>
  <c r="AX230" i="42"/>
  <c r="AX257" i="42"/>
  <c r="AX270" i="42"/>
  <c r="AY270" i="42" s="1"/>
  <c r="AX256" i="42"/>
  <c r="AX274" i="42"/>
  <c r="AX283" i="42"/>
  <c r="AX290" i="42"/>
  <c r="AY290" i="42" s="1"/>
  <c r="AX288" i="42"/>
  <c r="AX311" i="42"/>
  <c r="AT311" i="42" s="1"/>
  <c r="AX221" i="42"/>
  <c r="AX298" i="42"/>
  <c r="AX313" i="42"/>
  <c r="AY313" i="42" s="1"/>
  <c r="AX31" i="42"/>
  <c r="AY31" i="42" s="1"/>
  <c r="AX111" i="42"/>
  <c r="AY111" i="42" s="1"/>
  <c r="AX80" i="42"/>
  <c r="AY80" i="42" s="1"/>
  <c r="AX131" i="42"/>
  <c r="AT131" i="42" s="1"/>
  <c r="AX106" i="42"/>
  <c r="AY106" i="42" s="1"/>
  <c r="AX22" i="42"/>
  <c r="AT22" i="42" s="1"/>
  <c r="AX78" i="42"/>
  <c r="AY78" i="42" s="1"/>
  <c r="AX134" i="42"/>
  <c r="AX43" i="42"/>
  <c r="AX50" i="42"/>
  <c r="AY50" i="42" s="1"/>
  <c r="AX119" i="42"/>
  <c r="AX141" i="42"/>
  <c r="AT141" i="42" s="1"/>
  <c r="AX200" i="42"/>
  <c r="AY200" i="42" s="1"/>
  <c r="AX151" i="42"/>
  <c r="AY151" i="42" s="1"/>
  <c r="AX193" i="42"/>
  <c r="AX255" i="42"/>
  <c r="AX57" i="42"/>
  <c r="AX15" i="42"/>
  <c r="AY15" i="42" s="1"/>
  <c r="AX20" i="42"/>
  <c r="AX97" i="42"/>
  <c r="AX93" i="42"/>
  <c r="AY93" i="42" s="1"/>
  <c r="AX159" i="42"/>
  <c r="AX186" i="42"/>
  <c r="AX218" i="42"/>
  <c r="AY218" i="42" s="1"/>
  <c r="AX269" i="42"/>
  <c r="AY269" i="42" s="1"/>
  <c r="AX264" i="42"/>
  <c r="AX227" i="42"/>
  <c r="AT227" i="42" s="1"/>
  <c r="AX272" i="42"/>
  <c r="AX304" i="42"/>
  <c r="AX301" i="42"/>
  <c r="AY301" i="42" s="1"/>
  <c r="AX75" i="42"/>
  <c r="AT75" i="42" s="1"/>
  <c r="AX242" i="42"/>
  <c r="AX265" i="42"/>
  <c r="AX275" i="42"/>
  <c r="AX281" i="42"/>
  <c r="AX293" i="42"/>
  <c r="AX296" i="42"/>
  <c r="AX305" i="42"/>
  <c r="AX308" i="42"/>
  <c r="AY308" i="42" s="1"/>
  <c r="AX314" i="42"/>
  <c r="AY314" i="42" s="1"/>
  <c r="AX266" i="42"/>
  <c r="AX285" i="42"/>
  <c r="AX292" i="42"/>
  <c r="AX302" i="42"/>
  <c r="AY302" i="42" s="1"/>
  <c r="AX316" i="42"/>
  <c r="AX319" i="42"/>
  <c r="AY319" i="42" s="1"/>
  <c r="AX118" i="42"/>
  <c r="AX128" i="42"/>
  <c r="AT128" i="42" s="1"/>
  <c r="AX136" i="42"/>
  <c r="AX140" i="42"/>
  <c r="AT140" i="42" s="1"/>
  <c r="AX160" i="42"/>
  <c r="AY160" i="42" s="1"/>
  <c r="AX191" i="42"/>
  <c r="AX225" i="42"/>
  <c r="AY225" i="42" s="1"/>
  <c r="AX202" i="42"/>
  <c r="AY202" i="42" s="1"/>
  <c r="AX214" i="42"/>
  <c r="AT214" i="42" s="1"/>
  <c r="AX237" i="42"/>
  <c r="AY237" i="42" s="1"/>
  <c r="AX210" i="42"/>
  <c r="AX253" i="42"/>
  <c r="AX273" i="42"/>
  <c r="AX277" i="42"/>
  <c r="AX312" i="42"/>
  <c r="AY312" i="42" s="1"/>
  <c r="AX48" i="42"/>
  <c r="AX73" i="42"/>
  <c r="AY73" i="42" s="1"/>
  <c r="AX30" i="42"/>
  <c r="AY30" i="42" s="1"/>
  <c r="AX41" i="42"/>
  <c r="AX114" i="42"/>
  <c r="AX116" i="42"/>
  <c r="AX315" i="42"/>
  <c r="AY315" i="42" s="1"/>
  <c r="AX259" i="42"/>
  <c r="AX309" i="42"/>
  <c r="AX51" i="42"/>
  <c r="AY51" i="42" s="1"/>
  <c r="AX62" i="42"/>
  <c r="AY62" i="42" s="1"/>
  <c r="AX109" i="42"/>
  <c r="AY109" i="42" s="1"/>
  <c r="AX212" i="42"/>
  <c r="AX260" i="42"/>
  <c r="AX77" i="42"/>
  <c r="AY77" i="42" s="1"/>
  <c r="AX282" i="42"/>
  <c r="AX47" i="42"/>
  <c r="AY47" i="42" s="1"/>
  <c r="AX173" i="42"/>
  <c r="AY173" i="42" s="1"/>
  <c r="AX158" i="42"/>
  <c r="AY158" i="42" s="1"/>
  <c r="AX248" i="42"/>
  <c r="AX284" i="42"/>
  <c r="AX113" i="42"/>
  <c r="AX59" i="42"/>
  <c r="AX171" i="42"/>
  <c r="AY171" i="42" s="1"/>
  <c r="AX207" i="42"/>
  <c r="AX167" i="42"/>
  <c r="AY167" i="42" s="1"/>
  <c r="AX16" i="42"/>
  <c r="AY16" i="42" s="1"/>
  <c r="AX21" i="42"/>
  <c r="AY21" i="42" s="1"/>
  <c r="AX58" i="42"/>
  <c r="AX28" i="42"/>
  <c r="AY28" i="42" s="1"/>
  <c r="AX72" i="42"/>
  <c r="AY72" i="42" s="1"/>
  <c r="AX36" i="42"/>
  <c r="AX310" i="42"/>
  <c r="AT310" i="42" s="1"/>
  <c r="AX153" i="42"/>
  <c r="AY153" i="42" s="1"/>
  <c r="AX182" i="42"/>
  <c r="AY182" i="42" s="1"/>
  <c r="AX148" i="42"/>
  <c r="AY148" i="42" s="1"/>
  <c r="AX105" i="42"/>
  <c r="AX172" i="42"/>
  <c r="AY172" i="42" s="1"/>
  <c r="AX276" i="42"/>
  <c r="AX135" i="42"/>
  <c r="AT135" i="42" s="1"/>
  <c r="AX203" i="42"/>
  <c r="AX244" i="42"/>
  <c r="AX251" i="42"/>
  <c r="AX271" i="42"/>
  <c r="AX133" i="42"/>
  <c r="AT133" i="42" s="1"/>
  <c r="AX42" i="42"/>
  <c r="AY42" i="42" s="1"/>
  <c r="AX85" i="42"/>
  <c r="AY85" i="42" s="1"/>
  <c r="AX81" i="42"/>
  <c r="AY81" i="42" s="1"/>
  <c r="AX122" i="42"/>
  <c r="AX196" i="42"/>
  <c r="AT196" i="42" s="1"/>
  <c r="AX181" i="42"/>
  <c r="AY181" i="42" s="1"/>
  <c r="AX197" i="42"/>
  <c r="AY197" i="42" s="1"/>
  <c r="AX123" i="42"/>
  <c r="AX229" i="42"/>
  <c r="AY229" i="42" s="1"/>
  <c r="AX295" i="42"/>
  <c r="AX17" i="42"/>
  <c r="AY17" i="42" s="1"/>
  <c r="AX71" i="42"/>
  <c r="AY71" i="42" s="1"/>
  <c r="AX87" i="42"/>
  <c r="AX112" i="42"/>
  <c r="AY112" i="42" s="1"/>
  <c r="AX40" i="42"/>
  <c r="AX84" i="42"/>
  <c r="AY84" i="42" s="1"/>
  <c r="AX108" i="42"/>
  <c r="AY108" i="42" s="1"/>
  <c r="AX101" i="42"/>
  <c r="AY101" i="42" s="1"/>
  <c r="AX120" i="42"/>
  <c r="AX156" i="42"/>
  <c r="AY156" i="42" s="1"/>
  <c r="AX146" i="42"/>
  <c r="AT146" i="42" s="1"/>
  <c r="AX187" i="42"/>
  <c r="AT187" i="42" s="1"/>
  <c r="AX246" i="42"/>
  <c r="AX278" i="42"/>
  <c r="AT278" i="42" s="1"/>
  <c r="AX280" i="42"/>
  <c r="AX299" i="42"/>
  <c r="AX318" i="42"/>
  <c r="AY318" i="42" s="1"/>
  <c r="AX236" i="42"/>
  <c r="AT236" i="42" s="1"/>
  <c r="AX245" i="42"/>
  <c r="AX228" i="42"/>
  <c r="AY228" i="42" s="1"/>
  <c r="AX263" i="42"/>
  <c r="AX144" i="42"/>
  <c r="AX249" i="42"/>
  <c r="AT249" i="42" s="1"/>
  <c r="AX297" i="42"/>
  <c r="AX289" i="42"/>
  <c r="AX217" i="42"/>
  <c r="AX232" i="42"/>
  <c r="AX241" i="42"/>
  <c r="AT241" i="42" s="1"/>
  <c r="AX206" i="42"/>
  <c r="AX234" i="42"/>
  <c r="AX294" i="42"/>
  <c r="AX150" i="42"/>
  <c r="AY150" i="42" s="1"/>
  <c r="AX264" i="38"/>
  <c r="AY264" i="38" s="1"/>
  <c r="AX26" i="38"/>
  <c r="AY26" i="38" s="1"/>
  <c r="AX66" i="38"/>
  <c r="AY66" i="38" s="1"/>
  <c r="AX258" i="38"/>
  <c r="AY258" i="38" s="1"/>
  <c r="AX27" i="38"/>
  <c r="AY27" i="38" s="1"/>
  <c r="AX107" i="38"/>
  <c r="AY107" i="38" s="1"/>
  <c r="AX34" i="38"/>
  <c r="AY34" i="38" s="1"/>
  <c r="AX182" i="38"/>
  <c r="AY182" i="38" s="1"/>
  <c r="AX257" i="38"/>
  <c r="AY257" i="38" s="1"/>
  <c r="AX76" i="38"/>
  <c r="AY76" i="38" s="1"/>
  <c r="AX14" i="38"/>
  <c r="AY14" i="38" s="1"/>
  <c r="AX145" i="38"/>
  <c r="AY145" i="38" s="1"/>
  <c r="AX111" i="38"/>
  <c r="AY111" i="38" s="1"/>
  <c r="AX57" i="38"/>
  <c r="AY57" i="38" s="1"/>
  <c r="AX269" i="38"/>
  <c r="AY269" i="38" s="1"/>
  <c r="AX72" i="38"/>
  <c r="AY72" i="38" s="1"/>
  <c r="AX209" i="38"/>
  <c r="AX281" i="38"/>
  <c r="AX187" i="38"/>
  <c r="AX108" i="38"/>
  <c r="AY108" i="38" s="1"/>
  <c r="AX221" i="38"/>
  <c r="AX106" i="38"/>
  <c r="AY106" i="38" s="1"/>
  <c r="AX212" i="38"/>
  <c r="AX134" i="38"/>
  <c r="AY134" i="38" s="1"/>
  <c r="AX282" i="38"/>
  <c r="AY282" i="38" s="1"/>
  <c r="AX192" i="38"/>
  <c r="AY192" i="38" s="1"/>
  <c r="AX287" i="38"/>
  <c r="AY287" i="38" s="1"/>
  <c r="AX232" i="38"/>
  <c r="AX286" i="38"/>
  <c r="AY286" i="38" s="1"/>
  <c r="AX44" i="38"/>
  <c r="AX18" i="38"/>
  <c r="AY18" i="38" s="1"/>
  <c r="AX121" i="38"/>
  <c r="AY121" i="38" s="1"/>
  <c r="AX19" i="38"/>
  <c r="AY19" i="38" s="1"/>
  <c r="AX15" i="38"/>
  <c r="AY15" i="38" s="1"/>
  <c r="AX191" i="38"/>
  <c r="AX267" i="38"/>
  <c r="AY267" i="38" s="1"/>
  <c r="AX49" i="38"/>
  <c r="AY49" i="38" s="1"/>
  <c r="AX299" i="38"/>
  <c r="AY299" i="38" s="1"/>
  <c r="AX127" i="38"/>
  <c r="AY127" i="38" s="1"/>
  <c r="AW316" i="2"/>
  <c r="AW309" i="2"/>
  <c r="AW299" i="2"/>
  <c r="AW275" i="2"/>
  <c r="AW276" i="2"/>
  <c r="AW277" i="2"/>
  <c r="AW288" i="2"/>
  <c r="AS288" i="2" s="1"/>
  <c r="AW259" i="2"/>
  <c r="AW266" i="2"/>
  <c r="AW246" i="2"/>
  <c r="AW37" i="2"/>
  <c r="AW105" i="2"/>
  <c r="AW159" i="2"/>
  <c r="AW239" i="2"/>
  <c r="AS239" i="2" s="1"/>
  <c r="AW62" i="2"/>
  <c r="AX62" i="2" s="1"/>
  <c r="AW111" i="2"/>
  <c r="AX111" i="2" s="1"/>
  <c r="AW179" i="2"/>
  <c r="AX179" i="2" s="1"/>
  <c r="AW12" i="2"/>
  <c r="AS12" i="2" s="1"/>
  <c r="AW88" i="2"/>
  <c r="AS88" i="2" s="1"/>
  <c r="AW139" i="2"/>
  <c r="AS139" i="2" s="1"/>
  <c r="AX136" i="38"/>
  <c r="AY136" i="38" s="1"/>
  <c r="AX67" i="38"/>
  <c r="AY67" i="38" s="1"/>
  <c r="AX83" i="38"/>
  <c r="AY83" i="38" s="1"/>
  <c r="AX235" i="38"/>
  <c r="AY235" i="38" s="1"/>
  <c r="AX96" i="38"/>
  <c r="AY96" i="38" s="1"/>
  <c r="AX138" i="38"/>
  <c r="AY138" i="38" s="1"/>
  <c r="AX86" i="38"/>
  <c r="AY86" i="38" s="1"/>
  <c r="AX129" i="38"/>
  <c r="AY129" i="38" s="1"/>
  <c r="AX271" i="38"/>
  <c r="AY271" i="38" s="1"/>
  <c r="AX64" i="38"/>
  <c r="AY64" i="38" s="1"/>
  <c r="AX89" i="38"/>
  <c r="AY89" i="38" s="1"/>
  <c r="AX155" i="38"/>
  <c r="AY155" i="38" s="1"/>
  <c r="AX152" i="38"/>
  <c r="AY152" i="38" s="1"/>
  <c r="AX175" i="38"/>
  <c r="AX313" i="38"/>
  <c r="AY313" i="38" s="1"/>
  <c r="AX126" i="38"/>
  <c r="AY126" i="38" s="1"/>
  <c r="AX222" i="38"/>
  <c r="AX296" i="38"/>
  <c r="AX113" i="38"/>
  <c r="AY113" i="38" s="1"/>
  <c r="AX12" i="38"/>
  <c r="AY12" i="38" s="1"/>
  <c r="AX294" i="38"/>
  <c r="AX101" i="38"/>
  <c r="AY101" i="38" s="1"/>
  <c r="AX220" i="38"/>
  <c r="AY220" i="38" s="1"/>
  <c r="AX142" i="38"/>
  <c r="AY142" i="38" s="1"/>
  <c r="AX308" i="38"/>
  <c r="AY308" i="38" s="1"/>
  <c r="AX200" i="38"/>
  <c r="AY200" i="38" s="1"/>
  <c r="AX289" i="38"/>
  <c r="AX244" i="38"/>
  <c r="AY244" i="38" s="1"/>
  <c r="AX184" i="38"/>
  <c r="AY184" i="38" s="1"/>
  <c r="AX56" i="38"/>
  <c r="AX55" i="38"/>
  <c r="AX139" i="38"/>
  <c r="AY139" i="38" s="1"/>
  <c r="AX98" i="38"/>
  <c r="AY98" i="38" s="1"/>
  <c r="AX39" i="38"/>
  <c r="AY39" i="38" s="1"/>
  <c r="AX199" i="38"/>
  <c r="AY199" i="38" s="1"/>
  <c r="AX25" i="38"/>
  <c r="AY25" i="38" s="1"/>
  <c r="AX68" i="38"/>
  <c r="AY68" i="38" s="1"/>
  <c r="AX24" i="38"/>
  <c r="AY24" i="38" s="1"/>
  <c r="AX284" i="38"/>
  <c r="AY284" i="38" s="1"/>
  <c r="AW315" i="2"/>
  <c r="AX315" i="2" s="1"/>
  <c r="AW305" i="2"/>
  <c r="AW302" i="2"/>
  <c r="AX302" i="2" s="1"/>
  <c r="AW279" i="2"/>
  <c r="AW280" i="2"/>
  <c r="AW281" i="2"/>
  <c r="AW284" i="2"/>
  <c r="AW263" i="2"/>
  <c r="AW253" i="2"/>
  <c r="AW249" i="2"/>
  <c r="AS249" i="2" s="1"/>
  <c r="AW43" i="2"/>
  <c r="AW117" i="2"/>
  <c r="AS117" i="2" s="1"/>
  <c r="AW187" i="2"/>
  <c r="AS187" i="2" s="1"/>
  <c r="AW141" i="2"/>
  <c r="AS141" i="2" s="1"/>
  <c r="AW71" i="2"/>
  <c r="AX71" i="2" s="1"/>
  <c r="AW149" i="2"/>
  <c r="AX149" i="2" s="1"/>
  <c r="AW184" i="2"/>
  <c r="AX184" i="2" s="1"/>
  <c r="AW25" i="2"/>
  <c r="AS25" i="2" s="1"/>
  <c r="AW97" i="2"/>
  <c r="AS97" i="2" s="1"/>
  <c r="AX157" i="38"/>
  <c r="AY157" i="38" s="1"/>
  <c r="AX40" i="38"/>
  <c r="AX135" i="38"/>
  <c r="AY135" i="38" s="1"/>
  <c r="AX263" i="38"/>
  <c r="AY263" i="38" s="1"/>
  <c r="AX120" i="38"/>
  <c r="AY120" i="38" s="1"/>
  <c r="AX223" i="38"/>
  <c r="AX79" i="38"/>
  <c r="AY79" i="38" s="1"/>
  <c r="AX137" i="38"/>
  <c r="AY137" i="38" s="1"/>
  <c r="AX260" i="38"/>
  <c r="AY260" i="38" s="1"/>
  <c r="AX245" i="38"/>
  <c r="AY245" i="38" s="1"/>
  <c r="AX189" i="38"/>
  <c r="AY189" i="38" s="1"/>
  <c r="AX81" i="38"/>
  <c r="AY81" i="38" s="1"/>
  <c r="AX47" i="38"/>
  <c r="AY47" i="38" s="1"/>
  <c r="AX124" i="38"/>
  <c r="AY124" i="38" s="1"/>
  <c r="AX310" i="38"/>
  <c r="AY310" i="38" s="1"/>
  <c r="AX118" i="38"/>
  <c r="AY118" i="38" s="1"/>
  <c r="AX237" i="38"/>
  <c r="AY237" i="38" s="1"/>
  <c r="AX277" i="38"/>
  <c r="AY277" i="38" s="1"/>
  <c r="AX217" i="38"/>
  <c r="AY217" i="38" s="1"/>
  <c r="AX122" i="38"/>
  <c r="AY122" i="38" s="1"/>
  <c r="AX312" i="38"/>
  <c r="AY312" i="38" s="1"/>
  <c r="AX109" i="38"/>
  <c r="AY109" i="38" s="1"/>
  <c r="AX234" i="38"/>
  <c r="AX159" i="38"/>
  <c r="AY159" i="38" s="1"/>
  <c r="AX315" i="38"/>
  <c r="AY315" i="38" s="1"/>
  <c r="AX219" i="38"/>
  <c r="AX304" i="38"/>
  <c r="AX246" i="38"/>
  <c r="AY246" i="38" s="1"/>
  <c r="AX254" i="38"/>
  <c r="AX303" i="38"/>
  <c r="AY303" i="38" s="1"/>
  <c r="AX58" i="38"/>
  <c r="AY58" i="38" s="1"/>
  <c r="AX149" i="38"/>
  <c r="AY149" i="38" s="1"/>
  <c r="AX146" i="38"/>
  <c r="AY146" i="38" s="1"/>
  <c r="AX29" i="38"/>
  <c r="AY29" i="38" s="1"/>
  <c r="AX241" i="38"/>
  <c r="AY241" i="38" s="1"/>
  <c r="AX194" i="38"/>
  <c r="AY194" i="38" s="1"/>
  <c r="AX52" i="38"/>
  <c r="AY52" i="38" s="1"/>
  <c r="AX61" i="38"/>
  <c r="AY61" i="38" s="1"/>
  <c r="AX298" i="38"/>
  <c r="AW318" i="2"/>
  <c r="AX318" i="2" s="1"/>
  <c r="AW303" i="2"/>
  <c r="AW114" i="2"/>
  <c r="AW287" i="2"/>
  <c r="AW286" i="2"/>
  <c r="AW285" i="2"/>
  <c r="AW291" i="2"/>
  <c r="AW261" i="2"/>
  <c r="AW254" i="2"/>
  <c r="AW245" i="2"/>
  <c r="AW48" i="2"/>
  <c r="AW121" i="2"/>
  <c r="AS121" i="2" s="1"/>
  <c r="AW196" i="2"/>
  <c r="AS196" i="2" s="1"/>
  <c r="AW13" i="2"/>
  <c r="AX13" i="2" s="1"/>
  <c r="AW76" i="2"/>
  <c r="AX76" i="2" s="1"/>
  <c r="AW153" i="2"/>
  <c r="AX153" i="2" s="1"/>
  <c r="AW195" i="2"/>
  <c r="AX195" i="2" s="1"/>
  <c r="AW38" i="2"/>
  <c r="AW107" i="2"/>
  <c r="AS107" i="2" s="1"/>
  <c r="AW175" i="2"/>
  <c r="AW241" i="2"/>
  <c r="AS241" i="2" s="1"/>
  <c r="AW64" i="2"/>
  <c r="AX64" i="2" s="1"/>
  <c r="AW112" i="2"/>
  <c r="AX112" i="2" s="1"/>
  <c r="AW181" i="2"/>
  <c r="AX181" i="2" s="1"/>
  <c r="AW14" i="2"/>
  <c r="AS14" i="2" s="1"/>
  <c r="AW89" i="2"/>
  <c r="AW140" i="2"/>
  <c r="AS140" i="2" s="1"/>
  <c r="AW227" i="2"/>
  <c r="AS227" i="2" s="1"/>
  <c r="AW47" i="2"/>
  <c r="AX47" i="2" s="1"/>
  <c r="AW101" i="2"/>
  <c r="AX101" i="2" s="1"/>
  <c r="AW172" i="2"/>
  <c r="AX172" i="2" s="1"/>
  <c r="AW240" i="2"/>
  <c r="AX240" i="2" s="1"/>
  <c r="AW68" i="2"/>
  <c r="AW132" i="2"/>
  <c r="AW216" i="2"/>
  <c r="AW30" i="2"/>
  <c r="AX30" i="2" s="1"/>
  <c r="AW93" i="2"/>
  <c r="AX93" i="2" s="1"/>
  <c r="AW165" i="2"/>
  <c r="AX165" i="2" s="1"/>
  <c r="AW225" i="2"/>
  <c r="AX225" i="2" s="1"/>
  <c r="AW208" i="2"/>
  <c r="AW81" i="2"/>
  <c r="AX81" i="2" s="1"/>
  <c r="AW200" i="2"/>
  <c r="AX200" i="2" s="1"/>
  <c r="AW44" i="2"/>
  <c r="AW188" i="2"/>
  <c r="AW72" i="2"/>
  <c r="AX72" i="2" s="1"/>
  <c r="AW150" i="2"/>
  <c r="AX150" i="2" s="1"/>
  <c r="AX38" i="38"/>
  <c r="AX45" i="38"/>
  <c r="AX172" i="38"/>
  <c r="AY172" i="38" s="1"/>
  <c r="AX253" i="38"/>
  <c r="AY253" i="38" s="1"/>
  <c r="AX213" i="38"/>
  <c r="AY213" i="38" s="1"/>
  <c r="AX276" i="38"/>
  <c r="AY276" i="38" s="1"/>
  <c r="AX43" i="38"/>
  <c r="AX196" i="38"/>
  <c r="AY196" i="38" s="1"/>
  <c r="AX265" i="38"/>
  <c r="AX280" i="38"/>
  <c r="AY280" i="38" s="1"/>
  <c r="AX158" i="38"/>
  <c r="AY158" i="38" s="1"/>
  <c r="AX30" i="38"/>
  <c r="AY30" i="38" s="1"/>
  <c r="AX20" i="38"/>
  <c r="AY20" i="38" s="1"/>
  <c r="AX41" i="38"/>
  <c r="AX46" i="38"/>
  <c r="AX123" i="38"/>
  <c r="AY123" i="38" s="1"/>
  <c r="AX240" i="38"/>
  <c r="AY240" i="38" s="1"/>
  <c r="AX166" i="38"/>
  <c r="AY166" i="38" s="1"/>
  <c r="AX288" i="38"/>
  <c r="AY288" i="38" s="1"/>
  <c r="AX119" i="38"/>
  <c r="AY119" i="38" s="1"/>
  <c r="AX91" i="38"/>
  <c r="AY91" i="38" s="1"/>
  <c r="AX161" i="38"/>
  <c r="AY161" i="38" s="1"/>
  <c r="AX285" i="38"/>
  <c r="AY285" i="38" s="1"/>
  <c r="AX180" i="38"/>
  <c r="AX131" i="38"/>
  <c r="AY131" i="38" s="1"/>
  <c r="AX248" i="38"/>
  <c r="AY248" i="38" s="1"/>
  <c r="AX307" i="38"/>
  <c r="AY307" i="38" s="1"/>
  <c r="AX266" i="38"/>
  <c r="AX278" i="38"/>
  <c r="AY278" i="38" s="1"/>
  <c r="AX275" i="38"/>
  <c r="AX230" i="38"/>
  <c r="AX204" i="38"/>
  <c r="AY204" i="38" s="1"/>
  <c r="AX168" i="38"/>
  <c r="AY168" i="38" s="1"/>
  <c r="AX103" i="38"/>
  <c r="AY103" i="38" s="1"/>
  <c r="AX174" i="38"/>
  <c r="AY174" i="38" s="1"/>
  <c r="AX210" i="38"/>
  <c r="AX95" i="38"/>
  <c r="AY95" i="38" s="1"/>
  <c r="AX11" i="38"/>
  <c r="AY11" i="38" s="1"/>
  <c r="AX295" i="38"/>
  <c r="AW314" i="2"/>
  <c r="AX314" i="2" s="1"/>
  <c r="AW17" i="2"/>
  <c r="AX17" i="2" s="1"/>
  <c r="AW290" i="2"/>
  <c r="AX290" i="2" s="1"/>
  <c r="AW283" i="2"/>
  <c r="AS283" i="2" s="1"/>
  <c r="AW282" i="2"/>
  <c r="AS282" i="2" s="1"/>
  <c r="AW289" i="2"/>
  <c r="AW294" i="2"/>
  <c r="AW267" i="2"/>
  <c r="AX267" i="2" s="1"/>
  <c r="AW255" i="2"/>
  <c r="AW244" i="2"/>
  <c r="AW57" i="2"/>
  <c r="AW125" i="2"/>
  <c r="AW19" i="2"/>
  <c r="AX19" i="2" s="1"/>
  <c r="AW157" i="2"/>
  <c r="AX157" i="2" s="1"/>
  <c r="AW118" i="2"/>
  <c r="AW206" i="2"/>
  <c r="AS206" i="2" s="1"/>
  <c r="AW189" i="2"/>
  <c r="AX189" i="2" s="1"/>
  <c r="AX17" i="38"/>
  <c r="AY17" i="38" s="1"/>
  <c r="AX93" i="38"/>
  <c r="AY93" i="38" s="1"/>
  <c r="AX183" i="38"/>
  <c r="AY183" i="38" s="1"/>
  <c r="AX249" i="38"/>
  <c r="AX71" i="38"/>
  <c r="AY71" i="38" s="1"/>
  <c r="AX317" i="38"/>
  <c r="AY317" i="38" s="1"/>
  <c r="AX117" i="38"/>
  <c r="AY117" i="38" s="1"/>
  <c r="AX188" i="38"/>
  <c r="AY188" i="38" s="1"/>
  <c r="AX292" i="38"/>
  <c r="AX198" i="38"/>
  <c r="AY198" i="38" s="1"/>
  <c r="AX305" i="38"/>
  <c r="AY305" i="38" s="1"/>
  <c r="AX236" i="38"/>
  <c r="AY236" i="38" s="1"/>
  <c r="AX164" i="38"/>
  <c r="AY164" i="38" s="1"/>
  <c r="AX105" i="38"/>
  <c r="AY105" i="38" s="1"/>
  <c r="AX63" i="38"/>
  <c r="AY63" i="38" s="1"/>
  <c r="AX143" i="38"/>
  <c r="AY143" i="38" s="1"/>
  <c r="AX239" i="38"/>
  <c r="AY239" i="38" s="1"/>
  <c r="AX261" i="38"/>
  <c r="AY261" i="38" s="1"/>
  <c r="AX97" i="38"/>
  <c r="AY97" i="38" s="1"/>
  <c r="AX92" i="38"/>
  <c r="AY92" i="38" s="1"/>
  <c r="AX23" i="38"/>
  <c r="AY23" i="38" s="1"/>
  <c r="AX177" i="38"/>
  <c r="AY177" i="38" s="1"/>
  <c r="AX293" i="38"/>
  <c r="AX195" i="38"/>
  <c r="AY195" i="38" s="1"/>
  <c r="AX150" i="38"/>
  <c r="AY150" i="38" s="1"/>
  <c r="AX228" i="38"/>
  <c r="AY228" i="38" s="1"/>
  <c r="AX318" i="38"/>
  <c r="AY318" i="38" s="1"/>
  <c r="AX279" i="38"/>
  <c r="AY279" i="38" s="1"/>
  <c r="AX35" i="38"/>
  <c r="AY35" i="38" s="1"/>
  <c r="AX16" i="38"/>
  <c r="AY16" i="38" s="1"/>
  <c r="AX225" i="38"/>
  <c r="AY225" i="38" s="1"/>
  <c r="AX32" i="38"/>
  <c r="AY32" i="38" s="1"/>
  <c r="AX151" i="38"/>
  <c r="AY151" i="38" s="1"/>
  <c r="AX77" i="38"/>
  <c r="AY77" i="38" s="1"/>
  <c r="AX268" i="38"/>
  <c r="AY268" i="38" s="1"/>
  <c r="AX75" i="38"/>
  <c r="AY75" i="38" s="1"/>
  <c r="AX197" i="38"/>
  <c r="AY197" i="38" s="1"/>
  <c r="AX21" i="38"/>
  <c r="AY21" i="38" s="1"/>
  <c r="AX314" i="38"/>
  <c r="AW313" i="2"/>
  <c r="AX313" i="2" s="1"/>
  <c r="AW304" i="2"/>
  <c r="AW11" i="2"/>
  <c r="AX11" i="2" s="1"/>
  <c r="AW293" i="2"/>
  <c r="AW292" i="2"/>
  <c r="AW295" i="2"/>
  <c r="AW258" i="2"/>
  <c r="AW257" i="2"/>
  <c r="AW252" i="2"/>
  <c r="AX252" i="2" s="1"/>
  <c r="AW248" i="2"/>
  <c r="AW61" i="2"/>
  <c r="AW129" i="2"/>
  <c r="AX141" i="38"/>
  <c r="AY141" i="38" s="1"/>
  <c r="AX51" i="38"/>
  <c r="AY51" i="38" s="1"/>
  <c r="AX170" i="38"/>
  <c r="AY170" i="38" s="1"/>
  <c r="AX224" i="38"/>
  <c r="AY224" i="38" s="1"/>
  <c r="AX102" i="38"/>
  <c r="AY102" i="38" s="1"/>
  <c r="AX59" i="38"/>
  <c r="AY59" i="38" s="1"/>
  <c r="AX163" i="38"/>
  <c r="AY163" i="38" s="1"/>
  <c r="AX201" i="38"/>
  <c r="AY201" i="38" s="1"/>
  <c r="AX274" i="38"/>
  <c r="AX256" i="38"/>
  <c r="AY256" i="38" s="1"/>
  <c r="AX50" i="38"/>
  <c r="AY50" i="38" s="1"/>
  <c r="AX116" i="38"/>
  <c r="AY116" i="38" s="1"/>
  <c r="AX156" i="38"/>
  <c r="AY156" i="38" s="1"/>
  <c r="AX211" i="38"/>
  <c r="AY211" i="38" s="1"/>
  <c r="AX31" i="38"/>
  <c r="AY31" i="38" s="1"/>
  <c r="AX190" i="38"/>
  <c r="AY190" i="38" s="1"/>
  <c r="AX270" i="38"/>
  <c r="AY270" i="38" s="1"/>
  <c r="AX165" i="38"/>
  <c r="AY165" i="38" s="1"/>
  <c r="AX238" i="38"/>
  <c r="AY238" i="38" s="1"/>
  <c r="AX140" i="38"/>
  <c r="AY140" i="38" s="1"/>
  <c r="AX69" i="38"/>
  <c r="AX186" i="38"/>
  <c r="AX309" i="38"/>
  <c r="AX205" i="38"/>
  <c r="AY205" i="38" s="1"/>
  <c r="AX167" i="38"/>
  <c r="AY167" i="38" s="1"/>
  <c r="AX259" i="38"/>
  <c r="AX178" i="38"/>
  <c r="AY178" i="38" s="1"/>
  <c r="AX104" i="38"/>
  <c r="AX251" i="38"/>
  <c r="AX42" i="38"/>
  <c r="AY42" i="38" s="1"/>
  <c r="AX291" i="38"/>
  <c r="AX218" i="38"/>
  <c r="AY218" i="38" s="1"/>
  <c r="AX130" i="38"/>
  <c r="AY130" i="38" s="1"/>
  <c r="AX125" i="38"/>
  <c r="AY125" i="38" s="1"/>
  <c r="AX229" i="38"/>
  <c r="AY229" i="38" s="1"/>
  <c r="AX37" i="38"/>
  <c r="AY37" i="38" s="1"/>
  <c r="AX215" i="38"/>
  <c r="AX87" i="38"/>
  <c r="AY87" i="38" s="1"/>
  <c r="AX302" i="38"/>
  <c r="AW311" i="2"/>
  <c r="AS311" i="2" s="1"/>
  <c r="AW300" i="2"/>
  <c r="AX300" i="2" s="1"/>
  <c r="AW308" i="2"/>
  <c r="AX308" i="2" s="1"/>
  <c r="AW296" i="2"/>
  <c r="AW297" i="2"/>
  <c r="AW298" i="2"/>
  <c r="AW262" i="2"/>
  <c r="AW268" i="2"/>
  <c r="AX268" i="2" s="1"/>
  <c r="AW251" i="2"/>
  <c r="AW180" i="2"/>
  <c r="AS180" i="2" s="1"/>
  <c r="AW69" i="2"/>
  <c r="AS69" i="2" s="1"/>
  <c r="AW133" i="2"/>
  <c r="AS133" i="2" s="1"/>
  <c r="AX70" i="38"/>
  <c r="AX88" i="38"/>
  <c r="AY88" i="38" s="1"/>
  <c r="AX193" i="38"/>
  <c r="AY193" i="38" s="1"/>
  <c r="AX283" i="38"/>
  <c r="AY283" i="38" s="1"/>
  <c r="AX84" i="38"/>
  <c r="AY84" i="38" s="1"/>
  <c r="AX13" i="38"/>
  <c r="AY13" i="38" s="1"/>
  <c r="AX133" i="38"/>
  <c r="AY133" i="38" s="1"/>
  <c r="AX208" i="38"/>
  <c r="AX100" i="38"/>
  <c r="AY100" i="38" s="1"/>
  <c r="AX300" i="38"/>
  <c r="AY300" i="38" s="1"/>
  <c r="AX85" i="38"/>
  <c r="AY85" i="38" s="1"/>
  <c r="AX128" i="38"/>
  <c r="AY128" i="38" s="1"/>
  <c r="AX144" i="38"/>
  <c r="AY144" i="38" s="1"/>
  <c r="AX160" i="38"/>
  <c r="AY160" i="38" s="1"/>
  <c r="AX80" i="38"/>
  <c r="AY80" i="38" s="1"/>
  <c r="AX203" i="38"/>
  <c r="AY203" i="38" s="1"/>
  <c r="AX255" i="38"/>
  <c r="AX179" i="38"/>
  <c r="AY179" i="38" s="1"/>
  <c r="AX290" i="38"/>
  <c r="AY290" i="38" s="1"/>
  <c r="AX148" i="38"/>
  <c r="AY148" i="38" s="1"/>
  <c r="AX53" i="38"/>
  <c r="AY53" i="38" s="1"/>
  <c r="AX173" i="38"/>
  <c r="AY173" i="38" s="1"/>
  <c r="AX301" i="38"/>
  <c r="AY301" i="38" s="1"/>
  <c r="AX207" i="38"/>
  <c r="AX153" i="38"/>
  <c r="AY153" i="38" s="1"/>
  <c r="AX250" i="38"/>
  <c r="AY250" i="38" s="1"/>
  <c r="AX242" i="38"/>
  <c r="AY242" i="38" s="1"/>
  <c r="AX154" i="38"/>
  <c r="AY154" i="38" s="1"/>
  <c r="AX28" i="38"/>
  <c r="AY28" i="38" s="1"/>
  <c r="AX10" i="38"/>
  <c r="AX316" i="38"/>
  <c r="AY316" i="38" s="1"/>
  <c r="AX99" i="38"/>
  <c r="AY99" i="38" s="1"/>
  <c r="AX243" i="38"/>
  <c r="AY243" i="38" s="1"/>
  <c r="AX185" i="38"/>
  <c r="AX176" i="38"/>
  <c r="AY176" i="38" s="1"/>
  <c r="AX48" i="38"/>
  <c r="AX202" i="38"/>
  <c r="AX114" i="38"/>
  <c r="AY114" i="38" s="1"/>
  <c r="AW319" i="2"/>
  <c r="AX319" i="2" s="1"/>
  <c r="AW312" i="2"/>
  <c r="AX312" i="2" s="1"/>
  <c r="AW306" i="2"/>
  <c r="AW307" i="2"/>
  <c r="AX307" i="2" s="1"/>
  <c r="AW269" i="2"/>
  <c r="AX269" i="2" s="1"/>
  <c r="AW270" i="2"/>
  <c r="AX270" i="2" s="1"/>
  <c r="AW274" i="2"/>
  <c r="AW265" i="2"/>
  <c r="AW256" i="2"/>
  <c r="AW247" i="2"/>
  <c r="AW10" i="2"/>
  <c r="AW87" i="2"/>
  <c r="AS87" i="2" s="1"/>
  <c r="AW138" i="2"/>
  <c r="AW224" i="2"/>
  <c r="AS224" i="2" s="1"/>
  <c r="AW39" i="2"/>
  <c r="AX39" i="2" s="1"/>
  <c r="AW99" i="2"/>
  <c r="AX99" i="2" s="1"/>
  <c r="AW170" i="2"/>
  <c r="AX170" i="2" s="1"/>
  <c r="AW237" i="2"/>
  <c r="AX237" i="2" s="1"/>
  <c r="AW63" i="2"/>
  <c r="AS63" i="2" s="1"/>
  <c r="AW130" i="2"/>
  <c r="AS130" i="2" s="1"/>
  <c r="AW214" i="2"/>
  <c r="AS214" i="2" s="1"/>
  <c r="AW28" i="2"/>
  <c r="AX28" i="2" s="1"/>
  <c r="AW86" i="2"/>
  <c r="AX86" i="2" s="1"/>
  <c r="AW163" i="2"/>
  <c r="AX163" i="2" s="1"/>
  <c r="AW219" i="2"/>
  <c r="AX219" i="2" s="1"/>
  <c r="AW55" i="2"/>
  <c r="AW123" i="2"/>
  <c r="AW204" i="2"/>
  <c r="AW16" i="2"/>
  <c r="AX16" i="2" s="1"/>
  <c r="AW78" i="2"/>
  <c r="AX78" i="2" s="1"/>
  <c r="AW155" i="2"/>
  <c r="AX155" i="2" s="1"/>
  <c r="AW198" i="2"/>
  <c r="AX198" i="2" s="1"/>
  <c r="AW41" i="2"/>
  <c r="AW116" i="2"/>
  <c r="AW186" i="2"/>
  <c r="AW243" i="2"/>
  <c r="AW66" i="2"/>
  <c r="AX66" i="2" s="1"/>
  <c r="AW148" i="2"/>
  <c r="AX148" i="2" s="1"/>
  <c r="AW183" i="2"/>
  <c r="AX183" i="2" s="1"/>
  <c r="AW231" i="2"/>
  <c r="AW106" i="2"/>
  <c r="AX106" i="2" s="1"/>
  <c r="AW205" i="2"/>
  <c r="AS205" i="2" s="1"/>
  <c r="AW70" i="2"/>
  <c r="AW221" i="2"/>
  <c r="AW32" i="2"/>
  <c r="AX32" i="2" s="1"/>
  <c r="AW167" i="2"/>
  <c r="AX167" i="2" s="1"/>
  <c r="AW59" i="2"/>
  <c r="AX36" i="38"/>
  <c r="AX90" i="38"/>
  <c r="AY90" i="38" s="1"/>
  <c r="AX252" i="38"/>
  <c r="AY252" i="38" s="1"/>
  <c r="AX162" i="38"/>
  <c r="AY162" i="38" s="1"/>
  <c r="AX112" i="38"/>
  <c r="AY112" i="38" s="1"/>
  <c r="AX78" i="38"/>
  <c r="AY78" i="38" s="1"/>
  <c r="AX147" i="38"/>
  <c r="AY147" i="38" s="1"/>
  <c r="AX227" i="38"/>
  <c r="AY227" i="38" s="1"/>
  <c r="AX206" i="38"/>
  <c r="AY206" i="38" s="1"/>
  <c r="AX22" i="38"/>
  <c r="AY22" i="38" s="1"/>
  <c r="AX115" i="38"/>
  <c r="AY115" i="38" s="1"/>
  <c r="AX132" i="38"/>
  <c r="AY132" i="38" s="1"/>
  <c r="AX247" i="38"/>
  <c r="AY247" i="38" s="1"/>
  <c r="AX272" i="38"/>
  <c r="AY272" i="38" s="1"/>
  <c r="AX54" i="38"/>
  <c r="AY54" i="38" s="1"/>
  <c r="AX214" i="38"/>
  <c r="AY214" i="38" s="1"/>
  <c r="AX262" i="38"/>
  <c r="AY262" i="38" s="1"/>
  <c r="AX73" i="38"/>
  <c r="AY73" i="38" s="1"/>
  <c r="AX33" i="38"/>
  <c r="AY33" i="38" s="1"/>
  <c r="AX65" i="38"/>
  <c r="AY65" i="38" s="1"/>
  <c r="AX82" i="38"/>
  <c r="AY82" i="38" s="1"/>
  <c r="AX233" i="38"/>
  <c r="AY233" i="38" s="1"/>
  <c r="AX306" i="38"/>
  <c r="AX226" i="38"/>
  <c r="AX181" i="38"/>
  <c r="AY181" i="38" s="1"/>
  <c r="AX273" i="38"/>
  <c r="AY273" i="38" s="1"/>
  <c r="AX216" i="38"/>
  <c r="AY216" i="38" s="1"/>
  <c r="AX60" i="38"/>
  <c r="AX297" i="38"/>
  <c r="AX62" i="38"/>
  <c r="AY62" i="38" s="1"/>
  <c r="AX319" i="38"/>
  <c r="AY319" i="38" s="1"/>
  <c r="AX110" i="38"/>
  <c r="AY110" i="38" s="1"/>
  <c r="AX311" i="38"/>
  <c r="AY311" i="38" s="1"/>
  <c r="AX169" i="38"/>
  <c r="AY169" i="38" s="1"/>
  <c r="AX94" i="38"/>
  <c r="AY94" i="38" s="1"/>
  <c r="AX171" i="38"/>
  <c r="AY171" i="38" s="1"/>
  <c r="AX231" i="38"/>
  <c r="AX74" i="38"/>
  <c r="AY74" i="38" s="1"/>
  <c r="AW317" i="2"/>
  <c r="AX317" i="2" s="1"/>
  <c r="AW310" i="2"/>
  <c r="AS310" i="2" s="1"/>
  <c r="AW301" i="2"/>
  <c r="AX301" i="2" s="1"/>
  <c r="AW273" i="2"/>
  <c r="AW272" i="2"/>
  <c r="AW271" i="2"/>
  <c r="AW278" i="2"/>
  <c r="AS278" i="2" s="1"/>
  <c r="AW264" i="2"/>
  <c r="AW260" i="2"/>
  <c r="AW250" i="2"/>
  <c r="AW22" i="2"/>
  <c r="AW91" i="2"/>
  <c r="AS91" i="2" s="1"/>
  <c r="AW143" i="2"/>
  <c r="AW50" i="2"/>
  <c r="AX50" i="2" s="1"/>
  <c r="AW174" i="2"/>
  <c r="AX174" i="2" s="1"/>
  <c r="AW134" i="2"/>
  <c r="AW95" i="2"/>
  <c r="AX95" i="2" s="1"/>
  <c r="AW229" i="2"/>
  <c r="AX229" i="2" s="1"/>
  <c r="AW226" i="2"/>
  <c r="AX226" i="2" s="1"/>
  <c r="AW27" i="2"/>
  <c r="AX27" i="2" s="1"/>
  <c r="AW54" i="2"/>
  <c r="AS54" i="2" s="1"/>
  <c r="AW232" i="2"/>
  <c r="AW108" i="2"/>
  <c r="AX108" i="2" s="1"/>
  <c r="AW191" i="2"/>
  <c r="AS191" i="2" s="1"/>
  <c r="AW119" i="2"/>
  <c r="AW215" i="2"/>
  <c r="AW52" i="2"/>
  <c r="AX52" i="2" s="1"/>
  <c r="AW151" i="2"/>
  <c r="AX151" i="2" s="1"/>
  <c r="AW220" i="2"/>
  <c r="AX220" i="2" s="1"/>
  <c r="AW79" i="2"/>
  <c r="AW146" i="2"/>
  <c r="AS146" i="2" s="1"/>
  <c r="AW18" i="2"/>
  <c r="AX18" i="2" s="1"/>
  <c r="AW98" i="2"/>
  <c r="AX98" i="2" s="1"/>
  <c r="AW178" i="2"/>
  <c r="AX178" i="2" s="1"/>
  <c r="AW31" i="2"/>
  <c r="AX31" i="2" s="1"/>
  <c r="AW58" i="2"/>
  <c r="AW15" i="2"/>
  <c r="AX15" i="2" s="1"/>
  <c r="AW154" i="2"/>
  <c r="AX154" i="2" s="1"/>
  <c r="AW26" i="2"/>
  <c r="AS26" i="2" s="1"/>
  <c r="AW127" i="2"/>
  <c r="AW222" i="2"/>
  <c r="AW65" i="2"/>
  <c r="AX65" i="2" s="1"/>
  <c r="AW160" i="2"/>
  <c r="AX160" i="2" s="1"/>
  <c r="AW233" i="2"/>
  <c r="AX233" i="2" s="1"/>
  <c r="AW90" i="2"/>
  <c r="AW193" i="2"/>
  <c r="AW24" i="2"/>
  <c r="AX24" i="2" s="1"/>
  <c r="AW103" i="2"/>
  <c r="AX103" i="2" s="1"/>
  <c r="AW194" i="2"/>
  <c r="AX194" i="2" s="1"/>
  <c r="AW85" i="2"/>
  <c r="AX85" i="2" s="1"/>
  <c r="AW122" i="2"/>
  <c r="AW21" i="2"/>
  <c r="AX21" i="2" s="1"/>
  <c r="AW158" i="2"/>
  <c r="AX158" i="2" s="1"/>
  <c r="AW40" i="2"/>
  <c r="AW131" i="2"/>
  <c r="AS131" i="2" s="1"/>
  <c r="AW234" i="2"/>
  <c r="AW73" i="2"/>
  <c r="AX73" i="2" s="1"/>
  <c r="AW164" i="2"/>
  <c r="AX164" i="2" s="1"/>
  <c r="AW33" i="2"/>
  <c r="AS33" i="2" s="1"/>
  <c r="AW104" i="2"/>
  <c r="AW207" i="2"/>
  <c r="AW35" i="2"/>
  <c r="AX35" i="2" s="1"/>
  <c r="AW110" i="2"/>
  <c r="AX110" i="2" s="1"/>
  <c r="AW199" i="2"/>
  <c r="AX199" i="2" s="1"/>
  <c r="AW94" i="2"/>
  <c r="AX94" i="2" s="1"/>
  <c r="AW126" i="2"/>
  <c r="AW42" i="2"/>
  <c r="AX42" i="2" s="1"/>
  <c r="AW171" i="2"/>
  <c r="AX171" i="2" s="1"/>
  <c r="AW45" i="2"/>
  <c r="AW135" i="2"/>
  <c r="AS135" i="2" s="1"/>
  <c r="AW242" i="2"/>
  <c r="AW83" i="2"/>
  <c r="AX83" i="2" s="1"/>
  <c r="AW168" i="2"/>
  <c r="AX168" i="2" s="1"/>
  <c r="AW20" i="2"/>
  <c r="AW120" i="2"/>
  <c r="AW211" i="2"/>
  <c r="AW152" i="2"/>
  <c r="AX152" i="2" s="1"/>
  <c r="AW213" i="2"/>
  <c r="AX213" i="2" s="1"/>
  <c r="AW162" i="2"/>
  <c r="AX162" i="2" s="1"/>
  <c r="AW144" i="2"/>
  <c r="AW51" i="2"/>
  <c r="AX51" i="2" s="1"/>
  <c r="AW176" i="2"/>
  <c r="AX176" i="2" s="1"/>
  <c r="AW67" i="2"/>
  <c r="AW145" i="2"/>
  <c r="AW137" i="2"/>
  <c r="AS137" i="2" s="1"/>
  <c r="AW92" i="2"/>
  <c r="AX92" i="2" s="1"/>
  <c r="AW177" i="2"/>
  <c r="AX177" i="2" s="1"/>
  <c r="AW36" i="2"/>
  <c r="AW124" i="2"/>
  <c r="AW223" i="2"/>
  <c r="AW53" i="2"/>
  <c r="AX53" i="2" s="1"/>
  <c r="AW156" i="2"/>
  <c r="AX156" i="2" s="1"/>
  <c r="AW235" i="2"/>
  <c r="AX235" i="2" s="1"/>
  <c r="AW166" i="2"/>
  <c r="AX166" i="2" s="1"/>
  <c r="AW203" i="2"/>
  <c r="AW77" i="2"/>
  <c r="AX77" i="2" s="1"/>
  <c r="AW197" i="2"/>
  <c r="AX197" i="2" s="1"/>
  <c r="AW75" i="2"/>
  <c r="AS75" i="2" s="1"/>
  <c r="AW185" i="2"/>
  <c r="AW23" i="2"/>
  <c r="AX23" i="2" s="1"/>
  <c r="AW96" i="2"/>
  <c r="AX96" i="2" s="1"/>
  <c r="AW182" i="2"/>
  <c r="AX182" i="2" s="1"/>
  <c r="AW46" i="2"/>
  <c r="AW128" i="2"/>
  <c r="AS128" i="2" s="1"/>
  <c r="AW230" i="2"/>
  <c r="AW74" i="2"/>
  <c r="AX74" i="2" s="1"/>
  <c r="AW161" i="2"/>
  <c r="AX161" i="2" s="1"/>
  <c r="AW212" i="2"/>
  <c r="AW218" i="2"/>
  <c r="AX218" i="2" s="1"/>
  <c r="AW209" i="2"/>
  <c r="AW82" i="2"/>
  <c r="AX82" i="2" s="1"/>
  <c r="AW201" i="2"/>
  <c r="AX201" i="2" s="1"/>
  <c r="AW102" i="2"/>
  <c r="AW192" i="2"/>
  <c r="AW29" i="2"/>
  <c r="AX29" i="2" s="1"/>
  <c r="AW109" i="2"/>
  <c r="AX109" i="2" s="1"/>
  <c r="AW190" i="2"/>
  <c r="AX190" i="2" s="1"/>
  <c r="AW56" i="2"/>
  <c r="AW136" i="2"/>
  <c r="AW236" i="2"/>
  <c r="AS236" i="2" s="1"/>
  <c r="AW80" i="2"/>
  <c r="AX80" i="2" s="1"/>
  <c r="AW169" i="2"/>
  <c r="AX169" i="2" s="1"/>
  <c r="AW217" i="2"/>
  <c r="AW228" i="2"/>
  <c r="AX228" i="2" s="1"/>
  <c r="AW100" i="2"/>
  <c r="AX100" i="2" s="1"/>
  <c r="AW238" i="2"/>
  <c r="AX238" i="2" s="1"/>
  <c r="AW115" i="2"/>
  <c r="AW210" i="2"/>
  <c r="AW34" i="2"/>
  <c r="AX34" i="2" s="1"/>
  <c r="AW147" i="2"/>
  <c r="AX147" i="2" s="1"/>
  <c r="AW202" i="2"/>
  <c r="AX202" i="2" s="1"/>
  <c r="AW60" i="2"/>
  <c r="AW142" i="2"/>
  <c r="AS142" i="2" s="1"/>
  <c r="AW113" i="2"/>
  <c r="AS113" i="2" s="1"/>
  <c r="AW84" i="2"/>
  <c r="AX84" i="2" s="1"/>
  <c r="AW173" i="2"/>
  <c r="AX173" i="2" s="1"/>
  <c r="AW49" i="2"/>
  <c r="AX49" i="2" s="1"/>
  <c r="AY259" i="38" l="1"/>
  <c r="BA259" i="38"/>
  <c r="BC259" i="38" s="1"/>
  <c r="AW259" i="38" s="1"/>
  <c r="AY254" i="38"/>
  <c r="BA254" i="38"/>
  <c r="BC254" i="38" s="1"/>
  <c r="AW254" i="38" s="1"/>
  <c r="AY55" i="38"/>
  <c r="BA55" i="38"/>
  <c r="BC55" i="38" s="1"/>
  <c r="AW55" i="38" s="1"/>
  <c r="AY281" i="38"/>
  <c r="BA281" i="38"/>
  <c r="BC281" i="38" s="1"/>
  <c r="AW281" i="38" s="1"/>
  <c r="AY48" i="38"/>
  <c r="BA48" i="38"/>
  <c r="BC48" i="38" s="1"/>
  <c r="AW48" i="38" s="1"/>
  <c r="AY265" i="38"/>
  <c r="BA265" i="38"/>
  <c r="BC265" i="38" s="1"/>
  <c r="AW265" i="38" s="1"/>
  <c r="AY251" i="38"/>
  <c r="BA251" i="38"/>
  <c r="BC251" i="38" s="1"/>
  <c r="AW251" i="38" s="1"/>
  <c r="AY56" i="38"/>
  <c r="BA56" i="38"/>
  <c r="BC56" i="38" s="1"/>
  <c r="AW56" i="38" s="1"/>
  <c r="AY175" i="38"/>
  <c r="BA175" i="38"/>
  <c r="BC175" i="38" s="1"/>
  <c r="AW175" i="38" s="1"/>
  <c r="AY209" i="38"/>
  <c r="BA209" i="38"/>
  <c r="BC209" i="38" s="1"/>
  <c r="AW209" i="38" s="1"/>
  <c r="AY304" i="38"/>
  <c r="BA304" i="38"/>
  <c r="BC304" i="38" s="1"/>
  <c r="AW304" i="38" s="1"/>
  <c r="AY294" i="38"/>
  <c r="BA294" i="38"/>
  <c r="BC294" i="38" s="1"/>
  <c r="AW294" i="38" s="1"/>
  <c r="AY306" i="38"/>
  <c r="BA306" i="38"/>
  <c r="BC306" i="38" s="1"/>
  <c r="AW306" i="38" s="1"/>
  <c r="AY186" i="38"/>
  <c r="BA186" i="38"/>
  <c r="BC186" i="38" s="1"/>
  <c r="AW186" i="38" s="1"/>
  <c r="AY292" i="38"/>
  <c r="BA292" i="38"/>
  <c r="BC292" i="38" s="1"/>
  <c r="AW292" i="38" s="1"/>
  <c r="AY231" i="38"/>
  <c r="BA231" i="38"/>
  <c r="BC231" i="38" s="1"/>
  <c r="AW231" i="38" s="1"/>
  <c r="AY297" i="38"/>
  <c r="BA297" i="38"/>
  <c r="BC297" i="38" s="1"/>
  <c r="AW297" i="38" s="1"/>
  <c r="AY185" i="38"/>
  <c r="BA185" i="38"/>
  <c r="BC185" i="38" s="1"/>
  <c r="AW185" i="38" s="1"/>
  <c r="AY215" i="38"/>
  <c r="BA215" i="38"/>
  <c r="BC215" i="38" s="1"/>
  <c r="AW215" i="38" s="1"/>
  <c r="AY69" i="38"/>
  <c r="BA69" i="38"/>
  <c r="BC69" i="38" s="1"/>
  <c r="AW69" i="38" s="1"/>
  <c r="AY180" i="38"/>
  <c r="BA180" i="38"/>
  <c r="BC180" i="38" s="1"/>
  <c r="AW180" i="38" s="1"/>
  <c r="AY60" i="38"/>
  <c r="BA60" i="38"/>
  <c r="BC60" i="38" s="1"/>
  <c r="AW60" i="38" s="1"/>
  <c r="AY255" i="38"/>
  <c r="BA255" i="38"/>
  <c r="BC255" i="38" s="1"/>
  <c r="AW255" i="38" s="1"/>
  <c r="AY70" i="38"/>
  <c r="BA70" i="38"/>
  <c r="BC70" i="38" s="1"/>
  <c r="AW70" i="38" s="1"/>
  <c r="AY104" i="38"/>
  <c r="BA104" i="38"/>
  <c r="BC104" i="38" s="1"/>
  <c r="AW104" i="38" s="1"/>
  <c r="AY314" i="38"/>
  <c r="BA314" i="38"/>
  <c r="BC314" i="38" s="1"/>
  <c r="AW314" i="38" s="1"/>
  <c r="AY293" i="38"/>
  <c r="BA293" i="38"/>
  <c r="BC293" i="38" s="1"/>
  <c r="AW293" i="38" s="1"/>
  <c r="AY295" i="38"/>
  <c r="BA295" i="38"/>
  <c r="BC295" i="38" s="1"/>
  <c r="AW295" i="38" s="1"/>
  <c r="AY230" i="38"/>
  <c r="BA230" i="38"/>
  <c r="BC230" i="38" s="1"/>
  <c r="AW230" i="38" s="1"/>
  <c r="AY46" i="38"/>
  <c r="BA46" i="38"/>
  <c r="BC46" i="38" s="1"/>
  <c r="AW46" i="38" s="1"/>
  <c r="AY43" i="38"/>
  <c r="BA43" i="38"/>
  <c r="BC43" i="38" s="1"/>
  <c r="AW43" i="38" s="1"/>
  <c r="AY207" i="38"/>
  <c r="BA207" i="38"/>
  <c r="BC207" i="38" s="1"/>
  <c r="AW207" i="38" s="1"/>
  <c r="AY208" i="38"/>
  <c r="BA208" i="38"/>
  <c r="BC208" i="38" s="1"/>
  <c r="AW208" i="38" s="1"/>
  <c r="AY275" i="38"/>
  <c r="BA275" i="38"/>
  <c r="BC275" i="38" s="1"/>
  <c r="AW275" i="38" s="1"/>
  <c r="AY41" i="38"/>
  <c r="BA41" i="38"/>
  <c r="BC41" i="38" s="1"/>
  <c r="AW41" i="38" s="1"/>
  <c r="AY219" i="38"/>
  <c r="BA219" i="38"/>
  <c r="BC219" i="38" s="1"/>
  <c r="AW219" i="38" s="1"/>
  <c r="AY40" i="38"/>
  <c r="BA40" i="38"/>
  <c r="BC40" i="38" s="1"/>
  <c r="AW40" i="38" s="1"/>
  <c r="AY212" i="38"/>
  <c r="BA212" i="38"/>
  <c r="BC212" i="38" s="1"/>
  <c r="AW212" i="38" s="1"/>
  <c r="AY10" i="38"/>
  <c r="BA10" i="38"/>
  <c r="AY210" i="38"/>
  <c r="BA210" i="38"/>
  <c r="BC210" i="38" s="1"/>
  <c r="AW210" i="38" s="1"/>
  <c r="AY289" i="38"/>
  <c r="BA289" i="38"/>
  <c r="BC289" i="38" s="1"/>
  <c r="AW289" i="38" s="1"/>
  <c r="AY44" i="38"/>
  <c r="BA44" i="38"/>
  <c r="BC44" i="38" s="1"/>
  <c r="AW44" i="38" s="1"/>
  <c r="AY36" i="38"/>
  <c r="BA36" i="38"/>
  <c r="BC36" i="38" s="1"/>
  <c r="AW36" i="38" s="1"/>
  <c r="AY274" i="38"/>
  <c r="BA274" i="38"/>
  <c r="BC274" i="38" s="1"/>
  <c r="AW274" i="38" s="1"/>
  <c r="AY249" i="38"/>
  <c r="BA249" i="38"/>
  <c r="BC249" i="38" s="1"/>
  <c r="AW249" i="38" s="1"/>
  <c r="AY266" i="38"/>
  <c r="BA266" i="38"/>
  <c r="BC266" i="38" s="1"/>
  <c r="AW266" i="38" s="1"/>
  <c r="AY226" i="38"/>
  <c r="BA226" i="38"/>
  <c r="AY202" i="38"/>
  <c r="BA202" i="38"/>
  <c r="BC202" i="38" s="1"/>
  <c r="AW202" i="38" s="1"/>
  <c r="AY296" i="38"/>
  <c r="BA296" i="38"/>
  <c r="BC296" i="38" s="1"/>
  <c r="AW296" i="38" s="1"/>
  <c r="AY221" i="38"/>
  <c r="BA221" i="38"/>
  <c r="BC221" i="38" s="1"/>
  <c r="AW221" i="38" s="1"/>
  <c r="AY302" i="38"/>
  <c r="BA302" i="38"/>
  <c r="BC302" i="38" s="1"/>
  <c r="AW302" i="38" s="1"/>
  <c r="AY291" i="38"/>
  <c r="BA291" i="38"/>
  <c r="BC291" i="38" s="1"/>
  <c r="AW291" i="38" s="1"/>
  <c r="AY309" i="38"/>
  <c r="BA309" i="38"/>
  <c r="BC309" i="38" s="1"/>
  <c r="AW309" i="38" s="1"/>
  <c r="AY45" i="38"/>
  <c r="BA45" i="38"/>
  <c r="BC45" i="38" s="1"/>
  <c r="AW45" i="38" s="1"/>
  <c r="AY298" i="38"/>
  <c r="BA298" i="38"/>
  <c r="BC298" i="38" s="1"/>
  <c r="AW298" i="38" s="1"/>
  <c r="AY234" i="38"/>
  <c r="BA234" i="38"/>
  <c r="BC234" i="38" s="1"/>
  <c r="AW234" i="38" s="1"/>
  <c r="AY222" i="38"/>
  <c r="BA222" i="38"/>
  <c r="BC222" i="38" s="1"/>
  <c r="AW222" i="38" s="1"/>
  <c r="AY232" i="38"/>
  <c r="BA232" i="38"/>
  <c r="BC232" i="38" s="1"/>
  <c r="AW232" i="38" s="1"/>
  <c r="AY38" i="38"/>
  <c r="BA38" i="38"/>
  <c r="BC38" i="38" s="1"/>
  <c r="AW38" i="38" s="1"/>
  <c r="AY223" i="38"/>
  <c r="BA223" i="38"/>
  <c r="BC223" i="38" s="1"/>
  <c r="AW223" i="38" s="1"/>
  <c r="AY191" i="38"/>
  <c r="BA191" i="38"/>
  <c r="BC191" i="38" s="1"/>
  <c r="AW191" i="38" s="1"/>
  <c r="AY187" i="38"/>
  <c r="BA187" i="38"/>
  <c r="BC187" i="38" s="1"/>
  <c r="AW187" i="38" s="1"/>
  <c r="AU142" i="2"/>
  <c r="BC142" i="2"/>
  <c r="BC139" i="2"/>
  <c r="AU139" i="2"/>
  <c r="AX275" i="2"/>
  <c r="AS275" i="2"/>
  <c r="BC275" i="2" s="1"/>
  <c r="AT232" i="42"/>
  <c r="BD232" i="42" s="1"/>
  <c r="AY232" i="42"/>
  <c r="AT245" i="42"/>
  <c r="BD245" i="42" s="1"/>
  <c r="AY245" i="42"/>
  <c r="AS115" i="2"/>
  <c r="BC115" i="2" s="1"/>
  <c r="AX115" i="2"/>
  <c r="AX136" i="2"/>
  <c r="AS136" i="2"/>
  <c r="BC136" i="2" s="1"/>
  <c r="AS46" i="2"/>
  <c r="BC46" i="2" s="1"/>
  <c r="AX46" i="2"/>
  <c r="AS203" i="2"/>
  <c r="BC203" i="2" s="1"/>
  <c r="AX203" i="2"/>
  <c r="AS242" i="2"/>
  <c r="BC242" i="2" s="1"/>
  <c r="AX242" i="2"/>
  <c r="BC146" i="2"/>
  <c r="AU146" i="2"/>
  <c r="BC278" i="2"/>
  <c r="AU278" i="2"/>
  <c r="AS221" i="2"/>
  <c r="BC221" i="2" s="1"/>
  <c r="AX221" i="2"/>
  <c r="AS243" i="2"/>
  <c r="BC243" i="2" s="1"/>
  <c r="AX243" i="2"/>
  <c r="AS204" i="2"/>
  <c r="BC204" i="2" s="1"/>
  <c r="AX204" i="2"/>
  <c r="BC130" i="2"/>
  <c r="AU130" i="2"/>
  <c r="BC87" i="2"/>
  <c r="AU87" i="2"/>
  <c r="AS298" i="2"/>
  <c r="BC298" i="2" s="1"/>
  <c r="AX298" i="2"/>
  <c r="AX255" i="2"/>
  <c r="AS255" i="2"/>
  <c r="BC255" i="2" s="1"/>
  <c r="AS285" i="2"/>
  <c r="BC285" i="2" s="1"/>
  <c r="AX285" i="2"/>
  <c r="AS263" i="2"/>
  <c r="BC263" i="2" s="1"/>
  <c r="AX263" i="2"/>
  <c r="BC88" i="2"/>
  <c r="AU88" i="2"/>
  <c r="AS37" i="2"/>
  <c r="BC37" i="2" s="1"/>
  <c r="AX37" i="2"/>
  <c r="AX299" i="2"/>
  <c r="AS299" i="2"/>
  <c r="BC299" i="2" s="1"/>
  <c r="AT217" i="42"/>
  <c r="BD217" i="42" s="1"/>
  <c r="AY217" i="42"/>
  <c r="BD236" i="42"/>
  <c r="AV236" i="42"/>
  <c r="AT122" i="42"/>
  <c r="BD122" i="42" s="1"/>
  <c r="AY122" i="42"/>
  <c r="AT203" i="42"/>
  <c r="BD203" i="42" s="1"/>
  <c r="AY203" i="42"/>
  <c r="BD310" i="42"/>
  <c r="AV310" i="42"/>
  <c r="AT207" i="42"/>
  <c r="BD207" i="42" s="1"/>
  <c r="AY207" i="42"/>
  <c r="AT309" i="42"/>
  <c r="BD309" i="42" s="1"/>
  <c r="AY309" i="42"/>
  <c r="AT48" i="42"/>
  <c r="BD48" i="42" s="1"/>
  <c r="AY48" i="42"/>
  <c r="AT305" i="42"/>
  <c r="BD305" i="42" s="1"/>
  <c r="AY305" i="42"/>
  <c r="AT159" i="42"/>
  <c r="BD159" i="42" s="1"/>
  <c r="AY159" i="42"/>
  <c r="BD22" i="42"/>
  <c r="AV22" i="42"/>
  <c r="AT221" i="42"/>
  <c r="BD221" i="42" s="1"/>
  <c r="AY221" i="42"/>
  <c r="AT257" i="42"/>
  <c r="BD257" i="42" s="1"/>
  <c r="AY257" i="42"/>
  <c r="AT56" i="42"/>
  <c r="BD56" i="42" s="1"/>
  <c r="AY56" i="42"/>
  <c r="BD25" i="42"/>
  <c r="AV25" i="42"/>
  <c r="AT45" i="42"/>
  <c r="BD45" i="42" s="1"/>
  <c r="AY45" i="42"/>
  <c r="AT188" i="42"/>
  <c r="BD188" i="42" s="1"/>
  <c r="AY188" i="42"/>
  <c r="AT223" i="42"/>
  <c r="BD223" i="42" s="1"/>
  <c r="AY223" i="42"/>
  <c r="BD14" i="42"/>
  <c r="AV14" i="42"/>
  <c r="AT102" i="42"/>
  <c r="BD102" i="42" s="1"/>
  <c r="AY102" i="42"/>
  <c r="AT143" i="42"/>
  <c r="BD143" i="42" s="1"/>
  <c r="AY143" i="42"/>
  <c r="AT10" i="42"/>
  <c r="BD10" i="42" s="1"/>
  <c r="AY10" i="42"/>
  <c r="AU282" i="2"/>
  <c r="BC282" i="2"/>
  <c r="AX132" i="2"/>
  <c r="AS132" i="2"/>
  <c r="BC132" i="2" s="1"/>
  <c r="AS210" i="2"/>
  <c r="BC210" i="2" s="1"/>
  <c r="AX210" i="2"/>
  <c r="BC236" i="2"/>
  <c r="AU236" i="2"/>
  <c r="AX144" i="2"/>
  <c r="AS144" i="2"/>
  <c r="BC144" i="2" s="1"/>
  <c r="AU191" i="2"/>
  <c r="BC191" i="2"/>
  <c r="AS264" i="2"/>
  <c r="BC264" i="2" s="1"/>
  <c r="AX264" i="2"/>
  <c r="BC214" i="2"/>
  <c r="AU214" i="2"/>
  <c r="AS262" i="2"/>
  <c r="BC262" i="2" s="1"/>
  <c r="AX262" i="2"/>
  <c r="AX248" i="2"/>
  <c r="AS248" i="2"/>
  <c r="BC248" i="2" s="1"/>
  <c r="AS244" i="2"/>
  <c r="BC244" i="2" s="1"/>
  <c r="AX244" i="2"/>
  <c r="AX291" i="2"/>
  <c r="AS291" i="2"/>
  <c r="BC291" i="2" s="1"/>
  <c r="AS253" i="2"/>
  <c r="BC253" i="2" s="1"/>
  <c r="AX253" i="2"/>
  <c r="AS105" i="2"/>
  <c r="BC105" i="2" s="1"/>
  <c r="AX105" i="2"/>
  <c r="AU131" i="2"/>
  <c r="BC131" i="2"/>
  <c r="BC26" i="2"/>
  <c r="AU26" i="2"/>
  <c r="AT113" i="2"/>
  <c r="BC113" i="2"/>
  <c r="AS56" i="2"/>
  <c r="BC56" i="2" s="1"/>
  <c r="AX56" i="2"/>
  <c r="AS209" i="2"/>
  <c r="BC209" i="2" s="1"/>
  <c r="AX209" i="2"/>
  <c r="AU135" i="2"/>
  <c r="BC135" i="2"/>
  <c r="AS40" i="2"/>
  <c r="BC40" i="2" s="1"/>
  <c r="AX40" i="2"/>
  <c r="AS193" i="2"/>
  <c r="BC193" i="2" s="1"/>
  <c r="AX193" i="2"/>
  <c r="AX79" i="2"/>
  <c r="AS79" i="2"/>
  <c r="BC79" i="2" s="1"/>
  <c r="AX232" i="2"/>
  <c r="AS232" i="2"/>
  <c r="BC232" i="2" s="1"/>
  <c r="AS271" i="2"/>
  <c r="BC271" i="2" s="1"/>
  <c r="AX271" i="2"/>
  <c r="AS70" i="2"/>
  <c r="BC70" i="2" s="1"/>
  <c r="AX70" i="2"/>
  <c r="AS186" i="2"/>
  <c r="BC186" i="2" s="1"/>
  <c r="AX186" i="2"/>
  <c r="AS123" i="2"/>
  <c r="BC123" i="2" s="1"/>
  <c r="AX123" i="2"/>
  <c r="AU63" i="2"/>
  <c r="BC63" i="2"/>
  <c r="AX10" i="2"/>
  <c r="AS10" i="2"/>
  <c r="BC10" i="2" s="1"/>
  <c r="AS306" i="2"/>
  <c r="BC306" i="2" s="1"/>
  <c r="AX306" i="2"/>
  <c r="AX297" i="2"/>
  <c r="AS297" i="2"/>
  <c r="BC297" i="2" s="1"/>
  <c r="AS257" i="2"/>
  <c r="BC257" i="2" s="1"/>
  <c r="AX257" i="2"/>
  <c r="BC206" i="2"/>
  <c r="AT206" i="2"/>
  <c r="BC241" i="2"/>
  <c r="AU241" i="2"/>
  <c r="BC196" i="2"/>
  <c r="AU196" i="2"/>
  <c r="AS286" i="2"/>
  <c r="BC286" i="2" s="1"/>
  <c r="AX286" i="2"/>
  <c r="AS284" i="2"/>
  <c r="BC284" i="2" s="1"/>
  <c r="AX284" i="2"/>
  <c r="BC12" i="2"/>
  <c r="AU12" i="2"/>
  <c r="AS246" i="2"/>
  <c r="BC246" i="2" s="1"/>
  <c r="AX246" i="2"/>
  <c r="AX309" i="2"/>
  <c r="AS309" i="2"/>
  <c r="BC309" i="2" s="1"/>
  <c r="AT289" i="42"/>
  <c r="BD289" i="42" s="1"/>
  <c r="AY289" i="42"/>
  <c r="AT120" i="42"/>
  <c r="BD120" i="42" s="1"/>
  <c r="AY120" i="42"/>
  <c r="BD135" i="42"/>
  <c r="AV135" i="42"/>
  <c r="AT36" i="42"/>
  <c r="BD36" i="42" s="1"/>
  <c r="AY36" i="42"/>
  <c r="AT282" i="42"/>
  <c r="BD282" i="42" s="1"/>
  <c r="AY282" i="42"/>
  <c r="AT259" i="42"/>
  <c r="BD259" i="42" s="1"/>
  <c r="AY259" i="42"/>
  <c r="AT316" i="42"/>
  <c r="BD316" i="42" s="1"/>
  <c r="AY316" i="42"/>
  <c r="AT296" i="42"/>
  <c r="BD296" i="42" s="1"/>
  <c r="AY296" i="42"/>
  <c r="AT304" i="42"/>
  <c r="BD304" i="42" s="1"/>
  <c r="AY304" i="42"/>
  <c r="BD311" i="42"/>
  <c r="AV311" i="42"/>
  <c r="AT230" i="42"/>
  <c r="BD230" i="42" s="1"/>
  <c r="AY230" i="42"/>
  <c r="BD63" i="42"/>
  <c r="AV63" i="42"/>
  <c r="BD107" i="42"/>
  <c r="AV107" i="42"/>
  <c r="AT115" i="42"/>
  <c r="BD115" i="42" s="1"/>
  <c r="AY115" i="42"/>
  <c r="AT211" i="42"/>
  <c r="BD211" i="42" s="1"/>
  <c r="AY211" i="42"/>
  <c r="BD26" i="42"/>
  <c r="AV26" i="42"/>
  <c r="AT129" i="42"/>
  <c r="BD129" i="42" s="1"/>
  <c r="AY129" i="42"/>
  <c r="AT216" i="42"/>
  <c r="BD216" i="42" s="1"/>
  <c r="AY216" i="42"/>
  <c r="AT132" i="42"/>
  <c r="BD132" i="42" s="1"/>
  <c r="AY132" i="42"/>
  <c r="AT70" i="42"/>
  <c r="BD70" i="42" s="1"/>
  <c r="AY70" i="42"/>
  <c r="AT303" i="42"/>
  <c r="BD303" i="42" s="1"/>
  <c r="AY303" i="42"/>
  <c r="AT208" i="42"/>
  <c r="BD208" i="42" s="1"/>
  <c r="AY208" i="42"/>
  <c r="AT141" i="2"/>
  <c r="BC141" i="2"/>
  <c r="AS281" i="2"/>
  <c r="BC281" i="2" s="1"/>
  <c r="AX281" i="2"/>
  <c r="AS266" i="2"/>
  <c r="BC266" i="2" s="1"/>
  <c r="AX266" i="2"/>
  <c r="AX316" i="2"/>
  <c r="AS316" i="2"/>
  <c r="BC316" i="2" s="1"/>
  <c r="AT297" i="42"/>
  <c r="BD297" i="42" s="1"/>
  <c r="AY297" i="42"/>
  <c r="AT299" i="42"/>
  <c r="BD299" i="42" s="1"/>
  <c r="AY299" i="42"/>
  <c r="AT295" i="42"/>
  <c r="BD295" i="42" s="1"/>
  <c r="AY295" i="42"/>
  <c r="AT276" i="42"/>
  <c r="BD276" i="42" s="1"/>
  <c r="AY276" i="42"/>
  <c r="AT59" i="42"/>
  <c r="BD59" i="42" s="1"/>
  <c r="AY59" i="42"/>
  <c r="AT277" i="42"/>
  <c r="BD277" i="42" s="1"/>
  <c r="AY277" i="42"/>
  <c r="AT191" i="42"/>
  <c r="BD191" i="42" s="1"/>
  <c r="AY191" i="42"/>
  <c r="AT293" i="42"/>
  <c r="BD293" i="42" s="1"/>
  <c r="AY293" i="42"/>
  <c r="AT272" i="42"/>
  <c r="BD272" i="42" s="1"/>
  <c r="AY272" i="42"/>
  <c r="AT97" i="42"/>
  <c r="BD97" i="42" s="1"/>
  <c r="AY97" i="42"/>
  <c r="BD131" i="42"/>
  <c r="AV131" i="42"/>
  <c r="AT288" i="42"/>
  <c r="BD288" i="42" s="1"/>
  <c r="AY288" i="42"/>
  <c r="BD139" i="42"/>
  <c r="AV139" i="42"/>
  <c r="AT279" i="42"/>
  <c r="BD279" i="42" s="1"/>
  <c r="AY279" i="42"/>
  <c r="AT261" i="42"/>
  <c r="BD261" i="42" s="1"/>
  <c r="AY261" i="42"/>
  <c r="AT127" i="42"/>
  <c r="BD127" i="42" s="1"/>
  <c r="AY127" i="42"/>
  <c r="AU180" i="42"/>
  <c r="BD180" i="42"/>
  <c r="AT33" i="42"/>
  <c r="AY33" i="42"/>
  <c r="AT185" i="42"/>
  <c r="BD185" i="42" s="1"/>
  <c r="AY185" i="42"/>
  <c r="BD121" i="42"/>
  <c r="AV121" i="42"/>
  <c r="BD88" i="42"/>
  <c r="AV88" i="42"/>
  <c r="AT126" i="42"/>
  <c r="BD126" i="42" s="1"/>
  <c r="AY126" i="42"/>
  <c r="BD239" i="42"/>
  <c r="AV239" i="42"/>
  <c r="AT258" i="42"/>
  <c r="BD258" i="42" s="1"/>
  <c r="AY258" i="42"/>
  <c r="AT137" i="2"/>
  <c r="BC137" i="2"/>
  <c r="AX45" i="2"/>
  <c r="AS45" i="2"/>
  <c r="BC45" i="2" s="1"/>
  <c r="AS207" i="2"/>
  <c r="BC207" i="2" s="1"/>
  <c r="AX207" i="2"/>
  <c r="AS90" i="2"/>
  <c r="BC90" i="2" s="1"/>
  <c r="AX90" i="2"/>
  <c r="AU54" i="2"/>
  <c r="BC54" i="2"/>
  <c r="AS143" i="2"/>
  <c r="BC143" i="2" s="1"/>
  <c r="AX143" i="2"/>
  <c r="AS272" i="2"/>
  <c r="BC272" i="2" s="1"/>
  <c r="AX272" i="2"/>
  <c r="AT205" i="2"/>
  <c r="BC205" i="2"/>
  <c r="AS116" i="2"/>
  <c r="BC116" i="2" s="1"/>
  <c r="AX116" i="2"/>
  <c r="AS55" i="2"/>
  <c r="BC55" i="2" s="1"/>
  <c r="AX55" i="2"/>
  <c r="AS247" i="2"/>
  <c r="BC247" i="2" s="1"/>
  <c r="AX247" i="2"/>
  <c r="AU141" i="42"/>
  <c r="BD141" i="42"/>
  <c r="AS60" i="2"/>
  <c r="BC60" i="2" s="1"/>
  <c r="AX60" i="2"/>
  <c r="AS212" i="2"/>
  <c r="BC212" i="2" s="1"/>
  <c r="AX212" i="2"/>
  <c r="AX145" i="2"/>
  <c r="AS145" i="2"/>
  <c r="BC145" i="2" s="1"/>
  <c r="AX211" i="2"/>
  <c r="AS211" i="2"/>
  <c r="BC211" i="2" s="1"/>
  <c r="AX104" i="2"/>
  <c r="AS104" i="2"/>
  <c r="BC104" i="2" s="1"/>
  <c r="AS58" i="2"/>
  <c r="BC58" i="2" s="1"/>
  <c r="AX58" i="2"/>
  <c r="BC91" i="2"/>
  <c r="AU91" i="2"/>
  <c r="AX273" i="2"/>
  <c r="AS273" i="2"/>
  <c r="BC273" i="2" s="1"/>
  <c r="AS41" i="2"/>
  <c r="BC41" i="2" s="1"/>
  <c r="AX41" i="2"/>
  <c r="AS256" i="2"/>
  <c r="BC256" i="2" s="1"/>
  <c r="AX256" i="2"/>
  <c r="BC69" i="2"/>
  <c r="AU69" i="2"/>
  <c r="AS295" i="2"/>
  <c r="BC295" i="2" s="1"/>
  <c r="AX295" i="2"/>
  <c r="AX289" i="2"/>
  <c r="AS289" i="2"/>
  <c r="BC289" i="2" s="1"/>
  <c r="AS44" i="2"/>
  <c r="BC44" i="2" s="1"/>
  <c r="AX44" i="2"/>
  <c r="AX216" i="2"/>
  <c r="AS216" i="2"/>
  <c r="BC216" i="2" s="1"/>
  <c r="BC140" i="2"/>
  <c r="AU140" i="2"/>
  <c r="AU107" i="2"/>
  <c r="BC107" i="2"/>
  <c r="AX48" i="2"/>
  <c r="AS48" i="2"/>
  <c r="BC48" i="2" s="1"/>
  <c r="AX114" i="2"/>
  <c r="AS114" i="2"/>
  <c r="BC114" i="2" s="1"/>
  <c r="BC187" i="2"/>
  <c r="AU187" i="2"/>
  <c r="AS280" i="2"/>
  <c r="BC280" i="2" s="1"/>
  <c r="AX280" i="2"/>
  <c r="AS259" i="2"/>
  <c r="BC259" i="2" s="1"/>
  <c r="AX259" i="2"/>
  <c r="AT294" i="42"/>
  <c r="BD294" i="42" s="1"/>
  <c r="AY294" i="42"/>
  <c r="BD249" i="42"/>
  <c r="AV249" i="42"/>
  <c r="AT280" i="42"/>
  <c r="BD280" i="42" s="1"/>
  <c r="AY280" i="42"/>
  <c r="AT113" i="42"/>
  <c r="AY113" i="42"/>
  <c r="AT260" i="42"/>
  <c r="BD260" i="42" s="1"/>
  <c r="AY260" i="42"/>
  <c r="AT116" i="42"/>
  <c r="BD116" i="42" s="1"/>
  <c r="AY116" i="42"/>
  <c r="AT273" i="42"/>
  <c r="BD273" i="42" s="1"/>
  <c r="AY273" i="42"/>
  <c r="AT292" i="42"/>
  <c r="BD292" i="42" s="1"/>
  <c r="AY292" i="42"/>
  <c r="AT281" i="42"/>
  <c r="BD281" i="42" s="1"/>
  <c r="AY281" i="42"/>
  <c r="BD227" i="42"/>
  <c r="AV227" i="42"/>
  <c r="AT20" i="42"/>
  <c r="BD20" i="42" s="1"/>
  <c r="AY20" i="42"/>
  <c r="AT119" i="42"/>
  <c r="BD119" i="42" s="1"/>
  <c r="AY119" i="42"/>
  <c r="BD224" i="42"/>
  <c r="AV224" i="42"/>
  <c r="AT287" i="42"/>
  <c r="BD287" i="42" s="1"/>
  <c r="AY287" i="42"/>
  <c r="AT61" i="42"/>
  <c r="BD61" i="42" s="1"/>
  <c r="AY61" i="42"/>
  <c r="AT55" i="42"/>
  <c r="BD55" i="42" s="1"/>
  <c r="AY55" i="42"/>
  <c r="AT247" i="42"/>
  <c r="BD247" i="42" s="1"/>
  <c r="AY247" i="42"/>
  <c r="BD12" i="42"/>
  <c r="AV12" i="42"/>
  <c r="AT286" i="42"/>
  <c r="BD286" i="42" s="1"/>
  <c r="AY286" i="42"/>
  <c r="AT89" i="42"/>
  <c r="BD89" i="42" s="1"/>
  <c r="AY89" i="42"/>
  <c r="BC133" i="2"/>
  <c r="AU133" i="2"/>
  <c r="AS296" i="2"/>
  <c r="BC296" i="2" s="1"/>
  <c r="AX296" i="2"/>
  <c r="AS258" i="2"/>
  <c r="BC258" i="2" s="1"/>
  <c r="AX258" i="2"/>
  <c r="AX118" i="2"/>
  <c r="AS118" i="2"/>
  <c r="BC118" i="2" s="1"/>
  <c r="AX294" i="2"/>
  <c r="AS294" i="2"/>
  <c r="BC294" i="2" s="1"/>
  <c r="AX188" i="2"/>
  <c r="AS188" i="2"/>
  <c r="BC188" i="2" s="1"/>
  <c r="AU227" i="2"/>
  <c r="BC227" i="2"/>
  <c r="AS175" i="2"/>
  <c r="BC175" i="2" s="1"/>
  <c r="AX175" i="2"/>
  <c r="AU288" i="2"/>
  <c r="BC288" i="2"/>
  <c r="AT234" i="42"/>
  <c r="BD234" i="42" s="1"/>
  <c r="AY234" i="42"/>
  <c r="AT144" i="42"/>
  <c r="BD144" i="42" s="1"/>
  <c r="AY144" i="42"/>
  <c r="BD140" i="42"/>
  <c r="AV140" i="42"/>
  <c r="AT285" i="42"/>
  <c r="BD285" i="42" s="1"/>
  <c r="AY285" i="42"/>
  <c r="AT275" i="42"/>
  <c r="BD275" i="42" s="1"/>
  <c r="AY275" i="42"/>
  <c r="AT264" i="42"/>
  <c r="BD264" i="42" s="1"/>
  <c r="AY264" i="42"/>
  <c r="AT283" i="42"/>
  <c r="BD283" i="42" s="1"/>
  <c r="AY283" i="42"/>
  <c r="AT104" i="42"/>
  <c r="BD104" i="42" s="1"/>
  <c r="AY104" i="42"/>
  <c r="AT291" i="42"/>
  <c r="BD291" i="42" s="1"/>
  <c r="AY291" i="42"/>
  <c r="AT215" i="42"/>
  <c r="BD215" i="42" s="1"/>
  <c r="AY215" i="42"/>
  <c r="AT262" i="42"/>
  <c r="BD262" i="42" s="1"/>
  <c r="AY262" i="42"/>
  <c r="AT306" i="42"/>
  <c r="BD306" i="42" s="1"/>
  <c r="AY306" i="42"/>
  <c r="AT124" i="42"/>
  <c r="BD124" i="42" s="1"/>
  <c r="AY124" i="42"/>
  <c r="AT60" i="42"/>
  <c r="BD60" i="42" s="1"/>
  <c r="AY60" i="42"/>
  <c r="AU137" i="42"/>
  <c r="BD137" i="42"/>
  <c r="AT38" i="42"/>
  <c r="BD38" i="42" s="1"/>
  <c r="AY38" i="42"/>
  <c r="AT192" i="42"/>
  <c r="BD192" i="42" s="1"/>
  <c r="AY192" i="42"/>
  <c r="AT46" i="42"/>
  <c r="BD46" i="42" s="1"/>
  <c r="AY46" i="42"/>
  <c r="AU117" i="2"/>
  <c r="BC117" i="2"/>
  <c r="AS279" i="2"/>
  <c r="BC279" i="2" s="1"/>
  <c r="AX279" i="2"/>
  <c r="BD133" i="42"/>
  <c r="AV133" i="42"/>
  <c r="AT105" i="42"/>
  <c r="BD105" i="42" s="1"/>
  <c r="AY105" i="42"/>
  <c r="AT58" i="42"/>
  <c r="BD58" i="42" s="1"/>
  <c r="AY58" i="42"/>
  <c r="AT284" i="42"/>
  <c r="BD284" i="42" s="1"/>
  <c r="AY284" i="42"/>
  <c r="AT212" i="42"/>
  <c r="BD212" i="42" s="1"/>
  <c r="AY212" i="42"/>
  <c r="AT114" i="42"/>
  <c r="BD114" i="42" s="1"/>
  <c r="AY114" i="42"/>
  <c r="AT253" i="42"/>
  <c r="BD253" i="42" s="1"/>
  <c r="AY253" i="42"/>
  <c r="BD142" i="42"/>
  <c r="AV142" i="42"/>
  <c r="AS192" i="2"/>
  <c r="BC192" i="2" s="1"/>
  <c r="AX192" i="2"/>
  <c r="AU75" i="2"/>
  <c r="BC75" i="2"/>
  <c r="AX223" i="2"/>
  <c r="AS223" i="2"/>
  <c r="BC223" i="2" s="1"/>
  <c r="AS20" i="2"/>
  <c r="BC20" i="2" s="1"/>
  <c r="AX20" i="2"/>
  <c r="AS126" i="2"/>
  <c r="BC126" i="2" s="1"/>
  <c r="AX126" i="2"/>
  <c r="AS215" i="2"/>
  <c r="BC215" i="2" s="1"/>
  <c r="AX215" i="2"/>
  <c r="AS250" i="2"/>
  <c r="BC250" i="2" s="1"/>
  <c r="AX250" i="2"/>
  <c r="BC310" i="2"/>
  <c r="AU310" i="2"/>
  <c r="AS59" i="2"/>
  <c r="BC59" i="2" s="1"/>
  <c r="AX59" i="2"/>
  <c r="AX274" i="2"/>
  <c r="AS274" i="2"/>
  <c r="BC274" i="2" s="1"/>
  <c r="AS251" i="2"/>
  <c r="BC251" i="2" s="1"/>
  <c r="AX251" i="2"/>
  <c r="BC311" i="2"/>
  <c r="AU311" i="2"/>
  <c r="AS129" i="2"/>
  <c r="BC129" i="2" s="1"/>
  <c r="AX129" i="2"/>
  <c r="AX293" i="2"/>
  <c r="AS293" i="2"/>
  <c r="BC293" i="2" s="1"/>
  <c r="AX125" i="2"/>
  <c r="AS125" i="2"/>
  <c r="BC125" i="2" s="1"/>
  <c r="AU283" i="2"/>
  <c r="BC283" i="2"/>
  <c r="AX68" i="2"/>
  <c r="AS68" i="2"/>
  <c r="BC68" i="2" s="1"/>
  <c r="BC14" i="2"/>
  <c r="AU14" i="2"/>
  <c r="AS254" i="2"/>
  <c r="BC254" i="2" s="1"/>
  <c r="AX254" i="2"/>
  <c r="AU97" i="2"/>
  <c r="BC97" i="2"/>
  <c r="AX43" i="2"/>
  <c r="AS43" i="2"/>
  <c r="BC43" i="2" s="1"/>
  <c r="BC239" i="2"/>
  <c r="AU239" i="2"/>
  <c r="AX277" i="2"/>
  <c r="AS277" i="2"/>
  <c r="BC277" i="2" s="1"/>
  <c r="AT206" i="42"/>
  <c r="AY206" i="42"/>
  <c r="AT263" i="42"/>
  <c r="BD263" i="42" s="1"/>
  <c r="AY263" i="42"/>
  <c r="AT246" i="42"/>
  <c r="BD246" i="42" s="1"/>
  <c r="AY246" i="42"/>
  <c r="AT40" i="42"/>
  <c r="BD40" i="42" s="1"/>
  <c r="AY40" i="42"/>
  <c r="AT271" i="42"/>
  <c r="BD271" i="42" s="1"/>
  <c r="AY271" i="42"/>
  <c r="AT248" i="42"/>
  <c r="BD248" i="42" s="1"/>
  <c r="AY248" i="42"/>
  <c r="AT41" i="42"/>
  <c r="BD41" i="42" s="1"/>
  <c r="AY41" i="42"/>
  <c r="AT210" i="42"/>
  <c r="BD210" i="42" s="1"/>
  <c r="AY210" i="42"/>
  <c r="AT136" i="42"/>
  <c r="BD136" i="42" s="1"/>
  <c r="AY136" i="42"/>
  <c r="AT266" i="42"/>
  <c r="BD266" i="42" s="1"/>
  <c r="AY266" i="42"/>
  <c r="AT265" i="42"/>
  <c r="BD265" i="42" s="1"/>
  <c r="AY265" i="42"/>
  <c r="AT57" i="42"/>
  <c r="BD57" i="42" s="1"/>
  <c r="AY57" i="42"/>
  <c r="AT43" i="42"/>
  <c r="BD43" i="42" s="1"/>
  <c r="AY43" i="42"/>
  <c r="AT274" i="42"/>
  <c r="BD274" i="42" s="1"/>
  <c r="AY274" i="42"/>
  <c r="AT90" i="42"/>
  <c r="BD90" i="42" s="1"/>
  <c r="AY90" i="42"/>
  <c r="AT222" i="42"/>
  <c r="BD222" i="42" s="1"/>
  <c r="AY222" i="42"/>
  <c r="AT68" i="42"/>
  <c r="BD68" i="42" s="1"/>
  <c r="AY68" i="42"/>
  <c r="AT145" i="42"/>
  <c r="BD145" i="42" s="1"/>
  <c r="AY145" i="42"/>
  <c r="AT231" i="42"/>
  <c r="BD231" i="42" s="1"/>
  <c r="AY231" i="42"/>
  <c r="BD91" i="42"/>
  <c r="AV91" i="42"/>
  <c r="AT250" i="42"/>
  <c r="BD250" i="42" s="1"/>
  <c r="AY250" i="42"/>
  <c r="BC121" i="2"/>
  <c r="AU121" i="2"/>
  <c r="AS287" i="2"/>
  <c r="BC287" i="2" s="1"/>
  <c r="AX287" i="2"/>
  <c r="AX217" i="2"/>
  <c r="AS217" i="2"/>
  <c r="BC217" i="2" s="1"/>
  <c r="AX185" i="2"/>
  <c r="AS185" i="2"/>
  <c r="BC185" i="2" s="1"/>
  <c r="AX67" i="2"/>
  <c r="AS67" i="2"/>
  <c r="BC67" i="2" s="1"/>
  <c r="AS120" i="2"/>
  <c r="BC120" i="2" s="1"/>
  <c r="AX120" i="2"/>
  <c r="AT33" i="2"/>
  <c r="BC33" i="2"/>
  <c r="AX122" i="2"/>
  <c r="AS122" i="2"/>
  <c r="BC122" i="2" s="1"/>
  <c r="AS22" i="2"/>
  <c r="BC22" i="2" s="1"/>
  <c r="AX22" i="2"/>
  <c r="AS231" i="2"/>
  <c r="BC231" i="2" s="1"/>
  <c r="AX231" i="2"/>
  <c r="AS265" i="2"/>
  <c r="BC265" i="2" s="1"/>
  <c r="AX265" i="2"/>
  <c r="BC180" i="2"/>
  <c r="AT180" i="2"/>
  <c r="AX292" i="2"/>
  <c r="AS292" i="2"/>
  <c r="BC292" i="2" s="1"/>
  <c r="AX89" i="2"/>
  <c r="AS89" i="2"/>
  <c r="BC89" i="2" s="1"/>
  <c r="AS38" i="2"/>
  <c r="BC38" i="2" s="1"/>
  <c r="AX38" i="2"/>
  <c r="AS245" i="2"/>
  <c r="BC245" i="2" s="1"/>
  <c r="AX245" i="2"/>
  <c r="AS303" i="2"/>
  <c r="BC303" i="2" s="1"/>
  <c r="AX303" i="2"/>
  <c r="BD278" i="42"/>
  <c r="AV278" i="42"/>
  <c r="AT123" i="42"/>
  <c r="BD123" i="42" s="1"/>
  <c r="AY123" i="42"/>
  <c r="AX102" i="2"/>
  <c r="AS102" i="2"/>
  <c r="BC102" i="2" s="1"/>
  <c r="AS230" i="2"/>
  <c r="BC230" i="2" s="1"/>
  <c r="AX230" i="2"/>
  <c r="AX124" i="2"/>
  <c r="AS124" i="2"/>
  <c r="BC124" i="2" s="1"/>
  <c r="AS222" i="2"/>
  <c r="BC222" i="2" s="1"/>
  <c r="AX222" i="2"/>
  <c r="AS119" i="2"/>
  <c r="BC119" i="2" s="1"/>
  <c r="AX119" i="2"/>
  <c r="AS260" i="2"/>
  <c r="BC260" i="2" s="1"/>
  <c r="AX260" i="2"/>
  <c r="BC224" i="2"/>
  <c r="AU224" i="2"/>
  <c r="AS61" i="2"/>
  <c r="BC61" i="2" s="1"/>
  <c r="AX61" i="2"/>
  <c r="AX57" i="2"/>
  <c r="AS57" i="2"/>
  <c r="BC57" i="2" s="1"/>
  <c r="AX208" i="2"/>
  <c r="AS208" i="2"/>
  <c r="BC208" i="2" s="1"/>
  <c r="AS261" i="2"/>
  <c r="BC261" i="2" s="1"/>
  <c r="AX261" i="2"/>
  <c r="AU25" i="2"/>
  <c r="BC25" i="2"/>
  <c r="BC249" i="2"/>
  <c r="AU249" i="2"/>
  <c r="AS305" i="2"/>
  <c r="BC305" i="2" s="1"/>
  <c r="AX305" i="2"/>
  <c r="AS159" i="2"/>
  <c r="BC159" i="2" s="1"/>
  <c r="AX159" i="2"/>
  <c r="AX276" i="2"/>
  <c r="AS276" i="2"/>
  <c r="BC276" i="2" s="1"/>
  <c r="BD241" i="42"/>
  <c r="AV241" i="42"/>
  <c r="BD187" i="42"/>
  <c r="AV187" i="42"/>
  <c r="AT251" i="42"/>
  <c r="BD251" i="42" s="1"/>
  <c r="AY251" i="42"/>
  <c r="BD128" i="42"/>
  <c r="AV128" i="42"/>
  <c r="AT242" i="42"/>
  <c r="BD242" i="42" s="1"/>
  <c r="AY242" i="42"/>
  <c r="AT255" i="42"/>
  <c r="BD255" i="42" s="1"/>
  <c r="AY255" i="42"/>
  <c r="AT134" i="42"/>
  <c r="BD134" i="42" s="1"/>
  <c r="AY134" i="42"/>
  <c r="AT256" i="42"/>
  <c r="BD256" i="42" s="1"/>
  <c r="AY256" i="42"/>
  <c r="AT175" i="42"/>
  <c r="BD175" i="42" s="1"/>
  <c r="AY175" i="42"/>
  <c r="BD54" i="42"/>
  <c r="AV54" i="42"/>
  <c r="AT254" i="42"/>
  <c r="BD254" i="42" s="1"/>
  <c r="AY254" i="42"/>
  <c r="AT79" i="42"/>
  <c r="BD79" i="42" s="1"/>
  <c r="AY79" i="42"/>
  <c r="AT243" i="42"/>
  <c r="BD243" i="42" s="1"/>
  <c r="AY243" i="42"/>
  <c r="AT125" i="42"/>
  <c r="BD125" i="42" s="1"/>
  <c r="AY125" i="42"/>
  <c r="AT37" i="42"/>
  <c r="BD37" i="42" s="1"/>
  <c r="AY37" i="42"/>
  <c r="AT209" i="42"/>
  <c r="BD209" i="42" s="1"/>
  <c r="AY209" i="42"/>
  <c r="AT138" i="42"/>
  <c r="BD138" i="42" s="1"/>
  <c r="AY138" i="42"/>
  <c r="BC128" i="2"/>
  <c r="AU128" i="2"/>
  <c r="AS36" i="2"/>
  <c r="BC36" i="2" s="1"/>
  <c r="AX36" i="2"/>
  <c r="AX234" i="2"/>
  <c r="AS234" i="2"/>
  <c r="BC234" i="2" s="1"/>
  <c r="AS127" i="2"/>
  <c r="BC127" i="2" s="1"/>
  <c r="AX127" i="2"/>
  <c r="AS134" i="2"/>
  <c r="BC134" i="2" s="1"/>
  <c r="AX134" i="2"/>
  <c r="AS138" i="2"/>
  <c r="BC138" i="2" s="1"/>
  <c r="AX138" i="2"/>
  <c r="AX304" i="2"/>
  <c r="AS304" i="2"/>
  <c r="BC304" i="2" s="1"/>
  <c r="BD146" i="42"/>
  <c r="AV146" i="42"/>
  <c r="AT87" i="42"/>
  <c r="BD87" i="42" s="1"/>
  <c r="AY87" i="42"/>
  <c r="BD196" i="42"/>
  <c r="AV196" i="42"/>
  <c r="AT244" i="42"/>
  <c r="BD244" i="42" s="1"/>
  <c r="AY244" i="42"/>
  <c r="BD214" i="42"/>
  <c r="AV214" i="42"/>
  <c r="AT118" i="42"/>
  <c r="BD118" i="42" s="1"/>
  <c r="AY118" i="42"/>
  <c r="BD75" i="42"/>
  <c r="AV75" i="42"/>
  <c r="AT186" i="42"/>
  <c r="BD186" i="42" s="1"/>
  <c r="AY186" i="42"/>
  <c r="AT193" i="42"/>
  <c r="BD193" i="42" s="1"/>
  <c r="AY193" i="42"/>
  <c r="AT298" i="42"/>
  <c r="BD298" i="42" s="1"/>
  <c r="AY298" i="42"/>
  <c r="AT67" i="42"/>
  <c r="BD67" i="42" s="1"/>
  <c r="AY67" i="42"/>
  <c r="BD130" i="42"/>
  <c r="AV130" i="42"/>
  <c r="AT205" i="42"/>
  <c r="AY205" i="42"/>
  <c r="AT69" i="42"/>
  <c r="BD69" i="42" s="1"/>
  <c r="AY69" i="42"/>
  <c r="AT204" i="42"/>
  <c r="BD204" i="42" s="1"/>
  <c r="AY204" i="42"/>
  <c r="AT44" i="42"/>
  <c r="BD44" i="42" s="1"/>
  <c r="AY44" i="42"/>
  <c r="BD117" i="42"/>
  <c r="AV117" i="42"/>
  <c r="AX311" i="2" l="1"/>
  <c r="AV311" i="2"/>
  <c r="AZ311" i="2"/>
  <c r="AX310" i="2"/>
  <c r="AV310" i="2"/>
  <c r="AZ310" i="2"/>
  <c r="AY142" i="42"/>
  <c r="BA142" i="42"/>
  <c r="AZ133" i="2"/>
  <c r="AV133" i="2"/>
  <c r="AX133" i="2"/>
  <c r="AY224" i="42"/>
  <c r="BA224" i="42"/>
  <c r="AZ69" i="2"/>
  <c r="AX69" i="2"/>
  <c r="AV69" i="2"/>
  <c r="AV91" i="2"/>
  <c r="AX91" i="2"/>
  <c r="AZ91" i="2"/>
  <c r="AY239" i="42"/>
  <c r="BA239" i="42"/>
  <c r="BA131" i="42"/>
  <c r="AY131" i="42"/>
  <c r="AY107" i="42"/>
  <c r="BA107" i="42"/>
  <c r="BB206" i="2"/>
  <c r="AU206" i="2"/>
  <c r="AX130" i="2"/>
  <c r="AZ130" i="2"/>
  <c r="AV130" i="2"/>
  <c r="AV278" i="2"/>
  <c r="AX278" i="2"/>
  <c r="AZ278" i="2"/>
  <c r="AV191" i="2"/>
  <c r="AZ191" i="2"/>
  <c r="AX191" i="2"/>
  <c r="BC141" i="42"/>
  <c r="AV141" i="42"/>
  <c r="BB205" i="2"/>
  <c r="AU205" i="2"/>
  <c r="AX249" i="2"/>
  <c r="AV249" i="2"/>
  <c r="AZ249" i="2"/>
  <c r="AU205" i="42"/>
  <c r="BC205" i="42" s="1"/>
  <c r="BD205" i="42"/>
  <c r="AU206" i="42"/>
  <c r="BC206" i="42" s="1"/>
  <c r="BD206" i="42"/>
  <c r="AV97" i="2"/>
  <c r="AX97" i="2"/>
  <c r="AZ97" i="2"/>
  <c r="AV283" i="2"/>
  <c r="AX283" i="2"/>
  <c r="AZ283" i="2"/>
  <c r="BA130" i="42"/>
  <c r="AY130" i="42"/>
  <c r="BA128" i="42"/>
  <c r="AY128" i="42"/>
  <c r="AY91" i="42"/>
  <c r="BA91" i="42"/>
  <c r="BA140" i="42"/>
  <c r="AY140" i="42"/>
  <c r="AY26" i="42"/>
  <c r="BA26" i="42"/>
  <c r="AY63" i="42"/>
  <c r="BA63" i="42"/>
  <c r="AY14" i="42"/>
  <c r="BA14" i="42"/>
  <c r="AY25" i="42"/>
  <c r="BA25" i="42"/>
  <c r="AY22" i="42"/>
  <c r="BA22" i="42"/>
  <c r="AV146" i="2"/>
  <c r="AX146" i="2"/>
  <c r="AZ146" i="2"/>
  <c r="AV63" i="2"/>
  <c r="AX63" i="2"/>
  <c r="AZ63" i="2"/>
  <c r="AV131" i="2"/>
  <c r="AX131" i="2"/>
  <c r="AZ131" i="2"/>
  <c r="AY214" i="42"/>
  <c r="BA214" i="42"/>
  <c r="AY241" i="42"/>
  <c r="BA241" i="42"/>
  <c r="AU180" i="2"/>
  <c r="BB180" i="2"/>
  <c r="AV288" i="2"/>
  <c r="AZ288" i="2"/>
  <c r="AX288" i="2"/>
  <c r="AX25" i="2"/>
  <c r="AZ25" i="2"/>
  <c r="AV25" i="2"/>
  <c r="AU33" i="2"/>
  <c r="BB33" i="2"/>
  <c r="AX117" i="2"/>
  <c r="AV117" i="2"/>
  <c r="AZ117" i="2"/>
  <c r="BC137" i="42"/>
  <c r="AV137" i="42"/>
  <c r="AU113" i="42"/>
  <c r="BC113" i="42" s="1"/>
  <c r="BD113" i="42"/>
  <c r="AU33" i="42"/>
  <c r="BC33" i="42" s="1"/>
  <c r="BD33" i="42"/>
  <c r="BB113" i="2"/>
  <c r="AU113" i="2"/>
  <c r="AV282" i="2"/>
  <c r="AX282" i="2"/>
  <c r="AZ282" i="2"/>
  <c r="AY75" i="42"/>
  <c r="BA75" i="42"/>
  <c r="AY196" i="42"/>
  <c r="BA196" i="42"/>
  <c r="AZ224" i="2"/>
  <c r="AX224" i="2"/>
  <c r="AV224" i="2"/>
  <c r="AY278" i="42"/>
  <c r="BA278" i="42"/>
  <c r="AX239" i="2"/>
  <c r="AZ239" i="2"/>
  <c r="AV239" i="2"/>
  <c r="AX14" i="2"/>
  <c r="AZ14" i="2"/>
  <c r="AV14" i="2"/>
  <c r="AY88" i="42"/>
  <c r="BA88" i="42"/>
  <c r="AY139" i="42"/>
  <c r="BA139" i="42"/>
  <c r="AY135" i="42"/>
  <c r="BA135" i="42"/>
  <c r="AV196" i="2"/>
  <c r="AZ196" i="2"/>
  <c r="AX196" i="2"/>
  <c r="AX26" i="2"/>
  <c r="AV26" i="2"/>
  <c r="AZ26" i="2"/>
  <c r="AX214" i="2"/>
  <c r="AZ214" i="2"/>
  <c r="AV214" i="2"/>
  <c r="AX236" i="2"/>
  <c r="AZ236" i="2"/>
  <c r="AV236" i="2"/>
  <c r="AY236" i="42"/>
  <c r="BA236" i="42"/>
  <c r="AX88" i="2"/>
  <c r="AV88" i="2"/>
  <c r="AZ88" i="2"/>
  <c r="AZ139" i="2"/>
  <c r="AV139" i="2"/>
  <c r="AX139" i="2"/>
  <c r="BA117" i="42"/>
  <c r="AY117" i="42"/>
  <c r="AY146" i="42"/>
  <c r="BA146" i="42"/>
  <c r="AX75" i="2"/>
  <c r="AZ75" i="2"/>
  <c r="AV75" i="2"/>
  <c r="AV227" i="2"/>
  <c r="AX227" i="2"/>
  <c r="AZ227" i="2"/>
  <c r="AZ54" i="2"/>
  <c r="AX54" i="2"/>
  <c r="AV54" i="2"/>
  <c r="AU137" i="2"/>
  <c r="BB137" i="2"/>
  <c r="BC180" i="42"/>
  <c r="AV180" i="42"/>
  <c r="AX135" i="2"/>
  <c r="AV135" i="2"/>
  <c r="AZ135" i="2"/>
  <c r="AX107" i="2"/>
  <c r="AZ107" i="2"/>
  <c r="AV107" i="2"/>
  <c r="BB141" i="2"/>
  <c r="AU141" i="2"/>
  <c r="AZ128" i="2"/>
  <c r="AX128" i="2"/>
  <c r="AV128" i="2"/>
  <c r="AY54" i="42"/>
  <c r="BA54" i="42"/>
  <c r="AY187" i="42"/>
  <c r="BA187" i="42"/>
  <c r="AZ121" i="2"/>
  <c r="AV121" i="2"/>
  <c r="AX121" i="2"/>
  <c r="AY133" i="42"/>
  <c r="BA133" i="42"/>
  <c r="AY12" i="42"/>
  <c r="BA12" i="42"/>
  <c r="AY227" i="42"/>
  <c r="BA227" i="42"/>
  <c r="AY249" i="42"/>
  <c r="BA249" i="42"/>
  <c r="AV187" i="2"/>
  <c r="AZ187" i="2"/>
  <c r="AX187" i="2"/>
  <c r="AV140" i="2"/>
  <c r="AX140" i="2"/>
  <c r="AZ140" i="2"/>
  <c r="BA121" i="42"/>
  <c r="AY121" i="42"/>
  <c r="BA311" i="42"/>
  <c r="AY311" i="42"/>
  <c r="AX12" i="2"/>
  <c r="AV12" i="2"/>
  <c r="AZ12" i="2"/>
  <c r="AX241" i="2"/>
  <c r="AV241" i="2"/>
  <c r="AZ241" i="2"/>
  <c r="BA310" i="42"/>
  <c r="AY310" i="42"/>
  <c r="AZ87" i="2"/>
  <c r="AX87" i="2"/>
  <c r="AV87" i="2"/>
  <c r="AV142" i="2"/>
  <c r="AZ142" i="2"/>
  <c r="AX142" i="2"/>
  <c r="AV205" i="2" l="1"/>
  <c r="AZ205" i="2"/>
  <c r="AX205" i="2"/>
  <c r="AX33" i="2"/>
  <c r="AV33" i="2"/>
  <c r="AZ33" i="2"/>
  <c r="AX180" i="2"/>
  <c r="AZ180" i="2"/>
  <c r="AV180" i="2"/>
  <c r="AV141" i="2"/>
  <c r="AX141" i="2"/>
  <c r="AZ141" i="2"/>
  <c r="AV137" i="2"/>
  <c r="AX137" i="2"/>
  <c r="AZ137" i="2"/>
  <c r="AY137" i="42"/>
  <c r="BA137" i="42"/>
  <c r="AZ206" i="2"/>
  <c r="AV206" i="2"/>
  <c r="AX206" i="2"/>
  <c r="AY141" i="42"/>
  <c r="BA141" i="42"/>
  <c r="AY180" i="42"/>
  <c r="BA180" i="42"/>
  <c r="AV113" i="2"/>
  <c r="AX113" i="2"/>
  <c r="AZ11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4DB800-39B1-4796-B961-E360C28C748C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77DA3AA-3262-450D-B420-97AAD0F16C4D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  <connection id="3" xr16:uid="{C21826E2-294F-4256-B7D2-86F04AD03B42}" keepAlive="1" name="Consulta - Tabla1 (3)" description="Conexión a la consulta 'Tabla1 (3)' en el libro." type="5" refreshedVersion="0" background="1">
    <dbPr connection="Provider=Microsoft.Mashup.OleDb.1;Data Source=$Workbook$;Location=&quot;Tabla1 (3)&quot;;Extended Properties=&quot;&quot;" command="SELECT * FROM [Tabla1 (3)]"/>
  </connection>
</connections>
</file>

<file path=xl/sharedStrings.xml><?xml version="1.0" encoding="utf-8"?>
<sst xmlns="http://schemas.openxmlformats.org/spreadsheetml/2006/main" count="9001" uniqueCount="921">
  <si>
    <t>Sector</t>
  </si>
  <si>
    <t>Oficina</t>
  </si>
  <si>
    <t>Nivel Jer. 2</t>
  </si>
  <si>
    <t>Nivel Jer. 3</t>
  </si>
  <si>
    <t>Material</t>
  </si>
  <si>
    <t>Descripción</t>
  </si>
  <si>
    <t>Cerdo</t>
  </si>
  <si>
    <t>Agrosuper Brasil</t>
  </si>
  <si>
    <t>Cueros</t>
  </si>
  <si>
    <t>Cuero Papada</t>
  </si>
  <si>
    <t>GO Cue Papda CP@ Cj 20k AS</t>
  </si>
  <si>
    <t>Grasas</t>
  </si>
  <si>
    <t>Grasa Forro</t>
  </si>
  <si>
    <t>GO Grasa Forro Pna Limp@ Cj 20k AS</t>
  </si>
  <si>
    <t>GO Grasa Forro Pna Limp@ Bo Cj AS</t>
  </si>
  <si>
    <t>Grasa Lomo Tocino</t>
  </si>
  <si>
    <t>GO Lom Tocino@ Bo Cj 20k AS</t>
  </si>
  <si>
    <t>Agro Sudamerica</t>
  </si>
  <si>
    <t>Chuleta</t>
  </si>
  <si>
    <t>Chuleta Centro</t>
  </si>
  <si>
    <t>GO Chu Ctro@ Fi Cj 20k AS</t>
  </si>
  <si>
    <t>Chuleta Huesos</t>
  </si>
  <si>
    <t>GO BB Ribs 20-24 Oz@ Cj 10k AS</t>
  </si>
  <si>
    <t>GO BB Ribs 24 oz@ Cj 10k AS</t>
  </si>
  <si>
    <t>GO BB Ribs Grd B@ Fi Cj 10k AS</t>
  </si>
  <si>
    <t>Cost-Pec</t>
  </si>
  <si>
    <t>Cost-Pec Entero</t>
  </si>
  <si>
    <t>GO Cos 79@ Bo Cj 20k AS</t>
  </si>
  <si>
    <t>Cuero Back</t>
  </si>
  <si>
    <t>GO Cue Back@ Cj 20k t-f AS</t>
  </si>
  <si>
    <t>Cuero Forro</t>
  </si>
  <si>
    <t>GO Forro Pal@ Cj 20k AS</t>
  </si>
  <si>
    <t>Cuero Mixto</t>
  </si>
  <si>
    <t>GO Cue granel Esp CC@ Cj 20k AS</t>
  </si>
  <si>
    <t>Cuero Panceta</t>
  </si>
  <si>
    <t>GO Cue 20@ Cj 20k AS</t>
  </si>
  <si>
    <t>GO Cue Papda CP@ Cj 20k bca AS</t>
  </si>
  <si>
    <t>Filete</t>
  </si>
  <si>
    <t>Filete c/Cabeza</t>
  </si>
  <si>
    <t>GO File C/cab@Cj 20k AS</t>
  </si>
  <si>
    <t>GO Grasa Forro Pal@ Cj 20k AS</t>
  </si>
  <si>
    <t>Grasa Gordura</t>
  </si>
  <si>
    <t>GO Gord Lom Tocino@ Cj t-f AS</t>
  </si>
  <si>
    <t>GO Gord rebaje@ Bo Cj 20k AS</t>
  </si>
  <si>
    <t>GO Gord Esp@ Cj 20k AS</t>
  </si>
  <si>
    <t>GO Gord chic@ Cj 20k AS</t>
  </si>
  <si>
    <t>GO Visual Triming@ Cj 20k AS</t>
  </si>
  <si>
    <t>Grasa Interior</t>
  </si>
  <si>
    <t>GO Epiplón@ Cj 20k AS</t>
  </si>
  <si>
    <t>GO Lom Tocino@ Cj 20k AS</t>
  </si>
  <si>
    <t>Lomo</t>
  </si>
  <si>
    <t>Lomo Centro</t>
  </si>
  <si>
    <t>GO Lom Ctro 27@ Cj 20k AS</t>
  </si>
  <si>
    <t>Paleta</t>
  </si>
  <si>
    <t>Paleta Pulpa</t>
  </si>
  <si>
    <t>GO PpPal 77@ Cj 20k AS</t>
  </si>
  <si>
    <t>Panceta</t>
  </si>
  <si>
    <t>Panceta s/Cuero</t>
  </si>
  <si>
    <t>GO Cne Falda Pan@ CJ 20k AS</t>
  </si>
  <si>
    <t>Pierna</t>
  </si>
  <si>
    <t>Pierna Entera</t>
  </si>
  <si>
    <t>GO Pna Nor@ Bo Cj 20k AS</t>
  </si>
  <si>
    <t>Pierna Pulpa</t>
  </si>
  <si>
    <t>GO PpPna 59@ Fi Cj 20k AS</t>
  </si>
  <si>
    <t>GO PpPna 57@ Bo Cj AS</t>
  </si>
  <si>
    <t>Pierna Pulpa Fina</t>
  </si>
  <si>
    <t>GO PpPna 54@ Cj 20k AS</t>
  </si>
  <si>
    <t>Plancha</t>
  </si>
  <si>
    <t>Plancha s/Cuero</t>
  </si>
  <si>
    <t>GO Papda@ Cj t-f AS</t>
  </si>
  <si>
    <t>GO Plancha Rebaje Ent@ Cj 20k AS</t>
  </si>
  <si>
    <t>Recortes</t>
  </si>
  <si>
    <t>Recortes No Magro</t>
  </si>
  <si>
    <t>GO Cne Long@ Cj t-f AS</t>
  </si>
  <si>
    <t>GO Triming 80/20@ Cj 20k AS</t>
  </si>
  <si>
    <t>GO Triming 85/15@ Cj t-f 20k AS</t>
  </si>
  <si>
    <t>Subprod</t>
  </si>
  <si>
    <t>Subprod Patas-Manos</t>
  </si>
  <si>
    <t>GO Patas B@ Bo Cj 20 k AS</t>
  </si>
  <si>
    <t>Subprod Tripa</t>
  </si>
  <si>
    <t>GO Tripa s/Cal# Bidon AS</t>
  </si>
  <si>
    <t>GO Tripa Calib 32/35# Bo Bidon AS</t>
  </si>
  <si>
    <t>GO Tripa Calib 35/38# Bo Bidon AS</t>
  </si>
  <si>
    <t>GO Trip Calib Tub -/35 Rojo# Cj AS</t>
  </si>
  <si>
    <t>Subprod Visceras</t>
  </si>
  <si>
    <t>GO Corazón Partido@ Cj t-f 20k AS</t>
  </si>
  <si>
    <t>GO Pulmon@ Cj 20k bca AS</t>
  </si>
  <si>
    <t>GO Pana S/Corazón@ Cj 20k AS</t>
  </si>
  <si>
    <t>Exportacion Directa</t>
  </si>
  <si>
    <t>GO File C/cab@ Va Cj 10k AP</t>
  </si>
  <si>
    <t>GO File C/cab@ IWP Cj 10k SC</t>
  </si>
  <si>
    <t>GO File C/cab 6x1@ VP Cj AP</t>
  </si>
  <si>
    <t>Huesos</t>
  </si>
  <si>
    <t>Huesos Cuarto Centra</t>
  </si>
  <si>
    <t>GO Hso Pecho@ Cj 10k AP</t>
  </si>
  <si>
    <t>Lomo CC Loin</t>
  </si>
  <si>
    <t>GO CC Loin T@ Fi Cj AP</t>
  </si>
  <si>
    <t>GO CC Loin L (S/T)@ Fi Cj AP</t>
  </si>
  <si>
    <t>GO CC Loin L (S/T) 45@ Fi Cj AP</t>
  </si>
  <si>
    <t>GO CC Loin L (S/T) (DF)@ Fi Cj AP</t>
  </si>
  <si>
    <t>GO CC Loin LL@ Bo Cj Lom Mad AP</t>
  </si>
  <si>
    <t>GO Lom Tecla@ Cj Lom Ctro JP</t>
  </si>
  <si>
    <t>GO Lom Ctro S/Tecla(OY)Mit@ Cj Tf 20k AP</t>
  </si>
  <si>
    <t>Lomo MM Loin</t>
  </si>
  <si>
    <t>GO MM Loin L@ Cj 12k AP</t>
  </si>
  <si>
    <t>GO MM Loin S@ Fi Cj 12k AP</t>
  </si>
  <si>
    <t>GO MM Loin D@ Fi Cj 12k AP</t>
  </si>
  <si>
    <t>GO MM Loin L (MC4-5)@ Fi Cj ch JP</t>
  </si>
  <si>
    <t>GO MM Loin LL (29-32 VP)@ Bo Cj AP</t>
  </si>
  <si>
    <t>GO MM LOIN S VP@ Cj 10k AP</t>
  </si>
  <si>
    <t>Lomo Vetado</t>
  </si>
  <si>
    <t>GO Lom Vet &gt;2.0@ Fi Cj Lom Vet AP</t>
  </si>
  <si>
    <t>GO Lom Vet &lt;2.0@ Fi Cj AP</t>
  </si>
  <si>
    <t>GO Lom Vet S/g@ Va Cj ch AP</t>
  </si>
  <si>
    <t>GO Lom Vet Mit@ 4 Bo Cj 10k AP</t>
  </si>
  <si>
    <t>GO Lom Vet 2 a 2,3k@ Fi Verd Cj AP</t>
  </si>
  <si>
    <t>GO Lom Vet &gt;2.0@ Fi Cj 8k AP</t>
  </si>
  <si>
    <t>GO PpPal Pim@ Cj AP</t>
  </si>
  <si>
    <t>Panceta c/Cuero</t>
  </si>
  <si>
    <t>GO Panc Tec C/cue@ Fi Cj Panc AP</t>
  </si>
  <si>
    <t>GO Panc Lam 2.5mm@ Cj ch AP</t>
  </si>
  <si>
    <t>GO Panc Tec S/cue@ Fi Cj ch AP</t>
  </si>
  <si>
    <t>GO Panc S/tec/cue I@ Fi Cj Panc 4s AP</t>
  </si>
  <si>
    <t>GO Panc S/tec N@ Fi Cj 20k AP</t>
  </si>
  <si>
    <t>GO Panc Mit@ Va Cj 20k AP</t>
  </si>
  <si>
    <t>GO Panc S/tec SP@ Fi Cj AP</t>
  </si>
  <si>
    <t>GO Panc Tec S/Cue L@ Fi CJ Ch AP</t>
  </si>
  <si>
    <t>GO Panc Tec S/cue VP@ Cj ch AP</t>
  </si>
  <si>
    <t>GO Cne Falda Panc@ Bo Cj AP</t>
  </si>
  <si>
    <t>GO Posta Negra 3P T@ Va Cj t-f JP</t>
  </si>
  <si>
    <t>GO Ganso C/asto 3P@ Va Cj t-f AP</t>
  </si>
  <si>
    <t>GO Posta Rosada 3P@ Va Cj t-f AP</t>
  </si>
  <si>
    <t>GO Ganso S/g S/abst DA@ Cj 12k AP</t>
  </si>
  <si>
    <t>GO Asiento C/g DA@ Cj 12k JP</t>
  </si>
  <si>
    <t>Prolijado</t>
  </si>
  <si>
    <t>Prolijado Malaya</t>
  </si>
  <si>
    <t>GO Malaya Japon@ Va Cj JP</t>
  </si>
  <si>
    <t>GO Malaya Japon@ Vp Fi Cj 20k AP</t>
  </si>
  <si>
    <t>GO Recto@ Cj File AP</t>
  </si>
  <si>
    <t>GO Tráquea@ Cj Lom Ctro AP</t>
  </si>
  <si>
    <t>Agrosuper Shanghai</t>
  </si>
  <si>
    <t>Chuleta Cazuela</t>
  </si>
  <si>
    <t>GO Caz Ent@ Bo Cj 10k AS</t>
  </si>
  <si>
    <t>GO Forro Pal@ Bo Cj 20k AS</t>
  </si>
  <si>
    <t>GO Cue granel@ Bo Cj 20k AS</t>
  </si>
  <si>
    <t>GO Cue 20@ Bo Cj 20k AS</t>
  </si>
  <si>
    <t>GO Grasa Forro Pna Limp@ Bo Cj 20k AS</t>
  </si>
  <si>
    <t>GO Gord Esp@ Bo Cj 10k AS</t>
  </si>
  <si>
    <t>GO Reco 20/80 @ Cj 20k AS</t>
  </si>
  <si>
    <t>GO Reco 10/90 @ Cj 20k AS</t>
  </si>
  <si>
    <t>GO Mantec@ Cj 20k AS</t>
  </si>
  <si>
    <t>GO Resto Tira Hso Ctro@ Bo Cj 20k AS</t>
  </si>
  <si>
    <t>GO Resto Tira Hso@ Fi Cj 10k AS</t>
  </si>
  <si>
    <t>Huesos Cuarto Delant</t>
  </si>
  <si>
    <t>GO Sternum Bones@ Bo Cj 10k AS</t>
  </si>
  <si>
    <t>GO Hso Escapula@ Cj 15kg AS</t>
  </si>
  <si>
    <t>Paleta Entera</t>
  </si>
  <si>
    <t>GO Pal Nor@ Cj 20k AS</t>
  </si>
  <si>
    <t>GO PpPal 77@ Bo Cj AS</t>
  </si>
  <si>
    <t>Pernil</t>
  </si>
  <si>
    <t>Pernil Mano</t>
  </si>
  <si>
    <t>GO PernilM@ Cj 20k AS</t>
  </si>
  <si>
    <t>GO PernilM C/M@ Cj 20k AS</t>
  </si>
  <si>
    <t>GO PernilM B@ Bo Cj 20k AS</t>
  </si>
  <si>
    <t>Pernil Pierna</t>
  </si>
  <si>
    <t>GO PernilP@ Bo Cj 20k AS</t>
  </si>
  <si>
    <t>GO PpPna 59@ Cj 20k AS</t>
  </si>
  <si>
    <t>GO Pna S/Hso C/Cue@ Cj 20k AS</t>
  </si>
  <si>
    <t>GO Reco 60/40 @ Cj 20k AS</t>
  </si>
  <si>
    <t>GO Patas@ Cj 20k AS</t>
  </si>
  <si>
    <t>GO Patas B@ Cj 20k AS</t>
  </si>
  <si>
    <t>GO Manos@ Cj 10k AS</t>
  </si>
  <si>
    <t>GO Estómago Pouch@ 20k bca AS</t>
  </si>
  <si>
    <t>Agrosuper Asia</t>
  </si>
  <si>
    <t>GO Pecho S/cue K@ Cj 20k TJ</t>
  </si>
  <si>
    <t>GO Pecho S/cue K@ Cj 20k AK</t>
  </si>
  <si>
    <t>GO Pech S/Cue@ Vp Cj AS</t>
  </si>
  <si>
    <t>GO Tira Hso Ctro@ Cj 20k TJ</t>
  </si>
  <si>
    <t>GO Tira Hso Ctro@ Cj 20k AK</t>
  </si>
  <si>
    <t>GO Hso Pecho@ Cj Lom Vet TJ</t>
  </si>
  <si>
    <t>GO Hso Cogote@ Bo Cj 20k TJ</t>
  </si>
  <si>
    <t>GO Hso Cogote@ Bo Cj 20k AK</t>
  </si>
  <si>
    <t>GO Lom Vet@ Cj 12k AK</t>
  </si>
  <si>
    <t>GO Lom Vet@ Cj 12k TJ</t>
  </si>
  <si>
    <t>GO Lom Vet Mad@ Cj 8,5k TJ</t>
  </si>
  <si>
    <t>GO Lom Vet@ Cj 8k AS</t>
  </si>
  <si>
    <t>GO Panc C/cue@ Cj Panc 230 TJ</t>
  </si>
  <si>
    <t>GO Panc C/cue@ Cj Panc 230 AK</t>
  </si>
  <si>
    <t>GO Panc S/cue@ Cj Panc TJ</t>
  </si>
  <si>
    <t>GO Panc S/cue@ Cj Panc AK</t>
  </si>
  <si>
    <t>GO Panc S/cue Hem@ Cj Panc TJ AS</t>
  </si>
  <si>
    <t>GO Panc S/cue Mad@ Cj 16,4k Panc TJ</t>
  </si>
  <si>
    <t>GO Panc S/cue@ Cj Panc 16k AS</t>
  </si>
  <si>
    <t>GO Panc S/cue S/h@ Cj Panc 16k AS</t>
  </si>
  <si>
    <t>GO PernilM C/M@ Cj 15k AK</t>
  </si>
  <si>
    <t>GO PernilM C/M@ Cj 15k TJ</t>
  </si>
  <si>
    <t>GO PernilM@ Cj 20k AK</t>
  </si>
  <si>
    <t>GO Papda K@ Cj 20k AK</t>
  </si>
  <si>
    <t>GO Malaya 5-6mm@ Bo Cj 9k AS</t>
  </si>
  <si>
    <t>Prolijado Plateada</t>
  </si>
  <si>
    <t>GO Platead Lom TF@ Cj 10k AK (TS)</t>
  </si>
  <si>
    <t>Subprod Grasa</t>
  </si>
  <si>
    <t>GO Grasa Chaleco@ Cj 10k AS</t>
  </si>
  <si>
    <t>GO Pulmon@ Cj 20k AS</t>
  </si>
  <si>
    <t>Pavo</t>
  </si>
  <si>
    <t>Ala</t>
  </si>
  <si>
    <t>Ala Trutro</t>
  </si>
  <si>
    <t>PV Tru Ala@ Ex Bo Cj AS</t>
  </si>
  <si>
    <t>PV MA Tru Ala@ Bo Cj 15k AS</t>
  </si>
  <si>
    <t>Menudencias</t>
  </si>
  <si>
    <t>Menudencias Contre</t>
  </si>
  <si>
    <t>PV Contre@ Bo Cj 10k AS</t>
  </si>
  <si>
    <t>Pech Desh</t>
  </si>
  <si>
    <t>Pech Desh s/Piel</t>
  </si>
  <si>
    <t>PV PchDeh S/p c/f MA@ Cj 15k AS</t>
  </si>
  <si>
    <t>Recortes Piel</t>
  </si>
  <si>
    <t>PV Piel Tru@ Bo Cj AS</t>
  </si>
  <si>
    <t>Trutro</t>
  </si>
  <si>
    <t>Trutro Largo</t>
  </si>
  <si>
    <t>PV Tru Larg@ Bo Cj 15k AS</t>
  </si>
  <si>
    <t>Trutro Desh</t>
  </si>
  <si>
    <t>Trutro Desh Corto</t>
  </si>
  <si>
    <t>PV TruDeh Cort S/h S/p@ Bo Cj AS</t>
  </si>
  <si>
    <t>Menudencias Cogote</t>
  </si>
  <si>
    <t>PV Cog MA 15 kg@ Bo Cj 15k SO</t>
  </si>
  <si>
    <t>PV PchDeh S/p S/f@ Bo Cj 15k SO</t>
  </si>
  <si>
    <t>PV Tru Larg MA@ Bo Cj SO</t>
  </si>
  <si>
    <t>Pollo</t>
  </si>
  <si>
    <t>Menudencias Corazón</t>
  </si>
  <si>
    <t>PO Corazon@ Cj 18k AS</t>
  </si>
  <si>
    <t>PO Corazon@Pla Cj 19k</t>
  </si>
  <si>
    <t>Ala Centro</t>
  </si>
  <si>
    <t>PO Ala Ctro NMr IQF@ Cj 20k AS</t>
  </si>
  <si>
    <t>Carne Recuperada</t>
  </si>
  <si>
    <t>Carne Recuperada ADM</t>
  </si>
  <si>
    <t>PO CDM 14% proteina@ Cj 20k AS</t>
  </si>
  <si>
    <t>PO Ppa Esp@ 2 Blox10kg CJ AS SD</t>
  </si>
  <si>
    <t>Carne Recuperada Pul</t>
  </si>
  <si>
    <t>PO Ppa Esp 50 Pim@ Cj 20k AS</t>
  </si>
  <si>
    <t>PO Ppa Esp@ 2 blo x 10k Cj AS</t>
  </si>
  <si>
    <t>Cazuela</t>
  </si>
  <si>
    <t>Cazuela Espinazo</t>
  </si>
  <si>
    <t>PO Pta Espinaz@ Cj 10k AS</t>
  </si>
  <si>
    <t>PO Molleja Mrps@ Cj 10k AS</t>
  </si>
  <si>
    <t>PO Ctre Mrps@ Bo 12x1k Cj AS</t>
  </si>
  <si>
    <t>Menudencias Pana</t>
  </si>
  <si>
    <t>PO Pana S/Corazón@ Cj 20k AS</t>
  </si>
  <si>
    <t>Pechuga Desh</t>
  </si>
  <si>
    <t>Pechuga Desh s/Piel</t>
  </si>
  <si>
    <t>PO PchDeh &gt;170g NMr@ Cj 10k SP</t>
  </si>
  <si>
    <t>PO PchDeh Random Mr Mex@ Cj 10k AS</t>
  </si>
  <si>
    <t>PO PchDeh Random@ Cj 10k AS</t>
  </si>
  <si>
    <t>PO Pch Deh NMr@SD Cj 20kg AS</t>
  </si>
  <si>
    <t>Reproductor</t>
  </si>
  <si>
    <t>Reproductor Gallina</t>
  </si>
  <si>
    <t>GA S/m@ Gr Cj bca AS</t>
  </si>
  <si>
    <t>GA S/m@ Bo Cj AS</t>
  </si>
  <si>
    <t>Subprod Piel</t>
  </si>
  <si>
    <t>PO Pch Piel@ Cj 20k AS</t>
  </si>
  <si>
    <t>PO Pch Piel Pim 50 ppm@ Cj 14 AS</t>
  </si>
  <si>
    <t>PO Piel de pollo@ CJ As</t>
  </si>
  <si>
    <t>PO Tru Larg@ NNII Cj 15k</t>
  </si>
  <si>
    <t>PO Ala Media B 4x10@ Cj 20k AS</t>
  </si>
  <si>
    <t>PO Ala Media Grado B@ Cj AS</t>
  </si>
  <si>
    <t>Ala Centro-Punta</t>
  </si>
  <si>
    <t>PO Ctro Pta Ala Choice@ Cj 20k AS</t>
  </si>
  <si>
    <t>Muestra</t>
  </si>
  <si>
    <t>PO Piel @ Cj 20k AS MUESTRA SAG</t>
  </si>
  <si>
    <t>Patas</t>
  </si>
  <si>
    <t>Patas Garras</t>
  </si>
  <si>
    <t>PO Garra L A@ Bo Cj 20k AS</t>
  </si>
  <si>
    <t>PO Garra Economy@ Cj 20k AS</t>
  </si>
  <si>
    <t>PO Garra M B@ Cj 20k AS</t>
  </si>
  <si>
    <t>GA Garra G Large B@ Cj 20k AS</t>
  </si>
  <si>
    <t>PO Ala Ctro Mr@ Fi Cj 18k AS</t>
  </si>
  <si>
    <t>PO Ppa Esp Blo@ Bo Cj 20k AS</t>
  </si>
  <si>
    <t>Cue granel Esp CC@ Cj 20k AS</t>
  </si>
  <si>
    <t>GO BB Ribs 24-28 Oz@ Cj 10k AS</t>
  </si>
  <si>
    <t>GO File C/cab@ Cj 5k AS</t>
  </si>
  <si>
    <t>GO Gord Lom Tocino@ Cj 20k AS</t>
  </si>
  <si>
    <t>GO Lom Tocino@ Bo Cj AS</t>
  </si>
  <si>
    <t>GO Lom Vet 44@ Bo Cj 20k AS</t>
  </si>
  <si>
    <t>GO Panc Tecl Nor@ Cj 20k AS</t>
  </si>
  <si>
    <t>GO Triming 70/30@ Cj 20k AS</t>
  </si>
  <si>
    <t>GO Triming 85/15@ Cj 20k AS</t>
  </si>
  <si>
    <t>GO Reco 70/30 @ Cj 20k AS</t>
  </si>
  <si>
    <t>GO Triming 90/10@ Cj 20k AS</t>
  </si>
  <si>
    <t>GO Tripa Calib 38/40# Bo Bidon AS</t>
  </si>
  <si>
    <t>GO Trip Calib Tub 35/39 Azul# Bidon AS</t>
  </si>
  <si>
    <t>GO Trip Calib Tub 37/40 Azul# Cj AS</t>
  </si>
  <si>
    <t>GO File N@ Va Cj File AP</t>
  </si>
  <si>
    <t>GO Lom Tec@ Va Cj Lom Ctro AP</t>
  </si>
  <si>
    <t>GO Lom Vet L@ Fi Cj Lom Vet AP</t>
  </si>
  <si>
    <t>GO Lom Vet M@ Fi Cj Lom Vet AP</t>
  </si>
  <si>
    <t>GO Ganso C/asto C/abas S/g@ Va Cj JP</t>
  </si>
  <si>
    <t>GO Lom Tocino@ Bo Cj 20k AP</t>
  </si>
  <si>
    <t>Subprod Proteína y O</t>
  </si>
  <si>
    <t>GO Mucosa # Isotanque AS</t>
  </si>
  <si>
    <t>GO Corazón Partido@ Cj 10k AS</t>
  </si>
  <si>
    <t>PO Corazón@ Bo Cj 18k AS</t>
  </si>
  <si>
    <t>GO Pna Forro@ Cj 20k AS</t>
  </si>
  <si>
    <t>GO Lom Tecla VP@ Cj Lom Ctro</t>
  </si>
  <si>
    <t>Lom Vet &gt;2.0@ VP Cj Lom Vet AP</t>
  </si>
  <si>
    <t>GO Panc S/tec L @VP Cj AP</t>
  </si>
  <si>
    <t>GO Panc Tec S/cue@ R VP Cj ch AP</t>
  </si>
  <si>
    <t>GO Reco 85/15 @ Cj 20k AS</t>
  </si>
  <si>
    <t>GO Cordon Lom@ Bo Cj 20k AS</t>
  </si>
  <si>
    <t>PO Tru- Ctro Ala 4x10NMr@Bo Cj 20k SD</t>
  </si>
  <si>
    <t>PO File 4x10 NMr SD@ CJ AS</t>
  </si>
  <si>
    <t>PO Pana S/cora blo@Cj 20kg AS</t>
  </si>
  <si>
    <t>GO Cue Granel Esp CC@Cj 20k AS</t>
  </si>
  <si>
    <t>GO Lom Ctro 27@ Fi Cj 20k AS</t>
  </si>
  <si>
    <t>GO Lom Vet 44@ Fi Cj 20k AS</t>
  </si>
  <si>
    <t>GO Triming 80/20@ Bo c/f Cj 20k AS</t>
  </si>
  <si>
    <t>GO Triming Panc@ Cj 20k AS</t>
  </si>
  <si>
    <t>GO Triming 60/40@ Bo Cj AS</t>
  </si>
  <si>
    <t>Pech</t>
  </si>
  <si>
    <t>Pech Entera</t>
  </si>
  <si>
    <t>PV Pch Ent c/p s/m@ Bo Cj 20k AS</t>
  </si>
  <si>
    <t>Pech Desh c/Piel</t>
  </si>
  <si>
    <t>PV PchDeh Mrps C/piel@ Cj 18k AS</t>
  </si>
  <si>
    <t>PO PchDeh NMr s/cal 4x10@ Cj 20k Am AS</t>
  </si>
  <si>
    <t>GO Tripa Calib 30/32# Bo Bidon AS</t>
  </si>
  <si>
    <t>GO Lom Vet L@ VP Cj Lom Vet Mad AP</t>
  </si>
  <si>
    <t>Plancha c/Cuero</t>
  </si>
  <si>
    <t>GO Papda C/Cue granel@ Bo Cj AS</t>
  </si>
  <si>
    <t>GO Estómago Pouch@ Bo Cj 10k AS</t>
  </si>
  <si>
    <t>PO Corazón@ Placa Cj 19kg SD</t>
  </si>
  <si>
    <t>PO Garra Large B@ Cj 20k AS</t>
  </si>
  <si>
    <t>GO Gord rebaje@ Cj 20k AS</t>
  </si>
  <si>
    <t>Llave</t>
  </si>
  <si>
    <t>% Uti. producción</t>
  </si>
  <si>
    <t>Producción disponible</t>
  </si>
  <si>
    <t>Stock al día</t>
  </si>
  <si>
    <t>Por producir Abr.</t>
  </si>
  <si>
    <t xml:space="preserve"> RV Producción mes n+1</t>
  </si>
  <si>
    <t xml:space="preserve"> RV  Venta mes n+1</t>
  </si>
  <si>
    <t>Stock por despachar N</t>
  </si>
  <si>
    <t>Producción por despachar mes N</t>
  </si>
  <si>
    <t>Total disponible</t>
  </si>
  <si>
    <t>Delay</t>
  </si>
  <si>
    <t>Vol. prom. Por contenedor</t>
  </si>
  <si>
    <t>Atraso a facturar</t>
  </si>
  <si>
    <t>Producción Disponible2</t>
  </si>
  <si>
    <t>Venta del mes</t>
  </si>
  <si>
    <t>Ajuste</t>
  </si>
  <si>
    <t>En puerto a facturar</t>
  </si>
  <si>
    <t>Warning venta</t>
  </si>
  <si>
    <t>Etiquetas de fila</t>
  </si>
  <si>
    <t>(en blanco)</t>
  </si>
  <si>
    <t>Total general</t>
  </si>
  <si>
    <t>Suma de Kilos</t>
  </si>
  <si>
    <t>AGRO SUDAMERICA</t>
  </si>
  <si>
    <t>AGROSUPER ASIA</t>
  </si>
  <si>
    <t>AGROSUPER SHANGHAI</t>
  </si>
  <si>
    <t>ETD</t>
  </si>
  <si>
    <t>(Todas)</t>
  </si>
  <si>
    <t>Ubicación (puerto / Planta)</t>
  </si>
  <si>
    <t>Planta</t>
  </si>
  <si>
    <t>Puerto</t>
  </si>
  <si>
    <t>llave</t>
  </si>
  <si>
    <t>(Varios elementos)</t>
  </si>
  <si>
    <t>Suma de Total Kilos</t>
  </si>
  <si>
    <t>Status</t>
  </si>
  <si>
    <t>AGROSUPER BRASIL</t>
  </si>
  <si>
    <t>EXPORTACION DIRECTA</t>
  </si>
  <si>
    <t>Suma de Kilos producción mes n</t>
  </si>
  <si>
    <t>Stock</t>
  </si>
  <si>
    <t>Pedido</t>
  </si>
  <si>
    <t>PO Ppa Esp@ Bo Cj 20k AS</t>
  </si>
  <si>
    <t>Agro Mexico</t>
  </si>
  <si>
    <t>Carne Recuperada Pulpa</t>
  </si>
  <si>
    <t>Africa</t>
  </si>
  <si>
    <t>PV Tru Ala@ Ex Bo Cj SO</t>
  </si>
  <si>
    <t>PV Tru Ala@ Ex blo Cj 15k SO</t>
  </si>
  <si>
    <t>PV Contre@ Bo Cj 10k SO</t>
  </si>
  <si>
    <t>PV Cab Ent MA@ Cj 15k AS</t>
  </si>
  <si>
    <t>PV PIEL TRU@ BO CJ AS</t>
  </si>
  <si>
    <t>Pv Piel Tru@ Bo Cj So</t>
  </si>
  <si>
    <t>PV Tru Larg He@ Ex Bo Cj 15K AS</t>
  </si>
  <si>
    <t>PV Rabadilla@ Bo Cj 10K SO</t>
  </si>
  <si>
    <t>Menudencias Cabeza</t>
  </si>
  <si>
    <t>Varios</t>
  </si>
  <si>
    <t>Varios Carcasa</t>
  </si>
  <si>
    <t>Agrosuper Shanghai1021204</t>
  </si>
  <si>
    <t>Agrosuper Shanghai1021905</t>
  </si>
  <si>
    <t>Agrosuper Shanghai1021971</t>
  </si>
  <si>
    <t>Agrosuper Shanghai1022418</t>
  </si>
  <si>
    <t>Agrosuper Asia1022605</t>
  </si>
  <si>
    <t>Agrosuper Brasil1022786</t>
  </si>
  <si>
    <t>Agro Sudamerica1022842</t>
  </si>
  <si>
    <t>Agro Sudamerica1022844</t>
  </si>
  <si>
    <t>Agrosuper Shanghai1022943</t>
  </si>
  <si>
    <t>Agrosuper Shanghai1022995</t>
  </si>
  <si>
    <t>Agrosuper Shanghai1023110</t>
  </si>
  <si>
    <t>Agrosuper Asia1023370</t>
  </si>
  <si>
    <t>Agrosuper Asia1023371</t>
  </si>
  <si>
    <t>Agrosuper Asia1023372</t>
  </si>
  <si>
    <t>Agrosuper Asia1023397</t>
  </si>
  <si>
    <t>GO Cue Back@ Cj 20k bca AS</t>
  </si>
  <si>
    <t>GO Lom Ctro@ Cj 16k AS</t>
  </si>
  <si>
    <t>GO Pna Forro@ Bo Cj 20k AS</t>
  </si>
  <si>
    <t>GO Tripa s/Cal # Bidon AS</t>
  </si>
  <si>
    <t>GO Recto Tubo Crud@ Cj 10k AS</t>
  </si>
  <si>
    <t>GO Tripa Nat Sal Calib 35/39 A# Bidon Tubing AS</t>
  </si>
  <si>
    <t>GO Triming Lomo@ Cj 20k AS</t>
  </si>
  <si>
    <t>GO Cordon Lom@ CJ 20k AS</t>
  </si>
  <si>
    <t>GO Panc Tec /C cue S/H@ Cj 20k AS</t>
  </si>
  <si>
    <t>GO Pna Nor@ Cj 20k AS</t>
  </si>
  <si>
    <t>Centro</t>
  </si>
  <si>
    <t>Plan Irrestricto</t>
  </si>
  <si>
    <t>Plan ajustado</t>
  </si>
  <si>
    <t xml:space="preserve"> Plan Irrestricto</t>
  </si>
  <si>
    <t xml:space="preserve"> Plan ajustado</t>
  </si>
  <si>
    <t>Plan Enero</t>
  </si>
  <si>
    <t>Plan Febrero</t>
  </si>
  <si>
    <t>Plan Marzo</t>
  </si>
  <si>
    <t>Plan Abril</t>
  </si>
  <si>
    <t>Plan Mayo</t>
  </si>
  <si>
    <t>Suma de  RV Producción mes n+1</t>
  </si>
  <si>
    <t>Suma de  RV  Venta mes n+1</t>
  </si>
  <si>
    <t xml:space="preserve"> Plan Enero</t>
  </si>
  <si>
    <t xml:space="preserve"> Plan Febrero</t>
  </si>
  <si>
    <t xml:space="preserve"> Plan Marzo</t>
  </si>
  <si>
    <t xml:space="preserve"> Plan Abril</t>
  </si>
  <si>
    <t xml:space="preserve"> Plan Mayo</t>
  </si>
  <si>
    <t>PLANES DE VENTA</t>
  </si>
  <si>
    <t>Total Agro Sudamerica</t>
  </si>
  <si>
    <t>Total Agrosuper Brasil</t>
  </si>
  <si>
    <t>Total Agrosuper Shanghai</t>
  </si>
  <si>
    <t>PLANES DE VENTA DETALLE POR NIVEL</t>
  </si>
  <si>
    <t>AGRO SUDAMERICA1010877</t>
  </si>
  <si>
    <t>AGRO SUDAMERICA1011290</t>
  </si>
  <si>
    <t>AGRO SUDAMERICA1011558</t>
  </si>
  <si>
    <t>AGRO SUDAMERICA1012207</t>
  </si>
  <si>
    <t>AGRO SUDAMERICA1012362</t>
  </si>
  <si>
    <t>AGRO SUDAMERICA1012719</t>
  </si>
  <si>
    <t>AGRO SUDAMERICA1020349</t>
  </si>
  <si>
    <t>AGRO SUDAMERICA1020944</t>
  </si>
  <si>
    <t>AGRO SUDAMERICA1021078</t>
  </si>
  <si>
    <t>AGRO SUDAMERICA1021385</t>
  </si>
  <si>
    <t>AGRO SUDAMERICA1022150</t>
  </si>
  <si>
    <t>AGRO SUDAMERICA1022409</t>
  </si>
  <si>
    <t>AGRO SUDAMERICA1022855</t>
  </si>
  <si>
    <t>AGROSUPER ASIA1012612</t>
  </si>
  <si>
    <t>AGROSUPER ASIA1023037</t>
  </si>
  <si>
    <t>AGROSUPER ASIA1023038</t>
  </si>
  <si>
    <t>AGROSUPER BRASIL1022217</t>
  </si>
  <si>
    <t>AGROSUPER BRASIL1022273</t>
  </si>
  <si>
    <t>AGROSUPER BRASIL1023334</t>
  </si>
  <si>
    <t>AGROSUPER SHANGHAI1022096</t>
  </si>
  <si>
    <t>AGROSUPER SHANGHAI1022169</t>
  </si>
  <si>
    <t>AGROSUPER SHANGHAI1022636</t>
  </si>
  <si>
    <t>AGROSUPER SHANGHAI1022640</t>
  </si>
  <si>
    <t>AGROSUPER SHANGHAI1023362</t>
  </si>
  <si>
    <t>AGROSUPER SHANGHAI1023363</t>
  </si>
  <si>
    <t>AGROSUPER SHANGHAI1023368</t>
  </si>
  <si>
    <t/>
  </si>
  <si>
    <t>EXPORTACION DIRECTA1020105</t>
  </si>
  <si>
    <t>EXPORTACION DIRECTA1020110</t>
  </si>
  <si>
    <t>EXPORTACION DIRECTA1020284</t>
  </si>
  <si>
    <t>EXPORTACION DIRECTA1020326</t>
  </si>
  <si>
    <t>EXPORTACION DIRECTA1020589</t>
  </si>
  <si>
    <t>EXPORTACION DIRECTA1020592</t>
  </si>
  <si>
    <t>EXPORTACION DIRECTA1020620</t>
  </si>
  <si>
    <t>EXPORTACION DIRECTA1020636</t>
  </si>
  <si>
    <t>EXPORTACION DIRECTA1020637</t>
  </si>
  <si>
    <t>EXPORTACION DIRECTA1020662</t>
  </si>
  <si>
    <t>EXPORTACION DIRECTA1020665</t>
  </si>
  <si>
    <t>EXPORTACION DIRECTA1020681</t>
  </si>
  <si>
    <t>EXPORTACION DIRECTA1020731</t>
  </si>
  <si>
    <t>EXPORTACION DIRECTA1020758</t>
  </si>
  <si>
    <t>EXPORTACION DIRECTA1020774</t>
  </si>
  <si>
    <t>EXPORTACION DIRECTA1020802</t>
  </si>
  <si>
    <t>EXPORTACION DIRECTA1020810</t>
  </si>
  <si>
    <t>EXPORTACION DIRECTA1020914</t>
  </si>
  <si>
    <t>EXPORTACION DIRECTA1020990</t>
  </si>
  <si>
    <t>EXPORTACION DIRECTA1020991</t>
  </si>
  <si>
    <t>EXPORTACION DIRECTA1021533</t>
  </si>
  <si>
    <t>EXPORTACION DIRECTA1021603</t>
  </si>
  <si>
    <t>EXPORTACION DIRECTA1022313</t>
  </si>
  <si>
    <t>EXPORTACION DIRECTA1022326</t>
  </si>
  <si>
    <t>EXPORTACION DIRECTA1022370</t>
  </si>
  <si>
    <t>EXPORTACION DIRECTA1022371</t>
  </si>
  <si>
    <t>EXPORTACION DIRECTA1022472</t>
  </si>
  <si>
    <t>EXPORTACION DIRECTA1022499</t>
  </si>
  <si>
    <t>EXPORTACION DIRECTA1022587</t>
  </si>
  <si>
    <t>EXPORTACION DIRECTA1022664</t>
  </si>
  <si>
    <t>EXPORTACION DIRECTA1022901</t>
  </si>
  <si>
    <t>EXPORTACION DIRECTA1022919</t>
  </si>
  <si>
    <t>EXPORTACION DIRECTA1022931</t>
  </si>
  <si>
    <t>EXPORTACION DIRECTA1022987</t>
  </si>
  <si>
    <t>EXPORTACION DIRECTA1023051</t>
  </si>
  <si>
    <t>EXPORTACION DIRECTA1023055</t>
  </si>
  <si>
    <t>EXPORTACION DIRECTA1023163</t>
  </si>
  <si>
    <t>EXPORTACION DIRECTA1023194</t>
  </si>
  <si>
    <t>EXPORTACION DIRECTA1023301</t>
  </si>
  <si>
    <t>EXPORTACION DIRECTA1023349</t>
  </si>
  <si>
    <t>EXPORTACION DIRECTA1023350</t>
  </si>
  <si>
    <t>EXPORTACION DIRECTA1023352</t>
  </si>
  <si>
    <t>AGRO SUDAMERICA1011421</t>
  </si>
  <si>
    <t>AGRO SUDAMERICA1011582</t>
  </si>
  <si>
    <t>AGRO SUDAMERICA1012283</t>
  </si>
  <si>
    <t>AGRO SUDAMERICA1012556</t>
  </si>
  <si>
    <t>AGRO SUDAMERICA1012763</t>
  </si>
  <si>
    <t>AGRO SUDAMERICA1012778</t>
  </si>
  <si>
    <t>AGRO SUDAMERICA1020412</t>
  </si>
  <si>
    <t>AGRO SUDAMERICA1021023</t>
  </si>
  <si>
    <t>AGRO SUDAMERICA1021092</t>
  </si>
  <si>
    <t>AGRO SUDAMERICA1021105</t>
  </si>
  <si>
    <t>AGRO SUDAMERICA1021187</t>
  </si>
  <si>
    <t>AGRO SUDAMERICA1021263</t>
  </si>
  <si>
    <t>AGRO SUDAMERICA1021622</t>
  </si>
  <si>
    <t>AGRO SUDAMERICA1021623</t>
  </si>
  <si>
    <t>AGRO SUDAMERICA1021639</t>
  </si>
  <si>
    <t>AGRO SUDAMERICA1021976</t>
  </si>
  <si>
    <t>AGRO SUDAMERICA1022384</t>
  </si>
  <si>
    <t>AGRO SUDAMERICA1022709</t>
  </si>
  <si>
    <t>AGRO SUDAMERICA1030224</t>
  </si>
  <si>
    <t>AGRO SUDAMERICA1030670</t>
  </si>
  <si>
    <t>AGROSUPER ASIA1021012</t>
  </si>
  <si>
    <t>AGROSUPER ASIA1021149</t>
  </si>
  <si>
    <t>AGROSUPER ASIA1021150</t>
  </si>
  <si>
    <t>AGROSUPER ASIA1021664</t>
  </si>
  <si>
    <t>AGROSUPER ASIA1022607</t>
  </si>
  <si>
    <t>AGROSUPER ASIA1022885</t>
  </si>
  <si>
    <t>AGROSUPER ASIA1022887</t>
  </si>
  <si>
    <t>AGROSUPER ASIA1022930</t>
  </si>
  <si>
    <t>AGROSUPER ASIA1023283</t>
  </si>
  <si>
    <t>AGROSUPER ASIA1023307</t>
  </si>
  <si>
    <t>AGROSUPER ASIA1030535</t>
  </si>
  <si>
    <t>AGROSUPER SHANGHAI1011586</t>
  </si>
  <si>
    <t>AGROSUPER SHANGHAI1011967</t>
  </si>
  <si>
    <t>AGROSUPER SHANGHAI1011969</t>
  </si>
  <si>
    <t>AGROSUPER SHANGHAI1012448</t>
  </si>
  <si>
    <t>AGROSUPER SHANGHAI1012451</t>
  </si>
  <si>
    <t>AGROSUPER SHANGHAI1012455</t>
  </si>
  <si>
    <t>AGROSUPER SHANGHAI1012503</t>
  </si>
  <si>
    <t>AGROSUPER SHANGHAI1012527</t>
  </si>
  <si>
    <t>AGROSUPER SHANGHAI1021115</t>
  </si>
  <si>
    <t>AGROSUPER SHANGHAI1021731</t>
  </si>
  <si>
    <t>AGROSUPER SHANGHAI1021732</t>
  </si>
  <si>
    <t>AGROSUPER SHANGHAI1021735</t>
  </si>
  <si>
    <t>AGROSUPER SHANGHAI1021738</t>
  </si>
  <si>
    <t>AGROSUPER SHANGHAI1021766</t>
  </si>
  <si>
    <t>AGROSUPER SHANGHAI1021767</t>
  </si>
  <si>
    <t>AGROSUPER SHANGHAI1021774</t>
  </si>
  <si>
    <t>AGROSUPER SHANGHAI1021905</t>
  </si>
  <si>
    <t>AGROSUPER SHANGHAI1022080</t>
  </si>
  <si>
    <t>AGROSUPER SHANGHAI1022099</t>
  </si>
  <si>
    <t>AGROSUPER SHANGHAI1022125</t>
  </si>
  <si>
    <t>AGROSUPER SHANGHAI1022183</t>
  </si>
  <si>
    <t>AGROSUPER SHANGHAI1022212</t>
  </si>
  <si>
    <t>AGROSUPER SHANGHAI1022291</t>
  </si>
  <si>
    <t>AGROSUPER SHANGHAI1022381</t>
  </si>
  <si>
    <t>AGROSUPER SHANGHAI1022388</t>
  </si>
  <si>
    <t>AGROSUPER SHANGHAI1022414</t>
  </si>
  <si>
    <t>AGROSUPER SHANGHAI1022417</t>
  </si>
  <si>
    <t>AGROSUPER SHANGHAI1022541</t>
  </si>
  <si>
    <t>AGROSUPER SHANGHAI1022637</t>
  </si>
  <si>
    <t>AGROSUPER SHANGHAI1022639</t>
  </si>
  <si>
    <t>AGROSUPER SHANGHAI1022748</t>
  </si>
  <si>
    <t>AGROSUPER SHANGHAI1022753</t>
  </si>
  <si>
    <t>AGROSUPER SHANGHAI1022856</t>
  </si>
  <si>
    <t>AGROSUPER SHANGHAI1022940</t>
  </si>
  <si>
    <t>AGROSUPER SHANGHAI1022941</t>
  </si>
  <si>
    <t>AGROSUPER SHANGHAI1022945</t>
  </si>
  <si>
    <t>AGROSUPER SHANGHAI1023034</t>
  </si>
  <si>
    <t>AGROSUPER SHANGHAI1023093</t>
  </si>
  <si>
    <t>AGROSUPER SHANGHAI1023110</t>
  </si>
  <si>
    <t>AGROSUPER SHANGHAI1023111</t>
  </si>
  <si>
    <t>AGROSUPER SHANGHAI1023291</t>
  </si>
  <si>
    <t>AGROSUPER SHANGHAI1023306</t>
  </si>
  <si>
    <t>AGROSUPER SHANGHAI1030388</t>
  </si>
  <si>
    <t>AGROSUPER SHANGHAI1030683</t>
  </si>
  <si>
    <t>AGROSUPER SHANGHAI1030685</t>
  </si>
  <si>
    <t>AGROSUPER SHANGHAI1030686</t>
  </si>
  <si>
    <t>Total Cerdo</t>
  </si>
  <si>
    <t>Total Pavo</t>
  </si>
  <si>
    <t>Total Pollo</t>
  </si>
  <si>
    <t>Precio venta nueva</t>
  </si>
  <si>
    <t>Precio Atraso</t>
  </si>
  <si>
    <t>Precio ponderado</t>
  </si>
  <si>
    <t>RV Producción</t>
  </si>
  <si>
    <t>Neto</t>
  </si>
  <si>
    <t>x</t>
  </si>
  <si>
    <t>Recortes Magro</t>
  </si>
  <si>
    <t>Elaborado</t>
  </si>
  <si>
    <t>Nugg Pollo Uru@ Bo Cj 1k SH</t>
  </si>
  <si>
    <t>Nugg Pollo Uru@ Film 2.5k SH</t>
  </si>
  <si>
    <t>PV Hígad@ Bo Cj 15k SO</t>
  </si>
  <si>
    <t>PO Ctro-Pta-Ala@ Cj 20k AS</t>
  </si>
  <si>
    <t>PO Ctro Pta Ala@ Cj 20k AS</t>
  </si>
  <si>
    <t>Empanizado</t>
  </si>
  <si>
    <t>Empanizados Nuggets</t>
  </si>
  <si>
    <t>Menudencias Hígado</t>
  </si>
  <si>
    <t>GO PpPal 77@ Bo Cj 20k AS</t>
  </si>
  <si>
    <t>GO Pecho S/cue K@ Cj 20k AS</t>
  </si>
  <si>
    <t>GO Gord Esp@ 20kg AA</t>
  </si>
  <si>
    <t>GO Mixto Hso@ Bo Cj 10k AS</t>
  </si>
  <si>
    <t>GO Pecho Belly S/p@ Vp Cj AS</t>
  </si>
  <si>
    <t>GO Belly Strip@ Cj 20k AS</t>
  </si>
  <si>
    <t>GO Cuarto Delant @ COM Cj AS</t>
  </si>
  <si>
    <t>Vara Gordo</t>
  </si>
  <si>
    <t>Vara Cuarto Delanter</t>
  </si>
  <si>
    <t>GO Cuarto Trasero @ COM Cj AS</t>
  </si>
  <si>
    <t>Vara Cuarto Trasero</t>
  </si>
  <si>
    <t>GO Manos @ COM Cj 20k AS</t>
  </si>
  <si>
    <t>GO Mantec @ COM Cj AS</t>
  </si>
  <si>
    <t>GO Patas @ COM Cj 20k AS</t>
  </si>
  <si>
    <t>GO Cab Ent @ COM Cj 20k AS</t>
  </si>
  <si>
    <t>Cabeza</t>
  </si>
  <si>
    <t>Cabeza Entera</t>
  </si>
  <si>
    <t>GO Cuarto Central @ COM Cj AS</t>
  </si>
  <si>
    <t>Vara Cuarto Central</t>
  </si>
  <si>
    <t>PV PchDeh S/p c/f MA@ Bo Cj 16k SO</t>
  </si>
  <si>
    <t>PV PchDeh c/p@ Cj 17,5k AS</t>
  </si>
  <si>
    <t>PV Osob@ Cj 14k AS</t>
  </si>
  <si>
    <t>Trutro Osobuco</t>
  </si>
  <si>
    <t>PV Muestra Piel Tru Cor@ Bo Cj 15k AS</t>
  </si>
  <si>
    <t>Muestras</t>
  </si>
  <si>
    <t>PV PchDeh S/p S/ten C/f@ Cj 20k AS</t>
  </si>
  <si>
    <t>PO Corazón@ Bo 20k Cj SP</t>
  </si>
  <si>
    <t>PO Garra Lag@Cj 20 kg Muestra</t>
  </si>
  <si>
    <t>PO Ctro-Pta-Ala Choice@ Cj 20k AS</t>
  </si>
  <si>
    <t>Total Elaborado</t>
  </si>
  <si>
    <t>OBS</t>
  </si>
  <si>
    <t>SKU duplicado</t>
  </si>
  <si>
    <t>Falta confirmar la venta</t>
  </si>
  <si>
    <t>revisar</t>
  </si>
  <si>
    <t xml:space="preserve"> Ajuste</t>
  </si>
  <si>
    <t xml:space="preserve"> En puerto a facturar</t>
  </si>
  <si>
    <t xml:space="preserve"> Atraso a facturar</t>
  </si>
  <si>
    <t xml:space="preserve"> Venta nueva a facturar</t>
  </si>
  <si>
    <t>Volumen disponible</t>
  </si>
  <si>
    <t>Suma de Neto</t>
  </si>
  <si>
    <t>ok</t>
  </si>
  <si>
    <t xml:space="preserve"> Stock al día</t>
  </si>
  <si>
    <t xml:space="preserve"> Producción por despachar mes N</t>
  </si>
  <si>
    <t xml:space="preserve">  RV Producción mes n+1</t>
  </si>
  <si>
    <t xml:space="preserve"> % Uti. producción</t>
  </si>
  <si>
    <t xml:space="preserve"> Producción disponible</t>
  </si>
  <si>
    <t>Plan de ventas Junio</t>
  </si>
  <si>
    <t>*tripas</t>
  </si>
  <si>
    <t>Pedidos en AP</t>
  </si>
  <si>
    <t>Pedidos en producción // Solo si el stock es mayor o =</t>
  </si>
  <si>
    <t>*revisar precio atraso 1,58 precio plan Borja</t>
  </si>
  <si>
    <t>Ofic. de Vtas.</t>
  </si>
  <si>
    <t>Origen</t>
  </si>
  <si>
    <t>Nivel 2</t>
  </si>
  <si>
    <t>Descripcion Material</t>
  </si>
  <si>
    <t>Suma de Total Volumen</t>
  </si>
  <si>
    <t>Suma de PP FOB usd</t>
  </si>
  <si>
    <t>Suma de Total Facturacion</t>
  </si>
  <si>
    <t>SUBPROD TRIPA</t>
  </si>
  <si>
    <t>GO TRIPA S/CAL# BIDON AS</t>
  </si>
  <si>
    <t>GO TRIPA CALIB 32/35# BO BIDON AS</t>
  </si>
  <si>
    <t>GO TRIPA CALIB 35/38# BO BIDON AS</t>
  </si>
  <si>
    <t>GO TRIPA CALIB 38/40# BO BIDON AS</t>
  </si>
  <si>
    <t>GO TRIPA CALIB 40/42# BO BIN AS</t>
  </si>
  <si>
    <t>Precio Ultima facturación</t>
  </si>
  <si>
    <t>Suma de Precio</t>
  </si>
  <si>
    <t xml:space="preserve"> Neto</t>
  </si>
  <si>
    <t>NECESIDAD DE PEDIDOS</t>
  </si>
  <si>
    <t xml:space="preserve"> Volumen en puerto</t>
  </si>
  <si>
    <t>NECESIDAD DE PRODUCCIÓN</t>
  </si>
  <si>
    <t>Producción nueva</t>
  </si>
  <si>
    <t xml:space="preserve"> Plan Final (Kilos)</t>
  </si>
  <si>
    <t>Suma de Precio Atraso</t>
  </si>
  <si>
    <t>Suma de Precio ponderado</t>
  </si>
  <si>
    <t>Suma de Precio venta nueva</t>
  </si>
  <si>
    <t>GO Hso Pecho@ Cj 10k SC</t>
  </si>
  <si>
    <t>PO Tru-Ctro Ala 60-80 4x10 NMr@ Cj20k AS</t>
  </si>
  <si>
    <t>GO BB Ribs Grd B@ Fi Cj 20k AS</t>
  </si>
  <si>
    <t>Ajuste atraso</t>
  </si>
  <si>
    <t>Ajuste venta nueva</t>
  </si>
  <si>
    <t>Facturación atraso</t>
  </si>
  <si>
    <t>Producción para venta nueva</t>
  </si>
  <si>
    <t>Facturación Venta nueva</t>
  </si>
  <si>
    <t>Saldo Volumen disponible</t>
  </si>
  <si>
    <t>Plan Ajustado</t>
  </si>
  <si>
    <t>Por producir mes N</t>
  </si>
  <si>
    <t>Plan Jun</t>
  </si>
  <si>
    <t>Neto Ene</t>
  </si>
  <si>
    <t>Neto Feb</t>
  </si>
  <si>
    <t>Neto Mar</t>
  </si>
  <si>
    <t>Neto Abr</t>
  </si>
  <si>
    <t>Neto May</t>
  </si>
  <si>
    <t>Neto Jun</t>
  </si>
  <si>
    <t>Ultimos planes</t>
  </si>
  <si>
    <t>Ultimos Planes Neto</t>
  </si>
  <si>
    <t>Motivo Ajuste</t>
  </si>
  <si>
    <t>Revisar precio</t>
  </si>
  <si>
    <t>Desv ABS Precio</t>
  </si>
  <si>
    <t xml:space="preserve"> Plan Jun</t>
  </si>
  <si>
    <t xml:space="preserve"> Precio Junio</t>
  </si>
  <si>
    <t xml:space="preserve"> Precio Mayo</t>
  </si>
  <si>
    <t xml:space="preserve"> Precio Abril </t>
  </si>
  <si>
    <t xml:space="preserve"> Precio Plan</t>
  </si>
  <si>
    <t>N/A</t>
  </si>
  <si>
    <t xml:space="preserve"> Neto Abr</t>
  </si>
  <si>
    <t xml:space="preserve"> Neto May</t>
  </si>
  <si>
    <t xml:space="preserve"> Neto Jun</t>
  </si>
  <si>
    <t>Volumen</t>
  </si>
  <si>
    <t xml:space="preserve"> Plan Ajustado</t>
  </si>
  <si>
    <t>PO Pch Piel@CF Cj 18 k</t>
  </si>
  <si>
    <t xml:space="preserve">Puerto </t>
  </si>
  <si>
    <t>Atraso</t>
  </si>
  <si>
    <t>Venta nueva</t>
  </si>
  <si>
    <t xml:space="preserve"> Atraso ajustado</t>
  </si>
  <si>
    <t>Venta nueva Ajustado</t>
  </si>
  <si>
    <t>Agro Sudamerica1020367</t>
  </si>
  <si>
    <t>Agro Sudamerica1020412</t>
  </si>
  <si>
    <t>Agro Sudamerica1021023</t>
  </si>
  <si>
    <t>Agro Sudamerica1021078</t>
  </si>
  <si>
    <t>Agro Sudamerica1021092</t>
  </si>
  <si>
    <t>Agro Sudamerica1021187</t>
  </si>
  <si>
    <t>Agro Sudamerica1030332</t>
  </si>
  <si>
    <t>Agro Sudamerica1011421</t>
  </si>
  <si>
    <t>Agro Sudamerica1012283</t>
  </si>
  <si>
    <t>Agro Sudamerica1012719</t>
  </si>
  <si>
    <t xml:space="preserve"> Ajuste Total</t>
  </si>
  <si>
    <t xml:space="preserve"> Puerto + Programado en planta</t>
  </si>
  <si>
    <t>Capacidad cnt</t>
  </si>
  <si>
    <t>Capacidad KGS</t>
  </si>
  <si>
    <t>VL KG</t>
  </si>
  <si>
    <t>VL CNT</t>
  </si>
  <si>
    <t xml:space="preserve">Utilización </t>
  </si>
  <si>
    <t>AGRO MEXICO</t>
  </si>
  <si>
    <t>Total</t>
  </si>
  <si>
    <t>Capacidad</t>
  </si>
  <si>
    <t>Disponible</t>
  </si>
  <si>
    <t>Disponible Total</t>
  </si>
  <si>
    <t>000023 BUENAVENTURA, PUERTO</t>
  </si>
  <si>
    <t>000027 GUAYAQUIL, PUERTO</t>
  </si>
  <si>
    <t>000059 CALLAO, PUERTO</t>
  </si>
  <si>
    <t>000158 CAUCEDO, PUERTO</t>
  </si>
  <si>
    <t>000206 CALDERA, PUERTO</t>
  </si>
  <si>
    <t>000218 CARTAGENA, PUERTO</t>
  </si>
  <si>
    <t>000291 SAN SALVADOR, PUERTO</t>
  </si>
  <si>
    <t>000435 MANZANILLO, PANAMA</t>
  </si>
  <si>
    <t>000541 POSORJA, PUERTO</t>
  </si>
  <si>
    <t>TOTAL</t>
  </si>
  <si>
    <t>Plan KG</t>
  </si>
  <si>
    <t>Plan CNT</t>
  </si>
  <si>
    <t>Venta Directa</t>
  </si>
  <si>
    <t>Venta Local</t>
  </si>
  <si>
    <t>Total FCL</t>
  </si>
  <si>
    <t>Detalle SUD</t>
  </si>
  <si>
    <t>Verificador precio 1</t>
  </si>
  <si>
    <t>Ajuste precio IC</t>
  </si>
  <si>
    <t>Precio Final</t>
  </si>
  <si>
    <t>OB Ajuste precio</t>
  </si>
  <si>
    <t>3,54 es nuestro último precio promedio entre ultima propuesta Nippon y la nuestra</t>
  </si>
  <si>
    <t>2,59 precio promedio entre nuestra ultima propuesta y propuesta de Nippon</t>
  </si>
  <si>
    <t xml:space="preserve">4,91 precio promedio entre ultimas dos propuestas </t>
  </si>
  <si>
    <t>3,56 precio promedio ultimas dos propuestas</t>
  </si>
  <si>
    <t>4,77 precio promedio ultimas dos propuestas</t>
  </si>
  <si>
    <t>3,84 precio promedio entre dos ultimas propuestas</t>
  </si>
  <si>
    <t>2,9 precio promedio entre dos ultimas propuestas</t>
  </si>
  <si>
    <t>Salida Junio</t>
  </si>
  <si>
    <t>Baja</t>
  </si>
  <si>
    <t>Precio</t>
  </si>
  <si>
    <t>USD Neto</t>
  </si>
  <si>
    <t xml:space="preserve"> Pedidos atrasados</t>
  </si>
  <si>
    <t xml:space="preserve"> Nuevos pedidos</t>
  </si>
  <si>
    <t>Usa produdicción o stock ¿?</t>
  </si>
  <si>
    <t xml:space="preserve"> Producción nueva</t>
  </si>
  <si>
    <t>Necesidad</t>
  </si>
  <si>
    <t>Stock Plan</t>
  </si>
  <si>
    <t xml:space="preserve"> Stock Plan</t>
  </si>
  <si>
    <t>Fecha limite producción</t>
  </si>
  <si>
    <t>PLAN VD  POR SECTOR</t>
  </si>
  <si>
    <t>PLAN VD IRRESTRICTO A FINAL</t>
  </si>
  <si>
    <t>Actualizado</t>
  </si>
  <si>
    <t>AGROSUPER ASIA1020861</t>
  </si>
  <si>
    <t>Sacar volumenes de Stock de sku duplicados</t>
  </si>
  <si>
    <t xml:space="preserve"> PV TruDeh Cort S/h S/p@ Bo Cj AS</t>
  </si>
  <si>
    <t>PV PchDeh S/p c/f MA@ Cj 15k SO</t>
  </si>
  <si>
    <t>GO Lom Ctro 27 S/f@ Va Cj t-f AS</t>
  </si>
  <si>
    <t>GO Lom Tocino S/cue@ Cj 20k AS</t>
  </si>
  <si>
    <t>GO PpPal 1P Ex@ Bo AP</t>
  </si>
  <si>
    <t>Facturación stock</t>
  </si>
  <si>
    <t>Disponible stock sin venta</t>
  </si>
  <si>
    <t>Ajuste stock sin venta</t>
  </si>
  <si>
    <t>Producción disponible mes n-1</t>
  </si>
  <si>
    <t>Saldo mes n-1</t>
  </si>
  <si>
    <t>PV PDM @ Bo Cj 15k AS</t>
  </si>
  <si>
    <t>Plan Irrestricto Inicial</t>
  </si>
  <si>
    <t>Por atraso en ciertos productos del mix</t>
  </si>
  <si>
    <t xml:space="preserve">Por producción </t>
  </si>
  <si>
    <t>Por produccion a contenedor completo</t>
  </si>
  <si>
    <t>Verificador precio 2 vta nueva</t>
  </si>
  <si>
    <t>Exportacion</t>
  </si>
  <si>
    <t>Ratio</t>
  </si>
  <si>
    <t>Oficina de Ventas</t>
  </si>
  <si>
    <t>Nivel 3</t>
  </si>
  <si>
    <t>SKU</t>
  </si>
  <si>
    <t>Tipo de Venta</t>
  </si>
  <si>
    <t xml:space="preserve">Kilos </t>
  </si>
  <si>
    <t>PP Moneda Origen</t>
  </si>
  <si>
    <t>Venta Moneda Origen</t>
  </si>
  <si>
    <t xml:space="preserve">Suma de Kilos </t>
  </si>
  <si>
    <t>Suma de precio</t>
  </si>
  <si>
    <t>Produccion Propia</t>
  </si>
  <si>
    <t>Agosto</t>
  </si>
  <si>
    <t>Ajustado por</t>
  </si>
  <si>
    <t>Agrosuper Brasil1022217</t>
  </si>
  <si>
    <t>Agrosuper Brasil1022273</t>
  </si>
  <si>
    <t>Agrosuper Brasil1012362</t>
  </si>
  <si>
    <t>Agrosuper Brasil1012674</t>
  </si>
  <si>
    <t>Asignación mes n+2</t>
  </si>
  <si>
    <t>Ponderación mes n+2</t>
  </si>
  <si>
    <t>Irrstricto mes n+2</t>
  </si>
  <si>
    <t>Saldo mes n+2</t>
  </si>
  <si>
    <t>Saldo mes n+3</t>
  </si>
  <si>
    <t>Irrstricto mes n+3</t>
  </si>
  <si>
    <t>Ponderación mes n+3</t>
  </si>
  <si>
    <t>Asignación mes n+3</t>
  </si>
  <si>
    <t>Septiembre</t>
  </si>
  <si>
    <t>Octubre</t>
  </si>
  <si>
    <t>Plan de ventas</t>
  </si>
  <si>
    <t>Irrestricto</t>
  </si>
  <si>
    <t>Ajuste DI</t>
  </si>
  <si>
    <t>plan final</t>
  </si>
  <si>
    <t>Saldo mes n+4</t>
  </si>
  <si>
    <t>Saldo mes n+5</t>
  </si>
  <si>
    <t>Suma de Stock al día</t>
  </si>
  <si>
    <t>Suma de Total disponible</t>
  </si>
  <si>
    <t>Suma de Plan Irrestricto</t>
  </si>
  <si>
    <t xml:space="preserve"> Puerto </t>
  </si>
  <si>
    <t>Suma de Saldo mes n-1</t>
  </si>
  <si>
    <t>Suma de Plan Irrestricto Inicial</t>
  </si>
  <si>
    <t>Valores</t>
  </si>
  <si>
    <t>Plan de producción mensual</t>
  </si>
  <si>
    <t>Saldo producción mes N</t>
  </si>
  <si>
    <t>Por producir mes n-1</t>
  </si>
  <si>
    <t xml:space="preserve"> Total disponible</t>
  </si>
  <si>
    <t>Saldo no utilizado</t>
  </si>
  <si>
    <t>VL</t>
  </si>
  <si>
    <t>Actualización ETA China</t>
  </si>
  <si>
    <t>Exportación Directa</t>
  </si>
  <si>
    <t>VD</t>
  </si>
  <si>
    <t>Shanghai</t>
  </si>
  <si>
    <t>SUD</t>
  </si>
  <si>
    <t>ASIA</t>
  </si>
  <si>
    <t>Venta</t>
  </si>
  <si>
    <t>Producción</t>
  </si>
  <si>
    <t>cantidad</t>
  </si>
  <si>
    <t>puerto</t>
  </si>
  <si>
    <t>fecha requerida de despacho</t>
  </si>
  <si>
    <t>Plan de ventas Octubre</t>
  </si>
  <si>
    <t>des(-) despachar</t>
  </si>
  <si>
    <t>Pedidos Atrasados</t>
  </si>
  <si>
    <t>Venta nueva (pedidos)</t>
  </si>
  <si>
    <t>Pedidos venta nueva</t>
  </si>
  <si>
    <t>Pedidos no despachados con fecha requerida de despacho del 05 de mes N hacia a tras (hasta donde tengamos pedidos)</t>
  </si>
  <si>
    <t>GO Papda Cab@ Cj 20k AS</t>
  </si>
  <si>
    <t>GO Manos@ Cj 20k AS</t>
  </si>
  <si>
    <t>PO Pech c/h c/p@ Cj 16k AS</t>
  </si>
  <si>
    <t xml:space="preserve"> GO PpPna 59@ Cj 20k AS</t>
  </si>
  <si>
    <t>GO Cab Ent@ Cj 20k AS</t>
  </si>
  <si>
    <t>GO Hso femur@ Cj 20k AS</t>
  </si>
  <si>
    <t>Pechuga</t>
  </si>
  <si>
    <t>Pechuga Entera</t>
  </si>
  <si>
    <t>Huesos Cuarto Traser</t>
  </si>
  <si>
    <t>I(Y([@Oficina]=$I$7;[@Delay]&gt;0);[@[Atraso a facturar]];SI(Y([@Oficina]=$I$7;[@Delay]=0);0;SI([@[Total disponible]]&gt;0;(REDONDEAR.MENOS(P93/R93;0)*R93);0)+[@[En puerto a facturar]]))</t>
  </si>
  <si>
    <t>Plan Irrestricto (DATO)</t>
  </si>
  <si>
    <t>Plan Julio</t>
  </si>
  <si>
    <t>Plan Agosto</t>
  </si>
  <si>
    <t xml:space="preserve"> Plan Julio</t>
  </si>
  <si>
    <t xml:space="preserve"> Plan Agosto</t>
  </si>
  <si>
    <t xml:space="preserve"> Atraso</t>
  </si>
  <si>
    <t xml:space="preserve"> Venta nueva</t>
  </si>
  <si>
    <t>promedio historico ajuste</t>
  </si>
  <si>
    <t>ajuste pedido</t>
  </si>
  <si>
    <t>22 tn en puerto no en atraso // promedio historico ajuste</t>
  </si>
  <si>
    <t xml:space="preserve">permiso ? </t>
  </si>
  <si>
    <t>revisar venta</t>
  </si>
  <si>
    <t>Cambiar volumen x contenedor</t>
  </si>
  <si>
    <t>analisis</t>
  </si>
  <si>
    <t>pagos</t>
  </si>
  <si>
    <t xml:space="preserve"> Plan Irrestricto (DATO)</t>
  </si>
  <si>
    <t>ok, ajustar RV al alza</t>
  </si>
  <si>
    <t>Venta nueva no cuadra con RV 96 ton</t>
  </si>
  <si>
    <t>Ecuador, duda con naves.</t>
  </si>
  <si>
    <t>PERMISO</t>
  </si>
  <si>
    <t>Ecuador, venta nueva sin permiso</t>
  </si>
  <si>
    <t>Bolivia, falta disponibilidad</t>
  </si>
  <si>
    <t>TASA PRODUCTIVA</t>
  </si>
  <si>
    <t>Duda con tasa productiva, 20 ton/semana</t>
  </si>
  <si>
    <t>Duda con tasa productiva, 32 ton/semana</t>
  </si>
  <si>
    <t>duda con nave (Ecuador)</t>
  </si>
  <si>
    <t>Venta nueva 0, produccion es para Brasil. (Sumar código de China 1023306) ; atraso 72000, a menos que nos confirmen mayor cantidad de naves (Ecuador)</t>
  </si>
  <si>
    <t>Producto de Africa, no puede ser vendido en SA por el marinado.</t>
  </si>
  <si>
    <t>ajustar 3 cargas a la baja, por prioridad ADM Nacional</t>
  </si>
  <si>
    <t>Revisar el dato, pq este mes hubo atraso</t>
  </si>
  <si>
    <t>#¡REF!</t>
  </si>
  <si>
    <t>Agro Sudamerica1012556</t>
  </si>
  <si>
    <t>Agro Sudamerica1021385</t>
  </si>
  <si>
    <t>Agro Sudamerica1020339</t>
  </si>
  <si>
    <t>Agro Sudamerica1021039</t>
  </si>
  <si>
    <t>Agro Sudamerica1021105</t>
  </si>
  <si>
    <t>240 TM capacidad productiva</t>
  </si>
  <si>
    <t>27  Espacios Adicionales</t>
  </si>
  <si>
    <t xml:space="preserve">SKU de africa </t>
  </si>
  <si>
    <t>los 2 de venta nueva considerar 0 para septiembre, por tiempos de Permiso</t>
  </si>
  <si>
    <t>ajuste pedido por disponibilidad de permisos en primeras semanas por consiguiente transporte</t>
  </si>
  <si>
    <t>Market</t>
  </si>
  <si>
    <t>Pecio plan</t>
  </si>
  <si>
    <t xml:space="preserve"> Plan Irrestricto </t>
  </si>
  <si>
    <t>FOB USD</t>
  </si>
  <si>
    <t>Suma de Plan Irrestricto (DATO)</t>
  </si>
  <si>
    <t>Stock in Oct.</t>
  </si>
  <si>
    <t>Stock In Oct.</t>
  </si>
  <si>
    <t>Salida</t>
  </si>
  <si>
    <t>Stock al 01/09</t>
  </si>
  <si>
    <t>Stock al 01/10</t>
  </si>
  <si>
    <t>Asignación mes n+1</t>
  </si>
  <si>
    <t>Ponderación mes n+1</t>
  </si>
  <si>
    <t>Irrstricto mes n+1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</si>
</sst>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 &quot;$&quot;* #,##0_ ;_ &quot;$&quot;* \-#,##0_ ;_ &quot;$&quot;* &quot;-&quot;_ ;_ @_ "/>
    <numFmt numFmtId="165" formatCode="_ * #,##0_ ;_ * \-#,##0_ ;_ * &quot;-&quot;_ ;_ @_ "/>
    <numFmt numFmtId="166" formatCode="_ &quot;$&quot;* #,##0.00_ ;_ &quot;$&quot;* \-#,##0.00_ ;_ &quot;$&quot;* &quot;-&quot;_ ;_ @_ "/>
    <numFmt numFmtId="167" formatCode="_ * #,##0.0_ ;_ * \-#,##0.0_ ;_ * &quot;-&quot;_ ;_ @_ "/>
    <numFmt numFmtId="168" formatCode="_ * #,##0.00_ ;_ * \-#,##0.00_ ;_ * &quot;-&quot;_ ;_ @_ "/>
    <numFmt numFmtId="169" formatCode="#,##0_ ;[Red]\-#,##0\ "/>
    <numFmt numFmtId="170" formatCode="#,##0.0"/>
    <numFmt numFmtId="171" formatCode="&quot;$&quot;#,##0"/>
    <numFmt numFmtId="172" formatCode="_ * #,##0.000_ ;_ * \-#,##0.000_ ;_ * &quot;-&quot;_ ;_ @_ 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i/>
      <sz val="10"/>
      <color theme="2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  <font>
      <i/>
      <sz val="8"/>
      <color theme="0" tint="-0.34998626667073579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375623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1" tint="0.499984740745262"/>
        <bgColor theme="1" tint="0.49998474074526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20376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theme="7" tint="-0.249977111117893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theme="2" tint="-0.499984740745262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00000"/>
        <bgColor theme="4" tint="0.79998168889431442"/>
      </patternFill>
    </fill>
    <fill>
      <patternFill patternType="solid">
        <fgColor theme="9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/>
      <bottom style="thin">
        <color theme="4" tint="0.59999389629810485"/>
      </bottom>
      <diagonal/>
    </border>
    <border>
      <left/>
      <right/>
      <top style="thin">
        <color theme="4" tint="0.79998168889431442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slantDashDot">
        <color rgb="FFC00000"/>
      </left>
      <right style="slantDashDot">
        <color rgb="FFC00000"/>
      </right>
      <top style="slantDashDot">
        <color rgb="FFC00000"/>
      </top>
      <bottom style="slantDashDot">
        <color rgb="FFC0000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rgb="FF7B7B7B"/>
      </left>
      <right style="medium">
        <color rgb="FF7B7B7B"/>
      </right>
      <top style="medium">
        <color rgb="FF7B7B7B"/>
      </top>
      <bottom style="thin">
        <color rgb="FF7B7B7B"/>
      </bottom>
      <diagonal/>
    </border>
    <border>
      <left style="medium">
        <color rgb="FF7B7B7B"/>
      </left>
      <right style="thin">
        <color rgb="FF7B7B7B"/>
      </right>
      <top style="medium">
        <color rgb="FF7B7B7B"/>
      </top>
      <bottom style="thin">
        <color rgb="FF7B7B7B"/>
      </bottom>
      <diagonal/>
    </border>
    <border>
      <left style="thin">
        <color rgb="FF7B7B7B"/>
      </left>
      <right style="medium">
        <color rgb="FF7B7B7B"/>
      </right>
      <top style="medium">
        <color rgb="FF7B7B7B"/>
      </top>
      <bottom style="thin">
        <color rgb="FF7B7B7B"/>
      </bottom>
      <diagonal/>
    </border>
    <border>
      <left style="thin">
        <color rgb="FF7B7B7B"/>
      </left>
      <right style="thin">
        <color rgb="FF7B7B7B"/>
      </right>
      <top style="medium">
        <color rgb="FF7B7B7B"/>
      </top>
      <bottom style="thin">
        <color rgb="FF7B7B7B"/>
      </bottom>
      <diagonal/>
    </border>
    <border>
      <left style="medium">
        <color rgb="FF7B7B7B"/>
      </left>
      <right style="medium">
        <color rgb="FF7B7B7B"/>
      </right>
      <top style="thin">
        <color rgb="FF7B7B7B"/>
      </top>
      <bottom style="thin">
        <color rgb="FF7B7B7B"/>
      </bottom>
      <diagonal/>
    </border>
    <border>
      <left style="medium">
        <color rgb="FF7B7B7B"/>
      </left>
      <right style="thin">
        <color rgb="FF7B7B7B"/>
      </right>
      <top style="thin">
        <color rgb="FF7B7B7B"/>
      </top>
      <bottom style="thin">
        <color rgb="FF7B7B7B"/>
      </bottom>
      <diagonal/>
    </border>
    <border>
      <left style="thin">
        <color rgb="FF7B7B7B"/>
      </left>
      <right style="medium">
        <color rgb="FF7B7B7B"/>
      </right>
      <top style="thin">
        <color rgb="FF7B7B7B"/>
      </top>
      <bottom style="thin">
        <color rgb="FF7B7B7B"/>
      </bottom>
      <diagonal/>
    </border>
    <border>
      <left style="thin">
        <color rgb="FF7B7B7B"/>
      </left>
      <right style="thin">
        <color rgb="FF7B7B7B"/>
      </right>
      <top style="thin">
        <color rgb="FF7B7B7B"/>
      </top>
      <bottom style="thin">
        <color rgb="FF7B7B7B"/>
      </bottom>
      <diagonal/>
    </border>
    <border>
      <left style="medium">
        <color rgb="FF7B7B7B"/>
      </left>
      <right style="medium">
        <color rgb="FF7B7B7B"/>
      </right>
      <top style="thin">
        <color rgb="FF7B7B7B"/>
      </top>
      <bottom/>
      <diagonal/>
    </border>
    <border>
      <left style="medium">
        <color rgb="FF7B7B7B"/>
      </left>
      <right style="thin">
        <color rgb="FF7B7B7B"/>
      </right>
      <top style="thin">
        <color rgb="FF7B7B7B"/>
      </top>
      <bottom/>
      <diagonal/>
    </border>
    <border>
      <left style="thin">
        <color rgb="FF7B7B7B"/>
      </left>
      <right style="medium">
        <color rgb="FF7B7B7B"/>
      </right>
      <top style="thin">
        <color rgb="FF7B7B7B"/>
      </top>
      <bottom/>
      <diagonal/>
    </border>
    <border>
      <left style="thin">
        <color rgb="FF7B7B7B"/>
      </left>
      <right style="thin">
        <color rgb="FF7B7B7B"/>
      </right>
      <top style="thin">
        <color rgb="FF7B7B7B"/>
      </top>
      <bottom/>
      <diagonal/>
    </border>
    <border>
      <left style="medium">
        <color rgb="FF7B7B7B"/>
      </left>
      <right style="medium">
        <color rgb="FF7B7B7B"/>
      </right>
      <top style="medium">
        <color rgb="FF7B7B7B"/>
      </top>
      <bottom style="medium">
        <color rgb="FF7B7B7B"/>
      </bottom>
      <diagonal/>
    </border>
    <border>
      <left style="medium">
        <color rgb="FF7B7B7B"/>
      </left>
      <right style="thin">
        <color rgb="FF7B7B7B"/>
      </right>
      <top style="medium">
        <color rgb="FF7B7B7B"/>
      </top>
      <bottom style="medium">
        <color rgb="FF7B7B7B"/>
      </bottom>
      <diagonal/>
    </border>
    <border>
      <left style="thin">
        <color rgb="FF7B7B7B"/>
      </left>
      <right style="medium">
        <color rgb="FF7B7B7B"/>
      </right>
      <top style="medium">
        <color rgb="FF7B7B7B"/>
      </top>
      <bottom style="medium">
        <color rgb="FF7B7B7B"/>
      </bottom>
      <diagonal/>
    </border>
    <border>
      <left style="thin">
        <color rgb="FF7B7B7B"/>
      </left>
      <right/>
      <top style="medium">
        <color rgb="FF7B7B7B"/>
      </top>
      <bottom style="medium">
        <color rgb="FF7B7B7B"/>
      </bottom>
      <diagonal/>
    </border>
    <border>
      <left/>
      <right style="thin">
        <color rgb="FF7B7B7B"/>
      </right>
      <top style="medium">
        <color rgb="FF7B7B7B"/>
      </top>
      <bottom style="medium">
        <color rgb="FF7B7B7B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17">
    <xf numFmtId="0" fontId="0" fillId="0" borderId="0" xfId="0"/>
    <xf numFmtId="0" fontId="2" fillId="0" borderId="0" xfId="0" applyFont="1"/>
    <xf numFmtId="0" fontId="0" fillId="0" borderId="0" xfId="0" applyAlignment="1">
      <alignment horizontal="center" vertical="center" wrapText="1"/>
    </xf>
    <xf numFmtId="165" fontId="0" fillId="0" borderId="0" xfId="0" applyNumberFormat="1"/>
    <xf numFmtId="0" fontId="0" fillId="2" borderId="0" xfId="0" applyFill="1" applyAlignment="1">
      <alignment horizontal="center" vertical="center" wrapText="1"/>
    </xf>
    <xf numFmtId="165" fontId="2" fillId="0" borderId="0" xfId="1" applyFont="1"/>
    <xf numFmtId="165" fontId="2" fillId="0" borderId="0" xfId="0" applyNumberFormat="1" applyFont="1"/>
    <xf numFmtId="165" fontId="0" fillId="0" borderId="0" xfId="1" applyFont="1"/>
    <xf numFmtId="9" fontId="4" fillId="0" borderId="0" xfId="2" applyFont="1"/>
    <xf numFmtId="165" fontId="4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2" fillId="3" borderId="1" xfId="0" applyFont="1" applyFill="1" applyBorder="1"/>
    <xf numFmtId="3" fontId="0" fillId="0" borderId="0" xfId="0" applyNumberFormat="1"/>
    <xf numFmtId="165" fontId="6" fillId="0" borderId="0" xfId="1" applyFont="1"/>
    <xf numFmtId="165" fontId="0" fillId="0" borderId="0" xfId="1" applyNumberFormat="1" applyFont="1"/>
    <xf numFmtId="165" fontId="7" fillId="0" borderId="0" xfId="1" applyFont="1"/>
    <xf numFmtId="9" fontId="4" fillId="0" borderId="0" xfId="2" applyNumberFormat="1" applyFont="1"/>
    <xf numFmtId="165" fontId="1" fillId="0" borderId="0" xfId="1" applyFont="1"/>
    <xf numFmtId="0" fontId="0" fillId="4" borderId="0" xfId="0" applyFill="1" applyAlignment="1">
      <alignment horizontal="center" vertical="center" wrapText="1"/>
    </xf>
    <xf numFmtId="165" fontId="8" fillId="0" borderId="0" xfId="1" applyFont="1"/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3" fontId="3" fillId="0" borderId="0" xfId="0" applyNumberFormat="1" applyFont="1"/>
    <xf numFmtId="0" fontId="0" fillId="8" borderId="0" xfId="0" applyFill="1"/>
    <xf numFmtId="0" fontId="5" fillId="7" borderId="2" xfId="0" applyFont="1" applyFill="1" applyBorder="1"/>
    <xf numFmtId="3" fontId="9" fillId="0" borderId="0" xfId="0" applyNumberFormat="1" applyFont="1"/>
    <xf numFmtId="165" fontId="2" fillId="9" borderId="0" xfId="1" applyFont="1" applyFill="1"/>
    <xf numFmtId="3" fontId="0" fillId="9" borderId="0" xfId="0" applyNumberFormat="1" applyFill="1"/>
    <xf numFmtId="3" fontId="9" fillId="9" borderId="0" xfId="0" applyNumberFormat="1" applyFont="1" applyFill="1"/>
    <xf numFmtId="166" fontId="2" fillId="0" borderId="0" xfId="3" applyNumberFormat="1" applyFont="1"/>
    <xf numFmtId="0" fontId="2" fillId="0" borderId="0" xfId="0" pivotButton="1" applyFont="1"/>
    <xf numFmtId="3" fontId="0" fillId="0" borderId="3" xfId="0" applyNumberFormat="1" applyBorder="1"/>
    <xf numFmtId="167" fontId="2" fillId="0" borderId="0" xfId="0" applyNumberFormat="1" applyFont="1"/>
    <xf numFmtId="164" fontId="7" fillId="0" borderId="0" xfId="3" applyFont="1"/>
    <xf numFmtId="165" fontId="8" fillId="0" borderId="0" xfId="1" applyNumberFormat="1" applyFont="1"/>
    <xf numFmtId="0" fontId="5" fillId="7" borderId="4" xfId="0" applyFont="1" applyFill="1" applyBorder="1"/>
    <xf numFmtId="165" fontId="6" fillId="0" borderId="0" xfId="1" applyNumberFormat="1" applyFont="1"/>
    <xf numFmtId="9" fontId="0" fillId="0" borderId="0" xfId="2" applyFont="1"/>
    <xf numFmtId="0" fontId="3" fillId="0" borderId="0" xfId="0" applyFont="1"/>
    <xf numFmtId="9" fontId="13" fillId="0" borderId="0" xfId="2" applyFont="1"/>
    <xf numFmtId="0" fontId="12" fillId="7" borderId="2" xfId="0" applyFont="1" applyFill="1" applyBorder="1"/>
    <xf numFmtId="0" fontId="0" fillId="10" borderId="0" xfId="0" applyFill="1" applyAlignment="1">
      <alignment horizontal="center" vertical="center" wrapText="1"/>
    </xf>
    <xf numFmtId="165" fontId="14" fillId="0" borderId="0" xfId="1" applyNumberFormat="1" applyFont="1"/>
    <xf numFmtId="0" fontId="15" fillId="0" borderId="0" xfId="0" applyFont="1"/>
    <xf numFmtId="169" fontId="0" fillId="0" borderId="3" xfId="0" applyNumberFormat="1" applyFont="1" applyBorder="1"/>
    <xf numFmtId="0" fontId="16" fillId="0" borderId="0" xfId="0" applyFont="1"/>
    <xf numFmtId="165" fontId="17" fillId="0" borderId="0" xfId="1" applyFont="1"/>
    <xf numFmtId="0" fontId="0" fillId="6" borderId="0" xfId="0" applyFill="1"/>
    <xf numFmtId="165" fontId="18" fillId="0" borderId="0" xfId="0" applyNumberFormat="1" applyFont="1"/>
    <xf numFmtId="0" fontId="0" fillId="11" borderId="0" xfId="0" applyFill="1"/>
    <xf numFmtId="9" fontId="0" fillId="0" borderId="0" xfId="0" applyNumberFormat="1"/>
    <xf numFmtId="0" fontId="0" fillId="12" borderId="0" xfId="0" applyFill="1"/>
    <xf numFmtId="0" fontId="12" fillId="5" borderId="0" xfId="0" applyFont="1" applyFill="1"/>
    <xf numFmtId="168" fontId="0" fillId="0" borderId="0" xfId="0" applyNumberFormat="1"/>
    <xf numFmtId="4" fontId="0" fillId="0" borderId="0" xfId="0" applyNumberFormat="1"/>
    <xf numFmtId="170" fontId="0" fillId="0" borderId="0" xfId="0" applyNumberFormat="1"/>
    <xf numFmtId="0" fontId="2" fillId="6" borderId="0" xfId="0" applyFont="1" applyFill="1"/>
    <xf numFmtId="3" fontId="2" fillId="0" borderId="0" xfId="0" applyNumberFormat="1" applyFont="1"/>
    <xf numFmtId="0" fontId="5" fillId="13" borderId="5" xfId="0" applyFont="1" applyFill="1" applyBorder="1"/>
    <xf numFmtId="0" fontId="0" fillId="0" borderId="3" xfId="0" applyFont="1" applyBorder="1"/>
    <xf numFmtId="0" fontId="5" fillId="13" borderId="6" xfId="0" applyFont="1" applyFill="1" applyBorder="1"/>
    <xf numFmtId="0" fontId="5" fillId="13" borderId="7" xfId="0" applyFont="1" applyFill="1" applyBorder="1"/>
    <xf numFmtId="0" fontId="0" fillId="3" borderId="3" xfId="0" applyFont="1" applyFill="1" applyBorder="1"/>
    <xf numFmtId="3" fontId="0" fillId="0" borderId="0" xfId="0" applyNumberFormat="1" applyFont="1"/>
    <xf numFmtId="0" fontId="0" fillId="0" borderId="0" xfId="0" applyFont="1"/>
    <xf numFmtId="0" fontId="0" fillId="3" borderId="8" xfId="0" applyFont="1" applyFill="1" applyBorder="1"/>
    <xf numFmtId="0" fontId="2" fillId="15" borderId="3" xfId="0" applyFont="1" applyFill="1" applyBorder="1"/>
    <xf numFmtId="0" fontId="5" fillId="7" borderId="3" xfId="0" applyFont="1" applyFill="1" applyBorder="1"/>
    <xf numFmtId="0" fontId="5" fillId="11" borderId="4" xfId="0" applyFont="1" applyFill="1" applyBorder="1"/>
    <xf numFmtId="0" fontId="2" fillId="0" borderId="3" xfId="0" applyFont="1" applyBorder="1"/>
    <xf numFmtId="165" fontId="0" fillId="0" borderId="3" xfId="0" applyNumberFormat="1" applyFont="1" applyBorder="1"/>
    <xf numFmtId="165" fontId="2" fillId="15" borderId="3" xfId="0" applyNumberFormat="1" applyFont="1" applyFill="1" applyBorder="1"/>
    <xf numFmtId="169" fontId="2" fillId="15" borderId="3" xfId="0" applyNumberFormat="1" applyFont="1" applyFill="1" applyBorder="1"/>
    <xf numFmtId="0" fontId="0" fillId="16" borderId="0" xfId="0" applyFill="1" applyAlignment="1">
      <alignment horizontal="center" vertical="center" wrapText="1"/>
    </xf>
    <xf numFmtId="165" fontId="4" fillId="0" borderId="0" xfId="1" applyNumberFormat="1" applyFont="1"/>
    <xf numFmtId="169" fontId="2" fillId="0" borderId="0" xfId="1" applyNumberFormat="1" applyFont="1"/>
    <xf numFmtId="165" fontId="10" fillId="0" borderId="0" xfId="0" applyNumberFormat="1" applyFont="1"/>
    <xf numFmtId="0" fontId="0" fillId="18" borderId="9" xfId="0" applyFill="1" applyBorder="1" applyAlignment="1">
      <alignment horizontal="center" vertical="center" wrapText="1"/>
    </xf>
    <xf numFmtId="0" fontId="0" fillId="17" borderId="10" xfId="0" applyFill="1" applyBorder="1" applyAlignment="1">
      <alignment horizontal="center" vertical="center" wrapText="1"/>
    </xf>
    <xf numFmtId="164" fontId="8" fillId="0" borderId="0" xfId="3" applyFont="1"/>
    <xf numFmtId="0" fontId="0" fillId="19" borderId="0" xfId="0" applyFill="1" applyAlignment="1">
      <alignment horizontal="center" vertical="center" wrapText="1"/>
    </xf>
    <xf numFmtId="9" fontId="2" fillId="0" borderId="0" xfId="2" applyFont="1"/>
    <xf numFmtId="166" fontId="2" fillId="0" borderId="0" xfId="0" applyNumberFormat="1" applyFont="1"/>
    <xf numFmtId="166" fontId="2" fillId="9" borderId="0" xfId="0" applyNumberFormat="1" applyFont="1" applyFill="1"/>
    <xf numFmtId="4" fontId="0" fillId="8" borderId="0" xfId="0" applyNumberFormat="1" applyFill="1"/>
    <xf numFmtId="4" fontId="0" fillId="8" borderId="0" xfId="0" applyNumberFormat="1" applyFont="1" applyFill="1"/>
    <xf numFmtId="164" fontId="2" fillId="0" borderId="0" xfId="0" applyNumberFormat="1" applyFont="1"/>
    <xf numFmtId="0" fontId="2" fillId="11" borderId="0" xfId="0" applyFont="1" applyFill="1"/>
    <xf numFmtId="4" fontId="0" fillId="9" borderId="0" xfId="0" applyNumberFormat="1" applyFill="1"/>
    <xf numFmtId="4" fontId="2" fillId="0" borderId="0" xfId="0" applyNumberFormat="1" applyFont="1"/>
    <xf numFmtId="4" fontId="0" fillId="0" borderId="0" xfId="0" applyNumberFormat="1" applyFont="1" applyFill="1"/>
    <xf numFmtId="4" fontId="0" fillId="0" borderId="0" xfId="0" applyNumberFormat="1" applyFill="1"/>
    <xf numFmtId="0" fontId="0" fillId="21" borderId="14" xfId="0" applyFont="1" applyFill="1" applyBorder="1"/>
    <xf numFmtId="0" fontId="0" fillId="21" borderId="15" xfId="0" applyFont="1" applyFill="1" applyBorder="1"/>
    <xf numFmtId="0" fontId="0" fillId="22" borderId="14" xfId="0" applyFont="1" applyFill="1" applyBorder="1"/>
    <xf numFmtId="0" fontId="0" fillId="22" borderId="15" xfId="0" applyFont="1" applyFill="1" applyBorder="1"/>
    <xf numFmtId="0" fontId="0" fillId="22" borderId="16" xfId="0" applyFont="1" applyFill="1" applyBorder="1"/>
    <xf numFmtId="165" fontId="2" fillId="0" borderId="0" xfId="1" applyNumberFormat="1" applyFont="1"/>
    <xf numFmtId="9" fontId="2" fillId="0" borderId="0" xfId="2" applyNumberFormat="1" applyFont="1"/>
    <xf numFmtId="164" fontId="8" fillId="0" borderId="0" xfId="1" applyNumberFormat="1" applyFont="1"/>
    <xf numFmtId="0" fontId="0" fillId="22" borderId="17" xfId="0" applyFont="1" applyFill="1" applyBorder="1"/>
    <xf numFmtId="0" fontId="0" fillId="23" borderId="0" xfId="0" applyFill="1" applyAlignment="1">
      <alignment horizontal="center" vertical="center" wrapText="1"/>
    </xf>
    <xf numFmtId="0" fontId="12" fillId="20" borderId="12" xfId="0" applyFont="1" applyFill="1" applyBorder="1" applyAlignment="1">
      <alignment horizontal="center" vertical="center" wrapText="1"/>
    </xf>
    <xf numFmtId="0" fontId="12" fillId="20" borderId="13" xfId="0" applyFont="1" applyFill="1" applyBorder="1" applyAlignment="1">
      <alignment horizontal="center" vertical="center" wrapText="1"/>
    </xf>
    <xf numFmtId="169" fontId="0" fillId="0" borderId="0" xfId="0" applyNumberFormat="1"/>
    <xf numFmtId="166" fontId="19" fillId="9" borderId="0" xfId="3" applyNumberFormat="1" applyFont="1" applyFill="1"/>
    <xf numFmtId="0" fontId="0" fillId="0" borderId="0" xfId="0" applyFill="1"/>
    <xf numFmtId="0" fontId="20" fillId="0" borderId="0" xfId="0" applyFont="1"/>
    <xf numFmtId="3" fontId="0" fillId="0" borderId="0" xfId="0" applyNumberFormat="1" applyFill="1"/>
    <xf numFmtId="0" fontId="21" fillId="24" borderId="21" xfId="0" applyFont="1" applyFill="1" applyBorder="1"/>
    <xf numFmtId="0" fontId="21" fillId="24" borderId="20" xfId="0" applyFont="1" applyFill="1" applyBorder="1"/>
    <xf numFmtId="0" fontId="23" fillId="0" borderId="22" xfId="0" applyFont="1" applyBorder="1"/>
    <xf numFmtId="0" fontId="22" fillId="0" borderId="23" xfId="0" applyFont="1" applyBorder="1"/>
    <xf numFmtId="165" fontId="23" fillId="0" borderId="24" xfId="1" applyFont="1" applyBorder="1"/>
    <xf numFmtId="165" fontId="23" fillId="25" borderId="23" xfId="1" applyFont="1" applyFill="1" applyBorder="1"/>
    <xf numFmtId="0" fontId="23" fillId="0" borderId="25" xfId="0" applyFont="1" applyBorder="1"/>
    <xf numFmtId="9" fontId="24" fillId="0" borderId="22" xfId="0" applyNumberFormat="1" applyFont="1" applyBorder="1"/>
    <xf numFmtId="0" fontId="23" fillId="0" borderId="26" xfId="0" applyFont="1" applyBorder="1"/>
    <xf numFmtId="0" fontId="22" fillId="0" borderId="27" xfId="0" applyFont="1" applyBorder="1"/>
    <xf numFmtId="165" fontId="23" fillId="0" borderId="28" xfId="1" applyFont="1" applyBorder="1"/>
    <xf numFmtId="0" fontId="22" fillId="0" borderId="0" xfId="0" applyFont="1"/>
    <xf numFmtId="0" fontId="23" fillId="0" borderId="0" xfId="0" applyFont="1"/>
    <xf numFmtId="0" fontId="23" fillId="26" borderId="0" xfId="0" applyFont="1" applyFill="1"/>
    <xf numFmtId="0" fontId="23" fillId="27" borderId="0" xfId="0" applyFont="1" applyFill="1"/>
    <xf numFmtId="0" fontId="23" fillId="28" borderId="0" xfId="0" applyFont="1" applyFill="1"/>
    <xf numFmtId="0" fontId="21" fillId="29" borderId="19" xfId="0" applyFont="1" applyFill="1" applyBorder="1"/>
    <xf numFmtId="0" fontId="21" fillId="29" borderId="21" xfId="0" applyFont="1" applyFill="1" applyBorder="1"/>
    <xf numFmtId="165" fontId="23" fillId="25" borderId="25" xfId="1" applyFont="1" applyFill="1" applyBorder="1"/>
    <xf numFmtId="165" fontId="23" fillId="0" borderId="25" xfId="1" applyFont="1" applyBorder="1"/>
    <xf numFmtId="165" fontId="23" fillId="0" borderId="29" xfId="1" applyFont="1" applyBorder="1"/>
    <xf numFmtId="165" fontId="22" fillId="0" borderId="22" xfId="0" applyNumberFormat="1" applyFont="1" applyBorder="1"/>
    <xf numFmtId="0" fontId="25" fillId="31" borderId="18" xfId="0" applyFont="1" applyFill="1" applyBorder="1"/>
    <xf numFmtId="0" fontId="25" fillId="31" borderId="19" xfId="0" applyFont="1" applyFill="1" applyBorder="1"/>
    <xf numFmtId="0" fontId="22" fillId="32" borderId="30" xfId="0" applyFont="1" applyFill="1" applyBorder="1"/>
    <xf numFmtId="165" fontId="22" fillId="32" borderId="32" xfId="1" applyFont="1" applyFill="1" applyBorder="1"/>
    <xf numFmtId="165" fontId="22" fillId="32" borderId="31" xfId="1" applyFont="1" applyFill="1" applyBorder="1"/>
    <xf numFmtId="9" fontId="22" fillId="32" borderId="31" xfId="2" applyFont="1" applyFill="1" applyBorder="1"/>
    <xf numFmtId="0" fontId="0" fillId="12" borderId="0" xfId="0" applyFill="1" applyAlignment="1">
      <alignment horizontal="center" vertical="center" wrapText="1"/>
    </xf>
    <xf numFmtId="0" fontId="12" fillId="18" borderId="9" xfId="0" applyFont="1" applyFill="1" applyBorder="1" applyAlignment="1">
      <alignment horizontal="center" vertical="center" wrapText="1"/>
    </xf>
    <xf numFmtId="165" fontId="2" fillId="21" borderId="15" xfId="0" applyNumberFormat="1" applyFont="1" applyFill="1" applyBorder="1"/>
    <xf numFmtId="165" fontId="2" fillId="22" borderId="15" xfId="0" applyNumberFormat="1" applyFont="1" applyFill="1" applyBorder="1"/>
    <xf numFmtId="165" fontId="2" fillId="22" borderId="16" xfId="0" applyNumberFormat="1" applyFont="1" applyFill="1" applyBorder="1"/>
    <xf numFmtId="165" fontId="1" fillId="32" borderId="0" xfId="1" applyFont="1" applyFill="1"/>
    <xf numFmtId="0" fontId="0" fillId="32" borderId="0" xfId="0" applyFont="1" applyFill="1"/>
    <xf numFmtId="165" fontId="0" fillId="2" borderId="0" xfId="1" applyFont="1" applyFill="1"/>
    <xf numFmtId="0" fontId="0" fillId="2" borderId="0" xfId="0" applyFill="1"/>
    <xf numFmtId="0" fontId="2" fillId="0" borderId="0" xfId="0" applyFont="1" applyAlignment="1">
      <alignment horizontal="center"/>
    </xf>
    <xf numFmtId="171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pivotButton="1" applyFont="1"/>
    <xf numFmtId="0" fontId="2" fillId="0" borderId="0" xfId="0" pivotButton="1" applyFont="1" applyAlignment="1">
      <alignment horizontal="center"/>
    </xf>
    <xf numFmtId="0" fontId="2" fillId="6" borderId="0" xfId="0" applyFont="1" applyFill="1" applyAlignment="1">
      <alignment horizontal="center"/>
    </xf>
    <xf numFmtId="165" fontId="2" fillId="34" borderId="0" xfId="0" applyNumberFormat="1" applyFont="1" applyFill="1"/>
    <xf numFmtId="165" fontId="0" fillId="34" borderId="0" xfId="0" applyNumberFormat="1" applyFill="1"/>
    <xf numFmtId="14" fontId="2" fillId="0" borderId="0" xfId="0" applyNumberFormat="1" applyFont="1"/>
    <xf numFmtId="14" fontId="0" fillId="0" borderId="0" xfId="0" applyNumberFormat="1"/>
    <xf numFmtId="3" fontId="2" fillId="34" borderId="0" xfId="0" applyNumberFormat="1" applyFont="1" applyFill="1"/>
    <xf numFmtId="3" fontId="0" fillId="34" borderId="0" xfId="0" applyNumberFormat="1" applyFill="1"/>
    <xf numFmtId="0" fontId="26" fillId="0" borderId="0" xfId="0" applyFont="1"/>
    <xf numFmtId="165" fontId="0" fillId="0" borderId="0" xfId="0" applyNumberFormat="1" applyFont="1" applyFill="1"/>
    <xf numFmtId="165" fontId="0" fillId="9" borderId="0" xfId="1" applyNumberFormat="1" applyFont="1" applyFill="1"/>
    <xf numFmtId="165" fontId="0" fillId="9" borderId="0" xfId="0" applyNumberFormat="1" applyFill="1"/>
    <xf numFmtId="165" fontId="0" fillId="9" borderId="0" xfId="1" applyFont="1" applyFill="1"/>
    <xf numFmtId="0" fontId="27" fillId="18" borderId="0" xfId="0" applyFont="1" applyFill="1"/>
    <xf numFmtId="40" fontId="27" fillId="18" borderId="0" xfId="1" applyNumberFormat="1" applyFont="1" applyFill="1" applyAlignment="1"/>
    <xf numFmtId="165" fontId="27" fillId="18" borderId="0" xfId="1" applyFont="1" applyFill="1" applyAlignment="1"/>
    <xf numFmtId="0" fontId="28" fillId="0" borderId="0" xfId="0" applyFont="1"/>
    <xf numFmtId="0" fontId="29" fillId="0" borderId="0" xfId="0" applyFont="1"/>
    <xf numFmtId="0" fontId="30" fillId="7" borderId="0" xfId="0" applyFont="1" applyFill="1" applyBorder="1" applyAlignment="1">
      <alignment horizontal="center"/>
    </xf>
    <xf numFmtId="0" fontId="31" fillId="7" borderId="0" xfId="0" applyFont="1" applyFill="1" applyBorder="1" applyAlignment="1">
      <alignment horizontal="center"/>
    </xf>
    <xf numFmtId="0" fontId="32" fillId="0" borderId="35" xfId="0" applyFont="1" applyBorder="1"/>
    <xf numFmtId="3" fontId="32" fillId="0" borderId="35" xfId="0" applyNumberFormat="1" applyFont="1" applyBorder="1"/>
    <xf numFmtId="3" fontId="2" fillId="0" borderId="0" xfId="0" applyNumberFormat="1" applyFont="1" applyFill="1"/>
    <xf numFmtId="0" fontId="0" fillId="0" borderId="0" xfId="0" applyNumberFormat="1"/>
    <xf numFmtId="3" fontId="2" fillId="3" borderId="36" xfId="0" applyNumberFormat="1" applyFont="1" applyFill="1" applyBorder="1"/>
    <xf numFmtId="0" fontId="2" fillId="3" borderId="0" xfId="0" applyFont="1" applyFill="1" applyBorder="1"/>
    <xf numFmtId="3" fontId="33" fillId="3" borderId="36" xfId="0" applyNumberFormat="1" applyFont="1" applyFill="1" applyBorder="1"/>
    <xf numFmtId="3" fontId="2" fillId="32" borderId="0" xfId="0" applyNumberFormat="1" applyFont="1" applyFill="1"/>
    <xf numFmtId="16" fontId="0" fillId="0" borderId="0" xfId="0" applyNumberFormat="1"/>
    <xf numFmtId="0" fontId="0" fillId="9" borderId="0" xfId="0" applyFill="1"/>
    <xf numFmtId="16" fontId="0" fillId="8" borderId="0" xfId="0" applyNumberFormat="1" applyFill="1"/>
    <xf numFmtId="0" fontId="0" fillId="35" borderId="0" xfId="0" applyFill="1"/>
    <xf numFmtId="14" fontId="0" fillId="35" borderId="0" xfId="0" applyNumberFormat="1" applyFill="1"/>
    <xf numFmtId="16" fontId="0" fillId="36" borderId="0" xfId="0" applyNumberFormat="1" applyFill="1"/>
    <xf numFmtId="172" fontId="0" fillId="0" borderId="0" xfId="0" applyNumberFormat="1"/>
    <xf numFmtId="0" fontId="12" fillId="19" borderId="11" xfId="0" applyFont="1" applyFill="1" applyBorder="1" applyAlignment="1">
      <alignment horizontal="center"/>
    </xf>
    <xf numFmtId="165" fontId="19" fillId="9" borderId="0" xfId="1" applyFont="1" applyFill="1"/>
    <xf numFmtId="169" fontId="2" fillId="0" borderId="0" xfId="0" applyNumberFormat="1" applyFont="1"/>
    <xf numFmtId="3" fontId="3" fillId="0" borderId="0" xfId="0" applyNumberFormat="1" applyFont="1" applyFill="1"/>
    <xf numFmtId="0" fontId="0" fillId="18" borderId="0" xfId="0" applyFill="1" applyAlignment="1">
      <alignment horizontal="center" vertical="center" wrapText="1"/>
    </xf>
    <xf numFmtId="0" fontId="34" fillId="0" borderId="0" xfId="0" applyFont="1"/>
    <xf numFmtId="3" fontId="0" fillId="32" borderId="0" xfId="0" applyNumberFormat="1" applyFill="1"/>
    <xf numFmtId="0" fontId="12" fillId="7" borderId="0" xfId="0" applyFont="1" applyFill="1" applyBorder="1" applyAlignment="1">
      <alignment horizontal="center"/>
    </xf>
    <xf numFmtId="164" fontId="12" fillId="7" borderId="0" xfId="3" applyFont="1" applyFill="1" applyBorder="1" applyAlignment="1">
      <alignment horizontal="center"/>
    </xf>
    <xf numFmtId="0" fontId="0" fillId="0" borderId="0" xfId="0" applyAlignment="1">
      <alignment horizontal="center"/>
    </xf>
    <xf numFmtId="0" fontId="12" fillId="37" borderId="1" xfId="0" applyFont="1" applyFill="1" applyBorder="1"/>
    <xf numFmtId="0" fontId="35" fillId="37" borderId="1" xfId="0" applyFont="1" applyFill="1" applyBorder="1"/>
    <xf numFmtId="3" fontId="34" fillId="0" borderId="0" xfId="0" applyNumberFormat="1" applyFont="1"/>
    <xf numFmtId="0" fontId="12" fillId="19" borderId="11" xfId="0" applyFont="1" applyFill="1" applyBorder="1" applyAlignment="1">
      <alignment horizontal="center"/>
    </xf>
    <xf numFmtId="0" fontId="12" fillId="5" borderId="11" xfId="0" applyFont="1" applyFill="1" applyBorder="1" applyAlignment="1">
      <alignment horizontal="center"/>
    </xf>
    <xf numFmtId="0" fontId="12" fillId="7" borderId="0" xfId="0" applyFont="1" applyFill="1" applyBorder="1" applyAlignment="1">
      <alignment horizontal="center"/>
    </xf>
    <xf numFmtId="164" fontId="12" fillId="7" borderId="0" xfId="3" applyFont="1" applyFill="1" applyBorder="1" applyAlignment="1">
      <alignment horizontal="center"/>
    </xf>
    <xf numFmtId="0" fontId="12" fillId="14" borderId="0" xfId="0" applyFont="1" applyFill="1" applyBorder="1" applyAlignment="1">
      <alignment horizontal="center" wrapText="1"/>
    </xf>
    <xf numFmtId="0" fontId="12" fillId="14" borderId="0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1" fillId="29" borderId="33" xfId="0" applyFont="1" applyFill="1" applyBorder="1" applyAlignment="1">
      <alignment horizontal="center"/>
    </xf>
    <xf numFmtId="0" fontId="21" fillId="29" borderId="34" xfId="0" applyFont="1" applyFill="1" applyBorder="1" applyAlignment="1">
      <alignment horizontal="center"/>
    </xf>
    <xf numFmtId="0" fontId="21" fillId="30" borderId="33" xfId="0" applyFont="1" applyFill="1" applyBorder="1" applyAlignment="1">
      <alignment horizontal="center"/>
    </xf>
    <xf numFmtId="0" fontId="21" fillId="30" borderId="34" xfId="0" applyFont="1" applyFill="1" applyBorder="1" applyAlignment="1">
      <alignment horizontal="center"/>
    </xf>
    <xf numFmtId="0" fontId="22" fillId="33" borderId="0" xfId="0" applyFont="1" applyFill="1" applyAlignment="1">
      <alignment horizontal="center"/>
    </xf>
    <xf numFmtId="0" fontId="5" fillId="7" borderId="0" xfId="0" applyFont="1" applyFill="1" applyBorder="1" applyAlignment="1">
      <alignment horizontal="center"/>
    </xf>
    <xf numFmtId="165" fontId="6" fillId="38" borderId="0" xfId="1" applyFont="1" applyFill="1"/>
    <xf numFmtId="165" fontId="0" fillId="38" borderId="0" xfId="1" applyFont="1" applyFill="1"/>
    <xf numFmtId="165" fontId="4" fillId="38" borderId="0" xfId="1" applyFont="1" applyFill="1"/>
    <xf numFmtId="165" fontId="2" fillId="38" borderId="0" xfId="1" applyFont="1" applyFill="1"/>
  </cellXfs>
  <cellStyles count="4">
    <cellStyle name="Millares [0]" xfId="1" builtinId="6"/>
    <cellStyle name="Moneda [0]" xfId="3" builtinId="7"/>
    <cellStyle name="Normal" xfId="0" builtinId="0"/>
    <cellStyle name="Porcentaje" xfId="2" builtinId="5"/>
  </cellStyles>
  <dxfs count="454">
    <dxf>
      <font>
        <color theme="0" tint="-0.499984740745262"/>
      </font>
    </dxf>
    <dxf>
      <fill>
        <patternFill patternType="solid">
          <bgColor theme="3" tint="0.59999389629810485"/>
        </patternFill>
      </fill>
    </dxf>
    <dxf>
      <numFmt numFmtId="3" formatCode="#,##0"/>
    </dxf>
    <dxf>
      <numFmt numFmtId="3" formatCode="#,##0"/>
    </dxf>
    <dxf>
      <font>
        <color theme="0" tint="-0.499984740745262"/>
      </font>
    </dxf>
    <dxf>
      <fill>
        <patternFill patternType="solid">
          <bgColor theme="3" tint="0.59999389629810485"/>
        </patternFill>
      </fill>
    </dxf>
    <dxf>
      <font>
        <color theme="0" tint="-0.499984740745262"/>
      </font>
    </dxf>
    <dxf>
      <fill>
        <patternFill patternType="solid">
          <bgColor theme="3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499984740745262"/>
      </font>
    </dxf>
    <dxf>
      <fill>
        <patternFill patternType="solid">
          <bgColor theme="3" tint="0.59999389629810485"/>
        </patternFill>
      </fill>
    </dxf>
    <dxf>
      <font>
        <color theme="0" tint="-0.499984740745262"/>
      </font>
    </dxf>
    <dxf>
      <fill>
        <patternFill patternType="solid">
          <bgColor theme="3" tint="0.59999389629810485"/>
        </patternFill>
      </fill>
    </dxf>
    <dxf>
      <font>
        <color theme="0" tint="-0.499984740745262"/>
      </font>
    </dxf>
    <dxf>
      <fill>
        <patternFill patternType="solid">
          <bgColor theme="3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theme="0" tint="-0.499984740745262"/>
      </font>
    </dxf>
    <dxf>
      <fill>
        <patternFill patternType="solid">
          <bgColor theme="3" tint="0.59999389629810485"/>
        </patternFill>
      </fill>
    </dxf>
    <dxf>
      <fill>
        <patternFill patternType="solid">
          <fgColor indexed="64"/>
          <bgColor theme="3" tint="0.39997558519241921"/>
        </patternFill>
      </fill>
    </dxf>
    <dxf>
      <fill>
        <patternFill patternType="solid">
          <bgColor rgb="FFC00000"/>
        </patternFill>
      </fill>
    </dxf>
    <dxf>
      <font>
        <color theme="2" tint="-0.499984740745262"/>
      </font>
    </dxf>
    <dxf>
      <fill>
        <patternFill patternType="solid">
          <bgColor theme="3" tint="0.39997558519241921"/>
        </patternFill>
      </fill>
    </dxf>
    <dxf>
      <numFmt numFmtId="165" formatCode="_ * #,##0_ ;_ * \-#,##0_ ;_ * &quot;-&quot;_ ;_ @_ "/>
    </dxf>
    <dxf>
      <font>
        <b/>
      </font>
    </dxf>
    <dxf>
      <fill>
        <patternFill patternType="solid">
          <fgColor indexed="64"/>
          <bgColor theme="3" tint="0.39997558519241921"/>
        </patternFill>
      </fill>
    </dxf>
    <dxf>
      <fill>
        <patternFill patternType="solid">
          <bgColor rgb="FFC00000"/>
        </patternFill>
      </fill>
    </dxf>
    <dxf>
      <font>
        <color theme="2" tint="-0.499984740745262"/>
      </font>
    </dxf>
    <dxf>
      <fill>
        <patternFill patternType="solid">
          <bgColor theme="3" tint="0.39997558519241921"/>
        </patternFill>
      </fill>
    </dxf>
    <dxf>
      <numFmt numFmtId="165" formatCode="_ * #,##0_ ;_ * \-#,##0_ ;_ * &quot;-&quot;_ ;_ @_ "/>
    </dxf>
    <dxf>
      <font>
        <b/>
      </font>
    </dxf>
    <dxf>
      <font>
        <b/>
      </font>
    </dxf>
    <dxf>
      <numFmt numFmtId="4" formatCode="#,##0.00"/>
    </dxf>
    <dxf>
      <numFmt numFmtId="170" formatCode="#,##0.0"/>
    </dxf>
    <dxf>
      <fill>
        <patternFill patternType="solid">
          <bgColor rgb="FFC00000"/>
        </patternFill>
      </fill>
    </dxf>
    <dxf>
      <numFmt numFmtId="165" formatCode="_ * #,##0_ ;_ * \-#,##0_ ;_ * &quot;-&quot;_ ;_ @_ "/>
    </dxf>
    <dxf>
      <font>
        <b/>
      </font>
    </dxf>
    <dxf>
      <fill>
        <patternFill patternType="solid">
          <fgColor indexed="64"/>
          <bgColor theme="3" tint="0.39997558519241921"/>
        </patternFill>
      </fill>
    </dxf>
    <dxf>
      <fill>
        <patternFill patternType="solid">
          <bgColor rgb="FFC00000"/>
        </patternFill>
      </fill>
    </dxf>
    <dxf>
      <font>
        <color theme="2" tint="-0.499984740745262"/>
      </font>
    </dxf>
    <dxf>
      <fill>
        <patternFill patternType="solid">
          <bgColor theme="3" tint="0.39997558519241921"/>
        </patternFill>
      </fill>
    </dxf>
    <dxf>
      <numFmt numFmtId="165" formatCode="_ * #,##0_ ;_ * \-#,##0_ ;_ * &quot;-&quot;_ ;_ @_ "/>
    </dxf>
    <dxf>
      <font>
        <b/>
      </font>
    </dxf>
    <dxf>
      <fill>
        <patternFill patternType="solid">
          <fgColor indexed="64"/>
          <bgColor theme="3" tint="0.39997558519241921"/>
        </patternFill>
      </fill>
    </dxf>
    <dxf>
      <fill>
        <patternFill patternType="solid">
          <bgColor rgb="FFC00000"/>
        </patternFill>
      </fill>
    </dxf>
    <dxf>
      <font>
        <color theme="2" tint="-0.499984740745262"/>
      </font>
    </dxf>
    <dxf>
      <fill>
        <patternFill patternType="solid">
          <bgColor theme="3" tint="0.39997558519241921"/>
        </patternFill>
      </fill>
    </dxf>
    <dxf>
      <numFmt numFmtId="165" formatCode="_ * #,##0_ ;_ * \-#,##0_ ;_ * &quot;-&quot;_ ;_ @_ "/>
    </dxf>
    <dxf>
      <font>
        <b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bgColor rgb="FFC00000"/>
        </patternFill>
      </fill>
    </dxf>
    <dxf>
      <fill>
        <patternFill patternType="solid">
          <fgColor indexed="64"/>
          <bgColor theme="3" tint="0.59999389629810485"/>
        </patternFill>
      </fill>
    </dxf>
    <dxf>
      <font>
        <b/>
      </font>
    </dxf>
    <dxf>
      <font>
        <b/>
      </font>
    </dxf>
    <dxf>
      <numFmt numFmtId="4" formatCode="#,##0.00"/>
    </dxf>
    <dxf>
      <numFmt numFmtId="164" formatCode="_ &quot;$&quot;* #,##0_ ;_ &quot;$&quot;* \-#,##0_ ;_ &quot;$&quot;* &quot;-&quot;_ ;_ @_ "/>
    </dxf>
    <dxf>
      <font>
        <color theme="0" tint="-0.34998626667073579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</dxf>
    <dxf>
      <numFmt numFmtId="4" formatCode="#,##0.00"/>
    </dxf>
    <dxf>
      <font>
        <b/>
      </font>
      <fill>
        <patternFill patternType="solid">
          <fgColor indexed="64"/>
          <bgColor rgb="FFC00000"/>
        </patternFill>
      </fill>
    </dxf>
    <dxf>
      <fill>
        <patternFill patternType="none">
          <fgColor indexed="64"/>
          <bgColor indexed="65"/>
        </patternFill>
      </fill>
    </dxf>
    <dxf>
      <numFmt numFmtId="165" formatCode="_ * #,##0_ ;_ * \-#,##0_ ;_ * &quot;-&quot;_ ;_ @_ "/>
    </dxf>
    <dxf>
      <font>
        <b/>
      </font>
    </dxf>
    <dxf>
      <font>
        <b/>
      </font>
      <fill>
        <patternFill patternType="solid">
          <fgColor indexed="64"/>
          <bgColor rgb="FFC00000"/>
        </patternFill>
      </fill>
    </dxf>
    <dxf>
      <numFmt numFmtId="165" formatCode="_ * #,##0_ ;_ * \-#,##0_ ;_ * &quot;-&quot;_ ;_ @_ 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numFmt numFmtId="173" formatCode="dd/mm/yyyy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#,##0_ ;[Red]\-#,##0\ "/>
    </dxf>
    <dxf>
      <font>
        <b/>
      </font>
      <numFmt numFmtId="165" formatCode="_ * #,##0_ ;_ * \-#,##0_ ;_ * &quot;-&quot;_ ;_ @_ "/>
    </dxf>
    <dxf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#,##0_ ;[Red]\-#,##0\ "/>
    </dxf>
    <dxf>
      <font>
        <b/>
      </font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numFmt numFmtId="165" formatCode="_ * #,##0_ ;_ * \-#,##0_ ;_ * &quot;-&quot;_ ;_ @_ "/>
    </dxf>
    <dxf>
      <numFmt numFmtId="165" formatCode="_ * #,##0_ ;_ * \-#,##0_ ;_ * &quot;-&quot;_ ;_ @_ 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numFmt numFmtId="13" formatCode="0%"/>
    </dxf>
    <dxf>
      <numFmt numFmtId="165" formatCode="_ * #,##0_ ;_ * \-#,##0_ ;_ * &quot;-&quot;_ ;_ @_ "/>
    </dxf>
    <dxf>
      <numFmt numFmtId="165" formatCode="_ * #,##0_ ;_ * \-#,##0_ ;_ * &quot;-&quot;_ ;_ @_ "/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</dxf>
    <dxf>
      <fill>
        <patternFill patternType="solid">
          <bgColor theme="6" tint="0.79998168889431442"/>
        </patternFill>
      </fill>
    </dxf>
    <dxf>
      <font>
        <b val="0"/>
      </font>
    </dxf>
    <dxf>
      <font>
        <b val="0"/>
      </font>
    </dxf>
    <dxf>
      <alignment horizontal="center"/>
    </dxf>
    <dxf>
      <font>
        <b/>
      </font>
    </dxf>
    <dxf>
      <numFmt numFmtId="169" formatCode="#,##0_ ;[Red]\-#,##0\ "/>
    </dxf>
    <dxf>
      <font>
        <b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alignment horizontal="center"/>
    </dxf>
    <dxf>
      <font>
        <b/>
      </font>
    </dxf>
    <dxf>
      <numFmt numFmtId="169" formatCode="#,##0_ ;[Red]\-#,##0\ "/>
    </dxf>
    <dxf>
      <font>
        <b/>
      </font>
    </dxf>
    <dxf>
      <font>
        <b/>
      </font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</font>
      <numFmt numFmtId="173" formatCode="dd/mm/yyyy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font>
        <b/>
      </font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#,##0_ ;[Red]\-#,##0\ "/>
    </dxf>
    <dxf>
      <font>
        <b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#,##0_ ;[Red]\-#,##0\ "/>
    </dxf>
    <dxf>
      <font>
        <b/>
      </font>
      <numFmt numFmtId="165" formatCode="_ * #,##0_ ;_ * \-#,##0_ ;_ * &quot;-&quot;_ ;_ @_ "/>
    </dxf>
    <dxf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#,##0_ ;[Red]\-#,##0\ "/>
    </dxf>
    <dxf>
      <font>
        <b/>
      </font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numFmt numFmtId="165" formatCode="_ * #,##0_ ;_ * \-#,##0_ ;_ * &quot;-&quot;_ ;_ @_ "/>
    </dxf>
    <dxf>
      <numFmt numFmtId="165" formatCode="_ * #,##0_ ;_ * \-#,##0_ ;_ * &quot;-&quot;_ ;_ @_ 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numFmt numFmtId="13" formatCode="0%"/>
    </dxf>
    <dxf>
      <numFmt numFmtId="165" formatCode="_ * #,##0_ ;_ * \-#,##0_ ;_ * &quot;-&quot;_ ;_ @_ "/>
    </dxf>
    <dxf>
      <numFmt numFmtId="165" formatCode="_ * #,##0_ ;_ * \-#,##0_ ;_ * &quot;-&quot;_ ;_ @_ "/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0" tint="-4.9989318521683403E-2"/>
        </patternFill>
      </fill>
    </dxf>
    <dxf>
      <numFmt numFmtId="3" formatCode="#,##0"/>
    </dxf>
    <dxf>
      <font>
        <b val="0"/>
      </font>
    </dxf>
    <dxf>
      <fill>
        <patternFill patternType="none">
          <bgColor auto="1"/>
        </patternFill>
      </fill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ill>
        <patternFill patternType="solid">
          <bgColor theme="0" tint="-4.9989318521683403E-2"/>
        </patternFill>
      </fill>
    </dxf>
    <dxf>
      <font>
        <b val="0"/>
      </font>
    </dxf>
    <dxf>
      <font>
        <b/>
      </font>
    </dxf>
    <dxf>
      <numFmt numFmtId="3" formatCode="#,##0"/>
    </dxf>
    <dxf>
      <font>
        <sz val="12"/>
      </font>
    </dxf>
    <dxf>
      <font>
        <color theme="0" tint="-0.34998626667073579"/>
      </font>
    </dxf>
    <dxf>
      <font>
        <color theme="0" tint="-0.34998626667073579"/>
      </font>
    </dxf>
    <dxf>
      <numFmt numFmtId="165" formatCode="_ * #,##0_ ;_ * \-#,##0_ ;_ * &quot;-&quot;_ ;_ @_ "/>
    </dxf>
    <dxf>
      <font>
        <color theme="0" tint="-0.34998626667073579"/>
      </font>
    </dxf>
    <dxf>
      <fill>
        <patternFill patternType="solid">
          <fgColor indexed="64"/>
          <bgColor theme="3" tint="0.59999389629810485"/>
        </patternFill>
      </fill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bgColor auto="1"/>
        </patternFill>
      </fill>
    </dxf>
    <dxf>
      <numFmt numFmtId="165" formatCode="_ * #,##0_ ;_ * \-#,##0_ ;_ * &quot;-&quot;_ ;_ @_ "/>
    </dxf>
    <dxf>
      <numFmt numFmtId="3" formatCode="#,##0"/>
    </dxf>
    <dxf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ont>
        <b/>
      </font>
    </dxf>
    <dxf>
      <fill>
        <patternFill patternType="solid">
          <bgColor theme="3" tint="0.59999389629810485"/>
        </patternFill>
      </fill>
    </dxf>
    <dxf>
      <font>
        <color theme="0" tint="-0.34998626667073579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  <fill>
        <patternFill patternType="none">
          <fgColor indexed="64"/>
          <bgColor indexed="65"/>
        </patternFill>
      </fill>
    </dxf>
    <dxf>
      <alignment horizontal="center"/>
    </dxf>
    <dxf>
      <font>
        <b/>
      </font>
      <fill>
        <patternFill patternType="solid">
          <fgColor indexed="64"/>
          <bgColor theme="3" tint="0.39997558519241921"/>
        </patternFill>
      </fill>
    </dxf>
    <dxf>
      <fill>
        <patternFill patternType="solid">
          <bgColor theme="6" tint="0.79998168889431442"/>
        </patternFill>
      </fill>
    </dxf>
    <dxf>
      <font>
        <b/>
      </font>
    </dxf>
    <dxf>
      <fill>
        <patternFill patternType="solid">
          <bgColor theme="6" tint="0.79998168889431442"/>
        </patternFill>
      </fill>
    </dxf>
    <dxf>
      <font>
        <b/>
      </font>
    </dxf>
    <dxf>
      <font>
        <b/>
      </font>
    </dxf>
    <dxf>
      <font>
        <b val="0"/>
      </font>
    </dxf>
    <dxf>
      <fill>
        <patternFill patternType="solid">
          <fgColor indexed="64"/>
          <bgColor theme="3" tint="0.39997558519241921"/>
        </patternFill>
      </fill>
    </dxf>
    <dxf>
      <fill>
        <patternFill patternType="solid">
          <fgColor indexed="64"/>
          <bgColor theme="3" tint="0.39997558519241921"/>
        </patternFill>
      </fill>
    </dxf>
    <dxf>
      <numFmt numFmtId="165" formatCode="_ * #,##0_ ;_ * \-#,##0_ ;_ * &quot;-&quot;_ ;_ @_ "/>
    </dxf>
    <dxf>
      <numFmt numFmtId="165" formatCode="_ * #,##0_ ;_ * \-#,##0_ ;_ * &quot;-&quot;_ ;_ @_ "/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6" tint="0.79998168889431442"/>
        </patternFill>
      </fill>
    </dxf>
    <dxf>
      <alignment horizontal="center"/>
    </dxf>
    <dxf>
      <alignment horizontal="center"/>
    </dxf>
    <dxf>
      <font>
        <b/>
      </font>
    </dxf>
    <dxf>
      <font>
        <b/>
      </font>
      <fill>
        <patternFill patternType="solid">
          <fgColor indexed="64"/>
          <bgColor theme="3" tint="0.39997558519241921"/>
        </patternFill>
      </fill>
    </dxf>
    <dxf>
      <numFmt numFmtId="165" formatCode="_ * #,##0_ ;_ * \-#,##0_ ;_ * &quot;-&quot;_ ;_ @_ "/>
    </dxf>
    <dxf>
      <font>
        <b/>
      </font>
    </dxf>
    <dxf>
      <fill>
        <patternFill patternType="solid">
          <bgColor theme="3" tint="0.39997558519241921"/>
        </patternFill>
      </fill>
    </dxf>
    <dxf>
      <font>
        <b/>
      </font>
    </dxf>
    <dxf>
      <numFmt numFmtId="3" formatCode="#,##0"/>
    </dxf>
    <dxf>
      <font>
        <b/>
      </font>
    </dxf>
    <dxf>
      <font>
        <b/>
      </font>
    </dxf>
    <dxf>
      <font>
        <b val="0"/>
      </font>
    </dxf>
    <dxf>
      <alignment horizontal="center"/>
    </dxf>
    <dxf>
      <font>
        <b/>
      </font>
    </dxf>
    <dxf>
      <numFmt numFmtId="171" formatCode="&quot;$&quot;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6" tint="0.79998168889431442"/>
        </patternFill>
      </fill>
    </dxf>
    <dxf>
      <font>
        <b/>
      </font>
    </dxf>
    <dxf>
      <fill>
        <patternFill patternType="solid">
          <bgColor theme="6" tint="0.79998168889431442"/>
        </patternFill>
      </fill>
    </dxf>
    <dxf>
      <font>
        <b/>
      </font>
    </dxf>
    <dxf>
      <font>
        <b val="0"/>
      </font>
    </dxf>
    <dxf>
      <fill>
        <patternFill patternType="solid">
          <fgColor indexed="64"/>
          <bgColor theme="3" tint="0.39997558519241921"/>
        </patternFill>
      </fill>
    </dxf>
    <dxf>
      <numFmt numFmtId="165" formatCode="_ * #,##0_ ;_ * \-#,##0_ ;_ * &quot;-&quot;_ ;_ @_ "/>
    </dxf>
    <dxf>
      <font>
        <b/>
      </font>
    </dxf>
    <dxf>
      <font>
        <b/>
      </font>
    </dxf>
    <dxf>
      <alignment horizontal="center"/>
    </dxf>
    <dxf>
      <numFmt numFmtId="3" formatCode="#,##0"/>
    </dxf>
    <dxf>
      <numFmt numFmtId="171" formatCode="&quot;$&quot;#,##0"/>
    </dxf>
    <dxf>
      <font>
        <b/>
      </font>
    </dxf>
    <dxf>
      <fill>
        <patternFill patternType="solid">
          <bgColor theme="6" tint="0.79998168889431442"/>
        </patternFill>
      </fill>
    </dxf>
    <dxf>
      <font>
        <b val="0"/>
      </font>
    </dxf>
    <dxf>
      <font>
        <b val="0"/>
      </font>
    </dxf>
    <dxf>
      <alignment horizontal="center"/>
    </dxf>
    <dxf>
      <font>
        <b/>
      </font>
    </dxf>
    <dxf>
      <numFmt numFmtId="169" formatCode="#,##0_ ;[Red]\-#,##0\ "/>
    </dxf>
    <dxf>
      <font>
        <b/>
      </font>
    </dxf>
    <dxf>
      <font>
        <b/>
      </font>
    </dxf>
    <dxf>
      <numFmt numFmtId="3" formatCode="#,##0"/>
    </dxf>
    <dxf>
      <numFmt numFmtId="165" formatCode="_ * #,##0_ ;_ * \-#,##0_ ;_ * &quot;-&quot;_ ;_ @_ "/>
    </dxf>
    <dxf>
      <fill>
        <patternFill patternType="none">
          <bgColor auto="1"/>
        </patternFill>
      </fill>
    </dxf>
    <dxf>
      <fill>
        <patternFill patternType="solid"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4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 &quot;$&quot;* #,##0.00_ ;_ &quot;$&quot;* \-#,##0.00_ ;_ &quot;$&quot;* &quot;-&quot;_ ;_ @_ "/>
    </dxf>
    <dxf>
      <font>
        <b/>
      </font>
      <numFmt numFmtId="173" formatCode="dd/mm/yyyy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font>
        <b/>
      </font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#,##0_ ;[Red]\-#,##0\ "/>
    </dxf>
    <dxf>
      <font>
        <b/>
      </font>
      <numFmt numFmtId="165" formatCode="_ * #,##0_ ;_ * \-#,##0_ ;_ * &quot;-&quot;_ ;_ @_ "/>
    </dxf>
    <dxf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#,##0_ ;[Red]\-#,##0\ "/>
    </dxf>
    <dxf>
      <font>
        <b/>
      </font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numFmt numFmtId="165" formatCode="_ * #,##0_ ;_ * \-#,##0_ ;_ * &quot;-&quot;_ ;_ @_ "/>
    </dxf>
    <dxf>
      <numFmt numFmtId="165" formatCode="_ * #,##0_ ;_ * \-#,##0_ ;_ * &quot;-&quot;_ ;_ @_ 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numFmt numFmtId="13" formatCode="0%"/>
    </dxf>
    <dxf>
      <numFmt numFmtId="165" formatCode="_ * #,##0_ ;_ * \-#,##0_ ;_ * &quot;-&quot;_ ;_ @_ "/>
    </dxf>
    <dxf>
      <numFmt numFmtId="165" formatCode="_ * #,##0_ ;_ * \-#,##0_ ;_ * &quot;-&quot;_ ;_ @_ "/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5" tint="-0.249977111117893"/>
        </patternFill>
      </fill>
    </dxf>
    <dxf>
      <numFmt numFmtId="13" formatCode="0%"/>
    </dxf>
    <dxf>
      <numFmt numFmtId="165" formatCode="_ * #,##0_ ;_ * \-#,##0_ ;_ * &quot;-&quot;_ ;_ @_ "/>
    </dxf>
    <dxf>
      <font>
        <b/>
      </font>
    </dxf>
    <dxf>
      <fill>
        <patternFill patternType="solid">
          <bgColor rgb="FFC00000"/>
        </patternFill>
      </fill>
    </dxf>
    <dxf>
      <numFmt numFmtId="165" formatCode="_ * #,##0_ ;_ * \-#,##0_ ;_ * &quot;-&quot;_ ;_ @_ "/>
    </dxf>
    <dxf>
      <font>
        <b/>
      </font>
    </dxf>
    <dxf>
      <fill>
        <patternFill patternType="solid">
          <bgColor rgb="FFC00000"/>
        </patternFill>
      </fill>
    </dxf>
    <dxf>
      <numFmt numFmtId="165" formatCode="_ * #,##0_ ;_ * \-#,##0_ ;_ * &quot;-&quot;_ ;_ @_ "/>
    </dxf>
    <dxf>
      <font>
        <b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/>
      </font>
      <numFmt numFmtId="165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</font>
    </dxf>
    <dxf>
      <numFmt numFmtId="165" formatCode="_ * #,##0_ ;_ * \-#,##0_ ;_ * &quot;-&quot;_ ;_ @_ "/>
    </dxf>
    <dxf>
      <font>
        <b/>
      </font>
      <numFmt numFmtId="165" formatCode="_ * #,##0_ ;_ * \-#,##0_ ;_ * &quot;-&quot;_ ;_ @_ "/>
    </dxf>
    <dxf>
      <numFmt numFmtId="165" formatCode="_ * #,##0_ ;_ * \-#,##0_ ;_ * &quot;-&quot;_ ;_ @_ "/>
    </dxf>
    <dxf>
      <font>
        <b/>
      </font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65" formatCode="_ * #,##0_ ;_ * \-#,##0_ ;_ * &quot;-&quot;_ ;_ @_ "/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numFmt numFmtId="13" formatCode="0%"/>
    </dxf>
    <dxf>
      <numFmt numFmtId="165" formatCode="_ * #,##0_ ;_ * \-#,##0_ ;_ * &quot;-&quot;_ ;_ @_ "/>
    </dxf>
    <dxf>
      <numFmt numFmtId="165" formatCode="_ * #,##0_ ;_ * \-#,##0_ ;_ * &quot;-&quot;_ ;_ @_ "/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5.xml"/><Relationship Id="rId47" Type="http://schemas.openxmlformats.org/officeDocument/2006/relationships/externalLink" Target="externalLinks/externalLink20.xml"/><Relationship Id="rId63" Type="http://schemas.microsoft.com/office/2007/relationships/slicerCache" Target="slicerCaches/slicerCache5.xml"/><Relationship Id="rId6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externalLink" Target="externalLinks/externalLink18.xml"/><Relationship Id="rId53" Type="http://schemas.openxmlformats.org/officeDocument/2006/relationships/pivotCacheDefinition" Target="pivotCache/pivotCacheDefinition4.xml"/><Relationship Id="rId58" Type="http://schemas.openxmlformats.org/officeDocument/2006/relationships/pivotCacheDefinition" Target="pivotCache/pivotCacheDefinition9.xml"/><Relationship Id="rId66" Type="http://schemas.microsoft.com/office/2007/relationships/slicerCache" Target="slicerCaches/slicerCache8.xml"/><Relationship Id="rId7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microsoft.com/office/2007/relationships/slicerCache" Target="slicerCaches/slicerCache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externalLink" Target="externalLinks/externalLink21.xml"/><Relationship Id="rId56" Type="http://schemas.openxmlformats.org/officeDocument/2006/relationships/pivotCacheDefinition" Target="pivotCache/pivotCacheDefinition7.xml"/><Relationship Id="rId64" Type="http://schemas.microsoft.com/office/2007/relationships/slicerCache" Target="slicerCaches/slicerCache6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.xml"/><Relationship Id="rId72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externalLink" Target="externalLinks/externalLink19.xml"/><Relationship Id="rId59" Type="http://schemas.microsoft.com/office/2007/relationships/slicerCache" Target="slicerCaches/slicerCache1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Relationship Id="rId54" Type="http://schemas.openxmlformats.org/officeDocument/2006/relationships/pivotCacheDefinition" Target="pivotCache/pivotCacheDefinition5.xml"/><Relationship Id="rId62" Type="http://schemas.microsoft.com/office/2007/relationships/slicerCache" Target="slicerCaches/slicerCache4.xml"/><Relationship Id="rId70" Type="http://schemas.openxmlformats.org/officeDocument/2006/relationships/sharedStrings" Target="sharedStrings.xml"/><Relationship Id="rId75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49" Type="http://schemas.openxmlformats.org/officeDocument/2006/relationships/externalLink" Target="externalLinks/externalLink22.xml"/><Relationship Id="rId57" Type="http://schemas.openxmlformats.org/officeDocument/2006/relationships/pivotCacheDefinition" Target="pivotCache/pivotCacheDefinition8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52" Type="http://schemas.openxmlformats.org/officeDocument/2006/relationships/pivotCacheDefinition" Target="pivotCache/pivotCacheDefinition3.xml"/><Relationship Id="rId60" Type="http://schemas.microsoft.com/office/2007/relationships/slicerCache" Target="slicerCaches/slicerCache2.xml"/><Relationship Id="rId65" Type="http://schemas.microsoft.com/office/2007/relationships/slicerCache" Target="slicerCaches/slicerCache7.xml"/><Relationship Id="rId73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7.xml"/><Relationship Id="rId50" Type="http://schemas.openxmlformats.org/officeDocument/2006/relationships/pivotCacheDefinition" Target="pivotCache/pivotCacheDefinition1.xml"/><Relationship Id="rId55" Type="http://schemas.openxmlformats.org/officeDocument/2006/relationships/pivotCacheDefinition" Target="pivotCache/pivotCacheDefinition6.xml"/><Relationship Id="rId76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875998</xdr:colOff>
      <xdr:row>0</xdr:row>
      <xdr:rowOff>49893</xdr:rowOff>
    </xdr:from>
    <xdr:to>
      <xdr:col>6</xdr:col>
      <xdr:colOff>1088570</xdr:colOff>
      <xdr:row>4</xdr:row>
      <xdr:rowOff>92227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Sector 1">
              <a:extLst>
                <a:ext uri="{FF2B5EF4-FFF2-40B4-BE49-F238E27FC236}">
                  <a16:creationId xmlns:a16="http://schemas.microsoft.com/office/drawing/2014/main" id="{40D1711D-077E-4319-87AC-BF442BCB56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3712" y="49893"/>
              <a:ext cx="2779787" cy="768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0</xdr:colOff>
      <xdr:row>0</xdr:row>
      <xdr:rowOff>56244</xdr:rowOff>
    </xdr:from>
    <xdr:to>
      <xdr:col>5</xdr:col>
      <xdr:colOff>834572</xdr:colOff>
      <xdr:row>6</xdr:row>
      <xdr:rowOff>163287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Oficina 1">
              <a:extLst>
                <a:ext uri="{FF2B5EF4-FFF2-40B4-BE49-F238E27FC236}">
                  <a16:creationId xmlns:a16="http://schemas.microsoft.com/office/drawing/2014/main" id="{76E92832-89AA-4791-A85C-1C4F79F895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ficin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357" y="56244"/>
              <a:ext cx="3546929" cy="11956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940323</xdr:colOff>
      <xdr:row>0</xdr:row>
      <xdr:rowOff>31749</xdr:rowOff>
    </xdr:from>
    <xdr:to>
      <xdr:col>5</xdr:col>
      <xdr:colOff>1721098</xdr:colOff>
      <xdr:row>6</xdr:row>
      <xdr:rowOff>154215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Sector 2">
              <a:extLst>
                <a:ext uri="{FF2B5EF4-FFF2-40B4-BE49-F238E27FC236}">
                  <a16:creationId xmlns:a16="http://schemas.microsoft.com/office/drawing/2014/main" id="{02ACDF74-3423-4509-933E-925E182302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9070" y="31749"/>
              <a:ext cx="2779787" cy="12110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99785</xdr:colOff>
      <xdr:row>0</xdr:row>
      <xdr:rowOff>29029</xdr:rowOff>
    </xdr:from>
    <xdr:to>
      <xdr:col>3</xdr:col>
      <xdr:colOff>907967</xdr:colOff>
      <xdr:row>6</xdr:row>
      <xdr:rowOff>136072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Oficina 2">
              <a:extLst>
                <a:ext uri="{FF2B5EF4-FFF2-40B4-BE49-F238E27FC236}">
                  <a16:creationId xmlns:a16="http://schemas.microsoft.com/office/drawing/2014/main" id="{66507960-218E-45B3-BE35-C6BB5719C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ficin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85" y="29029"/>
              <a:ext cx="3546929" cy="11956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134937</xdr:colOff>
      <xdr:row>18</xdr:row>
      <xdr:rowOff>166688</xdr:rowOff>
    </xdr:from>
    <xdr:to>
      <xdr:col>10</xdr:col>
      <xdr:colOff>0</xdr:colOff>
      <xdr:row>29</xdr:row>
      <xdr:rowOff>166687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D7C29061-CA21-2424-1CD4-B1C2B33292DC}"/>
            </a:ext>
          </a:extLst>
        </xdr:cNvPr>
        <xdr:cNvSpPr/>
      </xdr:nvSpPr>
      <xdr:spPr>
        <a:xfrm>
          <a:off x="8112125" y="3119438"/>
          <a:ext cx="3929063" cy="2008187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 b="1" baseline="0">
              <a:solidFill>
                <a:schemeClr val="tx1">
                  <a:lumMod val="75000"/>
                  <a:lumOff val="25000"/>
                </a:schemeClr>
              </a:solidFill>
            </a:rPr>
            <a:t>Volumen en puerto: </a:t>
          </a:r>
          <a:r>
            <a:rPr lang="es-CL" sz="1100" b="0" baseline="0">
              <a:solidFill>
                <a:schemeClr val="tx1">
                  <a:lumMod val="75000"/>
                  <a:lumOff val="25000"/>
                </a:schemeClr>
              </a:solidFill>
            </a:rPr>
            <a:t>Pedidos con stock programados con fechas de Septiembre, entregados por logística.</a:t>
          </a:r>
        </a:p>
        <a:p>
          <a:pPr algn="l"/>
          <a:r>
            <a:rPr lang="es-CL" sz="1100" b="1" baseline="0">
              <a:solidFill>
                <a:schemeClr val="tx1">
                  <a:lumMod val="75000"/>
                  <a:lumOff val="25000"/>
                </a:schemeClr>
              </a:solidFill>
            </a:rPr>
            <a:t> </a:t>
          </a:r>
        </a:p>
        <a:p>
          <a:pPr algn="l"/>
          <a:r>
            <a:rPr lang="es-CL" sz="1100" b="1" baseline="0">
              <a:solidFill>
                <a:schemeClr val="tx1">
                  <a:lumMod val="75000"/>
                  <a:lumOff val="25000"/>
                </a:schemeClr>
              </a:solidFill>
            </a:rPr>
            <a:t>Pedidos atrasados: </a:t>
          </a:r>
          <a:r>
            <a:rPr lang="es-CL" sz="1100" b="0" baseline="0">
              <a:solidFill>
                <a:schemeClr val="tx1">
                  <a:lumMod val="75000"/>
                  <a:lumOff val="25000"/>
                </a:schemeClr>
              </a:solidFill>
            </a:rPr>
            <a:t>Pedidos ingresados en SAP, considerados para que zarpen en Septiembre </a:t>
          </a:r>
          <a:r>
            <a:rPr lang="es-CL" sz="1100" b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 planificación o stock.</a:t>
          </a:r>
        </a:p>
        <a:p>
          <a:pPr algn="l"/>
          <a:r>
            <a:rPr lang="es-CL" sz="1100" b="1" baseline="0">
              <a:solidFill>
                <a:schemeClr val="tx1">
                  <a:lumMod val="75000"/>
                  <a:lumOff val="25000"/>
                </a:schemeClr>
              </a:solidFill>
            </a:rPr>
            <a:t> </a:t>
          </a:r>
        </a:p>
        <a:p>
          <a:pPr algn="l"/>
          <a:r>
            <a:rPr lang="es-CL" sz="1100" b="1" baseline="0">
              <a:solidFill>
                <a:schemeClr val="tx1">
                  <a:lumMod val="75000"/>
                  <a:lumOff val="25000"/>
                </a:schemeClr>
              </a:solidFill>
            </a:rPr>
            <a:t>Nuevos pedidos: </a:t>
          </a:r>
          <a:r>
            <a:rPr lang="es-CL" sz="1100" b="0" baseline="0">
              <a:solidFill>
                <a:schemeClr val="tx1">
                  <a:lumMod val="75000"/>
                  <a:lumOff val="25000"/>
                </a:schemeClr>
              </a:solidFill>
            </a:rPr>
            <a:t>Volúmenes a facturar con nuevos pedidos, estos deben ser ingresos prioritarios, no hay margen para que ventas no ingrese o retrase el ingreso.</a:t>
          </a:r>
        </a:p>
        <a:p>
          <a:pPr algn="l"/>
          <a:r>
            <a:rPr lang="es-CL" sz="1100" b="1" baseline="0">
              <a:solidFill>
                <a:schemeClr val="tx1">
                  <a:lumMod val="75000"/>
                  <a:lumOff val="25000"/>
                </a:schemeClr>
              </a:solidFill>
            </a:rPr>
            <a:t> </a:t>
          </a:r>
        </a:p>
        <a:p>
          <a:pPr algn="l"/>
          <a:r>
            <a:rPr lang="es-CL" sz="1100" b="1" baseline="0">
              <a:solidFill>
                <a:schemeClr val="tx1">
                  <a:lumMod val="75000"/>
                  <a:lumOff val="25000"/>
                </a:schemeClr>
              </a:solidFill>
            </a:rPr>
            <a:t>*Equipo Distribución les pido el seguimiento a estos puntos.</a:t>
          </a:r>
        </a:p>
        <a:p>
          <a:pPr algn="l"/>
          <a:endParaRPr lang="es-CL" sz="1100" b="0" baseline="0">
            <a:solidFill>
              <a:schemeClr val="tx1">
                <a:lumMod val="75000"/>
                <a:lumOff val="25000"/>
              </a:schemeClr>
            </a:solidFill>
          </a:endParaRPr>
        </a:p>
        <a:p>
          <a:pPr algn="l"/>
          <a:endParaRPr lang="es-CL" sz="1100" b="0" baseline="0">
            <a:solidFill>
              <a:schemeClr val="tx1">
                <a:lumMod val="75000"/>
                <a:lumOff val="25000"/>
              </a:schemeClr>
            </a:solidFill>
          </a:endParaRPr>
        </a:p>
        <a:p>
          <a:pPr algn="l"/>
          <a:r>
            <a:rPr lang="es-CL" sz="1100" b="0" baseline="0">
              <a:solidFill>
                <a:schemeClr val="tx1">
                  <a:lumMod val="75000"/>
                  <a:lumOff val="25000"/>
                </a:schemeClr>
              </a:solidFill>
            </a:rPr>
            <a:t>  </a:t>
          </a:r>
          <a:endParaRPr lang="es-CL" sz="11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23815</xdr:colOff>
      <xdr:row>45</xdr:row>
      <xdr:rowOff>31756</xdr:rowOff>
    </xdr:from>
    <xdr:to>
      <xdr:col>10</xdr:col>
      <xdr:colOff>31750</xdr:colOff>
      <xdr:row>47</xdr:row>
      <xdr:rowOff>150818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83632627-CE08-4DC0-BB87-EFDC2BEB7828}"/>
            </a:ext>
          </a:extLst>
        </xdr:cNvPr>
        <xdr:cNvSpPr/>
      </xdr:nvSpPr>
      <xdr:spPr>
        <a:xfrm>
          <a:off x="785815" y="7516819"/>
          <a:ext cx="11207748" cy="484187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L" sz="110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s-CL" sz="1100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Equipo de PI</a:t>
          </a:r>
          <a:r>
            <a:rPr lang="es-CL" sz="110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, dar prioridad y seguimiento a la </a:t>
          </a:r>
          <a:r>
            <a:rPr lang="es-CL" sz="1100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prodcucción</a:t>
          </a:r>
          <a:r>
            <a:rPr lang="es-CL" sz="1100" b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nueva,</a:t>
          </a:r>
          <a:r>
            <a:rPr lang="es-CL" sz="110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levantar los warning ante cambios de asignación o movimientos</a:t>
          </a:r>
          <a:r>
            <a:rPr lang="es-CL" sz="110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de volumenes en la factibilidad semanal</a:t>
          </a:r>
          <a:r>
            <a:rPr lang="es-CL" sz="110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. En el archivo les adjunto el detalle y la fecha límite para que las producciones sean parte de este plan de facturación.</a:t>
          </a:r>
        </a:p>
        <a:p>
          <a:pPr algn="l"/>
          <a:endParaRPr lang="es-CL" sz="1100" b="0" baseline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767141</xdr:colOff>
      <xdr:row>0</xdr:row>
      <xdr:rowOff>31749</xdr:rowOff>
    </xdr:from>
    <xdr:to>
      <xdr:col>6</xdr:col>
      <xdr:colOff>208643</xdr:colOff>
      <xdr:row>6</xdr:row>
      <xdr:rowOff>154215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Sector 3">
              <a:extLst>
                <a:ext uri="{FF2B5EF4-FFF2-40B4-BE49-F238E27FC236}">
                  <a16:creationId xmlns:a16="http://schemas.microsoft.com/office/drawing/2014/main" id="{5535AD58-767D-4345-99AB-58E7641DA5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9070" y="31749"/>
              <a:ext cx="2779787" cy="12110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99785</xdr:colOff>
      <xdr:row>0</xdr:row>
      <xdr:rowOff>29029</xdr:rowOff>
    </xdr:from>
    <xdr:to>
      <xdr:col>4</xdr:col>
      <xdr:colOff>734785</xdr:colOff>
      <xdr:row>6</xdr:row>
      <xdr:rowOff>136072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Oficina 3">
              <a:extLst>
                <a:ext uri="{FF2B5EF4-FFF2-40B4-BE49-F238E27FC236}">
                  <a16:creationId xmlns:a16="http://schemas.microsoft.com/office/drawing/2014/main" id="{8D7916A5-BB1C-4B1B-B72C-842ABD7AAB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ficin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85" y="29029"/>
              <a:ext cx="3546929" cy="11956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1075570</xdr:colOff>
      <xdr:row>0</xdr:row>
      <xdr:rowOff>31749</xdr:rowOff>
    </xdr:from>
    <xdr:to>
      <xdr:col>5</xdr:col>
      <xdr:colOff>1859643</xdr:colOff>
      <xdr:row>6</xdr:row>
      <xdr:rowOff>154215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Sector">
              <a:extLst>
                <a:ext uri="{FF2B5EF4-FFF2-40B4-BE49-F238E27FC236}">
                  <a16:creationId xmlns:a16="http://schemas.microsoft.com/office/drawing/2014/main" id="{3D4C83C5-D314-2CA6-7474-B6AAB6C792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9070" y="31749"/>
              <a:ext cx="2779787" cy="12110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99785</xdr:colOff>
      <xdr:row>0</xdr:row>
      <xdr:rowOff>29029</xdr:rowOff>
    </xdr:from>
    <xdr:to>
      <xdr:col>3</xdr:col>
      <xdr:colOff>1043214</xdr:colOff>
      <xdr:row>6</xdr:row>
      <xdr:rowOff>136072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Oficina">
              <a:extLst>
                <a:ext uri="{FF2B5EF4-FFF2-40B4-BE49-F238E27FC236}">
                  <a16:creationId xmlns:a16="http://schemas.microsoft.com/office/drawing/2014/main" id="{8BB11889-AC68-126D-CB83-BB7611D7B2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fici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85" y="29029"/>
              <a:ext cx="3546929" cy="11956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Consolidado%20plan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Producci&#243;n%20pendiente%20(plan%20de%20mayo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Pedios%20atrasados%20plan%20may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grosuper.sharepoint.com/sites/PlanesdeventaVVII/Shared%20Documents/General/Colaboraci&#243;n%20PV%20-%20Proyecci&#243;n/Semana%2020%20(Plan%20de%20ventas)/Volumen%20por%20contendor%20-%20Distribuci&#243;n%20Inter.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Seguimiento%20planes%20de%20venta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Septiembre/Venta%20Septiembr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Planes%20Agosto/Venta%20Agosto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Septiembre/Colaboraci&#243;n/SEPTIEMBRE_Fechas%20de%20zarpe%20-%20Log&#237;stic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Septiembre/Colaboraci&#243;n/Pedidos%20Stock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Septiembre/Colaboraci&#243;n/SEPTIEMBRE_Planificacion%20Industrial%20-%20Produccion-Plan%20Congelado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Septiembre/Colaboraci&#243;n/SEPTIEMBRE_Distribucion+Logistica%20-%20Pedidos%20AP-Confirmado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Septiembre/Colaboraci&#243;n/SEPTIEMBRE_Log&#237;stica%20-%20Pedidos%20Planta-Puerto-Embarcado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eguimiento/Seguimiento%20planes%20de%20venta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S&amp;OP/Septiembre/Octubre%20_%20Nov_RV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Respaldos/RV/Agosto/Fechas%20de%20zarpe%20-%20Log&#237;stica%20(1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Planes%20Agosto/Respaldo%20colaboraci&#243;n/Proyeccion%20Plan%20de%20Venta%20-%20Adrian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Planes%20Agosto/DELAY_AGOSTO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AppData/Local/Microsoft/Windows/INetCache/Content.Outlook/2TLZ5BOK/Motivos%20Ajuste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Respaldos/RV/Agosto/Cerdito/Fechas%20de%20zarpe%20-%20Log&#237;stica%20(1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Plan%20Julio-Agosto-Sep%20V_0/Venta%20Julio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S&amp;OP/(Datos%20PPT)%20Planes%20Comerciales%20Jlg%20-%20Cerdo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sotogo/Desktop/S&amp;OP/Plan%20de%20ventas/Plan%20Julio-Agosto-Sep%20V_0/Fechas%20de%20zar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 RV"/>
      <sheetName val="Mes n+2 y n+3"/>
    </sheetNames>
    <sheetDataSet>
      <sheetData sheetId="0">
        <row r="1">
          <cell r="E1">
            <v>3544129.435741731</v>
          </cell>
          <cell r="G1">
            <v>22309186.256134279</v>
          </cell>
          <cell r="H1">
            <v>20616177.619338132</v>
          </cell>
        </row>
        <row r="2">
          <cell r="B2" t="str">
            <v>ofi</v>
          </cell>
          <cell r="C2" t="str">
            <v>SAP</v>
          </cell>
          <cell r="D2" t="str">
            <v>des</v>
          </cell>
          <cell r="E2" t="str">
            <v>oficina</v>
          </cell>
          <cell r="F2" t="str">
            <v>tipo de venta</v>
          </cell>
          <cell r="G2" t="str">
            <v>Producción</v>
          </cell>
          <cell r="H2" t="str">
            <v>Venta</v>
          </cell>
        </row>
        <row r="3">
          <cell r="B3" t="str">
            <v>Agro America1012161</v>
          </cell>
          <cell r="C3">
            <v>1012161</v>
          </cell>
          <cell r="D3" t="str">
            <v>PO Ala Ctro 8x5 Mr@ Cj 20k AS</v>
          </cell>
          <cell r="E3" t="str">
            <v>Agro America</v>
          </cell>
          <cell r="F3" t="str">
            <v>Local OOII</v>
          </cell>
          <cell r="G3">
            <v>42666.616999999998</v>
          </cell>
          <cell r="H3">
            <v>79833.075948376791</v>
          </cell>
        </row>
        <row r="4">
          <cell r="B4" t="str">
            <v>Agro America1012164</v>
          </cell>
          <cell r="C4">
            <v>1012164</v>
          </cell>
          <cell r="D4" t="str">
            <v>PO Ala Ctro 4x10 Mr@ Zi Cj 20k AS</v>
          </cell>
          <cell r="E4" t="str">
            <v>Agro America</v>
          </cell>
          <cell r="F4" t="str">
            <v>Local OOII</v>
          </cell>
          <cell r="G4">
            <v>36791.711000000003</v>
          </cell>
          <cell r="H4">
            <v>36791.711000000003</v>
          </cell>
        </row>
        <row r="5">
          <cell r="B5" t="str">
            <v>Agro America1012602</v>
          </cell>
          <cell r="C5">
            <v>1012602</v>
          </cell>
          <cell r="D5" t="str">
            <v>PO Ala Ctro NMr IQF@ Cj 20k AS</v>
          </cell>
          <cell r="E5" t="str">
            <v>Agro America</v>
          </cell>
          <cell r="F5" t="str">
            <v>No Aplica</v>
          </cell>
          <cell r="G5">
            <v>0</v>
          </cell>
          <cell r="H5">
            <v>0</v>
          </cell>
        </row>
        <row r="6">
          <cell r="B6" t="str">
            <v>Agro America1012516</v>
          </cell>
          <cell r="C6">
            <v>1012516</v>
          </cell>
          <cell r="D6" t="str">
            <v>PO Ala Ctro NMr IQF@ Cj AS</v>
          </cell>
          <cell r="E6" t="str">
            <v>Agro America</v>
          </cell>
          <cell r="F6" t="str">
            <v>No Aplica</v>
          </cell>
          <cell r="G6">
            <v>0</v>
          </cell>
          <cell r="H6">
            <v>0</v>
          </cell>
        </row>
        <row r="7">
          <cell r="B7" t="str">
            <v>Agro America1011099</v>
          </cell>
          <cell r="C7">
            <v>1011099</v>
          </cell>
          <cell r="D7" t="str">
            <v>PO Ala Ctro NMr@ Bo Cj 20k AS</v>
          </cell>
          <cell r="E7" t="str">
            <v>Agro America</v>
          </cell>
          <cell r="F7" t="str">
            <v>No Aplica</v>
          </cell>
          <cell r="G7">
            <v>0</v>
          </cell>
          <cell r="H7">
            <v>0</v>
          </cell>
        </row>
        <row r="8">
          <cell r="B8" t="str">
            <v>Agrosuper Asia1012012</v>
          </cell>
          <cell r="C8">
            <v>1012012</v>
          </cell>
          <cell r="D8" t="str">
            <v>PO Ala Ctro Mr@ Fi Cj 18k AS</v>
          </cell>
          <cell r="E8" t="str">
            <v>Agrosuper Asia</v>
          </cell>
          <cell r="F8" t="str">
            <v>Directo</v>
          </cell>
          <cell r="G8">
            <v>20000</v>
          </cell>
          <cell r="H8">
            <v>20000</v>
          </cell>
        </row>
        <row r="9">
          <cell r="B9" t="str">
            <v>Agrosuper Shanghai1012452</v>
          </cell>
          <cell r="C9">
            <v>1012452</v>
          </cell>
          <cell r="D9" t="str">
            <v>PO Ala Media B 4x10@ Cj 20k AS LM</v>
          </cell>
          <cell r="E9" t="str">
            <v>Agrosuper Shanghai</v>
          </cell>
          <cell r="F9" t="str">
            <v>Directo</v>
          </cell>
          <cell r="G9">
            <v>21000.000400000001</v>
          </cell>
          <cell r="H9">
            <v>15654.277970776217</v>
          </cell>
        </row>
        <row r="10">
          <cell r="B10" t="str">
            <v>Agrosuper Shanghai1012453</v>
          </cell>
          <cell r="C10">
            <v>1012453</v>
          </cell>
          <cell r="D10" t="str">
            <v>PO Ala Ctro NMr 4x5@ Bo Cj 20k SP</v>
          </cell>
          <cell r="E10" t="str">
            <v>Agrosuper Shanghai</v>
          </cell>
          <cell r="F10" t="str">
            <v>Local OOII</v>
          </cell>
          <cell r="G10">
            <v>0</v>
          </cell>
          <cell r="H10">
            <v>0</v>
          </cell>
        </row>
        <row r="11">
          <cell r="B11" t="str">
            <v>Agrosuper Shanghai1012451</v>
          </cell>
          <cell r="C11">
            <v>1012451</v>
          </cell>
          <cell r="D11" t="str">
            <v>PO Ala Ctro NMr@ Bo Cj 15k AS</v>
          </cell>
          <cell r="E11" t="str">
            <v>Agrosuper Shanghai</v>
          </cell>
          <cell r="F11" t="str">
            <v>Local OOII</v>
          </cell>
          <cell r="G11">
            <v>5010.085</v>
          </cell>
          <cell r="H11">
            <v>0</v>
          </cell>
        </row>
        <row r="12">
          <cell r="B12" t="str">
            <v>Agrosuper Shanghai1011417</v>
          </cell>
          <cell r="C12">
            <v>1011417</v>
          </cell>
          <cell r="D12" t="str">
            <v>PO Ala Ctro NMr 4x5@ Bo Cj 20k AS</v>
          </cell>
          <cell r="E12" t="str">
            <v>Agrosuper Shanghai</v>
          </cell>
          <cell r="F12" t="str">
            <v>Local OOII</v>
          </cell>
          <cell r="G12">
            <v>0</v>
          </cell>
          <cell r="H12">
            <v>3132</v>
          </cell>
        </row>
        <row r="13">
          <cell r="B13" t="str">
            <v>Agrosuper Shanghai1011586</v>
          </cell>
          <cell r="C13">
            <v>1011586</v>
          </cell>
          <cell r="D13" t="str">
            <v>PO Ala Media B 4x10@ Cj 20k AS</v>
          </cell>
          <cell r="E13" t="str">
            <v>Agrosuper Shanghai</v>
          </cell>
          <cell r="F13" t="str">
            <v>Directo</v>
          </cell>
          <cell r="G13">
            <v>62613.970999999998</v>
          </cell>
          <cell r="H13">
            <v>74390.780115368965</v>
          </cell>
        </row>
        <row r="14">
          <cell r="B14" t="str">
            <v>Agrosuper Shanghai1012218</v>
          </cell>
          <cell r="C14">
            <v>1012218</v>
          </cell>
          <cell r="D14" t="str">
            <v>PO Ala Ctro NMr@ Bo Cj 15k AS</v>
          </cell>
          <cell r="E14" t="str">
            <v>Agrosuper Shanghai</v>
          </cell>
          <cell r="F14" t="str">
            <v>Local OOII</v>
          </cell>
          <cell r="G14">
            <v>24000</v>
          </cell>
          <cell r="H14">
            <v>0</v>
          </cell>
        </row>
        <row r="15">
          <cell r="B15" t="str">
            <v>Agrosuper Shanghai1012455</v>
          </cell>
          <cell r="C15">
            <v>1012455</v>
          </cell>
          <cell r="D15" t="str">
            <v>PO Ctro Pnta Ala Choice@ Cj 20k AS</v>
          </cell>
          <cell r="E15" t="str">
            <v>Agrosuper Shanghai</v>
          </cell>
          <cell r="F15" t="str">
            <v>Directo</v>
          </cell>
          <cell r="G15">
            <v>215962.15</v>
          </cell>
          <cell r="H15">
            <v>240000.00148208754</v>
          </cell>
        </row>
        <row r="16">
          <cell r="B16" t="str">
            <v>Agrosuper Shanghai1012454</v>
          </cell>
          <cell r="C16">
            <v>1012454</v>
          </cell>
          <cell r="D16" t="str">
            <v>PO Ctro Pnta Ala@ Cj 20k AS</v>
          </cell>
          <cell r="E16" t="str">
            <v>Agrosuper Shanghai</v>
          </cell>
          <cell r="F16" t="str">
            <v>Directo</v>
          </cell>
          <cell r="G16">
            <v>2100</v>
          </cell>
          <cell r="H16">
            <v>2440</v>
          </cell>
        </row>
        <row r="17">
          <cell r="B17" t="str">
            <v>Agrosuper Shanghai1012424</v>
          </cell>
          <cell r="C17">
            <v>1012424</v>
          </cell>
          <cell r="D17" t="str">
            <v>PO Ctro-Pta-Ala@ Cj 20k AS</v>
          </cell>
          <cell r="E17" t="str">
            <v>Agrosuper Shanghai</v>
          </cell>
          <cell r="F17" t="str">
            <v>Directo</v>
          </cell>
          <cell r="G17">
            <v>0</v>
          </cell>
          <cell r="H17">
            <v>2120</v>
          </cell>
        </row>
        <row r="18">
          <cell r="B18" t="str">
            <v>Agrosuper Shanghai1012423</v>
          </cell>
          <cell r="C18">
            <v>1012423</v>
          </cell>
          <cell r="D18" t="str">
            <v>PO Ctro-Pta-Ala Choice@ Cj 20k AS</v>
          </cell>
          <cell r="E18" t="str">
            <v>Agrosuper Shanghai</v>
          </cell>
          <cell r="F18" t="str">
            <v>Directo</v>
          </cell>
          <cell r="G18">
            <v>0</v>
          </cell>
          <cell r="H18">
            <v>0</v>
          </cell>
        </row>
        <row r="19">
          <cell r="B19" t="str">
            <v>Agrosuper Shanghai1011066</v>
          </cell>
          <cell r="C19">
            <v>1011066</v>
          </cell>
          <cell r="D19" t="str">
            <v>PO Ctro-Pta-Ala Choice@ Cj bca AS</v>
          </cell>
          <cell r="E19" t="str">
            <v>Agrosuper Shanghai</v>
          </cell>
          <cell r="F19" t="str">
            <v>No Aplica</v>
          </cell>
          <cell r="G19">
            <v>0</v>
          </cell>
          <cell r="H19">
            <v>0</v>
          </cell>
        </row>
        <row r="20">
          <cell r="B20" t="str">
            <v>Agrosuper Shanghai1011991</v>
          </cell>
          <cell r="C20">
            <v>1011991</v>
          </cell>
          <cell r="D20" t="str">
            <v>PO Ctro-Pta-Ala@ Bo Cj 12k AS</v>
          </cell>
          <cell r="E20" t="str">
            <v>Agrosuper Shanghai</v>
          </cell>
          <cell r="F20" t="str">
            <v>No Aplica</v>
          </cell>
          <cell r="G20">
            <v>0</v>
          </cell>
          <cell r="H20">
            <v>0</v>
          </cell>
        </row>
        <row r="21">
          <cell r="B21" t="str">
            <v>Andes Asia1011898</v>
          </cell>
          <cell r="C21">
            <v>1011898</v>
          </cell>
          <cell r="D21" t="str">
            <v>PO Ctro-Pta-Ala Escald 40g@ Cj AS</v>
          </cell>
          <cell r="E21" t="str">
            <v>Andes Asia</v>
          </cell>
          <cell r="F21" t="str">
            <v>No Aplica</v>
          </cell>
          <cell r="G21">
            <v>0</v>
          </cell>
          <cell r="H21">
            <v>0</v>
          </cell>
        </row>
        <row r="22">
          <cell r="B22" t="str">
            <v>Agrosuper Shanghai1012434</v>
          </cell>
          <cell r="C22">
            <v>1012434</v>
          </cell>
          <cell r="D22" t="str">
            <v>PO Pta Ala@ Cj 20k AS</v>
          </cell>
          <cell r="E22" t="str">
            <v>Agrosuper Shanghai</v>
          </cell>
          <cell r="F22" t="str">
            <v>Local OOII</v>
          </cell>
          <cell r="G22">
            <v>57480</v>
          </cell>
          <cell r="H22">
            <v>48000</v>
          </cell>
        </row>
        <row r="23">
          <cell r="B23" t="str">
            <v>Agrosuper Shanghai1010615</v>
          </cell>
          <cell r="C23">
            <v>1010615</v>
          </cell>
          <cell r="D23" t="str">
            <v>PO Pta Ala@ Cj 20k bca AS</v>
          </cell>
          <cell r="E23" t="str">
            <v>Agrosuper Shanghai</v>
          </cell>
          <cell r="F23" t="str">
            <v>No Aplica</v>
          </cell>
          <cell r="G23">
            <v>0</v>
          </cell>
          <cell r="H23">
            <v>0</v>
          </cell>
        </row>
        <row r="24">
          <cell r="B24" t="str">
            <v>Agrosuper Shanghai1012465</v>
          </cell>
          <cell r="C24">
            <v>1012465</v>
          </cell>
          <cell r="D24" t="str">
            <v>PO Pta Ala@ Cj 20k AS</v>
          </cell>
          <cell r="E24" t="str">
            <v>Agrosuper Shanghai</v>
          </cell>
          <cell r="F24" t="str">
            <v>No Aplica</v>
          </cell>
          <cell r="G24">
            <v>0</v>
          </cell>
          <cell r="H24">
            <v>0</v>
          </cell>
        </row>
        <row r="25">
          <cell r="B25" t="str">
            <v>Agro America1012157</v>
          </cell>
          <cell r="C25">
            <v>1012157</v>
          </cell>
          <cell r="D25" t="str">
            <v>PO Tru Ala@ Fi 8u Cj AS</v>
          </cell>
          <cell r="E25" t="str">
            <v>Agro America</v>
          </cell>
          <cell r="F25" t="str">
            <v>No Aplica</v>
          </cell>
          <cell r="G25">
            <v>0</v>
          </cell>
          <cell r="H25">
            <v>0</v>
          </cell>
        </row>
        <row r="26">
          <cell r="B26" t="str">
            <v>Agro America1012166</v>
          </cell>
          <cell r="C26">
            <v>1012166</v>
          </cell>
          <cell r="D26" t="str">
            <v>PO Tru Ala 4x10 Mr@ Zi Cj AS</v>
          </cell>
          <cell r="E26" t="str">
            <v>Agro America</v>
          </cell>
          <cell r="F26" t="str">
            <v>No Aplica</v>
          </cell>
          <cell r="G26">
            <v>0</v>
          </cell>
          <cell r="H26">
            <v>0</v>
          </cell>
        </row>
        <row r="27">
          <cell r="B27" t="str">
            <v>Agro America1012146</v>
          </cell>
          <cell r="C27">
            <v>1012146</v>
          </cell>
          <cell r="D27" t="str">
            <v>PO Tru Ala 2.2 Lb@ Fi Cj 19k Am AS</v>
          </cell>
          <cell r="E27" t="str">
            <v>Agro America</v>
          </cell>
          <cell r="F27" t="str">
            <v>No Aplica</v>
          </cell>
          <cell r="G27">
            <v>0</v>
          </cell>
          <cell r="H27">
            <v>0</v>
          </cell>
        </row>
        <row r="28">
          <cell r="B28" t="str">
            <v>Agro Mexico1012278</v>
          </cell>
          <cell r="C28">
            <v>1012278</v>
          </cell>
          <cell r="D28" t="str">
            <v>PO Tru Ala Mex@ Cj 10k KI</v>
          </cell>
          <cell r="E28" t="str">
            <v>Agro Mexico</v>
          </cell>
          <cell r="F28" t="str">
            <v>Local OOII</v>
          </cell>
          <cell r="G28">
            <v>73702.536999999997</v>
          </cell>
          <cell r="H28">
            <v>80000.000463512042</v>
          </cell>
        </row>
        <row r="29">
          <cell r="B29" t="str">
            <v>Agro Mexico1011765</v>
          </cell>
          <cell r="C29">
            <v>1011765</v>
          </cell>
          <cell r="D29" t="str">
            <v>PO Tru Ala pf@ 4x4.5 Cj AS</v>
          </cell>
          <cell r="E29" t="str">
            <v>Agro Mexico</v>
          </cell>
          <cell r="F29" t="str">
            <v>No Aplica</v>
          </cell>
          <cell r="G29">
            <v>0</v>
          </cell>
          <cell r="H29">
            <v>0</v>
          </cell>
        </row>
        <row r="30">
          <cell r="B30" t="str">
            <v>Agro Mexico1012472</v>
          </cell>
          <cell r="C30">
            <v>1012472</v>
          </cell>
          <cell r="D30" t="str">
            <v>PO Tru Ala sab Chilen@ Cj AS</v>
          </cell>
          <cell r="E30" t="str">
            <v>Agro Mexico</v>
          </cell>
          <cell r="F30" t="str">
            <v>No Aplica</v>
          </cell>
          <cell r="G30">
            <v>0</v>
          </cell>
          <cell r="H30">
            <v>0</v>
          </cell>
        </row>
        <row r="31">
          <cell r="B31" t="str">
            <v>Agrosuper Shanghai1012456</v>
          </cell>
          <cell r="C31">
            <v>1012456</v>
          </cell>
          <cell r="D31" t="str">
            <v>PO Tru Ala@ Cj 18k AS</v>
          </cell>
          <cell r="E31" t="str">
            <v>Agrosuper Shanghai</v>
          </cell>
          <cell r="F31" t="str">
            <v>No Aplica</v>
          </cell>
          <cell r="G31">
            <v>0</v>
          </cell>
          <cell r="H31">
            <v>0</v>
          </cell>
        </row>
        <row r="32">
          <cell r="B32" t="str">
            <v>Agrosuper Shanghai1012275</v>
          </cell>
          <cell r="C32">
            <v>1012275</v>
          </cell>
          <cell r="D32" t="str">
            <v>PO Tru Ala 4x10 NMr @ Do Cj 20k AS</v>
          </cell>
          <cell r="E32" t="str">
            <v>Agrosuper Shanghai</v>
          </cell>
          <cell r="F32" t="str">
            <v>Local OOII</v>
          </cell>
          <cell r="G32">
            <v>12000</v>
          </cell>
          <cell r="H32">
            <v>0</v>
          </cell>
        </row>
        <row r="33">
          <cell r="B33" t="str">
            <v>Agro America1012165</v>
          </cell>
          <cell r="C33">
            <v>1012165</v>
          </cell>
          <cell r="D33" t="str">
            <v>PO Tru-Ctro Ala 4x10 Mr@ Zi Cj AS</v>
          </cell>
          <cell r="E33" t="str">
            <v>Agro America</v>
          </cell>
          <cell r="F33" t="str">
            <v>Local OOII</v>
          </cell>
          <cell r="G33">
            <v>646078.89299999992</v>
          </cell>
          <cell r="H33">
            <v>460914.75213127537</v>
          </cell>
        </row>
        <row r="34">
          <cell r="B34" t="str">
            <v>Agro America1012483</v>
          </cell>
          <cell r="C34">
            <v>1012483</v>
          </cell>
          <cell r="D34" t="str">
            <v>PO Tru-Ctro Ala 4x10 Mr@ Cj AS</v>
          </cell>
          <cell r="E34" t="str">
            <v>Agro America</v>
          </cell>
          <cell r="F34" t="str">
            <v>Local OOII</v>
          </cell>
          <cell r="G34">
            <v>413291.60000000003</v>
          </cell>
          <cell r="H34">
            <v>272158.2100182412</v>
          </cell>
        </row>
        <row r="35">
          <cell r="B35" t="str">
            <v>Agro America1012159</v>
          </cell>
          <cell r="C35">
            <v>1012159</v>
          </cell>
          <cell r="D35" t="str">
            <v>PO Tru Ctro Ala 60-80 8x5 Mr@ Fi Cj AS</v>
          </cell>
          <cell r="E35" t="str">
            <v>Agro America</v>
          </cell>
          <cell r="F35" t="str">
            <v>Local OOII</v>
          </cell>
          <cell r="G35">
            <v>221515.318</v>
          </cell>
          <cell r="H35">
            <v>225349.84561262073</v>
          </cell>
        </row>
        <row r="36">
          <cell r="B36" t="str">
            <v>Agro America1012148</v>
          </cell>
          <cell r="C36">
            <v>1012148</v>
          </cell>
          <cell r="D36" t="str">
            <v>PO Tru-Ctro Ala 60-80 Mr@ Fi Cj 20k AS</v>
          </cell>
          <cell r="E36" t="str">
            <v>Agro America</v>
          </cell>
          <cell r="F36" t="str">
            <v>Local OOII</v>
          </cell>
          <cell r="G36">
            <v>128558.5114</v>
          </cell>
          <cell r="H36">
            <v>88273.609598909883</v>
          </cell>
        </row>
        <row r="37">
          <cell r="B37" t="str">
            <v>Agro America1011150</v>
          </cell>
          <cell r="C37">
            <v>1011150</v>
          </cell>
          <cell r="D37" t="str">
            <v>PO Tru-Ctro Ala Mex@ Cj 9k AS</v>
          </cell>
          <cell r="E37" t="str">
            <v>Agro America</v>
          </cell>
          <cell r="F37" t="str">
            <v>Local OOII</v>
          </cell>
          <cell r="G37">
            <v>9979.1345000000001</v>
          </cell>
          <cell r="H37">
            <v>9979.1345000000001</v>
          </cell>
        </row>
        <row r="38">
          <cell r="B38" t="str">
            <v>Agro America1012401</v>
          </cell>
          <cell r="C38">
            <v>1012401</v>
          </cell>
          <cell r="D38" t="str">
            <v>PO Tru-Ctro Ala 700g Mr@ Cj AS</v>
          </cell>
          <cell r="E38" t="str">
            <v>Agro America</v>
          </cell>
          <cell r="F38" t="str">
            <v>Local OOII</v>
          </cell>
          <cell r="G38">
            <v>9726.2163999999993</v>
          </cell>
          <cell r="H38">
            <v>18143.880948287486</v>
          </cell>
        </row>
        <row r="39">
          <cell r="B39" t="str">
            <v>Agro America1012194</v>
          </cell>
          <cell r="C39">
            <v>1012194</v>
          </cell>
          <cell r="D39" t="str">
            <v>PO Tru-Ctro Ala 4x10 Mr@ Zi Cj AS</v>
          </cell>
          <cell r="E39" t="str">
            <v>Agro America</v>
          </cell>
          <cell r="F39" t="str">
            <v>No Aplica</v>
          </cell>
          <cell r="G39">
            <v>0</v>
          </cell>
          <cell r="H39">
            <v>0</v>
          </cell>
        </row>
        <row r="40">
          <cell r="B40" t="str">
            <v>Agro America1011105</v>
          </cell>
          <cell r="C40">
            <v>1011105</v>
          </cell>
          <cell r="D40" t="str">
            <v>PO Tru-Ctro Ala 60-80 4x10 NMr@ Cj20k AS</v>
          </cell>
          <cell r="E40" t="str">
            <v>Agro America</v>
          </cell>
          <cell r="F40" t="str">
            <v>No Aplica</v>
          </cell>
          <cell r="G40">
            <v>548</v>
          </cell>
          <cell r="H40">
            <v>0</v>
          </cell>
        </row>
        <row r="41">
          <cell r="B41" t="str">
            <v>Agro Mexico1012401</v>
          </cell>
          <cell r="C41">
            <v>1012401</v>
          </cell>
          <cell r="D41" t="str">
            <v>PO Tru-Ctro Ala 700g Mr@ Cj AS</v>
          </cell>
          <cell r="E41" t="str">
            <v>Agro Mexico</v>
          </cell>
          <cell r="F41" t="str">
            <v>No Aplica</v>
          </cell>
          <cell r="G41">
            <v>0</v>
          </cell>
          <cell r="H41">
            <v>0</v>
          </cell>
        </row>
        <row r="42">
          <cell r="B42" t="str">
            <v>Agro Mexico1012410</v>
          </cell>
          <cell r="C42">
            <v>1012410</v>
          </cell>
          <cell r="D42" t="str">
            <v>PO Ctro Ala B Mr@ Cj 12k KI</v>
          </cell>
          <cell r="E42" t="str">
            <v>Agro Mexico</v>
          </cell>
          <cell r="F42" t="str">
            <v>No Aplica</v>
          </cell>
          <cell r="G42">
            <v>0</v>
          </cell>
          <cell r="H42">
            <v>0</v>
          </cell>
        </row>
        <row r="43">
          <cell r="B43" t="str">
            <v>Agro Mexico1011616</v>
          </cell>
          <cell r="C43">
            <v>1011616</v>
          </cell>
          <cell r="D43" t="str">
            <v>PO Tru-Ctro Ala Mr@ Cj 20k AS</v>
          </cell>
          <cell r="E43" t="str">
            <v>Agro Mexico</v>
          </cell>
          <cell r="F43" t="str">
            <v>No Aplica</v>
          </cell>
          <cell r="G43">
            <v>0</v>
          </cell>
          <cell r="H43">
            <v>0</v>
          </cell>
        </row>
        <row r="44">
          <cell r="B44" t="str">
            <v>Agro Mexico1011150</v>
          </cell>
          <cell r="C44">
            <v>1011150</v>
          </cell>
          <cell r="D44" t="str">
            <v>PO Tru-Ctro Ala Mex@ Cj 9k AS</v>
          </cell>
          <cell r="E44" t="str">
            <v>Agro Mexico</v>
          </cell>
          <cell r="F44" t="str">
            <v>Local OOII</v>
          </cell>
          <cell r="G44">
            <v>44312.967100000002</v>
          </cell>
          <cell r="H44">
            <v>80000.000002982852</v>
          </cell>
        </row>
        <row r="45">
          <cell r="B45" t="str">
            <v>Agro Sudamerica1012699</v>
          </cell>
          <cell r="C45">
            <v>1012699</v>
          </cell>
          <cell r="D45" t="str">
            <v>PO Tru Ala 4x10NMr@Bo Cj 20k SD</v>
          </cell>
          <cell r="E45" t="str">
            <v>Agro Sudamerica</v>
          </cell>
          <cell r="F45" t="str">
            <v>No Aplica</v>
          </cell>
          <cell r="G45">
            <v>0</v>
          </cell>
          <cell r="H45">
            <v>0</v>
          </cell>
        </row>
        <row r="46">
          <cell r="B46" t="str">
            <v>Agrosuper Asia1012469</v>
          </cell>
          <cell r="C46">
            <v>1012469</v>
          </cell>
          <cell r="D46" t="str">
            <v>PO Tru Ctro Ala 60-80 8x5 Mr@ Fi Cj AS</v>
          </cell>
          <cell r="E46" t="str">
            <v>Agrosuper Asia</v>
          </cell>
          <cell r="F46" t="str">
            <v>No Aplica</v>
          </cell>
          <cell r="G46">
            <v>0</v>
          </cell>
          <cell r="H46">
            <v>0</v>
          </cell>
        </row>
        <row r="47">
          <cell r="B47" t="str">
            <v>Agrosuper Asia1012159</v>
          </cell>
          <cell r="C47">
            <v>1012159</v>
          </cell>
          <cell r="D47" t="str">
            <v>PO Tru Ctro Ala 60-80 8x5 Mr@ Fi Cj AS</v>
          </cell>
          <cell r="E47" t="str">
            <v>Agrosuper Asia</v>
          </cell>
          <cell r="F47" t="str">
            <v>No Aplica</v>
          </cell>
          <cell r="G47">
            <v>0</v>
          </cell>
          <cell r="H47">
            <v>0</v>
          </cell>
        </row>
        <row r="48">
          <cell r="B48" t="str">
            <v>Andes Asia1012469</v>
          </cell>
          <cell r="C48">
            <v>1012469</v>
          </cell>
          <cell r="D48" t="str">
            <v>PO Tru Ctro Ala 60-80 8x5 Mr@ Fi Cj AS</v>
          </cell>
          <cell r="E48" t="str">
            <v>Andes Asia</v>
          </cell>
          <cell r="F48" t="str">
            <v>No Aplica</v>
          </cell>
          <cell r="G48">
            <v>0</v>
          </cell>
          <cell r="H48">
            <v>0</v>
          </cell>
        </row>
        <row r="49">
          <cell r="B49" t="str">
            <v>Agrosuper Shanghai1012561</v>
          </cell>
          <cell r="C49">
            <v>1012561</v>
          </cell>
          <cell r="D49" t="str">
            <v>PO Tru-Ctro Ala NMr@ Cj 18k AS</v>
          </cell>
          <cell r="E49" t="str">
            <v>Agrosuper Shanghai</v>
          </cell>
          <cell r="F49" t="str">
            <v>No Aplica</v>
          </cell>
          <cell r="G49">
            <v>0</v>
          </cell>
          <cell r="H49">
            <v>0</v>
          </cell>
        </row>
        <row r="50">
          <cell r="B50" t="str">
            <v>Agro Mexico8888888</v>
          </cell>
          <cell r="C50">
            <v>8888888</v>
          </cell>
          <cell r="D50" t="str">
            <v>Ala Entera</v>
          </cell>
          <cell r="E50" t="str">
            <v>Agro Mexico</v>
          </cell>
          <cell r="F50" t="str">
            <v>Local OOII</v>
          </cell>
          <cell r="G50">
            <v>60000</v>
          </cell>
          <cell r="H50">
            <v>60000</v>
          </cell>
        </row>
        <row r="51">
          <cell r="B51" t="str">
            <v>Agro Mexico1012764</v>
          </cell>
          <cell r="C51">
            <v>1012764</v>
          </cell>
          <cell r="D51" t="str">
            <v>PO Ppa Esp@ Bo Cj 20k AS</v>
          </cell>
          <cell r="E51" t="str">
            <v>Agro Mexico</v>
          </cell>
          <cell r="F51" t="str">
            <v>Directo</v>
          </cell>
          <cell r="G51">
            <v>518424.86900000001</v>
          </cell>
          <cell r="H51">
            <v>479999.99956342898</v>
          </cell>
        </row>
        <row r="52">
          <cell r="B52" t="str">
            <v>Agro Sudamerica1011421</v>
          </cell>
          <cell r="C52">
            <v>1011421</v>
          </cell>
          <cell r="D52" t="str">
            <v>PO Ppa Esp 50 Pim@ Cj 20k AS</v>
          </cell>
          <cell r="E52" t="str">
            <v>Agro Sudamerica</v>
          </cell>
          <cell r="F52" t="str">
            <v>Directo</v>
          </cell>
          <cell r="G52">
            <v>1040846.6410000001</v>
          </cell>
          <cell r="H52">
            <v>1000000.0000356449</v>
          </cell>
        </row>
        <row r="53">
          <cell r="B53" t="str">
            <v>Agro Sudamerica1012719</v>
          </cell>
          <cell r="C53">
            <v>1012719</v>
          </cell>
          <cell r="D53" t="str">
            <v>PO Ppa Esp@ 2 blo x 10k Cj AS</v>
          </cell>
          <cell r="E53" t="str">
            <v>Agro Sudamerica</v>
          </cell>
          <cell r="F53" t="str">
            <v>Directo</v>
          </cell>
          <cell r="G53">
            <v>72241.888999999996</v>
          </cell>
          <cell r="H53">
            <v>77718.081547750655</v>
          </cell>
        </row>
        <row r="54">
          <cell r="B54" t="str">
            <v>Agro Sudamerica1011558</v>
          </cell>
          <cell r="C54">
            <v>1011558</v>
          </cell>
          <cell r="D54" t="str">
            <v>PO Ppa Esp@ 2 blo x 10k Cj AS</v>
          </cell>
          <cell r="E54" t="str">
            <v>Agro Sudamerica</v>
          </cell>
          <cell r="F54" t="str">
            <v>Directo</v>
          </cell>
          <cell r="G54">
            <v>243275.73149999999</v>
          </cell>
          <cell r="H54">
            <v>240000.00000234929</v>
          </cell>
        </row>
        <row r="55">
          <cell r="B55" t="str">
            <v>Agro Sudamerica1012011</v>
          </cell>
          <cell r="C55">
            <v>1012011</v>
          </cell>
          <cell r="D55" t="str">
            <v>PO Ppa Esp@ Bo Cj 20k AS</v>
          </cell>
          <cell r="E55" t="str">
            <v>Agro Sudamerica</v>
          </cell>
          <cell r="F55" t="str">
            <v>No Aplica</v>
          </cell>
          <cell r="G55">
            <v>0</v>
          </cell>
          <cell r="H55">
            <v>0</v>
          </cell>
        </row>
        <row r="56">
          <cell r="B56" t="str">
            <v>Agro Sudamerica1012556</v>
          </cell>
          <cell r="C56">
            <v>1012556</v>
          </cell>
          <cell r="D56" t="str">
            <v>PO Pasta Cond 14,5 proteina@ Cj 20k AS</v>
          </cell>
          <cell r="E56" t="str">
            <v>Agro Sudamerica</v>
          </cell>
          <cell r="F56" t="str">
            <v>Directo</v>
          </cell>
          <cell r="G56">
            <v>105196</v>
          </cell>
          <cell r="H56">
            <v>96000</v>
          </cell>
        </row>
        <row r="57">
          <cell r="B57" t="str">
            <v>Agrosuper Asia1012612</v>
          </cell>
          <cell r="C57">
            <v>1012612</v>
          </cell>
          <cell r="D57" t="str">
            <v>PO Ppa Esp Blo@ Bo Cj 20k AS</v>
          </cell>
          <cell r="E57" t="str">
            <v>Agrosuper Asia</v>
          </cell>
          <cell r="F57" t="str">
            <v>Directo</v>
          </cell>
          <cell r="G57">
            <v>431056.56</v>
          </cell>
          <cell r="H57">
            <v>1135670.6922232839</v>
          </cell>
        </row>
        <row r="58">
          <cell r="B58" t="str">
            <v>Agro Sudamerica1010938</v>
          </cell>
          <cell r="C58">
            <v>1010938</v>
          </cell>
          <cell r="D58" t="str">
            <v>PO Pta Espinaz@ Cj 10k AS</v>
          </cell>
          <cell r="E58" t="str">
            <v>Agro Sudamerica</v>
          </cell>
          <cell r="F58" t="str">
            <v>No Aplica</v>
          </cell>
          <cell r="G58">
            <v>0</v>
          </cell>
          <cell r="H58">
            <v>0</v>
          </cell>
        </row>
        <row r="59">
          <cell r="B59" t="str">
            <v>Agro Sudamerica1011042</v>
          </cell>
          <cell r="C59">
            <v>1011042</v>
          </cell>
          <cell r="D59" t="str">
            <v>PO Pta Espinaz@ Cj 10k SP</v>
          </cell>
          <cell r="E59" t="str">
            <v>Agro Sudamerica</v>
          </cell>
          <cell r="F59" t="str">
            <v>Directo</v>
          </cell>
          <cell r="G59">
            <v>0</v>
          </cell>
          <cell r="H59">
            <v>12370</v>
          </cell>
        </row>
        <row r="60">
          <cell r="B60" t="str">
            <v>Africa1011042</v>
          </cell>
          <cell r="C60">
            <v>1011042</v>
          </cell>
          <cell r="D60" t="str">
            <v>PO Pta Espinaz@ Cj 10k SP</v>
          </cell>
          <cell r="E60" t="str">
            <v>Africa</v>
          </cell>
          <cell r="F60" t="str">
            <v>Directo</v>
          </cell>
          <cell r="G60">
            <v>0</v>
          </cell>
          <cell r="H60">
            <v>0</v>
          </cell>
        </row>
        <row r="61">
          <cell r="B61" t="str">
            <v>Agro America1012147</v>
          </cell>
          <cell r="C61">
            <v>1012147</v>
          </cell>
          <cell r="D61" t="str">
            <v>PO File s/t Mr@ Fi Cj 17k AS</v>
          </cell>
          <cell r="E61" t="str">
            <v>Agro America</v>
          </cell>
          <cell r="F61" t="str">
            <v>Local OOII</v>
          </cell>
          <cell r="G61">
            <v>172903.68280000001</v>
          </cell>
          <cell r="H61">
            <v>170543.40904364194</v>
          </cell>
        </row>
        <row r="62">
          <cell r="B62" t="str">
            <v>Agro America1012158</v>
          </cell>
          <cell r="C62">
            <v>1012158</v>
          </cell>
          <cell r="D62" t="str">
            <v>PO File s/t 8x5 Mr@ Fi Cj AS</v>
          </cell>
          <cell r="E62" t="str">
            <v>Agro America</v>
          </cell>
          <cell r="F62" t="str">
            <v>Local OOII</v>
          </cell>
          <cell r="G62">
            <v>69754.570500000002</v>
          </cell>
          <cell r="H62">
            <v>101583.05307742192</v>
          </cell>
        </row>
        <row r="63">
          <cell r="B63" t="str">
            <v>Agro America1012163</v>
          </cell>
          <cell r="C63">
            <v>1012163</v>
          </cell>
          <cell r="D63" t="str">
            <v>PO File s/t 4x10 Mr@ Zi Cj 20k AS</v>
          </cell>
          <cell r="E63" t="str">
            <v>Agro America</v>
          </cell>
          <cell r="F63" t="str">
            <v>Local OOII</v>
          </cell>
          <cell r="G63">
            <v>202490.598</v>
          </cell>
          <cell r="H63">
            <v>239499.23037171326</v>
          </cell>
        </row>
        <row r="64">
          <cell r="B64" t="str">
            <v>Agro America1010737</v>
          </cell>
          <cell r="C64">
            <v>1010737</v>
          </cell>
          <cell r="D64" t="str">
            <v>PO File s/t NMr@ Cj 10k AS</v>
          </cell>
          <cell r="E64" t="str">
            <v>Agro America</v>
          </cell>
          <cell r="F64" t="str">
            <v>No Aplica</v>
          </cell>
          <cell r="G64">
            <v>0</v>
          </cell>
          <cell r="H64">
            <v>0</v>
          </cell>
        </row>
        <row r="65">
          <cell r="B65" t="str">
            <v>Agro America1012518</v>
          </cell>
          <cell r="C65">
            <v>1012518</v>
          </cell>
          <cell r="D65" t="str">
            <v>PO File s/t calibrado RC'S 8x5@ Cj AS</v>
          </cell>
          <cell r="E65" t="str">
            <v>Agro America</v>
          </cell>
          <cell r="F65" t="str">
            <v>Local OOII</v>
          </cell>
          <cell r="G65">
            <v>149000</v>
          </cell>
          <cell r="H65">
            <v>59456.729348759487</v>
          </cell>
        </row>
        <row r="66">
          <cell r="B66" t="str">
            <v>Agro America1012400</v>
          </cell>
          <cell r="C66">
            <v>1012400</v>
          </cell>
          <cell r="D66" t="str">
            <v>PO File s/t 700g Mr@ Cj AS</v>
          </cell>
          <cell r="E66" t="str">
            <v>Agro America</v>
          </cell>
          <cell r="F66" t="str">
            <v>Local OOII</v>
          </cell>
          <cell r="G66">
            <v>23603.681</v>
          </cell>
          <cell r="H66">
            <v>18143.881000000001</v>
          </cell>
        </row>
        <row r="67">
          <cell r="B67" t="str">
            <v>Agro America1011906</v>
          </cell>
          <cell r="C67">
            <v>1011906</v>
          </cell>
          <cell r="D67" t="str">
            <v>PO File s/t NMr@ Bo Cj 15k AS</v>
          </cell>
          <cell r="E67" t="str">
            <v>Agro America</v>
          </cell>
          <cell r="F67" t="str">
            <v>No Aplica</v>
          </cell>
          <cell r="G67">
            <v>0</v>
          </cell>
          <cell r="H67">
            <v>0</v>
          </cell>
        </row>
        <row r="68">
          <cell r="B68" t="str">
            <v>Agro Mexico1012400</v>
          </cell>
          <cell r="C68">
            <v>1012400</v>
          </cell>
          <cell r="D68" t="str">
            <v>PO File s/t 700g Mr@ Cj AS</v>
          </cell>
          <cell r="E68" t="str">
            <v>Agro Mexico</v>
          </cell>
          <cell r="F68" t="str">
            <v>No Aplica</v>
          </cell>
          <cell r="G68">
            <v>0</v>
          </cell>
          <cell r="H68">
            <v>0</v>
          </cell>
        </row>
        <row r="69">
          <cell r="B69" t="str">
            <v>Agro Mexico1012426</v>
          </cell>
          <cell r="C69">
            <v>1012426</v>
          </cell>
          <cell r="D69" t="str">
            <v>PO File s/t Mr@ Cj 20k AS</v>
          </cell>
          <cell r="E69" t="str">
            <v>Agro Mexico</v>
          </cell>
          <cell r="F69" t="str">
            <v>No Aplica</v>
          </cell>
          <cell r="G69">
            <v>0</v>
          </cell>
          <cell r="H69">
            <v>0</v>
          </cell>
        </row>
        <row r="70">
          <cell r="B70" t="str">
            <v>Agro Mexico1012725</v>
          </cell>
          <cell r="C70">
            <v>1012725</v>
          </cell>
          <cell r="D70" t="str">
            <v>PO File s/t 8x5 Mr@ Cj AS</v>
          </cell>
          <cell r="E70" t="str">
            <v>Agro Mexico</v>
          </cell>
          <cell r="F70" t="str">
            <v>Local OOII</v>
          </cell>
          <cell r="G70">
            <v>25642.54</v>
          </cell>
          <cell r="H70">
            <v>19999.999990187611</v>
          </cell>
        </row>
        <row r="71">
          <cell r="B71" t="str">
            <v>Agro Mexico1011151</v>
          </cell>
          <cell r="C71">
            <v>1011151</v>
          </cell>
          <cell r="D71" t="str">
            <v>PO File Mex@ Cj 9k AS</v>
          </cell>
          <cell r="E71" t="str">
            <v>Agro Mexico</v>
          </cell>
          <cell r="F71" t="str">
            <v>Local OOII</v>
          </cell>
          <cell r="G71">
            <v>19262</v>
          </cell>
          <cell r="H71">
            <v>20000</v>
          </cell>
        </row>
        <row r="72">
          <cell r="B72" t="str">
            <v>Agro Mexico1012337</v>
          </cell>
          <cell r="C72">
            <v>1012337</v>
          </cell>
          <cell r="D72" t="str">
            <v>PO File IQF @Cj 18k AS</v>
          </cell>
          <cell r="E72" t="str">
            <v>Agro Mexico</v>
          </cell>
          <cell r="F72" t="str">
            <v>No Aplica</v>
          </cell>
          <cell r="G72">
            <v>0</v>
          </cell>
          <cell r="H72">
            <v>0</v>
          </cell>
        </row>
        <row r="73">
          <cell r="B73" t="str">
            <v>Agro Europa1011906</v>
          </cell>
          <cell r="C73">
            <v>1011906</v>
          </cell>
          <cell r="D73" t="str">
            <v>PO File s/t NMr@ Bo Cj 15k AS</v>
          </cell>
          <cell r="E73" t="str">
            <v>Agro Europa</v>
          </cell>
          <cell r="F73" t="str">
            <v>No Aplica</v>
          </cell>
          <cell r="G73">
            <v>0</v>
          </cell>
          <cell r="H73">
            <v>0</v>
          </cell>
        </row>
        <row r="74">
          <cell r="B74" t="str">
            <v>Agro Europa1012724</v>
          </cell>
          <cell r="C74">
            <v>1012724</v>
          </cell>
          <cell r="D74" t="str">
            <v>PO Corazon@ Bo 19k Cj</v>
          </cell>
          <cell r="E74" t="str">
            <v>Agro Europa</v>
          </cell>
          <cell r="F74" t="str">
            <v>Local OOII</v>
          </cell>
          <cell r="G74">
            <v>0</v>
          </cell>
          <cell r="H74">
            <v>0</v>
          </cell>
        </row>
        <row r="75">
          <cell r="B75" t="str">
            <v>Agro Sudamerica1012592</v>
          </cell>
          <cell r="C75">
            <v>1012592</v>
          </cell>
          <cell r="D75" t="str">
            <v>PO Cog c/p@ Cj 20k AS</v>
          </cell>
          <cell r="E75" t="str">
            <v>Agro Sudamerica</v>
          </cell>
          <cell r="F75" t="str">
            <v>No Aplica</v>
          </cell>
          <cell r="G75">
            <v>0</v>
          </cell>
          <cell r="H75">
            <v>0</v>
          </cell>
        </row>
        <row r="76">
          <cell r="B76" t="str">
            <v>Agro Sudamerica1011136</v>
          </cell>
          <cell r="C76">
            <v>1011136</v>
          </cell>
          <cell r="D76" t="str">
            <v>PO Cog Eu@ Cj 10k AS</v>
          </cell>
          <cell r="E76" t="str">
            <v>Agro Sudamerica</v>
          </cell>
          <cell r="F76" t="str">
            <v>No Aplica</v>
          </cell>
          <cell r="G76">
            <v>0</v>
          </cell>
          <cell r="H76">
            <v>0</v>
          </cell>
        </row>
        <row r="77">
          <cell r="B77" t="str">
            <v>Africa1012207</v>
          </cell>
          <cell r="C77">
            <v>1012207</v>
          </cell>
          <cell r="D77" t="str">
            <v>PO Ctre Mrps@ Bo 12x1k Cj AS</v>
          </cell>
          <cell r="E77" t="str">
            <v>Africa</v>
          </cell>
          <cell r="F77" t="str">
            <v>Directo</v>
          </cell>
          <cell r="G77">
            <v>0</v>
          </cell>
          <cell r="H77">
            <v>51038.210036305973</v>
          </cell>
        </row>
        <row r="78">
          <cell r="B78" t="str">
            <v>Africa1010877</v>
          </cell>
          <cell r="C78">
            <v>1010877</v>
          </cell>
          <cell r="D78" t="str">
            <v>PO Molleja Mrps@ Cj 10k AS</v>
          </cell>
          <cell r="E78" t="str">
            <v>Africa</v>
          </cell>
          <cell r="F78" t="str">
            <v>Directo</v>
          </cell>
          <cell r="G78">
            <v>24000</v>
          </cell>
          <cell r="H78">
            <v>24000</v>
          </cell>
        </row>
        <row r="79">
          <cell r="B79" t="str">
            <v>Africa1012336</v>
          </cell>
          <cell r="C79">
            <v>1012336</v>
          </cell>
          <cell r="D79" t="str">
            <v>PO Molleja Contre Mpsa@ 10k AS</v>
          </cell>
          <cell r="E79" t="str">
            <v>Africa</v>
          </cell>
          <cell r="F79" t="str">
            <v>No Aplica</v>
          </cell>
          <cell r="G79">
            <v>0</v>
          </cell>
          <cell r="H79">
            <v>0</v>
          </cell>
        </row>
        <row r="80">
          <cell r="B80" t="str">
            <v>Agro America1012532</v>
          </cell>
          <cell r="C80">
            <v>1012532</v>
          </cell>
          <cell r="D80" t="str">
            <v>PO CONTRE 8X5 ESTUCHE@CJ 20K AS</v>
          </cell>
          <cell r="E80" t="str">
            <v>Agro America</v>
          </cell>
          <cell r="F80" t="str">
            <v>Local OOII</v>
          </cell>
          <cell r="G80">
            <v>6300</v>
          </cell>
          <cell r="H80">
            <v>6300</v>
          </cell>
        </row>
        <row r="81">
          <cell r="B81" t="str">
            <v>Agro Sudamerica1012207</v>
          </cell>
          <cell r="C81">
            <v>1012207</v>
          </cell>
          <cell r="D81" t="str">
            <v>PO Ctre Mrps@ Bo 12x1k Cj AS</v>
          </cell>
          <cell r="E81" t="str">
            <v>Agro Sudamerica</v>
          </cell>
          <cell r="F81" t="str">
            <v>Directo</v>
          </cell>
          <cell r="G81">
            <v>44000</v>
          </cell>
          <cell r="H81">
            <v>44000</v>
          </cell>
        </row>
        <row r="82">
          <cell r="B82" t="str">
            <v>Agro Sudamerica1012336</v>
          </cell>
          <cell r="C82">
            <v>1012336</v>
          </cell>
          <cell r="D82" t="str">
            <v>PO Molleja Contre Mpsa@ 10k AS</v>
          </cell>
          <cell r="E82" t="str">
            <v>Agro Sudamerica</v>
          </cell>
          <cell r="F82" t="str">
            <v>No Aplica</v>
          </cell>
          <cell r="G82">
            <v>0</v>
          </cell>
          <cell r="H82">
            <v>0</v>
          </cell>
        </row>
        <row r="83">
          <cell r="B83" t="str">
            <v>Agro Sudamerica1010877</v>
          </cell>
          <cell r="C83">
            <v>1010877</v>
          </cell>
          <cell r="D83" t="str">
            <v>PO Molleja Mrps@ Cj 10k AS</v>
          </cell>
          <cell r="E83" t="str">
            <v>Agro Sudamerica</v>
          </cell>
          <cell r="F83" t="str">
            <v>Directo</v>
          </cell>
          <cell r="G83">
            <v>61446.576000000001</v>
          </cell>
          <cell r="H83">
            <v>119999.9999875908</v>
          </cell>
        </row>
        <row r="84">
          <cell r="B84" t="str">
            <v>Andes Asia1011948</v>
          </cell>
          <cell r="C84">
            <v>1011948</v>
          </cell>
          <cell r="D84" t="str">
            <v>PO Ctre Mrps@ Cj 12k AS</v>
          </cell>
          <cell r="E84" t="str">
            <v>Andes Asia</v>
          </cell>
          <cell r="F84" t="str">
            <v>No Aplica</v>
          </cell>
          <cell r="G84">
            <v>0</v>
          </cell>
          <cell r="H84">
            <v>0</v>
          </cell>
        </row>
        <row r="85">
          <cell r="B85" t="str">
            <v>Africa1012674</v>
          </cell>
          <cell r="C85">
            <v>1012674</v>
          </cell>
          <cell r="D85" t="str">
            <v>PO Corazon@Pla Cj 19k</v>
          </cell>
          <cell r="E85" t="str">
            <v>Africa</v>
          </cell>
          <cell r="F85" t="str">
            <v>No Aplica</v>
          </cell>
          <cell r="G85">
            <v>0</v>
          </cell>
          <cell r="H85">
            <v>0</v>
          </cell>
        </row>
        <row r="86">
          <cell r="B86" t="str">
            <v>Agro Europa1012508</v>
          </cell>
          <cell r="C86">
            <v>1012508</v>
          </cell>
          <cell r="D86" t="str">
            <v>PO Pana S/Corazon@ blo 10k AS</v>
          </cell>
          <cell r="E86" t="str">
            <v>Agro Europa</v>
          </cell>
          <cell r="F86" t="str">
            <v>Local OOII</v>
          </cell>
          <cell r="G86">
            <v>0</v>
          </cell>
          <cell r="H86">
            <v>0</v>
          </cell>
        </row>
        <row r="87">
          <cell r="B87" t="str">
            <v>Agro Europa1012745</v>
          </cell>
          <cell r="C87">
            <v>1012745</v>
          </cell>
          <cell r="D87" t="str">
            <v>PO Corazon part@Blo 19 kg</v>
          </cell>
          <cell r="E87" t="str">
            <v>Agro Europa</v>
          </cell>
          <cell r="F87" t="str">
            <v>Local OOII</v>
          </cell>
          <cell r="G87">
            <v>0</v>
          </cell>
          <cell r="H87">
            <v>0</v>
          </cell>
        </row>
        <row r="88">
          <cell r="B88" t="str">
            <v>Agro Europa1012730</v>
          </cell>
          <cell r="C88">
            <v>1012730</v>
          </cell>
          <cell r="D88" t="str">
            <v>PO CORAZÓN@ PLACA 19KG CJ AS</v>
          </cell>
          <cell r="E88" t="str">
            <v>Agro Europa</v>
          </cell>
          <cell r="F88" t="str">
            <v>Local OOII</v>
          </cell>
          <cell r="G88">
            <v>0</v>
          </cell>
          <cell r="H88">
            <v>2360</v>
          </cell>
        </row>
        <row r="89">
          <cell r="B89" t="str">
            <v>Agro Sudamerica1012342</v>
          </cell>
          <cell r="C89">
            <v>1012342</v>
          </cell>
          <cell r="D89" t="str">
            <v>PO Corazon@ Cj 18k AS</v>
          </cell>
          <cell r="E89" t="str">
            <v>Agro Sudamerica</v>
          </cell>
          <cell r="F89" t="str">
            <v>No Aplica</v>
          </cell>
          <cell r="G89">
            <v>0</v>
          </cell>
          <cell r="H89">
            <v>0</v>
          </cell>
        </row>
        <row r="90">
          <cell r="B90" t="str">
            <v>Agro Sudamerica1011431</v>
          </cell>
          <cell r="C90">
            <v>1011431</v>
          </cell>
          <cell r="D90" t="str">
            <v>PO Corazón@ Bo 20k Cj SP</v>
          </cell>
          <cell r="E90" t="str">
            <v>Agro Sudamerica</v>
          </cell>
          <cell r="F90" t="str">
            <v>No Aplica</v>
          </cell>
          <cell r="G90">
            <v>0</v>
          </cell>
          <cell r="H90">
            <v>0</v>
          </cell>
        </row>
        <row r="91">
          <cell r="B91" t="str">
            <v>Agro Sudamerica1012600</v>
          </cell>
          <cell r="C91">
            <v>1012600</v>
          </cell>
          <cell r="D91" t="str">
            <v>PO Corazon@ Cj 20k AS</v>
          </cell>
          <cell r="E91" t="str">
            <v>Agro Sudamerica</v>
          </cell>
          <cell r="F91" t="str">
            <v>No Aplica</v>
          </cell>
          <cell r="G91">
            <v>0</v>
          </cell>
          <cell r="H91">
            <v>0</v>
          </cell>
        </row>
        <row r="92">
          <cell r="B92" t="str">
            <v>Agro Sudamerica1012362</v>
          </cell>
          <cell r="C92">
            <v>1012362</v>
          </cell>
          <cell r="D92" t="str">
            <v>PO Corazón@ Bo Cj 18k AS</v>
          </cell>
          <cell r="E92" t="str">
            <v>Agro Sudamerica</v>
          </cell>
          <cell r="F92" t="str">
            <v>No Aplica</v>
          </cell>
          <cell r="G92">
            <v>0</v>
          </cell>
          <cell r="H92">
            <v>0</v>
          </cell>
        </row>
        <row r="93">
          <cell r="B93" t="str">
            <v>Agro Sudamerica1012391</v>
          </cell>
          <cell r="C93">
            <v>1012391</v>
          </cell>
          <cell r="D93" t="str">
            <v>PO Corazon@ 18k Cj AS</v>
          </cell>
          <cell r="E93" t="str">
            <v>Agro Sudamerica</v>
          </cell>
          <cell r="F93" t="str">
            <v>No Aplica</v>
          </cell>
          <cell r="G93">
            <v>0</v>
          </cell>
          <cell r="H93">
            <v>0</v>
          </cell>
        </row>
        <row r="94">
          <cell r="B94" t="str">
            <v>Agro Sudamerica1012674</v>
          </cell>
          <cell r="C94">
            <v>1012674</v>
          </cell>
          <cell r="D94" t="str">
            <v>PO Corazon@Pla Cj 19k</v>
          </cell>
          <cell r="E94" t="str">
            <v>Agro Sudamerica</v>
          </cell>
          <cell r="F94" t="str">
            <v>No Aplica</v>
          </cell>
          <cell r="G94">
            <v>0</v>
          </cell>
          <cell r="H94">
            <v>0</v>
          </cell>
        </row>
        <row r="95">
          <cell r="B95" t="str">
            <v>Agro Sudamerica1012376</v>
          </cell>
          <cell r="C95">
            <v>1012376</v>
          </cell>
          <cell r="D95" t="str">
            <v>MENUDENCIAS CORAZÓN NORMAL</v>
          </cell>
          <cell r="E95" t="str">
            <v>Agro Sudamerica</v>
          </cell>
          <cell r="F95" t="str">
            <v>No Aplica</v>
          </cell>
          <cell r="G95">
            <v>0</v>
          </cell>
          <cell r="H95">
            <v>0</v>
          </cell>
        </row>
        <row r="96">
          <cell r="B96" t="str">
            <v>Agro Sudamerica1012778</v>
          </cell>
          <cell r="C96">
            <v>1012778</v>
          </cell>
          <cell r="D96" t="str">
            <v>PO Corazón@ Placa Cj 19kg SD</v>
          </cell>
          <cell r="E96" t="str">
            <v>Agro Sudamerica</v>
          </cell>
          <cell r="F96" t="str">
            <v>No Aplica</v>
          </cell>
          <cell r="G96">
            <v>0</v>
          </cell>
          <cell r="H96">
            <v>0</v>
          </cell>
        </row>
        <row r="97">
          <cell r="B97" t="str">
            <v>Agrosuper Brasil1011560</v>
          </cell>
          <cell r="C97">
            <v>1011560</v>
          </cell>
          <cell r="D97" t="str">
            <v>PO Corazón@ Bo Cj 18k AS</v>
          </cell>
          <cell r="E97" t="str">
            <v>Agrosuper Brasil</v>
          </cell>
          <cell r="F97" t="str">
            <v>Directo</v>
          </cell>
          <cell r="G97">
            <v>48000</v>
          </cell>
          <cell r="H97">
            <v>48000</v>
          </cell>
        </row>
        <row r="98">
          <cell r="B98" t="str">
            <v>Agrosuper Brasil1012391</v>
          </cell>
          <cell r="C98">
            <v>1012391</v>
          </cell>
          <cell r="D98" t="str">
            <v>PO Corazon@ 18k Cj AS</v>
          </cell>
          <cell r="E98" t="str">
            <v>Agrosuper Brasil</v>
          </cell>
          <cell r="F98" t="str">
            <v>No Aplica</v>
          </cell>
          <cell r="G98">
            <v>0</v>
          </cell>
          <cell r="H98">
            <v>0</v>
          </cell>
        </row>
        <row r="99">
          <cell r="B99" t="str">
            <v>Agrosuper Brasil1012362</v>
          </cell>
          <cell r="C99">
            <v>1012362</v>
          </cell>
          <cell r="D99" t="str">
            <v>PO Corazón@ Bo Cj 18k AS</v>
          </cell>
          <cell r="E99" t="str">
            <v>Agrosuper Brasil</v>
          </cell>
          <cell r="F99" t="str">
            <v>Directo</v>
          </cell>
          <cell r="G99">
            <v>22700</v>
          </cell>
          <cell r="H99">
            <v>22700</v>
          </cell>
        </row>
        <row r="100">
          <cell r="B100" t="str">
            <v>Agrosuper Brasil1012531</v>
          </cell>
          <cell r="C100">
            <v>1012531</v>
          </cell>
          <cell r="D100" t="str">
            <v>PO Corazon@ 18k Cj AS</v>
          </cell>
          <cell r="E100" t="str">
            <v>Agrosuper Brasil</v>
          </cell>
          <cell r="F100" t="str">
            <v>No Aplica</v>
          </cell>
          <cell r="G100">
            <v>0</v>
          </cell>
          <cell r="H100">
            <v>0</v>
          </cell>
        </row>
        <row r="101">
          <cell r="B101" t="str">
            <v>Agrosuper Brasil1012600</v>
          </cell>
          <cell r="C101">
            <v>1012600</v>
          </cell>
          <cell r="D101" t="str">
            <v>PO Corazon@ Cj 20k AS</v>
          </cell>
          <cell r="E101" t="str">
            <v>Agrosuper Brasil</v>
          </cell>
          <cell r="F101" t="str">
            <v>No Aplica</v>
          </cell>
          <cell r="G101">
            <v>0</v>
          </cell>
          <cell r="H101">
            <v>0</v>
          </cell>
        </row>
        <row r="102">
          <cell r="B102" t="str">
            <v>Agrosuper Brasil1012342</v>
          </cell>
          <cell r="C102">
            <v>1012342</v>
          </cell>
          <cell r="D102" t="str">
            <v>PO Corazon@ Cj 18k AS</v>
          </cell>
          <cell r="E102" t="str">
            <v>Agrosuper Brasil</v>
          </cell>
          <cell r="F102" t="str">
            <v>No Aplica</v>
          </cell>
          <cell r="G102">
            <v>0</v>
          </cell>
          <cell r="H102">
            <v>0</v>
          </cell>
        </row>
        <row r="103">
          <cell r="B103" t="str">
            <v>Agrosuper Brasil1012674</v>
          </cell>
          <cell r="C103">
            <v>1012674</v>
          </cell>
          <cell r="D103" t="str">
            <v>PO Corazon@Pla Cj 19k</v>
          </cell>
          <cell r="E103" t="str">
            <v>Agrosuper Brasil</v>
          </cell>
          <cell r="F103" t="str">
            <v>Directo</v>
          </cell>
          <cell r="G103">
            <v>53700</v>
          </cell>
          <cell r="H103">
            <v>0</v>
          </cell>
        </row>
        <row r="104">
          <cell r="B104" t="str">
            <v>Andes Asia1012326</v>
          </cell>
          <cell r="C104">
            <v>1012326</v>
          </cell>
          <cell r="D104" t="str">
            <v>PO Corazon@Bo 12k Cj AS</v>
          </cell>
          <cell r="E104" t="str">
            <v>Andes Asia</v>
          </cell>
          <cell r="F104" t="str">
            <v>Local OOII</v>
          </cell>
          <cell r="G104">
            <v>8000</v>
          </cell>
          <cell r="H104">
            <v>8000</v>
          </cell>
        </row>
        <row r="105">
          <cell r="B105" t="str">
            <v>Agro America1012601</v>
          </cell>
          <cell r="C105">
            <v>1012601</v>
          </cell>
          <cell r="D105" t="str">
            <v>PO Pana S/Corazon@ Cj 20k AS</v>
          </cell>
          <cell r="E105" t="str">
            <v>Agro America</v>
          </cell>
          <cell r="F105" t="str">
            <v>Local OOII</v>
          </cell>
          <cell r="G105">
            <v>252487.927</v>
          </cell>
          <cell r="H105">
            <v>252487.927</v>
          </cell>
        </row>
        <row r="106">
          <cell r="B106" t="str">
            <v>Agro America1012633</v>
          </cell>
          <cell r="C106">
            <v>1012633</v>
          </cell>
          <cell r="D106" t="str">
            <v>PO Pana S/Corazón@ Cj 20k AS</v>
          </cell>
          <cell r="E106" t="str">
            <v>Agro America</v>
          </cell>
          <cell r="F106" t="str">
            <v>No Aplica</v>
          </cell>
          <cell r="G106">
            <v>0</v>
          </cell>
          <cell r="H106">
            <v>0</v>
          </cell>
        </row>
        <row r="107">
          <cell r="B107" t="str">
            <v>Agro Sudamerica1012283</v>
          </cell>
          <cell r="C107">
            <v>1012283</v>
          </cell>
          <cell r="D107" t="str">
            <v>PO Pana S/Corazón@ Cj 20k AS GRANEL</v>
          </cell>
          <cell r="E107" t="str">
            <v>Agro Sudamerica</v>
          </cell>
          <cell r="F107" t="str">
            <v>Directo</v>
          </cell>
          <cell r="G107">
            <v>0</v>
          </cell>
          <cell r="H107">
            <v>0</v>
          </cell>
        </row>
        <row r="108">
          <cell r="B108" t="str">
            <v>Agro Sudamerica1012763</v>
          </cell>
          <cell r="C108">
            <v>1012763</v>
          </cell>
          <cell r="D108" t="str">
            <v>PO Pana S/Corazón@ Cj 20k AS GRANEL</v>
          </cell>
          <cell r="E108" t="str">
            <v>Agro Sudamerica</v>
          </cell>
          <cell r="F108" t="str">
            <v>Directo</v>
          </cell>
          <cell r="G108">
            <v>78909.925000000003</v>
          </cell>
          <cell r="H108">
            <v>119999.99965753425</v>
          </cell>
        </row>
        <row r="109">
          <cell r="B109" t="str">
            <v>Agro Sudamerica1011221</v>
          </cell>
          <cell r="C109">
            <v>1011221</v>
          </cell>
          <cell r="D109" t="str">
            <v>PO Pana S/Corazón@ Cj 20k AS</v>
          </cell>
          <cell r="E109" t="str">
            <v>Agro Sudamerica</v>
          </cell>
          <cell r="F109" t="str">
            <v>No Aplica</v>
          </cell>
          <cell r="G109">
            <v>0</v>
          </cell>
          <cell r="H109">
            <v>0</v>
          </cell>
        </row>
        <row r="110">
          <cell r="B110" t="str">
            <v>Agro Sudamerica1012320</v>
          </cell>
          <cell r="C110">
            <v>1012320</v>
          </cell>
          <cell r="D110" t="str">
            <v>PO Pana S/Corazon@ 12k Cj AS</v>
          </cell>
          <cell r="E110" t="str">
            <v>Agro Sudamerica</v>
          </cell>
          <cell r="F110" t="str">
            <v>No Aplica</v>
          </cell>
          <cell r="G110">
            <v>0</v>
          </cell>
          <cell r="H110">
            <v>0</v>
          </cell>
        </row>
        <row r="111">
          <cell r="B111" t="str">
            <v>Agro Sudamerica1012531</v>
          </cell>
          <cell r="C111">
            <v>1012531</v>
          </cell>
          <cell r="D111" t="str">
            <v>PO Corazon@ 18k Cj AS</v>
          </cell>
          <cell r="E111" t="str">
            <v>Agro Sudamerica</v>
          </cell>
          <cell r="F111" t="str">
            <v>No Aplica</v>
          </cell>
          <cell r="G111">
            <v>0</v>
          </cell>
          <cell r="H111">
            <v>0</v>
          </cell>
        </row>
        <row r="112">
          <cell r="B112" t="str">
            <v>Agrosuper Shanghai1012448</v>
          </cell>
          <cell r="C112">
            <v>1012448</v>
          </cell>
          <cell r="D112" t="str">
            <v>PO Garra L C@ 4x5k Cj AS</v>
          </cell>
          <cell r="E112" t="str">
            <v>Agrosuper Shanghai</v>
          </cell>
          <cell r="F112" t="str">
            <v>Directo</v>
          </cell>
          <cell r="G112">
            <v>122224.36865668453</v>
          </cell>
          <cell r="H112">
            <v>122224.36865668453</v>
          </cell>
        </row>
        <row r="113">
          <cell r="B113" t="str">
            <v>Agrosuper Shanghai1012005</v>
          </cell>
          <cell r="C113">
            <v>1012005</v>
          </cell>
          <cell r="D113" t="str">
            <v>PO Garra IQF@ Bo Cj AS</v>
          </cell>
          <cell r="E113" t="str">
            <v>Agrosuper Shanghai</v>
          </cell>
          <cell r="F113" t="str">
            <v>Local OOII</v>
          </cell>
          <cell r="G113">
            <v>0</v>
          </cell>
          <cell r="H113">
            <v>10054.1</v>
          </cell>
        </row>
        <row r="114">
          <cell r="B114" t="str">
            <v>Agrosuper Shanghai1011836</v>
          </cell>
          <cell r="C114">
            <v>1011836</v>
          </cell>
          <cell r="D114" t="str">
            <v>PO Garra L C@ Bo Cj 2k AS </v>
          </cell>
          <cell r="E114" t="str">
            <v>Agrosuper Shanghai</v>
          </cell>
          <cell r="F114" t="str">
            <v>No Aplica</v>
          </cell>
          <cell r="G114">
            <v>0</v>
          </cell>
          <cell r="H114">
            <v>0</v>
          </cell>
        </row>
        <row r="115">
          <cell r="B115" t="str">
            <v>Agrosuper Shanghai1012504</v>
          </cell>
          <cell r="C115">
            <v>1012504</v>
          </cell>
          <cell r="D115" t="str">
            <v>PO Garra Economy@ Cj 20k AS</v>
          </cell>
          <cell r="E115" t="str">
            <v>Agrosuper Shanghai</v>
          </cell>
          <cell r="F115" t="str">
            <v>Directo</v>
          </cell>
          <cell r="G115">
            <v>47590.880882375161</v>
          </cell>
          <cell r="H115">
            <v>44366.809492875378</v>
          </cell>
        </row>
        <row r="116">
          <cell r="B116" t="str">
            <v>Agrosuper Shanghai1011967</v>
          </cell>
          <cell r="C116">
            <v>1011967</v>
          </cell>
          <cell r="D116" t="str">
            <v>PO Garra J@ Bo Cj 20k AS</v>
          </cell>
          <cell r="E116" t="str">
            <v>Agrosuper Shanghai</v>
          </cell>
          <cell r="F116" t="str">
            <v>Local OOII</v>
          </cell>
          <cell r="G116">
            <v>129738.24982523263</v>
          </cell>
          <cell r="H116">
            <v>0</v>
          </cell>
        </row>
        <row r="117">
          <cell r="B117" t="str">
            <v>Agrosuper Shanghai1011968</v>
          </cell>
          <cell r="C117">
            <v>1011968</v>
          </cell>
          <cell r="D117" t="str">
            <v>PO Garra L A@ Bo Cj 20k AS</v>
          </cell>
          <cell r="E117" t="str">
            <v>Agrosuper Shanghai</v>
          </cell>
          <cell r="F117" t="str">
            <v>Local OOII</v>
          </cell>
          <cell r="G117">
            <v>10517.512461850345</v>
          </cell>
          <cell r="H117">
            <v>0</v>
          </cell>
        </row>
        <row r="118">
          <cell r="B118" t="str">
            <v>Agrosuper Shanghai1012502</v>
          </cell>
          <cell r="C118">
            <v>1012502</v>
          </cell>
          <cell r="D118" t="str">
            <v>PO Garra Large B@ Cj 20k AS</v>
          </cell>
          <cell r="E118" t="str">
            <v>Agrosuper Shanghai</v>
          </cell>
          <cell r="F118" t="str">
            <v>Local OOII</v>
          </cell>
          <cell r="G118">
            <v>8723.2800791976751</v>
          </cell>
          <cell r="H118">
            <v>8723.2800791976751</v>
          </cell>
        </row>
        <row r="119">
          <cell r="B119" t="str">
            <v>Agrosuper Shanghai1012503</v>
          </cell>
          <cell r="C119">
            <v>1012503</v>
          </cell>
          <cell r="D119" t="str">
            <v>PO Garra Medium B@ Cj 20k AS</v>
          </cell>
          <cell r="E119" t="str">
            <v>Agrosuper Shanghai</v>
          </cell>
          <cell r="F119" t="str">
            <v>Local OOII</v>
          </cell>
          <cell r="G119">
            <v>236689.38876162379</v>
          </cell>
          <cell r="H119">
            <v>236689.38876162379</v>
          </cell>
        </row>
        <row r="120">
          <cell r="B120" t="str">
            <v>Agrosuper Shanghai1011969</v>
          </cell>
          <cell r="C120">
            <v>1011969</v>
          </cell>
          <cell r="D120" t="str">
            <v>PO Garra L B@ Bo Cj 20k AS</v>
          </cell>
          <cell r="E120" t="str">
            <v>Agrosuper Shanghai</v>
          </cell>
          <cell r="F120" t="str">
            <v>Local OOII</v>
          </cell>
          <cell r="G120">
            <v>107053.85397745186</v>
          </cell>
          <cell r="H120">
            <v>51866.11578289661</v>
          </cell>
        </row>
        <row r="121">
          <cell r="B121" t="str">
            <v>Agrosuper Shanghai1012527</v>
          </cell>
          <cell r="C121">
            <v>1012527</v>
          </cell>
          <cell r="D121" t="str">
            <v>PO Garra M A@ Bo Cj 20k AS</v>
          </cell>
          <cell r="E121" t="str">
            <v>Agrosuper Shanghai</v>
          </cell>
          <cell r="F121" t="str">
            <v>Local OOII</v>
          </cell>
          <cell r="G121">
            <v>11255.79693275162</v>
          </cell>
          <cell r="H121">
            <v>7868.0774383296539</v>
          </cell>
        </row>
        <row r="122">
          <cell r="B122" t="str">
            <v>Agrosuper Shanghai1012526</v>
          </cell>
          <cell r="C122">
            <v>1012526</v>
          </cell>
          <cell r="D122" t="str">
            <v>PO Garra L A@ Bo Cj 20k AS</v>
          </cell>
          <cell r="E122" t="str">
            <v>Agrosuper Shanghai</v>
          </cell>
          <cell r="F122" t="str">
            <v>Local OOII</v>
          </cell>
          <cell r="G122">
            <v>7418.540236810918</v>
          </cell>
          <cell r="H122">
            <v>7418.540236810918</v>
          </cell>
        </row>
        <row r="123">
          <cell r="B123" t="str">
            <v>Agrosuper Shanghai1012525</v>
          </cell>
          <cell r="C123">
            <v>1012525</v>
          </cell>
          <cell r="D123" t="str">
            <v>PO Garra Jumbo@ Bo Cj 20k AS</v>
          </cell>
          <cell r="E123" t="str">
            <v>Agrosuper Shanghai</v>
          </cell>
          <cell r="F123" t="str">
            <v>Local OOII</v>
          </cell>
          <cell r="G123">
            <v>8251.8392993193902</v>
          </cell>
          <cell r="H123">
            <v>8251.8392993193902</v>
          </cell>
        </row>
        <row r="124">
          <cell r="B124" t="str">
            <v>Agrosuper Shanghai1011551</v>
          </cell>
          <cell r="C124">
            <v>1011551</v>
          </cell>
          <cell r="D124" t="str">
            <v>PO Garra M A@ Bo Cj 20k AS</v>
          </cell>
          <cell r="E124" t="str">
            <v>Agrosuper Shanghai</v>
          </cell>
          <cell r="F124" t="str">
            <v>No Aplica</v>
          </cell>
          <cell r="G124">
            <v>0</v>
          </cell>
          <cell r="H124">
            <v>0</v>
          </cell>
        </row>
        <row r="125">
          <cell r="B125" t="str">
            <v>Agrosuper Shanghai1012447</v>
          </cell>
          <cell r="C125">
            <v>1012447</v>
          </cell>
          <cell r="D125" t="str">
            <v>PO Garra M B@ Bo Cj 20k AS</v>
          </cell>
          <cell r="E125" t="str">
            <v>Agrosuper Shanghai</v>
          </cell>
          <cell r="F125" t="str">
            <v>Local OOII</v>
          </cell>
          <cell r="G125">
            <v>0</v>
          </cell>
          <cell r="H125">
            <v>0</v>
          </cell>
        </row>
        <row r="126">
          <cell r="B126" t="str">
            <v>Agrosuper Shanghai1011550</v>
          </cell>
          <cell r="C126">
            <v>1011550</v>
          </cell>
          <cell r="D126" t="str">
            <v>PO Garra M B@ Bo Cj 20k AS</v>
          </cell>
          <cell r="E126" t="str">
            <v>Agrosuper Shanghai</v>
          </cell>
          <cell r="F126" t="str">
            <v>No Aplica</v>
          </cell>
          <cell r="G126">
            <v>0</v>
          </cell>
          <cell r="H126">
            <v>0</v>
          </cell>
        </row>
        <row r="127">
          <cell r="B127" t="str">
            <v>Agrosuper Shanghai1010523</v>
          </cell>
          <cell r="C127">
            <v>1010523</v>
          </cell>
          <cell r="D127" t="str">
            <v>PO Garra L C@ Bo Cj 20k bca AS</v>
          </cell>
          <cell r="E127" t="str">
            <v>Agrosuper Shanghai</v>
          </cell>
          <cell r="F127" t="str">
            <v>No Aplica</v>
          </cell>
          <cell r="G127">
            <v>0</v>
          </cell>
          <cell r="H127">
            <v>0</v>
          </cell>
        </row>
        <row r="128">
          <cell r="B128" t="str">
            <v>Agrosuper Shanghai1012598</v>
          </cell>
          <cell r="C128">
            <v>1012598</v>
          </cell>
          <cell r="D128" t="str">
            <v>PO Garra G Large B@ Cj 20k AS</v>
          </cell>
          <cell r="E128" t="str">
            <v>Agrosuper Shanghai</v>
          </cell>
          <cell r="F128" t="str">
            <v>Local OOII</v>
          </cell>
          <cell r="G128">
            <v>7601</v>
          </cell>
          <cell r="H128">
            <v>0</v>
          </cell>
        </row>
        <row r="129">
          <cell r="B129" t="str">
            <v>Agro Sudamerica1012655</v>
          </cell>
          <cell r="C129">
            <v>1012655</v>
          </cell>
          <cell r="D129" t="str">
            <v>PO Garra Pla@ Cj 20k AS</v>
          </cell>
          <cell r="E129" t="str">
            <v>Agro Sudamerica</v>
          </cell>
          <cell r="F129" t="str">
            <v>No Aplica</v>
          </cell>
          <cell r="G129">
            <v>0</v>
          </cell>
          <cell r="H129">
            <v>0</v>
          </cell>
        </row>
        <row r="130">
          <cell r="B130" t="str">
            <v>Agro America1012167</v>
          </cell>
          <cell r="C130">
            <v>1012167</v>
          </cell>
          <cell r="D130" t="str">
            <v>PO PchDeh 4x10 Mr@ Zi Cj 20k AS</v>
          </cell>
          <cell r="E130" t="str">
            <v>Agro America</v>
          </cell>
          <cell r="F130" t="str">
            <v>Local OOII</v>
          </cell>
          <cell r="G130">
            <v>786191.10099999991</v>
          </cell>
          <cell r="H130">
            <v>598748.06655622576</v>
          </cell>
        </row>
        <row r="131">
          <cell r="B131" t="str">
            <v>Agro America1012109</v>
          </cell>
          <cell r="C131">
            <v>1012109</v>
          </cell>
          <cell r="D131" t="str">
            <v>PO PchDeh 6oz Mr@ Cj AS</v>
          </cell>
          <cell r="E131" t="str">
            <v>Agro America</v>
          </cell>
          <cell r="F131" t="str">
            <v>Local OOII</v>
          </cell>
          <cell r="G131">
            <v>353034.99775827018</v>
          </cell>
          <cell r="H131">
            <v>353034.99775827018</v>
          </cell>
        </row>
        <row r="132">
          <cell r="B132" t="str">
            <v>Agro America1012521</v>
          </cell>
          <cell r="C132">
            <v>1012521</v>
          </cell>
          <cell r="D132" t="str">
            <v>PO PchDeh 6oz Mr@ Cj AS</v>
          </cell>
          <cell r="E132" t="str">
            <v>Agro America</v>
          </cell>
          <cell r="F132" t="str">
            <v>Local OOII</v>
          </cell>
          <cell r="G132">
            <v>195625.31594145473</v>
          </cell>
          <cell r="H132">
            <v>207216.0588878672</v>
          </cell>
        </row>
        <row r="133">
          <cell r="B133" t="str">
            <v>Agro America1012110</v>
          </cell>
          <cell r="C133">
            <v>1012110</v>
          </cell>
          <cell r="D133" t="str">
            <v>PO PchDeh 7oz Mr@ Cj AS</v>
          </cell>
          <cell r="E133" t="str">
            <v>Agro America</v>
          </cell>
          <cell r="F133" t="str">
            <v>Local OOII</v>
          </cell>
          <cell r="G133">
            <v>79629.104376119474</v>
          </cell>
          <cell r="H133">
            <v>3694.0607745102025</v>
          </cell>
        </row>
        <row r="134">
          <cell r="B134" t="str">
            <v>Agro America1012522</v>
          </cell>
          <cell r="C134">
            <v>1012522</v>
          </cell>
          <cell r="D134" t="str">
            <v>PO PchDeh 7oz Mr@ Cj AS</v>
          </cell>
          <cell r="E134" t="str">
            <v>Agro America</v>
          </cell>
          <cell r="F134" t="str">
            <v>Local OOII</v>
          </cell>
          <cell r="G134">
            <v>105487.29320840184</v>
          </cell>
          <cell r="H134">
            <v>79872.969005109306</v>
          </cell>
        </row>
        <row r="135">
          <cell r="B135" t="str">
            <v>Agro America1012145</v>
          </cell>
          <cell r="C135">
            <v>1012145</v>
          </cell>
          <cell r="D135" t="str">
            <v>PO PchDeh S/p/g/f &lt;140@ Fi Cj 20k AS</v>
          </cell>
          <cell r="E135" t="str">
            <v>Agro America</v>
          </cell>
          <cell r="F135" t="str">
            <v>Local OOII</v>
          </cell>
          <cell r="G135">
            <v>165055.70199999999</v>
          </cell>
          <cell r="H135">
            <v>99791.345485618818</v>
          </cell>
        </row>
        <row r="136">
          <cell r="B136" t="str">
            <v>Agro America1012108</v>
          </cell>
          <cell r="C136">
            <v>1012108</v>
          </cell>
          <cell r="D136" t="str">
            <v>PO PchDeh 5oz Mr@ Cj AS</v>
          </cell>
          <cell r="E136" t="str">
            <v>Agro America</v>
          </cell>
          <cell r="F136" t="str">
            <v>Local OOII</v>
          </cell>
          <cell r="G136">
            <v>314977.16676014359</v>
          </cell>
          <cell r="H136">
            <v>314977.16676014359</v>
          </cell>
        </row>
        <row r="137">
          <cell r="B137" t="str">
            <v>Agro America1012111</v>
          </cell>
          <cell r="C137">
            <v>1012111</v>
          </cell>
          <cell r="D137" t="str">
            <v>PO PchDeh 8oz Mr@ Cj AS</v>
          </cell>
          <cell r="E137" t="str">
            <v>Agro America</v>
          </cell>
          <cell r="F137" t="str">
            <v>Local OOII</v>
          </cell>
          <cell r="G137">
            <v>52515.648446923791</v>
          </cell>
          <cell r="H137">
            <v>52515.648446923791</v>
          </cell>
        </row>
        <row r="138">
          <cell r="B138" t="str">
            <v>Agro America1012520</v>
          </cell>
          <cell r="C138">
            <v>1012520</v>
          </cell>
          <cell r="D138" t="str">
            <v>PO PchDeh 5oz Mr@ Cj AS</v>
          </cell>
          <cell r="E138" t="str">
            <v>Agro America</v>
          </cell>
          <cell r="F138" t="str">
            <v>Local OOII</v>
          </cell>
          <cell r="G138">
            <v>72707.822174584231</v>
          </cell>
          <cell r="H138">
            <v>72707.822174584231</v>
          </cell>
        </row>
        <row r="139">
          <cell r="B139" t="str">
            <v>Agro America1011701</v>
          </cell>
          <cell r="C139">
            <v>1011701</v>
          </cell>
          <cell r="D139" t="str">
            <v>PO PchDeh 1/2 NMr@ Cj 20k AS</v>
          </cell>
          <cell r="E139" t="str">
            <v>Agro America</v>
          </cell>
          <cell r="F139" t="str">
            <v>Local OOII</v>
          </cell>
          <cell r="G139">
            <v>297929.90590000001</v>
          </cell>
          <cell r="H139">
            <v>295745.26203008054</v>
          </cell>
        </row>
        <row r="140">
          <cell r="B140" t="str">
            <v>Agro America1012523</v>
          </cell>
          <cell r="C140">
            <v>1012523</v>
          </cell>
          <cell r="D140" t="str">
            <v>PO PchDeh 8oz Mr@ Cj AS</v>
          </cell>
          <cell r="E140" t="str">
            <v>Agro America</v>
          </cell>
          <cell r="F140" t="str">
            <v>Local OOII</v>
          </cell>
          <cell r="G140">
            <v>67321.393319186929</v>
          </cell>
          <cell r="H140">
            <v>82260.89639529484</v>
          </cell>
        </row>
        <row r="141">
          <cell r="B141" t="str">
            <v>Agro America1012160</v>
          </cell>
          <cell r="C141">
            <v>1012160</v>
          </cell>
          <cell r="D141" t="str">
            <v>PO PchDeh 8x5 Mr@ Fi Cj AS</v>
          </cell>
          <cell r="E141" t="str">
            <v>Agro America</v>
          </cell>
          <cell r="F141" t="str">
            <v>Local OOII</v>
          </cell>
          <cell r="G141">
            <v>99387.328000000009</v>
          </cell>
          <cell r="H141">
            <v>59874.807484484103</v>
          </cell>
        </row>
        <row r="142">
          <cell r="B142" t="str">
            <v>Agro America1012112</v>
          </cell>
          <cell r="C142">
            <v>1012112</v>
          </cell>
          <cell r="D142" t="str">
            <v>PO PchDeh 9oz Mr@ Cj AS</v>
          </cell>
          <cell r="E142" t="str">
            <v>Agro America</v>
          </cell>
          <cell r="F142" t="str">
            <v>Local OOII</v>
          </cell>
          <cell r="G142">
            <v>15611.85789695938</v>
          </cell>
          <cell r="H142">
            <v>0</v>
          </cell>
        </row>
        <row r="143">
          <cell r="B143" t="str">
            <v>Agro America1012519</v>
          </cell>
          <cell r="C143">
            <v>1012519</v>
          </cell>
          <cell r="D143" t="str">
            <v>PO PchDeh 4oz Mr@ Cj AS</v>
          </cell>
          <cell r="E143" t="str">
            <v>Agro America</v>
          </cell>
          <cell r="F143" t="str">
            <v>Local OOII</v>
          </cell>
          <cell r="G143">
            <v>19797.327373335724</v>
          </cell>
          <cell r="H143">
            <v>20350.922734416887</v>
          </cell>
        </row>
        <row r="144">
          <cell r="B144" t="str">
            <v>Agro America1012399</v>
          </cell>
          <cell r="C144">
            <v>1012399</v>
          </cell>
          <cell r="D144" t="str">
            <v>PO PchDeh 700g IQF Mr@ Cj AS</v>
          </cell>
          <cell r="E144" t="str">
            <v>Agro America</v>
          </cell>
          <cell r="F144" t="str">
            <v>Local OOII</v>
          </cell>
          <cell r="G144">
            <v>15791.681</v>
          </cell>
          <cell r="H144">
            <v>18143.881000000001</v>
          </cell>
        </row>
        <row r="145">
          <cell r="B145" t="str">
            <v>Agro America1012524</v>
          </cell>
          <cell r="C145">
            <v>1012524</v>
          </cell>
          <cell r="D145" t="str">
            <v>PO PchDeh 9oz Mr@ Cj AS</v>
          </cell>
          <cell r="E145" t="str">
            <v>Agro America</v>
          </cell>
          <cell r="F145" t="str">
            <v>Local OOII</v>
          </cell>
          <cell r="G145">
            <v>33278.831296789933</v>
          </cell>
          <cell r="H145">
            <v>16060.118749340487</v>
          </cell>
        </row>
        <row r="146">
          <cell r="B146" t="str">
            <v>Agro America1012122</v>
          </cell>
          <cell r="C146">
            <v>1012122</v>
          </cell>
          <cell r="D146" t="str">
            <v>PO PchDeh 10oz 4x10 Mr@ Cj 20k AS</v>
          </cell>
          <cell r="E146" t="str">
            <v>Agro America</v>
          </cell>
          <cell r="F146" t="str">
            <v>Local OOII</v>
          </cell>
          <cell r="G146">
            <v>0</v>
          </cell>
          <cell r="H146">
            <v>0</v>
          </cell>
        </row>
        <row r="147">
          <cell r="B147" t="str">
            <v>Agro America1012107</v>
          </cell>
          <cell r="C147">
            <v>1012107</v>
          </cell>
          <cell r="D147" t="str">
            <v>PO PchDeh 4oz Mr@ Cj AS</v>
          </cell>
          <cell r="E147" t="str">
            <v>Agro America</v>
          </cell>
          <cell r="F147" t="str">
            <v>Local OOII</v>
          </cell>
          <cell r="G147">
            <v>141496.97259769778</v>
          </cell>
          <cell r="H147">
            <v>170223.60381775114</v>
          </cell>
        </row>
        <row r="148">
          <cell r="B148" t="str">
            <v>Agro America1012378</v>
          </cell>
          <cell r="C148">
            <v>1012378</v>
          </cell>
          <cell r="D148" t="str">
            <v>PO PchDeh 5.0-5.5oz 2x10 NMr@ Cj 9k AS</v>
          </cell>
          <cell r="E148" t="str">
            <v>Agro America</v>
          </cell>
          <cell r="F148" t="str">
            <v>Local OOII</v>
          </cell>
          <cell r="G148">
            <v>0</v>
          </cell>
          <cell r="H148">
            <v>0</v>
          </cell>
        </row>
        <row r="149">
          <cell r="B149" t="str">
            <v>Agro America1012379</v>
          </cell>
          <cell r="C149">
            <v>1012379</v>
          </cell>
          <cell r="D149" t="str">
            <v>PO PchDeh 5.5-6.0oz 2x10 NMr@ Cj 9k AS</v>
          </cell>
          <cell r="E149" t="str">
            <v>Agro America</v>
          </cell>
          <cell r="F149" t="str">
            <v>Local OOII</v>
          </cell>
          <cell r="G149">
            <v>0</v>
          </cell>
          <cell r="H149">
            <v>0</v>
          </cell>
        </row>
        <row r="150">
          <cell r="B150" t="str">
            <v>Agro America1012115</v>
          </cell>
          <cell r="C150">
            <v>1012115</v>
          </cell>
          <cell r="D150" t="str">
            <v>PO PchDeh 6oz 2x10 Mr@ Cj 20k AS</v>
          </cell>
          <cell r="E150" t="str">
            <v>Agro America</v>
          </cell>
          <cell r="F150" t="str">
            <v>Local OOII</v>
          </cell>
          <cell r="G150">
            <v>5345.7882</v>
          </cell>
          <cell r="H150">
            <v>0</v>
          </cell>
        </row>
        <row r="151">
          <cell r="B151" t="str">
            <v>Agro America1010885</v>
          </cell>
          <cell r="C151">
            <v>1010885</v>
          </cell>
          <cell r="D151" t="str">
            <v>PO PchDeh 5oz 2x10 NMr@ Cj 9k AS</v>
          </cell>
          <cell r="E151" t="str">
            <v>Agro America</v>
          </cell>
          <cell r="F151" t="str">
            <v>Local OOII</v>
          </cell>
          <cell r="G151">
            <v>2267.9850999999999</v>
          </cell>
          <cell r="H151">
            <v>2267.9850999999999</v>
          </cell>
        </row>
        <row r="152">
          <cell r="B152" t="str">
            <v>Agro America1010887</v>
          </cell>
          <cell r="C152">
            <v>1010887</v>
          </cell>
          <cell r="D152" t="str">
            <v>PO PchDeh 7oz 2x10 NMr@ Cj 9k AS</v>
          </cell>
          <cell r="E152" t="str">
            <v>Agro America</v>
          </cell>
          <cell r="F152" t="str">
            <v>Local OOII</v>
          </cell>
          <cell r="G152">
            <v>0</v>
          </cell>
          <cell r="H152">
            <v>0</v>
          </cell>
        </row>
        <row r="153">
          <cell r="B153" t="str">
            <v>Agro America1010886</v>
          </cell>
          <cell r="C153">
            <v>1010886</v>
          </cell>
          <cell r="D153" t="str">
            <v>PO PchDeh 6oz 2x10 NMr@ Cj 9k AS</v>
          </cell>
          <cell r="E153" t="str">
            <v>Agro America</v>
          </cell>
          <cell r="F153" t="str">
            <v>Local OOII</v>
          </cell>
          <cell r="G153">
            <v>4989.5672999999997</v>
          </cell>
          <cell r="H153">
            <v>4989.5672999999997</v>
          </cell>
        </row>
        <row r="154">
          <cell r="B154" t="str">
            <v>Agro America1010888</v>
          </cell>
          <cell r="C154">
            <v>1010888</v>
          </cell>
          <cell r="D154" t="str">
            <v>PO PchDeh 8oz 2x10 NMr@ Cj 9k AS</v>
          </cell>
          <cell r="E154" t="str">
            <v>Agro America</v>
          </cell>
          <cell r="F154" t="str">
            <v>Local OOII</v>
          </cell>
          <cell r="G154">
            <v>0</v>
          </cell>
          <cell r="H154">
            <v>3129.984270408002</v>
          </cell>
        </row>
        <row r="155">
          <cell r="B155" t="str">
            <v>Agro America1012038</v>
          </cell>
          <cell r="C155">
            <v>1012038</v>
          </cell>
          <cell r="D155" t="str">
            <v>PO PchDeh 4oz 2x10 NMr@ Cj 9k AS</v>
          </cell>
          <cell r="E155" t="str">
            <v>Agro America</v>
          </cell>
          <cell r="F155" t="str">
            <v>Local OOII</v>
          </cell>
          <cell r="G155">
            <v>0</v>
          </cell>
          <cell r="H155">
            <v>0</v>
          </cell>
        </row>
        <row r="156">
          <cell r="B156" t="str">
            <v>Agro America1012611</v>
          </cell>
          <cell r="C156">
            <v>1012611</v>
          </cell>
          <cell r="D156" t="str">
            <v>PO PchDeh 184-240 NMr@ Cj 20k AS</v>
          </cell>
          <cell r="E156" t="str">
            <v>Agro America</v>
          </cell>
          <cell r="F156" t="str">
            <v>No Aplica</v>
          </cell>
          <cell r="G156">
            <v>0</v>
          </cell>
          <cell r="H156">
            <v>0</v>
          </cell>
        </row>
        <row r="157">
          <cell r="B157" t="str">
            <v>Agro America1012584</v>
          </cell>
          <cell r="C157">
            <v>1012584</v>
          </cell>
          <cell r="D157" t="str">
            <v>PO PchDeh 4x10 Mr@ Cj 20k AS</v>
          </cell>
          <cell r="E157" t="str">
            <v>Agro America</v>
          </cell>
          <cell r="F157" t="str">
            <v>No Aplica</v>
          </cell>
          <cell r="G157">
            <v>0</v>
          </cell>
          <cell r="H157">
            <v>0</v>
          </cell>
        </row>
        <row r="158">
          <cell r="B158" t="str">
            <v>Agro America1012202</v>
          </cell>
          <cell r="C158">
            <v>1012202</v>
          </cell>
          <cell r="D158" t="str">
            <v>PO PchDeh 4x10 Mr@ Zi Cj 20k AS</v>
          </cell>
          <cell r="E158" t="str">
            <v>Agro America</v>
          </cell>
          <cell r="F158" t="str">
            <v>No Aplica</v>
          </cell>
          <cell r="G158">
            <v>0</v>
          </cell>
          <cell r="H158">
            <v>0</v>
          </cell>
        </row>
        <row r="159">
          <cell r="B159" t="str">
            <v>Agro America1012334</v>
          </cell>
          <cell r="C159">
            <v>1012334</v>
          </cell>
          <cell r="D159" t="str">
            <v>PO PchDeh 4x10 Mr@Cj 20k AS</v>
          </cell>
          <cell r="E159" t="str">
            <v>Agro America</v>
          </cell>
          <cell r="F159" t="str">
            <v>No Aplica</v>
          </cell>
          <cell r="G159">
            <v>0</v>
          </cell>
          <cell r="H159">
            <v>0</v>
          </cell>
        </row>
        <row r="160">
          <cell r="B160" t="str">
            <v>Agro America1011250</v>
          </cell>
          <cell r="C160">
            <v>1011250</v>
          </cell>
          <cell r="D160" t="str">
            <v>PO PchDeh NMr s/cal 4x10@ Cj 20k Am AS</v>
          </cell>
          <cell r="E160" t="str">
            <v>Agro America</v>
          </cell>
          <cell r="F160" t="str">
            <v>Local OOII</v>
          </cell>
          <cell r="G160">
            <v>27466.852999999999</v>
          </cell>
          <cell r="H160">
            <v>27466.852999999999</v>
          </cell>
        </row>
        <row r="161">
          <cell r="B161" t="str">
            <v>Agro America1012694</v>
          </cell>
          <cell r="C161">
            <v>1012694</v>
          </cell>
          <cell r="D161" t="str">
            <v>PO PchDeh 5.6-7.5oz NMr@ Cj As</v>
          </cell>
          <cell r="E161" t="str">
            <v>Agro America</v>
          </cell>
          <cell r="F161" t="str">
            <v>Local OOII</v>
          </cell>
          <cell r="G161">
            <v>137836.46100000001</v>
          </cell>
          <cell r="H161">
            <v>54431.642742019598</v>
          </cell>
        </row>
        <row r="162">
          <cell r="B162" t="str">
            <v>Agro America1012488</v>
          </cell>
          <cell r="C162">
            <v>1012488</v>
          </cell>
          <cell r="D162" t="str">
            <v>PO PchDeh R Mr@ Bo Cj 20k AS</v>
          </cell>
          <cell r="E162" t="str">
            <v>Agro America</v>
          </cell>
          <cell r="F162" t="str">
            <v>Local OOII</v>
          </cell>
          <cell r="G162">
            <v>0</v>
          </cell>
          <cell r="H162">
            <v>10667.419207170846</v>
          </cell>
        </row>
        <row r="163">
          <cell r="B163" t="str">
            <v>Agro Europa1011748</v>
          </cell>
          <cell r="C163">
            <v>1011748</v>
          </cell>
          <cell r="D163" t="str">
            <v>PO PchDeh &gt;170 NMr@ Cj 10k AS</v>
          </cell>
          <cell r="E163" t="str">
            <v>Agro Europa</v>
          </cell>
          <cell r="F163" t="str">
            <v>Local OOII</v>
          </cell>
          <cell r="G163">
            <v>147000</v>
          </cell>
          <cell r="H163">
            <v>0</v>
          </cell>
        </row>
        <row r="164">
          <cell r="B164" t="str">
            <v>Agro Europa1011971</v>
          </cell>
          <cell r="C164">
            <v>1011971</v>
          </cell>
          <cell r="D164" t="str">
            <v>PO PchDeh &gt;200 NMr@ Cj 10k AS</v>
          </cell>
          <cell r="E164" t="str">
            <v>Agro Europa</v>
          </cell>
          <cell r="F164" t="str">
            <v>No Aplica</v>
          </cell>
          <cell r="G164">
            <v>0</v>
          </cell>
          <cell r="H164">
            <v>0</v>
          </cell>
        </row>
        <row r="165">
          <cell r="B165" t="str">
            <v>Agro Europa1012432</v>
          </cell>
          <cell r="C165">
            <v>1012432</v>
          </cell>
          <cell r="D165" t="str">
            <v>PO PchDeh IQF NMr@ Cj 10k AS</v>
          </cell>
          <cell r="E165" t="str">
            <v>Agro Europa</v>
          </cell>
          <cell r="F165" t="str">
            <v>No Aplica</v>
          </cell>
          <cell r="G165">
            <v>0</v>
          </cell>
          <cell r="H165">
            <v>0</v>
          </cell>
        </row>
        <row r="166">
          <cell r="B166" t="str">
            <v>Agro Europa1012548</v>
          </cell>
          <cell r="C166">
            <v>1012548</v>
          </cell>
          <cell r="D166" t="str">
            <v>PO PchDeh JP NMr@ 500 KG</v>
          </cell>
          <cell r="E166" t="str">
            <v>Agro Europa</v>
          </cell>
          <cell r="F166" t="str">
            <v>No Aplica</v>
          </cell>
          <cell r="G166">
            <v>0</v>
          </cell>
          <cell r="H166">
            <v>0</v>
          </cell>
        </row>
        <row r="167">
          <cell r="B167" t="str">
            <v>Agro Europa1011973</v>
          </cell>
          <cell r="C167">
            <v>1011973</v>
          </cell>
          <cell r="D167" t="str">
            <v>PO PCHDEH LAM 110-130 NMR@ BO CJ 10K AS</v>
          </cell>
          <cell r="E167" t="str">
            <v>Agro Europa</v>
          </cell>
          <cell r="F167" t="str">
            <v>No Aplica</v>
          </cell>
          <cell r="G167">
            <v>0</v>
          </cell>
          <cell r="H167">
            <v>0</v>
          </cell>
        </row>
        <row r="168">
          <cell r="B168" t="str">
            <v>Agro Europa1011974</v>
          </cell>
          <cell r="C168">
            <v>1011974</v>
          </cell>
          <cell r="D168" t="str">
            <v>PO PCHDEH LAM 130-150 NMR@ BO CJ 10K AS</v>
          </cell>
          <cell r="E168" t="str">
            <v>Agro Europa</v>
          </cell>
          <cell r="F168" t="str">
            <v>No Aplica</v>
          </cell>
          <cell r="G168">
            <v>0</v>
          </cell>
          <cell r="H168">
            <v>0</v>
          </cell>
        </row>
        <row r="169">
          <cell r="B169" t="str">
            <v>Agro Europa1011975</v>
          </cell>
          <cell r="C169">
            <v>1011975</v>
          </cell>
          <cell r="D169" t="str">
            <v>PO PCHDEH LAM 150-170 NMR@ BO CJ 10K AS</v>
          </cell>
          <cell r="E169" t="str">
            <v>Agro Europa</v>
          </cell>
          <cell r="F169" t="str">
            <v>No Aplica</v>
          </cell>
          <cell r="G169">
            <v>0</v>
          </cell>
          <cell r="H169">
            <v>0</v>
          </cell>
        </row>
        <row r="170">
          <cell r="B170" t="str">
            <v>Agro Europa1011976</v>
          </cell>
          <cell r="C170">
            <v>1011976</v>
          </cell>
          <cell r="D170" t="str">
            <v>PO PCHDEH LAM 170-190 NMR@ BO CJ 10K AS</v>
          </cell>
          <cell r="E170" t="str">
            <v>Agro Europa</v>
          </cell>
          <cell r="F170" t="str">
            <v>No Aplica</v>
          </cell>
          <cell r="G170">
            <v>0</v>
          </cell>
          <cell r="H170">
            <v>0</v>
          </cell>
        </row>
        <row r="171">
          <cell r="B171" t="str">
            <v>Agro Europa1011977</v>
          </cell>
          <cell r="C171">
            <v>1011977</v>
          </cell>
          <cell r="D171" t="str">
            <v>PO PCHDEH LAM 190-210 NMR@ BO CJ 10K AS</v>
          </cell>
          <cell r="E171" t="str">
            <v>Agro Europa</v>
          </cell>
          <cell r="F171" t="str">
            <v>No Aplica</v>
          </cell>
          <cell r="G171">
            <v>0</v>
          </cell>
          <cell r="H171">
            <v>0</v>
          </cell>
        </row>
        <row r="172">
          <cell r="B172" t="str">
            <v>Agro Europa1011978</v>
          </cell>
          <cell r="C172">
            <v>1011978</v>
          </cell>
          <cell r="D172" t="str">
            <v>PO PchDeh Lam 210-230 NMr@ Bo Cj 10k AS</v>
          </cell>
          <cell r="E172" t="str">
            <v>Agro Europa</v>
          </cell>
          <cell r="F172" t="str">
            <v>No Aplica</v>
          </cell>
          <cell r="G172">
            <v>0</v>
          </cell>
          <cell r="H172">
            <v>0</v>
          </cell>
        </row>
        <row r="173">
          <cell r="B173" t="str">
            <v>Agro Europa1011972</v>
          </cell>
          <cell r="C173">
            <v>1011972</v>
          </cell>
          <cell r="D173" t="str">
            <v>PO PchDeh Lam 90-110 NMr@ Bo Cj 10k AS</v>
          </cell>
          <cell r="E173" t="str">
            <v>Agro Europa</v>
          </cell>
          <cell r="F173" t="str">
            <v>No Aplica</v>
          </cell>
          <cell r="G173">
            <v>0</v>
          </cell>
          <cell r="H173">
            <v>0</v>
          </cell>
        </row>
        <row r="174">
          <cell r="B174" t="str">
            <v>Agro Europa1011749</v>
          </cell>
          <cell r="C174">
            <v>1011749</v>
          </cell>
          <cell r="D174" t="str">
            <v>po pchdeh nmr blo@ cj 10k as</v>
          </cell>
          <cell r="E174" t="str">
            <v>Agro Europa</v>
          </cell>
          <cell r="F174" t="str">
            <v>Local OOII</v>
          </cell>
          <cell r="G174">
            <v>0</v>
          </cell>
          <cell r="H174">
            <v>0</v>
          </cell>
        </row>
        <row r="175">
          <cell r="B175" t="str">
            <v>Agro Europa1011204</v>
          </cell>
          <cell r="C175">
            <v>1011204</v>
          </cell>
          <cell r="D175" t="str">
            <v>PO PchDeh NMr s/cal@ Cj 20k Am AS</v>
          </cell>
          <cell r="E175" t="str">
            <v>Agro Europa</v>
          </cell>
          <cell r="F175" t="str">
            <v>No Aplica</v>
          </cell>
          <cell r="G175">
            <v>0</v>
          </cell>
          <cell r="H175">
            <v>0</v>
          </cell>
        </row>
        <row r="176">
          <cell r="B176" t="str">
            <v>Agro Europa1011886</v>
          </cell>
          <cell r="C176">
            <v>1011886</v>
          </cell>
          <cell r="D176" t="str">
            <v>PO PCHDEH PART UK@ FI CJ AS</v>
          </cell>
          <cell r="E176" t="str">
            <v>Agro Europa</v>
          </cell>
          <cell r="F176" t="str">
            <v>No Aplica</v>
          </cell>
          <cell r="G176">
            <v>0</v>
          </cell>
          <cell r="H176">
            <v>0</v>
          </cell>
        </row>
        <row r="177">
          <cell r="B177" t="str">
            <v>Agro Europa1012436</v>
          </cell>
          <cell r="C177">
            <v>1012436</v>
          </cell>
          <cell r="D177" t="str">
            <v>PO Pech Coc@ Cj 10k AS</v>
          </cell>
          <cell r="E177" t="str">
            <v>Agro Europa</v>
          </cell>
          <cell r="F177" t="str">
            <v>No Aplica</v>
          </cell>
          <cell r="G177">
            <v>0</v>
          </cell>
          <cell r="H177">
            <v>0</v>
          </cell>
        </row>
        <row r="178">
          <cell r="B178" t="str">
            <v>Agro Mexico1011127</v>
          </cell>
          <cell r="C178">
            <v>1011127</v>
          </cell>
          <cell r="D178" t="str">
            <v>PO PchDeh Random Mr Mex@ Cj 10k AS</v>
          </cell>
          <cell r="E178" t="str">
            <v>Agro Mexico</v>
          </cell>
          <cell r="F178" t="str">
            <v>Local OOII</v>
          </cell>
          <cell r="G178">
            <v>1517678.382</v>
          </cell>
          <cell r="H178">
            <v>1499999.9996868148</v>
          </cell>
        </row>
        <row r="179">
          <cell r="B179" t="str">
            <v>Agro Mexico1012692</v>
          </cell>
          <cell r="C179">
            <v>1012692</v>
          </cell>
          <cell r="D179" t="str">
            <v>PO PCHDEH RANDOM MR MEX@ CJ 13K AS</v>
          </cell>
          <cell r="E179" t="str">
            <v>Agro Mexico</v>
          </cell>
          <cell r="F179" t="str">
            <v>No Aplica</v>
          </cell>
          <cell r="G179">
            <v>0</v>
          </cell>
          <cell r="H179">
            <v>0</v>
          </cell>
        </row>
        <row r="180">
          <cell r="B180" t="str">
            <v>Agro Mexico1012535</v>
          </cell>
          <cell r="C180">
            <v>1012535</v>
          </cell>
          <cell r="D180" t="str">
            <v>PO PchDeh s/p Blo@ Cj 20k AS</v>
          </cell>
          <cell r="E180" t="str">
            <v>Agro Mexico</v>
          </cell>
          <cell r="F180" t="str">
            <v>No Aplica</v>
          </cell>
          <cell r="G180">
            <v>0</v>
          </cell>
          <cell r="H180">
            <v>0</v>
          </cell>
        </row>
        <row r="181">
          <cell r="B181" t="str">
            <v>Agro Mexico1011047</v>
          </cell>
          <cell r="C181">
            <v>1011047</v>
          </cell>
          <cell r="D181" t="str">
            <v>PO PchDeh &gt;170 NMr@ Cj 10k AS</v>
          </cell>
          <cell r="E181" t="str">
            <v>Agro Mexico</v>
          </cell>
          <cell r="F181" t="str">
            <v>Local OOII</v>
          </cell>
          <cell r="G181">
            <v>42990</v>
          </cell>
          <cell r="H181">
            <v>0</v>
          </cell>
        </row>
        <row r="182">
          <cell r="B182" t="str">
            <v>Agro Mexico1012663</v>
          </cell>
          <cell r="C182">
            <v>1012663</v>
          </cell>
          <cell r="D182" t="str">
            <v>PO PchDeh 4oz Mr@ Cj 20Kg AS</v>
          </cell>
          <cell r="E182" t="str">
            <v>Agro Mexico</v>
          </cell>
          <cell r="F182" t="str">
            <v>Local OOII</v>
          </cell>
          <cell r="G182">
            <v>0</v>
          </cell>
          <cell r="H182">
            <v>0</v>
          </cell>
        </row>
        <row r="183">
          <cell r="B183" t="str">
            <v>Agro Mexico1011614</v>
          </cell>
          <cell r="C183">
            <v>1011614</v>
          </cell>
          <cell r="D183" t="str">
            <v>PO PchDeh Random Mr MEX@ Cj 20k AS</v>
          </cell>
          <cell r="E183" t="str">
            <v>Agro Mexico</v>
          </cell>
          <cell r="F183" t="str">
            <v>Local OOII</v>
          </cell>
          <cell r="G183">
            <v>0</v>
          </cell>
          <cell r="H183">
            <v>1832</v>
          </cell>
        </row>
        <row r="184">
          <cell r="B184" t="str">
            <v>Agro Mexico1011611</v>
          </cell>
          <cell r="C184">
            <v>1011611</v>
          </cell>
          <cell r="D184" t="str">
            <v>PO PchDeh 211-280 MEX@ Cj 20k AS</v>
          </cell>
          <cell r="E184" t="str">
            <v>Agro Mexico</v>
          </cell>
          <cell r="F184" t="str">
            <v>Local OOII</v>
          </cell>
          <cell r="G184">
            <v>0</v>
          </cell>
          <cell r="H184">
            <v>0</v>
          </cell>
        </row>
        <row r="185">
          <cell r="B185" t="str">
            <v>Agro Mexico1012399</v>
          </cell>
          <cell r="C185">
            <v>1012399</v>
          </cell>
          <cell r="D185" t="str">
            <v>PO PchDeh 700g IQF Mr@ Cj AS</v>
          </cell>
          <cell r="E185" t="str">
            <v>Agro Mexico</v>
          </cell>
          <cell r="F185" t="str">
            <v>No Aplica</v>
          </cell>
          <cell r="G185">
            <v>0</v>
          </cell>
          <cell r="H185">
            <v>0</v>
          </cell>
        </row>
        <row r="186">
          <cell r="B186" t="str">
            <v>Agro Mexico1012486</v>
          </cell>
          <cell r="C186">
            <v>1012486</v>
          </cell>
          <cell r="D186" t="str">
            <v>PO PchDeh 4x10 NM@ Zi Cj 20k AS</v>
          </cell>
          <cell r="E186" t="str">
            <v>Agro Mexico</v>
          </cell>
          <cell r="F186" t="str">
            <v>No Aplica</v>
          </cell>
          <cell r="G186">
            <v>0</v>
          </cell>
          <cell r="H186">
            <v>0</v>
          </cell>
        </row>
        <row r="187">
          <cell r="B187" t="str">
            <v>Agro Mexico1011752</v>
          </cell>
          <cell r="C187">
            <v>1011752</v>
          </cell>
          <cell r="D187" t="str">
            <v>PO PCHDEH BTI 22%@ CJ 10K AS</v>
          </cell>
          <cell r="E187" t="str">
            <v>Agro Mexico</v>
          </cell>
          <cell r="F187" t="str">
            <v>No Aplica</v>
          </cell>
          <cell r="G187">
            <v>0</v>
          </cell>
          <cell r="H187">
            <v>0</v>
          </cell>
        </row>
        <row r="188">
          <cell r="B188" t="str">
            <v>Agro Mexico1012177</v>
          </cell>
          <cell r="C188">
            <v>1012177</v>
          </cell>
          <cell r="D188" t="str">
            <v>PO PchDeh Interf@ Cj 10k KI</v>
          </cell>
          <cell r="E188" t="str">
            <v>Agro Mexico</v>
          </cell>
          <cell r="F188" t="str">
            <v>No Aplica</v>
          </cell>
          <cell r="G188">
            <v>0</v>
          </cell>
          <cell r="H188">
            <v>0</v>
          </cell>
        </row>
        <row r="189">
          <cell r="B189" t="str">
            <v>Agro Mexico1011607</v>
          </cell>
          <cell r="C189">
            <v>1011607</v>
          </cell>
          <cell r="D189" t="str">
            <v>PO PchDeh Random Mr Mex@ Cj 10k AS</v>
          </cell>
          <cell r="E189" t="str">
            <v>Agro Mexico</v>
          </cell>
          <cell r="F189" t="str">
            <v>No Aplica</v>
          </cell>
          <cell r="G189">
            <v>0</v>
          </cell>
          <cell r="H189">
            <v>0</v>
          </cell>
        </row>
        <row r="190">
          <cell r="B190" t="str">
            <v>Agro Mexico1012155</v>
          </cell>
          <cell r="C190">
            <v>1012155</v>
          </cell>
          <cell r="D190" t="str">
            <v>PO PchDeh S/p/g/f &lt;140@ Bo Cj 18k AS</v>
          </cell>
          <cell r="E190" t="str">
            <v>Agro Mexico</v>
          </cell>
          <cell r="F190" t="str">
            <v>No Aplica</v>
          </cell>
          <cell r="G190">
            <v>0</v>
          </cell>
          <cell r="H190">
            <v>0</v>
          </cell>
        </row>
        <row r="191">
          <cell r="B191" t="str">
            <v>Agro Sudamerica1011127</v>
          </cell>
          <cell r="C191">
            <v>1011127</v>
          </cell>
          <cell r="D191" t="str">
            <v>PO PchDeh Random Mr Mex@ Cj 10k AS</v>
          </cell>
          <cell r="E191" t="str">
            <v>Agro Sudamerica</v>
          </cell>
          <cell r="F191" t="str">
            <v>Directo</v>
          </cell>
          <cell r="G191">
            <v>0</v>
          </cell>
          <cell r="H191">
            <v>0</v>
          </cell>
        </row>
        <row r="192">
          <cell r="B192" t="str">
            <v>Agro Sudamerica1012552</v>
          </cell>
          <cell r="C192">
            <v>1012552</v>
          </cell>
          <cell r="D192" t="str">
            <v>PO PchDeh Random@ Cj 10k AS</v>
          </cell>
          <cell r="E192" t="str">
            <v>Agro Sudamerica</v>
          </cell>
          <cell r="F192" t="str">
            <v>Directo</v>
          </cell>
          <cell r="G192">
            <v>0</v>
          </cell>
          <cell r="H192">
            <v>0</v>
          </cell>
        </row>
        <row r="193">
          <cell r="B193" t="str">
            <v>Agro Sudamerica1012744</v>
          </cell>
          <cell r="C193">
            <v>1012744</v>
          </cell>
          <cell r="D193" t="str">
            <v>PO PchDeh NMr@ Cj 20k AS</v>
          </cell>
          <cell r="E193" t="str">
            <v>Agro Sudamerica</v>
          </cell>
          <cell r="F193" t="str">
            <v>No Aplica</v>
          </cell>
          <cell r="G193">
            <v>0</v>
          </cell>
          <cell r="H193">
            <v>0</v>
          </cell>
        </row>
        <row r="194">
          <cell r="B194" t="str">
            <v>Agro Sudamerica1011953</v>
          </cell>
          <cell r="C194">
            <v>1011953</v>
          </cell>
          <cell r="D194" t="str">
            <v>PO PchDeh 4x10 @ Cj 20k AS</v>
          </cell>
          <cell r="E194" t="str">
            <v>Agro Sudamerica</v>
          </cell>
          <cell r="F194" t="str">
            <v>No Aplica</v>
          </cell>
          <cell r="G194">
            <v>0</v>
          </cell>
          <cell r="H194">
            <v>0</v>
          </cell>
        </row>
        <row r="195">
          <cell r="B195" t="str">
            <v>Agro Sudamerica1011993</v>
          </cell>
          <cell r="C195">
            <v>1011993</v>
          </cell>
          <cell r="D195" t="str">
            <v>PO PchDeh NMr s/cal 4x10@ Cj 20k Am AS</v>
          </cell>
          <cell r="E195" t="str">
            <v>Agro Sudamerica</v>
          </cell>
          <cell r="F195" t="str">
            <v>No Aplica</v>
          </cell>
          <cell r="G195">
            <v>0</v>
          </cell>
          <cell r="H195">
            <v>0</v>
          </cell>
        </row>
        <row r="196">
          <cell r="B196" t="str">
            <v>Agro Sudamerica1012535</v>
          </cell>
          <cell r="C196">
            <v>1012535</v>
          </cell>
          <cell r="D196" t="str">
            <v>PO PchDeh s/p Blo@ Cj 20k AS</v>
          </cell>
          <cell r="E196" t="str">
            <v>Agro Sudamerica</v>
          </cell>
          <cell r="F196" t="str">
            <v>No Aplica</v>
          </cell>
          <cell r="G196">
            <v>0</v>
          </cell>
          <cell r="H196">
            <v>0</v>
          </cell>
        </row>
        <row r="197">
          <cell r="B197" t="str">
            <v>Agro Sudamerica1012374</v>
          </cell>
          <cell r="C197">
            <v>1012374</v>
          </cell>
          <cell r="D197" t="str">
            <v>PO PechDesh 1/2  s/h s/p@ Cj 12k AS</v>
          </cell>
          <cell r="E197" t="str">
            <v>Agro Sudamerica</v>
          </cell>
          <cell r="F197" t="str">
            <v>No Aplica</v>
          </cell>
          <cell r="G197">
            <v>0</v>
          </cell>
          <cell r="H197">
            <v>0</v>
          </cell>
        </row>
        <row r="198">
          <cell r="B198" t="str">
            <v>Agrosuper Shanghai1012487</v>
          </cell>
          <cell r="C198">
            <v>1012487</v>
          </cell>
          <cell r="D198" t="str">
            <v>PO PCHDEH NMR@ CJ 15K AS</v>
          </cell>
          <cell r="E198" t="str">
            <v>Agrosuper Shanghai</v>
          </cell>
          <cell r="F198" t="str">
            <v>No Aplica</v>
          </cell>
          <cell r="G198">
            <v>0</v>
          </cell>
          <cell r="H198">
            <v>0</v>
          </cell>
        </row>
        <row r="199">
          <cell r="B199" t="str">
            <v>Agrosuper Shanghai1011908</v>
          </cell>
          <cell r="C199">
            <v>1011908</v>
          </cell>
          <cell r="D199" t="str">
            <v>PO PchDeh Part UK@ Fi Cj AS</v>
          </cell>
          <cell r="E199" t="str">
            <v>Agrosuper Shanghai</v>
          </cell>
          <cell r="F199" t="str">
            <v>No Aplica</v>
          </cell>
          <cell r="G199">
            <v>0</v>
          </cell>
          <cell r="H199">
            <v>0</v>
          </cell>
        </row>
        <row r="200">
          <cell r="B200" t="str">
            <v>Agrosuper Shanghai1012595</v>
          </cell>
          <cell r="C200">
            <v>1012595</v>
          </cell>
          <cell r="D200" t="str">
            <v>PO PchDeh@ BO 16x1k Cj AS</v>
          </cell>
          <cell r="E200" t="str">
            <v>Agrosuper Shanghai</v>
          </cell>
          <cell r="F200" t="str">
            <v>Local OOII</v>
          </cell>
          <cell r="G200">
            <v>0</v>
          </cell>
          <cell r="H200">
            <v>0</v>
          </cell>
        </row>
        <row r="201">
          <cell r="B201" t="str">
            <v>Agro America1011120</v>
          </cell>
          <cell r="C201">
            <v>1011120</v>
          </cell>
          <cell r="D201" t="str">
            <v>PO Pch Selec@ Cj 20k AS</v>
          </cell>
          <cell r="E201" t="str">
            <v>Agro America</v>
          </cell>
          <cell r="F201" t="str">
            <v>Local OOII</v>
          </cell>
          <cell r="G201">
            <v>0</v>
          </cell>
          <cell r="H201">
            <v>0</v>
          </cell>
        </row>
        <row r="202">
          <cell r="B202" t="str">
            <v>Agro Mexico1011152</v>
          </cell>
          <cell r="C202">
            <v>1011152</v>
          </cell>
          <cell r="D202" t="str">
            <v>PO Pch Selec Mex@ Cj 20k AS</v>
          </cell>
          <cell r="E202" t="str">
            <v>Agro Mexico</v>
          </cell>
          <cell r="F202" t="str">
            <v>No Aplica</v>
          </cell>
          <cell r="G202">
            <v>0</v>
          </cell>
          <cell r="H202">
            <v>0</v>
          </cell>
        </row>
        <row r="203">
          <cell r="B203" t="str">
            <v>Agro Mexico1012788</v>
          </cell>
          <cell r="C203">
            <v>1012788</v>
          </cell>
          <cell r="D203" t="str">
            <v>PO Pch Selec Mex B @ Cj 20k AS</v>
          </cell>
          <cell r="E203" t="str">
            <v>Agro Mexico</v>
          </cell>
          <cell r="F203" t="str">
            <v>No Aplica</v>
          </cell>
          <cell r="G203">
            <v>0</v>
          </cell>
          <cell r="H203">
            <v>0</v>
          </cell>
        </row>
        <row r="204">
          <cell r="B204" t="str">
            <v>Agro Mexico1012534</v>
          </cell>
          <cell r="C204">
            <v>1012534</v>
          </cell>
          <cell r="D204" t="str">
            <v>PO Pch Entera NMr PIEL Bloque</v>
          </cell>
          <cell r="E204" t="str">
            <v>Agro Mexico</v>
          </cell>
          <cell r="F204" t="str">
            <v>Local OOII</v>
          </cell>
          <cell r="G204">
            <v>116000</v>
          </cell>
          <cell r="H204">
            <v>0</v>
          </cell>
        </row>
        <row r="205">
          <cell r="B205" t="str">
            <v>Agro Sudamerica1012375</v>
          </cell>
          <cell r="C205">
            <v>1012375</v>
          </cell>
          <cell r="D205" t="str">
            <v>PO Pech c/h c/p@ Cj 16k AS</v>
          </cell>
          <cell r="E205" t="str">
            <v>Agro Sudamerica</v>
          </cell>
          <cell r="F205" t="str">
            <v>Directo</v>
          </cell>
          <cell r="G205">
            <v>0</v>
          </cell>
          <cell r="H205">
            <v>0</v>
          </cell>
        </row>
        <row r="206">
          <cell r="B206" t="str">
            <v>Agro Sudamerica1099999</v>
          </cell>
          <cell r="C206">
            <v>1099999</v>
          </cell>
          <cell r="D206" t="str">
            <v>Pechuga Entera</v>
          </cell>
          <cell r="E206" t="str">
            <v>Agro Sudamerica</v>
          </cell>
          <cell r="F206" t="str">
            <v>No Aplica</v>
          </cell>
          <cell r="G206">
            <v>0</v>
          </cell>
          <cell r="H206">
            <v>0</v>
          </cell>
        </row>
        <row r="207">
          <cell r="B207" t="str">
            <v>Agro Sudamerica1012208</v>
          </cell>
          <cell r="C207">
            <v>1012208</v>
          </cell>
          <cell r="D207" t="str">
            <v>GA S/m@ Bo Cj AS</v>
          </cell>
          <cell r="E207" t="str">
            <v>Agro Sudamerica</v>
          </cell>
          <cell r="F207" t="str">
            <v>Directo</v>
          </cell>
          <cell r="G207">
            <v>39408.691999999995</v>
          </cell>
          <cell r="H207">
            <v>23999.999573615958</v>
          </cell>
        </row>
        <row r="208">
          <cell r="B208" t="str">
            <v>Agro Sudamerica1012476</v>
          </cell>
          <cell r="C208">
            <v>1012476</v>
          </cell>
          <cell r="D208" t="str">
            <v>GA s/menu@ Cj 15k AS</v>
          </cell>
          <cell r="E208" t="str">
            <v>Agro Sudamerica</v>
          </cell>
          <cell r="F208" t="str">
            <v>No Aplica</v>
          </cell>
          <cell r="G208">
            <v>0</v>
          </cell>
          <cell r="H208">
            <v>0</v>
          </cell>
        </row>
        <row r="209">
          <cell r="B209" t="str">
            <v>Agro Sudamerica1011582</v>
          </cell>
          <cell r="C209">
            <v>1011582</v>
          </cell>
          <cell r="D209" t="str">
            <v>GA S/m@ Gr Cj bca AS</v>
          </cell>
          <cell r="E209" t="str">
            <v>Agro Sudamerica</v>
          </cell>
          <cell r="F209" t="str">
            <v>Directo</v>
          </cell>
          <cell r="G209">
            <v>0</v>
          </cell>
          <cell r="H209">
            <v>12524</v>
          </cell>
        </row>
        <row r="210">
          <cell r="B210" t="str">
            <v>Agrosuper Shanghai1012476</v>
          </cell>
          <cell r="C210">
            <v>1012476</v>
          </cell>
          <cell r="D210" t="str">
            <v>GA s/menu@ Cj 15k AS</v>
          </cell>
          <cell r="E210" t="str">
            <v>Agrosuper Shanghai</v>
          </cell>
          <cell r="F210" t="str">
            <v>No Aplica</v>
          </cell>
          <cell r="G210">
            <v>0</v>
          </cell>
          <cell r="H210">
            <v>0</v>
          </cell>
        </row>
        <row r="211">
          <cell r="B211" t="str">
            <v>Agrosuper Shanghai1012544</v>
          </cell>
          <cell r="C211">
            <v>1012544</v>
          </cell>
          <cell r="D211" t="str">
            <v>PO Ente S/menu 2,2 down@ Cj 16K AS</v>
          </cell>
          <cell r="E211" t="str">
            <v>Agrosuper Shanghai</v>
          </cell>
          <cell r="F211" t="str">
            <v>No Aplica</v>
          </cell>
          <cell r="G211">
            <v>0</v>
          </cell>
          <cell r="H211">
            <v>0</v>
          </cell>
        </row>
        <row r="212">
          <cell r="B212" t="str">
            <v>Agrosuper Shanghai1012547</v>
          </cell>
          <cell r="C212">
            <v>1012547</v>
          </cell>
          <cell r="D212" t="str">
            <v>PO Ente S/menu 2,2 up@ Cj 16K AS</v>
          </cell>
          <cell r="E212" t="str">
            <v>Agrosuper Shanghai</v>
          </cell>
          <cell r="F212" t="str">
            <v>No Aplica</v>
          </cell>
          <cell r="G212">
            <v>0</v>
          </cell>
          <cell r="H212">
            <v>0</v>
          </cell>
        </row>
        <row r="213">
          <cell r="B213" t="str">
            <v>Agro Sudamerica1012544</v>
          </cell>
          <cell r="C213">
            <v>1012544</v>
          </cell>
          <cell r="D213" t="str">
            <v>PO Ente S/menu 2,2 down@ Cj 16K AS</v>
          </cell>
          <cell r="E213" t="str">
            <v>Agro Sudamerica</v>
          </cell>
          <cell r="F213" t="str">
            <v>Directo</v>
          </cell>
          <cell r="G213">
            <v>0</v>
          </cell>
          <cell r="H213">
            <v>0</v>
          </cell>
        </row>
        <row r="214">
          <cell r="B214" t="str">
            <v>Africa1012540</v>
          </cell>
          <cell r="C214">
            <v>1012540</v>
          </cell>
          <cell r="D214" t="str">
            <v>PO S/MENU 1.9-2.4@CJ 20K AS</v>
          </cell>
          <cell r="E214" t="str">
            <v>Africa</v>
          </cell>
          <cell r="F214" t="str">
            <v>No Aplica</v>
          </cell>
          <cell r="G214">
            <v>0</v>
          </cell>
          <cell r="H214">
            <v>0</v>
          </cell>
        </row>
        <row r="215">
          <cell r="B215" t="str">
            <v>Agro Sudamerica1011290</v>
          </cell>
          <cell r="C215">
            <v>1011290</v>
          </cell>
          <cell r="D215" t="str">
            <v>PO Pch Piel@ Cj 20k AS</v>
          </cell>
          <cell r="E215" t="str">
            <v>Agro Sudamerica</v>
          </cell>
          <cell r="F215" t="str">
            <v>Directo</v>
          </cell>
          <cell r="G215">
            <v>8000</v>
          </cell>
          <cell r="H215">
            <v>0</v>
          </cell>
        </row>
        <row r="216">
          <cell r="B216" t="str">
            <v>Agro Sudamerica1011422</v>
          </cell>
          <cell r="C216">
            <v>1011422</v>
          </cell>
          <cell r="D216" t="str">
            <v>PO PCH PIEL PIM 50 PPM@ CJ 14 SP</v>
          </cell>
          <cell r="E216" t="str">
            <v>Agro Sudamerica</v>
          </cell>
          <cell r="F216" t="str">
            <v>Directo</v>
          </cell>
          <cell r="G216">
            <v>0</v>
          </cell>
          <cell r="H216">
            <v>0</v>
          </cell>
        </row>
        <row r="217">
          <cell r="B217" t="str">
            <v>Agrosuper Shanghai1012681</v>
          </cell>
          <cell r="C217">
            <v>1012681</v>
          </cell>
          <cell r="D217" t="str">
            <v>PO Nudillo @ Cj 20Kg AS</v>
          </cell>
          <cell r="E217" t="str">
            <v>Agrosuper Shanghai</v>
          </cell>
          <cell r="F217" t="str">
            <v>Local OOII</v>
          </cell>
          <cell r="G217">
            <v>0</v>
          </cell>
          <cell r="H217">
            <v>0</v>
          </cell>
        </row>
        <row r="218">
          <cell r="B218" t="str">
            <v>Agrosuper Shanghai1011768</v>
          </cell>
          <cell r="C218">
            <v>1011768</v>
          </cell>
          <cell r="D218" t="str">
            <v>PO Pch Piel@ Cj 20k AS</v>
          </cell>
          <cell r="E218" t="str">
            <v>Agrosuper Shanghai</v>
          </cell>
          <cell r="F218" t="str">
            <v>Local OOII</v>
          </cell>
          <cell r="G218">
            <v>0</v>
          </cell>
          <cell r="H218">
            <v>0</v>
          </cell>
        </row>
        <row r="219">
          <cell r="B219" t="str">
            <v>Andes Asia1012657</v>
          </cell>
          <cell r="C219">
            <v>1012657</v>
          </cell>
          <cell r="D219" t="str">
            <v>PO Piel@ Cj 15Kg AS</v>
          </cell>
          <cell r="E219" t="str">
            <v>Andes Asia</v>
          </cell>
          <cell r="F219" t="str">
            <v>No Aplica</v>
          </cell>
          <cell r="G219">
            <v>0</v>
          </cell>
          <cell r="H219">
            <v>0</v>
          </cell>
        </row>
        <row r="220">
          <cell r="B220" t="str">
            <v>Agrosuper Asia1012657</v>
          </cell>
          <cell r="C220">
            <v>1012657</v>
          </cell>
          <cell r="D220" t="str">
            <v>PO Piel@ Cj 15Kg AS</v>
          </cell>
          <cell r="E220" t="str">
            <v>Agrosuper Asia</v>
          </cell>
          <cell r="F220" t="str">
            <v>Directo</v>
          </cell>
          <cell r="G220">
            <v>0</v>
          </cell>
          <cell r="H220">
            <v>0</v>
          </cell>
        </row>
        <row r="221">
          <cell r="B221" t="str">
            <v>Agrosuper Asia1011379</v>
          </cell>
          <cell r="C221">
            <v>1011379</v>
          </cell>
          <cell r="D221" t="str">
            <v>PO TrDeh@ Bo Cj 12k AS</v>
          </cell>
          <cell r="E221" t="str">
            <v>Agrosuper Asia</v>
          </cell>
          <cell r="F221" t="str">
            <v>No Aplica</v>
          </cell>
          <cell r="G221">
            <v>0</v>
          </cell>
          <cell r="H221">
            <v>0</v>
          </cell>
        </row>
        <row r="222">
          <cell r="B222" t="str">
            <v>Agrosuper Shanghai1012386</v>
          </cell>
          <cell r="C222">
            <v>1012386</v>
          </cell>
          <cell r="D222" t="str">
            <v>PO TrDeh@ Bo Cj 12k AS</v>
          </cell>
          <cell r="E222" t="str">
            <v>Agrosuper Shanghai</v>
          </cell>
          <cell r="F222" t="str">
            <v>No Aplica</v>
          </cell>
          <cell r="G222">
            <v>0</v>
          </cell>
          <cell r="H222">
            <v>0</v>
          </cell>
        </row>
        <row r="223">
          <cell r="B223" t="str">
            <v>Agrosuper Shanghai1011156</v>
          </cell>
          <cell r="C223">
            <v>1011156</v>
          </cell>
          <cell r="D223" t="str">
            <v>PO TrDeh S/p@ Cj 20k SP</v>
          </cell>
          <cell r="E223" t="str">
            <v>Agrosuper Shanghai</v>
          </cell>
          <cell r="F223" t="str">
            <v>No Aplica</v>
          </cell>
          <cell r="G223">
            <v>0</v>
          </cell>
          <cell r="H223">
            <v>0</v>
          </cell>
        </row>
        <row r="224">
          <cell r="B224" t="str">
            <v>Agro Europa1011709</v>
          </cell>
          <cell r="C224">
            <v>1011709</v>
          </cell>
          <cell r="D224" t="str">
            <v>PO TrDeh S/p NMr@ Cj 13k AS</v>
          </cell>
          <cell r="E224" t="str">
            <v>Agro Europa</v>
          </cell>
          <cell r="F224" t="str">
            <v>No Aplica</v>
          </cell>
          <cell r="G224">
            <v>0</v>
          </cell>
          <cell r="H224">
            <v>0</v>
          </cell>
        </row>
        <row r="225">
          <cell r="B225" t="str">
            <v>Andes Asia1011379</v>
          </cell>
          <cell r="C225">
            <v>1011379</v>
          </cell>
          <cell r="D225" t="str">
            <v>PO TrDeh@ Bo Cj 12k AS</v>
          </cell>
          <cell r="E225" t="str">
            <v>Andes Asia</v>
          </cell>
          <cell r="F225" t="str">
            <v>No Aplica</v>
          </cell>
          <cell r="G225">
            <v>0</v>
          </cell>
          <cell r="H225">
            <v>0</v>
          </cell>
        </row>
        <row r="226">
          <cell r="B226" t="str">
            <v>Agrosuper Shanghai1012445</v>
          </cell>
          <cell r="C226">
            <v>1012445</v>
          </cell>
          <cell r="D226" t="str">
            <v>PO Tru Cort @ Cj 15k AS</v>
          </cell>
          <cell r="E226" t="str">
            <v>Agrosuper Shanghai</v>
          </cell>
          <cell r="F226" t="str">
            <v>Directo</v>
          </cell>
          <cell r="G226">
            <v>0</v>
          </cell>
          <cell r="H226">
            <v>0</v>
          </cell>
        </row>
        <row r="227">
          <cell r="B227" t="str">
            <v>Agrosuper Shanghai1012463</v>
          </cell>
          <cell r="C227">
            <v>1012463</v>
          </cell>
          <cell r="D227" t="str">
            <v>PO Tru Cort@ Cj 15k AS</v>
          </cell>
          <cell r="E227" t="str">
            <v>Agrosuper Shanghai</v>
          </cell>
          <cell r="F227" t="str">
            <v>Directo</v>
          </cell>
          <cell r="G227">
            <v>0</v>
          </cell>
          <cell r="H227">
            <v>0</v>
          </cell>
        </row>
        <row r="228">
          <cell r="B228" t="str">
            <v>Agrosuper Shanghai1012433</v>
          </cell>
          <cell r="C228">
            <v>1012433</v>
          </cell>
          <cell r="D228" t="str">
            <v>PO Tru Enter@ Cj 15k As</v>
          </cell>
          <cell r="E228" t="str">
            <v>Agrosuper Shanghai</v>
          </cell>
          <cell r="F228" t="str">
            <v>Directo</v>
          </cell>
          <cell r="G228">
            <v>0</v>
          </cell>
          <cell r="H228">
            <v>0</v>
          </cell>
        </row>
        <row r="229">
          <cell r="B229" t="str">
            <v>Agrosuper Shanghai1012462</v>
          </cell>
          <cell r="C229">
            <v>1012462</v>
          </cell>
          <cell r="D229" t="str">
            <v>PO Tru Ent@ Cj 15k AS</v>
          </cell>
          <cell r="E229" t="str">
            <v>Agrosuper Shanghai</v>
          </cell>
          <cell r="F229" t="str">
            <v>Directo</v>
          </cell>
          <cell r="G229">
            <v>0</v>
          </cell>
          <cell r="H229">
            <v>0</v>
          </cell>
        </row>
        <row r="230">
          <cell r="B230" t="str">
            <v>Agro Sudamerica1012297</v>
          </cell>
          <cell r="C230">
            <v>1012297</v>
          </cell>
          <cell r="D230" t="str">
            <v>PO Tru Enter@ Cj20k AS</v>
          </cell>
          <cell r="E230" t="str">
            <v>Agro Sudamerica</v>
          </cell>
          <cell r="F230" t="str">
            <v>Directo</v>
          </cell>
          <cell r="G230">
            <v>0</v>
          </cell>
          <cell r="H230">
            <v>0</v>
          </cell>
        </row>
        <row r="231">
          <cell r="B231" t="str">
            <v>Agro Sudamerica1012536</v>
          </cell>
          <cell r="C231">
            <v>1012536</v>
          </cell>
          <cell r="D231" t="str">
            <v>PO Tru 1/4 Blo@ Cj 20k AS</v>
          </cell>
          <cell r="E231" t="str">
            <v>Agro Sudamerica</v>
          </cell>
          <cell r="F231" t="str">
            <v>Directo</v>
          </cell>
          <cell r="G231">
            <v>0</v>
          </cell>
          <cell r="H231">
            <v>0</v>
          </cell>
        </row>
        <row r="232">
          <cell r="B232" t="str">
            <v>Agrosuper Shanghai1012446</v>
          </cell>
          <cell r="C232">
            <v>1012446</v>
          </cell>
          <cell r="D232" t="str">
            <v>PO Tru Larg@ Cj 15k AS</v>
          </cell>
          <cell r="E232" t="str">
            <v>Agrosuper Shanghai</v>
          </cell>
          <cell r="F232" t="str">
            <v>Local OOII</v>
          </cell>
          <cell r="G232">
            <v>0</v>
          </cell>
          <cell r="H232">
            <v>0</v>
          </cell>
        </row>
        <row r="233">
          <cell r="B233" t="str">
            <v>Agrosuper Shanghai1012464</v>
          </cell>
          <cell r="C233">
            <v>1012464</v>
          </cell>
          <cell r="D233" t="str">
            <v>PO Tru Larg@ Cj 15k AS</v>
          </cell>
          <cell r="E233" t="str">
            <v>Agrosuper Shanghai</v>
          </cell>
          <cell r="F233" t="str">
            <v>Local OOII</v>
          </cell>
          <cell r="G233">
            <v>0</v>
          </cell>
          <cell r="H233">
            <v>0</v>
          </cell>
        </row>
        <row r="234">
          <cell r="B234" t="str">
            <v>Agro Sudamerica1012446</v>
          </cell>
          <cell r="C234">
            <v>1012446</v>
          </cell>
          <cell r="D234" t="str">
            <v>PO Tru Larg@ Cj 15k AS</v>
          </cell>
          <cell r="E234" t="str">
            <v>Agro Sudamerica</v>
          </cell>
          <cell r="F234" t="str">
            <v>Directo</v>
          </cell>
          <cell r="G234">
            <v>0</v>
          </cell>
          <cell r="H234">
            <v>0</v>
          </cell>
        </row>
        <row r="235">
          <cell r="B235" t="str">
            <v>Africa1030224</v>
          </cell>
          <cell r="C235">
            <v>1030224</v>
          </cell>
          <cell r="E235" t="str">
            <v>Africa</v>
          </cell>
          <cell r="F235" t="str">
            <v>Venta Directa</v>
          </cell>
          <cell r="G235">
            <v>0</v>
          </cell>
          <cell r="H235">
            <v>0</v>
          </cell>
        </row>
        <row r="236">
          <cell r="B236" t="str">
            <v>Agro Sudamerica1030224</v>
          </cell>
          <cell r="C236">
            <v>1030224</v>
          </cell>
          <cell r="E236" t="str">
            <v>Agro Sudamerica</v>
          </cell>
          <cell r="F236" t="str">
            <v>Venta Directa</v>
          </cell>
          <cell r="G236">
            <v>129675.872</v>
          </cell>
          <cell r="H236">
            <v>144000</v>
          </cell>
        </row>
        <row r="237">
          <cell r="B237" t="str">
            <v>Agro Sudamerica1030230</v>
          </cell>
          <cell r="C237">
            <v>1030230</v>
          </cell>
          <cell r="E237" t="str">
            <v>Agro Sudamerica</v>
          </cell>
          <cell r="F237" t="str">
            <v>Venta Directa</v>
          </cell>
          <cell r="G237">
            <v>2147.404</v>
          </cell>
          <cell r="H237">
            <v>0</v>
          </cell>
        </row>
        <row r="238">
          <cell r="B238" t="str">
            <v>Agro Sudamerica1030236</v>
          </cell>
          <cell r="C238">
            <v>1030236</v>
          </cell>
          <cell r="E238" t="str">
            <v>Agro Sudamerica</v>
          </cell>
          <cell r="F238" t="str">
            <v>Venta Directa</v>
          </cell>
          <cell r="G238">
            <v>0</v>
          </cell>
          <cell r="H238">
            <v>0</v>
          </cell>
        </row>
        <row r="239">
          <cell r="B239" t="str">
            <v>Agrosuper Asia1030309</v>
          </cell>
          <cell r="C239">
            <v>1030309</v>
          </cell>
          <cell r="E239" t="str">
            <v>Agrosuper Asia</v>
          </cell>
          <cell r="F239" t="str">
            <v>Venta Directa</v>
          </cell>
          <cell r="G239">
            <v>0</v>
          </cell>
          <cell r="H239">
            <v>3450</v>
          </cell>
        </row>
        <row r="240">
          <cell r="B240" t="str">
            <v>Africa1030332</v>
          </cell>
          <cell r="C240">
            <v>1030332</v>
          </cell>
          <cell r="E240" t="str">
            <v>Africa</v>
          </cell>
          <cell r="F240" t="str">
            <v>Venta Directa</v>
          </cell>
          <cell r="G240">
            <v>48212.147199999999</v>
          </cell>
          <cell r="H240">
            <v>47801.102996731053</v>
          </cell>
        </row>
        <row r="241">
          <cell r="B241" t="str">
            <v>Agro Sudamerica1030332</v>
          </cell>
          <cell r="C241">
            <v>1030332</v>
          </cell>
          <cell r="E241" t="str">
            <v>Agro Sudamerica</v>
          </cell>
          <cell r="F241" t="str">
            <v>Venta Directa</v>
          </cell>
          <cell r="G241">
            <v>0</v>
          </cell>
          <cell r="H241">
            <v>0</v>
          </cell>
        </row>
        <row r="242">
          <cell r="B242" t="str">
            <v>Africa1030342</v>
          </cell>
          <cell r="C242">
            <v>1030342</v>
          </cell>
          <cell r="E242" t="str">
            <v>Africa</v>
          </cell>
          <cell r="F242" t="str">
            <v>Venta Directa</v>
          </cell>
          <cell r="G242">
            <v>0</v>
          </cell>
          <cell r="H242">
            <v>0</v>
          </cell>
        </row>
        <row r="243">
          <cell r="B243" t="str">
            <v>Africa1030355</v>
          </cell>
          <cell r="C243">
            <v>1030355</v>
          </cell>
          <cell r="E243" t="str">
            <v>Africa</v>
          </cell>
          <cell r="F243" t="str">
            <v>Venta Directa</v>
          </cell>
          <cell r="G243">
            <v>71521.479000000007</v>
          </cell>
          <cell r="H243">
            <v>0</v>
          </cell>
        </row>
        <row r="244">
          <cell r="B244" t="str">
            <v>Africa1030378</v>
          </cell>
          <cell r="C244">
            <v>1030378</v>
          </cell>
          <cell r="E244" t="str">
            <v>Africa</v>
          </cell>
          <cell r="F244" t="str">
            <v>Venta Directa</v>
          </cell>
          <cell r="G244">
            <v>0</v>
          </cell>
          <cell r="H244">
            <v>0</v>
          </cell>
        </row>
        <row r="245">
          <cell r="B245" t="str">
            <v>Agro Sudamerica1030381</v>
          </cell>
          <cell r="C245">
            <v>1030381</v>
          </cell>
          <cell r="E245" t="str">
            <v>Agro Sudamerica</v>
          </cell>
          <cell r="F245" t="str">
            <v>Venta Directa</v>
          </cell>
          <cell r="G245">
            <v>0</v>
          </cell>
          <cell r="H245">
            <v>0</v>
          </cell>
        </row>
        <row r="246">
          <cell r="B246" t="str">
            <v>Africa1030417</v>
          </cell>
          <cell r="C246">
            <v>1030417</v>
          </cell>
          <cell r="E246" t="str">
            <v>Africa</v>
          </cell>
          <cell r="F246" t="str">
            <v>Venta Directa</v>
          </cell>
          <cell r="G246">
            <v>0</v>
          </cell>
          <cell r="H246">
            <v>0</v>
          </cell>
        </row>
        <row r="247">
          <cell r="B247" t="str">
            <v>Africa1030498</v>
          </cell>
          <cell r="C247">
            <v>1030498</v>
          </cell>
          <cell r="E247" t="str">
            <v>Africa</v>
          </cell>
          <cell r="F247" t="str">
            <v>Venta Directa</v>
          </cell>
          <cell r="G247">
            <v>2174.5365999999999</v>
          </cell>
          <cell r="H247">
            <v>0</v>
          </cell>
        </row>
        <row r="248">
          <cell r="B248" t="str">
            <v>Agro Sudamerica1030498</v>
          </cell>
          <cell r="C248">
            <v>1030498</v>
          </cell>
          <cell r="E248" t="str">
            <v>Agro Sudamerica</v>
          </cell>
          <cell r="F248" t="str">
            <v>Venta Directa</v>
          </cell>
          <cell r="G248">
            <v>24000</v>
          </cell>
          <cell r="H248">
            <v>24000</v>
          </cell>
        </row>
        <row r="249">
          <cell r="B249" t="str">
            <v>Andes Asia1030517</v>
          </cell>
          <cell r="C249">
            <v>1030517</v>
          </cell>
          <cell r="E249" t="str">
            <v>Andes Asia</v>
          </cell>
          <cell r="F249" t="str">
            <v>Venta Directa</v>
          </cell>
          <cell r="G249">
            <v>0</v>
          </cell>
          <cell r="H249">
            <v>0</v>
          </cell>
        </row>
        <row r="250">
          <cell r="B250" t="str">
            <v>Africa1030525</v>
          </cell>
          <cell r="C250">
            <v>1030525</v>
          </cell>
          <cell r="E250" t="str">
            <v>Africa</v>
          </cell>
          <cell r="F250" t="str">
            <v>Venta Directa</v>
          </cell>
          <cell r="G250">
            <v>0</v>
          </cell>
          <cell r="H250">
            <v>0</v>
          </cell>
        </row>
        <row r="251">
          <cell r="B251" t="str">
            <v>Agrosuper Shanghai1030525</v>
          </cell>
          <cell r="C251">
            <v>1030525</v>
          </cell>
          <cell r="E251" t="str">
            <v>Agrosuper Shanghai</v>
          </cell>
          <cell r="F251" t="str">
            <v>Venta Directa</v>
          </cell>
          <cell r="G251">
            <v>27899.794000000002</v>
          </cell>
          <cell r="H251">
            <v>0</v>
          </cell>
        </row>
        <row r="252">
          <cell r="B252" t="str">
            <v>Agrosuper Asia1030535</v>
          </cell>
          <cell r="C252">
            <v>1030535</v>
          </cell>
          <cell r="E252" t="str">
            <v>Agrosuper Asia</v>
          </cell>
          <cell r="F252" t="str">
            <v>Venta Directa</v>
          </cell>
          <cell r="G252">
            <v>66000</v>
          </cell>
          <cell r="H252">
            <v>69583.907999999996</v>
          </cell>
        </row>
        <row r="253">
          <cell r="B253" t="str">
            <v>Agrosuper Asia1030542</v>
          </cell>
          <cell r="C253">
            <v>1030542</v>
          </cell>
          <cell r="E253" t="str">
            <v>Agrosuper Asia</v>
          </cell>
          <cell r="F253" t="str">
            <v>Venta Directa</v>
          </cell>
          <cell r="G253">
            <v>22000</v>
          </cell>
          <cell r="H253">
            <v>23050</v>
          </cell>
        </row>
        <row r="254">
          <cell r="B254" t="str">
            <v>Agrosuper Asia1030543</v>
          </cell>
          <cell r="C254">
            <v>1030543</v>
          </cell>
          <cell r="E254" t="str">
            <v>Agrosuper Asia</v>
          </cell>
          <cell r="F254" t="str">
            <v>Venta Directa</v>
          </cell>
          <cell r="G254">
            <v>0</v>
          </cell>
          <cell r="H254">
            <v>0</v>
          </cell>
        </row>
        <row r="255">
          <cell r="B255" t="str">
            <v>Africa1030544</v>
          </cell>
          <cell r="C255">
            <v>1030544</v>
          </cell>
          <cell r="E255" t="str">
            <v>Africa</v>
          </cell>
          <cell r="F255" t="str">
            <v>Venta Directa</v>
          </cell>
          <cell r="G255">
            <v>0</v>
          </cell>
          <cell r="H255">
            <v>0</v>
          </cell>
        </row>
        <row r="256">
          <cell r="B256" t="str">
            <v>Africa1030545</v>
          </cell>
          <cell r="C256">
            <v>1030545</v>
          </cell>
          <cell r="E256" t="str">
            <v>Africa</v>
          </cell>
          <cell r="F256" t="str">
            <v>Venta Directa</v>
          </cell>
          <cell r="G256">
            <v>0</v>
          </cell>
          <cell r="H256">
            <v>0</v>
          </cell>
        </row>
        <row r="257">
          <cell r="B257" t="str">
            <v>Agro Sudamerica1030545</v>
          </cell>
          <cell r="C257">
            <v>1030545</v>
          </cell>
          <cell r="E257" t="str">
            <v>Agro Sudamerica</v>
          </cell>
          <cell r="F257" t="str">
            <v>Venta Directa</v>
          </cell>
          <cell r="G257">
            <v>0</v>
          </cell>
          <cell r="H257">
            <v>12750</v>
          </cell>
        </row>
        <row r="258">
          <cell r="B258" t="str">
            <v>Africa1030558</v>
          </cell>
          <cell r="C258">
            <v>1030558</v>
          </cell>
          <cell r="E258" t="str">
            <v>Africa</v>
          </cell>
          <cell r="F258" t="str">
            <v>Venta Directa</v>
          </cell>
          <cell r="G258">
            <v>0</v>
          </cell>
          <cell r="H258">
            <v>0</v>
          </cell>
        </row>
        <row r="259">
          <cell r="B259" t="str">
            <v>Africa1030630</v>
          </cell>
          <cell r="C259">
            <v>1030630</v>
          </cell>
          <cell r="E259" t="str">
            <v>Africa</v>
          </cell>
          <cell r="F259" t="str">
            <v>Venta Directa</v>
          </cell>
          <cell r="G259">
            <v>0</v>
          </cell>
          <cell r="H259">
            <v>0</v>
          </cell>
        </row>
        <row r="260">
          <cell r="B260" t="str">
            <v>Africa1030631</v>
          </cell>
          <cell r="C260">
            <v>1030631</v>
          </cell>
          <cell r="E260" t="str">
            <v>Africa</v>
          </cell>
          <cell r="F260" t="str">
            <v>Venta Directa</v>
          </cell>
          <cell r="G260">
            <v>0</v>
          </cell>
          <cell r="H260">
            <v>0</v>
          </cell>
        </row>
        <row r="261">
          <cell r="B261" t="str">
            <v>Africa1030632</v>
          </cell>
          <cell r="C261">
            <v>1030632</v>
          </cell>
          <cell r="E261" t="str">
            <v>Africa</v>
          </cell>
          <cell r="F261" t="str">
            <v>Venta Directa</v>
          </cell>
          <cell r="G261">
            <v>0</v>
          </cell>
          <cell r="H261">
            <v>0</v>
          </cell>
        </row>
        <row r="262">
          <cell r="B262" t="str">
            <v>Africa1030634</v>
          </cell>
          <cell r="C262">
            <v>1030634</v>
          </cell>
          <cell r="E262" t="str">
            <v>Africa</v>
          </cell>
          <cell r="F262" t="str">
            <v>Venta Directa</v>
          </cell>
          <cell r="G262">
            <v>0</v>
          </cell>
          <cell r="H262">
            <v>0</v>
          </cell>
        </row>
        <row r="263">
          <cell r="B263" t="str">
            <v>Africa1030635</v>
          </cell>
          <cell r="C263">
            <v>1030635</v>
          </cell>
          <cell r="E263" t="str">
            <v>Africa</v>
          </cell>
          <cell r="F263" t="str">
            <v>Venta Directa</v>
          </cell>
          <cell r="G263">
            <v>0</v>
          </cell>
          <cell r="H263">
            <v>0</v>
          </cell>
        </row>
        <row r="264">
          <cell r="B264" t="str">
            <v>Africa1030639</v>
          </cell>
          <cell r="C264">
            <v>1030639</v>
          </cell>
          <cell r="E264" t="str">
            <v>Africa</v>
          </cell>
          <cell r="F264" t="str">
            <v>Venta Directa</v>
          </cell>
          <cell r="G264">
            <v>0</v>
          </cell>
          <cell r="H264">
            <v>0</v>
          </cell>
        </row>
        <row r="265">
          <cell r="B265" t="str">
            <v>Africa1030652</v>
          </cell>
          <cell r="C265">
            <v>1030652</v>
          </cell>
          <cell r="E265" t="str">
            <v>Africa</v>
          </cell>
          <cell r="F265" t="str">
            <v>Venta Directa</v>
          </cell>
          <cell r="G265">
            <v>0</v>
          </cell>
          <cell r="H265">
            <v>0</v>
          </cell>
        </row>
        <row r="266">
          <cell r="B266" t="str">
            <v>Agro Sudamerica1030652</v>
          </cell>
          <cell r="C266">
            <v>1030652</v>
          </cell>
          <cell r="E266" t="str">
            <v>Agro Sudamerica</v>
          </cell>
          <cell r="F266" t="str">
            <v>Venta Directa</v>
          </cell>
          <cell r="G266">
            <v>0</v>
          </cell>
          <cell r="H266">
            <v>0</v>
          </cell>
        </row>
        <row r="267">
          <cell r="B267" t="str">
            <v>Agro Sudamerica1030661</v>
          </cell>
          <cell r="C267">
            <v>1030661</v>
          </cell>
          <cell r="E267" t="str">
            <v>Agro Sudamerica</v>
          </cell>
          <cell r="F267" t="str">
            <v>Venta Directa</v>
          </cell>
          <cell r="G267">
            <v>0</v>
          </cell>
          <cell r="H267">
            <v>0</v>
          </cell>
        </row>
        <row r="268">
          <cell r="B268" t="str">
            <v>Africa1030670</v>
          </cell>
          <cell r="C268">
            <v>1030670</v>
          </cell>
          <cell r="E268" t="str">
            <v>Africa</v>
          </cell>
          <cell r="F268" t="str">
            <v>Venta Directa</v>
          </cell>
          <cell r="G268">
            <v>0</v>
          </cell>
          <cell r="H268">
            <v>0</v>
          </cell>
        </row>
        <row r="269">
          <cell r="B269" t="str">
            <v>Agro Sudamerica1030670</v>
          </cell>
          <cell r="C269">
            <v>1030670</v>
          </cell>
          <cell r="E269" t="str">
            <v>Agro Sudamerica</v>
          </cell>
          <cell r="F269" t="str">
            <v>Venta Directa</v>
          </cell>
          <cell r="G269">
            <v>4499.79</v>
          </cell>
          <cell r="H269">
            <v>24000.000000000007</v>
          </cell>
        </row>
        <row r="270">
          <cell r="B270" t="str">
            <v>Africa1030671</v>
          </cell>
          <cell r="C270">
            <v>1030671</v>
          </cell>
          <cell r="E270" t="str">
            <v>Africa</v>
          </cell>
          <cell r="F270" t="str">
            <v>Venta Directa</v>
          </cell>
          <cell r="G270">
            <v>0</v>
          </cell>
          <cell r="H270">
            <v>0</v>
          </cell>
        </row>
        <row r="271">
          <cell r="B271" t="str">
            <v>Agro Sudamerica1030671</v>
          </cell>
          <cell r="C271">
            <v>1030671</v>
          </cell>
          <cell r="E271" t="str">
            <v>Agro Sudamerica</v>
          </cell>
          <cell r="F271" t="str">
            <v>Venta Directa</v>
          </cell>
          <cell r="G271">
            <v>0</v>
          </cell>
          <cell r="H271">
            <v>0</v>
          </cell>
        </row>
        <row r="272">
          <cell r="B272" t="str">
            <v>Africa1030672</v>
          </cell>
          <cell r="C272">
            <v>1030672</v>
          </cell>
          <cell r="E272" t="str">
            <v>Africa</v>
          </cell>
          <cell r="F272" t="str">
            <v>Venta Directa</v>
          </cell>
          <cell r="G272">
            <v>0</v>
          </cell>
          <cell r="H272">
            <v>0</v>
          </cell>
        </row>
        <row r="273">
          <cell r="B273" t="str">
            <v>Agro Sudamerica1030672</v>
          </cell>
          <cell r="C273">
            <v>1030672</v>
          </cell>
          <cell r="E273" t="str">
            <v>Agro Sudamerica</v>
          </cell>
          <cell r="F273" t="str">
            <v>Venta Directa</v>
          </cell>
          <cell r="G273">
            <v>0</v>
          </cell>
          <cell r="H273">
            <v>0</v>
          </cell>
        </row>
        <row r="274">
          <cell r="B274" t="str">
            <v>Agrosuper Asia1030706</v>
          </cell>
          <cell r="C274">
            <v>1030706</v>
          </cell>
          <cell r="E274" t="str">
            <v>Agrosuper Asia</v>
          </cell>
          <cell r="F274" t="str">
            <v>Venta Directa</v>
          </cell>
          <cell r="G274">
            <v>0</v>
          </cell>
          <cell r="H274">
            <v>0</v>
          </cell>
        </row>
        <row r="275">
          <cell r="B275" t="str">
            <v>Africa1030720</v>
          </cell>
          <cell r="C275">
            <v>1030720</v>
          </cell>
          <cell r="E275" t="str">
            <v>Africa</v>
          </cell>
          <cell r="F275" t="str">
            <v>Venta Directa</v>
          </cell>
          <cell r="G275">
            <v>17503.918000000001</v>
          </cell>
          <cell r="H275">
            <v>0</v>
          </cell>
        </row>
        <row r="276">
          <cell r="B276" t="str">
            <v>Agro Sudamerica1030720</v>
          </cell>
          <cell r="C276">
            <v>1030720</v>
          </cell>
          <cell r="E276" t="str">
            <v>Agro Sudamerica</v>
          </cell>
          <cell r="F276" t="str">
            <v>Venta Directa</v>
          </cell>
          <cell r="G276">
            <v>41884.619999999995</v>
          </cell>
          <cell r="H276">
            <v>41884.619999999995</v>
          </cell>
        </row>
        <row r="277">
          <cell r="B277" t="str">
            <v>Andes Asia1030727</v>
          </cell>
          <cell r="C277">
            <v>1030727</v>
          </cell>
          <cell r="E277" t="str">
            <v>Andes Asia</v>
          </cell>
          <cell r="F277" t="str">
            <v>Venta Directa</v>
          </cell>
          <cell r="G277">
            <v>0</v>
          </cell>
          <cell r="H277">
            <v>0</v>
          </cell>
        </row>
        <row r="278">
          <cell r="B278" t="str">
            <v>Andes Asia1030730</v>
          </cell>
          <cell r="C278">
            <v>1030730</v>
          </cell>
          <cell r="E278" t="str">
            <v>Andes Asia</v>
          </cell>
          <cell r="F278" t="str">
            <v>Venta Directa</v>
          </cell>
          <cell r="G278">
            <v>0</v>
          </cell>
          <cell r="H278">
            <v>0</v>
          </cell>
        </row>
        <row r="279">
          <cell r="B279" t="str">
            <v>Andes Asia1030731</v>
          </cell>
          <cell r="C279">
            <v>1030731</v>
          </cell>
          <cell r="E279" t="str">
            <v>Andes Asia</v>
          </cell>
          <cell r="F279" t="str">
            <v>Venta Directa</v>
          </cell>
          <cell r="G279">
            <v>0</v>
          </cell>
          <cell r="H279">
            <v>0</v>
          </cell>
        </row>
        <row r="280">
          <cell r="B280" t="str">
            <v>Agro Sudamerica1030732</v>
          </cell>
          <cell r="C280">
            <v>1030732</v>
          </cell>
          <cell r="E280" t="str">
            <v>Agro Sudamerica</v>
          </cell>
          <cell r="F280" t="str">
            <v>Venta Directa</v>
          </cell>
          <cell r="G280">
            <v>0</v>
          </cell>
          <cell r="H280">
            <v>0</v>
          </cell>
        </row>
        <row r="281">
          <cell r="B281" t="str">
            <v>Agro Sudamerica1030736</v>
          </cell>
          <cell r="C281">
            <v>1030736</v>
          </cell>
          <cell r="E281" t="str">
            <v>Agro Sudamerica</v>
          </cell>
          <cell r="F281" t="str">
            <v>Venta Directa</v>
          </cell>
          <cell r="G281">
            <v>0</v>
          </cell>
          <cell r="H281">
            <v>0</v>
          </cell>
        </row>
        <row r="282">
          <cell r="B282" t="str">
            <v>Agrosuper Asia1030739</v>
          </cell>
          <cell r="C282">
            <v>1030739</v>
          </cell>
          <cell r="E282" t="str">
            <v>Agrosuper Asia</v>
          </cell>
          <cell r="F282" t="str">
            <v>Venta Directa</v>
          </cell>
          <cell r="G282">
            <v>0</v>
          </cell>
          <cell r="H282">
            <v>0</v>
          </cell>
        </row>
        <row r="283">
          <cell r="B283" t="str">
            <v>Agrosuper Brasil1030740</v>
          </cell>
          <cell r="C283">
            <v>1030740</v>
          </cell>
          <cell r="E283" t="str">
            <v>Agrosuper Brasil</v>
          </cell>
          <cell r="F283" t="str">
            <v>Venta Directa</v>
          </cell>
          <cell r="G283">
            <v>0</v>
          </cell>
          <cell r="H283">
            <v>0</v>
          </cell>
        </row>
        <row r="284">
          <cell r="B284" t="str">
            <v>Africa1030744</v>
          </cell>
          <cell r="C284">
            <v>1030744</v>
          </cell>
          <cell r="E284" t="str">
            <v>Africa</v>
          </cell>
          <cell r="F284" t="str">
            <v>Venta Directa</v>
          </cell>
          <cell r="G284">
            <v>0</v>
          </cell>
          <cell r="H284">
            <v>10380</v>
          </cell>
        </row>
        <row r="285">
          <cell r="B285" t="str">
            <v>Agro Sudamerica1030753</v>
          </cell>
          <cell r="C285">
            <v>1030753</v>
          </cell>
          <cell r="E285" t="str">
            <v>Agro Sudamerica</v>
          </cell>
          <cell r="F285" t="str">
            <v>Venta Directa</v>
          </cell>
          <cell r="G285">
            <v>0</v>
          </cell>
          <cell r="H285">
            <v>0</v>
          </cell>
        </row>
        <row r="286">
          <cell r="B286" t="str">
            <v>Agro Sudamerica1030755</v>
          </cell>
          <cell r="C286">
            <v>1030755</v>
          </cell>
          <cell r="E286" t="str">
            <v>Agro Sudamerica</v>
          </cell>
          <cell r="F286" t="str">
            <v>Venta Directa</v>
          </cell>
          <cell r="G286">
            <v>0</v>
          </cell>
          <cell r="H286">
            <v>0</v>
          </cell>
        </row>
        <row r="287">
          <cell r="B287" t="str">
            <v>Agro Sudamerica1030780</v>
          </cell>
          <cell r="C287">
            <v>1030780</v>
          </cell>
          <cell r="E287" t="str">
            <v>Agro Sudamerica</v>
          </cell>
          <cell r="F287" t="str">
            <v>Venta Directa</v>
          </cell>
          <cell r="G287">
            <v>0</v>
          </cell>
          <cell r="H287">
            <v>0</v>
          </cell>
        </row>
        <row r="288">
          <cell r="B288" t="str">
            <v>Africa1030788</v>
          </cell>
          <cell r="C288">
            <v>1030788</v>
          </cell>
          <cell r="E288" t="str">
            <v>Africa</v>
          </cell>
          <cell r="F288" t="str">
            <v>Venta Directa</v>
          </cell>
          <cell r="G288">
            <v>0</v>
          </cell>
          <cell r="H288">
            <v>0</v>
          </cell>
        </row>
        <row r="289">
          <cell r="B289" t="str">
            <v>Agro Sudamerica1020017</v>
          </cell>
          <cell r="C289">
            <v>1020017</v>
          </cell>
          <cell r="E289" t="str">
            <v>Agro Sudamerica</v>
          </cell>
          <cell r="G289">
            <v>0</v>
          </cell>
          <cell r="H289">
            <v>0</v>
          </cell>
        </row>
        <row r="290">
          <cell r="B290" t="str">
            <v>Agrosuper Asia1020037</v>
          </cell>
          <cell r="C290">
            <v>1020037</v>
          </cell>
          <cell r="E290" t="str">
            <v>Agrosuper Asia</v>
          </cell>
          <cell r="G290">
            <v>0</v>
          </cell>
          <cell r="H290">
            <v>0</v>
          </cell>
        </row>
        <row r="291">
          <cell r="B291" t="str">
            <v>Agro Sudamerica1020086</v>
          </cell>
          <cell r="C291">
            <v>1020086</v>
          </cell>
          <cell r="E291" t="str">
            <v>Agro Sudamerica</v>
          </cell>
          <cell r="G291">
            <v>0</v>
          </cell>
          <cell r="H291">
            <v>0</v>
          </cell>
        </row>
        <row r="292">
          <cell r="B292" t="str">
            <v>Exportacion Directa1020105</v>
          </cell>
          <cell r="C292">
            <v>1020105</v>
          </cell>
          <cell r="E292" t="str">
            <v>Exportacion Directa</v>
          </cell>
          <cell r="G292">
            <v>37379.154989693838</v>
          </cell>
          <cell r="H292">
            <v>39999.9997</v>
          </cell>
        </row>
        <row r="293">
          <cell r="B293" t="str">
            <v>Exportacion Directa1020110</v>
          </cell>
          <cell r="C293">
            <v>1020110</v>
          </cell>
          <cell r="E293" t="str">
            <v>Exportacion Directa</v>
          </cell>
          <cell r="G293">
            <v>820992.69</v>
          </cell>
          <cell r="H293">
            <v>438095.43826851575</v>
          </cell>
        </row>
        <row r="294">
          <cell r="B294" t="str">
            <v>Exportacion Directa1020284</v>
          </cell>
          <cell r="C294">
            <v>1020284</v>
          </cell>
          <cell r="E294" t="str">
            <v>Exportacion Directa</v>
          </cell>
          <cell r="G294">
            <v>0</v>
          </cell>
          <cell r="H294">
            <v>5000</v>
          </cell>
        </row>
        <row r="295">
          <cell r="B295" t="str">
            <v>Exportacion Directa1020326</v>
          </cell>
          <cell r="C295">
            <v>1020326</v>
          </cell>
          <cell r="E295" t="str">
            <v>Exportacion Directa</v>
          </cell>
          <cell r="G295">
            <v>299208.03999999998</v>
          </cell>
          <cell r="H295">
            <v>264000</v>
          </cell>
        </row>
        <row r="296">
          <cell r="B296" t="str">
            <v>Agro Sudamerica1020339</v>
          </cell>
          <cell r="C296">
            <v>1020339</v>
          </cell>
          <cell r="E296" t="str">
            <v>Agro Sudamerica</v>
          </cell>
          <cell r="G296">
            <v>24001.524000000001</v>
          </cell>
          <cell r="H296">
            <v>0</v>
          </cell>
        </row>
        <row r="297">
          <cell r="B297" t="str">
            <v>Agro Sudamerica1020349</v>
          </cell>
          <cell r="C297">
            <v>1020349</v>
          </cell>
          <cell r="E297" t="str">
            <v>Agro Sudamerica</v>
          </cell>
          <cell r="G297">
            <v>76680.255999999994</v>
          </cell>
          <cell r="H297">
            <v>97250.041999999987</v>
          </cell>
        </row>
        <row r="298">
          <cell r="B298" t="str">
            <v>Agro Sudamerica1020352</v>
          </cell>
          <cell r="C298">
            <v>1020352</v>
          </cell>
          <cell r="E298" t="str">
            <v>Agro Sudamerica</v>
          </cell>
          <cell r="G298">
            <v>58231.566999999995</v>
          </cell>
          <cell r="H298">
            <v>54437.850999999995</v>
          </cell>
        </row>
        <row r="299">
          <cell r="B299" t="str">
            <v>Agro Sudamerica1020367</v>
          </cell>
          <cell r="C299">
            <v>1020367</v>
          </cell>
          <cell r="E299" t="str">
            <v>Agro Sudamerica</v>
          </cell>
          <cell r="G299">
            <v>201358.26772376476</v>
          </cell>
          <cell r="H299">
            <v>216000</v>
          </cell>
        </row>
        <row r="300">
          <cell r="B300" t="str">
            <v>Agro Sudamerica1020412</v>
          </cell>
          <cell r="C300">
            <v>1020412</v>
          </cell>
          <cell r="E300" t="str">
            <v>Agro Sudamerica</v>
          </cell>
          <cell r="G300">
            <v>173986.71400000001</v>
          </cell>
          <cell r="H300">
            <v>144000</v>
          </cell>
        </row>
        <row r="301">
          <cell r="B301" t="str">
            <v>Exportacion Directa1020589</v>
          </cell>
          <cell r="C301">
            <v>1020589</v>
          </cell>
          <cell r="E301" t="str">
            <v>Exportacion Directa</v>
          </cell>
          <cell r="G301">
            <v>108903.89467314497</v>
          </cell>
          <cell r="H301">
            <v>120000</v>
          </cell>
        </row>
        <row r="302">
          <cell r="B302" t="str">
            <v>Exportacion Directa1020592</v>
          </cell>
          <cell r="C302">
            <v>1020592</v>
          </cell>
          <cell r="E302" t="str">
            <v>Exportacion Directa</v>
          </cell>
          <cell r="G302">
            <v>163863.88995887671</v>
          </cell>
          <cell r="H302">
            <v>170000.00189999997</v>
          </cell>
        </row>
        <row r="303">
          <cell r="B303" t="str">
            <v>Exportacion Directa1020620</v>
          </cell>
          <cell r="C303">
            <v>1020620</v>
          </cell>
          <cell r="E303" t="str">
            <v>Exportacion Directa</v>
          </cell>
          <cell r="G303">
            <v>35553.996399999996</v>
          </cell>
          <cell r="H303">
            <v>30000.00030150931</v>
          </cell>
        </row>
        <row r="304">
          <cell r="B304" t="str">
            <v>Exportacion Directa1020636</v>
          </cell>
          <cell r="C304">
            <v>1020636</v>
          </cell>
          <cell r="E304" t="str">
            <v>Exportacion Directa</v>
          </cell>
          <cell r="G304">
            <v>11005.422412363645</v>
          </cell>
          <cell r="H304">
            <v>13000</v>
          </cell>
        </row>
        <row r="305">
          <cell r="B305" t="str">
            <v>Exportacion Directa1020637</v>
          </cell>
          <cell r="C305">
            <v>1020637</v>
          </cell>
          <cell r="E305" t="str">
            <v>Exportacion Directa</v>
          </cell>
          <cell r="G305">
            <v>270481.36500000005</v>
          </cell>
          <cell r="H305">
            <v>189999.99824239605</v>
          </cell>
        </row>
        <row r="306">
          <cell r="B306" t="str">
            <v>Exportacion Directa1020662</v>
          </cell>
          <cell r="C306">
            <v>1020662</v>
          </cell>
          <cell r="E306" t="str">
            <v>Exportacion Directa</v>
          </cell>
          <cell r="G306">
            <v>18503.702000000001</v>
          </cell>
          <cell r="H306">
            <v>20000</v>
          </cell>
        </row>
        <row r="307">
          <cell r="B307" t="str">
            <v>Exportacion Directa1020664</v>
          </cell>
          <cell r="C307">
            <v>1020664</v>
          </cell>
          <cell r="E307" t="str">
            <v>Exportacion Directa</v>
          </cell>
          <cell r="G307">
            <v>4915.2159700000002</v>
          </cell>
          <cell r="H307">
            <v>2999.9999700000003</v>
          </cell>
        </row>
        <row r="308">
          <cell r="B308" t="str">
            <v>Exportacion Directa1020665</v>
          </cell>
          <cell r="C308">
            <v>1020665</v>
          </cell>
          <cell r="E308" t="str">
            <v>Exportacion Directa</v>
          </cell>
          <cell r="G308">
            <v>0</v>
          </cell>
          <cell r="H308">
            <v>5000</v>
          </cell>
        </row>
        <row r="309">
          <cell r="B309" t="str">
            <v>Exportacion Directa1020678</v>
          </cell>
          <cell r="C309">
            <v>1020678</v>
          </cell>
          <cell r="E309" t="str">
            <v>Exportacion Directa</v>
          </cell>
          <cell r="G309">
            <v>0</v>
          </cell>
          <cell r="H309">
            <v>0</v>
          </cell>
        </row>
        <row r="310">
          <cell r="B310" t="str">
            <v>Exportacion Directa1020681</v>
          </cell>
          <cell r="C310">
            <v>1020681</v>
          </cell>
          <cell r="E310" t="str">
            <v>Exportacion Directa</v>
          </cell>
          <cell r="G310">
            <v>10000</v>
          </cell>
          <cell r="H310">
            <v>9715.11312125517</v>
          </cell>
        </row>
        <row r="311">
          <cell r="B311" t="str">
            <v>Exportacion Directa1020682</v>
          </cell>
          <cell r="C311">
            <v>1020682</v>
          </cell>
          <cell r="E311" t="str">
            <v>Exportacion Directa</v>
          </cell>
          <cell r="G311">
            <v>0</v>
          </cell>
          <cell r="H311">
            <v>0</v>
          </cell>
        </row>
        <row r="312">
          <cell r="B312" t="str">
            <v>Exportacion Directa1020704</v>
          </cell>
          <cell r="C312">
            <v>1020704</v>
          </cell>
          <cell r="E312" t="str">
            <v>Exportacion Directa</v>
          </cell>
          <cell r="G312">
            <v>1311.3489099999999</v>
          </cell>
          <cell r="H312">
            <v>1000.0000022115269</v>
          </cell>
        </row>
        <row r="313">
          <cell r="B313" t="str">
            <v>Exportacion Directa1020715</v>
          </cell>
          <cell r="C313">
            <v>1020715</v>
          </cell>
          <cell r="E313" t="str">
            <v>Exportacion Directa</v>
          </cell>
          <cell r="G313">
            <v>1549.335</v>
          </cell>
          <cell r="H313">
            <v>2000</v>
          </cell>
        </row>
        <row r="314">
          <cell r="B314" t="str">
            <v>Exportacion Directa1020731</v>
          </cell>
          <cell r="C314">
            <v>1020731</v>
          </cell>
          <cell r="E314" t="str">
            <v>Exportacion Directa</v>
          </cell>
          <cell r="G314">
            <v>24915.810400000002</v>
          </cell>
          <cell r="H314">
            <v>18978.392182481304</v>
          </cell>
        </row>
        <row r="315">
          <cell r="B315" t="str">
            <v>Exportacion Directa1020758</v>
          </cell>
          <cell r="C315">
            <v>1020758</v>
          </cell>
          <cell r="E315" t="str">
            <v>Exportacion Directa</v>
          </cell>
          <cell r="G315">
            <v>5091.9889999999996</v>
          </cell>
          <cell r="H315">
            <v>3000</v>
          </cell>
        </row>
        <row r="316">
          <cell r="B316" t="str">
            <v>Exportacion Directa1020774</v>
          </cell>
          <cell r="C316">
            <v>1020774</v>
          </cell>
          <cell r="E316" t="str">
            <v>Exportacion Directa</v>
          </cell>
          <cell r="G316">
            <v>10890</v>
          </cell>
          <cell r="H316">
            <v>8000</v>
          </cell>
        </row>
        <row r="317">
          <cell r="B317" t="str">
            <v>Exportacion Directa1020802</v>
          </cell>
          <cell r="C317">
            <v>1020802</v>
          </cell>
          <cell r="E317" t="str">
            <v>Exportacion Directa</v>
          </cell>
          <cell r="G317">
            <v>94782.684600000008</v>
          </cell>
          <cell r="H317">
            <v>77999.99967824023</v>
          </cell>
        </row>
        <row r="318">
          <cell r="B318" t="str">
            <v>Exportacion Directa1020810</v>
          </cell>
          <cell r="C318">
            <v>1020810</v>
          </cell>
          <cell r="E318" t="str">
            <v>Exportacion Directa</v>
          </cell>
          <cell r="G318">
            <v>1388.9799999999996</v>
          </cell>
          <cell r="H318">
            <v>2000</v>
          </cell>
        </row>
        <row r="319">
          <cell r="B319" t="str">
            <v>Agro Sudamerica1020848</v>
          </cell>
          <cell r="C319">
            <v>1020848</v>
          </cell>
          <cell r="E319" t="str">
            <v>Agro Sudamerica</v>
          </cell>
          <cell r="G319">
            <v>104.49632</v>
          </cell>
          <cell r="H319">
            <v>8.8658433128330216E-7</v>
          </cell>
        </row>
        <row r="320">
          <cell r="B320" t="str">
            <v>Agrosuper Asia1020860</v>
          </cell>
          <cell r="C320">
            <v>1020860</v>
          </cell>
          <cell r="E320" t="str">
            <v>Agrosuper Asia</v>
          </cell>
          <cell r="G320">
            <v>161544.31219999999</v>
          </cell>
          <cell r="H320">
            <v>154000.00097626439</v>
          </cell>
        </row>
        <row r="321">
          <cell r="B321" t="str">
            <v>Agrosuper Asia1020861</v>
          </cell>
          <cell r="C321">
            <v>1020861</v>
          </cell>
          <cell r="E321" t="str">
            <v>Agrosuper Asia</v>
          </cell>
          <cell r="G321">
            <v>129939.519</v>
          </cell>
          <cell r="H321">
            <v>109999.9998234932</v>
          </cell>
        </row>
        <row r="322">
          <cell r="B322" t="str">
            <v>Agrosuper Asia1020862</v>
          </cell>
          <cell r="C322">
            <v>1020862</v>
          </cell>
          <cell r="E322" t="str">
            <v>Agrosuper Asia</v>
          </cell>
          <cell r="G322">
            <v>0</v>
          </cell>
          <cell r="H322">
            <v>0</v>
          </cell>
        </row>
        <row r="323">
          <cell r="B323" t="str">
            <v>Agrosuper Asia1020864</v>
          </cell>
          <cell r="C323">
            <v>1020864</v>
          </cell>
          <cell r="E323" t="str">
            <v>Agrosuper Asia</v>
          </cell>
          <cell r="G323">
            <v>0</v>
          </cell>
          <cell r="H323">
            <v>0</v>
          </cell>
        </row>
        <row r="324">
          <cell r="B324" t="str">
            <v>Agro Sudamerica1020869</v>
          </cell>
          <cell r="C324">
            <v>1020869</v>
          </cell>
          <cell r="E324" t="str">
            <v>Agro Sudamerica</v>
          </cell>
          <cell r="G324">
            <v>34000</v>
          </cell>
          <cell r="H324">
            <v>34000</v>
          </cell>
        </row>
        <row r="325">
          <cell r="B325" t="str">
            <v>Agro Sudamerica1020886</v>
          </cell>
          <cell r="C325">
            <v>1020886</v>
          </cell>
          <cell r="E325" t="str">
            <v>Agro Sudamerica</v>
          </cell>
          <cell r="G325">
            <v>22576.052</v>
          </cell>
          <cell r="H325">
            <v>24000</v>
          </cell>
        </row>
        <row r="326">
          <cell r="B326" t="str">
            <v>Agrosuper Asia1020904</v>
          </cell>
          <cell r="C326">
            <v>1020904</v>
          </cell>
          <cell r="E326" t="str">
            <v>Agrosuper Asia</v>
          </cell>
          <cell r="G326">
            <v>0</v>
          </cell>
          <cell r="H326">
            <v>0</v>
          </cell>
        </row>
        <row r="327">
          <cell r="B327" t="str">
            <v>Agrosuper Asia1020905</v>
          </cell>
          <cell r="C327">
            <v>1020905</v>
          </cell>
          <cell r="E327" t="str">
            <v>Agrosuper Asia</v>
          </cell>
          <cell r="G327">
            <v>0</v>
          </cell>
          <cell r="H327">
            <v>0</v>
          </cell>
        </row>
        <row r="328">
          <cell r="B328" t="str">
            <v>Agrosuper Asia1020906</v>
          </cell>
          <cell r="C328">
            <v>1020906</v>
          </cell>
          <cell r="E328" t="str">
            <v>Agrosuper Asia</v>
          </cell>
          <cell r="G328">
            <v>0</v>
          </cell>
          <cell r="H328">
            <v>0</v>
          </cell>
        </row>
        <row r="329">
          <cell r="B329" t="str">
            <v>Exportacion Directa1020914</v>
          </cell>
          <cell r="C329">
            <v>1020914</v>
          </cell>
          <cell r="E329" t="str">
            <v>Exportacion Directa</v>
          </cell>
          <cell r="G329">
            <v>9846</v>
          </cell>
          <cell r="H329">
            <v>9000</v>
          </cell>
        </row>
        <row r="330">
          <cell r="B330" t="str">
            <v>Agro Sudamerica1020915</v>
          </cell>
          <cell r="C330">
            <v>1020915</v>
          </cell>
          <cell r="E330" t="str">
            <v>Agro Sudamerica</v>
          </cell>
          <cell r="G330">
            <v>4000</v>
          </cell>
          <cell r="H330">
            <v>0</v>
          </cell>
        </row>
        <row r="331">
          <cell r="B331" t="e">
            <v>#N/A</v>
          </cell>
          <cell r="C331">
            <v>1020924</v>
          </cell>
          <cell r="E331" t="e">
            <v>#N/A</v>
          </cell>
          <cell r="G331">
            <v>24000</v>
          </cell>
          <cell r="H331">
            <v>24000</v>
          </cell>
        </row>
        <row r="332">
          <cell r="B332" t="str">
            <v>Agro Sudamerica1020925</v>
          </cell>
          <cell r="C332">
            <v>1020925</v>
          </cell>
          <cell r="E332" t="str">
            <v>Agro Sudamerica</v>
          </cell>
          <cell r="G332">
            <v>110242.02499999999</v>
          </cell>
          <cell r="H332">
            <v>96000.000107973465</v>
          </cell>
        </row>
        <row r="333">
          <cell r="B333" t="str">
            <v>1020927</v>
          </cell>
          <cell r="C333">
            <v>1020927</v>
          </cell>
          <cell r="G333">
            <v>0</v>
          </cell>
          <cell r="H333">
            <v>0</v>
          </cell>
        </row>
        <row r="334">
          <cell r="B334" t="str">
            <v>Agro Sudamerica1020944</v>
          </cell>
          <cell r="C334">
            <v>1020944</v>
          </cell>
          <cell r="E334" t="str">
            <v>Agro Sudamerica</v>
          </cell>
          <cell r="G334">
            <v>264000</v>
          </cell>
          <cell r="H334">
            <v>336000</v>
          </cell>
        </row>
        <row r="335">
          <cell r="B335" t="str">
            <v>Agro Sudamerica1020945</v>
          </cell>
          <cell r="C335">
            <v>1020945</v>
          </cell>
          <cell r="E335" t="str">
            <v>Agro Sudamerica</v>
          </cell>
          <cell r="G335">
            <v>0</v>
          </cell>
          <cell r="H335">
            <v>0</v>
          </cell>
        </row>
        <row r="336">
          <cell r="B336" t="str">
            <v>Exportacion Directa1020990</v>
          </cell>
          <cell r="C336">
            <v>1020990</v>
          </cell>
          <cell r="E336" t="str">
            <v>Exportacion Directa</v>
          </cell>
          <cell r="G336">
            <v>0</v>
          </cell>
          <cell r="H336">
            <v>5000</v>
          </cell>
        </row>
        <row r="337">
          <cell r="B337" t="str">
            <v>Exportacion Directa1020991</v>
          </cell>
          <cell r="C337">
            <v>1020991</v>
          </cell>
          <cell r="E337" t="str">
            <v>Exportacion Directa</v>
          </cell>
          <cell r="G337">
            <v>9428.2551999999996</v>
          </cell>
          <cell r="H337">
            <v>15000.000200000002</v>
          </cell>
        </row>
        <row r="338">
          <cell r="B338" t="str">
            <v>Agro Sudamerica1021007</v>
          </cell>
          <cell r="C338">
            <v>1021007</v>
          </cell>
          <cell r="E338" t="str">
            <v>Agro Sudamerica</v>
          </cell>
          <cell r="G338">
            <v>0</v>
          </cell>
          <cell r="H338">
            <v>0</v>
          </cell>
        </row>
        <row r="339">
          <cell r="B339" t="str">
            <v>Agrosuper Asia1021012</v>
          </cell>
          <cell r="C339">
            <v>1021012</v>
          </cell>
          <cell r="E339" t="str">
            <v>Agrosuper Asia</v>
          </cell>
          <cell r="G339">
            <v>131789.50103975469</v>
          </cell>
          <cell r="H339">
            <v>197999.99899999998</v>
          </cell>
        </row>
        <row r="340">
          <cell r="B340" t="str">
            <v>Agrosuper Asia1021013</v>
          </cell>
          <cell r="C340">
            <v>1021013</v>
          </cell>
          <cell r="E340" t="str">
            <v>Agrosuper Asia</v>
          </cell>
          <cell r="G340">
            <v>0</v>
          </cell>
          <cell r="H340">
            <v>0</v>
          </cell>
        </row>
        <row r="341">
          <cell r="B341" t="str">
            <v>1021021</v>
          </cell>
          <cell r="C341">
            <v>1021021</v>
          </cell>
          <cell r="G341">
            <v>0</v>
          </cell>
          <cell r="H341">
            <v>0</v>
          </cell>
        </row>
        <row r="342">
          <cell r="B342" t="str">
            <v>Agro Sudamerica1021023</v>
          </cell>
          <cell r="C342">
            <v>1021023</v>
          </cell>
          <cell r="E342" t="str">
            <v>Agro Sudamerica</v>
          </cell>
          <cell r="G342">
            <v>69094.3428655022</v>
          </cell>
          <cell r="H342">
            <v>93456.038</v>
          </cell>
        </row>
        <row r="343">
          <cell r="B343" t="str">
            <v>Agro Sudamerica1021039</v>
          </cell>
          <cell r="C343">
            <v>1021039</v>
          </cell>
          <cell r="E343" t="str">
            <v>Agro Sudamerica</v>
          </cell>
          <cell r="G343">
            <v>9382.3430000000008</v>
          </cell>
          <cell r="H343">
            <v>0</v>
          </cell>
        </row>
        <row r="344">
          <cell r="B344" t="str">
            <v>Agrosuper Asia1021045</v>
          </cell>
          <cell r="C344">
            <v>1021045</v>
          </cell>
          <cell r="E344" t="str">
            <v>Agrosuper Asia</v>
          </cell>
          <cell r="G344">
            <v>22988.994000000002</v>
          </cell>
          <cell r="H344">
            <v>44000</v>
          </cell>
        </row>
        <row r="345">
          <cell r="B345" t="str">
            <v>Agrosuper Asia1021046</v>
          </cell>
          <cell r="C345">
            <v>1021046</v>
          </cell>
          <cell r="E345" t="str">
            <v>Agrosuper Asia</v>
          </cell>
          <cell r="G345">
            <v>57405.165999999997</v>
          </cell>
          <cell r="H345">
            <v>60377.490999999995</v>
          </cell>
        </row>
        <row r="346">
          <cell r="B346" t="str">
            <v>Agrosuper Asia1021047</v>
          </cell>
          <cell r="C346">
            <v>1021047</v>
          </cell>
          <cell r="E346" t="str">
            <v>Agrosuper Asia</v>
          </cell>
          <cell r="G346">
            <v>0</v>
          </cell>
          <cell r="H346">
            <v>0</v>
          </cell>
        </row>
        <row r="347">
          <cell r="B347" t="str">
            <v>1021051</v>
          </cell>
          <cell r="C347">
            <v>1021051</v>
          </cell>
          <cell r="G347">
            <v>0</v>
          </cell>
          <cell r="H347">
            <v>0</v>
          </cell>
        </row>
        <row r="348">
          <cell r="B348" t="str">
            <v>Africa1021068</v>
          </cell>
          <cell r="C348">
            <v>1021068</v>
          </cell>
          <cell r="E348" t="str">
            <v>Africa</v>
          </cell>
          <cell r="G348">
            <v>0</v>
          </cell>
          <cell r="H348">
            <v>0</v>
          </cell>
        </row>
        <row r="349">
          <cell r="B349" t="str">
            <v>Agro Sudamerica1021077</v>
          </cell>
          <cell r="C349">
            <v>1021077</v>
          </cell>
          <cell r="E349" t="str">
            <v>Agro Sudamerica</v>
          </cell>
          <cell r="G349">
            <v>80881.936000000002</v>
          </cell>
          <cell r="H349">
            <v>0</v>
          </cell>
        </row>
        <row r="350">
          <cell r="B350" t="str">
            <v>Agro Sudamerica1021078</v>
          </cell>
          <cell r="C350">
            <v>1021078</v>
          </cell>
          <cell r="E350" t="str">
            <v>Agro Sudamerica</v>
          </cell>
          <cell r="G350">
            <v>80034.146030383825</v>
          </cell>
          <cell r="H350">
            <v>144000.00030000001</v>
          </cell>
        </row>
        <row r="351">
          <cell r="B351" t="str">
            <v>Agro Sudamerica1021082</v>
          </cell>
          <cell r="C351">
            <v>1021082</v>
          </cell>
          <cell r="E351" t="str">
            <v>Agro Sudamerica</v>
          </cell>
          <cell r="G351">
            <v>65820.892000000022</v>
          </cell>
          <cell r="H351">
            <v>72000</v>
          </cell>
        </row>
        <row r="352">
          <cell r="B352" t="str">
            <v>Agro Sudamerica1021085</v>
          </cell>
          <cell r="C352">
            <v>1021085</v>
          </cell>
          <cell r="E352" t="str">
            <v>Agro Sudamerica</v>
          </cell>
          <cell r="G352">
            <v>52876.822</v>
          </cell>
          <cell r="H352">
            <v>48000</v>
          </cell>
        </row>
        <row r="353">
          <cell r="B353" t="str">
            <v>Agro Sudamerica1021092</v>
          </cell>
          <cell r="C353">
            <v>1021092</v>
          </cell>
          <cell r="E353" t="str">
            <v>Agro Sudamerica</v>
          </cell>
          <cell r="G353">
            <v>4399.2172</v>
          </cell>
          <cell r="H353">
            <v>4399.2172</v>
          </cell>
        </row>
        <row r="354">
          <cell r="B354" t="str">
            <v>Agro Sudamerica1021101</v>
          </cell>
          <cell r="C354">
            <v>1021101</v>
          </cell>
          <cell r="E354" t="str">
            <v>Agro Sudamerica</v>
          </cell>
          <cell r="G354">
            <v>9256.6</v>
          </cell>
          <cell r="H354">
            <v>1.8189894035458565E-12</v>
          </cell>
        </row>
        <row r="355">
          <cell r="B355" t="str">
            <v>Agro Sudamerica1021105</v>
          </cell>
          <cell r="C355">
            <v>1021105</v>
          </cell>
          <cell r="E355" t="str">
            <v>Agro Sudamerica</v>
          </cell>
          <cell r="G355">
            <v>0</v>
          </cell>
          <cell r="H355">
            <v>6265.5169999999998</v>
          </cell>
        </row>
        <row r="356">
          <cell r="B356" t="str">
            <v>Agro Sudamerica1021106</v>
          </cell>
          <cell r="C356">
            <v>1021106</v>
          </cell>
          <cell r="E356" t="str">
            <v>Agro Sudamerica</v>
          </cell>
          <cell r="G356">
            <v>96000</v>
          </cell>
          <cell r="H356">
            <v>117505.193</v>
          </cell>
        </row>
        <row r="357">
          <cell r="B357" t="str">
            <v>Agro Sudamerica1021111</v>
          </cell>
          <cell r="C357">
            <v>1021111</v>
          </cell>
          <cell r="E357" t="str">
            <v>Agro Sudamerica</v>
          </cell>
          <cell r="G357">
            <v>0</v>
          </cell>
          <cell r="H357">
            <v>2877.6419999999998</v>
          </cell>
        </row>
        <row r="358">
          <cell r="B358" t="str">
            <v>Agrosuper Shanghai1021115</v>
          </cell>
          <cell r="C358">
            <v>1021115</v>
          </cell>
          <cell r="E358" t="str">
            <v>Agrosuper Shanghai</v>
          </cell>
          <cell r="G358">
            <v>0</v>
          </cell>
          <cell r="H358">
            <v>30323</v>
          </cell>
        </row>
        <row r="359">
          <cell r="B359" t="str">
            <v>Exportacion Directa1021136</v>
          </cell>
          <cell r="C359">
            <v>1021136</v>
          </cell>
          <cell r="E359" t="str">
            <v>Exportacion Directa</v>
          </cell>
          <cell r="G359">
            <v>3588.8983171</v>
          </cell>
          <cell r="H359">
            <v>1182.0783171000003</v>
          </cell>
        </row>
        <row r="360">
          <cell r="B360" t="str">
            <v>Agrosuper Asia1021149</v>
          </cell>
          <cell r="C360">
            <v>1021149</v>
          </cell>
          <cell r="E360" t="str">
            <v>Agrosuper Asia</v>
          </cell>
          <cell r="G360">
            <v>43702.47</v>
          </cell>
          <cell r="H360">
            <v>88000</v>
          </cell>
        </row>
        <row r="361">
          <cell r="B361" t="str">
            <v>Agrosuper Asia1021150</v>
          </cell>
          <cell r="C361">
            <v>1021150</v>
          </cell>
          <cell r="E361" t="str">
            <v>Agrosuper Asia</v>
          </cell>
          <cell r="G361">
            <v>151633</v>
          </cell>
          <cell r="H361">
            <v>110000</v>
          </cell>
        </row>
        <row r="362">
          <cell r="B362" t="str">
            <v>Agrosuper Asia1021151</v>
          </cell>
          <cell r="C362">
            <v>1021151</v>
          </cell>
          <cell r="E362" t="str">
            <v>Agrosuper Asia</v>
          </cell>
          <cell r="G362">
            <v>559.38262000000009</v>
          </cell>
          <cell r="H362">
            <v>23791.602620000001</v>
          </cell>
        </row>
        <row r="363">
          <cell r="B363" t="str">
            <v>Agrosuper Asia1021152</v>
          </cell>
          <cell r="C363">
            <v>1021152</v>
          </cell>
          <cell r="E363" t="str">
            <v>Agrosuper Asia</v>
          </cell>
          <cell r="G363">
            <v>83712</v>
          </cell>
          <cell r="H363">
            <v>88000</v>
          </cell>
        </row>
        <row r="364">
          <cell r="B364" t="str">
            <v>Agrosuper Asia1021153</v>
          </cell>
          <cell r="C364">
            <v>1021153</v>
          </cell>
          <cell r="E364" t="str">
            <v>Agrosuper Asia</v>
          </cell>
          <cell r="G364">
            <v>0</v>
          </cell>
          <cell r="H364">
            <v>0</v>
          </cell>
        </row>
        <row r="365">
          <cell r="B365" t="str">
            <v>Agrosuper Asia1021156</v>
          </cell>
          <cell r="C365">
            <v>1021156</v>
          </cell>
          <cell r="E365" t="str">
            <v>Agrosuper Asia</v>
          </cell>
          <cell r="G365">
            <v>51521.8001</v>
          </cell>
          <cell r="H365">
            <v>0</v>
          </cell>
        </row>
        <row r="366">
          <cell r="B366" t="str">
            <v>Agro Sudamerica1021187</v>
          </cell>
          <cell r="C366">
            <v>1021187</v>
          </cell>
          <cell r="E366" t="str">
            <v>Agro Sudamerica</v>
          </cell>
          <cell r="G366">
            <v>138833.41511569128</v>
          </cell>
          <cell r="H366">
            <v>144000</v>
          </cell>
        </row>
        <row r="367">
          <cell r="B367" t="str">
            <v>Agrosuper Shanghai1021204</v>
          </cell>
          <cell r="C367">
            <v>1021204</v>
          </cell>
          <cell r="D367" t="e">
            <v>#REF!</v>
          </cell>
          <cell r="E367" t="str">
            <v>Agrosuper Shanghai</v>
          </cell>
          <cell r="G367">
            <v>0</v>
          </cell>
          <cell r="H367">
            <v>48000</v>
          </cell>
        </row>
        <row r="368">
          <cell r="B368" t="str">
            <v>Agrosuper Asia1021212</v>
          </cell>
          <cell r="C368">
            <v>1021212</v>
          </cell>
          <cell r="D368" t="e">
            <v>#N/A</v>
          </cell>
          <cell r="E368" t="str">
            <v>Agrosuper Asia</v>
          </cell>
          <cell r="G368">
            <v>0</v>
          </cell>
          <cell r="H368">
            <v>0</v>
          </cell>
        </row>
        <row r="369">
          <cell r="B369" t="e">
            <v>#N/A</v>
          </cell>
          <cell r="C369">
            <v>1021278</v>
          </cell>
          <cell r="D369" t="e">
            <v>#N/A</v>
          </cell>
          <cell r="E369" t="e">
            <v>#N/A</v>
          </cell>
          <cell r="G369">
            <v>48000</v>
          </cell>
          <cell r="H369">
            <v>48000</v>
          </cell>
        </row>
        <row r="370">
          <cell r="B370" t="str">
            <v>Agro Sudamerica1021279</v>
          </cell>
          <cell r="C370">
            <v>1021279</v>
          </cell>
          <cell r="D370" t="e">
            <v>#N/A</v>
          </cell>
          <cell r="E370" t="str">
            <v>Agro Sudamerica</v>
          </cell>
          <cell r="G370">
            <v>0</v>
          </cell>
          <cell r="H370">
            <v>0</v>
          </cell>
        </row>
        <row r="371">
          <cell r="B371" t="str">
            <v>Agro Sudamerica1021385</v>
          </cell>
          <cell r="C371">
            <v>1021385</v>
          </cell>
          <cell r="D371" t="str">
            <v>GO Cue granel Esp CC@ Cj 20k AS</v>
          </cell>
          <cell r="E371" t="str">
            <v>Agro Sudamerica</v>
          </cell>
          <cell r="G371">
            <v>96000</v>
          </cell>
          <cell r="H371">
            <v>144000</v>
          </cell>
        </row>
        <row r="372">
          <cell r="B372" t="str">
            <v>1021423</v>
          </cell>
          <cell r="C372">
            <v>1021423</v>
          </cell>
          <cell r="D372" t="e">
            <v>#N/A</v>
          </cell>
          <cell r="G372">
            <v>0</v>
          </cell>
          <cell r="H372">
            <v>0</v>
          </cell>
        </row>
        <row r="373">
          <cell r="B373" t="str">
            <v>Agrosuper Asia1021470</v>
          </cell>
          <cell r="C373">
            <v>1021470</v>
          </cell>
          <cell r="D373" t="str">
            <v>GO PernilM@ Cj 20k AK</v>
          </cell>
          <cell r="E373" t="str">
            <v>Agrosuper Asia</v>
          </cell>
          <cell r="G373">
            <v>21292.129999999994</v>
          </cell>
          <cell r="H373">
            <v>22000</v>
          </cell>
        </row>
        <row r="374">
          <cell r="B374" t="str">
            <v>Exportacion Directa1021533</v>
          </cell>
          <cell r="C374">
            <v>1021533</v>
          </cell>
          <cell r="D374" t="str">
            <v>GO Panc Mit@ Va Cj 20k AP</v>
          </cell>
          <cell r="E374" t="str">
            <v>Exportacion Directa</v>
          </cell>
          <cell r="G374">
            <v>0</v>
          </cell>
          <cell r="H374">
            <v>0</v>
          </cell>
        </row>
        <row r="375">
          <cell r="B375" t="str">
            <v>Exportacion Directa1021603</v>
          </cell>
          <cell r="C375">
            <v>1021603</v>
          </cell>
          <cell r="D375" t="str">
            <v>GO MM Loin L (MC4-5)@ Fi Cj ch JP</v>
          </cell>
          <cell r="E375" t="str">
            <v>Exportacion Directa</v>
          </cell>
          <cell r="G375">
            <v>6435.3910989907417</v>
          </cell>
          <cell r="H375">
            <v>6999.9999700000008</v>
          </cell>
        </row>
        <row r="376">
          <cell r="B376" t="str">
            <v>Exportacion Directa1021609</v>
          </cell>
          <cell r="C376">
            <v>1021609</v>
          </cell>
          <cell r="D376" t="str">
            <v>GO File C/cab@ IWP Cj 10k SC</v>
          </cell>
          <cell r="E376" t="str">
            <v>Exportacion Directa</v>
          </cell>
          <cell r="G376">
            <v>0</v>
          </cell>
          <cell r="H376">
            <v>0</v>
          </cell>
        </row>
        <row r="377">
          <cell r="B377" t="str">
            <v>Agro Sudamerica1021622</v>
          </cell>
          <cell r="C377">
            <v>1021622</v>
          </cell>
          <cell r="D377" t="str">
            <v>GO BB Ribs 20-24 Oz@ Cj 10k AS</v>
          </cell>
          <cell r="E377" t="str">
            <v>Agro Sudamerica</v>
          </cell>
          <cell r="G377">
            <v>0</v>
          </cell>
          <cell r="H377">
            <v>12000</v>
          </cell>
        </row>
        <row r="378">
          <cell r="B378" t="str">
            <v>Agro Sudamerica1021623</v>
          </cell>
          <cell r="C378">
            <v>1021623</v>
          </cell>
          <cell r="D378" t="e">
            <v>#N/A</v>
          </cell>
          <cell r="E378" t="str">
            <v>Agro Sudamerica</v>
          </cell>
          <cell r="G378">
            <v>0</v>
          </cell>
          <cell r="H378">
            <v>0</v>
          </cell>
        </row>
        <row r="379">
          <cell r="B379" t="str">
            <v>1021631</v>
          </cell>
          <cell r="C379">
            <v>1021631</v>
          </cell>
          <cell r="D379" t="e">
            <v>#N/A</v>
          </cell>
          <cell r="G379">
            <v>0</v>
          </cell>
          <cell r="H379">
            <v>0</v>
          </cell>
        </row>
        <row r="380">
          <cell r="B380" t="str">
            <v>Agro Sudamerica1021639</v>
          </cell>
          <cell r="C380">
            <v>1021639</v>
          </cell>
          <cell r="D380" t="str">
            <v>GO File C/cab@ Cj 5k AS</v>
          </cell>
          <cell r="E380" t="str">
            <v>Agro Sudamerica</v>
          </cell>
          <cell r="G380">
            <v>0</v>
          </cell>
          <cell r="H380">
            <v>0</v>
          </cell>
        </row>
        <row r="381">
          <cell r="B381" t="str">
            <v>Agrosuper Asia1021649</v>
          </cell>
          <cell r="C381">
            <v>1021649</v>
          </cell>
          <cell r="D381" t="str">
            <v>GO Panc# Cj 10k AK</v>
          </cell>
          <cell r="E381" t="str">
            <v>Agrosuper Asia</v>
          </cell>
          <cell r="G381">
            <v>0</v>
          </cell>
          <cell r="H381">
            <v>0</v>
          </cell>
        </row>
        <row r="382">
          <cell r="B382" t="str">
            <v>Agrosuper Asia1021650</v>
          </cell>
          <cell r="C382">
            <v>1021650</v>
          </cell>
          <cell r="D382" t="e">
            <v>#N/A</v>
          </cell>
          <cell r="E382" t="str">
            <v>Agrosuper Asia</v>
          </cell>
          <cell r="G382">
            <v>0</v>
          </cell>
          <cell r="H382">
            <v>0</v>
          </cell>
        </row>
        <row r="383">
          <cell r="B383" t="str">
            <v>Agrosuper Asia1021655</v>
          </cell>
          <cell r="C383">
            <v>1021655</v>
          </cell>
          <cell r="D383" t="str">
            <v>GO Estómago Pouch@ Bo Cj 10k AS</v>
          </cell>
          <cell r="E383" t="str">
            <v>Agrosuper Asia</v>
          </cell>
          <cell r="G383">
            <v>0</v>
          </cell>
          <cell r="H383">
            <v>0</v>
          </cell>
        </row>
        <row r="384">
          <cell r="B384" t="str">
            <v>Agrosuper Asia1021656</v>
          </cell>
          <cell r="C384">
            <v>1021656</v>
          </cell>
          <cell r="D384" t="e">
            <v>#N/A</v>
          </cell>
          <cell r="E384" t="str">
            <v>Agrosuper Asia</v>
          </cell>
          <cell r="G384">
            <v>0</v>
          </cell>
          <cell r="H384">
            <v>0</v>
          </cell>
        </row>
        <row r="385">
          <cell r="B385" t="str">
            <v>Agrosuper Asia1021657</v>
          </cell>
          <cell r="C385">
            <v>1021657</v>
          </cell>
          <cell r="D385" t="e">
            <v>#N/A</v>
          </cell>
          <cell r="E385" t="str">
            <v>Agrosuper Asia</v>
          </cell>
          <cell r="G385">
            <v>0</v>
          </cell>
          <cell r="H385">
            <v>0</v>
          </cell>
        </row>
        <row r="386">
          <cell r="B386" t="str">
            <v>Agrosuper Asia1021664</v>
          </cell>
          <cell r="C386">
            <v>1021664</v>
          </cell>
          <cell r="D386" t="str">
            <v>GO Pecho S/cue K@ Cj 20k TJ</v>
          </cell>
          <cell r="E386" t="str">
            <v>Agrosuper Asia</v>
          </cell>
          <cell r="G386">
            <v>0</v>
          </cell>
          <cell r="H386">
            <v>0</v>
          </cell>
        </row>
        <row r="387">
          <cell r="B387" t="str">
            <v>Agrosuper Asia1021665</v>
          </cell>
          <cell r="C387">
            <v>1021665</v>
          </cell>
          <cell r="D387" t="str">
            <v>GO Pecho S/cue K@ Cj 20k AK</v>
          </cell>
          <cell r="E387" t="str">
            <v>Agrosuper Asia</v>
          </cell>
          <cell r="G387">
            <v>0</v>
          </cell>
          <cell r="H387">
            <v>1260.4169999999999</v>
          </cell>
        </row>
        <row r="388">
          <cell r="B388" t="str">
            <v>Agrosuper Asia1021666</v>
          </cell>
          <cell r="C388">
            <v>1021666</v>
          </cell>
          <cell r="D388" t="e">
            <v>#N/A</v>
          </cell>
          <cell r="E388" t="str">
            <v>Agrosuper Asia</v>
          </cell>
          <cell r="G388">
            <v>0</v>
          </cell>
          <cell r="H388">
            <v>0</v>
          </cell>
        </row>
        <row r="389">
          <cell r="B389" t="str">
            <v>Agrosuper Asia1021667</v>
          </cell>
          <cell r="C389">
            <v>1021667</v>
          </cell>
          <cell r="D389" t="e">
            <v>#N/A</v>
          </cell>
          <cell r="E389" t="str">
            <v>Agrosuper Asia</v>
          </cell>
          <cell r="G389">
            <v>0</v>
          </cell>
          <cell r="H389">
            <v>0</v>
          </cell>
        </row>
        <row r="390">
          <cell r="B390" t="str">
            <v>Agro Sudamerica1021706</v>
          </cell>
          <cell r="C390">
            <v>1021706</v>
          </cell>
          <cell r="D390" t="e">
            <v>#N/A</v>
          </cell>
          <cell r="E390" t="str">
            <v>Agro Sudamerica</v>
          </cell>
          <cell r="G390">
            <v>0</v>
          </cell>
          <cell r="H390">
            <v>0</v>
          </cell>
        </row>
        <row r="391">
          <cell r="B391" t="str">
            <v>Agro Sudamerica1021707</v>
          </cell>
          <cell r="C391">
            <v>1021707</v>
          </cell>
          <cell r="D391" t="e">
            <v>#N/A</v>
          </cell>
          <cell r="E391" t="str">
            <v>Agro Sudamerica</v>
          </cell>
          <cell r="G391">
            <v>0</v>
          </cell>
          <cell r="H391">
            <v>0</v>
          </cell>
        </row>
        <row r="392">
          <cell r="B392" t="str">
            <v>Agro Sudamerica1021709</v>
          </cell>
          <cell r="C392">
            <v>1021709</v>
          </cell>
          <cell r="D392" t="e">
            <v>#N/A</v>
          </cell>
          <cell r="E392" t="str">
            <v>Agro Sudamerica</v>
          </cell>
          <cell r="G392">
            <v>0</v>
          </cell>
          <cell r="H392">
            <v>0</v>
          </cell>
        </row>
        <row r="393">
          <cell r="B393" t="str">
            <v>Agro Sudamerica1021710</v>
          </cell>
          <cell r="C393">
            <v>1021710</v>
          </cell>
          <cell r="D393" t="e">
            <v>#N/A</v>
          </cell>
          <cell r="E393" t="str">
            <v>Agro Sudamerica</v>
          </cell>
          <cell r="G393">
            <v>0</v>
          </cell>
          <cell r="H393">
            <v>0</v>
          </cell>
        </row>
        <row r="394">
          <cell r="B394" t="str">
            <v>Agrosuper Shanghai1021731</v>
          </cell>
          <cell r="C394">
            <v>1021731</v>
          </cell>
          <cell r="D394" t="str">
            <v>GO PernilM@ Cj 20k AS</v>
          </cell>
          <cell r="E394" t="str">
            <v>Agrosuper Shanghai</v>
          </cell>
          <cell r="G394">
            <v>432080.81000000006</v>
          </cell>
          <cell r="H394">
            <v>318328.59920000006</v>
          </cell>
        </row>
        <row r="395">
          <cell r="B395" t="str">
            <v>Agrosuper Shanghai1021733</v>
          </cell>
          <cell r="C395">
            <v>1021733</v>
          </cell>
          <cell r="D395" t="str">
            <v>GO PpPna 59@ Cj 20k AS</v>
          </cell>
          <cell r="E395" t="str">
            <v>Agrosuper Shanghai</v>
          </cell>
          <cell r="G395">
            <v>0</v>
          </cell>
          <cell r="H395">
            <v>0</v>
          </cell>
        </row>
        <row r="396">
          <cell r="B396" t="str">
            <v>Agrosuper Shanghai1021735</v>
          </cell>
          <cell r="C396">
            <v>1021735</v>
          </cell>
          <cell r="D396" t="str">
            <v>GO Patas@ Cj 20k AS</v>
          </cell>
          <cell r="E396" t="str">
            <v>Agrosuper Shanghai</v>
          </cell>
          <cell r="G396">
            <v>81859.392000000007</v>
          </cell>
          <cell r="H396">
            <v>37251.842000000019</v>
          </cell>
        </row>
        <row r="397">
          <cell r="B397" t="str">
            <v>Agrosuper Shanghai1021739</v>
          </cell>
          <cell r="C397">
            <v>1021739</v>
          </cell>
          <cell r="D397" t="str">
            <v>GO Cab Part@ Cj 20k AS</v>
          </cell>
          <cell r="E397" t="str">
            <v>Agrosuper Shanghai</v>
          </cell>
          <cell r="G397">
            <v>0</v>
          </cell>
          <cell r="H397">
            <v>0</v>
          </cell>
        </row>
        <row r="398">
          <cell r="B398" t="str">
            <v>Agrosuper Shanghai1021740</v>
          </cell>
          <cell r="C398">
            <v>1021740</v>
          </cell>
          <cell r="D398" t="e">
            <v>#N/A</v>
          </cell>
          <cell r="E398" t="str">
            <v>Agrosuper Shanghai</v>
          </cell>
          <cell r="G398">
            <v>0</v>
          </cell>
          <cell r="H398">
            <v>0</v>
          </cell>
        </row>
        <row r="399">
          <cell r="B399" t="str">
            <v>Agrosuper Shanghai1021765</v>
          </cell>
          <cell r="C399">
            <v>1021765</v>
          </cell>
          <cell r="D399" t="e">
            <v>#N/A</v>
          </cell>
          <cell r="E399" t="str">
            <v>Agrosuper Shanghai</v>
          </cell>
          <cell r="G399">
            <v>0</v>
          </cell>
          <cell r="H399">
            <v>0</v>
          </cell>
        </row>
        <row r="400">
          <cell r="B400" t="str">
            <v>1021779</v>
          </cell>
          <cell r="C400">
            <v>1021779</v>
          </cell>
          <cell r="D400" t="e">
            <v>#N/A</v>
          </cell>
          <cell r="G400">
            <v>0</v>
          </cell>
          <cell r="H400">
            <v>0</v>
          </cell>
        </row>
        <row r="401">
          <cell r="B401" t="str">
            <v>Agrosuper Brasil1021864</v>
          </cell>
          <cell r="C401">
            <v>1021864</v>
          </cell>
          <cell r="D401" t="str">
            <v>GO Cue Papda CP@ Cj 20k AS</v>
          </cell>
          <cell r="E401" t="str">
            <v>Agrosuper Brasil</v>
          </cell>
          <cell r="G401">
            <v>1.8481279585103039E-4</v>
          </cell>
          <cell r="H401">
            <v>12827.081</v>
          </cell>
        </row>
        <row r="402">
          <cell r="B402" t="str">
            <v>Agro Sudamerica1021868</v>
          </cell>
          <cell r="C402">
            <v>1021868</v>
          </cell>
          <cell r="D402" t="str">
            <v>GO PpPna 54@ Cj 20k AS</v>
          </cell>
          <cell r="E402" t="str">
            <v>Agro Sudamerica</v>
          </cell>
          <cell r="G402">
            <v>48000</v>
          </cell>
          <cell r="H402">
            <v>0</v>
          </cell>
        </row>
        <row r="403">
          <cell r="B403" t="str">
            <v>1021872</v>
          </cell>
          <cell r="C403">
            <v>1021872</v>
          </cell>
          <cell r="D403" t="e">
            <v>#N/A</v>
          </cell>
          <cell r="G403">
            <v>0</v>
          </cell>
          <cell r="H403">
            <v>0</v>
          </cell>
        </row>
        <row r="404">
          <cell r="B404" t="str">
            <v>Agrosuper Shanghai1021905</v>
          </cell>
          <cell r="C404">
            <v>1021905</v>
          </cell>
          <cell r="D404" t="e">
            <v>#REF!</v>
          </cell>
          <cell r="E404" t="str">
            <v>Agrosuper Shanghai</v>
          </cell>
          <cell r="G404">
            <v>209718.83100000001</v>
          </cell>
          <cell r="H404">
            <v>240000</v>
          </cell>
        </row>
        <row r="405">
          <cell r="B405" t="str">
            <v>Agrosuper Shanghai1021971</v>
          </cell>
          <cell r="C405">
            <v>1021971</v>
          </cell>
          <cell r="D405" t="e">
            <v>#REF!</v>
          </cell>
          <cell r="E405" t="str">
            <v>Agrosuper Shanghai</v>
          </cell>
          <cell r="G405">
            <v>44752.915000000001</v>
          </cell>
          <cell r="H405">
            <v>44752.915000000001</v>
          </cell>
        </row>
        <row r="406">
          <cell r="B406" t="str">
            <v>Agro Sudamerica1021976</v>
          </cell>
          <cell r="C406">
            <v>1021976</v>
          </cell>
          <cell r="D406" t="str">
            <v>GO PpPal 77@ Cj 20k AS</v>
          </cell>
          <cell r="E406" t="str">
            <v>Agro Sudamerica</v>
          </cell>
          <cell r="G406">
            <v>311999.99699999997</v>
          </cell>
          <cell r="H406">
            <v>304652.60023600387</v>
          </cell>
        </row>
        <row r="407">
          <cell r="B407" t="str">
            <v>1021980</v>
          </cell>
          <cell r="C407">
            <v>1021980</v>
          </cell>
          <cell r="D407" t="str">
            <v>GO BB Ribs Grd B@ Fi Cj 20k AS</v>
          </cell>
          <cell r="G407">
            <v>0</v>
          </cell>
          <cell r="H407">
            <v>0</v>
          </cell>
        </row>
        <row r="408">
          <cell r="B408" t="str">
            <v>Agrosuper Shanghai1021992</v>
          </cell>
          <cell r="C408">
            <v>1021992</v>
          </cell>
          <cell r="D408" t="str">
            <v>GO Lom Tocino@ Cj 20k AS</v>
          </cell>
          <cell r="E408" t="str">
            <v>Agrosuper Shanghai</v>
          </cell>
          <cell r="G408">
            <v>0</v>
          </cell>
          <cell r="H408">
            <v>0</v>
          </cell>
        </row>
        <row r="409">
          <cell r="B409" t="str">
            <v>Agrosuper Shanghai1022005</v>
          </cell>
          <cell r="C409">
            <v>1022005</v>
          </cell>
          <cell r="D409" t="e">
            <v>#N/A</v>
          </cell>
          <cell r="E409" t="str">
            <v>Agrosuper Shanghai</v>
          </cell>
          <cell r="G409">
            <v>0</v>
          </cell>
          <cell r="H409">
            <v>0</v>
          </cell>
        </row>
        <row r="410">
          <cell r="B410" t="str">
            <v>Agro Sudamerica1022047</v>
          </cell>
          <cell r="C410">
            <v>1022047</v>
          </cell>
          <cell r="D410" t="str">
            <v>GO Triming Panc@ Cj 20k AS</v>
          </cell>
          <cell r="E410" t="str">
            <v>Agro Sudamerica</v>
          </cell>
          <cell r="G410">
            <v>0</v>
          </cell>
          <cell r="H410">
            <v>0</v>
          </cell>
        </row>
        <row r="411">
          <cell r="B411" t="str">
            <v>Agrosuper Shanghai1022087</v>
          </cell>
          <cell r="C411">
            <v>1022087</v>
          </cell>
          <cell r="D411" t="e">
            <v>#N/A</v>
          </cell>
          <cell r="E411" t="str">
            <v>Agrosuper Shanghai</v>
          </cell>
          <cell r="G411">
            <v>0</v>
          </cell>
          <cell r="H411">
            <v>0</v>
          </cell>
        </row>
        <row r="412">
          <cell r="B412" t="str">
            <v>1022089</v>
          </cell>
          <cell r="C412">
            <v>1022089</v>
          </cell>
          <cell r="D412" t="e">
            <v>#N/A</v>
          </cell>
          <cell r="G412">
            <v>0</v>
          </cell>
          <cell r="H412">
            <v>0</v>
          </cell>
        </row>
        <row r="413">
          <cell r="B413" t="str">
            <v>Agrosuper Shanghai1022096</v>
          </cell>
          <cell r="C413">
            <v>1022096</v>
          </cell>
          <cell r="D413" t="str">
            <v>GO Sternum Bones@ Bo Cj 10k AS</v>
          </cell>
          <cell r="E413" t="str">
            <v>Agrosuper Shanghai</v>
          </cell>
          <cell r="G413">
            <v>155717.049</v>
          </cell>
          <cell r="H413">
            <v>121815.859</v>
          </cell>
        </row>
        <row r="414">
          <cell r="B414" t="str">
            <v>Agro Sudamerica1022098</v>
          </cell>
          <cell r="C414">
            <v>1022098</v>
          </cell>
          <cell r="D414" t="e">
            <v>#N/A</v>
          </cell>
          <cell r="E414" t="str">
            <v>Agro Sudamerica</v>
          </cell>
          <cell r="G414">
            <v>0</v>
          </cell>
          <cell r="H414">
            <v>0</v>
          </cell>
        </row>
        <row r="415">
          <cell r="B415" t="str">
            <v>Agrosuper Shanghai1022100</v>
          </cell>
          <cell r="C415">
            <v>1022100</v>
          </cell>
          <cell r="D415" t="e">
            <v>#N/A</v>
          </cell>
          <cell r="E415" t="str">
            <v>Agrosuper Shanghai</v>
          </cell>
          <cell r="G415">
            <v>0</v>
          </cell>
          <cell r="H415">
            <v>0</v>
          </cell>
        </row>
        <row r="416">
          <cell r="B416" t="str">
            <v>Agro Sudamerica1022102</v>
          </cell>
          <cell r="C416">
            <v>1022102</v>
          </cell>
          <cell r="D416" t="e">
            <v>#N/A</v>
          </cell>
          <cell r="E416" t="str">
            <v>Agro Sudamerica</v>
          </cell>
          <cell r="G416">
            <v>0</v>
          </cell>
          <cell r="H416">
            <v>0</v>
          </cell>
        </row>
        <row r="417">
          <cell r="B417" t="str">
            <v>Agrosuper Shanghai1022125</v>
          </cell>
          <cell r="C417">
            <v>1022125</v>
          </cell>
          <cell r="D417" t="str">
            <v>GO PernilM C/M@ Cj 20k AS</v>
          </cell>
          <cell r="E417" t="str">
            <v>Agrosuper Shanghai</v>
          </cell>
          <cell r="G417">
            <v>0</v>
          </cell>
          <cell r="H417">
            <v>0</v>
          </cell>
        </row>
        <row r="418">
          <cell r="B418" t="str">
            <v>1022134</v>
          </cell>
          <cell r="C418">
            <v>1022134</v>
          </cell>
          <cell r="D418" t="e">
            <v>#N/A</v>
          </cell>
          <cell r="G418">
            <v>0</v>
          </cell>
          <cell r="H418">
            <v>0</v>
          </cell>
        </row>
        <row r="419">
          <cell r="B419" t="str">
            <v>Agro Sudamerica1022149</v>
          </cell>
          <cell r="C419">
            <v>1022149</v>
          </cell>
          <cell r="D419" t="str">
            <v>GO Plancha Rebaje Ent@ Cj 20k AS</v>
          </cell>
          <cell r="E419" t="str">
            <v>Agro Sudamerica</v>
          </cell>
          <cell r="G419">
            <v>34816.459000000003</v>
          </cell>
          <cell r="H419">
            <v>34816.459000000003</v>
          </cell>
        </row>
        <row r="420">
          <cell r="B420" t="str">
            <v>Agro Sudamerica1022150</v>
          </cell>
          <cell r="C420">
            <v>1022150</v>
          </cell>
          <cell r="D420" t="str">
            <v>GO Gord chic@ Cj 20k AS</v>
          </cell>
          <cell r="E420" t="str">
            <v>Agro Sudamerica</v>
          </cell>
          <cell r="G420">
            <v>228597.99189999999</v>
          </cell>
          <cell r="H420">
            <v>143999.9999</v>
          </cell>
        </row>
        <row r="421">
          <cell r="B421" t="str">
            <v>1022153</v>
          </cell>
          <cell r="C421">
            <v>1022153</v>
          </cell>
          <cell r="D421" t="e">
            <v>#N/A</v>
          </cell>
          <cell r="G421">
            <v>0</v>
          </cell>
          <cell r="H421">
            <v>0</v>
          </cell>
        </row>
        <row r="422">
          <cell r="B422" t="str">
            <v>Agrosuper Asia1022181</v>
          </cell>
          <cell r="C422">
            <v>1022181</v>
          </cell>
          <cell r="D422" t="e">
            <v>#N/A</v>
          </cell>
          <cell r="E422" t="str">
            <v>Agrosuper Asia</v>
          </cell>
          <cell r="G422">
            <v>0</v>
          </cell>
          <cell r="H422">
            <v>0</v>
          </cell>
        </row>
        <row r="423">
          <cell r="B423" t="str">
            <v>Agrosuper Asia1022182</v>
          </cell>
          <cell r="C423">
            <v>1022182</v>
          </cell>
          <cell r="D423" t="str">
            <v>GO BB Ribs 20-24 oz@ Cj 10k AS</v>
          </cell>
          <cell r="E423" t="str">
            <v>Agrosuper Asia</v>
          </cell>
          <cell r="G423">
            <v>43630</v>
          </cell>
          <cell r="H423">
            <v>44000</v>
          </cell>
        </row>
        <row r="424">
          <cell r="B424" t="str">
            <v>Agrosuper Shanghai1022183</v>
          </cell>
          <cell r="C424">
            <v>1022183</v>
          </cell>
          <cell r="D424" t="str">
            <v>GO PernilP@ Bo Cj 20k AS</v>
          </cell>
          <cell r="E424" t="str">
            <v>Agrosuper Shanghai</v>
          </cell>
          <cell r="G424">
            <v>30257.819</v>
          </cell>
          <cell r="H424">
            <v>24000</v>
          </cell>
        </row>
        <row r="425">
          <cell r="B425" t="str">
            <v>Agrosuper Shanghai1022186</v>
          </cell>
          <cell r="C425">
            <v>1022186</v>
          </cell>
          <cell r="D425" t="str">
            <v>GO Resto Tira Hso Ctro@ Bo Cj 20k AS</v>
          </cell>
          <cell r="E425" t="str">
            <v>Agrosuper Shanghai</v>
          </cell>
          <cell r="G425">
            <v>19774.873708665993</v>
          </cell>
          <cell r="H425">
            <v>24800.686100000003</v>
          </cell>
        </row>
        <row r="426">
          <cell r="B426" t="str">
            <v>Agro Sudamerica1022196</v>
          </cell>
          <cell r="C426">
            <v>1022196</v>
          </cell>
          <cell r="D426" t="str">
            <v>GO Forro Pal@ Cj 20k AS</v>
          </cell>
          <cell r="E426" t="str">
            <v>Agro Sudamerica</v>
          </cell>
          <cell r="G426">
            <v>67794.687999999995</v>
          </cell>
          <cell r="H426">
            <v>0</v>
          </cell>
        </row>
        <row r="427">
          <cell r="B427" t="str">
            <v>Agro Sudamerica1022197</v>
          </cell>
          <cell r="C427">
            <v>1022197</v>
          </cell>
          <cell r="D427" t="str">
            <v>GO Pna Forro@ Cj 20k AS</v>
          </cell>
          <cell r="E427" t="str">
            <v>Agro Sudamerica</v>
          </cell>
          <cell r="G427">
            <v>0</v>
          </cell>
          <cell r="H427">
            <v>0</v>
          </cell>
        </row>
        <row r="428">
          <cell r="B428" t="str">
            <v>Agrosuper Shanghai1022212</v>
          </cell>
          <cell r="C428">
            <v>1022212</v>
          </cell>
          <cell r="D428" t="str">
            <v>GO Cab Ent@ Cj 20k AS</v>
          </cell>
          <cell r="E428" t="str">
            <v>Agrosuper Shanghai</v>
          </cell>
          <cell r="G428">
            <v>0</v>
          </cell>
          <cell r="H428">
            <v>0</v>
          </cell>
        </row>
        <row r="429">
          <cell r="B429" t="str">
            <v>Agrosuper Brasil1022217</v>
          </cell>
          <cell r="C429">
            <v>1022217</v>
          </cell>
          <cell r="D429" t="str">
            <v>GO Lom Tocino@ Bo Cj 20k AS</v>
          </cell>
          <cell r="E429" t="str">
            <v>Agrosuper Brasil</v>
          </cell>
          <cell r="G429">
            <v>3718.5153999999998</v>
          </cell>
          <cell r="H429">
            <v>0</v>
          </cell>
        </row>
        <row r="430">
          <cell r="B430" t="str">
            <v>Agrosuper Brasil1022218</v>
          </cell>
          <cell r="C430">
            <v>1022218</v>
          </cell>
          <cell r="D430" t="str">
            <v>GO Grasa Forro Pna Limp@ Cj 20k AS</v>
          </cell>
          <cell r="E430" t="str">
            <v>Agrosuper Brasil</v>
          </cell>
          <cell r="G430">
            <v>93312.496000000014</v>
          </cell>
          <cell r="H430">
            <v>0</v>
          </cell>
        </row>
        <row r="431">
          <cell r="B431" t="str">
            <v>Agrosuper Brasil1022219</v>
          </cell>
          <cell r="C431">
            <v>1022219</v>
          </cell>
          <cell r="D431" t="e">
            <v>#N/A</v>
          </cell>
          <cell r="E431" t="str">
            <v>Agrosuper Brasil</v>
          </cell>
          <cell r="G431">
            <v>0</v>
          </cell>
          <cell r="H431">
            <v>0</v>
          </cell>
        </row>
        <row r="432">
          <cell r="B432" t="str">
            <v>1022230</v>
          </cell>
          <cell r="C432">
            <v>1022230</v>
          </cell>
          <cell r="D432" t="e">
            <v>#N/A</v>
          </cell>
          <cell r="G432">
            <v>0</v>
          </cell>
          <cell r="H432">
            <v>0</v>
          </cell>
        </row>
        <row r="433">
          <cell r="B433" t="str">
            <v>Agrosuper Brasil1022273</v>
          </cell>
          <cell r="C433">
            <v>1022273</v>
          </cell>
          <cell r="D433" t="str">
            <v>GO Grasa Forro Pna Limp@ Bo Cj AS</v>
          </cell>
          <cell r="E433" t="str">
            <v>Agrosuper Brasil</v>
          </cell>
          <cell r="G433">
            <v>51199.334000000003</v>
          </cell>
          <cell r="H433">
            <v>51199.334000000003</v>
          </cell>
        </row>
        <row r="434">
          <cell r="B434" t="str">
            <v>Exportacion Directa1022282</v>
          </cell>
          <cell r="C434">
            <v>1022282</v>
          </cell>
          <cell r="D434" t="e">
            <v>#N/A</v>
          </cell>
          <cell r="E434" t="str">
            <v>Exportacion Directa</v>
          </cell>
          <cell r="G434">
            <v>0</v>
          </cell>
          <cell r="H434">
            <v>0</v>
          </cell>
        </row>
        <row r="435">
          <cell r="B435" t="str">
            <v>Agrosuper Asia1022283</v>
          </cell>
          <cell r="C435">
            <v>1022283</v>
          </cell>
          <cell r="D435" t="str">
            <v>GO Malaya 5-6mm@ Bo Cj 9k AS</v>
          </cell>
          <cell r="E435" t="str">
            <v>Agrosuper Asia</v>
          </cell>
          <cell r="G435">
            <v>10533.9228</v>
          </cell>
          <cell r="H435">
            <v>7245.1748000000034</v>
          </cell>
        </row>
        <row r="436">
          <cell r="B436" t="str">
            <v>Agro Sudamerica1022290</v>
          </cell>
          <cell r="C436">
            <v>1022290</v>
          </cell>
          <cell r="D436" t="e">
            <v>#N/A</v>
          </cell>
          <cell r="E436" t="str">
            <v>Agro Sudamerica</v>
          </cell>
          <cell r="G436">
            <v>0</v>
          </cell>
          <cell r="H436">
            <v>0</v>
          </cell>
        </row>
        <row r="437">
          <cell r="B437" t="str">
            <v>Agrosuper Shanghai1022291</v>
          </cell>
          <cell r="C437">
            <v>1022291</v>
          </cell>
          <cell r="D437" t="str">
            <v>GO PernilM B@ Bo Cj 20k AS</v>
          </cell>
          <cell r="E437" t="str">
            <v>Agrosuper Shanghai</v>
          </cell>
          <cell r="G437">
            <v>61814.936999999991</v>
          </cell>
          <cell r="H437">
            <v>54087.00999999998</v>
          </cell>
        </row>
        <row r="438">
          <cell r="B438" t="str">
            <v>Agrosuper Shanghai1022295</v>
          </cell>
          <cell r="C438">
            <v>1022295</v>
          </cell>
          <cell r="D438" t="e">
            <v>#N/A</v>
          </cell>
          <cell r="E438" t="str">
            <v>Agrosuper Shanghai</v>
          </cell>
          <cell r="G438">
            <v>0</v>
          </cell>
          <cell r="H438">
            <v>0</v>
          </cell>
        </row>
        <row r="439">
          <cell r="B439" t="str">
            <v>1022299</v>
          </cell>
          <cell r="C439">
            <v>1022299</v>
          </cell>
          <cell r="D439" t="e">
            <v>#N/A</v>
          </cell>
          <cell r="G439">
            <v>0</v>
          </cell>
          <cell r="H439">
            <v>0</v>
          </cell>
        </row>
        <row r="440">
          <cell r="B440" t="str">
            <v>1022300</v>
          </cell>
          <cell r="C440">
            <v>1022300</v>
          </cell>
          <cell r="D440" t="e">
            <v>#N/A</v>
          </cell>
          <cell r="G440">
            <v>0</v>
          </cell>
          <cell r="H440">
            <v>0</v>
          </cell>
        </row>
        <row r="441">
          <cell r="B441" t="str">
            <v>Exportacion Directa1022313</v>
          </cell>
          <cell r="C441">
            <v>1022313</v>
          </cell>
          <cell r="D441" t="str">
            <v>GO CC Loin T@ Fi Cj AP</v>
          </cell>
          <cell r="E441" t="str">
            <v>Exportacion Directa</v>
          </cell>
          <cell r="G441">
            <v>3037.7694000000001</v>
          </cell>
          <cell r="H441">
            <v>2000.0000404844095</v>
          </cell>
        </row>
        <row r="442">
          <cell r="B442" t="str">
            <v>Agrosuper Shanghai1022314</v>
          </cell>
          <cell r="C442">
            <v>1022314</v>
          </cell>
          <cell r="D442" t="e">
            <v>#N/A</v>
          </cell>
          <cell r="E442" t="str">
            <v>Agrosuper Shanghai</v>
          </cell>
          <cell r="G442">
            <v>0</v>
          </cell>
          <cell r="H442">
            <v>0</v>
          </cell>
        </row>
        <row r="443">
          <cell r="B443" t="str">
            <v>1022315</v>
          </cell>
          <cell r="C443">
            <v>1022315</v>
          </cell>
          <cell r="D443" t="e">
            <v>#N/A</v>
          </cell>
          <cell r="G443">
            <v>0</v>
          </cell>
          <cell r="H443">
            <v>0</v>
          </cell>
        </row>
        <row r="444">
          <cell r="B444" t="str">
            <v>Exportacion Directa1022326</v>
          </cell>
          <cell r="C444">
            <v>1022326</v>
          </cell>
          <cell r="D444" t="str">
            <v>GO CC Loin L (S/T)@ Fi Cj AP</v>
          </cell>
          <cell r="E444" t="str">
            <v>Exportacion Directa</v>
          </cell>
          <cell r="G444">
            <v>25000</v>
          </cell>
          <cell r="H444">
            <v>17030.870999999992</v>
          </cell>
        </row>
        <row r="445">
          <cell r="B445" t="str">
            <v>Exportacion Directa1022328</v>
          </cell>
          <cell r="C445">
            <v>1022328</v>
          </cell>
          <cell r="D445" t="e">
            <v>#N/A</v>
          </cell>
          <cell r="E445" t="str">
            <v>Exportacion Directa</v>
          </cell>
          <cell r="G445">
            <v>0</v>
          </cell>
          <cell r="H445">
            <v>0</v>
          </cell>
        </row>
        <row r="446">
          <cell r="B446" t="str">
            <v>Agrosuper Shanghai1022339</v>
          </cell>
          <cell r="C446">
            <v>1022339</v>
          </cell>
          <cell r="D446" t="e">
            <v>#N/A</v>
          </cell>
          <cell r="E446" t="str">
            <v>Agrosuper Shanghai</v>
          </cell>
          <cell r="G446">
            <v>0</v>
          </cell>
          <cell r="H446">
            <v>0</v>
          </cell>
        </row>
        <row r="447">
          <cell r="B447" t="str">
            <v>Agrosuper Shanghai1022340</v>
          </cell>
          <cell r="C447">
            <v>1022340</v>
          </cell>
          <cell r="D447" t="e">
            <v>#N/A</v>
          </cell>
          <cell r="E447" t="str">
            <v>Agrosuper Shanghai</v>
          </cell>
          <cell r="G447">
            <v>0</v>
          </cell>
          <cell r="H447">
            <v>0</v>
          </cell>
        </row>
        <row r="448">
          <cell r="B448" t="str">
            <v>Exportacion Directa1022346</v>
          </cell>
          <cell r="C448">
            <v>1022346</v>
          </cell>
          <cell r="D448" t="e">
            <v>#N/A</v>
          </cell>
          <cell r="E448" t="str">
            <v>Exportacion Directa</v>
          </cell>
          <cell r="G448">
            <v>0</v>
          </cell>
          <cell r="H448">
            <v>0</v>
          </cell>
        </row>
        <row r="449">
          <cell r="B449" t="str">
            <v>Exportacion Directa1022347</v>
          </cell>
          <cell r="C449">
            <v>1022347</v>
          </cell>
          <cell r="D449" t="e">
            <v>#N/A</v>
          </cell>
          <cell r="E449" t="str">
            <v>Exportacion Directa</v>
          </cell>
          <cell r="G449">
            <v>0</v>
          </cell>
          <cell r="H449">
            <v>0</v>
          </cell>
        </row>
        <row r="450">
          <cell r="B450" t="str">
            <v>Agro Sudamerica1022351</v>
          </cell>
          <cell r="C450">
            <v>1022351</v>
          </cell>
          <cell r="D450" t="e">
            <v>#N/A</v>
          </cell>
          <cell r="E450" t="str">
            <v>Agro Sudamerica</v>
          </cell>
          <cell r="G450">
            <v>0</v>
          </cell>
          <cell r="H450">
            <v>0</v>
          </cell>
        </row>
        <row r="451">
          <cell r="B451" t="str">
            <v>Exportacion Directa1022370</v>
          </cell>
          <cell r="C451">
            <v>1022370</v>
          </cell>
          <cell r="D451" t="str">
            <v>GO MM Loin LL (29-32 VP)@ Bo Cj AP</v>
          </cell>
          <cell r="E451" t="str">
            <v>Exportacion Directa</v>
          </cell>
          <cell r="G451">
            <v>40525.818919999998</v>
          </cell>
          <cell r="H451">
            <v>30168.779427788038</v>
          </cell>
        </row>
        <row r="452">
          <cell r="B452" t="str">
            <v>Exportacion Directa1022371</v>
          </cell>
          <cell r="C452">
            <v>1022371</v>
          </cell>
          <cell r="D452" t="str">
            <v>GO Panc S/tec SP@ Fi Cj AP</v>
          </cell>
          <cell r="E452" t="str">
            <v>Exportacion Directa</v>
          </cell>
          <cell r="G452">
            <v>0</v>
          </cell>
          <cell r="H452">
            <v>8000</v>
          </cell>
        </row>
        <row r="453">
          <cell r="B453" t="str">
            <v>1022372</v>
          </cell>
          <cell r="C453">
            <v>1022372</v>
          </cell>
          <cell r="D453" t="e">
            <v>#N/A</v>
          </cell>
          <cell r="G453">
            <v>0</v>
          </cell>
          <cell r="H453">
            <v>0</v>
          </cell>
        </row>
        <row r="454">
          <cell r="B454" t="str">
            <v>Agrosuper Shanghai1022373</v>
          </cell>
          <cell r="C454">
            <v>1022373</v>
          </cell>
          <cell r="D454" t="str">
            <v>GO Reco 60/40 @ Cj 20k AS</v>
          </cell>
          <cell r="E454" t="str">
            <v>Agrosuper Shanghai</v>
          </cell>
          <cell r="G454">
            <v>1.4551915228366852E-11</v>
          </cell>
          <cell r="H454">
            <v>8100.7160000000003</v>
          </cell>
        </row>
        <row r="455">
          <cell r="B455" t="str">
            <v>Agrosuper Shanghai1022378</v>
          </cell>
          <cell r="C455">
            <v>1022378</v>
          </cell>
          <cell r="D455" t="str">
            <v>GO Resto Tira Hso@ Fi Cj 10k AS</v>
          </cell>
          <cell r="E455" t="str">
            <v>Agrosuper Shanghai</v>
          </cell>
          <cell r="G455">
            <v>57903.513886772402</v>
          </cell>
          <cell r="H455">
            <v>62154.801000000007</v>
          </cell>
        </row>
        <row r="456">
          <cell r="B456" t="str">
            <v>Agrosuper Shanghai1022379</v>
          </cell>
          <cell r="C456">
            <v>1022379</v>
          </cell>
          <cell r="D456" t="str">
            <v>GO PpPal 77@ Bo Cj AS</v>
          </cell>
          <cell r="E456" t="str">
            <v>Agrosuper Shanghai</v>
          </cell>
          <cell r="G456">
            <v>0</v>
          </cell>
          <cell r="H456">
            <v>0</v>
          </cell>
        </row>
        <row r="457">
          <cell r="B457" t="str">
            <v>Agrosuper Shanghai1022381</v>
          </cell>
          <cell r="C457">
            <v>1022381</v>
          </cell>
          <cell r="D457" t="str">
            <v>GO Gord Esp@ Bo Cj 10k AS</v>
          </cell>
          <cell r="E457" t="str">
            <v>Agrosuper Shanghai</v>
          </cell>
          <cell r="G457">
            <v>62729.298999999999</v>
          </cell>
          <cell r="H457">
            <v>48769.627499953422</v>
          </cell>
        </row>
        <row r="458">
          <cell r="B458" t="str">
            <v>Agro Sudamerica1022384</v>
          </cell>
          <cell r="C458">
            <v>1022384</v>
          </cell>
          <cell r="D458" t="str">
            <v>GO BB Ribs Grd B@ Fi Cj 10k AS</v>
          </cell>
          <cell r="E458" t="str">
            <v>Agro Sudamerica</v>
          </cell>
          <cell r="G458">
            <v>0</v>
          </cell>
          <cell r="H458">
            <v>0</v>
          </cell>
        </row>
        <row r="459">
          <cell r="B459" t="str">
            <v>Agrosuper Shanghai1022388</v>
          </cell>
          <cell r="C459">
            <v>1022388</v>
          </cell>
          <cell r="D459" t="str">
            <v>GO Mixto Hso@ Bo Cj 10k AS</v>
          </cell>
          <cell r="E459" t="str">
            <v>Agrosuper Shanghai</v>
          </cell>
          <cell r="G459">
            <v>0</v>
          </cell>
          <cell r="H459">
            <v>0</v>
          </cell>
        </row>
        <row r="460">
          <cell r="B460" t="str">
            <v>Agrosuper Shanghai1022389</v>
          </cell>
          <cell r="C460">
            <v>1022389</v>
          </cell>
          <cell r="D460" t="str">
            <v>GO Cue 20@ Bo Cj 20k AS</v>
          </cell>
          <cell r="E460" t="str">
            <v>Agrosuper Shanghai</v>
          </cell>
          <cell r="G460">
            <v>1580</v>
          </cell>
          <cell r="H460">
            <v>1580</v>
          </cell>
        </row>
        <row r="461">
          <cell r="B461" t="str">
            <v>Agrosuper Shanghai1022403</v>
          </cell>
          <cell r="C461">
            <v>1022403</v>
          </cell>
          <cell r="D461" t="e">
            <v>#N/A</v>
          </cell>
          <cell r="E461" t="str">
            <v>Agrosuper Shanghai</v>
          </cell>
          <cell r="G461">
            <v>0</v>
          </cell>
          <cell r="H461">
            <v>0</v>
          </cell>
        </row>
        <row r="462">
          <cell r="B462" t="str">
            <v>Agrosuper Shanghai1022404</v>
          </cell>
          <cell r="C462">
            <v>1022404</v>
          </cell>
          <cell r="D462" t="e">
            <v>#N/A</v>
          </cell>
          <cell r="E462" t="str">
            <v>Agrosuper Shanghai</v>
          </cell>
          <cell r="G462">
            <v>0</v>
          </cell>
          <cell r="H462">
            <v>0</v>
          </cell>
        </row>
        <row r="463">
          <cell r="B463" t="str">
            <v>Agrosuper Shanghai1022405</v>
          </cell>
          <cell r="C463">
            <v>1022405</v>
          </cell>
          <cell r="D463" t="e">
            <v>#N/A</v>
          </cell>
          <cell r="E463" t="str">
            <v>Agrosuper Shanghai</v>
          </cell>
          <cell r="G463">
            <v>0</v>
          </cell>
          <cell r="H463">
            <v>0</v>
          </cell>
        </row>
        <row r="464">
          <cell r="B464" t="str">
            <v>Agro Sudamerica1022406</v>
          </cell>
          <cell r="C464">
            <v>1022406</v>
          </cell>
          <cell r="D464" t="str">
            <v>GO Patas B@ Bo Cj 20 k AS</v>
          </cell>
          <cell r="E464" t="str">
            <v>Agro Sudamerica</v>
          </cell>
          <cell r="G464">
            <v>0</v>
          </cell>
          <cell r="H464">
            <v>0</v>
          </cell>
        </row>
        <row r="465">
          <cell r="B465" t="str">
            <v>Agro Sudamerica1022409</v>
          </cell>
          <cell r="C465">
            <v>1022409</v>
          </cell>
          <cell r="D465" t="str">
            <v>GO Tripa s/Cal# Bidon AS</v>
          </cell>
          <cell r="E465" t="str">
            <v>Agro Sudamerica</v>
          </cell>
          <cell r="G465">
            <v>0</v>
          </cell>
          <cell r="H465">
            <v>12968</v>
          </cell>
        </row>
        <row r="466">
          <cell r="B466" t="str">
            <v>Agro Sudamerica1022412</v>
          </cell>
          <cell r="C466">
            <v>1022412</v>
          </cell>
          <cell r="D466" t="e">
            <v>#N/A</v>
          </cell>
          <cell r="E466" t="str">
            <v>Agro Sudamerica</v>
          </cell>
          <cell r="G466">
            <v>0</v>
          </cell>
          <cell r="H466">
            <v>0</v>
          </cell>
        </row>
        <row r="467">
          <cell r="B467" t="str">
            <v>Agrosuper Shanghai1022414</v>
          </cell>
          <cell r="C467">
            <v>1022414</v>
          </cell>
          <cell r="D467" t="str">
            <v>GO Caz Ent@ Bo Cj 10k AS</v>
          </cell>
          <cell r="E467" t="str">
            <v>Agrosuper Shanghai</v>
          </cell>
          <cell r="G467">
            <v>5445.0545000000002</v>
          </cell>
          <cell r="H467">
            <v>0</v>
          </cell>
        </row>
        <row r="468">
          <cell r="B468" t="str">
            <v>Agrosuper Shanghai1022416</v>
          </cell>
          <cell r="C468">
            <v>1022416</v>
          </cell>
          <cell r="D468" t="e">
            <v>#N/A</v>
          </cell>
          <cell r="E468" t="str">
            <v>Agrosuper Shanghai</v>
          </cell>
          <cell r="G468">
            <v>0</v>
          </cell>
          <cell r="H468">
            <v>0</v>
          </cell>
        </row>
        <row r="469">
          <cell r="B469" t="str">
            <v>Agrosuper Shanghai1022417</v>
          </cell>
          <cell r="C469">
            <v>1022417</v>
          </cell>
          <cell r="D469" t="str">
            <v>GO Cue granel@ Bo Cj 20k AS</v>
          </cell>
          <cell r="E469" t="str">
            <v>Agrosuper Shanghai</v>
          </cell>
          <cell r="G469">
            <v>153427.9</v>
          </cell>
          <cell r="H469">
            <v>153427.9</v>
          </cell>
        </row>
        <row r="470">
          <cell r="B470" t="str">
            <v>Agrosuper Shanghai1022418</v>
          </cell>
          <cell r="C470">
            <v>1022418</v>
          </cell>
          <cell r="D470" t="e">
            <v>#REF!</v>
          </cell>
          <cell r="E470" t="str">
            <v>Agrosuper Shanghai</v>
          </cell>
          <cell r="G470">
            <v>41231.112999999998</v>
          </cell>
          <cell r="H470">
            <v>41231.112999999998</v>
          </cell>
        </row>
        <row r="471">
          <cell r="B471" t="str">
            <v>1022438</v>
          </cell>
          <cell r="C471">
            <v>1022438</v>
          </cell>
          <cell r="D471" t="e">
            <v>#N/A</v>
          </cell>
          <cell r="G471">
            <v>0</v>
          </cell>
          <cell r="H471">
            <v>0</v>
          </cell>
        </row>
        <row r="472">
          <cell r="B472" t="str">
            <v>1022441</v>
          </cell>
          <cell r="C472">
            <v>1022441</v>
          </cell>
          <cell r="D472" t="e">
            <v>#N/A</v>
          </cell>
          <cell r="G472">
            <v>0</v>
          </cell>
          <cell r="H472">
            <v>0</v>
          </cell>
        </row>
        <row r="473">
          <cell r="B473" t="str">
            <v>1022456</v>
          </cell>
          <cell r="C473">
            <v>1022456</v>
          </cell>
          <cell r="D473" t="e">
            <v>#N/A</v>
          </cell>
          <cell r="G473">
            <v>0</v>
          </cell>
          <cell r="H473">
            <v>0</v>
          </cell>
        </row>
        <row r="474">
          <cell r="B474" t="str">
            <v>Agro Sudamerica1022457</v>
          </cell>
          <cell r="C474">
            <v>1022457</v>
          </cell>
          <cell r="D474" t="e">
            <v>#N/A</v>
          </cell>
          <cell r="E474" t="str">
            <v>Agro Sudamerica</v>
          </cell>
          <cell r="G474">
            <v>0</v>
          </cell>
          <cell r="H474">
            <v>0</v>
          </cell>
        </row>
        <row r="475">
          <cell r="B475" t="str">
            <v>1022458</v>
          </cell>
          <cell r="C475">
            <v>1022458</v>
          </cell>
          <cell r="D475" t="e">
            <v>#N/A</v>
          </cell>
          <cell r="G475">
            <v>0</v>
          </cell>
          <cell r="H475">
            <v>0</v>
          </cell>
        </row>
        <row r="476">
          <cell r="B476" t="str">
            <v>Agro Sudamerica1022459</v>
          </cell>
          <cell r="C476">
            <v>1022459</v>
          </cell>
          <cell r="D476" t="e">
            <v>#N/A</v>
          </cell>
          <cell r="E476" t="str">
            <v>Agro Sudamerica</v>
          </cell>
          <cell r="G476">
            <v>0</v>
          </cell>
          <cell r="H476">
            <v>0</v>
          </cell>
        </row>
        <row r="477">
          <cell r="B477" t="str">
            <v>1022460</v>
          </cell>
          <cell r="C477">
            <v>1022460</v>
          </cell>
          <cell r="D477" t="e">
            <v>#N/A</v>
          </cell>
          <cell r="G477">
            <v>0</v>
          </cell>
          <cell r="H477">
            <v>0</v>
          </cell>
        </row>
        <row r="478">
          <cell r="B478" t="str">
            <v>Exportacion Directa1022472</v>
          </cell>
          <cell r="C478">
            <v>1022472</v>
          </cell>
          <cell r="D478" t="str">
            <v>GO Lom Ctro S/Tecla(OY)Mit@ Cj Tf 20k AP</v>
          </cell>
          <cell r="E478" t="str">
            <v>Exportacion Directa</v>
          </cell>
          <cell r="G478">
            <v>16865.453099999999</v>
          </cell>
          <cell r="H478">
            <v>15000.000031731368</v>
          </cell>
        </row>
        <row r="479">
          <cell r="B479" t="str">
            <v>1022473</v>
          </cell>
          <cell r="C479">
            <v>1022473</v>
          </cell>
          <cell r="D479" t="e">
            <v>#N/A</v>
          </cell>
          <cell r="G479">
            <v>0</v>
          </cell>
          <cell r="H479">
            <v>0</v>
          </cell>
        </row>
        <row r="480">
          <cell r="B480" t="str">
            <v>Exportacion Directa1022499</v>
          </cell>
          <cell r="C480">
            <v>1022499</v>
          </cell>
          <cell r="D480" t="str">
            <v>GO Lom Vet Mit@ 4 Bo Cj 10k AP</v>
          </cell>
          <cell r="E480" t="str">
            <v>Exportacion Directa</v>
          </cell>
          <cell r="G480">
            <v>22930.225900000001</v>
          </cell>
          <cell r="H480">
            <v>21000.000002678993</v>
          </cell>
        </row>
        <row r="481">
          <cell r="B481" t="str">
            <v>1022505</v>
          </cell>
          <cell r="C481">
            <v>1022505</v>
          </cell>
          <cell r="D481" t="e">
            <v>#N/A</v>
          </cell>
          <cell r="G481">
            <v>0</v>
          </cell>
          <cell r="H481">
            <v>0</v>
          </cell>
        </row>
        <row r="482">
          <cell r="B482" t="str">
            <v>Agrosuper Shanghai1022541</v>
          </cell>
          <cell r="C482">
            <v>1022541</v>
          </cell>
          <cell r="D482" t="str">
            <v>GO Reco 20/80 @ Cj 20k AS</v>
          </cell>
          <cell r="E482" t="str">
            <v>Agrosuper Shanghai</v>
          </cell>
          <cell r="G482">
            <v>289046.92100000003</v>
          </cell>
          <cell r="H482">
            <v>277421.47100000002</v>
          </cell>
        </row>
        <row r="483">
          <cell r="B483" t="str">
            <v>Agrosuper Shanghai1022568</v>
          </cell>
          <cell r="C483">
            <v>1022568</v>
          </cell>
          <cell r="D483" t="str">
            <v>GO Panc Tecla SCue@ 4 Bo Cj 20kg AS</v>
          </cell>
          <cell r="E483" t="str">
            <v>Agrosuper Shanghai</v>
          </cell>
          <cell r="G483">
            <v>0</v>
          </cell>
          <cell r="H483">
            <v>0</v>
          </cell>
        </row>
        <row r="484">
          <cell r="B484" t="str">
            <v>Agro Sudamerica1022569</v>
          </cell>
          <cell r="C484">
            <v>1022569</v>
          </cell>
          <cell r="D484" t="str">
            <v>GO BB Ribs 24-28 Oz@ Cj 10k AS</v>
          </cell>
          <cell r="E484" t="str">
            <v>Agro Sudamerica</v>
          </cell>
          <cell r="G484">
            <v>0</v>
          </cell>
          <cell r="H484">
            <v>0</v>
          </cell>
        </row>
        <row r="485">
          <cell r="B485" t="str">
            <v>Agro Sudamerica1022584</v>
          </cell>
          <cell r="C485">
            <v>1022584</v>
          </cell>
          <cell r="D485" t="e">
            <v>#N/A</v>
          </cell>
          <cell r="E485" t="str">
            <v>Agro Sudamerica</v>
          </cell>
          <cell r="G485">
            <v>0</v>
          </cell>
          <cell r="H485">
            <v>0</v>
          </cell>
        </row>
        <row r="486">
          <cell r="B486" t="str">
            <v>Exportacion Directa1022587</v>
          </cell>
          <cell r="C486">
            <v>1022587</v>
          </cell>
          <cell r="D486" t="str">
            <v>GO CC Loin L (S/T) 45@ Fi Cj AP</v>
          </cell>
          <cell r="E486" t="str">
            <v>Exportacion Directa</v>
          </cell>
          <cell r="G486">
            <v>1907.8879784578276</v>
          </cell>
          <cell r="H486">
            <v>3000</v>
          </cell>
        </row>
        <row r="487">
          <cell r="B487" t="str">
            <v>1022593</v>
          </cell>
          <cell r="C487">
            <v>1022593</v>
          </cell>
          <cell r="D487" t="e">
            <v>#N/A</v>
          </cell>
          <cell r="G487">
            <v>0</v>
          </cell>
          <cell r="H487">
            <v>0</v>
          </cell>
        </row>
        <row r="488">
          <cell r="B488" t="str">
            <v>1022594</v>
          </cell>
          <cell r="C488">
            <v>1022594</v>
          </cell>
          <cell r="D488" t="e">
            <v>#N/A</v>
          </cell>
          <cell r="G488">
            <v>0</v>
          </cell>
          <cell r="H488">
            <v>0</v>
          </cell>
        </row>
        <row r="489">
          <cell r="B489" t="str">
            <v>1022595</v>
          </cell>
          <cell r="C489">
            <v>1022595</v>
          </cell>
          <cell r="D489" t="e">
            <v>#N/A</v>
          </cell>
          <cell r="G489">
            <v>0</v>
          </cell>
          <cell r="H489">
            <v>0</v>
          </cell>
        </row>
        <row r="490">
          <cell r="B490" t="str">
            <v>1022596</v>
          </cell>
          <cell r="C490">
            <v>1022596</v>
          </cell>
          <cell r="D490" t="e">
            <v>#N/A</v>
          </cell>
          <cell r="G490">
            <v>0</v>
          </cell>
          <cell r="H490">
            <v>0</v>
          </cell>
        </row>
        <row r="491">
          <cell r="B491" t="str">
            <v>Exportacion Directa1022600</v>
          </cell>
          <cell r="C491">
            <v>1022600</v>
          </cell>
          <cell r="D491" t="str">
            <v>GO Lom Vet 2 a 2,3k@ Fi Verd Cj AP</v>
          </cell>
          <cell r="E491" t="str">
            <v>Exportacion Directa</v>
          </cell>
          <cell r="G491">
            <v>17739.38</v>
          </cell>
          <cell r="H491">
            <v>15000</v>
          </cell>
        </row>
        <row r="492">
          <cell r="B492" t="str">
            <v>Agrosuper Asia1022605</v>
          </cell>
          <cell r="C492">
            <v>1022605</v>
          </cell>
          <cell r="D492" t="e">
            <v>#REF!</v>
          </cell>
          <cell r="E492" t="str">
            <v>Agrosuper Asia</v>
          </cell>
          <cell r="G492">
            <v>13358.5119</v>
          </cell>
          <cell r="H492">
            <v>13937.5119</v>
          </cell>
        </row>
        <row r="493">
          <cell r="B493" t="str">
            <v>Agrosuper Asia1022607</v>
          </cell>
          <cell r="C493">
            <v>1022607</v>
          </cell>
          <cell r="D493" t="str">
            <v>GO Platead Lom TF@ Cj 10k AK (TS)</v>
          </cell>
          <cell r="E493" t="str">
            <v>Agrosuper Asia</v>
          </cell>
          <cell r="G493">
            <v>26839.58</v>
          </cell>
          <cell r="H493">
            <v>19904.903999999995</v>
          </cell>
        </row>
        <row r="494">
          <cell r="B494" t="str">
            <v>1022624</v>
          </cell>
          <cell r="C494">
            <v>1022624</v>
          </cell>
          <cell r="D494" t="e">
            <v>#N/A</v>
          </cell>
          <cell r="G494">
            <v>0</v>
          </cell>
          <cell r="H494">
            <v>0</v>
          </cell>
        </row>
        <row r="495">
          <cell r="B495" t="str">
            <v>Agrosuper Shanghai1022637</v>
          </cell>
          <cell r="C495">
            <v>1022637</v>
          </cell>
          <cell r="D495" t="str">
            <v>GO Hso Escapula@ Cj 15kg AS</v>
          </cell>
          <cell r="E495" t="str">
            <v>Agrosuper Shanghai</v>
          </cell>
          <cell r="G495">
            <v>99632.74</v>
          </cell>
          <cell r="H495">
            <v>163380.29999999999</v>
          </cell>
        </row>
        <row r="496">
          <cell r="B496" t="str">
            <v>1022642</v>
          </cell>
          <cell r="C496">
            <v>1022642</v>
          </cell>
          <cell r="D496" t="e">
            <v>#N/A</v>
          </cell>
          <cell r="G496">
            <v>0</v>
          </cell>
          <cell r="H496">
            <v>0</v>
          </cell>
        </row>
        <row r="497">
          <cell r="B497" t="str">
            <v>Agrosuper Shanghai1022645</v>
          </cell>
          <cell r="C497">
            <v>1022645</v>
          </cell>
          <cell r="D497" t="str">
            <v>GO Pecho Belly C/Hso pec@ Vp Cj AS</v>
          </cell>
          <cell r="E497" t="str">
            <v>Agrosuper Shanghai</v>
          </cell>
          <cell r="G497">
            <v>0</v>
          </cell>
          <cell r="H497">
            <v>0</v>
          </cell>
        </row>
        <row r="498">
          <cell r="B498" t="str">
            <v>Agrosuper Shanghai1022646</v>
          </cell>
          <cell r="C498">
            <v>1022646</v>
          </cell>
          <cell r="D498" t="e">
            <v>#N/A</v>
          </cell>
          <cell r="E498" t="str">
            <v>Agrosuper Shanghai</v>
          </cell>
          <cell r="G498">
            <v>0</v>
          </cell>
          <cell r="H498">
            <v>0</v>
          </cell>
        </row>
        <row r="499">
          <cell r="B499" t="str">
            <v>1022648</v>
          </cell>
          <cell r="C499">
            <v>1022648</v>
          </cell>
          <cell r="D499" t="e">
            <v>#N/A</v>
          </cell>
          <cell r="G499">
            <v>0</v>
          </cell>
          <cell r="H499">
            <v>0</v>
          </cell>
        </row>
        <row r="500">
          <cell r="B500" t="str">
            <v>Exportacion Directa1022664</v>
          </cell>
          <cell r="C500">
            <v>1022664</v>
          </cell>
          <cell r="D500" t="str">
            <v>GO CC Loin L (S/T) (DF)@ Fi Cj AP</v>
          </cell>
          <cell r="E500" t="str">
            <v>Exportacion Directa</v>
          </cell>
          <cell r="G500">
            <v>18214.543015893356</v>
          </cell>
          <cell r="H500">
            <v>19999.999999999996</v>
          </cell>
        </row>
        <row r="501">
          <cell r="B501" t="str">
            <v>1022688</v>
          </cell>
          <cell r="C501">
            <v>1022688</v>
          </cell>
          <cell r="D501" t="e">
            <v>#N/A</v>
          </cell>
          <cell r="G501">
            <v>0</v>
          </cell>
          <cell r="H501">
            <v>0</v>
          </cell>
        </row>
        <row r="502">
          <cell r="B502" t="str">
            <v>1022690</v>
          </cell>
          <cell r="C502">
            <v>1022690</v>
          </cell>
          <cell r="D502" t="e">
            <v>#N/A</v>
          </cell>
          <cell r="G502">
            <v>0</v>
          </cell>
          <cell r="H502">
            <v>0</v>
          </cell>
        </row>
        <row r="503">
          <cell r="B503" t="str">
            <v>Agro Sudamerica1022692</v>
          </cell>
          <cell r="C503">
            <v>1022692</v>
          </cell>
          <cell r="D503" t="e">
            <v>#N/A</v>
          </cell>
          <cell r="E503" t="str">
            <v>Agro Sudamerica</v>
          </cell>
          <cell r="G503">
            <v>0</v>
          </cell>
          <cell r="H503">
            <v>0</v>
          </cell>
        </row>
        <row r="504">
          <cell r="B504" t="str">
            <v>1022695</v>
          </cell>
          <cell r="C504">
            <v>1022695</v>
          </cell>
          <cell r="D504" t="e">
            <v>#N/A</v>
          </cell>
          <cell r="G504">
            <v>0</v>
          </cell>
          <cell r="H504">
            <v>0</v>
          </cell>
        </row>
        <row r="505">
          <cell r="B505" t="str">
            <v>Agro Sudamerica1022709</v>
          </cell>
          <cell r="C505">
            <v>1022709</v>
          </cell>
          <cell r="D505" t="str">
            <v>GO PpPna 57@ Bo Cj AS</v>
          </cell>
          <cell r="E505" t="str">
            <v>Agro Sudamerica</v>
          </cell>
          <cell r="G505">
            <v>360000</v>
          </cell>
          <cell r="H505">
            <v>308238.95961184404</v>
          </cell>
        </row>
        <row r="506">
          <cell r="B506" t="str">
            <v>1022721</v>
          </cell>
          <cell r="C506">
            <v>1022721</v>
          </cell>
          <cell r="D506" t="e">
            <v>#N/A</v>
          </cell>
          <cell r="G506">
            <v>0</v>
          </cell>
          <cell r="H506">
            <v>0</v>
          </cell>
        </row>
        <row r="507">
          <cell r="B507" t="str">
            <v>1022723</v>
          </cell>
          <cell r="C507">
            <v>1022723</v>
          </cell>
          <cell r="D507" t="e">
            <v>#N/A</v>
          </cell>
          <cell r="G507">
            <v>0</v>
          </cell>
          <cell r="H507">
            <v>0</v>
          </cell>
        </row>
        <row r="508">
          <cell r="B508" t="str">
            <v>1022733</v>
          </cell>
          <cell r="C508">
            <v>1022733</v>
          </cell>
          <cell r="D508" t="e">
            <v>#N/A</v>
          </cell>
          <cell r="G508">
            <v>0</v>
          </cell>
          <cell r="H508">
            <v>0</v>
          </cell>
        </row>
        <row r="509">
          <cell r="B509" t="str">
            <v>1022741</v>
          </cell>
          <cell r="C509">
            <v>1022741</v>
          </cell>
          <cell r="D509" t="e">
            <v>#N/A</v>
          </cell>
          <cell r="G509">
            <v>0</v>
          </cell>
          <cell r="H509">
            <v>0</v>
          </cell>
        </row>
        <row r="510">
          <cell r="B510" t="str">
            <v>1022742</v>
          </cell>
          <cell r="C510">
            <v>1022742</v>
          </cell>
          <cell r="D510" t="e">
            <v>#N/A</v>
          </cell>
          <cell r="G510">
            <v>0</v>
          </cell>
          <cell r="H510">
            <v>0</v>
          </cell>
        </row>
        <row r="511">
          <cell r="B511" t="str">
            <v>Agrosuper Shanghai1022748</v>
          </cell>
          <cell r="C511">
            <v>1022748</v>
          </cell>
          <cell r="D511" t="str">
            <v>GO Manos@ Cj 10k AS</v>
          </cell>
          <cell r="E511" t="str">
            <v>Agrosuper Shanghai</v>
          </cell>
          <cell r="G511">
            <v>204510.965</v>
          </cell>
          <cell r="H511">
            <v>204510.965</v>
          </cell>
        </row>
        <row r="512">
          <cell r="B512" t="str">
            <v>Agrosuper Shanghai1022753</v>
          </cell>
          <cell r="C512">
            <v>1022753</v>
          </cell>
          <cell r="D512" t="str">
            <v>GO PernilM 1,3 kg up@ Cj 20k AS</v>
          </cell>
          <cell r="E512" t="str">
            <v>Agrosuper Shanghai</v>
          </cell>
          <cell r="G512">
            <v>0</v>
          </cell>
          <cell r="H512">
            <v>0</v>
          </cell>
        </row>
        <row r="513">
          <cell r="B513" t="str">
            <v>1022767</v>
          </cell>
          <cell r="C513">
            <v>1022767</v>
          </cell>
          <cell r="D513" t="str">
            <v>GO Gord Esp@ 20kg AA</v>
          </cell>
          <cell r="G513">
            <v>0</v>
          </cell>
          <cell r="H513">
            <v>0</v>
          </cell>
        </row>
        <row r="514">
          <cell r="B514" t="str">
            <v>Agro Sudamerica1022780</v>
          </cell>
          <cell r="C514">
            <v>1022780</v>
          </cell>
          <cell r="D514" t="e">
            <v>#N/A</v>
          </cell>
          <cell r="E514" t="str">
            <v>Agro Sudamerica</v>
          </cell>
          <cell r="G514">
            <v>0</v>
          </cell>
          <cell r="H514">
            <v>0</v>
          </cell>
        </row>
        <row r="515">
          <cell r="B515" t="str">
            <v>Agro Sudamerica1022781</v>
          </cell>
          <cell r="C515">
            <v>1022781</v>
          </cell>
          <cell r="D515" t="str">
            <v>GO Tripa Calib 32/35# Bo Bidon AS</v>
          </cell>
          <cell r="E515" t="str">
            <v>Agro Sudamerica</v>
          </cell>
          <cell r="G515">
            <v>9964.8413999999993</v>
          </cell>
          <cell r="H515">
            <v>0</v>
          </cell>
        </row>
        <row r="516">
          <cell r="B516" t="str">
            <v>Agro Sudamerica1022782</v>
          </cell>
          <cell r="C516">
            <v>1022782</v>
          </cell>
          <cell r="D516" t="str">
            <v>GO Tripa Calib 35/38# Bo Bidon AS</v>
          </cell>
          <cell r="E516" t="str">
            <v>Agro Sudamerica</v>
          </cell>
          <cell r="G516">
            <v>0</v>
          </cell>
          <cell r="H516">
            <v>0</v>
          </cell>
        </row>
        <row r="517">
          <cell r="B517" t="str">
            <v>Agro Sudamerica1022783</v>
          </cell>
          <cell r="C517">
            <v>1022783</v>
          </cell>
          <cell r="D517" t="str">
            <v>GO Tripa Calib 38/40# Bo Bidon AS</v>
          </cell>
          <cell r="E517" t="str">
            <v>Agro Sudamerica</v>
          </cell>
          <cell r="G517">
            <v>12359.987999999999</v>
          </cell>
          <cell r="H517">
            <v>0</v>
          </cell>
        </row>
        <row r="518">
          <cell r="B518" t="str">
            <v>Agrosuper Brasil1022784</v>
          </cell>
          <cell r="C518">
            <v>1022784</v>
          </cell>
          <cell r="D518" t="str">
            <v>GO Tripa Calib 40/42# Bo Bin AS</v>
          </cell>
          <cell r="E518" t="str">
            <v>Agrosuper Brasil</v>
          </cell>
          <cell r="G518">
            <v>0</v>
          </cell>
          <cell r="H518">
            <v>0</v>
          </cell>
        </row>
        <row r="519">
          <cell r="B519" t="str">
            <v>Agrosuper Brasil1022786</v>
          </cell>
          <cell r="C519">
            <v>1022786</v>
          </cell>
          <cell r="D519" t="e">
            <v>#REF!</v>
          </cell>
          <cell r="E519" t="str">
            <v>Agrosuper Brasil</v>
          </cell>
          <cell r="G519">
            <v>300</v>
          </cell>
          <cell r="H519">
            <v>300</v>
          </cell>
        </row>
        <row r="520">
          <cell r="B520" t="str">
            <v>1022818</v>
          </cell>
          <cell r="C520">
            <v>1022818</v>
          </cell>
          <cell r="D520" t="str">
            <v>GO Lom Vet@ Cj Muestra SAG</v>
          </cell>
          <cell r="G520">
            <v>0</v>
          </cell>
          <cell r="H520">
            <v>0</v>
          </cell>
        </row>
        <row r="521">
          <cell r="B521" t="str">
            <v>1022822</v>
          </cell>
          <cell r="C521">
            <v>1022822</v>
          </cell>
          <cell r="D521" t="str">
            <v>GO  BB Ribs 24 oz@MUESTRA SAG</v>
          </cell>
          <cell r="G521">
            <v>0</v>
          </cell>
          <cell r="H521">
            <v>0</v>
          </cell>
        </row>
        <row r="522">
          <cell r="B522" t="str">
            <v>1022824</v>
          </cell>
          <cell r="C522">
            <v>1022824</v>
          </cell>
          <cell r="D522" t="e">
            <v>#N/A</v>
          </cell>
          <cell r="G522">
            <v>0</v>
          </cell>
          <cell r="H522">
            <v>0</v>
          </cell>
        </row>
        <row r="523">
          <cell r="B523" t="str">
            <v>Agro Sudamerica1022842</v>
          </cell>
          <cell r="C523">
            <v>1022842</v>
          </cell>
          <cell r="D523" t="e">
            <v>#REF!</v>
          </cell>
          <cell r="E523" t="str">
            <v>Agro Sudamerica</v>
          </cell>
          <cell r="G523">
            <v>24000</v>
          </cell>
          <cell r="H523">
            <v>24000</v>
          </cell>
        </row>
        <row r="524">
          <cell r="B524" t="str">
            <v>Agro Sudamerica1022844</v>
          </cell>
          <cell r="C524">
            <v>1022844</v>
          </cell>
          <cell r="D524" t="e">
            <v>#REF!</v>
          </cell>
          <cell r="E524" t="str">
            <v>Agro Sudamerica</v>
          </cell>
          <cell r="G524">
            <v>48000</v>
          </cell>
          <cell r="H524">
            <v>48000</v>
          </cell>
        </row>
        <row r="525">
          <cell r="B525" t="str">
            <v>Agro Sudamerica1022847</v>
          </cell>
          <cell r="C525">
            <v>1022847</v>
          </cell>
          <cell r="D525" t="str">
            <v>GO Cne Falda Pan@ CJ 20k AS</v>
          </cell>
          <cell r="E525" t="str">
            <v>Agro Sudamerica</v>
          </cell>
          <cell r="G525">
            <v>92385.86099999999</v>
          </cell>
          <cell r="H525">
            <v>96000</v>
          </cell>
        </row>
        <row r="526">
          <cell r="B526" t="str">
            <v>Agrosuper Shanghai1022850</v>
          </cell>
          <cell r="C526">
            <v>1022850</v>
          </cell>
          <cell r="D526" t="e">
            <v>#N/A</v>
          </cell>
          <cell r="E526" t="str">
            <v>Agrosuper Shanghai</v>
          </cell>
          <cell r="G526">
            <v>0</v>
          </cell>
          <cell r="H526">
            <v>0</v>
          </cell>
        </row>
        <row r="527">
          <cell r="B527" t="str">
            <v>Agrosuper Shanghai1022851</v>
          </cell>
          <cell r="C527">
            <v>1022851</v>
          </cell>
          <cell r="D527" t="e">
            <v>#N/A</v>
          </cell>
          <cell r="E527" t="str">
            <v>Agrosuper Shanghai</v>
          </cell>
          <cell r="G527">
            <v>184760.46</v>
          </cell>
          <cell r="H527">
            <v>184760.46</v>
          </cell>
        </row>
        <row r="528">
          <cell r="B528" t="str">
            <v>Agro Sudamerica1022855</v>
          </cell>
          <cell r="C528">
            <v>1022855</v>
          </cell>
          <cell r="D528" t="str">
            <v>GO Grasa Forro Pal@ Cj 20k AS</v>
          </cell>
          <cell r="E528" t="str">
            <v>Agro Sudamerica</v>
          </cell>
          <cell r="G528">
            <v>17505.393299999974</v>
          </cell>
          <cell r="H528">
            <v>18526.061300000001</v>
          </cell>
        </row>
        <row r="529">
          <cell r="B529" t="str">
            <v>Agrosuper Shanghai1022856</v>
          </cell>
          <cell r="C529">
            <v>1022856</v>
          </cell>
          <cell r="D529" t="str">
            <v>GO Reco 10/90 @ Cj 20k AS</v>
          </cell>
          <cell r="E529" t="str">
            <v>Agrosuper Shanghai</v>
          </cell>
          <cell r="G529">
            <v>83653.311600000001</v>
          </cell>
          <cell r="H529">
            <v>64429.982974004204</v>
          </cell>
        </row>
        <row r="530">
          <cell r="B530" t="str">
            <v>Exportacion Directa1022869</v>
          </cell>
          <cell r="C530">
            <v>1022869</v>
          </cell>
          <cell r="D530" t="str">
            <v>GO Hso Pecho@ Cj 10k AP</v>
          </cell>
          <cell r="E530" t="str">
            <v>Exportacion Directa</v>
          </cell>
          <cell r="G530">
            <v>0</v>
          </cell>
          <cell r="H530">
            <v>0</v>
          </cell>
        </row>
        <row r="531">
          <cell r="B531" t="str">
            <v>Agrosuper Asia1022885</v>
          </cell>
          <cell r="C531">
            <v>1022885</v>
          </cell>
          <cell r="D531" t="str">
            <v>GO Panc S/cue@ Cj Panc TJ</v>
          </cell>
          <cell r="E531" t="str">
            <v>Agrosuper Asia</v>
          </cell>
          <cell r="G531">
            <v>549999.99710000004</v>
          </cell>
          <cell r="H531">
            <v>492961.573084681</v>
          </cell>
        </row>
        <row r="532">
          <cell r="B532" t="str">
            <v>Agrosuper Asia1022886</v>
          </cell>
          <cell r="C532">
            <v>1022886</v>
          </cell>
          <cell r="D532" t="e">
            <v>#N/A</v>
          </cell>
          <cell r="E532" t="str">
            <v>Agrosuper Asia</v>
          </cell>
          <cell r="G532">
            <v>0</v>
          </cell>
          <cell r="H532">
            <v>0</v>
          </cell>
        </row>
        <row r="533">
          <cell r="B533" t="str">
            <v>Agrosuper Asia1022887</v>
          </cell>
          <cell r="C533">
            <v>1022887</v>
          </cell>
          <cell r="D533" t="str">
            <v>GO Panc S/cue@ Cj Panc AK</v>
          </cell>
          <cell r="E533" t="str">
            <v>Agrosuper Asia</v>
          </cell>
          <cell r="G533">
            <v>264000</v>
          </cell>
          <cell r="H533">
            <v>253200.8654694524</v>
          </cell>
        </row>
        <row r="534">
          <cell r="B534" t="str">
            <v>Exportacion Directa1022901</v>
          </cell>
          <cell r="C534">
            <v>1022901</v>
          </cell>
          <cell r="D534" t="str">
            <v>GO Panc Tec S/Cue L@ Fi CJ Ch AP</v>
          </cell>
          <cell r="E534" t="str">
            <v>Exportacion Directa</v>
          </cell>
          <cell r="G534">
            <v>8391.4318227954209</v>
          </cell>
          <cell r="H534">
            <v>10000</v>
          </cell>
        </row>
        <row r="535">
          <cell r="B535" t="str">
            <v>1022918</v>
          </cell>
          <cell r="C535">
            <v>1022918</v>
          </cell>
          <cell r="D535" t="str">
            <v>GO Lom Tocino@ Cj 20k AA</v>
          </cell>
          <cell r="G535">
            <v>0</v>
          </cell>
          <cell r="H535">
            <v>0</v>
          </cell>
        </row>
        <row r="536">
          <cell r="B536" t="str">
            <v>Exportacion Directa1022919</v>
          </cell>
          <cell r="C536">
            <v>1022919</v>
          </cell>
          <cell r="D536" t="str">
            <v>GO MM LOIN S VP@ Cj 10k AP</v>
          </cell>
          <cell r="E536" t="str">
            <v>Exportacion Directa</v>
          </cell>
          <cell r="G536">
            <v>20195.896000000001</v>
          </cell>
          <cell r="H536">
            <v>24000</v>
          </cell>
        </row>
        <row r="537">
          <cell r="B537" t="str">
            <v>Agro Sudamerica1022920</v>
          </cell>
          <cell r="C537">
            <v>1022920</v>
          </cell>
          <cell r="D537" t="e">
            <v>#N/A</v>
          </cell>
          <cell r="E537" t="str">
            <v>Agro Sudamerica</v>
          </cell>
          <cell r="G537">
            <v>21067.845600000001</v>
          </cell>
          <cell r="H537">
            <v>0</v>
          </cell>
        </row>
        <row r="538">
          <cell r="B538" t="str">
            <v>Agro Sudamerica1022921</v>
          </cell>
          <cell r="C538">
            <v>1022921</v>
          </cell>
          <cell r="D538" t="str">
            <v>GO Gord Chic@ Cj 20k AS</v>
          </cell>
          <cell r="E538" t="str">
            <v>Agro Sudamerica</v>
          </cell>
          <cell r="G538">
            <v>42135.691000000006</v>
          </cell>
          <cell r="H538">
            <v>42885.591</v>
          </cell>
        </row>
        <row r="539">
          <cell r="B539" t="str">
            <v>Agro Sudamerica1022922</v>
          </cell>
          <cell r="C539">
            <v>1022922</v>
          </cell>
          <cell r="D539" t="str">
            <v>GO Triming Panc@ Cj 20k AS</v>
          </cell>
          <cell r="E539" t="str">
            <v>Agro Sudamerica</v>
          </cell>
          <cell r="G539">
            <v>0</v>
          </cell>
          <cell r="H539">
            <v>693.61700000000008</v>
          </cell>
        </row>
        <row r="540">
          <cell r="B540" t="str">
            <v>Agro Sudamerica1022923</v>
          </cell>
          <cell r="C540">
            <v>1022923</v>
          </cell>
          <cell r="D540" t="e">
            <v>#N/A</v>
          </cell>
          <cell r="E540" t="str">
            <v>Agro Sudamerica</v>
          </cell>
          <cell r="G540">
            <v>0</v>
          </cell>
          <cell r="H540">
            <v>0</v>
          </cell>
        </row>
        <row r="541">
          <cell r="B541" t="str">
            <v>1022924</v>
          </cell>
          <cell r="C541">
            <v>1022924</v>
          </cell>
          <cell r="D541" t="e">
            <v>#N/A</v>
          </cell>
          <cell r="G541">
            <v>0</v>
          </cell>
          <cell r="H541">
            <v>0</v>
          </cell>
        </row>
        <row r="542">
          <cell r="B542" t="str">
            <v>Agro Sudamerica1022925</v>
          </cell>
          <cell r="C542">
            <v>1022925</v>
          </cell>
          <cell r="D542" t="e">
            <v>#N/A</v>
          </cell>
          <cell r="E542" t="str">
            <v>Agro Sudamerica</v>
          </cell>
          <cell r="G542">
            <v>0</v>
          </cell>
          <cell r="H542">
            <v>0</v>
          </cell>
        </row>
        <row r="543">
          <cell r="B543" t="str">
            <v>Agro Sudamerica1022928</v>
          </cell>
          <cell r="C543">
            <v>1022928</v>
          </cell>
          <cell r="D543" t="str">
            <v>GO Cue Granel Esp CC@Cj 20k AS</v>
          </cell>
          <cell r="E543" t="str">
            <v>Agro Sudamerica</v>
          </cell>
          <cell r="G543">
            <v>6615.6279999999988</v>
          </cell>
          <cell r="H543">
            <v>10000</v>
          </cell>
        </row>
        <row r="544">
          <cell r="B544" t="str">
            <v>Agrosuper Asia1022930</v>
          </cell>
          <cell r="C544">
            <v>1022930</v>
          </cell>
          <cell r="D544" t="str">
            <v>GO Panc S/cue Hem@ Cj Panc TJ AS</v>
          </cell>
          <cell r="E544" t="str">
            <v>Agrosuper Asia</v>
          </cell>
          <cell r="G544">
            <v>17482.453000000001</v>
          </cell>
          <cell r="H544">
            <v>16511.179999999997</v>
          </cell>
        </row>
        <row r="545">
          <cell r="B545" t="str">
            <v>Exportacion Directa1022931</v>
          </cell>
          <cell r="C545">
            <v>1022931</v>
          </cell>
          <cell r="D545" t="str">
            <v>GO File C/cab 6x1@ VP Cj AP</v>
          </cell>
          <cell r="E545" t="str">
            <v>Exportacion Directa</v>
          </cell>
          <cell r="G545">
            <v>0</v>
          </cell>
          <cell r="H545">
            <v>20000</v>
          </cell>
        </row>
        <row r="546">
          <cell r="B546" t="str">
            <v>Agrosuper Shanghai1022943</v>
          </cell>
          <cell r="C546">
            <v>1022943</v>
          </cell>
          <cell r="D546" t="e">
            <v>#REF!</v>
          </cell>
          <cell r="E546" t="str">
            <v>Agrosuper Shanghai</v>
          </cell>
          <cell r="G546">
            <v>1400.854</v>
          </cell>
          <cell r="H546">
            <v>1400.854</v>
          </cell>
        </row>
        <row r="547">
          <cell r="B547" t="str">
            <v>Agrosuper Shanghai1022946</v>
          </cell>
          <cell r="C547">
            <v>1022946</v>
          </cell>
          <cell r="D547" t="e">
            <v>#N/A</v>
          </cell>
          <cell r="E547" t="str">
            <v>Agrosuper Shanghai</v>
          </cell>
          <cell r="G547">
            <v>0</v>
          </cell>
          <cell r="H547">
            <v>0</v>
          </cell>
        </row>
        <row r="548">
          <cell r="B548" t="str">
            <v>Agrosuper Asia1022985</v>
          </cell>
          <cell r="C548">
            <v>1022985</v>
          </cell>
          <cell r="D548" t="str">
            <v>GO Lom Vet Mad@ Cj 8,5k TJ</v>
          </cell>
          <cell r="E548" t="str">
            <v>Agrosuper Asia</v>
          </cell>
          <cell r="G548">
            <v>5373.3270000000002</v>
          </cell>
          <cell r="H548">
            <v>5000.0000000000009</v>
          </cell>
        </row>
        <row r="549">
          <cell r="B549" t="str">
            <v>Agrosuper Asia1022986</v>
          </cell>
          <cell r="C549">
            <v>1022986</v>
          </cell>
          <cell r="D549" t="str">
            <v>GO Panc S/cue Mad@ Cj 16,4k Panc TJ</v>
          </cell>
          <cell r="E549" t="str">
            <v>Agrosuper Asia</v>
          </cell>
          <cell r="G549">
            <v>0</v>
          </cell>
          <cell r="H549">
            <v>1517.5467000000001</v>
          </cell>
        </row>
        <row r="550">
          <cell r="B550" t="str">
            <v>Exportacion Directa1022987</v>
          </cell>
          <cell r="C550">
            <v>1022987</v>
          </cell>
          <cell r="D550" t="str">
            <v>GO Lom Tocino@ Bo Cj 20k AP</v>
          </cell>
          <cell r="E550" t="str">
            <v>Exportacion Directa</v>
          </cell>
          <cell r="G550">
            <v>52669.614100000006</v>
          </cell>
          <cell r="H550">
            <v>31180.614100000006</v>
          </cell>
        </row>
        <row r="551">
          <cell r="B551" t="str">
            <v>Exportacion Directa1022990</v>
          </cell>
          <cell r="C551">
            <v>1022990</v>
          </cell>
          <cell r="D551" t="str">
            <v>GO Panc Tec S/cue VP@ Cj ch AP</v>
          </cell>
          <cell r="E551" t="str">
            <v>Exportacion Directa</v>
          </cell>
          <cell r="G551">
            <v>0</v>
          </cell>
          <cell r="H551">
            <v>0</v>
          </cell>
        </row>
        <row r="552">
          <cell r="B552" t="str">
            <v>Agrosuper Shanghai1022994</v>
          </cell>
          <cell r="C552">
            <v>1022994</v>
          </cell>
          <cell r="D552" t="e">
            <v>#N/A</v>
          </cell>
          <cell r="E552" t="str">
            <v>Agrosuper Shanghai</v>
          </cell>
          <cell r="G552">
            <v>0</v>
          </cell>
          <cell r="H552">
            <v>0</v>
          </cell>
        </row>
        <row r="553">
          <cell r="B553" t="str">
            <v>Agrosuper Shanghai1022995</v>
          </cell>
          <cell r="C553">
            <v>1022995</v>
          </cell>
          <cell r="D553" t="e">
            <v>#REF!</v>
          </cell>
          <cell r="E553" t="str">
            <v>Agrosuper Shanghai</v>
          </cell>
          <cell r="G553">
            <v>2000</v>
          </cell>
          <cell r="H553">
            <v>0</v>
          </cell>
        </row>
        <row r="554">
          <cell r="B554" t="str">
            <v>Agro Sudamerica1022996</v>
          </cell>
          <cell r="C554">
            <v>1022996</v>
          </cell>
          <cell r="D554" t="e">
            <v>#N/A</v>
          </cell>
          <cell r="E554" t="str">
            <v>Agro Sudamerica</v>
          </cell>
          <cell r="G554">
            <v>0</v>
          </cell>
          <cell r="H554">
            <v>0</v>
          </cell>
        </row>
        <row r="555">
          <cell r="B555" t="str">
            <v>Agrosuper Asia1023015</v>
          </cell>
          <cell r="C555">
            <v>1023015</v>
          </cell>
          <cell r="D555" t="e">
            <v>#N/A</v>
          </cell>
          <cell r="E555" t="str">
            <v>Agrosuper Asia</v>
          </cell>
          <cell r="G555">
            <v>0</v>
          </cell>
          <cell r="H555">
            <v>0</v>
          </cell>
        </row>
        <row r="556">
          <cell r="B556" t="str">
            <v>Agrosuper Asia1023017</v>
          </cell>
          <cell r="C556">
            <v>1023017</v>
          </cell>
          <cell r="D556" t="e">
            <v>#N/A</v>
          </cell>
          <cell r="E556" t="str">
            <v>Agrosuper Asia</v>
          </cell>
          <cell r="G556">
            <v>0</v>
          </cell>
          <cell r="H556">
            <v>0</v>
          </cell>
        </row>
        <row r="557">
          <cell r="B557" t="str">
            <v>Agrosuper Asia1023018</v>
          </cell>
          <cell r="C557">
            <v>1023018</v>
          </cell>
          <cell r="D557" t="e">
            <v>#N/A</v>
          </cell>
          <cell r="E557" t="str">
            <v>Agrosuper Asia</v>
          </cell>
          <cell r="G557">
            <v>0</v>
          </cell>
          <cell r="H557">
            <v>0</v>
          </cell>
        </row>
        <row r="558">
          <cell r="B558" t="str">
            <v>Agrosuper Shanghai1023019</v>
          </cell>
          <cell r="C558">
            <v>1023019</v>
          </cell>
          <cell r="D558" t="e">
            <v>#N/A</v>
          </cell>
          <cell r="E558" t="str">
            <v>Agrosuper Shanghai</v>
          </cell>
          <cell r="G558">
            <v>0</v>
          </cell>
          <cell r="H558">
            <v>0</v>
          </cell>
        </row>
        <row r="559">
          <cell r="B559" t="str">
            <v>Agrosuper Shanghai1023035</v>
          </cell>
          <cell r="C559">
            <v>1023035</v>
          </cell>
          <cell r="D559" t="str">
            <v>GO Belly Strip@ Cj 20k AS</v>
          </cell>
          <cell r="E559" t="str">
            <v>Agrosuper Shanghai</v>
          </cell>
          <cell r="G559">
            <v>0</v>
          </cell>
          <cell r="H559">
            <v>0</v>
          </cell>
        </row>
        <row r="560">
          <cell r="B560" t="str">
            <v>Agrosuper Asia1023037</v>
          </cell>
          <cell r="C560">
            <v>1023037</v>
          </cell>
          <cell r="D560" t="str">
            <v>GO Panc S/cue@ Cj Panc 16k AS</v>
          </cell>
          <cell r="E560" t="str">
            <v>Agrosuper Asia</v>
          </cell>
          <cell r="G560">
            <v>121000</v>
          </cell>
          <cell r="H560">
            <v>58502.691601748214</v>
          </cell>
        </row>
        <row r="561">
          <cell r="B561" t="str">
            <v>Agrosuper Asia1023038</v>
          </cell>
          <cell r="C561">
            <v>1023038</v>
          </cell>
          <cell r="D561" t="str">
            <v>GO Lom Vet@ Cj 8k AS</v>
          </cell>
          <cell r="E561" t="str">
            <v>Agrosuper Asia</v>
          </cell>
          <cell r="G561">
            <v>103776.49303594134</v>
          </cell>
          <cell r="H561">
            <v>110000</v>
          </cell>
        </row>
        <row r="562">
          <cell r="B562" t="str">
            <v>Exportacion Directa1023055</v>
          </cell>
          <cell r="C562">
            <v>1023055</v>
          </cell>
          <cell r="D562" t="str">
            <v>GO Lom Vet M@ Fi Cj Lom Vet AP</v>
          </cell>
          <cell r="E562" t="str">
            <v>Exportacion Directa</v>
          </cell>
          <cell r="G562">
            <v>4267.9769999999999</v>
          </cell>
          <cell r="H562">
            <v>0</v>
          </cell>
        </row>
        <row r="563">
          <cell r="B563" t="str">
            <v>Exportacion Directa1023084</v>
          </cell>
          <cell r="C563">
            <v>1023084</v>
          </cell>
          <cell r="D563" t="e">
            <v>#N/A</v>
          </cell>
          <cell r="E563" t="str">
            <v>Exportacion Directa</v>
          </cell>
          <cell r="G563">
            <v>0</v>
          </cell>
          <cell r="H563">
            <v>0</v>
          </cell>
        </row>
        <row r="564">
          <cell r="B564" t="str">
            <v>Agrosuper Asia1023090</v>
          </cell>
          <cell r="C564">
            <v>1023090</v>
          </cell>
          <cell r="D564" t="str">
            <v>GO Panc S/cue S/h@ Cj Panc 16k AS</v>
          </cell>
          <cell r="E564" t="str">
            <v>Agrosuper Asia</v>
          </cell>
          <cell r="G564">
            <v>21958.222359487943</v>
          </cell>
          <cell r="H564">
            <v>22000</v>
          </cell>
        </row>
        <row r="565">
          <cell r="B565" t="str">
            <v>Agrosuper Shanghai1023109</v>
          </cell>
          <cell r="C565">
            <v>1023109</v>
          </cell>
          <cell r="D565" t="e">
            <v>#N/A</v>
          </cell>
          <cell r="E565" t="str">
            <v>Agrosuper Shanghai</v>
          </cell>
          <cell r="G565">
            <v>0</v>
          </cell>
          <cell r="H565">
            <v>0</v>
          </cell>
        </row>
        <row r="566">
          <cell r="B566" t="str">
            <v>Agrosuper Shanghai1023110</v>
          </cell>
          <cell r="C566">
            <v>1023110</v>
          </cell>
          <cell r="D566" t="e">
            <v>#REF!</v>
          </cell>
          <cell r="E566" t="str">
            <v>Agrosuper Shanghai</v>
          </cell>
          <cell r="G566">
            <v>117517</v>
          </cell>
          <cell r="H566">
            <v>192000</v>
          </cell>
        </row>
        <row r="567">
          <cell r="B567" t="str">
            <v>Agrosuper Shanghai1023111</v>
          </cell>
          <cell r="C567">
            <v>1023111</v>
          </cell>
          <cell r="D567" t="str">
            <v>GO Grasa Forro Pna Limp@ Bo Cj 20k AS</v>
          </cell>
          <cell r="E567" t="str">
            <v>Agrosuper Shanghai</v>
          </cell>
          <cell r="G567">
            <v>0</v>
          </cell>
          <cell r="H567">
            <v>3303.1679999999997</v>
          </cell>
        </row>
        <row r="568">
          <cell r="B568" t="str">
            <v>Agrosuper Shanghai1023130</v>
          </cell>
          <cell r="C568">
            <v>1023130</v>
          </cell>
          <cell r="D568" t="e">
            <v>#N/A</v>
          </cell>
          <cell r="E568" t="str">
            <v>Agrosuper Shanghai</v>
          </cell>
          <cell r="G568">
            <v>0</v>
          </cell>
          <cell r="H568">
            <v>0</v>
          </cell>
        </row>
        <row r="569">
          <cell r="B569" t="str">
            <v>Agrosuper Asia1023144</v>
          </cell>
          <cell r="C569">
            <v>1023144</v>
          </cell>
          <cell r="D569" t="str">
            <v>GO Papda C/Cue granel@ Bo Cj AS</v>
          </cell>
          <cell r="E569" t="str">
            <v>Agrosuper Asia</v>
          </cell>
          <cell r="G569">
            <v>68313.554999999993</v>
          </cell>
          <cell r="H569">
            <v>47999.999999999993</v>
          </cell>
        </row>
        <row r="570">
          <cell r="B570" t="str">
            <v>Exportacion Directa1023163</v>
          </cell>
          <cell r="C570">
            <v>1023163</v>
          </cell>
          <cell r="D570" t="str">
            <v>GO Lom Vet &gt;2.0@ Fi Cj 8k AP</v>
          </cell>
          <cell r="E570" t="str">
            <v>Exportacion Directa</v>
          </cell>
          <cell r="G570">
            <v>30765.625599999999</v>
          </cell>
          <cell r="H570">
            <v>25000</v>
          </cell>
        </row>
        <row r="571">
          <cell r="B571" t="str">
            <v>Agrosuper Asia1023164</v>
          </cell>
          <cell r="C571">
            <v>1023164</v>
          </cell>
          <cell r="D571" t="e">
            <v>#N/A</v>
          </cell>
          <cell r="E571" t="str">
            <v>Agrosuper Asia</v>
          </cell>
          <cell r="G571">
            <v>0</v>
          </cell>
          <cell r="H571">
            <v>0</v>
          </cell>
        </row>
        <row r="572">
          <cell r="B572" t="str">
            <v>Agrosuper Asia1023165</v>
          </cell>
          <cell r="C572">
            <v>1023165</v>
          </cell>
          <cell r="D572" t="e">
            <v>#N/A</v>
          </cell>
          <cell r="E572" t="str">
            <v>Agrosuper Asia</v>
          </cell>
          <cell r="G572">
            <v>0</v>
          </cell>
          <cell r="H572">
            <v>0</v>
          </cell>
        </row>
        <row r="573">
          <cell r="B573" t="str">
            <v>1023170</v>
          </cell>
          <cell r="C573">
            <v>1023170</v>
          </cell>
          <cell r="D573" t="e">
            <v>#N/A</v>
          </cell>
          <cell r="G573">
            <v>0</v>
          </cell>
          <cell r="H573">
            <v>0</v>
          </cell>
        </row>
        <row r="574">
          <cell r="B574" t="str">
            <v>Agrosuper Asia1023183</v>
          </cell>
          <cell r="C574">
            <v>1023183</v>
          </cell>
          <cell r="D574" t="str">
            <v>GO Pech S/Cue@ Vp Cj AS</v>
          </cell>
          <cell r="E574" t="str">
            <v>Agrosuper Asia</v>
          </cell>
          <cell r="G574">
            <v>0</v>
          </cell>
          <cell r="H574">
            <v>21645.350000000002</v>
          </cell>
        </row>
        <row r="575">
          <cell r="B575" t="str">
            <v>Exportacion Directa1023194</v>
          </cell>
          <cell r="C575">
            <v>1023194</v>
          </cell>
          <cell r="D575" t="str">
            <v>GO Cne Falda Panc@ Bo Cj AP</v>
          </cell>
          <cell r="E575" t="str">
            <v>Exportacion Directa</v>
          </cell>
          <cell r="G575">
            <v>5333.1389999999992</v>
          </cell>
          <cell r="H575">
            <v>6000</v>
          </cell>
        </row>
        <row r="576">
          <cell r="B576" t="str">
            <v>Africa1023212</v>
          </cell>
          <cell r="C576">
            <v>1023212</v>
          </cell>
          <cell r="D576" t="e">
            <v>#N/A</v>
          </cell>
          <cell r="E576" t="str">
            <v>Africa</v>
          </cell>
          <cell r="G576">
            <v>0</v>
          </cell>
          <cell r="H576">
            <v>0</v>
          </cell>
        </row>
        <row r="577">
          <cell r="B577" t="str">
            <v>Agrosuper Asia1023283</v>
          </cell>
          <cell r="C577">
            <v>1023283</v>
          </cell>
          <cell r="D577" t="str">
            <v>GO Grasa Chaleco@ Cj 10k AS</v>
          </cell>
          <cell r="E577" t="str">
            <v>Agrosuper Asia</v>
          </cell>
          <cell r="G577">
            <v>37737.675000000003</v>
          </cell>
          <cell r="H577">
            <v>10283.172999999995</v>
          </cell>
        </row>
        <row r="578">
          <cell r="B578" t="str">
            <v>Agro Sudamerica1023295</v>
          </cell>
          <cell r="C578">
            <v>1023295</v>
          </cell>
          <cell r="D578" t="e">
            <v>#N/A</v>
          </cell>
          <cell r="E578" t="str">
            <v>Agro Sudamerica</v>
          </cell>
          <cell r="G578">
            <v>2000</v>
          </cell>
          <cell r="H578">
            <v>2000</v>
          </cell>
        </row>
        <row r="579">
          <cell r="B579" t="str">
            <v>Exportacion Directa1023301</v>
          </cell>
          <cell r="C579">
            <v>1023301</v>
          </cell>
          <cell r="D579" t="str">
            <v>GO CC Loin LL@ Bo Cj Lom Mad AP</v>
          </cell>
          <cell r="E579" t="str">
            <v>Exportacion Directa</v>
          </cell>
          <cell r="G579">
            <v>45581.201000000001</v>
          </cell>
          <cell r="H579">
            <v>23499.999999999996</v>
          </cell>
        </row>
        <row r="580">
          <cell r="B580" t="str">
            <v>Agrosuper Asia1023307</v>
          </cell>
          <cell r="C580">
            <v>1023307</v>
          </cell>
          <cell r="D580" t="str">
            <v>GO Pulmon@ Cj 20k AS</v>
          </cell>
          <cell r="E580" t="str">
            <v>Agrosuper Asia</v>
          </cell>
          <cell r="G580">
            <v>54180.142</v>
          </cell>
          <cell r="H580">
            <v>37685.784999999996</v>
          </cell>
        </row>
        <row r="581">
          <cell r="B581" t="str">
            <v>Agro Sudamerica1023312</v>
          </cell>
          <cell r="C581">
            <v>1023312</v>
          </cell>
          <cell r="D581" t="str">
            <v>GO File C/cab@Cj 20k AS</v>
          </cell>
          <cell r="E581" t="str">
            <v>Agro Sudamerica</v>
          </cell>
          <cell r="G581">
            <v>0</v>
          </cell>
          <cell r="H581">
            <v>0</v>
          </cell>
        </row>
        <row r="582">
          <cell r="B582" t="str">
            <v>Agrosuper Asia1023326</v>
          </cell>
          <cell r="C582">
            <v>1023326</v>
          </cell>
          <cell r="D582" t="str">
            <v>GO Corazón Partido@ Cj 10k AS</v>
          </cell>
          <cell r="E582" t="str">
            <v>Agrosuper Asia</v>
          </cell>
          <cell r="G582">
            <v>45318.668351187895</v>
          </cell>
          <cell r="H582">
            <v>48000</v>
          </cell>
        </row>
        <row r="583">
          <cell r="B583" t="str">
            <v>Agrosuper Brasil1023329</v>
          </cell>
          <cell r="C583">
            <v>1023329</v>
          </cell>
          <cell r="D583" t="str">
            <v>GO Cue Papda CP@ Cj 20k AS</v>
          </cell>
          <cell r="E583" t="str">
            <v>Agrosuper Brasil</v>
          </cell>
          <cell r="G583">
            <v>77375.142999999996</v>
          </cell>
          <cell r="H583">
            <v>0</v>
          </cell>
        </row>
        <row r="584">
          <cell r="B584" t="str">
            <v>Agro Sudamerica1023331</v>
          </cell>
          <cell r="C584">
            <v>1023331</v>
          </cell>
          <cell r="D584" t="str">
            <v>GO Lom Vet 44@ Bo Cj 20k AS</v>
          </cell>
          <cell r="E584" t="str">
            <v>Agro Sudamerica</v>
          </cell>
          <cell r="G584">
            <v>0</v>
          </cell>
          <cell r="H584">
            <v>104.461</v>
          </cell>
        </row>
        <row r="585">
          <cell r="B585" t="str">
            <v>Agrosuper Brasil1023334</v>
          </cell>
          <cell r="C585">
            <v>1023334</v>
          </cell>
          <cell r="D585" t="str">
            <v>Cue granel Esp CC@ Cj 20k AS</v>
          </cell>
          <cell r="E585" t="str">
            <v>Agrosuper Brasil</v>
          </cell>
          <cell r="G585">
            <v>1.4551915228366852E-11</v>
          </cell>
          <cell r="H585">
            <v>10599.197</v>
          </cell>
        </row>
        <row r="586">
          <cell r="B586" t="str">
            <v>Agrosuper Brasil1023336</v>
          </cell>
          <cell r="C586">
            <v>1023336</v>
          </cell>
          <cell r="D586" t="str">
            <v>Cue granel Esp CC@ Cj 20k AS</v>
          </cell>
          <cell r="E586" t="str">
            <v>Agrosuper Brasil</v>
          </cell>
          <cell r="G586">
            <v>0</v>
          </cell>
          <cell r="H586">
            <v>0</v>
          </cell>
        </row>
        <row r="587">
          <cell r="B587" t="str">
            <v>Exportacion Directa1023349</v>
          </cell>
          <cell r="C587">
            <v>1023349</v>
          </cell>
          <cell r="D587" t="str">
            <v>GO Lom Tecla VP@ Cj Lom Ctro</v>
          </cell>
          <cell r="E587" t="str">
            <v>Exportacion Directa</v>
          </cell>
          <cell r="G587">
            <v>6215.259</v>
          </cell>
          <cell r="H587">
            <v>5000</v>
          </cell>
        </row>
        <row r="588">
          <cell r="B588" t="str">
            <v>Exportacion Directa1023350</v>
          </cell>
          <cell r="C588">
            <v>1023350</v>
          </cell>
          <cell r="D588" t="str">
            <v>Lom Vet &gt;2.0@ VP Cj Lom Vet AP</v>
          </cell>
          <cell r="E588" t="str">
            <v>Exportacion Directa</v>
          </cell>
          <cell r="G588">
            <v>15802.952961834259</v>
          </cell>
          <cell r="H588">
            <v>20000.0003</v>
          </cell>
        </row>
        <row r="589">
          <cell r="B589" t="str">
            <v>Exportacion Directa1023351</v>
          </cell>
          <cell r="C589">
            <v>1023351</v>
          </cell>
          <cell r="D589" t="str">
            <v>GO Panc S/tec L @VP Cj AP</v>
          </cell>
          <cell r="E589" t="str">
            <v>Exportacion Directa</v>
          </cell>
          <cell r="G589">
            <v>7837.7659999999996</v>
          </cell>
          <cell r="H589">
            <v>5000</v>
          </cell>
        </row>
        <row r="590">
          <cell r="B590" t="str">
            <v>Exportacion Directa1023352</v>
          </cell>
          <cell r="C590">
            <v>1023352</v>
          </cell>
          <cell r="D590" t="str">
            <v>GO Panc Tec S/cue@ R VP Cj ch AP</v>
          </cell>
          <cell r="E590" t="str">
            <v>Exportacion Directa</v>
          </cell>
          <cell r="G590">
            <v>50562.828999999998</v>
          </cell>
          <cell r="H590">
            <v>0</v>
          </cell>
        </row>
        <row r="591">
          <cell r="B591" t="str">
            <v>Agro Sudamerica1023355</v>
          </cell>
          <cell r="C591">
            <v>1023355</v>
          </cell>
          <cell r="D591" t="str">
            <v>GO Pulmon@ Cj 20k AS</v>
          </cell>
          <cell r="E591" t="str">
            <v>Agro Sudamerica</v>
          </cell>
          <cell r="G591">
            <v>0</v>
          </cell>
          <cell r="H591">
            <v>4082.4340000000002</v>
          </cell>
        </row>
        <row r="592">
          <cell r="B592" t="str">
            <v>Agrosuper Asia1023370</v>
          </cell>
          <cell r="C592">
            <v>1023370</v>
          </cell>
          <cell r="D592" t="e">
            <v>#REF!</v>
          </cell>
          <cell r="E592" t="str">
            <v>Agrosuper Asia</v>
          </cell>
          <cell r="G592">
            <v>48000</v>
          </cell>
          <cell r="H592">
            <v>48000</v>
          </cell>
        </row>
        <row r="593">
          <cell r="B593" t="str">
            <v>Agrosuper Asia1023371</v>
          </cell>
          <cell r="C593">
            <v>1023371</v>
          </cell>
          <cell r="D593" t="e">
            <v>#REF!</v>
          </cell>
          <cell r="E593" t="str">
            <v>Agrosuper Asia</v>
          </cell>
          <cell r="G593">
            <v>48000</v>
          </cell>
          <cell r="H593">
            <v>48000</v>
          </cell>
        </row>
        <row r="594">
          <cell r="B594" t="str">
            <v>Agrosuper Asia1023372</v>
          </cell>
          <cell r="C594">
            <v>1023372</v>
          </cell>
          <cell r="D594" t="e">
            <v>#REF!</v>
          </cell>
          <cell r="E594" t="str">
            <v>Agrosuper Asia</v>
          </cell>
          <cell r="G594">
            <v>72000</v>
          </cell>
          <cell r="H594">
            <v>48000</v>
          </cell>
        </row>
        <row r="595">
          <cell r="B595" t="str">
            <v>Agrosuper Asia1023397</v>
          </cell>
          <cell r="C595">
            <v>1023397</v>
          </cell>
          <cell r="D595" t="e">
            <v>#REF!</v>
          </cell>
          <cell r="E595" t="str">
            <v>Agrosuper Asia</v>
          </cell>
          <cell r="G595">
            <v>120000</v>
          </cell>
          <cell r="H595">
            <v>93642.778812262724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 producir pavo"/>
      <sheetName val="Consolidado"/>
      <sheetName val="Cerdo"/>
      <sheetName val="Pollo"/>
      <sheetName val="Pedidos"/>
    </sheetNames>
    <sheetDataSet>
      <sheetData sheetId="0"/>
      <sheetData sheetId="1">
        <row r="4">
          <cell r="C4" t="str">
            <v>Material</v>
          </cell>
          <cell r="D4" t="str">
            <v>Total</v>
          </cell>
        </row>
        <row r="5">
          <cell r="C5">
            <v>1030239</v>
          </cell>
          <cell r="D5">
            <v>0</v>
          </cell>
        </row>
        <row r="6">
          <cell r="C6">
            <v>1030325</v>
          </cell>
          <cell r="D6">
            <v>0</v>
          </cell>
        </row>
        <row r="7">
          <cell r="C7">
            <v>1030332</v>
          </cell>
          <cell r="D7">
            <v>16324.753997141264</v>
          </cell>
        </row>
        <row r="8">
          <cell r="C8">
            <v>1030381</v>
          </cell>
          <cell r="D8">
            <v>0</v>
          </cell>
        </row>
        <row r="9">
          <cell r="C9">
            <v>1030525</v>
          </cell>
          <cell r="D9">
            <v>16983.487507541176</v>
          </cell>
        </row>
        <row r="10">
          <cell r="C10">
            <v>1030558</v>
          </cell>
          <cell r="D10">
            <v>0</v>
          </cell>
        </row>
        <row r="11">
          <cell r="C11">
            <v>1030630</v>
          </cell>
          <cell r="D11">
            <v>0</v>
          </cell>
        </row>
        <row r="12">
          <cell r="C12">
            <v>1030685</v>
          </cell>
          <cell r="D12">
            <v>74095.771080800259</v>
          </cell>
        </row>
        <row r="13">
          <cell r="C13">
            <v>1030378</v>
          </cell>
          <cell r="D13">
            <v>0</v>
          </cell>
        </row>
        <row r="14">
          <cell r="C14">
            <v>1030419</v>
          </cell>
          <cell r="D14">
            <v>0</v>
          </cell>
        </row>
        <row r="15">
          <cell r="C15">
            <v>1030498</v>
          </cell>
          <cell r="D15">
            <v>10492.065493111802</v>
          </cell>
        </row>
        <row r="16">
          <cell r="C16">
            <v>1030634</v>
          </cell>
          <cell r="D16">
            <v>0</v>
          </cell>
        </row>
        <row r="17">
          <cell r="C17">
            <v>1030635</v>
          </cell>
          <cell r="D17">
            <v>0</v>
          </cell>
        </row>
        <row r="18">
          <cell r="C18">
            <v>1030686</v>
          </cell>
          <cell r="D18">
            <v>34738.065753400413</v>
          </cell>
        </row>
        <row r="19">
          <cell r="C19">
            <v>1030710</v>
          </cell>
          <cell r="D19">
            <v>6527.1842169352767</v>
          </cell>
        </row>
        <row r="20">
          <cell r="C20">
            <v>1030711</v>
          </cell>
          <cell r="D20">
            <v>0</v>
          </cell>
        </row>
        <row r="21">
          <cell r="C21">
            <v>1030684</v>
          </cell>
          <cell r="D21">
            <v>17427.616575377695</v>
          </cell>
        </row>
        <row r="22">
          <cell r="C22">
            <v>1030366</v>
          </cell>
          <cell r="D22">
            <v>999.6</v>
          </cell>
        </row>
        <row r="23">
          <cell r="C23">
            <v>1030712</v>
          </cell>
          <cell r="D23">
            <v>0</v>
          </cell>
        </row>
        <row r="24">
          <cell r="C24">
            <v>1030236</v>
          </cell>
          <cell r="D24">
            <v>0</v>
          </cell>
        </row>
        <row r="25">
          <cell r="C25">
            <v>1030265</v>
          </cell>
          <cell r="D25">
            <v>8500</v>
          </cell>
        </row>
        <row r="26">
          <cell r="C26">
            <v>1030271</v>
          </cell>
          <cell r="D26">
            <v>0</v>
          </cell>
        </row>
        <row r="27">
          <cell r="C27">
            <v>1030294</v>
          </cell>
          <cell r="D27">
            <v>0</v>
          </cell>
        </row>
        <row r="28">
          <cell r="C28">
            <v>1030327</v>
          </cell>
          <cell r="D28">
            <v>2550</v>
          </cell>
        </row>
        <row r="29">
          <cell r="C29">
            <v>1030337</v>
          </cell>
          <cell r="D29">
            <v>196502.44941575572</v>
          </cell>
        </row>
        <row r="30">
          <cell r="C30">
            <v>1030379</v>
          </cell>
          <cell r="D30">
            <v>292375.26714937919</v>
          </cell>
        </row>
        <row r="31">
          <cell r="C31">
            <v>1030424</v>
          </cell>
          <cell r="D31">
            <v>25500</v>
          </cell>
        </row>
        <row r="32">
          <cell r="C32">
            <v>1030452</v>
          </cell>
          <cell r="D32">
            <v>6970</v>
          </cell>
        </row>
        <row r="33">
          <cell r="C33">
            <v>1030461</v>
          </cell>
          <cell r="D33">
            <v>5100</v>
          </cell>
        </row>
        <row r="34">
          <cell r="C34">
            <v>1030506</v>
          </cell>
          <cell r="D34">
            <v>0</v>
          </cell>
        </row>
        <row r="35">
          <cell r="C35">
            <v>1030520</v>
          </cell>
          <cell r="D35">
            <v>0</v>
          </cell>
        </row>
        <row r="36">
          <cell r="C36">
            <v>1030542</v>
          </cell>
          <cell r="D36">
            <v>0</v>
          </cell>
        </row>
        <row r="37">
          <cell r="C37">
            <v>1030647</v>
          </cell>
          <cell r="D37">
            <v>0</v>
          </cell>
        </row>
        <row r="38">
          <cell r="C38">
            <v>1030652</v>
          </cell>
          <cell r="D38">
            <v>0</v>
          </cell>
        </row>
        <row r="39">
          <cell r="C39">
            <v>1030670</v>
          </cell>
          <cell r="D39">
            <v>0</v>
          </cell>
        </row>
        <row r="40">
          <cell r="C40">
            <v>1030675</v>
          </cell>
          <cell r="D40">
            <v>0</v>
          </cell>
        </row>
        <row r="41">
          <cell r="C41">
            <v>1030230</v>
          </cell>
          <cell r="D41">
            <v>0</v>
          </cell>
        </row>
        <row r="42">
          <cell r="C42">
            <v>1030370</v>
          </cell>
          <cell r="D42">
            <v>4760</v>
          </cell>
        </row>
        <row r="43">
          <cell r="C43">
            <v>1030700</v>
          </cell>
          <cell r="D43">
            <v>0</v>
          </cell>
        </row>
        <row r="44">
          <cell r="C44">
            <v>1030720</v>
          </cell>
          <cell r="D44">
            <v>17000</v>
          </cell>
        </row>
        <row r="45">
          <cell r="C45">
            <v>1030224</v>
          </cell>
          <cell r="D45">
            <v>85235.756115136202</v>
          </cell>
        </row>
        <row r="46">
          <cell r="C46">
            <v>1030535</v>
          </cell>
          <cell r="D46">
            <v>0</v>
          </cell>
        </row>
        <row r="47">
          <cell r="C47">
            <v>1030570</v>
          </cell>
          <cell r="D47">
            <v>0</v>
          </cell>
        </row>
        <row r="48">
          <cell r="C48">
            <v>1030631</v>
          </cell>
          <cell r="D48">
            <v>0</v>
          </cell>
        </row>
        <row r="49">
          <cell r="C49">
            <v>1030632</v>
          </cell>
          <cell r="D49">
            <v>0</v>
          </cell>
        </row>
        <row r="50">
          <cell r="C50">
            <v>1030671</v>
          </cell>
          <cell r="D50">
            <v>0</v>
          </cell>
        </row>
        <row r="51">
          <cell r="C51">
            <v>1030672</v>
          </cell>
          <cell r="D51">
            <v>0</v>
          </cell>
        </row>
        <row r="52">
          <cell r="C52">
            <v>1030683</v>
          </cell>
          <cell r="D52">
            <v>133379.77783374596</v>
          </cell>
        </row>
        <row r="53">
          <cell r="C53">
            <v>1030228</v>
          </cell>
          <cell r="D53">
            <v>0</v>
          </cell>
        </row>
        <row r="54">
          <cell r="C54">
            <v>1030279</v>
          </cell>
          <cell r="D54">
            <v>0</v>
          </cell>
        </row>
        <row r="55">
          <cell r="C55">
            <v>1030418</v>
          </cell>
          <cell r="D55">
            <v>0</v>
          </cell>
        </row>
        <row r="56">
          <cell r="C56">
            <v>1030543</v>
          </cell>
          <cell r="D56">
            <v>0</v>
          </cell>
        </row>
        <row r="57">
          <cell r="C57">
            <v>1030545</v>
          </cell>
          <cell r="D57">
            <v>0</v>
          </cell>
        </row>
        <row r="58">
          <cell r="C58">
            <v>1030549</v>
          </cell>
          <cell r="D58">
            <v>0</v>
          </cell>
        </row>
        <row r="59">
          <cell r="C59">
            <v>1030658</v>
          </cell>
          <cell r="D59">
            <v>159764.45960993346</v>
          </cell>
        </row>
        <row r="60">
          <cell r="C60">
            <v>1030355</v>
          </cell>
          <cell r="D60">
            <v>24597.867104306679</v>
          </cell>
        </row>
        <row r="61">
          <cell r="C61">
            <v>1030706</v>
          </cell>
          <cell r="D61">
            <v>0</v>
          </cell>
        </row>
        <row r="62">
          <cell r="C62">
            <v>1030707</v>
          </cell>
          <cell r="D62">
            <v>0</v>
          </cell>
        </row>
        <row r="63">
          <cell r="C63">
            <v>1030321</v>
          </cell>
          <cell r="D63">
            <v>2427.6</v>
          </cell>
        </row>
        <row r="64">
          <cell r="C64">
            <v>1030376</v>
          </cell>
          <cell r="D64">
            <v>1285.2</v>
          </cell>
        </row>
        <row r="65">
          <cell r="C65">
            <v>1030360</v>
          </cell>
          <cell r="D65">
            <v>2189.6</v>
          </cell>
        </row>
        <row r="66">
          <cell r="C66">
            <v>1030359</v>
          </cell>
          <cell r="D66">
            <v>0</v>
          </cell>
        </row>
        <row r="67">
          <cell r="C67">
            <v>1030389</v>
          </cell>
          <cell r="D67">
            <v>0</v>
          </cell>
        </row>
        <row r="68">
          <cell r="C68">
            <v>1030309</v>
          </cell>
          <cell r="D68">
            <v>0</v>
          </cell>
        </row>
        <row r="69">
          <cell r="C69">
            <v>1030725</v>
          </cell>
          <cell r="D69">
            <v>0</v>
          </cell>
        </row>
        <row r="70">
          <cell r="C70">
            <v>1030126</v>
          </cell>
          <cell r="D70">
            <v>0</v>
          </cell>
        </row>
        <row r="71">
          <cell r="C71">
            <v>1030550</v>
          </cell>
          <cell r="D71">
            <v>0</v>
          </cell>
        </row>
        <row r="72">
          <cell r="C72">
            <v>1030626</v>
          </cell>
          <cell r="D72">
            <v>0</v>
          </cell>
        </row>
        <row r="73">
          <cell r="C73">
            <v>1030732</v>
          </cell>
          <cell r="D73">
            <v>0</v>
          </cell>
        </row>
        <row r="74">
          <cell r="C74">
            <v>1030566</v>
          </cell>
          <cell r="D74">
            <v>8500</v>
          </cell>
        </row>
        <row r="75">
          <cell r="C75">
            <v>1030731</v>
          </cell>
          <cell r="D75">
            <v>0</v>
          </cell>
        </row>
        <row r="76">
          <cell r="C76">
            <v>1030727</v>
          </cell>
          <cell r="D76">
            <v>0</v>
          </cell>
        </row>
        <row r="77">
          <cell r="C77">
            <v>1030661</v>
          </cell>
          <cell r="D77">
            <v>0</v>
          </cell>
        </row>
        <row r="78">
          <cell r="C78">
            <v>1030736</v>
          </cell>
          <cell r="D78">
            <v>0</v>
          </cell>
        </row>
        <row r="79">
          <cell r="C79">
            <v>1030735</v>
          </cell>
          <cell r="D79">
            <v>34558.629191536274</v>
          </cell>
        </row>
        <row r="80">
          <cell r="C80">
            <v>1030388</v>
          </cell>
          <cell r="D80">
            <v>8911.5481533562925</v>
          </cell>
        </row>
        <row r="81">
          <cell r="C81">
            <v>1030390</v>
          </cell>
          <cell r="D81">
            <v>0</v>
          </cell>
        </row>
        <row r="82">
          <cell r="C82">
            <v>1030737</v>
          </cell>
          <cell r="D82">
            <v>0</v>
          </cell>
        </row>
        <row r="83">
          <cell r="C83">
            <v>1030739</v>
          </cell>
          <cell r="D83">
            <v>0</v>
          </cell>
        </row>
        <row r="84">
          <cell r="C84">
            <v>1030730</v>
          </cell>
          <cell r="D84">
            <v>0</v>
          </cell>
        </row>
        <row r="85">
          <cell r="C85">
            <v>1030745</v>
          </cell>
          <cell r="D85">
            <v>0</v>
          </cell>
        </row>
        <row r="86">
          <cell r="C86">
            <v>1030744</v>
          </cell>
          <cell r="D86">
            <v>0</v>
          </cell>
        </row>
        <row r="87">
          <cell r="C87">
            <v>1030505</v>
          </cell>
          <cell r="D87">
            <v>0</v>
          </cell>
        </row>
        <row r="88">
          <cell r="C88">
            <v>1030740</v>
          </cell>
          <cell r="D88">
            <v>0</v>
          </cell>
        </row>
        <row r="89">
          <cell r="C89">
            <v>1030753</v>
          </cell>
          <cell r="D89">
            <v>0</v>
          </cell>
        </row>
        <row r="90">
          <cell r="C90">
            <v>1030755</v>
          </cell>
          <cell r="D90">
            <v>0</v>
          </cell>
        </row>
        <row r="91">
          <cell r="C91">
            <v>1030532</v>
          </cell>
          <cell r="D91">
            <v>0</v>
          </cell>
        </row>
        <row r="92">
          <cell r="C92">
            <v>1030756</v>
          </cell>
          <cell r="D92">
            <v>0</v>
          </cell>
        </row>
        <row r="93">
          <cell r="C93">
            <v>1030765</v>
          </cell>
          <cell r="D93">
            <v>0</v>
          </cell>
        </row>
        <row r="94">
          <cell r="C94">
            <v>1030743</v>
          </cell>
          <cell r="D94">
            <v>0</v>
          </cell>
        </row>
        <row r="95">
          <cell r="C95">
            <v>1030555</v>
          </cell>
          <cell r="D95">
            <v>212.5</v>
          </cell>
        </row>
        <row r="96">
          <cell r="C96">
            <v>1030517</v>
          </cell>
          <cell r="D96">
            <v>0</v>
          </cell>
        </row>
        <row r="97">
          <cell r="C97">
            <v>1030780</v>
          </cell>
          <cell r="D97">
            <v>0</v>
          </cell>
        </row>
        <row r="98">
          <cell r="C98">
            <v>1030773</v>
          </cell>
          <cell r="D98">
            <v>10455</v>
          </cell>
        </row>
        <row r="99">
          <cell r="C99">
            <v>1030544</v>
          </cell>
          <cell r="D99">
            <v>0</v>
          </cell>
        </row>
        <row r="100">
          <cell r="C100">
            <v>1030782</v>
          </cell>
          <cell r="D100">
            <v>4930</v>
          </cell>
        </row>
        <row r="101">
          <cell r="C101">
            <v>1030783</v>
          </cell>
          <cell r="D101">
            <v>47.6</v>
          </cell>
        </row>
        <row r="102">
          <cell r="C102">
            <v>1030784</v>
          </cell>
          <cell r="D102">
            <v>1428</v>
          </cell>
        </row>
        <row r="103">
          <cell r="C103">
            <v>1030785</v>
          </cell>
          <cell r="D103">
            <v>428.4</v>
          </cell>
        </row>
        <row r="104">
          <cell r="C104">
            <v>1030792</v>
          </cell>
          <cell r="D104">
            <v>21229.829500000003</v>
          </cell>
        </row>
        <row r="105">
          <cell r="C105">
            <v>1030791</v>
          </cell>
          <cell r="D105">
            <v>850</v>
          </cell>
        </row>
        <row r="106">
          <cell r="C106">
            <v>1030802</v>
          </cell>
          <cell r="D106">
            <v>0</v>
          </cell>
        </row>
        <row r="107">
          <cell r="C107">
            <v>1030788</v>
          </cell>
          <cell r="D107">
            <v>1700</v>
          </cell>
        </row>
        <row r="108">
          <cell r="C108">
            <v>1030793</v>
          </cell>
          <cell r="D108">
            <v>0</v>
          </cell>
        </row>
        <row r="109">
          <cell r="C109">
            <v>1030794</v>
          </cell>
          <cell r="D109">
            <v>0</v>
          </cell>
        </row>
        <row r="110">
          <cell r="C110">
            <v>1030795</v>
          </cell>
          <cell r="D110">
            <v>0</v>
          </cell>
        </row>
        <row r="111">
          <cell r="C111">
            <v>1030796</v>
          </cell>
          <cell r="D111">
            <v>0</v>
          </cell>
        </row>
        <row r="112">
          <cell r="C112">
            <v>1030797</v>
          </cell>
          <cell r="D112">
            <v>0</v>
          </cell>
        </row>
        <row r="113">
          <cell r="C113">
            <v>1030798</v>
          </cell>
          <cell r="D113">
            <v>0</v>
          </cell>
        </row>
        <row r="114">
          <cell r="C114">
            <v>1030804</v>
          </cell>
          <cell r="D114">
            <v>8245</v>
          </cell>
        </row>
        <row r="115">
          <cell r="C115">
            <v>1021710</v>
          </cell>
          <cell r="D115">
            <v>0</v>
          </cell>
        </row>
        <row r="116">
          <cell r="C116">
            <v>1021709</v>
          </cell>
          <cell r="D116">
            <v>0</v>
          </cell>
        </row>
        <row r="117">
          <cell r="C117">
            <v>1021708</v>
          </cell>
          <cell r="D117">
            <v>0</v>
          </cell>
        </row>
        <row r="118">
          <cell r="C118">
            <v>1021707</v>
          </cell>
          <cell r="D118">
            <v>0</v>
          </cell>
        </row>
        <row r="119">
          <cell r="C119">
            <v>1021706</v>
          </cell>
          <cell r="D119">
            <v>0</v>
          </cell>
        </row>
        <row r="120">
          <cell r="C120">
            <v>1022409</v>
          </cell>
          <cell r="D120">
            <v>7842.4000000000005</v>
          </cell>
        </row>
        <row r="121">
          <cell r="C121">
            <v>1022418</v>
          </cell>
          <cell r="D121">
            <v>0</v>
          </cell>
        </row>
        <row r="122">
          <cell r="C122">
            <v>1022856</v>
          </cell>
          <cell r="D122">
            <v>0</v>
          </cell>
        </row>
        <row r="123">
          <cell r="C123">
            <v>1022047</v>
          </cell>
          <cell r="D123">
            <v>0</v>
          </cell>
        </row>
        <row r="124">
          <cell r="C124">
            <v>1022922</v>
          </cell>
          <cell r="D124">
            <v>0</v>
          </cell>
        </row>
        <row r="125">
          <cell r="C125">
            <v>1022842</v>
          </cell>
          <cell r="D125">
            <v>0</v>
          </cell>
        </row>
        <row r="126">
          <cell r="C126">
            <v>1022654</v>
          </cell>
          <cell r="D126">
            <v>0</v>
          </cell>
        </row>
        <row r="127">
          <cell r="C127">
            <v>1021092</v>
          </cell>
          <cell r="D127">
            <v>42049.932554461469</v>
          </cell>
        </row>
        <row r="128">
          <cell r="C128">
            <v>1021550</v>
          </cell>
          <cell r="D128">
            <v>0</v>
          </cell>
        </row>
        <row r="129">
          <cell r="C129">
            <v>1022415</v>
          </cell>
          <cell r="D129">
            <v>0</v>
          </cell>
        </row>
        <row r="130">
          <cell r="C130">
            <v>1021078</v>
          </cell>
          <cell r="D130">
            <v>30744.914219040471</v>
          </cell>
        </row>
        <row r="131">
          <cell r="C131">
            <v>1022082</v>
          </cell>
          <cell r="D131">
            <v>0</v>
          </cell>
        </row>
        <row r="132">
          <cell r="C132">
            <v>1021237</v>
          </cell>
          <cell r="D132">
            <v>0</v>
          </cell>
        </row>
        <row r="133">
          <cell r="C133">
            <v>1021082</v>
          </cell>
          <cell r="D133">
            <v>29151.200000000001</v>
          </cell>
        </row>
        <row r="134">
          <cell r="C134">
            <v>1021500</v>
          </cell>
          <cell r="D134">
            <v>0</v>
          </cell>
        </row>
        <row r="135">
          <cell r="C135">
            <v>1021905</v>
          </cell>
          <cell r="D135">
            <v>0</v>
          </cell>
        </row>
        <row r="136">
          <cell r="C136">
            <v>1022247</v>
          </cell>
          <cell r="D136">
            <v>0</v>
          </cell>
        </row>
        <row r="137">
          <cell r="C137">
            <v>1022373</v>
          </cell>
          <cell r="D137">
            <v>24834.179827730524</v>
          </cell>
        </row>
        <row r="138">
          <cell r="C138">
            <v>1023343</v>
          </cell>
          <cell r="D138">
            <v>52395.57583110797</v>
          </cell>
        </row>
        <row r="139">
          <cell r="C139">
            <v>1022541</v>
          </cell>
          <cell r="D139">
            <v>172635.50174499702</v>
          </cell>
        </row>
        <row r="140">
          <cell r="C140">
            <v>1021136</v>
          </cell>
          <cell r="D140">
            <v>2343.2301886792457</v>
          </cell>
        </row>
        <row r="141">
          <cell r="C141">
            <v>1022776</v>
          </cell>
          <cell r="D141">
            <v>0</v>
          </cell>
        </row>
        <row r="142">
          <cell r="C142">
            <v>1021149</v>
          </cell>
          <cell r="D142">
            <v>47852.815999999999</v>
          </cell>
        </row>
        <row r="143">
          <cell r="C143">
            <v>1020037</v>
          </cell>
          <cell r="D143">
            <v>0</v>
          </cell>
        </row>
        <row r="144">
          <cell r="C144">
            <v>1021767</v>
          </cell>
          <cell r="D144">
            <v>140264.96160837088</v>
          </cell>
        </row>
        <row r="145">
          <cell r="C145">
            <v>1021150</v>
          </cell>
          <cell r="D145">
            <v>0</v>
          </cell>
        </row>
        <row r="146">
          <cell r="C146">
            <v>1022335</v>
          </cell>
          <cell r="D146">
            <v>0</v>
          </cell>
        </row>
        <row r="147">
          <cell r="C147">
            <v>1022096</v>
          </cell>
          <cell r="D147">
            <v>77402.619225251066</v>
          </cell>
        </row>
        <row r="148">
          <cell r="C148">
            <v>1022097</v>
          </cell>
          <cell r="D148">
            <v>0</v>
          </cell>
        </row>
        <row r="149">
          <cell r="C149">
            <v>1022318</v>
          </cell>
          <cell r="D149">
            <v>0</v>
          </cell>
        </row>
        <row r="150">
          <cell r="C150">
            <v>1022907</v>
          </cell>
          <cell r="D150">
            <v>0</v>
          </cell>
        </row>
        <row r="151">
          <cell r="C151">
            <v>1023383</v>
          </cell>
          <cell r="D151">
            <v>26293.509433962266</v>
          </cell>
        </row>
        <row r="152">
          <cell r="C152">
            <v>1022378</v>
          </cell>
          <cell r="D152">
            <v>0</v>
          </cell>
        </row>
        <row r="153">
          <cell r="C153">
            <v>1020822</v>
          </cell>
          <cell r="D153">
            <v>32653.512789790402</v>
          </cell>
        </row>
        <row r="154">
          <cell r="C154">
            <v>1022186</v>
          </cell>
          <cell r="D154">
            <v>23439.549426743324</v>
          </cell>
        </row>
        <row r="155">
          <cell r="C155">
            <v>1022786</v>
          </cell>
          <cell r="D155">
            <v>0</v>
          </cell>
        </row>
        <row r="156">
          <cell r="C156">
            <v>1022785</v>
          </cell>
          <cell r="D156">
            <v>0</v>
          </cell>
        </row>
        <row r="157">
          <cell r="C157">
            <v>1022784</v>
          </cell>
          <cell r="D157">
            <v>0</v>
          </cell>
        </row>
        <row r="158">
          <cell r="C158">
            <v>1022849</v>
          </cell>
          <cell r="D158">
            <v>0</v>
          </cell>
        </row>
        <row r="159">
          <cell r="C159">
            <v>1021105</v>
          </cell>
          <cell r="D159">
            <v>0</v>
          </cell>
        </row>
        <row r="160">
          <cell r="C160">
            <v>1023307</v>
          </cell>
          <cell r="D160">
            <v>17822.400000000001</v>
          </cell>
        </row>
        <row r="161">
          <cell r="C161">
            <v>1023355</v>
          </cell>
          <cell r="D161">
            <v>8471.6981132075489</v>
          </cell>
        </row>
        <row r="162">
          <cell r="C162">
            <v>1022413</v>
          </cell>
          <cell r="D162">
            <v>4122.5660377358499</v>
          </cell>
        </row>
        <row r="163">
          <cell r="C163">
            <v>1022939</v>
          </cell>
          <cell r="D163">
            <v>0</v>
          </cell>
        </row>
        <row r="164">
          <cell r="C164">
            <v>1021931</v>
          </cell>
          <cell r="D164">
            <v>5932.8</v>
          </cell>
        </row>
        <row r="165">
          <cell r="C165">
            <v>1020944</v>
          </cell>
          <cell r="D165">
            <v>149836.81481969776</v>
          </cell>
        </row>
        <row r="166">
          <cell r="C166">
            <v>1021263</v>
          </cell>
          <cell r="D166">
            <v>0</v>
          </cell>
        </row>
        <row r="167">
          <cell r="C167">
            <v>1020242</v>
          </cell>
          <cell r="D167">
            <v>0</v>
          </cell>
        </row>
        <row r="168">
          <cell r="C168">
            <v>1022351</v>
          </cell>
          <cell r="D168">
            <v>0</v>
          </cell>
        </row>
        <row r="169">
          <cell r="C169">
            <v>1021733</v>
          </cell>
          <cell r="D169">
            <v>0</v>
          </cell>
        </row>
        <row r="170">
          <cell r="C170">
            <v>1022449</v>
          </cell>
          <cell r="D170">
            <v>0</v>
          </cell>
        </row>
        <row r="171">
          <cell r="C171">
            <v>1022709</v>
          </cell>
          <cell r="D171">
            <v>144998.23058062812</v>
          </cell>
        </row>
        <row r="172">
          <cell r="C172">
            <v>1020945</v>
          </cell>
          <cell r="D172">
            <v>0</v>
          </cell>
        </row>
        <row r="173">
          <cell r="C173">
            <v>1020326</v>
          </cell>
          <cell r="D173">
            <v>71508.800000000003</v>
          </cell>
        </row>
        <row r="174">
          <cell r="C174">
            <v>1022641</v>
          </cell>
          <cell r="D174">
            <v>0</v>
          </cell>
        </row>
        <row r="175">
          <cell r="C175">
            <v>1021936</v>
          </cell>
          <cell r="D175">
            <v>160019.10400000002</v>
          </cell>
        </row>
        <row r="176">
          <cell r="C176">
            <v>1022750</v>
          </cell>
          <cell r="D176">
            <v>0</v>
          </cell>
        </row>
        <row r="177">
          <cell r="C177">
            <v>1022793</v>
          </cell>
          <cell r="D177">
            <v>0</v>
          </cell>
        </row>
        <row r="178">
          <cell r="C178">
            <v>1022328</v>
          </cell>
          <cell r="D178">
            <v>0</v>
          </cell>
        </row>
        <row r="179">
          <cell r="C179">
            <v>1021976</v>
          </cell>
          <cell r="D179">
            <v>114642.99444443324</v>
          </cell>
        </row>
        <row r="180">
          <cell r="C180">
            <v>1022379</v>
          </cell>
          <cell r="D180">
            <v>0</v>
          </cell>
        </row>
        <row r="181">
          <cell r="C181">
            <v>1021005</v>
          </cell>
          <cell r="D181">
            <v>0</v>
          </cell>
        </row>
        <row r="182">
          <cell r="C182">
            <v>1023353</v>
          </cell>
          <cell r="D182">
            <v>22984.170971860789</v>
          </cell>
        </row>
        <row r="183">
          <cell r="C183">
            <v>1022794</v>
          </cell>
          <cell r="D183">
            <v>0</v>
          </cell>
        </row>
        <row r="184">
          <cell r="C184">
            <v>1022751</v>
          </cell>
          <cell r="D184">
            <v>8492.7472000000016</v>
          </cell>
        </row>
        <row r="185">
          <cell r="C185">
            <v>1022346</v>
          </cell>
          <cell r="D185">
            <v>0</v>
          </cell>
        </row>
        <row r="186">
          <cell r="C186">
            <v>1023371</v>
          </cell>
          <cell r="D186">
            <v>0</v>
          </cell>
        </row>
        <row r="187">
          <cell r="C187">
            <v>1022145</v>
          </cell>
          <cell r="D187">
            <v>8467.960002842583</v>
          </cell>
        </row>
        <row r="188">
          <cell r="C188">
            <v>1022142</v>
          </cell>
          <cell r="D188">
            <v>17755.439999999999</v>
          </cell>
        </row>
        <row r="189">
          <cell r="C189">
            <v>1020665</v>
          </cell>
          <cell r="D189">
            <v>0</v>
          </cell>
        </row>
        <row r="190">
          <cell r="C190">
            <v>1022141</v>
          </cell>
          <cell r="D190">
            <v>12826.150399999999</v>
          </cell>
        </row>
        <row r="191">
          <cell r="C191">
            <v>1020284</v>
          </cell>
          <cell r="D191">
            <v>3276.3360000000002</v>
          </cell>
        </row>
        <row r="192">
          <cell r="C192">
            <v>1020921</v>
          </cell>
          <cell r="D192">
            <v>0</v>
          </cell>
        </row>
        <row r="193">
          <cell r="C193">
            <v>1022954</v>
          </cell>
          <cell r="D193">
            <v>0</v>
          </cell>
        </row>
        <row r="194">
          <cell r="C194">
            <v>1020915</v>
          </cell>
          <cell r="D194">
            <v>0</v>
          </cell>
        </row>
        <row r="195">
          <cell r="C195">
            <v>1021765</v>
          </cell>
          <cell r="D195">
            <v>0</v>
          </cell>
        </row>
        <row r="196">
          <cell r="C196">
            <v>1023370</v>
          </cell>
          <cell r="D196">
            <v>0</v>
          </cell>
        </row>
        <row r="197">
          <cell r="C197">
            <v>1022197</v>
          </cell>
          <cell r="D197">
            <v>0</v>
          </cell>
        </row>
        <row r="198">
          <cell r="C198">
            <v>1021272</v>
          </cell>
          <cell r="D198">
            <v>54785.156973585115</v>
          </cell>
        </row>
        <row r="199">
          <cell r="C199">
            <v>1022812</v>
          </cell>
          <cell r="D199">
            <v>0</v>
          </cell>
        </row>
        <row r="200">
          <cell r="C200">
            <v>1022457</v>
          </cell>
          <cell r="D200">
            <v>0</v>
          </cell>
        </row>
        <row r="201">
          <cell r="C201">
            <v>1022607</v>
          </cell>
          <cell r="D201">
            <v>9018.4</v>
          </cell>
        </row>
        <row r="202">
          <cell r="C202">
            <v>1022149</v>
          </cell>
          <cell r="D202">
            <v>0</v>
          </cell>
        </row>
        <row r="203">
          <cell r="C203">
            <v>1022115</v>
          </cell>
          <cell r="D203">
            <v>0</v>
          </cell>
        </row>
        <row r="204">
          <cell r="C204">
            <v>1021007</v>
          </cell>
          <cell r="D204">
            <v>0</v>
          </cell>
        </row>
        <row r="205">
          <cell r="C205">
            <v>1021009</v>
          </cell>
          <cell r="D205">
            <v>0</v>
          </cell>
        </row>
        <row r="206">
          <cell r="C206">
            <v>1022183</v>
          </cell>
          <cell r="D206">
            <v>265633.96800000005</v>
          </cell>
        </row>
        <row r="207">
          <cell r="C207">
            <v>1021731</v>
          </cell>
          <cell r="D207">
            <v>131490.15456000002</v>
          </cell>
        </row>
        <row r="208">
          <cell r="C208">
            <v>1021470</v>
          </cell>
          <cell r="D208">
            <v>0</v>
          </cell>
        </row>
        <row r="209">
          <cell r="C209">
            <v>1022125</v>
          </cell>
          <cell r="D209">
            <v>0</v>
          </cell>
        </row>
        <row r="210">
          <cell r="C210">
            <v>1021046</v>
          </cell>
          <cell r="D210">
            <v>0</v>
          </cell>
        </row>
        <row r="211">
          <cell r="C211">
            <v>1021047</v>
          </cell>
          <cell r="D211">
            <v>0</v>
          </cell>
        </row>
        <row r="212">
          <cell r="C212">
            <v>1021045</v>
          </cell>
          <cell r="D212">
            <v>0</v>
          </cell>
        </row>
        <row r="213">
          <cell r="C213">
            <v>1022291</v>
          </cell>
          <cell r="D213">
            <v>9677.5439999999999</v>
          </cell>
        </row>
        <row r="214">
          <cell r="C214">
            <v>1022941</v>
          </cell>
          <cell r="D214">
            <v>18895.88</v>
          </cell>
        </row>
        <row r="215">
          <cell r="C215">
            <v>1022753</v>
          </cell>
          <cell r="D215">
            <v>62606.880000000005</v>
          </cell>
        </row>
        <row r="216">
          <cell r="C216">
            <v>1022850</v>
          </cell>
          <cell r="D216">
            <v>0</v>
          </cell>
        </row>
        <row r="217">
          <cell r="C217">
            <v>1022940</v>
          </cell>
          <cell r="D217">
            <v>20615.68</v>
          </cell>
        </row>
        <row r="218">
          <cell r="C218">
            <v>1023354</v>
          </cell>
          <cell r="D218">
            <v>0</v>
          </cell>
        </row>
        <row r="219">
          <cell r="C219">
            <v>1021656</v>
          </cell>
          <cell r="D219">
            <v>0</v>
          </cell>
        </row>
        <row r="220">
          <cell r="C220">
            <v>1021664</v>
          </cell>
          <cell r="D220">
            <v>0</v>
          </cell>
        </row>
        <row r="221">
          <cell r="C221">
            <v>1022102</v>
          </cell>
          <cell r="D221">
            <v>0</v>
          </cell>
        </row>
        <row r="222">
          <cell r="C222">
            <v>1021665</v>
          </cell>
          <cell r="D222">
            <v>0</v>
          </cell>
        </row>
        <row r="223">
          <cell r="C223">
            <v>1021657</v>
          </cell>
          <cell r="D223">
            <v>0</v>
          </cell>
        </row>
        <row r="224">
          <cell r="C224">
            <v>1021666</v>
          </cell>
          <cell r="D224">
            <v>0</v>
          </cell>
        </row>
        <row r="225">
          <cell r="C225">
            <v>1021667</v>
          </cell>
          <cell r="D225">
            <v>0</v>
          </cell>
        </row>
        <row r="226">
          <cell r="C226">
            <v>1022760</v>
          </cell>
          <cell r="D226">
            <v>0</v>
          </cell>
        </row>
        <row r="227">
          <cell r="C227">
            <v>1021538</v>
          </cell>
          <cell r="D227">
            <v>82137.323420915738</v>
          </cell>
        </row>
        <row r="228">
          <cell r="C228">
            <v>1022646</v>
          </cell>
          <cell r="D228">
            <v>0</v>
          </cell>
        </row>
        <row r="229">
          <cell r="C229">
            <v>1021539</v>
          </cell>
          <cell r="D229">
            <v>0</v>
          </cell>
        </row>
        <row r="230">
          <cell r="C230">
            <v>1022645</v>
          </cell>
          <cell r="D230">
            <v>0</v>
          </cell>
        </row>
        <row r="231">
          <cell r="C231">
            <v>1021735</v>
          </cell>
          <cell r="D231">
            <v>59390.280000000006</v>
          </cell>
        </row>
        <row r="232">
          <cell r="C232">
            <v>1021738</v>
          </cell>
          <cell r="D232">
            <v>33897.881600000001</v>
          </cell>
        </row>
        <row r="233">
          <cell r="C233">
            <v>1022406</v>
          </cell>
          <cell r="D233">
            <v>0</v>
          </cell>
        </row>
        <row r="234">
          <cell r="C234">
            <v>1020349</v>
          </cell>
          <cell r="D234">
            <v>0</v>
          </cell>
        </row>
        <row r="235">
          <cell r="C235">
            <v>1021020</v>
          </cell>
          <cell r="D235">
            <v>0</v>
          </cell>
        </row>
        <row r="236">
          <cell r="C236">
            <v>1022219</v>
          </cell>
          <cell r="D236">
            <v>0</v>
          </cell>
        </row>
        <row r="237">
          <cell r="C237">
            <v>1022454</v>
          </cell>
          <cell r="D237">
            <v>0</v>
          </cell>
        </row>
        <row r="238">
          <cell r="C238">
            <v>1022513</v>
          </cell>
          <cell r="D238">
            <v>0</v>
          </cell>
        </row>
        <row r="239">
          <cell r="C239">
            <v>1021013</v>
          </cell>
          <cell r="D239">
            <v>0</v>
          </cell>
        </row>
        <row r="240">
          <cell r="C240">
            <v>1021012</v>
          </cell>
          <cell r="D240">
            <v>51011.118211414934</v>
          </cell>
        </row>
        <row r="241">
          <cell r="C241">
            <v>1022304</v>
          </cell>
          <cell r="D241">
            <v>7837.6905660377352</v>
          </cell>
        </row>
        <row r="242">
          <cell r="C242">
            <v>1021212</v>
          </cell>
          <cell r="D242">
            <v>0</v>
          </cell>
        </row>
        <row r="243">
          <cell r="C243">
            <v>1021649</v>
          </cell>
          <cell r="D243">
            <v>0</v>
          </cell>
        </row>
        <row r="244">
          <cell r="C244">
            <v>1022988</v>
          </cell>
          <cell r="D244">
            <v>0</v>
          </cell>
        </row>
        <row r="245">
          <cell r="C245">
            <v>1022568</v>
          </cell>
          <cell r="D245">
            <v>79411.256289296594</v>
          </cell>
        </row>
        <row r="246">
          <cell r="C246">
            <v>1020886</v>
          </cell>
          <cell r="D246">
            <v>0</v>
          </cell>
        </row>
        <row r="247">
          <cell r="C247">
            <v>1020637</v>
          </cell>
          <cell r="D247">
            <v>69965.672242837274</v>
          </cell>
        </row>
        <row r="248">
          <cell r="C248">
            <v>1021930</v>
          </cell>
          <cell r="D248">
            <v>0</v>
          </cell>
        </row>
        <row r="249">
          <cell r="C249">
            <v>1022990</v>
          </cell>
          <cell r="D249">
            <v>0</v>
          </cell>
        </row>
        <row r="250">
          <cell r="C250">
            <v>1023351</v>
          </cell>
          <cell r="D250">
            <v>0</v>
          </cell>
        </row>
        <row r="251">
          <cell r="C251">
            <v>1023352</v>
          </cell>
          <cell r="D251">
            <v>50688.129551775397</v>
          </cell>
        </row>
        <row r="252">
          <cell r="C252">
            <v>1022570</v>
          </cell>
          <cell r="D252">
            <v>1362.3808560568009</v>
          </cell>
        </row>
        <row r="253">
          <cell r="C253">
            <v>1022901</v>
          </cell>
          <cell r="D253">
            <v>0</v>
          </cell>
        </row>
        <row r="254">
          <cell r="C254">
            <v>1022515</v>
          </cell>
          <cell r="D254">
            <v>0</v>
          </cell>
        </row>
        <row r="255">
          <cell r="C255">
            <v>1020715</v>
          </cell>
          <cell r="D255">
            <v>0</v>
          </cell>
        </row>
        <row r="256">
          <cell r="C256">
            <v>1022994</v>
          </cell>
          <cell r="D256">
            <v>0</v>
          </cell>
        </row>
        <row r="257">
          <cell r="C257">
            <v>1022995</v>
          </cell>
          <cell r="D257">
            <v>0</v>
          </cell>
        </row>
        <row r="258">
          <cell r="C258">
            <v>1020731</v>
          </cell>
          <cell r="D258">
            <v>2407.215540714365</v>
          </cell>
        </row>
        <row r="259">
          <cell r="C259">
            <v>1022371</v>
          </cell>
          <cell r="D259">
            <v>10405.308138472534</v>
          </cell>
        </row>
        <row r="260">
          <cell r="C260">
            <v>1022621</v>
          </cell>
          <cell r="D260">
            <v>22241.217183381483</v>
          </cell>
        </row>
        <row r="261">
          <cell r="C261">
            <v>1020802</v>
          </cell>
          <cell r="D261">
            <v>15288.810369101382</v>
          </cell>
        </row>
        <row r="262">
          <cell r="C262">
            <v>1022885</v>
          </cell>
          <cell r="D262">
            <v>154479.21794968928</v>
          </cell>
        </row>
        <row r="263">
          <cell r="C263">
            <v>1022886</v>
          </cell>
          <cell r="D263">
            <v>0</v>
          </cell>
        </row>
        <row r="264">
          <cell r="C264">
            <v>1022887</v>
          </cell>
          <cell r="D264">
            <v>94534.102617151308</v>
          </cell>
        </row>
        <row r="265">
          <cell r="C265">
            <v>1020895</v>
          </cell>
          <cell r="D265">
            <v>0</v>
          </cell>
        </row>
        <row r="266">
          <cell r="C266">
            <v>1020897</v>
          </cell>
          <cell r="D266">
            <v>0</v>
          </cell>
        </row>
        <row r="267">
          <cell r="C267">
            <v>1020896</v>
          </cell>
          <cell r="D267">
            <v>0</v>
          </cell>
        </row>
        <row r="268">
          <cell r="C268">
            <v>1022986</v>
          </cell>
          <cell r="D268">
            <v>1531.7892336491168</v>
          </cell>
        </row>
        <row r="269">
          <cell r="C269">
            <v>1022930</v>
          </cell>
          <cell r="D269">
            <v>0</v>
          </cell>
        </row>
        <row r="270">
          <cell r="C270">
            <v>1020901</v>
          </cell>
          <cell r="D270">
            <v>0</v>
          </cell>
        </row>
        <row r="271">
          <cell r="C271">
            <v>1021533</v>
          </cell>
          <cell r="D271">
            <v>0</v>
          </cell>
        </row>
        <row r="272">
          <cell r="C272">
            <v>1021985</v>
          </cell>
          <cell r="D272">
            <v>0</v>
          </cell>
        </row>
        <row r="273">
          <cell r="C273">
            <v>1021929</v>
          </cell>
          <cell r="D273">
            <v>0</v>
          </cell>
        </row>
        <row r="274">
          <cell r="C274">
            <v>1022817</v>
          </cell>
          <cell r="D274">
            <v>0</v>
          </cell>
        </row>
        <row r="275">
          <cell r="C275">
            <v>1022339</v>
          </cell>
          <cell r="D275">
            <v>0</v>
          </cell>
        </row>
        <row r="276">
          <cell r="C276">
            <v>1020914</v>
          </cell>
          <cell r="D276">
            <v>4281.6000000000004</v>
          </cell>
        </row>
        <row r="277">
          <cell r="C277">
            <v>1022412</v>
          </cell>
          <cell r="D277">
            <v>0</v>
          </cell>
        </row>
        <row r="278">
          <cell r="C278">
            <v>1020904</v>
          </cell>
          <cell r="D278">
            <v>0</v>
          </cell>
        </row>
        <row r="279">
          <cell r="C279">
            <v>1020906</v>
          </cell>
          <cell r="D279">
            <v>0</v>
          </cell>
        </row>
        <row r="280">
          <cell r="C280">
            <v>1020905</v>
          </cell>
          <cell r="D280">
            <v>0</v>
          </cell>
        </row>
        <row r="281">
          <cell r="C281">
            <v>1021106</v>
          </cell>
          <cell r="D281">
            <v>27083.581669228934</v>
          </cell>
        </row>
        <row r="282">
          <cell r="C282">
            <v>1021740</v>
          </cell>
          <cell r="D282">
            <v>0</v>
          </cell>
        </row>
        <row r="283">
          <cell r="C283">
            <v>1022109</v>
          </cell>
          <cell r="D283">
            <v>0</v>
          </cell>
        </row>
        <row r="284">
          <cell r="C284">
            <v>1022359</v>
          </cell>
          <cell r="D284">
            <v>0</v>
          </cell>
        </row>
        <row r="285">
          <cell r="C285">
            <v>1022865</v>
          </cell>
          <cell r="D285">
            <v>8244.5829568272875</v>
          </cell>
        </row>
        <row r="286">
          <cell r="C286">
            <v>1022866</v>
          </cell>
          <cell r="D286">
            <v>14604.134409535291</v>
          </cell>
        </row>
        <row r="287">
          <cell r="C287">
            <v>1020993</v>
          </cell>
          <cell r="D287">
            <v>0</v>
          </cell>
        </row>
        <row r="288">
          <cell r="C288">
            <v>1022851</v>
          </cell>
          <cell r="D288">
            <v>0</v>
          </cell>
        </row>
        <row r="289">
          <cell r="C289">
            <v>1021963</v>
          </cell>
          <cell r="D289">
            <v>0</v>
          </cell>
        </row>
        <row r="290">
          <cell r="C290">
            <v>1021925</v>
          </cell>
          <cell r="D290">
            <v>0</v>
          </cell>
        </row>
        <row r="291">
          <cell r="C291">
            <v>1020589</v>
          </cell>
          <cell r="D291">
            <v>50503.697667086271</v>
          </cell>
        </row>
        <row r="292">
          <cell r="C292">
            <v>1022989</v>
          </cell>
          <cell r="D292">
            <v>29844.656144923149</v>
          </cell>
        </row>
        <row r="293">
          <cell r="C293">
            <v>1022919</v>
          </cell>
          <cell r="D293">
            <v>0</v>
          </cell>
        </row>
        <row r="294">
          <cell r="C294">
            <v>1022347</v>
          </cell>
          <cell r="D294">
            <v>0</v>
          </cell>
        </row>
        <row r="295">
          <cell r="C295">
            <v>1020682</v>
          </cell>
          <cell r="D295">
            <v>0</v>
          </cell>
        </row>
        <row r="296">
          <cell r="C296">
            <v>1022561</v>
          </cell>
          <cell r="D296">
            <v>0</v>
          </cell>
        </row>
        <row r="297">
          <cell r="C297">
            <v>1022370</v>
          </cell>
          <cell r="D297">
            <v>14280.377176204005</v>
          </cell>
        </row>
        <row r="298">
          <cell r="C298">
            <v>1021924</v>
          </cell>
          <cell r="D298">
            <v>0</v>
          </cell>
        </row>
        <row r="299">
          <cell r="C299">
            <v>1020110</v>
          </cell>
          <cell r="D299">
            <v>237723.07484426349</v>
          </cell>
        </row>
        <row r="300">
          <cell r="C300">
            <v>1021603</v>
          </cell>
          <cell r="D300">
            <v>2126.912601986784</v>
          </cell>
        </row>
        <row r="301">
          <cell r="C301">
            <v>1020681</v>
          </cell>
          <cell r="D301">
            <v>9507.7365377773895</v>
          </cell>
        </row>
        <row r="302">
          <cell r="C302">
            <v>1022388</v>
          </cell>
          <cell r="D302">
            <v>40181.416204970345</v>
          </cell>
        </row>
        <row r="303">
          <cell r="C303">
            <v>1021788</v>
          </cell>
          <cell r="D303">
            <v>0</v>
          </cell>
        </row>
        <row r="304">
          <cell r="C304">
            <v>1022073</v>
          </cell>
          <cell r="D304">
            <v>0</v>
          </cell>
        </row>
        <row r="305">
          <cell r="C305">
            <v>1022945</v>
          </cell>
          <cell r="D305">
            <v>94289.405038152297</v>
          </cell>
        </row>
        <row r="306">
          <cell r="C306">
            <v>1022705</v>
          </cell>
          <cell r="D306">
            <v>0</v>
          </cell>
        </row>
        <row r="307">
          <cell r="C307">
            <v>1021736</v>
          </cell>
          <cell r="D307">
            <v>0</v>
          </cell>
        </row>
        <row r="308">
          <cell r="C308">
            <v>1022748</v>
          </cell>
          <cell r="D308">
            <v>88264.432000000001</v>
          </cell>
        </row>
        <row r="309">
          <cell r="C309">
            <v>1021737</v>
          </cell>
          <cell r="D309">
            <v>2725.4880000000003</v>
          </cell>
        </row>
        <row r="310">
          <cell r="C310">
            <v>1022293</v>
          </cell>
          <cell r="D310">
            <v>3122.4</v>
          </cell>
        </row>
        <row r="311">
          <cell r="C311">
            <v>1020774</v>
          </cell>
          <cell r="D311">
            <v>1680</v>
          </cell>
        </row>
        <row r="312">
          <cell r="C312">
            <v>1022283</v>
          </cell>
          <cell r="D312">
            <v>896.80000000000007</v>
          </cell>
        </row>
        <row r="313">
          <cell r="C313">
            <v>1020861</v>
          </cell>
          <cell r="D313">
            <v>13046.223450500862</v>
          </cell>
        </row>
        <row r="314">
          <cell r="C314">
            <v>1020862</v>
          </cell>
          <cell r="D314">
            <v>0</v>
          </cell>
        </row>
        <row r="315">
          <cell r="C315">
            <v>1020860</v>
          </cell>
          <cell r="D315">
            <v>93127.533801834317</v>
          </cell>
        </row>
        <row r="316">
          <cell r="C316">
            <v>1020864</v>
          </cell>
          <cell r="D316">
            <v>0</v>
          </cell>
        </row>
        <row r="317">
          <cell r="C317">
            <v>1021650</v>
          </cell>
          <cell r="D317">
            <v>0</v>
          </cell>
        </row>
        <row r="318">
          <cell r="C318">
            <v>1020758</v>
          </cell>
          <cell r="D318">
            <v>0</v>
          </cell>
        </row>
        <row r="319">
          <cell r="C319">
            <v>1022499</v>
          </cell>
          <cell r="D319">
            <v>8262.3219138842396</v>
          </cell>
        </row>
        <row r="320">
          <cell r="C320">
            <v>1022985</v>
          </cell>
          <cell r="D320">
            <v>0</v>
          </cell>
        </row>
        <row r="321">
          <cell r="C321">
            <v>1022863</v>
          </cell>
          <cell r="D321">
            <v>24619.276362487828</v>
          </cell>
        </row>
        <row r="322">
          <cell r="C322">
            <v>1022314</v>
          </cell>
          <cell r="D322">
            <v>0</v>
          </cell>
        </row>
        <row r="323">
          <cell r="C323">
            <v>1022340</v>
          </cell>
          <cell r="D323">
            <v>0</v>
          </cell>
        </row>
        <row r="324">
          <cell r="C324">
            <v>1021984</v>
          </cell>
          <cell r="D324">
            <v>0</v>
          </cell>
        </row>
        <row r="325">
          <cell r="C325">
            <v>1020868</v>
          </cell>
          <cell r="D325">
            <v>0</v>
          </cell>
        </row>
        <row r="326">
          <cell r="C326">
            <v>1022864</v>
          </cell>
          <cell r="D326">
            <v>33464.683945251571</v>
          </cell>
        </row>
        <row r="327">
          <cell r="C327">
            <v>1021820</v>
          </cell>
          <cell r="D327">
            <v>0</v>
          </cell>
        </row>
        <row r="328">
          <cell r="C328">
            <v>1022193</v>
          </cell>
          <cell r="D328">
            <v>0</v>
          </cell>
        </row>
        <row r="329">
          <cell r="C329">
            <v>1022600</v>
          </cell>
          <cell r="D329">
            <v>0</v>
          </cell>
        </row>
        <row r="330">
          <cell r="C330">
            <v>1020592</v>
          </cell>
          <cell r="D330">
            <v>96106.752000658627</v>
          </cell>
        </row>
        <row r="331">
          <cell r="C331">
            <v>1023350</v>
          </cell>
          <cell r="D331">
            <v>5105.0482705325958</v>
          </cell>
        </row>
        <row r="332">
          <cell r="C332">
            <v>1023163</v>
          </cell>
          <cell r="D332">
            <v>0</v>
          </cell>
        </row>
        <row r="333">
          <cell r="C333">
            <v>1021923</v>
          </cell>
          <cell r="D333">
            <v>0</v>
          </cell>
        </row>
        <row r="334">
          <cell r="C334">
            <v>1020620</v>
          </cell>
          <cell r="D334">
            <v>5813.0181503893637</v>
          </cell>
        </row>
        <row r="335">
          <cell r="C335">
            <v>1020339</v>
          </cell>
          <cell r="D335">
            <v>25927.153281614366</v>
          </cell>
        </row>
        <row r="336">
          <cell r="C336">
            <v>1021204</v>
          </cell>
          <cell r="D336">
            <v>25610.933333333338</v>
          </cell>
        </row>
        <row r="337">
          <cell r="C337">
            <v>1021992</v>
          </cell>
          <cell r="D337">
            <v>0</v>
          </cell>
        </row>
        <row r="338">
          <cell r="C338">
            <v>1022918</v>
          </cell>
          <cell r="D338">
            <v>37782.400000000001</v>
          </cell>
        </row>
        <row r="339">
          <cell r="C339">
            <v>1021287</v>
          </cell>
          <cell r="D339">
            <v>0</v>
          </cell>
        </row>
        <row r="340">
          <cell r="C340">
            <v>1022217</v>
          </cell>
          <cell r="D340">
            <v>82875.49081790245</v>
          </cell>
        </row>
        <row r="341">
          <cell r="C341">
            <v>1022987</v>
          </cell>
          <cell r="D341">
            <v>0</v>
          </cell>
        </row>
        <row r="342">
          <cell r="C342">
            <v>1022290</v>
          </cell>
          <cell r="D342">
            <v>0</v>
          </cell>
        </row>
        <row r="343">
          <cell r="C343">
            <v>1022914</v>
          </cell>
          <cell r="D343">
            <v>17640.8</v>
          </cell>
        </row>
        <row r="344">
          <cell r="C344">
            <v>1021900</v>
          </cell>
          <cell r="D344">
            <v>0</v>
          </cell>
        </row>
        <row r="345">
          <cell r="C345">
            <v>1020105</v>
          </cell>
          <cell r="D345">
            <v>10095.466284822258</v>
          </cell>
        </row>
        <row r="346">
          <cell r="C346">
            <v>1021921</v>
          </cell>
          <cell r="D346">
            <v>0</v>
          </cell>
        </row>
        <row r="347">
          <cell r="C347">
            <v>1023349</v>
          </cell>
          <cell r="D347">
            <v>0</v>
          </cell>
        </row>
        <row r="348">
          <cell r="C348">
            <v>1022824</v>
          </cell>
          <cell r="D348">
            <v>0</v>
          </cell>
        </row>
        <row r="349">
          <cell r="C349">
            <v>1020678</v>
          </cell>
          <cell r="D349">
            <v>0</v>
          </cell>
        </row>
        <row r="350">
          <cell r="C350">
            <v>1022101</v>
          </cell>
          <cell r="D350">
            <v>1968</v>
          </cell>
        </row>
        <row r="351">
          <cell r="C351">
            <v>1022943</v>
          </cell>
          <cell r="D351">
            <v>0</v>
          </cell>
        </row>
        <row r="352">
          <cell r="C352">
            <v>1022472</v>
          </cell>
          <cell r="D352">
            <v>5734.4686518296758</v>
          </cell>
        </row>
        <row r="353">
          <cell r="C353">
            <v>1021819</v>
          </cell>
          <cell r="D353">
            <v>0</v>
          </cell>
        </row>
        <row r="354">
          <cell r="C354">
            <v>1022917</v>
          </cell>
          <cell r="D354">
            <v>0</v>
          </cell>
        </row>
        <row r="355">
          <cell r="C355">
            <v>1020848</v>
          </cell>
          <cell r="D355">
            <v>17763.235191435484</v>
          </cell>
        </row>
        <row r="356">
          <cell r="C356">
            <v>1022971</v>
          </cell>
          <cell r="D356">
            <v>0</v>
          </cell>
        </row>
        <row r="357">
          <cell r="C357">
            <v>1020086</v>
          </cell>
          <cell r="D357">
            <v>0</v>
          </cell>
        </row>
        <row r="358">
          <cell r="C358">
            <v>1022124</v>
          </cell>
          <cell r="D358">
            <v>0</v>
          </cell>
        </row>
        <row r="359">
          <cell r="C359">
            <v>1022759</v>
          </cell>
          <cell r="D359">
            <v>0</v>
          </cell>
        </row>
        <row r="360">
          <cell r="C360">
            <v>1022033</v>
          </cell>
          <cell r="D360">
            <v>12166.400000000001</v>
          </cell>
        </row>
        <row r="361">
          <cell r="C361">
            <v>1021945</v>
          </cell>
          <cell r="D361">
            <v>1831.2</v>
          </cell>
        </row>
        <row r="362">
          <cell r="C362">
            <v>1022637</v>
          </cell>
          <cell r="D362">
            <v>38773.916799999999</v>
          </cell>
        </row>
        <row r="363">
          <cell r="C363">
            <v>1022636</v>
          </cell>
          <cell r="D363">
            <v>55777.824000000015</v>
          </cell>
        </row>
        <row r="364">
          <cell r="C364">
            <v>1021156</v>
          </cell>
          <cell r="D364">
            <v>829.6</v>
          </cell>
        </row>
        <row r="365">
          <cell r="C365">
            <v>1020878</v>
          </cell>
          <cell r="D365">
            <v>16783.264000000003</v>
          </cell>
        </row>
        <row r="366">
          <cell r="C366">
            <v>1021279</v>
          </cell>
          <cell r="D366">
            <v>0</v>
          </cell>
        </row>
        <row r="367">
          <cell r="C367">
            <v>1022005</v>
          </cell>
          <cell r="D367">
            <v>0</v>
          </cell>
        </row>
        <row r="368">
          <cell r="C368">
            <v>1022854</v>
          </cell>
          <cell r="D368">
            <v>0</v>
          </cell>
        </row>
        <row r="369">
          <cell r="C369">
            <v>1022869</v>
          </cell>
          <cell r="D369">
            <v>0</v>
          </cell>
        </row>
        <row r="370">
          <cell r="C370">
            <v>1022975</v>
          </cell>
          <cell r="D370">
            <v>0</v>
          </cell>
        </row>
        <row r="371">
          <cell r="C371">
            <v>1021774</v>
          </cell>
          <cell r="D371">
            <v>29116.364000000001</v>
          </cell>
        </row>
        <row r="372">
          <cell r="C372">
            <v>1022550</v>
          </cell>
          <cell r="D372">
            <v>0</v>
          </cell>
        </row>
        <row r="373">
          <cell r="C373">
            <v>1021732</v>
          </cell>
          <cell r="D373">
            <v>122253.04320000001</v>
          </cell>
        </row>
        <row r="374">
          <cell r="C374">
            <v>1022087</v>
          </cell>
          <cell r="D374">
            <v>0</v>
          </cell>
        </row>
        <row r="375">
          <cell r="C375">
            <v>1022100</v>
          </cell>
          <cell r="D375">
            <v>0</v>
          </cell>
        </row>
        <row r="376">
          <cell r="C376">
            <v>1022099</v>
          </cell>
          <cell r="D376">
            <v>67036.384000000005</v>
          </cell>
        </row>
        <row r="377">
          <cell r="C377">
            <v>1023291</v>
          </cell>
          <cell r="D377">
            <v>9315.2000000000007</v>
          </cell>
        </row>
        <row r="378">
          <cell r="C378">
            <v>1021766</v>
          </cell>
          <cell r="D378">
            <v>121082.43199999999</v>
          </cell>
        </row>
        <row r="379">
          <cell r="C379">
            <v>1021151</v>
          </cell>
          <cell r="D379">
            <v>0</v>
          </cell>
        </row>
        <row r="380">
          <cell r="C380">
            <v>1021153</v>
          </cell>
          <cell r="D380">
            <v>0</v>
          </cell>
        </row>
        <row r="381">
          <cell r="C381">
            <v>1021152</v>
          </cell>
          <cell r="D381">
            <v>0</v>
          </cell>
        </row>
        <row r="382">
          <cell r="C382">
            <v>1022357</v>
          </cell>
          <cell r="D382">
            <v>0</v>
          </cell>
        </row>
        <row r="383">
          <cell r="C383">
            <v>1020925</v>
          </cell>
          <cell r="D383">
            <v>11623.372885275685</v>
          </cell>
        </row>
        <row r="384">
          <cell r="C384">
            <v>1022218</v>
          </cell>
          <cell r="D384">
            <v>25533.567609477352</v>
          </cell>
        </row>
        <row r="385">
          <cell r="C385">
            <v>1022356</v>
          </cell>
          <cell r="D385">
            <v>0</v>
          </cell>
        </row>
        <row r="386">
          <cell r="C386">
            <v>1022273</v>
          </cell>
          <cell r="D386">
            <v>48176.015295461519</v>
          </cell>
        </row>
        <row r="387">
          <cell r="C387">
            <v>1022588</v>
          </cell>
          <cell r="D387">
            <v>0</v>
          </cell>
        </row>
        <row r="388">
          <cell r="C388">
            <v>1022855</v>
          </cell>
          <cell r="D388">
            <v>0</v>
          </cell>
        </row>
        <row r="389">
          <cell r="C389">
            <v>1021555</v>
          </cell>
          <cell r="D389">
            <v>48206.864724291598</v>
          </cell>
        </row>
        <row r="390">
          <cell r="C390">
            <v>1021026</v>
          </cell>
          <cell r="D390">
            <v>0</v>
          </cell>
        </row>
        <row r="391">
          <cell r="C391">
            <v>1022920</v>
          </cell>
          <cell r="D391">
            <v>0</v>
          </cell>
        </row>
        <row r="392">
          <cell r="C392">
            <v>1021023</v>
          </cell>
          <cell r="D392">
            <v>70972.186814442321</v>
          </cell>
        </row>
        <row r="393">
          <cell r="C393">
            <v>1020367</v>
          </cell>
          <cell r="D393">
            <v>78448.202702865208</v>
          </cell>
        </row>
        <row r="394">
          <cell r="C394">
            <v>1021435</v>
          </cell>
          <cell r="D394">
            <v>0</v>
          </cell>
        </row>
        <row r="395">
          <cell r="C395">
            <v>1022477</v>
          </cell>
          <cell r="D395">
            <v>0</v>
          </cell>
        </row>
        <row r="396">
          <cell r="C396">
            <v>1021085</v>
          </cell>
          <cell r="D396">
            <v>13506.766547883322</v>
          </cell>
        </row>
        <row r="397">
          <cell r="C397">
            <v>1021474</v>
          </cell>
          <cell r="D397">
            <v>0</v>
          </cell>
        </row>
        <row r="398">
          <cell r="C398">
            <v>1023397</v>
          </cell>
          <cell r="D398">
            <v>20209.319216783442</v>
          </cell>
        </row>
        <row r="399">
          <cell r="C399">
            <v>1022381</v>
          </cell>
          <cell r="D399">
            <v>10760</v>
          </cell>
        </row>
        <row r="400">
          <cell r="C400">
            <v>1022767</v>
          </cell>
          <cell r="D400">
            <v>0</v>
          </cell>
        </row>
        <row r="401">
          <cell r="C401">
            <v>1021077</v>
          </cell>
          <cell r="D401">
            <v>0</v>
          </cell>
        </row>
        <row r="402">
          <cell r="C402">
            <v>1021874</v>
          </cell>
          <cell r="D402">
            <v>57365.307447523664</v>
          </cell>
        </row>
        <row r="403">
          <cell r="C403">
            <v>1022150</v>
          </cell>
          <cell r="D403">
            <v>0</v>
          </cell>
        </row>
        <row r="404">
          <cell r="C404">
            <v>1022500</v>
          </cell>
          <cell r="D404">
            <v>0</v>
          </cell>
        </row>
        <row r="405">
          <cell r="C405">
            <v>1022921</v>
          </cell>
          <cell r="D405">
            <v>1600</v>
          </cell>
        </row>
        <row r="406">
          <cell r="C406">
            <v>1022098</v>
          </cell>
          <cell r="D406">
            <v>0</v>
          </cell>
        </row>
        <row r="407">
          <cell r="C407">
            <v>1020990</v>
          </cell>
          <cell r="D407">
            <v>4600</v>
          </cell>
        </row>
        <row r="408">
          <cell r="C408">
            <v>1022398</v>
          </cell>
          <cell r="D408">
            <v>0</v>
          </cell>
        </row>
        <row r="409">
          <cell r="C409">
            <v>1020664</v>
          </cell>
          <cell r="D409">
            <v>0</v>
          </cell>
        </row>
        <row r="410">
          <cell r="C410">
            <v>1020662</v>
          </cell>
          <cell r="D410">
            <v>0</v>
          </cell>
        </row>
        <row r="411">
          <cell r="C411">
            <v>1022196</v>
          </cell>
          <cell r="D411">
            <v>0</v>
          </cell>
        </row>
        <row r="412">
          <cell r="C412">
            <v>1021270</v>
          </cell>
          <cell r="D412">
            <v>100661.57803346845</v>
          </cell>
        </row>
        <row r="413">
          <cell r="C413">
            <v>1022397</v>
          </cell>
          <cell r="D413">
            <v>0</v>
          </cell>
        </row>
        <row r="414">
          <cell r="C414">
            <v>1023034</v>
          </cell>
          <cell r="D414">
            <v>0</v>
          </cell>
        </row>
        <row r="415">
          <cell r="C415">
            <v>1020704</v>
          </cell>
          <cell r="D415">
            <v>62.908299765116716</v>
          </cell>
        </row>
        <row r="416">
          <cell r="C416">
            <v>1022091</v>
          </cell>
          <cell r="D416">
            <v>0</v>
          </cell>
        </row>
        <row r="417">
          <cell r="C417">
            <v>1022809</v>
          </cell>
          <cell r="D417">
            <v>0</v>
          </cell>
        </row>
        <row r="418">
          <cell r="C418">
            <v>1020636</v>
          </cell>
          <cell r="D418">
            <v>6045.6794792282635</v>
          </cell>
        </row>
        <row r="419">
          <cell r="C419">
            <v>1021609</v>
          </cell>
          <cell r="D419">
            <v>0</v>
          </cell>
        </row>
        <row r="420">
          <cell r="C420">
            <v>1020853</v>
          </cell>
          <cell r="D420">
            <v>65290.064027680644</v>
          </cell>
        </row>
        <row r="421">
          <cell r="C421">
            <v>1021639</v>
          </cell>
          <cell r="D421">
            <v>0</v>
          </cell>
        </row>
        <row r="422">
          <cell r="C422">
            <v>1023312</v>
          </cell>
          <cell r="D422">
            <v>0</v>
          </cell>
        </row>
        <row r="423">
          <cell r="C423">
            <v>1021922</v>
          </cell>
          <cell r="D423">
            <v>0</v>
          </cell>
        </row>
        <row r="424">
          <cell r="C424">
            <v>1022936</v>
          </cell>
          <cell r="D424">
            <v>0</v>
          </cell>
        </row>
        <row r="425">
          <cell r="C425">
            <v>1022965</v>
          </cell>
          <cell r="D425">
            <v>0</v>
          </cell>
        </row>
        <row r="426">
          <cell r="C426">
            <v>1022931</v>
          </cell>
          <cell r="D426">
            <v>10689.06343095048</v>
          </cell>
        </row>
        <row r="427">
          <cell r="C427">
            <v>1021655</v>
          </cell>
          <cell r="D427">
            <v>21387.200000000001</v>
          </cell>
        </row>
        <row r="428">
          <cell r="C428">
            <v>1021115</v>
          </cell>
          <cell r="D428">
            <v>13554.716981132078</v>
          </cell>
        </row>
        <row r="429">
          <cell r="C429">
            <v>1021111</v>
          </cell>
          <cell r="D429">
            <v>1328</v>
          </cell>
        </row>
        <row r="430">
          <cell r="C430">
            <v>1021944</v>
          </cell>
          <cell r="D430">
            <v>528.80000000000007</v>
          </cell>
        </row>
        <row r="431">
          <cell r="C431">
            <v>1022295</v>
          </cell>
          <cell r="D431">
            <v>0</v>
          </cell>
        </row>
        <row r="432">
          <cell r="C432">
            <v>1022281</v>
          </cell>
          <cell r="D432">
            <v>0</v>
          </cell>
        </row>
        <row r="433">
          <cell r="C433">
            <v>1021039</v>
          </cell>
          <cell r="D433">
            <v>37050.291166290168</v>
          </cell>
        </row>
        <row r="434">
          <cell r="C434">
            <v>1022951</v>
          </cell>
          <cell r="D434">
            <v>0</v>
          </cell>
        </row>
        <row r="435">
          <cell r="C435">
            <v>1022777</v>
          </cell>
          <cell r="D435">
            <v>0</v>
          </cell>
        </row>
        <row r="436">
          <cell r="C436">
            <v>1020182</v>
          </cell>
          <cell r="D436">
            <v>0</v>
          </cell>
        </row>
        <row r="437">
          <cell r="C437">
            <v>1022417</v>
          </cell>
          <cell r="D437">
            <v>0</v>
          </cell>
        </row>
        <row r="438">
          <cell r="C438">
            <v>1023306</v>
          </cell>
          <cell r="D438">
            <v>49610.162175985344</v>
          </cell>
        </row>
        <row r="439">
          <cell r="C439">
            <v>1022928</v>
          </cell>
          <cell r="D439">
            <v>0</v>
          </cell>
        </row>
        <row r="440">
          <cell r="C440">
            <v>1021385</v>
          </cell>
          <cell r="D440">
            <v>49624.800000000003</v>
          </cell>
        </row>
        <row r="441">
          <cell r="C441">
            <v>1021596</v>
          </cell>
          <cell r="D441">
            <v>39371.200000000004</v>
          </cell>
        </row>
        <row r="442">
          <cell r="C442">
            <v>1023334</v>
          </cell>
          <cell r="D442">
            <v>104944.13950118097</v>
          </cell>
        </row>
        <row r="443">
          <cell r="C443">
            <v>1023336</v>
          </cell>
          <cell r="D443">
            <v>23144.596772112629</v>
          </cell>
        </row>
        <row r="444">
          <cell r="C444">
            <v>1021164</v>
          </cell>
          <cell r="D444">
            <v>0</v>
          </cell>
        </row>
        <row r="445">
          <cell r="C445">
            <v>1021187</v>
          </cell>
          <cell r="D445">
            <v>25757.027488569533</v>
          </cell>
        </row>
        <row r="446">
          <cell r="C446">
            <v>1021971</v>
          </cell>
          <cell r="D446">
            <v>0</v>
          </cell>
        </row>
        <row r="447">
          <cell r="C447">
            <v>1020352</v>
          </cell>
          <cell r="D447">
            <v>14306.400000000001</v>
          </cell>
        </row>
        <row r="448">
          <cell r="C448">
            <v>1022389</v>
          </cell>
          <cell r="D448">
            <v>0</v>
          </cell>
        </row>
        <row r="449">
          <cell r="C449">
            <v>1022403</v>
          </cell>
          <cell r="D449">
            <v>0</v>
          </cell>
        </row>
        <row r="450">
          <cell r="C450">
            <v>1022405</v>
          </cell>
          <cell r="D450">
            <v>0</v>
          </cell>
        </row>
        <row r="451">
          <cell r="C451">
            <v>1022404</v>
          </cell>
          <cell r="D451">
            <v>0</v>
          </cell>
        </row>
        <row r="452">
          <cell r="C452">
            <v>1020869</v>
          </cell>
          <cell r="D452">
            <v>0</v>
          </cell>
        </row>
        <row r="453">
          <cell r="C453">
            <v>1022969</v>
          </cell>
          <cell r="D453">
            <v>0</v>
          </cell>
        </row>
        <row r="454">
          <cell r="C454">
            <v>1023019</v>
          </cell>
          <cell r="D454">
            <v>0</v>
          </cell>
        </row>
        <row r="455">
          <cell r="C455">
            <v>1022459</v>
          </cell>
          <cell r="D455">
            <v>0</v>
          </cell>
        </row>
        <row r="456">
          <cell r="C456">
            <v>1022844</v>
          </cell>
          <cell r="D456">
            <v>0</v>
          </cell>
        </row>
        <row r="457">
          <cell r="C457">
            <v>1021101</v>
          </cell>
          <cell r="D457">
            <v>14364.800000000001</v>
          </cell>
        </row>
        <row r="458">
          <cell r="C458">
            <v>1021903</v>
          </cell>
          <cell r="D458">
            <v>0</v>
          </cell>
        </row>
        <row r="459">
          <cell r="C459">
            <v>1023326</v>
          </cell>
          <cell r="D459">
            <v>0</v>
          </cell>
        </row>
        <row r="460">
          <cell r="C460">
            <v>1022783</v>
          </cell>
          <cell r="D460">
            <v>0</v>
          </cell>
        </row>
        <row r="461">
          <cell r="C461">
            <v>1021068</v>
          </cell>
          <cell r="D461">
            <v>0</v>
          </cell>
        </row>
        <row r="462">
          <cell r="C462">
            <v>1022080</v>
          </cell>
          <cell r="D462">
            <v>26145.600000000002</v>
          </cell>
        </row>
        <row r="463">
          <cell r="C463">
            <v>1020412</v>
          </cell>
          <cell r="D463">
            <v>19358.659279250336</v>
          </cell>
        </row>
        <row r="464">
          <cell r="C464">
            <v>1021557</v>
          </cell>
          <cell r="D464">
            <v>0</v>
          </cell>
        </row>
        <row r="465">
          <cell r="C465">
            <v>1022847</v>
          </cell>
          <cell r="D465">
            <v>10031.200000000001</v>
          </cell>
        </row>
        <row r="466">
          <cell r="C466">
            <v>1022254</v>
          </cell>
          <cell r="D466">
            <v>0</v>
          </cell>
        </row>
        <row r="467">
          <cell r="C467">
            <v>1022416</v>
          </cell>
          <cell r="D467">
            <v>0</v>
          </cell>
        </row>
        <row r="468">
          <cell r="C468">
            <v>1022584</v>
          </cell>
          <cell r="D468">
            <v>0</v>
          </cell>
        </row>
        <row r="469">
          <cell r="C469">
            <v>1022699</v>
          </cell>
          <cell r="D469">
            <v>0</v>
          </cell>
        </row>
        <row r="470">
          <cell r="C470">
            <v>1021140</v>
          </cell>
          <cell r="D470">
            <v>0</v>
          </cell>
        </row>
        <row r="471">
          <cell r="C471">
            <v>1020017</v>
          </cell>
          <cell r="D471">
            <v>0</v>
          </cell>
        </row>
        <row r="472">
          <cell r="C472">
            <v>1022964</v>
          </cell>
          <cell r="D472">
            <v>0</v>
          </cell>
        </row>
        <row r="473">
          <cell r="C473">
            <v>1022946</v>
          </cell>
          <cell r="D473">
            <v>0</v>
          </cell>
        </row>
        <row r="474">
          <cell r="C474">
            <v>1022846</v>
          </cell>
          <cell r="D474">
            <v>0</v>
          </cell>
        </row>
        <row r="475">
          <cell r="C475">
            <v>1022845</v>
          </cell>
          <cell r="D475">
            <v>0</v>
          </cell>
        </row>
        <row r="476">
          <cell r="C476">
            <v>1022313</v>
          </cell>
          <cell r="D476">
            <v>3830.4411688013397</v>
          </cell>
        </row>
        <row r="477">
          <cell r="C477">
            <v>1021920</v>
          </cell>
          <cell r="D477">
            <v>0</v>
          </cell>
        </row>
        <row r="478">
          <cell r="C478">
            <v>1022826</v>
          </cell>
          <cell r="D478">
            <v>0</v>
          </cell>
        </row>
        <row r="479">
          <cell r="C479">
            <v>1022825</v>
          </cell>
          <cell r="D479">
            <v>0</v>
          </cell>
        </row>
        <row r="480">
          <cell r="C480">
            <v>1022326</v>
          </cell>
          <cell r="D480">
            <v>0</v>
          </cell>
        </row>
        <row r="481">
          <cell r="C481">
            <v>1022587</v>
          </cell>
          <cell r="D481">
            <v>1910.4553731537881</v>
          </cell>
        </row>
        <row r="482">
          <cell r="C482">
            <v>1022664</v>
          </cell>
          <cell r="D482">
            <v>10452.322558378866</v>
          </cell>
        </row>
        <row r="483">
          <cell r="C483">
            <v>1022414</v>
          </cell>
          <cell r="D483">
            <v>57460.48000000001</v>
          </cell>
        </row>
        <row r="484">
          <cell r="C484">
            <v>1022169</v>
          </cell>
          <cell r="D484">
            <v>60809.755241866689</v>
          </cell>
        </row>
        <row r="485">
          <cell r="C485">
            <v>1021739</v>
          </cell>
          <cell r="D485">
            <v>1761.2282914674051</v>
          </cell>
        </row>
        <row r="486">
          <cell r="C486">
            <v>1022640</v>
          </cell>
          <cell r="D486">
            <v>14525.850232616644</v>
          </cell>
        </row>
        <row r="487">
          <cell r="C487">
            <v>1022212</v>
          </cell>
          <cell r="D487">
            <v>211174.073953707</v>
          </cell>
        </row>
        <row r="488">
          <cell r="C488">
            <v>1022639</v>
          </cell>
          <cell r="D488">
            <v>333963.7856029222</v>
          </cell>
        </row>
        <row r="489">
          <cell r="C489">
            <v>1022810</v>
          </cell>
          <cell r="D489">
            <v>0</v>
          </cell>
        </row>
        <row r="490">
          <cell r="C490">
            <v>1021980</v>
          </cell>
          <cell r="D490">
            <v>3041.8154152411107</v>
          </cell>
        </row>
        <row r="491">
          <cell r="C491">
            <v>1021281</v>
          </cell>
          <cell r="D491">
            <v>0</v>
          </cell>
        </row>
        <row r="492">
          <cell r="C492">
            <v>1022384</v>
          </cell>
          <cell r="D492">
            <v>0</v>
          </cell>
        </row>
        <row r="493">
          <cell r="C493">
            <v>1022883</v>
          </cell>
          <cell r="D493">
            <v>2988.5783431935174</v>
          </cell>
        </row>
        <row r="494">
          <cell r="C494">
            <v>1022569</v>
          </cell>
          <cell r="D494">
            <v>0</v>
          </cell>
        </row>
        <row r="495">
          <cell r="C495">
            <v>1021623</v>
          </cell>
          <cell r="D495">
            <v>0</v>
          </cell>
        </row>
        <row r="496">
          <cell r="C496">
            <v>1022657</v>
          </cell>
          <cell r="D496">
            <v>2158.4</v>
          </cell>
        </row>
        <row r="497">
          <cell r="C497">
            <v>1020828</v>
          </cell>
          <cell r="D497">
            <v>28367.740913616472</v>
          </cell>
        </row>
        <row r="498">
          <cell r="C498">
            <v>1021622</v>
          </cell>
          <cell r="D498">
            <v>0</v>
          </cell>
        </row>
        <row r="499">
          <cell r="C499">
            <v>1021952</v>
          </cell>
          <cell r="D499">
            <v>0</v>
          </cell>
        </row>
        <row r="500">
          <cell r="C500">
            <v>1022932</v>
          </cell>
          <cell r="D500">
            <v>0</v>
          </cell>
        </row>
        <row r="501">
          <cell r="C501">
            <v>1022182</v>
          </cell>
          <cell r="D501">
            <v>0</v>
          </cell>
        </row>
        <row r="502">
          <cell r="C502">
            <v>1020065</v>
          </cell>
          <cell r="D502">
            <v>0</v>
          </cell>
        </row>
        <row r="503">
          <cell r="C503">
            <v>1022181</v>
          </cell>
          <cell r="D503">
            <v>0</v>
          </cell>
        </row>
        <row r="504">
          <cell r="C504">
            <v>1020991</v>
          </cell>
          <cell r="D504">
            <v>2590</v>
          </cell>
        </row>
        <row r="505">
          <cell r="C505">
            <v>1023002</v>
          </cell>
          <cell r="D505">
            <v>0</v>
          </cell>
        </row>
        <row r="506">
          <cell r="C506">
            <v>1021433</v>
          </cell>
          <cell r="D506">
            <v>136.19200000000001</v>
          </cell>
        </row>
        <row r="507">
          <cell r="C507">
            <v>1022858</v>
          </cell>
          <cell r="D507">
            <v>9136.1349611223923</v>
          </cell>
        </row>
        <row r="508">
          <cell r="C508">
            <v>1023050</v>
          </cell>
          <cell r="D508">
            <v>0</v>
          </cell>
        </row>
        <row r="509">
          <cell r="C509">
            <v>1023372</v>
          </cell>
          <cell r="D509">
            <v>0</v>
          </cell>
        </row>
        <row r="510">
          <cell r="C510">
            <v>1022925</v>
          </cell>
          <cell r="D510">
            <v>0</v>
          </cell>
        </row>
        <row r="511">
          <cell r="C511">
            <v>1023043</v>
          </cell>
          <cell r="D511">
            <v>0</v>
          </cell>
        </row>
        <row r="512">
          <cell r="C512">
            <v>1022782</v>
          </cell>
          <cell r="D512">
            <v>0</v>
          </cell>
        </row>
        <row r="513">
          <cell r="C513">
            <v>1022781</v>
          </cell>
          <cell r="D513">
            <v>0</v>
          </cell>
        </row>
        <row r="514">
          <cell r="C514">
            <v>1022780</v>
          </cell>
          <cell r="D514">
            <v>0</v>
          </cell>
        </row>
        <row r="515">
          <cell r="C515">
            <v>1022788</v>
          </cell>
          <cell r="D515">
            <v>0</v>
          </cell>
        </row>
        <row r="516">
          <cell r="C516">
            <v>1023015</v>
          </cell>
          <cell r="D516">
            <v>0</v>
          </cell>
        </row>
        <row r="517">
          <cell r="C517">
            <v>1023017</v>
          </cell>
          <cell r="D517">
            <v>0</v>
          </cell>
        </row>
        <row r="518">
          <cell r="C518">
            <v>1023018</v>
          </cell>
          <cell r="D518">
            <v>0</v>
          </cell>
        </row>
        <row r="519">
          <cell r="C519">
            <v>1021778</v>
          </cell>
          <cell r="D519">
            <v>0</v>
          </cell>
        </row>
        <row r="520">
          <cell r="C520">
            <v>1022896</v>
          </cell>
          <cell r="D520">
            <v>0</v>
          </cell>
        </row>
        <row r="521">
          <cell r="C521">
            <v>1023037</v>
          </cell>
          <cell r="D521">
            <v>47083.012695581536</v>
          </cell>
        </row>
        <row r="522">
          <cell r="C522">
            <v>1023038</v>
          </cell>
          <cell r="D522">
            <v>0</v>
          </cell>
        </row>
        <row r="523">
          <cell r="C523">
            <v>1023047</v>
          </cell>
          <cell r="D523">
            <v>0</v>
          </cell>
        </row>
        <row r="524">
          <cell r="C524">
            <v>1023048</v>
          </cell>
          <cell r="D524">
            <v>0</v>
          </cell>
        </row>
        <row r="525">
          <cell r="C525">
            <v>1022923</v>
          </cell>
          <cell r="D525">
            <v>0</v>
          </cell>
        </row>
        <row r="526">
          <cell r="C526">
            <v>1023066</v>
          </cell>
          <cell r="D526">
            <v>0</v>
          </cell>
        </row>
        <row r="527">
          <cell r="C527">
            <v>1023051</v>
          </cell>
          <cell r="D527">
            <v>0</v>
          </cell>
        </row>
        <row r="528">
          <cell r="C528">
            <v>1023055</v>
          </cell>
          <cell r="D528">
            <v>0</v>
          </cell>
        </row>
        <row r="529">
          <cell r="C529">
            <v>1023084</v>
          </cell>
          <cell r="D529">
            <v>0</v>
          </cell>
        </row>
        <row r="530">
          <cell r="C530">
            <v>1023301</v>
          </cell>
          <cell r="D530">
            <v>0</v>
          </cell>
        </row>
        <row r="531">
          <cell r="C531">
            <v>1023090</v>
          </cell>
          <cell r="D531">
            <v>15643.124512409646</v>
          </cell>
        </row>
        <row r="532">
          <cell r="C532">
            <v>1023102</v>
          </cell>
          <cell r="D532">
            <v>0</v>
          </cell>
        </row>
        <row r="533">
          <cell r="C533">
            <v>1021652</v>
          </cell>
          <cell r="D533">
            <v>0</v>
          </cell>
        </row>
        <row r="534">
          <cell r="C534">
            <v>1022128</v>
          </cell>
          <cell r="D534">
            <v>8132.8</v>
          </cell>
        </row>
        <row r="535">
          <cell r="C535">
            <v>1023093</v>
          </cell>
          <cell r="D535">
            <v>21387.200000000001</v>
          </cell>
        </row>
        <row r="536">
          <cell r="C536">
            <v>1023111</v>
          </cell>
          <cell r="D536">
            <v>0</v>
          </cell>
        </row>
        <row r="537">
          <cell r="C537">
            <v>1023109</v>
          </cell>
          <cell r="D537">
            <v>0</v>
          </cell>
        </row>
        <row r="538">
          <cell r="C538">
            <v>1023110</v>
          </cell>
          <cell r="D538">
            <v>49683.70427618306</v>
          </cell>
        </row>
        <row r="539">
          <cell r="C539">
            <v>1022282</v>
          </cell>
          <cell r="D539">
            <v>0</v>
          </cell>
        </row>
        <row r="540">
          <cell r="C540">
            <v>1021549</v>
          </cell>
          <cell r="D540">
            <v>0</v>
          </cell>
        </row>
        <row r="541">
          <cell r="C541">
            <v>1022787</v>
          </cell>
          <cell r="D541">
            <v>0</v>
          </cell>
        </row>
        <row r="542">
          <cell r="C542">
            <v>1020810</v>
          </cell>
          <cell r="D542">
            <v>0</v>
          </cell>
        </row>
        <row r="543">
          <cell r="C543">
            <v>1021987</v>
          </cell>
          <cell r="D543">
            <v>8507.456603773584</v>
          </cell>
        </row>
        <row r="544">
          <cell r="C544">
            <v>1022791</v>
          </cell>
          <cell r="D544">
            <v>0</v>
          </cell>
        </row>
        <row r="545">
          <cell r="C545">
            <v>1022605</v>
          </cell>
          <cell r="D545">
            <v>0</v>
          </cell>
        </row>
        <row r="546">
          <cell r="C546">
            <v>1023056</v>
          </cell>
          <cell r="D546">
            <v>0</v>
          </cell>
        </row>
        <row r="547">
          <cell r="C547">
            <v>1023123</v>
          </cell>
          <cell r="D547">
            <v>0</v>
          </cell>
        </row>
        <row r="548">
          <cell r="C548">
            <v>1023130</v>
          </cell>
          <cell r="D548">
            <v>0</v>
          </cell>
        </row>
        <row r="549">
          <cell r="C549">
            <v>1023131</v>
          </cell>
          <cell r="D549">
            <v>0</v>
          </cell>
        </row>
        <row r="550">
          <cell r="C550">
            <v>1023132</v>
          </cell>
          <cell r="D550">
            <v>0</v>
          </cell>
        </row>
        <row r="551">
          <cell r="C551">
            <v>1022619</v>
          </cell>
          <cell r="D551">
            <v>3548</v>
          </cell>
        </row>
        <row r="552">
          <cell r="C552">
            <v>1023126</v>
          </cell>
          <cell r="D552">
            <v>0</v>
          </cell>
        </row>
        <row r="553">
          <cell r="C553">
            <v>1023144</v>
          </cell>
          <cell r="D553">
            <v>13840</v>
          </cell>
        </row>
        <row r="554">
          <cell r="C554">
            <v>1023138</v>
          </cell>
          <cell r="D554">
            <v>0</v>
          </cell>
        </row>
        <row r="555">
          <cell r="C555">
            <v>1023035</v>
          </cell>
          <cell r="D555">
            <v>7129.6</v>
          </cell>
        </row>
        <row r="556">
          <cell r="C556">
            <v>1022622</v>
          </cell>
          <cell r="D556">
            <v>0</v>
          </cell>
        </row>
        <row r="557">
          <cell r="C557">
            <v>1021864</v>
          </cell>
          <cell r="D557">
            <v>0</v>
          </cell>
        </row>
        <row r="558">
          <cell r="C558">
            <v>1023137</v>
          </cell>
          <cell r="D558">
            <v>0</v>
          </cell>
        </row>
        <row r="559">
          <cell r="C559">
            <v>1023139</v>
          </cell>
          <cell r="D559">
            <v>0</v>
          </cell>
        </row>
        <row r="560">
          <cell r="C560">
            <v>1023140</v>
          </cell>
          <cell r="D560">
            <v>0</v>
          </cell>
        </row>
        <row r="561">
          <cell r="C561">
            <v>1023141</v>
          </cell>
          <cell r="D561">
            <v>0</v>
          </cell>
        </row>
        <row r="562">
          <cell r="C562">
            <v>1023157</v>
          </cell>
          <cell r="D562">
            <v>0</v>
          </cell>
        </row>
        <row r="563">
          <cell r="C563">
            <v>1023164</v>
          </cell>
          <cell r="D563">
            <v>0</v>
          </cell>
        </row>
        <row r="564">
          <cell r="C564">
            <v>1023165</v>
          </cell>
          <cell r="D564">
            <v>0</v>
          </cell>
        </row>
        <row r="565">
          <cell r="C565">
            <v>1023183</v>
          </cell>
          <cell r="D565">
            <v>0</v>
          </cell>
        </row>
        <row r="566">
          <cell r="C566">
            <v>1021398</v>
          </cell>
          <cell r="D566">
            <v>0</v>
          </cell>
        </row>
        <row r="567">
          <cell r="C567">
            <v>1023158</v>
          </cell>
          <cell r="D567">
            <v>0</v>
          </cell>
        </row>
        <row r="568">
          <cell r="C568">
            <v>1023184</v>
          </cell>
          <cell r="D568">
            <v>0</v>
          </cell>
        </row>
        <row r="569">
          <cell r="C569">
            <v>1023194</v>
          </cell>
          <cell r="D569">
            <v>1840</v>
          </cell>
        </row>
        <row r="570">
          <cell r="C570">
            <v>1022906</v>
          </cell>
          <cell r="D570">
            <v>0</v>
          </cell>
        </row>
        <row r="571">
          <cell r="C571">
            <v>1023190</v>
          </cell>
          <cell r="D571">
            <v>86908.800000000003</v>
          </cell>
        </row>
        <row r="572">
          <cell r="C572">
            <v>1023212</v>
          </cell>
          <cell r="D572">
            <v>0</v>
          </cell>
        </row>
        <row r="573">
          <cell r="C573">
            <v>1022692</v>
          </cell>
          <cell r="D573">
            <v>0</v>
          </cell>
        </row>
        <row r="574">
          <cell r="C574">
            <v>1023219</v>
          </cell>
          <cell r="D574">
            <v>0</v>
          </cell>
        </row>
        <row r="575">
          <cell r="C575">
            <v>1023143</v>
          </cell>
          <cell r="D575">
            <v>0</v>
          </cell>
        </row>
        <row r="576">
          <cell r="C576">
            <v>1023250</v>
          </cell>
          <cell r="D576">
            <v>0</v>
          </cell>
        </row>
        <row r="577">
          <cell r="C577">
            <v>1023247</v>
          </cell>
          <cell r="D577">
            <v>0</v>
          </cell>
        </row>
        <row r="578">
          <cell r="C578">
            <v>1023257</v>
          </cell>
          <cell r="D578">
            <v>0</v>
          </cell>
        </row>
        <row r="579">
          <cell r="C579">
            <v>1023265</v>
          </cell>
          <cell r="D579">
            <v>2139.2000000000003</v>
          </cell>
        </row>
        <row r="580">
          <cell r="C580">
            <v>1023218</v>
          </cell>
          <cell r="D580">
            <v>0</v>
          </cell>
        </row>
        <row r="581">
          <cell r="C581">
            <v>1021260</v>
          </cell>
          <cell r="D581">
            <v>0</v>
          </cell>
        </row>
        <row r="582">
          <cell r="C582">
            <v>1020845</v>
          </cell>
          <cell r="D582">
            <v>0</v>
          </cell>
        </row>
        <row r="583">
          <cell r="C583">
            <v>1023273</v>
          </cell>
          <cell r="D583">
            <v>13720</v>
          </cell>
        </row>
        <row r="584">
          <cell r="C584">
            <v>1023276</v>
          </cell>
          <cell r="D584">
            <v>0</v>
          </cell>
        </row>
        <row r="585">
          <cell r="C585">
            <v>1023274</v>
          </cell>
          <cell r="D585">
            <v>9200</v>
          </cell>
        </row>
        <row r="586">
          <cell r="C586">
            <v>1023284</v>
          </cell>
          <cell r="D586">
            <v>0</v>
          </cell>
        </row>
        <row r="587">
          <cell r="C587">
            <v>1022820</v>
          </cell>
          <cell r="D587">
            <v>0</v>
          </cell>
        </row>
        <row r="588">
          <cell r="C588">
            <v>1022220</v>
          </cell>
          <cell r="D588">
            <v>0</v>
          </cell>
        </row>
        <row r="589">
          <cell r="C589">
            <v>1023302</v>
          </cell>
          <cell r="D589">
            <v>43257.408610881212</v>
          </cell>
        </row>
        <row r="590">
          <cell r="C590">
            <v>1023283</v>
          </cell>
          <cell r="D590">
            <v>27084.31698113208</v>
          </cell>
        </row>
        <row r="591">
          <cell r="C591">
            <v>1022996</v>
          </cell>
          <cell r="D591">
            <v>0</v>
          </cell>
        </row>
        <row r="592">
          <cell r="C592">
            <v>1021868</v>
          </cell>
          <cell r="D592">
            <v>0</v>
          </cell>
        </row>
        <row r="593">
          <cell r="C593">
            <v>1023290</v>
          </cell>
          <cell r="D593">
            <v>282.40000000000003</v>
          </cell>
        </row>
        <row r="594">
          <cell r="C594">
            <v>1023318</v>
          </cell>
          <cell r="D594">
            <v>9113.6</v>
          </cell>
        </row>
        <row r="595">
          <cell r="C595">
            <v>1023319</v>
          </cell>
          <cell r="D595">
            <v>9105.9463512111452</v>
          </cell>
        </row>
        <row r="596">
          <cell r="C596">
            <v>1023324</v>
          </cell>
          <cell r="D596">
            <v>12264.018099450595</v>
          </cell>
        </row>
        <row r="597">
          <cell r="C597">
            <v>1023331</v>
          </cell>
          <cell r="D597">
            <v>0</v>
          </cell>
        </row>
        <row r="598">
          <cell r="C598">
            <v>1023329</v>
          </cell>
          <cell r="D598">
            <v>12378.989148195695</v>
          </cell>
        </row>
        <row r="599">
          <cell r="C599">
            <v>1023375</v>
          </cell>
          <cell r="D599">
            <v>1640</v>
          </cell>
        </row>
        <row r="600">
          <cell r="C600">
            <v>1023362</v>
          </cell>
          <cell r="D600">
            <v>0</v>
          </cell>
        </row>
        <row r="601">
          <cell r="C601">
            <v>1023368</v>
          </cell>
          <cell r="D601">
            <v>0</v>
          </cell>
        </row>
        <row r="602">
          <cell r="C602">
            <v>1023363</v>
          </cell>
          <cell r="D602">
            <v>0</v>
          </cell>
        </row>
        <row r="603">
          <cell r="C603">
            <v>1023367</v>
          </cell>
          <cell r="D603">
            <v>0</v>
          </cell>
        </row>
        <row r="604">
          <cell r="C604">
            <v>1023366</v>
          </cell>
          <cell r="D604">
            <v>0</v>
          </cell>
        </row>
        <row r="605">
          <cell r="C605">
            <v>1023364</v>
          </cell>
          <cell r="D605">
            <v>0</v>
          </cell>
        </row>
        <row r="606">
          <cell r="C606">
            <v>1023365</v>
          </cell>
          <cell r="D606">
            <v>0</v>
          </cell>
        </row>
        <row r="607">
          <cell r="C607">
            <v>1023387</v>
          </cell>
          <cell r="D607">
            <v>0</v>
          </cell>
        </row>
        <row r="608">
          <cell r="C608">
            <v>1023389</v>
          </cell>
          <cell r="D608">
            <v>0</v>
          </cell>
        </row>
        <row r="609">
          <cell r="C609">
            <v>1023391</v>
          </cell>
          <cell r="D609">
            <v>0</v>
          </cell>
        </row>
        <row r="610">
          <cell r="C610">
            <v>1023400</v>
          </cell>
          <cell r="D610">
            <v>0</v>
          </cell>
        </row>
        <row r="611">
          <cell r="C611">
            <v>1010251</v>
          </cell>
          <cell r="D611">
            <v>0</v>
          </cell>
        </row>
        <row r="612">
          <cell r="C612">
            <v>1010615</v>
          </cell>
          <cell r="D612">
            <v>0</v>
          </cell>
        </row>
        <row r="613">
          <cell r="C613">
            <v>1010616</v>
          </cell>
          <cell r="D613">
            <v>0</v>
          </cell>
        </row>
        <row r="614">
          <cell r="C614">
            <v>1010655</v>
          </cell>
          <cell r="D614">
            <v>0</v>
          </cell>
        </row>
        <row r="615">
          <cell r="C615">
            <v>1010792</v>
          </cell>
          <cell r="D615">
            <v>26000</v>
          </cell>
        </row>
        <row r="616">
          <cell r="C616">
            <v>1010885</v>
          </cell>
          <cell r="D616">
            <v>0</v>
          </cell>
        </row>
        <row r="617">
          <cell r="C617">
            <v>1010886</v>
          </cell>
          <cell r="D617">
            <v>4540</v>
          </cell>
        </row>
        <row r="618">
          <cell r="C618">
            <v>1010887</v>
          </cell>
          <cell r="D618">
            <v>0</v>
          </cell>
        </row>
        <row r="619">
          <cell r="C619">
            <v>1010888</v>
          </cell>
          <cell r="D619">
            <v>0</v>
          </cell>
        </row>
        <row r="620">
          <cell r="C620">
            <v>1010938</v>
          </cell>
          <cell r="D620">
            <v>0</v>
          </cell>
        </row>
        <row r="621">
          <cell r="C621">
            <v>1011042</v>
          </cell>
          <cell r="D621">
            <v>23630</v>
          </cell>
        </row>
        <row r="622">
          <cell r="C622">
            <v>1011048</v>
          </cell>
          <cell r="D622">
            <v>0</v>
          </cell>
        </row>
        <row r="623">
          <cell r="C623">
            <v>1011066</v>
          </cell>
          <cell r="D623">
            <v>0</v>
          </cell>
        </row>
        <row r="624">
          <cell r="C624">
            <v>1011083</v>
          </cell>
          <cell r="D624">
            <v>0</v>
          </cell>
        </row>
        <row r="625">
          <cell r="C625">
            <v>1011099</v>
          </cell>
          <cell r="D625">
            <v>0</v>
          </cell>
        </row>
        <row r="626">
          <cell r="C626">
            <v>1011109</v>
          </cell>
          <cell r="D626">
            <v>0</v>
          </cell>
        </row>
        <row r="627">
          <cell r="C627">
            <v>1011127</v>
          </cell>
          <cell r="D627">
            <v>396446.02012808784</v>
          </cell>
        </row>
        <row r="628">
          <cell r="C628">
            <v>1011136</v>
          </cell>
          <cell r="D628">
            <v>0</v>
          </cell>
        </row>
        <row r="629">
          <cell r="C629">
            <v>1011138</v>
          </cell>
          <cell r="D629">
            <v>4500</v>
          </cell>
        </row>
        <row r="630">
          <cell r="C630">
            <v>1011139</v>
          </cell>
          <cell r="D630">
            <v>82050</v>
          </cell>
        </row>
        <row r="631">
          <cell r="C631">
            <v>1011140</v>
          </cell>
          <cell r="D631">
            <v>33000</v>
          </cell>
        </row>
        <row r="632">
          <cell r="C632">
            <v>1011141</v>
          </cell>
          <cell r="D632">
            <v>19400</v>
          </cell>
        </row>
        <row r="633">
          <cell r="C633">
            <v>1011142</v>
          </cell>
          <cell r="D633">
            <v>5500</v>
          </cell>
        </row>
        <row r="634">
          <cell r="C634">
            <v>1011143</v>
          </cell>
          <cell r="D634">
            <v>0</v>
          </cell>
        </row>
        <row r="635">
          <cell r="C635">
            <v>1011144</v>
          </cell>
          <cell r="D635">
            <v>3800</v>
          </cell>
        </row>
        <row r="636">
          <cell r="C636">
            <v>1011145</v>
          </cell>
          <cell r="D636">
            <v>6000</v>
          </cell>
        </row>
        <row r="637">
          <cell r="C637">
            <v>1011146</v>
          </cell>
          <cell r="D637">
            <v>0</v>
          </cell>
        </row>
        <row r="638">
          <cell r="C638">
            <v>1011150</v>
          </cell>
          <cell r="D638">
            <v>16000</v>
          </cell>
        </row>
        <row r="639">
          <cell r="C639">
            <v>1011151</v>
          </cell>
          <cell r="D639">
            <v>0</v>
          </cell>
        </row>
        <row r="640">
          <cell r="C640">
            <v>1011156</v>
          </cell>
          <cell r="D640">
            <v>0</v>
          </cell>
        </row>
        <row r="641">
          <cell r="C641">
            <v>1011157</v>
          </cell>
          <cell r="D641">
            <v>1500</v>
          </cell>
        </row>
        <row r="642">
          <cell r="C642">
            <v>1011250</v>
          </cell>
          <cell r="D642">
            <v>0</v>
          </cell>
        </row>
        <row r="643">
          <cell r="C643">
            <v>1011278</v>
          </cell>
          <cell r="D643">
            <v>0</v>
          </cell>
        </row>
        <row r="644">
          <cell r="C644">
            <v>1011290</v>
          </cell>
          <cell r="D644">
            <v>0</v>
          </cell>
        </row>
        <row r="645">
          <cell r="C645">
            <v>1011330</v>
          </cell>
          <cell r="D645">
            <v>37195</v>
          </cell>
        </row>
        <row r="646">
          <cell r="C646">
            <v>1011331</v>
          </cell>
          <cell r="D646">
            <v>16500</v>
          </cell>
        </row>
        <row r="647">
          <cell r="C647">
            <v>1011337</v>
          </cell>
          <cell r="D647">
            <v>0</v>
          </cell>
        </row>
        <row r="648">
          <cell r="C648">
            <v>1011353</v>
          </cell>
          <cell r="D648">
            <v>0</v>
          </cell>
        </row>
        <row r="649">
          <cell r="C649">
            <v>1011421</v>
          </cell>
          <cell r="D649">
            <v>196000</v>
          </cell>
        </row>
        <row r="650">
          <cell r="C650">
            <v>1011422</v>
          </cell>
          <cell r="D650">
            <v>0</v>
          </cell>
        </row>
        <row r="651">
          <cell r="C651">
            <v>1011558</v>
          </cell>
          <cell r="D651">
            <v>0</v>
          </cell>
        </row>
        <row r="652">
          <cell r="C652">
            <v>1011560</v>
          </cell>
          <cell r="D652">
            <v>0</v>
          </cell>
        </row>
        <row r="653">
          <cell r="C653">
            <v>1011586</v>
          </cell>
          <cell r="D653">
            <v>16000</v>
          </cell>
        </row>
        <row r="654">
          <cell r="C654">
            <v>1011611</v>
          </cell>
          <cell r="D654">
            <v>0</v>
          </cell>
        </row>
        <row r="655">
          <cell r="C655">
            <v>1011614</v>
          </cell>
          <cell r="D655">
            <v>0</v>
          </cell>
        </row>
        <row r="656">
          <cell r="C656">
            <v>1011616</v>
          </cell>
          <cell r="D656">
            <v>0</v>
          </cell>
        </row>
        <row r="657">
          <cell r="C657">
            <v>1011626</v>
          </cell>
          <cell r="D657">
            <v>0</v>
          </cell>
        </row>
        <row r="658">
          <cell r="C658">
            <v>1011627</v>
          </cell>
          <cell r="D658">
            <v>0</v>
          </cell>
        </row>
        <row r="659">
          <cell r="C659">
            <v>1011629</v>
          </cell>
          <cell r="D659">
            <v>0</v>
          </cell>
        </row>
        <row r="660">
          <cell r="C660">
            <v>1011632</v>
          </cell>
          <cell r="D660">
            <v>2100</v>
          </cell>
        </row>
        <row r="661">
          <cell r="C661">
            <v>1011633</v>
          </cell>
          <cell r="D661">
            <v>0</v>
          </cell>
        </row>
        <row r="662">
          <cell r="C662">
            <v>1011638</v>
          </cell>
          <cell r="D662">
            <v>1000</v>
          </cell>
        </row>
        <row r="663">
          <cell r="C663">
            <v>1011660</v>
          </cell>
          <cell r="D663">
            <v>0</v>
          </cell>
        </row>
        <row r="664">
          <cell r="C664">
            <v>1011668</v>
          </cell>
          <cell r="D664">
            <v>0</v>
          </cell>
        </row>
        <row r="665">
          <cell r="C665">
            <v>1011672</v>
          </cell>
          <cell r="D665">
            <v>20000</v>
          </cell>
        </row>
        <row r="666">
          <cell r="C666">
            <v>1011673</v>
          </cell>
          <cell r="D666">
            <v>0</v>
          </cell>
        </row>
        <row r="667">
          <cell r="C667">
            <v>1011674</v>
          </cell>
          <cell r="D667">
            <v>0</v>
          </cell>
        </row>
        <row r="668">
          <cell r="C668">
            <v>1011677</v>
          </cell>
          <cell r="D668">
            <v>0</v>
          </cell>
        </row>
        <row r="669">
          <cell r="C669">
            <v>1011678</v>
          </cell>
          <cell r="D669">
            <v>0</v>
          </cell>
        </row>
        <row r="670">
          <cell r="C670">
            <v>1011680</v>
          </cell>
          <cell r="D670">
            <v>2500</v>
          </cell>
        </row>
        <row r="671">
          <cell r="C671">
            <v>1011699</v>
          </cell>
          <cell r="D671">
            <v>0</v>
          </cell>
        </row>
        <row r="672">
          <cell r="C672">
            <v>1011700</v>
          </cell>
          <cell r="D672">
            <v>11000</v>
          </cell>
        </row>
        <row r="673">
          <cell r="C673">
            <v>1011748</v>
          </cell>
          <cell r="D673">
            <v>37053.979871912168</v>
          </cell>
        </row>
        <row r="674">
          <cell r="C674">
            <v>1011752</v>
          </cell>
          <cell r="D674">
            <v>0</v>
          </cell>
        </row>
        <row r="675">
          <cell r="C675">
            <v>1011762</v>
          </cell>
          <cell r="D675">
            <v>0</v>
          </cell>
        </row>
        <row r="676">
          <cell r="C676">
            <v>1011765</v>
          </cell>
          <cell r="D676">
            <v>0</v>
          </cell>
        </row>
        <row r="677">
          <cell r="C677">
            <v>1011854</v>
          </cell>
          <cell r="D677">
            <v>0</v>
          </cell>
        </row>
        <row r="678">
          <cell r="C678">
            <v>1011886</v>
          </cell>
          <cell r="D678">
            <v>0</v>
          </cell>
        </row>
        <row r="679">
          <cell r="C679">
            <v>1011908</v>
          </cell>
          <cell r="D679">
            <v>0</v>
          </cell>
        </row>
        <row r="680">
          <cell r="C680">
            <v>1011938</v>
          </cell>
          <cell r="D680">
            <v>0</v>
          </cell>
        </row>
        <row r="681">
          <cell r="C681">
            <v>1011991</v>
          </cell>
          <cell r="D681">
            <v>0</v>
          </cell>
        </row>
        <row r="682">
          <cell r="C682">
            <v>1011997</v>
          </cell>
          <cell r="D682">
            <v>0</v>
          </cell>
        </row>
        <row r="683">
          <cell r="C683">
            <v>1012004</v>
          </cell>
          <cell r="D683">
            <v>0</v>
          </cell>
        </row>
        <row r="684">
          <cell r="C684">
            <v>1012012</v>
          </cell>
          <cell r="D684">
            <v>0</v>
          </cell>
        </row>
        <row r="685">
          <cell r="C685">
            <v>1012017</v>
          </cell>
          <cell r="D685">
            <v>59429.973753146944</v>
          </cell>
        </row>
        <row r="686">
          <cell r="C686">
            <v>1012018</v>
          </cell>
          <cell r="D686">
            <v>42950</v>
          </cell>
        </row>
        <row r="687">
          <cell r="C687">
            <v>1012037</v>
          </cell>
          <cell r="D687">
            <v>0</v>
          </cell>
        </row>
        <row r="688">
          <cell r="C688">
            <v>1012038</v>
          </cell>
          <cell r="D688">
            <v>0</v>
          </cell>
        </row>
        <row r="689">
          <cell r="C689">
            <v>1012076</v>
          </cell>
          <cell r="D689">
            <v>0</v>
          </cell>
        </row>
        <row r="690">
          <cell r="C690">
            <v>1012077</v>
          </cell>
          <cell r="D690">
            <v>0</v>
          </cell>
        </row>
        <row r="691">
          <cell r="C691">
            <v>1011110</v>
          </cell>
          <cell r="D691">
            <v>0</v>
          </cell>
        </row>
        <row r="692">
          <cell r="C692">
            <v>1012093</v>
          </cell>
          <cell r="D692">
            <v>0</v>
          </cell>
        </row>
        <row r="693">
          <cell r="C693">
            <v>1012156</v>
          </cell>
          <cell r="D693">
            <v>0</v>
          </cell>
        </row>
        <row r="694">
          <cell r="C694">
            <v>1012154</v>
          </cell>
          <cell r="D694">
            <v>0</v>
          </cell>
        </row>
        <row r="695">
          <cell r="C695">
            <v>1011120</v>
          </cell>
          <cell r="D695">
            <v>0</v>
          </cell>
        </row>
        <row r="696">
          <cell r="C696">
            <v>1012072</v>
          </cell>
          <cell r="D696">
            <v>0</v>
          </cell>
        </row>
        <row r="697">
          <cell r="C697">
            <v>1012073</v>
          </cell>
          <cell r="D697">
            <v>0</v>
          </cell>
        </row>
        <row r="698">
          <cell r="C698">
            <v>1012074</v>
          </cell>
          <cell r="D698">
            <v>0</v>
          </cell>
        </row>
        <row r="699">
          <cell r="C699">
            <v>1011620</v>
          </cell>
          <cell r="D699">
            <v>0</v>
          </cell>
        </row>
        <row r="700">
          <cell r="C700">
            <v>1012155</v>
          </cell>
          <cell r="D700">
            <v>0</v>
          </cell>
        </row>
        <row r="701">
          <cell r="C701">
            <v>1012002</v>
          </cell>
          <cell r="D701">
            <v>0</v>
          </cell>
        </row>
        <row r="702">
          <cell r="C702">
            <v>1012088</v>
          </cell>
          <cell r="D702">
            <v>0</v>
          </cell>
        </row>
        <row r="703">
          <cell r="C703">
            <v>1012117</v>
          </cell>
          <cell r="D703">
            <v>0</v>
          </cell>
        </row>
        <row r="704">
          <cell r="C704">
            <v>1011112</v>
          </cell>
          <cell r="D704">
            <v>0</v>
          </cell>
        </row>
        <row r="705">
          <cell r="C705">
            <v>1011417</v>
          </cell>
          <cell r="D705">
            <v>0</v>
          </cell>
        </row>
        <row r="706">
          <cell r="C706">
            <v>1012126</v>
          </cell>
          <cell r="D706">
            <v>0</v>
          </cell>
        </row>
        <row r="707">
          <cell r="C707">
            <v>1012125</v>
          </cell>
          <cell r="D707">
            <v>0</v>
          </cell>
        </row>
        <row r="708">
          <cell r="C708">
            <v>1012123</v>
          </cell>
          <cell r="D708">
            <v>0</v>
          </cell>
        </row>
        <row r="709">
          <cell r="C709">
            <v>1010877</v>
          </cell>
          <cell r="D709">
            <v>10000</v>
          </cell>
        </row>
        <row r="710">
          <cell r="C710">
            <v>1011152</v>
          </cell>
          <cell r="D710">
            <v>0</v>
          </cell>
        </row>
        <row r="711">
          <cell r="C711">
            <v>1012165</v>
          </cell>
          <cell r="D711">
            <v>236575</v>
          </cell>
        </row>
        <row r="712">
          <cell r="C712">
            <v>1012147</v>
          </cell>
          <cell r="D712">
            <v>8300</v>
          </cell>
        </row>
        <row r="713">
          <cell r="C713">
            <v>1012134</v>
          </cell>
          <cell r="D713">
            <v>0</v>
          </cell>
        </row>
        <row r="714">
          <cell r="C714">
            <v>1012132</v>
          </cell>
          <cell r="D714">
            <v>0</v>
          </cell>
        </row>
        <row r="715">
          <cell r="C715">
            <v>1011947</v>
          </cell>
          <cell r="D715">
            <v>0</v>
          </cell>
        </row>
        <row r="716">
          <cell r="C716">
            <v>1012166</v>
          </cell>
          <cell r="D716">
            <v>0</v>
          </cell>
        </row>
        <row r="717">
          <cell r="C717">
            <v>1012167</v>
          </cell>
          <cell r="D717">
            <v>79200</v>
          </cell>
        </row>
        <row r="718">
          <cell r="C718">
            <v>1012177</v>
          </cell>
          <cell r="D718">
            <v>0</v>
          </cell>
        </row>
        <row r="719">
          <cell r="C719">
            <v>1012161</v>
          </cell>
          <cell r="D719">
            <v>15000</v>
          </cell>
        </row>
        <row r="720">
          <cell r="C720">
            <v>1011906</v>
          </cell>
          <cell r="D720">
            <v>0</v>
          </cell>
        </row>
        <row r="721">
          <cell r="C721">
            <v>1012103</v>
          </cell>
          <cell r="D721">
            <v>0</v>
          </cell>
        </row>
        <row r="722">
          <cell r="C722">
            <v>1011749</v>
          </cell>
          <cell r="D722">
            <v>0</v>
          </cell>
        </row>
        <row r="723">
          <cell r="C723">
            <v>1010242</v>
          </cell>
          <cell r="D723">
            <v>0</v>
          </cell>
        </row>
        <row r="724">
          <cell r="C724">
            <v>1012157</v>
          </cell>
          <cell r="D724">
            <v>21500</v>
          </cell>
        </row>
        <row r="725">
          <cell r="C725">
            <v>1012159</v>
          </cell>
          <cell r="D725">
            <v>64927.780813960766</v>
          </cell>
        </row>
        <row r="726">
          <cell r="C726">
            <v>1012064</v>
          </cell>
          <cell r="D726">
            <v>0</v>
          </cell>
        </row>
        <row r="727">
          <cell r="C727">
            <v>1012148</v>
          </cell>
          <cell r="D727">
            <v>21584.968545783209</v>
          </cell>
        </row>
        <row r="728">
          <cell r="C728">
            <v>1012145</v>
          </cell>
          <cell r="D728">
            <v>23469.426559847769</v>
          </cell>
        </row>
        <row r="729">
          <cell r="C729">
            <v>1012164</v>
          </cell>
          <cell r="D729">
            <v>0</v>
          </cell>
        </row>
        <row r="730">
          <cell r="C730">
            <v>1012168</v>
          </cell>
          <cell r="D730">
            <v>0</v>
          </cell>
        </row>
        <row r="731">
          <cell r="C731">
            <v>1011431</v>
          </cell>
          <cell r="D731">
            <v>0</v>
          </cell>
        </row>
        <row r="732">
          <cell r="C732">
            <v>1011993</v>
          </cell>
          <cell r="D732">
            <v>0</v>
          </cell>
        </row>
        <row r="733">
          <cell r="C733">
            <v>1011972</v>
          </cell>
          <cell r="D733">
            <v>0</v>
          </cell>
        </row>
        <row r="734">
          <cell r="C734">
            <v>1011973</v>
          </cell>
          <cell r="D734">
            <v>0</v>
          </cell>
        </row>
        <row r="735">
          <cell r="C735">
            <v>1011974</v>
          </cell>
          <cell r="D735">
            <v>0</v>
          </cell>
        </row>
        <row r="736">
          <cell r="C736">
            <v>1011975</v>
          </cell>
          <cell r="D736">
            <v>0</v>
          </cell>
        </row>
        <row r="737">
          <cell r="C737">
            <v>1011976</v>
          </cell>
          <cell r="D737">
            <v>0</v>
          </cell>
        </row>
        <row r="738">
          <cell r="C738">
            <v>1011977</v>
          </cell>
          <cell r="D738">
            <v>0</v>
          </cell>
        </row>
        <row r="739">
          <cell r="C739">
            <v>1012160</v>
          </cell>
          <cell r="D739">
            <v>42300.255995467291</v>
          </cell>
        </row>
        <row r="740">
          <cell r="C740">
            <v>1012184</v>
          </cell>
          <cell r="D740">
            <v>0</v>
          </cell>
        </row>
        <row r="741">
          <cell r="C741">
            <v>1012158</v>
          </cell>
          <cell r="D741">
            <v>56650</v>
          </cell>
        </row>
        <row r="742">
          <cell r="C742">
            <v>1012194</v>
          </cell>
          <cell r="D742">
            <v>0</v>
          </cell>
        </row>
        <row r="743">
          <cell r="C743">
            <v>1012245</v>
          </cell>
          <cell r="D743">
            <v>0</v>
          </cell>
        </row>
        <row r="744">
          <cell r="C744">
            <v>1012107</v>
          </cell>
          <cell r="D744">
            <v>40933.4</v>
          </cell>
        </row>
        <row r="745">
          <cell r="C745">
            <v>1012108</v>
          </cell>
          <cell r="D745">
            <v>102447.3</v>
          </cell>
        </row>
        <row r="746">
          <cell r="C746">
            <v>1012109</v>
          </cell>
          <cell r="D746">
            <v>64907.9</v>
          </cell>
        </row>
        <row r="747">
          <cell r="C747">
            <v>1012110</v>
          </cell>
          <cell r="D747">
            <v>10665</v>
          </cell>
        </row>
        <row r="748">
          <cell r="C748">
            <v>1012111</v>
          </cell>
          <cell r="D748">
            <v>14987.379914508316</v>
          </cell>
        </row>
        <row r="749">
          <cell r="C749">
            <v>1012112</v>
          </cell>
          <cell r="D749">
            <v>2650</v>
          </cell>
        </row>
        <row r="750">
          <cell r="C750">
            <v>1012113</v>
          </cell>
          <cell r="D750">
            <v>0</v>
          </cell>
        </row>
        <row r="751">
          <cell r="C751">
            <v>1012114</v>
          </cell>
          <cell r="D751">
            <v>0</v>
          </cell>
        </row>
        <row r="752">
          <cell r="C752">
            <v>1012115</v>
          </cell>
          <cell r="D752">
            <v>0</v>
          </cell>
        </row>
        <row r="753">
          <cell r="C753">
            <v>1012120</v>
          </cell>
          <cell r="D753">
            <v>0</v>
          </cell>
        </row>
        <row r="754">
          <cell r="C754">
            <v>1012119</v>
          </cell>
          <cell r="D754">
            <v>0</v>
          </cell>
        </row>
        <row r="755">
          <cell r="C755">
            <v>1012121</v>
          </cell>
          <cell r="D755">
            <v>0</v>
          </cell>
        </row>
        <row r="756">
          <cell r="C756">
            <v>1012122</v>
          </cell>
          <cell r="D756">
            <v>0</v>
          </cell>
        </row>
        <row r="757">
          <cell r="C757">
            <v>1012202</v>
          </cell>
          <cell r="D757">
            <v>0</v>
          </cell>
        </row>
        <row r="758">
          <cell r="C758">
            <v>1012163</v>
          </cell>
          <cell r="D758">
            <v>10000</v>
          </cell>
        </row>
        <row r="759">
          <cell r="C759">
            <v>1011733</v>
          </cell>
          <cell r="D759">
            <v>0</v>
          </cell>
        </row>
        <row r="760">
          <cell r="C760">
            <v>1011709</v>
          </cell>
          <cell r="D760">
            <v>0</v>
          </cell>
        </row>
        <row r="761">
          <cell r="C761">
            <v>1012146</v>
          </cell>
          <cell r="D761">
            <v>0</v>
          </cell>
        </row>
        <row r="762">
          <cell r="C762">
            <v>1011701</v>
          </cell>
          <cell r="D762">
            <v>72000</v>
          </cell>
        </row>
        <row r="763">
          <cell r="C763">
            <v>1011221</v>
          </cell>
          <cell r="D763">
            <v>0</v>
          </cell>
        </row>
        <row r="764">
          <cell r="C764">
            <v>1012207</v>
          </cell>
          <cell r="D764">
            <v>23041.705058960906</v>
          </cell>
        </row>
        <row r="765">
          <cell r="C765">
            <v>1012024</v>
          </cell>
          <cell r="D765">
            <v>0</v>
          </cell>
        </row>
        <row r="766">
          <cell r="C766">
            <v>1011537</v>
          </cell>
          <cell r="D766">
            <v>0</v>
          </cell>
        </row>
        <row r="767">
          <cell r="C767">
            <v>1012218</v>
          </cell>
          <cell r="D767">
            <v>0</v>
          </cell>
        </row>
        <row r="768">
          <cell r="C768">
            <v>1011379</v>
          </cell>
          <cell r="D768">
            <v>0</v>
          </cell>
        </row>
        <row r="769">
          <cell r="C769">
            <v>1012224</v>
          </cell>
          <cell r="D769">
            <v>0</v>
          </cell>
        </row>
        <row r="770">
          <cell r="C770">
            <v>1012225</v>
          </cell>
          <cell r="D770">
            <v>0</v>
          </cell>
        </row>
        <row r="771">
          <cell r="C771">
            <v>1012226</v>
          </cell>
          <cell r="D771">
            <v>0</v>
          </cell>
        </row>
        <row r="772">
          <cell r="C772">
            <v>1012223</v>
          </cell>
          <cell r="D772">
            <v>0</v>
          </cell>
        </row>
        <row r="773">
          <cell r="C773">
            <v>1011889</v>
          </cell>
          <cell r="D773">
            <v>0</v>
          </cell>
        </row>
        <row r="774">
          <cell r="C774">
            <v>1011768</v>
          </cell>
          <cell r="D774">
            <v>0</v>
          </cell>
        </row>
        <row r="775">
          <cell r="C775">
            <v>1011967</v>
          </cell>
          <cell r="D775">
            <v>31492.323273264694</v>
          </cell>
        </row>
        <row r="776">
          <cell r="C776">
            <v>1011968</v>
          </cell>
          <cell r="D776">
            <v>1947</v>
          </cell>
        </row>
        <row r="777">
          <cell r="C777">
            <v>1011969</v>
          </cell>
          <cell r="D777">
            <v>30747.510887465687</v>
          </cell>
        </row>
        <row r="778">
          <cell r="C778">
            <v>1010523</v>
          </cell>
          <cell r="D778">
            <v>0</v>
          </cell>
        </row>
        <row r="779">
          <cell r="C779">
            <v>1011550</v>
          </cell>
          <cell r="D779">
            <v>0</v>
          </cell>
        </row>
        <row r="780">
          <cell r="C780">
            <v>1012005</v>
          </cell>
          <cell r="D780">
            <v>2000</v>
          </cell>
        </row>
        <row r="781">
          <cell r="C781">
            <v>1012193</v>
          </cell>
          <cell r="D781">
            <v>0</v>
          </cell>
        </row>
        <row r="782">
          <cell r="C782">
            <v>1010696</v>
          </cell>
          <cell r="D782">
            <v>0</v>
          </cell>
        </row>
        <row r="783">
          <cell r="C783">
            <v>1010431</v>
          </cell>
          <cell r="D783">
            <v>0</v>
          </cell>
        </row>
        <row r="784">
          <cell r="C784">
            <v>1012191</v>
          </cell>
          <cell r="D784">
            <v>0</v>
          </cell>
        </row>
        <row r="785">
          <cell r="C785">
            <v>1012282</v>
          </cell>
          <cell r="D785">
            <v>0</v>
          </cell>
        </row>
        <row r="786">
          <cell r="C786">
            <v>1012278</v>
          </cell>
          <cell r="D786">
            <v>15000</v>
          </cell>
        </row>
        <row r="787">
          <cell r="C787">
            <v>1012275</v>
          </cell>
          <cell r="D787">
            <v>0</v>
          </cell>
        </row>
        <row r="788">
          <cell r="C788">
            <v>1012283</v>
          </cell>
          <cell r="D788">
            <v>18400</v>
          </cell>
        </row>
        <row r="789">
          <cell r="C789">
            <v>1011618</v>
          </cell>
          <cell r="D789">
            <v>0</v>
          </cell>
        </row>
        <row r="790">
          <cell r="C790">
            <v>1012326</v>
          </cell>
          <cell r="D790">
            <v>2120</v>
          </cell>
        </row>
        <row r="791">
          <cell r="C791">
            <v>1012336</v>
          </cell>
          <cell r="D791">
            <v>0</v>
          </cell>
        </row>
        <row r="792">
          <cell r="C792">
            <v>1012342</v>
          </cell>
          <cell r="D792">
            <v>0</v>
          </cell>
        </row>
        <row r="793">
          <cell r="C793">
            <v>1012362</v>
          </cell>
          <cell r="D793">
            <v>6559.47831465133</v>
          </cell>
        </row>
        <row r="794">
          <cell r="C794">
            <v>1012343</v>
          </cell>
          <cell r="D794">
            <v>0</v>
          </cell>
        </row>
        <row r="795">
          <cell r="C795">
            <v>1011953</v>
          </cell>
          <cell r="D795">
            <v>0</v>
          </cell>
        </row>
        <row r="796">
          <cell r="C796">
            <v>1012386</v>
          </cell>
          <cell r="D796">
            <v>0</v>
          </cell>
        </row>
        <row r="797">
          <cell r="C797">
            <v>1012378</v>
          </cell>
          <cell r="D797">
            <v>0</v>
          </cell>
        </row>
        <row r="798">
          <cell r="C798">
            <v>1011898</v>
          </cell>
          <cell r="D798">
            <v>0</v>
          </cell>
        </row>
        <row r="799">
          <cell r="C799">
            <v>1012081</v>
          </cell>
          <cell r="D799">
            <v>0</v>
          </cell>
        </row>
        <row r="800">
          <cell r="C800">
            <v>1011837</v>
          </cell>
          <cell r="D800">
            <v>0</v>
          </cell>
        </row>
        <row r="801">
          <cell r="C801">
            <v>1011838</v>
          </cell>
          <cell r="D801">
            <v>0</v>
          </cell>
        </row>
        <row r="802">
          <cell r="C802">
            <v>1010176</v>
          </cell>
          <cell r="D802">
            <v>2500</v>
          </cell>
        </row>
        <row r="803">
          <cell r="C803">
            <v>1010204</v>
          </cell>
          <cell r="D803">
            <v>3000</v>
          </cell>
        </row>
        <row r="804">
          <cell r="C804">
            <v>1010143</v>
          </cell>
          <cell r="D804">
            <v>6000</v>
          </cell>
        </row>
        <row r="805">
          <cell r="C805">
            <v>1011582</v>
          </cell>
          <cell r="D805">
            <v>0</v>
          </cell>
        </row>
        <row r="806">
          <cell r="C806">
            <v>1012208</v>
          </cell>
          <cell r="D806">
            <v>6300</v>
          </cell>
        </row>
        <row r="807">
          <cell r="C807">
            <v>1012377</v>
          </cell>
          <cell r="D807">
            <v>0</v>
          </cell>
        </row>
        <row r="808">
          <cell r="C808">
            <v>1012376</v>
          </cell>
          <cell r="D808">
            <v>0</v>
          </cell>
        </row>
        <row r="809">
          <cell r="C809">
            <v>1012432</v>
          </cell>
          <cell r="D809">
            <v>0</v>
          </cell>
        </row>
        <row r="810">
          <cell r="C810">
            <v>1011978</v>
          </cell>
          <cell r="D810">
            <v>0</v>
          </cell>
        </row>
        <row r="811">
          <cell r="C811">
            <v>1012433</v>
          </cell>
          <cell r="D811">
            <v>0</v>
          </cell>
        </row>
        <row r="812">
          <cell r="C812">
            <v>1012423</v>
          </cell>
          <cell r="D812">
            <v>0</v>
          </cell>
        </row>
        <row r="813">
          <cell r="C813">
            <v>1012424</v>
          </cell>
          <cell r="D813">
            <v>0</v>
          </cell>
        </row>
        <row r="814">
          <cell r="C814">
            <v>1012434</v>
          </cell>
          <cell r="D814">
            <v>0</v>
          </cell>
        </row>
        <row r="815">
          <cell r="C815">
            <v>1012410</v>
          </cell>
          <cell r="D815">
            <v>0</v>
          </cell>
        </row>
        <row r="816">
          <cell r="C816">
            <v>1011251</v>
          </cell>
          <cell r="D816">
            <v>0</v>
          </cell>
        </row>
        <row r="817">
          <cell r="C817">
            <v>1012426</v>
          </cell>
          <cell r="D817">
            <v>0</v>
          </cell>
        </row>
        <row r="818">
          <cell r="C818">
            <v>1012448</v>
          </cell>
          <cell r="D818">
            <v>55251.877152178262</v>
          </cell>
        </row>
        <row r="819">
          <cell r="C819">
            <v>1012447</v>
          </cell>
          <cell r="D819">
            <v>0</v>
          </cell>
        </row>
        <row r="820">
          <cell r="C820">
            <v>1012445</v>
          </cell>
          <cell r="D820">
            <v>0</v>
          </cell>
        </row>
        <row r="821">
          <cell r="C821">
            <v>1012446</v>
          </cell>
          <cell r="D821">
            <v>0</v>
          </cell>
        </row>
        <row r="822">
          <cell r="C822">
            <v>1011105</v>
          </cell>
          <cell r="D822">
            <v>0</v>
          </cell>
        </row>
        <row r="823">
          <cell r="C823">
            <v>1012451</v>
          </cell>
          <cell r="D823">
            <v>5000</v>
          </cell>
        </row>
        <row r="824">
          <cell r="C824">
            <v>1012452</v>
          </cell>
          <cell r="D824">
            <v>5000</v>
          </cell>
        </row>
        <row r="825">
          <cell r="C825">
            <v>1012391</v>
          </cell>
          <cell r="D825">
            <v>0</v>
          </cell>
        </row>
        <row r="826">
          <cell r="C826">
            <v>1012455</v>
          </cell>
          <cell r="D826">
            <v>45000</v>
          </cell>
        </row>
        <row r="827">
          <cell r="C827">
            <v>1012454</v>
          </cell>
          <cell r="D827">
            <v>0</v>
          </cell>
        </row>
        <row r="828">
          <cell r="C828">
            <v>1011047</v>
          </cell>
          <cell r="D828">
            <v>20000</v>
          </cell>
        </row>
        <row r="829">
          <cell r="C829">
            <v>1011770</v>
          </cell>
          <cell r="D829">
            <v>18000</v>
          </cell>
        </row>
        <row r="830">
          <cell r="C830">
            <v>1012375</v>
          </cell>
          <cell r="D830">
            <v>0</v>
          </cell>
        </row>
        <row r="831">
          <cell r="C831">
            <v>1012337</v>
          </cell>
          <cell r="D831">
            <v>0</v>
          </cell>
        </row>
        <row r="832">
          <cell r="C832">
            <v>1011607</v>
          </cell>
          <cell r="D832">
            <v>0</v>
          </cell>
        </row>
        <row r="833">
          <cell r="C833">
            <v>1012457</v>
          </cell>
          <cell r="D833">
            <v>0</v>
          </cell>
        </row>
        <row r="834">
          <cell r="C834">
            <v>1012469</v>
          </cell>
          <cell r="D834">
            <v>0</v>
          </cell>
        </row>
        <row r="835">
          <cell r="C835">
            <v>1012438</v>
          </cell>
          <cell r="D835">
            <v>0</v>
          </cell>
        </row>
        <row r="836">
          <cell r="C836">
            <v>1012439</v>
          </cell>
          <cell r="D836">
            <v>0</v>
          </cell>
        </row>
        <row r="837">
          <cell r="C837">
            <v>1012440</v>
          </cell>
          <cell r="D837">
            <v>0</v>
          </cell>
        </row>
        <row r="838">
          <cell r="C838">
            <v>1012379</v>
          </cell>
          <cell r="D838">
            <v>0</v>
          </cell>
        </row>
        <row r="839">
          <cell r="C839">
            <v>1012465</v>
          </cell>
          <cell r="D839">
            <v>0</v>
          </cell>
        </row>
        <row r="840">
          <cell r="C840">
            <v>1010291</v>
          </cell>
          <cell r="D840">
            <v>6500</v>
          </cell>
        </row>
        <row r="841">
          <cell r="C841">
            <v>1011181</v>
          </cell>
          <cell r="D841">
            <v>0</v>
          </cell>
        </row>
        <row r="842">
          <cell r="C842">
            <v>1012462</v>
          </cell>
          <cell r="D842">
            <v>0</v>
          </cell>
        </row>
        <row r="843">
          <cell r="C843">
            <v>1012487</v>
          </cell>
          <cell r="D843">
            <v>0</v>
          </cell>
        </row>
        <row r="844">
          <cell r="C844">
            <v>1012414</v>
          </cell>
          <cell r="D844">
            <v>0</v>
          </cell>
        </row>
        <row r="845">
          <cell r="C845">
            <v>1012488</v>
          </cell>
          <cell r="D845">
            <v>9000</v>
          </cell>
        </row>
        <row r="846">
          <cell r="C846">
            <v>1010240</v>
          </cell>
          <cell r="D846">
            <v>0</v>
          </cell>
        </row>
        <row r="847">
          <cell r="C847">
            <v>1012334</v>
          </cell>
          <cell r="D847">
            <v>0</v>
          </cell>
        </row>
        <row r="848">
          <cell r="C848">
            <v>1012486</v>
          </cell>
          <cell r="D848">
            <v>0</v>
          </cell>
        </row>
        <row r="849">
          <cell r="C849">
            <v>1012483</v>
          </cell>
          <cell r="D849">
            <v>57300</v>
          </cell>
        </row>
        <row r="850">
          <cell r="C850">
            <v>1012504</v>
          </cell>
          <cell r="D850">
            <v>10957.271933395004</v>
          </cell>
        </row>
        <row r="851">
          <cell r="C851">
            <v>1012502</v>
          </cell>
          <cell r="D851">
            <v>2538.6441073080482</v>
          </cell>
        </row>
        <row r="852">
          <cell r="C852">
            <v>1012503</v>
          </cell>
          <cell r="D852">
            <v>63551.024976873276</v>
          </cell>
        </row>
        <row r="853">
          <cell r="C853">
            <v>1012476</v>
          </cell>
          <cell r="D853">
            <v>0</v>
          </cell>
        </row>
        <row r="854">
          <cell r="C854">
            <v>1012508</v>
          </cell>
          <cell r="D854">
            <v>0</v>
          </cell>
        </row>
        <row r="855">
          <cell r="C855">
            <v>1012518</v>
          </cell>
          <cell r="D855">
            <v>35000</v>
          </cell>
        </row>
        <row r="856">
          <cell r="C856">
            <v>1012517</v>
          </cell>
          <cell r="D856">
            <v>0</v>
          </cell>
        </row>
        <row r="857">
          <cell r="C857">
            <v>1012516</v>
          </cell>
          <cell r="D857">
            <v>0</v>
          </cell>
        </row>
        <row r="858">
          <cell r="C858">
            <v>1012525</v>
          </cell>
          <cell r="D858">
            <v>2082.1722479185937</v>
          </cell>
        </row>
        <row r="859">
          <cell r="C859">
            <v>1012526</v>
          </cell>
          <cell r="D859">
            <v>1900.1600185013876</v>
          </cell>
        </row>
        <row r="860">
          <cell r="C860">
            <v>1012537</v>
          </cell>
          <cell r="D860">
            <v>0</v>
          </cell>
        </row>
        <row r="861">
          <cell r="C861">
            <v>1012534</v>
          </cell>
          <cell r="D861">
            <v>120000</v>
          </cell>
        </row>
        <row r="862">
          <cell r="C862">
            <v>1012538</v>
          </cell>
          <cell r="D862">
            <v>0</v>
          </cell>
        </row>
        <row r="863">
          <cell r="C863">
            <v>1012535</v>
          </cell>
          <cell r="D863">
            <v>0</v>
          </cell>
        </row>
        <row r="864">
          <cell r="C864">
            <v>1012536</v>
          </cell>
          <cell r="D864">
            <v>0</v>
          </cell>
        </row>
        <row r="865">
          <cell r="C865">
            <v>1012456</v>
          </cell>
          <cell r="D865">
            <v>0</v>
          </cell>
        </row>
        <row r="866">
          <cell r="C866">
            <v>1012544</v>
          </cell>
          <cell r="D866">
            <v>0</v>
          </cell>
        </row>
        <row r="867">
          <cell r="C867">
            <v>1010305</v>
          </cell>
          <cell r="D867">
            <v>0</v>
          </cell>
        </row>
        <row r="868">
          <cell r="C868">
            <v>1011697</v>
          </cell>
          <cell r="D868">
            <v>2000</v>
          </cell>
        </row>
        <row r="869">
          <cell r="C869">
            <v>1010388</v>
          </cell>
          <cell r="D869">
            <v>0</v>
          </cell>
        </row>
        <row r="870">
          <cell r="C870">
            <v>1012527</v>
          </cell>
          <cell r="D870">
            <v>3261.8358926919518</v>
          </cell>
        </row>
        <row r="871">
          <cell r="C871">
            <v>1012547</v>
          </cell>
          <cell r="D871">
            <v>0</v>
          </cell>
        </row>
        <row r="872">
          <cell r="C872">
            <v>1012531</v>
          </cell>
          <cell r="D872">
            <v>0</v>
          </cell>
        </row>
        <row r="873">
          <cell r="C873">
            <v>1012453</v>
          </cell>
          <cell r="D873">
            <v>0</v>
          </cell>
        </row>
        <row r="874">
          <cell r="C874">
            <v>1012548</v>
          </cell>
          <cell r="D874">
            <v>0</v>
          </cell>
        </row>
        <row r="875">
          <cell r="C875">
            <v>1012519</v>
          </cell>
          <cell r="D875">
            <v>5590</v>
          </cell>
        </row>
        <row r="876">
          <cell r="C876">
            <v>1012520</v>
          </cell>
          <cell r="D876">
            <v>31480.3</v>
          </cell>
        </row>
        <row r="877">
          <cell r="C877">
            <v>1012521</v>
          </cell>
          <cell r="D877">
            <v>46870</v>
          </cell>
        </row>
        <row r="878">
          <cell r="C878">
            <v>1012522</v>
          </cell>
          <cell r="D878">
            <v>13975</v>
          </cell>
        </row>
        <row r="879">
          <cell r="C879">
            <v>1012523</v>
          </cell>
          <cell r="D879">
            <v>12900</v>
          </cell>
        </row>
        <row r="880">
          <cell r="C880">
            <v>1012524</v>
          </cell>
          <cell r="D880">
            <v>2150</v>
          </cell>
        </row>
        <row r="881">
          <cell r="C881">
            <v>1012556</v>
          </cell>
          <cell r="D881">
            <v>0</v>
          </cell>
        </row>
        <row r="882">
          <cell r="C882">
            <v>1012552</v>
          </cell>
          <cell r="D882">
            <v>17500</v>
          </cell>
        </row>
        <row r="883">
          <cell r="C883">
            <v>1011897</v>
          </cell>
          <cell r="D883">
            <v>1500</v>
          </cell>
        </row>
        <row r="884">
          <cell r="C884">
            <v>1012501</v>
          </cell>
          <cell r="D884">
            <v>0</v>
          </cell>
        </row>
        <row r="885">
          <cell r="C885">
            <v>1012515</v>
          </cell>
          <cell r="D885">
            <v>0</v>
          </cell>
        </row>
        <row r="886">
          <cell r="C886">
            <v>1012330</v>
          </cell>
          <cell r="D886">
            <v>2000</v>
          </cell>
        </row>
        <row r="887">
          <cell r="C887">
            <v>1012568</v>
          </cell>
          <cell r="D887">
            <v>0</v>
          </cell>
        </row>
        <row r="888">
          <cell r="C888">
            <v>1012575</v>
          </cell>
          <cell r="D888">
            <v>0</v>
          </cell>
        </row>
        <row r="889">
          <cell r="C889">
            <v>1012558</v>
          </cell>
          <cell r="D889">
            <v>3000</v>
          </cell>
        </row>
        <row r="890">
          <cell r="C890">
            <v>1012559</v>
          </cell>
          <cell r="D890">
            <v>3000</v>
          </cell>
        </row>
        <row r="891">
          <cell r="C891">
            <v>1012571</v>
          </cell>
          <cell r="D891">
            <v>11000</v>
          </cell>
        </row>
        <row r="892">
          <cell r="C892">
            <v>1012584</v>
          </cell>
          <cell r="D892">
            <v>0</v>
          </cell>
        </row>
        <row r="893">
          <cell r="C893">
            <v>1012586</v>
          </cell>
          <cell r="D893">
            <v>0</v>
          </cell>
        </row>
        <row r="894">
          <cell r="C894">
            <v>1012577</v>
          </cell>
          <cell r="D894">
            <v>0</v>
          </cell>
        </row>
        <row r="895">
          <cell r="C895">
            <v>1012592</v>
          </cell>
          <cell r="D895">
            <v>0</v>
          </cell>
        </row>
        <row r="896">
          <cell r="C896">
            <v>1012561</v>
          </cell>
          <cell r="D896">
            <v>0</v>
          </cell>
        </row>
        <row r="897">
          <cell r="C897">
            <v>1012570</v>
          </cell>
          <cell r="D897">
            <v>0</v>
          </cell>
        </row>
        <row r="898">
          <cell r="C898">
            <v>1012598</v>
          </cell>
          <cell r="D898">
            <v>0</v>
          </cell>
        </row>
        <row r="899">
          <cell r="C899">
            <v>1012399</v>
          </cell>
          <cell r="D899">
            <v>0</v>
          </cell>
        </row>
        <row r="900">
          <cell r="C900">
            <v>1012400</v>
          </cell>
          <cell r="D900">
            <v>0</v>
          </cell>
        </row>
        <row r="901">
          <cell r="C901">
            <v>1012401</v>
          </cell>
          <cell r="D901">
            <v>0</v>
          </cell>
        </row>
        <row r="902">
          <cell r="C902">
            <v>1012595</v>
          </cell>
          <cell r="D902">
            <v>0</v>
          </cell>
        </row>
        <row r="903">
          <cell r="C903">
            <v>1012600</v>
          </cell>
          <cell r="D903">
            <v>0</v>
          </cell>
        </row>
        <row r="904">
          <cell r="C904">
            <v>1012602</v>
          </cell>
          <cell r="D904">
            <v>0</v>
          </cell>
        </row>
        <row r="905">
          <cell r="C905">
            <v>1012601</v>
          </cell>
          <cell r="D905">
            <v>25493.628531486254</v>
          </cell>
        </row>
        <row r="906">
          <cell r="C906">
            <v>1012612</v>
          </cell>
          <cell r="D906">
            <v>299000</v>
          </cell>
        </row>
        <row r="907">
          <cell r="C907">
            <v>1012633</v>
          </cell>
          <cell r="D907">
            <v>0</v>
          </cell>
        </row>
        <row r="908">
          <cell r="C908">
            <v>1012532</v>
          </cell>
          <cell r="D908">
            <v>1575</v>
          </cell>
        </row>
        <row r="909">
          <cell r="C909">
            <v>1011948</v>
          </cell>
          <cell r="D909">
            <v>0</v>
          </cell>
        </row>
        <row r="910">
          <cell r="C910">
            <v>1012654</v>
          </cell>
          <cell r="D910">
            <v>27000</v>
          </cell>
        </row>
        <row r="911">
          <cell r="C911">
            <v>1012663</v>
          </cell>
          <cell r="D911">
            <v>0</v>
          </cell>
        </row>
        <row r="912">
          <cell r="C912">
            <v>1012657</v>
          </cell>
          <cell r="D912">
            <v>0</v>
          </cell>
        </row>
        <row r="913">
          <cell r="C913">
            <v>1012681</v>
          </cell>
          <cell r="D913">
            <v>9000</v>
          </cell>
        </row>
        <row r="914">
          <cell r="C914">
            <v>1012682</v>
          </cell>
          <cell r="D914">
            <v>0</v>
          </cell>
        </row>
        <row r="915">
          <cell r="C915">
            <v>1012674</v>
          </cell>
          <cell r="D915">
            <v>12495.395126753509</v>
          </cell>
        </row>
        <row r="916">
          <cell r="C916">
            <v>1012692</v>
          </cell>
          <cell r="D916">
            <v>0</v>
          </cell>
        </row>
        <row r="917">
          <cell r="C917">
            <v>1012693</v>
          </cell>
          <cell r="D917">
            <v>10000</v>
          </cell>
        </row>
        <row r="918">
          <cell r="C918">
            <v>1012655</v>
          </cell>
          <cell r="D918">
            <v>0</v>
          </cell>
        </row>
        <row r="919">
          <cell r="C919">
            <v>1012695</v>
          </cell>
          <cell r="D919">
            <v>10000</v>
          </cell>
        </row>
        <row r="920">
          <cell r="C920">
            <v>1012719</v>
          </cell>
          <cell r="D920">
            <v>100350</v>
          </cell>
        </row>
        <row r="921">
          <cell r="C921">
            <v>1012694</v>
          </cell>
          <cell r="D921">
            <v>16000</v>
          </cell>
        </row>
        <row r="922">
          <cell r="C922">
            <v>1012724</v>
          </cell>
          <cell r="D922">
            <v>5346.2575559986362</v>
          </cell>
        </row>
        <row r="923">
          <cell r="C923">
            <v>1012730</v>
          </cell>
          <cell r="D923">
            <v>0</v>
          </cell>
        </row>
        <row r="924">
          <cell r="C924">
            <v>1012744</v>
          </cell>
          <cell r="D924">
            <v>0</v>
          </cell>
        </row>
        <row r="925">
          <cell r="C925">
            <v>1012745</v>
          </cell>
          <cell r="D925">
            <v>2650</v>
          </cell>
        </row>
        <row r="926">
          <cell r="C926">
            <v>1012763</v>
          </cell>
          <cell r="D926">
            <v>0</v>
          </cell>
        </row>
        <row r="927">
          <cell r="C927">
            <v>1012725</v>
          </cell>
          <cell r="D927">
            <v>6000</v>
          </cell>
        </row>
        <row r="928">
          <cell r="C928">
            <v>1012764</v>
          </cell>
          <cell r="D928">
            <v>59450</v>
          </cell>
        </row>
        <row r="929">
          <cell r="C929">
            <v>1012788</v>
          </cell>
          <cell r="D929">
            <v>0</v>
          </cell>
        </row>
        <row r="930">
          <cell r="C930">
            <v>1012773</v>
          </cell>
          <cell r="D930">
            <v>15000</v>
          </cell>
        </row>
      </sheetData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2"/>
      <sheetName val="A descontar exportación"/>
      <sheetName val="Pedidos"/>
    </sheetNames>
    <sheetDataSet>
      <sheetData sheetId="0">
        <row r="10">
          <cell r="B10" t="str">
            <v>Pedidos ya cponsiderados</v>
          </cell>
          <cell r="C10">
            <v>0</v>
          </cell>
        </row>
        <row r="11">
          <cell r="B11" t="str">
            <v>Tipo Venta</v>
          </cell>
          <cell r="C11" t="str">
            <v>EX</v>
          </cell>
        </row>
        <row r="13">
          <cell r="B13" t="str">
            <v>Oficina</v>
          </cell>
          <cell r="C13" t="str">
            <v>Codigo Material</v>
          </cell>
          <cell r="D13" t="str">
            <v>Suma de Cantidad Pedida</v>
          </cell>
        </row>
        <row r="14">
          <cell r="A14" t="str">
            <v>AGRO MEXICO1012764</v>
          </cell>
          <cell r="B14" t="str">
            <v>AGRO MEXICO</v>
          </cell>
          <cell r="C14">
            <v>1012764</v>
          </cell>
          <cell r="D14">
            <v>312000</v>
          </cell>
        </row>
        <row r="15">
          <cell r="A15" t="str">
            <v>AGRO SUDAMERICA1010877</v>
          </cell>
          <cell r="B15" t="str">
            <v>AGRO SUDAMERICA</v>
          </cell>
          <cell r="C15">
            <v>1010877</v>
          </cell>
          <cell r="D15">
            <v>60000</v>
          </cell>
        </row>
        <row r="16">
          <cell r="A16" t="str">
            <v>AGRO SUDAMERICA1011042</v>
          </cell>
          <cell r="B16" t="str">
            <v>AGRO SUDAMERICA</v>
          </cell>
          <cell r="C16">
            <v>1011042</v>
          </cell>
          <cell r="D16">
            <v>60000</v>
          </cell>
        </row>
        <row r="17">
          <cell r="A17" t="str">
            <v>AGRO SUDAMERICA1011290</v>
          </cell>
          <cell r="B17" t="str">
            <v>AGRO SUDAMERICA</v>
          </cell>
          <cell r="C17">
            <v>1011290</v>
          </cell>
          <cell r="D17">
            <v>48000</v>
          </cell>
        </row>
        <row r="18">
          <cell r="A18" t="str">
            <v>AGRO SUDAMERICA1011421</v>
          </cell>
          <cell r="B18" t="str">
            <v>AGRO SUDAMERICA</v>
          </cell>
          <cell r="C18">
            <v>1011421</v>
          </cell>
          <cell r="D18">
            <v>696000</v>
          </cell>
        </row>
        <row r="19">
          <cell r="A19" t="str">
            <v>AGRO SUDAMERICA1011558</v>
          </cell>
          <cell r="B19" t="str">
            <v>AGRO SUDAMERICA</v>
          </cell>
          <cell r="C19">
            <v>1011558</v>
          </cell>
          <cell r="D19">
            <v>120000</v>
          </cell>
        </row>
        <row r="20">
          <cell r="A20" t="str">
            <v>AGRO SUDAMERICA1012207</v>
          </cell>
          <cell r="B20" t="str">
            <v>AGRO SUDAMERICA</v>
          </cell>
          <cell r="C20">
            <v>1012207</v>
          </cell>
          <cell r="D20">
            <v>48000</v>
          </cell>
        </row>
        <row r="21">
          <cell r="A21" t="str">
            <v>AGRO SUDAMERICA1012208</v>
          </cell>
          <cell r="B21" t="str">
            <v>AGRO SUDAMERICA</v>
          </cell>
          <cell r="C21">
            <v>1012208</v>
          </cell>
          <cell r="D21">
            <v>48000</v>
          </cell>
        </row>
        <row r="22">
          <cell r="A22" t="str">
            <v>AGRO SUDAMERICA1012283</v>
          </cell>
          <cell r="B22" t="str">
            <v>AGRO SUDAMERICA</v>
          </cell>
          <cell r="C22">
            <v>1012283</v>
          </cell>
          <cell r="D22">
            <v>72000</v>
          </cell>
        </row>
        <row r="23">
          <cell r="A23" t="str">
            <v>AGRO SUDAMERICA1012552</v>
          </cell>
          <cell r="B23" t="str">
            <v>AGRO SUDAMERICA</v>
          </cell>
          <cell r="C23">
            <v>1012552</v>
          </cell>
          <cell r="D23">
            <v>23000</v>
          </cell>
        </row>
        <row r="24">
          <cell r="A24" t="str">
            <v>AGRO SUDAMERICA1012719</v>
          </cell>
          <cell r="B24" t="str">
            <v>AGRO SUDAMERICA</v>
          </cell>
          <cell r="C24">
            <v>1012719</v>
          </cell>
          <cell r="D24">
            <v>360000</v>
          </cell>
        </row>
        <row r="25">
          <cell r="A25" t="str">
            <v>AGRO SUDAMERICA1020017</v>
          </cell>
          <cell r="B25" t="str">
            <v>AGRO SUDAMERICA</v>
          </cell>
          <cell r="C25">
            <v>1020017</v>
          </cell>
          <cell r="D25">
            <v>17000</v>
          </cell>
        </row>
        <row r="26">
          <cell r="A26" t="str">
            <v>AGRO SUDAMERICA1020339</v>
          </cell>
          <cell r="B26" t="str">
            <v>AGRO SUDAMERICA</v>
          </cell>
          <cell r="C26">
            <v>1020339</v>
          </cell>
          <cell r="D26">
            <v>257500</v>
          </cell>
        </row>
        <row r="27">
          <cell r="A27" t="str">
            <v>AGRO SUDAMERICA1020349</v>
          </cell>
          <cell r="B27" t="str">
            <v>AGRO SUDAMERICA</v>
          </cell>
          <cell r="C27">
            <v>1020349</v>
          </cell>
          <cell r="D27">
            <v>120000</v>
          </cell>
        </row>
        <row r="28">
          <cell r="A28" t="str">
            <v>AGRO SUDAMERICA1020352</v>
          </cell>
          <cell r="B28" t="str">
            <v>AGRO SUDAMERICA</v>
          </cell>
          <cell r="C28">
            <v>1020352</v>
          </cell>
          <cell r="D28">
            <v>104000</v>
          </cell>
        </row>
        <row r="29">
          <cell r="A29" t="str">
            <v>AGRO SUDAMERICA1020367</v>
          </cell>
          <cell r="B29" t="str">
            <v>AGRO SUDAMERICA</v>
          </cell>
          <cell r="C29">
            <v>1020367</v>
          </cell>
          <cell r="D29">
            <v>102000</v>
          </cell>
        </row>
        <row r="30">
          <cell r="A30" t="str">
            <v>AGRO SUDAMERICA1020412</v>
          </cell>
          <cell r="B30" t="str">
            <v>AGRO SUDAMERICA</v>
          </cell>
          <cell r="C30">
            <v>1020412</v>
          </cell>
          <cell r="D30">
            <v>81000</v>
          </cell>
        </row>
        <row r="31">
          <cell r="A31" t="str">
            <v>AGRO SUDAMERICA1020848</v>
          </cell>
          <cell r="B31" t="str">
            <v>AGRO SUDAMERICA</v>
          </cell>
          <cell r="C31">
            <v>1020848</v>
          </cell>
          <cell r="D31">
            <v>72000</v>
          </cell>
        </row>
        <row r="32">
          <cell r="A32" t="str">
            <v>AGRO SUDAMERICA1020869</v>
          </cell>
          <cell r="B32" t="str">
            <v>AGRO SUDAMERICA</v>
          </cell>
          <cell r="C32">
            <v>1020869</v>
          </cell>
          <cell r="D32">
            <v>9000</v>
          </cell>
        </row>
        <row r="33">
          <cell r="A33" t="str">
            <v>AGRO SUDAMERICA1020915</v>
          </cell>
          <cell r="B33" t="str">
            <v>AGRO SUDAMERICA</v>
          </cell>
          <cell r="C33">
            <v>1020915</v>
          </cell>
          <cell r="D33">
            <v>4000</v>
          </cell>
        </row>
        <row r="34">
          <cell r="A34" t="str">
            <v>AGRO SUDAMERICA1020925</v>
          </cell>
          <cell r="B34" t="str">
            <v>AGRO SUDAMERICA</v>
          </cell>
          <cell r="C34">
            <v>1020925</v>
          </cell>
          <cell r="D34">
            <v>72000</v>
          </cell>
        </row>
        <row r="35">
          <cell r="A35" t="str">
            <v>AGRO SUDAMERICA1020944</v>
          </cell>
          <cell r="B35" t="str">
            <v>AGRO SUDAMERICA</v>
          </cell>
          <cell r="C35">
            <v>1020944</v>
          </cell>
          <cell r="D35">
            <v>288000</v>
          </cell>
        </row>
        <row r="36">
          <cell r="A36" t="str">
            <v>AGRO SUDAMERICA1020993</v>
          </cell>
          <cell r="B36" t="str">
            <v>AGRO SUDAMERICA</v>
          </cell>
          <cell r="C36">
            <v>1020993</v>
          </cell>
          <cell r="D36">
            <v>1000</v>
          </cell>
        </row>
        <row r="37">
          <cell r="A37" t="str">
            <v>AGRO SUDAMERICA1021005</v>
          </cell>
          <cell r="B37" t="str">
            <v>AGRO SUDAMERICA</v>
          </cell>
          <cell r="C37">
            <v>1021005</v>
          </cell>
          <cell r="D37">
            <v>10000</v>
          </cell>
        </row>
        <row r="38">
          <cell r="A38" t="str">
            <v>AGRO SUDAMERICA1021023</v>
          </cell>
          <cell r="B38" t="str">
            <v>AGRO SUDAMERICA</v>
          </cell>
          <cell r="C38">
            <v>1021023</v>
          </cell>
          <cell r="D38">
            <v>96000</v>
          </cell>
        </row>
        <row r="39">
          <cell r="A39" t="str">
            <v>AGRO SUDAMERICA1021039</v>
          </cell>
          <cell r="B39" t="str">
            <v>AGRO SUDAMERICA</v>
          </cell>
          <cell r="C39">
            <v>1021039</v>
          </cell>
          <cell r="D39">
            <v>168000</v>
          </cell>
        </row>
        <row r="40">
          <cell r="A40" t="str">
            <v>AGRO SUDAMERICA1021077</v>
          </cell>
          <cell r="B40" t="str">
            <v>AGRO SUDAMERICA</v>
          </cell>
          <cell r="C40">
            <v>1021077</v>
          </cell>
          <cell r="D40">
            <v>72000</v>
          </cell>
        </row>
        <row r="41">
          <cell r="A41" t="str">
            <v>AGRO SUDAMERICA1021078</v>
          </cell>
          <cell r="B41" t="str">
            <v>AGRO SUDAMERICA</v>
          </cell>
          <cell r="C41">
            <v>1021078</v>
          </cell>
          <cell r="D41">
            <v>48000</v>
          </cell>
        </row>
        <row r="42">
          <cell r="A42" t="str">
            <v>AGRO SUDAMERICA1021082</v>
          </cell>
          <cell r="B42" t="str">
            <v>AGRO SUDAMERICA</v>
          </cell>
          <cell r="C42">
            <v>1021082</v>
          </cell>
          <cell r="D42">
            <v>73500</v>
          </cell>
        </row>
        <row r="43">
          <cell r="A43" t="str">
            <v>AGRO SUDAMERICA1021085</v>
          </cell>
          <cell r="B43" t="str">
            <v>AGRO SUDAMERICA</v>
          </cell>
          <cell r="C43">
            <v>1021085</v>
          </cell>
          <cell r="D43">
            <v>24000</v>
          </cell>
        </row>
        <row r="44">
          <cell r="A44" t="str">
            <v>AGRO SUDAMERICA1021092</v>
          </cell>
          <cell r="B44" t="str">
            <v>AGRO SUDAMERICA</v>
          </cell>
          <cell r="C44">
            <v>1021092</v>
          </cell>
          <cell r="D44">
            <v>74000</v>
          </cell>
        </row>
        <row r="45">
          <cell r="A45" t="str">
            <v>AGRO SUDAMERICA1021101</v>
          </cell>
          <cell r="B45" t="str">
            <v>AGRO SUDAMERICA</v>
          </cell>
          <cell r="C45">
            <v>1021101</v>
          </cell>
          <cell r="D45">
            <v>29000</v>
          </cell>
        </row>
        <row r="46">
          <cell r="A46" t="str">
            <v>AGRO SUDAMERICA1021156</v>
          </cell>
          <cell r="B46" t="str">
            <v>AGRO SUDAMERICA</v>
          </cell>
          <cell r="C46">
            <v>1021156</v>
          </cell>
          <cell r="D46">
            <v>29000</v>
          </cell>
        </row>
        <row r="47">
          <cell r="A47" t="str">
            <v>AGRO SUDAMERICA1021187</v>
          </cell>
          <cell r="B47" t="str">
            <v>AGRO SUDAMERICA</v>
          </cell>
          <cell r="C47">
            <v>1021187</v>
          </cell>
          <cell r="D47">
            <v>61000</v>
          </cell>
        </row>
        <row r="48">
          <cell r="A48" t="str">
            <v>AGRO SUDAMERICA1021263</v>
          </cell>
          <cell r="B48" t="str">
            <v>AGRO SUDAMERICA</v>
          </cell>
          <cell r="C48">
            <v>1021263</v>
          </cell>
          <cell r="D48">
            <v>24000</v>
          </cell>
        </row>
        <row r="49">
          <cell r="A49" t="str">
            <v>AGRO SUDAMERICA1021385</v>
          </cell>
          <cell r="B49" t="str">
            <v>AGRO SUDAMERICA</v>
          </cell>
          <cell r="C49">
            <v>1021385</v>
          </cell>
          <cell r="D49">
            <v>192000</v>
          </cell>
        </row>
        <row r="50">
          <cell r="A50" t="str">
            <v>AGRO SUDAMERICA1021550</v>
          </cell>
          <cell r="B50" t="str">
            <v>AGRO SUDAMERICA</v>
          </cell>
          <cell r="C50">
            <v>1021550</v>
          </cell>
          <cell r="D50">
            <v>49160</v>
          </cell>
        </row>
        <row r="51">
          <cell r="A51" t="str">
            <v>AGRO SUDAMERICA1021639</v>
          </cell>
          <cell r="B51" t="str">
            <v>AGRO SUDAMERICA</v>
          </cell>
          <cell r="C51">
            <v>1021639</v>
          </cell>
          <cell r="D51">
            <v>25000</v>
          </cell>
        </row>
        <row r="52">
          <cell r="A52" t="str">
            <v>AGRO SUDAMERICA1021819</v>
          </cell>
          <cell r="B52" t="str">
            <v>AGRO SUDAMERICA</v>
          </cell>
          <cell r="C52">
            <v>1021819</v>
          </cell>
          <cell r="D52">
            <v>72000</v>
          </cell>
        </row>
        <row r="53">
          <cell r="A53" t="str">
            <v>AGRO SUDAMERICA1021820</v>
          </cell>
          <cell r="B53" t="str">
            <v>AGRO SUDAMERICA</v>
          </cell>
          <cell r="C53">
            <v>1021820</v>
          </cell>
          <cell r="D53">
            <v>14000</v>
          </cell>
        </row>
        <row r="54">
          <cell r="A54" t="str">
            <v>AGRO SUDAMERICA1021868</v>
          </cell>
          <cell r="B54" t="str">
            <v>AGRO SUDAMERICA</v>
          </cell>
          <cell r="C54">
            <v>1021868</v>
          </cell>
          <cell r="D54">
            <v>96000</v>
          </cell>
        </row>
        <row r="55">
          <cell r="A55" t="str">
            <v>AGRO SUDAMERICA1021971</v>
          </cell>
          <cell r="B55" t="str">
            <v>AGRO SUDAMERICA</v>
          </cell>
          <cell r="C55">
            <v>1021971</v>
          </cell>
          <cell r="D55">
            <v>3000</v>
          </cell>
        </row>
        <row r="56">
          <cell r="A56" t="str">
            <v>AGRO SUDAMERICA1021976</v>
          </cell>
          <cell r="B56" t="str">
            <v>AGRO SUDAMERICA</v>
          </cell>
          <cell r="C56">
            <v>1021976</v>
          </cell>
          <cell r="D56">
            <v>446000</v>
          </cell>
        </row>
        <row r="57">
          <cell r="A57" t="str">
            <v>AGRO SUDAMERICA1022047</v>
          </cell>
          <cell r="B57" t="str">
            <v>AGRO SUDAMERICA</v>
          </cell>
          <cell r="C57">
            <v>1022047</v>
          </cell>
          <cell r="D57">
            <v>24000</v>
          </cell>
        </row>
        <row r="58">
          <cell r="A58" t="str">
            <v>AGRO SUDAMERICA1022149</v>
          </cell>
          <cell r="B58" t="str">
            <v>AGRO SUDAMERICA</v>
          </cell>
          <cell r="C58">
            <v>1022149</v>
          </cell>
          <cell r="D58">
            <v>24000</v>
          </cell>
        </row>
        <row r="59">
          <cell r="A59" t="str">
            <v>AGRO SUDAMERICA1022150</v>
          </cell>
          <cell r="B59" t="str">
            <v>AGRO SUDAMERICA</v>
          </cell>
          <cell r="C59">
            <v>1022150</v>
          </cell>
          <cell r="D59">
            <v>168000</v>
          </cell>
        </row>
        <row r="60">
          <cell r="A60" t="str">
            <v>AGRO SUDAMERICA1022196</v>
          </cell>
          <cell r="B60" t="str">
            <v>AGRO SUDAMERICA</v>
          </cell>
          <cell r="C60">
            <v>1022196</v>
          </cell>
          <cell r="D60">
            <v>48000</v>
          </cell>
        </row>
        <row r="61">
          <cell r="A61" t="str">
            <v>AGRO SUDAMERICA1022406</v>
          </cell>
          <cell r="B61" t="str">
            <v>AGRO SUDAMERICA</v>
          </cell>
          <cell r="C61">
            <v>1022406</v>
          </cell>
          <cell r="D61">
            <v>8000</v>
          </cell>
        </row>
        <row r="62">
          <cell r="A62" t="str">
            <v>AGRO SUDAMERICA1022569</v>
          </cell>
          <cell r="B62" t="str">
            <v>AGRO SUDAMERICA</v>
          </cell>
          <cell r="C62">
            <v>1022569</v>
          </cell>
          <cell r="D62">
            <v>5000</v>
          </cell>
        </row>
        <row r="63">
          <cell r="A63" t="str">
            <v>AGRO SUDAMERICA1022654</v>
          </cell>
          <cell r="B63" t="str">
            <v>AGRO SUDAMERICA</v>
          </cell>
          <cell r="C63">
            <v>1022654</v>
          </cell>
          <cell r="D63">
            <v>46840</v>
          </cell>
        </row>
        <row r="64">
          <cell r="A64" t="str">
            <v>AGRO SUDAMERICA1022709</v>
          </cell>
          <cell r="B64" t="str">
            <v>AGRO SUDAMERICA</v>
          </cell>
          <cell r="C64">
            <v>1022709</v>
          </cell>
          <cell r="D64">
            <v>251000</v>
          </cell>
        </row>
        <row r="65">
          <cell r="A65" t="str">
            <v>AGRO SUDAMERICA1022781</v>
          </cell>
          <cell r="B65" t="str">
            <v>AGRO SUDAMERICA</v>
          </cell>
          <cell r="C65">
            <v>1022781</v>
          </cell>
          <cell r="D65">
            <v>15300</v>
          </cell>
        </row>
        <row r="66">
          <cell r="A66" t="str">
            <v>AGRO SUDAMERICA1022782</v>
          </cell>
          <cell r="B66" t="str">
            <v>AGRO SUDAMERICA</v>
          </cell>
          <cell r="C66">
            <v>1022782</v>
          </cell>
          <cell r="D66">
            <v>15120</v>
          </cell>
        </row>
        <row r="67">
          <cell r="A67" t="str">
            <v>AGRO SUDAMERICA1022783</v>
          </cell>
          <cell r="B67" t="str">
            <v>AGRO SUDAMERICA</v>
          </cell>
          <cell r="C67">
            <v>1022783</v>
          </cell>
          <cell r="D67">
            <v>18000</v>
          </cell>
        </row>
        <row r="68">
          <cell r="A68" t="str">
            <v>AGRO SUDAMERICA1022784</v>
          </cell>
          <cell r="B68" t="str">
            <v>AGRO SUDAMERICA</v>
          </cell>
          <cell r="C68">
            <v>1022784</v>
          </cell>
          <cell r="D68">
            <v>900</v>
          </cell>
        </row>
        <row r="69">
          <cell r="A69" t="str">
            <v>AGRO SUDAMERICA1022786</v>
          </cell>
          <cell r="B69" t="str">
            <v>AGRO SUDAMERICA</v>
          </cell>
          <cell r="C69">
            <v>1022786</v>
          </cell>
          <cell r="D69">
            <v>300</v>
          </cell>
        </row>
        <row r="70">
          <cell r="A70" t="str">
            <v>AGRO SUDAMERICA1022847</v>
          </cell>
          <cell r="B70" t="str">
            <v>AGRO SUDAMERICA</v>
          </cell>
          <cell r="C70">
            <v>1022847</v>
          </cell>
          <cell r="D70">
            <v>48000</v>
          </cell>
        </row>
        <row r="71">
          <cell r="A71" t="str">
            <v>AGRO SUDAMERICA1022855</v>
          </cell>
          <cell r="B71" t="str">
            <v>AGRO SUDAMERICA</v>
          </cell>
          <cell r="C71">
            <v>1022855</v>
          </cell>
          <cell r="D71">
            <v>24000</v>
          </cell>
        </row>
        <row r="72">
          <cell r="A72" t="str">
            <v>AGRO SUDAMERICA1022920</v>
          </cell>
          <cell r="B72" t="str">
            <v>AGRO SUDAMERICA</v>
          </cell>
          <cell r="C72">
            <v>1022920</v>
          </cell>
          <cell r="D72">
            <v>24000</v>
          </cell>
        </row>
        <row r="73">
          <cell r="A73" t="str">
            <v>AGRO SUDAMERICA1022921</v>
          </cell>
          <cell r="B73" t="str">
            <v>AGRO SUDAMERICA</v>
          </cell>
          <cell r="C73">
            <v>1022921</v>
          </cell>
          <cell r="D73">
            <v>23000</v>
          </cell>
        </row>
        <row r="74">
          <cell r="A74" t="str">
            <v>AGRO SUDAMERICA1023295</v>
          </cell>
          <cell r="B74" t="str">
            <v>AGRO SUDAMERICA</v>
          </cell>
          <cell r="C74">
            <v>1023295</v>
          </cell>
          <cell r="D74">
            <v>2700</v>
          </cell>
        </row>
        <row r="75">
          <cell r="A75" t="str">
            <v>AGRO SUDAMERICA1023329</v>
          </cell>
          <cell r="B75" t="str">
            <v>AGRO SUDAMERICA</v>
          </cell>
          <cell r="C75">
            <v>1023329</v>
          </cell>
          <cell r="D75">
            <v>24000</v>
          </cell>
        </row>
        <row r="76">
          <cell r="A76" t="str">
            <v>AGRO SUDAMERICA1023331</v>
          </cell>
          <cell r="B76" t="str">
            <v>AGRO SUDAMERICA</v>
          </cell>
          <cell r="C76">
            <v>1023331</v>
          </cell>
          <cell r="D76">
            <v>6000</v>
          </cell>
        </row>
        <row r="77">
          <cell r="A77" t="str">
            <v>AGRO SUDAMERICA1023355</v>
          </cell>
          <cell r="B77" t="str">
            <v>AGRO SUDAMERICA</v>
          </cell>
          <cell r="C77">
            <v>1023355</v>
          </cell>
          <cell r="D77">
            <v>24000</v>
          </cell>
        </row>
        <row r="78">
          <cell r="A78" t="str">
            <v>AGRO SUDAMERICA1030224</v>
          </cell>
          <cell r="B78" t="str">
            <v>AGRO SUDAMERICA</v>
          </cell>
          <cell r="C78">
            <v>1030224</v>
          </cell>
          <cell r="D78">
            <v>96000</v>
          </cell>
        </row>
        <row r="79">
          <cell r="A79" t="str">
            <v>AGRO SUDAMERICA1030498</v>
          </cell>
          <cell r="B79" t="str">
            <v>AGRO SUDAMERICA</v>
          </cell>
          <cell r="C79">
            <v>1030498</v>
          </cell>
          <cell r="D79">
            <v>24000</v>
          </cell>
        </row>
        <row r="80">
          <cell r="A80" t="str">
            <v>AGRO SUDAMERICA1030670</v>
          </cell>
          <cell r="B80" t="str">
            <v>AGRO SUDAMERICA</v>
          </cell>
          <cell r="C80">
            <v>1030670</v>
          </cell>
          <cell r="D80">
            <v>48000</v>
          </cell>
        </row>
        <row r="81">
          <cell r="A81" t="str">
            <v>AGRO SUDAMERICA1030720</v>
          </cell>
          <cell r="B81" t="str">
            <v>AGRO SUDAMERICA</v>
          </cell>
          <cell r="C81">
            <v>1030720</v>
          </cell>
          <cell r="D81">
            <v>48000</v>
          </cell>
        </row>
        <row r="82">
          <cell r="A82" t="str">
            <v>AGRO SUDAMERICA1100407</v>
          </cell>
          <cell r="B82" t="str">
            <v>AGRO SUDAMERICA</v>
          </cell>
          <cell r="C82">
            <v>1100407</v>
          </cell>
          <cell r="D82">
            <v>60000</v>
          </cell>
        </row>
        <row r="83">
          <cell r="A83" t="str">
            <v>AGRO SUDAMERICA1100408</v>
          </cell>
          <cell r="B83" t="str">
            <v>AGRO SUDAMERICA</v>
          </cell>
          <cell r="C83">
            <v>1100408</v>
          </cell>
          <cell r="D83">
            <v>30000</v>
          </cell>
        </row>
        <row r="84">
          <cell r="A84" t="str">
            <v>AGROSUPER ASIA1012012</v>
          </cell>
          <cell r="B84" t="str">
            <v>AGROSUPER ASIA</v>
          </cell>
          <cell r="C84">
            <v>1012012</v>
          </cell>
          <cell r="D84">
            <v>19958.047999999999</v>
          </cell>
        </row>
        <row r="85">
          <cell r="A85" t="str">
            <v>AGROSUPER ASIA1012612</v>
          </cell>
          <cell r="B85" t="str">
            <v>AGROSUPER ASIA</v>
          </cell>
          <cell r="C85">
            <v>1012612</v>
          </cell>
          <cell r="D85">
            <v>850000</v>
          </cell>
        </row>
        <row r="86">
          <cell r="A86" t="str">
            <v>AGROSUPER ASIA1020860</v>
          </cell>
          <cell r="B86" t="str">
            <v>AGROSUPER ASIA</v>
          </cell>
          <cell r="C86">
            <v>1020860</v>
          </cell>
          <cell r="D86">
            <v>165000</v>
          </cell>
        </row>
        <row r="87">
          <cell r="A87" t="str">
            <v>AGROSUPER ASIA1020861</v>
          </cell>
          <cell r="B87" t="str">
            <v>AGROSUPER ASIA</v>
          </cell>
          <cell r="C87">
            <v>1020861</v>
          </cell>
          <cell r="D87">
            <v>110000</v>
          </cell>
        </row>
        <row r="88">
          <cell r="A88" t="str">
            <v>AGROSUPER ASIA1020904</v>
          </cell>
          <cell r="B88" t="str">
            <v>AGROSUPER ASIA</v>
          </cell>
          <cell r="C88">
            <v>1020904</v>
          </cell>
          <cell r="D88">
            <v>110000</v>
          </cell>
        </row>
        <row r="89">
          <cell r="A89" t="str">
            <v>AGROSUPER ASIA1020905</v>
          </cell>
          <cell r="B89" t="str">
            <v>AGROSUPER ASIA</v>
          </cell>
          <cell r="C89">
            <v>1020905</v>
          </cell>
          <cell r="D89">
            <v>110000</v>
          </cell>
        </row>
        <row r="90">
          <cell r="A90" t="str">
            <v>AGROSUPER ASIA1021012</v>
          </cell>
          <cell r="B90" t="str">
            <v>AGROSUPER ASIA</v>
          </cell>
          <cell r="C90">
            <v>1021012</v>
          </cell>
          <cell r="D90">
            <v>88000</v>
          </cell>
        </row>
        <row r="91">
          <cell r="A91" t="str">
            <v>AGROSUPER ASIA1021046</v>
          </cell>
          <cell r="B91" t="str">
            <v>AGROSUPER ASIA</v>
          </cell>
          <cell r="C91">
            <v>1021046</v>
          </cell>
          <cell r="D91">
            <v>22000</v>
          </cell>
        </row>
        <row r="92">
          <cell r="A92" t="str">
            <v>AGROSUPER ASIA1021149</v>
          </cell>
          <cell r="B92" t="str">
            <v>AGROSUPER ASIA</v>
          </cell>
          <cell r="C92">
            <v>1021149</v>
          </cell>
          <cell r="D92">
            <v>66000</v>
          </cell>
        </row>
        <row r="93">
          <cell r="A93" t="str">
            <v>AGROSUPER ASIA1021150</v>
          </cell>
          <cell r="B93" t="str">
            <v>AGROSUPER ASIA</v>
          </cell>
          <cell r="C93">
            <v>1021150</v>
          </cell>
          <cell r="D93">
            <v>22000</v>
          </cell>
        </row>
        <row r="94">
          <cell r="A94" t="str">
            <v>AGROSUPER ASIA1021156</v>
          </cell>
          <cell r="B94" t="str">
            <v>AGROSUPER ASIA</v>
          </cell>
          <cell r="C94">
            <v>1021156</v>
          </cell>
          <cell r="D94">
            <v>24000</v>
          </cell>
        </row>
        <row r="95">
          <cell r="A95" t="str">
            <v>AGROSUPER ASIA1021470</v>
          </cell>
          <cell r="B95" t="str">
            <v>AGROSUPER ASIA</v>
          </cell>
          <cell r="C95">
            <v>1021470</v>
          </cell>
          <cell r="D95">
            <v>22000</v>
          </cell>
        </row>
        <row r="96">
          <cell r="A96" t="str">
            <v>AGROSUPER ASIA1021655</v>
          </cell>
          <cell r="B96" t="str">
            <v>AGROSUPER ASIA</v>
          </cell>
          <cell r="C96">
            <v>1021655</v>
          </cell>
          <cell r="D96">
            <v>48000</v>
          </cell>
        </row>
        <row r="97">
          <cell r="A97" t="str">
            <v>AGROSUPER ASIA1021664</v>
          </cell>
          <cell r="B97" t="str">
            <v>AGROSUPER ASIA</v>
          </cell>
          <cell r="C97">
            <v>1021664</v>
          </cell>
          <cell r="D97">
            <v>39000</v>
          </cell>
        </row>
        <row r="98">
          <cell r="A98" t="str">
            <v>AGROSUPER ASIA1021665</v>
          </cell>
          <cell r="B98" t="str">
            <v>AGROSUPER ASIA</v>
          </cell>
          <cell r="C98">
            <v>1021665</v>
          </cell>
          <cell r="D98">
            <v>22000</v>
          </cell>
        </row>
        <row r="99">
          <cell r="A99" t="str">
            <v>AGROSUPER ASIA1022283</v>
          </cell>
          <cell r="B99" t="str">
            <v>AGROSUPER ASIA</v>
          </cell>
          <cell r="C99">
            <v>1022283</v>
          </cell>
          <cell r="D99">
            <v>10000</v>
          </cell>
        </row>
        <row r="100">
          <cell r="A100" t="str">
            <v>AGROSUPER ASIA1022607</v>
          </cell>
          <cell r="B100" t="str">
            <v>AGROSUPER ASIA</v>
          </cell>
          <cell r="C100">
            <v>1022607</v>
          </cell>
          <cell r="D100">
            <v>22000</v>
          </cell>
        </row>
        <row r="101">
          <cell r="A101" t="str">
            <v>AGROSUPER ASIA1022885</v>
          </cell>
          <cell r="B101" t="str">
            <v>AGROSUPER ASIA</v>
          </cell>
          <cell r="C101">
            <v>1022885</v>
          </cell>
          <cell r="D101">
            <v>315000</v>
          </cell>
        </row>
        <row r="102">
          <cell r="A102" t="str">
            <v>AGROSUPER ASIA1022887</v>
          </cell>
          <cell r="B102" t="str">
            <v>AGROSUPER ASIA</v>
          </cell>
          <cell r="C102">
            <v>1022887</v>
          </cell>
          <cell r="D102">
            <v>121000</v>
          </cell>
        </row>
        <row r="103">
          <cell r="A103" t="str">
            <v>AGROSUPER ASIA1022930</v>
          </cell>
          <cell r="B103" t="str">
            <v>AGROSUPER ASIA</v>
          </cell>
          <cell r="C103">
            <v>1022930</v>
          </cell>
          <cell r="D103">
            <v>22000</v>
          </cell>
        </row>
        <row r="104">
          <cell r="A104" t="str">
            <v>AGROSUPER ASIA1022985</v>
          </cell>
          <cell r="B104" t="str">
            <v>AGROSUPER ASIA</v>
          </cell>
          <cell r="C104">
            <v>1022985</v>
          </cell>
          <cell r="D104">
            <v>5000</v>
          </cell>
        </row>
        <row r="105">
          <cell r="A105" t="str">
            <v>AGROSUPER ASIA1022986</v>
          </cell>
          <cell r="B105" t="str">
            <v>AGROSUPER ASIA</v>
          </cell>
          <cell r="C105">
            <v>1022986</v>
          </cell>
          <cell r="D105">
            <v>5000</v>
          </cell>
        </row>
        <row r="106">
          <cell r="A106" t="str">
            <v>AGROSUPER ASIA1023037</v>
          </cell>
          <cell r="B106" t="str">
            <v>AGROSUPER ASIA</v>
          </cell>
          <cell r="C106">
            <v>1023037</v>
          </cell>
          <cell r="D106">
            <v>110000</v>
          </cell>
        </row>
        <row r="107">
          <cell r="A107" t="str">
            <v>AGROSUPER ASIA1023038</v>
          </cell>
          <cell r="B107" t="str">
            <v>AGROSUPER ASIA</v>
          </cell>
          <cell r="C107">
            <v>1023038</v>
          </cell>
          <cell r="D107">
            <v>22000</v>
          </cell>
        </row>
        <row r="108">
          <cell r="A108" t="str">
            <v>AGROSUPER ASIA1023090</v>
          </cell>
          <cell r="B108" t="str">
            <v>AGROSUPER ASIA</v>
          </cell>
          <cell r="C108">
            <v>1023090</v>
          </cell>
          <cell r="D108">
            <v>22000</v>
          </cell>
        </row>
        <row r="109">
          <cell r="A109" t="str">
            <v>AGROSUPER ASIA1023144</v>
          </cell>
          <cell r="B109" t="str">
            <v>AGROSUPER ASIA</v>
          </cell>
          <cell r="C109">
            <v>1023144</v>
          </cell>
          <cell r="D109">
            <v>48000</v>
          </cell>
        </row>
        <row r="110">
          <cell r="A110" t="str">
            <v>AGROSUPER ASIA1023183</v>
          </cell>
          <cell r="B110" t="str">
            <v>AGROSUPER ASIA</v>
          </cell>
          <cell r="C110">
            <v>1023183</v>
          </cell>
          <cell r="D110">
            <v>44000</v>
          </cell>
        </row>
        <row r="111">
          <cell r="A111" t="str">
            <v>AGROSUPER ASIA1023283</v>
          </cell>
          <cell r="B111" t="str">
            <v>AGROSUPER ASIA</v>
          </cell>
          <cell r="C111">
            <v>1023283</v>
          </cell>
          <cell r="D111">
            <v>96000</v>
          </cell>
        </row>
        <row r="112">
          <cell r="A112" t="str">
            <v>AGROSUPER ASIA1023307</v>
          </cell>
          <cell r="B112" t="str">
            <v>AGROSUPER ASIA</v>
          </cell>
          <cell r="C112">
            <v>1023307</v>
          </cell>
          <cell r="D112">
            <v>72000</v>
          </cell>
        </row>
        <row r="113">
          <cell r="A113" t="str">
            <v>AGROSUPER ASIA1023326</v>
          </cell>
          <cell r="B113" t="str">
            <v>AGROSUPER ASIA</v>
          </cell>
          <cell r="C113">
            <v>1023326</v>
          </cell>
          <cell r="D113">
            <v>24000</v>
          </cell>
        </row>
        <row r="114">
          <cell r="A114" t="str">
            <v>AGROSUPER ASIA1023372</v>
          </cell>
          <cell r="B114" t="str">
            <v>AGROSUPER ASIA</v>
          </cell>
          <cell r="C114">
            <v>1023372</v>
          </cell>
          <cell r="D114">
            <v>24000</v>
          </cell>
        </row>
        <row r="115">
          <cell r="A115" t="str">
            <v>AGROSUPER ASIA1023397</v>
          </cell>
          <cell r="B115" t="str">
            <v>AGROSUPER ASIA</v>
          </cell>
          <cell r="C115">
            <v>1023397</v>
          </cell>
          <cell r="D115">
            <v>48000</v>
          </cell>
        </row>
        <row r="116">
          <cell r="A116" t="str">
            <v>AGROSUPER ASIA1030576</v>
          </cell>
          <cell r="B116" t="str">
            <v>AGROSUPER ASIA</v>
          </cell>
          <cell r="C116">
            <v>1030576</v>
          </cell>
          <cell r="D116">
            <v>30</v>
          </cell>
        </row>
        <row r="117">
          <cell r="A117" t="str">
            <v>AGROSUPER BRASIL1011560</v>
          </cell>
          <cell r="B117" t="str">
            <v>AGROSUPER BRASIL</v>
          </cell>
          <cell r="C117">
            <v>1011560</v>
          </cell>
          <cell r="D117">
            <v>24000</v>
          </cell>
        </row>
        <row r="118">
          <cell r="A118" t="str">
            <v>AGROSUPER BRASIL1012362</v>
          </cell>
          <cell r="B118" t="str">
            <v>AGROSUPER BRASIL</v>
          </cell>
          <cell r="C118">
            <v>1012362</v>
          </cell>
          <cell r="D118">
            <v>71985</v>
          </cell>
        </row>
        <row r="119">
          <cell r="A119" t="str">
            <v>AGROSUPER BRASIL1012674</v>
          </cell>
          <cell r="B119" t="str">
            <v>AGROSUPER BRASIL</v>
          </cell>
          <cell r="C119">
            <v>1012674</v>
          </cell>
          <cell r="D119">
            <v>143975</v>
          </cell>
        </row>
        <row r="120">
          <cell r="A120" t="str">
            <v>AGROSUPER BRASIL1021864</v>
          </cell>
          <cell r="B120" t="str">
            <v>AGROSUPER BRASIL</v>
          </cell>
          <cell r="C120">
            <v>1021864</v>
          </cell>
          <cell r="D120">
            <v>72000</v>
          </cell>
        </row>
        <row r="121">
          <cell r="A121" t="str">
            <v>AGROSUPER BRASIL1022217</v>
          </cell>
          <cell r="B121" t="str">
            <v>AGROSUPER BRASIL</v>
          </cell>
          <cell r="C121">
            <v>1022217</v>
          </cell>
          <cell r="D121">
            <v>48000</v>
          </cell>
        </row>
        <row r="122">
          <cell r="A122" t="str">
            <v>AGROSUPER BRASIL1022218</v>
          </cell>
          <cell r="B122" t="str">
            <v>AGROSUPER BRASIL</v>
          </cell>
          <cell r="C122">
            <v>1022218</v>
          </cell>
          <cell r="D122">
            <v>168000</v>
          </cell>
        </row>
        <row r="123">
          <cell r="A123" t="str">
            <v>AGROSUPER BRASIL1022273</v>
          </cell>
          <cell r="B123" t="str">
            <v>AGROSUPER BRASIL</v>
          </cell>
          <cell r="C123">
            <v>1022273</v>
          </cell>
          <cell r="D123">
            <v>144000</v>
          </cell>
        </row>
        <row r="124">
          <cell r="A124" t="str">
            <v>AGROSUPER BRASIL1022782</v>
          </cell>
          <cell r="B124" t="str">
            <v>AGROSUPER BRASIL</v>
          </cell>
          <cell r="C124">
            <v>1022782</v>
          </cell>
          <cell r="D124">
            <v>6240</v>
          </cell>
        </row>
        <row r="125">
          <cell r="A125" t="str">
            <v>AGROSUPER BRASIL1022783</v>
          </cell>
          <cell r="B125" t="str">
            <v>AGROSUPER BRASIL</v>
          </cell>
          <cell r="C125">
            <v>1022783</v>
          </cell>
          <cell r="D125">
            <v>6480</v>
          </cell>
        </row>
        <row r="126">
          <cell r="A126" t="str">
            <v>AGROSUPER BRASIL1022784</v>
          </cell>
          <cell r="B126" t="str">
            <v>AGROSUPER BRASIL</v>
          </cell>
          <cell r="C126">
            <v>1022784</v>
          </cell>
          <cell r="D126">
            <v>5175</v>
          </cell>
        </row>
        <row r="127">
          <cell r="A127" t="str">
            <v>AGROSUPER BRASIL1023329</v>
          </cell>
          <cell r="B127" t="str">
            <v>AGROSUPER BRASIL</v>
          </cell>
          <cell r="C127">
            <v>1023329</v>
          </cell>
          <cell r="D127">
            <v>216000</v>
          </cell>
        </row>
        <row r="128">
          <cell r="A128" t="str">
            <v>AGROSUPER BRASIL1023334</v>
          </cell>
          <cell r="B128" t="str">
            <v>AGROSUPER BRASIL</v>
          </cell>
          <cell r="C128">
            <v>1023334</v>
          </cell>
          <cell r="D128">
            <v>312000</v>
          </cell>
        </row>
        <row r="129">
          <cell r="A129" t="str">
            <v>AGROSUPER BRASIL1023336</v>
          </cell>
          <cell r="B129" t="str">
            <v>AGROSUPER BRASIL</v>
          </cell>
          <cell r="C129">
            <v>1023336</v>
          </cell>
          <cell r="D129">
            <v>24000</v>
          </cell>
        </row>
        <row r="130">
          <cell r="A130" t="str">
            <v>AGROSUPER SHANGHAI1012448</v>
          </cell>
          <cell r="B130" t="str">
            <v>AGROSUPER SHANGHAI</v>
          </cell>
          <cell r="C130">
            <v>1012448</v>
          </cell>
          <cell r="D130">
            <v>24000</v>
          </cell>
        </row>
        <row r="131">
          <cell r="A131" t="str">
            <v>AGROSUPER SHANGHAI1012452</v>
          </cell>
          <cell r="B131" t="str">
            <v>AGROSUPER SHANGHAI</v>
          </cell>
          <cell r="C131">
            <v>1012452</v>
          </cell>
          <cell r="D131">
            <v>24000</v>
          </cell>
        </row>
        <row r="132">
          <cell r="A132" t="str">
            <v>AGROSUPER SHANGHAI1012455</v>
          </cell>
          <cell r="B132" t="str">
            <v>AGROSUPER SHANGHAI</v>
          </cell>
          <cell r="C132">
            <v>1012455</v>
          </cell>
          <cell r="D132">
            <v>120000</v>
          </cell>
        </row>
        <row r="133">
          <cell r="A133" t="str">
            <v>AGROSUPER SHANGHAI1012503</v>
          </cell>
          <cell r="B133" t="str">
            <v>AGROSUPER SHANGHAI</v>
          </cell>
          <cell r="C133">
            <v>1012503</v>
          </cell>
          <cell r="D133">
            <v>12000</v>
          </cell>
        </row>
        <row r="134">
          <cell r="A134" t="str">
            <v>AGROSUPER SHANGHAI1012504</v>
          </cell>
          <cell r="B134" t="str">
            <v>AGROSUPER SHANGHAI</v>
          </cell>
          <cell r="C134">
            <v>1012504</v>
          </cell>
          <cell r="D134">
            <v>24000</v>
          </cell>
        </row>
        <row r="135">
          <cell r="A135" t="str">
            <v>AGROSUPER SHANGHAI1012598</v>
          </cell>
          <cell r="B135" t="str">
            <v>AGROSUPER SHANGHAI</v>
          </cell>
          <cell r="C135">
            <v>1012598</v>
          </cell>
          <cell r="D135">
            <v>12000</v>
          </cell>
        </row>
        <row r="136">
          <cell r="A136" t="str">
            <v>AGROSUPER SHANGHAI1021731</v>
          </cell>
          <cell r="B136" t="str">
            <v>AGROSUPER SHANGHAI</v>
          </cell>
          <cell r="C136">
            <v>1021731</v>
          </cell>
          <cell r="D136">
            <v>240000</v>
          </cell>
        </row>
        <row r="137">
          <cell r="A137" t="str">
            <v>AGROSUPER SHANGHAI1021735</v>
          </cell>
          <cell r="B137" t="str">
            <v>AGROSUPER SHANGHAI</v>
          </cell>
          <cell r="C137">
            <v>1021735</v>
          </cell>
          <cell r="D137">
            <v>72000</v>
          </cell>
        </row>
        <row r="138">
          <cell r="A138" t="str">
            <v>AGROSUPER SHANGHAI1022073</v>
          </cell>
          <cell r="B138" t="str">
            <v>AGROSUPER SHANGHAI</v>
          </cell>
          <cell r="C138">
            <v>1022073</v>
          </cell>
          <cell r="D138">
            <v>24000</v>
          </cell>
        </row>
        <row r="139">
          <cell r="A139" t="str">
            <v>AGROSUPER SHANGHAI1022096</v>
          </cell>
          <cell r="B139" t="str">
            <v>AGROSUPER SHANGHAI</v>
          </cell>
          <cell r="C139">
            <v>1022096</v>
          </cell>
          <cell r="D139">
            <v>96000</v>
          </cell>
        </row>
        <row r="140">
          <cell r="A140" t="str">
            <v>AGROSUPER SHANGHAI1022125</v>
          </cell>
          <cell r="B140" t="str">
            <v>AGROSUPER SHANGHAI</v>
          </cell>
          <cell r="C140">
            <v>1022125</v>
          </cell>
          <cell r="D140">
            <v>24000</v>
          </cell>
        </row>
        <row r="141">
          <cell r="A141" t="str">
            <v>AGROSUPER SHANGHAI1022183</v>
          </cell>
          <cell r="B141" t="str">
            <v>AGROSUPER SHANGHAI</v>
          </cell>
          <cell r="C141">
            <v>1022183</v>
          </cell>
          <cell r="D141">
            <v>168000</v>
          </cell>
        </row>
        <row r="142">
          <cell r="A142" t="str">
            <v>AGROSUPER SHANGHAI1022186</v>
          </cell>
          <cell r="B142" t="str">
            <v>AGROSUPER SHANGHAI</v>
          </cell>
          <cell r="C142">
            <v>1022186</v>
          </cell>
          <cell r="D142">
            <v>24000</v>
          </cell>
        </row>
        <row r="143">
          <cell r="A143" t="str">
            <v>AGROSUPER SHANGHAI1022291</v>
          </cell>
          <cell r="B143" t="str">
            <v>AGROSUPER SHANGHAI</v>
          </cell>
          <cell r="C143">
            <v>1022291</v>
          </cell>
          <cell r="D143">
            <v>24000</v>
          </cell>
        </row>
        <row r="144">
          <cell r="A144" t="str">
            <v>AGROSUPER SHANGHAI1022373</v>
          </cell>
          <cell r="B144" t="str">
            <v>AGROSUPER SHANGHAI</v>
          </cell>
          <cell r="C144">
            <v>1022373</v>
          </cell>
          <cell r="D144">
            <v>24000</v>
          </cell>
        </row>
        <row r="145">
          <cell r="A145" t="str">
            <v>AGROSUPER SHANGHAI1022378</v>
          </cell>
          <cell r="B145" t="str">
            <v>AGROSUPER SHANGHAI</v>
          </cell>
          <cell r="C145">
            <v>1022378</v>
          </cell>
          <cell r="D145">
            <v>48000</v>
          </cell>
        </row>
        <row r="146">
          <cell r="A146" t="str">
            <v>AGROSUPER SHANGHAI1022381</v>
          </cell>
          <cell r="B146" t="str">
            <v>AGROSUPER SHANGHAI</v>
          </cell>
          <cell r="C146">
            <v>1022381</v>
          </cell>
          <cell r="D146">
            <v>72000</v>
          </cell>
        </row>
        <row r="147">
          <cell r="A147" t="str">
            <v>AGROSUPER SHANGHAI1022414</v>
          </cell>
          <cell r="B147" t="str">
            <v>AGROSUPER SHANGHAI</v>
          </cell>
          <cell r="C147">
            <v>1022414</v>
          </cell>
          <cell r="D147">
            <v>96000</v>
          </cell>
        </row>
        <row r="148">
          <cell r="A148" t="str">
            <v>AGROSUPER SHANGHAI1022541</v>
          </cell>
          <cell r="B148" t="str">
            <v>AGROSUPER SHANGHAI</v>
          </cell>
          <cell r="C148">
            <v>1022541</v>
          </cell>
          <cell r="D148">
            <v>144000</v>
          </cell>
        </row>
        <row r="149">
          <cell r="A149" t="str">
            <v>AGROSUPER SHANGHAI1022637</v>
          </cell>
          <cell r="B149" t="str">
            <v>AGROSUPER SHANGHAI</v>
          </cell>
          <cell r="C149">
            <v>1022637</v>
          </cell>
          <cell r="D149">
            <v>24000</v>
          </cell>
        </row>
        <row r="150">
          <cell r="A150" t="str">
            <v>AGROSUPER SHANGHAI1022748</v>
          </cell>
          <cell r="B150" t="str">
            <v>AGROSUPER SHANGHAI</v>
          </cell>
          <cell r="C150">
            <v>1022748</v>
          </cell>
          <cell r="D150">
            <v>24000</v>
          </cell>
        </row>
        <row r="151">
          <cell r="A151" t="str">
            <v>AGROSUPER SHANGHAI1022856</v>
          </cell>
          <cell r="B151" t="str">
            <v>AGROSUPER SHANGHAI</v>
          </cell>
          <cell r="C151">
            <v>1022856</v>
          </cell>
          <cell r="D151">
            <v>72000</v>
          </cell>
        </row>
        <row r="152">
          <cell r="A152" t="str">
            <v>AGROSUPER SHANGHAI1022945</v>
          </cell>
          <cell r="B152" t="str">
            <v>AGROSUPER SHANGHAI</v>
          </cell>
          <cell r="C152">
            <v>1022945</v>
          </cell>
          <cell r="D152">
            <v>48000</v>
          </cell>
        </row>
        <row r="153">
          <cell r="A153" t="str">
            <v>AGROSUPER SHANGHAI1023035</v>
          </cell>
          <cell r="B153" t="str">
            <v>AGROSUPER SHANGHAI</v>
          </cell>
          <cell r="C153">
            <v>1023035</v>
          </cell>
          <cell r="D153">
            <v>24000</v>
          </cell>
        </row>
        <row r="154">
          <cell r="A154" t="str">
            <v>AGROSUPER SHANGHAI1023110</v>
          </cell>
          <cell r="B154" t="str">
            <v>AGROSUPER SHANGHAI</v>
          </cell>
          <cell r="C154">
            <v>1023110</v>
          </cell>
          <cell r="D154">
            <v>48000</v>
          </cell>
        </row>
        <row r="155">
          <cell r="A155" t="str">
            <v>AGROSUPER SHANGHAI1023362</v>
          </cell>
          <cell r="B155" t="str">
            <v>AGROSUPER SHANGHAI</v>
          </cell>
          <cell r="C155">
            <v>1023362</v>
          </cell>
          <cell r="D155">
            <v>15522</v>
          </cell>
        </row>
        <row r="156">
          <cell r="A156" t="str">
            <v>AGROSUPER SHANGHAI1023363</v>
          </cell>
          <cell r="B156" t="str">
            <v>AGROSUPER SHANGHAI</v>
          </cell>
          <cell r="C156">
            <v>1023363</v>
          </cell>
          <cell r="D156">
            <v>13686</v>
          </cell>
        </row>
        <row r="157">
          <cell r="A157" t="str">
            <v>AGROSUPER SHANGHAI1023364</v>
          </cell>
          <cell r="B157" t="str">
            <v>AGROSUPER SHANGHAI</v>
          </cell>
          <cell r="C157">
            <v>1023364</v>
          </cell>
          <cell r="D157">
            <v>500</v>
          </cell>
        </row>
        <row r="158">
          <cell r="A158" t="str">
            <v>AGROSUPER SHANGHAI1023365</v>
          </cell>
          <cell r="B158" t="str">
            <v>AGROSUPER SHANGHAI</v>
          </cell>
          <cell r="C158">
            <v>1023365</v>
          </cell>
          <cell r="D158">
            <v>313</v>
          </cell>
        </row>
        <row r="159">
          <cell r="A159" t="str">
            <v>AGROSUPER SHANGHAI1023366</v>
          </cell>
          <cell r="B159" t="str">
            <v>AGROSUPER SHANGHAI</v>
          </cell>
          <cell r="C159">
            <v>1023366</v>
          </cell>
          <cell r="D159">
            <v>557</v>
          </cell>
        </row>
        <row r="160">
          <cell r="A160" t="str">
            <v>AGROSUPER SHANGHAI1023367</v>
          </cell>
          <cell r="B160" t="str">
            <v>AGROSUPER SHANGHAI</v>
          </cell>
          <cell r="C160">
            <v>1023367</v>
          </cell>
          <cell r="D160">
            <v>3177</v>
          </cell>
        </row>
        <row r="161">
          <cell r="A161" t="str">
            <v>AGROSUPER SHANGHAI1023368</v>
          </cell>
          <cell r="B161" t="str">
            <v>AGROSUPER SHANGHAI</v>
          </cell>
          <cell r="C161">
            <v>1023368</v>
          </cell>
          <cell r="D161">
            <v>14244</v>
          </cell>
        </row>
        <row r="162">
          <cell r="A162" t="str">
            <v>AGROSUPER SHANGHAI1030419</v>
          </cell>
          <cell r="B162" t="str">
            <v>AGROSUPER SHANGHAI</v>
          </cell>
          <cell r="C162">
            <v>1030419</v>
          </cell>
          <cell r="D162">
            <v>48000</v>
          </cell>
        </row>
        <row r="163">
          <cell r="A163" t="str">
            <v>EXPORTACION DIRECTA1020105</v>
          </cell>
          <cell r="B163" t="str">
            <v>EXPORTACION DIRECTA</v>
          </cell>
          <cell r="C163">
            <v>1020105</v>
          </cell>
          <cell r="D163">
            <v>46500</v>
          </cell>
        </row>
        <row r="164">
          <cell r="A164" t="str">
            <v>EXPORTACION DIRECTA1020110</v>
          </cell>
          <cell r="B164" t="str">
            <v>EXPORTACION DIRECTA</v>
          </cell>
          <cell r="C164">
            <v>1020110</v>
          </cell>
          <cell r="D164">
            <v>758810</v>
          </cell>
        </row>
        <row r="165">
          <cell r="A165" t="str">
            <v>EXPORTACION DIRECTA1020284</v>
          </cell>
          <cell r="B165" t="str">
            <v>EXPORTACION DIRECTA</v>
          </cell>
          <cell r="C165">
            <v>1020284</v>
          </cell>
          <cell r="D165">
            <v>2500</v>
          </cell>
        </row>
        <row r="166">
          <cell r="A166" t="str">
            <v>EXPORTACION DIRECTA1020326</v>
          </cell>
          <cell r="B166" t="str">
            <v>EXPORTACION DIRECTA</v>
          </cell>
          <cell r="C166">
            <v>1020326</v>
          </cell>
          <cell r="D166">
            <v>96000</v>
          </cell>
        </row>
        <row r="167">
          <cell r="A167" t="str">
            <v>EXPORTACION DIRECTA1020589</v>
          </cell>
          <cell r="B167" t="str">
            <v>EXPORTACION DIRECTA</v>
          </cell>
          <cell r="C167">
            <v>1020589</v>
          </cell>
          <cell r="D167">
            <v>96000</v>
          </cell>
        </row>
        <row r="168">
          <cell r="A168" t="str">
            <v>EXPORTACION DIRECTA1020592</v>
          </cell>
          <cell r="B168" t="str">
            <v>EXPORTACION DIRECTA</v>
          </cell>
          <cell r="C168">
            <v>1020592</v>
          </cell>
          <cell r="D168">
            <v>202140</v>
          </cell>
        </row>
        <row r="169">
          <cell r="A169" t="str">
            <v>EXPORTACION DIRECTA1020620</v>
          </cell>
          <cell r="B169" t="str">
            <v>EXPORTACION DIRECTA</v>
          </cell>
          <cell r="C169">
            <v>1020620</v>
          </cell>
          <cell r="D169">
            <v>28000</v>
          </cell>
        </row>
        <row r="170">
          <cell r="A170" t="str">
            <v>EXPORTACION DIRECTA1020636</v>
          </cell>
          <cell r="B170" t="str">
            <v>EXPORTACION DIRECTA</v>
          </cell>
          <cell r="C170">
            <v>1020636</v>
          </cell>
          <cell r="D170">
            <v>14500</v>
          </cell>
        </row>
        <row r="171">
          <cell r="A171" t="str">
            <v>EXPORTACION DIRECTA1020637</v>
          </cell>
          <cell r="B171" t="str">
            <v>EXPORTACION DIRECTA</v>
          </cell>
          <cell r="C171">
            <v>1020637</v>
          </cell>
          <cell r="D171">
            <v>195250</v>
          </cell>
        </row>
        <row r="172">
          <cell r="A172" t="str">
            <v>EXPORTACION DIRECTA1020662</v>
          </cell>
          <cell r="B172" t="str">
            <v>EXPORTACION DIRECTA</v>
          </cell>
          <cell r="C172">
            <v>1020662</v>
          </cell>
          <cell r="D172">
            <v>23000</v>
          </cell>
        </row>
        <row r="173">
          <cell r="A173" t="str">
            <v>EXPORTACION DIRECTA1020664</v>
          </cell>
          <cell r="B173" t="str">
            <v>EXPORTACION DIRECTA</v>
          </cell>
          <cell r="C173">
            <v>1020664</v>
          </cell>
          <cell r="D173">
            <v>3000</v>
          </cell>
        </row>
        <row r="174">
          <cell r="A174" t="str">
            <v>EXPORTACION DIRECTA1020665</v>
          </cell>
          <cell r="B174" t="str">
            <v>EXPORTACION DIRECTA</v>
          </cell>
          <cell r="C174">
            <v>1020665</v>
          </cell>
          <cell r="D174">
            <v>9100</v>
          </cell>
        </row>
        <row r="175">
          <cell r="A175" t="str">
            <v>EXPORTACION DIRECTA1020678</v>
          </cell>
          <cell r="B175" t="str">
            <v>EXPORTACION DIRECTA</v>
          </cell>
          <cell r="C175">
            <v>1020678</v>
          </cell>
          <cell r="D175">
            <v>500</v>
          </cell>
        </row>
        <row r="176">
          <cell r="A176" t="str">
            <v>EXPORTACION DIRECTA1020681</v>
          </cell>
          <cell r="B176" t="str">
            <v>EXPORTACION DIRECTA</v>
          </cell>
          <cell r="C176">
            <v>1020681</v>
          </cell>
          <cell r="D176">
            <v>19000</v>
          </cell>
        </row>
        <row r="177">
          <cell r="A177" t="str">
            <v>EXPORTACION DIRECTA1020704</v>
          </cell>
          <cell r="B177" t="str">
            <v>EXPORTACION DIRECTA</v>
          </cell>
          <cell r="C177">
            <v>1020704</v>
          </cell>
          <cell r="D177">
            <v>1500</v>
          </cell>
        </row>
        <row r="178">
          <cell r="A178" t="str">
            <v>EXPORTACION DIRECTA1020715</v>
          </cell>
          <cell r="B178" t="str">
            <v>EXPORTACION DIRECTA</v>
          </cell>
          <cell r="C178">
            <v>1020715</v>
          </cell>
          <cell r="D178">
            <v>2000</v>
          </cell>
        </row>
        <row r="179">
          <cell r="A179" t="str">
            <v>EXPORTACION DIRECTA1020731</v>
          </cell>
          <cell r="B179" t="str">
            <v>EXPORTACION DIRECTA</v>
          </cell>
          <cell r="C179">
            <v>1020731</v>
          </cell>
          <cell r="D179">
            <v>14000</v>
          </cell>
        </row>
        <row r="180">
          <cell r="A180" t="str">
            <v>EXPORTACION DIRECTA1020758</v>
          </cell>
          <cell r="B180" t="str">
            <v>EXPORTACION DIRECTA</v>
          </cell>
          <cell r="C180">
            <v>1020758</v>
          </cell>
          <cell r="D180">
            <v>3000</v>
          </cell>
        </row>
        <row r="181">
          <cell r="A181" t="str">
            <v>EXPORTACION DIRECTA1020774</v>
          </cell>
          <cell r="B181" t="str">
            <v>EXPORTACION DIRECTA</v>
          </cell>
          <cell r="C181">
            <v>1020774</v>
          </cell>
          <cell r="D181">
            <v>7000</v>
          </cell>
        </row>
        <row r="182">
          <cell r="A182" t="str">
            <v>EXPORTACION DIRECTA1020802</v>
          </cell>
          <cell r="B182" t="str">
            <v>EXPORTACION DIRECTA</v>
          </cell>
          <cell r="C182">
            <v>1020802</v>
          </cell>
          <cell r="D182">
            <v>69500</v>
          </cell>
        </row>
        <row r="183">
          <cell r="A183" t="str">
            <v>EXPORTACION DIRECTA1020810</v>
          </cell>
          <cell r="B183" t="str">
            <v>EXPORTACION DIRECTA</v>
          </cell>
          <cell r="C183">
            <v>1020810</v>
          </cell>
          <cell r="D183">
            <v>2000</v>
          </cell>
        </row>
        <row r="184">
          <cell r="A184" t="str">
            <v>EXPORTACION DIRECTA1020914</v>
          </cell>
          <cell r="B184" t="str">
            <v>EXPORTACION DIRECTA</v>
          </cell>
          <cell r="C184">
            <v>1020914</v>
          </cell>
          <cell r="D184">
            <v>9500</v>
          </cell>
        </row>
        <row r="185">
          <cell r="A185" t="str">
            <v>EXPORTACION DIRECTA1020990</v>
          </cell>
          <cell r="B185" t="str">
            <v>EXPORTACION DIRECTA</v>
          </cell>
          <cell r="C185">
            <v>1020990</v>
          </cell>
          <cell r="D185">
            <v>2500</v>
          </cell>
        </row>
        <row r="186">
          <cell r="A186" t="str">
            <v>EXPORTACION DIRECTA1020991</v>
          </cell>
          <cell r="B186" t="str">
            <v>EXPORTACION DIRECTA</v>
          </cell>
          <cell r="C186">
            <v>1020991</v>
          </cell>
          <cell r="D186">
            <v>17400</v>
          </cell>
        </row>
        <row r="187">
          <cell r="A187" t="str">
            <v>EXPORTACION DIRECTA1021136</v>
          </cell>
          <cell r="B187" t="str">
            <v>EXPORTACION DIRECTA</v>
          </cell>
          <cell r="C187">
            <v>1021136</v>
          </cell>
          <cell r="D187">
            <v>8000</v>
          </cell>
        </row>
        <row r="188">
          <cell r="A188" t="str">
            <v>EXPORTACION DIRECTA1021533</v>
          </cell>
          <cell r="B188" t="str">
            <v>EXPORTACION DIRECTA</v>
          </cell>
          <cell r="C188">
            <v>1021533</v>
          </cell>
          <cell r="D188">
            <v>10000</v>
          </cell>
        </row>
        <row r="189">
          <cell r="A189" t="str">
            <v>EXPORTACION DIRECTA1021603</v>
          </cell>
          <cell r="B189" t="str">
            <v>EXPORTACION DIRECTA</v>
          </cell>
          <cell r="C189">
            <v>1021603</v>
          </cell>
          <cell r="D189">
            <v>3500</v>
          </cell>
        </row>
        <row r="190">
          <cell r="A190" t="str">
            <v>EXPORTACION DIRECTA1021609</v>
          </cell>
          <cell r="B190" t="str">
            <v>EXPORTACION DIRECTA</v>
          </cell>
          <cell r="C190">
            <v>1021609</v>
          </cell>
          <cell r="D190">
            <v>30000</v>
          </cell>
        </row>
        <row r="191">
          <cell r="A191" t="str">
            <v>EXPORTACION DIRECTA1022282</v>
          </cell>
          <cell r="B191" t="str">
            <v>EXPORTACION DIRECTA</v>
          </cell>
          <cell r="C191">
            <v>1022282</v>
          </cell>
          <cell r="D191">
            <v>2000</v>
          </cell>
        </row>
        <row r="192">
          <cell r="A192" t="str">
            <v>EXPORTACION DIRECTA1022313</v>
          </cell>
          <cell r="B192" t="str">
            <v>EXPORTACION DIRECTA</v>
          </cell>
          <cell r="C192">
            <v>1022313</v>
          </cell>
          <cell r="D192">
            <v>6000</v>
          </cell>
        </row>
        <row r="193">
          <cell r="A193" t="str">
            <v>EXPORTACION DIRECTA1022326</v>
          </cell>
          <cell r="B193" t="str">
            <v>EXPORTACION DIRECTA</v>
          </cell>
          <cell r="C193">
            <v>1022326</v>
          </cell>
          <cell r="D193">
            <v>40000</v>
          </cell>
        </row>
        <row r="194">
          <cell r="A194" t="str">
            <v>EXPORTACION DIRECTA1022370</v>
          </cell>
          <cell r="B194" t="str">
            <v>EXPORTACION DIRECTA</v>
          </cell>
          <cell r="C194">
            <v>1022370</v>
          </cell>
          <cell r="D194">
            <v>41000</v>
          </cell>
        </row>
        <row r="195">
          <cell r="A195" t="str">
            <v>EXPORTACION DIRECTA1022371</v>
          </cell>
          <cell r="B195" t="str">
            <v>EXPORTACION DIRECTA</v>
          </cell>
          <cell r="C195">
            <v>1022371</v>
          </cell>
          <cell r="D195">
            <v>9000</v>
          </cell>
        </row>
        <row r="196">
          <cell r="A196" t="str">
            <v>EXPORTACION DIRECTA1022472</v>
          </cell>
          <cell r="B196" t="str">
            <v>EXPORTACION DIRECTA</v>
          </cell>
          <cell r="C196">
            <v>1022472</v>
          </cell>
          <cell r="D196">
            <v>18000</v>
          </cell>
        </row>
        <row r="197">
          <cell r="A197" t="str">
            <v>EXPORTACION DIRECTA1022499</v>
          </cell>
          <cell r="B197" t="str">
            <v>EXPORTACION DIRECTA</v>
          </cell>
          <cell r="C197">
            <v>1022499</v>
          </cell>
          <cell r="D197">
            <v>19500</v>
          </cell>
        </row>
        <row r="198">
          <cell r="A198" t="str">
            <v>EXPORTACION DIRECTA1022587</v>
          </cell>
          <cell r="B198" t="str">
            <v>EXPORTACION DIRECTA</v>
          </cell>
          <cell r="C198">
            <v>1022587</v>
          </cell>
          <cell r="D198">
            <v>3000</v>
          </cell>
        </row>
        <row r="199">
          <cell r="A199" t="str">
            <v>EXPORTACION DIRECTA1022600</v>
          </cell>
          <cell r="B199" t="str">
            <v>EXPORTACION DIRECTA</v>
          </cell>
          <cell r="C199">
            <v>1022600</v>
          </cell>
          <cell r="D199">
            <v>20500</v>
          </cell>
        </row>
        <row r="200">
          <cell r="A200" t="str">
            <v>EXPORTACION DIRECTA1022664</v>
          </cell>
          <cell r="B200" t="str">
            <v>EXPORTACION DIRECTA</v>
          </cell>
          <cell r="C200">
            <v>1022664</v>
          </cell>
          <cell r="D200">
            <v>39000</v>
          </cell>
        </row>
        <row r="201">
          <cell r="A201" t="str">
            <v>EXPORTACION DIRECTA1022901</v>
          </cell>
          <cell r="B201" t="str">
            <v>EXPORTACION DIRECTA</v>
          </cell>
          <cell r="C201">
            <v>1022901</v>
          </cell>
          <cell r="D201">
            <v>7000</v>
          </cell>
        </row>
        <row r="202">
          <cell r="A202" t="str">
            <v>EXPORTACION DIRECTA1022931</v>
          </cell>
          <cell r="B202" t="str">
            <v>EXPORTACION DIRECTA</v>
          </cell>
          <cell r="C202">
            <v>1022931</v>
          </cell>
          <cell r="D202">
            <v>24000</v>
          </cell>
        </row>
        <row r="203">
          <cell r="A203" t="str">
            <v>EXPORTACION DIRECTA1022987</v>
          </cell>
          <cell r="B203" t="str">
            <v>EXPORTACION DIRECTA</v>
          </cell>
          <cell r="C203">
            <v>1022987</v>
          </cell>
          <cell r="D203">
            <v>48000</v>
          </cell>
        </row>
        <row r="204">
          <cell r="A204" t="str">
            <v>EXPORTACION DIRECTA1023051</v>
          </cell>
          <cell r="B204" t="str">
            <v>EXPORTACION DIRECTA</v>
          </cell>
          <cell r="C204">
            <v>1023051</v>
          </cell>
          <cell r="D204">
            <v>3834</v>
          </cell>
        </row>
        <row r="205">
          <cell r="A205" t="str">
            <v>EXPORTACION DIRECTA1023055</v>
          </cell>
          <cell r="B205" t="str">
            <v>EXPORTACION DIRECTA</v>
          </cell>
          <cell r="C205">
            <v>1023055</v>
          </cell>
          <cell r="D205">
            <v>9146</v>
          </cell>
        </row>
        <row r="206">
          <cell r="A206" t="str">
            <v>EXPORTACION DIRECTA1023163</v>
          </cell>
          <cell r="B206" t="str">
            <v>EXPORTACION DIRECTA</v>
          </cell>
          <cell r="C206">
            <v>1023163</v>
          </cell>
          <cell r="D206">
            <v>20000</v>
          </cell>
        </row>
        <row r="207">
          <cell r="A207" t="str">
            <v>EXPORTACION DIRECTA1023166</v>
          </cell>
          <cell r="B207" t="str">
            <v>EXPORTACION DIRECTA</v>
          </cell>
          <cell r="C207">
            <v>1023166</v>
          </cell>
          <cell r="D207">
            <v>100</v>
          </cell>
        </row>
        <row r="208">
          <cell r="A208" t="str">
            <v>EXPORTACION DIRECTA1023194</v>
          </cell>
          <cell r="B208" t="str">
            <v>EXPORTACION DIRECTA</v>
          </cell>
          <cell r="C208">
            <v>1023194</v>
          </cell>
          <cell r="D208">
            <v>6000</v>
          </cell>
        </row>
        <row r="209">
          <cell r="A209" t="str">
            <v>EXPORTACION DIRECTA1023301</v>
          </cell>
          <cell r="B209" t="str">
            <v>EXPORTACION DIRECTA</v>
          </cell>
          <cell r="C209">
            <v>1023301</v>
          </cell>
          <cell r="D209">
            <v>23500</v>
          </cell>
        </row>
        <row r="210">
          <cell r="A210" t="str">
            <v>EXPORTACION DIRECTA1023349</v>
          </cell>
          <cell r="B210" t="str">
            <v>EXPORTACION DIRECTA</v>
          </cell>
          <cell r="C210">
            <v>1023349</v>
          </cell>
          <cell r="D210">
            <v>7500</v>
          </cell>
        </row>
        <row r="211">
          <cell r="A211" t="str">
            <v>EXPORTACION DIRECTA1023350</v>
          </cell>
          <cell r="B211" t="str">
            <v>EXPORTACION DIRECTA</v>
          </cell>
          <cell r="C211">
            <v>1023350</v>
          </cell>
          <cell r="D211">
            <v>20000</v>
          </cell>
        </row>
        <row r="212">
          <cell r="A212" t="str">
            <v>EXPORTACION DIRECTA1023351</v>
          </cell>
          <cell r="B212" t="str">
            <v>EXPORTACION DIRECTA</v>
          </cell>
          <cell r="C212">
            <v>1023351</v>
          </cell>
          <cell r="D212">
            <v>5000</v>
          </cell>
        </row>
        <row r="213">
          <cell r="A213" t="str">
            <v>EXPORTACION DIRECTA1023352</v>
          </cell>
          <cell r="B213" t="str">
            <v>EXPORTACION DIRECTA</v>
          </cell>
          <cell r="C213">
            <v>1023352</v>
          </cell>
          <cell r="D213">
            <v>163000</v>
          </cell>
        </row>
        <row r="214">
          <cell r="A214" t="str">
            <v>Total general</v>
          </cell>
          <cell r="B214" t="str">
            <v>Total general</v>
          </cell>
          <cell r="C214">
            <v>1020860</v>
          </cell>
          <cell r="D214">
            <v>13473442.048</v>
          </cell>
        </row>
        <row r="215">
          <cell r="A215" t="str">
            <v/>
          </cell>
          <cell r="B215" t="str">
            <v>AGROSUPER ASIA</v>
          </cell>
          <cell r="C215">
            <v>1020861</v>
          </cell>
          <cell r="D215">
            <v>110000</v>
          </cell>
        </row>
        <row r="216">
          <cell r="A216" t="str">
            <v/>
          </cell>
          <cell r="B216" t="str">
            <v>AGROSUPER ASIA</v>
          </cell>
          <cell r="C216">
            <v>1020904</v>
          </cell>
          <cell r="D216">
            <v>110000</v>
          </cell>
        </row>
        <row r="217">
          <cell r="A217" t="str">
            <v/>
          </cell>
          <cell r="B217" t="str">
            <v>AGROSUPER ASIA</v>
          </cell>
          <cell r="C217">
            <v>1020905</v>
          </cell>
          <cell r="D217">
            <v>110000</v>
          </cell>
        </row>
        <row r="218">
          <cell r="A218" t="str">
            <v/>
          </cell>
          <cell r="B218" t="str">
            <v>AGROSUPER ASIA</v>
          </cell>
          <cell r="C218">
            <v>1021012</v>
          </cell>
          <cell r="D218">
            <v>88000</v>
          </cell>
        </row>
        <row r="219">
          <cell r="A219" t="str">
            <v/>
          </cell>
          <cell r="B219" t="str">
            <v>AGROSUPER ASIA</v>
          </cell>
          <cell r="C219">
            <v>1021046</v>
          </cell>
          <cell r="D219">
            <v>22000</v>
          </cell>
        </row>
        <row r="220">
          <cell r="A220" t="str">
            <v/>
          </cell>
          <cell r="B220" t="str">
            <v>AGROSUPER ASIA</v>
          </cell>
          <cell r="C220">
            <v>1021149</v>
          </cell>
          <cell r="D220">
            <v>66000</v>
          </cell>
        </row>
        <row r="221">
          <cell r="A221" t="str">
            <v/>
          </cell>
          <cell r="B221" t="str">
            <v>AGROSUPER ASIA</v>
          </cell>
          <cell r="C221">
            <v>1021150</v>
          </cell>
          <cell r="D221">
            <v>22000</v>
          </cell>
        </row>
        <row r="222">
          <cell r="A222" t="str">
            <v/>
          </cell>
          <cell r="B222" t="str">
            <v>AGROSUPER ASIA</v>
          </cell>
          <cell r="C222">
            <v>1021156</v>
          </cell>
          <cell r="D222">
            <v>24000</v>
          </cell>
        </row>
        <row r="223">
          <cell r="A223" t="str">
            <v/>
          </cell>
          <cell r="B223" t="str">
            <v>AGROSUPER ASIA</v>
          </cell>
          <cell r="C223">
            <v>1021470</v>
          </cell>
          <cell r="D223">
            <v>22000</v>
          </cell>
        </row>
        <row r="224">
          <cell r="A224" t="str">
            <v/>
          </cell>
          <cell r="B224" t="str">
            <v>AGROSUPER ASIA</v>
          </cell>
          <cell r="C224">
            <v>1021655</v>
          </cell>
          <cell r="D224">
            <v>48000</v>
          </cell>
        </row>
        <row r="225">
          <cell r="A225" t="str">
            <v/>
          </cell>
          <cell r="B225" t="str">
            <v>AGROSUPER ASIA</v>
          </cell>
          <cell r="C225">
            <v>1021664</v>
          </cell>
          <cell r="D225">
            <v>39000</v>
          </cell>
        </row>
        <row r="226">
          <cell r="A226" t="str">
            <v/>
          </cell>
          <cell r="B226" t="str">
            <v>AGROSUPER ASIA</v>
          </cell>
          <cell r="C226">
            <v>1021665</v>
          </cell>
          <cell r="D226">
            <v>22000</v>
          </cell>
        </row>
        <row r="227">
          <cell r="A227" t="str">
            <v/>
          </cell>
          <cell r="B227" t="str">
            <v>AGROSUPER ASIA</v>
          </cell>
          <cell r="C227">
            <v>1022283</v>
          </cell>
          <cell r="D227">
            <v>10000</v>
          </cell>
        </row>
        <row r="228">
          <cell r="A228" t="str">
            <v/>
          </cell>
          <cell r="B228" t="str">
            <v>AGROSUPER ASIA</v>
          </cell>
          <cell r="C228">
            <v>1022607</v>
          </cell>
          <cell r="D228">
            <v>22000</v>
          </cell>
        </row>
        <row r="229">
          <cell r="A229" t="str">
            <v/>
          </cell>
          <cell r="B229" t="str">
            <v>AGROSUPER ASIA</v>
          </cell>
          <cell r="C229">
            <v>1022885</v>
          </cell>
          <cell r="D229">
            <v>315000</v>
          </cell>
        </row>
        <row r="230">
          <cell r="A230" t="str">
            <v/>
          </cell>
          <cell r="B230" t="str">
            <v>AGROSUPER ASIA</v>
          </cell>
          <cell r="C230">
            <v>1022887</v>
          </cell>
          <cell r="D230">
            <v>121000</v>
          </cell>
        </row>
        <row r="231">
          <cell r="A231" t="str">
            <v/>
          </cell>
          <cell r="B231" t="str">
            <v>AGROSUPER ASIA</v>
          </cell>
          <cell r="C231">
            <v>1022930</v>
          </cell>
          <cell r="D231">
            <v>22000</v>
          </cell>
        </row>
        <row r="232">
          <cell r="A232" t="str">
            <v/>
          </cell>
          <cell r="B232" t="str">
            <v>AGROSUPER ASIA</v>
          </cell>
          <cell r="C232">
            <v>1022985</v>
          </cell>
          <cell r="D232">
            <v>5000</v>
          </cell>
        </row>
        <row r="233">
          <cell r="A233" t="str">
            <v/>
          </cell>
          <cell r="B233" t="str">
            <v>AGROSUPER ASIA</v>
          </cell>
          <cell r="C233">
            <v>1022986</v>
          </cell>
          <cell r="D233">
            <v>5000</v>
          </cell>
        </row>
        <row r="234">
          <cell r="A234" t="str">
            <v/>
          </cell>
          <cell r="B234" t="str">
            <v>AGROSUPER ASIA</v>
          </cell>
          <cell r="C234">
            <v>1023037</v>
          </cell>
          <cell r="D234">
            <v>110000</v>
          </cell>
        </row>
        <row r="235">
          <cell r="A235" t="str">
            <v/>
          </cell>
          <cell r="B235" t="str">
            <v>AGROSUPER ASIA</v>
          </cell>
          <cell r="C235">
            <v>1023038</v>
          </cell>
          <cell r="D235">
            <v>22000</v>
          </cell>
        </row>
        <row r="236">
          <cell r="A236" t="str">
            <v/>
          </cell>
          <cell r="B236" t="str">
            <v>AGROSUPER ASIA</v>
          </cell>
          <cell r="C236">
            <v>1023090</v>
          </cell>
          <cell r="D236">
            <v>22000</v>
          </cell>
        </row>
        <row r="237">
          <cell r="A237" t="str">
            <v/>
          </cell>
          <cell r="B237" t="str">
            <v>AGROSUPER ASIA</v>
          </cell>
          <cell r="C237">
            <v>1023144</v>
          </cell>
          <cell r="D237">
            <v>48000</v>
          </cell>
        </row>
        <row r="238">
          <cell r="A238" t="str">
            <v/>
          </cell>
          <cell r="B238" t="str">
            <v>AGROSUPER ASIA</v>
          </cell>
          <cell r="C238">
            <v>1023183</v>
          </cell>
          <cell r="D238">
            <v>44000</v>
          </cell>
        </row>
        <row r="239">
          <cell r="A239" t="str">
            <v/>
          </cell>
          <cell r="B239" t="str">
            <v>AGROSUPER ASIA</v>
          </cell>
          <cell r="C239">
            <v>1023283</v>
          </cell>
          <cell r="D239">
            <v>96000</v>
          </cell>
        </row>
        <row r="240">
          <cell r="A240" t="str">
            <v/>
          </cell>
          <cell r="B240" t="str">
            <v>AGROSUPER ASIA</v>
          </cell>
          <cell r="C240">
            <v>1023307</v>
          </cell>
          <cell r="D240">
            <v>72000</v>
          </cell>
        </row>
        <row r="241">
          <cell r="A241" t="str">
            <v/>
          </cell>
          <cell r="B241" t="str">
            <v>AGROSUPER ASIA</v>
          </cell>
          <cell r="C241">
            <v>1023326</v>
          </cell>
          <cell r="D241">
            <v>24000</v>
          </cell>
        </row>
        <row r="242">
          <cell r="A242" t="str">
            <v/>
          </cell>
          <cell r="B242" t="str">
            <v>AGROSUPER ASIA</v>
          </cell>
          <cell r="C242">
            <v>1023372</v>
          </cell>
          <cell r="D242">
            <v>24000</v>
          </cell>
        </row>
        <row r="243">
          <cell r="A243" t="str">
            <v/>
          </cell>
          <cell r="B243" t="str">
            <v>AGROSUPER ASIA</v>
          </cell>
          <cell r="C243">
            <v>1023397</v>
          </cell>
          <cell r="D243">
            <v>48000</v>
          </cell>
        </row>
        <row r="244">
          <cell r="A244" t="str">
            <v/>
          </cell>
          <cell r="B244" t="str">
            <v>AGROSUPER ASIA</v>
          </cell>
          <cell r="C244">
            <v>1030576</v>
          </cell>
          <cell r="D244">
            <v>30</v>
          </cell>
        </row>
        <row r="245">
          <cell r="A245" t="str">
            <v/>
          </cell>
          <cell r="B245" t="str">
            <v>AGROSUPER BRASIL</v>
          </cell>
          <cell r="C245">
            <v>1011560</v>
          </cell>
          <cell r="D245">
            <v>24000</v>
          </cell>
        </row>
        <row r="246">
          <cell r="A246" t="str">
            <v/>
          </cell>
          <cell r="B246" t="str">
            <v>AGROSUPER BRASIL</v>
          </cell>
          <cell r="C246">
            <v>1012362</v>
          </cell>
          <cell r="D246">
            <v>71985</v>
          </cell>
        </row>
        <row r="247">
          <cell r="A247" t="str">
            <v/>
          </cell>
          <cell r="B247" t="str">
            <v>AGROSUPER BRASIL</v>
          </cell>
          <cell r="C247">
            <v>1012674</v>
          </cell>
          <cell r="D247">
            <v>143975</v>
          </cell>
        </row>
        <row r="248">
          <cell r="A248" t="str">
            <v/>
          </cell>
          <cell r="B248" t="str">
            <v>AGROSUPER BRASIL</v>
          </cell>
          <cell r="C248">
            <v>1021864</v>
          </cell>
          <cell r="D248">
            <v>24000</v>
          </cell>
        </row>
        <row r="249">
          <cell r="A249" t="str">
            <v/>
          </cell>
          <cell r="B249" t="str">
            <v>AGROSUPER BRASIL</v>
          </cell>
          <cell r="C249">
            <v>1022218</v>
          </cell>
          <cell r="D249">
            <v>168000</v>
          </cell>
        </row>
        <row r="250">
          <cell r="A250" t="str">
            <v/>
          </cell>
          <cell r="B250" t="str">
            <v>AGROSUPER BRASIL</v>
          </cell>
          <cell r="C250">
            <v>1022273</v>
          </cell>
          <cell r="D250">
            <v>24000</v>
          </cell>
        </row>
        <row r="251">
          <cell r="A251" t="str">
            <v/>
          </cell>
          <cell r="B251" t="str">
            <v>AGROSUPER BRASIL</v>
          </cell>
          <cell r="C251">
            <v>1022782</v>
          </cell>
          <cell r="D251">
            <v>6240</v>
          </cell>
        </row>
        <row r="252">
          <cell r="A252" t="str">
            <v/>
          </cell>
          <cell r="B252" t="str">
            <v>AGROSUPER BRASIL</v>
          </cell>
          <cell r="C252">
            <v>1022783</v>
          </cell>
          <cell r="D252">
            <v>6480</v>
          </cell>
        </row>
        <row r="253">
          <cell r="A253" t="str">
            <v/>
          </cell>
          <cell r="B253" t="str">
            <v>AGROSUPER BRASIL</v>
          </cell>
          <cell r="C253">
            <v>1022784</v>
          </cell>
          <cell r="D253">
            <v>5175</v>
          </cell>
        </row>
        <row r="254">
          <cell r="A254" t="str">
            <v/>
          </cell>
          <cell r="B254" t="str">
            <v>AGROSUPER BRASIL</v>
          </cell>
          <cell r="C254">
            <v>1023329</v>
          </cell>
          <cell r="D254">
            <v>120000</v>
          </cell>
        </row>
        <row r="255">
          <cell r="A255" t="str">
            <v/>
          </cell>
          <cell r="B255" t="str">
            <v>AGROSUPER BRASIL</v>
          </cell>
          <cell r="C255">
            <v>1023334</v>
          </cell>
          <cell r="D255">
            <v>24000</v>
          </cell>
        </row>
        <row r="256">
          <cell r="A256" t="str">
            <v/>
          </cell>
          <cell r="B256" t="str">
            <v>AGROSUPER BRASIL</v>
          </cell>
          <cell r="C256">
            <v>1023336</v>
          </cell>
          <cell r="D256">
            <v>24000</v>
          </cell>
        </row>
        <row r="257">
          <cell r="A257" t="str">
            <v/>
          </cell>
          <cell r="B257" t="str">
            <v>AGROSUPER SHANGHAI</v>
          </cell>
          <cell r="C257">
            <v>1011586</v>
          </cell>
          <cell r="D257">
            <v>24000</v>
          </cell>
        </row>
        <row r="258">
          <cell r="A258" t="str">
            <v/>
          </cell>
          <cell r="B258" t="str">
            <v>AGROSUPER SHANGHAI</v>
          </cell>
          <cell r="C258">
            <v>1011967</v>
          </cell>
          <cell r="D258">
            <v>216000</v>
          </cell>
        </row>
        <row r="259">
          <cell r="A259" t="str">
            <v/>
          </cell>
          <cell r="B259" t="str">
            <v>AGROSUPER SHANGHAI</v>
          </cell>
          <cell r="C259">
            <v>1011968</v>
          </cell>
          <cell r="D259">
            <v>36000</v>
          </cell>
        </row>
        <row r="260">
          <cell r="A260" t="str">
            <v/>
          </cell>
          <cell r="B260" t="str">
            <v>AGROSUPER SHANGHAI</v>
          </cell>
          <cell r="C260">
            <v>1011969</v>
          </cell>
          <cell r="D260">
            <v>144000</v>
          </cell>
        </row>
        <row r="261">
          <cell r="A261" t="str">
            <v/>
          </cell>
          <cell r="B261" t="str">
            <v>AGROSUPER SHANGHAI</v>
          </cell>
          <cell r="C261">
            <v>1012218</v>
          </cell>
          <cell r="D261">
            <v>24000</v>
          </cell>
        </row>
        <row r="262">
          <cell r="A262" t="str">
            <v/>
          </cell>
          <cell r="B262" t="str">
            <v>AGROSUPER SHANGHAI</v>
          </cell>
          <cell r="C262">
            <v>1012275</v>
          </cell>
          <cell r="D262">
            <v>12000</v>
          </cell>
        </row>
        <row r="263">
          <cell r="A263" t="str">
            <v/>
          </cell>
          <cell r="B263" t="str">
            <v>AGROSUPER SHANGHAI</v>
          </cell>
          <cell r="C263">
            <v>1012434</v>
          </cell>
          <cell r="D263">
            <v>24000</v>
          </cell>
        </row>
        <row r="264">
          <cell r="A264" t="str">
            <v/>
          </cell>
          <cell r="B264" t="str">
            <v>AGROSUPER SHANGHAI</v>
          </cell>
          <cell r="C264">
            <v>1012448</v>
          </cell>
          <cell r="D264">
            <v>24000</v>
          </cell>
        </row>
        <row r="265">
          <cell r="A265" t="str">
            <v/>
          </cell>
          <cell r="B265" t="str">
            <v>AGROSUPER SHANGHAI</v>
          </cell>
          <cell r="C265">
            <v>1012451</v>
          </cell>
          <cell r="D265">
            <v>36000</v>
          </cell>
        </row>
        <row r="266">
          <cell r="A266" t="str">
            <v/>
          </cell>
          <cell r="B266" t="str">
            <v>AGROSUPER SHANGHAI</v>
          </cell>
          <cell r="C266">
            <v>1012452</v>
          </cell>
          <cell r="D266">
            <v>24000</v>
          </cell>
        </row>
        <row r="267">
          <cell r="A267" t="str">
            <v/>
          </cell>
          <cell r="B267" t="str">
            <v>AGROSUPER SHANGHAI</v>
          </cell>
          <cell r="C267">
            <v>1012455</v>
          </cell>
          <cell r="D267">
            <v>168000</v>
          </cell>
        </row>
        <row r="268">
          <cell r="A268" t="str">
            <v/>
          </cell>
          <cell r="B268" t="str">
            <v>AGROSUPER SHANGHAI</v>
          </cell>
          <cell r="C268">
            <v>1012502</v>
          </cell>
          <cell r="D268">
            <v>24000</v>
          </cell>
        </row>
        <row r="269">
          <cell r="A269" t="str">
            <v/>
          </cell>
          <cell r="B269" t="str">
            <v>AGROSUPER SHANGHAI</v>
          </cell>
          <cell r="C269">
            <v>1012503</v>
          </cell>
          <cell r="D269">
            <v>144000</v>
          </cell>
        </row>
        <row r="270">
          <cell r="A270" t="str">
            <v/>
          </cell>
          <cell r="B270" t="str">
            <v>AGROSUPER SHANGHAI</v>
          </cell>
          <cell r="C270">
            <v>1012504</v>
          </cell>
          <cell r="D270">
            <v>48000</v>
          </cell>
        </row>
        <row r="271">
          <cell r="A271" t="str">
            <v/>
          </cell>
          <cell r="B271" t="str">
            <v>AGROSUPER SHANGHAI</v>
          </cell>
          <cell r="C271">
            <v>1012525</v>
          </cell>
          <cell r="D271">
            <v>24000</v>
          </cell>
        </row>
        <row r="272">
          <cell r="A272" t="str">
            <v/>
          </cell>
          <cell r="B272" t="str">
            <v>AGROSUPER SHANGHAI</v>
          </cell>
          <cell r="C272">
            <v>1012526</v>
          </cell>
          <cell r="D272">
            <v>12000</v>
          </cell>
        </row>
        <row r="273">
          <cell r="A273" t="str">
            <v/>
          </cell>
          <cell r="B273" t="str">
            <v>AGROSUPER SHANGHAI</v>
          </cell>
          <cell r="C273">
            <v>1012527</v>
          </cell>
          <cell r="D273">
            <v>36000</v>
          </cell>
        </row>
        <row r="274">
          <cell r="A274" t="str">
            <v/>
          </cell>
          <cell r="B274" t="str">
            <v>AGROSUPER SHANGHAI</v>
          </cell>
          <cell r="C274">
            <v>1012598</v>
          </cell>
          <cell r="D274">
            <v>12000</v>
          </cell>
        </row>
        <row r="275">
          <cell r="A275" t="str">
            <v/>
          </cell>
          <cell r="B275" t="str">
            <v>AGROSUPER SHANGHAI</v>
          </cell>
          <cell r="C275">
            <v>1012681</v>
          </cell>
          <cell r="D275">
            <v>48000</v>
          </cell>
        </row>
        <row r="276">
          <cell r="A276" t="str">
            <v/>
          </cell>
          <cell r="B276" t="str">
            <v>AGROSUPER SHANGHAI</v>
          </cell>
          <cell r="C276">
            <v>1021731</v>
          </cell>
          <cell r="D276">
            <v>360000</v>
          </cell>
        </row>
        <row r="277">
          <cell r="A277" t="str">
            <v/>
          </cell>
          <cell r="B277" t="str">
            <v>AGROSUPER SHANGHAI</v>
          </cell>
          <cell r="C277">
            <v>1021732</v>
          </cell>
          <cell r="D277">
            <v>312000</v>
          </cell>
        </row>
        <row r="278">
          <cell r="A278" t="str">
            <v/>
          </cell>
          <cell r="B278" t="str">
            <v>AGROSUPER SHANGHAI</v>
          </cell>
          <cell r="C278">
            <v>1021735</v>
          </cell>
          <cell r="D278">
            <v>156000</v>
          </cell>
        </row>
        <row r="279">
          <cell r="A279" t="str">
            <v/>
          </cell>
          <cell r="B279" t="str">
            <v>AGROSUPER SHANGHAI</v>
          </cell>
          <cell r="C279">
            <v>1021737</v>
          </cell>
          <cell r="D279">
            <v>24000</v>
          </cell>
        </row>
        <row r="280">
          <cell r="A280" t="str">
            <v/>
          </cell>
          <cell r="B280" t="str">
            <v>AGROSUPER SHANGHAI</v>
          </cell>
          <cell r="C280">
            <v>1021738</v>
          </cell>
          <cell r="D280">
            <v>104000</v>
          </cell>
        </row>
        <row r="281">
          <cell r="A281" t="str">
            <v/>
          </cell>
          <cell r="B281" t="str">
            <v>AGROSUPER SHANGHAI</v>
          </cell>
          <cell r="C281">
            <v>1021766</v>
          </cell>
          <cell r="D281">
            <v>312000</v>
          </cell>
        </row>
        <row r="282">
          <cell r="A282" t="str">
            <v/>
          </cell>
          <cell r="B282" t="str">
            <v>AGROSUPER SHANGHAI</v>
          </cell>
          <cell r="C282">
            <v>1021767</v>
          </cell>
          <cell r="D282">
            <v>288000</v>
          </cell>
        </row>
        <row r="283">
          <cell r="A283" t="str">
            <v/>
          </cell>
          <cell r="B283" t="str">
            <v>AGROSUPER SHANGHAI</v>
          </cell>
          <cell r="C283">
            <v>1021774</v>
          </cell>
          <cell r="D283">
            <v>72000</v>
          </cell>
        </row>
        <row r="284">
          <cell r="A284" t="str">
            <v/>
          </cell>
          <cell r="B284" t="str">
            <v>AGROSUPER SHANGHAI</v>
          </cell>
          <cell r="C284">
            <v>1021905</v>
          </cell>
          <cell r="D284">
            <v>4080</v>
          </cell>
        </row>
        <row r="285">
          <cell r="A285" t="str">
            <v/>
          </cell>
          <cell r="B285" t="str">
            <v>AGROSUPER SHANGHAI</v>
          </cell>
          <cell r="C285">
            <v>1021971</v>
          </cell>
          <cell r="D285">
            <v>8000</v>
          </cell>
        </row>
        <row r="286">
          <cell r="A286" t="str">
            <v/>
          </cell>
          <cell r="B286" t="str">
            <v>AGROSUPER SHANGHAI</v>
          </cell>
          <cell r="C286">
            <v>1022033</v>
          </cell>
          <cell r="D286">
            <v>48000</v>
          </cell>
        </row>
        <row r="287">
          <cell r="A287" t="str">
            <v/>
          </cell>
          <cell r="B287" t="str">
            <v>AGROSUPER SHANGHAI</v>
          </cell>
          <cell r="C287">
            <v>1022073</v>
          </cell>
          <cell r="D287">
            <v>24000</v>
          </cell>
        </row>
        <row r="288">
          <cell r="A288" t="str">
            <v/>
          </cell>
          <cell r="B288" t="str">
            <v>AGROSUPER SHANGHAI</v>
          </cell>
          <cell r="C288">
            <v>1022080</v>
          </cell>
          <cell r="D288">
            <v>72000</v>
          </cell>
        </row>
        <row r="289">
          <cell r="A289" t="str">
            <v/>
          </cell>
          <cell r="B289" t="str">
            <v>AGROSUPER SHANGHAI</v>
          </cell>
          <cell r="C289">
            <v>1022096</v>
          </cell>
          <cell r="D289">
            <v>168000</v>
          </cell>
        </row>
        <row r="290">
          <cell r="A290" t="str">
            <v/>
          </cell>
          <cell r="B290" t="str">
            <v>AGROSUPER SHANGHAI</v>
          </cell>
          <cell r="C290">
            <v>1022099</v>
          </cell>
          <cell r="D290">
            <v>4000</v>
          </cell>
        </row>
        <row r="291">
          <cell r="A291" t="str">
            <v/>
          </cell>
          <cell r="B291" t="str">
            <v>AGROSUPER SHANGHAI</v>
          </cell>
          <cell r="C291">
            <v>1022125</v>
          </cell>
          <cell r="D291">
            <v>24000</v>
          </cell>
        </row>
        <row r="292">
          <cell r="A292" t="str">
            <v/>
          </cell>
          <cell r="B292" t="str">
            <v>AGROSUPER SHANGHAI</v>
          </cell>
          <cell r="C292">
            <v>1022169</v>
          </cell>
          <cell r="D292">
            <v>144000</v>
          </cell>
        </row>
        <row r="293">
          <cell r="A293" t="str">
            <v/>
          </cell>
          <cell r="B293" t="str">
            <v>AGROSUPER SHANGHAI</v>
          </cell>
          <cell r="C293">
            <v>1022183</v>
          </cell>
          <cell r="D293">
            <v>528000</v>
          </cell>
        </row>
        <row r="294">
          <cell r="A294" t="str">
            <v/>
          </cell>
          <cell r="B294" t="str">
            <v>AGROSUPER SHANGHAI</v>
          </cell>
          <cell r="C294">
            <v>1022186</v>
          </cell>
          <cell r="D294">
            <v>48000</v>
          </cell>
        </row>
        <row r="295">
          <cell r="A295" t="str">
            <v/>
          </cell>
          <cell r="B295" t="str">
            <v>AGROSUPER SHANGHAI</v>
          </cell>
          <cell r="C295">
            <v>1022193</v>
          </cell>
          <cell r="D295">
            <v>24000</v>
          </cell>
        </row>
        <row r="296">
          <cell r="A296" t="str">
            <v/>
          </cell>
          <cell r="B296" t="str">
            <v>AGROSUPER SHANGHAI</v>
          </cell>
          <cell r="C296">
            <v>1022212</v>
          </cell>
          <cell r="D296">
            <v>504000</v>
          </cell>
        </row>
        <row r="297">
          <cell r="A297" t="str">
            <v/>
          </cell>
          <cell r="B297" t="str">
            <v>AGROSUPER SHANGHAI</v>
          </cell>
          <cell r="C297">
            <v>1022291</v>
          </cell>
          <cell r="D297">
            <v>48000</v>
          </cell>
        </row>
        <row r="298">
          <cell r="A298" t="str">
            <v/>
          </cell>
          <cell r="B298" t="str">
            <v>AGROSUPER SHANGHAI</v>
          </cell>
          <cell r="C298">
            <v>1022373</v>
          </cell>
          <cell r="D298">
            <v>72000</v>
          </cell>
        </row>
        <row r="299">
          <cell r="A299" t="str">
            <v/>
          </cell>
          <cell r="B299" t="str">
            <v>AGROSUPER SHANGHAI</v>
          </cell>
          <cell r="C299">
            <v>1022378</v>
          </cell>
          <cell r="D299">
            <v>48000</v>
          </cell>
        </row>
        <row r="300">
          <cell r="A300" t="str">
            <v/>
          </cell>
          <cell r="B300" t="str">
            <v>AGROSUPER SHANGHAI</v>
          </cell>
          <cell r="C300">
            <v>1022379</v>
          </cell>
          <cell r="D300">
            <v>15729</v>
          </cell>
        </row>
        <row r="301">
          <cell r="A301" t="str">
            <v/>
          </cell>
          <cell r="B301" t="str">
            <v>AGROSUPER SHANGHAI</v>
          </cell>
          <cell r="C301">
            <v>1022381</v>
          </cell>
          <cell r="D301">
            <v>80000</v>
          </cell>
        </row>
        <row r="302">
          <cell r="A302" t="str">
            <v/>
          </cell>
          <cell r="B302" t="str">
            <v>AGROSUPER SHANGHAI</v>
          </cell>
          <cell r="C302">
            <v>1022388</v>
          </cell>
          <cell r="D302">
            <v>168000</v>
          </cell>
        </row>
        <row r="303">
          <cell r="A303" t="str">
            <v/>
          </cell>
          <cell r="B303" t="str">
            <v>AGROSUPER SHANGHAI</v>
          </cell>
          <cell r="C303">
            <v>1022414</v>
          </cell>
          <cell r="D303">
            <v>168000</v>
          </cell>
        </row>
        <row r="304">
          <cell r="A304" t="str">
            <v/>
          </cell>
          <cell r="B304" t="str">
            <v>AGROSUPER SHANGHAI</v>
          </cell>
          <cell r="C304">
            <v>1022417</v>
          </cell>
          <cell r="D304">
            <v>72000</v>
          </cell>
        </row>
        <row r="305">
          <cell r="A305" t="str">
            <v/>
          </cell>
          <cell r="B305" t="str">
            <v>AGROSUPER SHANGHAI</v>
          </cell>
          <cell r="C305">
            <v>1022541</v>
          </cell>
          <cell r="D305">
            <v>384000</v>
          </cell>
        </row>
        <row r="306">
          <cell r="A306" t="str">
            <v/>
          </cell>
          <cell r="B306" t="str">
            <v>AGROSUPER SHANGHAI</v>
          </cell>
          <cell r="C306">
            <v>1022568</v>
          </cell>
          <cell r="D306">
            <v>120000</v>
          </cell>
        </row>
        <row r="307">
          <cell r="A307" t="str">
            <v/>
          </cell>
          <cell r="B307" t="str">
            <v>AGROSUPER SHANGHAI</v>
          </cell>
          <cell r="C307">
            <v>1022636</v>
          </cell>
          <cell r="D307">
            <v>116600</v>
          </cell>
        </row>
        <row r="308">
          <cell r="A308" t="str">
            <v/>
          </cell>
          <cell r="B308" t="str">
            <v>AGROSUPER SHANGHAI</v>
          </cell>
          <cell r="C308">
            <v>1022637</v>
          </cell>
          <cell r="D308">
            <v>72000</v>
          </cell>
        </row>
        <row r="309">
          <cell r="A309" t="str">
            <v/>
          </cell>
          <cell r="B309" t="str">
            <v>AGROSUPER SHANGHAI</v>
          </cell>
          <cell r="C309">
            <v>1022639</v>
          </cell>
          <cell r="D309">
            <v>574000</v>
          </cell>
        </row>
        <row r="310">
          <cell r="A310" t="str">
            <v/>
          </cell>
          <cell r="B310" t="str">
            <v>AGROSUPER SHANGHAI</v>
          </cell>
          <cell r="C310">
            <v>1022640</v>
          </cell>
          <cell r="D310">
            <v>72000</v>
          </cell>
        </row>
        <row r="311">
          <cell r="A311" t="str">
            <v/>
          </cell>
          <cell r="B311" t="str">
            <v>AGROSUPER SHANGHAI</v>
          </cell>
          <cell r="C311">
            <v>1022645</v>
          </cell>
          <cell r="D311">
            <v>32000</v>
          </cell>
        </row>
        <row r="312">
          <cell r="A312" t="str">
            <v/>
          </cell>
          <cell r="B312" t="str">
            <v>AGROSUPER SHANGHAI</v>
          </cell>
          <cell r="C312">
            <v>1022748</v>
          </cell>
          <cell r="D312">
            <v>156000</v>
          </cell>
        </row>
        <row r="313">
          <cell r="A313" t="str">
            <v/>
          </cell>
          <cell r="B313" t="str">
            <v>AGROSUPER SHANGHAI</v>
          </cell>
          <cell r="C313">
            <v>1022753</v>
          </cell>
          <cell r="D313">
            <v>168000</v>
          </cell>
        </row>
        <row r="314">
          <cell r="A314" t="str">
            <v/>
          </cell>
          <cell r="B314" t="str">
            <v>AGROSUPER SHANGHAI</v>
          </cell>
          <cell r="C314">
            <v>1022856</v>
          </cell>
          <cell r="D314">
            <v>80000</v>
          </cell>
        </row>
        <row r="315">
          <cell r="A315" t="str">
            <v/>
          </cell>
          <cell r="B315" t="str">
            <v>AGROSUPER SHANGHAI</v>
          </cell>
          <cell r="C315">
            <v>1022936</v>
          </cell>
          <cell r="D315">
            <v>3920</v>
          </cell>
        </row>
        <row r="316">
          <cell r="A316" t="str">
            <v/>
          </cell>
          <cell r="B316" t="str">
            <v>AGROSUPER SHANGHAI</v>
          </cell>
          <cell r="C316">
            <v>1022939</v>
          </cell>
          <cell r="D316">
            <v>5060</v>
          </cell>
        </row>
        <row r="317">
          <cell r="A317" t="str">
            <v/>
          </cell>
          <cell r="B317" t="str">
            <v>AGROSUPER SHANGHAI</v>
          </cell>
          <cell r="C317">
            <v>1022940</v>
          </cell>
          <cell r="D317">
            <v>32000</v>
          </cell>
        </row>
        <row r="318">
          <cell r="A318" t="str">
            <v/>
          </cell>
          <cell r="B318" t="str">
            <v>AGROSUPER SHANGHAI</v>
          </cell>
          <cell r="C318">
            <v>1022941</v>
          </cell>
          <cell r="D318">
            <v>24000</v>
          </cell>
        </row>
        <row r="319">
          <cell r="A319" t="str">
            <v/>
          </cell>
          <cell r="B319" t="str">
            <v>AGROSUPER SHANGHAI</v>
          </cell>
          <cell r="C319">
            <v>1022945</v>
          </cell>
          <cell r="D319">
            <v>192000</v>
          </cell>
        </row>
        <row r="320">
          <cell r="A320" t="str">
            <v/>
          </cell>
          <cell r="B320" t="str">
            <v>AGROSUPER SHANGHAI</v>
          </cell>
          <cell r="C320">
            <v>1022995</v>
          </cell>
          <cell r="D320">
            <v>2000</v>
          </cell>
        </row>
        <row r="321">
          <cell r="A321" t="str">
            <v/>
          </cell>
          <cell r="B321" t="str">
            <v>AGROSUPER SHANGHAI</v>
          </cell>
          <cell r="C321">
            <v>1023034</v>
          </cell>
          <cell r="D321">
            <v>24000</v>
          </cell>
        </row>
        <row r="322">
          <cell r="A322" t="str">
            <v/>
          </cell>
          <cell r="B322" t="str">
            <v>AGROSUPER SHANGHAI</v>
          </cell>
          <cell r="C322">
            <v>1023035</v>
          </cell>
          <cell r="D322">
            <v>24000</v>
          </cell>
        </row>
        <row r="323">
          <cell r="A323" t="str">
            <v/>
          </cell>
          <cell r="B323" t="str">
            <v>AGROSUPER SHANGHAI</v>
          </cell>
          <cell r="C323">
            <v>1023093</v>
          </cell>
          <cell r="D323">
            <v>52000</v>
          </cell>
        </row>
        <row r="324">
          <cell r="A324" t="str">
            <v/>
          </cell>
          <cell r="B324" t="str">
            <v>AGROSUPER SHANGHAI</v>
          </cell>
          <cell r="C324">
            <v>1023110</v>
          </cell>
          <cell r="D324">
            <v>120000</v>
          </cell>
        </row>
        <row r="325">
          <cell r="A325" t="str">
            <v/>
          </cell>
          <cell r="B325" t="str">
            <v>AGROSUPER SHANGHAI</v>
          </cell>
          <cell r="C325">
            <v>1023126</v>
          </cell>
          <cell r="D325">
            <v>3280</v>
          </cell>
        </row>
        <row r="326">
          <cell r="A326" t="str">
            <v/>
          </cell>
          <cell r="B326" t="str">
            <v>AGROSUPER SHANGHAI</v>
          </cell>
          <cell r="C326">
            <v>1023143</v>
          </cell>
          <cell r="D326">
            <v>1000</v>
          </cell>
        </row>
        <row r="327">
          <cell r="A327" t="str">
            <v/>
          </cell>
          <cell r="B327" t="str">
            <v>AGROSUPER SHANGHAI</v>
          </cell>
          <cell r="C327">
            <v>1023157</v>
          </cell>
          <cell r="D327">
            <v>3500</v>
          </cell>
        </row>
        <row r="328">
          <cell r="A328" t="str">
            <v/>
          </cell>
          <cell r="B328" t="str">
            <v>AGROSUPER SHANGHAI</v>
          </cell>
          <cell r="C328">
            <v>1023291</v>
          </cell>
          <cell r="D328">
            <v>24000</v>
          </cell>
        </row>
        <row r="329">
          <cell r="A329" t="str">
            <v/>
          </cell>
          <cell r="B329" t="str">
            <v>AGROSUPER SHANGHAI</v>
          </cell>
          <cell r="C329">
            <v>1023306</v>
          </cell>
          <cell r="D329">
            <v>48000</v>
          </cell>
        </row>
        <row r="330">
          <cell r="A330" t="str">
            <v/>
          </cell>
          <cell r="B330" t="str">
            <v>AGROSUPER SHANGHAI</v>
          </cell>
          <cell r="C330">
            <v>1023354</v>
          </cell>
          <cell r="D330">
            <v>24000</v>
          </cell>
        </row>
        <row r="331">
          <cell r="A331" t="str">
            <v/>
          </cell>
          <cell r="B331" t="str">
            <v>AGROSUPER SHANGHAI</v>
          </cell>
          <cell r="C331">
            <v>1023362</v>
          </cell>
          <cell r="D331">
            <v>15522</v>
          </cell>
        </row>
        <row r="332">
          <cell r="A332" t="str">
            <v/>
          </cell>
          <cell r="B332" t="str">
            <v>AGROSUPER SHANGHAI</v>
          </cell>
          <cell r="C332">
            <v>1023363</v>
          </cell>
          <cell r="D332">
            <v>13686</v>
          </cell>
        </row>
        <row r="333">
          <cell r="A333" t="str">
            <v/>
          </cell>
          <cell r="B333" t="str">
            <v>AGROSUPER SHANGHAI</v>
          </cell>
          <cell r="C333">
            <v>1023364</v>
          </cell>
          <cell r="D333">
            <v>500</v>
          </cell>
        </row>
        <row r="334">
          <cell r="A334" t="str">
            <v/>
          </cell>
          <cell r="B334" t="str">
            <v>AGROSUPER SHANGHAI</v>
          </cell>
          <cell r="C334">
            <v>1023365</v>
          </cell>
          <cell r="D334">
            <v>313</v>
          </cell>
        </row>
        <row r="335">
          <cell r="A335" t="str">
            <v/>
          </cell>
          <cell r="B335" t="str">
            <v>AGROSUPER SHANGHAI</v>
          </cell>
          <cell r="C335">
            <v>1023366</v>
          </cell>
          <cell r="D335">
            <v>557</v>
          </cell>
        </row>
        <row r="336">
          <cell r="A336" t="str">
            <v/>
          </cell>
          <cell r="B336" t="str">
            <v>AGROSUPER SHANGHAI</v>
          </cell>
          <cell r="C336">
            <v>1023367</v>
          </cell>
          <cell r="D336">
            <v>3177</v>
          </cell>
        </row>
        <row r="337">
          <cell r="A337" t="str">
            <v/>
          </cell>
          <cell r="B337" t="str">
            <v>AGROSUPER SHANGHAI</v>
          </cell>
          <cell r="C337">
            <v>1023368</v>
          </cell>
          <cell r="D337">
            <v>14244</v>
          </cell>
        </row>
        <row r="338">
          <cell r="A338" t="str">
            <v/>
          </cell>
          <cell r="B338" t="str">
            <v>AGROSUPER SHANGHAI</v>
          </cell>
          <cell r="C338">
            <v>1030388</v>
          </cell>
          <cell r="D338">
            <v>12000</v>
          </cell>
        </row>
        <row r="339">
          <cell r="A339" t="str">
            <v/>
          </cell>
          <cell r="B339" t="str">
            <v>AGROSUPER SHANGHAI</v>
          </cell>
          <cell r="C339">
            <v>1030389</v>
          </cell>
          <cell r="D339">
            <v>4455</v>
          </cell>
        </row>
        <row r="340">
          <cell r="A340" t="str">
            <v/>
          </cell>
          <cell r="B340" t="str">
            <v>AGROSUPER SHANGHAI</v>
          </cell>
          <cell r="C340">
            <v>1030419</v>
          </cell>
          <cell r="D340">
            <v>24000</v>
          </cell>
        </row>
        <row r="341">
          <cell r="A341" t="str">
            <v/>
          </cell>
          <cell r="B341" t="str">
            <v>AGROSUPER SHANGHAI</v>
          </cell>
          <cell r="C341">
            <v>1030506</v>
          </cell>
          <cell r="D341">
            <v>1380</v>
          </cell>
        </row>
        <row r="342">
          <cell r="A342" t="str">
            <v/>
          </cell>
          <cell r="B342" t="str">
            <v>AGROSUPER SHANGHAI</v>
          </cell>
          <cell r="C342">
            <v>1030525</v>
          </cell>
          <cell r="D342">
            <v>48000</v>
          </cell>
        </row>
        <row r="343">
          <cell r="A343" t="str">
            <v/>
          </cell>
          <cell r="B343" t="str">
            <v>AGROSUPER SHANGHAI</v>
          </cell>
          <cell r="C343">
            <v>1030566</v>
          </cell>
          <cell r="D343">
            <v>24000</v>
          </cell>
        </row>
        <row r="344">
          <cell r="A344" t="str">
            <v/>
          </cell>
          <cell r="B344" t="str">
            <v>AGROSUPER SHANGHAI</v>
          </cell>
          <cell r="C344">
            <v>1030683</v>
          </cell>
          <cell r="D344">
            <v>216000</v>
          </cell>
        </row>
        <row r="345">
          <cell r="A345" t="str">
            <v/>
          </cell>
          <cell r="B345" t="str">
            <v>AGROSUPER SHANGHAI</v>
          </cell>
          <cell r="C345">
            <v>1030684</v>
          </cell>
          <cell r="D345">
            <v>24000</v>
          </cell>
        </row>
        <row r="346">
          <cell r="A346" t="str">
            <v/>
          </cell>
          <cell r="B346" t="str">
            <v>AGROSUPER SHANGHAI</v>
          </cell>
          <cell r="C346">
            <v>1030685</v>
          </cell>
          <cell r="D346">
            <v>96000</v>
          </cell>
        </row>
        <row r="347">
          <cell r="A347" t="str">
            <v/>
          </cell>
          <cell r="B347" t="str">
            <v>AGROSUPER SHANGHAI</v>
          </cell>
          <cell r="C347">
            <v>1030686</v>
          </cell>
          <cell r="D347">
            <v>72000</v>
          </cell>
        </row>
        <row r="348">
          <cell r="A348" t="str">
            <v/>
          </cell>
          <cell r="B348" t="str">
            <v>AGROSUPER SHANGHAI</v>
          </cell>
          <cell r="C348">
            <v>1030743</v>
          </cell>
          <cell r="D348">
            <v>5000</v>
          </cell>
        </row>
        <row r="349">
          <cell r="A349" t="str">
            <v/>
          </cell>
          <cell r="B349" t="str">
            <v>ANDES ASIA</v>
          </cell>
          <cell r="C349">
            <v>1012326</v>
          </cell>
          <cell r="D349">
            <v>14000</v>
          </cell>
        </row>
        <row r="350">
          <cell r="A350" t="str">
            <v/>
          </cell>
          <cell r="B350" t="str">
            <v>ANDES ASIA</v>
          </cell>
          <cell r="C350">
            <v>1021921</v>
          </cell>
          <cell r="D350">
            <v>2000</v>
          </cell>
        </row>
        <row r="351">
          <cell r="A351" t="str">
            <v/>
          </cell>
          <cell r="B351" t="str">
            <v>ANDES ASIA</v>
          </cell>
          <cell r="C351">
            <v>1021922</v>
          </cell>
          <cell r="D351">
            <v>2000</v>
          </cell>
        </row>
        <row r="352">
          <cell r="A352" t="str">
            <v/>
          </cell>
          <cell r="B352" t="str">
            <v>ANDES ASIA</v>
          </cell>
          <cell r="C352">
            <v>1021924</v>
          </cell>
          <cell r="D352">
            <v>46000</v>
          </cell>
        </row>
        <row r="353">
          <cell r="A353" t="str">
            <v/>
          </cell>
          <cell r="B353" t="str">
            <v>ANDES ASIA</v>
          </cell>
          <cell r="C353">
            <v>1021925</v>
          </cell>
          <cell r="D353">
            <v>61000</v>
          </cell>
        </row>
        <row r="354">
          <cell r="A354" t="str">
            <v/>
          </cell>
          <cell r="B354" t="str">
            <v>ANDES ASIA</v>
          </cell>
          <cell r="C354">
            <v>1021929</v>
          </cell>
          <cell r="D354">
            <v>3000</v>
          </cell>
        </row>
        <row r="355">
          <cell r="A355" t="str">
            <v/>
          </cell>
          <cell r="B355" t="str">
            <v>ANDES ASIA</v>
          </cell>
          <cell r="C355">
            <v>1021931</v>
          </cell>
          <cell r="D355">
            <v>25000</v>
          </cell>
        </row>
        <row r="356">
          <cell r="A356" t="str">
            <v/>
          </cell>
          <cell r="B356" t="str">
            <v>ANDES ASIA</v>
          </cell>
          <cell r="C356">
            <v>1021936</v>
          </cell>
          <cell r="D356">
            <v>312000</v>
          </cell>
        </row>
        <row r="357">
          <cell r="A357" t="str">
            <v/>
          </cell>
          <cell r="B357" t="str">
            <v>ANDES ASIA</v>
          </cell>
          <cell r="C357">
            <v>1021944</v>
          </cell>
          <cell r="D357">
            <v>11400</v>
          </cell>
        </row>
        <row r="358">
          <cell r="A358" t="str">
            <v/>
          </cell>
          <cell r="B358" t="str">
            <v>ANDES ASIA</v>
          </cell>
          <cell r="C358">
            <v>1021945</v>
          </cell>
          <cell r="D358">
            <v>11400</v>
          </cell>
        </row>
        <row r="359">
          <cell r="A359" t="str">
            <v/>
          </cell>
          <cell r="B359" t="str">
            <v>ANDES ASIA</v>
          </cell>
          <cell r="C359">
            <v>1021952</v>
          </cell>
          <cell r="D359">
            <v>7000</v>
          </cell>
        </row>
        <row r="360">
          <cell r="A360" t="str">
            <v/>
          </cell>
          <cell r="B360" t="str">
            <v>ANDES ASIA</v>
          </cell>
          <cell r="C360">
            <v>1021987</v>
          </cell>
          <cell r="D360">
            <v>20000</v>
          </cell>
        </row>
        <row r="361">
          <cell r="A361" t="str">
            <v/>
          </cell>
          <cell r="B361" t="str">
            <v>ANDES ASIA</v>
          </cell>
          <cell r="C361">
            <v>1022101</v>
          </cell>
          <cell r="D361">
            <v>4000</v>
          </cell>
        </row>
        <row r="362">
          <cell r="A362" t="str">
            <v/>
          </cell>
          <cell r="B362" t="str">
            <v>ANDES ASIA</v>
          </cell>
          <cell r="C362">
            <v>1022128</v>
          </cell>
          <cell r="D362">
            <v>11000</v>
          </cell>
        </row>
        <row r="363">
          <cell r="A363" t="str">
            <v/>
          </cell>
          <cell r="B363" t="str">
            <v>ANDES ASIA</v>
          </cell>
          <cell r="C363">
            <v>1022141</v>
          </cell>
          <cell r="D363">
            <v>50000</v>
          </cell>
        </row>
        <row r="364">
          <cell r="A364" t="str">
            <v/>
          </cell>
          <cell r="B364" t="str">
            <v>ANDES ASIA</v>
          </cell>
          <cell r="C364">
            <v>1022142</v>
          </cell>
          <cell r="D364">
            <v>20000</v>
          </cell>
        </row>
        <row r="365">
          <cell r="A365" t="str">
            <v/>
          </cell>
          <cell r="B365" t="str">
            <v>ANDES ASIA</v>
          </cell>
          <cell r="C365">
            <v>1022293</v>
          </cell>
          <cell r="D365">
            <v>6000</v>
          </cell>
        </row>
        <row r="366">
          <cell r="A366" t="str">
            <v/>
          </cell>
          <cell r="B366" t="str">
            <v>ANDES ASIA</v>
          </cell>
          <cell r="C366">
            <v>1022398</v>
          </cell>
          <cell r="D366">
            <v>66000</v>
          </cell>
        </row>
        <row r="367">
          <cell r="A367" t="str">
            <v/>
          </cell>
          <cell r="B367" t="str">
            <v>ANDES ASIA</v>
          </cell>
          <cell r="C367">
            <v>1022413</v>
          </cell>
          <cell r="D367">
            <v>12000</v>
          </cell>
        </row>
        <row r="368">
          <cell r="A368" t="str">
            <v/>
          </cell>
          <cell r="B368" t="str">
            <v>ANDES ASIA</v>
          </cell>
          <cell r="C368">
            <v>1022515</v>
          </cell>
          <cell r="D368">
            <v>38000</v>
          </cell>
        </row>
        <row r="369">
          <cell r="A369" t="str">
            <v/>
          </cell>
          <cell r="B369" t="str">
            <v>ANDES ASIA</v>
          </cell>
          <cell r="C369">
            <v>1022561</v>
          </cell>
          <cell r="D369">
            <v>6000</v>
          </cell>
        </row>
        <row r="370">
          <cell r="A370" t="str">
            <v/>
          </cell>
          <cell r="B370" t="str">
            <v>ANDES ASIA</v>
          </cell>
          <cell r="C370">
            <v>1022570</v>
          </cell>
          <cell r="D370">
            <v>1000</v>
          </cell>
        </row>
        <row r="371">
          <cell r="A371" t="str">
            <v/>
          </cell>
          <cell r="B371" t="str">
            <v>ANDES ASIA</v>
          </cell>
          <cell r="C371">
            <v>1022621</v>
          </cell>
          <cell r="D371">
            <v>51000</v>
          </cell>
        </row>
        <row r="372">
          <cell r="A372" t="str">
            <v/>
          </cell>
          <cell r="B372" t="str">
            <v>ANDES ASIA</v>
          </cell>
          <cell r="C372">
            <v>1022751</v>
          </cell>
          <cell r="D372">
            <v>48000</v>
          </cell>
        </row>
        <row r="373">
          <cell r="A373" t="str">
            <v/>
          </cell>
          <cell r="B373" t="str">
            <v>ANDES ASIA</v>
          </cell>
          <cell r="C373">
            <v>1022794</v>
          </cell>
          <cell r="D373">
            <v>0</v>
          </cell>
        </row>
        <row r="374">
          <cell r="A374" t="str">
            <v/>
          </cell>
          <cell r="B374" t="str">
            <v>ANDES ASIA</v>
          </cell>
          <cell r="C374">
            <v>1022863</v>
          </cell>
          <cell r="D374">
            <v>123000</v>
          </cell>
        </row>
        <row r="375">
          <cell r="A375" t="str">
            <v/>
          </cell>
          <cell r="B375" t="str">
            <v>ANDES ASIA</v>
          </cell>
          <cell r="C375">
            <v>1022864</v>
          </cell>
          <cell r="D375">
            <v>120200</v>
          </cell>
        </row>
        <row r="376">
          <cell r="A376" t="str">
            <v/>
          </cell>
          <cell r="B376" t="str">
            <v>ANDES ASIA</v>
          </cell>
          <cell r="C376">
            <v>1022865</v>
          </cell>
          <cell r="D376">
            <v>79000</v>
          </cell>
        </row>
        <row r="377">
          <cell r="A377" t="str">
            <v/>
          </cell>
          <cell r="B377" t="str">
            <v>ANDES ASIA</v>
          </cell>
          <cell r="C377">
            <v>1022866</v>
          </cell>
          <cell r="D377">
            <v>60000</v>
          </cell>
        </row>
        <row r="378">
          <cell r="A378" t="str">
            <v/>
          </cell>
          <cell r="B378" t="str">
            <v>ANDES ASIA</v>
          </cell>
          <cell r="C378">
            <v>1022914</v>
          </cell>
          <cell r="D378">
            <v>24000</v>
          </cell>
        </row>
        <row r="379">
          <cell r="A379" t="str">
            <v/>
          </cell>
          <cell r="B379" t="str">
            <v>ANDES ASIA</v>
          </cell>
          <cell r="C379">
            <v>1022918</v>
          </cell>
          <cell r="D379">
            <v>96000</v>
          </cell>
        </row>
        <row r="380">
          <cell r="A380" t="str">
            <v/>
          </cell>
          <cell r="B380" t="str">
            <v>ANDES ASIA</v>
          </cell>
          <cell r="C380">
            <v>1022989</v>
          </cell>
          <cell r="D380">
            <v>40000</v>
          </cell>
        </row>
        <row r="381">
          <cell r="A381" t="str">
            <v/>
          </cell>
          <cell r="B381" t="str">
            <v>ANDES ASIA</v>
          </cell>
          <cell r="C381">
            <v>1023123</v>
          </cell>
          <cell r="D381">
            <v>3000</v>
          </cell>
        </row>
        <row r="382">
          <cell r="A382" t="str">
            <v/>
          </cell>
          <cell r="B382" t="str">
            <v>ANDES ASIA</v>
          </cell>
          <cell r="C382">
            <v>1023184</v>
          </cell>
          <cell r="D382">
            <v>3000</v>
          </cell>
        </row>
        <row r="383">
          <cell r="A383" t="str">
            <v/>
          </cell>
          <cell r="B383" t="str">
            <v>ANDES ASIA</v>
          </cell>
          <cell r="C383">
            <v>1023247</v>
          </cell>
          <cell r="D383">
            <v>1000</v>
          </cell>
        </row>
        <row r="384">
          <cell r="A384" t="str">
            <v/>
          </cell>
          <cell r="B384" t="str">
            <v>ANDES ASIA</v>
          </cell>
          <cell r="C384">
            <v>1023265</v>
          </cell>
          <cell r="D384">
            <v>5000</v>
          </cell>
        </row>
        <row r="385">
          <cell r="A385" t="str">
            <v/>
          </cell>
          <cell r="B385" t="str">
            <v>EXPORTACION DIRECTA</v>
          </cell>
          <cell r="C385">
            <v>1020105</v>
          </cell>
          <cell r="D385">
            <v>46500</v>
          </cell>
        </row>
        <row r="386">
          <cell r="A386" t="str">
            <v/>
          </cell>
          <cell r="B386" t="str">
            <v>EXPORTACION DIRECTA</v>
          </cell>
          <cell r="C386">
            <v>1020110</v>
          </cell>
          <cell r="D386">
            <v>758810</v>
          </cell>
        </row>
        <row r="387">
          <cell r="A387" t="str">
            <v/>
          </cell>
          <cell r="B387" t="str">
            <v>EXPORTACION DIRECTA</v>
          </cell>
          <cell r="C387">
            <v>1020284</v>
          </cell>
          <cell r="D387">
            <v>2500</v>
          </cell>
        </row>
        <row r="388">
          <cell r="A388" t="str">
            <v/>
          </cell>
          <cell r="B388" t="str">
            <v>EXPORTACION DIRECTA</v>
          </cell>
          <cell r="C388">
            <v>1020326</v>
          </cell>
          <cell r="D388">
            <v>96000</v>
          </cell>
        </row>
        <row r="389">
          <cell r="A389" t="str">
            <v/>
          </cell>
          <cell r="B389" t="str">
            <v>EXPORTACION DIRECTA</v>
          </cell>
          <cell r="C389">
            <v>1020589</v>
          </cell>
          <cell r="D389">
            <v>96000</v>
          </cell>
        </row>
        <row r="390">
          <cell r="A390" t="str">
            <v/>
          </cell>
          <cell r="B390" t="str">
            <v>EXPORTACION DIRECTA</v>
          </cell>
          <cell r="C390">
            <v>1020592</v>
          </cell>
          <cell r="D390">
            <v>202140</v>
          </cell>
        </row>
        <row r="391">
          <cell r="A391" t="str">
            <v/>
          </cell>
          <cell r="B391" t="str">
            <v>EXPORTACION DIRECTA</v>
          </cell>
          <cell r="C391">
            <v>1020620</v>
          </cell>
          <cell r="D391">
            <v>28000</v>
          </cell>
        </row>
        <row r="392">
          <cell r="A392" t="str">
            <v/>
          </cell>
          <cell r="B392" t="str">
            <v>EXPORTACION DIRECTA</v>
          </cell>
          <cell r="C392">
            <v>1020636</v>
          </cell>
          <cell r="D392">
            <v>14500</v>
          </cell>
        </row>
        <row r="393">
          <cell r="A393" t="str">
            <v/>
          </cell>
          <cell r="B393" t="str">
            <v>EXPORTACION DIRECTA</v>
          </cell>
          <cell r="C393">
            <v>1020637</v>
          </cell>
          <cell r="D393">
            <v>195250</v>
          </cell>
        </row>
        <row r="394">
          <cell r="A394" t="str">
            <v/>
          </cell>
          <cell r="B394" t="str">
            <v>EXPORTACION DIRECTA</v>
          </cell>
          <cell r="C394">
            <v>1020662</v>
          </cell>
          <cell r="D394">
            <v>23000</v>
          </cell>
        </row>
        <row r="395">
          <cell r="A395" t="str">
            <v/>
          </cell>
          <cell r="B395" t="str">
            <v>EXPORTACION DIRECTA</v>
          </cell>
          <cell r="C395">
            <v>1020664</v>
          </cell>
          <cell r="D395">
            <v>3000</v>
          </cell>
        </row>
        <row r="396">
          <cell r="A396" t="str">
            <v/>
          </cell>
          <cell r="B396" t="str">
            <v>EXPORTACION DIRECTA</v>
          </cell>
          <cell r="C396">
            <v>1020665</v>
          </cell>
          <cell r="D396">
            <v>9100</v>
          </cell>
        </row>
        <row r="397">
          <cell r="A397" t="str">
            <v/>
          </cell>
          <cell r="B397" t="str">
            <v>EXPORTACION DIRECTA</v>
          </cell>
          <cell r="C397">
            <v>1020678</v>
          </cell>
          <cell r="D397">
            <v>500</v>
          </cell>
        </row>
        <row r="398">
          <cell r="A398" t="str">
            <v/>
          </cell>
          <cell r="B398" t="str">
            <v>EXPORTACION DIRECTA</v>
          </cell>
          <cell r="C398">
            <v>1020681</v>
          </cell>
          <cell r="D398">
            <v>19000</v>
          </cell>
        </row>
        <row r="399">
          <cell r="A399" t="str">
            <v/>
          </cell>
          <cell r="B399" t="str">
            <v>EXPORTACION DIRECTA</v>
          </cell>
          <cell r="C399">
            <v>1020704</v>
          </cell>
          <cell r="D399">
            <v>1500</v>
          </cell>
        </row>
        <row r="400">
          <cell r="A400" t="str">
            <v/>
          </cell>
          <cell r="B400" t="str">
            <v>EXPORTACION DIRECTA</v>
          </cell>
          <cell r="C400">
            <v>1020715</v>
          </cell>
          <cell r="D400">
            <v>2000</v>
          </cell>
        </row>
        <row r="401">
          <cell r="A401" t="str">
            <v/>
          </cell>
          <cell r="B401" t="str">
            <v>EXPORTACION DIRECTA</v>
          </cell>
          <cell r="C401">
            <v>1020731</v>
          </cell>
          <cell r="D401">
            <v>14000</v>
          </cell>
        </row>
        <row r="402">
          <cell r="A402" t="str">
            <v/>
          </cell>
          <cell r="B402" t="str">
            <v>EXPORTACION DIRECTA</v>
          </cell>
          <cell r="C402">
            <v>1020758</v>
          </cell>
          <cell r="D402">
            <v>3000</v>
          </cell>
        </row>
        <row r="403">
          <cell r="A403" t="str">
            <v/>
          </cell>
          <cell r="B403" t="str">
            <v>EXPORTACION DIRECTA</v>
          </cell>
          <cell r="C403">
            <v>1020774</v>
          </cell>
          <cell r="D403">
            <v>7000</v>
          </cell>
        </row>
        <row r="404">
          <cell r="A404" t="str">
            <v/>
          </cell>
          <cell r="B404" t="str">
            <v>EXPORTACION DIRECTA</v>
          </cell>
          <cell r="C404">
            <v>1020802</v>
          </cell>
          <cell r="D404">
            <v>69500</v>
          </cell>
        </row>
        <row r="405">
          <cell r="A405" t="str">
            <v/>
          </cell>
          <cell r="B405" t="str">
            <v>EXPORTACION DIRECTA</v>
          </cell>
          <cell r="C405">
            <v>1020810</v>
          </cell>
          <cell r="D405">
            <v>2000</v>
          </cell>
        </row>
        <row r="406">
          <cell r="A406" t="str">
            <v/>
          </cell>
          <cell r="B406" t="str">
            <v>EXPORTACION DIRECTA</v>
          </cell>
          <cell r="C406">
            <v>1020914</v>
          </cell>
          <cell r="D406">
            <v>9500</v>
          </cell>
        </row>
        <row r="407">
          <cell r="A407" t="str">
            <v/>
          </cell>
          <cell r="B407" t="str">
            <v>EXPORTACION DIRECTA</v>
          </cell>
          <cell r="C407">
            <v>1020990</v>
          </cell>
          <cell r="D407">
            <v>2500</v>
          </cell>
        </row>
        <row r="408">
          <cell r="A408" t="str">
            <v/>
          </cell>
          <cell r="B408" t="str">
            <v>EXPORTACION DIRECTA</v>
          </cell>
          <cell r="C408">
            <v>1020991</v>
          </cell>
          <cell r="D408">
            <v>17400</v>
          </cell>
        </row>
        <row r="409">
          <cell r="A409" t="str">
            <v/>
          </cell>
          <cell r="B409" t="str">
            <v>EXPORTACION DIRECTA</v>
          </cell>
          <cell r="C409">
            <v>1021136</v>
          </cell>
          <cell r="D409">
            <v>8000</v>
          </cell>
        </row>
        <row r="410">
          <cell r="A410" t="str">
            <v/>
          </cell>
          <cell r="B410" t="str">
            <v>EXPORTACION DIRECTA</v>
          </cell>
          <cell r="C410">
            <v>1021533</v>
          </cell>
          <cell r="D410">
            <v>10000</v>
          </cell>
        </row>
        <row r="411">
          <cell r="A411" t="str">
            <v/>
          </cell>
          <cell r="B411" t="str">
            <v>EXPORTACION DIRECTA</v>
          </cell>
          <cell r="C411">
            <v>1021603</v>
          </cell>
          <cell r="D411">
            <v>3500</v>
          </cell>
        </row>
        <row r="412">
          <cell r="A412" t="str">
            <v/>
          </cell>
          <cell r="B412" t="str">
            <v>EXPORTACION DIRECTA</v>
          </cell>
          <cell r="C412">
            <v>1021609</v>
          </cell>
          <cell r="D412">
            <v>30000</v>
          </cell>
        </row>
        <row r="413">
          <cell r="A413" t="str">
            <v/>
          </cell>
          <cell r="B413" t="str">
            <v>EXPORTACION DIRECTA</v>
          </cell>
          <cell r="C413">
            <v>1022282</v>
          </cell>
          <cell r="D413">
            <v>2000</v>
          </cell>
        </row>
        <row r="414">
          <cell r="A414" t="str">
            <v/>
          </cell>
          <cell r="B414" t="str">
            <v>EXPORTACION DIRECTA</v>
          </cell>
          <cell r="C414">
            <v>1022313</v>
          </cell>
          <cell r="D414">
            <v>6000</v>
          </cell>
        </row>
        <row r="415">
          <cell r="A415" t="str">
            <v/>
          </cell>
          <cell r="B415" t="str">
            <v>EXPORTACION DIRECTA</v>
          </cell>
          <cell r="C415">
            <v>1022326</v>
          </cell>
          <cell r="D415">
            <v>40000</v>
          </cell>
        </row>
        <row r="416">
          <cell r="A416" t="str">
            <v/>
          </cell>
          <cell r="B416" t="str">
            <v>EXPORTACION DIRECTA</v>
          </cell>
          <cell r="C416">
            <v>1022370</v>
          </cell>
          <cell r="D416">
            <v>41000</v>
          </cell>
        </row>
        <row r="417">
          <cell r="A417" t="str">
            <v/>
          </cell>
          <cell r="B417" t="str">
            <v>EXPORTACION DIRECTA</v>
          </cell>
          <cell r="C417">
            <v>1022371</v>
          </cell>
          <cell r="D417">
            <v>9000</v>
          </cell>
        </row>
        <row r="418">
          <cell r="A418" t="str">
            <v/>
          </cell>
          <cell r="B418" t="str">
            <v>EXPORTACION DIRECTA</v>
          </cell>
          <cell r="C418">
            <v>1022472</v>
          </cell>
          <cell r="D418">
            <v>18000</v>
          </cell>
        </row>
        <row r="419">
          <cell r="A419" t="str">
            <v/>
          </cell>
          <cell r="B419" t="str">
            <v>EXPORTACION DIRECTA</v>
          </cell>
          <cell r="C419">
            <v>1022499</v>
          </cell>
          <cell r="D419">
            <v>19500</v>
          </cell>
        </row>
        <row r="420">
          <cell r="A420" t="str">
            <v/>
          </cell>
          <cell r="B420" t="str">
            <v>EXPORTACION DIRECTA</v>
          </cell>
          <cell r="C420">
            <v>1022587</v>
          </cell>
          <cell r="D420">
            <v>3000</v>
          </cell>
        </row>
        <row r="421">
          <cell r="A421" t="str">
            <v/>
          </cell>
          <cell r="B421" t="str">
            <v>EXPORTACION DIRECTA</v>
          </cell>
          <cell r="C421">
            <v>1022600</v>
          </cell>
          <cell r="D421">
            <v>20500</v>
          </cell>
        </row>
        <row r="422">
          <cell r="A422" t="str">
            <v/>
          </cell>
          <cell r="B422" t="str">
            <v>EXPORTACION DIRECTA</v>
          </cell>
          <cell r="C422">
            <v>1022664</v>
          </cell>
          <cell r="D422">
            <v>39000</v>
          </cell>
        </row>
        <row r="423">
          <cell r="A423" t="str">
            <v/>
          </cell>
          <cell r="B423" t="str">
            <v>EXPORTACION DIRECTA</v>
          </cell>
          <cell r="C423">
            <v>1022901</v>
          </cell>
          <cell r="D423">
            <v>7000</v>
          </cell>
        </row>
        <row r="424">
          <cell r="A424" t="str">
            <v/>
          </cell>
          <cell r="B424" t="str">
            <v>EXPORTACION DIRECTA</v>
          </cell>
          <cell r="C424">
            <v>1022931</v>
          </cell>
          <cell r="D424">
            <v>24000</v>
          </cell>
        </row>
        <row r="425">
          <cell r="A425" t="str">
            <v/>
          </cell>
          <cell r="B425" t="str">
            <v>EXPORTACION DIRECTA</v>
          </cell>
          <cell r="C425">
            <v>1022987</v>
          </cell>
          <cell r="D425">
            <v>48000</v>
          </cell>
        </row>
        <row r="426">
          <cell r="A426" t="str">
            <v/>
          </cell>
          <cell r="B426" t="str">
            <v>EXPORTACION DIRECTA</v>
          </cell>
          <cell r="C426">
            <v>1023051</v>
          </cell>
          <cell r="D426">
            <v>3834</v>
          </cell>
        </row>
        <row r="427">
          <cell r="A427" t="str">
            <v/>
          </cell>
          <cell r="B427" t="str">
            <v>EXPORTACION DIRECTA</v>
          </cell>
          <cell r="C427">
            <v>1023055</v>
          </cell>
          <cell r="D427">
            <v>9146</v>
          </cell>
        </row>
        <row r="428">
          <cell r="A428" t="str">
            <v/>
          </cell>
          <cell r="B428" t="str">
            <v>EXPORTACION DIRECTA</v>
          </cell>
          <cell r="C428">
            <v>1023163</v>
          </cell>
          <cell r="D428">
            <v>20000</v>
          </cell>
        </row>
        <row r="429">
          <cell r="A429" t="str">
            <v/>
          </cell>
          <cell r="B429" t="str">
            <v>EXPORTACION DIRECTA</v>
          </cell>
          <cell r="C429">
            <v>1023166</v>
          </cell>
          <cell r="D429">
            <v>100</v>
          </cell>
        </row>
        <row r="430">
          <cell r="A430" t="str">
            <v/>
          </cell>
          <cell r="B430" t="str">
            <v>EXPORTACION DIRECTA</v>
          </cell>
          <cell r="C430">
            <v>1023194</v>
          </cell>
          <cell r="D430">
            <v>6000</v>
          </cell>
        </row>
        <row r="431">
          <cell r="A431" t="str">
            <v/>
          </cell>
          <cell r="B431" t="str">
            <v>EXPORTACION DIRECTA</v>
          </cell>
          <cell r="C431">
            <v>1023301</v>
          </cell>
          <cell r="D431">
            <v>23500</v>
          </cell>
        </row>
        <row r="432">
          <cell r="A432" t="str">
            <v/>
          </cell>
          <cell r="B432" t="str">
            <v>EXPORTACION DIRECTA</v>
          </cell>
          <cell r="C432">
            <v>1023349</v>
          </cell>
          <cell r="D432">
            <v>7500</v>
          </cell>
        </row>
        <row r="433">
          <cell r="A433" t="str">
            <v/>
          </cell>
          <cell r="B433" t="str">
            <v>EXPORTACION DIRECTA</v>
          </cell>
          <cell r="C433">
            <v>1023350</v>
          </cell>
          <cell r="D433">
            <v>20000</v>
          </cell>
        </row>
        <row r="434">
          <cell r="A434" t="str">
            <v/>
          </cell>
          <cell r="B434" t="str">
            <v>EXPORTACION DIRECTA</v>
          </cell>
          <cell r="C434">
            <v>1023351</v>
          </cell>
          <cell r="D434">
            <v>5000</v>
          </cell>
        </row>
        <row r="435">
          <cell r="A435" t="str">
            <v/>
          </cell>
          <cell r="B435" t="str">
            <v>EXPORTACION DIRECTA</v>
          </cell>
          <cell r="C435">
            <v>1023352</v>
          </cell>
          <cell r="D435">
            <v>163000</v>
          </cell>
        </row>
        <row r="436">
          <cell r="A436" t="str">
            <v/>
          </cell>
          <cell r="B436" t="str">
            <v>Total general</v>
          </cell>
          <cell r="D436">
            <v>28044823.948101722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1">
          <cell r="B1" t="str">
            <v xml:space="preserve">Material </v>
          </cell>
          <cell r="C1" t="str">
            <v>Volumen por contendor</v>
          </cell>
        </row>
        <row r="2">
          <cell r="B2">
            <v>1010877</v>
          </cell>
          <cell r="C2">
            <v>24000</v>
          </cell>
        </row>
        <row r="3">
          <cell r="B3">
            <v>1011042</v>
          </cell>
          <cell r="C3">
            <v>24000</v>
          </cell>
        </row>
        <row r="4">
          <cell r="B4">
            <v>1011047</v>
          </cell>
          <cell r="C4">
            <v>24000</v>
          </cell>
        </row>
        <row r="5">
          <cell r="B5">
            <v>1011290</v>
          </cell>
          <cell r="C5">
            <v>24000</v>
          </cell>
        </row>
        <row r="6">
          <cell r="B6">
            <v>1011421</v>
          </cell>
          <cell r="C6">
            <v>24000</v>
          </cell>
        </row>
        <row r="7">
          <cell r="B7">
            <v>1011422</v>
          </cell>
          <cell r="C7">
            <v>24000</v>
          </cell>
        </row>
        <row r="8">
          <cell r="B8">
            <v>1011558</v>
          </cell>
          <cell r="C8">
            <v>24000</v>
          </cell>
        </row>
        <row r="9">
          <cell r="B9">
            <v>1011582</v>
          </cell>
          <cell r="C9">
            <v>24000</v>
          </cell>
        </row>
        <row r="10">
          <cell r="B10">
            <v>1011888</v>
          </cell>
          <cell r="C10">
            <v>24000</v>
          </cell>
        </row>
        <row r="11">
          <cell r="B11">
            <v>1012207</v>
          </cell>
          <cell r="C11">
            <v>24000</v>
          </cell>
        </row>
        <row r="12">
          <cell r="B12">
            <v>1012208</v>
          </cell>
          <cell r="C12">
            <v>24000</v>
          </cell>
        </row>
        <row r="13">
          <cell r="B13">
            <v>1012283</v>
          </cell>
          <cell r="C13">
            <v>24000</v>
          </cell>
        </row>
        <row r="14">
          <cell r="B14">
            <v>1012362</v>
          </cell>
          <cell r="C14">
            <v>24000</v>
          </cell>
        </row>
        <row r="15">
          <cell r="B15">
            <v>1012552</v>
          </cell>
          <cell r="C15">
            <v>24000</v>
          </cell>
        </row>
        <row r="16">
          <cell r="B16">
            <v>1012698</v>
          </cell>
          <cell r="C16">
            <v>24000</v>
          </cell>
        </row>
        <row r="17">
          <cell r="B17">
            <v>1012699</v>
          </cell>
          <cell r="C17">
            <v>24000</v>
          </cell>
        </row>
        <row r="18">
          <cell r="B18">
            <v>1012719</v>
          </cell>
          <cell r="C18">
            <v>24000</v>
          </cell>
        </row>
        <row r="19">
          <cell r="B19">
            <v>1012744</v>
          </cell>
          <cell r="C19">
            <v>24000</v>
          </cell>
        </row>
        <row r="20">
          <cell r="B20">
            <v>1012763</v>
          </cell>
          <cell r="C20">
            <v>24000</v>
          </cell>
        </row>
        <row r="21">
          <cell r="B21">
            <v>1020017</v>
          </cell>
          <cell r="C21">
            <v>24000</v>
          </cell>
        </row>
        <row r="22">
          <cell r="B22">
            <v>1020339</v>
          </cell>
          <cell r="C22">
            <v>24000</v>
          </cell>
        </row>
        <row r="23">
          <cell r="B23">
            <v>1020349</v>
          </cell>
          <cell r="C23">
            <v>24000</v>
          </cell>
        </row>
        <row r="24">
          <cell r="B24">
            <v>1020352</v>
          </cell>
          <cell r="C24">
            <v>24000</v>
          </cell>
        </row>
        <row r="25">
          <cell r="B25">
            <v>1020367</v>
          </cell>
          <cell r="C25">
            <v>24000</v>
          </cell>
        </row>
        <row r="26">
          <cell r="B26">
            <v>1020412</v>
          </cell>
          <cell r="C26">
            <v>24000</v>
          </cell>
        </row>
        <row r="27">
          <cell r="B27">
            <v>1020828</v>
          </cell>
          <cell r="C27">
            <v>24000</v>
          </cell>
        </row>
        <row r="28">
          <cell r="B28">
            <v>1020848</v>
          </cell>
          <cell r="C28">
            <v>24000</v>
          </cell>
        </row>
        <row r="29">
          <cell r="B29">
            <v>1020869</v>
          </cell>
          <cell r="C29">
            <v>24000</v>
          </cell>
        </row>
        <row r="30">
          <cell r="B30">
            <v>1020886</v>
          </cell>
          <cell r="C30">
            <v>24000</v>
          </cell>
        </row>
        <row r="31">
          <cell r="B31">
            <v>1020915</v>
          </cell>
          <cell r="C31">
            <v>24000</v>
          </cell>
        </row>
        <row r="32">
          <cell r="B32">
            <v>1020925</v>
          </cell>
          <cell r="C32">
            <v>24000</v>
          </cell>
        </row>
        <row r="33">
          <cell r="B33">
            <v>1020944</v>
          </cell>
          <cell r="C33">
            <v>24000</v>
          </cell>
        </row>
        <row r="34">
          <cell r="B34">
            <v>1021023</v>
          </cell>
          <cell r="C34">
            <v>24000</v>
          </cell>
        </row>
        <row r="35">
          <cell r="B35">
            <v>1021039</v>
          </cell>
          <cell r="C35">
            <v>24000</v>
          </cell>
        </row>
        <row r="36">
          <cell r="B36">
            <v>1021077</v>
          </cell>
          <cell r="C36">
            <v>24000</v>
          </cell>
        </row>
        <row r="37">
          <cell r="B37">
            <v>1021078</v>
          </cell>
          <cell r="C37">
            <v>24000</v>
          </cell>
        </row>
        <row r="38">
          <cell r="B38">
            <v>1021082</v>
          </cell>
          <cell r="C38">
            <v>24000</v>
          </cell>
        </row>
        <row r="39">
          <cell r="B39">
            <v>1021092</v>
          </cell>
          <cell r="C39">
            <v>24000</v>
          </cell>
        </row>
        <row r="40">
          <cell r="B40">
            <v>1021101</v>
          </cell>
          <cell r="C40">
            <v>24000</v>
          </cell>
        </row>
        <row r="41">
          <cell r="B41">
            <v>1021105</v>
          </cell>
          <cell r="C41">
            <v>24000</v>
          </cell>
        </row>
        <row r="42">
          <cell r="B42">
            <v>1021106</v>
          </cell>
          <cell r="C42">
            <v>24000</v>
          </cell>
        </row>
        <row r="43">
          <cell r="B43">
            <v>1021111</v>
          </cell>
          <cell r="C43">
            <v>24000</v>
          </cell>
        </row>
        <row r="44">
          <cell r="B44">
            <v>1021187</v>
          </cell>
          <cell r="C44">
            <v>24000</v>
          </cell>
        </row>
        <row r="45">
          <cell r="B45">
            <v>1021287</v>
          </cell>
          <cell r="C45">
            <v>24000</v>
          </cell>
        </row>
        <row r="46">
          <cell r="B46">
            <v>1021385</v>
          </cell>
          <cell r="C46">
            <v>24000</v>
          </cell>
        </row>
        <row r="47">
          <cell r="B47">
            <v>1021435</v>
          </cell>
          <cell r="C47">
            <v>24000</v>
          </cell>
        </row>
        <row r="48">
          <cell r="B48">
            <v>1021550</v>
          </cell>
          <cell r="C48">
            <v>24000</v>
          </cell>
        </row>
        <row r="49">
          <cell r="B49">
            <v>1021622</v>
          </cell>
          <cell r="C49">
            <v>24000</v>
          </cell>
        </row>
        <row r="50">
          <cell r="B50">
            <v>1021623</v>
          </cell>
          <cell r="C50">
            <v>24000</v>
          </cell>
        </row>
        <row r="51">
          <cell r="B51">
            <v>1021639</v>
          </cell>
          <cell r="C51">
            <v>24000</v>
          </cell>
        </row>
        <row r="52">
          <cell r="B52">
            <v>1021820</v>
          </cell>
          <cell r="C52">
            <v>24000</v>
          </cell>
        </row>
        <row r="53">
          <cell r="B53">
            <v>1021868</v>
          </cell>
          <cell r="C53">
            <v>24000</v>
          </cell>
        </row>
        <row r="54">
          <cell r="B54">
            <v>1021903</v>
          </cell>
          <cell r="C54">
            <v>24000</v>
          </cell>
        </row>
        <row r="55">
          <cell r="B55">
            <v>1021976</v>
          </cell>
          <cell r="C55">
            <v>24000</v>
          </cell>
        </row>
        <row r="56">
          <cell r="B56">
            <v>1022149</v>
          </cell>
          <cell r="C56">
            <v>24000</v>
          </cell>
        </row>
        <row r="57">
          <cell r="B57">
            <v>1022150</v>
          </cell>
          <cell r="C57">
            <v>24000</v>
          </cell>
        </row>
        <row r="58">
          <cell r="B58">
            <v>1022196</v>
          </cell>
          <cell r="C58">
            <v>24000</v>
          </cell>
        </row>
        <row r="59">
          <cell r="B59">
            <v>1022197</v>
          </cell>
          <cell r="C59">
            <v>24000</v>
          </cell>
        </row>
        <row r="60">
          <cell r="B60">
            <v>1022218</v>
          </cell>
          <cell r="C60">
            <v>24000</v>
          </cell>
        </row>
        <row r="61">
          <cell r="B61">
            <v>1022273</v>
          </cell>
          <cell r="C61">
            <v>24000</v>
          </cell>
        </row>
        <row r="62">
          <cell r="B62">
            <v>1022384</v>
          </cell>
          <cell r="C62">
            <v>24000</v>
          </cell>
        </row>
        <row r="63">
          <cell r="B63">
            <v>1022406</v>
          </cell>
          <cell r="C63">
            <v>24000</v>
          </cell>
        </row>
        <row r="64">
          <cell r="B64">
            <v>1022409</v>
          </cell>
          <cell r="C64">
            <v>24000</v>
          </cell>
        </row>
        <row r="65">
          <cell r="B65">
            <v>1022418</v>
          </cell>
          <cell r="C65">
            <v>24000</v>
          </cell>
        </row>
        <row r="66">
          <cell r="B66">
            <v>1022654</v>
          </cell>
          <cell r="C66">
            <v>24000</v>
          </cell>
        </row>
        <row r="67">
          <cell r="B67">
            <v>1022709</v>
          </cell>
          <cell r="C67">
            <v>24000</v>
          </cell>
        </row>
        <row r="68">
          <cell r="B68">
            <v>1022780</v>
          </cell>
          <cell r="C68">
            <v>24000</v>
          </cell>
        </row>
        <row r="69">
          <cell r="B69">
            <v>1022781</v>
          </cell>
          <cell r="C69">
            <v>24000</v>
          </cell>
        </row>
        <row r="70">
          <cell r="B70">
            <v>1022782</v>
          </cell>
          <cell r="C70">
            <v>24000</v>
          </cell>
        </row>
        <row r="71">
          <cell r="B71">
            <v>1022783</v>
          </cell>
          <cell r="C71">
            <v>24000</v>
          </cell>
        </row>
        <row r="72">
          <cell r="B72">
            <v>1022786</v>
          </cell>
          <cell r="C72">
            <v>24000</v>
          </cell>
        </row>
        <row r="73">
          <cell r="B73">
            <v>1022847</v>
          </cell>
          <cell r="C73">
            <v>24000</v>
          </cell>
        </row>
        <row r="74">
          <cell r="B74">
            <v>1022855</v>
          </cell>
          <cell r="C74">
            <v>24000</v>
          </cell>
        </row>
        <row r="75">
          <cell r="B75">
            <v>1022921</v>
          </cell>
          <cell r="C75">
            <v>24000</v>
          </cell>
        </row>
        <row r="76">
          <cell r="B76">
            <v>1022996</v>
          </cell>
          <cell r="C76">
            <v>24000</v>
          </cell>
        </row>
        <row r="77">
          <cell r="B77">
            <v>1023295</v>
          </cell>
          <cell r="C77">
            <v>24000</v>
          </cell>
        </row>
        <row r="78">
          <cell r="B78">
            <v>1023329</v>
          </cell>
          <cell r="C78">
            <v>24000</v>
          </cell>
        </row>
        <row r="79">
          <cell r="B79">
            <v>1023331</v>
          </cell>
          <cell r="C79">
            <v>24000</v>
          </cell>
        </row>
        <row r="80">
          <cell r="B80">
            <v>1023334</v>
          </cell>
          <cell r="C80">
            <v>24000</v>
          </cell>
        </row>
        <row r="81">
          <cell r="B81">
            <v>1030224</v>
          </cell>
          <cell r="C81">
            <v>24000</v>
          </cell>
        </row>
        <row r="82">
          <cell r="B82">
            <v>1030332</v>
          </cell>
          <cell r="C82">
            <v>24000</v>
          </cell>
        </row>
        <row r="83">
          <cell r="B83">
            <v>1030545</v>
          </cell>
          <cell r="C83">
            <v>24000</v>
          </cell>
        </row>
        <row r="84">
          <cell r="B84">
            <v>1030670</v>
          </cell>
          <cell r="C84">
            <v>24000</v>
          </cell>
        </row>
        <row r="85">
          <cell r="B85">
            <v>1030720</v>
          </cell>
          <cell r="C85">
            <v>24000</v>
          </cell>
        </row>
        <row r="86">
          <cell r="B86">
            <v>1100407</v>
          </cell>
          <cell r="C86">
            <v>24000</v>
          </cell>
        </row>
        <row r="87">
          <cell r="B87">
            <v>1100408</v>
          </cell>
          <cell r="C87">
            <v>24000</v>
          </cell>
        </row>
        <row r="88">
          <cell r="B88">
            <v>1012012</v>
          </cell>
          <cell r="C88">
            <v>22000</v>
          </cell>
        </row>
        <row r="89">
          <cell r="B89">
            <v>1012612</v>
          </cell>
          <cell r="C89">
            <v>25000</v>
          </cell>
        </row>
        <row r="90">
          <cell r="B90">
            <v>1020860</v>
          </cell>
          <cell r="C90">
            <v>22000</v>
          </cell>
        </row>
        <row r="91">
          <cell r="B91">
            <v>1020861</v>
          </cell>
          <cell r="C91">
            <v>22000</v>
          </cell>
        </row>
        <row r="92">
          <cell r="B92">
            <v>1020904</v>
          </cell>
          <cell r="C92">
            <v>22000</v>
          </cell>
        </row>
        <row r="93">
          <cell r="B93">
            <v>1020905</v>
          </cell>
          <cell r="C93">
            <v>22000</v>
          </cell>
        </row>
        <row r="94">
          <cell r="B94">
            <v>1021012</v>
          </cell>
          <cell r="C94">
            <v>22000</v>
          </cell>
        </row>
        <row r="95">
          <cell r="B95">
            <v>1021045</v>
          </cell>
          <cell r="C95">
            <v>22000</v>
          </cell>
        </row>
        <row r="96">
          <cell r="B96">
            <v>1021046</v>
          </cell>
          <cell r="C96">
            <v>22000</v>
          </cell>
        </row>
        <row r="97">
          <cell r="B97">
            <v>1021149</v>
          </cell>
          <cell r="C97">
            <v>22000</v>
          </cell>
        </row>
        <row r="98">
          <cell r="B98">
            <v>1021150</v>
          </cell>
          <cell r="C98">
            <v>22000</v>
          </cell>
        </row>
        <row r="99">
          <cell r="B99">
            <v>1021151</v>
          </cell>
          <cell r="C99">
            <v>22000</v>
          </cell>
        </row>
        <row r="100">
          <cell r="B100">
            <v>1021152</v>
          </cell>
          <cell r="C100">
            <v>22000</v>
          </cell>
        </row>
        <row r="101">
          <cell r="B101">
            <v>1021156</v>
          </cell>
          <cell r="C101">
            <v>23000</v>
          </cell>
        </row>
        <row r="102">
          <cell r="B102">
            <v>1021470</v>
          </cell>
          <cell r="C102">
            <v>22000</v>
          </cell>
        </row>
        <row r="103">
          <cell r="B103">
            <v>1021664</v>
          </cell>
          <cell r="C103">
            <v>22000</v>
          </cell>
        </row>
        <row r="104">
          <cell r="B104">
            <v>1021665</v>
          </cell>
          <cell r="C104">
            <v>22000</v>
          </cell>
        </row>
        <row r="105">
          <cell r="B105">
            <v>1022182</v>
          </cell>
          <cell r="C105">
            <v>22000</v>
          </cell>
        </row>
        <row r="106">
          <cell r="B106">
            <v>1022283</v>
          </cell>
          <cell r="C106">
            <v>5000</v>
          </cell>
        </row>
        <row r="107">
          <cell r="B107">
            <v>1022607</v>
          </cell>
          <cell r="C107">
            <v>22000</v>
          </cell>
        </row>
        <row r="108">
          <cell r="B108">
            <v>1022885</v>
          </cell>
          <cell r="C108">
            <v>22000</v>
          </cell>
        </row>
        <row r="109">
          <cell r="B109">
            <v>1022887</v>
          </cell>
          <cell r="C109">
            <v>22000</v>
          </cell>
        </row>
        <row r="110">
          <cell r="B110">
            <v>1022930</v>
          </cell>
          <cell r="C110">
            <v>22000</v>
          </cell>
        </row>
        <row r="111">
          <cell r="B111">
            <v>1022985</v>
          </cell>
          <cell r="C111">
            <v>5000</v>
          </cell>
        </row>
        <row r="112">
          <cell r="B112">
            <v>1022986</v>
          </cell>
          <cell r="C112">
            <v>5000</v>
          </cell>
        </row>
        <row r="113">
          <cell r="B113">
            <v>1023037</v>
          </cell>
          <cell r="C113">
            <v>22000</v>
          </cell>
        </row>
        <row r="114">
          <cell r="B114">
            <v>1023038</v>
          </cell>
          <cell r="C114">
            <v>22000</v>
          </cell>
        </row>
        <row r="115">
          <cell r="B115">
            <v>1023090</v>
          </cell>
          <cell r="C115">
            <v>22000</v>
          </cell>
        </row>
        <row r="116">
          <cell r="B116">
            <v>1023183</v>
          </cell>
          <cell r="C116">
            <v>22000</v>
          </cell>
        </row>
        <row r="117">
          <cell r="B117">
            <v>1023283</v>
          </cell>
          <cell r="C117">
            <v>24000</v>
          </cell>
        </row>
        <row r="118">
          <cell r="B118">
            <v>1023307</v>
          </cell>
          <cell r="C118">
            <v>24000</v>
          </cell>
        </row>
        <row r="119">
          <cell r="B119">
            <v>1023326</v>
          </cell>
          <cell r="C119">
            <v>24000</v>
          </cell>
        </row>
        <row r="120">
          <cell r="B120">
            <v>1030309</v>
          </cell>
          <cell r="C120">
            <v>22000</v>
          </cell>
        </row>
        <row r="121">
          <cell r="B121">
            <v>1030535</v>
          </cell>
          <cell r="C121">
            <v>22000</v>
          </cell>
        </row>
        <row r="122">
          <cell r="B122">
            <v>1011560</v>
          </cell>
          <cell r="C122">
            <v>24000</v>
          </cell>
        </row>
        <row r="123">
          <cell r="B123">
            <v>1012362</v>
          </cell>
          <cell r="C123">
            <v>24000</v>
          </cell>
        </row>
        <row r="124">
          <cell r="B124">
            <v>1012674</v>
          </cell>
          <cell r="C124">
            <v>24000</v>
          </cell>
        </row>
        <row r="125">
          <cell r="B125">
            <v>1021864</v>
          </cell>
          <cell r="C125">
            <v>24000</v>
          </cell>
        </row>
        <row r="126">
          <cell r="B126">
            <v>1022217</v>
          </cell>
          <cell r="C126">
            <v>24000</v>
          </cell>
        </row>
        <row r="127">
          <cell r="B127">
            <v>1022218</v>
          </cell>
          <cell r="C127">
            <v>24000</v>
          </cell>
        </row>
        <row r="128">
          <cell r="B128">
            <v>1022273</v>
          </cell>
          <cell r="C128">
            <v>24000</v>
          </cell>
        </row>
        <row r="129">
          <cell r="B129">
            <v>1023329</v>
          </cell>
          <cell r="C129">
            <v>24000</v>
          </cell>
        </row>
        <row r="130">
          <cell r="B130">
            <v>1023334</v>
          </cell>
          <cell r="C130">
            <v>24000</v>
          </cell>
        </row>
        <row r="131">
          <cell r="B131">
            <v>1023336</v>
          </cell>
          <cell r="C131">
            <v>24000</v>
          </cell>
        </row>
        <row r="132">
          <cell r="B132">
            <v>1011586</v>
          </cell>
          <cell r="C132">
            <v>24000</v>
          </cell>
        </row>
        <row r="133">
          <cell r="B133">
            <v>1011967</v>
          </cell>
          <cell r="C133">
            <v>24000</v>
          </cell>
        </row>
        <row r="134">
          <cell r="B134">
            <v>1011968</v>
          </cell>
          <cell r="C134">
            <v>24000</v>
          </cell>
        </row>
        <row r="135">
          <cell r="B135">
            <v>1011969</v>
          </cell>
          <cell r="C135">
            <v>24000</v>
          </cell>
        </row>
        <row r="136">
          <cell r="B136">
            <v>1012005</v>
          </cell>
          <cell r="C136">
            <v>24000</v>
          </cell>
        </row>
        <row r="137">
          <cell r="B137">
            <v>1012312</v>
          </cell>
          <cell r="C137">
            <v>24000</v>
          </cell>
        </row>
        <row r="138">
          <cell r="B138">
            <v>1012448</v>
          </cell>
          <cell r="C138">
            <v>24000</v>
          </cell>
        </row>
        <row r="139">
          <cell r="B139">
            <v>1012452</v>
          </cell>
          <cell r="C139">
            <v>24000</v>
          </cell>
        </row>
        <row r="140">
          <cell r="B140">
            <v>1012455</v>
          </cell>
          <cell r="C140">
            <v>24000</v>
          </cell>
        </row>
        <row r="141">
          <cell r="B141">
            <v>1012502</v>
          </cell>
          <cell r="C141">
            <v>24000</v>
          </cell>
        </row>
        <row r="142">
          <cell r="B142">
            <v>1012503</v>
          </cell>
          <cell r="C142">
            <v>24000</v>
          </cell>
        </row>
        <row r="143">
          <cell r="B143">
            <v>1012504</v>
          </cell>
          <cell r="C143">
            <v>24000</v>
          </cell>
        </row>
        <row r="144">
          <cell r="B144">
            <v>1012525</v>
          </cell>
          <cell r="C144">
            <v>24000</v>
          </cell>
        </row>
        <row r="145">
          <cell r="B145">
            <v>1012527</v>
          </cell>
          <cell r="C145">
            <v>24000</v>
          </cell>
        </row>
        <row r="146">
          <cell r="B146">
            <v>1012598</v>
          </cell>
          <cell r="C146">
            <v>24000</v>
          </cell>
        </row>
        <row r="147">
          <cell r="B147">
            <v>1021115</v>
          </cell>
          <cell r="C147">
            <v>24000</v>
          </cell>
        </row>
        <row r="148">
          <cell r="B148">
            <v>1021731</v>
          </cell>
          <cell r="C148">
            <v>24000</v>
          </cell>
        </row>
        <row r="149">
          <cell r="B149">
            <v>1021732</v>
          </cell>
          <cell r="C149">
            <v>24000</v>
          </cell>
        </row>
        <row r="150">
          <cell r="B150">
            <v>1021735</v>
          </cell>
          <cell r="C150">
            <v>24000</v>
          </cell>
        </row>
        <row r="151">
          <cell r="B151">
            <v>1021737</v>
          </cell>
          <cell r="C151">
            <v>24000</v>
          </cell>
        </row>
        <row r="152">
          <cell r="B152">
            <v>1021738</v>
          </cell>
          <cell r="C152">
            <v>24000</v>
          </cell>
        </row>
        <row r="153">
          <cell r="B153">
            <v>1021739</v>
          </cell>
          <cell r="C153">
            <v>24000</v>
          </cell>
        </row>
        <row r="154">
          <cell r="B154">
            <v>1021766</v>
          </cell>
          <cell r="C154">
            <v>24000</v>
          </cell>
        </row>
        <row r="155">
          <cell r="B155">
            <v>1021767</v>
          </cell>
          <cell r="C155">
            <v>24000</v>
          </cell>
        </row>
        <row r="156">
          <cell r="B156">
            <v>1021774</v>
          </cell>
          <cell r="C156">
            <v>24000</v>
          </cell>
        </row>
        <row r="157">
          <cell r="B157">
            <v>1021971</v>
          </cell>
          <cell r="C157">
            <v>24000</v>
          </cell>
        </row>
        <row r="158">
          <cell r="B158">
            <v>1021992</v>
          </cell>
          <cell r="C158">
            <v>24000</v>
          </cell>
        </row>
        <row r="159">
          <cell r="B159">
            <v>1022033</v>
          </cell>
          <cell r="C159">
            <v>24000</v>
          </cell>
        </row>
        <row r="160">
          <cell r="B160">
            <v>1022073</v>
          </cell>
          <cell r="C160">
            <v>24000</v>
          </cell>
        </row>
        <row r="161">
          <cell r="B161">
            <v>1022080</v>
          </cell>
          <cell r="C161">
            <v>24000</v>
          </cell>
        </row>
        <row r="162">
          <cell r="B162">
            <v>1022096</v>
          </cell>
          <cell r="C162">
            <v>24000</v>
          </cell>
        </row>
        <row r="163">
          <cell r="B163">
            <v>1022099</v>
          </cell>
          <cell r="C163">
            <v>24000</v>
          </cell>
        </row>
        <row r="164">
          <cell r="B164">
            <v>1022125</v>
          </cell>
          <cell r="C164">
            <v>24000</v>
          </cell>
        </row>
        <row r="165">
          <cell r="B165">
            <v>1022169</v>
          </cell>
          <cell r="C165">
            <v>24000</v>
          </cell>
        </row>
        <row r="166">
          <cell r="B166">
            <v>1022183</v>
          </cell>
          <cell r="C166">
            <v>24000</v>
          </cell>
        </row>
        <row r="167">
          <cell r="B167">
            <v>1022186</v>
          </cell>
          <cell r="C167">
            <v>24000</v>
          </cell>
        </row>
        <row r="168">
          <cell r="B168">
            <v>1022193</v>
          </cell>
          <cell r="C168">
            <v>24000</v>
          </cell>
        </row>
        <row r="169">
          <cell r="B169">
            <v>1022212</v>
          </cell>
          <cell r="C169">
            <v>24000</v>
          </cell>
        </row>
        <row r="170">
          <cell r="B170">
            <v>1022291</v>
          </cell>
          <cell r="C170">
            <v>24000</v>
          </cell>
        </row>
        <row r="171">
          <cell r="B171">
            <v>1022373</v>
          </cell>
          <cell r="C171">
            <v>24000</v>
          </cell>
        </row>
        <row r="172">
          <cell r="B172">
            <v>1022378</v>
          </cell>
          <cell r="C172">
            <v>24000</v>
          </cell>
        </row>
        <row r="173">
          <cell r="B173">
            <v>1022379</v>
          </cell>
          <cell r="C173">
            <v>24000</v>
          </cell>
        </row>
        <row r="174">
          <cell r="B174">
            <v>1022381</v>
          </cell>
          <cell r="C174">
            <v>24000</v>
          </cell>
        </row>
        <row r="175">
          <cell r="B175">
            <v>1022388</v>
          </cell>
          <cell r="C175">
            <v>24000</v>
          </cell>
        </row>
        <row r="176">
          <cell r="B176">
            <v>1022389</v>
          </cell>
          <cell r="C176">
            <v>24000</v>
          </cell>
        </row>
        <row r="177">
          <cell r="B177">
            <v>1022414</v>
          </cell>
          <cell r="C177">
            <v>24000</v>
          </cell>
        </row>
        <row r="178">
          <cell r="B178">
            <v>1022417</v>
          </cell>
          <cell r="C178">
            <v>24000</v>
          </cell>
        </row>
        <row r="179">
          <cell r="B179">
            <v>1022541</v>
          </cell>
          <cell r="C179">
            <v>24000</v>
          </cell>
        </row>
        <row r="180">
          <cell r="B180">
            <v>1022568</v>
          </cell>
          <cell r="C180">
            <v>24000</v>
          </cell>
        </row>
        <row r="181">
          <cell r="B181">
            <v>1022636</v>
          </cell>
          <cell r="C181">
            <v>24000</v>
          </cell>
        </row>
        <row r="182">
          <cell r="B182">
            <v>1022637</v>
          </cell>
          <cell r="C182">
            <v>24000</v>
          </cell>
        </row>
        <row r="183">
          <cell r="B183">
            <v>1022639</v>
          </cell>
          <cell r="C183">
            <v>24000</v>
          </cell>
        </row>
        <row r="184">
          <cell r="B184">
            <v>1022640</v>
          </cell>
          <cell r="C184">
            <v>24000</v>
          </cell>
        </row>
        <row r="185">
          <cell r="B185">
            <v>1022645</v>
          </cell>
          <cell r="C185">
            <v>24000</v>
          </cell>
        </row>
        <row r="186">
          <cell r="B186">
            <v>1022646</v>
          </cell>
          <cell r="C186">
            <v>24000</v>
          </cell>
        </row>
        <row r="187">
          <cell r="B187">
            <v>1022748</v>
          </cell>
          <cell r="C187">
            <v>24000</v>
          </cell>
        </row>
        <row r="188">
          <cell r="B188">
            <v>1022753</v>
          </cell>
          <cell r="C188">
            <v>24000</v>
          </cell>
        </row>
        <row r="189">
          <cell r="B189">
            <v>1022813</v>
          </cell>
          <cell r="C189">
            <v>24000</v>
          </cell>
        </row>
        <row r="190">
          <cell r="B190">
            <v>1022816</v>
          </cell>
          <cell r="C190">
            <v>24000</v>
          </cell>
        </row>
        <row r="191">
          <cell r="B191">
            <v>1022832</v>
          </cell>
          <cell r="C191">
            <v>24000</v>
          </cell>
        </row>
        <row r="192">
          <cell r="B192">
            <v>1022856</v>
          </cell>
          <cell r="C192">
            <v>24000</v>
          </cell>
        </row>
        <row r="193">
          <cell r="B193">
            <v>1022940</v>
          </cell>
          <cell r="C193">
            <v>24000</v>
          </cell>
        </row>
        <row r="194">
          <cell r="B194">
            <v>1022941</v>
          </cell>
          <cell r="C194">
            <v>24000</v>
          </cell>
        </row>
        <row r="195">
          <cell r="B195">
            <v>1022943</v>
          </cell>
          <cell r="C195">
            <v>24000</v>
          </cell>
        </row>
        <row r="196">
          <cell r="B196">
            <v>1022945</v>
          </cell>
          <cell r="C196">
            <v>24000</v>
          </cell>
        </row>
        <row r="197">
          <cell r="B197">
            <v>1023034</v>
          </cell>
          <cell r="C197">
            <v>24000</v>
          </cell>
        </row>
        <row r="198">
          <cell r="B198">
            <v>1023093</v>
          </cell>
          <cell r="C198">
            <v>24000</v>
          </cell>
        </row>
        <row r="199">
          <cell r="B199">
            <v>1023111</v>
          </cell>
          <cell r="C199">
            <v>24000</v>
          </cell>
        </row>
        <row r="200">
          <cell r="B200">
            <v>1023291</v>
          </cell>
          <cell r="C200">
            <v>24000</v>
          </cell>
        </row>
        <row r="201">
          <cell r="B201">
            <v>1023306</v>
          </cell>
          <cell r="C201">
            <v>24000</v>
          </cell>
        </row>
        <row r="202">
          <cell r="B202">
            <v>1030566</v>
          </cell>
          <cell r="C202">
            <v>24000</v>
          </cell>
        </row>
        <row r="203">
          <cell r="B203">
            <v>1030683</v>
          </cell>
          <cell r="C203">
            <v>24000</v>
          </cell>
        </row>
        <row r="204">
          <cell r="B204">
            <v>1030684</v>
          </cell>
          <cell r="C204">
            <v>24000</v>
          </cell>
        </row>
        <row r="205">
          <cell r="B205">
            <v>1030685</v>
          </cell>
          <cell r="C205">
            <v>24000</v>
          </cell>
        </row>
        <row r="206">
          <cell r="B206">
            <v>1030686</v>
          </cell>
          <cell r="C206">
            <v>24000</v>
          </cell>
        </row>
        <row r="207">
          <cell r="B207">
            <v>1020105</v>
          </cell>
          <cell r="C207">
            <v>2419.3548387096776</v>
          </cell>
        </row>
        <row r="208">
          <cell r="B208">
            <v>1020110</v>
          </cell>
          <cell r="C208">
            <v>6247.0588235294117</v>
          </cell>
        </row>
        <row r="209">
          <cell r="B209">
            <v>1020284</v>
          </cell>
          <cell r="C209">
            <v>2333.3333333333335</v>
          </cell>
        </row>
        <row r="210">
          <cell r="B210">
            <v>1020326</v>
          </cell>
          <cell r="C210">
            <v>24000</v>
          </cell>
        </row>
        <row r="211">
          <cell r="B211">
            <v>1020589</v>
          </cell>
          <cell r="C211">
            <v>3265.3061224489797</v>
          </cell>
        </row>
        <row r="212">
          <cell r="B212">
            <v>1020592</v>
          </cell>
          <cell r="C212">
            <v>6485.6164383561645</v>
          </cell>
        </row>
        <row r="213">
          <cell r="B213">
            <v>1020620</v>
          </cell>
          <cell r="C213">
            <v>3142.8571428571427</v>
          </cell>
        </row>
        <row r="214">
          <cell r="B214">
            <v>1020636</v>
          </cell>
          <cell r="C214">
            <v>1333.3333333333333</v>
          </cell>
        </row>
        <row r="215">
          <cell r="B215">
            <v>1020637</v>
          </cell>
          <cell r="C215">
            <v>4750</v>
          </cell>
        </row>
        <row r="216">
          <cell r="B216">
            <v>1020662</v>
          </cell>
          <cell r="C216">
            <v>5000</v>
          </cell>
        </row>
        <row r="217">
          <cell r="B217">
            <v>1020664</v>
          </cell>
          <cell r="C217">
            <v>3000</v>
          </cell>
        </row>
        <row r="218">
          <cell r="B218">
            <v>1020665</v>
          </cell>
          <cell r="C218">
            <v>2333.3333333333335</v>
          </cell>
        </row>
        <row r="219">
          <cell r="B219">
            <v>1020678</v>
          </cell>
          <cell r="C219">
            <v>500</v>
          </cell>
        </row>
        <row r="220">
          <cell r="B220">
            <v>1020681</v>
          </cell>
          <cell r="C220">
            <v>6666.666666666667</v>
          </cell>
        </row>
        <row r="221">
          <cell r="B221">
            <v>1020704</v>
          </cell>
          <cell r="C221">
            <v>500</v>
          </cell>
        </row>
        <row r="222">
          <cell r="B222">
            <v>1020715</v>
          </cell>
          <cell r="C222">
            <v>2000</v>
          </cell>
        </row>
        <row r="223">
          <cell r="B223">
            <v>1020731</v>
          </cell>
          <cell r="C223">
            <v>2500</v>
          </cell>
        </row>
        <row r="224">
          <cell r="B224">
            <v>1020758</v>
          </cell>
          <cell r="C224">
            <v>3250</v>
          </cell>
        </row>
        <row r="225">
          <cell r="B225">
            <v>1020774</v>
          </cell>
          <cell r="C225">
            <v>952.38095238095241</v>
          </cell>
        </row>
        <row r="226">
          <cell r="B226">
            <v>1020802</v>
          </cell>
          <cell r="C226">
            <v>8437.5</v>
          </cell>
        </row>
        <row r="227">
          <cell r="B227">
            <v>1020810</v>
          </cell>
          <cell r="C227">
            <v>1500</v>
          </cell>
        </row>
        <row r="228">
          <cell r="B228">
            <v>1020914</v>
          </cell>
          <cell r="C228">
            <v>1285.7142857142858</v>
          </cell>
        </row>
        <row r="229">
          <cell r="B229">
            <v>1020990</v>
          </cell>
          <cell r="C229">
            <v>2666.6666666666665</v>
          </cell>
        </row>
        <row r="230">
          <cell r="B230">
            <v>1020991</v>
          </cell>
          <cell r="C230">
            <v>3333.3333333333335</v>
          </cell>
        </row>
        <row r="231">
          <cell r="B231">
            <v>1021136</v>
          </cell>
          <cell r="C231">
            <v>2666.6666666666665</v>
          </cell>
        </row>
        <row r="232">
          <cell r="B232">
            <v>1021533</v>
          </cell>
          <cell r="C232">
            <v>3000</v>
          </cell>
        </row>
        <row r="233">
          <cell r="B233">
            <v>1021603</v>
          </cell>
          <cell r="C233">
            <v>5000</v>
          </cell>
        </row>
        <row r="234">
          <cell r="B234">
            <v>1021609</v>
          </cell>
          <cell r="C234">
            <v>8000</v>
          </cell>
        </row>
        <row r="235">
          <cell r="B235">
            <v>1022282</v>
          </cell>
          <cell r="C235">
            <v>2000</v>
          </cell>
        </row>
        <row r="236">
          <cell r="B236">
            <v>1022313</v>
          </cell>
          <cell r="C236">
            <v>2666.6666666666665</v>
          </cell>
        </row>
        <row r="237">
          <cell r="B237">
            <v>1022326</v>
          </cell>
          <cell r="C237">
            <v>5833.333333333333</v>
          </cell>
        </row>
        <row r="238">
          <cell r="B238">
            <v>1022370</v>
          </cell>
          <cell r="C238">
            <v>2500</v>
          </cell>
        </row>
        <row r="239">
          <cell r="B239">
            <v>1022371</v>
          </cell>
          <cell r="C239">
            <v>3900</v>
          </cell>
        </row>
        <row r="240">
          <cell r="B240">
            <v>1022472</v>
          </cell>
          <cell r="C240">
            <v>2500</v>
          </cell>
        </row>
        <row r="241">
          <cell r="B241">
            <v>1022499</v>
          </cell>
          <cell r="C241">
            <v>2500</v>
          </cell>
        </row>
        <row r="242">
          <cell r="B242">
            <v>1022587</v>
          </cell>
          <cell r="C242">
            <v>3000</v>
          </cell>
        </row>
        <row r="243">
          <cell r="B243">
            <v>1022600</v>
          </cell>
          <cell r="C243">
            <v>2166.6666666666665</v>
          </cell>
        </row>
        <row r="244">
          <cell r="B244">
            <v>1022664</v>
          </cell>
          <cell r="C244">
            <v>3333.3333333333335</v>
          </cell>
        </row>
        <row r="245">
          <cell r="B245">
            <v>1022869</v>
          </cell>
          <cell r="C245">
            <v>800</v>
          </cell>
        </row>
        <row r="246">
          <cell r="B246">
            <v>1022901</v>
          </cell>
          <cell r="C246">
            <v>5000</v>
          </cell>
        </row>
        <row r="247">
          <cell r="B247">
            <v>1022919</v>
          </cell>
          <cell r="C247">
            <v>12000</v>
          </cell>
        </row>
        <row r="248">
          <cell r="B248">
            <v>1022987</v>
          </cell>
          <cell r="C248">
            <v>24000</v>
          </cell>
        </row>
        <row r="249">
          <cell r="B249">
            <v>1022990</v>
          </cell>
          <cell r="C249">
            <v>3571.4285714285716</v>
          </cell>
        </row>
        <row r="250">
          <cell r="B250">
            <v>1023051</v>
          </cell>
          <cell r="C250">
            <v>3000</v>
          </cell>
        </row>
        <row r="251">
          <cell r="B251">
            <v>1023055</v>
          </cell>
          <cell r="C251">
            <v>3500</v>
          </cell>
        </row>
        <row r="252">
          <cell r="B252">
            <v>1023163</v>
          </cell>
          <cell r="C252">
            <v>5000</v>
          </cell>
        </row>
        <row r="253">
          <cell r="B253">
            <v>1023194</v>
          </cell>
          <cell r="C253">
            <v>2000</v>
          </cell>
        </row>
        <row r="254">
          <cell r="B254">
            <v>1023301</v>
          </cell>
          <cell r="C254">
            <v>23500</v>
          </cell>
        </row>
        <row r="255">
          <cell r="B255">
            <v>1023349</v>
          </cell>
          <cell r="C255">
            <v>2500</v>
          </cell>
        </row>
        <row r="256">
          <cell r="B256">
            <v>1023350</v>
          </cell>
          <cell r="C256">
            <v>5000</v>
          </cell>
        </row>
        <row r="257">
          <cell r="B257">
            <v>1023351</v>
          </cell>
          <cell r="C257">
            <v>10000</v>
          </cell>
        </row>
        <row r="258">
          <cell r="B258">
            <v>1023352</v>
          </cell>
          <cell r="C258">
            <v>6470.588235294118</v>
          </cell>
        </row>
        <row r="259">
          <cell r="B259">
            <v>1021085</v>
          </cell>
          <cell r="C259">
            <v>24000</v>
          </cell>
        </row>
        <row r="260">
          <cell r="B260">
            <v>1021204</v>
          </cell>
          <cell r="C260">
            <v>24000</v>
          </cell>
        </row>
        <row r="261">
          <cell r="B261">
            <v>1021237</v>
          </cell>
          <cell r="C261">
            <v>24000</v>
          </cell>
        </row>
        <row r="262">
          <cell r="B262">
            <v>1021263</v>
          </cell>
          <cell r="C262">
            <v>24000</v>
          </cell>
        </row>
        <row r="263">
          <cell r="B263">
            <v>1021819</v>
          </cell>
          <cell r="C263">
            <v>24000</v>
          </cell>
        </row>
        <row r="264">
          <cell r="B264">
            <v>1021905</v>
          </cell>
          <cell r="C264">
            <v>24000</v>
          </cell>
        </row>
        <row r="265">
          <cell r="B265">
            <v>1022047</v>
          </cell>
          <cell r="C265">
            <v>24000</v>
          </cell>
        </row>
        <row r="266">
          <cell r="B266">
            <v>1022247</v>
          </cell>
          <cell r="C266">
            <v>24000</v>
          </cell>
        </row>
        <row r="267">
          <cell r="B267">
            <v>1022569</v>
          </cell>
          <cell r="C267">
            <v>24000</v>
          </cell>
        </row>
        <row r="268">
          <cell r="B268">
            <v>1022705</v>
          </cell>
          <cell r="C268">
            <v>24000</v>
          </cell>
        </row>
        <row r="269">
          <cell r="B269">
            <v>1022920</v>
          </cell>
          <cell r="C269">
            <v>24000</v>
          </cell>
        </row>
        <row r="270">
          <cell r="B270">
            <v>1022922</v>
          </cell>
          <cell r="C270">
            <v>24000</v>
          </cell>
        </row>
        <row r="271">
          <cell r="B271">
            <v>1022928</v>
          </cell>
          <cell r="C271">
            <v>24000</v>
          </cell>
        </row>
        <row r="272">
          <cell r="B272">
            <v>1023270</v>
          </cell>
          <cell r="C272">
            <v>24000</v>
          </cell>
        </row>
        <row r="273">
          <cell r="B273">
            <v>1023312</v>
          </cell>
          <cell r="C273">
            <v>24000</v>
          </cell>
        </row>
        <row r="274">
          <cell r="B274">
            <v>1023355</v>
          </cell>
          <cell r="C274">
            <v>24000</v>
          </cell>
        </row>
        <row r="275">
          <cell r="B275">
            <v>1021204</v>
          </cell>
          <cell r="C275">
            <v>24000</v>
          </cell>
        </row>
        <row r="276">
          <cell r="B276">
            <v>1021655</v>
          </cell>
          <cell r="C276">
            <v>24000</v>
          </cell>
        </row>
        <row r="277">
          <cell r="B277">
            <v>1023144</v>
          </cell>
          <cell r="C277">
            <v>24000</v>
          </cell>
        </row>
        <row r="278">
          <cell r="B278">
            <v>1023305</v>
          </cell>
          <cell r="C278">
            <v>24000</v>
          </cell>
        </row>
        <row r="279">
          <cell r="B279">
            <v>1021733</v>
          </cell>
          <cell r="C279">
            <v>24000</v>
          </cell>
        </row>
        <row r="280">
          <cell r="B280">
            <v>1021765</v>
          </cell>
          <cell r="C280">
            <v>24000</v>
          </cell>
        </row>
        <row r="281">
          <cell r="B281">
            <v>1022415</v>
          </cell>
          <cell r="C281">
            <v>24000</v>
          </cell>
        </row>
        <row r="282">
          <cell r="B282">
            <v>1022851</v>
          </cell>
          <cell r="C282">
            <v>24000</v>
          </cell>
        </row>
        <row r="283">
          <cell r="B283">
            <v>1023131</v>
          </cell>
          <cell r="C283">
            <v>24000</v>
          </cell>
        </row>
        <row r="284">
          <cell r="B284">
            <v>1022817</v>
          </cell>
          <cell r="C284">
            <v>5000</v>
          </cell>
        </row>
        <row r="285">
          <cell r="B285">
            <v>1022931</v>
          </cell>
          <cell r="C285">
            <v>3000</v>
          </cell>
        </row>
        <row r="286">
          <cell r="B286">
            <v>1030498</v>
          </cell>
          <cell r="C286">
            <v>24000</v>
          </cell>
        </row>
        <row r="287">
          <cell r="B287">
            <v>1030732</v>
          </cell>
          <cell r="C287">
            <v>24000</v>
          </cell>
        </row>
        <row r="288">
          <cell r="B288">
            <v>1030739</v>
          </cell>
          <cell r="C288">
            <v>24000</v>
          </cell>
        </row>
        <row r="289">
          <cell r="B289">
            <v>1030780</v>
          </cell>
          <cell r="C289">
            <v>24000</v>
          </cell>
        </row>
        <row r="290">
          <cell r="B290">
            <v>1030542</v>
          </cell>
          <cell r="C290">
            <v>24000</v>
          </cell>
        </row>
        <row r="291">
          <cell r="B291">
            <v>1011127</v>
          </cell>
          <cell r="C291">
            <v>24000</v>
          </cell>
        </row>
        <row r="292">
          <cell r="B292">
            <v>1011250</v>
          </cell>
          <cell r="C292">
            <v>24000</v>
          </cell>
        </row>
        <row r="293">
          <cell r="B293">
            <v>1011939</v>
          </cell>
          <cell r="C293">
            <v>24000</v>
          </cell>
        </row>
        <row r="294">
          <cell r="B294">
            <v>1012556</v>
          </cell>
          <cell r="C294">
            <v>24000</v>
          </cell>
        </row>
        <row r="295">
          <cell r="B295">
            <v>1012602</v>
          </cell>
          <cell r="C295">
            <v>24000</v>
          </cell>
        </row>
        <row r="296">
          <cell r="B296">
            <v>1012778</v>
          </cell>
          <cell r="C296">
            <v>24000</v>
          </cell>
        </row>
        <row r="297">
          <cell r="B297">
            <v>1012764</v>
          </cell>
          <cell r="C297">
            <v>24000</v>
          </cell>
        </row>
        <row r="298">
          <cell r="B298">
            <v>1030525</v>
          </cell>
          <cell r="C298">
            <v>24000</v>
          </cell>
        </row>
        <row r="299">
          <cell r="B299">
            <v>1030744</v>
          </cell>
          <cell r="C299">
            <v>24000</v>
          </cell>
        </row>
        <row r="300">
          <cell r="B300">
            <v>1030230</v>
          </cell>
          <cell r="C300">
            <v>24000</v>
          </cell>
        </row>
        <row r="301">
          <cell r="B301">
            <v>1030672</v>
          </cell>
          <cell r="C301">
            <v>24000</v>
          </cell>
        </row>
        <row r="302">
          <cell r="B302">
            <v>1030355</v>
          </cell>
          <cell r="C302">
            <v>24000</v>
          </cell>
        </row>
        <row r="303">
          <cell r="B303">
            <v>1022605</v>
          </cell>
          <cell r="C303">
            <v>7000</v>
          </cell>
        </row>
        <row r="304">
          <cell r="B304">
            <v>1022842</v>
          </cell>
          <cell r="C304">
            <v>24000</v>
          </cell>
        </row>
        <row r="305">
          <cell r="B305">
            <v>1022844</v>
          </cell>
          <cell r="C305">
            <v>24000</v>
          </cell>
        </row>
        <row r="306">
          <cell r="B306">
            <v>1022995</v>
          </cell>
          <cell r="C306">
            <v>24000</v>
          </cell>
        </row>
        <row r="307">
          <cell r="B307">
            <v>1023110</v>
          </cell>
          <cell r="C307">
            <v>24000</v>
          </cell>
        </row>
        <row r="308">
          <cell r="B308">
            <v>1023370</v>
          </cell>
          <cell r="C308">
            <v>24000</v>
          </cell>
        </row>
        <row r="309">
          <cell r="B309">
            <v>1023371</v>
          </cell>
          <cell r="C309">
            <v>24000</v>
          </cell>
        </row>
        <row r="310">
          <cell r="B310">
            <v>1023372</v>
          </cell>
          <cell r="C310">
            <v>24000</v>
          </cell>
        </row>
        <row r="311">
          <cell r="B311">
            <v>1023397</v>
          </cell>
          <cell r="C311">
            <v>24000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om.sap.ip.bi.xl.hiddensheet"/>
      <sheetName val="BASE"/>
      <sheetName val="Cumplimiento planes"/>
      <sheetName val="Ultimos planes"/>
      <sheetName val="Ultimos planes NETO"/>
      <sheetName val="Ultimos planes por sector"/>
      <sheetName val="China"/>
      <sheetName val="China v2"/>
      <sheetName val="Base ultimos planes"/>
      <sheetName val="Consolidación planes"/>
      <sheetName val="Analisis Pav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B4" t="str">
            <v>Llave</v>
          </cell>
          <cell r="C4" t="str">
            <v>Sector</v>
          </cell>
          <cell r="D4" t="str">
            <v>Nivel Jer. 2</v>
          </cell>
          <cell r="E4" t="str">
            <v>Nivel Jer. 3</v>
          </cell>
          <cell r="F4" t="str">
            <v>Oficina</v>
          </cell>
          <cell r="G4" t="str">
            <v>Material</v>
          </cell>
          <cell r="H4" t="str">
            <v>Descripción</v>
          </cell>
          <cell r="I4" t="str">
            <v>Plan Enero</v>
          </cell>
          <cell r="J4" t="str">
            <v>Plan Febrero</v>
          </cell>
          <cell r="K4" t="str">
            <v>Plan Marzo</v>
          </cell>
          <cell r="L4" t="str">
            <v>Plan Abril</v>
          </cell>
          <cell r="M4" t="str">
            <v>Plan Mayo</v>
          </cell>
        </row>
        <row r="5">
          <cell r="A5" t="str">
            <v>Agrosuper Shanghai1022414</v>
          </cell>
          <cell r="B5" t="str">
            <v>1022414Agrosuper Shanghai</v>
          </cell>
          <cell r="C5" t="str">
            <v>Cerdo</v>
          </cell>
          <cell r="D5" t="str">
            <v>Chuleta</v>
          </cell>
          <cell r="E5" t="str">
            <v>Chuleta Cazuela</v>
          </cell>
          <cell r="F5" t="str">
            <v>Agrosuper Shanghai</v>
          </cell>
          <cell r="G5">
            <v>1022414</v>
          </cell>
          <cell r="H5" t="str">
            <v>GO Caz Ent@ Bo Cj 10k AS</v>
          </cell>
          <cell r="I5">
            <v>192000</v>
          </cell>
          <cell r="J5">
            <v>192000</v>
          </cell>
          <cell r="K5">
            <v>192000</v>
          </cell>
          <cell r="L5">
            <v>120000</v>
          </cell>
          <cell r="M5">
            <v>120000</v>
          </cell>
        </row>
        <row r="6">
          <cell r="A6" t="str">
            <v>Agro Sudamerica1020017</v>
          </cell>
          <cell r="B6" t="str">
            <v>1020017Agro Sudamerica</v>
          </cell>
          <cell r="C6" t="str">
            <v>Cerdo</v>
          </cell>
          <cell r="D6" t="str">
            <v>Chuleta</v>
          </cell>
          <cell r="E6" t="str">
            <v>Chuleta Centro</v>
          </cell>
          <cell r="F6" t="str">
            <v>Agro Sudamerica</v>
          </cell>
          <cell r="G6">
            <v>1020017</v>
          </cell>
          <cell r="H6" t="str">
            <v>GO Chu Ctro@ Fi Cj 20k AS</v>
          </cell>
          <cell r="I6">
            <v>192000</v>
          </cell>
          <cell r="J6">
            <v>108000</v>
          </cell>
          <cell r="K6">
            <v>132000</v>
          </cell>
          <cell r="L6">
            <v>96000</v>
          </cell>
          <cell r="M6">
            <v>37000</v>
          </cell>
        </row>
        <row r="7">
          <cell r="A7" t="str">
            <v>Agro Sudamerica1020828</v>
          </cell>
          <cell r="B7" t="str">
            <v>1020828Agro Sudamerica</v>
          </cell>
          <cell r="C7" t="str">
            <v>Cerdo</v>
          </cell>
          <cell r="D7" t="str">
            <v>Chuleta</v>
          </cell>
          <cell r="E7" t="str">
            <v>Chuleta Huesos</v>
          </cell>
          <cell r="F7" t="str">
            <v>Agro Sudamerica</v>
          </cell>
          <cell r="G7">
            <v>1020828</v>
          </cell>
          <cell r="H7" t="str">
            <v>GO BB Ribs 20-24 Oz@ Cj 10k AS</v>
          </cell>
          <cell r="I7"/>
          <cell r="J7"/>
          <cell r="K7"/>
          <cell r="L7"/>
          <cell r="M7"/>
        </row>
        <row r="8">
          <cell r="A8" t="str">
            <v>Agro Sudamerica1021622</v>
          </cell>
          <cell r="B8" t="str">
            <v>1021622Agro Sudamerica</v>
          </cell>
          <cell r="C8" t="str">
            <v>Cerdo</v>
          </cell>
          <cell r="D8" t="str">
            <v>Chuleta</v>
          </cell>
          <cell r="E8" t="str">
            <v>Chuleta Huesos</v>
          </cell>
          <cell r="F8" t="str">
            <v>Agro Sudamerica</v>
          </cell>
          <cell r="G8">
            <v>1021622</v>
          </cell>
          <cell r="H8" t="str">
            <v>GO BB Ribs 20-24 Oz@ Cj 10k AS</v>
          </cell>
          <cell r="I8"/>
          <cell r="J8">
            <v>6790</v>
          </cell>
          <cell r="K8"/>
          <cell r="L8">
            <v>18000</v>
          </cell>
          <cell r="M8">
            <v>110</v>
          </cell>
        </row>
        <row r="9">
          <cell r="A9" t="str">
            <v>Agro Sudamerica1021623</v>
          </cell>
          <cell r="B9" t="str">
            <v>1021623Agro Sudamerica</v>
          </cell>
          <cell r="C9" t="str">
            <v>Cerdo</v>
          </cell>
          <cell r="D9" t="str">
            <v>Chuleta</v>
          </cell>
          <cell r="E9" t="str">
            <v>Chuleta Huesos</v>
          </cell>
          <cell r="F9" t="str">
            <v>Agro Sudamerica</v>
          </cell>
          <cell r="G9">
            <v>1021623</v>
          </cell>
          <cell r="H9" t="str">
            <v>GO BB Ribs 24 oz@ Cj 10k AS</v>
          </cell>
          <cell r="I9">
            <v>2000</v>
          </cell>
          <cell r="J9"/>
          <cell r="K9"/>
          <cell r="L9"/>
          <cell r="M9">
            <v>530</v>
          </cell>
        </row>
        <row r="10">
          <cell r="A10" t="str">
            <v>Agro Sudamerica1022384</v>
          </cell>
          <cell r="B10" t="str">
            <v>1022384Agro Sudamerica</v>
          </cell>
          <cell r="C10" t="str">
            <v>Cerdo</v>
          </cell>
          <cell r="D10" t="str">
            <v>Chuleta</v>
          </cell>
          <cell r="E10" t="str">
            <v>Chuleta Huesos</v>
          </cell>
          <cell r="F10" t="str">
            <v>Agro Sudamerica</v>
          </cell>
          <cell r="G10">
            <v>1022384</v>
          </cell>
          <cell r="H10" t="str">
            <v>GO BB Ribs Grd B@ Fi Cj 10k AS</v>
          </cell>
          <cell r="I10">
            <v>2947</v>
          </cell>
          <cell r="J10"/>
          <cell r="K10"/>
          <cell r="L10"/>
          <cell r="M10">
            <v>619</v>
          </cell>
        </row>
        <row r="11">
          <cell r="A11" t="str">
            <v>Agro Sudamerica1022569</v>
          </cell>
          <cell r="B11" t="str">
            <v>1022569Agro Sudamerica</v>
          </cell>
          <cell r="C11" t="str">
            <v>Cerdo</v>
          </cell>
          <cell r="D11" t="str">
            <v>Chuleta</v>
          </cell>
          <cell r="E11" t="str">
            <v>Chuleta Huesos</v>
          </cell>
          <cell r="F11" t="str">
            <v>Agro Sudamerica</v>
          </cell>
          <cell r="G11">
            <v>1022569</v>
          </cell>
          <cell r="H11" t="str">
            <v>GO BB Ribs 24-28 Oz@ Cj 10k AS</v>
          </cell>
          <cell r="I11"/>
          <cell r="J11">
            <v>5000</v>
          </cell>
          <cell r="K11"/>
          <cell r="L11"/>
          <cell r="M11">
            <v>5000</v>
          </cell>
        </row>
        <row r="12">
          <cell r="A12" t="str">
            <v>Agrosuper Asia1022182</v>
          </cell>
          <cell r="B12" t="str">
            <v>1022182Agrosuper Asia</v>
          </cell>
          <cell r="C12" t="str">
            <v>Cerdo</v>
          </cell>
          <cell r="D12" t="str">
            <v>Chuleta</v>
          </cell>
          <cell r="E12" t="str">
            <v>Chuleta Huesos</v>
          </cell>
          <cell r="F12" t="str">
            <v>Agrosuper Asia</v>
          </cell>
          <cell r="G12">
            <v>1022182</v>
          </cell>
          <cell r="H12" t="str">
            <v>GO BB Ribs 20-24 Oz@ Cj 10k AS</v>
          </cell>
          <cell r="I12"/>
          <cell r="J12"/>
          <cell r="K12"/>
          <cell r="L12">
            <v>22000</v>
          </cell>
          <cell r="M12"/>
        </row>
        <row r="13">
          <cell r="A13" t="str">
            <v>Agro Sudamerica1020869</v>
          </cell>
          <cell r="B13" t="str">
            <v>1020869Agro Sudamerica</v>
          </cell>
          <cell r="C13" t="str">
            <v>Cerdo</v>
          </cell>
          <cell r="D13" t="str">
            <v>Cost-Pec</v>
          </cell>
          <cell r="E13" t="str">
            <v>Cost-Pec Entero</v>
          </cell>
          <cell r="F13" t="str">
            <v>Agro Sudamerica</v>
          </cell>
          <cell r="G13">
            <v>1020869</v>
          </cell>
          <cell r="H13" t="str">
            <v>GO Cos 79@ Bo Cj 20k AS</v>
          </cell>
          <cell r="I13"/>
          <cell r="J13"/>
          <cell r="K13">
            <v>24000</v>
          </cell>
          <cell r="L13"/>
          <cell r="M13"/>
        </row>
        <row r="14">
          <cell r="A14" t="str">
            <v>Agrosuper Asia1021664</v>
          </cell>
          <cell r="B14" t="str">
            <v>1021664Agrosuper Asia</v>
          </cell>
          <cell r="C14" t="str">
            <v>Cerdo</v>
          </cell>
          <cell r="D14" t="str">
            <v>Cost-Pec</v>
          </cell>
          <cell r="E14" t="str">
            <v>Cost-Pec Entero</v>
          </cell>
          <cell r="F14" t="str">
            <v>Agrosuper Asia</v>
          </cell>
          <cell r="G14">
            <v>1021664</v>
          </cell>
          <cell r="H14" t="str">
            <v>GO Pecho S/cue K@ Cj 20k TJ</v>
          </cell>
          <cell r="I14">
            <v>154000</v>
          </cell>
          <cell r="J14">
            <v>66000</v>
          </cell>
          <cell r="K14">
            <v>66000</v>
          </cell>
          <cell r="L14">
            <v>66000</v>
          </cell>
          <cell r="M14">
            <v>44000</v>
          </cell>
        </row>
        <row r="15">
          <cell r="A15" t="str">
            <v>Agrosuper Asia1021665</v>
          </cell>
          <cell r="B15" t="str">
            <v>1021665Agrosuper Asia</v>
          </cell>
          <cell r="C15" t="str">
            <v>Cerdo</v>
          </cell>
          <cell r="D15" t="str">
            <v>Cost-Pec</v>
          </cell>
          <cell r="E15" t="str">
            <v>Cost-Pec Entero</v>
          </cell>
          <cell r="F15" t="str">
            <v>Agrosuper Asia</v>
          </cell>
          <cell r="G15">
            <v>1021665</v>
          </cell>
          <cell r="H15" t="str">
            <v>GO Pecho S/cue K@ Cj 20k AK</v>
          </cell>
          <cell r="I15">
            <v>44000</v>
          </cell>
          <cell r="J15">
            <v>110000</v>
          </cell>
          <cell r="K15">
            <v>44000</v>
          </cell>
          <cell r="L15">
            <v>66000</v>
          </cell>
          <cell r="M15">
            <v>44061</v>
          </cell>
        </row>
        <row r="16">
          <cell r="A16" t="str">
            <v>Agrosuper Asia1023183</v>
          </cell>
          <cell r="B16" t="str">
            <v>1023183Agrosuper Asia</v>
          </cell>
          <cell r="C16" t="str">
            <v>Cerdo</v>
          </cell>
          <cell r="D16" t="str">
            <v>Cost-Pec</v>
          </cell>
          <cell r="E16" t="str">
            <v>Cost-Pec Entero</v>
          </cell>
          <cell r="F16" t="str">
            <v>Agrosuper Asia</v>
          </cell>
          <cell r="G16">
            <v>1023183</v>
          </cell>
          <cell r="H16" t="str">
            <v>GO Pech S/Cue@ Vp Cj AS</v>
          </cell>
          <cell r="I16">
            <v>22000</v>
          </cell>
          <cell r="J16">
            <v>44000</v>
          </cell>
          <cell r="K16">
            <v>66000</v>
          </cell>
          <cell r="L16"/>
          <cell r="M16">
            <v>22000</v>
          </cell>
        </row>
        <row r="17">
          <cell r="A17" t="str">
            <v>Agro Sudamerica1021187</v>
          </cell>
          <cell r="B17" t="str">
            <v>1021187Agro Sudamerica</v>
          </cell>
          <cell r="C17" t="str">
            <v>Cerdo</v>
          </cell>
          <cell r="D17" t="str">
            <v>Cueros</v>
          </cell>
          <cell r="E17" t="str">
            <v>Cuero Back</v>
          </cell>
          <cell r="F17" t="str">
            <v>Agro Sudamerica</v>
          </cell>
          <cell r="G17">
            <v>1021187</v>
          </cell>
          <cell r="H17" t="str">
            <v>GO Cue Back@ Cj 20k t-f AS</v>
          </cell>
          <cell r="I17">
            <v>72000</v>
          </cell>
          <cell r="J17">
            <v>24000</v>
          </cell>
          <cell r="K17">
            <v>48000</v>
          </cell>
          <cell r="L17">
            <v>24000</v>
          </cell>
          <cell r="M17">
            <v>88000</v>
          </cell>
        </row>
        <row r="18">
          <cell r="A18" t="str">
            <v>Agro Sudamerica1022196</v>
          </cell>
          <cell r="B18" t="str">
            <v>1022196Agro Sudamerica</v>
          </cell>
          <cell r="C18" t="str">
            <v>Cerdo</v>
          </cell>
          <cell r="D18" t="str">
            <v>Cueros</v>
          </cell>
          <cell r="E18" t="str">
            <v>Cuero Forro</v>
          </cell>
          <cell r="F18" t="str">
            <v>Agro Sudamerica</v>
          </cell>
          <cell r="G18">
            <v>1022196</v>
          </cell>
          <cell r="H18" t="str">
            <v>GO Forro Pal@ Cj 20k AS</v>
          </cell>
          <cell r="I18"/>
          <cell r="J18">
            <v>24000</v>
          </cell>
          <cell r="K18">
            <v>48000</v>
          </cell>
          <cell r="L18"/>
          <cell r="M18">
            <v>24000</v>
          </cell>
        </row>
        <row r="19">
          <cell r="A19" t="str">
            <v>Agro Sudamerica1022197</v>
          </cell>
          <cell r="B19" t="str">
            <v>1022197Agro Sudamerica</v>
          </cell>
          <cell r="C19" t="str">
            <v>Cerdo</v>
          </cell>
          <cell r="D19" t="str">
            <v>Cueros</v>
          </cell>
          <cell r="E19" t="str">
            <v>Cuero Forro</v>
          </cell>
          <cell r="F19" t="str">
            <v>Agro Sudamerica</v>
          </cell>
          <cell r="G19">
            <v>1022197</v>
          </cell>
          <cell r="H19" t="str">
            <v>GO Pna Forro@ Cj 20k AS</v>
          </cell>
          <cell r="I19"/>
          <cell r="J19"/>
          <cell r="K19">
            <v>24000</v>
          </cell>
          <cell r="L19">
            <v>24000</v>
          </cell>
          <cell r="M19"/>
        </row>
        <row r="20">
          <cell r="A20" t="str">
            <v>Agrosuper Shanghai1023034</v>
          </cell>
          <cell r="B20" t="str">
            <v>1023034Agrosuper Shanghai</v>
          </cell>
          <cell r="C20" t="str">
            <v>Cerdo</v>
          </cell>
          <cell r="D20" t="str">
            <v>Cueros</v>
          </cell>
          <cell r="E20" t="str">
            <v>Cuero Forro</v>
          </cell>
          <cell r="F20" t="str">
            <v>Agrosuper Shanghai</v>
          </cell>
          <cell r="G20">
            <v>1023034</v>
          </cell>
          <cell r="H20" t="str">
            <v>GO Forro Pal@ Bo Cj 20k AS</v>
          </cell>
          <cell r="I20">
            <v>120000</v>
          </cell>
          <cell r="J20">
            <v>96000</v>
          </cell>
          <cell r="K20">
            <v>24000</v>
          </cell>
          <cell r="L20">
            <v>120000</v>
          </cell>
          <cell r="M20">
            <v>72100</v>
          </cell>
        </row>
        <row r="21">
          <cell r="A21" t="str">
            <v>Agro Sudamerica1021385</v>
          </cell>
          <cell r="B21" t="str">
            <v>1021385Agro Sudamerica</v>
          </cell>
          <cell r="C21" t="str">
            <v>Cerdo</v>
          </cell>
          <cell r="D21" t="str">
            <v>Cueros</v>
          </cell>
          <cell r="E21" t="str">
            <v>Cuero Mixto</v>
          </cell>
          <cell r="F21" t="str">
            <v>Agro Sudamerica</v>
          </cell>
          <cell r="G21">
            <v>1021385</v>
          </cell>
          <cell r="H21" t="str">
            <v>GO Cue granel Esp CC@ Cj 20k AS</v>
          </cell>
          <cell r="I21">
            <v>120000</v>
          </cell>
          <cell r="J21">
            <v>96000</v>
          </cell>
          <cell r="K21">
            <v>144000</v>
          </cell>
          <cell r="L21">
            <v>24000</v>
          </cell>
          <cell r="M21">
            <v>144000</v>
          </cell>
        </row>
        <row r="22">
          <cell r="A22" t="str">
            <v>Agro Sudamerica1022928</v>
          </cell>
          <cell r="B22" t="str">
            <v>1022928Agro Sudamerica</v>
          </cell>
          <cell r="C22" t="str">
            <v>Cerdo</v>
          </cell>
          <cell r="D22" t="str">
            <v>Cueros</v>
          </cell>
          <cell r="E22" t="str">
            <v>Cuero Mixto</v>
          </cell>
          <cell r="F22" t="str">
            <v>Agro Sudamerica</v>
          </cell>
          <cell r="G22">
            <v>1022928</v>
          </cell>
          <cell r="H22" t="str">
            <v>GO Cue Granel Esp CC@Cj 20k AS</v>
          </cell>
          <cell r="I22"/>
          <cell r="J22"/>
          <cell r="K22"/>
          <cell r="L22">
            <v>16000</v>
          </cell>
          <cell r="M22">
            <v>5000</v>
          </cell>
        </row>
        <row r="23">
          <cell r="A23" t="str">
            <v>Agro Sudamerica1023334</v>
          </cell>
          <cell r="B23" t="str">
            <v>1023334Agro Sudamerica</v>
          </cell>
          <cell r="C23" t="str">
            <v>Cerdo</v>
          </cell>
          <cell r="D23" t="str">
            <v>Cueros</v>
          </cell>
          <cell r="E23" t="str">
            <v>Cuero Mixto</v>
          </cell>
          <cell r="F23" t="str">
            <v>Agro Sudamerica</v>
          </cell>
          <cell r="G23">
            <v>1023334</v>
          </cell>
          <cell r="H23" t="str">
            <v>Cue granel Esp CC@ Cj 20k AS</v>
          </cell>
          <cell r="I23"/>
          <cell r="J23"/>
          <cell r="K23"/>
          <cell r="L23"/>
          <cell r="M23"/>
        </row>
        <row r="24">
          <cell r="A24" t="str">
            <v>Agrosuper Brasil1023334</v>
          </cell>
          <cell r="B24" t="str">
            <v>1023334Agrosuper Brasil</v>
          </cell>
          <cell r="C24" t="str">
            <v>Cerdo</v>
          </cell>
          <cell r="D24" t="str">
            <v>Cueros</v>
          </cell>
          <cell r="E24" t="str">
            <v>Cuero Mixto</v>
          </cell>
          <cell r="F24" t="str">
            <v>Agrosuper Brasil</v>
          </cell>
          <cell r="G24">
            <v>1023334</v>
          </cell>
          <cell r="H24" t="str">
            <v>Cue granel Esp CC@ Cj 20k AS</v>
          </cell>
          <cell r="I24"/>
          <cell r="J24">
            <v>72000</v>
          </cell>
          <cell r="K24">
            <v>144000</v>
          </cell>
          <cell r="L24">
            <v>168000</v>
          </cell>
          <cell r="M24">
            <v>48000</v>
          </cell>
        </row>
        <row r="25">
          <cell r="A25" t="str">
            <v>Agrosuper Brasil1023336</v>
          </cell>
          <cell r="B25" t="str">
            <v>1023336Agrosuper Brasil</v>
          </cell>
          <cell r="C25" t="str">
            <v>Cerdo</v>
          </cell>
          <cell r="D25" t="str">
            <v>Cueros</v>
          </cell>
          <cell r="E25" t="str">
            <v>Cuero Mixto</v>
          </cell>
          <cell r="F25" t="str">
            <v>Agrosuper Brasil</v>
          </cell>
          <cell r="G25">
            <v>1023336</v>
          </cell>
          <cell r="H25" t="str">
            <v>Cue granel Esp CC@ Cj 20k AS</v>
          </cell>
          <cell r="I25"/>
          <cell r="J25">
            <v>24000</v>
          </cell>
          <cell r="K25">
            <v>24000</v>
          </cell>
          <cell r="L25">
            <v>24000</v>
          </cell>
          <cell r="M25">
            <v>72000</v>
          </cell>
        </row>
        <row r="26">
          <cell r="A26" t="str">
            <v>Agrosuper Shanghai1022417</v>
          </cell>
          <cell r="B26" t="str">
            <v>1022417Agrosuper Shanghai</v>
          </cell>
          <cell r="C26" t="str">
            <v>Cerdo</v>
          </cell>
          <cell r="D26" t="str">
            <v>Cueros</v>
          </cell>
          <cell r="E26" t="str">
            <v>Cuero Mixto</v>
          </cell>
          <cell r="F26" t="str">
            <v>Agrosuper Shanghai</v>
          </cell>
          <cell r="G26">
            <v>1022417</v>
          </cell>
          <cell r="H26" t="str">
            <v>GO Cue granel@ Bo Cj 20k AS</v>
          </cell>
          <cell r="I26"/>
          <cell r="J26"/>
          <cell r="K26">
            <v>24000</v>
          </cell>
          <cell r="L26">
            <v>48000</v>
          </cell>
          <cell r="M26">
            <v>24000</v>
          </cell>
        </row>
        <row r="27">
          <cell r="A27" t="str">
            <v>Agrosuper Shanghai1023306</v>
          </cell>
          <cell r="B27" t="str">
            <v>1023306Agrosuper Shanghai</v>
          </cell>
          <cell r="C27" t="str">
            <v>Cerdo</v>
          </cell>
          <cell r="D27" t="str">
            <v>Cueros</v>
          </cell>
          <cell r="E27" t="str">
            <v>Cuero Mixto</v>
          </cell>
          <cell r="F27" t="str">
            <v>Agrosuper Shanghai</v>
          </cell>
          <cell r="G27">
            <v>1023306</v>
          </cell>
          <cell r="H27" t="str">
            <v>GO Cue granel@ Bo Cj 20k AS</v>
          </cell>
          <cell r="I27">
            <v>144000</v>
          </cell>
          <cell r="J27">
            <v>72000</v>
          </cell>
          <cell r="K27">
            <v>72000</v>
          </cell>
          <cell r="L27">
            <v>144000</v>
          </cell>
          <cell r="M27">
            <v>96000</v>
          </cell>
        </row>
        <row r="28">
          <cell r="A28" t="str">
            <v>Agro Sudamerica1020352</v>
          </cell>
          <cell r="B28" t="str">
            <v>1020352Agro Sudamerica</v>
          </cell>
          <cell r="C28" t="str">
            <v>Cerdo</v>
          </cell>
          <cell r="D28" t="str">
            <v>Cueros</v>
          </cell>
          <cell r="E28" t="str">
            <v>Cuero Panceta</v>
          </cell>
          <cell r="F28" t="str">
            <v>Agro Sudamerica</v>
          </cell>
          <cell r="G28">
            <v>1020352</v>
          </cell>
          <cell r="H28" t="str">
            <v>GO Cue 20@ Cj 20k AS</v>
          </cell>
          <cell r="I28">
            <v>35000</v>
          </cell>
          <cell r="J28"/>
          <cell r="K28">
            <v>48000</v>
          </cell>
          <cell r="L28">
            <v>48000</v>
          </cell>
          <cell r="M28">
            <v>24000</v>
          </cell>
        </row>
        <row r="29">
          <cell r="A29" t="str">
            <v>Agrosuper Shanghai1022389</v>
          </cell>
          <cell r="B29" t="str">
            <v>1022389Agrosuper Shanghai</v>
          </cell>
          <cell r="C29" t="str">
            <v>Cerdo</v>
          </cell>
          <cell r="D29" t="str">
            <v>Cueros</v>
          </cell>
          <cell r="E29" t="str">
            <v>Cuero Panceta</v>
          </cell>
          <cell r="F29" t="str">
            <v>Agrosuper Shanghai</v>
          </cell>
          <cell r="G29">
            <v>1022389</v>
          </cell>
          <cell r="H29" t="str">
            <v>GO Cue 20@ Bo Cj 20k AS</v>
          </cell>
          <cell r="I29">
            <v>72000</v>
          </cell>
          <cell r="J29"/>
          <cell r="K29"/>
          <cell r="L29"/>
          <cell r="M29"/>
        </row>
        <row r="30">
          <cell r="A30" t="str">
            <v>Agro Sudamerica1021039</v>
          </cell>
          <cell r="B30" t="str">
            <v>1021039Agro Sudamerica</v>
          </cell>
          <cell r="C30" t="str">
            <v>Cerdo</v>
          </cell>
          <cell r="D30" t="str">
            <v>Cueros</v>
          </cell>
          <cell r="E30" t="str">
            <v>Cuero Papada</v>
          </cell>
          <cell r="F30" t="str">
            <v>Agro Sudamerica</v>
          </cell>
          <cell r="G30">
            <v>1021039</v>
          </cell>
          <cell r="H30" t="str">
            <v>GO Cue Papda CP@ Cj 20k bca AS</v>
          </cell>
          <cell r="I30">
            <v>24000</v>
          </cell>
          <cell r="J30">
            <v>24000</v>
          </cell>
          <cell r="K30">
            <v>72000</v>
          </cell>
          <cell r="L30"/>
          <cell r="M30">
            <v>48000</v>
          </cell>
        </row>
        <row r="31">
          <cell r="A31" t="str">
            <v>Agro Sudamerica1021864</v>
          </cell>
          <cell r="B31" t="str">
            <v>1021864Agro Sudamerica</v>
          </cell>
          <cell r="C31" t="str">
            <v>Cerdo</v>
          </cell>
          <cell r="D31" t="str">
            <v>Cueros</v>
          </cell>
          <cell r="E31" t="str">
            <v>Cuero Papada</v>
          </cell>
          <cell r="F31" t="str">
            <v>Agro Sudamerica</v>
          </cell>
          <cell r="G31">
            <v>1021864</v>
          </cell>
          <cell r="H31" t="str">
            <v>GO Cue Papda CP@ Cj 20k AS</v>
          </cell>
          <cell r="I31"/>
          <cell r="J31"/>
          <cell r="K31"/>
          <cell r="L31"/>
          <cell r="M31"/>
        </row>
        <row r="32">
          <cell r="A32" t="str">
            <v>Agro Sudamerica1023329</v>
          </cell>
          <cell r="B32" t="str">
            <v>1023329Agro Sudamerica</v>
          </cell>
          <cell r="C32" t="str">
            <v>Cerdo</v>
          </cell>
          <cell r="D32" t="str">
            <v>Cueros</v>
          </cell>
          <cell r="E32" t="str">
            <v>Cuero Papada</v>
          </cell>
          <cell r="F32" t="str">
            <v>Agro Sudamerica</v>
          </cell>
          <cell r="G32">
            <v>1023329</v>
          </cell>
          <cell r="H32" t="str">
            <v>GO Cue Papda CP@ Cj 20k AS</v>
          </cell>
          <cell r="I32"/>
          <cell r="J32"/>
          <cell r="K32"/>
          <cell r="L32">
            <v>24000</v>
          </cell>
          <cell r="M32">
            <v>24000</v>
          </cell>
        </row>
        <row r="33">
          <cell r="A33" t="str">
            <v>Agrosuper Brasil1021864</v>
          </cell>
          <cell r="B33" t="str">
            <v>1021864Agrosuper Brasil</v>
          </cell>
          <cell r="C33" t="str">
            <v>Cerdo</v>
          </cell>
          <cell r="D33" t="str">
            <v>Cueros</v>
          </cell>
          <cell r="E33" t="str">
            <v>Cuero Papada</v>
          </cell>
          <cell r="F33" t="str">
            <v>Agrosuper Brasil</v>
          </cell>
          <cell r="G33">
            <v>1021864</v>
          </cell>
          <cell r="H33" t="str">
            <v>GO Cue Papda CP@ Cj 20k AS</v>
          </cell>
          <cell r="I33">
            <v>48000</v>
          </cell>
          <cell r="J33">
            <v>48000</v>
          </cell>
          <cell r="K33">
            <v>48000</v>
          </cell>
          <cell r="L33">
            <v>24000</v>
          </cell>
          <cell r="M33">
            <v>48000</v>
          </cell>
        </row>
        <row r="34">
          <cell r="A34" t="str">
            <v>Agrosuper Brasil1023329</v>
          </cell>
          <cell r="B34" t="str">
            <v>1023329Agrosuper Brasil</v>
          </cell>
          <cell r="C34" t="str">
            <v>Cerdo</v>
          </cell>
          <cell r="D34" t="str">
            <v>Cueros</v>
          </cell>
          <cell r="E34" t="str">
            <v>Cuero Papada</v>
          </cell>
          <cell r="F34" t="str">
            <v>Agrosuper Brasil</v>
          </cell>
          <cell r="G34">
            <v>1023329</v>
          </cell>
          <cell r="H34" t="str">
            <v>GO Cue Papda CP@ Cj 20k AS</v>
          </cell>
          <cell r="I34"/>
          <cell r="J34">
            <v>24000</v>
          </cell>
          <cell r="K34">
            <v>72000</v>
          </cell>
          <cell r="L34">
            <v>24000</v>
          </cell>
          <cell r="M34">
            <v>72000</v>
          </cell>
        </row>
        <row r="35">
          <cell r="A35" t="str">
            <v>Agro Sudamerica1021639</v>
          </cell>
          <cell r="B35" t="str">
            <v>1021639Agro Sudamerica</v>
          </cell>
          <cell r="C35" t="str">
            <v>Cerdo</v>
          </cell>
          <cell r="D35" t="str">
            <v>Filete</v>
          </cell>
          <cell r="E35" t="str">
            <v>Filete c/Cabeza</v>
          </cell>
          <cell r="F35" t="str">
            <v>Agro Sudamerica</v>
          </cell>
          <cell r="G35">
            <v>1021639</v>
          </cell>
          <cell r="H35" t="str">
            <v>GO File C/cab@ Cj 5k AS</v>
          </cell>
          <cell r="I35"/>
          <cell r="J35">
            <v>48000</v>
          </cell>
          <cell r="K35">
            <v>24000</v>
          </cell>
          <cell r="L35">
            <v>24000</v>
          </cell>
          <cell r="M35">
            <v>24000</v>
          </cell>
        </row>
        <row r="36">
          <cell r="A36" t="str">
            <v>Agro Sudamerica1023312</v>
          </cell>
          <cell r="B36" t="str">
            <v>1023312Agro Sudamerica</v>
          </cell>
          <cell r="C36" t="str">
            <v>Cerdo</v>
          </cell>
          <cell r="D36" t="str">
            <v>Filete</v>
          </cell>
          <cell r="E36" t="str">
            <v>Filete c/Cabeza</v>
          </cell>
          <cell r="F36" t="str">
            <v>Agro Sudamerica</v>
          </cell>
          <cell r="G36">
            <v>1023312</v>
          </cell>
          <cell r="H36" t="str">
            <v>GO File C/cab@Cj 20k AS</v>
          </cell>
          <cell r="I36"/>
          <cell r="J36"/>
          <cell r="K36">
            <v>10221</v>
          </cell>
          <cell r="L36"/>
          <cell r="M36"/>
        </row>
        <row r="37">
          <cell r="A37" t="str">
            <v>Exportacion Directa1020636</v>
          </cell>
          <cell r="B37" t="str">
            <v>1020636Exportacion Directa</v>
          </cell>
          <cell r="C37" t="str">
            <v>Cerdo</v>
          </cell>
          <cell r="D37" t="str">
            <v>Filete</v>
          </cell>
          <cell r="E37" t="str">
            <v>Filete c/Cabeza</v>
          </cell>
          <cell r="F37" t="str">
            <v>Exportacion Directa</v>
          </cell>
          <cell r="G37">
            <v>1020636</v>
          </cell>
          <cell r="H37" t="str">
            <v>GO File C/cab@ Va Cj 10k AP</v>
          </cell>
          <cell r="I37">
            <v>14500</v>
          </cell>
          <cell r="J37">
            <v>14500</v>
          </cell>
          <cell r="K37">
            <v>15000</v>
          </cell>
          <cell r="L37">
            <v>18000</v>
          </cell>
          <cell r="M37">
            <v>20000</v>
          </cell>
        </row>
        <row r="38">
          <cell r="A38" t="str">
            <v>Exportacion Directa1020704</v>
          </cell>
          <cell r="B38" t="str">
            <v>1020704Exportacion Directa</v>
          </cell>
          <cell r="C38" t="str">
            <v>Cerdo</v>
          </cell>
          <cell r="D38" t="str">
            <v>Filete</v>
          </cell>
          <cell r="E38" t="str">
            <v>Filete c/Cabeza</v>
          </cell>
          <cell r="F38" t="str">
            <v>Exportacion Directa</v>
          </cell>
          <cell r="G38">
            <v>1020704</v>
          </cell>
          <cell r="H38" t="str">
            <v>GO File N@ Va Cj File AP</v>
          </cell>
          <cell r="I38"/>
          <cell r="J38">
            <v>500</v>
          </cell>
          <cell r="K38">
            <v>500</v>
          </cell>
          <cell r="L38">
            <v>1500</v>
          </cell>
          <cell r="M38">
            <v>1500</v>
          </cell>
        </row>
        <row r="39">
          <cell r="A39" t="str">
            <v>Exportacion Directa1021609</v>
          </cell>
          <cell r="B39" t="str">
            <v>1021609Exportacion Directa</v>
          </cell>
          <cell r="C39" t="str">
            <v>Cerdo</v>
          </cell>
          <cell r="D39" t="str">
            <v>Filete</v>
          </cell>
          <cell r="E39" t="str">
            <v>Filete c/Cabeza</v>
          </cell>
          <cell r="F39" t="str">
            <v>Exportacion Directa</v>
          </cell>
          <cell r="G39">
            <v>1021609</v>
          </cell>
          <cell r="H39" t="str">
            <v>GO File C/cab@ IWP Cj 10k SC</v>
          </cell>
          <cell r="I39">
            <v>16500</v>
          </cell>
          <cell r="J39">
            <v>6500</v>
          </cell>
          <cell r="K39">
            <v>3000</v>
          </cell>
          <cell r="L39">
            <v>5000</v>
          </cell>
          <cell r="M39"/>
        </row>
        <row r="40">
          <cell r="A40" t="str">
            <v>Exportacion Directa1022931</v>
          </cell>
          <cell r="B40" t="str">
            <v>1022931Exportacion Directa</v>
          </cell>
          <cell r="C40" t="str">
            <v>Cerdo</v>
          </cell>
          <cell r="D40" t="str">
            <v>Filete</v>
          </cell>
          <cell r="E40" t="str">
            <v>Filete c/Cabeza</v>
          </cell>
          <cell r="F40" t="str">
            <v>Exportacion Directa</v>
          </cell>
          <cell r="G40">
            <v>1022931</v>
          </cell>
          <cell r="H40" t="str">
            <v>GO File C/cab 6x1@ VP Cj AP</v>
          </cell>
          <cell r="I40"/>
          <cell r="J40"/>
          <cell r="K40"/>
          <cell r="L40">
            <v>20000</v>
          </cell>
          <cell r="M40">
            <v>20182</v>
          </cell>
        </row>
        <row r="41">
          <cell r="A41" t="str">
            <v>Agro Sudamerica1020925</v>
          </cell>
          <cell r="B41" t="str">
            <v>1020925Agro Sudamerica</v>
          </cell>
          <cell r="C41" t="str">
            <v>Cerdo</v>
          </cell>
          <cell r="D41" t="str">
            <v>Grasas</v>
          </cell>
          <cell r="E41" t="str">
            <v>Grasa Forro</v>
          </cell>
          <cell r="F41" t="str">
            <v>Agro Sudamerica</v>
          </cell>
          <cell r="G41">
            <v>1020925</v>
          </cell>
          <cell r="H41" t="str">
            <v>GO Grasa Forro Pna Limp@ Cj 20k AS</v>
          </cell>
          <cell r="I41"/>
          <cell r="J41">
            <v>3000</v>
          </cell>
          <cell r="K41">
            <v>14000</v>
          </cell>
          <cell r="L41">
            <v>38000</v>
          </cell>
          <cell r="M41">
            <v>48000</v>
          </cell>
        </row>
        <row r="42">
          <cell r="A42" t="str">
            <v>Agro Sudamerica1022218</v>
          </cell>
          <cell r="B42" t="str">
            <v>1022218Agro Sudamerica</v>
          </cell>
          <cell r="C42" t="str">
            <v>Cerdo</v>
          </cell>
          <cell r="D42" t="str">
            <v>Grasas</v>
          </cell>
          <cell r="E42" t="str">
            <v>Grasa Forro</v>
          </cell>
          <cell r="F42" t="str">
            <v>Agro Sudamerica</v>
          </cell>
          <cell r="G42">
            <v>1022218</v>
          </cell>
          <cell r="H42" t="str">
            <v>GO Grasa Forro Pna Limp@ Cj 20k AS</v>
          </cell>
          <cell r="I42">
            <v>7000</v>
          </cell>
          <cell r="J42"/>
          <cell r="K42"/>
          <cell r="L42"/>
          <cell r="M42"/>
        </row>
        <row r="43">
          <cell r="A43" t="str">
            <v>Agro Sudamerica1022273</v>
          </cell>
          <cell r="B43" t="str">
            <v>1022273Agro Sudamerica</v>
          </cell>
          <cell r="C43" t="str">
            <v>Cerdo</v>
          </cell>
          <cell r="D43" t="str">
            <v>Grasas</v>
          </cell>
          <cell r="E43" t="str">
            <v>Grasa Forro</v>
          </cell>
          <cell r="F43" t="str">
            <v>Agro Sudamerica</v>
          </cell>
          <cell r="G43">
            <v>1022273</v>
          </cell>
          <cell r="H43" t="str">
            <v>GO Grasa Forro Pna Limp@ Bo Cj AS</v>
          </cell>
          <cell r="I43"/>
          <cell r="J43"/>
          <cell r="K43">
            <v>12000</v>
          </cell>
          <cell r="L43"/>
          <cell r="M43"/>
        </row>
        <row r="44">
          <cell r="A44" t="str">
            <v>Agro Sudamerica1022855</v>
          </cell>
          <cell r="B44" t="str">
            <v>1022855Agro Sudamerica</v>
          </cell>
          <cell r="C44" t="str">
            <v>Cerdo</v>
          </cell>
          <cell r="D44" t="str">
            <v>Grasas</v>
          </cell>
          <cell r="E44" t="str">
            <v>Grasa Forro</v>
          </cell>
          <cell r="F44" t="str">
            <v>Agro Sudamerica</v>
          </cell>
          <cell r="G44">
            <v>1022855</v>
          </cell>
          <cell r="H44" t="str">
            <v>GO Grasa Forro Pal@ Cj 20k AS</v>
          </cell>
          <cell r="I44">
            <v>16600</v>
          </cell>
          <cell r="J44">
            <v>24000</v>
          </cell>
          <cell r="K44"/>
          <cell r="L44">
            <v>24000</v>
          </cell>
          <cell r="M44">
            <v>24000</v>
          </cell>
        </row>
        <row r="45">
          <cell r="A45" t="str">
            <v>Agrosuper Brasil1022218</v>
          </cell>
          <cell r="B45" t="str">
            <v>1022218Agrosuper Brasil</v>
          </cell>
          <cell r="C45" t="str">
            <v>Cerdo</v>
          </cell>
          <cell r="D45" t="str">
            <v>Grasas</v>
          </cell>
          <cell r="E45" t="str">
            <v>Grasa Forro</v>
          </cell>
          <cell r="F45" t="str">
            <v>Agrosuper Brasil</v>
          </cell>
          <cell r="G45">
            <v>1022218</v>
          </cell>
          <cell r="H45" t="str">
            <v>GO Grasa Forro Pna Limp@ Cj 20k AS</v>
          </cell>
          <cell r="I45">
            <v>120000</v>
          </cell>
          <cell r="J45">
            <v>48000</v>
          </cell>
          <cell r="K45">
            <v>96000</v>
          </cell>
          <cell r="L45">
            <v>96000</v>
          </cell>
          <cell r="M45">
            <v>96000</v>
          </cell>
        </row>
        <row r="46">
          <cell r="A46" t="str">
            <v>Agrosuper Brasil1022273</v>
          </cell>
          <cell r="B46" t="str">
            <v>1022273Agrosuper Brasil</v>
          </cell>
          <cell r="C46" t="str">
            <v>Cerdo</v>
          </cell>
          <cell r="D46" t="str">
            <v>Grasas</v>
          </cell>
          <cell r="E46" t="str">
            <v>Grasa Forro</v>
          </cell>
          <cell r="F46" t="str">
            <v>Agrosuper Brasil</v>
          </cell>
          <cell r="G46">
            <v>1022273</v>
          </cell>
          <cell r="H46" t="str">
            <v>GO Grasa Forro Pna Limp@ Bo Cj AS</v>
          </cell>
          <cell r="I46"/>
          <cell r="J46">
            <v>144000</v>
          </cell>
          <cell r="K46">
            <v>144000</v>
          </cell>
          <cell r="L46">
            <v>120000</v>
          </cell>
          <cell r="M46">
            <v>168000</v>
          </cell>
        </row>
        <row r="47">
          <cell r="A47" t="str">
            <v>Agrosuper Shanghai1023111</v>
          </cell>
          <cell r="B47" t="str">
            <v>1023111Agrosuper Shanghai</v>
          </cell>
          <cell r="C47" t="str">
            <v>Cerdo</v>
          </cell>
          <cell r="D47" t="str">
            <v>Grasas</v>
          </cell>
          <cell r="E47" t="str">
            <v>Grasa Forro</v>
          </cell>
          <cell r="F47" t="str">
            <v>Agrosuper Shanghai</v>
          </cell>
          <cell r="G47">
            <v>1023111</v>
          </cell>
          <cell r="H47" t="str">
            <v>GO Grasa Forro Pna Limp@ Bo Cj 20k AS</v>
          </cell>
          <cell r="I47">
            <v>48000</v>
          </cell>
          <cell r="J47"/>
          <cell r="K47">
            <v>96000</v>
          </cell>
          <cell r="L47"/>
          <cell r="M47">
            <v>24000</v>
          </cell>
        </row>
        <row r="48">
          <cell r="A48" t="str">
            <v>Agro Sudamerica1020367</v>
          </cell>
          <cell r="B48" t="str">
            <v>1020367Agro Sudamerica</v>
          </cell>
          <cell r="C48" t="str">
            <v>Cerdo</v>
          </cell>
          <cell r="D48" t="str">
            <v>Grasas</v>
          </cell>
          <cell r="E48" t="str">
            <v>Grasa Gordura</v>
          </cell>
          <cell r="F48" t="str">
            <v>Agro Sudamerica</v>
          </cell>
          <cell r="G48">
            <v>1020367</v>
          </cell>
          <cell r="H48" t="str">
            <v>GO Gord Lom Tocino@ Cj t-f AS</v>
          </cell>
          <cell r="I48">
            <v>48000</v>
          </cell>
          <cell r="J48">
            <v>72000</v>
          </cell>
          <cell r="K48">
            <v>24000</v>
          </cell>
          <cell r="L48">
            <v>48100</v>
          </cell>
          <cell r="M48">
            <v>72000</v>
          </cell>
        </row>
        <row r="49">
          <cell r="A49" t="str">
            <v>Agro Sudamerica1021023</v>
          </cell>
          <cell r="B49" t="str">
            <v>1021023Agro Sudamerica</v>
          </cell>
          <cell r="C49" t="str">
            <v>Cerdo</v>
          </cell>
          <cell r="D49" t="str">
            <v>Grasas</v>
          </cell>
          <cell r="E49" t="str">
            <v>Grasa Gordura</v>
          </cell>
          <cell r="F49" t="str">
            <v>Agro Sudamerica</v>
          </cell>
          <cell r="G49">
            <v>1021023</v>
          </cell>
          <cell r="H49" t="str">
            <v>GO Gord rebaje@ Bo Cj 20k AS</v>
          </cell>
          <cell r="I49">
            <v>120000</v>
          </cell>
          <cell r="J49">
            <v>216000</v>
          </cell>
          <cell r="K49">
            <v>264000</v>
          </cell>
          <cell r="L49">
            <v>167000</v>
          </cell>
          <cell r="M49">
            <v>96000</v>
          </cell>
        </row>
        <row r="50">
          <cell r="A50" t="str">
            <v>Agro Sudamerica1021077</v>
          </cell>
          <cell r="B50" t="str">
            <v>1021077Agro Sudamerica</v>
          </cell>
          <cell r="C50" t="str">
            <v>Cerdo</v>
          </cell>
          <cell r="D50" t="str">
            <v>Grasas</v>
          </cell>
          <cell r="E50" t="str">
            <v>Grasa Gordura</v>
          </cell>
          <cell r="F50" t="str">
            <v>Agro Sudamerica</v>
          </cell>
          <cell r="G50">
            <v>1021077</v>
          </cell>
          <cell r="H50" t="str">
            <v>GO Gord chic@ Cj 20k AS</v>
          </cell>
          <cell r="I50"/>
          <cell r="J50">
            <v>24000</v>
          </cell>
          <cell r="K50"/>
          <cell r="L50">
            <v>48000</v>
          </cell>
          <cell r="M50"/>
        </row>
        <row r="51">
          <cell r="A51" t="str">
            <v>Agro Sudamerica1021085</v>
          </cell>
          <cell r="B51" t="str">
            <v>1021085Agro Sudamerica</v>
          </cell>
          <cell r="C51" t="str">
            <v>Cerdo</v>
          </cell>
          <cell r="D51" t="str">
            <v>Grasas</v>
          </cell>
          <cell r="E51" t="str">
            <v>Grasa Gordura</v>
          </cell>
          <cell r="F51" t="str">
            <v>Agro Sudamerica</v>
          </cell>
          <cell r="G51">
            <v>1021085</v>
          </cell>
          <cell r="H51" t="str">
            <v>GO Gord Esp@ Cj 20k AS</v>
          </cell>
          <cell r="I51">
            <v>24000</v>
          </cell>
          <cell r="J51">
            <v>24000</v>
          </cell>
          <cell r="K51"/>
          <cell r="L51"/>
          <cell r="M51">
            <v>24000</v>
          </cell>
        </row>
        <row r="52">
          <cell r="A52" t="str">
            <v>Agro Sudamerica1021435</v>
          </cell>
          <cell r="B52" t="str">
            <v>1021435Agro Sudamerica</v>
          </cell>
          <cell r="C52" t="str">
            <v>Cerdo</v>
          </cell>
          <cell r="D52" t="str">
            <v>Grasas</v>
          </cell>
          <cell r="E52" t="str">
            <v>Grasa Gordura</v>
          </cell>
          <cell r="F52" t="str">
            <v>Agro Sudamerica</v>
          </cell>
          <cell r="G52">
            <v>1021435</v>
          </cell>
          <cell r="H52" t="str">
            <v>GO Gord Lom Tocino@ Cj 20k AS</v>
          </cell>
          <cell r="I52"/>
          <cell r="J52">
            <v>24000</v>
          </cell>
          <cell r="K52"/>
          <cell r="L52">
            <v>12000</v>
          </cell>
          <cell r="M52"/>
        </row>
        <row r="53">
          <cell r="A53" t="str">
            <v>Agro Sudamerica1022150</v>
          </cell>
          <cell r="B53" t="str">
            <v>1022150Agro Sudamerica</v>
          </cell>
          <cell r="C53" t="str">
            <v>Cerdo</v>
          </cell>
          <cell r="D53" t="str">
            <v>Grasas</v>
          </cell>
          <cell r="E53" t="str">
            <v>Grasa Gordura</v>
          </cell>
          <cell r="F53" t="str">
            <v>Agro Sudamerica</v>
          </cell>
          <cell r="G53">
            <v>1022150</v>
          </cell>
          <cell r="H53" t="str">
            <v>GO Gord chic@ Cj 20k AS</v>
          </cell>
          <cell r="I53">
            <v>120000</v>
          </cell>
          <cell r="J53">
            <v>174000</v>
          </cell>
          <cell r="K53">
            <v>132000</v>
          </cell>
          <cell r="L53">
            <v>96000</v>
          </cell>
          <cell r="M53">
            <v>168000</v>
          </cell>
        </row>
        <row r="54">
          <cell r="A54" t="str">
            <v>Agro Sudamerica1022920</v>
          </cell>
          <cell r="B54" t="str">
            <v>1022920Agro Sudamerica</v>
          </cell>
          <cell r="C54" t="str">
            <v>Cerdo</v>
          </cell>
          <cell r="D54" t="str">
            <v>Grasas</v>
          </cell>
          <cell r="E54" t="str">
            <v>Grasa Gordura</v>
          </cell>
          <cell r="F54" t="str">
            <v>Agro Sudamerica</v>
          </cell>
          <cell r="G54">
            <v>1022920</v>
          </cell>
          <cell r="H54" t="str">
            <v>GO Gord rebaje@ Cj 20k AS</v>
          </cell>
          <cell r="I54"/>
          <cell r="J54"/>
          <cell r="K54"/>
          <cell r="L54"/>
          <cell r="M54">
            <v>4619</v>
          </cell>
        </row>
        <row r="55">
          <cell r="A55" t="str">
            <v>Agro Sudamerica1022921</v>
          </cell>
          <cell r="B55" t="str">
            <v>1022921Agro Sudamerica</v>
          </cell>
          <cell r="C55" t="str">
            <v>Cerdo</v>
          </cell>
          <cell r="D55" t="str">
            <v>Grasas</v>
          </cell>
          <cell r="E55" t="str">
            <v>Grasa Gordura</v>
          </cell>
          <cell r="F55" t="str">
            <v>Agro Sudamerica</v>
          </cell>
          <cell r="G55">
            <v>1022921</v>
          </cell>
          <cell r="H55" t="str">
            <v>GO Gord chic@ Cj 20k AS</v>
          </cell>
          <cell r="I55">
            <v>10000</v>
          </cell>
          <cell r="J55">
            <v>48000</v>
          </cell>
          <cell r="K55">
            <v>10000</v>
          </cell>
          <cell r="L55">
            <v>12000</v>
          </cell>
          <cell r="M55">
            <v>47000</v>
          </cell>
        </row>
        <row r="56">
          <cell r="A56" t="str">
            <v>Agro Sudamerica1022996</v>
          </cell>
          <cell r="B56" t="str">
            <v>1022996Agro Sudamerica</v>
          </cell>
          <cell r="C56" t="str">
            <v>Cerdo</v>
          </cell>
          <cell r="D56" t="str">
            <v>Grasas</v>
          </cell>
          <cell r="E56" t="str">
            <v>Grasa Gordura</v>
          </cell>
          <cell r="F56" t="str">
            <v>Agro Sudamerica</v>
          </cell>
          <cell r="G56">
            <v>1022996</v>
          </cell>
          <cell r="H56" t="str">
            <v>GO Visual Triming@ Cj 20k AS</v>
          </cell>
          <cell r="I56">
            <v>36000</v>
          </cell>
          <cell r="J56">
            <v>24000</v>
          </cell>
          <cell r="K56">
            <v>24000</v>
          </cell>
          <cell r="L56"/>
          <cell r="M56"/>
        </row>
        <row r="57">
          <cell r="A57" t="str">
            <v>Agrosuper Shanghai1022381</v>
          </cell>
          <cell r="B57" t="str">
            <v>1022381Agrosuper Shanghai</v>
          </cell>
          <cell r="C57" t="str">
            <v>Cerdo</v>
          </cell>
          <cell r="D57" t="str">
            <v>Grasas</v>
          </cell>
          <cell r="E57" t="str">
            <v>Grasa Gordura</v>
          </cell>
          <cell r="F57" t="str">
            <v>Agrosuper Shanghai</v>
          </cell>
          <cell r="G57">
            <v>1022381</v>
          </cell>
          <cell r="H57" t="str">
            <v>GO Gord Esp@ Bo Cj 10k AS</v>
          </cell>
          <cell r="I57">
            <v>24000</v>
          </cell>
          <cell r="J57">
            <v>48000</v>
          </cell>
          <cell r="K57">
            <v>72000</v>
          </cell>
          <cell r="L57">
            <v>96000</v>
          </cell>
          <cell r="M57">
            <v>96000</v>
          </cell>
        </row>
        <row r="58">
          <cell r="A58" t="str">
            <v>Agrosuper Shanghai1022541</v>
          </cell>
          <cell r="B58" t="str">
            <v>1022541Agrosuper Shanghai</v>
          </cell>
          <cell r="C58" t="str">
            <v>Cerdo</v>
          </cell>
          <cell r="D58" t="str">
            <v>Grasas</v>
          </cell>
          <cell r="E58" t="str">
            <v>Grasa Gordura</v>
          </cell>
          <cell r="F58" t="str">
            <v>Agrosuper Shanghai</v>
          </cell>
          <cell r="G58">
            <v>1022541</v>
          </cell>
          <cell r="H58" t="str">
            <v>GO Reco 20/80 @ Cj 20k AS</v>
          </cell>
          <cell r="I58">
            <v>24000</v>
          </cell>
          <cell r="J58">
            <v>72000</v>
          </cell>
          <cell r="K58">
            <v>48000</v>
          </cell>
          <cell r="L58">
            <v>24000</v>
          </cell>
          <cell r="M58">
            <v>168000</v>
          </cell>
        </row>
        <row r="59">
          <cell r="A59" t="str">
            <v>Agrosuper Shanghai1022856</v>
          </cell>
          <cell r="B59" t="str">
            <v>1022856Agrosuper Shanghai</v>
          </cell>
          <cell r="C59" t="str">
            <v>Cerdo</v>
          </cell>
          <cell r="D59" t="str">
            <v>Grasas</v>
          </cell>
          <cell r="E59" t="str">
            <v>Grasa Gordura</v>
          </cell>
          <cell r="F59" t="str">
            <v>Agrosuper Shanghai</v>
          </cell>
          <cell r="G59">
            <v>1022856</v>
          </cell>
          <cell r="H59" t="str">
            <v>GO Reco 10/90 @ Cj 20k AS</v>
          </cell>
          <cell r="I59">
            <v>96000</v>
          </cell>
          <cell r="J59">
            <v>24000</v>
          </cell>
          <cell r="K59">
            <v>120000</v>
          </cell>
          <cell r="L59">
            <v>120000</v>
          </cell>
          <cell r="M59">
            <v>96000</v>
          </cell>
        </row>
        <row r="60">
          <cell r="A60" t="str">
            <v>Agro Sudamerica1021111</v>
          </cell>
          <cell r="B60" t="str">
            <v>1021111Agro Sudamerica</v>
          </cell>
          <cell r="C60" t="str">
            <v>Cerdo</v>
          </cell>
          <cell r="D60" t="str">
            <v>Grasas</v>
          </cell>
          <cell r="E60" t="str">
            <v>Grasa Interior</v>
          </cell>
          <cell r="F60" t="str">
            <v>Agro Sudamerica</v>
          </cell>
          <cell r="G60">
            <v>1021111</v>
          </cell>
          <cell r="H60" t="str">
            <v>GO Epiplón@ Cj 20k AS</v>
          </cell>
          <cell r="I60">
            <v>3000</v>
          </cell>
          <cell r="J60">
            <v>2500</v>
          </cell>
          <cell r="K60"/>
          <cell r="L60"/>
          <cell r="M60"/>
        </row>
        <row r="61">
          <cell r="A61" t="str">
            <v>Agro Sudamerica1022705</v>
          </cell>
          <cell r="B61" t="str">
            <v>1022705Agro Sudamerica</v>
          </cell>
          <cell r="C61" t="str">
            <v>Cerdo</v>
          </cell>
          <cell r="D61" t="str">
            <v>Grasas</v>
          </cell>
          <cell r="E61" t="str">
            <v>Grasa Interior</v>
          </cell>
          <cell r="F61" t="str">
            <v>Agro Sudamerica</v>
          </cell>
          <cell r="G61">
            <v>1022705</v>
          </cell>
          <cell r="H61" t="str">
            <v>GO Mantec@ Cj 20k AS</v>
          </cell>
          <cell r="I61"/>
          <cell r="J61"/>
          <cell r="K61"/>
          <cell r="L61"/>
          <cell r="M61"/>
        </row>
        <row r="62">
          <cell r="A62" t="str">
            <v>Agrosuper Shanghai1022073</v>
          </cell>
          <cell r="B62" t="str">
            <v>1022073Agrosuper Shanghai</v>
          </cell>
          <cell r="C62" t="str">
            <v>Cerdo</v>
          </cell>
          <cell r="D62" t="str">
            <v>Grasas</v>
          </cell>
          <cell r="E62" t="str">
            <v>Grasa Interior</v>
          </cell>
          <cell r="F62" t="str">
            <v>Agrosuper Shanghai</v>
          </cell>
          <cell r="G62">
            <v>1022073</v>
          </cell>
          <cell r="H62" t="str">
            <v>GO Mantec@ Cj 20k AS</v>
          </cell>
          <cell r="I62">
            <v>72000</v>
          </cell>
          <cell r="J62"/>
          <cell r="K62"/>
          <cell r="L62"/>
          <cell r="M62">
            <v>24000</v>
          </cell>
        </row>
        <row r="63">
          <cell r="A63" t="str">
            <v>Agrosuper Shanghai1022945</v>
          </cell>
          <cell r="B63" t="str">
            <v>1022945Agrosuper Shanghai</v>
          </cell>
          <cell r="C63" t="str">
            <v>Cerdo</v>
          </cell>
          <cell r="D63" t="str">
            <v>Grasas</v>
          </cell>
          <cell r="E63" t="str">
            <v>Grasa Interior</v>
          </cell>
          <cell r="F63" t="str">
            <v>Agrosuper Shanghai</v>
          </cell>
          <cell r="G63">
            <v>1022945</v>
          </cell>
          <cell r="H63" t="str">
            <v>GO Mantec@ Cj 20k AS</v>
          </cell>
          <cell r="I63">
            <v>144000</v>
          </cell>
          <cell r="J63"/>
          <cell r="K63"/>
          <cell r="L63"/>
          <cell r="M63">
            <v>48000</v>
          </cell>
        </row>
        <row r="64">
          <cell r="A64" t="str">
            <v>Agro Sudamerica1020339</v>
          </cell>
          <cell r="B64" t="str">
            <v>1020339Agro Sudamerica</v>
          </cell>
          <cell r="C64" t="str">
            <v>Cerdo</v>
          </cell>
          <cell r="D64" t="str">
            <v>Grasas</v>
          </cell>
          <cell r="E64" t="str">
            <v>Grasa Lomo Tocino</v>
          </cell>
          <cell r="F64" t="str">
            <v>Agro Sudamerica</v>
          </cell>
          <cell r="G64">
            <v>1020339</v>
          </cell>
          <cell r="H64" t="str">
            <v>GO Lom Tocino@ Cj 20k AS</v>
          </cell>
          <cell r="I64">
            <v>34000</v>
          </cell>
          <cell r="J64">
            <v>95000</v>
          </cell>
          <cell r="K64">
            <v>85000</v>
          </cell>
          <cell r="L64">
            <v>98500</v>
          </cell>
          <cell r="M64">
            <v>130881</v>
          </cell>
        </row>
        <row r="65">
          <cell r="A65" t="str">
            <v>Agro Sudamerica1021204</v>
          </cell>
          <cell r="B65" t="str">
            <v>1021204Agro Sudamerica</v>
          </cell>
          <cell r="C65" t="str">
            <v>Cerdo</v>
          </cell>
          <cell r="D65" t="str">
            <v>Grasas</v>
          </cell>
          <cell r="E65" t="str">
            <v>Grasa Lomo Tocino</v>
          </cell>
          <cell r="F65" t="str">
            <v>Agro Sudamerica</v>
          </cell>
          <cell r="G65">
            <v>1021204</v>
          </cell>
          <cell r="H65" t="str">
            <v>GO Lom Tocino@ Cj 20k AS</v>
          </cell>
          <cell r="I65"/>
          <cell r="J65"/>
          <cell r="K65"/>
          <cell r="L65"/>
          <cell r="M65">
            <v>23040</v>
          </cell>
        </row>
        <row r="66">
          <cell r="A66" t="str">
            <v>Agro Sudamerica1021287</v>
          </cell>
          <cell r="B66" t="str">
            <v>1021287Agro Sudamerica</v>
          </cell>
          <cell r="C66" t="str">
            <v>Cerdo</v>
          </cell>
          <cell r="D66" t="str">
            <v>Grasas</v>
          </cell>
          <cell r="E66" t="str">
            <v>Grasa Lomo Tocino</v>
          </cell>
          <cell r="F66" t="str">
            <v>Agro Sudamerica</v>
          </cell>
          <cell r="G66">
            <v>1021287</v>
          </cell>
          <cell r="H66" t="str">
            <v>GO Lom Tocino@ Bo Cj AS</v>
          </cell>
          <cell r="I66"/>
          <cell r="J66">
            <v>5000</v>
          </cell>
          <cell r="K66"/>
          <cell r="L66"/>
          <cell r="M66"/>
        </row>
        <row r="67">
          <cell r="A67" t="str">
            <v>Agro Sudamerica1022217</v>
          </cell>
          <cell r="B67" t="str">
            <v>1022217Agro Sudamerica</v>
          </cell>
          <cell r="C67" t="str">
            <v>Cerdo</v>
          </cell>
          <cell r="D67" t="str">
            <v>Grasas</v>
          </cell>
          <cell r="E67" t="str">
            <v>Grasa Lomo Tocino</v>
          </cell>
          <cell r="F67" t="str">
            <v>Agro Sudamerica</v>
          </cell>
          <cell r="G67">
            <v>1022217</v>
          </cell>
          <cell r="H67" t="str">
            <v>GO Lom Tocino@ Bo Cj 20k AS</v>
          </cell>
          <cell r="I67"/>
          <cell r="J67"/>
          <cell r="K67"/>
          <cell r="L67"/>
          <cell r="M67"/>
        </row>
        <row r="68">
          <cell r="A68" t="str">
            <v>Agrosuper Asia1021204</v>
          </cell>
          <cell r="B68" t="str">
            <v>1021204Agrosuper Asia</v>
          </cell>
          <cell r="C68" t="str">
            <v>Cerdo</v>
          </cell>
          <cell r="D68" t="str">
            <v>Grasas</v>
          </cell>
          <cell r="E68" t="str">
            <v>Grasa Lomo Tocino</v>
          </cell>
          <cell r="F68" t="str">
            <v>Agrosuper Asia</v>
          </cell>
          <cell r="G68">
            <v>1021204</v>
          </cell>
          <cell r="H68" t="str">
            <v>GO Lom Tocino@ Cj 20k AS</v>
          </cell>
          <cell r="I68">
            <v>24000</v>
          </cell>
          <cell r="J68"/>
          <cell r="K68"/>
          <cell r="L68"/>
          <cell r="M68"/>
        </row>
        <row r="69">
          <cell r="A69" t="str">
            <v>Agrosuper Brasil1022217</v>
          </cell>
          <cell r="B69" t="str">
            <v>1022217Agrosuper Brasil</v>
          </cell>
          <cell r="C69" t="str">
            <v>Cerdo</v>
          </cell>
          <cell r="D69" t="str">
            <v>Grasas</v>
          </cell>
          <cell r="E69" t="str">
            <v>Grasa Lomo Tocino</v>
          </cell>
          <cell r="F69" t="str">
            <v>Agrosuper Brasil</v>
          </cell>
          <cell r="G69">
            <v>1022217</v>
          </cell>
          <cell r="H69" t="str">
            <v>GO Lom Tocino@ Bo Cj 20k AS</v>
          </cell>
          <cell r="I69">
            <v>96000</v>
          </cell>
          <cell r="J69">
            <v>47994</v>
          </cell>
          <cell r="K69">
            <v>72000</v>
          </cell>
          <cell r="L69">
            <v>264000</v>
          </cell>
          <cell r="M69">
            <v>168000</v>
          </cell>
        </row>
        <row r="70">
          <cell r="A70" t="str">
            <v>Agrosuper Shanghai1021992</v>
          </cell>
          <cell r="B70" t="str">
            <v>1021992Agrosuper Shanghai</v>
          </cell>
          <cell r="C70" t="str">
            <v>Cerdo</v>
          </cell>
          <cell r="D70" t="str">
            <v>Grasas</v>
          </cell>
          <cell r="E70" t="str">
            <v>Grasa Lomo Tocino</v>
          </cell>
          <cell r="F70" t="str">
            <v>Agrosuper Shanghai</v>
          </cell>
          <cell r="G70">
            <v>1021992</v>
          </cell>
          <cell r="H70" t="str">
            <v>GO Lom Tocino@ Cj 20k AS</v>
          </cell>
          <cell r="I70">
            <v>96000</v>
          </cell>
          <cell r="J70">
            <v>72000</v>
          </cell>
          <cell r="K70">
            <v>120000</v>
          </cell>
          <cell r="L70"/>
          <cell r="M70"/>
        </row>
        <row r="71">
          <cell r="A71" t="str">
            <v>Agrosuper Asia1021149</v>
          </cell>
          <cell r="B71" t="str">
            <v>1021149Agrosuper Asia</v>
          </cell>
          <cell r="C71" t="str">
            <v>Cerdo</v>
          </cell>
          <cell r="D71" t="str">
            <v>Huesos</v>
          </cell>
          <cell r="E71" t="str">
            <v>Huesos Cuarto Centra</v>
          </cell>
          <cell r="F71" t="str">
            <v>Agrosuper Asia</v>
          </cell>
          <cell r="G71">
            <v>1021149</v>
          </cell>
          <cell r="H71" t="str">
            <v>GO Tira Hso Ctro@ Cj 20k TJ</v>
          </cell>
          <cell r="I71">
            <v>66000</v>
          </cell>
          <cell r="J71">
            <v>44000</v>
          </cell>
          <cell r="K71">
            <v>66000</v>
          </cell>
          <cell r="L71">
            <v>44000</v>
          </cell>
          <cell r="M71">
            <v>66000</v>
          </cell>
        </row>
        <row r="72">
          <cell r="A72" t="str">
            <v>Agrosuper Asia1021150</v>
          </cell>
          <cell r="B72" t="str">
            <v>1021150Agrosuper Asia</v>
          </cell>
          <cell r="C72" t="str">
            <v>Cerdo</v>
          </cell>
          <cell r="D72" t="str">
            <v>Huesos</v>
          </cell>
          <cell r="E72" t="str">
            <v>Huesos Cuarto Centra</v>
          </cell>
          <cell r="F72" t="str">
            <v>Agrosuper Asia</v>
          </cell>
          <cell r="G72">
            <v>1021150</v>
          </cell>
          <cell r="H72" t="str">
            <v>GO Tira Hso Ctro@ Cj 20k AK</v>
          </cell>
          <cell r="I72">
            <v>44000</v>
          </cell>
          <cell r="J72">
            <v>66000</v>
          </cell>
          <cell r="K72">
            <v>22000</v>
          </cell>
          <cell r="L72">
            <v>44000</v>
          </cell>
          <cell r="M72">
            <v>22000</v>
          </cell>
        </row>
        <row r="73">
          <cell r="A73" t="str">
            <v>Agrosuper Asia1021156</v>
          </cell>
          <cell r="B73" t="str">
            <v>1021156Agrosuper Asia</v>
          </cell>
          <cell r="C73" t="str">
            <v>Cerdo</v>
          </cell>
          <cell r="D73" t="str">
            <v>Huesos</v>
          </cell>
          <cell r="E73" t="str">
            <v>Huesos Cuarto Centra</v>
          </cell>
          <cell r="F73" t="str">
            <v>Agrosuper Asia</v>
          </cell>
          <cell r="G73">
            <v>1021156</v>
          </cell>
          <cell r="H73" t="str">
            <v>GO Hso Pecho@ Cj Lom Vet TJ</v>
          </cell>
          <cell r="I73">
            <v>46000</v>
          </cell>
          <cell r="J73">
            <v>72000</v>
          </cell>
          <cell r="K73">
            <v>7000</v>
          </cell>
          <cell r="L73">
            <v>14000</v>
          </cell>
          <cell r="M73">
            <v>24000</v>
          </cell>
        </row>
        <row r="74">
          <cell r="A74" t="str">
            <v>Agrosuper Shanghai1022186</v>
          </cell>
          <cell r="B74" t="str">
            <v>1022186Agrosuper Shanghai</v>
          </cell>
          <cell r="C74" t="str">
            <v>Cerdo</v>
          </cell>
          <cell r="D74" t="str">
            <v>Huesos</v>
          </cell>
          <cell r="E74" t="str">
            <v>Huesos Cuarto Centra</v>
          </cell>
          <cell r="F74" t="str">
            <v>Agrosuper Shanghai</v>
          </cell>
          <cell r="G74">
            <v>1022186</v>
          </cell>
          <cell r="H74" t="str">
            <v>GO Resto Tira Hso Ctro@ Bo Cj 20k AS</v>
          </cell>
          <cell r="I74">
            <v>48000</v>
          </cell>
          <cell r="J74">
            <v>48000</v>
          </cell>
          <cell r="K74">
            <v>24000</v>
          </cell>
          <cell r="L74">
            <v>48000</v>
          </cell>
          <cell r="M74">
            <v>48000</v>
          </cell>
        </row>
        <row r="75">
          <cell r="A75" t="str">
            <v>Agrosuper Shanghai1022378</v>
          </cell>
          <cell r="B75" t="str">
            <v>1022378Agrosuper Shanghai</v>
          </cell>
          <cell r="C75" t="str">
            <v>Cerdo</v>
          </cell>
          <cell r="D75" t="str">
            <v>Huesos</v>
          </cell>
          <cell r="E75" t="str">
            <v>Huesos Cuarto Centra</v>
          </cell>
          <cell r="F75" t="str">
            <v>Agrosuper Shanghai</v>
          </cell>
          <cell r="G75">
            <v>1022378</v>
          </cell>
          <cell r="H75" t="str">
            <v>GO Resto Tira Hso@ Fi Cj 10k AS</v>
          </cell>
          <cell r="I75">
            <v>72000</v>
          </cell>
          <cell r="J75">
            <v>72000</v>
          </cell>
          <cell r="K75">
            <v>96000</v>
          </cell>
          <cell r="L75">
            <v>96000</v>
          </cell>
          <cell r="M75">
            <v>96000</v>
          </cell>
        </row>
        <row r="76">
          <cell r="A76" t="str">
            <v>Exportacion Directa1022869</v>
          </cell>
          <cell r="B76" t="str">
            <v>1022869Exportacion Directa</v>
          </cell>
          <cell r="C76" t="str">
            <v>Cerdo</v>
          </cell>
          <cell r="D76" t="str">
            <v>Huesos</v>
          </cell>
          <cell r="E76" t="str">
            <v>Huesos Cuarto Centra</v>
          </cell>
          <cell r="F76" t="str">
            <v>Exportacion Directa</v>
          </cell>
          <cell r="G76">
            <v>1022869</v>
          </cell>
          <cell r="H76" t="str">
            <v>GO Hso Pecho@ Cj 10k AP</v>
          </cell>
          <cell r="I76">
            <v>500</v>
          </cell>
          <cell r="J76">
            <v>1300</v>
          </cell>
          <cell r="K76">
            <v>2400</v>
          </cell>
          <cell r="L76">
            <v>800</v>
          </cell>
          <cell r="M76">
            <v>800</v>
          </cell>
        </row>
        <row r="77">
          <cell r="A77" t="str">
            <v>Agrosuper Asia1021151</v>
          </cell>
          <cell r="B77" t="str">
            <v>1021151Agrosuper Asia</v>
          </cell>
          <cell r="C77" t="str">
            <v>Cerdo</v>
          </cell>
          <cell r="D77" t="str">
            <v>Huesos</v>
          </cell>
          <cell r="E77" t="str">
            <v>Huesos Cuarto Delant</v>
          </cell>
          <cell r="F77" t="str">
            <v>Agrosuper Asia</v>
          </cell>
          <cell r="G77">
            <v>1021151</v>
          </cell>
          <cell r="H77" t="str">
            <v>GO Hso Cogote@ Bo Cj 20k TJ</v>
          </cell>
          <cell r="I77">
            <v>44000</v>
          </cell>
          <cell r="J77">
            <v>22000</v>
          </cell>
          <cell r="K77">
            <v>22000</v>
          </cell>
          <cell r="L77">
            <v>44000</v>
          </cell>
          <cell r="M77">
            <v>44000</v>
          </cell>
        </row>
        <row r="78">
          <cell r="A78" t="str">
            <v>Agrosuper Asia1021152</v>
          </cell>
          <cell r="B78" t="str">
            <v>1021152Agrosuper Asia</v>
          </cell>
          <cell r="C78" t="str">
            <v>Cerdo</v>
          </cell>
          <cell r="D78" t="str">
            <v>Huesos</v>
          </cell>
          <cell r="E78" t="str">
            <v>Huesos Cuarto Delant</v>
          </cell>
          <cell r="F78" t="str">
            <v>Agrosuper Asia</v>
          </cell>
          <cell r="G78">
            <v>1021152</v>
          </cell>
          <cell r="H78" t="str">
            <v>GO Hso Cogote@ Bo Cj 20k AK</v>
          </cell>
          <cell r="I78">
            <v>44000</v>
          </cell>
          <cell r="J78">
            <v>22000</v>
          </cell>
          <cell r="K78">
            <v>44000</v>
          </cell>
          <cell r="L78">
            <v>22000</v>
          </cell>
          <cell r="M78"/>
        </row>
        <row r="79">
          <cell r="A79" t="str">
            <v>Agrosuper Shanghai1022096</v>
          </cell>
          <cell r="B79" t="str">
            <v>1022096Agrosuper Shanghai</v>
          </cell>
          <cell r="C79" t="str">
            <v>Cerdo</v>
          </cell>
          <cell r="D79" t="str">
            <v>Huesos</v>
          </cell>
          <cell r="E79" t="str">
            <v>Huesos Cuarto Delant</v>
          </cell>
          <cell r="F79" t="str">
            <v>Agrosuper Shanghai</v>
          </cell>
          <cell r="G79">
            <v>1022096</v>
          </cell>
          <cell r="H79" t="str">
            <v>GO Sternum Bones@ Bo Cj 10k AS</v>
          </cell>
          <cell r="I79">
            <v>192000</v>
          </cell>
          <cell r="J79">
            <v>264000</v>
          </cell>
          <cell r="K79">
            <v>216000</v>
          </cell>
          <cell r="L79">
            <v>192000</v>
          </cell>
          <cell r="M79">
            <v>164571</v>
          </cell>
        </row>
        <row r="80">
          <cell r="A80" t="str">
            <v>Agrosuper Shanghai1022637</v>
          </cell>
          <cell r="B80" t="str">
            <v>1022637Agrosuper Shanghai</v>
          </cell>
          <cell r="C80" t="str">
            <v>Cerdo</v>
          </cell>
          <cell r="D80" t="str">
            <v>Huesos</v>
          </cell>
          <cell r="E80" t="str">
            <v>Huesos Cuarto Delant</v>
          </cell>
          <cell r="F80" t="str">
            <v>Agrosuper Shanghai</v>
          </cell>
          <cell r="G80">
            <v>1022637</v>
          </cell>
          <cell r="H80" t="str">
            <v>GO Hso Escapula@ Cj 15kg AS</v>
          </cell>
          <cell r="I80">
            <v>144000</v>
          </cell>
          <cell r="J80">
            <v>144000</v>
          </cell>
          <cell r="K80">
            <v>120000</v>
          </cell>
          <cell r="L80">
            <v>144000</v>
          </cell>
          <cell r="M80">
            <v>71100</v>
          </cell>
        </row>
        <row r="81">
          <cell r="A81" t="str">
            <v>Exportacion Directa1022313</v>
          </cell>
          <cell r="B81" t="str">
            <v>1022313Exportacion Directa</v>
          </cell>
          <cell r="C81" t="str">
            <v>Cerdo</v>
          </cell>
          <cell r="D81" t="str">
            <v>Lomo</v>
          </cell>
          <cell r="E81" t="str">
            <v>Lomo CC Loin</v>
          </cell>
          <cell r="F81" t="str">
            <v>Exportacion Directa</v>
          </cell>
          <cell r="G81">
            <v>1022313</v>
          </cell>
          <cell r="H81" t="str">
            <v>GO CC Loin T@ Fi Cj AP</v>
          </cell>
          <cell r="I81">
            <v>17750</v>
          </cell>
          <cell r="J81">
            <v>9000</v>
          </cell>
          <cell r="K81">
            <v>8000</v>
          </cell>
          <cell r="L81">
            <v>7000</v>
          </cell>
          <cell r="M81">
            <v>7000</v>
          </cell>
        </row>
        <row r="82">
          <cell r="A82" t="str">
            <v>Exportacion Directa1022326</v>
          </cell>
          <cell r="B82" t="str">
            <v>1022326Exportacion Directa</v>
          </cell>
          <cell r="C82" t="str">
            <v>Cerdo</v>
          </cell>
          <cell r="D82" t="str">
            <v>Lomo</v>
          </cell>
          <cell r="E82" t="str">
            <v>Lomo CC Loin</v>
          </cell>
          <cell r="F82" t="str">
            <v>Exportacion Directa</v>
          </cell>
          <cell r="G82">
            <v>1022326</v>
          </cell>
          <cell r="H82" t="str">
            <v>GO CC Loin L (S/T)@ Fi Cj AP</v>
          </cell>
          <cell r="I82">
            <v>35000</v>
          </cell>
          <cell r="J82">
            <v>23000</v>
          </cell>
          <cell r="K82">
            <v>45000</v>
          </cell>
          <cell r="L82">
            <v>30000</v>
          </cell>
          <cell r="M82">
            <v>41343</v>
          </cell>
        </row>
        <row r="83">
          <cell r="A83" t="str">
            <v>Exportacion Directa1022587</v>
          </cell>
          <cell r="B83" t="str">
            <v>1022587Exportacion Directa</v>
          </cell>
          <cell r="C83" t="str">
            <v>Cerdo</v>
          </cell>
          <cell r="D83" t="str">
            <v>Lomo</v>
          </cell>
          <cell r="E83" t="str">
            <v>Lomo CC Loin</v>
          </cell>
          <cell r="F83" t="str">
            <v>Exportacion Directa</v>
          </cell>
          <cell r="G83">
            <v>1022587</v>
          </cell>
          <cell r="H83" t="str">
            <v>GO CC Loin L (S/T) 45@ Fi Cj AP</v>
          </cell>
          <cell r="I83">
            <v>5000</v>
          </cell>
          <cell r="J83">
            <v>5000</v>
          </cell>
          <cell r="K83">
            <v>5000</v>
          </cell>
          <cell r="L83">
            <v>6000</v>
          </cell>
          <cell r="M83">
            <v>3000</v>
          </cell>
        </row>
        <row r="84">
          <cell r="A84" t="str">
            <v>Exportacion Directa1022664</v>
          </cell>
          <cell r="B84" t="str">
            <v>1022664Exportacion Directa</v>
          </cell>
          <cell r="C84" t="str">
            <v>Cerdo</v>
          </cell>
          <cell r="D84" t="str">
            <v>Lomo</v>
          </cell>
          <cell r="E84" t="str">
            <v>Lomo CC Loin</v>
          </cell>
          <cell r="F84" t="str">
            <v>Exportacion Directa</v>
          </cell>
          <cell r="G84">
            <v>1022664</v>
          </cell>
          <cell r="H84" t="str">
            <v>GO CC Loin L (S/T) (DF)@ Fi Cj AP</v>
          </cell>
          <cell r="I84">
            <v>43000</v>
          </cell>
          <cell r="J84">
            <v>23700</v>
          </cell>
          <cell r="K84">
            <v>17000</v>
          </cell>
          <cell r="L84">
            <v>30000</v>
          </cell>
          <cell r="M84">
            <v>35000</v>
          </cell>
        </row>
        <row r="85">
          <cell r="A85" t="str">
            <v>Exportacion Directa1023301</v>
          </cell>
          <cell r="B85" t="str">
            <v>1023301Exportacion Directa</v>
          </cell>
          <cell r="C85" t="str">
            <v>Cerdo</v>
          </cell>
          <cell r="D85" t="str">
            <v>Lomo</v>
          </cell>
          <cell r="E85" t="str">
            <v>Lomo CC Loin</v>
          </cell>
          <cell r="F85" t="str">
            <v>Exportacion Directa</v>
          </cell>
          <cell r="G85">
            <v>1023301</v>
          </cell>
          <cell r="H85" t="str">
            <v>GO CC Loin LL@ Bo Cj Lom Mad AP</v>
          </cell>
          <cell r="I85">
            <v>60000</v>
          </cell>
          <cell r="J85">
            <v>70000</v>
          </cell>
          <cell r="K85">
            <v>35000</v>
          </cell>
          <cell r="L85">
            <v>23500</v>
          </cell>
          <cell r="M85">
            <v>23500</v>
          </cell>
        </row>
        <row r="86">
          <cell r="A86" t="str">
            <v>Agro Sudamerica1020848</v>
          </cell>
          <cell r="B86" t="str">
            <v>1020848Agro Sudamerica</v>
          </cell>
          <cell r="C86" t="str">
            <v>Cerdo</v>
          </cell>
          <cell r="D86" t="str">
            <v>Lomo</v>
          </cell>
          <cell r="E86" t="str">
            <v>Lomo Centro</v>
          </cell>
          <cell r="F86" t="str">
            <v>Agro Sudamerica</v>
          </cell>
          <cell r="G86">
            <v>1020848</v>
          </cell>
          <cell r="H86" t="str">
            <v>GO Lom Ctro 27@ Cj 20k AS</v>
          </cell>
          <cell r="I86">
            <v>240000</v>
          </cell>
          <cell r="J86">
            <v>147000</v>
          </cell>
          <cell r="K86">
            <v>360000</v>
          </cell>
          <cell r="L86">
            <v>192000</v>
          </cell>
          <cell r="M86">
            <v>72000</v>
          </cell>
        </row>
        <row r="87">
          <cell r="A87" t="str">
            <v>Agro Sudamerica1021819</v>
          </cell>
          <cell r="B87" t="str">
            <v>1021819Agro Sudamerica</v>
          </cell>
          <cell r="C87" t="str">
            <v>Cerdo</v>
          </cell>
          <cell r="D87" t="str">
            <v>Lomo</v>
          </cell>
          <cell r="E87" t="str">
            <v>Lomo Centro</v>
          </cell>
          <cell r="F87" t="str">
            <v>Agro Sudamerica</v>
          </cell>
          <cell r="G87">
            <v>1021819</v>
          </cell>
          <cell r="H87" t="str">
            <v>GO Lom Ctro 27@ Fi Cj 20k AS</v>
          </cell>
          <cell r="I87"/>
          <cell r="J87"/>
          <cell r="K87"/>
          <cell r="L87"/>
          <cell r="M87">
            <v>48000</v>
          </cell>
        </row>
        <row r="88">
          <cell r="A88" t="str">
            <v>Exportacion Directa1020105</v>
          </cell>
          <cell r="B88" t="str">
            <v>1020105Exportacion Directa</v>
          </cell>
          <cell r="C88" t="str">
            <v>Cerdo</v>
          </cell>
          <cell r="D88" t="str">
            <v>Lomo</v>
          </cell>
          <cell r="E88" t="str">
            <v>Lomo Centro</v>
          </cell>
          <cell r="F88" t="str">
            <v>Exportacion Directa</v>
          </cell>
          <cell r="G88">
            <v>1020105</v>
          </cell>
          <cell r="H88" t="str">
            <v>GO Lom Tecla@ Cj Lom Ctro JP</v>
          </cell>
          <cell r="I88">
            <v>53000</v>
          </cell>
          <cell r="J88">
            <v>35000</v>
          </cell>
          <cell r="K88">
            <v>40000</v>
          </cell>
          <cell r="L88">
            <v>55000</v>
          </cell>
          <cell r="M88">
            <v>58500</v>
          </cell>
        </row>
        <row r="89">
          <cell r="A89" t="str">
            <v>Exportacion Directa1020678</v>
          </cell>
          <cell r="B89" t="str">
            <v>1020678Exportacion Directa</v>
          </cell>
          <cell r="C89" t="str">
            <v>Cerdo</v>
          </cell>
          <cell r="D89" t="str">
            <v>Lomo</v>
          </cell>
          <cell r="E89" t="str">
            <v>Lomo Centro</v>
          </cell>
          <cell r="F89" t="str">
            <v>Exportacion Directa</v>
          </cell>
          <cell r="G89">
            <v>1020678</v>
          </cell>
          <cell r="H89" t="str">
            <v>GO Lom Tec@ Va Cj Lom Ctro AP</v>
          </cell>
          <cell r="I89"/>
          <cell r="J89">
            <v>500</v>
          </cell>
          <cell r="K89"/>
          <cell r="L89">
            <v>500</v>
          </cell>
          <cell r="M89">
            <v>500</v>
          </cell>
        </row>
        <row r="90">
          <cell r="A90" t="str">
            <v>Exportacion Directa1022472</v>
          </cell>
          <cell r="B90" t="str">
            <v>1022472Exportacion Directa</v>
          </cell>
          <cell r="C90" t="str">
            <v>Cerdo</v>
          </cell>
          <cell r="D90" t="str">
            <v>Lomo</v>
          </cell>
          <cell r="E90" t="str">
            <v>Lomo Centro</v>
          </cell>
          <cell r="F90" t="str">
            <v>Exportacion Directa</v>
          </cell>
          <cell r="G90">
            <v>1022472</v>
          </cell>
          <cell r="H90" t="str">
            <v>GO Lom Ctro S/Tecla(OY)Mit@ Cj Tf 20k AP</v>
          </cell>
          <cell r="I90">
            <v>7000</v>
          </cell>
          <cell r="J90">
            <v>5000</v>
          </cell>
          <cell r="K90">
            <v>3000</v>
          </cell>
          <cell r="L90">
            <v>10000</v>
          </cell>
          <cell r="M90">
            <v>4333</v>
          </cell>
        </row>
        <row r="91">
          <cell r="A91" t="str">
            <v>Exportacion Directa1023349</v>
          </cell>
          <cell r="B91" t="str">
            <v>1023349Exportacion Directa</v>
          </cell>
          <cell r="C91" t="str">
            <v>Cerdo</v>
          </cell>
          <cell r="D91" t="str">
            <v>Lomo</v>
          </cell>
          <cell r="E91" t="str">
            <v>Lomo Centro</v>
          </cell>
          <cell r="F91" t="str">
            <v>Exportacion Directa</v>
          </cell>
          <cell r="G91">
            <v>1023349</v>
          </cell>
          <cell r="H91" t="str">
            <v>GO Lom Tecla VP@ Cj Lom Ctro</v>
          </cell>
          <cell r="I91"/>
          <cell r="J91"/>
          <cell r="K91">
            <v>2000</v>
          </cell>
          <cell r="L91">
            <v>5000</v>
          </cell>
          <cell r="M91">
            <v>7500</v>
          </cell>
        </row>
        <row r="92">
          <cell r="A92" t="str">
            <v>Exportacion Directa1020110</v>
          </cell>
          <cell r="B92" t="str">
            <v>1020110Exportacion Directa</v>
          </cell>
          <cell r="C92" t="str">
            <v>Cerdo</v>
          </cell>
          <cell r="D92" t="str">
            <v>Lomo</v>
          </cell>
          <cell r="E92" t="str">
            <v>Lomo MM Loin</v>
          </cell>
          <cell r="F92" t="str">
            <v>Exportacion Directa</v>
          </cell>
          <cell r="G92">
            <v>1020110</v>
          </cell>
          <cell r="H92" t="str">
            <v>GO MM Loin L@ Cj 12k AP</v>
          </cell>
          <cell r="I92">
            <v>412200</v>
          </cell>
          <cell r="J92">
            <v>240000</v>
          </cell>
          <cell r="K92">
            <v>400000</v>
          </cell>
          <cell r="L92">
            <v>460000</v>
          </cell>
          <cell r="M92">
            <v>600000</v>
          </cell>
        </row>
        <row r="93">
          <cell r="A93" t="str">
            <v>Exportacion Directa1020589</v>
          </cell>
          <cell r="B93" t="str">
            <v>1020589Exportacion Directa</v>
          </cell>
          <cell r="C93" t="str">
            <v>Cerdo</v>
          </cell>
          <cell r="D93" t="str">
            <v>Lomo</v>
          </cell>
          <cell r="E93" t="str">
            <v>Lomo MM Loin</v>
          </cell>
          <cell r="F93" t="str">
            <v>Exportacion Directa</v>
          </cell>
          <cell r="G93">
            <v>1020589</v>
          </cell>
          <cell r="H93" t="str">
            <v>GO MM Loin S@ Fi Cj 12k AP</v>
          </cell>
          <cell r="I93">
            <v>64100</v>
          </cell>
          <cell r="J93">
            <v>43000</v>
          </cell>
          <cell r="K93">
            <v>100000</v>
          </cell>
          <cell r="L93">
            <v>110000</v>
          </cell>
          <cell r="M93">
            <v>144100</v>
          </cell>
        </row>
        <row r="94">
          <cell r="A94" t="str">
            <v>Exportacion Directa1020681</v>
          </cell>
          <cell r="B94" t="str">
            <v>1020681Exportacion Directa</v>
          </cell>
          <cell r="C94" t="str">
            <v>Cerdo</v>
          </cell>
          <cell r="D94" t="str">
            <v>Lomo</v>
          </cell>
          <cell r="E94" t="str">
            <v>Lomo MM Loin</v>
          </cell>
          <cell r="F94" t="str">
            <v>Exportacion Directa</v>
          </cell>
          <cell r="G94">
            <v>1020681</v>
          </cell>
          <cell r="H94" t="str">
            <v>GO MM Loin D@ Fi Cj 12k AP</v>
          </cell>
          <cell r="I94">
            <v>14250</v>
          </cell>
          <cell r="J94">
            <v>11250</v>
          </cell>
          <cell r="K94">
            <v>15000</v>
          </cell>
          <cell r="L94">
            <v>22000</v>
          </cell>
          <cell r="M94">
            <v>20545</v>
          </cell>
        </row>
        <row r="95">
          <cell r="A95" t="str">
            <v>Exportacion Directa1021603</v>
          </cell>
          <cell r="B95" t="str">
            <v>1021603Exportacion Directa</v>
          </cell>
          <cell r="C95" t="str">
            <v>Cerdo</v>
          </cell>
          <cell r="D95" t="str">
            <v>Lomo</v>
          </cell>
          <cell r="E95" t="str">
            <v>Lomo MM Loin</v>
          </cell>
          <cell r="F95" t="str">
            <v>Exportacion Directa</v>
          </cell>
          <cell r="G95">
            <v>1021603</v>
          </cell>
          <cell r="H95" t="str">
            <v>GO MM Loin L (MC4-5)@ Fi Cj ch JP</v>
          </cell>
          <cell r="I95">
            <v>5000</v>
          </cell>
          <cell r="J95">
            <v>3000</v>
          </cell>
          <cell r="K95">
            <v>4000</v>
          </cell>
          <cell r="L95">
            <v>5000</v>
          </cell>
          <cell r="M95">
            <v>7000</v>
          </cell>
        </row>
        <row r="96">
          <cell r="A96" t="str">
            <v>Exportacion Directa1022370</v>
          </cell>
          <cell r="B96" t="str">
            <v>1022370Exportacion Directa</v>
          </cell>
          <cell r="C96" t="str">
            <v>Cerdo</v>
          </cell>
          <cell r="D96" t="str">
            <v>Lomo</v>
          </cell>
          <cell r="E96" t="str">
            <v>Lomo MM Loin</v>
          </cell>
          <cell r="F96" t="str">
            <v>Exportacion Directa</v>
          </cell>
          <cell r="G96">
            <v>1022370</v>
          </cell>
          <cell r="H96" t="str">
            <v>GO MM Loin LL (29-32 VP)@ Bo Cj AP</v>
          </cell>
          <cell r="I96">
            <v>30000</v>
          </cell>
          <cell r="J96">
            <v>13000</v>
          </cell>
          <cell r="K96">
            <v>18000</v>
          </cell>
          <cell r="L96">
            <v>35000</v>
          </cell>
          <cell r="M96">
            <v>30000</v>
          </cell>
        </row>
        <row r="97">
          <cell r="A97" t="str">
            <v>Exportacion Directa1022919</v>
          </cell>
          <cell r="B97" t="str">
            <v>1022919Exportacion Directa</v>
          </cell>
          <cell r="C97" t="str">
            <v>Cerdo</v>
          </cell>
          <cell r="D97" t="str">
            <v>Lomo</v>
          </cell>
          <cell r="E97" t="str">
            <v>Lomo MM Loin</v>
          </cell>
          <cell r="F97" t="str">
            <v>Exportacion Directa</v>
          </cell>
          <cell r="G97">
            <v>1022919</v>
          </cell>
          <cell r="H97" t="str">
            <v>GO MM LOIN S VP@ Cj 10k AP</v>
          </cell>
          <cell r="I97">
            <v>15000</v>
          </cell>
          <cell r="J97">
            <v>48000</v>
          </cell>
          <cell r="K97">
            <v>5000</v>
          </cell>
          <cell r="L97">
            <v>24000</v>
          </cell>
          <cell r="M97">
            <v>23000</v>
          </cell>
        </row>
        <row r="98">
          <cell r="A98" t="str">
            <v>Agro Sudamerica1021820</v>
          </cell>
          <cell r="B98" t="str">
            <v>1021820Agro Sudamerica</v>
          </cell>
          <cell r="C98" t="str">
            <v>Cerdo</v>
          </cell>
          <cell r="D98" t="str">
            <v>Lomo</v>
          </cell>
          <cell r="E98" t="str">
            <v>Lomo Vetado</v>
          </cell>
          <cell r="F98" t="str">
            <v>Agro Sudamerica</v>
          </cell>
          <cell r="G98">
            <v>1021820</v>
          </cell>
          <cell r="H98" t="str">
            <v>GO Lom Vet 44@ Fi Cj 20k AS</v>
          </cell>
          <cell r="I98"/>
          <cell r="J98"/>
          <cell r="K98"/>
          <cell r="L98"/>
          <cell r="M98"/>
        </row>
        <row r="99">
          <cell r="A99" t="str">
            <v>Agro Sudamerica1023331</v>
          </cell>
          <cell r="B99" t="str">
            <v>1023331Agro Sudamerica</v>
          </cell>
          <cell r="C99" t="str">
            <v>Cerdo</v>
          </cell>
          <cell r="D99" t="str">
            <v>Lomo</v>
          </cell>
          <cell r="E99" t="str">
            <v>Lomo Vetado</v>
          </cell>
          <cell r="F99" t="str">
            <v>Agro Sudamerica</v>
          </cell>
          <cell r="G99">
            <v>1023331</v>
          </cell>
          <cell r="H99" t="str">
            <v>GO Lom Vet 44@ Bo Cj 20k AS</v>
          </cell>
          <cell r="I99"/>
          <cell r="J99">
            <v>23000</v>
          </cell>
          <cell r="K99"/>
          <cell r="L99">
            <v>23000</v>
          </cell>
          <cell r="M99"/>
        </row>
        <row r="100">
          <cell r="A100" t="str">
            <v>Agrosuper Asia1020860</v>
          </cell>
          <cell r="B100" t="str">
            <v>1020860Agrosuper Asia</v>
          </cell>
          <cell r="C100" t="str">
            <v>Cerdo</v>
          </cell>
          <cell r="D100" t="str">
            <v>Lomo</v>
          </cell>
          <cell r="E100" t="str">
            <v>Lomo Vetado</v>
          </cell>
          <cell r="F100" t="str">
            <v>Agrosuper Asia</v>
          </cell>
          <cell r="G100">
            <v>1020860</v>
          </cell>
          <cell r="H100" t="str">
            <v>GO Lom Vet@ Cj 12k AK</v>
          </cell>
          <cell r="I100">
            <v>154000</v>
          </cell>
          <cell r="J100">
            <v>66000</v>
          </cell>
          <cell r="K100">
            <v>88000</v>
          </cell>
          <cell r="L100">
            <v>154000</v>
          </cell>
          <cell r="M100">
            <v>176000</v>
          </cell>
        </row>
        <row r="101">
          <cell r="A101" t="str">
            <v>Agrosuper Asia1020861</v>
          </cell>
          <cell r="B101" t="str">
            <v>1020861Agrosuper Asia</v>
          </cell>
          <cell r="C101" t="str">
            <v>Cerdo</v>
          </cell>
          <cell r="D101" t="str">
            <v>Lomo</v>
          </cell>
          <cell r="E101" t="str">
            <v>Lomo Vetado</v>
          </cell>
          <cell r="F101" t="str">
            <v>Agrosuper Asia</v>
          </cell>
          <cell r="G101">
            <v>1020861</v>
          </cell>
          <cell r="H101" t="str">
            <v>GO Lom Vet@ Cj 12k TJ</v>
          </cell>
          <cell r="I101">
            <v>88000</v>
          </cell>
          <cell r="J101">
            <v>66000</v>
          </cell>
          <cell r="K101">
            <v>66000</v>
          </cell>
          <cell r="L101">
            <v>154000</v>
          </cell>
          <cell r="M101">
            <v>153860</v>
          </cell>
        </row>
        <row r="102">
          <cell r="A102" t="str">
            <v>Agrosuper Asia1022985</v>
          </cell>
          <cell r="B102" t="str">
            <v>1022985Agrosuper Asia</v>
          </cell>
          <cell r="C102" t="str">
            <v>Cerdo</v>
          </cell>
          <cell r="D102" t="str">
            <v>Lomo</v>
          </cell>
          <cell r="E102" t="str">
            <v>Lomo Vetado</v>
          </cell>
          <cell r="F102" t="str">
            <v>Agrosuper Asia</v>
          </cell>
          <cell r="G102">
            <v>1022985</v>
          </cell>
          <cell r="H102" t="str">
            <v>GO Lom Vet Mad@ Cj 8,5k TJ</v>
          </cell>
          <cell r="I102">
            <v>10000</v>
          </cell>
          <cell r="J102">
            <v>10000</v>
          </cell>
          <cell r="K102">
            <v>17000</v>
          </cell>
          <cell r="L102">
            <v>12000</v>
          </cell>
          <cell r="M102">
            <v>8000</v>
          </cell>
        </row>
        <row r="103">
          <cell r="A103" t="str">
            <v>Agrosuper Asia1023038</v>
          </cell>
          <cell r="B103" t="str">
            <v>1023038Agrosuper Asia</v>
          </cell>
          <cell r="C103" t="str">
            <v>Cerdo</v>
          </cell>
          <cell r="D103" t="str">
            <v>Lomo</v>
          </cell>
          <cell r="E103" t="str">
            <v>Lomo Vetado</v>
          </cell>
          <cell r="F103" t="str">
            <v>Agrosuper Asia</v>
          </cell>
          <cell r="G103">
            <v>1023038</v>
          </cell>
          <cell r="H103" t="str">
            <v>GO Lom Vet@ Cj 8k AS</v>
          </cell>
          <cell r="I103">
            <v>66000</v>
          </cell>
          <cell r="J103">
            <v>77000</v>
          </cell>
          <cell r="K103">
            <v>77000</v>
          </cell>
          <cell r="L103">
            <v>66000</v>
          </cell>
          <cell r="M103">
            <v>113643</v>
          </cell>
        </row>
        <row r="104">
          <cell r="A104" t="str">
            <v>Exportacion Directa1020592</v>
          </cell>
          <cell r="B104" t="str">
            <v>1020592Exportacion Directa</v>
          </cell>
          <cell r="C104" t="str">
            <v>Cerdo</v>
          </cell>
          <cell r="D104" t="str">
            <v>Lomo</v>
          </cell>
          <cell r="E104" t="str">
            <v>Lomo Vetado</v>
          </cell>
          <cell r="F104" t="str">
            <v>Exportacion Directa</v>
          </cell>
          <cell r="G104">
            <v>1020592</v>
          </cell>
          <cell r="H104" t="str">
            <v>GO Lom Vet &gt;2.0@ Fi Cj Lom Vet AP</v>
          </cell>
          <cell r="I104"/>
          <cell r="J104">
            <v>90000</v>
          </cell>
          <cell r="K104">
            <v>280000</v>
          </cell>
          <cell r="L104">
            <v>280000</v>
          </cell>
          <cell r="M104">
            <v>270000</v>
          </cell>
        </row>
        <row r="105">
          <cell r="A105" t="str">
            <v>Exportacion Directa1020620</v>
          </cell>
          <cell r="B105" t="str">
            <v>1020620Exportacion Directa</v>
          </cell>
          <cell r="C105" t="str">
            <v>Cerdo</v>
          </cell>
          <cell r="D105" t="str">
            <v>Lomo</v>
          </cell>
          <cell r="E105" t="str">
            <v>Lomo Vetado</v>
          </cell>
          <cell r="F105" t="str">
            <v>Exportacion Directa</v>
          </cell>
          <cell r="G105">
            <v>1020620</v>
          </cell>
          <cell r="H105" t="str">
            <v>GO Lom Vet &lt;2.0@ Fi Cj AP</v>
          </cell>
          <cell r="I105">
            <v>17000</v>
          </cell>
          <cell r="J105">
            <v>3000</v>
          </cell>
          <cell r="K105">
            <v>16000</v>
          </cell>
          <cell r="L105">
            <v>30000</v>
          </cell>
          <cell r="M105">
            <v>40857</v>
          </cell>
        </row>
        <row r="106">
          <cell r="A106" t="str">
            <v>Exportacion Directa1020758</v>
          </cell>
          <cell r="B106" t="str">
            <v>1020758Exportacion Directa</v>
          </cell>
          <cell r="C106" t="str">
            <v>Cerdo</v>
          </cell>
          <cell r="D106" t="str">
            <v>Lomo</v>
          </cell>
          <cell r="E106" t="str">
            <v>Lomo Vetado</v>
          </cell>
          <cell r="F106" t="str">
            <v>Exportacion Directa</v>
          </cell>
          <cell r="G106">
            <v>1020758</v>
          </cell>
          <cell r="H106" t="str">
            <v>GO Lom Vet S/g@ Va Cj ch AP</v>
          </cell>
          <cell r="I106">
            <v>8000</v>
          </cell>
          <cell r="J106">
            <v>5000</v>
          </cell>
          <cell r="K106">
            <v>8000</v>
          </cell>
          <cell r="L106">
            <v>12000</v>
          </cell>
          <cell r="M106">
            <v>6000</v>
          </cell>
        </row>
        <row r="107">
          <cell r="A107" t="str">
            <v>Exportacion Directa1022499</v>
          </cell>
          <cell r="B107" t="str">
            <v>1022499Exportacion Directa</v>
          </cell>
          <cell r="C107" t="str">
            <v>Cerdo</v>
          </cell>
          <cell r="D107" t="str">
            <v>Lomo</v>
          </cell>
          <cell r="E107" t="str">
            <v>Lomo Vetado</v>
          </cell>
          <cell r="F107" t="str">
            <v>Exportacion Directa</v>
          </cell>
          <cell r="G107">
            <v>1022499</v>
          </cell>
          <cell r="H107" t="str">
            <v>GO Lom Vet Mit@ 4 Bo Cj 10k AP</v>
          </cell>
          <cell r="I107">
            <v>16000</v>
          </cell>
          <cell r="J107">
            <v>3000</v>
          </cell>
          <cell r="K107">
            <v>5000</v>
          </cell>
          <cell r="L107">
            <v>20000</v>
          </cell>
          <cell r="M107">
            <v>15000</v>
          </cell>
        </row>
        <row r="108">
          <cell r="A108" t="str">
            <v>Exportacion Directa1022600</v>
          </cell>
          <cell r="B108" t="str">
            <v>1022600Exportacion Directa</v>
          </cell>
          <cell r="C108" t="str">
            <v>Cerdo</v>
          </cell>
          <cell r="D108" t="str">
            <v>Lomo</v>
          </cell>
          <cell r="E108" t="str">
            <v>Lomo Vetado</v>
          </cell>
          <cell r="F108" t="str">
            <v>Exportacion Directa</v>
          </cell>
          <cell r="G108">
            <v>1022600</v>
          </cell>
          <cell r="H108" t="str">
            <v>GO Lom Vet 2 a 2,3k@ Fi Verd Cj AP</v>
          </cell>
          <cell r="I108">
            <v>18000</v>
          </cell>
          <cell r="J108">
            <v>3000</v>
          </cell>
          <cell r="K108">
            <v>11000</v>
          </cell>
          <cell r="L108">
            <v>20000</v>
          </cell>
          <cell r="M108">
            <v>19625</v>
          </cell>
        </row>
        <row r="109">
          <cell r="A109" t="str">
            <v>Exportacion Directa1023051</v>
          </cell>
          <cell r="B109" t="str">
            <v>1023051Exportacion Directa</v>
          </cell>
          <cell r="C109" t="str">
            <v>Cerdo</v>
          </cell>
          <cell r="D109" t="str">
            <v>Lomo</v>
          </cell>
          <cell r="E109" t="str">
            <v>Lomo Vetado</v>
          </cell>
          <cell r="F109" t="str">
            <v>Exportacion Directa</v>
          </cell>
          <cell r="G109">
            <v>1023051</v>
          </cell>
          <cell r="H109" t="str">
            <v>GO Lom Vet L@ Fi Cj Lom Vet AP</v>
          </cell>
          <cell r="I109"/>
          <cell r="J109"/>
          <cell r="K109"/>
          <cell r="L109">
            <v>3000</v>
          </cell>
          <cell r="M109">
            <v>2500</v>
          </cell>
        </row>
        <row r="110">
          <cell r="A110" t="str">
            <v>Exportacion Directa1023055</v>
          </cell>
          <cell r="B110" t="str">
            <v>1023055Exportacion Directa</v>
          </cell>
          <cell r="C110" t="str">
            <v>Cerdo</v>
          </cell>
          <cell r="D110" t="str">
            <v>Lomo</v>
          </cell>
          <cell r="E110" t="str">
            <v>Lomo Vetado</v>
          </cell>
          <cell r="F110" t="str">
            <v>Exportacion Directa</v>
          </cell>
          <cell r="G110">
            <v>1023055</v>
          </cell>
          <cell r="H110" t="str">
            <v>GO Lom Vet M@ Fi Cj Lom Vet AP</v>
          </cell>
          <cell r="I110"/>
          <cell r="J110"/>
          <cell r="K110">
            <v>5000</v>
          </cell>
          <cell r="L110">
            <v>7000</v>
          </cell>
          <cell r="M110">
            <v>5000</v>
          </cell>
        </row>
        <row r="111">
          <cell r="A111" t="str">
            <v>Exportacion Directa1023163</v>
          </cell>
          <cell r="B111" t="str">
            <v>1023163Exportacion Directa</v>
          </cell>
          <cell r="C111" t="str">
            <v>Cerdo</v>
          </cell>
          <cell r="D111" t="str">
            <v>Lomo</v>
          </cell>
          <cell r="E111" t="str">
            <v>Lomo Vetado</v>
          </cell>
          <cell r="F111" t="str">
            <v>Exportacion Directa</v>
          </cell>
          <cell r="G111">
            <v>1023163</v>
          </cell>
          <cell r="H111" t="str">
            <v>GO Lom Vet &gt;2.0@ Fi Cj 8k AP</v>
          </cell>
          <cell r="I111">
            <v>15000</v>
          </cell>
          <cell r="J111">
            <v>7000</v>
          </cell>
          <cell r="K111">
            <v>4000</v>
          </cell>
          <cell r="L111">
            <v>20000</v>
          </cell>
          <cell r="M111">
            <v>15000</v>
          </cell>
        </row>
        <row r="112">
          <cell r="A112" t="str">
            <v>Exportacion Directa1023350</v>
          </cell>
          <cell r="B112" t="str">
            <v>1023350Exportacion Directa</v>
          </cell>
          <cell r="C112" t="str">
            <v>Cerdo</v>
          </cell>
          <cell r="D112" t="str">
            <v>Lomo</v>
          </cell>
          <cell r="E112" t="str">
            <v>Lomo Vetado</v>
          </cell>
          <cell r="F112" t="str">
            <v>Exportacion Directa</v>
          </cell>
          <cell r="G112">
            <v>1023350</v>
          </cell>
          <cell r="H112" t="str">
            <v>Lom Vet &gt;2.0@ VP Cj Lom Vet AP</v>
          </cell>
          <cell r="I112"/>
          <cell r="J112"/>
          <cell r="K112">
            <v>35000</v>
          </cell>
          <cell r="L112">
            <v>15000</v>
          </cell>
          <cell r="M112">
            <v>41143</v>
          </cell>
        </row>
        <row r="113">
          <cell r="A113" t="str">
            <v>Exportacion Directa1022817</v>
          </cell>
          <cell r="B113" t="str">
            <v>1022817Exportacion Directa</v>
          </cell>
          <cell r="C113" t="str">
            <v>Cerdo</v>
          </cell>
          <cell r="D113" t="str">
            <v>Muestra</v>
          </cell>
          <cell r="E113" t="str">
            <v>Muestra</v>
          </cell>
          <cell r="F113" t="str">
            <v>Exportacion Directa</v>
          </cell>
          <cell r="G113">
            <v>1022817</v>
          </cell>
          <cell r="H113" t="str">
            <v>GO Lom Vet L@ VP Cj Lom Vet Mad AP</v>
          </cell>
          <cell r="I113"/>
          <cell r="J113"/>
          <cell r="K113"/>
          <cell r="L113"/>
          <cell r="M113"/>
        </row>
        <row r="114">
          <cell r="A114" t="str">
            <v>Agrosuper Shanghai1022851</v>
          </cell>
          <cell r="B114" t="str">
            <v>1022851Agrosuper Shanghai</v>
          </cell>
          <cell r="C114" t="str">
            <v>Cerdo</v>
          </cell>
          <cell r="D114" t="str">
            <v>Paleta</v>
          </cell>
          <cell r="E114" t="str">
            <v>Paleta Entera</v>
          </cell>
          <cell r="F114" t="str">
            <v>Agrosuper Shanghai</v>
          </cell>
          <cell r="G114">
            <v>1022851</v>
          </cell>
          <cell r="H114" t="str">
            <v>GO Pal Nor@ Cj 20k AS</v>
          </cell>
          <cell r="I114">
            <v>8596</v>
          </cell>
          <cell r="J114"/>
          <cell r="K114">
            <v>8956</v>
          </cell>
          <cell r="L114"/>
          <cell r="M114"/>
        </row>
        <row r="115">
          <cell r="A115" t="str">
            <v>Agro Sudamerica1021976</v>
          </cell>
          <cell r="B115" t="str">
            <v>1021976Agro Sudamerica</v>
          </cell>
          <cell r="C115" t="str">
            <v>Cerdo</v>
          </cell>
          <cell r="D115" t="str">
            <v>Paleta</v>
          </cell>
          <cell r="E115" t="str">
            <v>Paleta Pulpa</v>
          </cell>
          <cell r="F115" t="str">
            <v>Agro Sudamerica</v>
          </cell>
          <cell r="G115">
            <v>1021976</v>
          </cell>
          <cell r="H115" t="str">
            <v>GO PpPal 77@ Cj 20k AS</v>
          </cell>
          <cell r="I115">
            <v>80000</v>
          </cell>
          <cell r="J115">
            <v>187000</v>
          </cell>
          <cell r="K115">
            <v>312000</v>
          </cell>
          <cell r="L115">
            <v>168000</v>
          </cell>
          <cell r="M115">
            <v>340000</v>
          </cell>
        </row>
        <row r="116">
          <cell r="A116" t="str">
            <v>Agrosuper Shanghai1022379</v>
          </cell>
          <cell r="B116" t="str">
            <v>1022379Agrosuper Shanghai</v>
          </cell>
          <cell r="C116" t="str">
            <v>Cerdo</v>
          </cell>
          <cell r="D116" t="str">
            <v>Paleta</v>
          </cell>
          <cell r="E116" t="str">
            <v>Paleta Pulpa</v>
          </cell>
          <cell r="F116" t="str">
            <v>Agrosuper Shanghai</v>
          </cell>
          <cell r="G116">
            <v>1022379</v>
          </cell>
          <cell r="H116" t="str">
            <v>GO PpPal 77@ Bo Cj AS</v>
          </cell>
          <cell r="I116">
            <v>48000</v>
          </cell>
          <cell r="J116"/>
          <cell r="K116"/>
          <cell r="L116"/>
          <cell r="M116"/>
        </row>
        <row r="117">
          <cell r="A117" t="str">
            <v>Exportacion Directa1020326</v>
          </cell>
          <cell r="B117" t="str">
            <v>1020326Exportacion Directa</v>
          </cell>
          <cell r="C117" t="str">
            <v>Cerdo</v>
          </cell>
          <cell r="D117" t="str">
            <v>Paleta</v>
          </cell>
          <cell r="E117" t="str">
            <v>Paleta Pulpa</v>
          </cell>
          <cell r="F117" t="str">
            <v>Exportacion Directa</v>
          </cell>
          <cell r="G117">
            <v>1020326</v>
          </cell>
          <cell r="H117" t="str">
            <v>GO PpPal Pim@ Cj AP</v>
          </cell>
          <cell r="I117">
            <v>296000</v>
          </cell>
          <cell r="J117">
            <v>264000</v>
          </cell>
          <cell r="K117">
            <v>240000</v>
          </cell>
          <cell r="L117">
            <v>408000</v>
          </cell>
          <cell r="M117">
            <v>360000</v>
          </cell>
        </row>
        <row r="118">
          <cell r="A118" t="str">
            <v>Agrosuper Asia1020904</v>
          </cell>
          <cell r="B118" t="str">
            <v>1020904Agrosuper Asia</v>
          </cell>
          <cell r="C118" t="str">
            <v>Cerdo</v>
          </cell>
          <cell r="D118" t="str">
            <v>Panceta</v>
          </cell>
          <cell r="E118" t="str">
            <v>Panceta c/Cuero</v>
          </cell>
          <cell r="F118" t="str">
            <v>Agrosuper Asia</v>
          </cell>
          <cell r="G118">
            <v>1020904</v>
          </cell>
          <cell r="H118" t="str">
            <v>GO Panc C/cue@ Cj Panc 230 TJ</v>
          </cell>
          <cell r="I118">
            <v>22000</v>
          </cell>
          <cell r="J118">
            <v>154000</v>
          </cell>
          <cell r="K118">
            <v>66000</v>
          </cell>
          <cell r="L118">
            <v>22000</v>
          </cell>
          <cell r="M118">
            <v>22000</v>
          </cell>
        </row>
        <row r="119">
          <cell r="A119" t="str">
            <v>Agrosuper Asia1020905</v>
          </cell>
          <cell r="B119" t="str">
            <v>1020905Agrosuper Asia</v>
          </cell>
          <cell r="C119" t="str">
            <v>Cerdo</v>
          </cell>
          <cell r="D119" t="str">
            <v>Panceta</v>
          </cell>
          <cell r="E119" t="str">
            <v>Panceta c/Cuero</v>
          </cell>
          <cell r="F119" t="str">
            <v>Agrosuper Asia</v>
          </cell>
          <cell r="G119">
            <v>1020905</v>
          </cell>
          <cell r="H119" t="str">
            <v>GO Panc C/cue@ Cj Panc 230 AK</v>
          </cell>
          <cell r="I119">
            <v>22000</v>
          </cell>
          <cell r="J119">
            <v>22000</v>
          </cell>
          <cell r="K119"/>
          <cell r="L119">
            <v>44000</v>
          </cell>
          <cell r="M119">
            <v>22000</v>
          </cell>
        </row>
        <row r="120">
          <cell r="A120" t="str">
            <v>Exportacion Directa1020715</v>
          </cell>
          <cell r="B120" t="str">
            <v>1020715Exportacion Directa</v>
          </cell>
          <cell r="C120" t="str">
            <v>Cerdo</v>
          </cell>
          <cell r="D120" t="str">
            <v>Panceta</v>
          </cell>
          <cell r="E120" t="str">
            <v>Panceta c/Cuero</v>
          </cell>
          <cell r="F120" t="str">
            <v>Exportacion Directa</v>
          </cell>
          <cell r="G120">
            <v>1020715</v>
          </cell>
          <cell r="H120" t="str">
            <v>GO Panc Tec C/cue@ Fi Cj Panc AP</v>
          </cell>
          <cell r="I120">
            <v>3000</v>
          </cell>
          <cell r="J120">
            <v>2000</v>
          </cell>
          <cell r="K120">
            <v>2000</v>
          </cell>
          <cell r="L120">
            <v>4000</v>
          </cell>
          <cell r="M120">
            <v>6000</v>
          </cell>
        </row>
        <row r="121">
          <cell r="A121" t="str">
            <v>Exportacion Directa1020914</v>
          </cell>
          <cell r="B121" t="str">
            <v>1020914Exportacion Directa</v>
          </cell>
          <cell r="C121" t="str">
            <v>Cerdo</v>
          </cell>
          <cell r="D121" t="str">
            <v>Panceta</v>
          </cell>
          <cell r="E121" t="str">
            <v>Panceta c/Cuero</v>
          </cell>
          <cell r="F121" t="str">
            <v>Exportacion Directa</v>
          </cell>
          <cell r="G121">
            <v>1020914</v>
          </cell>
          <cell r="H121" t="str">
            <v>GO Panc Lam 2.5mm@ Cj ch AP</v>
          </cell>
          <cell r="I121">
            <v>3000</v>
          </cell>
          <cell r="J121">
            <v>0</v>
          </cell>
          <cell r="K121">
            <v>3000</v>
          </cell>
          <cell r="L121">
            <v>15000</v>
          </cell>
          <cell r="M121">
            <v>10000</v>
          </cell>
        </row>
        <row r="122">
          <cell r="A122" t="str">
            <v>Agro Sudamerica1020886</v>
          </cell>
          <cell r="B122" t="str">
            <v>1020886Agro Sudamerica</v>
          </cell>
          <cell r="C122" t="str">
            <v>Cerdo</v>
          </cell>
          <cell r="D122" t="str">
            <v>Panceta</v>
          </cell>
          <cell r="E122" t="str">
            <v>Panceta s/Cuero</v>
          </cell>
          <cell r="F122" t="str">
            <v>Agro Sudamerica</v>
          </cell>
          <cell r="G122">
            <v>1020886</v>
          </cell>
          <cell r="H122" t="str">
            <v>GO Panc Tecl Nor@ Cj 20k AS</v>
          </cell>
          <cell r="I122"/>
          <cell r="J122">
            <v>10000</v>
          </cell>
          <cell r="K122"/>
          <cell r="L122"/>
          <cell r="M122"/>
        </row>
        <row r="123">
          <cell r="A123" t="str">
            <v>Agro Sudamerica1022847</v>
          </cell>
          <cell r="B123" t="str">
            <v>1022847Agro Sudamerica</v>
          </cell>
          <cell r="C123" t="str">
            <v>Cerdo</v>
          </cell>
          <cell r="D123" t="str">
            <v>Panceta</v>
          </cell>
          <cell r="E123" t="str">
            <v>Panceta s/Cuero</v>
          </cell>
          <cell r="F123" t="str">
            <v>Agro Sudamerica</v>
          </cell>
          <cell r="G123">
            <v>1022847</v>
          </cell>
          <cell r="H123" t="str">
            <v>GO Cne Falda Pan@ CJ 20k AS</v>
          </cell>
          <cell r="I123">
            <v>28000</v>
          </cell>
          <cell r="J123">
            <v>72000</v>
          </cell>
          <cell r="K123">
            <v>60000</v>
          </cell>
          <cell r="L123">
            <v>24000</v>
          </cell>
          <cell r="M123">
            <v>24000</v>
          </cell>
        </row>
        <row r="124">
          <cell r="A124" t="str">
            <v>Agrosuper Asia1022885</v>
          </cell>
          <cell r="B124" t="str">
            <v>1022885Agrosuper Asia</v>
          </cell>
          <cell r="C124" t="str">
            <v>Cerdo</v>
          </cell>
          <cell r="D124" t="str">
            <v>Panceta</v>
          </cell>
          <cell r="E124" t="str">
            <v>Panceta s/Cuero</v>
          </cell>
          <cell r="F124" t="str">
            <v>Agrosuper Asia</v>
          </cell>
          <cell r="G124">
            <v>1022885</v>
          </cell>
          <cell r="H124" t="str">
            <v>GO Panc S/cue@ Cj Panc TJ</v>
          </cell>
          <cell r="I124">
            <v>660000</v>
          </cell>
          <cell r="J124">
            <v>597000</v>
          </cell>
          <cell r="K124">
            <v>476000</v>
          </cell>
          <cell r="L124">
            <v>702000</v>
          </cell>
          <cell r="M124">
            <v>615555</v>
          </cell>
        </row>
        <row r="125">
          <cell r="A125" t="str">
            <v>Agrosuper Asia1022887</v>
          </cell>
          <cell r="B125" t="str">
            <v>1022887Agrosuper Asia</v>
          </cell>
          <cell r="C125" t="str">
            <v>Cerdo</v>
          </cell>
          <cell r="D125" t="str">
            <v>Panceta</v>
          </cell>
          <cell r="E125" t="str">
            <v>Panceta s/Cuero</v>
          </cell>
          <cell r="F125" t="str">
            <v>Agrosuper Asia</v>
          </cell>
          <cell r="G125">
            <v>1022887</v>
          </cell>
          <cell r="H125" t="str">
            <v>GO Panc S/cue@ Cj Panc AK</v>
          </cell>
          <cell r="I125">
            <v>198000</v>
          </cell>
          <cell r="J125">
            <v>275000</v>
          </cell>
          <cell r="K125">
            <v>385000</v>
          </cell>
          <cell r="L125">
            <v>352000</v>
          </cell>
          <cell r="M125">
            <v>308028</v>
          </cell>
        </row>
        <row r="126">
          <cell r="A126" t="str">
            <v>Agrosuper Asia1022930</v>
          </cell>
          <cell r="B126" t="str">
            <v>1022930Agrosuper Asia</v>
          </cell>
          <cell r="C126" t="str">
            <v>Cerdo</v>
          </cell>
          <cell r="D126" t="str">
            <v>Panceta</v>
          </cell>
          <cell r="E126" t="str">
            <v>Panceta s/Cuero</v>
          </cell>
          <cell r="F126" t="str">
            <v>Agrosuper Asia</v>
          </cell>
          <cell r="G126">
            <v>1022930</v>
          </cell>
          <cell r="H126" t="str">
            <v>GO Panc S/cue Hem@ Cj Panc TJ AS</v>
          </cell>
          <cell r="I126">
            <v>154000</v>
          </cell>
          <cell r="J126">
            <v>44000</v>
          </cell>
          <cell r="K126">
            <v>44000</v>
          </cell>
          <cell r="L126">
            <v>88000</v>
          </cell>
          <cell r="M126">
            <v>65946</v>
          </cell>
        </row>
        <row r="127">
          <cell r="A127" t="str">
            <v>Agrosuper Asia1022986</v>
          </cell>
          <cell r="B127" t="str">
            <v>1022986Agrosuper Asia</v>
          </cell>
          <cell r="C127" t="str">
            <v>Cerdo</v>
          </cell>
          <cell r="D127" t="str">
            <v>Panceta</v>
          </cell>
          <cell r="E127" t="str">
            <v>Panceta s/Cuero</v>
          </cell>
          <cell r="F127" t="str">
            <v>Agrosuper Asia</v>
          </cell>
          <cell r="G127">
            <v>1022986</v>
          </cell>
          <cell r="H127" t="str">
            <v>GO Panc S/cue Mad@ Cj 16,4k Panc TJ</v>
          </cell>
          <cell r="I127">
            <v>20000</v>
          </cell>
          <cell r="J127">
            <v>17000</v>
          </cell>
          <cell r="K127"/>
          <cell r="L127">
            <v>5000</v>
          </cell>
          <cell r="M127">
            <v>7500</v>
          </cell>
        </row>
        <row r="128">
          <cell r="A128" t="str">
            <v>Agrosuper Asia1023037</v>
          </cell>
          <cell r="B128" t="str">
            <v>1023037Agrosuper Asia</v>
          </cell>
          <cell r="C128" t="str">
            <v>Cerdo</v>
          </cell>
          <cell r="D128" t="str">
            <v>Panceta</v>
          </cell>
          <cell r="E128" t="str">
            <v>Panceta s/Cuero</v>
          </cell>
          <cell r="F128" t="str">
            <v>Agrosuper Asia</v>
          </cell>
          <cell r="G128">
            <v>1023037</v>
          </cell>
          <cell r="H128" t="str">
            <v>GO Panc S/cue@ Cj Panc 16k AS</v>
          </cell>
          <cell r="I128">
            <v>66000</v>
          </cell>
          <cell r="J128">
            <v>110000</v>
          </cell>
          <cell r="K128">
            <v>176000</v>
          </cell>
          <cell r="L128">
            <v>176000</v>
          </cell>
          <cell r="M128">
            <v>99000</v>
          </cell>
        </row>
        <row r="129">
          <cell r="A129" t="str">
            <v>Agrosuper Asia1023090</v>
          </cell>
          <cell r="B129" t="str">
            <v>1023090Agrosuper Asia</v>
          </cell>
          <cell r="C129" t="str">
            <v>Cerdo</v>
          </cell>
          <cell r="D129" t="str">
            <v>Panceta</v>
          </cell>
          <cell r="E129" t="str">
            <v>Panceta s/Cuero</v>
          </cell>
          <cell r="F129" t="str">
            <v>Agrosuper Asia</v>
          </cell>
          <cell r="G129">
            <v>1023090</v>
          </cell>
          <cell r="H129" t="str">
            <v>GO Panc S/cue S/h@ Cj Panc 16k AS</v>
          </cell>
          <cell r="I129">
            <v>22000</v>
          </cell>
          <cell r="J129">
            <v>22000</v>
          </cell>
          <cell r="K129">
            <v>22000</v>
          </cell>
          <cell r="L129">
            <v>22000</v>
          </cell>
          <cell r="M129">
            <v>22008</v>
          </cell>
        </row>
        <row r="130">
          <cell r="A130" t="str">
            <v>Exportacion Directa1020637</v>
          </cell>
          <cell r="B130" t="str">
            <v>1020637Exportacion Directa</v>
          </cell>
          <cell r="C130" t="str">
            <v>Cerdo</v>
          </cell>
          <cell r="D130" t="str">
            <v>Panceta</v>
          </cell>
          <cell r="E130" t="str">
            <v>Panceta s/Cuero</v>
          </cell>
          <cell r="F130" t="str">
            <v>Exportacion Directa</v>
          </cell>
          <cell r="G130">
            <v>1020637</v>
          </cell>
          <cell r="H130" t="str">
            <v>GO Panc Tec S/cue@ Fi Cj ch AP</v>
          </cell>
          <cell r="I130">
            <v>193900</v>
          </cell>
          <cell r="J130">
            <v>170000</v>
          </cell>
          <cell r="K130">
            <v>190000</v>
          </cell>
          <cell r="L130">
            <v>270000</v>
          </cell>
          <cell r="M130">
            <v>253474</v>
          </cell>
        </row>
        <row r="131">
          <cell r="A131" t="str">
            <v>Exportacion Directa1020731</v>
          </cell>
          <cell r="B131" t="str">
            <v>1020731Exportacion Directa</v>
          </cell>
          <cell r="C131" t="str">
            <v>Cerdo</v>
          </cell>
          <cell r="D131" t="str">
            <v>Panceta</v>
          </cell>
          <cell r="E131" t="str">
            <v>Panceta s/Cuero</v>
          </cell>
          <cell r="F131" t="str">
            <v>Exportacion Directa</v>
          </cell>
          <cell r="G131">
            <v>1020731</v>
          </cell>
          <cell r="H131" t="str">
            <v>GO Panc S/tec/cue I@ Fi Cj Panc 4s AP</v>
          </cell>
          <cell r="I131">
            <v>18000</v>
          </cell>
          <cell r="J131">
            <v>6000</v>
          </cell>
          <cell r="K131">
            <v>10000</v>
          </cell>
          <cell r="L131">
            <v>20000</v>
          </cell>
          <cell r="M131">
            <v>18000</v>
          </cell>
        </row>
        <row r="132">
          <cell r="A132" t="str">
            <v>Exportacion Directa1020802</v>
          </cell>
          <cell r="B132" t="str">
            <v>1020802Exportacion Directa</v>
          </cell>
          <cell r="C132" t="str">
            <v>Cerdo</v>
          </cell>
          <cell r="D132" t="str">
            <v>Panceta</v>
          </cell>
          <cell r="E132" t="str">
            <v>Panceta s/Cuero</v>
          </cell>
          <cell r="F132" t="str">
            <v>Exportacion Directa</v>
          </cell>
          <cell r="G132">
            <v>1020802</v>
          </cell>
          <cell r="H132" t="str">
            <v>GO Panc S/tec N@ Fi Cj 20k AP</v>
          </cell>
          <cell r="I132">
            <v>103000</v>
          </cell>
          <cell r="J132">
            <v>47000</v>
          </cell>
          <cell r="K132">
            <v>95000</v>
          </cell>
          <cell r="L132">
            <v>130000</v>
          </cell>
          <cell r="M132">
            <v>92821</v>
          </cell>
        </row>
        <row r="133">
          <cell r="A133" t="str">
            <v>Exportacion Directa1021533</v>
          </cell>
          <cell r="B133" t="str">
            <v>1021533Exportacion Directa</v>
          </cell>
          <cell r="C133" t="str">
            <v>Cerdo</v>
          </cell>
          <cell r="D133" t="str">
            <v>Panceta</v>
          </cell>
          <cell r="E133" t="str">
            <v>Panceta s/Cuero</v>
          </cell>
          <cell r="F133" t="str">
            <v>Exportacion Directa</v>
          </cell>
          <cell r="G133">
            <v>1021533</v>
          </cell>
          <cell r="H133" t="str">
            <v>GO Panc Mit@ Va Cj 20k AP</v>
          </cell>
          <cell r="I133">
            <v>2000</v>
          </cell>
          <cell r="J133">
            <v>18000</v>
          </cell>
          <cell r="K133">
            <v>15000</v>
          </cell>
          <cell r="L133">
            <v>10000</v>
          </cell>
          <cell r="M133">
            <v>15400</v>
          </cell>
        </row>
        <row r="134">
          <cell r="A134" t="str">
            <v>Exportacion Directa1022371</v>
          </cell>
          <cell r="B134" t="str">
            <v>1022371Exportacion Directa</v>
          </cell>
          <cell r="C134" t="str">
            <v>Cerdo</v>
          </cell>
          <cell r="D134" t="str">
            <v>Panceta</v>
          </cell>
          <cell r="E134" t="str">
            <v>Panceta s/Cuero</v>
          </cell>
          <cell r="F134" t="str">
            <v>Exportacion Directa</v>
          </cell>
          <cell r="G134">
            <v>1022371</v>
          </cell>
          <cell r="H134" t="str">
            <v>GO Panc S/tec SP@ Fi Cj AP</v>
          </cell>
          <cell r="I134">
            <v>15000</v>
          </cell>
          <cell r="J134">
            <v>30000</v>
          </cell>
          <cell r="K134">
            <v>25000</v>
          </cell>
          <cell r="L134">
            <v>22000</v>
          </cell>
          <cell r="M134">
            <v>12000</v>
          </cell>
        </row>
        <row r="135">
          <cell r="A135" t="str">
            <v>Exportacion Directa1022901</v>
          </cell>
          <cell r="B135" t="str">
            <v>1022901Exportacion Directa</v>
          </cell>
          <cell r="C135" t="str">
            <v>Cerdo</v>
          </cell>
          <cell r="D135" t="str">
            <v>Panceta</v>
          </cell>
          <cell r="E135" t="str">
            <v>Panceta s/Cuero</v>
          </cell>
          <cell r="F135" t="str">
            <v>Exportacion Directa</v>
          </cell>
          <cell r="G135">
            <v>1022901</v>
          </cell>
          <cell r="H135" t="str">
            <v>GO Panc Tec S/Cue L@ Fi CJ Ch AP</v>
          </cell>
          <cell r="I135">
            <v>15000</v>
          </cell>
          <cell r="J135">
            <v>12000</v>
          </cell>
          <cell r="K135">
            <v>13000</v>
          </cell>
          <cell r="L135">
            <v>18000</v>
          </cell>
          <cell r="M135">
            <v>18000</v>
          </cell>
        </row>
        <row r="136">
          <cell r="A136" t="str">
            <v>Exportacion Directa1022990</v>
          </cell>
          <cell r="B136" t="str">
            <v>1022990Exportacion Directa</v>
          </cell>
          <cell r="C136" t="str">
            <v>Cerdo</v>
          </cell>
          <cell r="D136" t="str">
            <v>Panceta</v>
          </cell>
          <cell r="E136" t="str">
            <v>Panceta s/Cuero</v>
          </cell>
          <cell r="F136" t="str">
            <v>Exportacion Directa</v>
          </cell>
          <cell r="G136">
            <v>1022990</v>
          </cell>
          <cell r="H136" t="str">
            <v>GO Panc Tec S/cue VP@ Cj ch AP</v>
          </cell>
          <cell r="I136">
            <v>10000</v>
          </cell>
          <cell r="J136">
            <v>20000</v>
          </cell>
          <cell r="K136">
            <v>13000</v>
          </cell>
          <cell r="L136"/>
          <cell r="M136"/>
        </row>
        <row r="137">
          <cell r="A137" t="str">
            <v>Exportacion Directa1023194</v>
          </cell>
          <cell r="B137" t="str">
            <v>1023194Exportacion Directa</v>
          </cell>
          <cell r="C137" t="str">
            <v>Cerdo</v>
          </cell>
          <cell r="D137" t="str">
            <v>Panceta</v>
          </cell>
          <cell r="E137" t="str">
            <v>Panceta s/Cuero</v>
          </cell>
          <cell r="F137" t="str">
            <v>Exportacion Directa</v>
          </cell>
          <cell r="G137">
            <v>1023194</v>
          </cell>
          <cell r="H137" t="str">
            <v>GO Cne Falda Panc@ Bo Cj AP</v>
          </cell>
          <cell r="I137">
            <v>9000</v>
          </cell>
          <cell r="J137">
            <v>5000</v>
          </cell>
          <cell r="K137">
            <v>6000</v>
          </cell>
          <cell r="L137">
            <v>12000</v>
          </cell>
          <cell r="M137">
            <v>7000</v>
          </cell>
        </row>
        <row r="138">
          <cell r="A138" t="str">
            <v>Exportacion Directa1023351</v>
          </cell>
          <cell r="B138" t="str">
            <v>1023351Exportacion Directa</v>
          </cell>
          <cell r="C138" t="str">
            <v>Cerdo</v>
          </cell>
          <cell r="D138" t="str">
            <v>Panceta</v>
          </cell>
          <cell r="E138" t="str">
            <v>Panceta s/Cuero</v>
          </cell>
          <cell r="F138" t="str">
            <v>Exportacion Directa</v>
          </cell>
          <cell r="G138">
            <v>1023351</v>
          </cell>
          <cell r="H138" t="str">
            <v>GO Panc S/tec L @VP Cj AP</v>
          </cell>
          <cell r="I138"/>
          <cell r="J138"/>
          <cell r="K138">
            <v>3000</v>
          </cell>
          <cell r="L138">
            <v>8000</v>
          </cell>
          <cell r="M138">
            <v>8214</v>
          </cell>
        </row>
        <row r="139">
          <cell r="A139" t="str">
            <v>Exportacion Directa1023352</v>
          </cell>
          <cell r="B139" t="str">
            <v>1023352Exportacion Directa</v>
          </cell>
          <cell r="C139" t="str">
            <v>Cerdo</v>
          </cell>
          <cell r="D139" t="str">
            <v>Panceta</v>
          </cell>
          <cell r="E139" t="str">
            <v>Panceta s/Cuero</v>
          </cell>
          <cell r="F139" t="str">
            <v>Exportacion Directa</v>
          </cell>
          <cell r="G139">
            <v>1023352</v>
          </cell>
          <cell r="H139" t="str">
            <v>GO Panc Tec S/cue@ R VP Cj ch AP</v>
          </cell>
          <cell r="I139"/>
          <cell r="J139"/>
          <cell r="K139"/>
          <cell r="L139">
            <v>45000</v>
          </cell>
          <cell r="M139">
            <v>118342</v>
          </cell>
        </row>
        <row r="140">
          <cell r="A140" t="str">
            <v>Agrosuper Asia1021045</v>
          </cell>
          <cell r="B140" t="str">
            <v>1021045Agrosuper Asia</v>
          </cell>
          <cell r="C140" t="str">
            <v>Cerdo</v>
          </cell>
          <cell r="D140" t="str">
            <v>Pernil</v>
          </cell>
          <cell r="E140" t="str">
            <v>Pernil Mano</v>
          </cell>
          <cell r="F140" t="str">
            <v>Agrosuper Asia</v>
          </cell>
          <cell r="G140">
            <v>1021045</v>
          </cell>
          <cell r="H140" t="str">
            <v>GO PernilM C/M@ Cj 15k AK</v>
          </cell>
          <cell r="I140">
            <v>88000</v>
          </cell>
          <cell r="J140">
            <v>44000</v>
          </cell>
          <cell r="K140">
            <v>22000</v>
          </cell>
          <cell r="L140">
            <v>44000</v>
          </cell>
          <cell r="M140">
            <v>22000</v>
          </cell>
        </row>
        <row r="141">
          <cell r="A141" t="str">
            <v>Agrosuper Asia1021046</v>
          </cell>
          <cell r="B141" t="str">
            <v>1021046Agrosuper Asia</v>
          </cell>
          <cell r="C141" t="str">
            <v>Cerdo</v>
          </cell>
          <cell r="D141" t="str">
            <v>Pernil</v>
          </cell>
          <cell r="E141" t="str">
            <v>Pernil Mano</v>
          </cell>
          <cell r="F141" t="str">
            <v>Agrosuper Asia</v>
          </cell>
          <cell r="G141">
            <v>1021046</v>
          </cell>
          <cell r="H141" t="str">
            <v>GO PernilM C/M@ Cj 15k TJ</v>
          </cell>
          <cell r="I141">
            <v>88000</v>
          </cell>
          <cell r="J141">
            <v>66000</v>
          </cell>
          <cell r="K141">
            <v>44000</v>
          </cell>
          <cell r="L141">
            <v>44000</v>
          </cell>
          <cell r="M141">
            <v>22105</v>
          </cell>
        </row>
        <row r="142">
          <cell r="A142" t="str">
            <v>Agrosuper Asia1021470</v>
          </cell>
          <cell r="B142" t="str">
            <v>1021470Agrosuper Asia</v>
          </cell>
          <cell r="C142" t="str">
            <v>Cerdo</v>
          </cell>
          <cell r="D142" t="str">
            <v>Pernil</v>
          </cell>
          <cell r="E142" t="str">
            <v>Pernil Mano</v>
          </cell>
          <cell r="F142" t="str">
            <v>Agrosuper Asia</v>
          </cell>
          <cell r="G142">
            <v>1021470</v>
          </cell>
          <cell r="H142" t="str">
            <v>GO PernilM@ Cj 20k AK</v>
          </cell>
          <cell r="I142">
            <v>22000</v>
          </cell>
          <cell r="J142">
            <v>22000</v>
          </cell>
          <cell r="K142"/>
          <cell r="L142">
            <v>22000</v>
          </cell>
          <cell r="M142"/>
        </row>
        <row r="143">
          <cell r="A143" t="str">
            <v>Agrosuper Shanghai1021731</v>
          </cell>
          <cell r="B143" t="str">
            <v>1021731Agrosuper Shanghai</v>
          </cell>
          <cell r="C143" t="str">
            <v>Cerdo</v>
          </cell>
          <cell r="D143" t="str">
            <v>Pernil</v>
          </cell>
          <cell r="E143" t="str">
            <v>Pernil Mano</v>
          </cell>
          <cell r="F143" t="str">
            <v>Agrosuper Shanghai</v>
          </cell>
          <cell r="G143">
            <v>1021731</v>
          </cell>
          <cell r="H143" t="str">
            <v>GO PernilM@ Cj 20k AS</v>
          </cell>
          <cell r="I143">
            <v>312000</v>
          </cell>
          <cell r="J143">
            <v>216000</v>
          </cell>
          <cell r="K143">
            <v>216000</v>
          </cell>
          <cell r="L143">
            <v>144000</v>
          </cell>
          <cell r="M143">
            <v>168000</v>
          </cell>
        </row>
        <row r="144">
          <cell r="A144" t="str">
            <v>Agrosuper Shanghai1022125</v>
          </cell>
          <cell r="B144" t="str">
            <v>1022125Agrosuper Shanghai</v>
          </cell>
          <cell r="C144" t="str">
            <v>Cerdo</v>
          </cell>
          <cell r="D144" t="str">
            <v>Pernil</v>
          </cell>
          <cell r="E144" t="str">
            <v>Pernil Mano</v>
          </cell>
          <cell r="F144" t="str">
            <v>Agrosuper Shanghai</v>
          </cell>
          <cell r="G144">
            <v>1022125</v>
          </cell>
          <cell r="H144" t="str">
            <v>GO PernilM C/M@ Cj 20k AS</v>
          </cell>
          <cell r="I144">
            <v>216000</v>
          </cell>
          <cell r="J144">
            <v>96000</v>
          </cell>
          <cell r="K144">
            <v>96000</v>
          </cell>
          <cell r="L144">
            <v>120000</v>
          </cell>
          <cell r="M144">
            <v>96000</v>
          </cell>
        </row>
        <row r="145">
          <cell r="A145" t="str">
            <v>Agrosuper Shanghai1022291</v>
          </cell>
          <cell r="B145" t="str">
            <v>1022291Agrosuper Shanghai</v>
          </cell>
          <cell r="C145" t="str">
            <v>Cerdo</v>
          </cell>
          <cell r="D145" t="str">
            <v>Pernil</v>
          </cell>
          <cell r="E145" t="str">
            <v>Pernil Mano</v>
          </cell>
          <cell r="F145" t="str">
            <v>Agrosuper Shanghai</v>
          </cell>
          <cell r="G145">
            <v>1022291</v>
          </cell>
          <cell r="H145" t="str">
            <v>GO PernilM B@ Bo Cj 20k AS</v>
          </cell>
          <cell r="I145">
            <v>48000</v>
          </cell>
          <cell r="J145">
            <v>48000</v>
          </cell>
          <cell r="K145">
            <v>48000</v>
          </cell>
          <cell r="L145">
            <v>72000</v>
          </cell>
          <cell r="M145">
            <v>119757</v>
          </cell>
        </row>
        <row r="146">
          <cell r="A146" t="str">
            <v>Agrosuper Shanghai1022183</v>
          </cell>
          <cell r="B146" t="str">
            <v>1022183Agrosuper Shanghai</v>
          </cell>
          <cell r="C146" t="str">
            <v>Cerdo</v>
          </cell>
          <cell r="D146" t="str">
            <v>Pernil</v>
          </cell>
          <cell r="E146" t="str">
            <v>Pernil Pierna</v>
          </cell>
          <cell r="F146" t="str">
            <v>Agrosuper Shanghai</v>
          </cell>
          <cell r="G146">
            <v>1022183</v>
          </cell>
          <cell r="H146" t="str">
            <v>GO PernilP@ Bo Cj 20k AS</v>
          </cell>
          <cell r="I146">
            <v>456000</v>
          </cell>
          <cell r="J146">
            <v>408000</v>
          </cell>
          <cell r="K146">
            <v>360000</v>
          </cell>
          <cell r="L146">
            <v>551000</v>
          </cell>
          <cell r="M146">
            <v>484400</v>
          </cell>
        </row>
        <row r="147">
          <cell r="A147" t="str">
            <v>Agro Sudamerica1020915</v>
          </cell>
          <cell r="B147" t="str">
            <v>1020915Agro Sudamerica</v>
          </cell>
          <cell r="C147" t="str">
            <v>Cerdo</v>
          </cell>
          <cell r="D147" t="str">
            <v>Pierna</v>
          </cell>
          <cell r="E147" t="str">
            <v>Pierna Entera</v>
          </cell>
          <cell r="F147" t="str">
            <v>Agro Sudamerica</v>
          </cell>
          <cell r="G147">
            <v>1020915</v>
          </cell>
          <cell r="H147" t="str">
            <v>GO Pna Nor@ Bo Cj 20k AS</v>
          </cell>
          <cell r="I147">
            <v>10000</v>
          </cell>
          <cell r="J147">
            <v>2000</v>
          </cell>
          <cell r="K147"/>
          <cell r="L147"/>
          <cell r="M147"/>
        </row>
        <row r="148">
          <cell r="A148" t="str">
            <v>Agrosuper Shanghai1021765</v>
          </cell>
          <cell r="B148" t="str">
            <v>1021765Agrosuper Shanghai</v>
          </cell>
          <cell r="C148" t="str">
            <v>Cerdo</v>
          </cell>
          <cell r="D148" t="str">
            <v>Pierna</v>
          </cell>
          <cell r="E148" t="str">
            <v>Pierna Entera</v>
          </cell>
          <cell r="F148" t="str">
            <v>Agrosuper Shanghai</v>
          </cell>
          <cell r="G148">
            <v>1021765</v>
          </cell>
          <cell r="H148" t="str">
            <v>GO Pna Nor@ Bo Cj 20k AS</v>
          </cell>
          <cell r="I148"/>
          <cell r="J148"/>
          <cell r="K148">
            <v>6760</v>
          </cell>
          <cell r="L148"/>
          <cell r="M148"/>
        </row>
        <row r="149">
          <cell r="A149" t="str">
            <v>Agro Sudamerica1020944</v>
          </cell>
          <cell r="B149" t="str">
            <v>1020944Agro Sudamerica</v>
          </cell>
          <cell r="C149" t="str">
            <v>Cerdo</v>
          </cell>
          <cell r="D149" t="str">
            <v>Pierna</v>
          </cell>
          <cell r="E149" t="str">
            <v>Pierna Pulpa</v>
          </cell>
          <cell r="F149" t="str">
            <v>Agro Sudamerica</v>
          </cell>
          <cell r="G149">
            <v>1020944</v>
          </cell>
          <cell r="H149" t="str">
            <v>GO PpPna 59@ Fi Cj 20k AS</v>
          </cell>
          <cell r="I149">
            <v>480000</v>
          </cell>
          <cell r="J149">
            <v>508001</v>
          </cell>
          <cell r="K149">
            <v>384000</v>
          </cell>
          <cell r="L149">
            <v>188000</v>
          </cell>
          <cell r="M149">
            <v>504000</v>
          </cell>
        </row>
        <row r="150">
          <cell r="A150" t="str">
            <v>Agro Sudamerica1021263</v>
          </cell>
          <cell r="B150" t="str">
            <v>1021263Agro Sudamerica</v>
          </cell>
          <cell r="C150" t="str">
            <v>Cerdo</v>
          </cell>
          <cell r="D150" t="str">
            <v>Pierna</v>
          </cell>
          <cell r="E150" t="str">
            <v>Pierna Pulpa</v>
          </cell>
          <cell r="F150" t="str">
            <v>Agro Sudamerica</v>
          </cell>
          <cell r="G150">
            <v>1021263</v>
          </cell>
          <cell r="H150" t="str">
            <v>GO PpPna 59@ Fi Cj 20k AS</v>
          </cell>
          <cell r="I150"/>
          <cell r="J150"/>
          <cell r="K150"/>
          <cell r="L150">
            <v>72000</v>
          </cell>
          <cell r="M150">
            <v>48000</v>
          </cell>
        </row>
        <row r="151">
          <cell r="A151" t="str">
            <v>Agro Sudamerica1022709</v>
          </cell>
          <cell r="B151" t="str">
            <v>1022709Agro Sudamerica</v>
          </cell>
          <cell r="C151" t="str">
            <v>Cerdo</v>
          </cell>
          <cell r="D151" t="str">
            <v>Pierna</v>
          </cell>
          <cell r="E151" t="str">
            <v>Pierna Pulpa</v>
          </cell>
          <cell r="F151" t="str">
            <v>Agro Sudamerica</v>
          </cell>
          <cell r="G151">
            <v>1022709</v>
          </cell>
          <cell r="H151" t="str">
            <v>GO PpPna 57@ Bo Cj AS</v>
          </cell>
          <cell r="I151"/>
          <cell r="J151">
            <v>65000</v>
          </cell>
          <cell r="K151">
            <v>48000</v>
          </cell>
          <cell r="L151">
            <v>120000</v>
          </cell>
          <cell r="M151">
            <v>83000</v>
          </cell>
        </row>
        <row r="152">
          <cell r="A152" t="str">
            <v>Agrosuper Shanghai1021733</v>
          </cell>
          <cell r="B152" t="str">
            <v>1021733Agrosuper Shanghai</v>
          </cell>
          <cell r="C152" t="str">
            <v>Cerdo</v>
          </cell>
          <cell r="D152" t="str">
            <v>Pierna</v>
          </cell>
          <cell r="E152" t="str">
            <v>Pierna Pulpa</v>
          </cell>
          <cell r="F152" t="str">
            <v>Agrosuper Shanghai</v>
          </cell>
          <cell r="G152">
            <v>1021733</v>
          </cell>
          <cell r="H152" t="str">
            <v>GO PpPna 59@ Cj 20k AS</v>
          </cell>
          <cell r="I152">
            <v>96000</v>
          </cell>
          <cell r="J152"/>
          <cell r="K152"/>
          <cell r="L152">
            <v>72000</v>
          </cell>
          <cell r="M152">
            <v>24000</v>
          </cell>
        </row>
        <row r="153">
          <cell r="A153" t="str">
            <v>Agrosuper Shanghai1023131</v>
          </cell>
          <cell r="B153" t="str">
            <v>1023131Agrosuper Shanghai</v>
          </cell>
          <cell r="C153" t="str">
            <v>Cerdo</v>
          </cell>
          <cell r="D153" t="str">
            <v>Pierna</v>
          </cell>
          <cell r="E153" t="str">
            <v>Pierna Pulpa</v>
          </cell>
          <cell r="F153" t="str">
            <v>Agrosuper Shanghai</v>
          </cell>
          <cell r="G153">
            <v>1023131</v>
          </cell>
          <cell r="H153" t="str">
            <v>GO Pna S/Hso C/Cue@ Cj 20k AS</v>
          </cell>
          <cell r="I153">
            <v>4224</v>
          </cell>
          <cell r="J153"/>
          <cell r="K153">
            <v>4200</v>
          </cell>
          <cell r="L153"/>
          <cell r="M153"/>
        </row>
        <row r="154">
          <cell r="A154" t="str">
            <v>Agro Sudamerica1021868</v>
          </cell>
          <cell r="B154" t="str">
            <v>1021868Agro Sudamerica</v>
          </cell>
          <cell r="C154" t="str">
            <v>Cerdo</v>
          </cell>
          <cell r="D154" t="str">
            <v>Pierna</v>
          </cell>
          <cell r="E154" t="str">
            <v>Pierna Pulpa Fina</v>
          </cell>
          <cell r="F154" t="str">
            <v>Agro Sudamerica</v>
          </cell>
          <cell r="G154">
            <v>1021868</v>
          </cell>
          <cell r="H154" t="str">
            <v>GO PpPna 54@ Cj 20k AS</v>
          </cell>
          <cell r="I154">
            <v>24000</v>
          </cell>
          <cell r="J154">
            <v>48000</v>
          </cell>
          <cell r="K154">
            <v>48000</v>
          </cell>
          <cell r="L154">
            <v>34000</v>
          </cell>
          <cell r="M154">
            <v>24000</v>
          </cell>
        </row>
        <row r="155">
          <cell r="A155" t="str">
            <v>Exportacion Directa1020284</v>
          </cell>
          <cell r="B155" t="str">
            <v>1020284Exportacion Directa</v>
          </cell>
          <cell r="C155" t="str">
            <v>Cerdo</v>
          </cell>
          <cell r="D155" t="str">
            <v>Pierna</v>
          </cell>
          <cell r="E155" t="str">
            <v>Pierna Pulpa Fina</v>
          </cell>
          <cell r="F155" t="str">
            <v>Exportacion Directa</v>
          </cell>
          <cell r="G155">
            <v>1020284</v>
          </cell>
          <cell r="H155" t="str">
            <v>GO Posta Negra 3P T@ Va Cj t-f JP</v>
          </cell>
          <cell r="I155">
            <v>11750</v>
          </cell>
          <cell r="J155">
            <v>5750</v>
          </cell>
          <cell r="K155">
            <v>4000</v>
          </cell>
          <cell r="L155">
            <v>17000</v>
          </cell>
          <cell r="M155">
            <v>23200</v>
          </cell>
        </row>
        <row r="156">
          <cell r="A156" t="str">
            <v>Exportacion Directa1020662</v>
          </cell>
          <cell r="B156" t="str">
            <v>1020662Exportacion Directa</v>
          </cell>
          <cell r="C156" t="str">
            <v>Cerdo</v>
          </cell>
          <cell r="D156" t="str">
            <v>Pierna</v>
          </cell>
          <cell r="E156" t="str">
            <v>Pierna Pulpa Fina</v>
          </cell>
          <cell r="F156" t="str">
            <v>Exportacion Directa</v>
          </cell>
          <cell r="G156">
            <v>1020662</v>
          </cell>
          <cell r="H156" t="str">
            <v>GO Ganso C/asto 3P@ Va Cj t-f AP</v>
          </cell>
          <cell r="I156">
            <v>30000</v>
          </cell>
          <cell r="J156">
            <v>5000</v>
          </cell>
          <cell r="K156">
            <v>4000</v>
          </cell>
          <cell r="L156">
            <v>20000</v>
          </cell>
          <cell r="M156">
            <v>22000</v>
          </cell>
        </row>
        <row r="157">
          <cell r="A157" t="str">
            <v>Exportacion Directa1020664</v>
          </cell>
          <cell r="B157" t="str">
            <v>1020664Exportacion Directa</v>
          </cell>
          <cell r="C157" t="str">
            <v>Cerdo</v>
          </cell>
          <cell r="D157" t="str">
            <v>Pierna</v>
          </cell>
          <cell r="E157" t="str">
            <v>Pierna Pulpa Fina</v>
          </cell>
          <cell r="F157" t="str">
            <v>Exportacion Directa</v>
          </cell>
          <cell r="G157">
            <v>1020664</v>
          </cell>
          <cell r="H157" t="str">
            <v>GO Ganso C/asto C/abas S/g@ Va Cj JP</v>
          </cell>
          <cell r="I157"/>
          <cell r="J157">
            <v>3000</v>
          </cell>
          <cell r="K157">
            <v>3000</v>
          </cell>
          <cell r="L157">
            <v>3000</v>
          </cell>
          <cell r="M157"/>
        </row>
        <row r="158">
          <cell r="A158" t="str">
            <v>Exportacion Directa1020665</v>
          </cell>
          <cell r="B158" t="str">
            <v>1020665Exportacion Directa</v>
          </cell>
          <cell r="C158" t="str">
            <v>Cerdo</v>
          </cell>
          <cell r="D158" t="str">
            <v>Pierna</v>
          </cell>
          <cell r="E158" t="str">
            <v>Pierna Pulpa Fina</v>
          </cell>
          <cell r="F158" t="str">
            <v>Exportacion Directa</v>
          </cell>
          <cell r="G158">
            <v>1020665</v>
          </cell>
          <cell r="H158" t="str">
            <v>GO Posta Rosada 3P@ Va Cj t-f AP</v>
          </cell>
          <cell r="I158">
            <v>11750</v>
          </cell>
          <cell r="J158">
            <v>4750</v>
          </cell>
          <cell r="K158">
            <v>5000</v>
          </cell>
          <cell r="L158">
            <v>15000</v>
          </cell>
          <cell r="M158">
            <v>17000</v>
          </cell>
        </row>
        <row r="159">
          <cell r="A159" t="str">
            <v>Exportacion Directa1020990</v>
          </cell>
          <cell r="B159" t="str">
            <v>1020990Exportacion Directa</v>
          </cell>
          <cell r="C159" t="str">
            <v>Cerdo</v>
          </cell>
          <cell r="D159" t="str">
            <v>Pierna</v>
          </cell>
          <cell r="E159" t="str">
            <v>Pierna Pulpa Fina</v>
          </cell>
          <cell r="F159" t="str">
            <v>Exportacion Directa</v>
          </cell>
          <cell r="G159">
            <v>1020990</v>
          </cell>
          <cell r="H159" t="str">
            <v>GO Ganso S/g S/abst DA@ Cj 12k AP</v>
          </cell>
          <cell r="I159">
            <v>8750</v>
          </cell>
          <cell r="J159">
            <v>4750</v>
          </cell>
          <cell r="K159">
            <v>7000</v>
          </cell>
          <cell r="L159">
            <v>13000</v>
          </cell>
          <cell r="M159">
            <v>13000</v>
          </cell>
        </row>
        <row r="160">
          <cell r="A160" t="str">
            <v>Exportacion Directa1020991</v>
          </cell>
          <cell r="B160" t="str">
            <v>1020991Exportacion Directa</v>
          </cell>
          <cell r="C160" t="str">
            <v>Cerdo</v>
          </cell>
          <cell r="D160" t="str">
            <v>Pierna</v>
          </cell>
          <cell r="E160" t="str">
            <v>Pierna Pulpa Fina</v>
          </cell>
          <cell r="F160" t="str">
            <v>Exportacion Directa</v>
          </cell>
          <cell r="G160">
            <v>1020991</v>
          </cell>
          <cell r="H160" t="str">
            <v>GO Asiento C/g DA@ Cj 12k JP</v>
          </cell>
          <cell r="I160">
            <v>1250</v>
          </cell>
          <cell r="J160">
            <v>5000</v>
          </cell>
          <cell r="K160">
            <v>5000</v>
          </cell>
          <cell r="L160">
            <v>60000</v>
          </cell>
          <cell r="M160">
            <v>10000</v>
          </cell>
        </row>
        <row r="161">
          <cell r="A161" t="str">
            <v>Agrosuper Asia1023144</v>
          </cell>
          <cell r="B161" t="str">
            <v>1023144Agrosuper Asia</v>
          </cell>
          <cell r="C161" t="str">
            <v>Cerdo</v>
          </cell>
          <cell r="D161" t="str">
            <v>Plancha</v>
          </cell>
          <cell r="E161" t="str">
            <v>Plancha c/Cuero</v>
          </cell>
          <cell r="F161" t="str">
            <v>Agrosuper Asia</v>
          </cell>
          <cell r="G161">
            <v>1023144</v>
          </cell>
          <cell r="H161" t="str">
            <v>GO Papda C/Cue granel@ Bo Cj AS</v>
          </cell>
          <cell r="I161"/>
          <cell r="J161"/>
          <cell r="K161"/>
          <cell r="L161"/>
          <cell r="M161">
            <v>24000</v>
          </cell>
        </row>
        <row r="162">
          <cell r="A162" t="str">
            <v>Agro Sudamerica1020349</v>
          </cell>
          <cell r="B162" t="str">
            <v>1020349Agro Sudamerica</v>
          </cell>
          <cell r="C162" t="str">
            <v>Cerdo</v>
          </cell>
          <cell r="D162" t="str">
            <v>Plancha</v>
          </cell>
          <cell r="E162" t="str">
            <v>Plancha s/Cuero</v>
          </cell>
          <cell r="F162" t="str">
            <v>Agro Sudamerica</v>
          </cell>
          <cell r="G162">
            <v>1020349</v>
          </cell>
          <cell r="H162" t="str">
            <v>GO Papda@ Cj t-f AS</v>
          </cell>
          <cell r="I162">
            <v>120000</v>
          </cell>
          <cell r="J162">
            <v>156000</v>
          </cell>
          <cell r="K162">
            <v>228000</v>
          </cell>
          <cell r="L162">
            <v>192000</v>
          </cell>
          <cell r="M162"/>
        </row>
        <row r="163">
          <cell r="A163" t="str">
            <v>Agro Sudamerica1022149</v>
          </cell>
          <cell r="B163" t="str">
            <v>1022149Agro Sudamerica</v>
          </cell>
          <cell r="C163" t="str">
            <v>Cerdo</v>
          </cell>
          <cell r="D163" t="str">
            <v>Plancha</v>
          </cell>
          <cell r="E163" t="str">
            <v>Plancha s/Cuero</v>
          </cell>
          <cell r="F163" t="str">
            <v>Agro Sudamerica</v>
          </cell>
          <cell r="G163">
            <v>1022149</v>
          </cell>
          <cell r="H163" t="str">
            <v>GO Plancha Rebaje Ent@ Cj 20k AS</v>
          </cell>
          <cell r="I163">
            <v>72000</v>
          </cell>
          <cell r="J163">
            <v>36000</v>
          </cell>
          <cell r="K163">
            <v>48000</v>
          </cell>
          <cell r="L163">
            <v>24000</v>
          </cell>
          <cell r="M163">
            <v>24000</v>
          </cell>
        </row>
        <row r="164">
          <cell r="A164" t="str">
            <v>Agrosuper Asia1021012</v>
          </cell>
          <cell r="B164" t="str">
            <v>1021012Agrosuper Asia</v>
          </cell>
          <cell r="C164" t="str">
            <v>Cerdo</v>
          </cell>
          <cell r="D164" t="str">
            <v>Plancha</v>
          </cell>
          <cell r="E164" t="str">
            <v>Plancha s/Cuero</v>
          </cell>
          <cell r="F164" t="str">
            <v>Agrosuper Asia</v>
          </cell>
          <cell r="G164">
            <v>1021012</v>
          </cell>
          <cell r="H164" t="str">
            <v>GO Papda K@ Cj 20k AK</v>
          </cell>
          <cell r="I164">
            <v>110000</v>
          </cell>
          <cell r="J164">
            <v>66000</v>
          </cell>
          <cell r="K164"/>
          <cell r="L164">
            <v>22000</v>
          </cell>
          <cell r="M164">
            <v>176010</v>
          </cell>
        </row>
        <row r="165">
          <cell r="A165" t="str">
            <v>Exportacion Directa1022987</v>
          </cell>
          <cell r="B165" t="str">
            <v>1022987Exportacion Directa</v>
          </cell>
          <cell r="C165" t="str">
            <v>Cerdo</v>
          </cell>
          <cell r="D165" t="str">
            <v>Plancha</v>
          </cell>
          <cell r="E165" t="str">
            <v>Plancha s/Cuero</v>
          </cell>
          <cell r="F165" t="str">
            <v>Exportacion Directa</v>
          </cell>
          <cell r="G165">
            <v>1022987</v>
          </cell>
          <cell r="H165" t="str">
            <v>GO Lom Tocino@ Bo Cj 20k AP</v>
          </cell>
          <cell r="I165"/>
          <cell r="J165">
            <v>30000</v>
          </cell>
          <cell r="K165">
            <v>24000</v>
          </cell>
          <cell r="L165">
            <v>48000</v>
          </cell>
          <cell r="M165">
            <v>24000</v>
          </cell>
        </row>
        <row r="166">
          <cell r="A166" t="str">
            <v>Agrosuper Asia1022283</v>
          </cell>
          <cell r="B166" t="str">
            <v>1022283Agrosuper Asia</v>
          </cell>
          <cell r="C166" t="str">
            <v>Cerdo</v>
          </cell>
          <cell r="D166" t="str">
            <v>Prolijado</v>
          </cell>
          <cell r="E166" t="str">
            <v>Prolijado Malaya</v>
          </cell>
          <cell r="F166" t="str">
            <v>Agrosuper Asia</v>
          </cell>
          <cell r="G166">
            <v>1022283</v>
          </cell>
          <cell r="H166" t="str">
            <v>GO Malaya 5-6mm@ Bo Cj 9k AS</v>
          </cell>
          <cell r="I166">
            <v>11000</v>
          </cell>
          <cell r="J166">
            <v>9000</v>
          </cell>
          <cell r="K166"/>
          <cell r="L166">
            <v>5000</v>
          </cell>
          <cell r="M166">
            <v>6000</v>
          </cell>
        </row>
        <row r="167">
          <cell r="A167" t="str">
            <v>Exportacion Directa1020774</v>
          </cell>
          <cell r="B167" t="str">
            <v>1020774Exportacion Directa</v>
          </cell>
          <cell r="C167" t="str">
            <v>Cerdo</v>
          </cell>
          <cell r="D167" t="str">
            <v>Prolijado</v>
          </cell>
          <cell r="E167" t="str">
            <v>Prolijado Malaya</v>
          </cell>
          <cell r="F167" t="str">
            <v>Exportacion Directa</v>
          </cell>
          <cell r="G167">
            <v>1020774</v>
          </cell>
          <cell r="H167" t="str">
            <v>GO Malaya Japon@ Va Cj JP</v>
          </cell>
          <cell r="I167">
            <v>6500</v>
          </cell>
          <cell r="J167">
            <v>9000</v>
          </cell>
          <cell r="K167">
            <v>7000</v>
          </cell>
          <cell r="L167">
            <v>7000</v>
          </cell>
          <cell r="M167">
            <v>12778</v>
          </cell>
        </row>
        <row r="168">
          <cell r="A168" t="str">
            <v>Exportacion Directa1022282</v>
          </cell>
          <cell r="B168" t="str">
            <v>1022282Exportacion Directa</v>
          </cell>
          <cell r="C168" t="str">
            <v>Cerdo</v>
          </cell>
          <cell r="D168" t="str">
            <v>Prolijado</v>
          </cell>
          <cell r="E168" t="str">
            <v>Prolijado Malaya</v>
          </cell>
          <cell r="F168" t="str">
            <v>Exportacion Directa</v>
          </cell>
          <cell r="G168">
            <v>1022282</v>
          </cell>
          <cell r="H168" t="str">
            <v>GO Malaya Japon@ Vp Fi Cj 20k AP</v>
          </cell>
          <cell r="I168"/>
          <cell r="J168"/>
          <cell r="K168"/>
          <cell r="L168">
            <v>3000</v>
          </cell>
          <cell r="M168">
            <v>2000</v>
          </cell>
        </row>
        <row r="169">
          <cell r="A169" t="str">
            <v>Agrosuper Asia1022607</v>
          </cell>
          <cell r="B169" t="str">
            <v>1022607Agrosuper Asia</v>
          </cell>
          <cell r="C169" t="str">
            <v>Cerdo</v>
          </cell>
          <cell r="D169" t="str">
            <v>Prolijado</v>
          </cell>
          <cell r="E169" t="str">
            <v>Prolijado Plateada</v>
          </cell>
          <cell r="F169" t="str">
            <v>Agrosuper Asia</v>
          </cell>
          <cell r="G169">
            <v>1022607</v>
          </cell>
          <cell r="H169" t="str">
            <v>GO Platead Lom TF@ Cj 10k AK (TS)</v>
          </cell>
          <cell r="I169">
            <v>22000</v>
          </cell>
          <cell r="J169">
            <v>22000</v>
          </cell>
          <cell r="K169">
            <v>22000</v>
          </cell>
          <cell r="L169">
            <v>44000</v>
          </cell>
          <cell r="M169">
            <v>44001</v>
          </cell>
        </row>
        <row r="170">
          <cell r="A170" t="str">
            <v>Agro Sudamerica1020412</v>
          </cell>
          <cell r="B170" t="str">
            <v>1020412Agro Sudamerica</v>
          </cell>
          <cell r="C170" t="str">
            <v>Cerdo</v>
          </cell>
          <cell r="D170" t="str">
            <v>Recortes</v>
          </cell>
          <cell r="E170" t="str">
            <v>Recortes No Magro</v>
          </cell>
          <cell r="F170" t="str">
            <v>Agro Sudamerica</v>
          </cell>
          <cell r="G170">
            <v>1020412</v>
          </cell>
          <cell r="H170" t="str">
            <v>GO Cne Long@ Cj t-f AS</v>
          </cell>
          <cell r="I170">
            <v>48000</v>
          </cell>
          <cell r="J170">
            <v>73000</v>
          </cell>
          <cell r="K170">
            <v>96000</v>
          </cell>
          <cell r="L170">
            <v>72000</v>
          </cell>
          <cell r="M170">
            <v>72000</v>
          </cell>
        </row>
        <row r="171">
          <cell r="A171" t="str">
            <v>Agro Sudamerica1021078</v>
          </cell>
          <cell r="B171" t="str">
            <v>1021078Agro Sudamerica</v>
          </cell>
          <cell r="C171" t="str">
            <v>Cerdo</v>
          </cell>
          <cell r="D171" t="str">
            <v>Recortes</v>
          </cell>
          <cell r="E171" t="str">
            <v>Recortes No Magro</v>
          </cell>
          <cell r="F171" t="str">
            <v>Agro Sudamerica</v>
          </cell>
          <cell r="G171">
            <v>1021078</v>
          </cell>
          <cell r="H171" t="str">
            <v>GO Triming 80/20@ Cj 20k AS</v>
          </cell>
          <cell r="I171">
            <v>48000</v>
          </cell>
          <cell r="J171">
            <v>107000</v>
          </cell>
          <cell r="K171">
            <v>143000</v>
          </cell>
          <cell r="L171">
            <v>96000</v>
          </cell>
          <cell r="M171">
            <v>96000</v>
          </cell>
        </row>
        <row r="172">
          <cell r="A172" t="str">
            <v>Agro Sudamerica1021082</v>
          </cell>
          <cell r="B172" t="str">
            <v>1021082Agro Sudamerica</v>
          </cell>
          <cell r="C172" t="str">
            <v>Cerdo</v>
          </cell>
          <cell r="D172" t="str">
            <v>Recortes</v>
          </cell>
          <cell r="E172" t="str">
            <v>Recortes No Magro</v>
          </cell>
          <cell r="F172" t="str">
            <v>Agro Sudamerica</v>
          </cell>
          <cell r="G172">
            <v>1021082</v>
          </cell>
          <cell r="H172" t="str">
            <v>GO Triming 70/30@ Cj 20k AS</v>
          </cell>
          <cell r="I172"/>
          <cell r="J172"/>
          <cell r="K172"/>
          <cell r="L172"/>
          <cell r="M172">
            <v>2500</v>
          </cell>
        </row>
        <row r="173">
          <cell r="A173" t="str">
            <v>Agro Sudamerica1021092</v>
          </cell>
          <cell r="B173" t="str">
            <v>1021092Agro Sudamerica</v>
          </cell>
          <cell r="C173" t="str">
            <v>Cerdo</v>
          </cell>
          <cell r="D173" t="str">
            <v>Recortes</v>
          </cell>
          <cell r="E173" t="str">
            <v>Recortes No Magro</v>
          </cell>
          <cell r="F173" t="str">
            <v>Agro Sudamerica</v>
          </cell>
          <cell r="G173">
            <v>1021092</v>
          </cell>
          <cell r="H173" t="str">
            <v>GO Triming 85/15@ Cj t-f 20k AS</v>
          </cell>
          <cell r="I173">
            <v>48000</v>
          </cell>
          <cell r="J173">
            <v>79070</v>
          </cell>
          <cell r="K173"/>
          <cell r="L173">
            <v>72000</v>
          </cell>
          <cell r="M173">
            <v>144000</v>
          </cell>
        </row>
        <row r="174">
          <cell r="A174" t="str">
            <v>Agro Sudamerica1021237</v>
          </cell>
          <cell r="B174" t="str">
            <v>1021237Agro Sudamerica</v>
          </cell>
          <cell r="C174" t="str">
            <v>Cerdo</v>
          </cell>
          <cell r="D174" t="str">
            <v>Recortes</v>
          </cell>
          <cell r="E174" t="str">
            <v>Recortes No Magro</v>
          </cell>
          <cell r="F174" t="str">
            <v>Agro Sudamerica</v>
          </cell>
          <cell r="G174">
            <v>1021237</v>
          </cell>
          <cell r="H174" t="str">
            <v>GO Triming 80/20@ Bo c/f Cj 20k AS</v>
          </cell>
          <cell r="I174"/>
          <cell r="J174"/>
          <cell r="K174"/>
          <cell r="L174">
            <v>61042</v>
          </cell>
          <cell r="M174">
            <v>13042</v>
          </cell>
        </row>
        <row r="175">
          <cell r="A175" t="str">
            <v>Agro Sudamerica1021550</v>
          </cell>
          <cell r="B175" t="str">
            <v>1021550Agro Sudamerica</v>
          </cell>
          <cell r="C175" t="str">
            <v>Cerdo</v>
          </cell>
          <cell r="D175" t="str">
            <v>Recortes</v>
          </cell>
          <cell r="E175" t="str">
            <v>Recortes No Magro</v>
          </cell>
          <cell r="F175" t="str">
            <v>Agro Sudamerica</v>
          </cell>
          <cell r="G175">
            <v>1021550</v>
          </cell>
          <cell r="H175" t="str">
            <v>GO Triming 85/15@ Cj 20k AS</v>
          </cell>
          <cell r="I175"/>
          <cell r="J175">
            <v>5780</v>
          </cell>
          <cell r="K175"/>
          <cell r="L175">
            <v>70958</v>
          </cell>
          <cell r="M175">
            <v>34958</v>
          </cell>
        </row>
        <row r="176">
          <cell r="A176" t="str">
            <v>Agro Sudamerica1021905</v>
          </cell>
          <cell r="B176" t="str">
            <v>1021905Agro Sudamerica</v>
          </cell>
          <cell r="C176" t="str">
            <v>Cerdo</v>
          </cell>
          <cell r="D176" t="str">
            <v>Recortes</v>
          </cell>
          <cell r="E176" t="str">
            <v>Recortes No Magro</v>
          </cell>
          <cell r="F176" t="str">
            <v>Agro Sudamerica</v>
          </cell>
          <cell r="G176">
            <v>1021905</v>
          </cell>
          <cell r="H176" t="str">
            <v>GO Reco 70/30 @ Cj 20k AS</v>
          </cell>
          <cell r="I176"/>
          <cell r="J176"/>
          <cell r="K176"/>
          <cell r="L176"/>
          <cell r="M176"/>
        </row>
        <row r="177">
          <cell r="A177" t="str">
            <v>Agro Sudamerica1022047</v>
          </cell>
          <cell r="B177" t="str">
            <v>1022047Agro Sudamerica</v>
          </cell>
          <cell r="C177" t="str">
            <v>Cerdo</v>
          </cell>
          <cell r="D177" t="str">
            <v>Recortes</v>
          </cell>
          <cell r="E177" t="str">
            <v>Recortes No Magro</v>
          </cell>
          <cell r="F177" t="str">
            <v>Agro Sudamerica</v>
          </cell>
          <cell r="G177">
            <v>1022047</v>
          </cell>
          <cell r="H177" t="str">
            <v>GO Triming Panc@ Cj 20k AS</v>
          </cell>
          <cell r="I177"/>
          <cell r="J177"/>
          <cell r="K177"/>
          <cell r="L177">
            <v>48000</v>
          </cell>
          <cell r="M177"/>
        </row>
        <row r="178">
          <cell r="A178" t="str">
            <v>Agro Sudamerica1022247</v>
          </cell>
          <cell r="B178" t="str">
            <v>1022247Agro Sudamerica</v>
          </cell>
          <cell r="C178" t="str">
            <v>Cerdo</v>
          </cell>
          <cell r="D178" t="str">
            <v>Recortes</v>
          </cell>
          <cell r="E178" t="str">
            <v>Recortes No Magro</v>
          </cell>
          <cell r="F178" t="str">
            <v>Agro Sudamerica</v>
          </cell>
          <cell r="G178">
            <v>1022247</v>
          </cell>
          <cell r="H178" t="str">
            <v>GO Triming 60/40@ Bo Cj AS</v>
          </cell>
          <cell r="I178"/>
          <cell r="J178"/>
          <cell r="K178"/>
          <cell r="L178">
            <v>48000</v>
          </cell>
          <cell r="M178"/>
        </row>
        <row r="179">
          <cell r="A179" t="str">
            <v>Agro Sudamerica1022654</v>
          </cell>
          <cell r="B179" t="str">
            <v>1022654Agro Sudamerica</v>
          </cell>
          <cell r="C179" t="str">
            <v>Cerdo</v>
          </cell>
          <cell r="D179" t="str">
            <v>Recortes</v>
          </cell>
          <cell r="E179" t="str">
            <v>Recortes No Magro</v>
          </cell>
          <cell r="F179" t="str">
            <v>Agro Sudamerica</v>
          </cell>
          <cell r="G179">
            <v>1022654</v>
          </cell>
          <cell r="H179" t="str">
            <v>GO Triming 90/10@ Cj 20k AS</v>
          </cell>
          <cell r="I179"/>
          <cell r="J179">
            <v>3360</v>
          </cell>
          <cell r="K179"/>
          <cell r="L179"/>
          <cell r="M179"/>
        </row>
        <row r="180">
          <cell r="A180" t="str">
            <v>Agro Sudamerica1022922</v>
          </cell>
          <cell r="B180" t="str">
            <v>1022922Agro Sudamerica</v>
          </cell>
          <cell r="C180" t="str">
            <v>Cerdo</v>
          </cell>
          <cell r="D180" t="str">
            <v>Recortes</v>
          </cell>
          <cell r="E180" t="str">
            <v>Recortes No Magro</v>
          </cell>
          <cell r="F180" t="str">
            <v>Agro Sudamerica</v>
          </cell>
          <cell r="G180">
            <v>1022922</v>
          </cell>
          <cell r="H180" t="str">
            <v>GO Triming Panc@ Cj 20k AS</v>
          </cell>
          <cell r="I180"/>
          <cell r="J180"/>
          <cell r="K180"/>
          <cell r="L180">
            <v>17000</v>
          </cell>
          <cell r="M180">
            <v>6000</v>
          </cell>
        </row>
        <row r="181">
          <cell r="A181" t="str">
            <v>Agrosuper Shanghai1022373</v>
          </cell>
          <cell r="B181" t="str">
            <v>1022373Agrosuper Shanghai</v>
          </cell>
          <cell r="C181" t="str">
            <v>Cerdo</v>
          </cell>
          <cell r="D181" t="str">
            <v>Recortes</v>
          </cell>
          <cell r="E181" t="str">
            <v>Recortes No Magro</v>
          </cell>
          <cell r="F181" t="str">
            <v>Agrosuper Shanghai</v>
          </cell>
          <cell r="G181">
            <v>1022373</v>
          </cell>
          <cell r="H181" t="str">
            <v>GO Reco 60/40 @ Cj 20k AS</v>
          </cell>
          <cell r="I181">
            <v>96000</v>
          </cell>
          <cell r="J181">
            <v>96000</v>
          </cell>
          <cell r="K181">
            <v>48000</v>
          </cell>
          <cell r="L181"/>
          <cell r="M181">
            <v>48000</v>
          </cell>
        </row>
        <row r="182">
          <cell r="A182" t="str">
            <v>Agrosuper Shanghai1022415</v>
          </cell>
          <cell r="B182" t="str">
            <v>1022415Agrosuper Shanghai</v>
          </cell>
          <cell r="C182" t="str">
            <v>Cerdo</v>
          </cell>
          <cell r="D182" t="str">
            <v>Recortes</v>
          </cell>
          <cell r="E182" t="str">
            <v>Recortes No Magro</v>
          </cell>
          <cell r="F182" t="str">
            <v>Agrosuper Shanghai</v>
          </cell>
          <cell r="G182">
            <v>1022415</v>
          </cell>
          <cell r="H182" t="str">
            <v>GO Reco 85/15 @ Cj 20k AS</v>
          </cell>
          <cell r="I182"/>
          <cell r="J182"/>
          <cell r="K182">
            <v>4084</v>
          </cell>
          <cell r="L182"/>
          <cell r="M182"/>
        </row>
        <row r="183">
          <cell r="A183" t="str">
            <v>Agrosuper Shanghai1023093</v>
          </cell>
          <cell r="B183" t="str">
            <v>1023093Agrosuper Shanghai</v>
          </cell>
          <cell r="C183" t="str">
            <v>Cerdo</v>
          </cell>
          <cell r="D183" t="str">
            <v>Recortes</v>
          </cell>
          <cell r="E183" t="str">
            <v>Recortes No Magro</v>
          </cell>
          <cell r="F183" t="str">
            <v>Agrosuper Shanghai</v>
          </cell>
          <cell r="G183">
            <v>1023093</v>
          </cell>
          <cell r="H183" t="str">
            <v>GO Cordon Lom@ Bo Cj 20k AS</v>
          </cell>
          <cell r="I183"/>
          <cell r="J183"/>
          <cell r="K183">
            <v>12000</v>
          </cell>
          <cell r="L183">
            <v>12000</v>
          </cell>
          <cell r="M183"/>
        </row>
        <row r="184">
          <cell r="A184" t="str">
            <v>Agrosuper Asia1023283</v>
          </cell>
          <cell r="B184" t="str">
            <v>1023283Agrosuper Asia</v>
          </cell>
          <cell r="C184" t="str">
            <v>Cerdo</v>
          </cell>
          <cell r="D184" t="str">
            <v>Subprod</v>
          </cell>
          <cell r="E184" t="str">
            <v>Subprod Grasa</v>
          </cell>
          <cell r="F184" t="str">
            <v>Agrosuper Asia</v>
          </cell>
          <cell r="G184">
            <v>1023283</v>
          </cell>
          <cell r="H184" t="str">
            <v>GO Grasa Chaleco@ Cj 10k AS</v>
          </cell>
          <cell r="I184">
            <v>120000</v>
          </cell>
          <cell r="J184">
            <v>96000</v>
          </cell>
          <cell r="K184">
            <v>178000</v>
          </cell>
          <cell r="L184">
            <v>216000</v>
          </cell>
          <cell r="M184">
            <v>144149</v>
          </cell>
        </row>
        <row r="185">
          <cell r="A185" t="str">
            <v>Agro Sudamerica1022406</v>
          </cell>
          <cell r="B185" t="str">
            <v>1022406Agro Sudamerica</v>
          </cell>
          <cell r="C185" t="str">
            <v>Cerdo</v>
          </cell>
          <cell r="D185" t="str">
            <v>Subprod</v>
          </cell>
          <cell r="E185" t="str">
            <v>Subprod Patas-Manos</v>
          </cell>
          <cell r="F185" t="str">
            <v>Agro Sudamerica</v>
          </cell>
          <cell r="G185">
            <v>1022406</v>
          </cell>
          <cell r="H185" t="str">
            <v>GO Patas B@ Bo Cj 20 k AS</v>
          </cell>
          <cell r="I185"/>
          <cell r="J185"/>
          <cell r="K185"/>
          <cell r="L185"/>
          <cell r="M185"/>
        </row>
        <row r="186">
          <cell r="A186" t="str">
            <v>Agrosuper Shanghai1021735</v>
          </cell>
          <cell r="B186" t="str">
            <v>1021735Agrosuper Shanghai</v>
          </cell>
          <cell r="C186" t="str">
            <v>Cerdo</v>
          </cell>
          <cell r="D186" t="str">
            <v>Subprod</v>
          </cell>
          <cell r="E186" t="str">
            <v>Subprod Patas-Manos</v>
          </cell>
          <cell r="F186" t="str">
            <v>Agrosuper Shanghai</v>
          </cell>
          <cell r="G186">
            <v>1021735</v>
          </cell>
          <cell r="H186" t="str">
            <v>GO Patas@ Cj 20k AS</v>
          </cell>
          <cell r="I186">
            <v>240000</v>
          </cell>
          <cell r="J186">
            <v>96000</v>
          </cell>
          <cell r="K186">
            <v>96000</v>
          </cell>
          <cell r="L186"/>
          <cell r="M186">
            <v>186020</v>
          </cell>
        </row>
        <row r="187">
          <cell r="A187" t="str">
            <v>Agrosuper Shanghai1021738</v>
          </cell>
          <cell r="B187" t="str">
            <v>1021738Agrosuper Shanghai</v>
          </cell>
          <cell r="C187" t="str">
            <v>Cerdo</v>
          </cell>
          <cell r="D187" t="str">
            <v>Subprod</v>
          </cell>
          <cell r="E187" t="str">
            <v>Subprod Patas-Manos</v>
          </cell>
          <cell r="F187" t="str">
            <v>Agrosuper Shanghai</v>
          </cell>
          <cell r="G187">
            <v>1021738</v>
          </cell>
          <cell r="H187" t="str">
            <v>GO Patas B@ Cj 20k AS</v>
          </cell>
          <cell r="I187">
            <v>48000</v>
          </cell>
          <cell r="J187"/>
          <cell r="K187"/>
          <cell r="L187">
            <v>24000</v>
          </cell>
          <cell r="M187"/>
        </row>
        <row r="188">
          <cell r="A188" t="str">
            <v>Agrosuper Shanghai1022748</v>
          </cell>
          <cell r="B188" t="str">
            <v>1022748Agrosuper Shanghai</v>
          </cell>
          <cell r="C188" t="str">
            <v>Cerdo</v>
          </cell>
          <cell r="D188" t="str">
            <v>Subprod</v>
          </cell>
          <cell r="E188" t="str">
            <v>Subprod Patas-Manos</v>
          </cell>
          <cell r="F188" t="str">
            <v>Agrosuper Shanghai</v>
          </cell>
          <cell r="G188">
            <v>1022748</v>
          </cell>
          <cell r="H188" t="str">
            <v>GO Manos@ Cj 10k AS</v>
          </cell>
          <cell r="I188">
            <v>144000</v>
          </cell>
          <cell r="J188"/>
          <cell r="K188">
            <v>84000</v>
          </cell>
          <cell r="L188">
            <v>132000</v>
          </cell>
          <cell r="M188">
            <v>96000</v>
          </cell>
        </row>
        <row r="189">
          <cell r="A189" t="str">
            <v>Agrosuper Asia1023305</v>
          </cell>
          <cell r="B189" t="str">
            <v>1023305Agrosuper Asia</v>
          </cell>
          <cell r="C189" t="str">
            <v>Cerdo</v>
          </cell>
          <cell r="D189" t="str">
            <v>Subprod</v>
          </cell>
          <cell r="E189" t="str">
            <v>Subprod Proteína y O</v>
          </cell>
          <cell r="F189" t="str">
            <v>Agrosuper Asia</v>
          </cell>
          <cell r="G189">
            <v>1023305</v>
          </cell>
          <cell r="H189" t="str">
            <v>GO Mucosa # Isotanque AS</v>
          </cell>
          <cell r="I189"/>
          <cell r="J189"/>
          <cell r="K189"/>
          <cell r="L189"/>
          <cell r="M189"/>
        </row>
        <row r="190">
          <cell r="A190" t="str">
            <v>Agro Sudamerica1022409</v>
          </cell>
          <cell r="B190" t="str">
            <v>1022409Agro Sudamerica</v>
          </cell>
          <cell r="C190" t="str">
            <v>Cerdo</v>
          </cell>
          <cell r="D190" t="str">
            <v>Subprod</v>
          </cell>
          <cell r="E190" t="str">
            <v>Subprod Tripa</v>
          </cell>
          <cell r="F190" t="str">
            <v>Agro Sudamerica</v>
          </cell>
          <cell r="G190">
            <v>1022409</v>
          </cell>
          <cell r="H190" t="str">
            <v>GO Tripa s/Cal# Bidon AS</v>
          </cell>
          <cell r="I190">
            <v>23940</v>
          </cell>
          <cell r="J190">
            <v>13680</v>
          </cell>
          <cell r="K190">
            <v>23940</v>
          </cell>
          <cell r="L190">
            <v>13680</v>
          </cell>
          <cell r="M190"/>
        </row>
        <row r="191">
          <cell r="A191" t="str">
            <v>Agro Sudamerica1022418</v>
          </cell>
          <cell r="B191" t="str">
            <v>1022418Agro Sudamerica</v>
          </cell>
          <cell r="C191" t="str">
            <v>Cerdo</v>
          </cell>
          <cell r="D191" t="str">
            <v>Subprod</v>
          </cell>
          <cell r="E191" t="str">
            <v>Subprod Tripa</v>
          </cell>
          <cell r="F191" t="str">
            <v>Agro Sudamerica</v>
          </cell>
          <cell r="G191">
            <v>1022418</v>
          </cell>
          <cell r="H191" t="str">
            <v>GO Tripa s/Cal# Bidon AS</v>
          </cell>
          <cell r="I191"/>
          <cell r="J191"/>
          <cell r="K191"/>
          <cell r="L191"/>
          <cell r="M191"/>
        </row>
        <row r="192">
          <cell r="A192" t="str">
            <v>Agro Sudamerica1022780</v>
          </cell>
          <cell r="B192" t="str">
            <v>1022780Agro Sudamerica</v>
          </cell>
          <cell r="C192" t="str">
            <v>Cerdo</v>
          </cell>
          <cell r="D192" t="str">
            <v>Subprod</v>
          </cell>
          <cell r="E192" t="str">
            <v>Subprod Tripa</v>
          </cell>
          <cell r="F192" t="str">
            <v>Agro Sudamerica</v>
          </cell>
          <cell r="G192">
            <v>1022780</v>
          </cell>
          <cell r="H192" t="str">
            <v>GO Tripa Calib 30/32# Bo Bidon AS</v>
          </cell>
          <cell r="I192"/>
          <cell r="J192"/>
          <cell r="K192"/>
          <cell r="L192"/>
          <cell r="M192"/>
        </row>
        <row r="193">
          <cell r="A193" t="str">
            <v>Agro Sudamerica1022781</v>
          </cell>
          <cell r="B193" t="str">
            <v>1022781Agro Sudamerica</v>
          </cell>
          <cell r="C193" t="str">
            <v>Cerdo</v>
          </cell>
          <cell r="D193" t="str">
            <v>Subprod</v>
          </cell>
          <cell r="E193" t="str">
            <v>Subprod Tripa</v>
          </cell>
          <cell r="F193" t="str">
            <v>Agro Sudamerica</v>
          </cell>
          <cell r="G193">
            <v>1022781</v>
          </cell>
          <cell r="H193" t="str">
            <v>GO Tripa Calib 32/35# Bo Bidon AS</v>
          </cell>
          <cell r="I193">
            <v>7067</v>
          </cell>
          <cell r="J193">
            <v>3060</v>
          </cell>
          <cell r="K193">
            <v>10282</v>
          </cell>
          <cell r="L193">
            <v>1500</v>
          </cell>
          <cell r="M193">
            <v>6600</v>
          </cell>
        </row>
        <row r="194">
          <cell r="A194" t="str">
            <v>Agro Sudamerica1022782</v>
          </cell>
          <cell r="B194" t="str">
            <v>1022782Agro Sudamerica</v>
          </cell>
          <cell r="C194" t="str">
            <v>Cerdo</v>
          </cell>
          <cell r="D194" t="str">
            <v>Subprod</v>
          </cell>
          <cell r="E194" t="str">
            <v>Subprod Tripa</v>
          </cell>
          <cell r="F194" t="str">
            <v>Agro Sudamerica</v>
          </cell>
          <cell r="G194">
            <v>1022782</v>
          </cell>
          <cell r="H194" t="str">
            <v>GO Tripa Calib 35/38# Bo Bidon AS</v>
          </cell>
          <cell r="I194">
            <v>18796</v>
          </cell>
          <cell r="J194">
            <v>3600</v>
          </cell>
          <cell r="K194"/>
          <cell r="L194"/>
          <cell r="M194">
            <v>3600</v>
          </cell>
        </row>
        <row r="195">
          <cell r="A195" t="str">
            <v>Agro Sudamerica1022783</v>
          </cell>
          <cell r="B195" t="str">
            <v>1022783Agro Sudamerica</v>
          </cell>
          <cell r="C195" t="str">
            <v>Cerdo</v>
          </cell>
          <cell r="D195" t="str">
            <v>Subprod</v>
          </cell>
          <cell r="E195" t="str">
            <v>Subprod Tripa</v>
          </cell>
          <cell r="F195" t="str">
            <v>Agro Sudamerica</v>
          </cell>
          <cell r="G195">
            <v>1022783</v>
          </cell>
          <cell r="H195" t="str">
            <v>GO Tripa Calib 38/40# Bo Bidon AS</v>
          </cell>
          <cell r="I195"/>
          <cell r="J195">
            <v>15600</v>
          </cell>
          <cell r="K195"/>
          <cell r="L195"/>
          <cell r="M195"/>
        </row>
        <row r="196">
          <cell r="A196" t="str">
            <v>Agro Sudamerica1022786</v>
          </cell>
          <cell r="B196" t="str">
            <v>1022786Agro Sudamerica</v>
          </cell>
          <cell r="C196" t="str">
            <v>Cerdo</v>
          </cell>
          <cell r="D196" t="str">
            <v>Subprod</v>
          </cell>
          <cell r="E196" t="str">
            <v>Subprod Tripa</v>
          </cell>
          <cell r="F196" t="str">
            <v>Agro Sudamerica</v>
          </cell>
          <cell r="G196">
            <v>1022786</v>
          </cell>
          <cell r="H196" t="str">
            <v>GO Trip Calib Tub 35/39 Azul# Bidon AS</v>
          </cell>
          <cell r="I196"/>
          <cell r="J196">
            <v>300</v>
          </cell>
          <cell r="K196"/>
          <cell r="L196">
            <v>1500</v>
          </cell>
          <cell r="M196">
            <v>1500</v>
          </cell>
        </row>
        <row r="197">
          <cell r="A197" t="str">
            <v>Agro Sudamerica1023270</v>
          </cell>
          <cell r="B197" t="str">
            <v>1023270Agro Sudamerica</v>
          </cell>
          <cell r="C197" t="str">
            <v>Cerdo</v>
          </cell>
          <cell r="D197" t="str">
            <v>Subprod</v>
          </cell>
          <cell r="E197" t="str">
            <v>Subprod Tripa</v>
          </cell>
          <cell r="F197" t="str">
            <v>Agro Sudamerica</v>
          </cell>
          <cell r="G197">
            <v>1023270</v>
          </cell>
          <cell r="H197" t="str">
            <v>GO Trip Calib Tub -/35 Rojo# Cj AS</v>
          </cell>
          <cell r="I197"/>
          <cell r="J197">
            <v>2700</v>
          </cell>
          <cell r="K197"/>
          <cell r="L197"/>
          <cell r="M197"/>
        </row>
        <row r="198">
          <cell r="A198" t="str">
            <v>Agro Sudamerica1023295</v>
          </cell>
          <cell r="B198" t="str">
            <v>1023295Agro Sudamerica</v>
          </cell>
          <cell r="C198" t="str">
            <v>Cerdo</v>
          </cell>
          <cell r="D198" t="str">
            <v>Subprod</v>
          </cell>
          <cell r="E198" t="str">
            <v>Subprod Tripa</v>
          </cell>
          <cell r="F198" t="str">
            <v>Agro Sudamerica</v>
          </cell>
          <cell r="G198">
            <v>1023295</v>
          </cell>
          <cell r="H198" t="str">
            <v>GO Trip Calib Tub 37/40 Azul# Cj AS</v>
          </cell>
          <cell r="I198"/>
          <cell r="J198">
            <v>2700</v>
          </cell>
          <cell r="K198"/>
          <cell r="L198"/>
          <cell r="M198"/>
        </row>
        <row r="199">
          <cell r="A199" t="str">
            <v>Exportacion Directa1020810</v>
          </cell>
          <cell r="B199" t="str">
            <v>1020810Exportacion Directa</v>
          </cell>
          <cell r="C199" t="str">
            <v>Cerdo</v>
          </cell>
          <cell r="D199" t="str">
            <v>Subprod</v>
          </cell>
          <cell r="E199" t="str">
            <v>Subprod Tripa</v>
          </cell>
          <cell r="F199" t="str">
            <v>Exportacion Directa</v>
          </cell>
          <cell r="G199">
            <v>1020810</v>
          </cell>
          <cell r="H199" t="str">
            <v>GO Recto@ Cj File AP</v>
          </cell>
          <cell r="I199">
            <v>5000</v>
          </cell>
          <cell r="J199">
            <v>6000</v>
          </cell>
          <cell r="K199">
            <v>2500</v>
          </cell>
          <cell r="L199"/>
          <cell r="M199">
            <v>6000</v>
          </cell>
        </row>
        <row r="200">
          <cell r="A200" t="str">
            <v>Agro Sudamerica1021101</v>
          </cell>
          <cell r="B200" t="str">
            <v>1021101Agro Sudamerica</v>
          </cell>
          <cell r="C200" t="str">
            <v>Cerdo</v>
          </cell>
          <cell r="D200" t="str">
            <v>Subprod</v>
          </cell>
          <cell r="E200" t="str">
            <v>Subprod Visceras</v>
          </cell>
          <cell r="F200" t="str">
            <v>Agro Sudamerica</v>
          </cell>
          <cell r="G200">
            <v>1021101</v>
          </cell>
          <cell r="H200" t="str">
            <v>GO Corazón Partido@ Cj t-f 20k AS</v>
          </cell>
          <cell r="I200">
            <v>12000</v>
          </cell>
          <cell r="J200">
            <v>48000</v>
          </cell>
          <cell r="K200">
            <v>24000</v>
          </cell>
          <cell r="L200">
            <v>24000</v>
          </cell>
          <cell r="M200">
            <v>28000</v>
          </cell>
        </row>
        <row r="201">
          <cell r="A201" t="str">
            <v>Agro Sudamerica1021105</v>
          </cell>
          <cell r="B201" t="str">
            <v>1021105Agro Sudamerica</v>
          </cell>
          <cell r="C201" t="str">
            <v>Cerdo</v>
          </cell>
          <cell r="D201" t="str">
            <v>Subprod</v>
          </cell>
          <cell r="E201" t="str">
            <v>Subprod Visceras</v>
          </cell>
          <cell r="F201" t="str">
            <v>Agro Sudamerica</v>
          </cell>
          <cell r="G201">
            <v>1021105</v>
          </cell>
          <cell r="H201" t="str">
            <v>GO Pulmon@ Cj 20k bca AS</v>
          </cell>
          <cell r="I201">
            <v>24000</v>
          </cell>
          <cell r="J201">
            <v>24000</v>
          </cell>
          <cell r="K201">
            <v>24000</v>
          </cell>
          <cell r="L201">
            <v>24000</v>
          </cell>
          <cell r="M201"/>
        </row>
        <row r="202">
          <cell r="A202" t="str">
            <v>Agro Sudamerica1021106</v>
          </cell>
          <cell r="B202" t="str">
            <v>1021106Agro Sudamerica</v>
          </cell>
          <cell r="C202" t="str">
            <v>Cerdo</v>
          </cell>
          <cell r="D202" t="str">
            <v>Subprod</v>
          </cell>
          <cell r="E202" t="str">
            <v>Subprod Visceras</v>
          </cell>
          <cell r="F202" t="str">
            <v>Agro Sudamerica</v>
          </cell>
          <cell r="G202">
            <v>1021106</v>
          </cell>
          <cell r="H202" t="str">
            <v>GO Pana S/Corazón@ Cj 20k AS</v>
          </cell>
          <cell r="I202">
            <v>96000</v>
          </cell>
          <cell r="J202">
            <v>144000</v>
          </cell>
          <cell r="K202">
            <v>96000</v>
          </cell>
          <cell r="L202">
            <v>120000</v>
          </cell>
          <cell r="M202">
            <v>48000</v>
          </cell>
        </row>
        <row r="203">
          <cell r="A203" t="str">
            <v>Agro Sudamerica1021903</v>
          </cell>
          <cell r="B203" t="str">
            <v>1021903Agro Sudamerica</v>
          </cell>
          <cell r="C203" t="str">
            <v>Cerdo</v>
          </cell>
          <cell r="D203" t="str">
            <v>Subprod</v>
          </cell>
          <cell r="E203" t="str">
            <v>Subprod Visceras</v>
          </cell>
          <cell r="F203" t="str">
            <v>Agro Sudamerica</v>
          </cell>
          <cell r="G203">
            <v>1021903</v>
          </cell>
          <cell r="H203" t="str">
            <v>GO Corazón Partido@ Cj 10k AS</v>
          </cell>
          <cell r="I203"/>
          <cell r="J203"/>
          <cell r="K203"/>
          <cell r="L203"/>
          <cell r="M203">
            <v>24000</v>
          </cell>
        </row>
        <row r="204">
          <cell r="A204" t="str">
            <v>Agro Sudamerica1023355</v>
          </cell>
          <cell r="B204" t="str">
            <v>1023355Agro Sudamerica</v>
          </cell>
          <cell r="C204" t="str">
            <v>Cerdo</v>
          </cell>
          <cell r="D204" t="str">
            <v>Subprod</v>
          </cell>
          <cell r="E204" t="str">
            <v>Subprod Visceras</v>
          </cell>
          <cell r="F204" t="str">
            <v>Agro Sudamerica</v>
          </cell>
          <cell r="G204">
            <v>1023355</v>
          </cell>
          <cell r="H204" t="str">
            <v>GO Pulmon@ Cj 20k AS</v>
          </cell>
          <cell r="I204"/>
          <cell r="J204"/>
          <cell r="K204"/>
          <cell r="L204"/>
          <cell r="M204">
            <v>24000</v>
          </cell>
        </row>
        <row r="205">
          <cell r="A205" t="str">
            <v>Agrosuper Asia1021655</v>
          </cell>
          <cell r="B205" t="str">
            <v>1021655Agrosuper Asia</v>
          </cell>
          <cell r="C205" t="str">
            <v>Cerdo</v>
          </cell>
          <cell r="D205" t="str">
            <v>Subprod</v>
          </cell>
          <cell r="E205" t="str">
            <v>Subprod Visceras</v>
          </cell>
          <cell r="F205" t="str">
            <v>Agrosuper Asia</v>
          </cell>
          <cell r="G205">
            <v>1021655</v>
          </cell>
          <cell r="H205" t="str">
            <v>GO Estómago Pouch@ Bo Cj 10k AS</v>
          </cell>
          <cell r="I205"/>
          <cell r="J205"/>
          <cell r="K205"/>
          <cell r="L205"/>
          <cell r="M205">
            <v>48000</v>
          </cell>
        </row>
        <row r="206">
          <cell r="A206" t="str">
            <v>Agrosuper Asia1023307</v>
          </cell>
          <cell r="B206" t="str">
            <v>1023307Agrosuper Asia</v>
          </cell>
          <cell r="C206" t="str">
            <v>Cerdo</v>
          </cell>
          <cell r="D206" t="str">
            <v>Subprod</v>
          </cell>
          <cell r="E206" t="str">
            <v>Subprod Visceras</v>
          </cell>
          <cell r="F206" t="str">
            <v>Agrosuper Asia</v>
          </cell>
          <cell r="G206">
            <v>1023307</v>
          </cell>
          <cell r="H206" t="str">
            <v>GO Pulmon@ Cj 20k AS</v>
          </cell>
          <cell r="I206">
            <v>22000</v>
          </cell>
          <cell r="J206">
            <v>24000</v>
          </cell>
          <cell r="K206">
            <v>22000</v>
          </cell>
          <cell r="L206">
            <v>48000</v>
          </cell>
          <cell r="M206">
            <v>24000</v>
          </cell>
        </row>
        <row r="207">
          <cell r="A207" t="str">
            <v>Agrosuper Asia1023326</v>
          </cell>
          <cell r="B207" t="str">
            <v>1023326Agrosuper Asia</v>
          </cell>
          <cell r="C207" t="str">
            <v>Cerdo</v>
          </cell>
          <cell r="D207" t="str">
            <v>Subprod</v>
          </cell>
          <cell r="E207" t="str">
            <v>Subprod Visceras</v>
          </cell>
          <cell r="F207" t="str">
            <v>Agrosuper Asia</v>
          </cell>
          <cell r="G207">
            <v>1023326</v>
          </cell>
          <cell r="H207" t="str">
            <v>GO Corazón Partido@ Cj 10k AS</v>
          </cell>
          <cell r="I207"/>
          <cell r="J207"/>
          <cell r="K207">
            <v>44000</v>
          </cell>
          <cell r="L207">
            <v>48000</v>
          </cell>
          <cell r="M207">
            <v>48003</v>
          </cell>
        </row>
        <row r="208">
          <cell r="A208" t="str">
            <v>Agrosuper Shanghai1021115</v>
          </cell>
          <cell r="B208" t="str">
            <v>1021115Agrosuper Shanghai</v>
          </cell>
          <cell r="C208" t="str">
            <v>Cerdo</v>
          </cell>
          <cell r="D208" t="str">
            <v>Subprod</v>
          </cell>
          <cell r="E208" t="str">
            <v>Subprod Visceras</v>
          </cell>
          <cell r="F208" t="str">
            <v>Agrosuper Shanghai</v>
          </cell>
          <cell r="G208">
            <v>1021115</v>
          </cell>
          <cell r="H208" t="str">
            <v>GO Estómago Pouch@ 20k bca AS</v>
          </cell>
          <cell r="I208">
            <v>72000</v>
          </cell>
          <cell r="J208">
            <v>48000</v>
          </cell>
          <cell r="K208">
            <v>24000</v>
          </cell>
          <cell r="L208">
            <v>48000</v>
          </cell>
          <cell r="M208">
            <v>48000</v>
          </cell>
        </row>
        <row r="209">
          <cell r="A209" t="str">
            <v>Exportacion Directa1021136</v>
          </cell>
          <cell r="B209" t="str">
            <v>1021136Exportacion Directa</v>
          </cell>
          <cell r="C209" t="str">
            <v>Cerdo</v>
          </cell>
          <cell r="D209" t="str">
            <v>Subprod</v>
          </cell>
          <cell r="E209" t="str">
            <v>Subprod Visceras</v>
          </cell>
          <cell r="F209" t="str">
            <v>Exportacion Directa</v>
          </cell>
          <cell r="G209">
            <v>1021136</v>
          </cell>
          <cell r="H209" t="str">
            <v>GO Tráquea@ Cj Lom Ctro AP</v>
          </cell>
          <cell r="I209">
            <v>5000</v>
          </cell>
          <cell r="J209">
            <v>3000</v>
          </cell>
          <cell r="K209">
            <v>4000</v>
          </cell>
          <cell r="L209">
            <v>5000</v>
          </cell>
          <cell r="M209">
            <v>7200</v>
          </cell>
        </row>
        <row r="210">
          <cell r="A210" t="str">
            <v>Africa1030332</v>
          </cell>
          <cell r="B210" t="str">
            <v>1030332Africa</v>
          </cell>
          <cell r="C210" t="str">
            <v>Pavo</v>
          </cell>
          <cell r="D210" t="str">
            <v>Ala</v>
          </cell>
          <cell r="E210" t="str">
            <v>Ala Trutro</v>
          </cell>
          <cell r="F210" t="str">
            <v>Africa</v>
          </cell>
          <cell r="G210">
            <v>1030332</v>
          </cell>
          <cell r="H210" t="str">
            <v>PV Tru Ala@ Ex Bo Cj AS</v>
          </cell>
          <cell r="I210"/>
          <cell r="J210">
            <v>24000</v>
          </cell>
          <cell r="K210">
            <v>24000</v>
          </cell>
          <cell r="L210">
            <v>24000</v>
          </cell>
          <cell r="M210">
            <v>72000</v>
          </cell>
        </row>
        <row r="211">
          <cell r="A211" t="str">
            <v>Agro Sudamerica1030332</v>
          </cell>
          <cell r="B211" t="str">
            <v>1030332Agro Sudamerica</v>
          </cell>
          <cell r="C211" t="str">
            <v>Pavo</v>
          </cell>
          <cell r="D211" t="str">
            <v>Ala</v>
          </cell>
          <cell r="E211" t="str">
            <v>Ala Trutro</v>
          </cell>
          <cell r="F211" t="str">
            <v>Agro Sudamerica</v>
          </cell>
          <cell r="G211">
            <v>1030332</v>
          </cell>
          <cell r="H211" t="str">
            <v>PV Tru Ala@ Ex Bo Cj AS</v>
          </cell>
          <cell r="I211">
            <v>48000</v>
          </cell>
          <cell r="J211">
            <v>168000</v>
          </cell>
          <cell r="K211">
            <v>72000</v>
          </cell>
          <cell r="L211">
            <v>48000</v>
          </cell>
          <cell r="M211">
            <v>48000</v>
          </cell>
        </row>
        <row r="212">
          <cell r="A212" t="str">
            <v>Agro Sudamerica1030739</v>
          </cell>
          <cell r="B212" t="str">
            <v>1030739Agro Sudamerica</v>
          </cell>
          <cell r="C212" t="str">
            <v>Pavo</v>
          </cell>
          <cell r="D212" t="str">
            <v>Ala</v>
          </cell>
          <cell r="E212" t="str">
            <v>Ala Trutro</v>
          </cell>
          <cell r="F212" t="str">
            <v>Agro Sudamerica</v>
          </cell>
          <cell r="G212">
            <v>1030739</v>
          </cell>
          <cell r="H212" t="str">
            <v>PV MA Tru Ala@ Bo Cj 15k AS</v>
          </cell>
          <cell r="I212"/>
          <cell r="J212"/>
          <cell r="K212"/>
          <cell r="L212"/>
          <cell r="M212"/>
        </row>
        <row r="213">
          <cell r="A213" t="str">
            <v>Africa1030635</v>
          </cell>
          <cell r="B213" t="str">
            <v>1030635Africa</v>
          </cell>
          <cell r="C213" t="str">
            <v>Pavo</v>
          </cell>
          <cell r="D213" t="str">
            <v>Menudencias</v>
          </cell>
          <cell r="E213" t="str">
            <v>Menudencias Cogote</v>
          </cell>
          <cell r="F213" t="str">
            <v>Africa</v>
          </cell>
          <cell r="G213">
            <v>1030635</v>
          </cell>
          <cell r="H213" t="str">
            <v>PV Cog MA@ Bo Cj 10k AS</v>
          </cell>
          <cell r="I213"/>
          <cell r="J213"/>
          <cell r="K213"/>
          <cell r="L213"/>
          <cell r="M213"/>
        </row>
        <row r="214">
          <cell r="A214" t="str">
            <v>Agrosuper Asia1030309</v>
          </cell>
          <cell r="B214" t="str">
            <v>1030309Agrosuper Asia</v>
          </cell>
          <cell r="C214" t="str">
            <v>Pavo</v>
          </cell>
          <cell r="D214" t="str">
            <v>Menudencias</v>
          </cell>
          <cell r="E214" t="str">
            <v>Menudencias Cogote</v>
          </cell>
          <cell r="F214" t="str">
            <v>Agrosuper Asia</v>
          </cell>
          <cell r="G214">
            <v>1030309</v>
          </cell>
          <cell r="H214" t="str">
            <v>PV Cog MA 15 kg@ Bo Cj 15k SO</v>
          </cell>
          <cell r="I214">
            <v>16000</v>
          </cell>
          <cell r="J214"/>
          <cell r="K214">
            <v>22000</v>
          </cell>
          <cell r="L214"/>
          <cell r="M214"/>
        </row>
        <row r="215">
          <cell r="A215" t="str">
            <v>Agro Sudamerica1030498</v>
          </cell>
          <cell r="B215" t="str">
            <v>1030498Agro Sudamerica</v>
          </cell>
          <cell r="C215" t="str">
            <v>Pavo</v>
          </cell>
          <cell r="D215" t="str">
            <v>Menudencias</v>
          </cell>
          <cell r="E215" t="str">
            <v>Menudencias Contre</v>
          </cell>
          <cell r="F215" t="str">
            <v>Agro Sudamerica</v>
          </cell>
          <cell r="G215">
            <v>1030498</v>
          </cell>
          <cell r="H215" t="str">
            <v>PV Contre@ Bo Cj 10k AS</v>
          </cell>
          <cell r="I215"/>
          <cell r="J215"/>
          <cell r="K215"/>
          <cell r="L215"/>
          <cell r="M215"/>
        </row>
        <row r="216">
          <cell r="A216" t="str">
            <v>Africa1030378</v>
          </cell>
          <cell r="B216" t="str">
            <v>1030378Africa</v>
          </cell>
          <cell r="C216" t="str">
            <v>Pavo</v>
          </cell>
          <cell r="D216" t="str">
            <v>Menudencias</v>
          </cell>
          <cell r="E216" t="str">
            <v>Menudencias Corazón</v>
          </cell>
          <cell r="F216" t="str">
            <v>Africa</v>
          </cell>
          <cell r="G216">
            <v>1030378</v>
          </cell>
          <cell r="H216" t="str">
            <v>PV Corazón@ Blo 10k Cj AS</v>
          </cell>
          <cell r="I216">
            <v>6000</v>
          </cell>
          <cell r="J216"/>
          <cell r="K216"/>
          <cell r="L216"/>
          <cell r="M216"/>
        </row>
        <row r="217">
          <cell r="A217" t="str">
            <v>Africa1030388</v>
          </cell>
          <cell r="B217" t="str">
            <v>1030388Africa</v>
          </cell>
          <cell r="C217" t="str">
            <v>Pavo</v>
          </cell>
          <cell r="D217" t="str">
            <v>Patas</v>
          </cell>
          <cell r="E217" t="str">
            <v>Patas Garras</v>
          </cell>
          <cell r="F217" t="str">
            <v>Africa</v>
          </cell>
          <cell r="G217">
            <v>1030388</v>
          </cell>
          <cell r="H217" t="str">
            <v>PV Garra B MA@ Bo Cj 15k SO</v>
          </cell>
          <cell r="I217">
            <v>6000</v>
          </cell>
          <cell r="J217"/>
          <cell r="K217"/>
          <cell r="L217"/>
          <cell r="M217"/>
        </row>
        <row r="218">
          <cell r="A218" t="str">
            <v>Agro Sudamerica1030780</v>
          </cell>
          <cell r="B218" t="str">
            <v>1030780Agro Sudamerica</v>
          </cell>
          <cell r="C218" t="str">
            <v>Pavo</v>
          </cell>
          <cell r="D218" t="str">
            <v>Pech</v>
          </cell>
          <cell r="E218" t="str">
            <v>Pech Entera</v>
          </cell>
          <cell r="F218" t="str">
            <v>Agro Sudamerica</v>
          </cell>
          <cell r="G218">
            <v>1030780</v>
          </cell>
          <cell r="H218" t="str">
            <v>PV Pch Ent c/p s/m@ Bo Cj 20k AS</v>
          </cell>
          <cell r="I218"/>
          <cell r="J218"/>
          <cell r="K218"/>
          <cell r="L218"/>
          <cell r="M218"/>
        </row>
        <row r="219">
          <cell r="A219" t="str">
            <v>Agro Sudamerica1030732</v>
          </cell>
          <cell r="B219" t="str">
            <v>1030732Agro Sudamerica</v>
          </cell>
          <cell r="C219" t="str">
            <v>Pavo</v>
          </cell>
          <cell r="D219" t="str">
            <v>Pech Desh</v>
          </cell>
          <cell r="E219" t="str">
            <v>Pech Desh c/Piel</v>
          </cell>
          <cell r="F219" t="str">
            <v>Agro Sudamerica</v>
          </cell>
          <cell r="G219">
            <v>1030732</v>
          </cell>
          <cell r="H219" t="str">
            <v>PV PchDeh Mrps C/piel@ Cj 18k AS</v>
          </cell>
          <cell r="I219"/>
          <cell r="J219"/>
          <cell r="K219"/>
          <cell r="L219"/>
          <cell r="M219"/>
        </row>
        <row r="220">
          <cell r="A220" t="str">
            <v>Agro Sudamerica1030670</v>
          </cell>
          <cell r="B220" t="str">
            <v>1030670Agro Sudamerica</v>
          </cell>
          <cell r="C220" t="str">
            <v>Pavo</v>
          </cell>
          <cell r="D220" t="str">
            <v>Pech Desh</v>
          </cell>
          <cell r="E220" t="str">
            <v>Pech Desh s/Piel</v>
          </cell>
          <cell r="F220" t="str">
            <v>Agro Sudamerica</v>
          </cell>
          <cell r="G220">
            <v>1030670</v>
          </cell>
          <cell r="H220" t="str">
            <v>PV PchDeh S/p c/f MA@ Cj 15k AS</v>
          </cell>
          <cell r="I220">
            <v>24000</v>
          </cell>
          <cell r="J220">
            <v>96000</v>
          </cell>
          <cell r="K220">
            <v>48000</v>
          </cell>
          <cell r="L220">
            <v>72000</v>
          </cell>
          <cell r="M220">
            <v>72000</v>
          </cell>
        </row>
        <row r="221">
          <cell r="A221" t="str">
            <v>Agrosuper Asia1030542</v>
          </cell>
          <cell r="B221" t="str">
            <v>1030542Agrosuper Asia</v>
          </cell>
          <cell r="C221" t="str">
            <v>Pavo</v>
          </cell>
          <cell r="D221" t="str">
            <v>Pech Desh</v>
          </cell>
          <cell r="E221" t="str">
            <v>Pech Desh s/Piel</v>
          </cell>
          <cell r="F221" t="str">
            <v>Agrosuper Asia</v>
          </cell>
          <cell r="G221">
            <v>1030542</v>
          </cell>
          <cell r="H221" t="str">
            <v>PV PchDeh S/p S/f@ Bo Cj 15k SO</v>
          </cell>
          <cell r="I221"/>
          <cell r="J221"/>
          <cell r="K221"/>
          <cell r="L221"/>
          <cell r="M221"/>
        </row>
        <row r="222">
          <cell r="A222" t="str">
            <v>Agro Sudamerica1030720</v>
          </cell>
          <cell r="B222" t="str">
            <v>1030720Agro Sudamerica</v>
          </cell>
          <cell r="C222" t="str">
            <v>Pavo</v>
          </cell>
          <cell r="D222" t="str">
            <v>Recortes</v>
          </cell>
          <cell r="E222" t="str">
            <v>Recortes Piel</v>
          </cell>
          <cell r="F222" t="str">
            <v>Agro Sudamerica</v>
          </cell>
          <cell r="G222">
            <v>1030720</v>
          </cell>
          <cell r="H222" t="str">
            <v>PV Piel Tru@ Bo Cj AS</v>
          </cell>
          <cell r="I222"/>
          <cell r="J222">
            <v>24000</v>
          </cell>
          <cell r="K222">
            <v>24000</v>
          </cell>
          <cell r="L222">
            <v>28001</v>
          </cell>
          <cell r="M222">
            <v>48000</v>
          </cell>
        </row>
        <row r="223">
          <cell r="A223" t="str">
            <v>Africa1030224</v>
          </cell>
          <cell r="B223" t="str">
            <v>1030224Africa</v>
          </cell>
          <cell r="C223" t="str">
            <v>Pavo</v>
          </cell>
          <cell r="D223" t="str">
            <v>Trutro</v>
          </cell>
          <cell r="E223" t="str">
            <v>Trutro Largo</v>
          </cell>
          <cell r="F223" t="str">
            <v>Africa</v>
          </cell>
          <cell r="G223">
            <v>1030224</v>
          </cell>
          <cell r="H223" t="str">
            <v>PV Tru Larg@ Bo Cj 15k AS</v>
          </cell>
          <cell r="I223">
            <v>12000</v>
          </cell>
          <cell r="J223"/>
          <cell r="K223">
            <v>48000</v>
          </cell>
          <cell r="L223">
            <v>52000</v>
          </cell>
          <cell r="M223">
            <v>96000</v>
          </cell>
        </row>
        <row r="224">
          <cell r="A224" t="str">
            <v>Agro Sudamerica1030224</v>
          </cell>
          <cell r="B224" t="str">
            <v>1030224Agro Sudamerica</v>
          </cell>
          <cell r="C224" t="str">
            <v>Pavo</v>
          </cell>
          <cell r="D224" t="str">
            <v>Trutro</v>
          </cell>
          <cell r="E224" t="str">
            <v>Trutro Largo</v>
          </cell>
          <cell r="F224" t="str">
            <v>Agro Sudamerica</v>
          </cell>
          <cell r="G224">
            <v>1030224</v>
          </cell>
          <cell r="H224" t="str">
            <v>PV Tru Larg@ Bo Cj 15k AS</v>
          </cell>
          <cell r="I224">
            <v>48000</v>
          </cell>
          <cell r="J224">
            <v>72000</v>
          </cell>
          <cell r="K224">
            <v>48000</v>
          </cell>
          <cell r="L224">
            <v>48000</v>
          </cell>
          <cell r="M224">
            <v>48000</v>
          </cell>
        </row>
        <row r="225">
          <cell r="A225" t="str">
            <v>Agrosuper Asia1030535</v>
          </cell>
          <cell r="B225" t="str">
            <v>1030535Agrosuper Asia</v>
          </cell>
          <cell r="C225" t="str">
            <v>Pavo</v>
          </cell>
          <cell r="D225" t="str">
            <v>Trutro</v>
          </cell>
          <cell r="E225" t="str">
            <v>Trutro Largo</v>
          </cell>
          <cell r="F225" t="str">
            <v>Agrosuper Asia</v>
          </cell>
          <cell r="G225">
            <v>1030535</v>
          </cell>
          <cell r="H225" t="str">
            <v>PV Tru Larg MA@ Bo Cj SO</v>
          </cell>
          <cell r="I225">
            <v>6000</v>
          </cell>
          <cell r="J225"/>
          <cell r="K225">
            <v>28000</v>
          </cell>
          <cell r="L225">
            <v>44000</v>
          </cell>
          <cell r="M225">
            <v>43998</v>
          </cell>
        </row>
        <row r="226">
          <cell r="A226" t="str">
            <v>Africa1030545</v>
          </cell>
          <cell r="B226" t="str">
            <v>1030545Africa</v>
          </cell>
          <cell r="C226" t="str">
            <v>Pavo</v>
          </cell>
          <cell r="D226" t="str">
            <v>Trutro Desh</v>
          </cell>
          <cell r="E226" t="str">
            <v>Trutro Desh Corto</v>
          </cell>
          <cell r="F226" t="str">
            <v>Africa</v>
          </cell>
          <cell r="G226">
            <v>1030545</v>
          </cell>
          <cell r="H226" t="str">
            <v>PV TruDeh Cort S/h S/p@ Bo Cj AS</v>
          </cell>
          <cell r="I226"/>
          <cell r="J226"/>
          <cell r="K226"/>
          <cell r="L226">
            <v>20000</v>
          </cell>
          <cell r="M226"/>
        </row>
        <row r="227">
          <cell r="A227" t="str">
            <v>Agro Sudamerica1030545</v>
          </cell>
          <cell r="B227" t="str">
            <v>1030545Agro Sudamerica</v>
          </cell>
          <cell r="C227" t="str">
            <v>Pavo</v>
          </cell>
          <cell r="D227" t="str">
            <v>Trutro Desh</v>
          </cell>
          <cell r="E227" t="str">
            <v>Trutro Desh Corto</v>
          </cell>
          <cell r="F227" t="str">
            <v>Agro Sudamerica</v>
          </cell>
          <cell r="G227">
            <v>1030545</v>
          </cell>
          <cell r="H227" t="str">
            <v>PV TruDeh Cort S/h S/p@ Bo Cj AS</v>
          </cell>
          <cell r="I227">
            <v>24000</v>
          </cell>
          <cell r="J227">
            <v>48000</v>
          </cell>
          <cell r="K227">
            <v>44000</v>
          </cell>
          <cell r="L227">
            <v>24000</v>
          </cell>
          <cell r="M227">
            <v>72000</v>
          </cell>
        </row>
        <row r="228">
          <cell r="A228" t="str">
            <v>Africa1030355</v>
          </cell>
          <cell r="B228" t="str">
            <v>1030355Africa</v>
          </cell>
          <cell r="C228" t="str">
            <v>Pavo</v>
          </cell>
          <cell r="D228" t="str">
            <v>Varios</v>
          </cell>
          <cell r="E228" t="str">
            <v>Varios Carcasa</v>
          </cell>
          <cell r="F228" t="str">
            <v>Africa</v>
          </cell>
          <cell r="G228">
            <v>1030355</v>
          </cell>
          <cell r="H228" t="str">
            <v>PV Rabadilla@ Bo Cj 10K AS</v>
          </cell>
          <cell r="I228">
            <v>72000</v>
          </cell>
          <cell r="J228">
            <v>72000</v>
          </cell>
          <cell r="K228">
            <v>72000</v>
          </cell>
          <cell r="L228">
            <v>72000</v>
          </cell>
          <cell r="M228"/>
        </row>
        <row r="229">
          <cell r="A229" t="str">
            <v>Agro Sudamerica1012602</v>
          </cell>
          <cell r="B229" t="str">
            <v>1012602Agro Sudamerica</v>
          </cell>
          <cell r="C229" t="str">
            <v>Pollo</v>
          </cell>
          <cell r="D229" t="str">
            <v>Ala</v>
          </cell>
          <cell r="E229" t="str">
            <v>Ala Centro</v>
          </cell>
          <cell r="F229" t="str">
            <v>Agro Sudamerica</v>
          </cell>
          <cell r="G229">
            <v>1012602</v>
          </cell>
          <cell r="H229" t="str">
            <v>PO Ala Ctro NMr IQF@ Cj 20k AS</v>
          </cell>
          <cell r="I229"/>
          <cell r="J229"/>
          <cell r="K229"/>
          <cell r="L229"/>
          <cell r="M229"/>
        </row>
        <row r="230">
          <cell r="A230" t="str">
            <v>Agrosuper Asia1012012</v>
          </cell>
          <cell r="B230" t="str">
            <v>1012012Agrosuper Asia</v>
          </cell>
          <cell r="C230" t="str">
            <v>Pollo</v>
          </cell>
          <cell r="D230" t="str">
            <v>Ala</v>
          </cell>
          <cell r="E230" t="str">
            <v>Ala Centro</v>
          </cell>
          <cell r="F230" t="str">
            <v>Agrosuper Asia</v>
          </cell>
          <cell r="G230">
            <v>1012012</v>
          </cell>
          <cell r="H230" t="str">
            <v>PO Ala Ctro Mr@ Fi Cj 18k AS</v>
          </cell>
          <cell r="I230">
            <v>108000</v>
          </cell>
          <cell r="J230">
            <v>88000</v>
          </cell>
          <cell r="K230"/>
          <cell r="L230"/>
          <cell r="M230"/>
        </row>
        <row r="231">
          <cell r="A231" t="str">
            <v>Agrosuper Shanghai1011586</v>
          </cell>
          <cell r="B231" t="str">
            <v>1011586Agrosuper Shanghai</v>
          </cell>
          <cell r="C231" t="str">
            <v>Pollo</v>
          </cell>
          <cell r="D231" t="str">
            <v>Ala</v>
          </cell>
          <cell r="E231" t="str">
            <v>Ala Centro</v>
          </cell>
          <cell r="F231" t="str">
            <v>Agrosuper Shanghai</v>
          </cell>
          <cell r="G231">
            <v>1011586</v>
          </cell>
          <cell r="H231" t="str">
            <v>PO Ala Media B 4x10@ Cj 20k AS</v>
          </cell>
          <cell r="I231">
            <v>96000</v>
          </cell>
          <cell r="J231">
            <v>72000</v>
          </cell>
          <cell r="K231">
            <v>48000</v>
          </cell>
          <cell r="L231">
            <v>48000</v>
          </cell>
          <cell r="M231">
            <v>48000</v>
          </cell>
        </row>
        <row r="232">
          <cell r="A232" t="str">
            <v>Agrosuper Shanghai1012452</v>
          </cell>
          <cell r="B232" t="str">
            <v>1012452Agrosuper Shanghai</v>
          </cell>
          <cell r="C232" t="str">
            <v>Pollo</v>
          </cell>
          <cell r="D232" t="str">
            <v>Ala</v>
          </cell>
          <cell r="E232" t="str">
            <v>Ala Centro</v>
          </cell>
          <cell r="F232" t="str">
            <v>Agrosuper Shanghai</v>
          </cell>
          <cell r="G232">
            <v>1012452</v>
          </cell>
          <cell r="H232" t="str">
            <v>PO Ala Media Grado B@ Cj AS</v>
          </cell>
          <cell r="I232">
            <v>24000</v>
          </cell>
          <cell r="J232">
            <v>72000</v>
          </cell>
          <cell r="K232">
            <v>37721</v>
          </cell>
          <cell r="L232"/>
          <cell r="M232">
            <v>24000</v>
          </cell>
        </row>
        <row r="233">
          <cell r="A233" t="str">
            <v>Agrosuper Shanghai1012455</v>
          </cell>
          <cell r="B233" t="str">
            <v>1012455Agrosuper Shanghai</v>
          </cell>
          <cell r="C233" t="str">
            <v>Pollo</v>
          </cell>
          <cell r="D233" t="str">
            <v>Ala</v>
          </cell>
          <cell r="E233" t="str">
            <v>Ala Centro-Punta</v>
          </cell>
          <cell r="F233" t="str">
            <v>Agrosuper Shanghai</v>
          </cell>
          <cell r="G233">
            <v>1012455</v>
          </cell>
          <cell r="H233" t="str">
            <v>PO Ctro Pta Ala Choice@ Cj 20k AS</v>
          </cell>
          <cell r="I233">
            <v>144000</v>
          </cell>
          <cell r="J233">
            <v>48000</v>
          </cell>
          <cell r="K233">
            <v>48000</v>
          </cell>
          <cell r="L233">
            <v>120000</v>
          </cell>
          <cell r="M233">
            <v>120000</v>
          </cell>
        </row>
        <row r="234">
          <cell r="A234" t="str">
            <v>Agro Sudamerica1012699</v>
          </cell>
          <cell r="B234" t="str">
            <v>1012699Agro Sudamerica</v>
          </cell>
          <cell r="C234" t="str">
            <v>Pollo</v>
          </cell>
          <cell r="D234" t="str">
            <v>Ala</v>
          </cell>
          <cell r="E234" t="str">
            <v>Ala Trutro</v>
          </cell>
          <cell r="F234" t="str">
            <v>Agro Sudamerica</v>
          </cell>
          <cell r="G234">
            <v>1012699</v>
          </cell>
          <cell r="H234" t="str">
            <v>PO Tru- Ctro Ala 4x10NMr@Bo Cj 20k SD</v>
          </cell>
          <cell r="I234"/>
          <cell r="J234"/>
          <cell r="K234">
            <v>80</v>
          </cell>
          <cell r="L234"/>
          <cell r="M234"/>
        </row>
        <row r="235">
          <cell r="A235" t="str">
            <v>Africa1012719</v>
          </cell>
          <cell r="B235" t="str">
            <v>1012719Africa</v>
          </cell>
          <cell r="C235" t="str">
            <v>Pollo</v>
          </cell>
          <cell r="D235" t="str">
            <v>Carne Recuperada</v>
          </cell>
          <cell r="E235" t="str">
            <v>Carne Recuperada ADM</v>
          </cell>
          <cell r="F235" t="str">
            <v>Africa</v>
          </cell>
          <cell r="G235">
            <v>1012719</v>
          </cell>
          <cell r="H235" t="str">
            <v>PO Ppa Esp@ 2 Blox10kg CJ AS SD</v>
          </cell>
          <cell r="I235"/>
          <cell r="J235"/>
          <cell r="K235"/>
          <cell r="L235"/>
          <cell r="M235"/>
        </row>
        <row r="236">
          <cell r="A236" t="str">
            <v>Agro Sudamerica1012556</v>
          </cell>
          <cell r="B236" t="str">
            <v>1012556Agro Sudamerica</v>
          </cell>
          <cell r="C236" t="str">
            <v>Pollo</v>
          </cell>
          <cell r="D236" t="str">
            <v>Carne Recuperada</v>
          </cell>
          <cell r="E236" t="str">
            <v>Carne Recuperada ADM</v>
          </cell>
          <cell r="F236" t="str">
            <v>Agro Sudamerica</v>
          </cell>
          <cell r="G236">
            <v>1012556</v>
          </cell>
          <cell r="H236" t="str">
            <v>PO CDM 14% proteina@ Cj 20k AS</v>
          </cell>
          <cell r="I236"/>
          <cell r="J236"/>
          <cell r="K236">
            <v>24000</v>
          </cell>
          <cell r="L236">
            <v>72000</v>
          </cell>
          <cell r="M236">
            <v>48000</v>
          </cell>
        </row>
        <row r="237">
          <cell r="A237" t="str">
            <v>Agro Sudamerica1012719</v>
          </cell>
          <cell r="B237" t="str">
            <v>1012719Agro Sudamerica</v>
          </cell>
          <cell r="C237" t="str">
            <v>Pollo</v>
          </cell>
          <cell r="D237" t="str">
            <v>Carne Recuperada</v>
          </cell>
          <cell r="E237" t="str">
            <v>Carne Recuperada ADM</v>
          </cell>
          <cell r="F237" t="str">
            <v>Agro Sudamerica</v>
          </cell>
          <cell r="G237">
            <v>1012719</v>
          </cell>
          <cell r="H237" t="str">
            <v>PO Ppa Esp@ 2 Blox10kg CJ AS SD</v>
          </cell>
          <cell r="I237">
            <v>192000</v>
          </cell>
          <cell r="J237">
            <v>423600</v>
          </cell>
          <cell r="K237">
            <v>357200</v>
          </cell>
          <cell r="L237">
            <v>144000</v>
          </cell>
          <cell r="M237">
            <v>358600</v>
          </cell>
        </row>
        <row r="238">
          <cell r="A238" t="str">
            <v>Agro Sudamerica1011421</v>
          </cell>
          <cell r="B238" t="str">
            <v>1011421Agro Sudamerica</v>
          </cell>
          <cell r="C238" t="str">
            <v>Pollo</v>
          </cell>
          <cell r="D238" t="str">
            <v>Carne Recuperada</v>
          </cell>
          <cell r="E238" t="str">
            <v>Carne Recuperada Pul</v>
          </cell>
          <cell r="F238" t="str">
            <v>Agro Sudamerica</v>
          </cell>
          <cell r="G238">
            <v>1011421</v>
          </cell>
          <cell r="H238" t="str">
            <v>PO Ppa Esp 50 Pim@ Cj 20k AS</v>
          </cell>
          <cell r="I238">
            <v>620000</v>
          </cell>
          <cell r="J238">
            <v>696000</v>
          </cell>
          <cell r="K238">
            <v>840000</v>
          </cell>
          <cell r="L238">
            <v>720000</v>
          </cell>
          <cell r="M238">
            <v>888000</v>
          </cell>
        </row>
        <row r="239">
          <cell r="A239" t="str">
            <v>Agro Sudamerica1011558</v>
          </cell>
          <cell r="B239" t="str">
            <v>1011558Agro Sudamerica</v>
          </cell>
          <cell r="C239" t="str">
            <v>Pollo</v>
          </cell>
          <cell r="D239" t="str">
            <v>Carne Recuperada</v>
          </cell>
          <cell r="E239" t="str">
            <v>Carne Recuperada Pul</v>
          </cell>
          <cell r="F239" t="str">
            <v>Agro Sudamerica</v>
          </cell>
          <cell r="G239">
            <v>1011558</v>
          </cell>
          <cell r="H239" t="str">
            <v>PO Ppa Esp@ 2 blo x 10k Cj AS</v>
          </cell>
          <cell r="I239">
            <v>192000</v>
          </cell>
          <cell r="J239">
            <v>408000</v>
          </cell>
          <cell r="K239">
            <v>288000</v>
          </cell>
          <cell r="L239">
            <v>264000</v>
          </cell>
          <cell r="M239">
            <v>168000</v>
          </cell>
        </row>
        <row r="240">
          <cell r="A240" t="str">
            <v>Agrosuper Asia1012612</v>
          </cell>
          <cell r="B240" t="str">
            <v>1012612Agrosuper Asia</v>
          </cell>
          <cell r="C240" t="str">
            <v>Pollo</v>
          </cell>
          <cell r="D240" t="str">
            <v>Carne Recuperada</v>
          </cell>
          <cell r="E240" t="str">
            <v>Carne Recuperada Pul</v>
          </cell>
          <cell r="F240" t="str">
            <v>Agrosuper Asia</v>
          </cell>
          <cell r="G240">
            <v>1012612</v>
          </cell>
          <cell r="H240" t="str">
            <v>PO Ppa Esp Blo@ Bo Cj 20k AS</v>
          </cell>
          <cell r="I240">
            <v>625000</v>
          </cell>
          <cell r="J240">
            <v>625000</v>
          </cell>
          <cell r="K240">
            <v>950000</v>
          </cell>
          <cell r="L240">
            <v>1100000</v>
          </cell>
          <cell r="M240">
            <v>1291866</v>
          </cell>
        </row>
        <row r="241">
          <cell r="A241" t="str">
            <v>Africa1011042</v>
          </cell>
          <cell r="B241" t="str">
            <v>1011042Africa</v>
          </cell>
          <cell r="C241" t="str">
            <v>Pollo</v>
          </cell>
          <cell r="D241" t="str">
            <v>Cazuela</v>
          </cell>
          <cell r="E241" t="str">
            <v>Cazuela Espinazo</v>
          </cell>
          <cell r="F241" t="str">
            <v>Africa</v>
          </cell>
          <cell r="G241">
            <v>1011042</v>
          </cell>
          <cell r="H241" t="str">
            <v>PO Pta Espinaz@ Cj 10k AS</v>
          </cell>
          <cell r="I241">
            <v>48000</v>
          </cell>
          <cell r="J241">
            <v>288000</v>
          </cell>
          <cell r="K241">
            <v>120000</v>
          </cell>
          <cell r="L241">
            <v>144000</v>
          </cell>
          <cell r="M241">
            <v>24000</v>
          </cell>
        </row>
        <row r="242">
          <cell r="A242" t="str">
            <v>Agro Sudamerica1011042</v>
          </cell>
          <cell r="B242" t="str">
            <v>1011042Agro Sudamerica</v>
          </cell>
          <cell r="C242" t="str">
            <v>Pollo</v>
          </cell>
          <cell r="D242" t="str">
            <v>Cazuela</v>
          </cell>
          <cell r="E242" t="str">
            <v>Cazuela Espinazo</v>
          </cell>
          <cell r="F242" t="str">
            <v>Agro Sudamerica</v>
          </cell>
          <cell r="G242">
            <v>1011042</v>
          </cell>
          <cell r="H242" t="str">
            <v>PO Pta Espinaz@ Cj 10k AS</v>
          </cell>
          <cell r="I242">
            <v>24000</v>
          </cell>
          <cell r="J242"/>
          <cell r="K242">
            <v>23960</v>
          </cell>
          <cell r="L242"/>
          <cell r="M242">
            <v>72000</v>
          </cell>
        </row>
        <row r="243">
          <cell r="A243" t="str">
            <v>Agro Sudamerica1012698</v>
          </cell>
          <cell r="B243" t="str">
            <v>1012698Agro Sudamerica</v>
          </cell>
          <cell r="C243" t="str">
            <v>Pollo</v>
          </cell>
          <cell r="D243" t="str">
            <v>Filete</v>
          </cell>
          <cell r="E243" t="str">
            <v>Filete</v>
          </cell>
          <cell r="F243" t="str">
            <v>Agro Sudamerica</v>
          </cell>
          <cell r="G243">
            <v>1012698</v>
          </cell>
          <cell r="H243" t="str">
            <v>PO File 4x10 NMr SD@ CJ AS</v>
          </cell>
          <cell r="I243"/>
          <cell r="J243"/>
          <cell r="K243">
            <v>80</v>
          </cell>
          <cell r="L243"/>
          <cell r="M243"/>
        </row>
        <row r="244">
          <cell r="A244" t="str">
            <v>Africa1010877</v>
          </cell>
          <cell r="B244" t="str">
            <v>1010877Africa</v>
          </cell>
          <cell r="C244" t="str">
            <v>Pollo</v>
          </cell>
          <cell r="D244" t="str">
            <v>Menudencias</v>
          </cell>
          <cell r="E244" t="str">
            <v>Menudencias Contre</v>
          </cell>
          <cell r="F244" t="str">
            <v>Africa</v>
          </cell>
          <cell r="G244">
            <v>1010877</v>
          </cell>
          <cell r="H244" t="str">
            <v>PO Molleja Mrps@ Cj 10k AS</v>
          </cell>
          <cell r="I244"/>
          <cell r="J244"/>
          <cell r="K244">
            <v>48000</v>
          </cell>
          <cell r="L244">
            <v>48000</v>
          </cell>
          <cell r="M244">
            <v>72000</v>
          </cell>
        </row>
        <row r="245">
          <cell r="A245" t="str">
            <v>Africa1012207</v>
          </cell>
          <cell r="B245" t="str">
            <v>1012207Africa</v>
          </cell>
          <cell r="C245" t="str">
            <v>Pollo</v>
          </cell>
          <cell r="D245" t="str">
            <v>Menudencias</v>
          </cell>
          <cell r="E245" t="str">
            <v>Menudencias Contre</v>
          </cell>
          <cell r="F245" t="str">
            <v>Africa</v>
          </cell>
          <cell r="G245">
            <v>1012207</v>
          </cell>
          <cell r="H245" t="str">
            <v>PO Ctre Mrps@ Bo 12x1k Cj AS</v>
          </cell>
          <cell r="I245"/>
          <cell r="J245"/>
          <cell r="K245">
            <v>31476</v>
          </cell>
          <cell r="L245"/>
          <cell r="M245"/>
        </row>
        <row r="246">
          <cell r="A246" t="str">
            <v>Agro Sudamerica1010877</v>
          </cell>
          <cell r="B246" t="str">
            <v>1010877Agro Sudamerica</v>
          </cell>
          <cell r="C246" t="str">
            <v>Pollo</v>
          </cell>
          <cell r="D246" t="str">
            <v>Menudencias</v>
          </cell>
          <cell r="E246" t="str">
            <v>Menudencias Contre</v>
          </cell>
          <cell r="F246" t="str">
            <v>Agro Sudamerica</v>
          </cell>
          <cell r="G246">
            <v>1010877</v>
          </cell>
          <cell r="H246" t="str">
            <v>PO Molleja Mrps@ Cj 10k AS</v>
          </cell>
          <cell r="I246">
            <v>96000</v>
          </cell>
          <cell r="J246">
            <v>123000</v>
          </cell>
          <cell r="K246">
            <v>95960</v>
          </cell>
          <cell r="L246">
            <v>48000</v>
          </cell>
          <cell r="M246">
            <v>115000</v>
          </cell>
        </row>
        <row r="247">
          <cell r="A247" t="str">
            <v>Agro Sudamerica1012207</v>
          </cell>
          <cell r="B247" t="str">
            <v>1012207Agro Sudamerica</v>
          </cell>
          <cell r="C247" t="str">
            <v>Pollo</v>
          </cell>
          <cell r="D247" t="str">
            <v>Menudencias</v>
          </cell>
          <cell r="E247" t="str">
            <v>Menudencias Contre</v>
          </cell>
          <cell r="F247" t="str">
            <v>Agro Sudamerica</v>
          </cell>
          <cell r="G247">
            <v>1012207</v>
          </cell>
          <cell r="H247" t="str">
            <v>PO Ctre Mrps@ Bo 12x1k Cj AS</v>
          </cell>
          <cell r="I247">
            <v>24000</v>
          </cell>
          <cell r="J247">
            <v>60000</v>
          </cell>
          <cell r="K247">
            <v>55476</v>
          </cell>
          <cell r="L247">
            <v>24000</v>
          </cell>
          <cell r="M247">
            <v>48000</v>
          </cell>
        </row>
        <row r="248">
          <cell r="A248" t="str">
            <v>Agro Sudamerica1012362</v>
          </cell>
          <cell r="B248" t="str">
            <v>1012362Agro Sudamerica</v>
          </cell>
          <cell r="C248" t="str">
            <v>Pollo</v>
          </cell>
          <cell r="D248" t="str">
            <v>Menudencias</v>
          </cell>
          <cell r="E248" t="str">
            <v>Menudencias Corazón</v>
          </cell>
          <cell r="F248" t="str">
            <v>Agro Sudamerica</v>
          </cell>
          <cell r="G248">
            <v>1012362</v>
          </cell>
          <cell r="H248" t="str">
            <v>PO Corazon@ Cj 18k AS</v>
          </cell>
          <cell r="I248"/>
          <cell r="J248">
            <v>3000</v>
          </cell>
          <cell r="K248"/>
          <cell r="L248"/>
          <cell r="M248">
            <v>13000</v>
          </cell>
        </row>
        <row r="249">
          <cell r="A249" t="str">
            <v>Agro Sudamerica1012778</v>
          </cell>
          <cell r="B249" t="str">
            <v>1012778Agro Sudamerica</v>
          </cell>
          <cell r="C249" t="str">
            <v>Pollo</v>
          </cell>
          <cell r="D249" t="str">
            <v>Menudencias</v>
          </cell>
          <cell r="E249" t="str">
            <v>Menudencias Corazón</v>
          </cell>
          <cell r="F249" t="str">
            <v>Agro Sudamerica</v>
          </cell>
          <cell r="G249">
            <v>1012778</v>
          </cell>
          <cell r="H249" t="str">
            <v>PO Corazón@ Placa Cj 19kg SD</v>
          </cell>
          <cell r="I249"/>
          <cell r="J249"/>
          <cell r="K249"/>
          <cell r="L249"/>
          <cell r="M249">
            <v>24000</v>
          </cell>
        </row>
        <row r="250">
          <cell r="A250" t="str">
            <v>Agrosuper Brasil1011560</v>
          </cell>
          <cell r="B250" t="str">
            <v>1011560Agrosuper Brasil</v>
          </cell>
          <cell r="C250" t="str">
            <v>Pollo</v>
          </cell>
          <cell r="D250" t="str">
            <v>Menudencias</v>
          </cell>
          <cell r="E250" t="str">
            <v>Menudencias Corazón</v>
          </cell>
          <cell r="F250" t="str">
            <v>Agrosuper Brasil</v>
          </cell>
          <cell r="G250">
            <v>1011560</v>
          </cell>
          <cell r="H250" t="str">
            <v>PO Corazón@ Bo Cj 18k AS</v>
          </cell>
          <cell r="I250"/>
          <cell r="J250">
            <v>24000</v>
          </cell>
          <cell r="K250"/>
          <cell r="L250"/>
          <cell r="M250">
            <v>24000</v>
          </cell>
        </row>
        <row r="251">
          <cell r="A251" t="str">
            <v>Agrosuper Brasil1012362</v>
          </cell>
          <cell r="B251" t="str">
            <v>1012362Agrosuper Brasil</v>
          </cell>
          <cell r="C251" t="str">
            <v>Pollo</v>
          </cell>
          <cell r="D251" t="str">
            <v>Menudencias</v>
          </cell>
          <cell r="E251" t="str">
            <v>Menudencias Corazón</v>
          </cell>
          <cell r="F251" t="str">
            <v>Agrosuper Brasil</v>
          </cell>
          <cell r="G251">
            <v>1012362</v>
          </cell>
          <cell r="H251" t="str">
            <v>PO Corazon@ Cj 18k AS</v>
          </cell>
          <cell r="I251">
            <v>24000</v>
          </cell>
          <cell r="J251">
            <v>24000</v>
          </cell>
          <cell r="K251">
            <v>47990</v>
          </cell>
          <cell r="L251">
            <v>23995</v>
          </cell>
          <cell r="M251">
            <v>24000</v>
          </cell>
        </row>
        <row r="252">
          <cell r="A252" t="str">
            <v>Agrosuper Brasil1012674</v>
          </cell>
          <cell r="B252" t="str">
            <v>1012674Agrosuper Brasil</v>
          </cell>
          <cell r="C252" t="str">
            <v>Pollo</v>
          </cell>
          <cell r="D252" t="str">
            <v>Menudencias</v>
          </cell>
          <cell r="E252" t="str">
            <v>Menudencias Corazón</v>
          </cell>
          <cell r="F252" t="str">
            <v>Agrosuper Brasil</v>
          </cell>
          <cell r="G252">
            <v>1012674</v>
          </cell>
          <cell r="H252" t="str">
            <v>PO Corazon@Pla Cj 19k</v>
          </cell>
          <cell r="I252">
            <v>24000</v>
          </cell>
          <cell r="J252">
            <v>72000</v>
          </cell>
          <cell r="K252">
            <v>24000</v>
          </cell>
          <cell r="L252">
            <v>23995</v>
          </cell>
          <cell r="M252">
            <v>24000</v>
          </cell>
        </row>
        <row r="253">
          <cell r="A253" t="str">
            <v>Agro Sudamerica1012283</v>
          </cell>
          <cell r="B253" t="str">
            <v>1012283Agro Sudamerica</v>
          </cell>
          <cell r="C253" t="str">
            <v>Pollo</v>
          </cell>
          <cell r="D253" t="str">
            <v>Menudencias</v>
          </cell>
          <cell r="E253" t="str">
            <v>Menudencias Pana</v>
          </cell>
          <cell r="F253" t="str">
            <v>Agro Sudamerica</v>
          </cell>
          <cell r="G253">
            <v>1012283</v>
          </cell>
          <cell r="H253" t="str">
            <v>PO Pana S/Corazón@ Cj 20k AS</v>
          </cell>
          <cell r="I253">
            <v>72000</v>
          </cell>
          <cell r="J253">
            <v>48000</v>
          </cell>
          <cell r="K253">
            <v>60779</v>
          </cell>
          <cell r="L253">
            <v>48000</v>
          </cell>
          <cell r="M253">
            <v>48000</v>
          </cell>
        </row>
        <row r="254">
          <cell r="A254" t="str">
            <v>Agro Sudamerica1012763</v>
          </cell>
          <cell r="B254" t="str">
            <v>1012763Agro Sudamerica</v>
          </cell>
          <cell r="C254" t="str">
            <v>Pollo</v>
          </cell>
          <cell r="D254" t="str">
            <v>Menudencias</v>
          </cell>
          <cell r="E254" t="str">
            <v>Menudencias Pana</v>
          </cell>
          <cell r="F254" t="str">
            <v>Agro Sudamerica</v>
          </cell>
          <cell r="G254">
            <v>1012763</v>
          </cell>
          <cell r="H254" t="str">
            <v>PO Pana S/cora blo@Cj 20kg AS</v>
          </cell>
          <cell r="I254"/>
          <cell r="J254"/>
          <cell r="K254">
            <v>48000</v>
          </cell>
          <cell r="L254">
            <v>48000</v>
          </cell>
          <cell r="M254">
            <v>48000</v>
          </cell>
        </row>
        <row r="255">
          <cell r="A255" t="str">
            <v>Agrosuper Shanghai1012312</v>
          </cell>
          <cell r="B255" t="str">
            <v>1012312Agrosuper Shanghai</v>
          </cell>
          <cell r="C255" t="str">
            <v>Pollo</v>
          </cell>
          <cell r="D255" t="str">
            <v>Muestra</v>
          </cell>
          <cell r="E255" t="str">
            <v>Muestra</v>
          </cell>
          <cell r="F255" t="str">
            <v>Agrosuper Shanghai</v>
          </cell>
          <cell r="G255">
            <v>1012312</v>
          </cell>
          <cell r="H255" t="str">
            <v>PO Piel @ Cj 20k AS MUESTRA SAG</v>
          </cell>
          <cell r="I255"/>
          <cell r="J255"/>
          <cell r="K255"/>
          <cell r="L255"/>
          <cell r="M255"/>
        </row>
        <row r="256">
          <cell r="A256" t="str">
            <v>Agrosuper Shanghai1011968</v>
          </cell>
          <cell r="B256" t="str">
            <v>1011968Agrosuper Shanghai</v>
          </cell>
          <cell r="C256" t="str">
            <v>Pollo</v>
          </cell>
          <cell r="D256" t="str">
            <v>Patas</v>
          </cell>
          <cell r="E256" t="str">
            <v>Patas Garras</v>
          </cell>
          <cell r="F256" t="str">
            <v>Agrosuper Shanghai</v>
          </cell>
          <cell r="G256">
            <v>1011968</v>
          </cell>
          <cell r="H256" t="str">
            <v>PO Garra L A@ Bo Cj 20k AS</v>
          </cell>
          <cell r="I256">
            <v>5660</v>
          </cell>
          <cell r="J256"/>
          <cell r="K256"/>
          <cell r="L256"/>
          <cell r="M256"/>
        </row>
        <row r="257">
          <cell r="A257" t="str">
            <v>Agrosuper Shanghai1012448</v>
          </cell>
          <cell r="B257" t="str">
            <v>1012448Agrosuper Shanghai</v>
          </cell>
          <cell r="C257" t="str">
            <v>Pollo</v>
          </cell>
          <cell r="D257" t="str">
            <v>Patas</v>
          </cell>
          <cell r="E257" t="str">
            <v>Patas Garras</v>
          </cell>
          <cell r="F257" t="str">
            <v>Agrosuper Shanghai</v>
          </cell>
          <cell r="G257">
            <v>1012448</v>
          </cell>
          <cell r="H257" t="str">
            <v>PO Garra Economy@ Cj 20k AS</v>
          </cell>
          <cell r="I257">
            <v>168000</v>
          </cell>
          <cell r="J257">
            <v>144000</v>
          </cell>
          <cell r="K257">
            <v>96000</v>
          </cell>
          <cell r="L257">
            <v>144000</v>
          </cell>
          <cell r="M257">
            <v>168000</v>
          </cell>
        </row>
        <row r="258">
          <cell r="A258" t="str">
            <v>Agrosuper Shanghai1012502</v>
          </cell>
          <cell r="B258" t="str">
            <v>1012502Agrosuper Shanghai</v>
          </cell>
          <cell r="C258" t="str">
            <v>Pollo</v>
          </cell>
          <cell r="D258" t="str">
            <v>Patas</v>
          </cell>
          <cell r="E258" t="str">
            <v>Patas Garras</v>
          </cell>
          <cell r="F258" t="str">
            <v>Agrosuper Shanghai</v>
          </cell>
          <cell r="G258">
            <v>1012502</v>
          </cell>
          <cell r="H258" t="str">
            <v>PO Garra Large B@ Cj 20k AS</v>
          </cell>
          <cell r="I258"/>
          <cell r="J258"/>
          <cell r="K258"/>
          <cell r="L258"/>
          <cell r="M258">
            <v>12000</v>
          </cell>
        </row>
        <row r="259">
          <cell r="A259" t="str">
            <v>Agrosuper Shanghai1012503</v>
          </cell>
          <cell r="B259" t="str">
            <v>1012503Agrosuper Shanghai</v>
          </cell>
          <cell r="C259" t="str">
            <v>Pollo</v>
          </cell>
          <cell r="D259" t="str">
            <v>Patas</v>
          </cell>
          <cell r="E259" t="str">
            <v>Patas Garras</v>
          </cell>
          <cell r="F259" t="str">
            <v>Agrosuper Shanghai</v>
          </cell>
          <cell r="G259">
            <v>1012503</v>
          </cell>
          <cell r="H259" t="str">
            <v>PO Garra M B@ Cj 20k AS</v>
          </cell>
          <cell r="I259">
            <v>14000</v>
          </cell>
          <cell r="J259"/>
          <cell r="K259"/>
          <cell r="L259"/>
          <cell r="M259">
            <v>12000</v>
          </cell>
        </row>
        <row r="260">
          <cell r="A260" t="str">
            <v>Agrosuper Shanghai1012504</v>
          </cell>
          <cell r="B260" t="str">
            <v>1012504Agrosuper Shanghai</v>
          </cell>
          <cell r="C260" t="str">
            <v>Pollo</v>
          </cell>
          <cell r="D260" t="str">
            <v>Patas</v>
          </cell>
          <cell r="E260" t="str">
            <v>Patas Garras</v>
          </cell>
          <cell r="F260" t="str">
            <v>Agrosuper Shanghai</v>
          </cell>
          <cell r="G260">
            <v>1012504</v>
          </cell>
          <cell r="H260" t="str">
            <v>PO Garra Economy@ Cj 20k AS</v>
          </cell>
          <cell r="I260">
            <v>48000</v>
          </cell>
          <cell r="J260">
            <v>72000</v>
          </cell>
          <cell r="K260">
            <v>24000</v>
          </cell>
          <cell r="L260">
            <v>24000</v>
          </cell>
          <cell r="M260">
            <v>72000</v>
          </cell>
        </row>
        <row r="261">
          <cell r="A261" t="str">
            <v>Agrosuper Shanghai1012598</v>
          </cell>
          <cell r="B261" t="str">
            <v>1012598Agrosuper Shanghai</v>
          </cell>
          <cell r="C261" t="str">
            <v>Pollo</v>
          </cell>
          <cell r="D261" t="str">
            <v>Patas</v>
          </cell>
          <cell r="E261" t="str">
            <v>Patas Garras</v>
          </cell>
          <cell r="F261" t="str">
            <v>Agrosuper Shanghai</v>
          </cell>
          <cell r="G261">
            <v>1012598</v>
          </cell>
          <cell r="H261" t="str">
            <v>GA Garra G Large B@ Cj 20k AS</v>
          </cell>
          <cell r="I261">
            <v>4340</v>
          </cell>
          <cell r="J261"/>
          <cell r="K261">
            <v>10660</v>
          </cell>
          <cell r="L261"/>
          <cell r="M261"/>
        </row>
        <row r="262">
          <cell r="A262" t="str">
            <v>Agro Sudamerica1011047</v>
          </cell>
          <cell r="B262" t="str">
            <v>1011047Agro Sudamerica</v>
          </cell>
          <cell r="C262" t="str">
            <v>Pollo</v>
          </cell>
          <cell r="D262" t="str">
            <v>Pechuga Desh</v>
          </cell>
          <cell r="E262" t="str">
            <v>Pechuga Desh s/Piel</v>
          </cell>
          <cell r="F262" t="str">
            <v>Agro Sudamerica</v>
          </cell>
          <cell r="G262">
            <v>1011047</v>
          </cell>
          <cell r="H262" t="str">
            <v>PO PchDeh &gt;170g NMr@ Cj 10k SP</v>
          </cell>
          <cell r="I262"/>
          <cell r="J262"/>
          <cell r="K262"/>
          <cell r="L262"/>
          <cell r="M262"/>
        </row>
        <row r="263">
          <cell r="A263" t="str">
            <v>Agro Sudamerica1011127</v>
          </cell>
          <cell r="B263" t="str">
            <v>1011127Agro Sudamerica</v>
          </cell>
          <cell r="C263" t="str">
            <v>Pollo</v>
          </cell>
          <cell r="D263" t="str">
            <v>Pechuga Desh</v>
          </cell>
          <cell r="E263" t="str">
            <v>Pechuga Desh s/Piel</v>
          </cell>
          <cell r="F263" t="str">
            <v>Agro Sudamerica</v>
          </cell>
          <cell r="G263">
            <v>1011127</v>
          </cell>
          <cell r="H263" t="str">
            <v>PO PchDeh Random Mr Mex@ Cj 10k AS</v>
          </cell>
          <cell r="I263"/>
          <cell r="J263"/>
          <cell r="K263">
            <v>47000</v>
          </cell>
          <cell r="L263">
            <v>24000</v>
          </cell>
          <cell r="M263"/>
        </row>
        <row r="264">
          <cell r="A264" t="str">
            <v>Agro Sudamerica1011250</v>
          </cell>
          <cell r="B264" t="str">
            <v>1011250Agro Sudamerica</v>
          </cell>
          <cell r="C264" t="str">
            <v>Pollo</v>
          </cell>
          <cell r="D264" t="str">
            <v>Pechuga Desh</v>
          </cell>
          <cell r="E264" t="str">
            <v>Pechuga Desh s/Piel</v>
          </cell>
          <cell r="F264" t="str">
            <v>Agro Sudamerica</v>
          </cell>
          <cell r="G264">
            <v>1011250</v>
          </cell>
          <cell r="H264" t="str">
            <v>PO PchDeh NMr s/cal 4x10@ Cj 20k Am AS</v>
          </cell>
          <cell r="I264"/>
          <cell r="J264"/>
          <cell r="K264"/>
          <cell r="L264"/>
          <cell r="M264"/>
        </row>
        <row r="265">
          <cell r="A265" t="str">
            <v>Agro Sudamerica1012552</v>
          </cell>
          <cell r="B265" t="str">
            <v>1012552Agro Sudamerica</v>
          </cell>
          <cell r="C265" t="str">
            <v>Pollo</v>
          </cell>
          <cell r="D265" t="str">
            <v>Pechuga Desh</v>
          </cell>
          <cell r="E265" t="str">
            <v>Pechuga Desh s/Piel</v>
          </cell>
          <cell r="F265" t="str">
            <v>Agro Sudamerica</v>
          </cell>
          <cell r="G265">
            <v>1012552</v>
          </cell>
          <cell r="H265" t="str">
            <v>PO PchDeh Random@ Cj 10k AS</v>
          </cell>
          <cell r="I265">
            <v>48000</v>
          </cell>
          <cell r="J265">
            <v>48000</v>
          </cell>
          <cell r="K265">
            <v>48000</v>
          </cell>
          <cell r="L265">
            <v>24000</v>
          </cell>
          <cell r="M265">
            <v>72000</v>
          </cell>
        </row>
        <row r="266">
          <cell r="A266" t="str">
            <v>Agro Sudamerica1012744</v>
          </cell>
          <cell r="B266" t="str">
            <v>1012744Agro Sudamerica</v>
          </cell>
          <cell r="C266" t="str">
            <v>Pollo</v>
          </cell>
          <cell r="D266" t="str">
            <v>Pechuga Desh</v>
          </cell>
          <cell r="E266" t="str">
            <v>Pechuga Desh s/Piel</v>
          </cell>
          <cell r="F266" t="str">
            <v>Agro Sudamerica</v>
          </cell>
          <cell r="G266">
            <v>1012744</v>
          </cell>
          <cell r="H266" t="str">
            <v>PO Pch Deh NMr@SD Cj 20kg AS</v>
          </cell>
          <cell r="I266"/>
          <cell r="J266">
            <v>143000</v>
          </cell>
          <cell r="K266">
            <v>72000</v>
          </cell>
          <cell r="L266">
            <v>24000</v>
          </cell>
          <cell r="M266">
            <v>24000</v>
          </cell>
        </row>
        <row r="267">
          <cell r="A267" t="str">
            <v>Agro Sudamerica1011582</v>
          </cell>
          <cell r="B267" t="str">
            <v>1011582Agro Sudamerica</v>
          </cell>
          <cell r="C267" t="str">
            <v>Pollo</v>
          </cell>
          <cell r="D267" t="str">
            <v>Reproductor</v>
          </cell>
          <cell r="E267" t="str">
            <v>Reproductor Gallina</v>
          </cell>
          <cell r="F267" t="str">
            <v>Agro Sudamerica</v>
          </cell>
          <cell r="G267">
            <v>1011582</v>
          </cell>
          <cell r="H267" t="str">
            <v>GA S/m@ Gr Cj bca AS</v>
          </cell>
          <cell r="I267">
            <v>24000</v>
          </cell>
          <cell r="J267">
            <v>82000</v>
          </cell>
          <cell r="K267">
            <v>60000</v>
          </cell>
          <cell r="L267">
            <v>24000</v>
          </cell>
          <cell r="M267">
            <v>46500</v>
          </cell>
        </row>
        <row r="268">
          <cell r="A268" t="str">
            <v>Agro Sudamerica1012208</v>
          </cell>
          <cell r="B268" t="str">
            <v>1012208Agro Sudamerica</v>
          </cell>
          <cell r="C268" t="str">
            <v>Pollo</v>
          </cell>
          <cell r="D268" t="str">
            <v>Reproductor</v>
          </cell>
          <cell r="E268" t="str">
            <v>Reproductor Gallina</v>
          </cell>
          <cell r="F268" t="str">
            <v>Agro Sudamerica</v>
          </cell>
          <cell r="G268">
            <v>1012208</v>
          </cell>
          <cell r="H268" t="str">
            <v>GA S/m@ Bo Cj AS</v>
          </cell>
          <cell r="I268">
            <v>24000</v>
          </cell>
          <cell r="J268">
            <v>120000</v>
          </cell>
          <cell r="K268">
            <v>72000</v>
          </cell>
          <cell r="L268"/>
          <cell r="M268">
            <v>24000</v>
          </cell>
        </row>
        <row r="269">
          <cell r="A269" t="str">
            <v>Agro Sudamerica1011290</v>
          </cell>
          <cell r="B269" t="str">
            <v>1011290Agro Sudamerica</v>
          </cell>
          <cell r="C269" t="str">
            <v>Pollo</v>
          </cell>
          <cell r="D269" t="str">
            <v>Subprod</v>
          </cell>
          <cell r="E269" t="str">
            <v>Subprod Piel</v>
          </cell>
          <cell r="F269" t="str">
            <v>Agro Sudamerica</v>
          </cell>
          <cell r="G269">
            <v>1011290</v>
          </cell>
          <cell r="H269" t="str">
            <v>PO Pch Piel@ Cj 20k AS</v>
          </cell>
          <cell r="I269">
            <v>24000</v>
          </cell>
          <cell r="J269">
            <v>23700</v>
          </cell>
          <cell r="K269"/>
          <cell r="L269">
            <v>24000</v>
          </cell>
          <cell r="M269"/>
        </row>
        <row r="270">
          <cell r="A270" t="str">
            <v>Agro Sudamerica1011422</v>
          </cell>
          <cell r="B270" t="str">
            <v>1011422Agro Sudamerica</v>
          </cell>
          <cell r="C270" t="str">
            <v>Pollo</v>
          </cell>
          <cell r="D270" t="str">
            <v>Subprod</v>
          </cell>
          <cell r="E270" t="str">
            <v>Subprod Piel</v>
          </cell>
          <cell r="F270" t="str">
            <v>Agro Sudamerica</v>
          </cell>
          <cell r="G270">
            <v>1011422</v>
          </cell>
          <cell r="H270" t="str">
            <v>PO Pch Piel Pim 50 ppm@ Cj 14 AS</v>
          </cell>
          <cell r="I270"/>
          <cell r="J270"/>
          <cell r="K270">
            <v>24000</v>
          </cell>
          <cell r="L270"/>
          <cell r="M270"/>
        </row>
        <row r="271">
          <cell r="A271" t="str">
            <v>Agro Sudamerica1011888</v>
          </cell>
          <cell r="B271" t="str">
            <v>1011888Agro Sudamerica</v>
          </cell>
          <cell r="C271" t="str">
            <v>Pollo</v>
          </cell>
          <cell r="D271" t="str">
            <v>Subprod</v>
          </cell>
          <cell r="E271" t="str">
            <v>Subprod Piel</v>
          </cell>
          <cell r="F271" t="str">
            <v>Agro Sudamerica</v>
          </cell>
          <cell r="G271">
            <v>1011888</v>
          </cell>
          <cell r="H271" t="str">
            <v>PO Piel de pollo@ CJ As</v>
          </cell>
          <cell r="I271"/>
          <cell r="J271"/>
          <cell r="K271"/>
          <cell r="L271"/>
          <cell r="M271"/>
        </row>
        <row r="272">
          <cell r="A272" t="str">
            <v>Agro Sudamerica1011939</v>
          </cell>
          <cell r="B272" t="str">
            <v>1011939Agro Sudamerica</v>
          </cell>
          <cell r="C272" t="str">
            <v>Pollo</v>
          </cell>
          <cell r="D272" t="str">
            <v>Trutro</v>
          </cell>
          <cell r="E272" t="str">
            <v>Trutro Largo</v>
          </cell>
          <cell r="F272" t="str">
            <v>Agro Sudamerica</v>
          </cell>
          <cell r="G272">
            <v>1011939</v>
          </cell>
          <cell r="H272" t="str">
            <v>PO Tru Larg@ NNII Cj 15k</v>
          </cell>
          <cell r="I272"/>
          <cell r="J272"/>
          <cell r="K272"/>
          <cell r="L272"/>
          <cell r="M272"/>
        </row>
        <row r="273">
          <cell r="A273" t="str">
            <v>Agrosuper Shanghai1030525</v>
          </cell>
          <cell r="B273" t="str">
            <v>1030525Agrosuper Shanghai</v>
          </cell>
          <cell r="C273" t="str">
            <v>Pavo</v>
          </cell>
          <cell r="D273" t="str">
            <v>Ala</v>
          </cell>
          <cell r="E273" t="str">
            <v>Ala Trutro</v>
          </cell>
          <cell r="F273" t="str">
            <v>Agrosuper Shanghai</v>
          </cell>
          <cell r="G273">
            <v>1030525</v>
          </cell>
          <cell r="H273" t="str">
            <v>PV Tru Ala@ Ex blo Cj 15k SO</v>
          </cell>
        </row>
        <row r="274">
          <cell r="A274" t="str">
            <v>Africa1030744</v>
          </cell>
          <cell r="B274" t="str">
            <v>1030744Africa</v>
          </cell>
          <cell r="C274" t="str">
            <v>Pavo</v>
          </cell>
          <cell r="D274" t="str">
            <v>Menudencias</v>
          </cell>
          <cell r="E274" t="str">
            <v>Menudencias Cabeza</v>
          </cell>
          <cell r="F274" t="str">
            <v>Africa</v>
          </cell>
          <cell r="G274">
            <v>1030744</v>
          </cell>
          <cell r="H274" t="str">
            <v>PV Cab Ent MA@ Cj 15k AS</v>
          </cell>
        </row>
        <row r="275">
          <cell r="A275" t="str">
            <v>Africa1030498</v>
          </cell>
          <cell r="B275" t="str">
            <v>1030498Africa</v>
          </cell>
          <cell r="C275" t="str">
            <v>Pavo</v>
          </cell>
          <cell r="D275" t="str">
            <v>Menudencias</v>
          </cell>
          <cell r="E275" t="str">
            <v>Menudencias Contre</v>
          </cell>
          <cell r="F275" t="str">
            <v>Africa</v>
          </cell>
          <cell r="G275">
            <v>1030498</v>
          </cell>
          <cell r="H275" t="str">
            <v>PV Contre@ Bo Cj 10k SO</v>
          </cell>
        </row>
        <row r="276">
          <cell r="A276" t="str">
            <v>Africa1030720</v>
          </cell>
          <cell r="B276" t="str">
            <v>1030720Africa</v>
          </cell>
          <cell r="C276" t="str">
            <v>Pavo</v>
          </cell>
          <cell r="D276" t="str">
            <v>Recortes</v>
          </cell>
          <cell r="E276" t="str">
            <v>Recortes Piel</v>
          </cell>
          <cell r="F276" t="str">
            <v>Africa</v>
          </cell>
          <cell r="G276">
            <v>1030720</v>
          </cell>
          <cell r="H276" t="str">
            <v>PV PIEL TRU@ BO CJ AS</v>
          </cell>
        </row>
        <row r="277">
          <cell r="A277" t="str">
            <v>Agro Sudamerica1030230</v>
          </cell>
          <cell r="B277" t="str">
            <v>1030230Agro Sudamerica</v>
          </cell>
          <cell r="C277" t="str">
            <v>Pavo</v>
          </cell>
          <cell r="D277" t="str">
            <v>Recortes</v>
          </cell>
          <cell r="E277" t="str">
            <v>Recortes Piel</v>
          </cell>
          <cell r="F277" t="str">
            <v>Agro Sudamerica</v>
          </cell>
          <cell r="G277">
            <v>1030230</v>
          </cell>
          <cell r="H277" t="str">
            <v>Pv Piel Tru@ Bo Cj So</v>
          </cell>
        </row>
        <row r="278">
          <cell r="A278" t="str">
            <v>Agro Sudamerica1100407</v>
          </cell>
          <cell r="B278" t="str">
            <v>1100407Agro Sudamerica</v>
          </cell>
          <cell r="C278" t="str">
            <v>Elaborado</v>
          </cell>
          <cell r="D278" t="str">
            <v>Empanizado</v>
          </cell>
          <cell r="E278" t="str">
            <v>Empanizados Nuggets</v>
          </cell>
          <cell r="F278" t="str">
            <v>Agro Sudamerica</v>
          </cell>
          <cell r="G278">
            <v>1100407</v>
          </cell>
          <cell r="H278" t="str">
            <v>Nugg Pollo Uru@ Bo Cj 1k SH</v>
          </cell>
          <cell r="I278">
            <v>0</v>
          </cell>
          <cell r="J278"/>
          <cell r="K278">
            <v>9000</v>
          </cell>
          <cell r="L278">
            <v>12000</v>
          </cell>
          <cell r="M278"/>
        </row>
        <row r="279">
          <cell r="A279" t="str">
            <v>Agro Sudamerica1100408</v>
          </cell>
          <cell r="B279" t="str">
            <v>1100408Agro Sudamerica</v>
          </cell>
          <cell r="C279" t="str">
            <v>Elaborado</v>
          </cell>
          <cell r="D279" t="str">
            <v>Empanizado</v>
          </cell>
          <cell r="E279" t="str">
            <v>Empanizados Nuggets</v>
          </cell>
          <cell r="F279" t="str">
            <v>Agro Sudamerica</v>
          </cell>
          <cell r="G279">
            <v>1100408</v>
          </cell>
          <cell r="H279" t="str">
            <v>Nugg Pollo Uru@ Film 2.5k SH</v>
          </cell>
          <cell r="I279">
            <v>0</v>
          </cell>
          <cell r="J279"/>
          <cell r="K279">
            <v>9000</v>
          </cell>
          <cell r="L279">
            <v>6000</v>
          </cell>
          <cell r="M279"/>
        </row>
        <row r="280">
          <cell r="A280" t="str">
            <v>Agrosuper Asia1100492</v>
          </cell>
          <cell r="B280" t="str">
            <v>1100492Agrosuper Asia</v>
          </cell>
          <cell r="C280" t="str">
            <v>Elaborado</v>
          </cell>
          <cell r="D280" t="str">
            <v>Empanizado</v>
          </cell>
          <cell r="E280" t="str">
            <v>Empanizados Nuggets</v>
          </cell>
          <cell r="F280" t="str">
            <v>Agrosuper Asia</v>
          </cell>
          <cell r="G280">
            <v>1100492</v>
          </cell>
          <cell r="H280" t="str">
            <v>Figuritas Pollo@ Bo Cj 1,5Lb AS</v>
          </cell>
          <cell r="I280"/>
          <cell r="J280"/>
          <cell r="K280">
            <v>3108.96</v>
          </cell>
          <cell r="L280"/>
          <cell r="M280"/>
        </row>
        <row r="310">
          <cell r="C310"/>
        </row>
      </sheetData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om.sap.ip.bi.xl.hiddensheet"/>
      <sheetName val="Hoja2"/>
      <sheetName val="Shangai (Tomas)"/>
      <sheetName val="Base RV Volumen"/>
      <sheetName val="RV de venta"/>
      <sheetName val="RV Producción"/>
      <sheetName val="RV plan de ventas"/>
      <sheetName val="Base RV precios"/>
      <sheetName val="Precios atrasos"/>
      <sheetName val="CHINA"/>
    </sheetNames>
    <sheetDataSet>
      <sheetData sheetId="0"/>
      <sheetData sheetId="1"/>
      <sheetData sheetId="2"/>
      <sheetData sheetId="3"/>
      <sheetData sheetId="4"/>
      <sheetData sheetId="5">
        <row r="2">
          <cell r="D2" t="str">
            <v>Tipo de Venta</v>
          </cell>
          <cell r="E2" t="str">
            <v>Directa</v>
          </cell>
          <cell r="G2"/>
          <cell r="Y2" t="str">
            <v>(Todas)</v>
          </cell>
          <cell r="AA2"/>
        </row>
        <row r="3">
          <cell r="D3" t="str">
            <v>Mes/Año natural</v>
          </cell>
          <cell r="E3" t="str">
            <v>09.2022</v>
          </cell>
          <cell r="G3">
            <v>11205341</v>
          </cell>
          <cell r="Y3" t="str">
            <v>09.2022</v>
          </cell>
          <cell r="AA3">
            <v>8502593</v>
          </cell>
        </row>
        <row r="4">
          <cell r="G4" t="str">
            <v>ss</v>
          </cell>
          <cell r="AA4" t="str">
            <v>ss</v>
          </cell>
        </row>
        <row r="5">
          <cell r="D5" t="str">
            <v>Oficina de ventas</v>
          </cell>
          <cell r="E5" t="str">
            <v>SKU</v>
          </cell>
          <cell r="F5" t="str">
            <v>Descripción</v>
          </cell>
          <cell r="G5" t="str">
            <v xml:space="preserve"> Producción</v>
          </cell>
          <cell r="Y5" t="str">
            <v>SKU</v>
          </cell>
          <cell r="Z5" t="str">
            <v>Descripción</v>
          </cell>
          <cell r="AA5" t="str">
            <v xml:space="preserve"> Producción</v>
          </cell>
        </row>
        <row r="6">
          <cell r="C6" t="str">
            <v>Agro Mexico1012764</v>
          </cell>
          <cell r="D6" t="str">
            <v>Agro Mexico</v>
          </cell>
          <cell r="E6">
            <v>1012764</v>
          </cell>
          <cell r="F6" t="str">
            <v>PO Ppa Esp@ Bo Cj 20k AS</v>
          </cell>
          <cell r="G6">
            <v>189434</v>
          </cell>
          <cell r="Y6">
            <v>1021115</v>
          </cell>
          <cell r="Z6" t="str">
            <v>GO Estómago Pouch@ 20k bca AS</v>
          </cell>
          <cell r="AA6">
            <v>3680</v>
          </cell>
        </row>
        <row r="7">
          <cell r="C7" t="str">
            <v>Agro Mexico1030802</v>
          </cell>
          <cell r="D7" t="str">
            <v>Agro Mexico</v>
          </cell>
          <cell r="E7">
            <v>1030802</v>
          </cell>
          <cell r="F7" t="str">
            <v>PV PDM @ Bo Cj 15k AS</v>
          </cell>
          <cell r="G7">
            <v>153669</v>
          </cell>
          <cell r="Y7">
            <v>1021731</v>
          </cell>
          <cell r="Z7" t="str">
            <v>GO PernilM@ Cj 20k AS</v>
          </cell>
          <cell r="AA7">
            <v>91000</v>
          </cell>
        </row>
        <row r="8">
          <cell r="C8" t="str">
            <v>Agro Sudamerica1020017</v>
          </cell>
          <cell r="D8" t="str">
            <v>Agro Sudamerica</v>
          </cell>
          <cell r="E8">
            <v>1020017</v>
          </cell>
          <cell r="F8" t="str">
            <v>GO Chu Ctro@ Fi Cj 20k AS</v>
          </cell>
          <cell r="G8">
            <v>0</v>
          </cell>
          <cell r="Y8">
            <v>1021732</v>
          </cell>
          <cell r="Z8" t="str">
            <v>GO Hso femur@ Cj 20k AS</v>
          </cell>
          <cell r="AA8">
            <v>223852</v>
          </cell>
        </row>
        <row r="9">
          <cell r="C9" t="str">
            <v>Agro Sudamerica1020339</v>
          </cell>
          <cell r="D9" t="str">
            <v>Agro Sudamerica</v>
          </cell>
          <cell r="E9">
            <v>1020339</v>
          </cell>
          <cell r="F9" t="str">
            <v>GO Lom Tocino@ Cj 20k AS</v>
          </cell>
          <cell r="G9">
            <v>137834</v>
          </cell>
          <cell r="Y9">
            <v>1021733</v>
          </cell>
          <cell r="Z9" t="str">
            <v>GO PpPna 59@ Cj 20k AS</v>
          </cell>
          <cell r="AA9">
            <v>127297</v>
          </cell>
        </row>
        <row r="10">
          <cell r="C10" t="str">
            <v>Agro Sudamerica1020349</v>
          </cell>
          <cell r="D10" t="str">
            <v>Agro Sudamerica</v>
          </cell>
          <cell r="E10">
            <v>1020349</v>
          </cell>
          <cell r="F10" t="str">
            <v>GO Papda@ Cj t-f AS</v>
          </cell>
          <cell r="G10">
            <v>0</v>
          </cell>
          <cell r="Y10">
            <v>1021735</v>
          </cell>
          <cell r="Z10" t="str">
            <v>GO Patas@ Cj 20k AS</v>
          </cell>
          <cell r="AA10">
            <v>123751</v>
          </cell>
        </row>
        <row r="11">
          <cell r="C11" t="str">
            <v>Agro Sudamerica1020352</v>
          </cell>
          <cell r="D11" t="str">
            <v>Agro Sudamerica</v>
          </cell>
          <cell r="E11">
            <v>1020352</v>
          </cell>
          <cell r="F11" t="str">
            <v>GO Cue 20@ Cj 20k AS</v>
          </cell>
          <cell r="G11">
            <v>37238</v>
          </cell>
          <cell r="Y11">
            <v>1021737</v>
          </cell>
          <cell r="Z11" t="str">
            <v>GO Manos B@ Cj 20k AS</v>
          </cell>
          <cell r="AA11">
            <v>9333</v>
          </cell>
        </row>
        <row r="12">
          <cell r="C12" t="str">
            <v>Agro Sudamerica1020367</v>
          </cell>
          <cell r="D12" t="str">
            <v>Agro Sudamerica</v>
          </cell>
          <cell r="E12">
            <v>1020367</v>
          </cell>
          <cell r="F12" t="str">
            <v>GO Gord Lom Tocino@ Cj t-f AS</v>
          </cell>
          <cell r="G12">
            <v>96000</v>
          </cell>
          <cell r="Y12">
            <v>1021738</v>
          </cell>
          <cell r="Z12" t="str">
            <v>GO Patas B@ Cj 20k AS</v>
          </cell>
          <cell r="AA12">
            <v>57322</v>
          </cell>
        </row>
        <row r="13">
          <cell r="C13" t="str">
            <v>Agro Sudamerica1020412</v>
          </cell>
          <cell r="D13" t="str">
            <v>Agro Sudamerica</v>
          </cell>
          <cell r="E13">
            <v>1020412</v>
          </cell>
          <cell r="F13" t="str">
            <v>GO Cne Long@ Cj t-f AS</v>
          </cell>
          <cell r="G13">
            <v>212933</v>
          </cell>
          <cell r="Y13">
            <v>1021739</v>
          </cell>
          <cell r="Z13" t="str">
            <v>GO Cab Part@ Cj 20k AS</v>
          </cell>
          <cell r="AA13">
            <v>3000</v>
          </cell>
        </row>
        <row r="14">
          <cell r="C14" t="str">
            <v>Agro Sudamerica1020848</v>
          </cell>
          <cell r="D14" t="str">
            <v>Agro Sudamerica</v>
          </cell>
          <cell r="E14">
            <v>1020848</v>
          </cell>
          <cell r="F14" t="str">
            <v>GO Lom Ctro 27@ Cj 20k AS</v>
          </cell>
          <cell r="G14">
            <v>121861</v>
          </cell>
          <cell r="Y14">
            <v>1021740</v>
          </cell>
          <cell r="Z14" t="str">
            <v>GO Pana S/Corazón@ Cj 20k AS</v>
          </cell>
          <cell r="AA14">
            <v>106687</v>
          </cell>
        </row>
        <row r="15">
          <cell r="C15" t="str">
            <v>Agro Sudamerica1020869</v>
          </cell>
          <cell r="D15" t="str">
            <v>Agro Sudamerica</v>
          </cell>
          <cell r="E15">
            <v>1020869</v>
          </cell>
          <cell r="F15" t="str">
            <v>GO Cos 79@ Bo Cj 20k AS</v>
          </cell>
          <cell r="G15">
            <v>0</v>
          </cell>
          <cell r="Y15">
            <v>1021765</v>
          </cell>
          <cell r="Z15" t="str">
            <v>GO Pna Nor@ Bo Cj 20k AS</v>
          </cell>
          <cell r="AA15">
            <v>0</v>
          </cell>
        </row>
        <row r="16">
          <cell r="C16" t="str">
            <v>Agro Sudamerica1020886</v>
          </cell>
          <cell r="D16" t="str">
            <v>Agro Sudamerica</v>
          </cell>
          <cell r="E16">
            <v>1020886</v>
          </cell>
          <cell r="F16" t="str">
            <v>GO Panc Tecl Nor@ Cj 20k AS</v>
          </cell>
          <cell r="G16">
            <v>5273</v>
          </cell>
          <cell r="Y16">
            <v>1021766</v>
          </cell>
          <cell r="Z16" t="str">
            <v>GO Hso Cogote@ Cj 20k AS</v>
          </cell>
          <cell r="AA16">
            <v>223956</v>
          </cell>
        </row>
        <row r="17">
          <cell r="C17" t="str">
            <v>Agro Sudamerica1020915</v>
          </cell>
          <cell r="D17" t="str">
            <v>Agro Sudamerica</v>
          </cell>
          <cell r="E17">
            <v>1020915</v>
          </cell>
          <cell r="F17" t="str">
            <v>GO Pna Nor@ Bo Cj 20k AS</v>
          </cell>
          <cell r="G17">
            <v>0</v>
          </cell>
          <cell r="Y17">
            <v>1021767</v>
          </cell>
          <cell r="Z17" t="str">
            <v>GO Tira Hso Ctro@ Cj 20k AS</v>
          </cell>
          <cell r="AA17">
            <v>267160</v>
          </cell>
        </row>
        <row r="18">
          <cell r="C18" t="str">
            <v>Agro Sudamerica1020925</v>
          </cell>
          <cell r="D18" t="str">
            <v>Agro Sudamerica</v>
          </cell>
          <cell r="E18">
            <v>1020925</v>
          </cell>
          <cell r="F18" t="str">
            <v>GO Grasa Forro Pna Limp@ Cj 20k AS</v>
          </cell>
          <cell r="G18">
            <v>18363</v>
          </cell>
          <cell r="Y18">
            <v>1021774</v>
          </cell>
          <cell r="Z18" t="str">
            <v>GO Hso húmer@ Bo Cj 20k AS</v>
          </cell>
          <cell r="AA18">
            <v>51378</v>
          </cell>
        </row>
        <row r="19">
          <cell r="C19" t="str">
            <v>Agro Sudamerica1020944</v>
          </cell>
          <cell r="D19" t="str">
            <v>Agro Sudamerica</v>
          </cell>
          <cell r="E19">
            <v>1020944</v>
          </cell>
          <cell r="F19" t="str">
            <v>GO PpPna 59@ Fi Cj 20k AS</v>
          </cell>
          <cell r="G19">
            <v>221194</v>
          </cell>
          <cell r="Y19">
            <v>1021905</v>
          </cell>
          <cell r="Z19" t="str">
            <v>GO Reco 70/30 @ Cj 20k AS</v>
          </cell>
          <cell r="AA19">
            <v>0</v>
          </cell>
        </row>
        <row r="20">
          <cell r="C20" t="str">
            <v>Agro Sudamerica1021023</v>
          </cell>
          <cell r="D20" t="str">
            <v>Agro Sudamerica</v>
          </cell>
          <cell r="E20">
            <v>1021023</v>
          </cell>
          <cell r="F20" t="str">
            <v>GO Gord rebaje@ Bo Cj 20k AS</v>
          </cell>
          <cell r="G20">
            <v>182908</v>
          </cell>
          <cell r="Y20">
            <v>1021971</v>
          </cell>
          <cell r="Z20" t="str">
            <v>GO Cue Back@ Cj 20k bca AS</v>
          </cell>
          <cell r="AA20">
            <v>0</v>
          </cell>
        </row>
        <row r="21">
          <cell r="C21" t="str">
            <v>Agro Sudamerica1021039</v>
          </cell>
          <cell r="D21" t="str">
            <v>Agro Sudamerica</v>
          </cell>
          <cell r="E21">
            <v>1021039</v>
          </cell>
          <cell r="F21" t="str">
            <v>GO Cue Papda CP@ Cj 20k bca AS</v>
          </cell>
          <cell r="G21">
            <v>19000</v>
          </cell>
          <cell r="Y21">
            <v>1021992</v>
          </cell>
          <cell r="Z21" t="str">
            <v>GO Lom Tocino@ Cj 20k AS</v>
          </cell>
          <cell r="AA21">
            <v>0</v>
          </cell>
        </row>
        <row r="22">
          <cell r="C22" t="str">
            <v>Agro Sudamerica1021078</v>
          </cell>
          <cell r="D22" t="str">
            <v>Agro Sudamerica</v>
          </cell>
          <cell r="E22">
            <v>1021078</v>
          </cell>
          <cell r="F22" t="str">
            <v>GO Triming 80/20@ Cj 20k AS</v>
          </cell>
          <cell r="G22">
            <v>55716</v>
          </cell>
          <cell r="Y22">
            <v>1022033</v>
          </cell>
          <cell r="Z22" t="str">
            <v>GO Lengua@ Fi Cj 10k AS</v>
          </cell>
          <cell r="AA22">
            <v>37680</v>
          </cell>
        </row>
        <row r="23">
          <cell r="C23" t="str">
            <v>Agro Sudamerica1021082</v>
          </cell>
          <cell r="D23" t="str">
            <v>Agro Sudamerica</v>
          </cell>
          <cell r="E23">
            <v>1021082</v>
          </cell>
          <cell r="F23" t="str">
            <v>GO Triming 70/30@ Cj 20k AS</v>
          </cell>
          <cell r="G23">
            <v>0</v>
          </cell>
          <cell r="Y23">
            <v>1022073</v>
          </cell>
          <cell r="Z23" t="str">
            <v>GO Mantec@ Cj 20k AS</v>
          </cell>
          <cell r="AA23">
            <v>0</v>
          </cell>
        </row>
        <row r="24">
          <cell r="C24" t="str">
            <v>Agro Sudamerica1021085</v>
          </cell>
          <cell r="D24" t="str">
            <v>Agro Sudamerica</v>
          </cell>
          <cell r="E24">
            <v>1021085</v>
          </cell>
          <cell r="F24" t="str">
            <v>GO Gord Esp@ Cj 20k AS</v>
          </cell>
          <cell r="G24">
            <v>0</v>
          </cell>
          <cell r="Y24">
            <v>1022080</v>
          </cell>
          <cell r="Z24" t="str">
            <v>GO Cola Nor@ Fi Cj 10k AS</v>
          </cell>
          <cell r="AA24">
            <v>56051</v>
          </cell>
        </row>
        <row r="25">
          <cell r="C25" t="str">
            <v>Agro Sudamerica1021092</v>
          </cell>
          <cell r="D25" t="str">
            <v>Agro Sudamerica</v>
          </cell>
          <cell r="E25">
            <v>1021092</v>
          </cell>
          <cell r="F25" t="str">
            <v>GO Triming 85/15@ Cj t-f 20k AS</v>
          </cell>
          <cell r="G25">
            <v>129511</v>
          </cell>
          <cell r="Y25">
            <v>1022082</v>
          </cell>
          <cell r="Z25" t="str">
            <v>GO Reco 80/20 @ Cj 20k AS</v>
          </cell>
          <cell r="AA25">
            <v>43448</v>
          </cell>
        </row>
        <row r="26">
          <cell r="C26" t="str">
            <v>Agro Sudamerica1021105</v>
          </cell>
          <cell r="D26" t="str">
            <v>Agro Sudamerica</v>
          </cell>
          <cell r="E26">
            <v>1021105</v>
          </cell>
          <cell r="F26" t="str">
            <v>GO Pulmon@ Cj 20k bca AS</v>
          </cell>
          <cell r="G26">
            <v>54217</v>
          </cell>
          <cell r="Y26">
            <v>1022096</v>
          </cell>
          <cell r="Z26" t="str">
            <v>GO Sternum Bones@ Bo Cj 10k AS</v>
          </cell>
          <cell r="AA26">
            <v>107734</v>
          </cell>
        </row>
        <row r="27">
          <cell r="C27" t="str">
            <v>Agro Sudamerica1021106</v>
          </cell>
          <cell r="D27" t="str">
            <v>Agro Sudamerica</v>
          </cell>
          <cell r="E27">
            <v>1021106</v>
          </cell>
          <cell r="F27" t="str">
            <v>GO Pana S/Corazón@ Cj 20k AS</v>
          </cell>
          <cell r="G27">
            <v>0</v>
          </cell>
          <cell r="Y27">
            <v>1022099</v>
          </cell>
          <cell r="Z27" t="str">
            <v>GO Hso Costilla@ Cj 18k AS</v>
          </cell>
          <cell r="AA27">
            <v>111630</v>
          </cell>
        </row>
        <row r="28">
          <cell r="C28" t="str">
            <v>Agro Sudamerica1021111</v>
          </cell>
          <cell r="D28" t="str">
            <v>Agro Sudamerica</v>
          </cell>
          <cell r="E28">
            <v>1021111</v>
          </cell>
          <cell r="F28" t="str">
            <v>GO Epiplón@ Cj 20k AS</v>
          </cell>
          <cell r="G28">
            <v>4533</v>
          </cell>
          <cell r="Y28">
            <v>1022125</v>
          </cell>
          <cell r="Z28" t="str">
            <v>GO PernilM C/M@ Cj 20k AS</v>
          </cell>
          <cell r="AA28">
            <v>173053</v>
          </cell>
        </row>
        <row r="29">
          <cell r="C29" t="str">
            <v>Agro Sudamerica1021187</v>
          </cell>
          <cell r="D29" t="str">
            <v>Agro Sudamerica</v>
          </cell>
          <cell r="E29">
            <v>1021187</v>
          </cell>
          <cell r="F29" t="str">
            <v>GO Cue Back@ Cj 20k t-f AS</v>
          </cell>
          <cell r="G29">
            <v>52215</v>
          </cell>
          <cell r="Y29">
            <v>1022169</v>
          </cell>
          <cell r="Z29" t="str">
            <v>GO Cartilag Lom@ Cj 10k AS</v>
          </cell>
          <cell r="AA29">
            <v>111278</v>
          </cell>
        </row>
        <row r="30">
          <cell r="C30" t="str">
            <v>Agro Sudamerica1021385</v>
          </cell>
          <cell r="D30" t="str">
            <v>Agro Sudamerica</v>
          </cell>
          <cell r="E30">
            <v>1021385</v>
          </cell>
          <cell r="F30" t="str">
            <v>GO Cue granel Esp CC@ Cj 20k AS</v>
          </cell>
          <cell r="G30">
            <v>150837</v>
          </cell>
          <cell r="Y30">
            <v>1022183</v>
          </cell>
          <cell r="Z30" t="str">
            <v>GO PernilP@ Bo Cj 20k AS</v>
          </cell>
          <cell r="AA30">
            <v>514700</v>
          </cell>
        </row>
        <row r="31">
          <cell r="C31" t="str">
            <v>Agro Sudamerica1021622</v>
          </cell>
          <cell r="D31" t="str">
            <v>Agro Sudamerica</v>
          </cell>
          <cell r="E31">
            <v>1021622</v>
          </cell>
          <cell r="F31" t="str">
            <v>GO BB Ribs 20-24 Oz@ Cj 10k AS</v>
          </cell>
          <cell r="G31">
            <v>5011</v>
          </cell>
          <cell r="Y31">
            <v>1022186</v>
          </cell>
          <cell r="Z31" t="str">
            <v>GO Resto Tira Hso Ctro@ Bo Cj 20k AS</v>
          </cell>
          <cell r="AA31">
            <v>47327</v>
          </cell>
        </row>
        <row r="32">
          <cell r="C32" t="str">
            <v>Agro Sudamerica1021864</v>
          </cell>
          <cell r="D32" t="str">
            <v>Agro Sudamerica</v>
          </cell>
          <cell r="E32">
            <v>1021864</v>
          </cell>
          <cell r="F32" t="str">
            <v>GO Cue Papda CP@ Cj 20k AS</v>
          </cell>
          <cell r="G32"/>
          <cell r="Y32">
            <v>1022193</v>
          </cell>
          <cell r="Z32" t="str">
            <v>GO Lom Vet 44@ Bo Cj 20k AS</v>
          </cell>
          <cell r="AA32">
            <v>0</v>
          </cell>
        </row>
        <row r="33">
          <cell r="C33" t="str">
            <v>Agro Sudamerica1021976</v>
          </cell>
          <cell r="D33" t="str">
            <v>Agro Sudamerica</v>
          </cell>
          <cell r="E33">
            <v>1021976</v>
          </cell>
          <cell r="F33" t="str">
            <v>GO PpPal 77@ Cj 20k AS</v>
          </cell>
          <cell r="G33">
            <v>55532</v>
          </cell>
          <cell r="Y33">
            <v>1022212</v>
          </cell>
          <cell r="Z33" t="str">
            <v>GO Cab Ent@ Cj 20k AS</v>
          </cell>
          <cell r="AA33">
            <v>0</v>
          </cell>
        </row>
        <row r="34">
          <cell r="C34" t="str">
            <v>Agro Sudamerica1021980</v>
          </cell>
          <cell r="D34" t="str">
            <v>Agro Sudamerica</v>
          </cell>
          <cell r="E34">
            <v>1021980</v>
          </cell>
          <cell r="F34" t="str">
            <v>GO BB Ribs Grd B@ Fi Cj 20k AS</v>
          </cell>
          <cell r="G34">
            <v>0</v>
          </cell>
          <cell r="Y34">
            <v>1022291</v>
          </cell>
          <cell r="Z34" t="str">
            <v>GO PernilM B@ Bo Cj 20k AS</v>
          </cell>
          <cell r="AA34">
            <v>17368</v>
          </cell>
        </row>
        <row r="35">
          <cell r="C35" t="str">
            <v>Agro Sudamerica1022149</v>
          </cell>
          <cell r="D35" t="str">
            <v>Agro Sudamerica</v>
          </cell>
          <cell r="E35">
            <v>1022149</v>
          </cell>
          <cell r="F35" t="str">
            <v>GO Plancha Rebaje Ent@ Cj 20k AS</v>
          </cell>
          <cell r="G35">
            <v>0</v>
          </cell>
          <cell r="Y35">
            <v>1022373</v>
          </cell>
          <cell r="Z35" t="str">
            <v>GO Reco 60/40 @ Cj 20k AS</v>
          </cell>
          <cell r="AA35">
            <v>72000</v>
          </cell>
        </row>
        <row r="36">
          <cell r="C36" t="str">
            <v>Agro Sudamerica1022150</v>
          </cell>
          <cell r="D36" t="str">
            <v>Agro Sudamerica</v>
          </cell>
          <cell r="E36">
            <v>1022150</v>
          </cell>
          <cell r="F36" t="str">
            <v>GO Gord chic@ Cj 20k AS</v>
          </cell>
          <cell r="G36">
            <v>113453</v>
          </cell>
          <cell r="Y36">
            <v>1022378</v>
          </cell>
          <cell r="Z36" t="str">
            <v>GO Resto Tira Hso@ Fi Cj 10k AS</v>
          </cell>
          <cell r="AA36">
            <v>57311</v>
          </cell>
        </row>
        <row r="37">
          <cell r="C37" t="str">
            <v>Agro Sudamerica1022196</v>
          </cell>
          <cell r="D37" t="str">
            <v>Agro Sudamerica</v>
          </cell>
          <cell r="E37">
            <v>1022196</v>
          </cell>
          <cell r="F37" t="str">
            <v>GO Forro Pal@ Cj 20k AS</v>
          </cell>
          <cell r="G37">
            <v>32990</v>
          </cell>
          <cell r="Y37">
            <v>1022379</v>
          </cell>
          <cell r="Z37" t="str">
            <v>GO PpPal 77@ Bo Cj AS</v>
          </cell>
          <cell r="AA37">
            <v>0</v>
          </cell>
        </row>
        <row r="38">
          <cell r="C38" t="str">
            <v>Agro Sudamerica1022197</v>
          </cell>
          <cell r="D38" t="str">
            <v>Agro Sudamerica</v>
          </cell>
          <cell r="E38">
            <v>1022197</v>
          </cell>
          <cell r="F38" t="str">
            <v>GO Pna Forro@ Cj 20k AS</v>
          </cell>
          <cell r="G38">
            <v>0</v>
          </cell>
          <cell r="Y38">
            <v>1022381</v>
          </cell>
          <cell r="Z38" t="str">
            <v>GO Gord Esp@ Bo Cj 10k AS</v>
          </cell>
          <cell r="AA38">
            <v>65792</v>
          </cell>
        </row>
        <row r="39">
          <cell r="C39" t="str">
            <v>Agro Sudamerica1022409</v>
          </cell>
          <cell r="D39" t="str">
            <v>Agro Sudamerica</v>
          </cell>
          <cell r="E39">
            <v>1022409</v>
          </cell>
          <cell r="F39" t="str">
            <v>GO Tripa s/Cal# Bidon AS</v>
          </cell>
          <cell r="G39">
            <v>24171</v>
          </cell>
          <cell r="Y39">
            <v>1022388</v>
          </cell>
          <cell r="Z39" t="str">
            <v>GO Mixto Hso@ Bo Cj 10k AS</v>
          </cell>
          <cell r="AA39">
            <v>54736</v>
          </cell>
        </row>
        <row r="40">
          <cell r="C40" t="str">
            <v>Agro Sudamerica1022781</v>
          </cell>
          <cell r="D40" t="str">
            <v>Agro Sudamerica</v>
          </cell>
          <cell r="E40">
            <v>1022781</v>
          </cell>
          <cell r="F40" t="str">
            <v>GO Tripa Calib 32/35# Bo Bidon AS</v>
          </cell>
          <cell r="G40">
            <v>14087</v>
          </cell>
          <cell r="Y40">
            <v>1022389</v>
          </cell>
          <cell r="Z40" t="str">
            <v>GO Cue 20@ Bo Cj 20k AS</v>
          </cell>
          <cell r="AA40">
            <v>0</v>
          </cell>
        </row>
        <row r="41">
          <cell r="C41" t="str">
            <v>Agro Sudamerica1022782</v>
          </cell>
          <cell r="D41" t="str">
            <v>Agro Sudamerica</v>
          </cell>
          <cell r="E41">
            <v>1022782</v>
          </cell>
          <cell r="F41" t="str">
            <v>GO Tripa Calib 35/38# Bo Bidon AS</v>
          </cell>
          <cell r="G41">
            <v>2868</v>
          </cell>
          <cell r="Y41">
            <v>1022414</v>
          </cell>
          <cell r="Z41" t="str">
            <v>GO Caz Ent@ Bo Cj 10k AS</v>
          </cell>
          <cell r="AA41">
            <v>116000</v>
          </cell>
        </row>
        <row r="42">
          <cell r="C42" t="str">
            <v>Agro Sudamerica1022783</v>
          </cell>
          <cell r="D42" t="str">
            <v>Agro Sudamerica</v>
          </cell>
          <cell r="E42">
            <v>1022783</v>
          </cell>
          <cell r="F42" t="str">
            <v>GO Tripa Calib 38/40# Bo Bidon AS</v>
          </cell>
          <cell r="G42"/>
          <cell r="Y42">
            <v>1022416</v>
          </cell>
          <cell r="Z42" t="str">
            <v>GO Chu Vet Repas@ Bo Cj 21k AS</v>
          </cell>
          <cell r="AA42">
            <v>0</v>
          </cell>
        </row>
        <row r="43">
          <cell r="C43" t="str">
            <v>Agro Sudamerica1022784</v>
          </cell>
          <cell r="D43" t="str">
            <v>Agro Sudamerica</v>
          </cell>
          <cell r="E43">
            <v>1022784</v>
          </cell>
          <cell r="F43" t="str">
            <v>GO Tripa Calib 40/42# Bo Bin AS</v>
          </cell>
          <cell r="G43">
            <v>5895</v>
          </cell>
          <cell r="Y43">
            <v>1022417</v>
          </cell>
          <cell r="Z43" t="str">
            <v>GO Cue granel@ Bo Cj 20k AS</v>
          </cell>
          <cell r="AA43">
            <v>489284</v>
          </cell>
        </row>
        <row r="44">
          <cell r="C44" t="str">
            <v>Agro Sudamerica1022847</v>
          </cell>
          <cell r="D44" t="str">
            <v>Agro Sudamerica</v>
          </cell>
          <cell r="E44">
            <v>1022847</v>
          </cell>
          <cell r="F44" t="str">
            <v>GO Cne Falda Pan@ CJ 20k AS</v>
          </cell>
          <cell r="G44">
            <v>24220</v>
          </cell>
          <cell r="Y44">
            <v>1022418</v>
          </cell>
          <cell r="Z44" t="str">
            <v>GO Tripa s/Cal# Bidon AS</v>
          </cell>
          <cell r="AA44">
            <v>0</v>
          </cell>
        </row>
        <row r="45">
          <cell r="C45" t="str">
            <v>Agro Sudamerica1022855</v>
          </cell>
          <cell r="D45" t="str">
            <v>Agro Sudamerica</v>
          </cell>
          <cell r="E45">
            <v>1022855</v>
          </cell>
          <cell r="F45" t="str">
            <v>GO Grasa Forro Pal@ Cj 20k AS</v>
          </cell>
          <cell r="G45">
            <v>17929</v>
          </cell>
          <cell r="Y45">
            <v>1022541</v>
          </cell>
          <cell r="Z45" t="str">
            <v>GO Reco 20/80 @ Cj 20k AS</v>
          </cell>
          <cell r="AA45">
            <v>405100</v>
          </cell>
        </row>
        <row r="46">
          <cell r="C46" t="str">
            <v>Agro Sudamerica1022920</v>
          </cell>
          <cell r="D46" t="str">
            <v>Agro Sudamerica</v>
          </cell>
          <cell r="E46">
            <v>1022920</v>
          </cell>
          <cell r="F46" t="str">
            <v>GO Gord Rebaje@ Cj 20k AS</v>
          </cell>
          <cell r="G46">
            <v>0</v>
          </cell>
          <cell r="Y46">
            <v>1022568</v>
          </cell>
          <cell r="Z46" t="str">
            <v>GO Panc Tecla SCue@ 4 Bo Cj 20kg AS</v>
          </cell>
          <cell r="AA46">
            <v>103</v>
          </cell>
        </row>
        <row r="47">
          <cell r="C47" t="str">
            <v>Agro Sudamerica1022921</v>
          </cell>
          <cell r="D47" t="str">
            <v>Agro Sudamerica</v>
          </cell>
          <cell r="E47">
            <v>1022921</v>
          </cell>
          <cell r="F47" t="str">
            <v>GO Gord chic@ Cj 20k AS</v>
          </cell>
          <cell r="G47">
            <v>19082</v>
          </cell>
          <cell r="Y47">
            <v>1022636</v>
          </cell>
          <cell r="Z47" t="str">
            <v>GO Hso Coxal@ Cj 15kg AS</v>
          </cell>
          <cell r="AA47">
            <v>109860</v>
          </cell>
        </row>
        <row r="48">
          <cell r="C48" t="str">
            <v>Agro Sudamerica1022928</v>
          </cell>
          <cell r="D48" t="str">
            <v>Agro Sudamerica</v>
          </cell>
          <cell r="E48">
            <v>1022928</v>
          </cell>
          <cell r="F48" t="str">
            <v>GO Cue Granel Esp CC@Cj 20k AS</v>
          </cell>
          <cell r="G48">
            <v>22</v>
          </cell>
          <cell r="Y48">
            <v>1022637</v>
          </cell>
          <cell r="Z48" t="str">
            <v>GO Hso Escapula@ Cj 15kg AS</v>
          </cell>
          <cell r="AA48">
            <v>67834</v>
          </cell>
        </row>
        <row r="49">
          <cell r="C49" t="str">
            <v>Agro Sudamerica1022996</v>
          </cell>
          <cell r="D49" t="str">
            <v>Agro Sudamerica</v>
          </cell>
          <cell r="E49">
            <v>1022996</v>
          </cell>
          <cell r="F49" t="str">
            <v>GO Visual Triming@ Cj 20k AS</v>
          </cell>
          <cell r="G49">
            <v>0</v>
          </cell>
          <cell r="Y49">
            <v>1022639</v>
          </cell>
          <cell r="Z49" t="str">
            <v>GO Cab Bca Ent S/L@ Cj 20k AS</v>
          </cell>
          <cell r="AA49">
            <v>1053820</v>
          </cell>
        </row>
        <row r="50">
          <cell r="C50" t="str">
            <v>Agro Sudamerica1021077</v>
          </cell>
          <cell r="D50" t="str">
            <v>Agro Sudamerica</v>
          </cell>
          <cell r="E50">
            <v>1021077</v>
          </cell>
          <cell r="F50" t="str">
            <v>GO Gord chic@ Cj 20k AS</v>
          </cell>
          <cell r="G50">
            <v>2061</v>
          </cell>
          <cell r="Y50">
            <v>1022640</v>
          </cell>
          <cell r="Z50" t="str">
            <v>GO Cab Roj Ent S/L@ Cj 20k AS</v>
          </cell>
          <cell r="AA50">
            <v>18849</v>
          </cell>
        </row>
        <row r="51">
          <cell r="C51" t="str">
            <v>Agro Sudamerica1021101</v>
          </cell>
          <cell r="D51" t="str">
            <v>Agro Sudamerica</v>
          </cell>
          <cell r="E51">
            <v>1021101</v>
          </cell>
          <cell r="F51" t="str">
            <v>GO Corazón Partido@ Cj t-f 20k AS</v>
          </cell>
          <cell r="G51">
            <v>27354</v>
          </cell>
          <cell r="Y51">
            <v>1022645</v>
          </cell>
          <cell r="Z51" t="str">
            <v>GO Pecho Belly C/Hso pec@ Vp Cj AS</v>
          </cell>
          <cell r="AA51">
            <v>0</v>
          </cell>
        </row>
        <row r="52">
          <cell r="C52" t="str">
            <v>Agro Sudamerica1021639</v>
          </cell>
          <cell r="D52" t="str">
            <v>Agro Sudamerica</v>
          </cell>
          <cell r="E52">
            <v>1021639</v>
          </cell>
          <cell r="F52" t="str">
            <v>GO File C/cab@ Cj 5k AS</v>
          </cell>
          <cell r="G52">
            <v>0</v>
          </cell>
          <cell r="Y52">
            <v>1022646</v>
          </cell>
          <cell r="Z52" t="str">
            <v>GO Pecho Belly S/p@ Vp Cj AS</v>
          </cell>
          <cell r="AA52">
            <v>11072</v>
          </cell>
        </row>
        <row r="53">
          <cell r="C53" t="str">
            <v>Agro Sudamerica1022047</v>
          </cell>
          <cell r="D53" t="str">
            <v>Agro Sudamerica</v>
          </cell>
          <cell r="E53">
            <v>1022047</v>
          </cell>
          <cell r="F53" t="str">
            <v>GO Triming Panc@ Cj 20k AS</v>
          </cell>
          <cell r="G53">
            <v>24000</v>
          </cell>
          <cell r="Y53">
            <v>1022748</v>
          </cell>
          <cell r="Z53" t="str">
            <v>GO Manos@ Cj 10k AS</v>
          </cell>
          <cell r="AA53">
            <v>136999</v>
          </cell>
        </row>
        <row r="54">
          <cell r="C54" t="str">
            <v>Agro Sudamerica1022406</v>
          </cell>
          <cell r="D54" t="str">
            <v>Agro Sudamerica</v>
          </cell>
          <cell r="E54">
            <v>1022406</v>
          </cell>
          <cell r="F54" t="str">
            <v>GO Patas B@ Bo Cj 20 k AS</v>
          </cell>
          <cell r="G54">
            <v>0</v>
          </cell>
          <cell r="Y54">
            <v>1022753</v>
          </cell>
          <cell r="Z54" t="str">
            <v>GO PernilM 1,3 kg up@ Cj 20k AS</v>
          </cell>
          <cell r="AA54">
            <v>212897</v>
          </cell>
        </row>
        <row r="55">
          <cell r="C55" t="str">
            <v>Agro Sudamerica1022569</v>
          </cell>
          <cell r="D55" t="str">
            <v>Agro Sudamerica</v>
          </cell>
          <cell r="E55">
            <v>1022569</v>
          </cell>
          <cell r="F55" t="str">
            <v>GO BB Ribs 24-28 Oz@ Cj 10k AS</v>
          </cell>
          <cell r="G55">
            <v>0</v>
          </cell>
          <cell r="Y55">
            <v>1022851</v>
          </cell>
          <cell r="Z55" t="str">
            <v>GO Pal Nor@ Cj 20k AS</v>
          </cell>
          <cell r="AA55">
            <v>0</v>
          </cell>
        </row>
        <row r="56">
          <cell r="C56" t="str">
            <v>Agro Sudamerica1022709</v>
          </cell>
          <cell r="D56" t="str">
            <v>Agro Sudamerica</v>
          </cell>
          <cell r="E56">
            <v>1022709</v>
          </cell>
          <cell r="F56" t="str">
            <v>GO PpPna 57@ Bo Cj AS</v>
          </cell>
          <cell r="G56">
            <v>288000</v>
          </cell>
          <cell r="Y56">
            <v>1022856</v>
          </cell>
          <cell r="Z56" t="str">
            <v>GO Reco 10/90 @ Cj 20k AS</v>
          </cell>
          <cell r="AA56">
            <v>136422</v>
          </cell>
        </row>
        <row r="57">
          <cell r="C57" t="str">
            <v>Agro Sudamerica1022705</v>
          </cell>
          <cell r="D57" t="str">
            <v>Agro Sudamerica</v>
          </cell>
          <cell r="E57">
            <v>1022705</v>
          </cell>
          <cell r="F57" t="str">
            <v>GO Mantec@ Cj 20k AS</v>
          </cell>
          <cell r="G57">
            <v>24000</v>
          </cell>
          <cell r="Y57">
            <v>1022936</v>
          </cell>
          <cell r="Z57" t="str">
            <v>GO File C/cab@ Cj 5k AS</v>
          </cell>
          <cell r="AA57">
            <v>585</v>
          </cell>
        </row>
        <row r="58">
          <cell r="C58" t="str">
            <v>Agro Sudamerica1020993</v>
          </cell>
          <cell r="D58" t="str">
            <v>Agro Sudamerica</v>
          </cell>
          <cell r="E58">
            <v>1020993</v>
          </cell>
          <cell r="F58" t="str">
            <v>GO Pal Nor@ Cj 20k AS</v>
          </cell>
          <cell r="G58">
            <v>0</v>
          </cell>
          <cell r="Y58">
            <v>1022939</v>
          </cell>
          <cell r="Z58" t="str">
            <v>GO Pta Cost@ Bo Cj 20k AS</v>
          </cell>
          <cell r="AA58">
            <v>24000</v>
          </cell>
        </row>
        <row r="59">
          <cell r="C59" t="str">
            <v>Agro Sudamerica1022786</v>
          </cell>
          <cell r="D59" t="str">
            <v>Agro Sudamerica</v>
          </cell>
          <cell r="E59">
            <v>1022786</v>
          </cell>
          <cell r="F59" t="str">
            <v>GO Trip Calib Tub 35/39 Azul# Bidon AS</v>
          </cell>
          <cell r="G59">
            <v>300</v>
          </cell>
          <cell r="Y59">
            <v>1022940</v>
          </cell>
          <cell r="Z59" t="str">
            <v>GO PernilM 1 kg down@ Cj 20k AS</v>
          </cell>
          <cell r="AA59">
            <v>0</v>
          </cell>
        </row>
        <row r="60">
          <cell r="C60" t="str">
            <v>Agro Sudamerica1023295</v>
          </cell>
          <cell r="D60" t="str">
            <v>Agro Sudamerica</v>
          </cell>
          <cell r="E60">
            <v>1023295</v>
          </cell>
          <cell r="F60" t="str">
            <v>GO Trip Calib Tub 37/40 Azul# Cj AS</v>
          </cell>
          <cell r="G60">
            <v>1000</v>
          </cell>
          <cell r="Y60">
            <v>1022941</v>
          </cell>
          <cell r="Z60" t="str">
            <v>GO PernilM 1-1.3 kg@ Cj 20k AS</v>
          </cell>
          <cell r="AA60">
            <v>0</v>
          </cell>
        </row>
        <row r="61">
          <cell r="C61" t="str">
            <v>Agro Sudamerica1021868</v>
          </cell>
          <cell r="D61" t="str">
            <v>Agro Sudamerica</v>
          </cell>
          <cell r="E61">
            <v>1021868</v>
          </cell>
          <cell r="F61" t="str">
            <v>GO PpPna 54@ Cj 20k AS</v>
          </cell>
          <cell r="G61">
            <v>60279</v>
          </cell>
          <cell r="Y61">
            <v>1022943</v>
          </cell>
          <cell r="Z61" t="str">
            <v>GO Lom Ctro@ Cj 16k AS</v>
          </cell>
          <cell r="AA61">
            <v>53674</v>
          </cell>
        </row>
        <row r="62">
          <cell r="C62" t="str">
            <v>Agro Sudamerica1023331</v>
          </cell>
          <cell r="D62" t="str">
            <v>Agro Sudamerica</v>
          </cell>
          <cell r="E62">
            <v>1023331</v>
          </cell>
          <cell r="F62" t="str">
            <v>GO Lom Vet 44@ Bo Cj 20k AS</v>
          </cell>
          <cell r="G62">
            <v>0</v>
          </cell>
          <cell r="Y62">
            <v>1022945</v>
          </cell>
          <cell r="Z62" t="str">
            <v>GO Mantec@ Cj 20k AS</v>
          </cell>
          <cell r="AA62">
            <v>307160</v>
          </cell>
        </row>
        <row r="63">
          <cell r="C63" t="str">
            <v>Agro Sudamerica1023355</v>
          </cell>
          <cell r="D63" t="str">
            <v>Agro Sudamerica</v>
          </cell>
          <cell r="E63">
            <v>1023355</v>
          </cell>
          <cell r="F63" t="str">
            <v>GO Pulmon@ Cj 20k AS</v>
          </cell>
          <cell r="G63">
            <v>24500</v>
          </cell>
          <cell r="Y63">
            <v>1022995</v>
          </cell>
          <cell r="Z63" t="str">
            <v>GO Panc Tec /C cue S/H@ Cj 20k AS</v>
          </cell>
          <cell r="AA63">
            <v>0</v>
          </cell>
        </row>
        <row r="64">
          <cell r="C64" t="str">
            <v>Agro Sudamerica1010877</v>
          </cell>
          <cell r="D64" t="str">
            <v>Agro Sudamerica</v>
          </cell>
          <cell r="E64">
            <v>1010877</v>
          </cell>
          <cell r="F64" t="str">
            <v>PO Molleja Mrps@ Cj 10k AS</v>
          </cell>
          <cell r="G64">
            <v>124984</v>
          </cell>
          <cell r="Y64">
            <v>1023034</v>
          </cell>
          <cell r="Z64" t="str">
            <v>GO Forro Pal@ Bo Cj 20k AS</v>
          </cell>
          <cell r="AA64">
            <v>71359</v>
          </cell>
        </row>
        <row r="65">
          <cell r="C65" t="str">
            <v>Agro Sudamerica1011042</v>
          </cell>
          <cell r="D65" t="str">
            <v>Agro Sudamerica</v>
          </cell>
          <cell r="E65">
            <v>1011042</v>
          </cell>
          <cell r="F65" t="str">
            <v>PO Pta Espinaz@ Cj 10k AS</v>
          </cell>
          <cell r="G65">
            <v>0</v>
          </cell>
          <cell r="Y65">
            <v>1023047</v>
          </cell>
          <cell r="Z65" t="str">
            <v>GO Lom Vet 44@ Fi Cj 18k AS</v>
          </cell>
          <cell r="AA65">
            <v>0</v>
          </cell>
        </row>
        <row r="66">
          <cell r="C66" t="str">
            <v>Agro Sudamerica1011290</v>
          </cell>
          <cell r="D66" t="str">
            <v>Agro Sudamerica</v>
          </cell>
          <cell r="E66">
            <v>1011290</v>
          </cell>
          <cell r="F66" t="str">
            <v>PO Pch Piel@ Cj 20k AS</v>
          </cell>
          <cell r="G66">
            <v>0</v>
          </cell>
          <cell r="Y66">
            <v>1023093</v>
          </cell>
          <cell r="Z66" t="str">
            <v>GO Cordon Lom@ Bo Cj 20k AS</v>
          </cell>
          <cell r="AA66">
            <v>64626</v>
          </cell>
        </row>
        <row r="67">
          <cell r="C67" t="str">
            <v>Agro Sudamerica1011421</v>
          </cell>
          <cell r="D67" t="str">
            <v>Agro Sudamerica</v>
          </cell>
          <cell r="E67">
            <v>1011421</v>
          </cell>
          <cell r="F67" t="str">
            <v>PO Ppa Esp 50 Pim@ Cj 20k AS</v>
          </cell>
          <cell r="G67">
            <v>604441</v>
          </cell>
          <cell r="Y67">
            <v>1023109</v>
          </cell>
          <cell r="Z67" t="str">
            <v>GO Reco 20/80 @ Cj 20k AS</v>
          </cell>
          <cell r="AA67">
            <v>21578</v>
          </cell>
        </row>
        <row r="68">
          <cell r="C68" t="str">
            <v>Agro Sudamerica1011558</v>
          </cell>
          <cell r="D68" t="str">
            <v>Agro Sudamerica</v>
          </cell>
          <cell r="E68">
            <v>1011558</v>
          </cell>
          <cell r="F68" t="str">
            <v>PO Ppa Esp@ 2 blo x 10k Cj AS</v>
          </cell>
          <cell r="G68">
            <v>241117</v>
          </cell>
          <cell r="Y68">
            <v>1023110</v>
          </cell>
          <cell r="Z68" t="str">
            <v>GO Pna Forro@ Bo Cj 20k AS</v>
          </cell>
          <cell r="AA68">
            <v>0</v>
          </cell>
        </row>
        <row r="69">
          <cell r="C69" t="str">
            <v>Agro Sudamerica1012207</v>
          </cell>
          <cell r="D69" t="str">
            <v>Agro Sudamerica</v>
          </cell>
          <cell r="E69">
            <v>1012207</v>
          </cell>
          <cell r="F69" t="str">
            <v>PO Ctre Mrps@ Bo 12x1k Cj AS</v>
          </cell>
          <cell r="G69">
            <v>41500</v>
          </cell>
          <cell r="Y69">
            <v>1023111</v>
          </cell>
          <cell r="Z69" t="str">
            <v>GO Grasa Forro Pna Limp@ Bo Cj 20k AS</v>
          </cell>
          <cell r="AA69">
            <v>8073</v>
          </cell>
        </row>
        <row r="70">
          <cell r="C70" t="str">
            <v>Agro Sudamerica1012208</v>
          </cell>
          <cell r="D70" t="str">
            <v>Agro Sudamerica</v>
          </cell>
          <cell r="E70">
            <v>1012208</v>
          </cell>
          <cell r="F70" t="str">
            <v>GA S/m@ Bo Cj AS</v>
          </cell>
          <cell r="G70">
            <v>20493</v>
          </cell>
          <cell r="Y70">
            <v>1023126</v>
          </cell>
          <cell r="Z70" t="str">
            <v>GO Reco 90/10 @ Cj 20k AS</v>
          </cell>
          <cell r="AA70">
            <v>8275</v>
          </cell>
        </row>
        <row r="71">
          <cell r="C71" t="str">
            <v>Agro Sudamerica1012283</v>
          </cell>
          <cell r="D71" t="str">
            <v>Agro Sudamerica</v>
          </cell>
          <cell r="E71">
            <v>1012283</v>
          </cell>
          <cell r="F71" t="str">
            <v>PO Pana S/Corazón@ Cj 20k AS</v>
          </cell>
          <cell r="G71">
            <v>16654</v>
          </cell>
          <cell r="Y71">
            <v>1023143</v>
          </cell>
          <cell r="Z71" t="str">
            <v>GO Platead@ Fi Cj 20k AS</v>
          </cell>
          <cell r="AA71">
            <v>1000</v>
          </cell>
        </row>
        <row r="72">
          <cell r="C72" t="str">
            <v>Agro Sudamerica1012552</v>
          </cell>
          <cell r="D72" t="str">
            <v>Agro Sudamerica</v>
          </cell>
          <cell r="E72">
            <v>1012552</v>
          </cell>
          <cell r="F72" t="str">
            <v>PO PchDeh Random@ Cj 10k AS</v>
          </cell>
          <cell r="G72">
            <v>390</v>
          </cell>
          <cell r="Y72">
            <v>1023157</v>
          </cell>
          <cell r="Z72" t="str">
            <v>GO Lom Tocin@ Cj 20k AS</v>
          </cell>
          <cell r="AA72">
            <v>900</v>
          </cell>
        </row>
        <row r="73">
          <cell r="C73" t="str">
            <v>Agro Sudamerica1012556</v>
          </cell>
          <cell r="D73" t="str">
            <v>Agro Sudamerica</v>
          </cell>
          <cell r="E73">
            <v>1012556</v>
          </cell>
          <cell r="F73" t="str">
            <v>PO CDM 14% proteina@ Cj 20k AS</v>
          </cell>
          <cell r="G73">
            <v>240000</v>
          </cell>
          <cell r="Y73">
            <v>1023035</v>
          </cell>
          <cell r="Z73" t="str">
            <v>GO Belly Strip@ Cj 20k AS</v>
          </cell>
          <cell r="AA73">
            <v>0</v>
          </cell>
        </row>
        <row r="74">
          <cell r="C74" t="str">
            <v>Agro Sudamerica1012719</v>
          </cell>
          <cell r="D74" t="str">
            <v>Agro Sudamerica</v>
          </cell>
          <cell r="E74">
            <v>1012719</v>
          </cell>
          <cell r="F74" t="str">
            <v>PO Ppa Esp@ 2 Blox10kg CJ AS SD</v>
          </cell>
          <cell r="G74">
            <v>192000</v>
          </cell>
          <cell r="Y74">
            <v>1023290</v>
          </cell>
          <cell r="Z74" t="str">
            <v>GO Hso tibia @ Cj 20k AS</v>
          </cell>
          <cell r="AA74">
            <v>0</v>
          </cell>
        </row>
        <row r="75">
          <cell r="C75" t="str">
            <v>Agro Sudamerica1012763</v>
          </cell>
          <cell r="D75" t="str">
            <v>Agro Sudamerica</v>
          </cell>
          <cell r="E75">
            <v>1012763</v>
          </cell>
          <cell r="F75" t="str">
            <v>PO Pana S/cora blo@Cj 20kg AS</v>
          </cell>
          <cell r="G75">
            <v>74419</v>
          </cell>
          <cell r="Y75">
            <v>1023306</v>
          </cell>
          <cell r="Z75" t="str">
            <v>GO Cue granel@ Bo Cj 20k AS</v>
          </cell>
          <cell r="AA75">
            <v>0</v>
          </cell>
        </row>
        <row r="76">
          <cell r="C76" t="str">
            <v>Agro Sudamerica1012362</v>
          </cell>
          <cell r="D76" t="str">
            <v>Agro Sudamerica</v>
          </cell>
          <cell r="E76">
            <v>1012362</v>
          </cell>
          <cell r="F76" t="str">
            <v>PO Corazon@ Cj 18k AS</v>
          </cell>
          <cell r="G76"/>
          <cell r="Y76">
            <v>1023291</v>
          </cell>
          <cell r="Z76" t="str">
            <v>GO Hso Costilla 4x 5kg @ Cj 20k AS</v>
          </cell>
          <cell r="AA76">
            <v>34524</v>
          </cell>
        </row>
        <row r="77">
          <cell r="C77" t="str">
            <v>Agro Sudamerica1012778</v>
          </cell>
          <cell r="D77" t="str">
            <v>Agro Sudamerica</v>
          </cell>
          <cell r="E77">
            <v>1012778</v>
          </cell>
          <cell r="F77" t="str">
            <v>PO Corazón@ Placa Cj 19kg SD</v>
          </cell>
          <cell r="G77">
            <v>0</v>
          </cell>
          <cell r="Y77">
            <v>1023354</v>
          </cell>
          <cell r="Z77" t="str">
            <v>GO PernilM 1 kg down@ Cj 10k AS</v>
          </cell>
          <cell r="AA77">
            <v>0</v>
          </cell>
        </row>
        <row r="78">
          <cell r="C78" t="str">
            <v>Agro Sudamerica1022842</v>
          </cell>
          <cell r="D78" t="str">
            <v>Agro Sudamerica</v>
          </cell>
          <cell r="E78">
            <v>1022842</v>
          </cell>
          <cell r="F78" t="str">
            <v>GO Triming Lom@ Cj 20k AS</v>
          </cell>
          <cell r="G78">
            <v>0</v>
          </cell>
          <cell r="Y78">
            <v>1023362</v>
          </cell>
          <cell r="Z78" t="str">
            <v>GO Cuarto Delant @ COM Cj AS</v>
          </cell>
          <cell r="AA78">
            <v>0</v>
          </cell>
        </row>
        <row r="79">
          <cell r="C79" t="str">
            <v>Agro Sudamerica1022844</v>
          </cell>
          <cell r="D79" t="str">
            <v>Agro Sudamerica</v>
          </cell>
          <cell r="E79">
            <v>1022844</v>
          </cell>
          <cell r="F79" t="str">
            <v>GO Cordon Lom@ CJ 20k AS</v>
          </cell>
          <cell r="G79">
            <v>541</v>
          </cell>
          <cell r="Y79">
            <v>1023363</v>
          </cell>
          <cell r="Z79" t="str">
            <v>GO Cuarto Trasero @ COM Cj AS</v>
          </cell>
          <cell r="AA79">
            <v>0</v>
          </cell>
        </row>
        <row r="80">
          <cell r="C80" t="str">
            <v>Agro Sudamerica1012655</v>
          </cell>
          <cell r="D80" t="str">
            <v>Agro Sudamerica</v>
          </cell>
          <cell r="E80">
            <v>1012655</v>
          </cell>
          <cell r="F80" t="str">
            <v>PO Garra Pla@ Cj 20k AS</v>
          </cell>
          <cell r="G80">
            <v>0</v>
          </cell>
          <cell r="Y80">
            <v>1023364</v>
          </cell>
          <cell r="Z80" t="str">
            <v>GO Manos @ COM Cj 20k AS</v>
          </cell>
          <cell r="AA80">
            <v>0</v>
          </cell>
        </row>
        <row r="81">
          <cell r="C81" t="str">
            <v>Agro Sudamerica1020086</v>
          </cell>
          <cell r="D81" t="str">
            <v>Agro Sudamerica</v>
          </cell>
          <cell r="E81">
            <v>1020086</v>
          </cell>
          <cell r="F81" t="str">
            <v>GO Lom Ctro 27 S/f@ Va Cj t-f AS</v>
          </cell>
          <cell r="G81">
            <v>106118</v>
          </cell>
          <cell r="Y81">
            <v>1023365</v>
          </cell>
          <cell r="Z81" t="str">
            <v>GO Mantec @ COM Cj AS</v>
          </cell>
          <cell r="AA81">
            <v>0</v>
          </cell>
        </row>
        <row r="82">
          <cell r="C82" t="str">
            <v>Agro Sudamerica1021279</v>
          </cell>
          <cell r="D82" t="str">
            <v>Agro Sudamerica</v>
          </cell>
          <cell r="E82">
            <v>1021279</v>
          </cell>
          <cell r="F82" t="str">
            <v>GO Hso Pecho@ Cj 10k AS</v>
          </cell>
          <cell r="G82">
            <v>869</v>
          </cell>
          <cell r="Y82">
            <v>1023366</v>
          </cell>
          <cell r="Z82" t="str">
            <v>GO Patas @ COM Cj 20k AS</v>
          </cell>
          <cell r="AA82">
            <v>0</v>
          </cell>
        </row>
        <row r="83">
          <cell r="C83" t="str">
            <v>Agro Sudamerica1022290</v>
          </cell>
          <cell r="D83" t="str">
            <v>Agro Sudamerica</v>
          </cell>
          <cell r="E83">
            <v>1022290</v>
          </cell>
          <cell r="F83" t="str">
            <v>GO Lom Tocino S/cue@ Cj 20k AS</v>
          </cell>
          <cell r="G83">
            <v>0</v>
          </cell>
          <cell r="Y83">
            <v>1023367</v>
          </cell>
          <cell r="Z83" t="str">
            <v>GO Cab Ent @ COM Cj 20k AS</v>
          </cell>
          <cell r="AA83">
            <v>0</v>
          </cell>
        </row>
        <row r="84">
          <cell r="C84" t="str">
            <v>Agro Sudamerica1022459</v>
          </cell>
          <cell r="D84" t="str">
            <v>Agro Sudamerica</v>
          </cell>
          <cell r="E84">
            <v>1022459</v>
          </cell>
          <cell r="F84" t="str">
            <v>GO Cos 75 Mit@ Cj 14k AS</v>
          </cell>
          <cell r="G84">
            <v>0</v>
          </cell>
          <cell r="Y84">
            <v>1023368</v>
          </cell>
          <cell r="Z84" t="str">
            <v>GO Cuarto Central @ COM Cj AS</v>
          </cell>
          <cell r="AA84">
            <v>0</v>
          </cell>
        </row>
        <row r="85">
          <cell r="C85" t="str">
            <v>Agro Sudamerica1022460</v>
          </cell>
          <cell r="D85" t="str">
            <v>Agro Sudamerica</v>
          </cell>
          <cell r="E85">
            <v>1022460</v>
          </cell>
          <cell r="F85" t="str">
            <v>GO BB Ribs@ Cj 13k AS</v>
          </cell>
          <cell r="G85">
            <v>0</v>
          </cell>
          <cell r="Y85">
            <v>1011586</v>
          </cell>
          <cell r="Z85" t="str">
            <v>PO Ala Media B 4x10@ Cj 20k AS</v>
          </cell>
          <cell r="AA85">
            <v>116482</v>
          </cell>
        </row>
        <row r="86">
          <cell r="C86" t="str">
            <v>Agro Sudamerica1023433</v>
          </cell>
          <cell r="D86" t="str">
            <v>Agro Sudamerica</v>
          </cell>
          <cell r="E86">
            <v>1023433</v>
          </cell>
          <cell r="F86" t="str">
            <v>GO Papda Cab@ Cj 20k AS</v>
          </cell>
          <cell r="G86">
            <v>110455</v>
          </cell>
          <cell r="Y86">
            <v>1012448</v>
          </cell>
          <cell r="Z86" t="str">
            <v>PO Garra Economy@ Cj 20k AS</v>
          </cell>
          <cell r="AA86">
            <v>267290</v>
          </cell>
        </row>
        <row r="87">
          <cell r="C87" t="str">
            <v>Agro Sudamerica1023436</v>
          </cell>
          <cell r="D87" t="str">
            <v>Agro Sudamerica</v>
          </cell>
          <cell r="E87">
            <v>1023436</v>
          </cell>
          <cell r="F87" t="str">
            <v>GO Manos@ Cj 20k AS</v>
          </cell>
          <cell r="G87">
            <v>24000</v>
          </cell>
          <cell r="Y87">
            <v>1012452</v>
          </cell>
          <cell r="Z87" t="str">
            <v>PO Ala Media Grado B@ Cj AS</v>
          </cell>
          <cell r="AA87">
            <v>12346</v>
          </cell>
        </row>
        <row r="88">
          <cell r="C88" t="str">
            <v>Agro Sudamerica1012375</v>
          </cell>
          <cell r="D88" t="str">
            <v>Agro Sudamerica</v>
          </cell>
          <cell r="E88">
            <v>1012375</v>
          </cell>
          <cell r="F88" t="str">
            <v>PO Pech c/h c/p@ Cj 16k AS</v>
          </cell>
          <cell r="G88">
            <v>48000</v>
          </cell>
          <cell r="Y88">
            <v>1012455</v>
          </cell>
          <cell r="Z88" t="str">
            <v>PO Ctro Pta Ala Choice@ Cj 20k AS</v>
          </cell>
          <cell r="AA88">
            <v>157453</v>
          </cell>
        </row>
        <row r="89">
          <cell r="C89" t="str">
            <v>Agro Sudamerica1023420</v>
          </cell>
          <cell r="D89" t="str">
            <v>Agro Sudamerica</v>
          </cell>
          <cell r="E89">
            <v>1023420</v>
          </cell>
          <cell r="F89" t="str">
            <v xml:space="preserve"> GO PpPna 59@ Cj 20k AS</v>
          </cell>
          <cell r="G89">
            <v>48000</v>
          </cell>
          <cell r="Y89">
            <v>1012502</v>
          </cell>
          <cell r="Z89" t="str">
            <v>PO Garra Large B@ Cj 20k AS</v>
          </cell>
          <cell r="AA89">
            <v>8088</v>
          </cell>
        </row>
        <row r="90">
          <cell r="C90" t="str">
            <v>Agrosuper Asia1020860</v>
          </cell>
          <cell r="D90" t="str">
            <v>Agrosuper Asia</v>
          </cell>
          <cell r="E90">
            <v>1020860</v>
          </cell>
          <cell r="F90" t="str">
            <v>GO Lom Vet@ Cj 12k AK</v>
          </cell>
          <cell r="G90">
            <v>57661</v>
          </cell>
          <cell r="Y90">
            <v>1012504</v>
          </cell>
          <cell r="Z90" t="str">
            <v>PO Garra Economy@ Cj 20k AS</v>
          </cell>
          <cell r="AA90">
            <v>281240</v>
          </cell>
        </row>
        <row r="91">
          <cell r="C91" t="str">
            <v>Agrosuper Asia1020861</v>
          </cell>
          <cell r="D91" t="str">
            <v>Agrosuper Asia</v>
          </cell>
          <cell r="E91">
            <v>1020861</v>
          </cell>
          <cell r="F91" t="str">
            <v>GO Lom Vet@ Cj 12k TJ</v>
          </cell>
          <cell r="G91">
            <v>127021</v>
          </cell>
          <cell r="Y91">
            <v>1011967</v>
          </cell>
          <cell r="Z91" t="str">
            <v>PO Garra J@ Bo Cj 20k AS</v>
          </cell>
          <cell r="AA91">
            <v>9951</v>
          </cell>
        </row>
        <row r="92">
          <cell r="C92" t="str">
            <v>Agrosuper Asia1020904</v>
          </cell>
          <cell r="D92" t="str">
            <v>Agrosuper Asia</v>
          </cell>
          <cell r="E92">
            <v>1020904</v>
          </cell>
          <cell r="F92" t="str">
            <v>GO Panc C/cue@ Cj Panc 230 TJ</v>
          </cell>
          <cell r="G92">
            <v>0</v>
          </cell>
          <cell r="Y92">
            <v>1011968</v>
          </cell>
          <cell r="Z92" t="str">
            <v>PO Garra L A@ Bo Cj 20k AS</v>
          </cell>
          <cell r="AA92">
            <v>1631</v>
          </cell>
        </row>
        <row r="93">
          <cell r="C93" t="str">
            <v>Agrosuper Asia1020905</v>
          </cell>
          <cell r="D93" t="str">
            <v>Agrosuper Asia</v>
          </cell>
          <cell r="E93">
            <v>1020905</v>
          </cell>
          <cell r="F93" t="str">
            <v>GO Panc C/cue@ Cj Panc 230 AK</v>
          </cell>
          <cell r="G93">
            <v>0</v>
          </cell>
          <cell r="Y93">
            <v>1011969</v>
          </cell>
          <cell r="Z93" t="str">
            <v>PO Garra L B@ Bo Cj 20k AS</v>
          </cell>
          <cell r="AA93">
            <v>46896</v>
          </cell>
        </row>
        <row r="94">
          <cell r="C94" t="str">
            <v>Agrosuper Asia1021012</v>
          </cell>
          <cell r="D94" t="str">
            <v>Agrosuper Asia</v>
          </cell>
          <cell r="E94">
            <v>1021012</v>
          </cell>
          <cell r="F94" t="str">
            <v>GO Papda K@ Cj 20k AK</v>
          </cell>
          <cell r="G94">
            <v>144763</v>
          </cell>
          <cell r="Y94">
            <v>1012434</v>
          </cell>
          <cell r="Z94" t="str">
            <v>PO Pta Ala@ Cj 20k AS</v>
          </cell>
          <cell r="AA94">
            <v>78428</v>
          </cell>
        </row>
        <row r="95">
          <cell r="C95" t="str">
            <v>Agrosuper Asia1021045</v>
          </cell>
          <cell r="D95" t="str">
            <v>Agrosuper Asia</v>
          </cell>
          <cell r="E95">
            <v>1021045</v>
          </cell>
          <cell r="F95" t="str">
            <v>GO PernilM C/M@ Cj 15k AK</v>
          </cell>
          <cell r="G95">
            <v>88340</v>
          </cell>
          <cell r="Y95">
            <v>1012503</v>
          </cell>
          <cell r="Z95" t="str">
            <v>PO Garra M B@ Cj 20k AS</v>
          </cell>
          <cell r="AA95">
            <v>59797</v>
          </cell>
        </row>
        <row r="96">
          <cell r="C96" t="str">
            <v>Agrosuper Asia1021046</v>
          </cell>
          <cell r="D96" t="str">
            <v>Agrosuper Asia</v>
          </cell>
          <cell r="E96">
            <v>1021046</v>
          </cell>
          <cell r="F96" t="str">
            <v>GO PernilM C/M@ Cj 15k TJ</v>
          </cell>
          <cell r="G96">
            <v>42000</v>
          </cell>
          <cell r="Y96">
            <v>1012525</v>
          </cell>
          <cell r="Z96" t="str">
            <v>PO Garra J@ Bo Cj 20k AS</v>
          </cell>
          <cell r="AA96">
            <v>2927</v>
          </cell>
        </row>
        <row r="97">
          <cell r="C97" t="str">
            <v>Agrosuper Asia1021149</v>
          </cell>
          <cell r="D97" t="str">
            <v>Agrosuper Asia</v>
          </cell>
          <cell r="E97">
            <v>1021149</v>
          </cell>
          <cell r="F97" t="str">
            <v>GO Tira Hso Ctro@ Cj 20k TJ</v>
          </cell>
          <cell r="G97">
            <v>150836</v>
          </cell>
          <cell r="Y97">
            <v>1012681</v>
          </cell>
          <cell r="Z97" t="str">
            <v>PO Nudillo @ Cj 20Kg AS</v>
          </cell>
          <cell r="AA97">
            <v>48260</v>
          </cell>
        </row>
        <row r="98">
          <cell r="C98" t="str">
            <v>Agrosuper Asia1021150</v>
          </cell>
          <cell r="D98" t="str">
            <v>Agrosuper Asia</v>
          </cell>
          <cell r="E98">
            <v>1021150</v>
          </cell>
          <cell r="F98" t="str">
            <v>GO Tira Hso Ctro@ Cj 20k AK</v>
          </cell>
          <cell r="G98">
            <v>3581</v>
          </cell>
          <cell r="Y98">
            <v>1012526</v>
          </cell>
          <cell r="Z98" t="str">
            <v>PO Garra L A@ Bo Cj 20k AS</v>
          </cell>
          <cell r="AA98">
            <v>2781</v>
          </cell>
        </row>
        <row r="99">
          <cell r="C99" t="str">
            <v>Agrosuper Asia1021151</v>
          </cell>
          <cell r="D99" t="str">
            <v>Agrosuper Asia</v>
          </cell>
          <cell r="E99">
            <v>1021151</v>
          </cell>
          <cell r="F99" t="str">
            <v>GO Hso Cogote@ Bo Cj 20k TJ</v>
          </cell>
          <cell r="G99">
            <v>0</v>
          </cell>
          <cell r="Y99">
            <v>1012527</v>
          </cell>
          <cell r="Z99" t="str">
            <v>PO Garra M A@ Bo Cj 20k AS</v>
          </cell>
          <cell r="AA99">
            <v>2605</v>
          </cell>
        </row>
        <row r="100">
          <cell r="C100" t="str">
            <v>Agrosuper Asia1021152</v>
          </cell>
          <cell r="D100" t="str">
            <v>Agrosuper Asia</v>
          </cell>
          <cell r="E100">
            <v>1021152</v>
          </cell>
          <cell r="F100" t="str">
            <v>GO Hso Cogote@ Bo Cj 20k AK</v>
          </cell>
          <cell r="G100">
            <v>57578</v>
          </cell>
          <cell r="Y100">
            <v>1030525</v>
          </cell>
          <cell r="Z100" t="str">
            <v>PV Tru Ala@ Ex blo Cj 15k SO</v>
          </cell>
          <cell r="AA100">
            <v>114204</v>
          </cell>
        </row>
        <row r="101">
          <cell r="C101" t="str">
            <v>Agrosuper Asia1021156</v>
          </cell>
          <cell r="D101" t="str">
            <v>Agrosuper Asia</v>
          </cell>
          <cell r="E101">
            <v>1021156</v>
          </cell>
          <cell r="F101" t="str">
            <v>GO Hso Pecho@ Cj Lom Vet TJ</v>
          </cell>
          <cell r="G101">
            <v>48465</v>
          </cell>
          <cell r="Y101">
            <v>1030506</v>
          </cell>
          <cell r="Z101" t="str">
            <v>PV PechDeh S/p@ Bo Cj 20k SO</v>
          </cell>
          <cell r="AA101">
            <v>-20</v>
          </cell>
        </row>
        <row r="102">
          <cell r="C102" t="str">
            <v>Agrosuper Asia1021470</v>
          </cell>
          <cell r="D102" t="str">
            <v>Agrosuper Asia</v>
          </cell>
          <cell r="E102">
            <v>1021470</v>
          </cell>
          <cell r="F102" t="str">
            <v>GO PernilM@ Cj 20k AK</v>
          </cell>
          <cell r="G102">
            <v>38202</v>
          </cell>
          <cell r="Y102">
            <v>1030566</v>
          </cell>
          <cell r="Z102" t="str">
            <v>PV Ctro Pta Ala B MA@ Bo Cj SO</v>
          </cell>
          <cell r="AA102">
            <v>20422</v>
          </cell>
        </row>
        <row r="103">
          <cell r="C103" t="str">
            <v>Agrosuper Asia1021664</v>
          </cell>
          <cell r="D103" t="str">
            <v>Agrosuper Asia</v>
          </cell>
          <cell r="E103">
            <v>1021664</v>
          </cell>
          <cell r="F103" t="str">
            <v>GO Pecho S/cue K@ Cj 20k TJ</v>
          </cell>
          <cell r="G103">
            <v>0</v>
          </cell>
          <cell r="Y103">
            <v>1030683</v>
          </cell>
          <cell r="Z103" t="str">
            <v>PV Tru Larg@ Bo Cj 15k AS</v>
          </cell>
          <cell r="AA103">
            <v>411023</v>
          </cell>
        </row>
        <row r="104">
          <cell r="C104" t="str">
            <v>Agrosuper Asia1021665</v>
          </cell>
          <cell r="D104" t="str">
            <v>Agrosuper Asia</v>
          </cell>
          <cell r="E104">
            <v>1021665</v>
          </cell>
          <cell r="F104" t="str">
            <v>GO Pecho S/cue K@ Cj 20k AK</v>
          </cell>
          <cell r="G104">
            <v>0</v>
          </cell>
          <cell r="Y104">
            <v>1030684</v>
          </cell>
          <cell r="Z104" t="str">
            <v>PV Garra A MA@ Bo Cj 15k AS</v>
          </cell>
          <cell r="AA104">
            <v>32009</v>
          </cell>
        </row>
        <row r="105">
          <cell r="C105" t="str">
            <v>Agrosuper Asia1022283</v>
          </cell>
          <cell r="D105" t="str">
            <v>Agrosuper Asia</v>
          </cell>
          <cell r="E105">
            <v>1022283</v>
          </cell>
          <cell r="F105" t="str">
            <v>GO Malaya 5-6mm@ Bo Cj 9k AS</v>
          </cell>
          <cell r="G105">
            <v>0</v>
          </cell>
          <cell r="Y105">
            <v>1030685</v>
          </cell>
          <cell r="Z105" t="str">
            <v>PV Ctro Pta Ala@ Bo Cj 15k AS</v>
          </cell>
          <cell r="AA105">
            <v>109347</v>
          </cell>
        </row>
        <row r="106">
          <cell r="C106" t="str">
            <v>Agrosuper Asia1022605</v>
          </cell>
          <cell r="D106" t="str">
            <v>Agrosuper Asia</v>
          </cell>
          <cell r="E106">
            <v>1022605</v>
          </cell>
          <cell r="F106" t="str">
            <v>GO Recto Tubo Crud@ Cj 10k AS</v>
          </cell>
          <cell r="G106">
            <v>19657</v>
          </cell>
          <cell r="Y106">
            <v>1030686</v>
          </cell>
          <cell r="Z106" t="str">
            <v>PV Cog S/piel MA@ Bo Cj 15k AS</v>
          </cell>
          <cell r="AA106">
            <v>145736</v>
          </cell>
        </row>
        <row r="107">
          <cell r="C107" t="str">
            <v>Agrosuper Asia1022607</v>
          </cell>
          <cell r="D107" t="str">
            <v>Agrosuper Asia</v>
          </cell>
          <cell r="E107">
            <v>1022607</v>
          </cell>
          <cell r="F107" t="str">
            <v>GO Platead Lom TF@ Cj 10k AK (TS)</v>
          </cell>
          <cell r="G107">
            <v>27022</v>
          </cell>
          <cell r="Y107">
            <v>1012454</v>
          </cell>
          <cell r="Z107" t="str">
            <v>PO Ctro Pta Ala@ Cj 20k AS</v>
          </cell>
          <cell r="AA107">
            <v>0</v>
          </cell>
        </row>
        <row r="108">
          <cell r="C108" t="str">
            <v>Agrosuper Asia1022885</v>
          </cell>
          <cell r="D108" t="str">
            <v>Agrosuper Asia</v>
          </cell>
          <cell r="E108">
            <v>1022885</v>
          </cell>
          <cell r="F108" t="str">
            <v>GO Panc S/cue@ Cj Panc TJ</v>
          </cell>
          <cell r="G108">
            <v>517682</v>
          </cell>
          <cell r="Y108">
            <v>1012598</v>
          </cell>
          <cell r="Z108" t="str">
            <v>GA Garra G Large B@ Cj 20k AS</v>
          </cell>
          <cell r="AA108">
            <v>4647</v>
          </cell>
        </row>
        <row r="109">
          <cell r="C109" t="str">
            <v>Agrosuper Asia1022887</v>
          </cell>
          <cell r="D109" t="str">
            <v>Agrosuper Asia</v>
          </cell>
          <cell r="E109">
            <v>1022887</v>
          </cell>
          <cell r="F109" t="str">
            <v>GO Panc S/cue@ Cj Panc AK</v>
          </cell>
          <cell r="G109">
            <v>63649</v>
          </cell>
          <cell r="Y109">
            <v>1012005</v>
          </cell>
          <cell r="Z109" t="str">
            <v>PO Garra IQF@ Bo Cj AS</v>
          </cell>
          <cell r="AA109">
            <v>0</v>
          </cell>
        </row>
        <row r="110">
          <cell r="C110" t="str">
            <v>Agrosuper Asia1022930</v>
          </cell>
          <cell r="D110" t="str">
            <v>Agrosuper Asia</v>
          </cell>
          <cell r="E110">
            <v>1022930</v>
          </cell>
          <cell r="F110" t="str">
            <v>GO Panc S/cue Hem@ Cj Panc TJ AS</v>
          </cell>
          <cell r="G110">
            <v>222261</v>
          </cell>
          <cell r="Y110">
            <v>1012218</v>
          </cell>
          <cell r="Z110" t="str">
            <v>PO Ala Media 1k@ Cj 20k AS</v>
          </cell>
          <cell r="AA110">
            <v>27435</v>
          </cell>
        </row>
        <row r="111">
          <cell r="C111" t="str">
            <v>Agrosuper Asia1022985</v>
          </cell>
          <cell r="D111" t="str">
            <v>Agrosuper Asia</v>
          </cell>
          <cell r="E111">
            <v>1022985</v>
          </cell>
          <cell r="F111" t="str">
            <v>GO Lom Vet Mad@ Cj 8,5k TJ</v>
          </cell>
          <cell r="G111">
            <v>0</v>
          </cell>
          <cell r="Y111">
            <v>1030358</v>
          </cell>
          <cell r="Z111" t="str">
            <v>PV Pta Ala@ Blo Jp SO</v>
          </cell>
          <cell r="AA111">
            <v>170</v>
          </cell>
        </row>
        <row r="112">
          <cell r="C112" t="str">
            <v>Agrosuper Asia1022986</v>
          </cell>
          <cell r="D112" t="str">
            <v>Agrosuper Asia</v>
          </cell>
          <cell r="E112">
            <v>1022986</v>
          </cell>
          <cell r="F112" t="str">
            <v>GO Panc S/cue Mad@ Cj 16,4k Panc TJ</v>
          </cell>
          <cell r="G112">
            <v>3528</v>
          </cell>
          <cell r="Y112">
            <v>1030388</v>
          </cell>
          <cell r="Z112" t="str">
            <v>PV Garra B MA@ Bo Cj 15k SO</v>
          </cell>
          <cell r="AA112">
            <v>32969</v>
          </cell>
        </row>
        <row r="113">
          <cell r="C113" t="str">
            <v>Agrosuper Asia1023037</v>
          </cell>
          <cell r="D113" t="str">
            <v>Agrosuper Asia</v>
          </cell>
          <cell r="E113">
            <v>1023037</v>
          </cell>
          <cell r="F113" t="str">
            <v>GO Panc S/cue@ Cj Panc 16k AS</v>
          </cell>
          <cell r="G113">
            <v>72440</v>
          </cell>
          <cell r="Y113">
            <v>1030389</v>
          </cell>
          <cell r="Z113" t="str">
            <v>PV Garra B HE@ Bo Cj 15k SO</v>
          </cell>
          <cell r="AA113">
            <v>0</v>
          </cell>
        </row>
        <row r="114">
          <cell r="C114" t="str">
            <v>Agrosuper Asia1023038</v>
          </cell>
          <cell r="D114" t="str">
            <v>Agrosuper Asia</v>
          </cell>
          <cell r="E114">
            <v>1023038</v>
          </cell>
          <cell r="F114" t="str">
            <v>GO Lom Vet@ Cj 8k AS</v>
          </cell>
          <cell r="G114">
            <v>123314</v>
          </cell>
          <cell r="Y114">
            <v>1012275</v>
          </cell>
          <cell r="Z114" t="str">
            <v>PO Tru Ala 4x10 NMr@ Bo Cj 20k AS</v>
          </cell>
          <cell r="AA114">
            <v>39973</v>
          </cell>
        </row>
        <row r="115">
          <cell r="C115" t="str">
            <v>Agrosuper Asia1023090</v>
          </cell>
          <cell r="D115" t="str">
            <v>Agrosuper Asia</v>
          </cell>
          <cell r="E115">
            <v>1023090</v>
          </cell>
          <cell r="F115" t="str">
            <v>GO Panc S/cue S/h@ Cj Panc 16k AS</v>
          </cell>
          <cell r="G115">
            <v>6766</v>
          </cell>
          <cell r="Y115">
            <v>1030419</v>
          </cell>
          <cell r="Z115" t="str">
            <v>PV Hígad@ Bo Cj 15k SO</v>
          </cell>
          <cell r="AA115">
            <v>10280</v>
          </cell>
        </row>
        <row r="116">
          <cell r="C116" t="str">
            <v>Agrosuper Asia1023144</v>
          </cell>
          <cell r="D116" t="str">
            <v>Agrosuper Asia</v>
          </cell>
          <cell r="E116">
            <v>1023144</v>
          </cell>
          <cell r="F116" t="str">
            <v>GO Papda C/Cue granel@ Bo Cj AS</v>
          </cell>
          <cell r="G116">
            <v>0</v>
          </cell>
          <cell r="Y116">
            <v>1030791</v>
          </cell>
          <cell r="Z116" t="str">
            <v>PV MA Tru Lar@ Bo Cj 15k AS</v>
          </cell>
          <cell r="AA116">
            <v>3372</v>
          </cell>
        </row>
        <row r="117">
          <cell r="C117" t="str">
            <v>Agrosuper Asia1023183</v>
          </cell>
          <cell r="D117" t="str">
            <v>Agrosuper Asia</v>
          </cell>
          <cell r="E117">
            <v>1023183</v>
          </cell>
          <cell r="F117" t="str">
            <v>GO Pech S/Cue@ Vp Cj AS</v>
          </cell>
          <cell r="G117">
            <v>32000</v>
          </cell>
          <cell r="Y117">
            <v>1023411</v>
          </cell>
          <cell r="Z117" t="str">
            <v>GO  PpPna 54@ Bo Cj AS</v>
          </cell>
          <cell r="AA117">
            <v>152533</v>
          </cell>
        </row>
        <row r="118">
          <cell r="C118" t="str">
            <v>Agrosuper Asia1021204</v>
          </cell>
          <cell r="D118" t="str">
            <v>Agrosuper Asia</v>
          </cell>
          <cell r="E118">
            <v>1021204</v>
          </cell>
          <cell r="F118" t="str">
            <v>GO Lom Tocino@ Cj 20k AS</v>
          </cell>
          <cell r="G118">
            <v>0</v>
          </cell>
          <cell r="Y118">
            <v>1023412</v>
          </cell>
          <cell r="Z118" t="str">
            <v>GO  PpPna 57@ Bo Cj AS</v>
          </cell>
          <cell r="AA118">
            <v>120000</v>
          </cell>
        </row>
        <row r="119">
          <cell r="C119" t="str">
            <v>Agrosuper Asia1021655</v>
          </cell>
          <cell r="D119" t="str">
            <v>Agrosuper Asia</v>
          </cell>
          <cell r="E119">
            <v>1021655</v>
          </cell>
          <cell r="F119" t="str">
            <v>GO Estómago Pouch@ Bo Cj 10k AS</v>
          </cell>
          <cell r="G119">
            <v>0</v>
          </cell>
          <cell r="Y119">
            <v>1012595</v>
          </cell>
          <cell r="Z119" t="str">
            <v>PO PchDeh@ Bo 16x1k Cj AS</v>
          </cell>
          <cell r="AA119">
            <v>12000</v>
          </cell>
        </row>
        <row r="120">
          <cell r="C120" t="str">
            <v>Agrosuper Asia1022182</v>
          </cell>
          <cell r="D120" t="str">
            <v>Agrosuper Asia</v>
          </cell>
          <cell r="E120">
            <v>1022182</v>
          </cell>
          <cell r="F120" t="str">
            <v>GO BB Ribs 20-24 Oz@ Cj 10k AS</v>
          </cell>
          <cell r="G120">
            <v>0</v>
          </cell>
          <cell r="Y120">
            <v>1023019</v>
          </cell>
          <cell r="Z120" t="str">
            <v>GO Cos 79@ Bo Cj 20k AS</v>
          </cell>
          <cell r="AA120">
            <v>0</v>
          </cell>
        </row>
        <row r="121">
          <cell r="C121" t="str">
            <v>Agrosuper Asia1023283</v>
          </cell>
          <cell r="D121" t="str">
            <v>Agrosuper Asia</v>
          </cell>
          <cell r="E121">
            <v>1023283</v>
          </cell>
          <cell r="F121" t="str">
            <v>GO Grasa Chaleco@ Cj 10k AS</v>
          </cell>
          <cell r="G121">
            <v>84038</v>
          </cell>
          <cell r="Y121">
            <v>1023373</v>
          </cell>
          <cell r="Z121" t="str">
            <v>GO PernilM 1-1.3 kg@ Cj 10k AS</v>
          </cell>
          <cell r="AA121">
            <v>57800</v>
          </cell>
        </row>
        <row r="122">
          <cell r="C122" t="str">
            <v>Agrosuper Asia1023307</v>
          </cell>
          <cell r="D122" t="str">
            <v>Agrosuper Asia</v>
          </cell>
          <cell r="E122">
            <v>1023307</v>
          </cell>
          <cell r="F122" t="str">
            <v>GO Pulmon@ Cj 20k AS</v>
          </cell>
          <cell r="G122">
            <v>1274</v>
          </cell>
        </row>
        <row r="123">
          <cell r="C123" t="str">
            <v>Agrosuper Asia1023326</v>
          </cell>
          <cell r="D123" t="str">
            <v>Agrosuper Asia</v>
          </cell>
          <cell r="E123">
            <v>1023326</v>
          </cell>
          <cell r="F123" t="str">
            <v>GO Corazón Partido@ Cj 10k AS</v>
          </cell>
          <cell r="G123">
            <v>20997</v>
          </cell>
        </row>
        <row r="124">
          <cell r="C124" t="str">
            <v>Agrosuper Asia1023372</v>
          </cell>
          <cell r="D124" t="str">
            <v>Agrosuper Asia</v>
          </cell>
          <cell r="E124">
            <v>1023372</v>
          </cell>
          <cell r="F124" t="str">
            <v>GO Lom Ctro 27@ Fi Cj 20k AS</v>
          </cell>
          <cell r="G124">
            <v>0</v>
          </cell>
        </row>
        <row r="125">
          <cell r="C125" t="str">
            <v>Agrosuper Asia1023397</v>
          </cell>
          <cell r="D125" t="str">
            <v>Agrosuper Asia</v>
          </cell>
          <cell r="E125">
            <v>1023397</v>
          </cell>
          <cell r="F125" t="str">
            <v>GO Gord Esp@ Cj 20k AS</v>
          </cell>
          <cell r="G125">
            <v>0</v>
          </cell>
        </row>
        <row r="126">
          <cell r="C126" t="str">
            <v>Agrosuper Asia1012612</v>
          </cell>
          <cell r="D126" t="str">
            <v>Agrosuper Asia</v>
          </cell>
          <cell r="E126">
            <v>1012612</v>
          </cell>
          <cell r="F126" t="str">
            <v>PO Ppa Esp Blo@ Bo Cj 20k AS</v>
          </cell>
          <cell r="G126">
            <v>1107947</v>
          </cell>
        </row>
        <row r="127">
          <cell r="C127" t="str">
            <v>Agrosuper Asia1012012</v>
          </cell>
          <cell r="D127" t="str">
            <v>Agrosuper Asia</v>
          </cell>
          <cell r="E127">
            <v>1012012</v>
          </cell>
          <cell r="F127" t="str">
            <v>PO Ala Ctro Mr@ Fi Cj 18k AS</v>
          </cell>
          <cell r="G127">
            <v>57357</v>
          </cell>
        </row>
        <row r="128">
          <cell r="C128" t="str">
            <v>Agrosuper Asia1021649</v>
          </cell>
          <cell r="D128" t="str">
            <v>Agrosuper Asia</v>
          </cell>
          <cell r="E128">
            <v>1021649</v>
          </cell>
          <cell r="F128" t="str">
            <v>GO Panc# Cj 10k AK</v>
          </cell>
          <cell r="G128">
            <v>0</v>
          </cell>
        </row>
        <row r="129">
          <cell r="C129" t="str">
            <v>Agrosuper Asia1022824</v>
          </cell>
          <cell r="D129" t="str">
            <v>Agrosuper Asia</v>
          </cell>
          <cell r="E129">
            <v>1022824</v>
          </cell>
          <cell r="F129" t="str">
            <v>GO Desp Forro Pna@ Muestra Cj 20k AS</v>
          </cell>
          <cell r="G129">
            <v>0</v>
          </cell>
        </row>
        <row r="130">
          <cell r="C130" t="str">
            <v>Agrosuper Asia1020660</v>
          </cell>
          <cell r="D130" t="str">
            <v>Agrosuper Asia</v>
          </cell>
          <cell r="E130">
            <v>1020660</v>
          </cell>
          <cell r="F130" t="str">
            <v>GO PernilP@ Bo Cj 20k AS</v>
          </cell>
          <cell r="G130">
            <v>132000</v>
          </cell>
        </row>
        <row r="131">
          <cell r="C131" t="str">
            <v>Agrosuper Asia1023435</v>
          </cell>
          <cell r="D131" t="str">
            <v>Agrosuper Asia</v>
          </cell>
          <cell r="E131">
            <v>1023435</v>
          </cell>
          <cell r="F131" t="str">
            <v>GO Cab Ent@ Cj 20k AS</v>
          </cell>
          <cell r="G131">
            <v>315194</v>
          </cell>
        </row>
        <row r="132">
          <cell r="C132" t="str">
            <v>Agrosuper Asia1023438</v>
          </cell>
          <cell r="D132" t="str">
            <v>Agrosuper Asia</v>
          </cell>
          <cell r="E132">
            <v>1023438</v>
          </cell>
          <cell r="F132" t="str">
            <v>GO Pana S/Corazón@ Cj 20k AS</v>
          </cell>
          <cell r="G132">
            <v>150000</v>
          </cell>
        </row>
        <row r="133">
          <cell r="C133" t="str">
            <v>Agrosuper Asia1023439</v>
          </cell>
          <cell r="D133" t="str">
            <v>Agrosuper Asia</v>
          </cell>
          <cell r="E133">
            <v>1023439</v>
          </cell>
          <cell r="F133" t="str">
            <v>GO Hso femur@ Cj 20k AS</v>
          </cell>
          <cell r="G133">
            <v>100000</v>
          </cell>
        </row>
        <row r="134">
          <cell r="C134" t="str">
            <v>Agrosuper Asia1021047</v>
          </cell>
          <cell r="D134" t="str">
            <v>Agrosuper Asia</v>
          </cell>
          <cell r="E134">
            <v>1021047</v>
          </cell>
          <cell r="F134" t="str">
            <v>GO PernilM C/M@ Cj 15k HW</v>
          </cell>
          <cell r="G134">
            <v>0</v>
          </cell>
        </row>
        <row r="135">
          <cell r="C135" t="str">
            <v>Agrosuper Asia1021650</v>
          </cell>
          <cell r="D135" t="str">
            <v>Agrosuper Asia</v>
          </cell>
          <cell r="E135">
            <v>1021650</v>
          </cell>
          <cell r="F135" t="str">
            <v>GO Lom Vet# Cj 12k AK</v>
          </cell>
          <cell r="G135">
            <v>31000</v>
          </cell>
        </row>
        <row r="136">
          <cell r="C136" t="str">
            <v>Agrosuper Asia1023164</v>
          </cell>
          <cell r="D136" t="str">
            <v>Agrosuper Asia</v>
          </cell>
          <cell r="E136">
            <v>1023164</v>
          </cell>
          <cell r="F136" t="str">
            <v>GO Lom Vet# Cj 12k AS</v>
          </cell>
          <cell r="G136">
            <v>14000</v>
          </cell>
        </row>
        <row r="137">
          <cell r="C137" t="str">
            <v>Agrosuper Brasil1021864</v>
          </cell>
          <cell r="D137" t="str">
            <v>Agrosuper Brasil</v>
          </cell>
          <cell r="E137">
            <v>1021864</v>
          </cell>
          <cell r="F137" t="str">
            <v>GO Cue Papda CP@ Cj 20k AS</v>
          </cell>
          <cell r="G137">
            <v>61480</v>
          </cell>
        </row>
        <row r="138">
          <cell r="C138" t="str">
            <v>Agrosuper Brasil1022217</v>
          </cell>
          <cell r="D138" t="str">
            <v>Agrosuper Brasil</v>
          </cell>
          <cell r="E138">
            <v>1022217</v>
          </cell>
          <cell r="F138" t="str">
            <v>GO Lom Tocino@ Bo Cj 20k AS</v>
          </cell>
          <cell r="G138">
            <v>363942</v>
          </cell>
        </row>
        <row r="139">
          <cell r="C139" t="str">
            <v>Agrosuper Brasil1022218</v>
          </cell>
          <cell r="D139" t="str">
            <v>Agrosuper Brasil</v>
          </cell>
          <cell r="E139">
            <v>1022218</v>
          </cell>
          <cell r="F139" t="str">
            <v>GO Grasa Forro Pna Limp@ Cj 20k AS</v>
          </cell>
          <cell r="G139">
            <v>71836</v>
          </cell>
        </row>
        <row r="140">
          <cell r="C140" t="str">
            <v>Agrosuper Brasil1022273</v>
          </cell>
          <cell r="D140" t="str">
            <v>Agrosuper Brasil</v>
          </cell>
          <cell r="E140">
            <v>1022273</v>
          </cell>
          <cell r="F140" t="str">
            <v>GO Grasa Forro Pna Limp@ Bo Cj AS</v>
          </cell>
          <cell r="G140">
            <v>195308</v>
          </cell>
        </row>
        <row r="141">
          <cell r="C141" t="str">
            <v>Agrosuper Brasil1022783</v>
          </cell>
          <cell r="D141" t="str">
            <v>Agrosuper Brasil</v>
          </cell>
          <cell r="E141">
            <v>1022783</v>
          </cell>
          <cell r="F141" t="str">
            <v>GO Tripa Calib 38/40# Bo Bidon AS</v>
          </cell>
          <cell r="G141">
            <v>811</v>
          </cell>
        </row>
        <row r="142">
          <cell r="C142" t="str">
            <v>Agrosuper Brasil1023329</v>
          </cell>
          <cell r="D142" t="str">
            <v>Agrosuper Brasil</v>
          </cell>
          <cell r="E142">
            <v>1023329</v>
          </cell>
          <cell r="F142" t="str">
            <v>GO Cue Papda CP@ Cj 20k AS</v>
          </cell>
          <cell r="G142">
            <v>14737</v>
          </cell>
        </row>
        <row r="143">
          <cell r="C143" t="str">
            <v>Agrosuper Brasil1023334</v>
          </cell>
          <cell r="D143" t="str">
            <v>Agrosuper Brasil</v>
          </cell>
          <cell r="E143">
            <v>1023334</v>
          </cell>
          <cell r="F143" t="str">
            <v>Cue granel Esp CC@ Cj 20k AS</v>
          </cell>
          <cell r="G143">
            <v>40297</v>
          </cell>
        </row>
        <row r="144">
          <cell r="C144" t="str">
            <v>Agrosuper Brasil1023336</v>
          </cell>
          <cell r="D144" t="str">
            <v>Agrosuper Brasil</v>
          </cell>
          <cell r="E144">
            <v>1023336</v>
          </cell>
          <cell r="F144" t="str">
            <v>Cue granel Esp CC@ Cj 20k AS</v>
          </cell>
          <cell r="G144">
            <v>34000</v>
          </cell>
        </row>
        <row r="145">
          <cell r="C145" t="str">
            <v>Agrosuper Brasil1012362</v>
          </cell>
          <cell r="D145" t="str">
            <v>Agrosuper Brasil</v>
          </cell>
          <cell r="E145">
            <v>1012362</v>
          </cell>
          <cell r="F145" t="str">
            <v>PO Corazon@ Cj 18k AS</v>
          </cell>
          <cell r="G145">
            <v>68626</v>
          </cell>
        </row>
        <row r="146">
          <cell r="C146" t="str">
            <v>Agrosuper Brasil1011560</v>
          </cell>
          <cell r="D146" t="str">
            <v>Agrosuper Brasil</v>
          </cell>
          <cell r="E146">
            <v>1011560</v>
          </cell>
          <cell r="F146" t="str">
            <v>PO Corazón@ Bo Cj 18k AS</v>
          </cell>
          <cell r="G146">
            <v>24465</v>
          </cell>
        </row>
        <row r="147">
          <cell r="C147" t="str">
            <v>Agrosuper Brasil1012674</v>
          </cell>
          <cell r="D147" t="str">
            <v>Agrosuper Brasil</v>
          </cell>
          <cell r="E147">
            <v>1012674</v>
          </cell>
          <cell r="F147" t="str">
            <v>PO Corazon@Pla Cj 19k</v>
          </cell>
          <cell r="G147">
            <v>47206</v>
          </cell>
        </row>
        <row r="148">
          <cell r="C148" t="str">
            <v>Agrosuper Shanghai1021115</v>
          </cell>
          <cell r="D148" t="str">
            <v>Agrosuper Shanghai</v>
          </cell>
          <cell r="E148">
            <v>1021115</v>
          </cell>
          <cell r="F148" t="str">
            <v>GO Estómago Pouch@ 20k bca AS</v>
          </cell>
          <cell r="G148">
            <v>3680</v>
          </cell>
        </row>
        <row r="149">
          <cell r="C149" t="str">
            <v>Agrosuper Shanghai1022418</v>
          </cell>
          <cell r="D149" t="str">
            <v>Agrosuper Shanghai</v>
          </cell>
          <cell r="E149">
            <v>1022418</v>
          </cell>
          <cell r="F149" t="str">
            <v>GO Tripa s/Cal# Bidon AS</v>
          </cell>
          <cell r="G149">
            <v>0</v>
          </cell>
        </row>
        <row r="150">
          <cell r="C150" t="str">
            <v>Agrosuper Shanghai1022645</v>
          </cell>
          <cell r="D150" t="str">
            <v>Agrosuper Shanghai</v>
          </cell>
          <cell r="E150">
            <v>1022645</v>
          </cell>
          <cell r="F150" t="str">
            <v>GO Pecho Belly C/Hso pec@ Vp Cj AS</v>
          </cell>
          <cell r="G150">
            <v>0</v>
          </cell>
        </row>
        <row r="151">
          <cell r="C151" t="str">
            <v>Exportacion Directa1020105</v>
          </cell>
          <cell r="D151" t="str">
            <v>Exportacion Directa</v>
          </cell>
          <cell r="E151">
            <v>1020105</v>
          </cell>
          <cell r="F151" t="str">
            <v>GO Lom Tecla@ Cj Lom Ctro JP</v>
          </cell>
          <cell r="G151">
            <v>81138</v>
          </cell>
        </row>
        <row r="152">
          <cell r="C152" t="str">
            <v>Exportacion Directa1020110</v>
          </cell>
          <cell r="D152" t="str">
            <v>Exportacion Directa</v>
          </cell>
          <cell r="E152">
            <v>1020110</v>
          </cell>
          <cell r="F152" t="str">
            <v>GO MM Loin L@ Cj 12k AP</v>
          </cell>
          <cell r="G152">
            <v>482625</v>
          </cell>
        </row>
        <row r="153">
          <cell r="C153" t="str">
            <v>Exportacion Directa1020284</v>
          </cell>
          <cell r="D153" t="str">
            <v>Exportacion Directa</v>
          </cell>
          <cell r="E153">
            <v>1020284</v>
          </cell>
          <cell r="F153" t="str">
            <v>GO Posta Negra 3P T@ Va Cj t-f JP</v>
          </cell>
          <cell r="G153">
            <v>5241</v>
          </cell>
        </row>
        <row r="154">
          <cell r="C154" t="str">
            <v>Exportacion Directa1020326</v>
          </cell>
          <cell r="D154" t="str">
            <v>Exportacion Directa</v>
          </cell>
          <cell r="E154">
            <v>1020326</v>
          </cell>
          <cell r="F154" t="str">
            <v>GO PpPal Pim@ Cj AP</v>
          </cell>
          <cell r="G154">
            <v>244547</v>
          </cell>
        </row>
        <row r="155">
          <cell r="C155" t="str">
            <v>Exportacion Directa1020589</v>
          </cell>
          <cell r="D155" t="str">
            <v>Exportacion Directa</v>
          </cell>
          <cell r="E155">
            <v>1020589</v>
          </cell>
          <cell r="F155" t="str">
            <v>GO MM Loin S@ Fi Cj 12k AP</v>
          </cell>
          <cell r="G155">
            <v>32869</v>
          </cell>
        </row>
        <row r="156">
          <cell r="C156" t="str">
            <v>Exportacion Directa1020592</v>
          </cell>
          <cell r="D156" t="str">
            <v>Exportacion Directa</v>
          </cell>
          <cell r="E156">
            <v>1020592</v>
          </cell>
          <cell r="F156" t="str">
            <v>GO Lom Vet &gt;2.0@ Fi Cj Lom Vet AP</v>
          </cell>
          <cell r="G156">
            <v>187358</v>
          </cell>
        </row>
        <row r="157">
          <cell r="C157" t="str">
            <v>Exportacion Directa1020620</v>
          </cell>
          <cell r="D157" t="str">
            <v>Exportacion Directa</v>
          </cell>
          <cell r="E157">
            <v>1020620</v>
          </cell>
          <cell r="F157" t="str">
            <v>GO Lom Vet &lt;2.0@ Fi Cj AP</v>
          </cell>
          <cell r="G157">
            <v>26564</v>
          </cell>
        </row>
        <row r="158">
          <cell r="C158" t="str">
            <v>Exportacion Directa1020636</v>
          </cell>
          <cell r="D158" t="str">
            <v>Exportacion Directa</v>
          </cell>
          <cell r="E158">
            <v>1020636</v>
          </cell>
          <cell r="F158" t="str">
            <v>GO File C/cab@ Va Cj 10k AP</v>
          </cell>
          <cell r="G158">
            <v>20905</v>
          </cell>
        </row>
        <row r="159">
          <cell r="C159" t="str">
            <v>Exportacion Directa1020637</v>
          </cell>
          <cell r="D159" t="str">
            <v>Exportacion Directa</v>
          </cell>
          <cell r="E159">
            <v>1020637</v>
          </cell>
          <cell r="F159" t="str">
            <v>GO Panc Tec S/cue@ Fi Cj ch AP</v>
          </cell>
          <cell r="G159">
            <v>219578</v>
          </cell>
        </row>
        <row r="160">
          <cell r="C160" t="str">
            <v>Exportacion Directa1020662</v>
          </cell>
          <cell r="D160" t="str">
            <v>Exportacion Directa</v>
          </cell>
          <cell r="E160">
            <v>1020662</v>
          </cell>
          <cell r="F160" t="str">
            <v>GO Ganso C/asto 3P@ Va Cj t-f AP</v>
          </cell>
          <cell r="G160">
            <v>0</v>
          </cell>
        </row>
        <row r="161">
          <cell r="C161" t="str">
            <v>Exportacion Directa1020664</v>
          </cell>
          <cell r="D161" t="str">
            <v>Exportacion Directa</v>
          </cell>
          <cell r="E161">
            <v>1020664</v>
          </cell>
          <cell r="F161" t="str">
            <v>GO Ganso C/asto C/abas S/g@ Va Cj JP</v>
          </cell>
          <cell r="G161">
            <v>990</v>
          </cell>
        </row>
        <row r="162">
          <cell r="C162" t="str">
            <v>Exportacion Directa1020665</v>
          </cell>
          <cell r="D162" t="str">
            <v>Exportacion Directa</v>
          </cell>
          <cell r="E162">
            <v>1020665</v>
          </cell>
          <cell r="F162" t="str">
            <v>GO Posta Rosada 3P@ Va Cj t-f AP</v>
          </cell>
          <cell r="G162">
            <v>11700</v>
          </cell>
        </row>
        <row r="163">
          <cell r="C163" t="str">
            <v>Exportacion Directa1020678</v>
          </cell>
          <cell r="D163" t="str">
            <v>Exportacion Directa</v>
          </cell>
          <cell r="E163">
            <v>1020678</v>
          </cell>
          <cell r="F163" t="str">
            <v>GO Lom Tec@ Va Cj Lom Ctro AP</v>
          </cell>
          <cell r="G163">
            <v>0</v>
          </cell>
        </row>
        <row r="164">
          <cell r="C164" t="str">
            <v>Exportacion Directa1020681</v>
          </cell>
          <cell r="D164" t="str">
            <v>Exportacion Directa</v>
          </cell>
          <cell r="E164">
            <v>1020681</v>
          </cell>
          <cell r="F164" t="str">
            <v>GO MM Loin D@ Fi Cj 12k AP</v>
          </cell>
          <cell r="G164">
            <v>3391</v>
          </cell>
        </row>
        <row r="165">
          <cell r="C165" t="str">
            <v>Exportacion Directa1020704</v>
          </cell>
          <cell r="D165" t="str">
            <v>Exportacion Directa</v>
          </cell>
          <cell r="E165">
            <v>1020704</v>
          </cell>
          <cell r="F165" t="str">
            <v>GO File N@ Va Cj File AP</v>
          </cell>
          <cell r="G165">
            <v>1004</v>
          </cell>
        </row>
        <row r="166">
          <cell r="C166" t="str">
            <v>Exportacion Directa1020715</v>
          </cell>
          <cell r="D166" t="str">
            <v>Exportacion Directa</v>
          </cell>
          <cell r="E166">
            <v>1020715</v>
          </cell>
          <cell r="F166" t="str">
            <v>GO Panc Tec C/cue@ Fi Cj Panc AP</v>
          </cell>
          <cell r="G166">
            <v>1628</v>
          </cell>
        </row>
        <row r="167">
          <cell r="C167" t="str">
            <v>Exportacion Directa1020731</v>
          </cell>
          <cell r="D167" t="str">
            <v>Exportacion Directa</v>
          </cell>
          <cell r="E167">
            <v>1020731</v>
          </cell>
          <cell r="F167" t="str">
            <v>GO Panc S/tec/cue I@ Fi Cj Panc 4s AP</v>
          </cell>
          <cell r="G167">
            <v>44417</v>
          </cell>
        </row>
        <row r="168">
          <cell r="C168" t="str">
            <v>Exportacion Directa1020758</v>
          </cell>
          <cell r="D168" t="str">
            <v>Exportacion Directa</v>
          </cell>
          <cell r="E168">
            <v>1020758</v>
          </cell>
          <cell r="F168" t="str">
            <v>GO Lom Vet S/g@ Va Cj ch AP</v>
          </cell>
          <cell r="G168">
            <v>13882</v>
          </cell>
        </row>
        <row r="169">
          <cell r="C169" t="str">
            <v>Exportacion Directa1020774</v>
          </cell>
          <cell r="D169" t="str">
            <v>Exportacion Directa</v>
          </cell>
          <cell r="E169">
            <v>1020774</v>
          </cell>
          <cell r="F169" t="str">
            <v>GO Malaya Japon@ Va Cj JP</v>
          </cell>
          <cell r="G169">
            <v>8844</v>
          </cell>
        </row>
        <row r="170">
          <cell r="C170" t="str">
            <v>Exportacion Directa1020802</v>
          </cell>
          <cell r="D170" t="str">
            <v>Exportacion Directa</v>
          </cell>
          <cell r="E170">
            <v>1020802</v>
          </cell>
          <cell r="F170" t="str">
            <v>GO Panc S/tec N@ Fi Cj 20k AP</v>
          </cell>
          <cell r="G170">
            <v>45291</v>
          </cell>
        </row>
        <row r="171">
          <cell r="C171" t="str">
            <v>Exportacion Directa1020810</v>
          </cell>
          <cell r="D171" t="str">
            <v>Exportacion Directa</v>
          </cell>
          <cell r="E171">
            <v>1020810</v>
          </cell>
          <cell r="F171" t="str">
            <v>GO Recto@ Cj File AP</v>
          </cell>
          <cell r="G171">
            <v>621</v>
          </cell>
        </row>
        <row r="172">
          <cell r="C172" t="str">
            <v>Exportacion Directa1020914</v>
          </cell>
          <cell r="D172" t="str">
            <v>Exportacion Directa</v>
          </cell>
          <cell r="E172">
            <v>1020914</v>
          </cell>
          <cell r="F172" t="str">
            <v>GO Panc Lam 2.5mm@ Cj ch AP</v>
          </cell>
          <cell r="G172">
            <v>12618</v>
          </cell>
        </row>
        <row r="173">
          <cell r="C173" t="str">
            <v>Exportacion Directa1020990</v>
          </cell>
          <cell r="D173" t="str">
            <v>Exportacion Directa</v>
          </cell>
          <cell r="E173">
            <v>1020990</v>
          </cell>
          <cell r="F173" t="str">
            <v>GO Ganso S/g S/abst DA@ Cj 12k AP</v>
          </cell>
          <cell r="G173">
            <v>158</v>
          </cell>
        </row>
        <row r="174">
          <cell r="C174" t="str">
            <v>Exportacion Directa1020991</v>
          </cell>
          <cell r="D174" t="str">
            <v>Exportacion Directa</v>
          </cell>
          <cell r="E174">
            <v>1020991</v>
          </cell>
          <cell r="F174" t="str">
            <v>GO Asiento C/g DA@ Cj 12k JP</v>
          </cell>
          <cell r="G174">
            <v>13000</v>
          </cell>
        </row>
        <row r="175">
          <cell r="C175" t="str">
            <v>Exportacion Directa1021136</v>
          </cell>
          <cell r="D175" t="str">
            <v>Exportacion Directa</v>
          </cell>
          <cell r="E175">
            <v>1021136</v>
          </cell>
          <cell r="F175" t="str">
            <v>GO Tráquea@ Cj Lom Ctro AP</v>
          </cell>
          <cell r="G175">
            <v>9800</v>
          </cell>
        </row>
        <row r="176">
          <cell r="C176" t="str">
            <v>Exportacion Directa1021533</v>
          </cell>
          <cell r="D176" t="str">
            <v>Exportacion Directa</v>
          </cell>
          <cell r="E176">
            <v>1021533</v>
          </cell>
          <cell r="F176" t="str">
            <v>GO Panc Mit@ Va Cj 20k AP</v>
          </cell>
          <cell r="G176">
            <v>0</v>
          </cell>
        </row>
        <row r="177">
          <cell r="C177" t="str">
            <v>Exportacion Directa1021603</v>
          </cell>
          <cell r="D177" t="str">
            <v>Exportacion Directa</v>
          </cell>
          <cell r="E177">
            <v>1021603</v>
          </cell>
          <cell r="F177" t="str">
            <v>GO MM Loin L (MC4-5)@ Fi Cj ch JP</v>
          </cell>
          <cell r="G177">
            <v>14792</v>
          </cell>
        </row>
        <row r="178">
          <cell r="C178" t="str">
            <v>Exportacion Directa1021609</v>
          </cell>
          <cell r="D178" t="str">
            <v>Exportacion Directa</v>
          </cell>
          <cell r="E178">
            <v>1021609</v>
          </cell>
          <cell r="F178" t="str">
            <v>GO File C/cab@ IWP Cj 10k SC</v>
          </cell>
          <cell r="G178">
            <v>43774</v>
          </cell>
        </row>
        <row r="179">
          <cell r="C179" t="str">
            <v>Exportacion Directa1022313</v>
          </cell>
          <cell r="D179" t="str">
            <v>Exportacion Directa</v>
          </cell>
          <cell r="E179">
            <v>1022313</v>
          </cell>
          <cell r="F179" t="str">
            <v>GO CC Loin T@ Fi Cj AP</v>
          </cell>
          <cell r="G179">
            <v>7069</v>
          </cell>
        </row>
        <row r="180">
          <cell r="C180" t="str">
            <v>Exportacion Directa1022326</v>
          </cell>
          <cell r="D180" t="str">
            <v>Exportacion Directa</v>
          </cell>
          <cell r="E180">
            <v>1022326</v>
          </cell>
          <cell r="F180" t="str">
            <v>GO CC Loin L (S/T)@ Fi Cj AP</v>
          </cell>
          <cell r="G180">
            <v>17089</v>
          </cell>
        </row>
        <row r="181">
          <cell r="C181" t="str">
            <v>Exportacion Directa1022370</v>
          </cell>
          <cell r="D181" t="str">
            <v>Exportacion Directa</v>
          </cell>
          <cell r="E181">
            <v>1022370</v>
          </cell>
          <cell r="F181" t="str">
            <v>GO MM Loin LL (29-32 VP)@ Bo Cj AP</v>
          </cell>
          <cell r="G181">
            <v>19574</v>
          </cell>
        </row>
        <row r="182">
          <cell r="C182" t="str">
            <v>Exportacion Directa1022371</v>
          </cell>
          <cell r="D182" t="str">
            <v>Exportacion Directa</v>
          </cell>
          <cell r="E182">
            <v>1022371</v>
          </cell>
          <cell r="F182" t="str">
            <v>GO Panc S/tec SP@ Fi Cj AP</v>
          </cell>
          <cell r="G182">
            <v>27899</v>
          </cell>
        </row>
        <row r="183">
          <cell r="C183" t="str">
            <v>Exportacion Directa1022472</v>
          </cell>
          <cell r="D183" t="str">
            <v>Exportacion Directa</v>
          </cell>
          <cell r="E183">
            <v>1022472</v>
          </cell>
          <cell r="F183" t="str">
            <v>GO Lom Ctro S/Tecla(OY)Mit@ Cj Tf 20k AP</v>
          </cell>
          <cell r="G183">
            <v>0</v>
          </cell>
        </row>
        <row r="184">
          <cell r="C184" t="str">
            <v>Exportacion Directa1022499</v>
          </cell>
          <cell r="D184" t="str">
            <v>Exportacion Directa</v>
          </cell>
          <cell r="E184">
            <v>1022499</v>
          </cell>
          <cell r="F184" t="str">
            <v>GO Lom Vet Mit@ 4 Bo Cj 10k AP</v>
          </cell>
          <cell r="G184">
            <v>23736</v>
          </cell>
        </row>
        <row r="185">
          <cell r="C185" t="str">
            <v>Exportacion Directa1022587</v>
          </cell>
          <cell r="D185" t="str">
            <v>Exportacion Directa</v>
          </cell>
          <cell r="E185">
            <v>1022587</v>
          </cell>
          <cell r="F185" t="str">
            <v>GO CC Loin L (S/T) 45@ Fi Cj AP</v>
          </cell>
          <cell r="G185">
            <v>4017</v>
          </cell>
        </row>
        <row r="186">
          <cell r="C186" t="str">
            <v>Exportacion Directa1022600</v>
          </cell>
          <cell r="D186" t="str">
            <v>Exportacion Directa</v>
          </cell>
          <cell r="E186">
            <v>1022600</v>
          </cell>
          <cell r="F186" t="str">
            <v>GO Lom Vet 2 a 2,3k@ Fi Verd Cj AP</v>
          </cell>
          <cell r="G186">
            <v>15692</v>
          </cell>
        </row>
        <row r="187">
          <cell r="C187" t="str">
            <v>Exportacion Directa1022664</v>
          </cell>
          <cell r="D187" t="str">
            <v>Exportacion Directa</v>
          </cell>
          <cell r="E187">
            <v>1022664</v>
          </cell>
          <cell r="F187" t="str">
            <v>GO CC Loin L (S/T) (DF)@ Fi Cj AP</v>
          </cell>
          <cell r="G187">
            <v>66114</v>
          </cell>
        </row>
        <row r="188">
          <cell r="C188" t="str">
            <v>Exportacion Directa1022919</v>
          </cell>
          <cell r="D188" t="str">
            <v>Exportacion Directa</v>
          </cell>
          <cell r="E188">
            <v>1022919</v>
          </cell>
          <cell r="F188" t="str">
            <v>GO MM LOIN S VP@ Cj 10k AP</v>
          </cell>
          <cell r="G188">
            <v>0</v>
          </cell>
        </row>
        <row r="189">
          <cell r="C189" t="str">
            <v>Exportacion Directa1022931</v>
          </cell>
          <cell r="D189" t="str">
            <v>Exportacion Directa</v>
          </cell>
          <cell r="E189">
            <v>1022931</v>
          </cell>
          <cell r="F189" t="str">
            <v>GO File C/cab 6x1@ VP Cj AP</v>
          </cell>
          <cell r="G189">
            <v>26565</v>
          </cell>
        </row>
        <row r="190">
          <cell r="C190" t="str">
            <v>Exportacion Directa1022987</v>
          </cell>
          <cell r="D190" t="str">
            <v>Exportacion Directa</v>
          </cell>
          <cell r="E190">
            <v>1022987</v>
          </cell>
          <cell r="F190" t="str">
            <v>GO Lom Tocino@ Bo Cj 20k AP</v>
          </cell>
          <cell r="G190">
            <v>38592</v>
          </cell>
        </row>
        <row r="191">
          <cell r="C191" t="str">
            <v>Exportacion Directa1022990</v>
          </cell>
          <cell r="D191" t="str">
            <v>Exportacion Directa</v>
          </cell>
          <cell r="E191">
            <v>1022990</v>
          </cell>
          <cell r="F191" t="str">
            <v>GO Panc Tec S/cue VP@ Cj ch AP</v>
          </cell>
          <cell r="G191">
            <v>0</v>
          </cell>
        </row>
        <row r="192">
          <cell r="C192" t="str">
            <v>Exportacion Directa1023051</v>
          </cell>
          <cell r="D192" t="str">
            <v>Exportacion Directa</v>
          </cell>
          <cell r="E192">
            <v>1023051</v>
          </cell>
          <cell r="F192" t="str">
            <v>GO Lom Vet L@ Fi Cj Lom Vet AP</v>
          </cell>
          <cell r="G192">
            <v>0</v>
          </cell>
        </row>
        <row r="193">
          <cell r="C193" t="str">
            <v>Exportacion Directa1023055</v>
          </cell>
          <cell r="D193" t="str">
            <v>Exportacion Directa</v>
          </cell>
          <cell r="E193">
            <v>1023055</v>
          </cell>
          <cell r="F193" t="str">
            <v>GO Lom Vet M@ Fi Cj Lom Vet AP</v>
          </cell>
          <cell r="G193">
            <v>10538</v>
          </cell>
        </row>
        <row r="194">
          <cell r="C194" t="str">
            <v>Exportacion Directa1023163</v>
          </cell>
          <cell r="D194" t="str">
            <v>Exportacion Directa</v>
          </cell>
          <cell r="E194">
            <v>1023163</v>
          </cell>
          <cell r="F194" t="str">
            <v>GO Lom Vet &gt;2.0@ Fi Cj 8k AP</v>
          </cell>
          <cell r="G194">
            <v>15836</v>
          </cell>
        </row>
        <row r="195">
          <cell r="C195" t="str">
            <v>Exportacion Directa1023194</v>
          </cell>
          <cell r="D195" t="str">
            <v>Exportacion Directa</v>
          </cell>
          <cell r="E195">
            <v>1023194</v>
          </cell>
          <cell r="F195" t="str">
            <v>GO Cne Falda Panc@ Bo Cj AP</v>
          </cell>
          <cell r="G195">
            <v>8936</v>
          </cell>
        </row>
        <row r="196">
          <cell r="C196" t="str">
            <v>Exportacion Directa1022901</v>
          </cell>
          <cell r="D196" t="str">
            <v>Exportacion Directa</v>
          </cell>
          <cell r="E196">
            <v>1022901</v>
          </cell>
          <cell r="F196" t="str">
            <v>GO Panc Tec S/Cue L@ Fi CJ Ch AP</v>
          </cell>
          <cell r="G196">
            <v>0</v>
          </cell>
        </row>
        <row r="197">
          <cell r="C197" t="str">
            <v>Exportacion Directa1022822</v>
          </cell>
          <cell r="D197" t="str">
            <v>Exportacion Directa</v>
          </cell>
          <cell r="E197">
            <v>1022822</v>
          </cell>
          <cell r="F197" t="str">
            <v>GO Panc Lam 3mm@ Cj AS</v>
          </cell>
          <cell r="G197">
            <v>0</v>
          </cell>
        </row>
        <row r="198">
          <cell r="C198" t="str">
            <v>Exportacion Directa1023301</v>
          </cell>
          <cell r="D198" t="str">
            <v>Exportacion Directa</v>
          </cell>
          <cell r="E198">
            <v>1023301</v>
          </cell>
          <cell r="F198" t="str">
            <v>GO CC Loin LL@ Bo Cj Lom Mad AP</v>
          </cell>
          <cell r="G198">
            <v>0</v>
          </cell>
        </row>
        <row r="199">
          <cell r="C199" t="str">
            <v>Exportacion Directa1023349</v>
          </cell>
          <cell r="D199" t="str">
            <v>Exportacion Directa</v>
          </cell>
          <cell r="E199">
            <v>1023349</v>
          </cell>
          <cell r="F199" t="str">
            <v>GO Lom Tecla VP@ Cj Lom Ctro</v>
          </cell>
          <cell r="G199">
            <v>4393</v>
          </cell>
        </row>
        <row r="200">
          <cell r="C200" t="str">
            <v>Exportacion Directa1023350</v>
          </cell>
          <cell r="D200" t="str">
            <v>Exportacion Directa</v>
          </cell>
          <cell r="E200">
            <v>1023350</v>
          </cell>
          <cell r="F200" t="str">
            <v>Lom Vet &gt;2.0@ VP Cj Lom Vet AP</v>
          </cell>
          <cell r="G200">
            <v>15287</v>
          </cell>
        </row>
        <row r="201">
          <cell r="C201" t="str">
            <v>Exportacion Directa1023352</v>
          </cell>
          <cell r="D201" t="str">
            <v>Exportacion Directa</v>
          </cell>
          <cell r="E201">
            <v>1023352</v>
          </cell>
          <cell r="F201" t="str">
            <v>GO Panc Tec S/cue@ R VP Cj ch AP</v>
          </cell>
          <cell r="G201">
            <v>51787</v>
          </cell>
        </row>
        <row r="202">
          <cell r="C202" t="str">
            <v>Exportacion Directa1023351</v>
          </cell>
          <cell r="D202" t="str">
            <v>Exportacion Directa</v>
          </cell>
          <cell r="E202">
            <v>1023351</v>
          </cell>
          <cell r="F202" t="str">
            <v>GO Panc S/tec L @VP Cj AP</v>
          </cell>
          <cell r="G202">
            <v>6152</v>
          </cell>
        </row>
        <row r="203">
          <cell r="C203" t="str">
            <v>Exportacion Directa1022346</v>
          </cell>
          <cell r="D203" t="str">
            <v>Exportacion Directa</v>
          </cell>
          <cell r="E203">
            <v>1022346</v>
          </cell>
          <cell r="F203" t="str">
            <v>GO PpPal 1P Ex@ Bo AP</v>
          </cell>
          <cell r="G203">
            <v>9480</v>
          </cell>
        </row>
        <row r="204">
          <cell r="C204" t="str">
            <v>Exportacion Directa1023419</v>
          </cell>
          <cell r="D204" t="str">
            <v>Exportacion Directa</v>
          </cell>
          <cell r="E204">
            <v>1023419</v>
          </cell>
          <cell r="F204" t="str">
            <v>GO Lom Tocino@ Bo Cj 20k AP</v>
          </cell>
          <cell r="G204">
            <v>19418</v>
          </cell>
        </row>
        <row r="205">
          <cell r="C205" t="str">
            <v>Exportacion Directa1023084</v>
          </cell>
          <cell r="D205" t="str">
            <v>Exportacion Directa</v>
          </cell>
          <cell r="E205">
            <v>1023084</v>
          </cell>
          <cell r="F205" t="str">
            <v>GO CC Loin LL@ Fi Cj Lom Tec AP</v>
          </cell>
          <cell r="G205">
            <v>0</v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 t="str">
            <v/>
          </cell>
        </row>
        <row r="214">
          <cell r="C214" t="str">
            <v/>
          </cell>
        </row>
        <row r="215">
          <cell r="C215" t="str">
            <v/>
          </cell>
        </row>
        <row r="216">
          <cell r="C216" t="str">
            <v/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 t="str">
            <v/>
          </cell>
        </row>
        <row r="223">
          <cell r="C223" t="str">
            <v/>
          </cell>
        </row>
        <row r="224">
          <cell r="C224" t="str">
            <v/>
          </cell>
        </row>
        <row r="225">
          <cell r="C225" t="str">
            <v/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 t="str">
            <v/>
          </cell>
        </row>
        <row r="233">
          <cell r="C233" t="str">
            <v/>
          </cell>
        </row>
        <row r="234">
          <cell r="C234" t="str">
            <v/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 t="str">
            <v/>
          </cell>
        </row>
        <row r="242">
          <cell r="C242" t="str">
            <v/>
          </cell>
        </row>
        <row r="243">
          <cell r="C243" t="str">
            <v/>
          </cell>
        </row>
        <row r="244">
          <cell r="C244" t="str">
            <v/>
          </cell>
        </row>
        <row r="245">
          <cell r="C245" t="str">
            <v/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 t="str">
            <v/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 t="str">
            <v/>
          </cell>
        </row>
        <row r="261">
          <cell r="C261" t="str">
            <v/>
          </cell>
        </row>
        <row r="262">
          <cell r="C262" t="str">
            <v/>
          </cell>
        </row>
        <row r="263">
          <cell r="C263" t="str">
            <v/>
          </cell>
        </row>
        <row r="264">
          <cell r="C264" t="str">
            <v/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 t="str">
            <v/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 t="str">
            <v/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 t="str">
            <v/>
          </cell>
        </row>
        <row r="280">
          <cell r="C280" t="str">
            <v/>
          </cell>
        </row>
        <row r="281">
          <cell r="C281" t="str">
            <v/>
          </cell>
        </row>
        <row r="282">
          <cell r="C282" t="str">
            <v/>
          </cell>
        </row>
        <row r="283">
          <cell r="C283" t="str">
            <v/>
          </cell>
        </row>
        <row r="284">
          <cell r="C284" t="str">
            <v/>
          </cell>
        </row>
        <row r="285">
          <cell r="C285" t="str">
            <v/>
          </cell>
        </row>
        <row r="286">
          <cell r="C286" t="str">
            <v/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 t="str">
            <v/>
          </cell>
        </row>
        <row r="292">
          <cell r="C292" t="str">
            <v/>
          </cell>
        </row>
        <row r="293">
          <cell r="C293" t="str">
            <v/>
          </cell>
        </row>
        <row r="294">
          <cell r="C294" t="str">
            <v/>
          </cell>
        </row>
        <row r="295">
          <cell r="C295" t="str">
            <v/>
          </cell>
        </row>
        <row r="296">
          <cell r="C296" t="str">
            <v/>
          </cell>
        </row>
        <row r="297">
          <cell r="C297" t="str">
            <v/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 t="str">
            <v/>
          </cell>
        </row>
        <row r="306">
          <cell r="C306" t="str">
            <v/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 t="str">
            <v/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</sheetData>
      <sheetData sheetId="6">
        <row r="2">
          <cell r="B2" t="str">
            <v>Mes/Año natural</v>
          </cell>
          <cell r="C2" t="str">
            <v>(Todas)</v>
          </cell>
          <cell r="E2">
            <v>10510670</v>
          </cell>
          <cell r="F2">
            <v>2.7948838469303636</v>
          </cell>
        </row>
        <row r="3">
          <cell r="B3" t="str">
            <v>Tipo de Venta</v>
          </cell>
          <cell r="C3" t="str">
            <v>Directa</v>
          </cell>
        </row>
        <row r="4">
          <cell r="B4" t="str">
            <v>Mes</v>
          </cell>
          <cell r="C4" t="str">
            <v>09</v>
          </cell>
        </row>
        <row r="6">
          <cell r="B6" t="str">
            <v>Oficina de ventas</v>
          </cell>
          <cell r="C6" t="str">
            <v>SKU</v>
          </cell>
          <cell r="D6" t="str">
            <v>Descripción</v>
          </cell>
          <cell r="E6" t="str">
            <v>Suma de RV Final</v>
          </cell>
          <cell r="F6" t="str">
            <v>Suma de  RV Final</v>
          </cell>
        </row>
        <row r="7">
          <cell r="A7" t="str">
            <v>Agro Mexico1012764</v>
          </cell>
          <cell r="B7" t="str">
            <v>Agro Mexico</v>
          </cell>
          <cell r="C7">
            <v>1012764</v>
          </cell>
          <cell r="D7" t="str">
            <v>PO Ppa Esp@ Bo Cj 20k AS</v>
          </cell>
          <cell r="E7">
            <v>120001</v>
          </cell>
          <cell r="F7">
            <v>0.68207764935292203</v>
          </cell>
        </row>
        <row r="8">
          <cell r="A8" t="str">
            <v>Agro Mexico1030802</v>
          </cell>
          <cell r="B8" t="str">
            <v>Agro Mexico</v>
          </cell>
          <cell r="C8">
            <v>1030802</v>
          </cell>
          <cell r="D8" t="str">
            <v>PV PDM @ Bo Cj 15k AS</v>
          </cell>
          <cell r="E8">
            <v>144000</v>
          </cell>
          <cell r="F8">
            <v>1.2437708333333299</v>
          </cell>
        </row>
        <row r="9">
          <cell r="A9" t="str">
            <v>Agro Sudamerica1010877</v>
          </cell>
          <cell r="B9" t="str">
            <v>Agro Sudamerica</v>
          </cell>
          <cell r="C9">
            <v>1010877</v>
          </cell>
          <cell r="D9" t="str">
            <v>PO Molleja Mrps@ Cj 10k AS</v>
          </cell>
          <cell r="E9">
            <v>135072</v>
          </cell>
          <cell r="F9">
            <v>0.98667377398720701</v>
          </cell>
        </row>
        <row r="10">
          <cell r="A10" t="str">
            <v>Agro Sudamerica1011042</v>
          </cell>
          <cell r="B10" t="str">
            <v>Agro Sudamerica</v>
          </cell>
          <cell r="C10">
            <v>1011042</v>
          </cell>
          <cell r="D10" t="str">
            <v>PO Pta Espinaz@ Cj 10k AS</v>
          </cell>
          <cell r="E10">
            <v>2200</v>
          </cell>
          <cell r="F10">
            <v>0</v>
          </cell>
        </row>
        <row r="11">
          <cell r="A11" t="str">
            <v>Agro Sudamerica1011290</v>
          </cell>
          <cell r="B11" t="str">
            <v>Agro Sudamerica</v>
          </cell>
          <cell r="C11">
            <v>1011290</v>
          </cell>
          <cell r="D11" t="str">
            <v>PO Pch Piel@ Cj 20k AS</v>
          </cell>
          <cell r="E11">
            <v>0</v>
          </cell>
          <cell r="F11">
            <v>0</v>
          </cell>
        </row>
        <row r="12">
          <cell r="A12" t="str">
            <v>Agro Sudamerica1011421</v>
          </cell>
          <cell r="B12" t="str">
            <v>Agro Sudamerica</v>
          </cell>
          <cell r="C12">
            <v>1011421</v>
          </cell>
          <cell r="D12" t="str">
            <v>PO Ppa Esp 50 Pim@ Cj 20k AS</v>
          </cell>
          <cell r="E12">
            <v>538009</v>
          </cell>
          <cell r="F12">
            <v>0.83667187723625402</v>
          </cell>
        </row>
        <row r="13">
          <cell r="A13" t="str">
            <v>Agro Sudamerica1011558</v>
          </cell>
          <cell r="B13" t="str">
            <v>Agro Sudamerica</v>
          </cell>
          <cell r="C13">
            <v>1011558</v>
          </cell>
          <cell r="D13" t="str">
            <v>PO Ppa Esp@ 2 blo x 10k Cj AS</v>
          </cell>
          <cell r="E13">
            <v>241154</v>
          </cell>
          <cell r="F13">
            <v>0.88667407548703303</v>
          </cell>
        </row>
        <row r="14">
          <cell r="A14" t="str">
            <v>Agro Sudamerica1012207</v>
          </cell>
          <cell r="B14" t="str">
            <v>Agro Sudamerica</v>
          </cell>
          <cell r="C14">
            <v>1012207</v>
          </cell>
          <cell r="D14" t="str">
            <v>PO Ctre Mrps@ Bo 12x1k Cj AS</v>
          </cell>
          <cell r="E14">
            <v>41500</v>
          </cell>
          <cell r="F14">
            <v>0.93667469879518095</v>
          </cell>
        </row>
        <row r="15">
          <cell r="A15" t="str">
            <v>Agro Sudamerica1012283</v>
          </cell>
          <cell r="B15" t="str">
            <v>Agro Sudamerica</v>
          </cell>
          <cell r="C15">
            <v>1012283</v>
          </cell>
          <cell r="D15" t="str">
            <v>PO Pana S/Corazón@ Cj 20k AS</v>
          </cell>
          <cell r="E15">
            <v>16654</v>
          </cell>
          <cell r="F15">
            <v>0.68668187822745297</v>
          </cell>
        </row>
        <row r="16">
          <cell r="A16" t="str">
            <v>Agro Sudamerica1012362</v>
          </cell>
          <cell r="B16" t="str">
            <v>Agro Sudamerica</v>
          </cell>
          <cell r="C16">
            <v>1012362</v>
          </cell>
          <cell r="D16" t="str">
            <v>PO Corazon@ Cj 18k AS</v>
          </cell>
          <cell r="E16"/>
          <cell r="F16"/>
        </row>
        <row r="17">
          <cell r="A17" t="str">
            <v>Agro Sudamerica1012556</v>
          </cell>
          <cell r="B17" t="str">
            <v>Agro Sudamerica</v>
          </cell>
          <cell r="C17">
            <v>1012556</v>
          </cell>
          <cell r="D17" t="str">
            <v>PO CDM 14% proteina@ Cj 20k AS</v>
          </cell>
          <cell r="E17">
            <v>153862</v>
          </cell>
          <cell r="F17">
            <v>0.98666987300308095</v>
          </cell>
        </row>
        <row r="18">
          <cell r="A18" t="str">
            <v>Agro Sudamerica1012719</v>
          </cell>
          <cell r="B18" t="str">
            <v>Agro Sudamerica</v>
          </cell>
          <cell r="C18">
            <v>1012719</v>
          </cell>
          <cell r="D18" t="str">
            <v>PO Ppa Esp@ 2 Blox10kg CJ AS SD</v>
          </cell>
          <cell r="E18">
            <v>214716</v>
          </cell>
          <cell r="F18">
            <v>0.69999906853704397</v>
          </cell>
        </row>
        <row r="19">
          <cell r="A19" t="str">
            <v>Agro Sudamerica1012763</v>
          </cell>
          <cell r="B19" t="str">
            <v>Agro Sudamerica</v>
          </cell>
          <cell r="C19">
            <v>1012763</v>
          </cell>
          <cell r="D19" t="str">
            <v>PO Pana S/cora blo@Cj 20kg AS</v>
          </cell>
          <cell r="E19">
            <v>106945</v>
          </cell>
          <cell r="F19">
            <v>0.70667165365374696</v>
          </cell>
        </row>
        <row r="20">
          <cell r="A20" t="str">
            <v>Agro Sudamerica1012778</v>
          </cell>
          <cell r="B20" t="str">
            <v>Agro Sudamerica</v>
          </cell>
          <cell r="C20">
            <v>1012778</v>
          </cell>
          <cell r="D20" t="str">
            <v>PO Corazón@ Placa Cj 19kg SD</v>
          </cell>
          <cell r="E20">
            <v>13231</v>
          </cell>
          <cell r="F20">
            <v>0</v>
          </cell>
        </row>
        <row r="21">
          <cell r="A21" t="str">
            <v>Agro Sudamerica1020339</v>
          </cell>
          <cell r="B21" t="str">
            <v>Agro Sudamerica</v>
          </cell>
          <cell r="C21">
            <v>1020339</v>
          </cell>
          <cell r="D21" t="str">
            <v>GO Lom Tocino@ Cj 20k AS</v>
          </cell>
          <cell r="E21">
            <v>96000</v>
          </cell>
          <cell r="F21">
            <v>1.68667708333333</v>
          </cell>
        </row>
        <row r="22">
          <cell r="A22" t="str">
            <v>Agro Sudamerica1020352</v>
          </cell>
          <cell r="B22" t="str">
            <v>Agro Sudamerica</v>
          </cell>
          <cell r="C22">
            <v>1020352</v>
          </cell>
          <cell r="D22" t="str">
            <v>GO Cue 20@ Cj 20k AS</v>
          </cell>
          <cell r="E22">
            <v>48000</v>
          </cell>
          <cell r="F22">
            <v>1.38666666666667</v>
          </cell>
        </row>
        <row r="23">
          <cell r="A23" t="str">
            <v>Agro Sudamerica1020367</v>
          </cell>
          <cell r="B23" t="str">
            <v>Agro Sudamerica</v>
          </cell>
          <cell r="C23">
            <v>1020367</v>
          </cell>
          <cell r="D23" t="str">
            <v>GO Gord Lom Tocino@ Cj t-f AS</v>
          </cell>
          <cell r="E23">
            <v>120000</v>
          </cell>
          <cell r="F23">
            <v>1.3366750000000001</v>
          </cell>
        </row>
        <row r="24">
          <cell r="A24" t="str">
            <v>Agro Sudamerica1020412</v>
          </cell>
          <cell r="B24" t="str">
            <v>Agro Sudamerica</v>
          </cell>
          <cell r="C24">
            <v>1020412</v>
          </cell>
          <cell r="D24" t="str">
            <v>GO Cne Long@ Cj t-f AS</v>
          </cell>
          <cell r="E24">
            <v>264000</v>
          </cell>
          <cell r="F24">
            <v>1.75030681818182</v>
          </cell>
        </row>
        <row r="25">
          <cell r="A25" t="str">
            <v>Agro Sudamerica1020848</v>
          </cell>
          <cell r="B25" t="str">
            <v>Agro Sudamerica</v>
          </cell>
          <cell r="C25">
            <v>1020848</v>
          </cell>
          <cell r="D25" t="str">
            <v>GO Lom Ctro 27@ Cj 20k AS</v>
          </cell>
          <cell r="E25">
            <v>96000</v>
          </cell>
          <cell r="F25">
            <v>3.20667708333333</v>
          </cell>
        </row>
        <row r="26">
          <cell r="A26" t="str">
            <v>Agro Sudamerica1020944</v>
          </cell>
          <cell r="B26" t="str">
            <v>Agro Sudamerica</v>
          </cell>
          <cell r="C26">
            <v>1020944</v>
          </cell>
          <cell r="D26" t="str">
            <v>GO PpPna 59@ Fi Cj 20k AS</v>
          </cell>
          <cell r="E26">
            <v>168000</v>
          </cell>
          <cell r="F26">
            <v>2.8366726190476199</v>
          </cell>
        </row>
        <row r="27">
          <cell r="A27" t="str">
            <v>Agro Sudamerica1021023</v>
          </cell>
          <cell r="B27" t="str">
            <v>Agro Sudamerica</v>
          </cell>
          <cell r="C27">
            <v>1021023</v>
          </cell>
          <cell r="D27" t="str">
            <v>GO Gord rebaje@ Bo Cj 20k AS</v>
          </cell>
          <cell r="E27">
            <v>192000</v>
          </cell>
          <cell r="F27">
            <v>1.2366718750000001</v>
          </cell>
        </row>
        <row r="28">
          <cell r="A28" t="str">
            <v>Agro Sudamerica1021039</v>
          </cell>
          <cell r="B28" t="str">
            <v>Agro Sudamerica</v>
          </cell>
          <cell r="C28">
            <v>1021039</v>
          </cell>
          <cell r="D28" t="str">
            <v>GO Cue Papda CP@ Cj 20k bca AS</v>
          </cell>
          <cell r="E28">
            <v>48000</v>
          </cell>
          <cell r="F28">
            <v>0.60666666666666702</v>
          </cell>
        </row>
        <row r="29">
          <cell r="A29" t="str">
            <v>Agro Sudamerica1021078</v>
          </cell>
          <cell r="B29" t="str">
            <v>Agro Sudamerica</v>
          </cell>
          <cell r="C29">
            <v>1021078</v>
          </cell>
          <cell r="D29" t="str">
            <v>GO Triming 80/20@ Cj 20k AS</v>
          </cell>
          <cell r="E29">
            <v>48000</v>
          </cell>
          <cell r="F29">
            <v>2.2866666666666702</v>
          </cell>
        </row>
        <row r="30">
          <cell r="A30" t="str">
            <v>Agro Sudamerica1021092</v>
          </cell>
          <cell r="B30" t="str">
            <v>Agro Sudamerica</v>
          </cell>
          <cell r="C30">
            <v>1021092</v>
          </cell>
          <cell r="D30" t="str">
            <v>GO Triming 85/15@ Cj t-f 20k AS</v>
          </cell>
          <cell r="E30">
            <v>120000</v>
          </cell>
          <cell r="F30">
            <v>2.5866750000000001</v>
          </cell>
        </row>
        <row r="31">
          <cell r="A31" t="str">
            <v>Agro Sudamerica1021101</v>
          </cell>
          <cell r="B31" t="str">
            <v>Agro Sudamerica</v>
          </cell>
          <cell r="C31">
            <v>1021101</v>
          </cell>
          <cell r="D31" t="str">
            <v>GO Corazón Partido@ Cj t-f 20k AS</v>
          </cell>
          <cell r="E31">
            <v>24000</v>
          </cell>
          <cell r="F31">
            <v>1.1866666666666701</v>
          </cell>
        </row>
        <row r="32">
          <cell r="A32" t="str">
            <v>Agro Sudamerica1021105</v>
          </cell>
          <cell r="B32" t="str">
            <v>Agro Sudamerica</v>
          </cell>
          <cell r="C32">
            <v>1021105</v>
          </cell>
          <cell r="D32" t="str">
            <v>GO Pulmon@ Cj 20k bca AS</v>
          </cell>
          <cell r="E32">
            <v>48000</v>
          </cell>
          <cell r="F32">
            <v>0.76666666666666705</v>
          </cell>
        </row>
        <row r="33">
          <cell r="A33" t="str">
            <v>Agro Sudamerica1021106</v>
          </cell>
          <cell r="B33" t="str">
            <v>Agro Sudamerica</v>
          </cell>
          <cell r="C33">
            <v>1021106</v>
          </cell>
          <cell r="D33" t="str">
            <v>GO Pana S/Corazón@ Cj 20k AS</v>
          </cell>
          <cell r="E33">
            <v>9312</v>
          </cell>
          <cell r="F33">
            <v>0.48668384879725102</v>
          </cell>
        </row>
        <row r="34">
          <cell r="A34" t="str">
            <v>Agro Sudamerica1021187</v>
          </cell>
          <cell r="B34" t="str">
            <v>Agro Sudamerica</v>
          </cell>
          <cell r="C34">
            <v>1021187</v>
          </cell>
          <cell r="D34" t="str">
            <v>GO Cue Back@ Cj 20k t-f AS</v>
          </cell>
          <cell r="E34">
            <v>48000</v>
          </cell>
          <cell r="F34">
            <v>2.08666666666667</v>
          </cell>
        </row>
        <row r="35">
          <cell r="A35" t="str">
            <v>Agro Sudamerica1021385</v>
          </cell>
          <cell r="B35" t="str">
            <v>Agro Sudamerica</v>
          </cell>
          <cell r="C35">
            <v>1021385</v>
          </cell>
          <cell r="D35" t="str">
            <v>GO Cue granel Esp CC@ Cj 20k AS</v>
          </cell>
          <cell r="E35">
            <v>144000</v>
          </cell>
          <cell r="F35">
            <v>1.00334027777778</v>
          </cell>
        </row>
        <row r="36">
          <cell r="A36" t="str">
            <v>Agro Sudamerica1021864</v>
          </cell>
          <cell r="B36" t="str">
            <v>Agro Sudamerica</v>
          </cell>
          <cell r="C36">
            <v>1021864</v>
          </cell>
          <cell r="D36" t="str">
            <v>GO Cue Papda CP@ Cj 20k AS</v>
          </cell>
          <cell r="E36"/>
          <cell r="F36"/>
        </row>
        <row r="37">
          <cell r="A37" t="str">
            <v>Agro Sudamerica1021868</v>
          </cell>
          <cell r="B37" t="str">
            <v>Agro Sudamerica</v>
          </cell>
          <cell r="C37">
            <v>1021868</v>
          </cell>
          <cell r="D37" t="str">
            <v>GO PpPna 54@ Cj 20k AS</v>
          </cell>
          <cell r="E37">
            <v>48000</v>
          </cell>
          <cell r="F37">
            <v>3</v>
          </cell>
        </row>
        <row r="38">
          <cell r="A38" t="str">
            <v>Agro Sudamerica1021976</v>
          </cell>
          <cell r="B38" t="str">
            <v>Agro Sudamerica</v>
          </cell>
          <cell r="C38">
            <v>1021976</v>
          </cell>
          <cell r="D38" t="str">
            <v>GO PpPal 77@ Cj 20k AS</v>
          </cell>
          <cell r="E38">
            <v>120000</v>
          </cell>
          <cell r="F38">
            <v>2.6</v>
          </cell>
        </row>
        <row r="39">
          <cell r="A39" t="str">
            <v>Agro Sudamerica1021980</v>
          </cell>
          <cell r="B39" t="str">
            <v>Agro Sudamerica</v>
          </cell>
          <cell r="C39">
            <v>1021980</v>
          </cell>
          <cell r="D39" t="str">
            <v>GO BB Ribs Grd B@ Fi Cj 20k AS</v>
          </cell>
          <cell r="E39">
            <v>5500</v>
          </cell>
          <cell r="F39">
            <v>4.9867272727272702</v>
          </cell>
        </row>
        <row r="40">
          <cell r="A40" t="str">
            <v>Agro Sudamerica1022047</v>
          </cell>
          <cell r="B40" t="str">
            <v>Agro Sudamerica</v>
          </cell>
          <cell r="C40">
            <v>1022047</v>
          </cell>
          <cell r="D40" t="str">
            <v>GO Triming Panc@ Cj 20k AS</v>
          </cell>
          <cell r="E40">
            <v>24000</v>
          </cell>
          <cell r="F40">
            <v>1.4866666666666699</v>
          </cell>
        </row>
        <row r="41">
          <cell r="A41" t="str">
            <v>Agro Sudamerica1022150</v>
          </cell>
          <cell r="B41" t="str">
            <v>Agro Sudamerica</v>
          </cell>
          <cell r="C41">
            <v>1022150</v>
          </cell>
          <cell r="D41" t="str">
            <v>GO Gord chic@ Cj 20k AS</v>
          </cell>
          <cell r="E41">
            <v>52932</v>
          </cell>
          <cell r="F41">
            <v>1.28666968941283</v>
          </cell>
        </row>
        <row r="42">
          <cell r="A42" t="str">
            <v>Agro Sudamerica1022709</v>
          </cell>
          <cell r="B42" t="str">
            <v>Agro Sudamerica</v>
          </cell>
          <cell r="C42">
            <v>1022709</v>
          </cell>
          <cell r="D42" t="str">
            <v>GO PpPna 57@ Bo Cj AS</v>
          </cell>
          <cell r="E42">
            <v>240000</v>
          </cell>
          <cell r="F42">
            <v>2.96</v>
          </cell>
        </row>
        <row r="43">
          <cell r="A43" t="str">
            <v>Agro Sudamerica1022782</v>
          </cell>
          <cell r="B43" t="str">
            <v>Agro Sudamerica</v>
          </cell>
          <cell r="C43">
            <v>1022782</v>
          </cell>
          <cell r="D43" t="str">
            <v>GO Tripa Calib 35/38# Bo Bidon AS</v>
          </cell>
          <cell r="E43">
            <v>0</v>
          </cell>
          <cell r="F43">
            <v>0</v>
          </cell>
        </row>
        <row r="44">
          <cell r="A44" t="str">
            <v>Agro Sudamerica1022783</v>
          </cell>
          <cell r="B44" t="str">
            <v>Agro Sudamerica</v>
          </cell>
          <cell r="C44">
            <v>1022783</v>
          </cell>
          <cell r="D44" t="str">
            <v>GO Tripa Calib 38/40# Bo Bidon AS</v>
          </cell>
          <cell r="E44"/>
          <cell r="F44"/>
        </row>
        <row r="45">
          <cell r="A45" t="str">
            <v>Agro Sudamerica1022784</v>
          </cell>
          <cell r="B45" t="str">
            <v>Agro Sudamerica</v>
          </cell>
          <cell r="C45">
            <v>1022784</v>
          </cell>
          <cell r="D45" t="str">
            <v>GO Tripa Calib 40/42# Bo Bin AS</v>
          </cell>
          <cell r="E45">
            <v>0</v>
          </cell>
          <cell r="F45">
            <v>0</v>
          </cell>
        </row>
        <row r="46">
          <cell r="A46" t="str">
            <v>Agro Sudamerica1022786</v>
          </cell>
          <cell r="B46" t="str">
            <v>Agro Sudamerica</v>
          </cell>
          <cell r="C46">
            <v>1022786</v>
          </cell>
          <cell r="D46" t="str">
            <v>GO Trip Calib Tub 35/39 Azul# Bidon AS</v>
          </cell>
          <cell r="E46">
            <v>0</v>
          </cell>
          <cell r="F46">
            <v>0</v>
          </cell>
        </row>
        <row r="47">
          <cell r="A47" t="str">
            <v>Agro Sudamerica1022847</v>
          </cell>
          <cell r="B47" t="str">
            <v>Agro Sudamerica</v>
          </cell>
          <cell r="C47">
            <v>1022847</v>
          </cell>
          <cell r="D47" t="str">
            <v>GO Cne Falda Pan@ CJ 20k AS</v>
          </cell>
          <cell r="E47">
            <v>24000</v>
          </cell>
          <cell r="F47">
            <v>1.53666666666667</v>
          </cell>
        </row>
        <row r="48">
          <cell r="A48" t="str">
            <v>Agro Sudamerica1022855</v>
          </cell>
          <cell r="B48" t="str">
            <v>Agro Sudamerica</v>
          </cell>
          <cell r="C48">
            <v>1022855</v>
          </cell>
          <cell r="D48" t="str">
            <v>GO Grasa Forro Pal@ Cj 20k AS</v>
          </cell>
          <cell r="E48">
            <v>9529</v>
          </cell>
          <cell r="F48">
            <v>1.40675831671739</v>
          </cell>
        </row>
        <row r="49">
          <cell r="A49" t="str">
            <v>Agro Sudamerica1022921</v>
          </cell>
          <cell r="B49" t="str">
            <v>Agro Sudamerica</v>
          </cell>
          <cell r="C49">
            <v>1022921</v>
          </cell>
          <cell r="D49" t="str">
            <v>GO Gord chic@ Cj 20k AS</v>
          </cell>
          <cell r="E49">
            <v>21452</v>
          </cell>
          <cell r="F49">
            <v>1.38667723289204</v>
          </cell>
        </row>
        <row r="50">
          <cell r="A50" t="str">
            <v>Agro Sudamerica1023295</v>
          </cell>
          <cell r="B50" t="str">
            <v>Agro Sudamerica</v>
          </cell>
          <cell r="C50">
            <v>1023295</v>
          </cell>
          <cell r="D50" t="str">
            <v>GO Trip Calib Tub 37/40 Azul# Cj AS</v>
          </cell>
          <cell r="E50">
            <v>1000</v>
          </cell>
          <cell r="F50">
            <v>12.287000000000001</v>
          </cell>
        </row>
        <row r="51">
          <cell r="A51" t="str">
            <v>Agro Sudamerica1023355</v>
          </cell>
          <cell r="B51" t="str">
            <v>Agro Sudamerica</v>
          </cell>
          <cell r="C51">
            <v>1023355</v>
          </cell>
          <cell r="D51" t="str">
            <v>GO Pulmon@ Cj 20k AS</v>
          </cell>
          <cell r="E51">
            <v>24000</v>
          </cell>
          <cell r="F51">
            <v>0.73666666666666702</v>
          </cell>
        </row>
        <row r="52">
          <cell r="A52" t="str">
            <v>Agro Sudamerica1100407</v>
          </cell>
          <cell r="B52" t="str">
            <v>Agro Sudamerica</v>
          </cell>
          <cell r="C52">
            <v>1100407</v>
          </cell>
          <cell r="D52" t="str">
            <v>Nugg Pollo Uru@ Bo Cj 1k SH</v>
          </cell>
          <cell r="E52"/>
          <cell r="F52"/>
        </row>
        <row r="53">
          <cell r="A53" t="str">
            <v>Agro Sudamerica1100408</v>
          </cell>
          <cell r="B53" t="str">
            <v>Agro Sudamerica</v>
          </cell>
          <cell r="C53">
            <v>1100408</v>
          </cell>
          <cell r="D53" t="str">
            <v>Nugg Pollo Uru@ Film 2.5k SH</v>
          </cell>
          <cell r="E53"/>
          <cell r="F53"/>
        </row>
        <row r="54">
          <cell r="A54" t="str">
            <v>Agro Sudamerica1022705</v>
          </cell>
          <cell r="B54" t="str">
            <v>Agro Sudamerica</v>
          </cell>
          <cell r="C54">
            <v>1022705</v>
          </cell>
          <cell r="D54" t="str">
            <v>GO Mantec@ Cj 20k AS</v>
          </cell>
          <cell r="E54">
            <v>24000</v>
          </cell>
          <cell r="F54">
            <v>0.99666666666666703</v>
          </cell>
        </row>
        <row r="55">
          <cell r="A55" t="str">
            <v>Agro Sudamerica1020086</v>
          </cell>
          <cell r="B55" t="str">
            <v>Agro Sudamerica</v>
          </cell>
          <cell r="C55">
            <v>1020086</v>
          </cell>
          <cell r="D55" t="str">
            <v>GO Lom Ctro 27 S/f@ Va Cj t-f AS</v>
          </cell>
          <cell r="E55">
            <v>96000</v>
          </cell>
          <cell r="F55">
            <v>3.20667708333333</v>
          </cell>
        </row>
        <row r="56">
          <cell r="A56" t="str">
            <v>Agro Sudamerica1012655</v>
          </cell>
          <cell r="B56" t="str">
            <v>Agro Sudamerica</v>
          </cell>
          <cell r="C56">
            <v>1012655</v>
          </cell>
          <cell r="D56" t="str">
            <v>PO Garra Pla@ Cj 20k AS</v>
          </cell>
          <cell r="E56">
            <v>4889</v>
          </cell>
          <cell r="F56">
            <v>0</v>
          </cell>
        </row>
        <row r="57">
          <cell r="A57" t="str">
            <v>Agro Sudamerica1023433</v>
          </cell>
          <cell r="B57" t="str">
            <v>Agro Sudamerica</v>
          </cell>
          <cell r="C57">
            <v>1023433</v>
          </cell>
          <cell r="D57" t="str">
            <v>GO Papda Cab@ Cj 20k AS</v>
          </cell>
          <cell r="E57">
            <v>48000</v>
          </cell>
          <cell r="F57">
            <v>1.88666666666667</v>
          </cell>
        </row>
        <row r="58">
          <cell r="A58" t="str">
            <v>Agro Sudamerica1023436</v>
          </cell>
          <cell r="B58" t="str">
            <v>Agro Sudamerica</v>
          </cell>
          <cell r="C58">
            <v>1023436</v>
          </cell>
          <cell r="D58" t="str">
            <v>GO Manos@ Cj 20k AS</v>
          </cell>
          <cell r="E58">
            <v>24000</v>
          </cell>
          <cell r="F58">
            <v>0.5</v>
          </cell>
        </row>
        <row r="59">
          <cell r="A59" t="str">
            <v>Agro Sudamerica1012375</v>
          </cell>
          <cell r="B59" t="str">
            <v>Agro Sudamerica</v>
          </cell>
          <cell r="C59">
            <v>1012375</v>
          </cell>
          <cell r="D59" t="str">
            <v>PO Pech c/h c/p@ Cj 16k AS</v>
          </cell>
          <cell r="E59">
            <v>48000</v>
          </cell>
          <cell r="F59">
            <v>2.1</v>
          </cell>
        </row>
        <row r="60">
          <cell r="A60" t="str">
            <v>Agro Sudamerica1023420</v>
          </cell>
          <cell r="B60" t="str">
            <v>Agro Sudamerica</v>
          </cell>
          <cell r="C60">
            <v>1023420</v>
          </cell>
          <cell r="D60" t="str">
            <v xml:space="preserve"> GO PpPna 59@ Cj 20k AS</v>
          </cell>
          <cell r="E60">
            <v>48000</v>
          </cell>
          <cell r="F60">
            <v>2.83666666666667</v>
          </cell>
        </row>
        <row r="61">
          <cell r="A61" t="str">
            <v>Agrosuper Asia1012012</v>
          </cell>
          <cell r="B61" t="str">
            <v>Agrosuper Asia</v>
          </cell>
          <cell r="C61">
            <v>1012012</v>
          </cell>
          <cell r="D61" t="str">
            <v>PO Ala Ctro Mr@ Fi Cj 18k AS</v>
          </cell>
          <cell r="E61">
            <v>60000</v>
          </cell>
          <cell r="F61">
            <v>5.1929333333333298</v>
          </cell>
        </row>
        <row r="62">
          <cell r="A62" t="str">
            <v>Agrosuper Asia1012612</v>
          </cell>
          <cell r="B62" t="str">
            <v>Agrosuper Asia</v>
          </cell>
          <cell r="C62">
            <v>1012612</v>
          </cell>
          <cell r="D62" t="str">
            <v>PO Ppa Esp Blo@ Bo Cj 20k AS</v>
          </cell>
          <cell r="E62">
            <v>689747</v>
          </cell>
          <cell r="F62">
            <v>0.85000007249034804</v>
          </cell>
        </row>
        <row r="63">
          <cell r="A63" t="str">
            <v>Agrosuper Asia1020860</v>
          </cell>
          <cell r="B63" t="str">
            <v>Agrosuper Asia</v>
          </cell>
          <cell r="C63">
            <v>1020860</v>
          </cell>
          <cell r="D63" t="str">
            <v>GO Lom Vet@ Cj 12k AK</v>
          </cell>
          <cell r="E63">
            <v>57474</v>
          </cell>
          <cell r="F63">
            <v>3.9636183317674099</v>
          </cell>
        </row>
        <row r="64">
          <cell r="A64" t="str">
            <v>Agrosuper Asia1020861</v>
          </cell>
          <cell r="B64" t="str">
            <v>Agrosuper Asia</v>
          </cell>
          <cell r="C64">
            <v>1020861</v>
          </cell>
          <cell r="D64" t="str">
            <v>GO Lom Vet@ Cj 12k TJ</v>
          </cell>
          <cell r="E64">
            <v>110000</v>
          </cell>
          <cell r="F64">
            <v>3.96360909090909</v>
          </cell>
        </row>
        <row r="65">
          <cell r="A65" t="str">
            <v>Agrosuper Asia1021012</v>
          </cell>
          <cell r="B65" t="str">
            <v>Agrosuper Asia</v>
          </cell>
          <cell r="C65">
            <v>1021012</v>
          </cell>
          <cell r="D65" t="str">
            <v>GO Papda K@ Cj 20k AK</v>
          </cell>
          <cell r="E65">
            <v>198000</v>
          </cell>
          <cell r="F65">
            <v>1.6636060606060601</v>
          </cell>
        </row>
        <row r="66">
          <cell r="A66" t="str">
            <v>Agrosuper Asia1021045</v>
          </cell>
          <cell r="B66" t="str">
            <v>Agrosuper Asia</v>
          </cell>
          <cell r="C66">
            <v>1021045</v>
          </cell>
          <cell r="D66" t="str">
            <v>GO PernilM C/M@ Cj 15k AK</v>
          </cell>
          <cell r="E66">
            <v>86000</v>
          </cell>
          <cell r="F66">
            <v>1.96360465116279</v>
          </cell>
        </row>
        <row r="67">
          <cell r="A67" t="str">
            <v>Agrosuper Asia1021046</v>
          </cell>
          <cell r="B67" t="str">
            <v>Agrosuper Asia</v>
          </cell>
          <cell r="C67">
            <v>1021046</v>
          </cell>
          <cell r="D67" t="str">
            <v>GO PernilM C/M@ Cj 15k TJ</v>
          </cell>
          <cell r="E67">
            <v>48641</v>
          </cell>
          <cell r="F67">
            <v>1.9636109454986499</v>
          </cell>
        </row>
        <row r="68">
          <cell r="A68" t="str">
            <v>Agrosuper Asia1021149</v>
          </cell>
          <cell r="B68" t="str">
            <v>Agrosuper Asia</v>
          </cell>
          <cell r="C68">
            <v>1021149</v>
          </cell>
          <cell r="D68" t="str">
            <v>GO Tira Hso Ctro@ Cj 20k TJ</v>
          </cell>
          <cell r="E68">
            <v>154000</v>
          </cell>
          <cell r="F68">
            <v>0.66360389610389603</v>
          </cell>
        </row>
        <row r="69">
          <cell r="A69" t="str">
            <v>Agrosuper Asia1021150</v>
          </cell>
          <cell r="B69" t="str">
            <v>Agrosuper Asia</v>
          </cell>
          <cell r="C69">
            <v>1021150</v>
          </cell>
          <cell r="D69" t="str">
            <v>GO Tira Hso Ctro@ Cj 20k AK</v>
          </cell>
          <cell r="E69">
            <v>15768</v>
          </cell>
          <cell r="F69">
            <v>0.66362252663622501</v>
          </cell>
        </row>
        <row r="70">
          <cell r="A70" t="str">
            <v>Agrosuper Asia1021151</v>
          </cell>
          <cell r="B70" t="str">
            <v>Agrosuper Asia</v>
          </cell>
          <cell r="C70">
            <v>1021151</v>
          </cell>
          <cell r="D70" t="str">
            <v>GO Hso Cogote@ Bo Cj 20k TJ</v>
          </cell>
          <cell r="E70">
            <v>28442</v>
          </cell>
          <cell r="F70">
            <v>1.06360312214331</v>
          </cell>
        </row>
        <row r="71">
          <cell r="A71" t="str">
            <v>Agrosuper Asia1021152</v>
          </cell>
          <cell r="B71" t="str">
            <v>Agrosuper Asia</v>
          </cell>
          <cell r="C71">
            <v>1021152</v>
          </cell>
          <cell r="D71" t="str">
            <v>GO Hso Cogote@ Bo Cj 20k AK</v>
          </cell>
          <cell r="E71">
            <v>36000</v>
          </cell>
          <cell r="F71">
            <v>1.06361111111111</v>
          </cell>
        </row>
        <row r="72">
          <cell r="A72" t="str">
            <v>Agrosuper Asia1021156</v>
          </cell>
          <cell r="B72" t="str">
            <v>Agrosuper Asia</v>
          </cell>
          <cell r="C72">
            <v>1021156</v>
          </cell>
          <cell r="D72" t="str">
            <v>GO Hso Pecho@ Cj Lom Vet TJ</v>
          </cell>
          <cell r="E72">
            <v>48000</v>
          </cell>
          <cell r="F72">
            <v>2.42566666666667</v>
          </cell>
        </row>
        <row r="73">
          <cell r="A73" t="str">
            <v>Agrosuper Asia1021204</v>
          </cell>
          <cell r="B73" t="str">
            <v>Agrosuper Asia</v>
          </cell>
          <cell r="C73">
            <v>1021204</v>
          </cell>
          <cell r="D73" t="str">
            <v>GO Lom Tocino@ Cj 20k AS</v>
          </cell>
          <cell r="E73">
            <v>14545</v>
          </cell>
          <cell r="F73">
            <v>1.1135097971811601</v>
          </cell>
        </row>
        <row r="74">
          <cell r="A74" t="str">
            <v>Agrosuper Asia1021470</v>
          </cell>
          <cell r="B74" t="str">
            <v>Agrosuper Asia</v>
          </cell>
          <cell r="C74">
            <v>1021470</v>
          </cell>
          <cell r="D74" t="str">
            <v>GO PernilM@ Cj 20k AK</v>
          </cell>
          <cell r="E74">
            <v>44000</v>
          </cell>
          <cell r="F74">
            <v>1.16361363636364</v>
          </cell>
        </row>
        <row r="75">
          <cell r="A75" t="str">
            <v>Agrosuper Asia1021664</v>
          </cell>
          <cell r="B75" t="str">
            <v>Agrosuper Asia</v>
          </cell>
          <cell r="C75">
            <v>1021664</v>
          </cell>
          <cell r="D75" t="str">
            <v>GO Pecho S/cue K@ Cj 20k TJ</v>
          </cell>
          <cell r="E75">
            <v>11484</v>
          </cell>
          <cell r="F75">
            <v>5.0635667014977397</v>
          </cell>
        </row>
        <row r="76">
          <cell r="A76" t="str">
            <v>Agrosuper Asia1021665</v>
          </cell>
          <cell r="B76" t="str">
            <v>Agrosuper Asia</v>
          </cell>
          <cell r="C76">
            <v>1021665</v>
          </cell>
          <cell r="D76" t="str">
            <v>GO Pecho S/cue K@ Cj 20k AK</v>
          </cell>
          <cell r="E76">
            <v>1774</v>
          </cell>
          <cell r="F76">
            <v>5.0636978579481404</v>
          </cell>
        </row>
        <row r="77">
          <cell r="A77" t="str">
            <v>Agrosuper Asia1022182</v>
          </cell>
          <cell r="B77" t="str">
            <v>Agrosuper Asia</v>
          </cell>
          <cell r="C77">
            <v>1022182</v>
          </cell>
          <cell r="D77" t="str">
            <v>GO BB Ribs 20-24 Oz@ Cj 10k AS</v>
          </cell>
          <cell r="E77">
            <v>1150</v>
          </cell>
          <cell r="F77">
            <v>5.2634782608695598</v>
          </cell>
        </row>
        <row r="78">
          <cell r="A78" t="str">
            <v>Agrosuper Asia1022283</v>
          </cell>
          <cell r="B78" t="str">
            <v>Agrosuper Asia</v>
          </cell>
          <cell r="C78">
            <v>1022283</v>
          </cell>
          <cell r="D78" t="str">
            <v>GO Malaya 5-6mm@ Bo Cj 9k AS</v>
          </cell>
          <cell r="E78">
            <v>828</v>
          </cell>
          <cell r="F78">
            <v>6.2657004830917904</v>
          </cell>
        </row>
        <row r="79">
          <cell r="A79" t="str">
            <v>Agrosuper Asia1022605</v>
          </cell>
          <cell r="B79" t="str">
            <v>Agrosuper Asia</v>
          </cell>
          <cell r="C79">
            <v>1022605</v>
          </cell>
          <cell r="D79" t="str">
            <v>GO Recto Tubo Crud@ Cj 10k AS</v>
          </cell>
          <cell r="E79">
            <v>24000</v>
          </cell>
          <cell r="F79">
            <v>4.2636250000000002</v>
          </cell>
        </row>
        <row r="80">
          <cell r="A80" t="str">
            <v>Agrosuper Asia1022607</v>
          </cell>
          <cell r="B80" t="str">
            <v>Agrosuper Asia</v>
          </cell>
          <cell r="C80">
            <v>1022607</v>
          </cell>
          <cell r="D80" t="str">
            <v>GO Platead Lom TF@ Cj 10k AK (TS)</v>
          </cell>
          <cell r="E80">
            <v>44000</v>
          </cell>
          <cell r="F80">
            <v>5.0636363636363599</v>
          </cell>
        </row>
        <row r="81">
          <cell r="A81" t="str">
            <v>Agrosuper Asia1022885</v>
          </cell>
          <cell r="B81" t="str">
            <v>Agrosuper Asia</v>
          </cell>
          <cell r="C81">
            <v>1022885</v>
          </cell>
          <cell r="D81" t="str">
            <v>GO Panc S/cue@ Cj Panc TJ</v>
          </cell>
          <cell r="E81">
            <v>550000</v>
          </cell>
          <cell r="F81">
            <v>5.7636072727272696</v>
          </cell>
        </row>
        <row r="82">
          <cell r="A82" t="str">
            <v>Agrosuper Asia1022887</v>
          </cell>
          <cell r="B82" t="str">
            <v>Agrosuper Asia</v>
          </cell>
          <cell r="C82">
            <v>1022887</v>
          </cell>
          <cell r="D82" t="str">
            <v>GO Panc S/cue@ Cj Panc AK</v>
          </cell>
          <cell r="E82">
            <v>154000</v>
          </cell>
          <cell r="F82">
            <v>5.7636038961039002</v>
          </cell>
        </row>
        <row r="83">
          <cell r="A83" t="str">
            <v>Agrosuper Asia1022930</v>
          </cell>
          <cell r="B83" t="str">
            <v>Agrosuper Asia</v>
          </cell>
          <cell r="C83">
            <v>1022930</v>
          </cell>
          <cell r="D83" t="str">
            <v>GO Panc S/cue Hem@ Cj Panc TJ AS</v>
          </cell>
          <cell r="E83">
            <v>220000</v>
          </cell>
          <cell r="F83">
            <v>5.9636045454545501</v>
          </cell>
        </row>
        <row r="84">
          <cell r="A84" t="str">
            <v>Agrosuper Asia1022985</v>
          </cell>
          <cell r="B84" t="str">
            <v>Agrosuper Asia</v>
          </cell>
          <cell r="C84">
            <v>1022985</v>
          </cell>
          <cell r="D84" t="str">
            <v>GO Lom Vet Mad@ Cj 8,5k TJ</v>
          </cell>
          <cell r="E84">
            <v>5000</v>
          </cell>
          <cell r="F84">
            <v>3.9636</v>
          </cell>
        </row>
        <row r="85">
          <cell r="A85" t="str">
            <v>Agrosuper Asia1023037</v>
          </cell>
          <cell r="B85" t="str">
            <v>Agrosuper Asia</v>
          </cell>
          <cell r="C85">
            <v>1023037</v>
          </cell>
          <cell r="D85" t="str">
            <v>GO Panc S/cue@ Cj Panc 16k AS</v>
          </cell>
          <cell r="E85">
            <v>88000</v>
          </cell>
          <cell r="F85">
            <v>6.1636022727272701</v>
          </cell>
        </row>
        <row r="86">
          <cell r="A86" t="str">
            <v>Agrosuper Asia1023038</v>
          </cell>
          <cell r="B86" t="str">
            <v>Agrosuper Asia</v>
          </cell>
          <cell r="C86">
            <v>1023038</v>
          </cell>
          <cell r="D86" t="str">
            <v>GO Lom Vet@ Cj 8k AS</v>
          </cell>
          <cell r="E86">
            <v>110000</v>
          </cell>
          <cell r="F86">
            <v>4.1636090909090901</v>
          </cell>
        </row>
        <row r="87">
          <cell r="A87" t="str">
            <v>Agrosuper Asia1023183</v>
          </cell>
          <cell r="B87" t="str">
            <v>Agrosuper Asia</v>
          </cell>
          <cell r="C87">
            <v>1023183</v>
          </cell>
          <cell r="D87" t="str">
            <v>GO Pech S/Cue@ Vp Cj AS</v>
          </cell>
          <cell r="E87">
            <v>44000</v>
          </cell>
          <cell r="F87">
            <v>5.2636590909090897</v>
          </cell>
        </row>
        <row r="88">
          <cell r="A88" t="str">
            <v>Agrosuper Asia1023283</v>
          </cell>
          <cell r="B88" t="str">
            <v>Agrosuper Asia</v>
          </cell>
          <cell r="C88">
            <v>1023283</v>
          </cell>
          <cell r="D88" t="str">
            <v>GO Grasa Chaleco@ Cj 10k AS</v>
          </cell>
          <cell r="E88">
            <v>72000</v>
          </cell>
          <cell r="F88">
            <v>0.71361111111111097</v>
          </cell>
        </row>
        <row r="89">
          <cell r="A89" t="str">
            <v>Agrosuper Asia1023372</v>
          </cell>
          <cell r="B89" t="str">
            <v>Agrosuper Asia</v>
          </cell>
          <cell r="C89">
            <v>1023372</v>
          </cell>
          <cell r="D89" t="str">
            <v>GO Lom Ctro 27@ Fi Cj 20k AS</v>
          </cell>
          <cell r="E89">
            <v>5707</v>
          </cell>
          <cell r="F89">
            <v>2.7135097248992501</v>
          </cell>
        </row>
        <row r="90">
          <cell r="A90" t="str">
            <v>Agrosuper Asia1023397</v>
          </cell>
          <cell r="B90" t="str">
            <v>Agrosuper Asia</v>
          </cell>
          <cell r="C90">
            <v>1023397</v>
          </cell>
          <cell r="D90" t="str">
            <v>GO Gord Esp@ Cj 20k AS</v>
          </cell>
          <cell r="E90">
            <v>11650</v>
          </cell>
          <cell r="F90">
            <v>0.91356223175965701</v>
          </cell>
        </row>
        <row r="91">
          <cell r="A91" t="str">
            <v>Agrosuper Asia1020904</v>
          </cell>
          <cell r="B91" t="str">
            <v>Agrosuper Asia</v>
          </cell>
          <cell r="C91">
            <v>1020904</v>
          </cell>
          <cell r="D91" t="str">
            <v>GO Panc C/cue@ Cj Panc 230 TJ</v>
          </cell>
          <cell r="E91">
            <v>9371</v>
          </cell>
          <cell r="F91">
            <v>5.5633336890406602</v>
          </cell>
        </row>
        <row r="92">
          <cell r="A92" t="str">
            <v>Agrosuper Asia1020905</v>
          </cell>
          <cell r="B92" t="str">
            <v>Agrosuper Asia</v>
          </cell>
          <cell r="C92">
            <v>1020905</v>
          </cell>
          <cell r="D92" t="str">
            <v>GO Panc C/cue@ Cj Panc 230 AK</v>
          </cell>
          <cell r="E92">
            <v>8517</v>
          </cell>
          <cell r="F92">
            <v>5.56369613713749</v>
          </cell>
        </row>
        <row r="93">
          <cell r="A93" t="str">
            <v>Agrosuper Asia1023435</v>
          </cell>
          <cell r="B93" t="str">
            <v>Agrosuper Asia</v>
          </cell>
          <cell r="C93">
            <v>1023435</v>
          </cell>
          <cell r="D93" t="str">
            <v>GO Cab Ent@ Cj 20k AS</v>
          </cell>
          <cell r="E93">
            <v>335809</v>
          </cell>
          <cell r="F93">
            <v>0.59999880884669599</v>
          </cell>
        </row>
        <row r="94">
          <cell r="A94" t="str">
            <v>Agrosuper Asia1023439</v>
          </cell>
          <cell r="B94" t="str">
            <v>Agrosuper Asia</v>
          </cell>
          <cell r="C94">
            <v>1023439</v>
          </cell>
          <cell r="D94" t="str">
            <v>GO Hso femur@ Cj 20k AS</v>
          </cell>
          <cell r="E94">
            <v>100000</v>
          </cell>
          <cell r="F94">
            <v>0.5</v>
          </cell>
        </row>
        <row r="95">
          <cell r="A95" t="str">
            <v>Agrosuper Asia1020660</v>
          </cell>
          <cell r="B95" t="str">
            <v>Agrosuper Asia</v>
          </cell>
          <cell r="C95">
            <v>1020660</v>
          </cell>
          <cell r="D95" t="str">
            <v>GO PernilP@ Bo Cj 20k AS</v>
          </cell>
          <cell r="E95">
            <v>132000</v>
          </cell>
          <cell r="F95">
            <v>1</v>
          </cell>
        </row>
        <row r="96">
          <cell r="A96" t="str">
            <v>Agrosuper Asia1023438</v>
          </cell>
          <cell r="B96" t="str">
            <v>Agrosuper Asia</v>
          </cell>
          <cell r="C96">
            <v>1023438</v>
          </cell>
          <cell r="D96" t="str">
            <v>GO Pana S/Corazón@ Cj 20k AS</v>
          </cell>
          <cell r="E96">
            <v>201433</v>
          </cell>
          <cell r="F96">
            <v>1</v>
          </cell>
        </row>
        <row r="97">
          <cell r="A97" t="str">
            <v>Agrosuper Asia1021650</v>
          </cell>
          <cell r="B97" t="str">
            <v>Agrosuper Asia</v>
          </cell>
          <cell r="C97">
            <v>1021650</v>
          </cell>
          <cell r="D97" t="str">
            <v>GO Lom Vet# Cj 12k AK</v>
          </cell>
          <cell r="E97">
            <v>31000</v>
          </cell>
          <cell r="F97">
            <v>3.9636129032258101</v>
          </cell>
        </row>
        <row r="98">
          <cell r="A98" t="str">
            <v>Agrosuper Asia1023164</v>
          </cell>
          <cell r="B98" t="str">
            <v>Agrosuper Asia</v>
          </cell>
          <cell r="C98">
            <v>1023164</v>
          </cell>
          <cell r="D98" t="str">
            <v>GO Lom Vet# Cj 12k AS</v>
          </cell>
          <cell r="E98">
            <v>14000</v>
          </cell>
          <cell r="F98">
            <v>4.2635714285714297</v>
          </cell>
        </row>
        <row r="99">
          <cell r="A99" t="str">
            <v>Agrosuper Brasil1011560</v>
          </cell>
          <cell r="B99" t="str">
            <v>Agrosuper Brasil</v>
          </cell>
          <cell r="C99">
            <v>1011560</v>
          </cell>
          <cell r="D99" t="str">
            <v>PO Corazón@ Bo Cj 18k AS</v>
          </cell>
          <cell r="E99">
            <v>10216</v>
          </cell>
          <cell r="F99">
            <v>0</v>
          </cell>
        </row>
        <row r="100">
          <cell r="A100" t="str">
            <v>Agrosuper Brasil1012362</v>
          </cell>
          <cell r="B100" t="str">
            <v>Agrosuper Brasil</v>
          </cell>
          <cell r="C100">
            <v>1012362</v>
          </cell>
          <cell r="D100" t="str">
            <v>PO Corazon@ Cj 18k AS</v>
          </cell>
          <cell r="E100">
            <v>68626</v>
          </cell>
          <cell r="F100">
            <v>2.6866930900824801</v>
          </cell>
        </row>
        <row r="101">
          <cell r="A101" t="str">
            <v>Agrosuper Brasil1012674</v>
          </cell>
          <cell r="B101" t="str">
            <v>Agrosuper Brasil</v>
          </cell>
          <cell r="C101">
            <v>1012674</v>
          </cell>
          <cell r="D101" t="str">
            <v>PO Corazon@Pla Cj 19k</v>
          </cell>
          <cell r="E101">
            <v>19440</v>
          </cell>
          <cell r="F101">
            <v>2.48667695473251</v>
          </cell>
        </row>
        <row r="102">
          <cell r="A102" t="str">
            <v>Agrosuper Brasil1021864</v>
          </cell>
          <cell r="B102" t="str">
            <v>Agrosuper Brasil</v>
          </cell>
          <cell r="C102">
            <v>1021864</v>
          </cell>
          <cell r="D102" t="str">
            <v>GO Cue Papda CP@ Cj 20k AS</v>
          </cell>
          <cell r="E102">
            <v>48000</v>
          </cell>
          <cell r="F102">
            <v>0.63666666666666705</v>
          </cell>
        </row>
        <row r="103">
          <cell r="A103" t="str">
            <v>Agrosuper Brasil1022217</v>
          </cell>
          <cell r="B103" t="str">
            <v>Agrosuper Brasil</v>
          </cell>
          <cell r="C103">
            <v>1022217</v>
          </cell>
          <cell r="D103" t="str">
            <v>GO Lom Tocino@ Bo Cj 20k AS</v>
          </cell>
          <cell r="E103">
            <v>312000</v>
          </cell>
          <cell r="F103">
            <v>1.73667307692308</v>
          </cell>
        </row>
        <row r="104">
          <cell r="A104" t="str">
            <v>Agrosuper Brasil1022218</v>
          </cell>
          <cell r="B104" t="str">
            <v>Agrosuper Brasil</v>
          </cell>
          <cell r="C104">
            <v>1022218</v>
          </cell>
          <cell r="D104" t="str">
            <v>GO Grasa Forro Pna Limp@ Cj 20k AS</v>
          </cell>
          <cell r="E104">
            <v>72000</v>
          </cell>
          <cell r="F104">
            <v>1.53666666666667</v>
          </cell>
        </row>
        <row r="105">
          <cell r="A105" t="str">
            <v>Agrosuper Brasil1022273</v>
          </cell>
          <cell r="B105" t="str">
            <v>Agrosuper Brasil</v>
          </cell>
          <cell r="C105">
            <v>1022273</v>
          </cell>
          <cell r="D105" t="str">
            <v>GO Grasa Forro Pna Limp@ Bo Cj AS</v>
          </cell>
          <cell r="E105">
            <v>192000</v>
          </cell>
          <cell r="F105">
            <v>1.5679218749999999</v>
          </cell>
        </row>
        <row r="106">
          <cell r="A106" t="str">
            <v>Agrosuper Brasil1023336</v>
          </cell>
          <cell r="B106" t="str">
            <v>Agrosuper Brasil</v>
          </cell>
          <cell r="C106">
            <v>1023336</v>
          </cell>
          <cell r="D106" t="str">
            <v>Cue granel Esp CC@ Cj 20k AS</v>
          </cell>
          <cell r="E106">
            <v>48000</v>
          </cell>
          <cell r="F106">
            <v>0.73666666666666702</v>
          </cell>
        </row>
        <row r="107">
          <cell r="A107" t="str">
            <v>Exportacion Directa1020105</v>
          </cell>
          <cell r="B107" t="str">
            <v>Exportacion Directa</v>
          </cell>
          <cell r="C107">
            <v>1020105</v>
          </cell>
          <cell r="D107" t="str">
            <v>GO Lom Tecla@ Cj Lom Ctro JP</v>
          </cell>
          <cell r="E107">
            <v>60000</v>
          </cell>
          <cell r="F107">
            <v>3.90906666666667</v>
          </cell>
        </row>
        <row r="108">
          <cell r="A108" t="str">
            <v>Exportacion Directa1020110</v>
          </cell>
          <cell r="B108" t="str">
            <v>Exportacion Directa</v>
          </cell>
          <cell r="C108">
            <v>1020110</v>
          </cell>
          <cell r="D108" t="str">
            <v>GO MM Loin L@ Cj 12k AP</v>
          </cell>
          <cell r="E108">
            <v>420000</v>
          </cell>
          <cell r="F108">
            <v>3.4975714285714301</v>
          </cell>
        </row>
        <row r="109">
          <cell r="A109" t="str">
            <v>Exportacion Directa1020284</v>
          </cell>
          <cell r="B109" t="str">
            <v>Exportacion Directa</v>
          </cell>
          <cell r="C109">
            <v>1020284</v>
          </cell>
          <cell r="D109" t="str">
            <v>GO Posta Negra 3P T@ Va Cj t-f JP</v>
          </cell>
          <cell r="E109">
            <v>7000</v>
          </cell>
          <cell r="F109">
            <v>3.6098571428571402</v>
          </cell>
        </row>
        <row r="110">
          <cell r="A110" t="str">
            <v>Exportacion Directa1020326</v>
          </cell>
          <cell r="B110" t="str">
            <v>Exportacion Directa</v>
          </cell>
          <cell r="C110">
            <v>1020326</v>
          </cell>
          <cell r="D110" t="str">
            <v>GO PpPal Pim@ Cj AP</v>
          </cell>
          <cell r="E110">
            <v>264000</v>
          </cell>
          <cell r="F110">
            <v>2.6371893939393898</v>
          </cell>
        </row>
        <row r="111">
          <cell r="A111" t="str">
            <v>Exportacion Directa1020589</v>
          </cell>
          <cell r="B111" t="str">
            <v>Exportacion Directa</v>
          </cell>
          <cell r="C111">
            <v>1020589</v>
          </cell>
          <cell r="D111" t="str">
            <v>GO MM Loin S@ Fi Cj 12k AP</v>
          </cell>
          <cell r="E111">
            <v>130000</v>
          </cell>
          <cell r="F111">
            <v>3.68460769230769</v>
          </cell>
        </row>
        <row r="112">
          <cell r="A112" t="str">
            <v>Exportacion Directa1020592</v>
          </cell>
          <cell r="B112" t="str">
            <v>Exportacion Directa</v>
          </cell>
          <cell r="C112">
            <v>1020592</v>
          </cell>
          <cell r="D112" t="str">
            <v>GO Lom Vet &gt;2.0@ Fi Cj Lom Vet AP</v>
          </cell>
          <cell r="E112">
            <v>210000</v>
          </cell>
          <cell r="F112">
            <v>3.6097952380952401</v>
          </cell>
        </row>
        <row r="113">
          <cell r="A113" t="str">
            <v>Exportacion Directa1020620</v>
          </cell>
          <cell r="B113" t="str">
            <v>Exportacion Directa</v>
          </cell>
          <cell r="C113">
            <v>1020620</v>
          </cell>
          <cell r="D113" t="str">
            <v>GO Lom Vet &lt;2.0@ Fi Cj AP</v>
          </cell>
          <cell r="E113">
            <v>30000</v>
          </cell>
          <cell r="F113">
            <v>3.6097999999999999</v>
          </cell>
        </row>
        <row r="114">
          <cell r="A114" t="str">
            <v>Exportacion Directa1020636</v>
          </cell>
          <cell r="B114" t="str">
            <v>Exportacion Directa</v>
          </cell>
          <cell r="C114">
            <v>1020636</v>
          </cell>
          <cell r="D114" t="str">
            <v>GO File C/cab@ Va Cj 10k AP</v>
          </cell>
          <cell r="E114">
            <v>13000</v>
          </cell>
          <cell r="F114">
            <v>4.2831538461538496</v>
          </cell>
        </row>
        <row r="115">
          <cell r="A115" t="str">
            <v>Exportacion Directa1020637</v>
          </cell>
          <cell r="B115" t="str">
            <v>Exportacion Directa</v>
          </cell>
          <cell r="C115">
            <v>1020637</v>
          </cell>
          <cell r="D115" t="str">
            <v>GO Panc Tec S/cue@ Fi Cj ch AP</v>
          </cell>
          <cell r="E115">
            <v>233000</v>
          </cell>
          <cell r="F115">
            <v>5.0312961373390603</v>
          </cell>
        </row>
        <row r="116">
          <cell r="A116" t="str">
            <v>Exportacion Directa1020662</v>
          </cell>
          <cell r="B116" t="str">
            <v>Exportacion Directa</v>
          </cell>
          <cell r="C116">
            <v>1020662</v>
          </cell>
          <cell r="D116" t="str">
            <v>GO Ganso C/asto 3P@ Va Cj t-f AP</v>
          </cell>
          <cell r="E116">
            <v>10000</v>
          </cell>
          <cell r="F116">
            <v>3.6472000000000002</v>
          </cell>
        </row>
        <row r="117">
          <cell r="A117" t="str">
            <v>Exportacion Directa1020664</v>
          </cell>
          <cell r="B117" t="str">
            <v>Exportacion Directa</v>
          </cell>
          <cell r="C117">
            <v>1020664</v>
          </cell>
          <cell r="D117" t="str">
            <v>GO Ganso C/asto C/abas S/g@ Va Cj JP</v>
          </cell>
          <cell r="E117">
            <v>6000</v>
          </cell>
          <cell r="F117">
            <v>3.6471666666666702</v>
          </cell>
        </row>
        <row r="118">
          <cell r="A118" t="str">
            <v>Exportacion Directa1020665</v>
          </cell>
          <cell r="B118" t="str">
            <v>Exportacion Directa</v>
          </cell>
          <cell r="C118">
            <v>1020665</v>
          </cell>
          <cell r="D118" t="str">
            <v>GO Posta Rosada 3P@ Va Cj t-f AP</v>
          </cell>
          <cell r="E118">
            <v>9000</v>
          </cell>
          <cell r="F118">
            <v>3.6097777777777802</v>
          </cell>
        </row>
        <row r="119">
          <cell r="A119" t="str">
            <v>Exportacion Directa1020681</v>
          </cell>
          <cell r="B119" t="str">
            <v>Exportacion Directa</v>
          </cell>
          <cell r="C119">
            <v>1020681</v>
          </cell>
          <cell r="D119" t="str">
            <v>GO MM Loin D@ Fi Cj 12k AP</v>
          </cell>
          <cell r="E119">
            <v>10000</v>
          </cell>
          <cell r="F119">
            <v>3.9464999999999999</v>
          </cell>
        </row>
        <row r="120">
          <cell r="A120" t="str">
            <v>Exportacion Directa1020704</v>
          </cell>
          <cell r="B120" t="str">
            <v>Exportacion Directa</v>
          </cell>
          <cell r="C120">
            <v>1020704</v>
          </cell>
          <cell r="D120" t="str">
            <v>GO File N@ Va Cj File AP</v>
          </cell>
          <cell r="E120">
            <v>1000</v>
          </cell>
          <cell r="F120">
            <v>4.4329999999999998</v>
          </cell>
        </row>
        <row r="121">
          <cell r="A121" t="str">
            <v>Exportacion Directa1020715</v>
          </cell>
          <cell r="B121" t="str">
            <v>Exportacion Directa</v>
          </cell>
          <cell r="C121">
            <v>1020715</v>
          </cell>
          <cell r="D121" t="str">
            <v>GO Panc Tec C/cue@ Fi Cj Panc AP</v>
          </cell>
          <cell r="E121">
            <v>2000</v>
          </cell>
          <cell r="F121">
            <v>4.8445</v>
          </cell>
        </row>
        <row r="122">
          <cell r="A122" t="str">
            <v>Exportacion Directa1020731</v>
          </cell>
          <cell r="B122" t="str">
            <v>Exportacion Directa</v>
          </cell>
          <cell r="C122">
            <v>1020731</v>
          </cell>
          <cell r="D122" t="str">
            <v>GO Panc S/tec/cue I@ Fi Cj Panc 4s AP</v>
          </cell>
          <cell r="E122">
            <v>25000</v>
          </cell>
          <cell r="F122">
            <v>5.3305600000000002</v>
          </cell>
        </row>
        <row r="123">
          <cell r="A123" t="str">
            <v>Exportacion Directa1020758</v>
          </cell>
          <cell r="B123" t="str">
            <v>Exportacion Directa</v>
          </cell>
          <cell r="C123">
            <v>1020758</v>
          </cell>
          <cell r="D123" t="str">
            <v>GO Lom Vet S/g@ Va Cj ch AP</v>
          </cell>
          <cell r="E123">
            <v>9000</v>
          </cell>
          <cell r="F123">
            <v>3.94644444444444</v>
          </cell>
        </row>
        <row r="124">
          <cell r="A124" t="str">
            <v>Exportacion Directa1020774</v>
          </cell>
          <cell r="B124" t="str">
            <v>Exportacion Directa</v>
          </cell>
          <cell r="C124">
            <v>1020774</v>
          </cell>
          <cell r="D124" t="str">
            <v>GO Malaya Japon@ Va Cj JP</v>
          </cell>
          <cell r="E124">
            <v>9000</v>
          </cell>
          <cell r="F124">
            <v>6.0038888888888904</v>
          </cell>
        </row>
        <row r="125">
          <cell r="A125" t="str">
            <v>Exportacion Directa1020802</v>
          </cell>
          <cell r="B125" t="str">
            <v>Exportacion Directa</v>
          </cell>
          <cell r="C125">
            <v>1020802</v>
          </cell>
          <cell r="D125" t="str">
            <v>GO Panc S/tec N@ Fi Cj 20k AP</v>
          </cell>
          <cell r="E125">
            <v>38000</v>
          </cell>
          <cell r="F125">
            <v>4.8816578947368399</v>
          </cell>
        </row>
        <row r="126">
          <cell r="A126" t="str">
            <v>Exportacion Directa1020810</v>
          </cell>
          <cell r="B126" t="str">
            <v>Exportacion Directa</v>
          </cell>
          <cell r="C126">
            <v>1020810</v>
          </cell>
          <cell r="D126" t="str">
            <v>GO Recto@ Cj File AP</v>
          </cell>
          <cell r="E126">
            <v>2000</v>
          </cell>
          <cell r="F126">
            <v>4.1334999999999997</v>
          </cell>
        </row>
        <row r="127">
          <cell r="A127" t="str">
            <v>Exportacion Directa1020914</v>
          </cell>
          <cell r="B127" t="str">
            <v>Exportacion Directa</v>
          </cell>
          <cell r="C127">
            <v>1020914</v>
          </cell>
          <cell r="D127" t="str">
            <v>GO Panc Lam 2.5mm@ Cj ch AP</v>
          </cell>
          <cell r="E127">
            <v>9000</v>
          </cell>
          <cell r="F127">
            <v>5.6297777777777798</v>
          </cell>
        </row>
        <row r="128">
          <cell r="A128" t="str">
            <v>Exportacion Directa1020990</v>
          </cell>
          <cell r="B128" t="str">
            <v>Exportacion Directa</v>
          </cell>
          <cell r="C128">
            <v>1020990</v>
          </cell>
          <cell r="D128" t="str">
            <v>GO Ganso S/g S/abst DA@ Cj 12k AP</v>
          </cell>
          <cell r="E128">
            <v>5000</v>
          </cell>
          <cell r="F128">
            <v>3.6097999999999999</v>
          </cell>
        </row>
        <row r="129">
          <cell r="A129" t="str">
            <v>Exportacion Directa1020991</v>
          </cell>
          <cell r="B129" t="str">
            <v>Exportacion Directa</v>
          </cell>
          <cell r="C129">
            <v>1020991</v>
          </cell>
          <cell r="D129" t="str">
            <v>GO Asiento C/g DA@ Cj 12k JP</v>
          </cell>
          <cell r="E129">
            <v>8000</v>
          </cell>
          <cell r="F129">
            <v>3.60975</v>
          </cell>
        </row>
        <row r="130">
          <cell r="A130" t="str">
            <v>Exportacion Directa1021136</v>
          </cell>
          <cell r="B130" t="str">
            <v>Exportacion Directa</v>
          </cell>
          <cell r="C130">
            <v>1021136</v>
          </cell>
          <cell r="D130" t="str">
            <v>GO Tráquea@ Cj Lom Ctro AP</v>
          </cell>
          <cell r="E130">
            <v>13090</v>
          </cell>
          <cell r="F130">
            <v>2.7867838044308599</v>
          </cell>
        </row>
        <row r="131">
          <cell r="A131" t="str">
            <v>Exportacion Directa1021533</v>
          </cell>
          <cell r="B131" t="str">
            <v>Exportacion Directa</v>
          </cell>
          <cell r="C131">
            <v>1021533</v>
          </cell>
          <cell r="D131" t="str">
            <v>GO Panc Mit@ Va Cj 20k AP</v>
          </cell>
          <cell r="E131">
            <v>5000</v>
          </cell>
          <cell r="F131">
            <v>5.4428000000000001</v>
          </cell>
        </row>
        <row r="132">
          <cell r="A132" t="str">
            <v>Exportacion Directa1021603</v>
          </cell>
          <cell r="B132" t="str">
            <v>Exportacion Directa</v>
          </cell>
          <cell r="C132">
            <v>1021603</v>
          </cell>
          <cell r="D132" t="str">
            <v>GO MM Loin L (MC4-5)@ Fi Cj ch JP</v>
          </cell>
          <cell r="E132">
            <v>7000</v>
          </cell>
          <cell r="F132">
            <v>3.9464285714285698</v>
          </cell>
        </row>
        <row r="133">
          <cell r="A133" t="str">
            <v>Exportacion Directa1021609</v>
          </cell>
          <cell r="B133" t="str">
            <v>Exportacion Directa</v>
          </cell>
          <cell r="C133">
            <v>1021609</v>
          </cell>
          <cell r="D133" t="str">
            <v>GO File C/cab@ IWP Cj 10k SC</v>
          </cell>
          <cell r="E133">
            <v>20000</v>
          </cell>
          <cell r="F133">
            <v>4.5076000000000001</v>
          </cell>
        </row>
        <row r="134">
          <cell r="A134" t="str">
            <v>Exportacion Directa1022313</v>
          </cell>
          <cell r="B134" t="str">
            <v>Exportacion Directa</v>
          </cell>
          <cell r="C134">
            <v>1022313</v>
          </cell>
          <cell r="D134" t="str">
            <v>GO CC Loin T@ Fi Cj AP</v>
          </cell>
          <cell r="E134">
            <v>7000</v>
          </cell>
          <cell r="F134">
            <v>4.0212857142857104</v>
          </cell>
        </row>
        <row r="135">
          <cell r="A135" t="str">
            <v>Exportacion Directa1022326</v>
          </cell>
          <cell r="B135" t="str">
            <v>Exportacion Directa</v>
          </cell>
          <cell r="C135">
            <v>1022326</v>
          </cell>
          <cell r="D135" t="str">
            <v>GO CC Loin L (S/T)@ Fi Cj AP</v>
          </cell>
          <cell r="E135">
            <v>15000</v>
          </cell>
          <cell r="F135">
            <v>3.6472000000000002</v>
          </cell>
        </row>
        <row r="136">
          <cell r="A136" t="str">
            <v>Exportacion Directa1022370</v>
          </cell>
          <cell r="B136" t="str">
            <v>Exportacion Directa</v>
          </cell>
          <cell r="C136">
            <v>1022370</v>
          </cell>
          <cell r="D136" t="str">
            <v>GO MM Loin LL (29-32 VP)@ Bo Cj AP</v>
          </cell>
          <cell r="E136">
            <v>20000</v>
          </cell>
          <cell r="F136">
            <v>3.7594500000000002</v>
          </cell>
        </row>
        <row r="137">
          <cell r="A137" t="str">
            <v>Exportacion Directa1022371</v>
          </cell>
          <cell r="B137" t="str">
            <v>Exportacion Directa</v>
          </cell>
          <cell r="C137">
            <v>1022371</v>
          </cell>
          <cell r="D137" t="str">
            <v>GO Panc S/tec SP@ Fi Cj AP</v>
          </cell>
          <cell r="E137">
            <v>19000</v>
          </cell>
          <cell r="F137">
            <v>4.8816842105263198</v>
          </cell>
        </row>
        <row r="138">
          <cell r="A138" t="str">
            <v>Exportacion Directa1022499</v>
          </cell>
          <cell r="B138" t="str">
            <v>Exportacion Directa</v>
          </cell>
          <cell r="C138">
            <v>1022499</v>
          </cell>
          <cell r="D138" t="str">
            <v>GO Lom Vet Mit@ 4 Bo Cj 10k AP</v>
          </cell>
          <cell r="E138">
            <v>27000</v>
          </cell>
          <cell r="F138">
            <v>4.0212962962962999</v>
          </cell>
        </row>
        <row r="139">
          <cell r="A139" t="str">
            <v>Exportacion Directa1022587</v>
          </cell>
          <cell r="B139" t="str">
            <v>Exportacion Directa</v>
          </cell>
          <cell r="C139">
            <v>1022587</v>
          </cell>
          <cell r="D139" t="str">
            <v>GO CC Loin L (S/T) 45@ Fi Cj AP</v>
          </cell>
          <cell r="E139">
            <v>3000</v>
          </cell>
          <cell r="F139">
            <v>4.05866666666667</v>
          </cell>
        </row>
        <row r="140">
          <cell r="A140" t="str">
            <v>Exportacion Directa1022600</v>
          </cell>
          <cell r="B140" t="str">
            <v>Exportacion Directa</v>
          </cell>
          <cell r="C140">
            <v>1022600</v>
          </cell>
          <cell r="D140" t="str">
            <v>GO Lom Vet 2 a 2,3k@ Fi Verd Cj AP</v>
          </cell>
          <cell r="E140">
            <v>10000</v>
          </cell>
          <cell r="F140">
            <v>3.7593999999999999</v>
          </cell>
        </row>
        <row r="141">
          <cell r="A141" t="str">
            <v>Exportacion Directa1022664</v>
          </cell>
          <cell r="B141" t="str">
            <v>Exportacion Directa</v>
          </cell>
          <cell r="C141">
            <v>1022664</v>
          </cell>
          <cell r="D141" t="str">
            <v>GO CC Loin L (S/T) (DF)@ Fi Cj AP</v>
          </cell>
          <cell r="E141">
            <v>56000</v>
          </cell>
          <cell r="F141">
            <v>3.7968392857142899</v>
          </cell>
        </row>
        <row r="142">
          <cell r="A142" t="str">
            <v>Exportacion Directa1022931</v>
          </cell>
          <cell r="B142" t="str">
            <v>Exportacion Directa</v>
          </cell>
          <cell r="C142">
            <v>1022931</v>
          </cell>
          <cell r="D142" t="str">
            <v>GO File C/cab 6x1@ VP Cj AP</v>
          </cell>
          <cell r="E142">
            <v>20000</v>
          </cell>
          <cell r="F142">
            <v>4.28315</v>
          </cell>
        </row>
        <row r="143">
          <cell r="A143" t="str">
            <v>Exportacion Directa1022987</v>
          </cell>
          <cell r="B143" t="str">
            <v>Exportacion Directa</v>
          </cell>
          <cell r="C143">
            <v>1022987</v>
          </cell>
          <cell r="D143" t="str">
            <v>GO Lom Tocino@ Bo Cj 20k AP</v>
          </cell>
          <cell r="E143">
            <v>24000</v>
          </cell>
          <cell r="F143">
            <v>1.8890416666666701</v>
          </cell>
        </row>
        <row r="144">
          <cell r="A144" t="str">
            <v>Exportacion Directa1023163</v>
          </cell>
          <cell r="B144" t="str">
            <v>Exportacion Directa</v>
          </cell>
          <cell r="C144">
            <v>1023163</v>
          </cell>
          <cell r="D144" t="str">
            <v>GO Lom Vet &gt;2.0@ Fi Cj 8k AP</v>
          </cell>
          <cell r="E144">
            <v>25000</v>
          </cell>
          <cell r="F144">
            <v>3.8342399999999999</v>
          </cell>
        </row>
        <row r="145">
          <cell r="A145" t="str">
            <v>Exportacion Directa1023194</v>
          </cell>
          <cell r="B145" t="str">
            <v>Exportacion Directa</v>
          </cell>
          <cell r="C145">
            <v>1023194</v>
          </cell>
          <cell r="D145" t="str">
            <v>GO Cne Falda Panc@ Bo Cj AP</v>
          </cell>
          <cell r="E145">
            <v>10000</v>
          </cell>
          <cell r="F145">
            <v>3.0112999999999999</v>
          </cell>
        </row>
        <row r="146">
          <cell r="A146" t="str">
            <v>Exportacion Directa1023349</v>
          </cell>
          <cell r="B146" t="str">
            <v>Exportacion Directa</v>
          </cell>
          <cell r="C146">
            <v>1023349</v>
          </cell>
          <cell r="D146" t="str">
            <v>GO Lom Tecla VP@ Cj Lom Ctro</v>
          </cell>
          <cell r="E146">
            <v>5000</v>
          </cell>
          <cell r="F146">
            <v>3.9089999999999998</v>
          </cell>
        </row>
        <row r="147">
          <cell r="A147" t="str">
            <v>Exportacion Directa1023350</v>
          </cell>
          <cell r="B147" t="str">
            <v>Exportacion Directa</v>
          </cell>
          <cell r="C147">
            <v>1023350</v>
          </cell>
          <cell r="D147" t="str">
            <v>Lom Vet &gt;2.0@ VP Cj Lom Vet AP</v>
          </cell>
          <cell r="E147">
            <v>20000</v>
          </cell>
          <cell r="F147">
            <v>3.5350000000000001</v>
          </cell>
        </row>
        <row r="148">
          <cell r="A148" t="str">
            <v>Exportacion Directa1023351</v>
          </cell>
          <cell r="B148" t="str">
            <v>Exportacion Directa</v>
          </cell>
          <cell r="C148">
            <v>1023351</v>
          </cell>
          <cell r="D148" t="str">
            <v>GO Panc S/tec L @VP Cj AP</v>
          </cell>
          <cell r="E148">
            <v>5000</v>
          </cell>
          <cell r="F148">
            <v>4.9564000000000004</v>
          </cell>
        </row>
        <row r="149">
          <cell r="A149" t="str">
            <v>Exportacion Directa1023352</v>
          </cell>
          <cell r="B149" t="str">
            <v>Exportacion Directa</v>
          </cell>
          <cell r="C149">
            <v>1023352</v>
          </cell>
          <cell r="D149" t="str">
            <v>GO Panc Tec S/cue@ R VP Cj ch AP</v>
          </cell>
          <cell r="E149">
            <v>60000</v>
          </cell>
          <cell r="F149">
            <v>5.2557499999999999</v>
          </cell>
        </row>
        <row r="150">
          <cell r="A150" t="str">
            <v>Exportacion Directa1023419</v>
          </cell>
          <cell r="B150" t="str">
            <v>Exportacion Directa</v>
          </cell>
          <cell r="C150">
            <v>1023419</v>
          </cell>
          <cell r="D150" t="str">
            <v>GO Lom Tocino@ Bo Cj 20k AP</v>
          </cell>
          <cell r="E150">
            <v>24000</v>
          </cell>
          <cell r="F150">
            <v>1.8890416666666701</v>
          </cell>
        </row>
        <row r="151">
          <cell r="A151" t="str">
            <v>Exportacion Directa1022346</v>
          </cell>
          <cell r="B151" t="str">
            <v>Exportacion Directa</v>
          </cell>
          <cell r="C151">
            <v>1022346</v>
          </cell>
          <cell r="D151" t="str">
            <v>GO PpPal 1P Ex@ Bo AP</v>
          </cell>
          <cell r="E151">
            <v>5000</v>
          </cell>
          <cell r="F151">
            <v>2.7120000000000002</v>
          </cell>
        </row>
        <row r="152">
          <cell r="A152" t="str">
            <v/>
          </cell>
        </row>
        <row r="153">
          <cell r="A153" t="str">
            <v/>
          </cell>
        </row>
        <row r="154">
          <cell r="A154" t="str">
            <v/>
          </cell>
        </row>
        <row r="155">
          <cell r="A155" t="str">
            <v/>
          </cell>
        </row>
        <row r="156">
          <cell r="A156" t="str">
            <v/>
          </cell>
        </row>
        <row r="157">
          <cell r="A157" t="str">
            <v/>
          </cell>
        </row>
        <row r="158">
          <cell r="A158" t="str">
            <v/>
          </cell>
        </row>
        <row r="159">
          <cell r="A159" t="str">
            <v/>
          </cell>
        </row>
        <row r="160">
          <cell r="A160" t="str">
            <v/>
          </cell>
        </row>
        <row r="161">
          <cell r="A161" t="str">
            <v/>
          </cell>
        </row>
        <row r="162">
          <cell r="A162" t="str">
            <v/>
          </cell>
        </row>
        <row r="163">
          <cell r="A163" t="str">
            <v/>
          </cell>
        </row>
        <row r="164">
          <cell r="A164" t="str">
            <v/>
          </cell>
        </row>
        <row r="165">
          <cell r="A165" t="str">
            <v/>
          </cell>
        </row>
        <row r="166">
          <cell r="A166" t="str">
            <v/>
          </cell>
        </row>
        <row r="167">
          <cell r="A167" t="str">
            <v/>
          </cell>
        </row>
        <row r="168">
          <cell r="A168" t="str">
            <v/>
          </cell>
        </row>
        <row r="169">
          <cell r="A169" t="str">
            <v/>
          </cell>
        </row>
        <row r="170">
          <cell r="A170" t="str">
            <v/>
          </cell>
        </row>
        <row r="171">
          <cell r="A171" t="str">
            <v/>
          </cell>
        </row>
        <row r="172">
          <cell r="A172" t="str">
            <v/>
          </cell>
        </row>
        <row r="173">
          <cell r="A173" t="str">
            <v/>
          </cell>
        </row>
        <row r="174">
          <cell r="A174" t="str">
            <v/>
          </cell>
        </row>
        <row r="175">
          <cell r="A175" t="str">
            <v/>
          </cell>
        </row>
        <row r="176">
          <cell r="A176" t="str">
            <v/>
          </cell>
        </row>
        <row r="177">
          <cell r="A177" t="str">
            <v/>
          </cell>
        </row>
        <row r="178">
          <cell r="A178" t="str">
            <v/>
          </cell>
        </row>
        <row r="179">
          <cell r="A179" t="str">
            <v/>
          </cell>
        </row>
        <row r="180">
          <cell r="A180" t="str">
            <v/>
          </cell>
        </row>
        <row r="181">
          <cell r="A181" t="str">
            <v/>
          </cell>
        </row>
        <row r="182">
          <cell r="A182" t="str">
            <v/>
          </cell>
        </row>
        <row r="183">
          <cell r="A183" t="str">
            <v/>
          </cell>
        </row>
        <row r="184">
          <cell r="A184" t="str">
            <v/>
          </cell>
        </row>
        <row r="185">
          <cell r="A185" t="str">
            <v/>
          </cell>
        </row>
        <row r="186">
          <cell r="A186" t="str">
            <v/>
          </cell>
        </row>
        <row r="187">
          <cell r="A187" t="str">
            <v/>
          </cell>
        </row>
        <row r="188">
          <cell r="A188" t="str">
            <v/>
          </cell>
        </row>
        <row r="189">
          <cell r="A189" t="str">
            <v/>
          </cell>
        </row>
        <row r="190">
          <cell r="A190" t="str">
            <v/>
          </cell>
        </row>
        <row r="191">
          <cell r="A191" t="str">
            <v/>
          </cell>
        </row>
        <row r="192">
          <cell r="A192" t="str">
            <v/>
          </cell>
        </row>
        <row r="193">
          <cell r="A193" t="str">
            <v/>
          </cell>
        </row>
        <row r="194">
          <cell r="A194" t="str">
            <v/>
          </cell>
        </row>
        <row r="195">
          <cell r="A195" t="str">
            <v/>
          </cell>
        </row>
        <row r="196">
          <cell r="A196" t="str">
            <v/>
          </cell>
        </row>
        <row r="197">
          <cell r="A197" t="str">
            <v/>
          </cell>
        </row>
        <row r="198">
          <cell r="A198" t="str">
            <v/>
          </cell>
        </row>
        <row r="199">
          <cell r="A199" t="str">
            <v/>
          </cell>
        </row>
        <row r="200">
          <cell r="A200" t="str">
            <v/>
          </cell>
        </row>
        <row r="201">
          <cell r="A201" t="str">
            <v/>
          </cell>
        </row>
        <row r="202">
          <cell r="A202" t="str">
            <v/>
          </cell>
        </row>
        <row r="203">
          <cell r="A203" t="str">
            <v/>
          </cell>
        </row>
        <row r="204">
          <cell r="A204" t="str">
            <v/>
          </cell>
        </row>
        <row r="205">
          <cell r="A205" t="str">
            <v/>
          </cell>
        </row>
        <row r="206">
          <cell r="A206" t="str">
            <v/>
          </cell>
        </row>
        <row r="207">
          <cell r="A207" t="str">
            <v/>
          </cell>
        </row>
        <row r="208">
          <cell r="A208" t="str">
            <v/>
          </cell>
        </row>
        <row r="209">
          <cell r="A209" t="str">
            <v/>
          </cell>
        </row>
        <row r="210">
          <cell r="A210" t="str">
            <v/>
          </cell>
        </row>
        <row r="211">
          <cell r="A211" t="str">
            <v/>
          </cell>
        </row>
        <row r="212">
          <cell r="A212" t="str">
            <v/>
          </cell>
        </row>
        <row r="213">
          <cell r="A213" t="str">
            <v/>
          </cell>
        </row>
        <row r="214">
          <cell r="A214" t="str">
            <v/>
          </cell>
        </row>
        <row r="215">
          <cell r="A215" t="str">
            <v/>
          </cell>
        </row>
        <row r="216">
          <cell r="A216" t="str">
            <v/>
          </cell>
        </row>
        <row r="217">
          <cell r="A217" t="str">
            <v/>
          </cell>
        </row>
        <row r="218">
          <cell r="A218" t="str">
            <v/>
          </cell>
        </row>
        <row r="219">
          <cell r="A219" t="str">
            <v/>
          </cell>
        </row>
        <row r="220">
          <cell r="A220" t="str">
            <v/>
          </cell>
        </row>
        <row r="221">
          <cell r="A221" t="str">
            <v/>
          </cell>
        </row>
        <row r="222">
          <cell r="A222" t="str">
            <v/>
          </cell>
        </row>
        <row r="223">
          <cell r="A223" t="str">
            <v/>
          </cell>
        </row>
        <row r="224">
          <cell r="A224" t="str">
            <v/>
          </cell>
        </row>
        <row r="225">
          <cell r="A225" t="str">
            <v/>
          </cell>
        </row>
        <row r="226">
          <cell r="A226" t="str">
            <v/>
          </cell>
        </row>
        <row r="227">
          <cell r="A227" t="str">
            <v/>
          </cell>
        </row>
        <row r="228">
          <cell r="A228" t="str">
            <v/>
          </cell>
        </row>
        <row r="229">
          <cell r="A229" t="str">
            <v/>
          </cell>
        </row>
        <row r="230">
          <cell r="A230" t="str">
            <v/>
          </cell>
        </row>
        <row r="231">
          <cell r="A231" t="str">
            <v/>
          </cell>
        </row>
        <row r="232">
          <cell r="A232" t="str">
            <v/>
          </cell>
        </row>
        <row r="233">
          <cell r="A233" t="str">
            <v/>
          </cell>
        </row>
        <row r="234">
          <cell r="A234" t="str">
            <v/>
          </cell>
        </row>
        <row r="235">
          <cell r="A235" t="str">
            <v/>
          </cell>
        </row>
        <row r="236">
          <cell r="A236" t="str">
            <v/>
          </cell>
        </row>
        <row r="237">
          <cell r="A237" t="str">
            <v/>
          </cell>
        </row>
        <row r="238">
          <cell r="A238" t="str">
            <v/>
          </cell>
        </row>
        <row r="239">
          <cell r="A239" t="str">
            <v/>
          </cell>
        </row>
        <row r="240">
          <cell r="A240" t="str">
            <v/>
          </cell>
        </row>
        <row r="241">
          <cell r="A241" t="str">
            <v/>
          </cell>
        </row>
        <row r="242">
          <cell r="A242" t="str">
            <v/>
          </cell>
        </row>
        <row r="243">
          <cell r="A243" t="str">
            <v/>
          </cell>
        </row>
        <row r="244">
          <cell r="A244" t="str">
            <v/>
          </cell>
        </row>
        <row r="245">
          <cell r="A245" t="str">
            <v/>
          </cell>
        </row>
        <row r="246">
          <cell r="A246" t="str">
            <v/>
          </cell>
        </row>
        <row r="247">
          <cell r="A247" t="str">
            <v/>
          </cell>
        </row>
        <row r="248">
          <cell r="A248" t="str">
            <v/>
          </cell>
        </row>
        <row r="249">
          <cell r="A249" t="str">
            <v/>
          </cell>
        </row>
        <row r="250">
          <cell r="A250" t="str">
            <v/>
          </cell>
        </row>
        <row r="251">
          <cell r="A251" t="str">
            <v/>
          </cell>
        </row>
        <row r="252">
          <cell r="A252" t="str">
            <v/>
          </cell>
        </row>
        <row r="253">
          <cell r="A253" t="str">
            <v/>
          </cell>
        </row>
        <row r="254">
          <cell r="A254" t="str">
            <v/>
          </cell>
        </row>
        <row r="255">
          <cell r="A255" t="str">
            <v/>
          </cell>
        </row>
        <row r="256">
          <cell r="A256" t="str">
            <v/>
          </cell>
        </row>
        <row r="257">
          <cell r="A257" t="str">
            <v/>
          </cell>
        </row>
        <row r="258">
          <cell r="A258" t="str">
            <v/>
          </cell>
        </row>
        <row r="259">
          <cell r="A259" t="str">
            <v/>
          </cell>
        </row>
        <row r="260">
          <cell r="A260" t="str">
            <v/>
          </cell>
        </row>
        <row r="261">
          <cell r="A261" t="str">
            <v/>
          </cell>
        </row>
        <row r="262">
          <cell r="A262" t="str">
            <v/>
          </cell>
        </row>
        <row r="263">
          <cell r="A263" t="str">
            <v/>
          </cell>
        </row>
        <row r="264">
          <cell r="A264" t="str">
            <v/>
          </cell>
        </row>
        <row r="265">
          <cell r="A265" t="str">
            <v/>
          </cell>
        </row>
        <row r="266">
          <cell r="A266" t="str">
            <v/>
          </cell>
        </row>
        <row r="267">
          <cell r="A267" t="str">
            <v/>
          </cell>
        </row>
        <row r="268">
          <cell r="A268" t="str">
            <v/>
          </cell>
        </row>
        <row r="269">
          <cell r="A269" t="str">
            <v/>
          </cell>
        </row>
        <row r="270">
          <cell r="A270" t="str">
            <v/>
          </cell>
        </row>
        <row r="271">
          <cell r="A271" t="str">
            <v/>
          </cell>
        </row>
        <row r="272">
          <cell r="A272" t="str">
            <v/>
          </cell>
        </row>
        <row r="273">
          <cell r="A273" t="str">
            <v/>
          </cell>
        </row>
        <row r="274">
          <cell r="A274" t="str">
            <v/>
          </cell>
        </row>
        <row r="275">
          <cell r="A275" t="str">
            <v/>
          </cell>
        </row>
        <row r="276">
          <cell r="A276" t="str">
            <v/>
          </cell>
        </row>
        <row r="277">
          <cell r="A277" t="str">
            <v/>
          </cell>
        </row>
        <row r="278">
          <cell r="A278" t="str">
            <v/>
          </cell>
        </row>
        <row r="279">
          <cell r="A279" t="str">
            <v/>
          </cell>
        </row>
        <row r="280">
          <cell r="A280" t="str">
            <v/>
          </cell>
        </row>
        <row r="281">
          <cell r="A281" t="str">
            <v/>
          </cell>
        </row>
        <row r="282">
          <cell r="A282" t="str">
            <v/>
          </cell>
        </row>
        <row r="283">
          <cell r="A283" t="str">
            <v/>
          </cell>
        </row>
        <row r="284">
          <cell r="A284" t="str">
            <v/>
          </cell>
        </row>
        <row r="285">
          <cell r="A285" t="str">
            <v/>
          </cell>
        </row>
        <row r="286">
          <cell r="A286" t="str">
            <v/>
          </cell>
        </row>
      </sheetData>
      <sheetData sheetId="7"/>
      <sheetData sheetId="8">
        <row r="3">
          <cell r="A3">
            <v>1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om.sap.ip.bi.xl.hiddensheet"/>
      <sheetName val="Hoja2"/>
      <sheetName val="Shangai (Tomas)"/>
      <sheetName val="Base RV Volumen"/>
      <sheetName val="RV de venta"/>
      <sheetName val="RV Producción"/>
      <sheetName val="RV plan de ventas"/>
      <sheetName val="Base RV precios"/>
      <sheetName val="Precios atrasos"/>
      <sheetName val="CHINA"/>
    </sheetNames>
    <sheetDataSet>
      <sheetData sheetId="0"/>
      <sheetData sheetId="1"/>
      <sheetData sheetId="2">
        <row r="4">
          <cell r="C4" t="str">
            <v>Material SAP</v>
          </cell>
          <cell r="D4" t="str">
            <v>Descripcion ENG</v>
          </cell>
          <cell r="E4" t="str">
            <v>FCL</v>
          </cell>
          <cell r="F4" t="str">
            <v>Kilos</v>
          </cell>
        </row>
        <row r="5">
          <cell r="A5" t="str">
            <v>Agrosuper Shanghai1021733</v>
          </cell>
          <cell r="B5" t="str">
            <v>Agrosuper Shanghai</v>
          </cell>
          <cell r="C5">
            <v>1021733</v>
          </cell>
          <cell r="D5" t="str">
            <v>Frozen Pork leg boneless and skinless</v>
          </cell>
          <cell r="E5">
            <v>1</v>
          </cell>
          <cell r="F5"/>
        </row>
        <row r="6">
          <cell r="A6" t="str">
            <v>Agrosuper Shanghai1021992</v>
          </cell>
          <cell r="B6" t="str">
            <v>Agrosuper Shanghai</v>
          </cell>
          <cell r="C6">
            <v>1021992</v>
          </cell>
          <cell r="D6" t="str">
            <v>Frozen Pork back fat</v>
          </cell>
          <cell r="E6">
            <v>1</v>
          </cell>
          <cell r="F6"/>
        </row>
        <row r="7">
          <cell r="A7" t="str">
            <v>Agrosuper Shanghai1022073</v>
          </cell>
          <cell r="B7" t="str">
            <v>Agrosuper Shanghai</v>
          </cell>
          <cell r="C7">
            <v>1022073</v>
          </cell>
          <cell r="D7" t="str">
            <v>Frozen Pork Leaf Lard</v>
          </cell>
          <cell r="E7">
            <v>2</v>
          </cell>
          <cell r="F7"/>
        </row>
        <row r="8">
          <cell r="A8" t="str">
            <v>Agrosuper Shanghai1022373</v>
          </cell>
          <cell r="B8" t="str">
            <v>Agrosuper Shanghai</v>
          </cell>
          <cell r="C8">
            <v>1022373</v>
          </cell>
          <cell r="D8" t="str">
            <v>Frozen Pork Trimming 60/40</v>
          </cell>
          <cell r="E8">
            <v>2</v>
          </cell>
          <cell r="F8"/>
        </row>
        <row r="9">
          <cell r="A9" t="str">
            <v>Agrosuper Shanghai1022379</v>
          </cell>
          <cell r="B9" t="str">
            <v>Agrosuper Shanghai</v>
          </cell>
          <cell r="C9">
            <v>1022379</v>
          </cell>
          <cell r="D9" t="str">
            <v>Frozen Pork Boneless shoulder</v>
          </cell>
          <cell r="E9">
            <v>3</v>
          </cell>
          <cell r="F9"/>
        </row>
        <row r="10">
          <cell r="A10" t="str">
            <v>Agrosuper Shanghai1022381</v>
          </cell>
          <cell r="B10" t="str">
            <v>Agrosuper Shanghai</v>
          </cell>
          <cell r="C10">
            <v>1022381</v>
          </cell>
          <cell r="D10" t="str">
            <v>Frozen Pork cutting fat (Gord Especial)</v>
          </cell>
          <cell r="E10">
            <v>4</v>
          </cell>
          <cell r="F10"/>
        </row>
        <row r="11">
          <cell r="A11" t="str">
            <v>Agrosuper Shanghai1022417</v>
          </cell>
          <cell r="B11" t="str">
            <v>Agrosuper Shanghai</v>
          </cell>
          <cell r="C11">
            <v>1022417</v>
          </cell>
          <cell r="D11" t="str">
            <v>Frozen Pork mix skin RS</v>
          </cell>
          <cell r="E11">
            <v>5</v>
          </cell>
          <cell r="F11"/>
        </row>
        <row r="12">
          <cell r="A12" t="str">
            <v>Agrosuper Shanghai1022541</v>
          </cell>
          <cell r="B12" t="str">
            <v>Agrosuper Shanghai</v>
          </cell>
          <cell r="C12">
            <v>1022541</v>
          </cell>
          <cell r="D12" t="str">
            <v>Frozen Pork Trimming 20/80 (Cutting Fat)</v>
          </cell>
          <cell r="E12">
            <v>6</v>
          </cell>
          <cell r="F12"/>
        </row>
        <row r="13">
          <cell r="A13" t="str">
            <v>Agrosuper Shanghai1022851</v>
          </cell>
          <cell r="B13" t="str">
            <v>Agrosuper Shanghai</v>
          </cell>
          <cell r="C13">
            <v>1022851</v>
          </cell>
          <cell r="D13" t="str">
            <v>Frozen Pork Whole shoulder</v>
          </cell>
          <cell r="E13">
            <v>4</v>
          </cell>
          <cell r="F13"/>
        </row>
        <row r="14">
          <cell r="A14" t="str">
            <v>Agrosuper Shanghai1022856</v>
          </cell>
          <cell r="B14" t="str">
            <v>Agrosuper Shanghai</v>
          </cell>
          <cell r="C14">
            <v>1022856</v>
          </cell>
          <cell r="D14" t="str">
            <v>Frozen Pork Cutting fat H (Pork Trimming)</v>
          </cell>
          <cell r="E14">
            <v>4</v>
          </cell>
          <cell r="F14"/>
        </row>
        <row r="15">
          <cell r="A15" t="str">
            <v>Agrosuper Shanghai1022945</v>
          </cell>
          <cell r="B15" t="str">
            <v>Agrosuper Shanghai</v>
          </cell>
          <cell r="C15">
            <v>1022945</v>
          </cell>
          <cell r="D15" t="str">
            <v>Frozen Pork Leaf Lard 20kg</v>
          </cell>
          <cell r="E15">
            <v>2</v>
          </cell>
          <cell r="F15"/>
        </row>
        <row r="16">
          <cell r="A16" t="str">
            <v>Agrosuper Shanghai1023034</v>
          </cell>
          <cell r="B16" t="str">
            <v>Agrosuper Shanghai</v>
          </cell>
          <cell r="C16">
            <v>1023034</v>
          </cell>
          <cell r="D16" t="str">
            <v>Frozen Pork Shoulder skin</v>
          </cell>
          <cell r="E16">
            <v>2</v>
          </cell>
          <cell r="F16"/>
        </row>
        <row r="17">
          <cell r="A17" t="str">
            <v>Agrosuper Shanghai1023306</v>
          </cell>
          <cell r="B17" t="str">
            <v>Agrosuper Shanghai</v>
          </cell>
          <cell r="C17">
            <v>1023306</v>
          </cell>
          <cell r="D17" t="str">
            <v>Frozen Pork mix skin LM</v>
          </cell>
          <cell r="E17">
            <v>7</v>
          </cell>
          <cell r="F17"/>
        </row>
        <row r="18">
          <cell r="C18" t="str">
            <v>Total general</v>
          </cell>
          <cell r="E18">
            <v>43</v>
          </cell>
          <cell r="F18">
            <v>1032000</v>
          </cell>
        </row>
      </sheetData>
      <sheetData sheetId="3"/>
      <sheetData sheetId="4"/>
      <sheetData sheetId="5">
        <row r="2">
          <cell r="D2" t="str">
            <v>Tipo de Venta</v>
          </cell>
          <cell r="E2" t="str">
            <v>Directa</v>
          </cell>
          <cell r="G2"/>
        </row>
        <row r="3">
          <cell r="D3" t="str">
            <v>Mes/Año natural</v>
          </cell>
          <cell r="E3" t="str">
            <v>08.2022</v>
          </cell>
          <cell r="G3">
            <v>11879034</v>
          </cell>
        </row>
        <row r="4">
          <cell r="G4" t="str">
            <v>ss</v>
          </cell>
        </row>
        <row r="5">
          <cell r="D5" t="str">
            <v>Oficina de ventas</v>
          </cell>
          <cell r="E5" t="str">
            <v>SKU</v>
          </cell>
          <cell r="F5" t="str">
            <v>Descripción</v>
          </cell>
          <cell r="G5" t="str">
            <v xml:space="preserve"> Producción</v>
          </cell>
        </row>
        <row r="6">
          <cell r="C6" t="str">
            <v>Agro Mexico1012764</v>
          </cell>
          <cell r="D6" t="str">
            <v>Agro Mexico</v>
          </cell>
          <cell r="E6">
            <v>1012764</v>
          </cell>
          <cell r="F6" t="str">
            <v>PO Ppa Esp@ Bo Cj 20k AS</v>
          </cell>
          <cell r="G6">
            <v>96000</v>
          </cell>
        </row>
        <row r="7">
          <cell r="C7" t="str">
            <v>Agro Sudamerica1020017</v>
          </cell>
          <cell r="D7" t="str">
            <v>Agro Sudamerica</v>
          </cell>
          <cell r="E7">
            <v>1020017</v>
          </cell>
          <cell r="F7" t="str">
            <v>GO Chu Ctro@ Fi Cj 20k AS</v>
          </cell>
          <cell r="G7">
            <v>0</v>
          </cell>
        </row>
        <row r="8">
          <cell r="C8" t="str">
            <v>Agro Sudamerica1020339</v>
          </cell>
          <cell r="D8" t="str">
            <v>Agro Sudamerica</v>
          </cell>
          <cell r="E8">
            <v>1020339</v>
          </cell>
          <cell r="F8" t="str">
            <v>GO Lom Tocino@ Cj 20k AS</v>
          </cell>
          <cell r="G8">
            <v>142307</v>
          </cell>
        </row>
        <row r="9">
          <cell r="C9" t="str">
            <v>Agro Sudamerica1020349</v>
          </cell>
          <cell r="D9" t="str">
            <v>Agro Sudamerica</v>
          </cell>
          <cell r="E9">
            <v>1020349</v>
          </cell>
          <cell r="F9" t="str">
            <v>GO Papda@ Cj t-f AS</v>
          </cell>
          <cell r="G9">
            <v>0</v>
          </cell>
        </row>
        <row r="10">
          <cell r="C10" t="str">
            <v>Agro Sudamerica1020352</v>
          </cell>
          <cell r="D10" t="str">
            <v>Agro Sudamerica</v>
          </cell>
          <cell r="E10">
            <v>1020352</v>
          </cell>
          <cell r="F10" t="str">
            <v>GO Cue 20@ Cj 20k AS</v>
          </cell>
          <cell r="G10">
            <v>14677</v>
          </cell>
        </row>
        <row r="11">
          <cell r="C11" t="str">
            <v>Agro Sudamerica1020367</v>
          </cell>
          <cell r="D11" t="str">
            <v>Agro Sudamerica</v>
          </cell>
          <cell r="E11">
            <v>1020367</v>
          </cell>
          <cell r="F11" t="str">
            <v>GO Gord Lom Tocino@ Cj t-f AS</v>
          </cell>
          <cell r="G11">
            <v>138208</v>
          </cell>
        </row>
        <row r="12">
          <cell r="C12" t="str">
            <v>Agro Sudamerica1020412</v>
          </cell>
          <cell r="D12" t="str">
            <v>Agro Sudamerica</v>
          </cell>
          <cell r="E12">
            <v>1020412</v>
          </cell>
          <cell r="F12" t="str">
            <v>GO Cne Long@ Cj t-f AS</v>
          </cell>
          <cell r="G12">
            <v>73218</v>
          </cell>
        </row>
        <row r="13">
          <cell r="C13" t="str">
            <v>Agro Sudamerica1020848</v>
          </cell>
          <cell r="D13" t="str">
            <v>Agro Sudamerica</v>
          </cell>
          <cell r="E13">
            <v>1020848</v>
          </cell>
          <cell r="F13" t="str">
            <v>GO Lom Ctro 27@ Cj 20k AS</v>
          </cell>
          <cell r="G13">
            <v>0</v>
          </cell>
        </row>
        <row r="14">
          <cell r="C14" t="str">
            <v>Agro Sudamerica1020869</v>
          </cell>
          <cell r="D14" t="str">
            <v>Agro Sudamerica</v>
          </cell>
          <cell r="E14">
            <v>1020869</v>
          </cell>
          <cell r="F14" t="str">
            <v>GO Cos 79@ Bo Cj 20k AS</v>
          </cell>
          <cell r="G14">
            <v>0</v>
          </cell>
        </row>
        <row r="15">
          <cell r="C15" t="str">
            <v>Agro Sudamerica1020886</v>
          </cell>
          <cell r="D15" t="str">
            <v>Agro Sudamerica</v>
          </cell>
          <cell r="E15">
            <v>1020886</v>
          </cell>
          <cell r="F15" t="str">
            <v>GO Panc Tecl Nor@ Cj 20k AS</v>
          </cell>
          <cell r="G15">
            <v>3829</v>
          </cell>
        </row>
        <row r="16">
          <cell r="C16" t="str">
            <v>Agro Sudamerica1020915</v>
          </cell>
          <cell r="D16" t="str">
            <v>Agro Sudamerica</v>
          </cell>
          <cell r="E16">
            <v>1020915</v>
          </cell>
          <cell r="F16" t="str">
            <v>GO Pna Nor@ Bo Cj 20k AS</v>
          </cell>
          <cell r="G16">
            <v>0</v>
          </cell>
        </row>
        <row r="17">
          <cell r="C17" t="str">
            <v>Agro Sudamerica1020925</v>
          </cell>
          <cell r="D17" t="str">
            <v>Agro Sudamerica</v>
          </cell>
          <cell r="E17">
            <v>1020925</v>
          </cell>
          <cell r="F17" t="str">
            <v>GO Grasa Forro Pna Limp@ Cj 20k AS</v>
          </cell>
          <cell r="G17">
            <v>11897</v>
          </cell>
        </row>
        <row r="18">
          <cell r="C18" t="str">
            <v>Agro Sudamerica1020944</v>
          </cell>
          <cell r="D18" t="str">
            <v>Agro Sudamerica</v>
          </cell>
          <cell r="E18">
            <v>1020944</v>
          </cell>
          <cell r="F18" t="str">
            <v>GO PpPna 59@ Fi Cj 20k AS</v>
          </cell>
          <cell r="G18">
            <v>120000</v>
          </cell>
        </row>
        <row r="19">
          <cell r="C19" t="str">
            <v>Agro Sudamerica1021023</v>
          </cell>
          <cell r="D19" t="str">
            <v>Agro Sudamerica</v>
          </cell>
          <cell r="E19">
            <v>1021023</v>
          </cell>
          <cell r="F19" t="str">
            <v>GO Gord rebaje@ Bo Cj 20k AS</v>
          </cell>
          <cell r="G19">
            <v>94744</v>
          </cell>
        </row>
        <row r="20">
          <cell r="C20" t="str">
            <v>Agro Sudamerica1021039</v>
          </cell>
          <cell r="D20" t="str">
            <v>Agro Sudamerica</v>
          </cell>
          <cell r="E20">
            <v>1021039</v>
          </cell>
          <cell r="F20" t="str">
            <v>GO Cue Papda CP@ Cj 20k bca AS</v>
          </cell>
          <cell r="G20">
            <v>54898</v>
          </cell>
        </row>
        <row r="21">
          <cell r="C21" t="str">
            <v>Agro Sudamerica1021078</v>
          </cell>
          <cell r="D21" t="str">
            <v>Agro Sudamerica</v>
          </cell>
          <cell r="E21">
            <v>1021078</v>
          </cell>
          <cell r="F21" t="str">
            <v>GO Triming 80/20@ Cj 20k AS</v>
          </cell>
          <cell r="G21">
            <v>80028</v>
          </cell>
        </row>
        <row r="22">
          <cell r="C22" t="str">
            <v>Agro Sudamerica1021082</v>
          </cell>
          <cell r="D22" t="str">
            <v>Agro Sudamerica</v>
          </cell>
          <cell r="E22">
            <v>1021082</v>
          </cell>
          <cell r="F22" t="str">
            <v>GO Triming 70/30@ Cj 20k AS</v>
          </cell>
          <cell r="G22">
            <v>117869</v>
          </cell>
        </row>
        <row r="23">
          <cell r="C23" t="str">
            <v>Agro Sudamerica1021085</v>
          </cell>
          <cell r="D23" t="str">
            <v>Agro Sudamerica</v>
          </cell>
          <cell r="E23">
            <v>1021085</v>
          </cell>
          <cell r="F23" t="str">
            <v>GO Gord Esp@ Cj 20k AS</v>
          </cell>
          <cell r="G23">
            <v>22880</v>
          </cell>
        </row>
        <row r="24">
          <cell r="C24" t="str">
            <v>Agro Sudamerica1021092</v>
          </cell>
          <cell r="D24" t="str">
            <v>Agro Sudamerica</v>
          </cell>
          <cell r="E24">
            <v>1021092</v>
          </cell>
          <cell r="F24" t="str">
            <v>GO Triming 85/15@ Cj t-f 20k AS</v>
          </cell>
          <cell r="G24">
            <v>157799</v>
          </cell>
        </row>
        <row r="25">
          <cell r="C25" t="str">
            <v>Agro Sudamerica1021105</v>
          </cell>
          <cell r="D25" t="str">
            <v>Agro Sudamerica</v>
          </cell>
          <cell r="E25">
            <v>1021105</v>
          </cell>
          <cell r="F25" t="str">
            <v>GO Pulmon@ Cj 20k bca AS</v>
          </cell>
          <cell r="G25">
            <v>40510</v>
          </cell>
        </row>
        <row r="26">
          <cell r="C26" t="str">
            <v>Agro Sudamerica1021106</v>
          </cell>
          <cell r="D26" t="str">
            <v>Agro Sudamerica</v>
          </cell>
          <cell r="E26">
            <v>1021106</v>
          </cell>
          <cell r="F26" t="str">
            <v>GO Pana S/Corazón@ Cj 20k AS</v>
          </cell>
          <cell r="G26">
            <v>0</v>
          </cell>
        </row>
        <row r="27">
          <cell r="C27" t="str">
            <v>Agro Sudamerica1021111</v>
          </cell>
          <cell r="D27" t="str">
            <v>Agro Sudamerica</v>
          </cell>
          <cell r="E27">
            <v>1021111</v>
          </cell>
          <cell r="F27" t="str">
            <v>GO Epiplón@ Cj 20k AS</v>
          </cell>
          <cell r="G27">
            <v>4543</v>
          </cell>
        </row>
        <row r="28">
          <cell r="C28" t="str">
            <v>Agro Sudamerica1021187</v>
          </cell>
          <cell r="D28" t="str">
            <v>Agro Sudamerica</v>
          </cell>
          <cell r="E28">
            <v>1021187</v>
          </cell>
          <cell r="F28" t="str">
            <v>GO Cue Back@ Cj 20k t-f AS</v>
          </cell>
          <cell r="G28">
            <v>56914</v>
          </cell>
        </row>
        <row r="29">
          <cell r="C29" t="str">
            <v>Agro Sudamerica1021385</v>
          </cell>
          <cell r="D29" t="str">
            <v>Agro Sudamerica</v>
          </cell>
          <cell r="E29">
            <v>1021385</v>
          </cell>
          <cell r="F29" t="str">
            <v>GO Cue granel Esp CC@ Cj 20k AS</v>
          </cell>
          <cell r="G29">
            <v>113824</v>
          </cell>
        </row>
        <row r="30">
          <cell r="C30" t="str">
            <v>Agro Sudamerica1021433</v>
          </cell>
          <cell r="D30" t="str">
            <v>Agro Sudamerica</v>
          </cell>
          <cell r="E30">
            <v>1021433</v>
          </cell>
          <cell r="F30" t="str">
            <v>GO PpPna 59@ Cj 20k AS</v>
          </cell>
          <cell r="G30"/>
        </row>
        <row r="31">
          <cell r="C31" t="str">
            <v>Agro Sudamerica1021622</v>
          </cell>
          <cell r="D31" t="str">
            <v>Agro Sudamerica</v>
          </cell>
          <cell r="E31">
            <v>1021622</v>
          </cell>
          <cell r="F31" t="str">
            <v>GO BB Ribs 20-24 Oz@ Cj 10k AS</v>
          </cell>
          <cell r="G31">
            <v>2826</v>
          </cell>
        </row>
        <row r="32">
          <cell r="C32" t="str">
            <v>Agro Sudamerica1021976</v>
          </cell>
          <cell r="D32" t="str">
            <v>Agro Sudamerica</v>
          </cell>
          <cell r="E32">
            <v>1021976</v>
          </cell>
          <cell r="F32" t="str">
            <v>GO PpPal 77@ Cj 20k AS</v>
          </cell>
          <cell r="G32">
            <v>96000</v>
          </cell>
        </row>
        <row r="33">
          <cell r="C33" t="str">
            <v>Agro Sudamerica1021980</v>
          </cell>
          <cell r="D33" t="str">
            <v>Agro Sudamerica</v>
          </cell>
          <cell r="E33">
            <v>1021980</v>
          </cell>
          <cell r="F33" t="str">
            <v>GO BB Ribs Grd B@ Fi Cj 20k AS</v>
          </cell>
          <cell r="G33">
            <v>5544</v>
          </cell>
        </row>
        <row r="34">
          <cell r="C34" t="str">
            <v>Agro Sudamerica1022149</v>
          </cell>
          <cell r="D34" t="str">
            <v>Agro Sudamerica</v>
          </cell>
          <cell r="E34">
            <v>1022149</v>
          </cell>
          <cell r="F34" t="str">
            <v>GO Plancha Rebaje Ent@ Cj 20k AS</v>
          </cell>
          <cell r="G34">
            <v>24206</v>
          </cell>
        </row>
        <row r="35">
          <cell r="C35" t="str">
            <v>Agro Sudamerica1022150</v>
          </cell>
          <cell r="D35" t="str">
            <v>Agro Sudamerica</v>
          </cell>
          <cell r="E35">
            <v>1022150</v>
          </cell>
          <cell r="F35" t="str">
            <v>GO Gord chic@ Cj 20k AS</v>
          </cell>
          <cell r="G35">
            <v>164294</v>
          </cell>
        </row>
        <row r="36">
          <cell r="C36" t="str">
            <v>Agro Sudamerica1022196</v>
          </cell>
          <cell r="D36" t="str">
            <v>Agro Sudamerica</v>
          </cell>
          <cell r="E36">
            <v>1022196</v>
          </cell>
          <cell r="F36" t="str">
            <v>GO Forro Pal@ Cj 20k AS</v>
          </cell>
          <cell r="G36">
            <v>48306</v>
          </cell>
        </row>
        <row r="37">
          <cell r="C37" t="str">
            <v>Agro Sudamerica1022197</v>
          </cell>
          <cell r="D37" t="str">
            <v>Agro Sudamerica</v>
          </cell>
          <cell r="E37">
            <v>1022197</v>
          </cell>
          <cell r="F37" t="str">
            <v>GO Pna Forro@ Cj 20k AS</v>
          </cell>
          <cell r="G37">
            <v>0</v>
          </cell>
        </row>
        <row r="38">
          <cell r="C38" t="str">
            <v>Agro Sudamerica1022409</v>
          </cell>
          <cell r="D38" t="str">
            <v>Agro Sudamerica</v>
          </cell>
          <cell r="E38">
            <v>1022409</v>
          </cell>
          <cell r="F38" t="str">
            <v>GO Tripa s/Cal# Bidon AS</v>
          </cell>
          <cell r="G38">
            <v>0</v>
          </cell>
        </row>
        <row r="39">
          <cell r="C39" t="str">
            <v>Agro Sudamerica1022781</v>
          </cell>
          <cell r="D39" t="str">
            <v>Agro Sudamerica</v>
          </cell>
          <cell r="E39">
            <v>1022781</v>
          </cell>
          <cell r="F39" t="str">
            <v>GO Tripa Calib 32/35# Bo Bidon AS</v>
          </cell>
          <cell r="G39">
            <v>8118</v>
          </cell>
        </row>
        <row r="40">
          <cell r="C40" t="str">
            <v>Agro Sudamerica1022782</v>
          </cell>
          <cell r="D40" t="str">
            <v>Agro Sudamerica</v>
          </cell>
          <cell r="E40">
            <v>1022782</v>
          </cell>
          <cell r="F40" t="str">
            <v>GO Tripa Calib 35/38# Bo Bidon AS</v>
          </cell>
          <cell r="G40"/>
        </row>
        <row r="41">
          <cell r="C41" t="str">
            <v>Agro Sudamerica1022783</v>
          </cell>
          <cell r="D41" t="str">
            <v>Agro Sudamerica</v>
          </cell>
          <cell r="E41">
            <v>1022783</v>
          </cell>
          <cell r="F41" t="str">
            <v>GO Tripa Calib 38/40# Bo Bidon AS</v>
          </cell>
          <cell r="G41"/>
        </row>
        <row r="42">
          <cell r="C42" t="str">
            <v>Agro Sudamerica1022847</v>
          </cell>
          <cell r="D42" t="str">
            <v>Agro Sudamerica</v>
          </cell>
          <cell r="E42">
            <v>1022847</v>
          </cell>
          <cell r="F42" t="str">
            <v>GO Cne Falda Pan@ CJ 20k AS</v>
          </cell>
          <cell r="G42">
            <v>18180</v>
          </cell>
        </row>
        <row r="43">
          <cell r="C43" t="str">
            <v>Agro Sudamerica1022855</v>
          </cell>
          <cell r="D43" t="str">
            <v>Agro Sudamerica</v>
          </cell>
          <cell r="E43">
            <v>1022855</v>
          </cell>
          <cell r="F43" t="str">
            <v>GO Grasa Forro Pal@ Cj 20k AS</v>
          </cell>
          <cell r="G43">
            <v>143355</v>
          </cell>
        </row>
        <row r="44">
          <cell r="C44" t="str">
            <v>Agro Sudamerica1022920</v>
          </cell>
          <cell r="D44" t="str">
            <v>Agro Sudamerica</v>
          </cell>
          <cell r="E44">
            <v>1022920</v>
          </cell>
          <cell r="F44" t="str">
            <v>GO Gord Rebaje@ Cj 20k AS</v>
          </cell>
          <cell r="G44">
            <v>0</v>
          </cell>
        </row>
        <row r="45">
          <cell r="C45" t="str">
            <v>Agro Sudamerica1022921</v>
          </cell>
          <cell r="D45" t="str">
            <v>Agro Sudamerica</v>
          </cell>
          <cell r="E45">
            <v>1022921</v>
          </cell>
          <cell r="F45" t="str">
            <v>GO Gord chic@ Cj 20k AS</v>
          </cell>
          <cell r="G45">
            <v>46202</v>
          </cell>
        </row>
        <row r="46">
          <cell r="C46" t="str">
            <v>Agro Sudamerica1022928</v>
          </cell>
          <cell r="D46" t="str">
            <v>Agro Sudamerica</v>
          </cell>
          <cell r="E46">
            <v>1022928</v>
          </cell>
          <cell r="F46" t="str">
            <v>GO Cue Granel Esp CC@Cj 20k AS</v>
          </cell>
          <cell r="G46">
            <v>0</v>
          </cell>
        </row>
        <row r="47">
          <cell r="C47" t="str">
            <v>Agro Sudamerica1022996</v>
          </cell>
          <cell r="D47" t="str">
            <v>Agro Sudamerica</v>
          </cell>
          <cell r="E47">
            <v>1022996</v>
          </cell>
          <cell r="F47" t="str">
            <v>GO Visual Triming@ Cj 20k AS</v>
          </cell>
          <cell r="G47">
            <v>6307</v>
          </cell>
        </row>
        <row r="48">
          <cell r="C48" t="str">
            <v>Agro Sudamerica1021077</v>
          </cell>
          <cell r="D48" t="str">
            <v>Agro Sudamerica</v>
          </cell>
          <cell r="E48">
            <v>1021077</v>
          </cell>
          <cell r="F48" t="str">
            <v>GO Gord chic@ Cj 20k AS</v>
          </cell>
          <cell r="G48">
            <v>8004</v>
          </cell>
        </row>
        <row r="49">
          <cell r="C49" t="str">
            <v>Agro Sudamerica1021101</v>
          </cell>
          <cell r="D49" t="str">
            <v>Agro Sudamerica</v>
          </cell>
          <cell r="E49">
            <v>1021101</v>
          </cell>
          <cell r="F49" t="str">
            <v>GO Corazón Partido@ Cj t-f 20k AS</v>
          </cell>
          <cell r="G49">
            <v>2189</v>
          </cell>
        </row>
        <row r="50">
          <cell r="C50" t="str">
            <v>Agro Sudamerica1021639</v>
          </cell>
          <cell r="D50" t="str">
            <v>Agro Sudamerica</v>
          </cell>
          <cell r="E50">
            <v>1021639</v>
          </cell>
          <cell r="F50" t="str">
            <v>GO File C/cab@ Cj 5k AS</v>
          </cell>
          <cell r="G50">
            <v>0</v>
          </cell>
        </row>
        <row r="51">
          <cell r="C51" t="str">
            <v>Agro Sudamerica1022047</v>
          </cell>
          <cell r="D51" t="str">
            <v>Agro Sudamerica</v>
          </cell>
          <cell r="E51">
            <v>1022047</v>
          </cell>
          <cell r="F51" t="str">
            <v>GO Triming Panc@ Cj 20k AS</v>
          </cell>
          <cell r="G51">
            <v>0</v>
          </cell>
        </row>
        <row r="52">
          <cell r="C52" t="str">
            <v>Agro Sudamerica1022406</v>
          </cell>
          <cell r="D52" t="str">
            <v>Agro Sudamerica</v>
          </cell>
          <cell r="E52">
            <v>1022406</v>
          </cell>
          <cell r="F52" t="str">
            <v>GO Patas B@ Bo Cj 20 k AS</v>
          </cell>
          <cell r="G52">
            <v>0</v>
          </cell>
        </row>
        <row r="53">
          <cell r="C53" t="str">
            <v>Agro Sudamerica1022569</v>
          </cell>
          <cell r="D53" t="str">
            <v>Agro Sudamerica</v>
          </cell>
          <cell r="E53">
            <v>1022569</v>
          </cell>
          <cell r="F53" t="str">
            <v>GO BB Ribs 24-28 Oz@ Cj 10k AS</v>
          </cell>
          <cell r="G53">
            <v>0</v>
          </cell>
        </row>
        <row r="54">
          <cell r="C54" t="str">
            <v>Agro Sudamerica1022709</v>
          </cell>
          <cell r="D54" t="str">
            <v>Agro Sudamerica</v>
          </cell>
          <cell r="E54">
            <v>1022709</v>
          </cell>
          <cell r="F54" t="str">
            <v>GO PpPna 57@ Bo Cj AS</v>
          </cell>
          <cell r="G54">
            <v>145034</v>
          </cell>
        </row>
        <row r="55">
          <cell r="C55" t="str">
            <v>Agro Sudamerica1020993</v>
          </cell>
          <cell r="D55" t="str">
            <v>Agro Sudamerica</v>
          </cell>
          <cell r="E55">
            <v>1020993</v>
          </cell>
          <cell r="F55" t="str">
            <v>GO Pal Nor@ Cj 20k AS</v>
          </cell>
          <cell r="G55">
            <v>8100</v>
          </cell>
        </row>
        <row r="56">
          <cell r="C56" t="str">
            <v>Agro Sudamerica1022786</v>
          </cell>
          <cell r="D56" t="str">
            <v>Agro Sudamerica</v>
          </cell>
          <cell r="E56">
            <v>1022786</v>
          </cell>
          <cell r="F56" t="str">
            <v>GO Trip Calib Tub 35/39 Azul# Bidon AS</v>
          </cell>
          <cell r="G56">
            <v>1200</v>
          </cell>
        </row>
        <row r="57">
          <cell r="C57" t="str">
            <v>Agro Sudamerica1023295</v>
          </cell>
          <cell r="D57" t="str">
            <v>Agro Sudamerica</v>
          </cell>
          <cell r="E57">
            <v>1023295</v>
          </cell>
          <cell r="F57" t="str">
            <v>GO Trip Calib Tub 37/40 Azul# Cj AS</v>
          </cell>
          <cell r="G57">
            <v>1000</v>
          </cell>
        </row>
        <row r="58">
          <cell r="C58" t="str">
            <v>Agro Sudamerica1021868</v>
          </cell>
          <cell r="D58" t="str">
            <v>Agro Sudamerica</v>
          </cell>
          <cell r="E58">
            <v>1021868</v>
          </cell>
          <cell r="F58" t="str">
            <v>GO PpPna 54@ Cj 20k AS</v>
          </cell>
          <cell r="G58">
            <v>28483</v>
          </cell>
        </row>
        <row r="59">
          <cell r="C59" t="str">
            <v>Agro Sudamerica1023312</v>
          </cell>
          <cell r="D59" t="str">
            <v>Agro Sudamerica</v>
          </cell>
          <cell r="E59">
            <v>1023312</v>
          </cell>
          <cell r="F59" t="str">
            <v>GO File C/cab@Cj 20k AS</v>
          </cell>
          <cell r="G59">
            <v>0</v>
          </cell>
        </row>
        <row r="60">
          <cell r="C60" t="str">
            <v>Agro Sudamerica1023331</v>
          </cell>
          <cell r="D60" t="str">
            <v>Agro Sudamerica</v>
          </cell>
          <cell r="E60">
            <v>1023331</v>
          </cell>
          <cell r="F60" t="str">
            <v>GO Lom Vet 44@ Bo Cj 20k AS</v>
          </cell>
          <cell r="G60">
            <v>0</v>
          </cell>
        </row>
        <row r="61">
          <cell r="C61" t="str">
            <v>Agro Sudamerica1023355</v>
          </cell>
          <cell r="D61" t="str">
            <v>Agro Sudamerica</v>
          </cell>
          <cell r="E61">
            <v>1023355</v>
          </cell>
          <cell r="F61" t="str">
            <v>GO Pulmon@ Cj 20k AS</v>
          </cell>
          <cell r="G61">
            <v>30736</v>
          </cell>
        </row>
        <row r="62">
          <cell r="C62" t="str">
            <v>Agro Sudamerica1010877</v>
          </cell>
          <cell r="D62" t="str">
            <v>Agro Sudamerica</v>
          </cell>
          <cell r="E62">
            <v>1010877</v>
          </cell>
          <cell r="F62" t="str">
            <v>PO Molleja Mrps@ Cj 10k AS</v>
          </cell>
          <cell r="G62">
            <v>118400</v>
          </cell>
        </row>
        <row r="63">
          <cell r="C63" t="str">
            <v>Agro Sudamerica1011421</v>
          </cell>
          <cell r="D63" t="str">
            <v>Agro Sudamerica</v>
          </cell>
          <cell r="E63">
            <v>1011421</v>
          </cell>
          <cell r="F63" t="str">
            <v>PO Ppa Esp 50 Pim@ Cj 20k AS</v>
          </cell>
          <cell r="G63">
            <v>912643</v>
          </cell>
        </row>
        <row r="64">
          <cell r="C64" t="str">
            <v>Agro Sudamerica1011558</v>
          </cell>
          <cell r="D64" t="str">
            <v>Agro Sudamerica</v>
          </cell>
          <cell r="E64">
            <v>1011558</v>
          </cell>
          <cell r="F64" t="str">
            <v>PO Ppa Esp@ 2 blo x 10k Cj AS</v>
          </cell>
          <cell r="G64">
            <v>96000</v>
          </cell>
        </row>
        <row r="65">
          <cell r="C65" t="str">
            <v>Agro Sudamerica1012208</v>
          </cell>
          <cell r="D65" t="str">
            <v>Agro Sudamerica</v>
          </cell>
          <cell r="E65">
            <v>1012208</v>
          </cell>
          <cell r="F65" t="str">
            <v>GA S/m@ Bo Cj AS</v>
          </cell>
          <cell r="G65">
            <v>24000</v>
          </cell>
        </row>
        <row r="66">
          <cell r="C66" t="str">
            <v>Agro Sudamerica1012283</v>
          </cell>
          <cell r="D66" t="str">
            <v>Agro Sudamerica</v>
          </cell>
          <cell r="E66">
            <v>1012283</v>
          </cell>
          <cell r="F66" t="str">
            <v>PO Pana S/Corazón@ Cj 20k AS</v>
          </cell>
          <cell r="G66">
            <v>48021</v>
          </cell>
        </row>
        <row r="67">
          <cell r="C67" t="str">
            <v>Agro Sudamerica1012552</v>
          </cell>
          <cell r="D67" t="str">
            <v>Agro Sudamerica</v>
          </cell>
          <cell r="E67">
            <v>1012552</v>
          </cell>
          <cell r="F67" t="str">
            <v>PO PchDeh Random@ Cj 10k AS</v>
          </cell>
          <cell r="G67">
            <v>47900</v>
          </cell>
        </row>
        <row r="68">
          <cell r="C68" t="str">
            <v>Agro Sudamerica1012556</v>
          </cell>
          <cell r="D68" t="str">
            <v>Agro Sudamerica</v>
          </cell>
          <cell r="E68">
            <v>1012556</v>
          </cell>
          <cell r="F68" t="str">
            <v>PO CDM 14% proteina@ Cj 20k AS</v>
          </cell>
          <cell r="G68">
            <v>270907</v>
          </cell>
        </row>
        <row r="69">
          <cell r="C69" t="str">
            <v>Agro Sudamerica1012719</v>
          </cell>
          <cell r="D69" t="str">
            <v>Agro Sudamerica</v>
          </cell>
          <cell r="E69">
            <v>1012719</v>
          </cell>
          <cell r="F69" t="str">
            <v>PO Ppa Esp@ 2 Blox10kg CJ AS SD</v>
          </cell>
          <cell r="G69">
            <v>348886</v>
          </cell>
        </row>
        <row r="70">
          <cell r="C70" t="str">
            <v>Agro Sudamerica1012763</v>
          </cell>
          <cell r="D70" t="str">
            <v>Agro Sudamerica</v>
          </cell>
          <cell r="E70">
            <v>1012763</v>
          </cell>
          <cell r="F70" t="str">
            <v>PO Pana S/cora blo@Cj 20kg AS</v>
          </cell>
          <cell r="G70">
            <v>63748</v>
          </cell>
        </row>
        <row r="71">
          <cell r="C71" t="str">
            <v>Agro Sudamerica1030224</v>
          </cell>
          <cell r="D71" t="str">
            <v>Agro Sudamerica</v>
          </cell>
          <cell r="E71">
            <v>1030224</v>
          </cell>
          <cell r="F71" t="str">
            <v>PV Tru Larg@ Bo Cj 15k AS</v>
          </cell>
          <cell r="G71">
            <v>7249</v>
          </cell>
        </row>
        <row r="72">
          <cell r="C72" t="str">
            <v>Agro Sudamerica1030332</v>
          </cell>
          <cell r="D72" t="str">
            <v>Agro Sudamerica</v>
          </cell>
          <cell r="E72">
            <v>1030332</v>
          </cell>
          <cell r="F72" t="str">
            <v>PV Tru Ala@ Ex Bo Cj AS</v>
          </cell>
          <cell r="G72">
            <v>0</v>
          </cell>
        </row>
        <row r="73">
          <cell r="C73" t="str">
            <v>Agro Sudamerica1030736</v>
          </cell>
          <cell r="D73" t="str">
            <v>Agro Sudamerica</v>
          </cell>
          <cell r="E73">
            <v>1030736</v>
          </cell>
          <cell r="F73" t="str">
            <v>PV PchDeh c/p@ Cj 17,5k AS</v>
          </cell>
          <cell r="G73">
            <v>0</v>
          </cell>
        </row>
        <row r="74">
          <cell r="C74" t="str">
            <v>Agro Sudamerica1030780</v>
          </cell>
          <cell r="D74" t="str">
            <v>Agro Sudamerica</v>
          </cell>
          <cell r="E74">
            <v>1030780</v>
          </cell>
          <cell r="F74" t="str">
            <v>PV Pch Ent c/p s/m@ Bo Cj 20k AS</v>
          </cell>
          <cell r="G74">
            <v>0</v>
          </cell>
        </row>
        <row r="75">
          <cell r="C75" t="str">
            <v>Agro Sudamerica1011422</v>
          </cell>
          <cell r="D75" t="str">
            <v>Agro Sudamerica</v>
          </cell>
          <cell r="E75">
            <v>1011422</v>
          </cell>
          <cell r="F75" t="str">
            <v>PO Pch Piel Pim 50 ppm@ Cj 14 AS</v>
          </cell>
          <cell r="G75">
            <v>0</v>
          </cell>
        </row>
        <row r="76">
          <cell r="C76" t="str">
            <v>Agro Sudamerica1012778</v>
          </cell>
          <cell r="D76" t="str">
            <v>Agro Sudamerica</v>
          </cell>
          <cell r="E76">
            <v>1012778</v>
          </cell>
          <cell r="F76" t="str">
            <v>PO Corazón@ Placa Cj 19kg SD</v>
          </cell>
          <cell r="G76">
            <v>0</v>
          </cell>
        </row>
        <row r="77">
          <cell r="C77" t="str">
            <v>Agro Sudamerica1011105</v>
          </cell>
          <cell r="D77" t="str">
            <v>Agro Sudamerica</v>
          </cell>
          <cell r="E77">
            <v>1011105</v>
          </cell>
          <cell r="F77" t="str">
            <v>PO Tru-Ctro Ala 60-80 4x10 NMr@ Cj20k AS</v>
          </cell>
          <cell r="G77">
            <v>6000</v>
          </cell>
        </row>
        <row r="78">
          <cell r="C78" t="str">
            <v>Agro Sudamerica1022842</v>
          </cell>
          <cell r="D78" t="str">
            <v>Agro Sudamerica</v>
          </cell>
          <cell r="E78">
            <v>1022842</v>
          </cell>
          <cell r="F78" t="str">
            <v>GO Triming Lom@ Cj 20k AS</v>
          </cell>
          <cell r="G78">
            <v>2269</v>
          </cell>
        </row>
        <row r="79">
          <cell r="C79" t="str">
            <v>Agro Sudamerica1022844</v>
          </cell>
          <cell r="D79" t="str">
            <v>Agro Sudamerica</v>
          </cell>
          <cell r="E79">
            <v>1022844</v>
          </cell>
          <cell r="F79" t="str">
            <v>GO Cordon Lom@ CJ 20k AS</v>
          </cell>
          <cell r="G79">
            <v>17466</v>
          </cell>
        </row>
        <row r="80">
          <cell r="C80" t="str">
            <v>Agro Sudamerica1020086</v>
          </cell>
          <cell r="D80" t="str">
            <v>Agro Sudamerica</v>
          </cell>
          <cell r="E80">
            <v>1020086</v>
          </cell>
          <cell r="F80" t="str">
            <v>GO Lom Ctro 27 S/f@ Va Cj t-f AS</v>
          </cell>
          <cell r="G80">
            <v>24000</v>
          </cell>
        </row>
        <row r="81">
          <cell r="C81" t="str">
            <v>Agro Sudamerica1021279</v>
          </cell>
          <cell r="D81" t="str">
            <v>Agro Sudamerica</v>
          </cell>
          <cell r="E81">
            <v>1021279</v>
          </cell>
          <cell r="F81" t="str">
            <v>GO Hso Pecho@ Cj 10k AS</v>
          </cell>
          <cell r="G81">
            <v>19578</v>
          </cell>
        </row>
        <row r="82">
          <cell r="C82" t="str">
            <v>Agro Sudamerica1022290</v>
          </cell>
          <cell r="D82" t="str">
            <v>Agro Sudamerica</v>
          </cell>
          <cell r="E82">
            <v>1022290</v>
          </cell>
          <cell r="F82" t="str">
            <v>GO Lom Tocino S/cue@ Cj 20k AS</v>
          </cell>
          <cell r="G82">
            <v>3702</v>
          </cell>
        </row>
        <row r="83">
          <cell r="C83" t="str">
            <v>Agro Sudamerica1030817</v>
          </cell>
          <cell r="D83" t="str">
            <v>Agro Sudamerica</v>
          </cell>
          <cell r="E83">
            <v>1030817</v>
          </cell>
          <cell r="F83" t="str">
            <v>PV Tru Larg@ Bo Cj 15k AS</v>
          </cell>
          <cell r="G83">
            <v>54668</v>
          </cell>
        </row>
        <row r="84">
          <cell r="C84" t="str">
            <v>Agro Sudamerica1030812</v>
          </cell>
          <cell r="D84" t="str">
            <v>Agro Sudamerica</v>
          </cell>
          <cell r="E84">
            <v>1030812</v>
          </cell>
          <cell r="F84" t="str">
            <v xml:space="preserve"> PV TruDeh Cort S/h S/p@ Bo Cj AS</v>
          </cell>
          <cell r="G84">
            <v>24000</v>
          </cell>
        </row>
        <row r="85">
          <cell r="C85" t="str">
            <v>Agro Sudamerica1030816</v>
          </cell>
          <cell r="D85" t="str">
            <v>Agro Sudamerica</v>
          </cell>
          <cell r="E85">
            <v>1030816</v>
          </cell>
          <cell r="F85" t="str">
            <v>PV Tru Ala@ Ex Bo Cj AS</v>
          </cell>
          <cell r="G85">
            <v>0</v>
          </cell>
        </row>
        <row r="86">
          <cell r="C86" t="str">
            <v>Agro Sudamerica1030821</v>
          </cell>
          <cell r="D86" t="str">
            <v>Agro Sudamerica</v>
          </cell>
          <cell r="E86">
            <v>1030821</v>
          </cell>
          <cell r="F86" t="str">
            <v>PV PchDeh S/p c/f MA@ Cj 15k AS</v>
          </cell>
          <cell r="G86">
            <v>0</v>
          </cell>
        </row>
        <row r="87">
          <cell r="C87" t="str">
            <v>Agrosuper Asia1020860</v>
          </cell>
          <cell r="D87" t="str">
            <v>Agrosuper Asia</v>
          </cell>
          <cell r="E87">
            <v>1020860</v>
          </cell>
          <cell r="F87" t="str">
            <v>GO Lom Vet@ Cj 12k AK</v>
          </cell>
          <cell r="G87">
            <v>145086</v>
          </cell>
        </row>
        <row r="88">
          <cell r="C88" t="str">
            <v>Agrosuper Asia1020861</v>
          </cell>
          <cell r="D88" t="str">
            <v>Agrosuper Asia</v>
          </cell>
          <cell r="E88">
            <v>1020861</v>
          </cell>
          <cell r="F88" t="str">
            <v>GO Lom Vet@ Cj 12k TJ</v>
          </cell>
          <cell r="G88">
            <v>127630</v>
          </cell>
        </row>
        <row r="89">
          <cell r="C89" t="str">
            <v>Agrosuper Asia1020904</v>
          </cell>
          <cell r="D89" t="str">
            <v>Agrosuper Asia</v>
          </cell>
          <cell r="E89">
            <v>1020904</v>
          </cell>
          <cell r="F89" t="str">
            <v>GO Panc C/cue@ Cj Panc 230 TJ</v>
          </cell>
          <cell r="G89">
            <v>88346</v>
          </cell>
        </row>
        <row r="90">
          <cell r="C90" t="str">
            <v>Agrosuper Asia1020905</v>
          </cell>
          <cell r="D90" t="str">
            <v>Agrosuper Asia</v>
          </cell>
          <cell r="E90">
            <v>1020905</v>
          </cell>
          <cell r="F90" t="str">
            <v>GO Panc C/cue@ Cj Panc 230 AK</v>
          </cell>
          <cell r="G90">
            <v>55720</v>
          </cell>
        </row>
        <row r="91">
          <cell r="C91" t="str">
            <v>Agrosuper Asia1021012</v>
          </cell>
          <cell r="D91" t="str">
            <v>Agrosuper Asia</v>
          </cell>
          <cell r="E91">
            <v>1021012</v>
          </cell>
          <cell r="F91" t="str">
            <v>GO Papda K@ Cj 20k AK</v>
          </cell>
          <cell r="G91">
            <v>114630</v>
          </cell>
        </row>
        <row r="92">
          <cell r="C92" t="str">
            <v>Agrosuper Asia1021045</v>
          </cell>
          <cell r="D92" t="str">
            <v>Agrosuper Asia</v>
          </cell>
          <cell r="E92">
            <v>1021045</v>
          </cell>
          <cell r="F92" t="str">
            <v>GO PernilM C/M@ Cj 15k AK</v>
          </cell>
          <cell r="G92">
            <v>89147</v>
          </cell>
        </row>
        <row r="93">
          <cell r="C93" t="str">
            <v>Agrosuper Asia1021046</v>
          </cell>
          <cell r="D93" t="str">
            <v>Agrosuper Asia</v>
          </cell>
          <cell r="E93">
            <v>1021046</v>
          </cell>
          <cell r="F93" t="str">
            <v>GO PernilM C/M@ Cj 15k TJ</v>
          </cell>
          <cell r="G93">
            <v>0</v>
          </cell>
        </row>
        <row r="94">
          <cell r="C94" t="str">
            <v>Agrosuper Asia1021149</v>
          </cell>
          <cell r="D94" t="str">
            <v>Agrosuper Asia</v>
          </cell>
          <cell r="E94">
            <v>1021149</v>
          </cell>
          <cell r="F94" t="str">
            <v>GO Tira Hso Ctro@ Cj 20k TJ</v>
          </cell>
          <cell r="G94">
            <v>47984</v>
          </cell>
        </row>
        <row r="95">
          <cell r="C95" t="str">
            <v>Agrosuper Asia1021150</v>
          </cell>
          <cell r="D95" t="str">
            <v>Agrosuper Asia</v>
          </cell>
          <cell r="E95">
            <v>1021150</v>
          </cell>
          <cell r="F95" t="str">
            <v>GO Tira Hso Ctro@ Cj 20k AK</v>
          </cell>
          <cell r="G95">
            <v>45056</v>
          </cell>
        </row>
        <row r="96">
          <cell r="C96" t="str">
            <v>Agrosuper Asia1021151</v>
          </cell>
          <cell r="D96" t="str">
            <v>Agrosuper Asia</v>
          </cell>
          <cell r="E96">
            <v>1021151</v>
          </cell>
          <cell r="F96" t="str">
            <v>GO Hso Cogote@ Bo Cj 20k TJ</v>
          </cell>
          <cell r="G96">
            <v>70886</v>
          </cell>
        </row>
        <row r="97">
          <cell r="C97" t="str">
            <v>Agrosuper Asia1021152</v>
          </cell>
          <cell r="D97" t="str">
            <v>Agrosuper Asia</v>
          </cell>
          <cell r="E97">
            <v>1021152</v>
          </cell>
          <cell r="F97" t="str">
            <v>GO Hso Cogote@ Bo Cj 20k AK</v>
          </cell>
          <cell r="G97">
            <v>22560</v>
          </cell>
        </row>
        <row r="98">
          <cell r="C98" t="str">
            <v>Agrosuper Asia1021156</v>
          </cell>
          <cell r="D98" t="str">
            <v>Agrosuper Asia</v>
          </cell>
          <cell r="E98">
            <v>1021156</v>
          </cell>
          <cell r="F98" t="str">
            <v>GO Hso Pecho@ Cj Lom Vet TJ</v>
          </cell>
          <cell r="G98">
            <v>37553</v>
          </cell>
        </row>
        <row r="99">
          <cell r="C99" t="str">
            <v>Agrosuper Asia1021470</v>
          </cell>
          <cell r="D99" t="str">
            <v>Agrosuper Asia</v>
          </cell>
          <cell r="E99">
            <v>1021470</v>
          </cell>
          <cell r="F99" t="str">
            <v>GO PernilM@ Cj 20k AK</v>
          </cell>
          <cell r="G99">
            <v>24543</v>
          </cell>
        </row>
        <row r="100">
          <cell r="C100" t="str">
            <v>Agrosuper Asia1021664</v>
          </cell>
          <cell r="D100" t="str">
            <v>Agrosuper Asia</v>
          </cell>
          <cell r="E100">
            <v>1021664</v>
          </cell>
          <cell r="F100" t="str">
            <v>GO Pecho S/cue K@ Cj 20k TJ</v>
          </cell>
          <cell r="G100">
            <v>0</v>
          </cell>
        </row>
        <row r="101">
          <cell r="C101" t="str">
            <v>Agrosuper Asia1021665</v>
          </cell>
          <cell r="D101" t="str">
            <v>Agrosuper Asia</v>
          </cell>
          <cell r="E101">
            <v>1021665</v>
          </cell>
          <cell r="F101" t="str">
            <v>GO Pecho S/cue K@ Cj 20k AK</v>
          </cell>
          <cell r="G101">
            <v>0</v>
          </cell>
        </row>
        <row r="102">
          <cell r="C102" t="str">
            <v>Agrosuper Asia1022283</v>
          </cell>
          <cell r="D102" t="str">
            <v>Agrosuper Asia</v>
          </cell>
          <cell r="E102">
            <v>1022283</v>
          </cell>
          <cell r="F102" t="str">
            <v>GO Malaya 5-6mm@ Bo Cj 9k AS</v>
          </cell>
          <cell r="G102">
            <v>0</v>
          </cell>
        </row>
        <row r="103">
          <cell r="C103" t="str">
            <v>Agrosuper Asia1022607</v>
          </cell>
          <cell r="D103" t="str">
            <v>Agrosuper Asia</v>
          </cell>
          <cell r="E103">
            <v>1022607</v>
          </cell>
          <cell r="F103" t="str">
            <v>GO Platead Lom TF@ Cj 10k AK (TS)</v>
          </cell>
          <cell r="G103">
            <v>27461</v>
          </cell>
        </row>
        <row r="104">
          <cell r="C104" t="str">
            <v>Agrosuper Asia1022885</v>
          </cell>
          <cell r="D104" t="str">
            <v>Agrosuper Asia</v>
          </cell>
          <cell r="E104">
            <v>1022885</v>
          </cell>
          <cell r="F104" t="str">
            <v>GO Panc S/cue@ Cj Panc TJ</v>
          </cell>
          <cell r="G104">
            <v>584437</v>
          </cell>
        </row>
        <row r="105">
          <cell r="C105" t="str">
            <v>Agrosuper Asia1022887</v>
          </cell>
          <cell r="D105" t="str">
            <v>Agrosuper Asia</v>
          </cell>
          <cell r="E105">
            <v>1022887</v>
          </cell>
          <cell r="F105" t="str">
            <v>GO Panc S/cue@ Cj Panc AK</v>
          </cell>
          <cell r="G105">
            <v>343870</v>
          </cell>
        </row>
        <row r="106">
          <cell r="C106" t="str">
            <v>Agrosuper Asia1022930</v>
          </cell>
          <cell r="D106" t="str">
            <v>Agrosuper Asia</v>
          </cell>
          <cell r="E106">
            <v>1022930</v>
          </cell>
          <cell r="F106" t="str">
            <v>GO Panc S/cue Hem@ Cj Panc TJ AS</v>
          </cell>
          <cell r="G106">
            <v>191803</v>
          </cell>
        </row>
        <row r="107">
          <cell r="C107" t="str">
            <v>Agrosuper Asia1022985</v>
          </cell>
          <cell r="D107" t="str">
            <v>Agrosuper Asia</v>
          </cell>
          <cell r="E107">
            <v>1022985</v>
          </cell>
          <cell r="F107" t="str">
            <v>GO Lom Vet Mad@ Cj 8,5k TJ</v>
          </cell>
          <cell r="G107">
            <v>2858</v>
          </cell>
        </row>
        <row r="108">
          <cell r="C108" t="str">
            <v>Agrosuper Asia1022986</v>
          </cell>
          <cell r="D108" t="str">
            <v>Agrosuper Asia</v>
          </cell>
          <cell r="E108">
            <v>1022986</v>
          </cell>
          <cell r="F108" t="str">
            <v>GO Panc S/cue Mad@ Cj 16,4k Panc TJ</v>
          </cell>
          <cell r="G108">
            <v>3271</v>
          </cell>
        </row>
        <row r="109">
          <cell r="C109" t="str">
            <v>Agrosuper Asia1023037</v>
          </cell>
          <cell r="D109" t="str">
            <v>Agrosuper Asia</v>
          </cell>
          <cell r="E109">
            <v>1023037</v>
          </cell>
          <cell r="F109" t="str">
            <v>GO Panc S/cue@ Cj Panc 16k AS</v>
          </cell>
          <cell r="G109">
            <v>121214</v>
          </cell>
        </row>
        <row r="110">
          <cell r="C110" t="str">
            <v>Agrosuper Asia1023038</v>
          </cell>
          <cell r="D110" t="str">
            <v>Agrosuper Asia</v>
          </cell>
          <cell r="E110">
            <v>1023038</v>
          </cell>
          <cell r="F110" t="str">
            <v>GO Lom Vet@ Cj 8k AS</v>
          </cell>
          <cell r="G110">
            <v>150411</v>
          </cell>
        </row>
        <row r="111">
          <cell r="C111" t="str">
            <v>Agrosuper Asia1023090</v>
          </cell>
          <cell r="D111" t="str">
            <v>Agrosuper Asia</v>
          </cell>
          <cell r="E111">
            <v>1023090</v>
          </cell>
          <cell r="F111" t="str">
            <v>GO Panc S/cue S/h@ Cj Panc 16k AS</v>
          </cell>
          <cell r="G111">
            <v>21208</v>
          </cell>
        </row>
        <row r="112">
          <cell r="C112" t="str">
            <v>Agrosuper Asia1023144</v>
          </cell>
          <cell r="D112" t="str">
            <v>Agrosuper Asia</v>
          </cell>
          <cell r="E112">
            <v>1023144</v>
          </cell>
          <cell r="F112" t="str">
            <v>GO Papda C/Cue granel@ Bo Cj AS</v>
          </cell>
          <cell r="G112">
            <v>74390</v>
          </cell>
        </row>
        <row r="113">
          <cell r="C113" t="str">
            <v>Agrosuper Asia1023183</v>
          </cell>
          <cell r="D113" t="str">
            <v>Agrosuper Asia</v>
          </cell>
          <cell r="E113">
            <v>1023183</v>
          </cell>
          <cell r="F113" t="str">
            <v>GO Pech S/Cue@ Vp Cj AS</v>
          </cell>
          <cell r="G113">
            <v>0</v>
          </cell>
        </row>
        <row r="114">
          <cell r="C114" t="str">
            <v>Agrosuper Asia1021204</v>
          </cell>
          <cell r="D114" t="str">
            <v>Agrosuper Asia</v>
          </cell>
          <cell r="E114">
            <v>1021204</v>
          </cell>
          <cell r="F114" t="str">
            <v>GO Lom Tocino@ Cj 20k AS</v>
          </cell>
          <cell r="G114">
            <v>26980</v>
          </cell>
        </row>
        <row r="115">
          <cell r="C115" t="str">
            <v>Agrosuper Asia1021655</v>
          </cell>
          <cell r="D115" t="str">
            <v>Agrosuper Asia</v>
          </cell>
          <cell r="E115">
            <v>1021655</v>
          </cell>
          <cell r="F115" t="str">
            <v>GO Estómago Pouch@ Bo Cj 10k AS</v>
          </cell>
          <cell r="G115">
            <v>0</v>
          </cell>
        </row>
        <row r="116">
          <cell r="C116" t="str">
            <v>Agrosuper Asia1022182</v>
          </cell>
          <cell r="D116" t="str">
            <v>Agrosuper Asia</v>
          </cell>
          <cell r="E116">
            <v>1022182</v>
          </cell>
          <cell r="F116" t="str">
            <v>GO BB Ribs 20-24 Oz@ Cj 10k AS</v>
          </cell>
          <cell r="G116">
            <v>0</v>
          </cell>
        </row>
        <row r="117">
          <cell r="C117" t="str">
            <v>Agrosuper Asia1023283</v>
          </cell>
          <cell r="D117" t="str">
            <v>Agrosuper Asia</v>
          </cell>
          <cell r="E117">
            <v>1023283</v>
          </cell>
          <cell r="F117" t="str">
            <v>GO Grasa Chaleco@ Cj 10k AS</v>
          </cell>
          <cell r="G117">
            <v>94845</v>
          </cell>
        </row>
        <row r="118">
          <cell r="C118" t="str">
            <v>Agrosuper Asia1023307</v>
          </cell>
          <cell r="D118" t="str">
            <v>Agrosuper Asia</v>
          </cell>
          <cell r="E118">
            <v>1023307</v>
          </cell>
          <cell r="F118" t="str">
            <v>GO Pulmon@ Cj 20k AS</v>
          </cell>
          <cell r="G118">
            <v>5000</v>
          </cell>
        </row>
        <row r="119">
          <cell r="C119" t="str">
            <v>Agrosuper Asia1023326</v>
          </cell>
          <cell r="D119" t="str">
            <v>Agrosuper Asia</v>
          </cell>
          <cell r="E119">
            <v>1023326</v>
          </cell>
          <cell r="F119" t="str">
            <v>GO Corazón Partido@ Cj 10k AS</v>
          </cell>
          <cell r="G119">
            <v>48000</v>
          </cell>
        </row>
        <row r="120">
          <cell r="C120" t="str">
            <v>Agrosuper Asia1023372</v>
          </cell>
          <cell r="D120" t="str">
            <v>Agrosuper Asia</v>
          </cell>
          <cell r="E120">
            <v>1023372</v>
          </cell>
          <cell r="F120" t="str">
            <v>GO Lom Ctro 27@ Fi Cj 20k AS</v>
          </cell>
          <cell r="G120">
            <v>27371</v>
          </cell>
        </row>
        <row r="121">
          <cell r="C121" t="str">
            <v>Agrosuper Asia1023397</v>
          </cell>
          <cell r="D121" t="str">
            <v>Agrosuper Asia</v>
          </cell>
          <cell r="E121">
            <v>1023397</v>
          </cell>
          <cell r="F121" t="str">
            <v>GO Gord Esp@ Cj 20k AS</v>
          </cell>
          <cell r="G121">
            <v>0</v>
          </cell>
        </row>
        <row r="122">
          <cell r="C122" t="str">
            <v>Agrosuper Asia1012612</v>
          </cell>
          <cell r="D122" t="str">
            <v>Agrosuper Asia</v>
          </cell>
          <cell r="E122">
            <v>1012612</v>
          </cell>
          <cell r="F122" t="str">
            <v>PO Ppa Esp Blo@ Bo Cj 20k AS</v>
          </cell>
          <cell r="G122">
            <v>1503671</v>
          </cell>
        </row>
        <row r="123">
          <cell r="C123" t="str">
            <v>Agrosuper Asia1012012</v>
          </cell>
          <cell r="D123" t="str">
            <v>Agrosuper Asia</v>
          </cell>
          <cell r="E123">
            <v>1012012</v>
          </cell>
          <cell r="F123" t="str">
            <v>PO Ala Ctro Mr@ Fi Cj 18k AS</v>
          </cell>
          <cell r="G123">
            <v>19677</v>
          </cell>
        </row>
        <row r="124">
          <cell r="C124" t="str">
            <v>Agrosuper Asia1022824</v>
          </cell>
          <cell r="D124" t="str">
            <v>Agrosuper Asia</v>
          </cell>
          <cell r="E124">
            <v>1022824</v>
          </cell>
          <cell r="F124" t="str">
            <v>GO Desp Forro Pna@ Muestra Cj 20k AS</v>
          </cell>
          <cell r="G124">
            <v>900</v>
          </cell>
        </row>
        <row r="125">
          <cell r="C125" t="str">
            <v>Agrosuper Brasil1021864</v>
          </cell>
          <cell r="D125" t="str">
            <v>Agrosuper Brasil</v>
          </cell>
          <cell r="E125">
            <v>1021864</v>
          </cell>
          <cell r="F125" t="str">
            <v>GO Cue Papda CP@ Cj 20k AS</v>
          </cell>
          <cell r="G125">
            <v>72187</v>
          </cell>
        </row>
        <row r="126">
          <cell r="C126" t="str">
            <v>Agrosuper Brasil1022217</v>
          </cell>
          <cell r="D126" t="str">
            <v>Agrosuper Brasil</v>
          </cell>
          <cell r="E126">
            <v>1022217</v>
          </cell>
          <cell r="F126" t="str">
            <v>GO Lom Tocino@ Bo Cj 20k AS</v>
          </cell>
          <cell r="G126">
            <v>265077</v>
          </cell>
        </row>
        <row r="127">
          <cell r="C127" t="str">
            <v>Agrosuper Brasil1022218</v>
          </cell>
          <cell r="D127" t="str">
            <v>Agrosuper Brasil</v>
          </cell>
          <cell r="E127">
            <v>1022218</v>
          </cell>
          <cell r="F127" t="str">
            <v>GO Grasa Forro Pna Limp@ Cj 20k AS</v>
          </cell>
          <cell r="G127">
            <v>56208</v>
          </cell>
        </row>
        <row r="128">
          <cell r="C128" t="str">
            <v>Agrosuper Brasil1022273</v>
          </cell>
          <cell r="D128" t="str">
            <v>Agrosuper Brasil</v>
          </cell>
          <cell r="E128">
            <v>1022273</v>
          </cell>
          <cell r="F128" t="str">
            <v>GO Grasa Forro Pna Limp@ Bo Cj AS</v>
          </cell>
          <cell r="G128">
            <v>211117</v>
          </cell>
        </row>
        <row r="129">
          <cell r="C129" t="str">
            <v>Agrosuper Brasil1022782</v>
          </cell>
          <cell r="D129" t="str">
            <v>Agrosuper Brasil</v>
          </cell>
          <cell r="E129">
            <v>1022782</v>
          </cell>
          <cell r="F129" t="str">
            <v>GO Tripa Calib 35/38# Bo Bidon AS</v>
          </cell>
          <cell r="G129">
            <v>9180</v>
          </cell>
        </row>
        <row r="130">
          <cell r="C130" t="str">
            <v>Agrosuper Brasil1022783</v>
          </cell>
          <cell r="D130" t="str">
            <v>Agrosuper Brasil</v>
          </cell>
          <cell r="E130">
            <v>1022783</v>
          </cell>
          <cell r="F130" t="str">
            <v>GO Tripa Calib 38/40# Bo Bidon AS</v>
          </cell>
          <cell r="G130">
            <v>7200</v>
          </cell>
        </row>
        <row r="131">
          <cell r="C131" t="str">
            <v>Agrosuper Brasil1023295</v>
          </cell>
          <cell r="D131" t="str">
            <v>Agrosuper Brasil</v>
          </cell>
          <cell r="E131">
            <v>1023295</v>
          </cell>
          <cell r="F131" t="str">
            <v>GO Trip Calib Tub 37/40 Azul# Cj AS</v>
          </cell>
          <cell r="G131">
            <v>1000</v>
          </cell>
        </row>
        <row r="132">
          <cell r="C132" t="str">
            <v>Agrosuper Brasil1023329</v>
          </cell>
          <cell r="D132" t="str">
            <v>Agrosuper Brasil</v>
          </cell>
          <cell r="E132">
            <v>1023329</v>
          </cell>
          <cell r="F132" t="str">
            <v>GO Cue Papda CP@ Cj 20k AS</v>
          </cell>
          <cell r="G132">
            <v>0</v>
          </cell>
        </row>
        <row r="133">
          <cell r="C133" t="str">
            <v>Agrosuper Brasil1023334</v>
          </cell>
          <cell r="D133" t="str">
            <v>Agrosuper Brasil</v>
          </cell>
          <cell r="E133">
            <v>1023334</v>
          </cell>
          <cell r="F133" t="str">
            <v>Cue granel Esp CC@ Cj 20k AS</v>
          </cell>
          <cell r="G133">
            <v>0</v>
          </cell>
        </row>
        <row r="134">
          <cell r="C134" t="str">
            <v>Agrosuper Brasil1023336</v>
          </cell>
          <cell r="D134" t="str">
            <v>Agrosuper Brasil</v>
          </cell>
          <cell r="E134">
            <v>1023336</v>
          </cell>
          <cell r="F134" t="str">
            <v>Cue granel Esp CC@ Cj 20k AS</v>
          </cell>
          <cell r="G134">
            <v>0</v>
          </cell>
        </row>
        <row r="135">
          <cell r="C135" t="str">
            <v>Agrosuper Brasil1012362</v>
          </cell>
          <cell r="D135" t="str">
            <v>Agrosuper Brasil</v>
          </cell>
          <cell r="E135">
            <v>1012362</v>
          </cell>
          <cell r="F135" t="str">
            <v>PO Corazon@ Cj 18k AS</v>
          </cell>
          <cell r="G135">
            <v>25923</v>
          </cell>
        </row>
        <row r="136">
          <cell r="C136" t="str">
            <v>Agrosuper Brasil1011560</v>
          </cell>
          <cell r="D136" t="str">
            <v>Agrosuper Brasil</v>
          </cell>
          <cell r="E136">
            <v>1011560</v>
          </cell>
          <cell r="F136" t="str">
            <v>PO Corazón@ Bo Cj 18k AS</v>
          </cell>
          <cell r="G136">
            <v>17570</v>
          </cell>
        </row>
        <row r="137">
          <cell r="C137" t="str">
            <v>Agrosuper Brasil1012674</v>
          </cell>
          <cell r="D137" t="str">
            <v>Agrosuper Brasil</v>
          </cell>
          <cell r="E137">
            <v>1012674</v>
          </cell>
          <cell r="F137" t="str">
            <v>PO Corazon@Pla Cj 19k</v>
          </cell>
          <cell r="G137">
            <v>56200</v>
          </cell>
        </row>
        <row r="138">
          <cell r="C138" t="str">
            <v>Agrosuper Shanghai1021115</v>
          </cell>
          <cell r="D138" t="str">
            <v>Agrosuper Shanghai</v>
          </cell>
          <cell r="E138">
            <v>1021115</v>
          </cell>
          <cell r="F138" t="str">
            <v>GO Estómago Pouch@ 20k bca AS</v>
          </cell>
          <cell r="G138">
            <v>6260</v>
          </cell>
        </row>
        <row r="139">
          <cell r="C139" t="str">
            <v>Agrosuper Shanghai1021740</v>
          </cell>
          <cell r="D139" t="str">
            <v>Agrosuper Shanghai</v>
          </cell>
          <cell r="E139">
            <v>1021740</v>
          </cell>
          <cell r="F139" t="str">
            <v>GO Pana S/Corazón@ Cj 20k AS</v>
          </cell>
          <cell r="G139">
            <v>0</v>
          </cell>
        </row>
        <row r="140">
          <cell r="C140" t="str">
            <v>Agrosuper Shanghai1021765</v>
          </cell>
          <cell r="D140" t="str">
            <v>Agrosuper Shanghai</v>
          </cell>
          <cell r="E140">
            <v>1021765</v>
          </cell>
          <cell r="F140" t="str">
            <v>GO Pna Nor@ Bo Cj 20k AS</v>
          </cell>
          <cell r="G140">
            <v>2</v>
          </cell>
        </row>
        <row r="141">
          <cell r="C141" t="str">
            <v>Agrosuper Shanghai1021905</v>
          </cell>
          <cell r="D141" t="str">
            <v>Agrosuper Shanghai</v>
          </cell>
          <cell r="E141">
            <v>1021905</v>
          </cell>
          <cell r="F141" t="str">
            <v>GO Reco 70/30 @ Cj 20k AS</v>
          </cell>
          <cell r="G141">
            <v>264991</v>
          </cell>
        </row>
        <row r="142">
          <cell r="C142" t="str">
            <v>Agrosuper Shanghai1022373</v>
          </cell>
          <cell r="D142" t="str">
            <v>Agrosuper Shanghai</v>
          </cell>
          <cell r="E142">
            <v>1022373</v>
          </cell>
          <cell r="F142" t="str">
            <v>GO Reco 60/40 @ Cj 20k AS</v>
          </cell>
          <cell r="G142">
            <v>0</v>
          </cell>
        </row>
        <row r="143">
          <cell r="C143" t="str">
            <v>Agrosuper Shanghai1022389</v>
          </cell>
          <cell r="D143" t="str">
            <v>Agrosuper Shanghai</v>
          </cell>
          <cell r="E143">
            <v>1022389</v>
          </cell>
          <cell r="F143" t="str">
            <v>GO Cue 20@ Bo Cj 20k AS</v>
          </cell>
          <cell r="G143">
            <v>0</v>
          </cell>
        </row>
        <row r="144">
          <cell r="C144" t="str">
            <v>Agrosuper Shanghai1022418</v>
          </cell>
          <cell r="D144" t="str">
            <v>Agrosuper Shanghai</v>
          </cell>
          <cell r="E144">
            <v>1022418</v>
          </cell>
          <cell r="F144" t="str">
            <v>GO Tripa s/Cal# Bidon AS</v>
          </cell>
          <cell r="G144">
            <v>27912</v>
          </cell>
        </row>
        <row r="145">
          <cell r="C145" t="str">
            <v>Agrosuper Shanghai1022541</v>
          </cell>
          <cell r="D145" t="str">
            <v>Agrosuper Shanghai</v>
          </cell>
          <cell r="E145">
            <v>1022541</v>
          </cell>
          <cell r="F145" t="str">
            <v>GO Reco 20/80 @ Cj 20k AS</v>
          </cell>
          <cell r="G145">
            <v>0</v>
          </cell>
        </row>
        <row r="146">
          <cell r="C146" t="str">
            <v>Agrosuper Shanghai1022851</v>
          </cell>
          <cell r="D146" t="str">
            <v>Agrosuper Shanghai</v>
          </cell>
          <cell r="E146">
            <v>1022851</v>
          </cell>
          <cell r="F146" t="str">
            <v>GO Pal Nor@ Cj 20k AS</v>
          </cell>
          <cell r="G146">
            <v>0</v>
          </cell>
        </row>
        <row r="147">
          <cell r="C147" t="str">
            <v>Agrosuper Shanghai1022856</v>
          </cell>
          <cell r="D147" t="str">
            <v>Agrosuper Shanghai</v>
          </cell>
          <cell r="E147">
            <v>1022856</v>
          </cell>
          <cell r="F147" t="str">
            <v>GO Reco 10/90 @ Cj 20k AS</v>
          </cell>
          <cell r="G147">
            <v>165555</v>
          </cell>
        </row>
        <row r="148">
          <cell r="C148" t="str">
            <v>Agrosuper Shanghai1023109</v>
          </cell>
          <cell r="D148" t="str">
            <v>Agrosuper Shanghai</v>
          </cell>
          <cell r="E148">
            <v>1023109</v>
          </cell>
          <cell r="F148" t="str">
            <v>GO Reco 20/80 @ Cj 20k AS</v>
          </cell>
          <cell r="G148">
            <v>0</v>
          </cell>
        </row>
        <row r="149">
          <cell r="C149" t="str">
            <v>Agrosuper Shanghai1023111</v>
          </cell>
          <cell r="D149" t="str">
            <v>Agrosuper Shanghai</v>
          </cell>
          <cell r="E149">
            <v>1023111</v>
          </cell>
          <cell r="F149" t="str">
            <v>GO Grasa Forro Pna Limp@ Bo Cj 20k AS</v>
          </cell>
          <cell r="G149">
            <v>0</v>
          </cell>
        </row>
        <row r="150">
          <cell r="C150" t="str">
            <v>Agrosuper Shanghai1023035</v>
          </cell>
          <cell r="D150" t="str">
            <v>Agrosuper Shanghai</v>
          </cell>
          <cell r="E150">
            <v>1023035</v>
          </cell>
          <cell r="F150" t="str">
            <v>GO Belly Strip@ Cj 20k AS</v>
          </cell>
          <cell r="G150">
            <v>0</v>
          </cell>
        </row>
        <row r="151">
          <cell r="C151" t="str">
            <v>Agrosuper Shanghai1030525</v>
          </cell>
          <cell r="D151" t="str">
            <v>Agrosuper Shanghai</v>
          </cell>
          <cell r="E151">
            <v>1030525</v>
          </cell>
          <cell r="F151" t="str">
            <v>PV Tru Ala@ Ex blo Cj 15k SO</v>
          </cell>
          <cell r="G151">
            <v>88280</v>
          </cell>
        </row>
        <row r="152">
          <cell r="C152" t="str">
            <v>Agrosuper Shanghai1023019</v>
          </cell>
          <cell r="D152" t="str">
            <v>Agrosuper Shanghai</v>
          </cell>
          <cell r="E152">
            <v>1023019</v>
          </cell>
          <cell r="F152" t="str">
            <v>GO Cos 79@ Bo Cj 20k AS</v>
          </cell>
          <cell r="G152">
            <v>0</v>
          </cell>
        </row>
        <row r="153">
          <cell r="C153" t="str">
            <v>Exportacion Directa1020105</v>
          </cell>
          <cell r="D153" t="str">
            <v>Exportacion Directa</v>
          </cell>
          <cell r="E153">
            <v>1020105</v>
          </cell>
          <cell r="F153" t="str">
            <v>GO Lom Tecla@ Cj Lom Ctro JP</v>
          </cell>
          <cell r="G153">
            <v>54186</v>
          </cell>
        </row>
        <row r="154">
          <cell r="C154" t="str">
            <v>Exportacion Directa1020110</v>
          </cell>
          <cell r="D154" t="str">
            <v>Exportacion Directa</v>
          </cell>
          <cell r="E154">
            <v>1020110</v>
          </cell>
          <cell r="F154" t="str">
            <v>GO MM Loin L@ Cj 12k AP</v>
          </cell>
          <cell r="G154">
            <v>651088</v>
          </cell>
        </row>
        <row r="155">
          <cell r="C155" t="str">
            <v>Exportacion Directa1020284</v>
          </cell>
          <cell r="D155" t="str">
            <v>Exportacion Directa</v>
          </cell>
          <cell r="E155">
            <v>1020284</v>
          </cell>
          <cell r="F155" t="str">
            <v>GO Posta Negra 3P T@ Va Cj t-f JP</v>
          </cell>
          <cell r="G155">
            <v>406</v>
          </cell>
        </row>
        <row r="156">
          <cell r="C156" t="str">
            <v>Exportacion Directa1020326</v>
          </cell>
          <cell r="D156" t="str">
            <v>Exportacion Directa</v>
          </cell>
          <cell r="E156">
            <v>1020326</v>
          </cell>
          <cell r="F156" t="str">
            <v>GO PpPal Pim@ Cj AP</v>
          </cell>
          <cell r="G156">
            <v>224894</v>
          </cell>
        </row>
        <row r="157">
          <cell r="C157" t="str">
            <v>Exportacion Directa1020589</v>
          </cell>
          <cell r="D157" t="str">
            <v>Exportacion Directa</v>
          </cell>
          <cell r="E157">
            <v>1020589</v>
          </cell>
          <cell r="F157" t="str">
            <v>GO MM Loin S@ Fi Cj 12k AP</v>
          </cell>
          <cell r="G157">
            <v>114378</v>
          </cell>
        </row>
        <row r="158">
          <cell r="C158" t="str">
            <v>Exportacion Directa1020592</v>
          </cell>
          <cell r="D158" t="str">
            <v>Exportacion Directa</v>
          </cell>
          <cell r="E158">
            <v>1020592</v>
          </cell>
          <cell r="F158" t="str">
            <v>GO Lom Vet &gt;2.0@ Fi Cj Lom Vet AP</v>
          </cell>
          <cell r="G158">
            <v>290787</v>
          </cell>
        </row>
        <row r="159">
          <cell r="C159" t="str">
            <v>Exportacion Directa1020620</v>
          </cell>
          <cell r="D159" t="str">
            <v>Exportacion Directa</v>
          </cell>
          <cell r="E159">
            <v>1020620</v>
          </cell>
          <cell r="F159" t="str">
            <v>GO Lom Vet &lt;2.0@ Fi Cj AP</v>
          </cell>
          <cell r="G159">
            <v>28424</v>
          </cell>
        </row>
        <row r="160">
          <cell r="C160" t="str">
            <v>Exportacion Directa1020636</v>
          </cell>
          <cell r="D160" t="str">
            <v>Exportacion Directa</v>
          </cell>
          <cell r="E160">
            <v>1020636</v>
          </cell>
          <cell r="F160" t="str">
            <v>GO File C/cab@ Va Cj 10k AP</v>
          </cell>
          <cell r="G160">
            <v>13582</v>
          </cell>
        </row>
        <row r="161">
          <cell r="C161" t="str">
            <v>Exportacion Directa1020637</v>
          </cell>
          <cell r="D161" t="str">
            <v>Exportacion Directa</v>
          </cell>
          <cell r="E161">
            <v>1020637</v>
          </cell>
          <cell r="F161" t="str">
            <v>GO Panc Tec S/cue@ Fi Cj ch AP</v>
          </cell>
          <cell r="G161">
            <v>247648</v>
          </cell>
        </row>
        <row r="162">
          <cell r="C162" t="str">
            <v>Exportacion Directa1020662</v>
          </cell>
          <cell r="D162" t="str">
            <v>Exportacion Directa</v>
          </cell>
          <cell r="E162">
            <v>1020662</v>
          </cell>
          <cell r="F162" t="str">
            <v>GO Ganso C/asto 3P@ Va Cj t-f AP</v>
          </cell>
          <cell r="G162">
            <v>0</v>
          </cell>
        </row>
        <row r="163">
          <cell r="C163" t="str">
            <v>Exportacion Directa1020664</v>
          </cell>
          <cell r="D163" t="str">
            <v>Exportacion Directa</v>
          </cell>
          <cell r="E163">
            <v>1020664</v>
          </cell>
          <cell r="F163" t="str">
            <v>GO Ganso C/asto C/abas S/g@ Va Cj JP</v>
          </cell>
          <cell r="G163">
            <v>9087</v>
          </cell>
        </row>
        <row r="164">
          <cell r="C164" t="str">
            <v>Exportacion Directa1020665</v>
          </cell>
          <cell r="D164" t="str">
            <v>Exportacion Directa</v>
          </cell>
          <cell r="E164">
            <v>1020665</v>
          </cell>
          <cell r="F164" t="str">
            <v>GO Posta Rosada 3P@ Va Cj t-f AP</v>
          </cell>
          <cell r="G164">
            <v>0</v>
          </cell>
        </row>
        <row r="165">
          <cell r="C165" t="str">
            <v>Exportacion Directa1020678</v>
          </cell>
          <cell r="D165" t="str">
            <v>Exportacion Directa</v>
          </cell>
          <cell r="E165">
            <v>1020678</v>
          </cell>
          <cell r="F165" t="str">
            <v>GO Lom Tec@ Va Cj Lom Ctro AP</v>
          </cell>
          <cell r="G165">
            <v>0</v>
          </cell>
        </row>
        <row r="166">
          <cell r="C166" t="str">
            <v>Exportacion Directa1020681</v>
          </cell>
          <cell r="D166" t="str">
            <v>Exportacion Directa</v>
          </cell>
          <cell r="E166">
            <v>1020681</v>
          </cell>
          <cell r="F166" t="str">
            <v>GO MM Loin D@ Fi Cj 12k AP</v>
          </cell>
          <cell r="G166">
            <v>7332</v>
          </cell>
        </row>
        <row r="167">
          <cell r="C167" t="str">
            <v>Exportacion Directa1020704</v>
          </cell>
          <cell r="D167" t="str">
            <v>Exportacion Directa</v>
          </cell>
          <cell r="E167">
            <v>1020704</v>
          </cell>
          <cell r="F167" t="str">
            <v>GO File N@ Va Cj File AP</v>
          </cell>
          <cell r="G167">
            <v>440</v>
          </cell>
        </row>
        <row r="168">
          <cell r="C168" t="str">
            <v>Exportacion Directa1020715</v>
          </cell>
          <cell r="D168" t="str">
            <v>Exportacion Directa</v>
          </cell>
          <cell r="E168">
            <v>1020715</v>
          </cell>
          <cell r="F168" t="str">
            <v>GO Panc Tec C/cue@ Fi Cj Panc AP</v>
          </cell>
          <cell r="G168">
            <v>4157</v>
          </cell>
        </row>
        <row r="169">
          <cell r="C169" t="str">
            <v>Exportacion Directa1020731</v>
          </cell>
          <cell r="D169" t="str">
            <v>Exportacion Directa</v>
          </cell>
          <cell r="E169">
            <v>1020731</v>
          </cell>
          <cell r="F169" t="str">
            <v>GO Panc S/tec/cue I@ Fi Cj Panc 4s AP</v>
          </cell>
          <cell r="G169">
            <v>26440</v>
          </cell>
        </row>
        <row r="170">
          <cell r="C170" t="str">
            <v>Exportacion Directa1020758</v>
          </cell>
          <cell r="D170" t="str">
            <v>Exportacion Directa</v>
          </cell>
          <cell r="E170">
            <v>1020758</v>
          </cell>
          <cell r="F170" t="str">
            <v>GO Lom Vet S/g@ Va Cj ch AP</v>
          </cell>
          <cell r="G170">
            <v>14148</v>
          </cell>
        </row>
        <row r="171">
          <cell r="C171" t="str">
            <v>Exportacion Directa1020774</v>
          </cell>
          <cell r="D171" t="str">
            <v>Exportacion Directa</v>
          </cell>
          <cell r="E171">
            <v>1020774</v>
          </cell>
          <cell r="F171" t="str">
            <v>GO Malaya Japon@ Va Cj JP</v>
          </cell>
          <cell r="G171">
            <v>11440</v>
          </cell>
        </row>
        <row r="172">
          <cell r="C172" t="str">
            <v>Exportacion Directa1020802</v>
          </cell>
          <cell r="D172" t="str">
            <v>Exportacion Directa</v>
          </cell>
          <cell r="E172">
            <v>1020802</v>
          </cell>
          <cell r="F172" t="str">
            <v>GO Panc S/tec N@ Fi Cj 20k AP</v>
          </cell>
          <cell r="G172">
            <v>13111</v>
          </cell>
        </row>
        <row r="173">
          <cell r="C173" t="str">
            <v>Exportacion Directa1020810</v>
          </cell>
          <cell r="D173" t="str">
            <v>Exportacion Directa</v>
          </cell>
          <cell r="E173">
            <v>1020810</v>
          </cell>
          <cell r="F173" t="str">
            <v>GO Recto@ Cj File AP</v>
          </cell>
          <cell r="G173">
            <v>1487</v>
          </cell>
        </row>
        <row r="174">
          <cell r="C174" t="str">
            <v>Exportacion Directa1020914</v>
          </cell>
          <cell r="D174" t="str">
            <v>Exportacion Directa</v>
          </cell>
          <cell r="E174">
            <v>1020914</v>
          </cell>
          <cell r="F174" t="str">
            <v>GO Panc Lam 2.5mm@ Cj ch AP</v>
          </cell>
          <cell r="G174">
            <v>23027</v>
          </cell>
        </row>
        <row r="175">
          <cell r="C175" t="str">
            <v>Exportacion Directa1020990</v>
          </cell>
          <cell r="D175" t="str">
            <v>Exportacion Directa</v>
          </cell>
          <cell r="E175">
            <v>1020990</v>
          </cell>
          <cell r="F175" t="str">
            <v>GO Ganso S/g S/abst DA@ Cj 12k AP</v>
          </cell>
          <cell r="G175">
            <v>1181</v>
          </cell>
        </row>
        <row r="176">
          <cell r="C176" t="str">
            <v>Exportacion Directa1020991</v>
          </cell>
          <cell r="D176" t="str">
            <v>Exportacion Directa</v>
          </cell>
          <cell r="E176">
            <v>1020991</v>
          </cell>
          <cell r="F176" t="str">
            <v>GO Asiento C/g DA@ Cj 12k JP</v>
          </cell>
          <cell r="G176">
            <v>14017</v>
          </cell>
        </row>
        <row r="177">
          <cell r="C177" t="str">
            <v>Exportacion Directa1021136</v>
          </cell>
          <cell r="D177" t="str">
            <v>Exportacion Directa</v>
          </cell>
          <cell r="E177">
            <v>1021136</v>
          </cell>
          <cell r="F177" t="str">
            <v>GO Tráquea@ Cj Lom Ctro AP</v>
          </cell>
          <cell r="G177">
            <v>0</v>
          </cell>
        </row>
        <row r="178">
          <cell r="C178" t="str">
            <v>Exportacion Directa1021533</v>
          </cell>
          <cell r="D178" t="str">
            <v>Exportacion Directa</v>
          </cell>
          <cell r="E178">
            <v>1021533</v>
          </cell>
          <cell r="F178" t="str">
            <v>GO Panc Mit@ Va Cj 20k AP</v>
          </cell>
          <cell r="G178">
            <v>0</v>
          </cell>
        </row>
        <row r="179">
          <cell r="C179" t="str">
            <v>Exportacion Directa1021603</v>
          </cell>
          <cell r="D179" t="str">
            <v>Exportacion Directa</v>
          </cell>
          <cell r="E179">
            <v>1021603</v>
          </cell>
          <cell r="F179" t="str">
            <v>GO MM Loin L (MC4-5)@ Fi Cj ch JP</v>
          </cell>
          <cell r="G179">
            <v>9817</v>
          </cell>
        </row>
        <row r="180">
          <cell r="C180" t="str">
            <v>Exportacion Directa1021609</v>
          </cell>
          <cell r="D180" t="str">
            <v>Exportacion Directa</v>
          </cell>
          <cell r="E180">
            <v>1021609</v>
          </cell>
          <cell r="F180" t="str">
            <v>GO File C/cab@ IWP Cj 10k SC</v>
          </cell>
          <cell r="G180">
            <v>70488</v>
          </cell>
        </row>
        <row r="181">
          <cell r="C181" t="str">
            <v>Exportacion Directa1022313</v>
          </cell>
          <cell r="D181" t="str">
            <v>Exportacion Directa</v>
          </cell>
          <cell r="E181">
            <v>1022313</v>
          </cell>
          <cell r="F181" t="str">
            <v>GO CC Loin T@ Fi Cj AP</v>
          </cell>
          <cell r="G181">
            <v>7654</v>
          </cell>
        </row>
        <row r="182">
          <cell r="C182" t="str">
            <v>Exportacion Directa1022326</v>
          </cell>
          <cell r="D182" t="str">
            <v>Exportacion Directa</v>
          </cell>
          <cell r="E182">
            <v>1022326</v>
          </cell>
          <cell r="F182" t="str">
            <v>GO CC Loin L (S/T)@ Fi Cj AP</v>
          </cell>
          <cell r="G182">
            <v>13500</v>
          </cell>
        </row>
        <row r="183">
          <cell r="C183" t="str">
            <v>Exportacion Directa1022370</v>
          </cell>
          <cell r="D183" t="str">
            <v>Exportacion Directa</v>
          </cell>
          <cell r="E183">
            <v>1022370</v>
          </cell>
          <cell r="F183" t="str">
            <v>GO MM Loin LL (29-32 VP)@ Bo Cj AP</v>
          </cell>
          <cell r="G183">
            <v>25742</v>
          </cell>
        </row>
        <row r="184">
          <cell r="C184" t="str">
            <v>Exportacion Directa1022371</v>
          </cell>
          <cell r="D184" t="str">
            <v>Exportacion Directa</v>
          </cell>
          <cell r="E184">
            <v>1022371</v>
          </cell>
          <cell r="F184" t="str">
            <v>GO Panc S/tec SP@ Fi Cj AP</v>
          </cell>
          <cell r="G184">
            <v>36965</v>
          </cell>
        </row>
        <row r="185">
          <cell r="C185" t="str">
            <v>Exportacion Directa1022472</v>
          </cell>
          <cell r="D185" t="str">
            <v>Exportacion Directa</v>
          </cell>
          <cell r="E185">
            <v>1022472</v>
          </cell>
          <cell r="F185" t="str">
            <v>GO Lom Ctro S/Tecla(OY)Mit@ Cj Tf 20k AP</v>
          </cell>
          <cell r="G185">
            <v>0</v>
          </cell>
        </row>
        <row r="186">
          <cell r="C186" t="str">
            <v>Exportacion Directa1022499</v>
          </cell>
          <cell r="D186" t="str">
            <v>Exportacion Directa</v>
          </cell>
          <cell r="E186">
            <v>1022499</v>
          </cell>
          <cell r="F186" t="str">
            <v>GO Lom Vet Mit@ 4 Bo Cj 10k AP</v>
          </cell>
          <cell r="G186">
            <v>20626</v>
          </cell>
        </row>
        <row r="187">
          <cell r="C187" t="str">
            <v>Exportacion Directa1022587</v>
          </cell>
          <cell r="D187" t="str">
            <v>Exportacion Directa</v>
          </cell>
          <cell r="E187">
            <v>1022587</v>
          </cell>
          <cell r="F187" t="str">
            <v>GO CC Loin L (S/T) 45@ Fi Cj AP</v>
          </cell>
          <cell r="G187">
            <v>2573</v>
          </cell>
        </row>
        <row r="188">
          <cell r="C188" t="str">
            <v>Exportacion Directa1022600</v>
          </cell>
          <cell r="D188" t="str">
            <v>Exportacion Directa</v>
          </cell>
          <cell r="E188">
            <v>1022600</v>
          </cell>
          <cell r="F188" t="str">
            <v>GO Lom Vet 2 a 2,3k@ Fi Verd Cj AP</v>
          </cell>
          <cell r="G188">
            <v>4658</v>
          </cell>
        </row>
        <row r="189">
          <cell r="C189" t="str">
            <v>Exportacion Directa1022664</v>
          </cell>
          <cell r="D189" t="str">
            <v>Exportacion Directa</v>
          </cell>
          <cell r="E189">
            <v>1022664</v>
          </cell>
          <cell r="F189" t="str">
            <v>GO CC Loin L (S/T) (DF)@ Fi Cj AP</v>
          </cell>
          <cell r="G189">
            <v>107035</v>
          </cell>
        </row>
        <row r="190">
          <cell r="C190" t="str">
            <v>Exportacion Directa1022919</v>
          </cell>
          <cell r="D190" t="str">
            <v>Exportacion Directa</v>
          </cell>
          <cell r="E190">
            <v>1022919</v>
          </cell>
          <cell r="F190" t="str">
            <v>GO MM LOIN S VP@ Cj 10k AP</v>
          </cell>
          <cell r="G190">
            <v>8057</v>
          </cell>
        </row>
        <row r="191">
          <cell r="C191" t="str">
            <v>Exportacion Directa1022931</v>
          </cell>
          <cell r="D191" t="str">
            <v>Exportacion Directa</v>
          </cell>
          <cell r="E191">
            <v>1022931</v>
          </cell>
          <cell r="F191" t="str">
            <v>GO File C/cab 6x1@ VP Cj AP</v>
          </cell>
          <cell r="G191">
            <v>33920</v>
          </cell>
        </row>
        <row r="192">
          <cell r="C192" t="str">
            <v>Exportacion Directa1022987</v>
          </cell>
          <cell r="D192" t="str">
            <v>Exportacion Directa</v>
          </cell>
          <cell r="E192">
            <v>1022987</v>
          </cell>
          <cell r="F192" t="str">
            <v>GO Lom Tocino@ Bo Cj 20k AP</v>
          </cell>
          <cell r="G192">
            <v>41771</v>
          </cell>
        </row>
        <row r="193">
          <cell r="C193" t="str">
            <v>Exportacion Directa1023051</v>
          </cell>
          <cell r="D193" t="str">
            <v>Exportacion Directa</v>
          </cell>
          <cell r="E193">
            <v>1023051</v>
          </cell>
          <cell r="F193" t="str">
            <v>GO Lom Vet L@ Fi Cj Lom Vet AP</v>
          </cell>
          <cell r="G193">
            <v>0</v>
          </cell>
        </row>
        <row r="194">
          <cell r="C194" t="str">
            <v>Exportacion Directa1023055</v>
          </cell>
          <cell r="D194" t="str">
            <v>Exportacion Directa</v>
          </cell>
          <cell r="E194">
            <v>1023055</v>
          </cell>
          <cell r="F194" t="str">
            <v>GO Lom Vet M@ Fi Cj Lom Vet AP</v>
          </cell>
          <cell r="G194">
            <v>1384</v>
          </cell>
        </row>
        <row r="195">
          <cell r="C195" t="str">
            <v>Exportacion Directa1023163</v>
          </cell>
          <cell r="D195" t="str">
            <v>Exportacion Directa</v>
          </cell>
          <cell r="E195">
            <v>1023163</v>
          </cell>
          <cell r="F195" t="str">
            <v>GO Lom Vet &gt;2.0@ Fi Cj 8k AP</v>
          </cell>
          <cell r="G195">
            <v>27526</v>
          </cell>
        </row>
        <row r="196">
          <cell r="C196" t="str">
            <v>Exportacion Directa1023194</v>
          </cell>
          <cell r="D196" t="str">
            <v>Exportacion Directa</v>
          </cell>
          <cell r="E196">
            <v>1023194</v>
          </cell>
          <cell r="F196" t="str">
            <v>GO Cne Falda Panc@ Bo Cj AP</v>
          </cell>
          <cell r="G196">
            <v>9298</v>
          </cell>
        </row>
        <row r="197">
          <cell r="C197" t="str">
            <v>Exportacion Directa1022901</v>
          </cell>
          <cell r="D197" t="str">
            <v>Exportacion Directa</v>
          </cell>
          <cell r="E197">
            <v>1022901</v>
          </cell>
          <cell r="F197" t="str">
            <v>GO Panc Tec S/Cue L@ Fi CJ Ch AP</v>
          </cell>
          <cell r="G197">
            <v>0</v>
          </cell>
        </row>
        <row r="198">
          <cell r="C198" t="str">
            <v>Exportacion Directa1023301</v>
          </cell>
          <cell r="D198" t="str">
            <v>Exportacion Directa</v>
          </cell>
          <cell r="E198">
            <v>1023301</v>
          </cell>
          <cell r="F198" t="str">
            <v>GO CC Loin LL@ Bo Cj Lom Mad AP</v>
          </cell>
          <cell r="G198">
            <v>1331</v>
          </cell>
        </row>
        <row r="199">
          <cell r="C199" t="str">
            <v>Exportacion Directa1023349</v>
          </cell>
          <cell r="D199" t="str">
            <v>Exportacion Directa</v>
          </cell>
          <cell r="E199">
            <v>1023349</v>
          </cell>
          <cell r="F199" t="str">
            <v>GO Lom Tecla VP@ Cj Lom Ctro</v>
          </cell>
          <cell r="G199">
            <v>12866</v>
          </cell>
        </row>
        <row r="200">
          <cell r="C200" t="str">
            <v>Exportacion Directa1023350</v>
          </cell>
          <cell r="D200" t="str">
            <v>Exportacion Directa</v>
          </cell>
          <cell r="E200">
            <v>1023350</v>
          </cell>
          <cell r="F200" t="str">
            <v>Lom Vet &gt;2.0@ VP Cj Lom Vet AP</v>
          </cell>
          <cell r="G200">
            <v>15398</v>
          </cell>
        </row>
        <row r="201">
          <cell r="C201" t="str">
            <v>Exportacion Directa1023352</v>
          </cell>
          <cell r="D201" t="str">
            <v>Exportacion Directa</v>
          </cell>
          <cell r="E201">
            <v>1023352</v>
          </cell>
          <cell r="F201" t="str">
            <v>GO Panc Tec S/cue@ R VP Cj ch AP</v>
          </cell>
          <cell r="G201">
            <v>26631</v>
          </cell>
        </row>
        <row r="202">
          <cell r="C202" t="str">
            <v>Exportacion Directa1023351</v>
          </cell>
          <cell r="D202" t="str">
            <v>Exportacion Directa</v>
          </cell>
          <cell r="E202">
            <v>1023351</v>
          </cell>
          <cell r="F202" t="str">
            <v>GO Panc S/tec L @VP Cj AP</v>
          </cell>
          <cell r="G202">
            <v>8327</v>
          </cell>
        </row>
        <row r="203">
          <cell r="C203" t="str">
            <v>Exportacion Directa1022896</v>
          </cell>
          <cell r="D203" t="str">
            <v>Exportacion Directa</v>
          </cell>
          <cell r="E203">
            <v>1022896</v>
          </cell>
          <cell r="F203" t="str">
            <v>GO Panc Lam 1.2mm VI@ CJ AP</v>
          </cell>
          <cell r="G203">
            <v>0</v>
          </cell>
        </row>
        <row r="204">
          <cell r="C204" t="str">
            <v>Exportacion Directa1022346</v>
          </cell>
          <cell r="D204" t="str">
            <v>Exportacion Directa</v>
          </cell>
          <cell r="E204">
            <v>1022346</v>
          </cell>
          <cell r="F204" t="str">
            <v>GO PpPal 1P Ex@ Bo AP</v>
          </cell>
          <cell r="G204">
            <v>5371</v>
          </cell>
        </row>
        <row r="205">
          <cell r="C205" t="str">
            <v>Exportacion Directa1023419</v>
          </cell>
          <cell r="D205" t="str">
            <v>Exportacion Directa</v>
          </cell>
          <cell r="E205">
            <v>1023419</v>
          </cell>
          <cell r="F205" t="str">
            <v>GO Lom Tocino@ Bo Cj 20k AP</v>
          </cell>
          <cell r="G205">
            <v>24000</v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 t="str">
            <v/>
          </cell>
        </row>
        <row r="214">
          <cell r="C214" t="str">
            <v/>
          </cell>
        </row>
        <row r="215">
          <cell r="C215" t="str">
            <v/>
          </cell>
        </row>
        <row r="216">
          <cell r="C216" t="str">
            <v/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 t="str">
            <v/>
          </cell>
        </row>
        <row r="223">
          <cell r="C223" t="str">
            <v/>
          </cell>
        </row>
        <row r="224">
          <cell r="C224" t="str">
            <v/>
          </cell>
        </row>
        <row r="225">
          <cell r="C225" t="str">
            <v/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 t="str">
            <v/>
          </cell>
        </row>
        <row r="233">
          <cell r="C233" t="str">
            <v/>
          </cell>
        </row>
        <row r="234">
          <cell r="C234" t="str">
            <v/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 t="str">
            <v/>
          </cell>
        </row>
        <row r="242">
          <cell r="C242" t="str">
            <v/>
          </cell>
        </row>
        <row r="243">
          <cell r="C243" t="str">
            <v/>
          </cell>
        </row>
        <row r="244">
          <cell r="C244" t="str">
            <v/>
          </cell>
        </row>
        <row r="245">
          <cell r="C245" t="str">
            <v/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 t="str">
            <v/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 t="str">
            <v/>
          </cell>
        </row>
        <row r="261">
          <cell r="C261" t="str">
            <v/>
          </cell>
        </row>
        <row r="262">
          <cell r="C262" t="str">
            <v/>
          </cell>
        </row>
        <row r="263">
          <cell r="C263" t="str">
            <v/>
          </cell>
        </row>
        <row r="264">
          <cell r="C264" t="str">
            <v/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 t="str">
            <v/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 t="str">
            <v/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 t="str">
            <v/>
          </cell>
        </row>
        <row r="280">
          <cell r="C280" t="str">
            <v/>
          </cell>
        </row>
        <row r="281">
          <cell r="C281" t="str">
            <v/>
          </cell>
        </row>
        <row r="282">
          <cell r="C282" t="str">
            <v/>
          </cell>
        </row>
        <row r="283">
          <cell r="C283" t="str">
            <v/>
          </cell>
        </row>
        <row r="284">
          <cell r="C284" t="str">
            <v/>
          </cell>
        </row>
        <row r="285">
          <cell r="C285" t="str">
            <v/>
          </cell>
        </row>
        <row r="286">
          <cell r="C286" t="str">
            <v/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 t="str">
            <v/>
          </cell>
        </row>
        <row r="292">
          <cell r="C292" t="str">
            <v/>
          </cell>
        </row>
        <row r="293">
          <cell r="C293" t="str">
            <v/>
          </cell>
        </row>
        <row r="294">
          <cell r="C294" t="str">
            <v/>
          </cell>
        </row>
        <row r="295">
          <cell r="C295" t="str">
            <v/>
          </cell>
        </row>
        <row r="296">
          <cell r="C296" t="str">
            <v/>
          </cell>
        </row>
        <row r="297">
          <cell r="C297" t="str">
            <v/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 t="str">
            <v/>
          </cell>
        </row>
        <row r="306">
          <cell r="C306" t="str">
            <v/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 t="str">
            <v/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</sheetData>
      <sheetData sheetId="6">
        <row r="2">
          <cell r="B2" t="str">
            <v>Mes/Año natural</v>
          </cell>
          <cell r="C2" t="str">
            <v>(Todas)</v>
          </cell>
          <cell r="E2">
            <v>10106671</v>
          </cell>
          <cell r="F2">
            <v>3.0373410059864989</v>
          </cell>
        </row>
        <row r="3">
          <cell r="B3" t="str">
            <v>Tipo de Venta</v>
          </cell>
          <cell r="C3" t="str">
            <v>Directa</v>
          </cell>
        </row>
        <row r="4">
          <cell r="B4" t="str">
            <v>Mes</v>
          </cell>
          <cell r="C4" t="str">
            <v>08</v>
          </cell>
        </row>
        <row r="6">
          <cell r="B6" t="str">
            <v>Oficina de ventas</v>
          </cell>
          <cell r="C6" t="str">
            <v>SKU</v>
          </cell>
          <cell r="D6" t="str">
            <v>Descripción</v>
          </cell>
          <cell r="E6" t="str">
            <v>Suma de RV Final</v>
          </cell>
          <cell r="F6" t="str">
            <v>Suma de  RV Final</v>
          </cell>
        </row>
        <row r="7">
          <cell r="A7" t="str">
            <v>Agro Mexico1012764</v>
          </cell>
          <cell r="B7" t="str">
            <v>Agro Mexico</v>
          </cell>
          <cell r="C7">
            <v>1012764</v>
          </cell>
          <cell r="D7" t="str">
            <v>PO Ppa Esp@ Bo Cj 20k AS</v>
          </cell>
          <cell r="E7">
            <v>135684</v>
          </cell>
          <cell r="F7">
            <v>0.72980601986969695</v>
          </cell>
        </row>
        <row r="8">
          <cell r="A8" t="str">
            <v>Agro Sudamerica1010877</v>
          </cell>
          <cell r="B8" t="str">
            <v>Agro Sudamerica</v>
          </cell>
          <cell r="C8">
            <v>1010877</v>
          </cell>
          <cell r="D8" t="str">
            <v>PO Molleja Mrps@ Cj 10k AS</v>
          </cell>
          <cell r="E8">
            <v>96263</v>
          </cell>
          <cell r="F8">
            <v>1.08666881356284</v>
          </cell>
        </row>
        <row r="9">
          <cell r="A9" t="str">
            <v>Agro Sudamerica1011105</v>
          </cell>
          <cell r="B9" t="str">
            <v>Agro Sudamerica</v>
          </cell>
          <cell r="C9">
            <v>1011105</v>
          </cell>
          <cell r="D9" t="str">
            <v>PO Tru-Ctro Ala 60-80 4x10 NMr@ Cj20k AS</v>
          </cell>
          <cell r="E9">
            <v>6000</v>
          </cell>
          <cell r="F9">
            <v>3.08666666666667</v>
          </cell>
        </row>
        <row r="10">
          <cell r="A10" t="str">
            <v>Agro Sudamerica1011421</v>
          </cell>
          <cell r="B10" t="str">
            <v>Agro Sudamerica</v>
          </cell>
          <cell r="C10">
            <v>1011421</v>
          </cell>
          <cell r="D10" t="str">
            <v>PO Ppa Esp 50 Pim@ Cj 20k AS</v>
          </cell>
          <cell r="E10">
            <v>826199</v>
          </cell>
          <cell r="F10">
            <v>0.91999990317102798</v>
          </cell>
        </row>
        <row r="11">
          <cell r="A11" t="str">
            <v>Agro Sudamerica1011422</v>
          </cell>
          <cell r="B11" t="str">
            <v>Agro Sudamerica</v>
          </cell>
          <cell r="C11">
            <v>1011422</v>
          </cell>
          <cell r="D11" t="str">
            <v>PO Pch Piel Pim 50 ppm@ Cj 14 AS</v>
          </cell>
          <cell r="E11">
            <v>1403</v>
          </cell>
          <cell r="F11">
            <v>0.58660014255167503</v>
          </cell>
        </row>
        <row r="12">
          <cell r="A12" t="str">
            <v>Agro Sudamerica1011558</v>
          </cell>
          <cell r="B12" t="str">
            <v>Agro Sudamerica</v>
          </cell>
          <cell r="C12">
            <v>1011558</v>
          </cell>
          <cell r="D12" t="str">
            <v>PO Ppa Esp@ 2 blo x 10k Cj AS</v>
          </cell>
          <cell r="E12">
            <v>102583</v>
          </cell>
          <cell r="F12">
            <v>0.93000789604515399</v>
          </cell>
        </row>
        <row r="13">
          <cell r="A13" t="str">
            <v>Agro Sudamerica1012208</v>
          </cell>
          <cell r="B13" t="str">
            <v>Agro Sudamerica</v>
          </cell>
          <cell r="C13">
            <v>1012208</v>
          </cell>
          <cell r="D13" t="str">
            <v>GA S/m@ Bo Cj AS</v>
          </cell>
          <cell r="E13">
            <v>6743</v>
          </cell>
          <cell r="F13">
            <v>1.5312175589500201</v>
          </cell>
        </row>
        <row r="14">
          <cell r="A14" t="str">
            <v>Agro Sudamerica1012283</v>
          </cell>
          <cell r="B14" t="str">
            <v>Agro Sudamerica</v>
          </cell>
          <cell r="C14">
            <v>1012283</v>
          </cell>
          <cell r="D14" t="str">
            <v>PO Pana S/Corazón@ Cj 20k AS</v>
          </cell>
          <cell r="E14">
            <v>49802</v>
          </cell>
          <cell r="F14">
            <v>0</v>
          </cell>
        </row>
        <row r="15">
          <cell r="A15" t="str">
            <v>Agro Sudamerica1012552</v>
          </cell>
          <cell r="B15" t="str">
            <v>Agro Sudamerica</v>
          </cell>
          <cell r="C15">
            <v>1012552</v>
          </cell>
          <cell r="D15" t="str">
            <v>PO PchDeh Random@ Cj 10k AS</v>
          </cell>
          <cell r="E15">
            <v>48000</v>
          </cell>
          <cell r="F15">
            <v>3.5</v>
          </cell>
        </row>
        <row r="16">
          <cell r="A16" t="str">
            <v>Agro Sudamerica1012556</v>
          </cell>
          <cell r="B16" t="str">
            <v>Agro Sudamerica</v>
          </cell>
          <cell r="C16">
            <v>1012556</v>
          </cell>
          <cell r="D16" t="str">
            <v>PO CDM 14% proteina@ Cj 20k AS</v>
          </cell>
          <cell r="E16">
            <v>240000</v>
          </cell>
          <cell r="F16">
            <v>1</v>
          </cell>
        </row>
        <row r="17">
          <cell r="A17" t="str">
            <v>Agro Sudamerica1012719</v>
          </cell>
          <cell r="B17" t="str">
            <v>Agro Sudamerica</v>
          </cell>
          <cell r="C17">
            <v>1012719</v>
          </cell>
          <cell r="D17" t="str">
            <v>PO Ppa Esp@ 2 Blox10kg CJ AS SD</v>
          </cell>
          <cell r="E17">
            <v>434000</v>
          </cell>
          <cell r="F17">
            <v>0.92</v>
          </cell>
        </row>
        <row r="18">
          <cell r="A18" t="str">
            <v>Agro Sudamerica1012763</v>
          </cell>
          <cell r="B18" t="str">
            <v>Agro Sudamerica</v>
          </cell>
          <cell r="C18">
            <v>1012763</v>
          </cell>
          <cell r="D18" t="str">
            <v>PO Pana S/cora blo@Cj 20kg AS</v>
          </cell>
          <cell r="E18">
            <v>48000</v>
          </cell>
          <cell r="F18">
            <v>0.76666666666666705</v>
          </cell>
        </row>
        <row r="19">
          <cell r="A19" t="str">
            <v>Agro Sudamerica1020349</v>
          </cell>
          <cell r="B19" t="str">
            <v>Agro Sudamerica</v>
          </cell>
          <cell r="C19">
            <v>1020349</v>
          </cell>
          <cell r="D19" t="str">
            <v>GO Papda@ Cj t-f AS</v>
          </cell>
          <cell r="E19">
            <v>72000</v>
          </cell>
          <cell r="F19">
            <v>1.99</v>
          </cell>
        </row>
        <row r="20">
          <cell r="A20" t="str">
            <v>Agro Sudamerica1020367</v>
          </cell>
          <cell r="B20" t="str">
            <v>Agro Sudamerica</v>
          </cell>
          <cell r="C20">
            <v>1020367</v>
          </cell>
          <cell r="D20" t="str">
            <v>GO Gord Lom Tocino@ Cj t-f AS</v>
          </cell>
          <cell r="E20">
            <v>144000</v>
          </cell>
          <cell r="F20">
            <v>1.18667361111111</v>
          </cell>
        </row>
        <row r="21">
          <cell r="A21" t="str">
            <v>Agro Sudamerica1020412</v>
          </cell>
          <cell r="B21" t="str">
            <v>Agro Sudamerica</v>
          </cell>
          <cell r="C21">
            <v>1020412</v>
          </cell>
          <cell r="D21" t="str">
            <v>GO Cne Long@ Cj t-f AS</v>
          </cell>
          <cell r="E21">
            <v>117630</v>
          </cell>
          <cell r="F21">
            <v>1.84787894244666</v>
          </cell>
        </row>
        <row r="22">
          <cell r="A22" t="str">
            <v>Agro Sudamerica1020848</v>
          </cell>
          <cell r="B22" t="str">
            <v>Agro Sudamerica</v>
          </cell>
          <cell r="C22">
            <v>1020848</v>
          </cell>
          <cell r="D22" t="str">
            <v>GO Lom Ctro 27@ Cj 20k AS</v>
          </cell>
          <cell r="E22">
            <v>36000</v>
          </cell>
          <cell r="F22">
            <v>3.22</v>
          </cell>
        </row>
        <row r="23">
          <cell r="A23" t="str">
            <v>Agro Sudamerica1020869</v>
          </cell>
          <cell r="B23" t="str">
            <v>Agro Sudamerica</v>
          </cell>
          <cell r="C23">
            <v>1020869</v>
          </cell>
          <cell r="D23" t="str">
            <v>GO Cos 79@ Bo Cj 20k AS</v>
          </cell>
          <cell r="E23">
            <v>24000</v>
          </cell>
          <cell r="F23">
            <v>4.1900000000000004</v>
          </cell>
        </row>
        <row r="24">
          <cell r="A24" t="str">
            <v>Agro Sudamerica1020915</v>
          </cell>
          <cell r="B24" t="str">
            <v>Agro Sudamerica</v>
          </cell>
          <cell r="C24">
            <v>1020915</v>
          </cell>
          <cell r="D24" t="str">
            <v>GO Pna Nor@ Bo Cj 20k AS</v>
          </cell>
          <cell r="E24">
            <v>28652</v>
          </cell>
          <cell r="F24">
            <v>1.98670249895295</v>
          </cell>
        </row>
        <row r="25">
          <cell r="A25" t="str">
            <v>Agro Sudamerica1020944</v>
          </cell>
          <cell r="B25" t="str">
            <v>Agro Sudamerica</v>
          </cell>
          <cell r="C25">
            <v>1020944</v>
          </cell>
          <cell r="D25" t="str">
            <v>GO PpPna 59@ Fi Cj 20k AS</v>
          </cell>
          <cell r="E25">
            <v>146353</v>
          </cell>
          <cell r="F25">
            <v>2.8276700853416101</v>
          </cell>
        </row>
        <row r="26">
          <cell r="A26" t="str">
            <v>Agro Sudamerica1021023</v>
          </cell>
          <cell r="B26" t="str">
            <v>Agro Sudamerica</v>
          </cell>
          <cell r="C26">
            <v>1021023</v>
          </cell>
          <cell r="D26" t="str">
            <v>GO Gord rebaje@ Bo Cj 20k AS</v>
          </cell>
          <cell r="E26">
            <v>120000</v>
          </cell>
          <cell r="F26">
            <v>1.19</v>
          </cell>
        </row>
        <row r="27">
          <cell r="A27" t="str">
            <v>Agro Sudamerica1021078</v>
          </cell>
          <cell r="B27" t="str">
            <v>Agro Sudamerica</v>
          </cell>
          <cell r="C27">
            <v>1021078</v>
          </cell>
          <cell r="D27" t="str">
            <v>GO Triming 80/20@ Cj 20k AS</v>
          </cell>
          <cell r="E27">
            <v>96176</v>
          </cell>
          <cell r="F27">
            <v>2.2700049908501101</v>
          </cell>
        </row>
        <row r="28">
          <cell r="A28" t="str">
            <v>Agro Sudamerica1021082</v>
          </cell>
          <cell r="B28" t="str">
            <v>Agro Sudamerica</v>
          </cell>
          <cell r="C28">
            <v>1021082</v>
          </cell>
          <cell r="D28" t="str">
            <v>GO Triming 70/30@ Cj 20k AS</v>
          </cell>
          <cell r="E28">
            <v>96000</v>
          </cell>
          <cell r="F28">
            <v>1.6491770833333299</v>
          </cell>
        </row>
        <row r="29">
          <cell r="A29" t="str">
            <v>Agro Sudamerica1021085</v>
          </cell>
          <cell r="B29" t="str">
            <v>Agro Sudamerica</v>
          </cell>
          <cell r="C29">
            <v>1021085</v>
          </cell>
          <cell r="D29" t="str">
            <v>GO Gord Esp@ Cj 20k AS</v>
          </cell>
          <cell r="E29">
            <v>24000</v>
          </cell>
          <cell r="F29">
            <v>1.0900000000000001</v>
          </cell>
        </row>
        <row r="30">
          <cell r="A30" t="str">
            <v>Agro Sudamerica1021092</v>
          </cell>
          <cell r="B30" t="str">
            <v>Agro Sudamerica</v>
          </cell>
          <cell r="C30">
            <v>1021092</v>
          </cell>
          <cell r="D30" t="str">
            <v>GO Triming 85/15@ Cj t-f 20k AS</v>
          </cell>
          <cell r="E30">
            <v>138989</v>
          </cell>
          <cell r="F30">
            <v>2.4694040535582</v>
          </cell>
        </row>
        <row r="31">
          <cell r="A31" t="str">
            <v>Agro Sudamerica1021101</v>
          </cell>
          <cell r="B31" t="str">
            <v>Agro Sudamerica</v>
          </cell>
          <cell r="C31">
            <v>1021101</v>
          </cell>
          <cell r="D31" t="str">
            <v>GO Corazón Partido@ Cj t-f 20k AS</v>
          </cell>
          <cell r="E31">
            <v>3458</v>
          </cell>
          <cell r="F31">
            <v>1.09022556390977</v>
          </cell>
        </row>
        <row r="32">
          <cell r="A32" t="str">
            <v>Agro Sudamerica1021105</v>
          </cell>
          <cell r="B32" t="str">
            <v>Agro Sudamerica</v>
          </cell>
          <cell r="C32">
            <v>1021105</v>
          </cell>
          <cell r="D32" t="str">
            <v>GO Pulmon@ Cj 20k bca AS</v>
          </cell>
          <cell r="E32">
            <v>32611</v>
          </cell>
          <cell r="F32">
            <v>0.73668394100150303</v>
          </cell>
        </row>
        <row r="33">
          <cell r="A33" t="str">
            <v>Agro Sudamerica1021111</v>
          </cell>
          <cell r="B33" t="str">
            <v>Agro Sudamerica</v>
          </cell>
          <cell r="C33">
            <v>1021111</v>
          </cell>
          <cell r="D33" t="str">
            <v>GO Epiplón@ Cj 20k AS</v>
          </cell>
          <cell r="E33">
            <v>3000</v>
          </cell>
          <cell r="F33">
            <v>1.28666666666667</v>
          </cell>
        </row>
        <row r="34">
          <cell r="A34" t="str">
            <v>Agro Sudamerica1021187</v>
          </cell>
          <cell r="B34" t="str">
            <v>Agro Sudamerica</v>
          </cell>
          <cell r="C34">
            <v>1021187</v>
          </cell>
          <cell r="D34" t="str">
            <v>GO Cue Back@ Cj 20k t-f AS</v>
          </cell>
          <cell r="E34">
            <v>48000</v>
          </cell>
          <cell r="F34">
            <v>2.08666666666667</v>
          </cell>
        </row>
        <row r="35">
          <cell r="A35" t="str">
            <v>Agro Sudamerica1021385</v>
          </cell>
          <cell r="B35" t="str">
            <v>Agro Sudamerica</v>
          </cell>
          <cell r="C35">
            <v>1021385</v>
          </cell>
          <cell r="D35" t="str">
            <v>GO Cue granel Esp CC@ Cj 20k AS</v>
          </cell>
          <cell r="E35">
            <v>120000</v>
          </cell>
          <cell r="F35">
            <v>1.0716749999999999</v>
          </cell>
        </row>
        <row r="36">
          <cell r="A36" t="str">
            <v>Agro Sudamerica1021433</v>
          </cell>
          <cell r="B36" t="str">
            <v>Agro Sudamerica</v>
          </cell>
          <cell r="C36">
            <v>1021433</v>
          </cell>
          <cell r="D36" t="str">
            <v>GO PpPna 59@ Cj 20k AS</v>
          </cell>
          <cell r="E36"/>
          <cell r="F36"/>
        </row>
        <row r="37">
          <cell r="A37" t="str">
            <v>Agro Sudamerica1021622</v>
          </cell>
          <cell r="B37" t="str">
            <v>Agro Sudamerica</v>
          </cell>
          <cell r="C37">
            <v>1021622</v>
          </cell>
          <cell r="D37" t="str">
            <v>GO BB Ribs 20-24 Oz@ Cj 10k AS</v>
          </cell>
          <cell r="E37">
            <v>2826</v>
          </cell>
          <cell r="F37">
            <v>6.4865534324132996</v>
          </cell>
        </row>
        <row r="38">
          <cell r="A38" t="str">
            <v>Agro Sudamerica1021868</v>
          </cell>
          <cell r="B38" t="str">
            <v>Agro Sudamerica</v>
          </cell>
          <cell r="C38">
            <v>1021868</v>
          </cell>
          <cell r="D38" t="str">
            <v>GO PpPna 54@ Cj 20k AS</v>
          </cell>
          <cell r="E38">
            <v>31422</v>
          </cell>
          <cell r="F38">
            <v>2.8900133664311598</v>
          </cell>
        </row>
        <row r="39">
          <cell r="A39" t="str">
            <v>Agro Sudamerica1021976</v>
          </cell>
          <cell r="B39" t="str">
            <v>Agro Sudamerica</v>
          </cell>
          <cell r="C39">
            <v>1021976</v>
          </cell>
          <cell r="D39" t="str">
            <v>GO PpPal 77@ Cj 20k AS</v>
          </cell>
          <cell r="E39">
            <v>96000</v>
          </cell>
          <cell r="F39">
            <v>2.6</v>
          </cell>
        </row>
        <row r="40">
          <cell r="A40" t="str">
            <v>Agro Sudamerica1021980</v>
          </cell>
          <cell r="B40" t="str">
            <v>Agro Sudamerica</v>
          </cell>
          <cell r="C40">
            <v>1021980</v>
          </cell>
          <cell r="D40" t="str">
            <v>GO BB Ribs Grd B@ Fi Cj 20k AS</v>
          </cell>
          <cell r="E40">
            <v>4514</v>
          </cell>
          <cell r="F40">
            <v>5.4862649534780701</v>
          </cell>
        </row>
        <row r="41">
          <cell r="A41" t="str">
            <v>Agro Sudamerica1022047</v>
          </cell>
          <cell r="B41" t="str">
            <v>Agro Sudamerica</v>
          </cell>
          <cell r="C41">
            <v>1022047</v>
          </cell>
          <cell r="D41" t="str">
            <v>GO Triming Panc@ Cj 20k AS</v>
          </cell>
          <cell r="E41">
            <v>1807</v>
          </cell>
          <cell r="F41">
            <v>1.64028776978417</v>
          </cell>
        </row>
        <row r="42">
          <cell r="A42" t="str">
            <v>Agro Sudamerica1022150</v>
          </cell>
          <cell r="B42" t="str">
            <v>Agro Sudamerica</v>
          </cell>
          <cell r="C42">
            <v>1022150</v>
          </cell>
          <cell r="D42" t="str">
            <v>GO Gord chic@ Cj 20k AS</v>
          </cell>
          <cell r="E42">
            <v>95219</v>
          </cell>
          <cell r="F42">
            <v>1.2866759785337001</v>
          </cell>
        </row>
        <row r="43">
          <cell r="A43" t="str">
            <v>Agro Sudamerica1022196</v>
          </cell>
          <cell r="B43" t="str">
            <v>Agro Sudamerica</v>
          </cell>
          <cell r="C43">
            <v>1022196</v>
          </cell>
          <cell r="D43" t="str">
            <v>GO Forro Pal@ Cj 20k AS</v>
          </cell>
          <cell r="E43">
            <v>48000</v>
          </cell>
          <cell r="F43">
            <v>1.1866666666666701</v>
          </cell>
        </row>
        <row r="44">
          <cell r="A44" t="str">
            <v>Agro Sudamerica1022709</v>
          </cell>
          <cell r="B44" t="str">
            <v>Agro Sudamerica</v>
          </cell>
          <cell r="C44">
            <v>1022709</v>
          </cell>
          <cell r="D44" t="str">
            <v>GO PpPna 57@ Bo Cj AS</v>
          </cell>
          <cell r="E44">
            <v>144000</v>
          </cell>
          <cell r="F44">
            <v>2.8833402777777799</v>
          </cell>
        </row>
        <row r="45">
          <cell r="A45" t="str">
            <v>Agro Sudamerica1022781</v>
          </cell>
          <cell r="B45" t="str">
            <v>Agro Sudamerica</v>
          </cell>
          <cell r="C45">
            <v>1022781</v>
          </cell>
          <cell r="D45" t="str">
            <v>GO Tripa Calib 32/35# Bo Bidon AS</v>
          </cell>
          <cell r="E45">
            <v>7000</v>
          </cell>
          <cell r="F45">
            <v>13.401</v>
          </cell>
        </row>
        <row r="46">
          <cell r="A46" t="str">
            <v>Agro Sudamerica1022782</v>
          </cell>
          <cell r="B46" t="str">
            <v>Agro Sudamerica</v>
          </cell>
          <cell r="C46">
            <v>1022782</v>
          </cell>
          <cell r="D46" t="str">
            <v>GO Tripa Calib 35/38# Bo Bidon AS</v>
          </cell>
          <cell r="E46"/>
          <cell r="F46"/>
        </row>
        <row r="47">
          <cell r="A47" t="str">
            <v>Agro Sudamerica1022783</v>
          </cell>
          <cell r="B47" t="str">
            <v>Agro Sudamerica</v>
          </cell>
          <cell r="C47">
            <v>1022783</v>
          </cell>
          <cell r="D47" t="str">
            <v>GO Tripa Calib 38/40# Bo Bidon AS</v>
          </cell>
          <cell r="E47"/>
          <cell r="F47"/>
        </row>
        <row r="48">
          <cell r="A48" t="str">
            <v>Agro Sudamerica1022786</v>
          </cell>
          <cell r="B48" t="str">
            <v>Agro Sudamerica</v>
          </cell>
          <cell r="C48">
            <v>1022786</v>
          </cell>
          <cell r="D48" t="str">
            <v>GO Trip Calib Tub 35/39 Azul# Bidon AS</v>
          </cell>
          <cell r="E48">
            <v>0</v>
          </cell>
          <cell r="F48">
            <v>0</v>
          </cell>
        </row>
        <row r="49">
          <cell r="A49" t="str">
            <v>Agro Sudamerica1022855</v>
          </cell>
          <cell r="B49" t="str">
            <v>Agro Sudamerica</v>
          </cell>
          <cell r="C49">
            <v>1022855</v>
          </cell>
          <cell r="D49" t="str">
            <v>GO Grasa Forro Pal@ Cj 20k AS</v>
          </cell>
          <cell r="E49">
            <v>24000</v>
          </cell>
          <cell r="F49">
            <v>1.0900000000000001</v>
          </cell>
        </row>
        <row r="50">
          <cell r="A50" t="str">
            <v>Agro Sudamerica1022920</v>
          </cell>
          <cell r="B50" t="str">
            <v>Agro Sudamerica</v>
          </cell>
          <cell r="C50">
            <v>1022920</v>
          </cell>
          <cell r="D50" t="str">
            <v>GO Gord rebaje@ Cj 20k AS</v>
          </cell>
          <cell r="E50">
            <v>6425</v>
          </cell>
          <cell r="F50">
            <v>1.13665369649805</v>
          </cell>
        </row>
        <row r="51">
          <cell r="A51" t="str">
            <v>Agro Sudamerica1022921</v>
          </cell>
          <cell r="B51" t="str">
            <v>Agro Sudamerica</v>
          </cell>
          <cell r="C51">
            <v>1022921</v>
          </cell>
          <cell r="D51" t="str">
            <v>GO Gord chic@ Cj 20k AS</v>
          </cell>
          <cell r="E51">
            <v>23000</v>
          </cell>
          <cell r="F51">
            <v>1.39</v>
          </cell>
        </row>
        <row r="52">
          <cell r="A52" t="str">
            <v>Agro Sudamerica1023295</v>
          </cell>
          <cell r="B52" t="str">
            <v>Agro Sudamerica</v>
          </cell>
          <cell r="C52">
            <v>1023295</v>
          </cell>
          <cell r="D52" t="str">
            <v>GO Trip Calib Tub 37/40 Azul# Cj AS</v>
          </cell>
          <cell r="E52">
            <v>1000</v>
          </cell>
          <cell r="F52">
            <v>12.287000000000001</v>
          </cell>
        </row>
        <row r="53">
          <cell r="A53" t="str">
            <v>Agro Sudamerica1023331</v>
          </cell>
          <cell r="B53" t="str">
            <v>Agro Sudamerica</v>
          </cell>
          <cell r="C53">
            <v>1023331</v>
          </cell>
          <cell r="D53" t="str">
            <v>GO Lom Vet 44@ Bo Cj 20k AS</v>
          </cell>
          <cell r="E53">
            <v>94</v>
          </cell>
          <cell r="F53">
            <v>2.3829787234042601</v>
          </cell>
        </row>
        <row r="54">
          <cell r="A54" t="str">
            <v>Agro Sudamerica1023355</v>
          </cell>
          <cell r="B54" t="str">
            <v>Agro Sudamerica</v>
          </cell>
          <cell r="C54">
            <v>1023355</v>
          </cell>
          <cell r="D54" t="str">
            <v>GO Pulmon@ Cj 20k AS</v>
          </cell>
          <cell r="E54">
            <v>51378</v>
          </cell>
          <cell r="F54">
            <v>0.65999065747985497</v>
          </cell>
        </row>
        <row r="55">
          <cell r="A55" t="str">
            <v>Agro Sudamerica1030224</v>
          </cell>
          <cell r="B55" t="str">
            <v>Agro Sudamerica</v>
          </cell>
          <cell r="C55">
            <v>1030224</v>
          </cell>
          <cell r="D55" t="str">
            <v>PV Tru Larg@ Bo Cj 15k AS</v>
          </cell>
          <cell r="E55">
            <v>24000</v>
          </cell>
          <cell r="F55">
            <v>2.1900416666666702</v>
          </cell>
        </row>
        <row r="56">
          <cell r="A56" t="str">
            <v>Agro Sudamerica1030332</v>
          </cell>
          <cell r="B56" t="str">
            <v>Agro Sudamerica</v>
          </cell>
          <cell r="C56">
            <v>1030332</v>
          </cell>
          <cell r="D56" t="str">
            <v>PV Tru Ala@ Ex Bo Cj AS</v>
          </cell>
          <cell r="E56">
            <v>38160</v>
          </cell>
          <cell r="F56">
            <v>1.5866614255765199</v>
          </cell>
        </row>
        <row r="57">
          <cell r="A57" t="str">
            <v>Agro Sudamerica1100407</v>
          </cell>
          <cell r="B57" t="str">
            <v>Agro Sudamerica</v>
          </cell>
          <cell r="C57">
            <v>1100407</v>
          </cell>
          <cell r="D57" t="str">
            <v>Nugg Pollo Uru@ Bo Cj 1k SH</v>
          </cell>
          <cell r="E57"/>
          <cell r="F57"/>
        </row>
        <row r="58">
          <cell r="A58" t="str">
            <v>Agro Sudamerica1100408</v>
          </cell>
          <cell r="B58" t="str">
            <v>Agro Sudamerica</v>
          </cell>
          <cell r="C58">
            <v>1100408</v>
          </cell>
          <cell r="D58" t="str">
            <v>Nugg Pollo Uru@ Film 2.5k SH</v>
          </cell>
          <cell r="E58"/>
          <cell r="F58"/>
        </row>
        <row r="59">
          <cell r="A59" t="str">
            <v>Agro Sudamerica1020086</v>
          </cell>
          <cell r="B59" t="str">
            <v>Agro Sudamerica</v>
          </cell>
          <cell r="C59">
            <v>1020086</v>
          </cell>
          <cell r="D59" t="str">
            <v>GO Lom Ctro 27 S/f@ Va Cj t-f AS</v>
          </cell>
          <cell r="E59">
            <v>24000</v>
          </cell>
          <cell r="F59">
            <v>3.21</v>
          </cell>
        </row>
        <row r="60">
          <cell r="A60" t="str">
            <v>Agro Sudamerica1022149</v>
          </cell>
          <cell r="B60" t="str">
            <v>Agro Sudamerica</v>
          </cell>
          <cell r="C60">
            <v>1022149</v>
          </cell>
          <cell r="D60" t="str">
            <v>GO Plancha Rebaje Ent@ Cj 20k AS</v>
          </cell>
          <cell r="E60">
            <v>36000</v>
          </cell>
          <cell r="F60">
            <v>2.0099999999999998</v>
          </cell>
        </row>
        <row r="61">
          <cell r="A61" t="str">
            <v>Agro Sudamerica1021279</v>
          </cell>
          <cell r="B61" t="str">
            <v>Agro Sudamerica</v>
          </cell>
          <cell r="C61">
            <v>1021279</v>
          </cell>
          <cell r="D61" t="str">
            <v>GO Hso Pecho@ Cj 10k AS</v>
          </cell>
          <cell r="E61">
            <v>16178</v>
          </cell>
          <cell r="F61">
            <v>1.33662999134627</v>
          </cell>
        </row>
        <row r="62">
          <cell r="A62" t="str">
            <v>Agro Sudamerica1030816</v>
          </cell>
          <cell r="B62" t="str">
            <v>Agro Sudamerica</v>
          </cell>
          <cell r="C62">
            <v>1030816</v>
          </cell>
          <cell r="D62" t="str">
            <v>PV Tru Ala@ Ex Bo Cj AS</v>
          </cell>
          <cell r="E62">
            <v>5655</v>
          </cell>
          <cell r="F62">
            <v>1.5299734748010601</v>
          </cell>
        </row>
        <row r="63">
          <cell r="A63" t="str">
            <v>Agro Sudamerica1030821</v>
          </cell>
          <cell r="B63" t="str">
            <v>Agro Sudamerica</v>
          </cell>
          <cell r="C63">
            <v>1030821</v>
          </cell>
          <cell r="D63" t="str">
            <v>PV PchDeh S/p c/f MA@ Cj 15k AS</v>
          </cell>
          <cell r="E63">
            <v>24000</v>
          </cell>
          <cell r="F63">
            <v>10.8866666666667</v>
          </cell>
        </row>
        <row r="64">
          <cell r="A64" t="str">
            <v>Agro Sudamerica1030812</v>
          </cell>
          <cell r="B64" t="str">
            <v>Agro Sudamerica</v>
          </cell>
          <cell r="C64">
            <v>1030812</v>
          </cell>
          <cell r="D64" t="str">
            <v xml:space="preserve"> PV TruDeh Cort S/h S/p@ Bo Cj AS</v>
          </cell>
          <cell r="E64">
            <v>24000</v>
          </cell>
          <cell r="F64">
            <v>4.4366666666666701</v>
          </cell>
        </row>
        <row r="65">
          <cell r="A65" t="str">
            <v>Agrosuper Asia1012012</v>
          </cell>
          <cell r="B65" t="str">
            <v>Agrosuper Asia</v>
          </cell>
          <cell r="C65">
            <v>1012012</v>
          </cell>
          <cell r="D65" t="str">
            <v>PO Ala Ctro Mr@ Fi Cj 18k AS</v>
          </cell>
          <cell r="E65">
            <v>20000</v>
          </cell>
          <cell r="F65">
            <v>6.4665499999999998</v>
          </cell>
        </row>
        <row r="66">
          <cell r="A66" t="str">
            <v>Agrosuper Asia1012612</v>
          </cell>
          <cell r="B66" t="str">
            <v>Agrosuper Asia</v>
          </cell>
          <cell r="C66">
            <v>1012612</v>
          </cell>
          <cell r="D66" t="str">
            <v>PO Ppa Esp Blo@ Bo Cj 20k AS</v>
          </cell>
          <cell r="E66">
            <v>1300000</v>
          </cell>
          <cell r="F66">
            <v>1.03592</v>
          </cell>
        </row>
        <row r="67">
          <cell r="A67" t="str">
            <v>Agrosuper Asia1020860</v>
          </cell>
          <cell r="B67" t="str">
            <v>Agrosuper Asia</v>
          </cell>
          <cell r="C67">
            <v>1020860</v>
          </cell>
          <cell r="D67" t="str">
            <v>GO Lom Vet@ Cj 12k AK</v>
          </cell>
          <cell r="E67">
            <v>132000</v>
          </cell>
          <cell r="F67">
            <v>4.17</v>
          </cell>
        </row>
        <row r="68">
          <cell r="A68" t="str">
            <v>Agrosuper Asia1020861</v>
          </cell>
          <cell r="B68" t="str">
            <v>Agrosuper Asia</v>
          </cell>
          <cell r="C68">
            <v>1020861</v>
          </cell>
          <cell r="D68" t="str">
            <v>GO Lom Vet@ Cj 12k TJ</v>
          </cell>
          <cell r="E68">
            <v>132000</v>
          </cell>
          <cell r="F68">
            <v>4.17</v>
          </cell>
        </row>
        <row r="69">
          <cell r="A69" t="str">
            <v>Agrosuper Asia1021012</v>
          </cell>
          <cell r="B69" t="str">
            <v>Agrosuper Asia</v>
          </cell>
          <cell r="C69">
            <v>1021012</v>
          </cell>
          <cell r="D69" t="str">
            <v>GO Papda K@ Cj 20k AK</v>
          </cell>
          <cell r="E69">
            <v>198000</v>
          </cell>
          <cell r="F69">
            <v>1.92</v>
          </cell>
        </row>
        <row r="70">
          <cell r="A70" t="str">
            <v>Agrosuper Asia1021045</v>
          </cell>
          <cell r="B70" t="str">
            <v>Agrosuper Asia</v>
          </cell>
          <cell r="C70">
            <v>1021045</v>
          </cell>
          <cell r="D70" t="str">
            <v>GO PernilM C/M@ Cj 15k AK</v>
          </cell>
          <cell r="E70">
            <v>44000</v>
          </cell>
          <cell r="F70">
            <v>2.02</v>
          </cell>
        </row>
        <row r="71">
          <cell r="A71" t="str">
            <v>Agrosuper Asia1021149</v>
          </cell>
          <cell r="B71" t="str">
            <v>Agrosuper Asia</v>
          </cell>
          <cell r="C71">
            <v>1021149</v>
          </cell>
          <cell r="D71" t="str">
            <v>GO Tira Hso Ctro@ Cj 20k TJ</v>
          </cell>
          <cell r="E71">
            <v>44000</v>
          </cell>
          <cell r="F71">
            <v>0.72</v>
          </cell>
        </row>
        <row r="72">
          <cell r="A72" t="str">
            <v>Agrosuper Asia1021150</v>
          </cell>
          <cell r="B72" t="str">
            <v>Agrosuper Asia</v>
          </cell>
          <cell r="C72">
            <v>1021150</v>
          </cell>
          <cell r="D72" t="str">
            <v>GO Tira Hso Ctro@ Cj 20k AK</v>
          </cell>
          <cell r="E72">
            <v>22000</v>
          </cell>
          <cell r="F72">
            <v>0.72</v>
          </cell>
        </row>
        <row r="73">
          <cell r="A73" t="str">
            <v>Agrosuper Asia1021151</v>
          </cell>
          <cell r="B73" t="str">
            <v>Agrosuper Asia</v>
          </cell>
          <cell r="C73">
            <v>1021151</v>
          </cell>
          <cell r="D73" t="str">
            <v>GO Hso Cogote@ Bo Cj 20k TJ</v>
          </cell>
          <cell r="E73">
            <v>44000</v>
          </cell>
          <cell r="F73">
            <v>1.1200000000000001</v>
          </cell>
        </row>
        <row r="74">
          <cell r="A74" t="str">
            <v>Agrosuper Asia1021152</v>
          </cell>
          <cell r="B74" t="str">
            <v>Agrosuper Asia</v>
          </cell>
          <cell r="C74">
            <v>1021152</v>
          </cell>
          <cell r="D74" t="str">
            <v>GO Hso Cogote@ Bo Cj 20k AK</v>
          </cell>
          <cell r="E74">
            <v>22000</v>
          </cell>
          <cell r="F74">
            <v>1.1200000000000001</v>
          </cell>
        </row>
        <row r="75">
          <cell r="A75" t="str">
            <v>Agrosuper Asia1021156</v>
          </cell>
          <cell r="B75" t="str">
            <v>Agrosuper Asia</v>
          </cell>
          <cell r="C75">
            <v>1021156</v>
          </cell>
          <cell r="D75" t="str">
            <v>GO Hso Pecho@ Cj Lom Vet TJ</v>
          </cell>
          <cell r="E75">
            <v>24000</v>
          </cell>
          <cell r="F75">
            <v>2.57</v>
          </cell>
        </row>
        <row r="76">
          <cell r="A76" t="str">
            <v>Agrosuper Asia1021204</v>
          </cell>
          <cell r="B76" t="str">
            <v>Agrosuper Asia</v>
          </cell>
          <cell r="C76">
            <v>1021204</v>
          </cell>
          <cell r="D76" t="str">
            <v>GO Lom Tocino@ Cj 20k AS</v>
          </cell>
          <cell r="E76">
            <v>48000</v>
          </cell>
          <cell r="F76">
            <v>1.29</v>
          </cell>
        </row>
        <row r="77">
          <cell r="A77" t="str">
            <v>Agrosuper Asia1021470</v>
          </cell>
          <cell r="B77" t="str">
            <v>Agrosuper Asia</v>
          </cell>
          <cell r="C77">
            <v>1021470</v>
          </cell>
          <cell r="D77" t="str">
            <v>GO PernilM@ Cj 20k AK</v>
          </cell>
          <cell r="E77">
            <v>22000</v>
          </cell>
          <cell r="F77">
            <v>1.32</v>
          </cell>
        </row>
        <row r="78">
          <cell r="A78" t="str">
            <v>Agrosuper Asia1022607</v>
          </cell>
          <cell r="B78" t="str">
            <v>Agrosuper Asia</v>
          </cell>
          <cell r="C78">
            <v>1022607</v>
          </cell>
          <cell r="D78" t="str">
            <v>GO Platead Lom TF@ Cj 10k AK (TS)</v>
          </cell>
          <cell r="E78">
            <v>22000</v>
          </cell>
          <cell r="F78">
            <v>5.32</v>
          </cell>
        </row>
        <row r="79">
          <cell r="A79" t="str">
            <v>Agrosuper Asia1022885</v>
          </cell>
          <cell r="B79" t="str">
            <v>Agrosuper Asia</v>
          </cell>
          <cell r="C79">
            <v>1022885</v>
          </cell>
          <cell r="D79" t="str">
            <v>GO Panc S/cue@ Cj Panc TJ</v>
          </cell>
          <cell r="E79">
            <v>637000</v>
          </cell>
          <cell r="F79">
            <v>6.12</v>
          </cell>
        </row>
        <row r="80">
          <cell r="A80" t="str">
            <v>Agrosuper Asia1022887</v>
          </cell>
          <cell r="B80" t="str">
            <v>Agrosuper Asia</v>
          </cell>
          <cell r="C80">
            <v>1022887</v>
          </cell>
          <cell r="D80" t="str">
            <v>GO Panc S/cue@ Cj Panc AK</v>
          </cell>
          <cell r="E80">
            <v>360000</v>
          </cell>
          <cell r="F80">
            <v>6.12</v>
          </cell>
        </row>
        <row r="81">
          <cell r="A81" t="str">
            <v>Agrosuper Asia1022930</v>
          </cell>
          <cell r="B81" t="str">
            <v>Agrosuper Asia</v>
          </cell>
          <cell r="C81">
            <v>1022930</v>
          </cell>
          <cell r="D81" t="str">
            <v>GO Panc S/cue Hem@ Cj Panc TJ AS</v>
          </cell>
          <cell r="E81">
            <v>154000</v>
          </cell>
          <cell r="F81">
            <v>6.32</v>
          </cell>
        </row>
        <row r="82">
          <cell r="A82" t="str">
            <v>Agrosuper Asia1022985</v>
          </cell>
          <cell r="B82" t="str">
            <v>Agrosuper Asia</v>
          </cell>
          <cell r="C82">
            <v>1022985</v>
          </cell>
          <cell r="D82" t="str">
            <v>GO Lom Vet Mad@ Cj 8,5k TJ</v>
          </cell>
          <cell r="E82">
            <v>5000</v>
          </cell>
          <cell r="F82">
            <v>4.17</v>
          </cell>
        </row>
        <row r="83">
          <cell r="A83" t="str">
            <v>Agrosuper Asia1023037</v>
          </cell>
          <cell r="B83" t="str">
            <v>Agrosuper Asia</v>
          </cell>
          <cell r="C83">
            <v>1023037</v>
          </cell>
          <cell r="D83" t="str">
            <v>GO Panc S/cue@ Cj Panc 16k AS</v>
          </cell>
          <cell r="E83">
            <v>143000</v>
          </cell>
          <cell r="F83">
            <v>6.32</v>
          </cell>
        </row>
        <row r="84">
          <cell r="A84" t="str">
            <v>Agrosuper Asia1023038</v>
          </cell>
          <cell r="B84" t="str">
            <v>Agrosuper Asia</v>
          </cell>
          <cell r="C84">
            <v>1023038</v>
          </cell>
          <cell r="D84" t="str">
            <v>GO Lom Vet@ Cj 8k AS</v>
          </cell>
          <cell r="E84">
            <v>141000</v>
          </cell>
          <cell r="F84">
            <v>4.2699999999999996</v>
          </cell>
        </row>
        <row r="85">
          <cell r="A85" t="str">
            <v>Agrosuper Asia1023090</v>
          </cell>
          <cell r="B85" t="str">
            <v>Agrosuper Asia</v>
          </cell>
          <cell r="C85">
            <v>1023090</v>
          </cell>
          <cell r="D85" t="str">
            <v>GO Panc S/cue S/h@ Cj Panc 16k AS</v>
          </cell>
          <cell r="E85">
            <v>22000</v>
          </cell>
          <cell r="F85">
            <v>6.42</v>
          </cell>
        </row>
        <row r="86">
          <cell r="A86" t="str">
            <v>Agrosuper Asia1023144</v>
          </cell>
          <cell r="B86" t="str">
            <v>Agrosuper Asia</v>
          </cell>
          <cell r="C86">
            <v>1023144</v>
          </cell>
          <cell r="D86" t="str">
            <v>GO Papda C/Cue granel@ Bo Cj AS</v>
          </cell>
          <cell r="E86">
            <v>44000</v>
          </cell>
          <cell r="F86">
            <v>1.94</v>
          </cell>
        </row>
        <row r="87">
          <cell r="A87" t="str">
            <v>Agrosuper Asia1023283</v>
          </cell>
          <cell r="B87" t="str">
            <v>Agrosuper Asia</v>
          </cell>
          <cell r="C87">
            <v>1023283</v>
          </cell>
          <cell r="D87" t="str">
            <v>GO Grasa Chaleco@ Cj 10k AS</v>
          </cell>
          <cell r="E87">
            <v>72000</v>
          </cell>
          <cell r="F87">
            <v>0.77</v>
          </cell>
        </row>
        <row r="88">
          <cell r="A88" t="str">
            <v>Agrosuper Asia1023326</v>
          </cell>
          <cell r="B88" t="str">
            <v>Agrosuper Asia</v>
          </cell>
          <cell r="C88">
            <v>1023326</v>
          </cell>
          <cell r="D88" t="str">
            <v>GO Corazón Partido@ Cj 10k AS</v>
          </cell>
          <cell r="E88">
            <v>48000</v>
          </cell>
          <cell r="F88">
            <v>0.72</v>
          </cell>
        </row>
        <row r="89">
          <cell r="A89" t="str">
            <v>Agrosuper Asia1023372</v>
          </cell>
          <cell r="B89" t="str">
            <v>Agrosuper Asia</v>
          </cell>
          <cell r="C89">
            <v>1023372</v>
          </cell>
          <cell r="D89" t="str">
            <v>GO Lom Ctro 27@ Fi Cj 20k AS</v>
          </cell>
          <cell r="E89">
            <v>24000</v>
          </cell>
          <cell r="F89">
            <v>2.89</v>
          </cell>
        </row>
        <row r="90">
          <cell r="A90" t="str">
            <v>Agrosuper Asia1023397</v>
          </cell>
          <cell r="B90" t="str">
            <v>Agrosuper Asia</v>
          </cell>
          <cell r="C90">
            <v>1023397</v>
          </cell>
          <cell r="D90" t="str">
            <v>GO Gord Esp@ Cj 20k AS</v>
          </cell>
          <cell r="E90">
            <v>0</v>
          </cell>
          <cell r="F90">
            <v>0</v>
          </cell>
        </row>
        <row r="91">
          <cell r="A91" t="str">
            <v>Agrosuper Asia1020905</v>
          </cell>
          <cell r="B91" t="str">
            <v>Agrosuper Asia</v>
          </cell>
          <cell r="C91">
            <v>1020905</v>
          </cell>
          <cell r="D91" t="str">
            <v>GO Panc C/cue@ Cj Panc 230 AK</v>
          </cell>
          <cell r="E91">
            <v>0</v>
          </cell>
          <cell r="F91">
            <v>0</v>
          </cell>
        </row>
        <row r="92">
          <cell r="A92" t="str">
            <v>Agrosuper Brasil1012362</v>
          </cell>
          <cell r="B92" t="str">
            <v>Agrosuper Brasil</v>
          </cell>
          <cell r="C92">
            <v>1012362</v>
          </cell>
          <cell r="D92" t="str">
            <v>PO Corazon@ Cj 18k AS</v>
          </cell>
          <cell r="E92">
            <v>0</v>
          </cell>
          <cell r="F92">
            <v>0</v>
          </cell>
        </row>
        <row r="93">
          <cell r="A93" t="str">
            <v>Agrosuper Brasil1022217</v>
          </cell>
          <cell r="B93" t="str">
            <v>Agrosuper Brasil</v>
          </cell>
          <cell r="C93">
            <v>1022217</v>
          </cell>
          <cell r="D93" t="str">
            <v>GO Lom Tocino@ Bo Cj 20k AS</v>
          </cell>
          <cell r="E93">
            <v>262107</v>
          </cell>
          <cell r="F93">
            <v>1.69999656628781</v>
          </cell>
        </row>
        <row r="94">
          <cell r="A94" t="str">
            <v>Agrosuper Brasil1022218</v>
          </cell>
          <cell r="B94" t="str">
            <v>Agrosuper Brasil</v>
          </cell>
          <cell r="C94">
            <v>1022218</v>
          </cell>
          <cell r="D94" t="str">
            <v>GO Grasa Forro Pna Limp@ Cj 20k AS</v>
          </cell>
          <cell r="E94">
            <v>24004</v>
          </cell>
          <cell r="F94">
            <v>1.5499916680553201</v>
          </cell>
        </row>
        <row r="95">
          <cell r="A95" t="str">
            <v>Agrosuper Brasil1022273</v>
          </cell>
          <cell r="B95" t="str">
            <v>Agrosuper Brasil</v>
          </cell>
          <cell r="C95">
            <v>1022273</v>
          </cell>
          <cell r="D95" t="str">
            <v>GO Grasa Forro Pna Limp@ Bo Cj AS</v>
          </cell>
          <cell r="E95">
            <v>211608</v>
          </cell>
          <cell r="F95">
            <v>1.55000283543155</v>
          </cell>
        </row>
        <row r="96">
          <cell r="A96" t="str">
            <v>Agrosuper Brasil1023295</v>
          </cell>
          <cell r="B96" t="str">
            <v>Agrosuper Brasil</v>
          </cell>
          <cell r="C96">
            <v>1023295</v>
          </cell>
          <cell r="D96" t="str">
            <v>GO Trip Calib Tub 37/40 Azul# Cj AS</v>
          </cell>
          <cell r="E96">
            <v>1000</v>
          </cell>
          <cell r="F96">
            <v>12.287000000000001</v>
          </cell>
        </row>
        <row r="97">
          <cell r="A97" t="str">
            <v>Agrosuper Brasil1023329</v>
          </cell>
          <cell r="B97" t="str">
            <v>Agrosuper Brasil</v>
          </cell>
          <cell r="C97">
            <v>1023329</v>
          </cell>
          <cell r="D97" t="str">
            <v>GO Cue Papda CP@ Cj 20k AS</v>
          </cell>
          <cell r="E97">
            <v>38659</v>
          </cell>
          <cell r="F97">
            <v>0.53666675289065902</v>
          </cell>
        </row>
        <row r="98">
          <cell r="A98" t="str">
            <v>Agrosuper Brasil1023334</v>
          </cell>
          <cell r="B98" t="str">
            <v>Agrosuper Brasil</v>
          </cell>
          <cell r="C98">
            <v>1023334</v>
          </cell>
          <cell r="D98" t="str">
            <v>Cue granel Esp CC@ Cj 20k AS</v>
          </cell>
          <cell r="E98">
            <v>1069</v>
          </cell>
          <cell r="F98">
            <v>0.53975678203928901</v>
          </cell>
        </row>
        <row r="99">
          <cell r="A99" t="str">
            <v>Exportacion Directa1020105</v>
          </cell>
          <cell r="B99" t="str">
            <v>Exportacion Directa</v>
          </cell>
          <cell r="C99">
            <v>1020105</v>
          </cell>
          <cell r="D99" t="str">
            <v>GO Lom Tecla@ Cj Lom Ctro JP</v>
          </cell>
          <cell r="E99">
            <v>60000</v>
          </cell>
          <cell r="F99">
            <v>3.7440000000000002</v>
          </cell>
        </row>
        <row r="100">
          <cell r="A100" t="str">
            <v>Exportacion Directa1020110</v>
          </cell>
          <cell r="B100" t="str">
            <v>Exportacion Directa</v>
          </cell>
          <cell r="C100">
            <v>1020110</v>
          </cell>
          <cell r="D100" t="str">
            <v>GO MM Loin L@ Cj 12k AP</v>
          </cell>
          <cell r="E100">
            <v>420000</v>
          </cell>
          <cell r="F100">
            <v>3.3479999999999999</v>
          </cell>
        </row>
        <row r="101">
          <cell r="A101" t="str">
            <v>Exportacion Directa1020284</v>
          </cell>
          <cell r="B101" t="str">
            <v>Exportacion Directa</v>
          </cell>
          <cell r="C101">
            <v>1020284</v>
          </cell>
          <cell r="D101" t="str">
            <v>GO Posta Negra 3P T@ Va Cj t-f JP</v>
          </cell>
          <cell r="E101">
            <v>7000</v>
          </cell>
          <cell r="F101">
            <v>3.456</v>
          </cell>
        </row>
        <row r="102">
          <cell r="A102" t="str">
            <v>Exportacion Directa1020326</v>
          </cell>
          <cell r="B102" t="str">
            <v>Exportacion Directa</v>
          </cell>
          <cell r="C102">
            <v>1020326</v>
          </cell>
          <cell r="D102" t="str">
            <v>GO PpPal Pim@ Cj AP</v>
          </cell>
          <cell r="E102">
            <v>264000</v>
          </cell>
          <cell r="F102">
            <v>2.52</v>
          </cell>
        </row>
        <row r="103">
          <cell r="A103" t="str">
            <v>Exportacion Directa1020589</v>
          </cell>
          <cell r="B103" t="str">
            <v>Exportacion Directa</v>
          </cell>
          <cell r="C103">
            <v>1020589</v>
          </cell>
          <cell r="D103" t="str">
            <v>GO MM Loin S@ Fi Cj 12k AP</v>
          </cell>
          <cell r="E103">
            <v>130000</v>
          </cell>
          <cell r="F103">
            <v>3.528</v>
          </cell>
        </row>
        <row r="104">
          <cell r="A104" t="str">
            <v>Exportacion Directa1020592</v>
          </cell>
          <cell r="B104" t="str">
            <v>Exportacion Directa</v>
          </cell>
          <cell r="C104">
            <v>1020592</v>
          </cell>
          <cell r="D104" t="str">
            <v>GO Lom Vet &gt;2.0@ Fi Cj Lom Vet AP</v>
          </cell>
          <cell r="E104">
            <v>210000</v>
          </cell>
          <cell r="F104">
            <v>3.456</v>
          </cell>
        </row>
        <row r="105">
          <cell r="A105" t="str">
            <v>Exportacion Directa1020620</v>
          </cell>
          <cell r="B105" t="str">
            <v>Exportacion Directa</v>
          </cell>
          <cell r="C105">
            <v>1020620</v>
          </cell>
          <cell r="D105" t="str">
            <v>GO Lom Vet &lt;2.0@ Fi Cj AP</v>
          </cell>
          <cell r="E105">
            <v>30000</v>
          </cell>
          <cell r="F105">
            <v>3.456</v>
          </cell>
        </row>
        <row r="106">
          <cell r="A106" t="str">
            <v>Exportacion Directa1020636</v>
          </cell>
          <cell r="B106" t="str">
            <v>Exportacion Directa</v>
          </cell>
          <cell r="C106">
            <v>1020636</v>
          </cell>
          <cell r="D106" t="str">
            <v>GO File C/cab@ Va Cj 10k AP</v>
          </cell>
          <cell r="E106">
            <v>13000</v>
          </cell>
          <cell r="F106">
            <v>4.1040000000000001</v>
          </cell>
        </row>
        <row r="107">
          <cell r="A107" t="str">
            <v>Exportacion Directa1020637</v>
          </cell>
          <cell r="B107" t="str">
            <v>Exportacion Directa</v>
          </cell>
          <cell r="C107">
            <v>1020637</v>
          </cell>
          <cell r="D107" t="str">
            <v>GO Panc Tec S/cue@ Fi Cj ch AP</v>
          </cell>
          <cell r="E107">
            <v>200000</v>
          </cell>
          <cell r="F107">
            <v>4.8239999999999998</v>
          </cell>
        </row>
        <row r="108">
          <cell r="A108" t="str">
            <v>Exportacion Directa1020662</v>
          </cell>
          <cell r="B108" t="str">
            <v>Exportacion Directa</v>
          </cell>
          <cell r="C108">
            <v>1020662</v>
          </cell>
          <cell r="D108" t="str">
            <v>GO Ganso C/asto 3P@ Va Cj t-f AP</v>
          </cell>
          <cell r="E108">
            <v>10000</v>
          </cell>
          <cell r="F108">
            <v>3.492</v>
          </cell>
        </row>
        <row r="109">
          <cell r="A109" t="str">
            <v>Exportacion Directa1020664</v>
          </cell>
          <cell r="B109" t="str">
            <v>Exportacion Directa</v>
          </cell>
          <cell r="C109">
            <v>1020664</v>
          </cell>
          <cell r="D109" t="str">
            <v>GO Ganso C/asto C/abas S/g@ Va Cj JP</v>
          </cell>
          <cell r="E109">
            <v>8000</v>
          </cell>
          <cell r="F109">
            <v>3.492</v>
          </cell>
        </row>
        <row r="110">
          <cell r="A110" t="str">
            <v>Exportacion Directa1020665</v>
          </cell>
          <cell r="B110" t="str">
            <v>Exportacion Directa</v>
          </cell>
          <cell r="C110">
            <v>1020665</v>
          </cell>
          <cell r="D110" t="str">
            <v>GO Posta Rosada 3P@ Va Cj t-f AP</v>
          </cell>
          <cell r="E110">
            <v>11000</v>
          </cell>
          <cell r="F110">
            <v>3.456</v>
          </cell>
        </row>
        <row r="111">
          <cell r="A111" t="str">
            <v>Exportacion Directa1020681</v>
          </cell>
          <cell r="B111" t="str">
            <v>Exportacion Directa</v>
          </cell>
          <cell r="C111">
            <v>1020681</v>
          </cell>
          <cell r="D111" t="str">
            <v>GO MM Loin D@ Fi Cj 12k AP</v>
          </cell>
          <cell r="E111">
            <v>12000</v>
          </cell>
          <cell r="F111">
            <v>3.78</v>
          </cell>
        </row>
        <row r="112">
          <cell r="A112" t="str">
            <v>Exportacion Directa1020704</v>
          </cell>
          <cell r="B112" t="str">
            <v>Exportacion Directa</v>
          </cell>
          <cell r="C112">
            <v>1020704</v>
          </cell>
          <cell r="D112" t="str">
            <v>GO File N@ Va Cj File AP</v>
          </cell>
          <cell r="E112">
            <v>1000</v>
          </cell>
          <cell r="F112">
            <v>4.2480000000000002</v>
          </cell>
        </row>
        <row r="113">
          <cell r="A113" t="str">
            <v>Exportacion Directa1020715</v>
          </cell>
          <cell r="B113" t="str">
            <v>Exportacion Directa</v>
          </cell>
          <cell r="C113">
            <v>1020715</v>
          </cell>
          <cell r="D113" t="str">
            <v>GO Panc Tec C/cue@ Fi Cj Panc AP</v>
          </cell>
          <cell r="E113">
            <v>2000</v>
          </cell>
          <cell r="F113">
            <v>4.6440000000000001</v>
          </cell>
        </row>
        <row r="114">
          <cell r="A114" t="str">
            <v>Exportacion Directa1020731</v>
          </cell>
          <cell r="B114" t="str">
            <v>Exportacion Directa</v>
          </cell>
          <cell r="C114">
            <v>1020731</v>
          </cell>
          <cell r="D114" t="str">
            <v>GO Panc S/tec/cue I@ Fi Cj Panc 4s AP</v>
          </cell>
          <cell r="E114">
            <v>25000</v>
          </cell>
          <cell r="F114">
            <v>5.1120000000000001</v>
          </cell>
        </row>
        <row r="115">
          <cell r="A115" t="str">
            <v>Exportacion Directa1020758</v>
          </cell>
          <cell r="B115" t="str">
            <v>Exportacion Directa</v>
          </cell>
          <cell r="C115">
            <v>1020758</v>
          </cell>
          <cell r="D115" t="str">
            <v>GO Lom Vet S/g@ Va Cj ch AP</v>
          </cell>
          <cell r="E115">
            <v>9000</v>
          </cell>
          <cell r="F115">
            <v>3.78</v>
          </cell>
        </row>
        <row r="116">
          <cell r="A116" t="str">
            <v>Exportacion Directa1020774</v>
          </cell>
          <cell r="B116" t="str">
            <v>Exportacion Directa</v>
          </cell>
          <cell r="C116">
            <v>1020774</v>
          </cell>
          <cell r="D116" t="str">
            <v>GO Malaya Japon@ Va Cj JP</v>
          </cell>
          <cell r="E116">
            <v>9000</v>
          </cell>
          <cell r="F116">
            <v>5.76</v>
          </cell>
        </row>
        <row r="117">
          <cell r="A117" t="str">
            <v>Exportacion Directa1020802</v>
          </cell>
          <cell r="B117" t="str">
            <v>Exportacion Directa</v>
          </cell>
          <cell r="C117">
            <v>1020802</v>
          </cell>
          <cell r="D117" t="str">
            <v>GO Panc S/tec N@ Fi Cj 20k AP</v>
          </cell>
          <cell r="E117">
            <v>41000</v>
          </cell>
          <cell r="F117">
            <v>4.68</v>
          </cell>
        </row>
        <row r="118">
          <cell r="A118" t="str">
            <v>Exportacion Directa1020810</v>
          </cell>
          <cell r="B118" t="str">
            <v>Exportacion Directa</v>
          </cell>
          <cell r="C118">
            <v>1020810</v>
          </cell>
          <cell r="D118" t="str">
            <v>GO Recto@ Cj File AP</v>
          </cell>
          <cell r="E118">
            <v>2000</v>
          </cell>
          <cell r="F118">
            <v>3.96</v>
          </cell>
        </row>
        <row r="119">
          <cell r="A119" t="str">
            <v>Exportacion Directa1020914</v>
          </cell>
          <cell r="B119" t="str">
            <v>Exportacion Directa</v>
          </cell>
          <cell r="C119">
            <v>1020914</v>
          </cell>
          <cell r="D119" t="str">
            <v>GO Panc Lam 2.5mm@ Cj ch AP</v>
          </cell>
          <cell r="E119">
            <v>9000</v>
          </cell>
          <cell r="F119">
            <v>5.4</v>
          </cell>
        </row>
        <row r="120">
          <cell r="A120" t="str">
            <v>Exportacion Directa1020990</v>
          </cell>
          <cell r="B120" t="str">
            <v>Exportacion Directa</v>
          </cell>
          <cell r="C120">
            <v>1020990</v>
          </cell>
          <cell r="D120" t="str">
            <v>GO Ganso S/g S/abst DA@ Cj 12k AP</v>
          </cell>
          <cell r="E120">
            <v>5000</v>
          </cell>
          <cell r="F120">
            <v>3.456</v>
          </cell>
        </row>
        <row r="121">
          <cell r="A121" t="str">
            <v>Exportacion Directa1020991</v>
          </cell>
          <cell r="B121" t="str">
            <v>Exportacion Directa</v>
          </cell>
          <cell r="C121">
            <v>1020991</v>
          </cell>
          <cell r="D121" t="str">
            <v>GO Asiento C/g DA@ Cj 12k JP</v>
          </cell>
          <cell r="E121">
            <v>9000</v>
          </cell>
          <cell r="F121">
            <v>3.456</v>
          </cell>
        </row>
        <row r="122">
          <cell r="A122" t="str">
            <v>Exportacion Directa1021136</v>
          </cell>
          <cell r="B122" t="str">
            <v>Exportacion Directa</v>
          </cell>
          <cell r="C122">
            <v>1021136</v>
          </cell>
          <cell r="D122" t="str">
            <v>GO Tráquea@ Cj Lom Ctro AP</v>
          </cell>
          <cell r="E122">
            <v>2000</v>
          </cell>
          <cell r="F122">
            <v>2.6640000000000001</v>
          </cell>
        </row>
        <row r="123">
          <cell r="A123" t="str">
            <v>Exportacion Directa1021533</v>
          </cell>
          <cell r="B123" t="str">
            <v>Exportacion Directa</v>
          </cell>
          <cell r="C123">
            <v>1021533</v>
          </cell>
          <cell r="D123" t="str">
            <v>GO Panc Mit@ Va Cj 20k AP</v>
          </cell>
          <cell r="E123">
            <v>15000</v>
          </cell>
          <cell r="F123">
            <v>5.22</v>
          </cell>
        </row>
        <row r="124">
          <cell r="A124" t="str">
            <v>Exportacion Directa1021603</v>
          </cell>
          <cell r="B124" t="str">
            <v>Exportacion Directa</v>
          </cell>
          <cell r="C124">
            <v>1021603</v>
          </cell>
          <cell r="D124" t="str">
            <v>GO MM Loin L (MC4-5)@ Fi Cj ch JP</v>
          </cell>
          <cell r="E124">
            <v>7000</v>
          </cell>
          <cell r="F124">
            <v>3.78</v>
          </cell>
        </row>
        <row r="125">
          <cell r="A125" t="str">
            <v>Exportacion Directa1021609</v>
          </cell>
          <cell r="B125" t="str">
            <v>Exportacion Directa</v>
          </cell>
          <cell r="C125">
            <v>1021609</v>
          </cell>
          <cell r="D125" t="str">
            <v>GO File C/cab@ IWP Cj 10k SC</v>
          </cell>
          <cell r="E125">
            <v>20000</v>
          </cell>
          <cell r="F125">
            <v>4.32</v>
          </cell>
        </row>
        <row r="126">
          <cell r="A126" t="str">
            <v>Exportacion Directa1022313</v>
          </cell>
          <cell r="B126" t="str">
            <v>Exportacion Directa</v>
          </cell>
          <cell r="C126">
            <v>1022313</v>
          </cell>
          <cell r="D126" t="str">
            <v>GO CC Loin T@ Fi Cj AP</v>
          </cell>
          <cell r="E126">
            <v>10000</v>
          </cell>
          <cell r="F126">
            <v>3.8519999999999999</v>
          </cell>
        </row>
        <row r="127">
          <cell r="A127" t="str">
            <v>Exportacion Directa1022326</v>
          </cell>
          <cell r="B127" t="str">
            <v>Exportacion Directa</v>
          </cell>
          <cell r="C127">
            <v>1022326</v>
          </cell>
          <cell r="D127" t="str">
            <v>GO CC Loin L (S/T)@ Fi Cj AP</v>
          </cell>
          <cell r="E127">
            <v>15000</v>
          </cell>
          <cell r="F127">
            <v>3.492</v>
          </cell>
        </row>
        <row r="128">
          <cell r="A128" t="str">
            <v>Exportacion Directa1022370</v>
          </cell>
          <cell r="B128" t="str">
            <v>Exportacion Directa</v>
          </cell>
          <cell r="C128">
            <v>1022370</v>
          </cell>
          <cell r="D128" t="str">
            <v>GO MM Loin LL (29-32 VP)@ Bo Cj AP</v>
          </cell>
          <cell r="E128">
            <v>20000</v>
          </cell>
          <cell r="F128">
            <v>3.6</v>
          </cell>
        </row>
        <row r="129">
          <cell r="A129" t="str">
            <v>Exportacion Directa1022371</v>
          </cell>
          <cell r="B129" t="str">
            <v>Exportacion Directa</v>
          </cell>
          <cell r="C129">
            <v>1022371</v>
          </cell>
          <cell r="D129" t="str">
            <v>GO Panc S/tec SP@ Fi Cj AP</v>
          </cell>
          <cell r="E129">
            <v>19000</v>
          </cell>
          <cell r="F129">
            <v>4.68</v>
          </cell>
        </row>
        <row r="130">
          <cell r="A130" t="str">
            <v>Exportacion Directa1022499</v>
          </cell>
          <cell r="B130" t="str">
            <v>Exportacion Directa</v>
          </cell>
          <cell r="C130">
            <v>1022499</v>
          </cell>
          <cell r="D130" t="str">
            <v>GO Lom Vet Mit@ 4 Bo Cj 10k AP</v>
          </cell>
          <cell r="E130">
            <v>27000</v>
          </cell>
          <cell r="F130">
            <v>3.8519999999999999</v>
          </cell>
        </row>
        <row r="131">
          <cell r="A131" t="str">
            <v>Exportacion Directa1022587</v>
          </cell>
          <cell r="B131" t="str">
            <v>Exportacion Directa</v>
          </cell>
          <cell r="C131">
            <v>1022587</v>
          </cell>
          <cell r="D131" t="str">
            <v>GO CC Loin L (S/T) 45@ Fi Cj AP</v>
          </cell>
          <cell r="E131">
            <v>3000</v>
          </cell>
          <cell r="F131">
            <v>3.8879999999999999</v>
          </cell>
        </row>
        <row r="132">
          <cell r="A132" t="str">
            <v>Exportacion Directa1022600</v>
          </cell>
          <cell r="B132" t="str">
            <v>Exportacion Directa</v>
          </cell>
          <cell r="C132">
            <v>1022600</v>
          </cell>
          <cell r="D132" t="str">
            <v>GO Lom Vet 2 a 2,3k@ Fi Verd Cj AP</v>
          </cell>
          <cell r="E132">
            <v>10000</v>
          </cell>
          <cell r="F132">
            <v>3.6</v>
          </cell>
        </row>
        <row r="133">
          <cell r="A133" t="str">
            <v>Exportacion Directa1022664</v>
          </cell>
          <cell r="B133" t="str">
            <v>Exportacion Directa</v>
          </cell>
          <cell r="C133">
            <v>1022664</v>
          </cell>
          <cell r="D133" t="str">
            <v>GO CC Loin L (S/T) (DF)@ Fi Cj AP</v>
          </cell>
          <cell r="E133">
            <v>57000</v>
          </cell>
          <cell r="F133">
            <v>3.6360000000000001</v>
          </cell>
        </row>
        <row r="134">
          <cell r="A134" t="str">
            <v>Exportacion Directa1022931</v>
          </cell>
          <cell r="B134" t="str">
            <v>Exportacion Directa</v>
          </cell>
          <cell r="C134">
            <v>1022931</v>
          </cell>
          <cell r="D134" t="str">
            <v>GO File C/cab 6x1@ VP Cj AP</v>
          </cell>
          <cell r="E134">
            <v>20000</v>
          </cell>
          <cell r="F134">
            <v>4.1040000000000001</v>
          </cell>
        </row>
        <row r="135">
          <cell r="A135" t="str">
            <v>Exportacion Directa1022987</v>
          </cell>
          <cell r="B135" t="str">
            <v>Exportacion Directa</v>
          </cell>
          <cell r="C135">
            <v>1022987</v>
          </cell>
          <cell r="D135" t="str">
            <v>GO Lom Tocino@ Bo Cj 20k AP</v>
          </cell>
          <cell r="E135">
            <v>24000</v>
          </cell>
          <cell r="F135">
            <v>1.8</v>
          </cell>
        </row>
        <row r="136">
          <cell r="A136" t="str">
            <v>Exportacion Directa1023163</v>
          </cell>
          <cell r="B136" t="str">
            <v>Exportacion Directa</v>
          </cell>
          <cell r="C136">
            <v>1023163</v>
          </cell>
          <cell r="D136" t="str">
            <v>GO Lom Vet &gt;2.0@ Fi Cj 8k AP</v>
          </cell>
          <cell r="E136">
            <v>25000</v>
          </cell>
          <cell r="F136">
            <v>3.6720000000000002</v>
          </cell>
        </row>
        <row r="137">
          <cell r="A137" t="str">
            <v>Exportacion Directa1023194</v>
          </cell>
          <cell r="B137" t="str">
            <v>Exportacion Directa</v>
          </cell>
          <cell r="C137">
            <v>1023194</v>
          </cell>
          <cell r="D137" t="str">
            <v>GO Cne Falda Panc@ Bo Cj AP</v>
          </cell>
          <cell r="E137">
            <v>10000</v>
          </cell>
          <cell r="F137">
            <v>2.88</v>
          </cell>
        </row>
        <row r="138">
          <cell r="A138" t="str">
            <v>Exportacion Directa1023349</v>
          </cell>
          <cell r="B138" t="str">
            <v>Exportacion Directa</v>
          </cell>
          <cell r="C138">
            <v>1023349</v>
          </cell>
          <cell r="D138" t="str">
            <v>GO Lom Tecla VP@ Cj Lom Ctro</v>
          </cell>
          <cell r="E138">
            <v>5000</v>
          </cell>
          <cell r="F138">
            <v>3.7440000000000002</v>
          </cell>
        </row>
        <row r="139">
          <cell r="A139" t="str">
            <v>Exportacion Directa1023350</v>
          </cell>
          <cell r="B139" t="str">
            <v>Exportacion Directa</v>
          </cell>
          <cell r="C139">
            <v>1023350</v>
          </cell>
          <cell r="D139" t="str">
            <v>Lom Vet &gt;2.0@ VP Cj Lom Vet AP</v>
          </cell>
          <cell r="E139">
            <v>20000</v>
          </cell>
          <cell r="F139">
            <v>3.3839999999999999</v>
          </cell>
        </row>
        <row r="140">
          <cell r="A140" t="str">
            <v>Exportacion Directa1023351</v>
          </cell>
          <cell r="B140" t="str">
            <v>Exportacion Directa</v>
          </cell>
          <cell r="C140">
            <v>1023351</v>
          </cell>
          <cell r="D140" t="str">
            <v>GO Panc S/tec L @VP Cj AP</v>
          </cell>
          <cell r="E140">
            <v>5000</v>
          </cell>
          <cell r="F140">
            <v>4.7519999999999998</v>
          </cell>
        </row>
        <row r="141">
          <cell r="A141" t="str">
            <v>Exportacion Directa1023352</v>
          </cell>
          <cell r="B141" t="str">
            <v>Exportacion Directa</v>
          </cell>
          <cell r="C141">
            <v>1023352</v>
          </cell>
          <cell r="D141" t="str">
            <v>GO Panc Tec S/cue@ R VP Cj ch AP</v>
          </cell>
          <cell r="E141">
            <v>40000</v>
          </cell>
          <cell r="F141">
            <v>5.04</v>
          </cell>
        </row>
        <row r="142">
          <cell r="A142" t="str">
            <v>Exportacion Directa1023419</v>
          </cell>
          <cell r="B142" t="str">
            <v>Exportacion Directa</v>
          </cell>
          <cell r="C142">
            <v>1023419</v>
          </cell>
          <cell r="D142" t="str">
            <v>GO Lom Tocino@ Bo Cj 20k AP</v>
          </cell>
          <cell r="E142">
            <v>24000</v>
          </cell>
          <cell r="F142">
            <v>1.8</v>
          </cell>
        </row>
        <row r="143">
          <cell r="A143" t="str">
            <v>Exportacion Directa1022346</v>
          </cell>
          <cell r="B143" t="str">
            <v>Exportacion Directa</v>
          </cell>
          <cell r="C143">
            <v>1022346</v>
          </cell>
          <cell r="D143" t="str">
            <v>GO PpPal 1P Ex@ Bo AP</v>
          </cell>
          <cell r="E143">
            <v>5000</v>
          </cell>
          <cell r="F143">
            <v>2.59</v>
          </cell>
        </row>
        <row r="144">
          <cell r="A144" t="str">
            <v/>
          </cell>
        </row>
        <row r="145">
          <cell r="A145" t="str">
            <v/>
          </cell>
        </row>
        <row r="146">
          <cell r="A146" t="str">
            <v/>
          </cell>
        </row>
        <row r="147">
          <cell r="A147" t="str">
            <v/>
          </cell>
        </row>
        <row r="148">
          <cell r="A148" t="str">
            <v/>
          </cell>
        </row>
        <row r="149">
          <cell r="A149" t="str">
            <v/>
          </cell>
        </row>
        <row r="150">
          <cell r="A150" t="str">
            <v/>
          </cell>
        </row>
        <row r="151">
          <cell r="A151" t="str">
            <v/>
          </cell>
        </row>
        <row r="152">
          <cell r="A152" t="str">
            <v/>
          </cell>
        </row>
        <row r="153">
          <cell r="A153" t="str">
            <v/>
          </cell>
        </row>
        <row r="154">
          <cell r="A154" t="str">
            <v/>
          </cell>
        </row>
        <row r="155">
          <cell r="A155" t="str">
            <v/>
          </cell>
        </row>
        <row r="156">
          <cell r="A156" t="str">
            <v/>
          </cell>
        </row>
        <row r="157">
          <cell r="A157" t="str">
            <v/>
          </cell>
        </row>
        <row r="158">
          <cell r="A158" t="str">
            <v/>
          </cell>
        </row>
        <row r="159">
          <cell r="A159" t="str">
            <v/>
          </cell>
        </row>
        <row r="160">
          <cell r="A160" t="str">
            <v/>
          </cell>
        </row>
        <row r="161">
          <cell r="A161" t="str">
            <v/>
          </cell>
        </row>
        <row r="162">
          <cell r="A162" t="str">
            <v/>
          </cell>
        </row>
        <row r="163">
          <cell r="A163" t="str">
            <v/>
          </cell>
        </row>
        <row r="164">
          <cell r="A164" t="str">
            <v/>
          </cell>
        </row>
        <row r="165">
          <cell r="A165" t="str">
            <v/>
          </cell>
        </row>
        <row r="166">
          <cell r="A166" t="str">
            <v/>
          </cell>
        </row>
        <row r="167">
          <cell r="A167" t="str">
            <v/>
          </cell>
        </row>
        <row r="168">
          <cell r="A168" t="str">
            <v/>
          </cell>
        </row>
        <row r="169">
          <cell r="A169" t="str">
            <v/>
          </cell>
        </row>
        <row r="170">
          <cell r="A170" t="str">
            <v/>
          </cell>
        </row>
        <row r="171">
          <cell r="A171" t="str">
            <v/>
          </cell>
        </row>
        <row r="172">
          <cell r="A172" t="str">
            <v/>
          </cell>
        </row>
        <row r="173">
          <cell r="A173" t="str">
            <v/>
          </cell>
        </row>
        <row r="174">
          <cell r="A174" t="str">
            <v/>
          </cell>
        </row>
        <row r="175">
          <cell r="A175" t="str">
            <v/>
          </cell>
        </row>
        <row r="176">
          <cell r="A176" t="str">
            <v/>
          </cell>
        </row>
        <row r="177">
          <cell r="A177" t="str">
            <v/>
          </cell>
        </row>
        <row r="178">
          <cell r="A178" t="str">
            <v/>
          </cell>
        </row>
        <row r="179">
          <cell r="A179" t="str">
            <v/>
          </cell>
        </row>
        <row r="180">
          <cell r="A180" t="str">
            <v/>
          </cell>
        </row>
        <row r="181">
          <cell r="A181" t="str">
            <v/>
          </cell>
        </row>
        <row r="182">
          <cell r="A182" t="str">
            <v/>
          </cell>
        </row>
        <row r="183">
          <cell r="A183" t="str">
            <v/>
          </cell>
        </row>
        <row r="184">
          <cell r="A184" t="str">
            <v/>
          </cell>
        </row>
        <row r="185">
          <cell r="A185" t="str">
            <v/>
          </cell>
        </row>
        <row r="186">
          <cell r="A186" t="str">
            <v/>
          </cell>
        </row>
        <row r="187">
          <cell r="A187" t="str">
            <v/>
          </cell>
        </row>
        <row r="188">
          <cell r="A188" t="str">
            <v/>
          </cell>
        </row>
        <row r="189">
          <cell r="A189" t="str">
            <v/>
          </cell>
        </row>
        <row r="190">
          <cell r="A190" t="str">
            <v/>
          </cell>
        </row>
        <row r="191">
          <cell r="A191" t="str">
            <v/>
          </cell>
        </row>
        <row r="192">
          <cell r="A192" t="str">
            <v/>
          </cell>
        </row>
        <row r="193">
          <cell r="A193" t="str">
            <v/>
          </cell>
        </row>
        <row r="194">
          <cell r="A194" t="str">
            <v/>
          </cell>
        </row>
        <row r="195">
          <cell r="A195" t="str">
            <v/>
          </cell>
        </row>
        <row r="196">
          <cell r="A196" t="str">
            <v/>
          </cell>
        </row>
        <row r="197">
          <cell r="A197" t="str">
            <v/>
          </cell>
        </row>
        <row r="198">
          <cell r="A198" t="str">
            <v/>
          </cell>
        </row>
        <row r="199">
          <cell r="A199" t="str">
            <v/>
          </cell>
        </row>
        <row r="200">
          <cell r="A200" t="str">
            <v/>
          </cell>
        </row>
        <row r="201">
          <cell r="A201" t="str">
            <v/>
          </cell>
        </row>
        <row r="202">
          <cell r="A202" t="str">
            <v/>
          </cell>
        </row>
        <row r="203">
          <cell r="A203" t="str">
            <v/>
          </cell>
        </row>
        <row r="204">
          <cell r="A204" t="str">
            <v/>
          </cell>
        </row>
        <row r="205">
          <cell r="A205" t="str">
            <v/>
          </cell>
        </row>
        <row r="206">
          <cell r="A206" t="str">
            <v/>
          </cell>
        </row>
        <row r="207">
          <cell r="A207" t="str">
            <v/>
          </cell>
        </row>
        <row r="208">
          <cell r="A208" t="str">
            <v/>
          </cell>
        </row>
        <row r="209">
          <cell r="A209" t="str">
            <v/>
          </cell>
        </row>
        <row r="210">
          <cell r="A210" t="str">
            <v/>
          </cell>
        </row>
        <row r="211">
          <cell r="A211" t="str">
            <v/>
          </cell>
        </row>
        <row r="212">
          <cell r="A212" t="str">
            <v/>
          </cell>
        </row>
        <row r="213">
          <cell r="A213" t="str">
            <v/>
          </cell>
        </row>
        <row r="214">
          <cell r="A214" t="str">
            <v/>
          </cell>
        </row>
        <row r="215">
          <cell r="A215" t="str">
            <v/>
          </cell>
        </row>
        <row r="216">
          <cell r="A216" t="str">
            <v/>
          </cell>
        </row>
        <row r="217">
          <cell r="A217" t="str">
            <v/>
          </cell>
        </row>
        <row r="218">
          <cell r="A218" t="str">
            <v/>
          </cell>
        </row>
        <row r="219">
          <cell r="A219" t="str">
            <v/>
          </cell>
        </row>
        <row r="220">
          <cell r="A220" t="str">
            <v/>
          </cell>
        </row>
        <row r="221">
          <cell r="A221" t="str">
            <v/>
          </cell>
        </row>
        <row r="222">
          <cell r="A222" t="str">
            <v/>
          </cell>
        </row>
        <row r="223">
          <cell r="A223" t="str">
            <v/>
          </cell>
        </row>
        <row r="224">
          <cell r="A224" t="str">
            <v/>
          </cell>
        </row>
        <row r="225">
          <cell r="A225" t="str">
            <v/>
          </cell>
        </row>
        <row r="226">
          <cell r="A226" t="str">
            <v/>
          </cell>
        </row>
        <row r="227">
          <cell r="A227" t="str">
            <v/>
          </cell>
        </row>
        <row r="228">
          <cell r="A228" t="str">
            <v/>
          </cell>
        </row>
        <row r="229">
          <cell r="A229" t="str">
            <v/>
          </cell>
        </row>
        <row r="230">
          <cell r="A230" t="str">
            <v/>
          </cell>
        </row>
        <row r="231">
          <cell r="A231" t="str">
            <v/>
          </cell>
        </row>
        <row r="232">
          <cell r="A232" t="str">
            <v/>
          </cell>
        </row>
        <row r="233">
          <cell r="A233" t="str">
            <v/>
          </cell>
        </row>
        <row r="234">
          <cell r="A234" t="str">
            <v/>
          </cell>
        </row>
        <row r="235">
          <cell r="A235" t="str">
            <v/>
          </cell>
        </row>
        <row r="236">
          <cell r="A236" t="str">
            <v/>
          </cell>
        </row>
        <row r="237">
          <cell r="A237" t="str">
            <v/>
          </cell>
        </row>
        <row r="238">
          <cell r="A238" t="str">
            <v/>
          </cell>
        </row>
        <row r="239">
          <cell r="A239" t="str">
            <v/>
          </cell>
        </row>
        <row r="240">
          <cell r="A240" t="str">
            <v/>
          </cell>
        </row>
        <row r="241">
          <cell r="A241" t="str">
            <v/>
          </cell>
        </row>
        <row r="242">
          <cell r="A242" t="str">
            <v/>
          </cell>
        </row>
        <row r="243">
          <cell r="A243" t="str">
            <v/>
          </cell>
        </row>
        <row r="244">
          <cell r="A244" t="str">
            <v/>
          </cell>
        </row>
        <row r="245">
          <cell r="A245" t="str">
            <v/>
          </cell>
        </row>
        <row r="246">
          <cell r="A246" t="str">
            <v/>
          </cell>
        </row>
        <row r="247">
          <cell r="A247" t="str">
            <v/>
          </cell>
        </row>
        <row r="248">
          <cell r="A248" t="str">
            <v/>
          </cell>
        </row>
        <row r="249">
          <cell r="A249" t="str">
            <v/>
          </cell>
        </row>
        <row r="250">
          <cell r="A250" t="str">
            <v/>
          </cell>
        </row>
        <row r="251">
          <cell r="A251" t="str">
            <v/>
          </cell>
        </row>
        <row r="252">
          <cell r="A252" t="str">
            <v/>
          </cell>
        </row>
        <row r="253">
          <cell r="A253" t="str">
            <v/>
          </cell>
        </row>
        <row r="254">
          <cell r="A254" t="str">
            <v/>
          </cell>
        </row>
        <row r="255">
          <cell r="A255" t="str">
            <v/>
          </cell>
        </row>
        <row r="256">
          <cell r="A256" t="str">
            <v/>
          </cell>
        </row>
        <row r="257">
          <cell r="A257" t="str">
            <v/>
          </cell>
        </row>
        <row r="258">
          <cell r="A258" t="str">
            <v/>
          </cell>
        </row>
        <row r="259">
          <cell r="A259" t="str">
            <v/>
          </cell>
        </row>
        <row r="260">
          <cell r="A260" t="str">
            <v/>
          </cell>
        </row>
        <row r="261">
          <cell r="A261" t="str">
            <v/>
          </cell>
        </row>
        <row r="262">
          <cell r="A262" t="str">
            <v/>
          </cell>
        </row>
        <row r="263">
          <cell r="A263" t="str">
            <v/>
          </cell>
        </row>
        <row r="264">
          <cell r="A264" t="str">
            <v/>
          </cell>
        </row>
        <row r="265">
          <cell r="A265" t="str">
            <v/>
          </cell>
        </row>
        <row r="266">
          <cell r="A266" t="str">
            <v/>
          </cell>
        </row>
        <row r="267">
          <cell r="A267" t="str">
            <v/>
          </cell>
        </row>
        <row r="268">
          <cell r="A268" t="str">
            <v/>
          </cell>
        </row>
        <row r="269">
          <cell r="A269" t="str">
            <v/>
          </cell>
        </row>
        <row r="270">
          <cell r="A270" t="str">
            <v/>
          </cell>
        </row>
        <row r="271">
          <cell r="A271" t="str">
            <v/>
          </cell>
        </row>
        <row r="272">
          <cell r="A272" t="str">
            <v/>
          </cell>
        </row>
        <row r="273">
          <cell r="A273" t="str">
            <v/>
          </cell>
        </row>
        <row r="274">
          <cell r="A274" t="str">
            <v/>
          </cell>
        </row>
        <row r="275">
          <cell r="A275" t="str">
            <v/>
          </cell>
        </row>
        <row r="276">
          <cell r="A276" t="str">
            <v/>
          </cell>
        </row>
        <row r="277">
          <cell r="A277" t="str">
            <v/>
          </cell>
        </row>
        <row r="278">
          <cell r="A278" t="str">
            <v/>
          </cell>
        </row>
        <row r="279">
          <cell r="A279" t="str">
            <v/>
          </cell>
        </row>
        <row r="280">
          <cell r="A280" t="str">
            <v/>
          </cell>
        </row>
        <row r="281">
          <cell r="A281" t="str">
            <v/>
          </cell>
        </row>
        <row r="282">
          <cell r="A282" t="str">
            <v/>
          </cell>
        </row>
        <row r="283">
          <cell r="A283" t="str">
            <v/>
          </cell>
        </row>
        <row r="284">
          <cell r="A284" t="str">
            <v/>
          </cell>
        </row>
        <row r="285">
          <cell r="A285" t="str">
            <v/>
          </cell>
        </row>
        <row r="286">
          <cell r="A286" t="str">
            <v/>
          </cell>
        </row>
      </sheetData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ltima fecha de Zarpe "/>
      <sheetName val="Datos Faena y Días"/>
      <sheetName val="Datos Faena y Días (2)"/>
      <sheetName val="Ponderación"/>
    </sheetNames>
    <sheetDataSet>
      <sheetData sheetId="0"/>
      <sheetData sheetId="1"/>
      <sheetData sheetId="2"/>
      <sheetData sheetId="3">
        <row r="2">
          <cell r="C2" t="str">
            <v>Oficina</v>
          </cell>
          <cell r="D2" t="str">
            <v>Junio</v>
          </cell>
          <cell r="E2" t="str">
            <v>Julio</v>
          </cell>
          <cell r="F2" t="str">
            <v>Agosto</v>
          </cell>
          <cell r="G2" t="str">
            <v>Septiembre</v>
          </cell>
        </row>
        <row r="3">
          <cell r="A3" t="str">
            <v>CerdoAgrosuper Asia</v>
          </cell>
          <cell r="B3" t="str">
            <v>Cerdo</v>
          </cell>
          <cell r="C3" t="str">
            <v>Agrosuper Asia</v>
          </cell>
          <cell r="D3">
            <v>0.55508221380240719</v>
          </cell>
          <cell r="E3">
            <v>0.3938052388111854</v>
          </cell>
          <cell r="F3">
            <v>0.3938052388111854</v>
          </cell>
          <cell r="G3">
            <v>0.38476266834449474</v>
          </cell>
          <cell r="H3">
            <v>44814</v>
          </cell>
        </row>
        <row r="4">
          <cell r="A4" t="str">
            <v>CerdoAgrosuper Shanghai</v>
          </cell>
          <cell r="B4" t="str">
            <v>Cerdo</v>
          </cell>
          <cell r="C4" t="str">
            <v>Agrosuper Shanghai</v>
          </cell>
          <cell r="D4">
            <v>0.46003038686094999</v>
          </cell>
          <cell r="E4">
            <v>0.3938052388111854</v>
          </cell>
          <cell r="F4">
            <v>0.3938052388111854</v>
          </cell>
          <cell r="G4">
            <v>0.38476266834449474</v>
          </cell>
          <cell r="H4">
            <v>44814</v>
          </cell>
        </row>
        <row r="5">
          <cell r="A5" t="str">
            <v>CerdoAgro Sudamerica</v>
          </cell>
          <cell r="B5" t="str">
            <v>Cerdo</v>
          </cell>
          <cell r="C5" t="str">
            <v>Agro Sudamerica</v>
          </cell>
          <cell r="D5">
            <v>0.50755630033167853</v>
          </cell>
          <cell r="E5">
            <v>0.5154724771671565</v>
          </cell>
          <cell r="F5">
            <v>0.5154724771671565</v>
          </cell>
          <cell r="G5">
            <v>0.3545854356400317</v>
          </cell>
          <cell r="H5">
            <v>44813</v>
          </cell>
        </row>
        <row r="6">
          <cell r="A6" t="str">
            <v>CerdoExportacion Directa</v>
          </cell>
          <cell r="B6" t="str">
            <v>Cerdo</v>
          </cell>
          <cell r="C6" t="str">
            <v>Exportacion Directa</v>
          </cell>
          <cell r="D6">
            <v>0.84127367677561793</v>
          </cell>
          <cell r="E6">
            <v>0.7577362385835783</v>
          </cell>
          <cell r="F6">
            <v>0.7577362385835783</v>
          </cell>
          <cell r="G6">
            <v>0.77338883776001444</v>
          </cell>
          <cell r="H6">
            <v>44817</v>
          </cell>
        </row>
        <row r="7">
          <cell r="A7" t="str">
            <v>CerdoAgrosuper Brasil</v>
          </cell>
          <cell r="B7" t="str">
            <v>Cerdo</v>
          </cell>
          <cell r="C7" t="str">
            <v>Agrosuper Brasil</v>
          </cell>
          <cell r="D7">
            <v>0.79374776330488928</v>
          </cell>
          <cell r="E7">
            <v>0.74227818722130146</v>
          </cell>
          <cell r="F7">
            <v>0.74227818722130146</v>
          </cell>
          <cell r="G7">
            <v>0.77338883776001444</v>
          </cell>
          <cell r="H7">
            <v>44817</v>
          </cell>
        </row>
        <row r="8">
          <cell r="A8" t="str">
            <v>CerdoAgro Mexico</v>
          </cell>
          <cell r="B8" t="str">
            <v>Cerdo</v>
          </cell>
          <cell r="C8" t="str">
            <v>Agro Mexico</v>
          </cell>
          <cell r="D8">
            <v>0.55508221380240719</v>
          </cell>
          <cell r="E8">
            <v>0.5154724771671565</v>
          </cell>
          <cell r="G8">
            <v>0.38476266834449474</v>
          </cell>
          <cell r="H8">
            <v>44787</v>
          </cell>
        </row>
        <row r="9">
          <cell r="A9" t="str">
            <v>PolloAgrosuper Asia</v>
          </cell>
          <cell r="B9" t="str">
            <v>Pollo</v>
          </cell>
          <cell r="C9" t="str">
            <v>Agrosuper Asia</v>
          </cell>
          <cell r="G9">
            <v>0.47745072632608576</v>
          </cell>
          <cell r="H9">
            <v>44817</v>
          </cell>
        </row>
        <row r="10">
          <cell r="A10" t="str">
            <v>PolloAgrosuper Shanghai</v>
          </cell>
          <cell r="B10" t="str">
            <v>Pollo</v>
          </cell>
          <cell r="C10" t="str">
            <v>Agrosuper Shanghai</v>
          </cell>
          <cell r="G10">
            <v>0.47745072632608576</v>
          </cell>
          <cell r="H10">
            <v>44817</v>
          </cell>
        </row>
        <row r="11">
          <cell r="A11" t="str">
            <v>PolloAgro Sudamerica</v>
          </cell>
          <cell r="B11" t="str">
            <v>Pollo</v>
          </cell>
          <cell r="C11" t="str">
            <v>Agro Sudamerica</v>
          </cell>
          <cell r="G11">
            <v>0.47745072632608576</v>
          </cell>
          <cell r="H11">
            <v>44817</v>
          </cell>
        </row>
        <row r="12">
          <cell r="A12" t="str">
            <v>PolloExportacion Directa</v>
          </cell>
          <cell r="B12" t="str">
            <v>Pollo</v>
          </cell>
          <cell r="C12" t="str">
            <v>Exportacion Directa</v>
          </cell>
          <cell r="H12"/>
        </row>
        <row r="13">
          <cell r="A13" t="str">
            <v>PolloAgrosuper Brasil</v>
          </cell>
          <cell r="B13" t="str">
            <v>Pollo</v>
          </cell>
          <cell r="C13" t="str">
            <v>Agrosuper Brasil</v>
          </cell>
          <cell r="G13">
            <v>0.81973286675080992</v>
          </cell>
          <cell r="H13">
            <v>44817</v>
          </cell>
        </row>
        <row r="14">
          <cell r="A14" t="str">
            <v>PolloAgro Mexico</v>
          </cell>
          <cell r="B14" t="str">
            <v>Pollo</v>
          </cell>
          <cell r="C14" t="str">
            <v>Agro Mexico</v>
          </cell>
          <cell r="G14">
            <v>0.52379475531688124</v>
          </cell>
          <cell r="H14">
            <v>44787</v>
          </cell>
        </row>
        <row r="15">
          <cell r="A15" t="str">
            <v>PavoAgrosuper Asia</v>
          </cell>
          <cell r="B15" t="str">
            <v>Pavo</v>
          </cell>
          <cell r="C15" t="str">
            <v>Agrosuper Asia</v>
          </cell>
          <cell r="G15">
            <v>0.47745072632608576</v>
          </cell>
          <cell r="H15">
            <v>44817</v>
          </cell>
        </row>
        <row r="16">
          <cell r="A16" t="str">
            <v>PavoAgrosuper Shanghai</v>
          </cell>
          <cell r="B16" t="str">
            <v>Pavo</v>
          </cell>
          <cell r="C16" t="str">
            <v>Agrosuper Shanghai</v>
          </cell>
          <cell r="G16">
            <v>0.47745072632608576</v>
          </cell>
          <cell r="H16">
            <v>44817</v>
          </cell>
        </row>
        <row r="17">
          <cell r="A17" t="str">
            <v>PavoAgro Sudamerica</v>
          </cell>
          <cell r="B17" t="str">
            <v>Pavo</v>
          </cell>
          <cell r="C17" t="str">
            <v>Agro Sudamerica</v>
          </cell>
          <cell r="G17">
            <v>0.47745072632608576</v>
          </cell>
          <cell r="H17">
            <v>44817</v>
          </cell>
        </row>
        <row r="18">
          <cell r="A18" t="str">
            <v>PavoExportacion Directa</v>
          </cell>
          <cell r="B18" t="str">
            <v>Pavo</v>
          </cell>
          <cell r="C18" t="str">
            <v>Exportacion Directa</v>
          </cell>
          <cell r="G18">
            <v>0</v>
          </cell>
          <cell r="H18">
            <v>44817</v>
          </cell>
        </row>
        <row r="19">
          <cell r="A19" t="str">
            <v>PavoAgrosuper Brasil</v>
          </cell>
          <cell r="B19" t="str">
            <v>Pavo</v>
          </cell>
          <cell r="C19" t="str">
            <v>Agrosuper Brasil</v>
          </cell>
          <cell r="G19">
            <v>0.81973286675080992</v>
          </cell>
          <cell r="H19">
            <v>44817</v>
          </cell>
        </row>
        <row r="20">
          <cell r="A20" t="str">
            <v>PavoAgro Mexico</v>
          </cell>
          <cell r="B20" t="str">
            <v>Pavo</v>
          </cell>
          <cell r="C20" t="str">
            <v>Agro Mexico</v>
          </cell>
          <cell r="G20">
            <v>0.52379475531688124</v>
          </cell>
          <cell r="H20">
            <v>44787</v>
          </cell>
        </row>
        <row r="21">
          <cell r="A21" t="str">
            <v>ElaboradoAgro Sudamerica</v>
          </cell>
          <cell r="B21" t="str">
            <v>Elaborado</v>
          </cell>
          <cell r="C21" t="str">
            <v>Agro Sudamerica</v>
          </cell>
          <cell r="G21">
            <v>0.4</v>
          </cell>
          <cell r="H21">
            <v>44817</v>
          </cell>
        </row>
        <row r="22">
          <cell r="A22" t="str">
            <v>ElaboradoAgro Sudamerica</v>
          </cell>
          <cell r="B22" t="str">
            <v>Elaborado</v>
          </cell>
          <cell r="C22" t="str">
            <v>Agro Sudamerica</v>
          </cell>
          <cell r="G22">
            <v>0.4</v>
          </cell>
          <cell r="H22">
            <v>44817</v>
          </cell>
        </row>
        <row r="23">
          <cell r="H23"/>
        </row>
        <row r="24">
          <cell r="H24"/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Pedidos"/>
      <sheetName val="DELAY"/>
      <sheetName val="Hoja5"/>
      <sheetName val="Calendario ciclo"/>
      <sheetName val="Base Stock"/>
      <sheetName val="TD Stock"/>
      <sheetName val="TD Conf-AP"/>
    </sheetNames>
    <sheetDataSet>
      <sheetData sheetId="0"/>
      <sheetData sheetId="1">
        <row r="9">
          <cell r="R9" t="str">
            <v>Revisar</v>
          </cell>
        </row>
        <row r="10">
          <cell r="B10" t="str">
            <v>Pedidos ya cponsiderados</v>
          </cell>
          <cell r="C10">
            <v>0</v>
          </cell>
          <cell r="I10" t="str">
            <v>Pedidos ya cponsiderados</v>
          </cell>
          <cell r="J10">
            <v>0</v>
          </cell>
        </row>
        <row r="11">
          <cell r="B11" t="str">
            <v>Tipo Venta</v>
          </cell>
          <cell r="C11" t="str">
            <v>EX</v>
          </cell>
          <cell r="D11">
            <v>10932184.6</v>
          </cell>
          <cell r="I11" t="str">
            <v>Tipo Venta</v>
          </cell>
          <cell r="J11" t="str">
            <v>EX</v>
          </cell>
          <cell r="R11" t="str">
            <v>Promedio</v>
          </cell>
        </row>
        <row r="13">
          <cell r="B13" t="str">
            <v>Suma de Cantidad Pedida</v>
          </cell>
          <cell r="I13" t="str">
            <v>Suma de Cantidad Pedida</v>
          </cell>
          <cell r="K13" t="str">
            <v>Mes Ciclo</v>
          </cell>
          <cell r="W13" t="str">
            <v>Ponderar este precio</v>
          </cell>
        </row>
        <row r="14">
          <cell r="A14" t="str">
            <v>OficinaCodigo Material</v>
          </cell>
          <cell r="B14" t="str">
            <v>Oficina</v>
          </cell>
          <cell r="C14" t="str">
            <v>Codigo Material</v>
          </cell>
          <cell r="D14" t="str">
            <v>Total</v>
          </cell>
          <cell r="I14" t="str">
            <v>Oficina</v>
          </cell>
          <cell r="J14" t="str">
            <v>Codigo Material</v>
          </cell>
          <cell r="K14" t="str">
            <v>Marzo</v>
          </cell>
          <cell r="L14" t="str">
            <v>Abril</v>
          </cell>
          <cell r="M14" t="str">
            <v>Mayo</v>
          </cell>
          <cell r="N14" t="str">
            <v>Junio</v>
          </cell>
          <cell r="O14" t="str">
            <v>Julio</v>
          </cell>
          <cell r="P14" t="str">
            <v>Agosto</v>
          </cell>
          <cell r="Q14" t="str">
            <v>Total general</v>
          </cell>
          <cell r="R14" t="str">
            <v>Marzo</v>
          </cell>
          <cell r="S14" t="str">
            <v>Abril</v>
          </cell>
          <cell r="T14" t="str">
            <v>Mayo</v>
          </cell>
          <cell r="U14" t="str">
            <v>Junio</v>
          </cell>
          <cell r="V14" t="str">
            <v>Julio</v>
          </cell>
          <cell r="W14" t="str">
            <v>Agosto</v>
          </cell>
          <cell r="X14" t="str">
            <v>Precio onderado</v>
          </cell>
        </row>
        <row r="15">
          <cell r="A15" t="str">
            <v>AGRO MEXICO1012764</v>
          </cell>
          <cell r="B15" t="str">
            <v>AGRO MEXICO</v>
          </cell>
          <cell r="C15">
            <v>1012764</v>
          </cell>
          <cell r="D15">
            <v>192000</v>
          </cell>
          <cell r="H15" t="str">
            <v>AGRO MEXICO1012764</v>
          </cell>
          <cell r="I15" t="str">
            <v>AGRO MEXICO</v>
          </cell>
          <cell r="J15">
            <v>1012764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192000</v>
          </cell>
          <cell r="Q15">
            <v>192000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0.76217570833333403</v>
          </cell>
          <cell r="X15">
            <v>0.76217570833333392</v>
          </cell>
        </row>
        <row r="16">
          <cell r="A16" t="str">
            <v>AGRO MEXICO1030802</v>
          </cell>
          <cell r="B16" t="str">
            <v>AGRO MEXICO</v>
          </cell>
          <cell r="C16">
            <v>1030802</v>
          </cell>
          <cell r="D16">
            <v>48000</v>
          </cell>
          <cell r="H16" t="str">
            <v>AGRO MEXICO1030802</v>
          </cell>
          <cell r="I16" t="str">
            <v>AGRO MEXICO</v>
          </cell>
          <cell r="J16">
            <v>1030802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48000</v>
          </cell>
          <cell r="Q16">
            <v>48000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1.3022750000000001</v>
          </cell>
          <cell r="X16">
            <v>1.3022750000000001</v>
          </cell>
        </row>
        <row r="17">
          <cell r="A17" t="str">
            <v>AGRO SUDAMERICA1010877</v>
          </cell>
          <cell r="B17" t="str">
            <v>AGRO SUDAMERICA</v>
          </cell>
          <cell r="C17">
            <v>1010877</v>
          </cell>
          <cell r="D17">
            <v>89000</v>
          </cell>
          <cell r="H17" t="str">
            <v>AGRO SUDAMERICA1010877</v>
          </cell>
          <cell r="I17" t="str">
            <v>AGRO SUDAMERICA</v>
          </cell>
          <cell r="J17">
            <v>1010877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89000</v>
          </cell>
          <cell r="Q17">
            <v>89000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0.89231055900621103</v>
          </cell>
          <cell r="X17">
            <v>0.89231055900621103</v>
          </cell>
        </row>
        <row r="18">
          <cell r="A18" t="str">
            <v>AGRO SUDAMERICA1011421</v>
          </cell>
          <cell r="B18" t="str">
            <v>AGRO SUDAMERICA</v>
          </cell>
          <cell r="C18">
            <v>1011421</v>
          </cell>
          <cell r="D18">
            <v>312000</v>
          </cell>
          <cell r="H18" t="str">
            <v>AGRO SUDAMERICA1011421</v>
          </cell>
          <cell r="I18" t="str">
            <v>AGRO SUDAMERICA</v>
          </cell>
          <cell r="J18">
            <v>1011421</v>
          </cell>
          <cell r="K18">
            <v>0</v>
          </cell>
          <cell r="L18">
            <v>0</v>
          </cell>
          <cell r="M18">
            <v>0</v>
          </cell>
          <cell r="N18">
            <v>24000</v>
          </cell>
          <cell r="O18">
            <v>0</v>
          </cell>
          <cell r="P18">
            <v>288000</v>
          </cell>
          <cell r="Q18">
            <v>312000</v>
          </cell>
          <cell r="R18">
            <v>0</v>
          </cell>
          <cell r="S18">
            <v>0</v>
          </cell>
          <cell r="T18">
            <v>0</v>
          </cell>
          <cell r="U18">
            <v>1.0306858108108099</v>
          </cell>
          <cell r="V18">
            <v>0</v>
          </cell>
          <cell r="W18">
            <v>1.04697530864198</v>
          </cell>
          <cell r="X18">
            <v>1.0457222703472746</v>
          </cell>
        </row>
        <row r="19">
          <cell r="A19" t="str">
            <v>AGRO SUDAMERICA1011558</v>
          </cell>
          <cell r="B19" t="str">
            <v>AGRO SUDAMERICA</v>
          </cell>
          <cell r="C19">
            <v>1011558</v>
          </cell>
          <cell r="D19">
            <v>72000</v>
          </cell>
          <cell r="H19" t="str">
            <v>AGRO SUDAMERICA1011558</v>
          </cell>
          <cell r="I19" t="str">
            <v>AGRO SUDAMERICA</v>
          </cell>
          <cell r="J19">
            <v>1011558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72000</v>
          </cell>
          <cell r="Q19">
            <v>72000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1.06334375</v>
          </cell>
          <cell r="X19">
            <v>1.06334375</v>
          </cell>
        </row>
        <row r="20">
          <cell r="A20" t="str">
            <v>AGRO SUDAMERICA1011560</v>
          </cell>
          <cell r="B20" t="str">
            <v>AGRO SUDAMERICA</v>
          </cell>
          <cell r="C20">
            <v>1011560</v>
          </cell>
          <cell r="D20">
            <v>6750</v>
          </cell>
          <cell r="H20" t="str">
            <v>AGRO SUDAMERICA1011560</v>
          </cell>
          <cell r="I20" t="str">
            <v>AGRO SUDAMERICA</v>
          </cell>
          <cell r="J20">
            <v>1011560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6750</v>
          </cell>
          <cell r="Q20">
            <v>6750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0.75332333333333301</v>
          </cell>
          <cell r="X20">
            <v>0.75332333333333301</v>
          </cell>
        </row>
        <row r="21">
          <cell r="A21" t="str">
            <v>AGRO SUDAMERICA1012207</v>
          </cell>
          <cell r="B21" t="str">
            <v>AGRO SUDAMERICA</v>
          </cell>
          <cell r="C21">
            <v>1012207</v>
          </cell>
          <cell r="D21">
            <v>48000</v>
          </cell>
          <cell r="H21" t="str">
            <v>AGRO SUDAMERICA1012207</v>
          </cell>
          <cell r="I21" t="str">
            <v>AGRO SUDAMERICA</v>
          </cell>
          <cell r="J21">
            <v>1012207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48000</v>
          </cell>
          <cell r="Q21">
            <v>48000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0.853291666666667</v>
          </cell>
          <cell r="X21">
            <v>0.853291666666667</v>
          </cell>
        </row>
        <row r="22">
          <cell r="A22" t="str">
            <v>AGRO SUDAMERICA1012208</v>
          </cell>
          <cell r="B22" t="str">
            <v>AGRO SUDAMERICA</v>
          </cell>
          <cell r="C22">
            <v>1012208</v>
          </cell>
          <cell r="D22">
            <v>48000</v>
          </cell>
          <cell r="H22" t="str">
            <v>AGRO SUDAMERICA1012208</v>
          </cell>
          <cell r="I22" t="str">
            <v>AGRO SUDAMERICA</v>
          </cell>
          <cell r="J22">
            <v>1012208</v>
          </cell>
          <cell r="K22">
            <v>0</v>
          </cell>
          <cell r="L22">
            <v>0</v>
          </cell>
          <cell r="M22">
            <v>24000</v>
          </cell>
          <cell r="N22">
            <v>0</v>
          </cell>
          <cell r="O22">
            <v>24000</v>
          </cell>
          <cell r="P22">
            <v>0</v>
          </cell>
          <cell r="Q22">
            <v>48000</v>
          </cell>
          <cell r="R22">
            <v>0</v>
          </cell>
          <cell r="S22">
            <v>0</v>
          </cell>
          <cell r="T22">
            <v>1.51216666666667</v>
          </cell>
          <cell r="U22">
            <v>0</v>
          </cell>
          <cell r="V22">
            <v>1.5</v>
          </cell>
          <cell r="W22">
            <v>0</v>
          </cell>
          <cell r="X22">
            <v>1.5060833333333352</v>
          </cell>
        </row>
        <row r="23">
          <cell r="A23" t="str">
            <v>AGRO SUDAMERICA1012362</v>
          </cell>
          <cell r="B23" t="str">
            <v>AGRO SUDAMERICA</v>
          </cell>
          <cell r="C23">
            <v>1012362</v>
          </cell>
          <cell r="D23">
            <v>18205</v>
          </cell>
          <cell r="H23" t="str">
            <v>AGRO SUDAMERICA1012362</v>
          </cell>
          <cell r="I23" t="str">
            <v>AGRO SUDAMERICA</v>
          </cell>
          <cell r="J23">
            <v>1012362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18205</v>
          </cell>
          <cell r="Q23">
            <v>18205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0.82894743202416898</v>
          </cell>
          <cell r="X23">
            <v>0.82894743202416898</v>
          </cell>
        </row>
        <row r="24">
          <cell r="A24" t="str">
            <v>AGRO SUDAMERICA1012552</v>
          </cell>
          <cell r="B24" t="str">
            <v>AGRO SUDAMERICA</v>
          </cell>
          <cell r="C24">
            <v>1012552</v>
          </cell>
          <cell r="D24">
            <v>57000</v>
          </cell>
          <cell r="H24" t="str">
            <v>AGRO SUDAMERICA1012552</v>
          </cell>
          <cell r="I24" t="str">
            <v>AGRO SUDAMERICA</v>
          </cell>
          <cell r="J24">
            <v>1012552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57000</v>
          </cell>
          <cell r="Q24">
            <v>57000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3.6469135802469101</v>
          </cell>
          <cell r="X24">
            <v>3.6469135802469101</v>
          </cell>
        </row>
        <row r="25">
          <cell r="A25" t="str">
            <v>AGRO SUDAMERICA1012719</v>
          </cell>
          <cell r="B25" t="str">
            <v>AGRO SUDAMERICA</v>
          </cell>
          <cell r="C25">
            <v>1012719</v>
          </cell>
          <cell r="D25">
            <v>24000</v>
          </cell>
          <cell r="H25" t="str">
            <v>AGRO SUDAMERICA1012719</v>
          </cell>
          <cell r="I25" t="str">
            <v>AGRO SUDAMERICA</v>
          </cell>
          <cell r="J25">
            <v>1012719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24000</v>
          </cell>
          <cell r="P25">
            <v>0</v>
          </cell>
          <cell r="Q25">
            <v>24000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0.62929166666666703</v>
          </cell>
          <cell r="W25">
            <v>0</v>
          </cell>
          <cell r="X25">
            <v>0.62929166666666703</v>
          </cell>
        </row>
        <row r="26">
          <cell r="A26" t="str">
            <v>AGRO SUDAMERICA1012763</v>
          </cell>
          <cell r="B26" t="str">
            <v>AGRO SUDAMERICA</v>
          </cell>
          <cell r="C26">
            <v>1012763</v>
          </cell>
          <cell r="D26">
            <v>24000</v>
          </cell>
          <cell r="H26" t="str">
            <v>AGRO SUDAMERICA1012763</v>
          </cell>
          <cell r="I26" t="str">
            <v>AGRO SUDAMERICA</v>
          </cell>
          <cell r="J26">
            <v>1012763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24000</v>
          </cell>
          <cell r="Q26">
            <v>24000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0.85164583333333299</v>
          </cell>
          <cell r="X26">
            <v>0.85164583333333299</v>
          </cell>
        </row>
        <row r="27">
          <cell r="A27" t="str">
            <v>AGRO SUDAMERICA1020339</v>
          </cell>
          <cell r="B27" t="str">
            <v>AGRO SUDAMERICA</v>
          </cell>
          <cell r="C27">
            <v>1020339</v>
          </cell>
          <cell r="D27">
            <v>24000</v>
          </cell>
          <cell r="H27" t="str">
            <v>AGRO SUDAMERICA1020339</v>
          </cell>
          <cell r="I27" t="str">
            <v>AGRO SUDAMERICA</v>
          </cell>
          <cell r="J27">
            <v>1020339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24000</v>
          </cell>
          <cell r="Q27">
            <v>24000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1.95</v>
          </cell>
          <cell r="X27">
            <v>1.95</v>
          </cell>
        </row>
        <row r="28">
          <cell r="A28" t="str">
            <v>AGRO SUDAMERICA1020349</v>
          </cell>
          <cell r="B28" t="str">
            <v>AGRO SUDAMERICA</v>
          </cell>
          <cell r="C28">
            <v>1020349</v>
          </cell>
          <cell r="D28">
            <v>24000</v>
          </cell>
          <cell r="H28" t="str">
            <v>AGRO SUDAMERICA1020349</v>
          </cell>
          <cell r="I28" t="str">
            <v>AGRO SUDAMERICA</v>
          </cell>
          <cell r="J28">
            <v>1020349</v>
          </cell>
          <cell r="K28">
            <v>0</v>
          </cell>
          <cell r="L28">
            <v>24000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24000</v>
          </cell>
          <cell r="R28">
            <v>0</v>
          </cell>
          <cell r="S28">
            <v>1.73888888888889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1.7388888888888898</v>
          </cell>
        </row>
        <row r="29">
          <cell r="A29" t="str">
            <v>AGRO SUDAMERICA1020352</v>
          </cell>
          <cell r="B29" t="str">
            <v>AGRO SUDAMERICA</v>
          </cell>
          <cell r="C29">
            <v>1020352</v>
          </cell>
          <cell r="D29">
            <v>72000</v>
          </cell>
          <cell r="H29" t="str">
            <v>AGRO SUDAMERICA1020352</v>
          </cell>
          <cell r="I29" t="str">
            <v>AGRO SUDAMERICA</v>
          </cell>
          <cell r="J29">
            <v>1020352</v>
          </cell>
          <cell r="K29">
            <v>0</v>
          </cell>
          <cell r="L29">
            <v>0</v>
          </cell>
          <cell r="M29">
            <v>0</v>
          </cell>
          <cell r="N29">
            <v>24000</v>
          </cell>
          <cell r="O29">
            <v>24000</v>
          </cell>
          <cell r="P29">
            <v>24000</v>
          </cell>
          <cell r="Q29">
            <v>72000</v>
          </cell>
          <cell r="R29">
            <v>0</v>
          </cell>
          <cell r="S29">
            <v>0</v>
          </cell>
          <cell r="T29">
            <v>0</v>
          </cell>
          <cell r="U29">
            <v>1.2802083333333301</v>
          </cell>
          <cell r="V29">
            <v>1.4215625000000001</v>
          </cell>
          <cell r="W29">
            <v>1.56</v>
          </cell>
          <cell r="X29">
            <v>1.4205902777777766</v>
          </cell>
        </row>
        <row r="30">
          <cell r="A30" t="str">
            <v>AGRO SUDAMERICA1020367</v>
          </cell>
          <cell r="B30" t="str">
            <v>AGRO SUDAMERICA</v>
          </cell>
          <cell r="C30">
            <v>1020367</v>
          </cell>
          <cell r="D30">
            <v>72000</v>
          </cell>
          <cell r="H30" t="str">
            <v>AGRO SUDAMERICA1020367</v>
          </cell>
          <cell r="I30" t="str">
            <v>AGRO SUDAMERICA</v>
          </cell>
          <cell r="J30">
            <v>1020367</v>
          </cell>
          <cell r="K30">
            <v>0</v>
          </cell>
          <cell r="L30">
            <v>23000</v>
          </cell>
          <cell r="M30">
            <v>0</v>
          </cell>
          <cell r="N30">
            <v>0</v>
          </cell>
          <cell r="O30">
            <v>17000</v>
          </cell>
          <cell r="P30">
            <v>32000</v>
          </cell>
          <cell r="Q30">
            <v>72000</v>
          </cell>
          <cell r="R30">
            <v>0</v>
          </cell>
          <cell r="S30">
            <v>0.97750703483146095</v>
          </cell>
          <cell r="T30">
            <v>0</v>
          </cell>
          <cell r="U30">
            <v>0</v>
          </cell>
          <cell r="V30">
            <v>1.2156197752808999</v>
          </cell>
          <cell r="W30">
            <v>1.3972703947368399</v>
          </cell>
          <cell r="X30">
            <v>1.2202895918399692</v>
          </cell>
        </row>
        <row r="31">
          <cell r="A31" t="str">
            <v>AGRO SUDAMERICA1020412</v>
          </cell>
          <cell r="B31" t="str">
            <v>AGRO SUDAMERICA</v>
          </cell>
          <cell r="C31">
            <v>1020412</v>
          </cell>
          <cell r="D31">
            <v>36000</v>
          </cell>
          <cell r="H31" t="str">
            <v>AGRO SUDAMERICA1020412</v>
          </cell>
          <cell r="I31" t="str">
            <v>AGRO SUDAMERICA</v>
          </cell>
          <cell r="J31">
            <v>1020412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36000</v>
          </cell>
          <cell r="Q31">
            <v>36000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1.6701662668674699</v>
          </cell>
          <cell r="X31">
            <v>1.6701662668674699</v>
          </cell>
        </row>
        <row r="32">
          <cell r="A32" t="str">
            <v>AGRO SUDAMERICA1020848</v>
          </cell>
          <cell r="B32" t="str">
            <v>AGRO SUDAMERICA</v>
          </cell>
          <cell r="C32">
            <v>1020848</v>
          </cell>
          <cell r="D32">
            <v>84000</v>
          </cell>
          <cell r="H32" t="str">
            <v>AGRO SUDAMERICA1020848</v>
          </cell>
          <cell r="I32" t="str">
            <v>AGRO SUDAMERICA</v>
          </cell>
          <cell r="J32">
            <v>1020848</v>
          </cell>
          <cell r="K32">
            <v>0</v>
          </cell>
          <cell r="L32">
            <v>0</v>
          </cell>
          <cell r="M32">
            <v>0</v>
          </cell>
          <cell r="N32">
            <v>24000</v>
          </cell>
          <cell r="O32">
            <v>24000</v>
          </cell>
          <cell r="P32">
            <v>36000</v>
          </cell>
          <cell r="Q32">
            <v>84000</v>
          </cell>
          <cell r="R32">
            <v>0</v>
          </cell>
          <cell r="S32">
            <v>0</v>
          </cell>
          <cell r="T32">
            <v>0</v>
          </cell>
          <cell r="U32">
            <v>3.2851875000000001</v>
          </cell>
          <cell r="V32">
            <v>3.2158333333333302</v>
          </cell>
          <cell r="W32">
            <v>3.4</v>
          </cell>
          <cell r="X32">
            <v>3.3145773809523802</v>
          </cell>
        </row>
        <row r="33">
          <cell r="A33" t="str">
            <v>AGRO SUDAMERICA1020869</v>
          </cell>
          <cell r="B33" t="str">
            <v>AGRO SUDAMERICA</v>
          </cell>
          <cell r="C33">
            <v>1020869</v>
          </cell>
          <cell r="D33">
            <v>48000</v>
          </cell>
          <cell r="H33" t="str">
            <v>AGRO SUDAMERICA1020869</v>
          </cell>
          <cell r="I33" t="str">
            <v>AGRO SUDAMERICA</v>
          </cell>
          <cell r="J33">
            <v>1020869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48000</v>
          </cell>
          <cell r="Q33">
            <v>48000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4.7720256812499997</v>
          </cell>
          <cell r="X33">
            <v>4.7720256812499997</v>
          </cell>
        </row>
        <row r="34">
          <cell r="A34" t="str">
            <v>AGRO SUDAMERICA1020915</v>
          </cell>
          <cell r="B34" t="str">
            <v>AGRO SUDAMERICA</v>
          </cell>
          <cell r="C34">
            <v>1020915</v>
          </cell>
          <cell r="D34">
            <v>12530</v>
          </cell>
          <cell r="H34" t="str">
            <v>AGRO SUDAMERICA1020915</v>
          </cell>
          <cell r="I34" t="str">
            <v>AGRO SUDAMERICA</v>
          </cell>
          <cell r="J34">
            <v>1020915</v>
          </cell>
          <cell r="K34">
            <v>530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12000</v>
          </cell>
          <cell r="Q34">
            <v>12530</v>
          </cell>
          <cell r="R34">
            <v>2.4500000000000002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1.9044538718749999</v>
          </cell>
          <cell r="X34">
            <v>1.92752964584996</v>
          </cell>
        </row>
        <row r="35">
          <cell r="A35" t="str">
            <v>AGRO SUDAMERICA1020925</v>
          </cell>
          <cell r="B35" t="str">
            <v>AGRO SUDAMERICA</v>
          </cell>
          <cell r="C35">
            <v>1020925</v>
          </cell>
          <cell r="D35">
            <v>150200</v>
          </cell>
          <cell r="H35" t="str">
            <v>AGRO SUDAMERICA1020925</v>
          </cell>
          <cell r="I35" t="str">
            <v>AGRO SUDAMERICA</v>
          </cell>
          <cell r="J35">
            <v>1020925</v>
          </cell>
          <cell r="K35">
            <v>0</v>
          </cell>
          <cell r="L35">
            <v>0</v>
          </cell>
          <cell r="M35">
            <v>24000</v>
          </cell>
          <cell r="N35">
            <v>18200</v>
          </cell>
          <cell r="O35">
            <v>84000</v>
          </cell>
          <cell r="P35">
            <v>24000</v>
          </cell>
          <cell r="Q35">
            <v>150200</v>
          </cell>
          <cell r="R35">
            <v>0</v>
          </cell>
          <cell r="S35">
            <v>0</v>
          </cell>
          <cell r="T35">
            <v>1.4463333333333299</v>
          </cell>
          <cell r="U35">
            <v>1.4043562393364899</v>
          </cell>
          <cell r="V35">
            <v>1.5114880952381</v>
          </cell>
          <cell r="W35">
            <v>1.2661009624999999</v>
          </cell>
          <cell r="X35">
            <v>1.4488861961113477</v>
          </cell>
        </row>
        <row r="36">
          <cell r="A36" t="str">
            <v>AGRO SUDAMERICA1020944</v>
          </cell>
          <cell r="B36" t="str">
            <v>AGRO SUDAMERICA</v>
          </cell>
          <cell r="C36">
            <v>1020944</v>
          </cell>
          <cell r="D36">
            <v>132700</v>
          </cell>
          <cell r="H36" t="str">
            <v>AGRO SUDAMERICA1020944</v>
          </cell>
          <cell r="I36" t="str">
            <v>AGRO SUDAMERICA</v>
          </cell>
          <cell r="J36">
            <v>1020944</v>
          </cell>
          <cell r="K36">
            <v>0</v>
          </cell>
          <cell r="L36">
            <v>0</v>
          </cell>
          <cell r="M36">
            <v>2700</v>
          </cell>
          <cell r="N36">
            <v>10000</v>
          </cell>
          <cell r="O36">
            <v>24000</v>
          </cell>
          <cell r="P36">
            <v>96000</v>
          </cell>
          <cell r="Q36">
            <v>132700</v>
          </cell>
          <cell r="R36">
            <v>0</v>
          </cell>
          <cell r="S36">
            <v>0</v>
          </cell>
          <cell r="T36">
            <v>2.6623845037496801</v>
          </cell>
          <cell r="U36">
            <v>2.7626769911504399</v>
          </cell>
          <cell r="V36">
            <v>2.7542202380952401</v>
          </cell>
          <cell r="W36">
            <v>2.9126190476190499</v>
          </cell>
          <cell r="X36">
            <v>2.8675804246973859</v>
          </cell>
        </row>
        <row r="37">
          <cell r="A37" t="str">
            <v>AGRO SUDAMERICA1020993</v>
          </cell>
          <cell r="B37" t="str">
            <v>AGRO SUDAMERICA</v>
          </cell>
          <cell r="C37">
            <v>1020993</v>
          </cell>
          <cell r="D37">
            <v>2900</v>
          </cell>
          <cell r="H37" t="str">
            <v>AGRO SUDAMERICA1020993</v>
          </cell>
          <cell r="I37" t="str">
            <v>AGRO SUDAMERICA</v>
          </cell>
          <cell r="J37">
            <v>1020993</v>
          </cell>
          <cell r="K37">
            <v>2900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2900</v>
          </cell>
          <cell r="R37">
            <v>1.9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1.9</v>
          </cell>
        </row>
        <row r="38">
          <cell r="A38" t="str">
            <v>AGRO SUDAMERICA1021023</v>
          </cell>
          <cell r="B38" t="str">
            <v>AGRO SUDAMERICA</v>
          </cell>
          <cell r="C38">
            <v>1021023</v>
          </cell>
          <cell r="D38">
            <v>38000</v>
          </cell>
          <cell r="H38" t="str">
            <v>AGRO SUDAMERICA1021023</v>
          </cell>
          <cell r="I38" t="str">
            <v>AGRO SUDAMERICA</v>
          </cell>
          <cell r="J38">
            <v>1021023</v>
          </cell>
          <cell r="K38">
            <v>0</v>
          </cell>
          <cell r="L38">
            <v>0</v>
          </cell>
          <cell r="M38">
            <v>0</v>
          </cell>
          <cell r="N38">
            <v>14000</v>
          </cell>
          <cell r="O38">
            <v>0</v>
          </cell>
          <cell r="P38">
            <v>24000</v>
          </cell>
          <cell r="Q38">
            <v>38000</v>
          </cell>
          <cell r="R38">
            <v>0</v>
          </cell>
          <cell r="S38">
            <v>0</v>
          </cell>
          <cell r="T38">
            <v>0</v>
          </cell>
          <cell r="U38">
            <v>1.1482675436090199</v>
          </cell>
          <cell r="V38">
            <v>0</v>
          </cell>
          <cell r="W38">
            <v>1.2050000000000001</v>
          </cell>
          <cell r="X38">
            <v>1.1840985686980601</v>
          </cell>
        </row>
        <row r="39">
          <cell r="A39" t="str">
            <v>AGRO SUDAMERICA1021039</v>
          </cell>
          <cell r="B39" t="str">
            <v>AGRO SUDAMERICA</v>
          </cell>
          <cell r="C39">
            <v>1021039</v>
          </cell>
          <cell r="D39">
            <v>33271</v>
          </cell>
          <cell r="H39" t="str">
            <v>AGRO SUDAMERICA1021039</v>
          </cell>
          <cell r="I39" t="str">
            <v>AGRO SUDAMERICA</v>
          </cell>
          <cell r="J39">
            <v>1021039</v>
          </cell>
          <cell r="K39">
            <v>0</v>
          </cell>
          <cell r="L39">
            <v>0</v>
          </cell>
          <cell r="M39">
            <v>9271</v>
          </cell>
          <cell r="N39">
            <v>0</v>
          </cell>
          <cell r="O39">
            <v>24000</v>
          </cell>
          <cell r="P39">
            <v>0</v>
          </cell>
          <cell r="Q39">
            <v>33271</v>
          </cell>
          <cell r="R39">
            <v>0</v>
          </cell>
          <cell r="S39">
            <v>0</v>
          </cell>
          <cell r="T39">
            <v>0.590674154372408</v>
          </cell>
          <cell r="U39">
            <v>0</v>
          </cell>
          <cell r="V39">
            <v>0.534321145506505</v>
          </cell>
          <cell r="W39">
            <v>0</v>
          </cell>
          <cell r="X39">
            <v>0.55002397214819854</v>
          </cell>
        </row>
        <row r="40">
          <cell r="A40" t="str">
            <v>AGRO SUDAMERICA1021077</v>
          </cell>
          <cell r="B40" t="str">
            <v>AGRO SUDAMERICA</v>
          </cell>
          <cell r="C40">
            <v>1021077</v>
          </cell>
          <cell r="D40">
            <v>24000</v>
          </cell>
          <cell r="H40" t="str">
            <v>AGRO SUDAMERICA1021077</v>
          </cell>
          <cell r="I40" t="str">
            <v>AGRO SUDAMERICA</v>
          </cell>
          <cell r="J40">
            <v>1021077</v>
          </cell>
          <cell r="K40">
            <v>0</v>
          </cell>
          <cell r="L40">
            <v>0</v>
          </cell>
          <cell r="M40">
            <v>24000</v>
          </cell>
          <cell r="N40">
            <v>0</v>
          </cell>
          <cell r="O40">
            <v>0</v>
          </cell>
          <cell r="P40">
            <v>0</v>
          </cell>
          <cell r="Q40">
            <v>24000</v>
          </cell>
          <cell r="R40">
            <v>0</v>
          </cell>
          <cell r="S40">
            <v>0</v>
          </cell>
          <cell r="T40">
            <v>1.4141027837209299</v>
          </cell>
          <cell r="U40">
            <v>0</v>
          </cell>
          <cell r="V40">
            <v>0</v>
          </cell>
          <cell r="W40">
            <v>0</v>
          </cell>
          <cell r="X40">
            <v>1.4141027837209301</v>
          </cell>
        </row>
        <row r="41">
          <cell r="A41" t="str">
            <v>AGRO SUDAMERICA1021078</v>
          </cell>
          <cell r="B41" t="str">
            <v>AGRO SUDAMERICA</v>
          </cell>
          <cell r="C41">
            <v>1021078</v>
          </cell>
          <cell r="D41">
            <v>182000</v>
          </cell>
          <cell r="H41" t="str">
            <v>AGRO SUDAMERICA1021078</v>
          </cell>
          <cell r="I41" t="str">
            <v>AGRO SUDAMERICA</v>
          </cell>
          <cell r="J41">
            <v>1021078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72000</v>
          </cell>
          <cell r="P41">
            <v>110000</v>
          </cell>
          <cell r="Q41">
            <v>182000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2.2173055957944698</v>
          </cell>
          <cell r="W41">
            <v>2.3633041007462698</v>
          </cell>
          <cell r="X41">
            <v>2.3055464504356675</v>
          </cell>
        </row>
        <row r="42">
          <cell r="A42" t="str">
            <v>AGRO SUDAMERICA1021082</v>
          </cell>
          <cell r="B42" t="str">
            <v>AGRO SUDAMERICA</v>
          </cell>
          <cell r="C42">
            <v>1021082</v>
          </cell>
          <cell r="D42">
            <v>143000</v>
          </cell>
          <cell r="H42" t="str">
            <v>AGRO SUDAMERICA1021082</v>
          </cell>
          <cell r="I42" t="str">
            <v>AGRO SUDAMERICA</v>
          </cell>
          <cell r="J42">
            <v>1021082</v>
          </cell>
          <cell r="K42">
            <v>0</v>
          </cell>
          <cell r="L42">
            <v>0</v>
          </cell>
          <cell r="M42">
            <v>24000</v>
          </cell>
          <cell r="N42">
            <v>23000</v>
          </cell>
          <cell r="O42">
            <v>0</v>
          </cell>
          <cell r="P42">
            <v>96000</v>
          </cell>
          <cell r="Q42">
            <v>143000</v>
          </cell>
          <cell r="R42">
            <v>0</v>
          </cell>
          <cell r="S42">
            <v>0</v>
          </cell>
          <cell r="T42">
            <v>1.7790732446808499</v>
          </cell>
          <cell r="U42">
            <v>1.3</v>
          </cell>
          <cell r="V42">
            <v>0</v>
          </cell>
          <cell r="W42">
            <v>1.80588541666667</v>
          </cell>
          <cell r="X42">
            <v>1.7200192858205645</v>
          </cell>
        </row>
        <row r="43">
          <cell r="A43" t="str">
            <v>AGRO SUDAMERICA1021085</v>
          </cell>
          <cell r="B43" t="str">
            <v>AGRO SUDAMERICA</v>
          </cell>
          <cell r="C43">
            <v>1021085</v>
          </cell>
          <cell r="D43">
            <v>45300</v>
          </cell>
          <cell r="H43" t="str">
            <v>AGRO SUDAMERICA1021085</v>
          </cell>
          <cell r="I43" t="str">
            <v>AGRO SUDAMERICA</v>
          </cell>
          <cell r="J43">
            <v>1021085</v>
          </cell>
          <cell r="K43">
            <v>0</v>
          </cell>
          <cell r="L43">
            <v>0</v>
          </cell>
          <cell r="M43">
            <v>21300</v>
          </cell>
          <cell r="N43">
            <v>0</v>
          </cell>
          <cell r="O43">
            <v>0</v>
          </cell>
          <cell r="P43">
            <v>24000</v>
          </cell>
          <cell r="Q43">
            <v>45300</v>
          </cell>
          <cell r="R43">
            <v>0</v>
          </cell>
          <cell r="S43">
            <v>0</v>
          </cell>
          <cell r="T43">
            <v>0.82412221596244095</v>
          </cell>
          <cell r="U43">
            <v>0</v>
          </cell>
          <cell r="V43">
            <v>0</v>
          </cell>
          <cell r="W43">
            <v>1.1239583333333301</v>
          </cell>
          <cell r="X43">
            <v>0.98297578807946817</v>
          </cell>
        </row>
        <row r="44">
          <cell r="A44" t="str">
            <v>AGRO SUDAMERICA1021092</v>
          </cell>
          <cell r="B44" t="str">
            <v>AGRO SUDAMERICA</v>
          </cell>
          <cell r="C44">
            <v>1021092</v>
          </cell>
          <cell r="D44">
            <v>120000</v>
          </cell>
          <cell r="H44" t="str">
            <v>AGRO SUDAMERICA1021092</v>
          </cell>
          <cell r="I44" t="str">
            <v>AGRO SUDAMERICA</v>
          </cell>
          <cell r="J44">
            <v>1021092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24000</v>
          </cell>
          <cell r="P44">
            <v>96000</v>
          </cell>
          <cell r="Q44">
            <v>120000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2.41475838534679</v>
          </cell>
          <cell r="W44">
            <v>2.57163194444444</v>
          </cell>
          <cell r="X44">
            <v>2.5402572326249104</v>
          </cell>
        </row>
        <row r="45">
          <cell r="A45" t="str">
            <v>AGRO SUDAMERICA1021101</v>
          </cell>
          <cell r="B45" t="str">
            <v>AGRO SUDAMERICA</v>
          </cell>
          <cell r="C45">
            <v>1021101</v>
          </cell>
          <cell r="D45">
            <v>24000</v>
          </cell>
          <cell r="H45" t="str">
            <v>AGRO SUDAMERICA1021101</v>
          </cell>
          <cell r="I45" t="str">
            <v>AGRO SUDAMERICA</v>
          </cell>
          <cell r="J45">
            <v>1021101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24000</v>
          </cell>
          <cell r="P45">
            <v>0</v>
          </cell>
          <cell r="Q45">
            <v>24000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1.1103030303030299</v>
          </cell>
          <cell r="W45">
            <v>0</v>
          </cell>
          <cell r="X45">
            <v>1.1103030303030299</v>
          </cell>
        </row>
        <row r="46">
          <cell r="A46" t="str">
            <v>AGRO SUDAMERICA1021187</v>
          </cell>
          <cell r="B46" t="str">
            <v>AGRO SUDAMERICA</v>
          </cell>
          <cell r="C46">
            <v>1021187</v>
          </cell>
          <cell r="D46">
            <v>96000</v>
          </cell>
          <cell r="H46" t="str">
            <v>AGRO SUDAMERICA1021187</v>
          </cell>
          <cell r="I46" t="str">
            <v>AGRO SUDAMERICA</v>
          </cell>
          <cell r="J46">
            <v>1021187</v>
          </cell>
          <cell r="K46">
            <v>0</v>
          </cell>
          <cell r="L46">
            <v>0</v>
          </cell>
          <cell r="M46">
            <v>0</v>
          </cell>
          <cell r="N46">
            <v>24000</v>
          </cell>
          <cell r="O46">
            <v>24000</v>
          </cell>
          <cell r="P46">
            <v>48000</v>
          </cell>
          <cell r="Q46">
            <v>96000</v>
          </cell>
          <cell r="R46">
            <v>0</v>
          </cell>
          <cell r="S46">
            <v>0</v>
          </cell>
          <cell r="T46">
            <v>0</v>
          </cell>
          <cell r="U46">
            <v>2.05833333333333</v>
          </cell>
          <cell r="V46">
            <v>2.1800000000000002</v>
          </cell>
          <cell r="W46">
            <v>2.27</v>
          </cell>
          <cell r="X46">
            <v>2.1945833333333327</v>
          </cell>
        </row>
        <row r="47">
          <cell r="A47" t="str">
            <v>AGRO SUDAMERICA1021385</v>
          </cell>
          <cell r="B47" t="str">
            <v>AGRO SUDAMERICA</v>
          </cell>
          <cell r="C47">
            <v>1021385</v>
          </cell>
          <cell r="D47">
            <v>127200</v>
          </cell>
          <cell r="H47" t="str">
            <v>AGRO SUDAMERICA1021385</v>
          </cell>
          <cell r="I47" t="str">
            <v>AGRO SUDAMERICA</v>
          </cell>
          <cell r="J47">
            <v>1021385</v>
          </cell>
          <cell r="K47">
            <v>0</v>
          </cell>
          <cell r="L47">
            <v>0</v>
          </cell>
          <cell r="M47">
            <v>0</v>
          </cell>
          <cell r="N47">
            <v>24000</v>
          </cell>
          <cell r="O47">
            <v>48200</v>
          </cell>
          <cell r="P47">
            <v>55000</v>
          </cell>
          <cell r="Q47">
            <v>127200</v>
          </cell>
          <cell r="R47">
            <v>0</v>
          </cell>
          <cell r="S47">
            <v>0</v>
          </cell>
          <cell r="T47">
            <v>0</v>
          </cell>
          <cell r="U47">
            <v>0.77402222249999997</v>
          </cell>
          <cell r="V47">
            <v>0.81416088765603301</v>
          </cell>
          <cell r="W47">
            <v>1.00259493670886</v>
          </cell>
          <cell r="X47">
            <v>0.8880645412264786</v>
          </cell>
        </row>
        <row r="48">
          <cell r="A48" t="str">
            <v>AGRO SUDAMERICA1021639</v>
          </cell>
          <cell r="B48" t="str">
            <v>AGRO SUDAMERICA</v>
          </cell>
          <cell r="C48">
            <v>1021639</v>
          </cell>
          <cell r="D48">
            <v>2115</v>
          </cell>
          <cell r="H48" t="str">
            <v>AGRO SUDAMERICA1021639</v>
          </cell>
          <cell r="I48" t="str">
            <v>AGRO SUDAMERICA</v>
          </cell>
          <cell r="J48">
            <v>1021639</v>
          </cell>
          <cell r="K48">
            <v>2115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2115</v>
          </cell>
          <cell r="R48">
            <v>3.15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3.15</v>
          </cell>
        </row>
        <row r="49">
          <cell r="A49" t="str">
            <v>AGRO SUDAMERICA1021868</v>
          </cell>
          <cell r="B49" t="str">
            <v>AGRO SUDAMERICA</v>
          </cell>
          <cell r="C49">
            <v>1021868</v>
          </cell>
          <cell r="D49">
            <v>37000</v>
          </cell>
          <cell r="H49" t="str">
            <v>AGRO SUDAMERICA1021868</v>
          </cell>
          <cell r="I49" t="str">
            <v>AGRO SUDAMERICA</v>
          </cell>
          <cell r="J49">
            <v>1021868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1000</v>
          </cell>
          <cell r="P49">
            <v>36000</v>
          </cell>
          <cell r="Q49">
            <v>37000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2.9712448979591799</v>
          </cell>
          <cell r="W49">
            <v>2.9984722222222202</v>
          </cell>
          <cell r="X49">
            <v>2.9977363485934894</v>
          </cell>
        </row>
        <row r="50">
          <cell r="A50" t="str">
            <v>AGRO SUDAMERICA1021976</v>
          </cell>
          <cell r="B50" t="str">
            <v>AGRO SUDAMERICA</v>
          </cell>
          <cell r="C50">
            <v>1021976</v>
          </cell>
          <cell r="D50">
            <v>202859</v>
          </cell>
          <cell r="H50" t="str">
            <v>AGRO SUDAMERICA1021976</v>
          </cell>
          <cell r="I50" t="str">
            <v>AGRO SUDAMERICA</v>
          </cell>
          <cell r="J50">
            <v>1021976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58859</v>
          </cell>
          <cell r="P50">
            <v>144000</v>
          </cell>
          <cell r="Q50">
            <v>202859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2.46435634578406</v>
          </cell>
          <cell r="W50">
            <v>2.7102395833333301</v>
          </cell>
          <cell r="X50">
            <v>2.6388972150927668</v>
          </cell>
        </row>
        <row r="51">
          <cell r="A51" t="str">
            <v>AGRO SUDAMERICA1022149</v>
          </cell>
          <cell r="B51" t="str">
            <v>AGRO SUDAMERICA</v>
          </cell>
          <cell r="C51">
            <v>1022149</v>
          </cell>
          <cell r="D51">
            <v>60000</v>
          </cell>
          <cell r="H51" t="str">
            <v>AGRO SUDAMERICA1022149</v>
          </cell>
          <cell r="I51" t="str">
            <v>AGRO SUDAMERICA</v>
          </cell>
          <cell r="J51">
            <v>1022149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24000</v>
          </cell>
          <cell r="P51">
            <v>36000</v>
          </cell>
          <cell r="Q51">
            <v>60000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2.4</v>
          </cell>
          <cell r="W51">
            <v>2.224411575</v>
          </cell>
          <cell r="X51">
            <v>2.2946469449999998</v>
          </cell>
        </row>
        <row r="52">
          <cell r="A52" t="str">
            <v>AGRO SUDAMERICA1022150</v>
          </cell>
          <cell r="B52" t="str">
            <v>AGRO SUDAMERICA</v>
          </cell>
          <cell r="C52">
            <v>1022150</v>
          </cell>
          <cell r="D52">
            <v>180000</v>
          </cell>
          <cell r="H52" t="str">
            <v>AGRO SUDAMERICA1022150</v>
          </cell>
          <cell r="I52" t="str">
            <v>AGRO SUDAMERICA</v>
          </cell>
          <cell r="J52">
            <v>1022150</v>
          </cell>
          <cell r="K52">
            <v>0</v>
          </cell>
          <cell r="L52">
            <v>0</v>
          </cell>
          <cell r="M52">
            <v>24000</v>
          </cell>
          <cell r="N52">
            <v>72000</v>
          </cell>
          <cell r="O52">
            <v>36000</v>
          </cell>
          <cell r="P52">
            <v>48000</v>
          </cell>
          <cell r="Q52">
            <v>180000</v>
          </cell>
          <cell r="R52">
            <v>0</v>
          </cell>
          <cell r="S52">
            <v>0</v>
          </cell>
          <cell r="T52">
            <v>1.301725</v>
          </cell>
          <cell r="U52">
            <v>1.2736104935483901</v>
          </cell>
          <cell r="V52">
            <v>1.3216759259259301</v>
          </cell>
          <cell r="W52">
            <v>0.98727083333333299</v>
          </cell>
          <cell r="X52">
            <v>1.2106149381600977</v>
          </cell>
        </row>
        <row r="53">
          <cell r="A53" t="str">
            <v>AGRO SUDAMERICA1022183</v>
          </cell>
          <cell r="B53" t="str">
            <v>AGRO SUDAMERICA</v>
          </cell>
          <cell r="C53">
            <v>1022183</v>
          </cell>
          <cell r="D53">
            <v>72000</v>
          </cell>
          <cell r="H53" t="str">
            <v>AGRO SUDAMERICA1022183</v>
          </cell>
          <cell r="I53" t="str">
            <v>AGRO SUDAMERICA</v>
          </cell>
          <cell r="J53">
            <v>1022183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72000</v>
          </cell>
          <cell r="Q53">
            <v>72000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1</v>
          </cell>
          <cell r="X53">
            <v>1</v>
          </cell>
        </row>
        <row r="54">
          <cell r="A54" t="str">
            <v>AGRO SUDAMERICA1022196</v>
          </cell>
          <cell r="B54" t="str">
            <v>AGRO SUDAMERICA</v>
          </cell>
          <cell r="C54">
            <v>1022196</v>
          </cell>
          <cell r="D54">
            <v>96800</v>
          </cell>
          <cell r="H54" t="str">
            <v>AGRO SUDAMERICA1022196</v>
          </cell>
          <cell r="I54" t="str">
            <v>AGRO SUDAMERICA</v>
          </cell>
          <cell r="J54">
            <v>1022196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47800</v>
          </cell>
          <cell r="P54">
            <v>49000</v>
          </cell>
          <cell r="Q54">
            <v>96800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0.94450939457202499</v>
          </cell>
          <cell r="W54">
            <v>1.06612244897959</v>
          </cell>
          <cell r="X54">
            <v>1.0060697216998211</v>
          </cell>
        </row>
        <row r="55">
          <cell r="A55" t="str">
            <v>AGRO SUDAMERICA1022217</v>
          </cell>
          <cell r="B55" t="str">
            <v>AGRO SUDAMERICA</v>
          </cell>
          <cell r="C55">
            <v>1022217</v>
          </cell>
          <cell r="D55">
            <v>72000</v>
          </cell>
          <cell r="H55" t="str">
            <v>AGRO SUDAMERICA1022217</v>
          </cell>
          <cell r="I55" t="str">
            <v>AGRO SUDAMERICA</v>
          </cell>
          <cell r="J55">
            <v>1022217</v>
          </cell>
          <cell r="K55">
            <v>0</v>
          </cell>
          <cell r="L55">
            <v>0</v>
          </cell>
          <cell r="M55">
            <v>0</v>
          </cell>
          <cell r="N55">
            <v>48000</v>
          </cell>
          <cell r="O55">
            <v>24000</v>
          </cell>
          <cell r="P55">
            <v>0</v>
          </cell>
          <cell r="Q55">
            <v>72000</v>
          </cell>
          <cell r="R55">
            <v>0</v>
          </cell>
          <cell r="S55">
            <v>0</v>
          </cell>
          <cell r="T55">
            <v>0</v>
          </cell>
          <cell r="U55">
            <v>1.4966250000000001</v>
          </cell>
          <cell r="V55">
            <v>1.5</v>
          </cell>
          <cell r="W55">
            <v>0</v>
          </cell>
          <cell r="X55">
            <v>1.4977499999999999</v>
          </cell>
        </row>
        <row r="56">
          <cell r="A56" t="str">
            <v>AGRO SUDAMERICA1022218</v>
          </cell>
          <cell r="B56" t="str">
            <v>AGRO SUDAMERICA</v>
          </cell>
          <cell r="C56">
            <v>1022218</v>
          </cell>
          <cell r="D56">
            <v>5800</v>
          </cell>
          <cell r="H56" t="str">
            <v>AGRO SUDAMERICA1022218</v>
          </cell>
          <cell r="I56" t="str">
            <v>AGRO SUDAMERICA</v>
          </cell>
          <cell r="J56">
            <v>1022218</v>
          </cell>
          <cell r="K56">
            <v>0</v>
          </cell>
          <cell r="L56">
            <v>0</v>
          </cell>
          <cell r="M56">
            <v>0</v>
          </cell>
          <cell r="N56">
            <v>5800</v>
          </cell>
          <cell r="O56">
            <v>0</v>
          </cell>
          <cell r="P56">
            <v>0</v>
          </cell>
          <cell r="Q56">
            <v>5800</v>
          </cell>
          <cell r="R56">
            <v>0</v>
          </cell>
          <cell r="S56">
            <v>0</v>
          </cell>
          <cell r="T56">
            <v>0</v>
          </cell>
          <cell r="U56">
            <v>1.44416667241379</v>
          </cell>
          <cell r="V56">
            <v>0</v>
          </cell>
          <cell r="W56">
            <v>0</v>
          </cell>
          <cell r="X56">
            <v>1.4441666724137898</v>
          </cell>
        </row>
        <row r="57">
          <cell r="A57" t="str">
            <v>AGRO SUDAMERICA1022273</v>
          </cell>
          <cell r="B57" t="str">
            <v>AGRO SUDAMERICA</v>
          </cell>
          <cell r="C57">
            <v>1022273</v>
          </cell>
          <cell r="D57">
            <v>12000</v>
          </cell>
          <cell r="H57" t="str">
            <v>AGRO SUDAMERICA1022273</v>
          </cell>
          <cell r="I57" t="str">
            <v>AGRO SUDAMERICA</v>
          </cell>
          <cell r="J57">
            <v>1022273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12000</v>
          </cell>
          <cell r="Q57">
            <v>12000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1.45</v>
          </cell>
          <cell r="X57">
            <v>1.45</v>
          </cell>
        </row>
        <row r="58">
          <cell r="A58" t="str">
            <v>AGRO SUDAMERICA1022379</v>
          </cell>
          <cell r="B58" t="str">
            <v>AGRO SUDAMERICA</v>
          </cell>
          <cell r="C58">
            <v>1022379</v>
          </cell>
          <cell r="D58">
            <v>24000</v>
          </cell>
          <cell r="H58" t="str">
            <v>AGRO SUDAMERICA1022379</v>
          </cell>
          <cell r="I58" t="str">
            <v>AGRO SUDAMERICA</v>
          </cell>
          <cell r="J58">
            <v>1022379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24000</v>
          </cell>
          <cell r="Q58">
            <v>24000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2.4500000000000002</v>
          </cell>
          <cell r="X58">
            <v>2.4500000000000002</v>
          </cell>
        </row>
        <row r="59">
          <cell r="A59" t="str">
            <v>AGRO SUDAMERICA1022406</v>
          </cell>
          <cell r="B59" t="str">
            <v>AGRO SUDAMERICA</v>
          </cell>
          <cell r="C59">
            <v>1022406</v>
          </cell>
          <cell r="D59">
            <v>20000</v>
          </cell>
          <cell r="H59" t="str">
            <v>AGRO SUDAMERICA1022406</v>
          </cell>
          <cell r="I59" t="str">
            <v>AGRO SUDAMERICA</v>
          </cell>
          <cell r="J59">
            <v>1022406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20000</v>
          </cell>
          <cell r="Q59">
            <v>20000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0.8</v>
          </cell>
          <cell r="X59">
            <v>0.8</v>
          </cell>
        </row>
        <row r="60">
          <cell r="A60" t="str">
            <v>AGRO SUDAMERICA1022409</v>
          </cell>
          <cell r="B60" t="str">
            <v>AGRO SUDAMERICA</v>
          </cell>
          <cell r="C60">
            <v>1022409</v>
          </cell>
          <cell r="D60">
            <v>47880</v>
          </cell>
          <cell r="H60" t="str">
            <v>AGRO SUDAMERICA1022409</v>
          </cell>
          <cell r="I60" t="str">
            <v>AGRO SUDAMERICA</v>
          </cell>
          <cell r="J60">
            <v>1022409</v>
          </cell>
          <cell r="K60">
            <v>0</v>
          </cell>
          <cell r="L60">
            <v>0</v>
          </cell>
          <cell r="M60">
            <v>0</v>
          </cell>
          <cell r="N60">
            <v>23940</v>
          </cell>
          <cell r="O60">
            <v>23940</v>
          </cell>
          <cell r="P60">
            <v>0</v>
          </cell>
          <cell r="Q60">
            <v>47880</v>
          </cell>
          <cell r="R60">
            <v>0</v>
          </cell>
          <cell r="S60">
            <v>0</v>
          </cell>
          <cell r="T60">
            <v>0</v>
          </cell>
          <cell r="U60">
            <v>4.8161549707602296</v>
          </cell>
          <cell r="V60">
            <v>4.9142857142857101</v>
          </cell>
          <cell r="W60">
            <v>0</v>
          </cell>
          <cell r="X60">
            <v>4.8652203425229699</v>
          </cell>
        </row>
        <row r="61">
          <cell r="A61" t="str">
            <v>AGRO SUDAMERICA1022709</v>
          </cell>
          <cell r="B61" t="str">
            <v>AGRO SUDAMERICA</v>
          </cell>
          <cell r="C61">
            <v>1022709</v>
          </cell>
          <cell r="D61">
            <v>118000</v>
          </cell>
          <cell r="H61" t="str">
            <v>AGRO SUDAMERICA1022709</v>
          </cell>
          <cell r="I61" t="str">
            <v>AGRO SUDAMERICA</v>
          </cell>
          <cell r="J61">
            <v>1022709</v>
          </cell>
          <cell r="K61">
            <v>0</v>
          </cell>
          <cell r="L61">
            <v>0</v>
          </cell>
          <cell r="M61">
            <v>0</v>
          </cell>
          <cell r="N61">
            <v>24000</v>
          </cell>
          <cell r="O61">
            <v>0</v>
          </cell>
          <cell r="P61">
            <v>94000</v>
          </cell>
          <cell r="Q61">
            <v>118000</v>
          </cell>
          <cell r="R61">
            <v>0</v>
          </cell>
          <cell r="S61">
            <v>0</v>
          </cell>
          <cell r="T61">
            <v>0</v>
          </cell>
          <cell r="U61">
            <v>2.8473385416666699</v>
          </cell>
          <cell r="V61">
            <v>0</v>
          </cell>
          <cell r="W61">
            <v>2.95768674698795</v>
          </cell>
          <cell r="X61">
            <v>2.9352430442107402</v>
          </cell>
        </row>
        <row r="62">
          <cell r="A62" t="str">
            <v>AGRO SUDAMERICA1022781</v>
          </cell>
          <cell r="B62" t="str">
            <v>AGRO SUDAMERICA</v>
          </cell>
          <cell r="C62">
            <v>1022781</v>
          </cell>
          <cell r="D62">
            <v>14086.8</v>
          </cell>
          <cell r="H62" t="str">
            <v>AGRO SUDAMERICA1022781</v>
          </cell>
          <cell r="I62" t="str">
            <v>AGRO SUDAMERICA</v>
          </cell>
          <cell r="J62">
            <v>1022781</v>
          </cell>
          <cell r="K62">
            <v>0</v>
          </cell>
          <cell r="L62">
            <v>0</v>
          </cell>
          <cell r="M62">
            <v>0</v>
          </cell>
          <cell r="N62">
            <v>3855.6</v>
          </cell>
          <cell r="O62">
            <v>0</v>
          </cell>
          <cell r="P62">
            <v>10231.200000000001</v>
          </cell>
          <cell r="Q62">
            <v>14086.800000000001</v>
          </cell>
          <cell r="R62">
            <v>0</v>
          </cell>
          <cell r="S62">
            <v>0</v>
          </cell>
          <cell r="T62">
            <v>0</v>
          </cell>
          <cell r="U62">
            <v>10.649900888750601</v>
          </cell>
          <cell r="V62">
            <v>0</v>
          </cell>
          <cell r="W62">
            <v>11.205332707795799</v>
          </cell>
          <cell r="X62">
            <v>11.053309329774484</v>
          </cell>
        </row>
        <row r="63">
          <cell r="A63" t="str">
            <v>AGRO SUDAMERICA1022782</v>
          </cell>
          <cell r="B63" t="str">
            <v>AGRO SUDAMERICA</v>
          </cell>
          <cell r="C63">
            <v>1022782</v>
          </cell>
          <cell r="D63">
            <v>17068.8</v>
          </cell>
          <cell r="H63" t="str">
            <v>AGRO SUDAMERICA1022782</v>
          </cell>
          <cell r="I63" t="str">
            <v>AGRO SUDAMERICA</v>
          </cell>
          <cell r="J63">
            <v>1022782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7620</v>
          </cell>
          <cell r="P63">
            <v>9448.7999999999993</v>
          </cell>
          <cell r="Q63">
            <v>17068.8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7.8740157480314998</v>
          </cell>
          <cell r="W63">
            <v>7.9527559055118102</v>
          </cell>
          <cell r="X63">
            <v>7.9176040494938134</v>
          </cell>
        </row>
        <row r="64">
          <cell r="A64" t="str">
            <v>AGRO SUDAMERICA1022783</v>
          </cell>
          <cell r="B64" t="str">
            <v>AGRO SUDAMERICA</v>
          </cell>
          <cell r="C64">
            <v>1022783</v>
          </cell>
          <cell r="D64">
            <v>7740</v>
          </cell>
          <cell r="H64" t="str">
            <v>AGRO SUDAMERICA1022783</v>
          </cell>
          <cell r="I64" t="str">
            <v>AGRO SUDAMERICA</v>
          </cell>
          <cell r="J64">
            <v>1022783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7740</v>
          </cell>
          <cell r="Q64">
            <v>7740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7.8294573643410796</v>
          </cell>
          <cell r="X64">
            <v>7.8294573643410796</v>
          </cell>
        </row>
        <row r="65">
          <cell r="A65" t="str">
            <v>AGRO SUDAMERICA1022786</v>
          </cell>
          <cell r="B65" t="str">
            <v>AGRO SUDAMERICA</v>
          </cell>
          <cell r="C65">
            <v>1022786</v>
          </cell>
          <cell r="D65">
            <v>2704</v>
          </cell>
          <cell r="H65" t="str">
            <v>AGRO SUDAMERICA1022786</v>
          </cell>
          <cell r="I65" t="str">
            <v>AGRO SUDAMERICA</v>
          </cell>
          <cell r="J65">
            <v>1022786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2704</v>
          </cell>
          <cell r="Q65">
            <v>2704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17.1449704142012</v>
          </cell>
          <cell r="X65">
            <v>17.1449704142012</v>
          </cell>
        </row>
        <row r="66">
          <cell r="A66" t="str">
            <v>AGRO SUDAMERICA1022847</v>
          </cell>
          <cell r="B66" t="str">
            <v>AGRO SUDAMERICA</v>
          </cell>
          <cell r="C66">
            <v>1022847</v>
          </cell>
          <cell r="D66">
            <v>24000</v>
          </cell>
          <cell r="H66" t="str">
            <v>AGRO SUDAMERICA1022847</v>
          </cell>
          <cell r="I66" t="str">
            <v>AGRO SUDAMERICA</v>
          </cell>
          <cell r="J66">
            <v>1022847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24000</v>
          </cell>
          <cell r="P66">
            <v>0</v>
          </cell>
          <cell r="Q66">
            <v>24000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1.58960416666667</v>
          </cell>
          <cell r="W66">
            <v>0</v>
          </cell>
          <cell r="X66">
            <v>1.58960416666667</v>
          </cell>
        </row>
        <row r="67">
          <cell r="A67" t="str">
            <v>AGRO SUDAMERICA1022855</v>
          </cell>
          <cell r="B67" t="str">
            <v>AGRO SUDAMERICA</v>
          </cell>
          <cell r="C67">
            <v>1022855</v>
          </cell>
          <cell r="D67">
            <v>47000</v>
          </cell>
          <cell r="H67" t="str">
            <v>AGRO SUDAMERICA1022855</v>
          </cell>
          <cell r="I67" t="str">
            <v>AGRO SUDAMERICA</v>
          </cell>
          <cell r="J67">
            <v>1022855</v>
          </cell>
          <cell r="K67">
            <v>0</v>
          </cell>
          <cell r="L67">
            <v>0</v>
          </cell>
          <cell r="M67">
            <v>0</v>
          </cell>
          <cell r="N67">
            <v>24000</v>
          </cell>
          <cell r="O67">
            <v>0</v>
          </cell>
          <cell r="P67">
            <v>23000</v>
          </cell>
          <cell r="Q67">
            <v>47000</v>
          </cell>
          <cell r="R67">
            <v>0</v>
          </cell>
          <cell r="S67">
            <v>0</v>
          </cell>
          <cell r="T67">
            <v>0</v>
          </cell>
          <cell r="U67">
            <v>1.57</v>
          </cell>
          <cell r="V67">
            <v>0</v>
          </cell>
          <cell r="W67">
            <v>1.26</v>
          </cell>
          <cell r="X67">
            <v>1.4182978723404256</v>
          </cell>
        </row>
        <row r="68">
          <cell r="A68" t="str">
            <v>AGRO SUDAMERICA1022920</v>
          </cell>
          <cell r="B68" t="str">
            <v>AGRO SUDAMERICA</v>
          </cell>
          <cell r="C68">
            <v>1022920</v>
          </cell>
          <cell r="D68">
            <v>6425</v>
          </cell>
          <cell r="H68" t="str">
            <v>AGRO SUDAMERICA1022920</v>
          </cell>
          <cell r="I68" t="str">
            <v>AGRO SUDAMERICA</v>
          </cell>
          <cell r="J68">
            <v>1022920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6425</v>
          </cell>
          <cell r="Q68">
            <v>6425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1.1708333385214</v>
          </cell>
          <cell r="X68">
            <v>1.1708333385214</v>
          </cell>
        </row>
        <row r="69">
          <cell r="A69" t="str">
            <v>AGRO SUDAMERICA1022921</v>
          </cell>
          <cell r="B69" t="str">
            <v>AGRO SUDAMERICA</v>
          </cell>
          <cell r="C69">
            <v>1022921</v>
          </cell>
          <cell r="D69">
            <v>37575</v>
          </cell>
          <cell r="H69" t="str">
            <v>AGRO SUDAMERICA1022921</v>
          </cell>
          <cell r="I69" t="str">
            <v>AGRO SUDAMERICA</v>
          </cell>
          <cell r="J69">
            <v>1022921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23000</v>
          </cell>
          <cell r="P69">
            <v>14575</v>
          </cell>
          <cell r="Q69">
            <v>37575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1.4</v>
          </cell>
          <cell r="W69">
            <v>1.3908333310463099</v>
          </cell>
          <cell r="X69">
            <v>1.3964443326679963</v>
          </cell>
        </row>
        <row r="70">
          <cell r="A70" t="str">
            <v>AGRO SUDAMERICA1023306</v>
          </cell>
          <cell r="B70" t="str">
            <v>AGRO SUDAMERICA</v>
          </cell>
          <cell r="C70">
            <v>1023306</v>
          </cell>
          <cell r="D70">
            <v>120000</v>
          </cell>
          <cell r="H70" t="str">
            <v>AGRO SUDAMERICA1023306</v>
          </cell>
          <cell r="I70" t="str">
            <v>AGRO SUDAMERICA</v>
          </cell>
          <cell r="J70">
            <v>1023306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120000</v>
          </cell>
          <cell r="Q70">
            <v>120000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1.006</v>
          </cell>
          <cell r="X70">
            <v>1.006</v>
          </cell>
        </row>
        <row r="71">
          <cell r="A71" t="str">
            <v>AGRO SUDAMERICA1023329</v>
          </cell>
          <cell r="B71" t="str">
            <v>AGRO SUDAMERICA</v>
          </cell>
          <cell r="C71">
            <v>1023329</v>
          </cell>
          <cell r="D71">
            <v>14729</v>
          </cell>
          <cell r="H71" t="str">
            <v>AGRO SUDAMERICA1023329</v>
          </cell>
          <cell r="I71" t="str">
            <v>AGRO SUDAMERICA</v>
          </cell>
          <cell r="J71">
            <v>1023329</v>
          </cell>
          <cell r="K71">
            <v>0</v>
          </cell>
          <cell r="L71">
            <v>0</v>
          </cell>
          <cell r="M71">
            <v>14729</v>
          </cell>
          <cell r="N71">
            <v>0</v>
          </cell>
          <cell r="O71">
            <v>0</v>
          </cell>
          <cell r="P71">
            <v>0</v>
          </cell>
          <cell r="Q71">
            <v>14729</v>
          </cell>
          <cell r="R71">
            <v>0</v>
          </cell>
          <cell r="S71">
            <v>0</v>
          </cell>
          <cell r="T71">
            <v>0.554166664403558</v>
          </cell>
          <cell r="U71">
            <v>0</v>
          </cell>
          <cell r="V71">
            <v>0</v>
          </cell>
          <cell r="W71">
            <v>0</v>
          </cell>
          <cell r="X71">
            <v>0.554166664403558</v>
          </cell>
        </row>
        <row r="72">
          <cell r="A72" t="str">
            <v>AGRO SUDAMERICA1023331</v>
          </cell>
          <cell r="B72" t="str">
            <v>AGRO SUDAMERICA</v>
          </cell>
          <cell r="C72">
            <v>1023331</v>
          </cell>
          <cell r="D72">
            <v>17900</v>
          </cell>
          <cell r="H72" t="str">
            <v>AGRO SUDAMERICA1023331</v>
          </cell>
          <cell r="I72" t="str">
            <v>AGRO SUDAMERICA</v>
          </cell>
          <cell r="J72">
            <v>1023331</v>
          </cell>
          <cell r="K72">
            <v>17900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17900</v>
          </cell>
          <cell r="R72">
            <v>2.2000000000000002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2.2000000000000002</v>
          </cell>
        </row>
        <row r="73">
          <cell r="A73" t="str">
            <v>AGRO SUDAMERICA1023355</v>
          </cell>
          <cell r="B73" t="str">
            <v>AGRO SUDAMERICA</v>
          </cell>
          <cell r="C73">
            <v>1023355</v>
          </cell>
          <cell r="D73">
            <v>1000</v>
          </cell>
          <cell r="H73" t="str">
            <v>AGRO SUDAMERICA1023355</v>
          </cell>
          <cell r="I73" t="str">
            <v>AGRO SUDAMERICA</v>
          </cell>
          <cell r="J73">
            <v>1023355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1000</v>
          </cell>
          <cell r="Q73">
            <v>1000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0.70695652173913004</v>
          </cell>
          <cell r="X73">
            <v>0.70695652173913004</v>
          </cell>
        </row>
        <row r="74">
          <cell r="A74" t="str">
            <v>AGRO SUDAMERICA1023391</v>
          </cell>
          <cell r="B74" t="str">
            <v>AGRO SUDAMERICA</v>
          </cell>
          <cell r="C74">
            <v>1023391</v>
          </cell>
          <cell r="D74">
            <v>29300</v>
          </cell>
          <cell r="H74" t="str">
            <v>AGRO SUDAMERICA1023391</v>
          </cell>
          <cell r="I74" t="str">
            <v>AGRO SUDAMERICA</v>
          </cell>
          <cell r="J74">
            <v>1023391</v>
          </cell>
          <cell r="K74">
            <v>24000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5300</v>
          </cell>
          <cell r="Q74">
            <v>29300</v>
          </cell>
          <cell r="R74">
            <v>1.75730354166667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1.6528031698113199</v>
          </cell>
          <cell r="X74">
            <v>1.7384007440273064</v>
          </cell>
        </row>
        <row r="75">
          <cell r="A75" t="str">
            <v>AGRO SUDAMERICA1100407</v>
          </cell>
          <cell r="B75" t="str">
            <v>AGRO SUDAMERICA</v>
          </cell>
          <cell r="C75">
            <v>1100407</v>
          </cell>
          <cell r="D75">
            <v>9000</v>
          </cell>
          <cell r="H75" t="str">
            <v>AGRO SUDAMERICA1100407</v>
          </cell>
          <cell r="I75" t="str">
            <v>AGRO SUDAMERICA</v>
          </cell>
          <cell r="J75">
            <v>1100407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9000</v>
          </cell>
          <cell r="Q75">
            <v>9000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3.9</v>
          </cell>
          <cell r="X75">
            <v>3.9</v>
          </cell>
        </row>
        <row r="76">
          <cell r="A76" t="str">
            <v>AGRO SUDAMERICA1100408</v>
          </cell>
          <cell r="B76" t="str">
            <v>AGRO SUDAMERICA</v>
          </cell>
          <cell r="C76">
            <v>1100408</v>
          </cell>
          <cell r="D76">
            <v>9000</v>
          </cell>
          <cell r="H76" t="str">
            <v>AGRO SUDAMERICA1100408</v>
          </cell>
          <cell r="I76" t="str">
            <v>AGRO SUDAMERICA</v>
          </cell>
          <cell r="J76">
            <v>1100408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9000</v>
          </cell>
          <cell r="Q76">
            <v>9000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3.9</v>
          </cell>
          <cell r="X76">
            <v>3.9</v>
          </cell>
        </row>
        <row r="77">
          <cell r="A77" t="str">
            <v>AGRO SUDAMERICA1021105</v>
          </cell>
          <cell r="B77" t="str">
            <v>AGRO SUDAMERICA</v>
          </cell>
          <cell r="C77">
            <v>1021105</v>
          </cell>
          <cell r="D77">
            <v>70500</v>
          </cell>
          <cell r="H77" t="str">
            <v>AGRO SUDAMERICA1021105</v>
          </cell>
          <cell r="I77" t="str">
            <v>AGRO SUDAMERICA</v>
          </cell>
          <cell r="J77">
            <v>1021105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24000</v>
          </cell>
          <cell r="P77">
            <v>46500</v>
          </cell>
          <cell r="Q77">
            <v>70500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0.69079166666666703</v>
          </cell>
          <cell r="W77">
            <v>0.80821505376344105</v>
          </cell>
          <cell r="X77">
            <v>0.76824113475177325</v>
          </cell>
        </row>
        <row r="78">
          <cell r="A78" t="str">
            <v>AGRO SUDAMERICA1021992</v>
          </cell>
          <cell r="B78" t="str">
            <v>AGRO SUDAMERICA</v>
          </cell>
          <cell r="C78">
            <v>1021992</v>
          </cell>
          <cell r="D78">
            <v>13500</v>
          </cell>
          <cell r="H78" t="str">
            <v>AGRO SUDAMERICA1021992</v>
          </cell>
          <cell r="I78" t="str">
            <v>AGRO SUDAMERICA</v>
          </cell>
          <cell r="J78">
            <v>1021992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13500</v>
          </cell>
          <cell r="Q78">
            <v>13500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1.4027263703703701</v>
          </cell>
          <cell r="X78">
            <v>1.4027263703703701</v>
          </cell>
        </row>
        <row r="79">
          <cell r="A79" t="str">
            <v>AGRO SUDAMERICA1022646</v>
          </cell>
          <cell r="B79" t="str">
            <v>AGRO SUDAMERICA</v>
          </cell>
          <cell r="C79">
            <v>1022646</v>
          </cell>
          <cell r="D79">
            <v>16000</v>
          </cell>
          <cell r="H79" t="str">
            <v>AGRO SUDAMERICA1022646</v>
          </cell>
          <cell r="I79" t="str">
            <v>AGRO SUDAMERICA</v>
          </cell>
          <cell r="J79">
            <v>1022646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16000</v>
          </cell>
          <cell r="Q79">
            <v>16000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4.5</v>
          </cell>
          <cell r="X79">
            <v>4.5</v>
          </cell>
        </row>
        <row r="80">
          <cell r="A80" t="str">
            <v>AGRO SUDAMERICA1012556</v>
          </cell>
          <cell r="B80" t="str">
            <v>AGRO SUDAMERICA</v>
          </cell>
          <cell r="C80">
            <v>1012556</v>
          </cell>
          <cell r="D80">
            <v>120000</v>
          </cell>
          <cell r="H80" t="str">
            <v>AGRO SUDAMERICA1012556</v>
          </cell>
          <cell r="I80" t="str">
            <v>AGRO SUDAMERICA</v>
          </cell>
          <cell r="J80">
            <v>1012556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120000</v>
          </cell>
          <cell r="Q80">
            <v>120000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1.07557083333333</v>
          </cell>
          <cell r="X80">
            <v>1.07557083333333</v>
          </cell>
        </row>
        <row r="81">
          <cell r="A81" t="str">
            <v>AGRO SUDAMERICA1012778</v>
          </cell>
          <cell r="B81" t="str">
            <v>AGRO SUDAMERICA</v>
          </cell>
          <cell r="C81">
            <v>1012778</v>
          </cell>
          <cell r="D81">
            <v>12000</v>
          </cell>
          <cell r="H81" t="str">
            <v>AGRO SUDAMERICA1012778</v>
          </cell>
          <cell r="I81" t="str">
            <v>AGRO SUDAMERICA</v>
          </cell>
          <cell r="J81">
            <v>1012778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12000</v>
          </cell>
          <cell r="Q81">
            <v>12000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0.60750000000000004</v>
          </cell>
          <cell r="X81">
            <v>0.60750000000000004</v>
          </cell>
        </row>
        <row r="82">
          <cell r="A82" t="str">
            <v>AGRO SUDAMERICA1022842</v>
          </cell>
          <cell r="B82" t="str">
            <v>AGRO SUDAMERICA</v>
          </cell>
          <cell r="C82">
            <v>1022842</v>
          </cell>
          <cell r="D82">
            <v>48000</v>
          </cell>
          <cell r="H82" t="str">
            <v>AGRO SUDAMERICA1022842</v>
          </cell>
          <cell r="I82" t="str">
            <v>AGRO SUDAMERICA</v>
          </cell>
          <cell r="J82">
            <v>1022842</v>
          </cell>
          <cell r="K82">
            <v>0</v>
          </cell>
          <cell r="L82">
            <v>0</v>
          </cell>
          <cell r="M82">
            <v>0</v>
          </cell>
          <cell r="N82">
            <v>24000</v>
          </cell>
          <cell r="O82">
            <v>24000</v>
          </cell>
          <cell r="P82">
            <v>0</v>
          </cell>
          <cell r="Q82">
            <v>48000</v>
          </cell>
          <cell r="R82">
            <v>0</v>
          </cell>
          <cell r="S82">
            <v>0</v>
          </cell>
          <cell r="T82">
            <v>0</v>
          </cell>
          <cell r="U82">
            <v>2.5</v>
          </cell>
          <cell r="V82">
            <v>2.5499999999999998</v>
          </cell>
          <cell r="W82">
            <v>0</v>
          </cell>
          <cell r="X82">
            <v>2.5249999999999999</v>
          </cell>
        </row>
        <row r="83">
          <cell r="A83" t="str">
            <v>AGRO SUDAMERICA1022844</v>
          </cell>
          <cell r="B83" t="str">
            <v>AGRO SUDAMERICA</v>
          </cell>
          <cell r="C83">
            <v>1022844</v>
          </cell>
          <cell r="D83">
            <v>24000</v>
          </cell>
          <cell r="H83" t="str">
            <v>AGRO SUDAMERICA1022844</v>
          </cell>
          <cell r="I83" t="str">
            <v>AGRO SUDAMERICA</v>
          </cell>
          <cell r="J83">
            <v>1022844</v>
          </cell>
          <cell r="K83">
            <v>0</v>
          </cell>
          <cell r="L83">
            <v>0</v>
          </cell>
          <cell r="M83">
            <v>0</v>
          </cell>
          <cell r="N83">
            <v>24000</v>
          </cell>
          <cell r="O83">
            <v>0</v>
          </cell>
          <cell r="P83">
            <v>0</v>
          </cell>
          <cell r="Q83">
            <v>24000</v>
          </cell>
          <cell r="R83">
            <v>0</v>
          </cell>
          <cell r="S83">
            <v>0</v>
          </cell>
          <cell r="T83">
            <v>0</v>
          </cell>
          <cell r="U83">
            <v>1.7235416666666701</v>
          </cell>
          <cell r="V83">
            <v>0</v>
          </cell>
          <cell r="W83">
            <v>0</v>
          </cell>
          <cell r="X83">
            <v>1.7235416666666701</v>
          </cell>
        </row>
        <row r="84">
          <cell r="A84" t="str">
            <v>AGRO SUDAMERICA1021111</v>
          </cell>
          <cell r="B84" t="str">
            <v>AGRO SUDAMERICA</v>
          </cell>
          <cell r="C84">
            <v>1021111</v>
          </cell>
          <cell r="D84">
            <v>9000</v>
          </cell>
          <cell r="H84" t="str">
            <v>AGRO SUDAMERICA1021111</v>
          </cell>
          <cell r="I84" t="str">
            <v>AGRO SUDAMERICA</v>
          </cell>
          <cell r="J84">
            <v>1021111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6000</v>
          </cell>
          <cell r="P84">
            <v>3000</v>
          </cell>
          <cell r="Q84">
            <v>9000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1.3</v>
          </cell>
          <cell r="W84">
            <v>1.4208333333333301</v>
          </cell>
          <cell r="X84">
            <v>1.3402777777777766</v>
          </cell>
        </row>
        <row r="85">
          <cell r="A85" t="str">
            <v>AGRO SUDAMERICA1021622</v>
          </cell>
          <cell r="B85" t="str">
            <v>AGRO SUDAMERICA</v>
          </cell>
          <cell r="C85">
            <v>1021622</v>
          </cell>
          <cell r="D85">
            <v>24000</v>
          </cell>
          <cell r="H85" t="str">
            <v>AGRO SUDAMERICA1021622</v>
          </cell>
          <cell r="I85" t="str">
            <v>AGRO SUDAMERICA</v>
          </cell>
          <cell r="J85">
            <v>1021622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24000</v>
          </cell>
          <cell r="P85">
            <v>0</v>
          </cell>
          <cell r="Q85">
            <v>24000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6.3522916666666696</v>
          </cell>
          <cell r="W85">
            <v>0</v>
          </cell>
          <cell r="X85">
            <v>6.3522916666666687</v>
          </cell>
        </row>
        <row r="86">
          <cell r="A86" t="str">
            <v>AGRO SUDAMERICA1011105</v>
          </cell>
          <cell r="B86" t="str">
            <v>AGRO SUDAMERICA</v>
          </cell>
          <cell r="C86">
            <v>1011105</v>
          </cell>
          <cell r="D86">
            <v>14000</v>
          </cell>
          <cell r="H86" t="str">
            <v>AGRO SUDAMERICA1011105</v>
          </cell>
          <cell r="I86" t="str">
            <v>AGRO SUDAMERICA</v>
          </cell>
          <cell r="J86">
            <v>1011105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14000</v>
          </cell>
          <cell r="P86">
            <v>0</v>
          </cell>
          <cell r="Q86">
            <v>14000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2.5477857142857099</v>
          </cell>
          <cell r="W86">
            <v>0</v>
          </cell>
          <cell r="X86">
            <v>2.5477857142857103</v>
          </cell>
        </row>
        <row r="87">
          <cell r="A87" t="str">
            <v>AGRO SUDAMERICA1030542</v>
          </cell>
          <cell r="B87" t="str">
            <v>AGRO SUDAMERICA</v>
          </cell>
          <cell r="C87">
            <v>1030542</v>
          </cell>
          <cell r="D87">
            <v>12000</v>
          </cell>
          <cell r="H87" t="str">
            <v>AGRO SUDAMERICA1030542</v>
          </cell>
          <cell r="I87" t="str">
            <v>AGRO SUDAMERICA</v>
          </cell>
          <cell r="J87">
            <v>1030542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12000</v>
          </cell>
          <cell r="Q87">
            <v>12000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8.1999999999999993</v>
          </cell>
          <cell r="X87">
            <v>8.1999999999999993</v>
          </cell>
        </row>
        <row r="88">
          <cell r="A88" t="str">
            <v>AGRO SUDAMERICA1021864</v>
          </cell>
          <cell r="B88" t="str">
            <v>AGRO SUDAMERICA</v>
          </cell>
          <cell r="C88">
            <v>1021864</v>
          </cell>
          <cell r="D88">
            <v>24000</v>
          </cell>
          <cell r="H88" t="str">
            <v>AGRO SUDAMERICA1021864</v>
          </cell>
          <cell r="I88" t="str">
            <v>AGRO SUDAMERICA</v>
          </cell>
          <cell r="J88">
            <v>1021864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24000</v>
          </cell>
          <cell r="Q88">
            <v>24000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0.78</v>
          </cell>
          <cell r="X88">
            <v>0.78</v>
          </cell>
        </row>
        <row r="89">
          <cell r="A89" t="str">
            <v>AGRO SUDAMERICA1030817</v>
          </cell>
          <cell r="B89" t="str">
            <v>AGRO SUDAMERICA</v>
          </cell>
          <cell r="C89">
            <v>1030817</v>
          </cell>
          <cell r="D89">
            <v>3703</v>
          </cell>
          <cell r="H89" t="str">
            <v>AGRO SUDAMERICA1030817</v>
          </cell>
          <cell r="I89" t="str">
            <v>AGRO SUDAMERICA</v>
          </cell>
          <cell r="J89">
            <v>1030817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3703</v>
          </cell>
          <cell r="Q89">
            <v>3703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2.35</v>
          </cell>
          <cell r="X89">
            <v>2.35</v>
          </cell>
        </row>
        <row r="90">
          <cell r="A90" t="str">
            <v>AGRO SUDAMERICA1030791</v>
          </cell>
          <cell r="B90" t="str">
            <v>AGRO SUDAMERICA</v>
          </cell>
          <cell r="C90">
            <v>1030791</v>
          </cell>
          <cell r="D90">
            <v>5888</v>
          </cell>
          <cell r="H90" t="str">
            <v>AGRO SUDAMERICA1030791</v>
          </cell>
          <cell r="I90" t="str">
            <v>AGRO SUDAMERICA</v>
          </cell>
          <cell r="J90">
            <v>1030791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5888</v>
          </cell>
          <cell r="Q90">
            <v>5888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2.35</v>
          </cell>
          <cell r="X90">
            <v>2.35</v>
          </cell>
        </row>
        <row r="91">
          <cell r="A91" t="str">
            <v>AGRO SUDAMERICA1023111</v>
          </cell>
          <cell r="B91" t="str">
            <v>AGRO SUDAMERICA</v>
          </cell>
          <cell r="C91">
            <v>1023111</v>
          </cell>
          <cell r="D91">
            <v>10500</v>
          </cell>
          <cell r="H91" t="str">
            <v>AGRO SUDAMERICA1023111</v>
          </cell>
          <cell r="I91" t="str">
            <v>AGRO SUDAMERICA</v>
          </cell>
          <cell r="J91">
            <v>1023111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10500</v>
          </cell>
          <cell r="Q91">
            <v>10500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1.0030660952381001</v>
          </cell>
          <cell r="X91">
            <v>1.0030660952381001</v>
          </cell>
        </row>
        <row r="92">
          <cell r="A92" t="str">
            <v>AGRO SUDAMERICA1021279</v>
          </cell>
          <cell r="B92" t="str">
            <v>AGRO SUDAMERICA</v>
          </cell>
          <cell r="C92">
            <v>1021279</v>
          </cell>
          <cell r="D92">
            <v>48000</v>
          </cell>
          <cell r="H92" t="str">
            <v>AGRO SUDAMERICA1021279</v>
          </cell>
          <cell r="I92" t="str">
            <v>AGRO SUDAMERICA</v>
          </cell>
          <cell r="J92">
            <v>1021279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24000</v>
          </cell>
          <cell r="P92">
            <v>24000</v>
          </cell>
          <cell r="Q92">
            <v>48000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1.6402083333333299</v>
          </cell>
          <cell r="W92">
            <v>1.8</v>
          </cell>
          <cell r="X92">
            <v>1.7201041666666648</v>
          </cell>
        </row>
        <row r="93">
          <cell r="A93" t="str">
            <v>AGRO SUDAMERICA1011042</v>
          </cell>
          <cell r="B93" t="str">
            <v>AGRO SUDAMERICA</v>
          </cell>
          <cell r="C93">
            <v>1011042</v>
          </cell>
          <cell r="D93">
            <v>24000</v>
          </cell>
          <cell r="H93" t="str">
            <v>AGRO SUDAMERICA1011042</v>
          </cell>
          <cell r="I93" t="str">
            <v>AGRO SUDAMERICA</v>
          </cell>
          <cell r="J93">
            <v>1011042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24000</v>
          </cell>
          <cell r="P93">
            <v>0</v>
          </cell>
          <cell r="Q93">
            <v>24000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0.56429956325573005</v>
          </cell>
          <cell r="W93">
            <v>0</v>
          </cell>
          <cell r="X93">
            <v>0.56429956325573005</v>
          </cell>
        </row>
        <row r="94">
          <cell r="A94" t="str">
            <v>AGRO SUDAMERICA1022883</v>
          </cell>
          <cell r="B94" t="str">
            <v>AGRO SUDAMERICA</v>
          </cell>
          <cell r="C94">
            <v>1022883</v>
          </cell>
          <cell r="D94">
            <v>10000</v>
          </cell>
          <cell r="H94" t="str">
            <v>AGRO SUDAMERICA1022883</v>
          </cell>
          <cell r="I94" t="str">
            <v>AGRO SUDAMERICA</v>
          </cell>
          <cell r="J94">
            <v>1022883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10000</v>
          </cell>
          <cell r="P94">
            <v>0</v>
          </cell>
          <cell r="Q94">
            <v>10000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6.1455000000000002</v>
          </cell>
          <cell r="W94">
            <v>0</v>
          </cell>
          <cell r="X94">
            <v>6.1455000000000002</v>
          </cell>
        </row>
        <row r="95">
          <cell r="A95" t="str">
            <v>AGRO SUDAMERICA1011290</v>
          </cell>
          <cell r="B95" t="str">
            <v>AGRO SUDAMERICA</v>
          </cell>
          <cell r="C95">
            <v>1011290</v>
          </cell>
          <cell r="D95">
            <v>24000</v>
          </cell>
          <cell r="H95" t="str">
            <v>AGRO SUDAMERICA1011290</v>
          </cell>
          <cell r="I95" t="str">
            <v>AGRO SUDAMERICA</v>
          </cell>
          <cell r="J95">
            <v>1011290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24000</v>
          </cell>
          <cell r="Q95">
            <v>24000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0.43354166666666699</v>
          </cell>
          <cell r="X95">
            <v>0.43354166666666699</v>
          </cell>
        </row>
        <row r="96">
          <cell r="A96" t="str">
            <v>AGRO SUDAMERICA1022784</v>
          </cell>
          <cell r="B96" t="str">
            <v>AGRO SUDAMERICA</v>
          </cell>
          <cell r="C96">
            <v>1022784</v>
          </cell>
          <cell r="D96">
            <v>5895</v>
          </cell>
          <cell r="H96" t="str">
            <v>AGRO SUDAMERICA1022784</v>
          </cell>
          <cell r="I96" t="str">
            <v>AGRO SUDAMERICA</v>
          </cell>
          <cell r="J96">
            <v>1022784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5895</v>
          </cell>
          <cell r="Q96">
            <v>5895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7.7099236641221403</v>
          </cell>
          <cell r="X96">
            <v>7.7099236641221403</v>
          </cell>
        </row>
        <row r="97">
          <cell r="A97" t="str">
            <v>AGRO SUDAMERICA1022460</v>
          </cell>
          <cell r="B97" t="str">
            <v>AGRO SUDAMERICA</v>
          </cell>
          <cell r="C97">
            <v>1022460</v>
          </cell>
          <cell r="D97">
            <v>39</v>
          </cell>
          <cell r="H97" t="str">
            <v>AGRO SUDAMERICA1022460</v>
          </cell>
          <cell r="I97" t="str">
            <v>AGRO SUDAMERICA</v>
          </cell>
          <cell r="J97">
            <v>1022460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39</v>
          </cell>
          <cell r="P97">
            <v>0</v>
          </cell>
          <cell r="Q97">
            <v>39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8.4</v>
          </cell>
          <cell r="W97">
            <v>0</v>
          </cell>
          <cell r="X97">
            <v>8.4</v>
          </cell>
        </row>
        <row r="98">
          <cell r="A98" t="str">
            <v>AGRO SUDAMERICA1022459</v>
          </cell>
          <cell r="B98" t="str">
            <v>AGRO SUDAMERICA</v>
          </cell>
          <cell r="C98">
            <v>1022459</v>
          </cell>
          <cell r="D98">
            <v>42</v>
          </cell>
          <cell r="H98" t="str">
            <v>AGRO SUDAMERICA1022459</v>
          </cell>
          <cell r="I98" t="str">
            <v>AGRO SUDAMERICA</v>
          </cell>
          <cell r="J98">
            <v>1022459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42</v>
          </cell>
          <cell r="P98">
            <v>0</v>
          </cell>
          <cell r="Q98">
            <v>42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7.2</v>
          </cell>
          <cell r="W98">
            <v>0</v>
          </cell>
          <cell r="X98">
            <v>7.2000000000000011</v>
          </cell>
        </row>
        <row r="99">
          <cell r="A99" t="str">
            <v>AGRO SUDAMERICA1022821</v>
          </cell>
          <cell r="B99" t="str">
            <v>AGRO SUDAMERICA</v>
          </cell>
          <cell r="C99">
            <v>1022821</v>
          </cell>
          <cell r="D99">
            <v>60</v>
          </cell>
          <cell r="H99" t="str">
            <v>AGRO SUDAMERICA1022821</v>
          </cell>
          <cell r="I99" t="str">
            <v>AGRO SUDAMERICA</v>
          </cell>
          <cell r="J99">
            <v>1022821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60</v>
          </cell>
          <cell r="P99">
            <v>0</v>
          </cell>
          <cell r="Q99">
            <v>60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8.1999999999999993</v>
          </cell>
          <cell r="W99">
            <v>0</v>
          </cell>
          <cell r="X99">
            <v>8.1999999999999993</v>
          </cell>
        </row>
        <row r="100">
          <cell r="A100" t="str">
            <v>AGRO SUDAMERICA1020086</v>
          </cell>
          <cell r="B100" t="str">
            <v>AGRO SUDAMERICA</v>
          </cell>
          <cell r="C100">
            <v>1020086</v>
          </cell>
          <cell r="D100">
            <v>24000</v>
          </cell>
          <cell r="H100" t="str">
            <v>AGRO SUDAMERICA1020086</v>
          </cell>
          <cell r="I100" t="str">
            <v>AGRO SUDAMERICA</v>
          </cell>
          <cell r="J100">
            <v>1020086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24000</v>
          </cell>
          <cell r="Q100">
            <v>24000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3.2722916666666699</v>
          </cell>
          <cell r="X100">
            <v>3.2722916666666695</v>
          </cell>
        </row>
        <row r="101">
          <cell r="A101" t="str">
            <v>AGRO SUDAMERICA1022290</v>
          </cell>
          <cell r="B101" t="str">
            <v>AGRO SUDAMERICA</v>
          </cell>
          <cell r="C101">
            <v>1022290</v>
          </cell>
          <cell r="D101">
            <v>24000</v>
          </cell>
          <cell r="H101" t="str">
            <v>AGRO SUDAMERICA1022290</v>
          </cell>
          <cell r="I101" t="str">
            <v>AGRO SUDAMERICA</v>
          </cell>
          <cell r="J101">
            <v>1022290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24000</v>
          </cell>
          <cell r="Q101">
            <v>24000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1.75270833333333</v>
          </cell>
          <cell r="X101">
            <v>1.75270833333333</v>
          </cell>
        </row>
        <row r="102">
          <cell r="A102" t="str">
            <v>AGRO SUDAMERICA1030812</v>
          </cell>
          <cell r="B102" t="str">
            <v>AGRO SUDAMERICA</v>
          </cell>
          <cell r="C102">
            <v>1030812</v>
          </cell>
          <cell r="D102">
            <v>24000</v>
          </cell>
          <cell r="H102" t="str">
            <v>AGRO SUDAMERICA1030812</v>
          </cell>
          <cell r="I102" t="str">
            <v>AGRO SUDAMERICA</v>
          </cell>
          <cell r="J102">
            <v>1030812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24000</v>
          </cell>
          <cell r="Q102">
            <v>24000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4.55104166666667</v>
          </cell>
          <cell r="X102">
            <v>4.55104166666667</v>
          </cell>
        </row>
        <row r="103">
          <cell r="A103" t="str">
            <v>AGRO SUDAMERICA1012059</v>
          </cell>
          <cell r="B103" t="str">
            <v>AGRO SUDAMERICA</v>
          </cell>
          <cell r="C103">
            <v>1012059</v>
          </cell>
          <cell r="D103">
            <v>1200</v>
          </cell>
          <cell r="H103" t="str">
            <v>AGRO SUDAMERICA1012059</v>
          </cell>
          <cell r="I103" t="str">
            <v>AGRO SUDAMERICA</v>
          </cell>
          <cell r="J103">
            <v>1012059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1200</v>
          </cell>
          <cell r="Q103">
            <v>1200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1.5027185833333301</v>
          </cell>
          <cell r="X103">
            <v>1.5027185833333301</v>
          </cell>
        </row>
        <row r="104">
          <cell r="A104" t="str">
            <v>AGRO SUDAMERICA1012655</v>
          </cell>
          <cell r="B104" t="str">
            <v>AGRO SUDAMERICA</v>
          </cell>
          <cell r="C104">
            <v>1012655</v>
          </cell>
          <cell r="D104">
            <v>4760</v>
          </cell>
          <cell r="H104" t="str">
            <v>AGRO SUDAMERICA1012655</v>
          </cell>
          <cell r="I104" t="str">
            <v>AGRO SUDAMERICA</v>
          </cell>
          <cell r="J104">
            <v>1012655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4760</v>
          </cell>
          <cell r="Q104">
            <v>4760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0.753323319327731</v>
          </cell>
          <cell r="X104">
            <v>0.753323319327731</v>
          </cell>
        </row>
        <row r="105">
          <cell r="A105" t="str">
            <v>AGRO SUDAMERICA1012058</v>
          </cell>
          <cell r="B105" t="str">
            <v>AGRO SUDAMERICA</v>
          </cell>
          <cell r="C105">
            <v>1012058</v>
          </cell>
          <cell r="D105">
            <v>85</v>
          </cell>
          <cell r="H105" t="str">
            <v>AGRO SUDAMERICA1012058</v>
          </cell>
          <cell r="I105" t="str">
            <v>AGRO SUDAMERICA</v>
          </cell>
          <cell r="J105">
            <v>1012058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85</v>
          </cell>
          <cell r="Q105">
            <v>85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1.25292</v>
          </cell>
          <cell r="X105">
            <v>1.25292</v>
          </cell>
        </row>
        <row r="106">
          <cell r="A106" t="str">
            <v>AGRO SUDAMERICA1021106</v>
          </cell>
          <cell r="B106" t="str">
            <v>AGRO SUDAMERICA</v>
          </cell>
          <cell r="C106">
            <v>1021106</v>
          </cell>
          <cell r="D106">
            <v>11000</v>
          </cell>
          <cell r="H106" t="str">
            <v>AGRO SUDAMERICA1021106</v>
          </cell>
          <cell r="I106" t="str">
            <v>AGRO SUDAMERICA</v>
          </cell>
          <cell r="J106">
            <v>1021106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11000</v>
          </cell>
          <cell r="Q106">
            <v>11000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0.96865913636363599</v>
          </cell>
          <cell r="X106">
            <v>0.9686591363636361</v>
          </cell>
        </row>
        <row r="107">
          <cell r="A107" t="str">
            <v>AGRO SUDAMERICA1023433</v>
          </cell>
          <cell r="B107" t="str">
            <v>AGRO SUDAMERICA</v>
          </cell>
          <cell r="C107">
            <v>1023433</v>
          </cell>
          <cell r="D107">
            <v>72000</v>
          </cell>
          <cell r="H107" t="str">
            <v>AGRO SUDAMERICA1023433</v>
          </cell>
          <cell r="I107" t="str">
            <v>AGRO SUDAMERICA</v>
          </cell>
          <cell r="J107">
            <v>1023433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72000</v>
          </cell>
          <cell r="Q107">
            <v>72000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2.19</v>
          </cell>
          <cell r="X107">
            <v>2.19</v>
          </cell>
        </row>
        <row r="108">
          <cell r="A108" t="str">
            <v>AGRO SUDAMERICA1020886</v>
          </cell>
          <cell r="B108" t="str">
            <v>AGRO SUDAMERICA</v>
          </cell>
          <cell r="C108">
            <v>1020886</v>
          </cell>
          <cell r="D108">
            <v>18700</v>
          </cell>
          <cell r="H108" t="str">
            <v>AGRO SUDAMERICA1020886</v>
          </cell>
          <cell r="I108" t="str">
            <v>AGRO SUDAMERICA</v>
          </cell>
          <cell r="J108">
            <v>1020886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18700</v>
          </cell>
          <cell r="Q108">
            <v>18700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3.3516119358288798</v>
          </cell>
          <cell r="X108">
            <v>3.3516119358288798</v>
          </cell>
        </row>
        <row r="109">
          <cell r="A109" t="str">
            <v>AGRO SUDAMERICA1011701</v>
          </cell>
          <cell r="B109" t="str">
            <v>AGRO SUDAMERICA</v>
          </cell>
          <cell r="C109">
            <v>1011701</v>
          </cell>
          <cell r="D109">
            <v>15000</v>
          </cell>
          <cell r="H109" t="str">
            <v>AGRO SUDAMERICA1011701</v>
          </cell>
          <cell r="I109" t="str">
            <v>AGRO SUDAMERICA</v>
          </cell>
          <cell r="J109">
            <v>1011701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15000</v>
          </cell>
          <cell r="Q109">
            <v>15000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2.9</v>
          </cell>
          <cell r="X109">
            <v>2.9</v>
          </cell>
        </row>
        <row r="110">
          <cell r="A110" t="str">
            <v>AGRO SUDAMERICA1022870</v>
          </cell>
          <cell r="B110" t="str">
            <v>AGRO SUDAMERICA</v>
          </cell>
          <cell r="C110">
            <v>1022870</v>
          </cell>
          <cell r="D110">
            <v>28000</v>
          </cell>
          <cell r="H110" t="str">
            <v>AGRO SUDAMERICA1022870</v>
          </cell>
          <cell r="I110" t="str">
            <v>AGRO SUDAMERICA</v>
          </cell>
          <cell r="J110">
            <v>1022870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28000</v>
          </cell>
          <cell r="Q110">
            <v>28000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0.8</v>
          </cell>
          <cell r="X110">
            <v>0.8</v>
          </cell>
        </row>
        <row r="111">
          <cell r="A111" t="str">
            <v>AGRO SUDAMERICA1023436</v>
          </cell>
          <cell r="B111" t="str">
            <v>AGRO SUDAMERICA</v>
          </cell>
          <cell r="C111">
            <v>1023436</v>
          </cell>
          <cell r="D111">
            <v>24000</v>
          </cell>
          <cell r="H111" t="str">
            <v>AGRO SUDAMERICA1023436</v>
          </cell>
          <cell r="I111" t="str">
            <v>AGRO SUDAMERICA</v>
          </cell>
          <cell r="J111">
            <v>1023436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24000</v>
          </cell>
          <cell r="Q111">
            <v>24000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0.8</v>
          </cell>
          <cell r="X111">
            <v>0.8</v>
          </cell>
        </row>
        <row r="112">
          <cell r="A112" t="str">
            <v>AGRO SUDAMERICA1030816</v>
          </cell>
          <cell r="B112" t="str">
            <v>AGRO SUDAMERICA</v>
          </cell>
          <cell r="C112">
            <v>1030816</v>
          </cell>
          <cell r="D112">
            <v>14409</v>
          </cell>
          <cell r="H112" t="str">
            <v>AGRO SUDAMERICA1030816</v>
          </cell>
          <cell r="I112" t="str">
            <v>AGRO SUDAMERICA</v>
          </cell>
          <cell r="J112">
            <v>1030816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14409</v>
          </cell>
          <cell r="Q112">
            <v>14409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1.6</v>
          </cell>
          <cell r="X112">
            <v>1.6</v>
          </cell>
        </row>
        <row r="113">
          <cell r="A113" t="str">
            <v>AGRO SUDAMERICA1022389</v>
          </cell>
          <cell r="B113" t="str">
            <v>AGRO SUDAMERICA</v>
          </cell>
          <cell r="C113">
            <v>1022389</v>
          </cell>
          <cell r="D113">
            <v>17000</v>
          </cell>
          <cell r="H113" t="str">
            <v>AGRO SUDAMERICA1022389</v>
          </cell>
          <cell r="I113" t="str">
            <v>AGRO SUDAMERICA</v>
          </cell>
          <cell r="J113">
            <v>1022389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17000</v>
          </cell>
          <cell r="Q113">
            <v>17000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1.25</v>
          </cell>
          <cell r="X113">
            <v>1.25</v>
          </cell>
        </row>
        <row r="114">
          <cell r="A114" t="str">
            <v>AGROSUPER ASIA1012012</v>
          </cell>
          <cell r="B114" t="str">
            <v>AGROSUPER ASIA</v>
          </cell>
          <cell r="C114">
            <v>1012012</v>
          </cell>
          <cell r="D114">
            <v>37000</v>
          </cell>
          <cell r="H114" t="str">
            <v>AGROSUPER ASIA1012012</v>
          </cell>
          <cell r="I114" t="str">
            <v>AGROSUPER ASIA</v>
          </cell>
          <cell r="J114">
            <v>1012012</v>
          </cell>
          <cell r="K114">
            <v>0</v>
          </cell>
          <cell r="L114">
            <v>0</v>
          </cell>
          <cell r="M114">
            <v>0</v>
          </cell>
          <cell r="N114">
            <v>17000</v>
          </cell>
          <cell r="O114">
            <v>20000</v>
          </cell>
          <cell r="P114">
            <v>0</v>
          </cell>
          <cell r="Q114">
            <v>37000</v>
          </cell>
          <cell r="R114">
            <v>0</v>
          </cell>
          <cell r="S114">
            <v>0</v>
          </cell>
          <cell r="T114">
            <v>0</v>
          </cell>
          <cell r="U114">
            <v>6.6</v>
          </cell>
          <cell r="V114">
            <v>6.45</v>
          </cell>
          <cell r="W114">
            <v>0</v>
          </cell>
          <cell r="X114">
            <v>6.5189189189189189</v>
          </cell>
        </row>
        <row r="115">
          <cell r="A115" t="str">
            <v>AGROSUPER ASIA1012612</v>
          </cell>
          <cell r="B115" t="str">
            <v>AGROSUPER ASIA</v>
          </cell>
          <cell r="C115">
            <v>1012612</v>
          </cell>
          <cell r="D115">
            <v>950000</v>
          </cell>
          <cell r="H115" t="str">
            <v>AGROSUPER ASIA1012612</v>
          </cell>
          <cell r="I115" t="str">
            <v>AGROSUPER ASIA</v>
          </cell>
          <cell r="J115">
            <v>1012612</v>
          </cell>
          <cell r="K115">
            <v>0</v>
          </cell>
          <cell r="L115">
            <v>25000</v>
          </cell>
          <cell r="M115">
            <v>0</v>
          </cell>
          <cell r="N115">
            <v>0</v>
          </cell>
          <cell r="O115">
            <v>275000</v>
          </cell>
          <cell r="P115">
            <v>650000</v>
          </cell>
          <cell r="Q115">
            <v>950000</v>
          </cell>
          <cell r="R115">
            <v>0</v>
          </cell>
          <cell r="S115">
            <v>0.85327773860465095</v>
          </cell>
          <cell r="T115">
            <v>0</v>
          </cell>
          <cell r="U115">
            <v>0</v>
          </cell>
          <cell r="V115">
            <v>1.13106597142857</v>
          </cell>
          <cell r="W115">
            <v>1.12615396862745</v>
          </cell>
          <cell r="X115">
            <v>1.1203949107534898</v>
          </cell>
        </row>
        <row r="116">
          <cell r="A116" t="str">
            <v>AGROSUPER ASIA1020860</v>
          </cell>
          <cell r="B116" t="str">
            <v>AGROSUPER ASIA</v>
          </cell>
          <cell r="C116">
            <v>1020860</v>
          </cell>
          <cell r="D116">
            <v>44000</v>
          </cell>
          <cell r="H116" t="str">
            <v>AGROSUPER ASIA1020860</v>
          </cell>
          <cell r="I116" t="str">
            <v>AGROSUPER ASIA</v>
          </cell>
          <cell r="J116">
            <v>1020860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44000</v>
          </cell>
          <cell r="Q116">
            <v>44000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4.2103863636363599</v>
          </cell>
          <cell r="X116">
            <v>4.2103863636363599</v>
          </cell>
        </row>
        <row r="117">
          <cell r="A117" t="str">
            <v>AGROSUPER ASIA1020861</v>
          </cell>
          <cell r="B117" t="str">
            <v>AGROSUPER ASIA</v>
          </cell>
          <cell r="C117">
            <v>1020861</v>
          </cell>
          <cell r="D117">
            <v>100000</v>
          </cell>
          <cell r="H117" t="str">
            <v>AGROSUPER ASIA1020861</v>
          </cell>
          <cell r="I117" t="str">
            <v>AGROSUPER ASIA</v>
          </cell>
          <cell r="J117">
            <v>1020861</v>
          </cell>
          <cell r="K117">
            <v>0</v>
          </cell>
          <cell r="L117">
            <v>0</v>
          </cell>
          <cell r="M117">
            <v>0</v>
          </cell>
          <cell r="N117">
            <v>12000</v>
          </cell>
          <cell r="O117">
            <v>0</v>
          </cell>
          <cell r="P117">
            <v>88000</v>
          </cell>
          <cell r="Q117">
            <v>100000</v>
          </cell>
          <cell r="R117">
            <v>0</v>
          </cell>
          <cell r="S117">
            <v>0</v>
          </cell>
          <cell r="T117">
            <v>0</v>
          </cell>
          <cell r="U117">
            <v>4.2079216867469897</v>
          </cell>
          <cell r="V117">
            <v>0</v>
          </cell>
          <cell r="W117">
            <v>4.16231818181818</v>
          </cell>
          <cell r="X117">
            <v>4.1677906024096369</v>
          </cell>
        </row>
        <row r="118">
          <cell r="A118" t="str">
            <v>AGROSUPER ASIA1020904</v>
          </cell>
          <cell r="B118" t="str">
            <v>AGROSUPER ASIA</v>
          </cell>
          <cell r="C118">
            <v>1020904</v>
          </cell>
          <cell r="D118">
            <v>66000</v>
          </cell>
          <cell r="H118" t="str">
            <v>AGROSUPER ASIA1020904</v>
          </cell>
          <cell r="I118" t="str">
            <v>AGROSUPER ASIA</v>
          </cell>
          <cell r="J118">
            <v>1020904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22000</v>
          </cell>
          <cell r="P118">
            <v>44000</v>
          </cell>
          <cell r="Q118">
            <v>66000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5.8123181818181804</v>
          </cell>
          <cell r="W118">
            <v>6</v>
          </cell>
          <cell r="X118">
            <v>5.9374393939393943</v>
          </cell>
        </row>
        <row r="119">
          <cell r="A119" t="str">
            <v>AGROSUPER ASIA1020905</v>
          </cell>
          <cell r="B119" t="str">
            <v>AGROSUPER ASIA</v>
          </cell>
          <cell r="C119">
            <v>1020905</v>
          </cell>
          <cell r="D119">
            <v>44000</v>
          </cell>
          <cell r="H119" t="str">
            <v>AGROSUPER ASIA1020905</v>
          </cell>
          <cell r="I119" t="str">
            <v>AGROSUPER ASIA</v>
          </cell>
          <cell r="J119">
            <v>1020905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44000</v>
          </cell>
          <cell r="Q119">
            <v>44000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6</v>
          </cell>
          <cell r="X119">
            <v>6</v>
          </cell>
        </row>
        <row r="120">
          <cell r="A120" t="str">
            <v>AGROSUPER ASIA1021149</v>
          </cell>
          <cell r="B120" t="str">
            <v>AGROSUPER ASIA</v>
          </cell>
          <cell r="C120">
            <v>1021149</v>
          </cell>
          <cell r="D120">
            <v>35000</v>
          </cell>
          <cell r="H120" t="str">
            <v>AGROSUPER ASIA1021149</v>
          </cell>
          <cell r="I120" t="str">
            <v>AGROSUPER ASIA</v>
          </cell>
          <cell r="J120">
            <v>1021149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35000</v>
          </cell>
          <cell r="Q120">
            <v>35000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0.673035941860465</v>
          </cell>
          <cell r="X120">
            <v>0.673035941860465</v>
          </cell>
        </row>
        <row r="121">
          <cell r="A121" t="str">
            <v>AGROSUPER ASIA1021150</v>
          </cell>
          <cell r="B121" t="str">
            <v>AGROSUPER ASIA</v>
          </cell>
          <cell r="C121">
            <v>1021150</v>
          </cell>
          <cell r="D121">
            <v>44000</v>
          </cell>
          <cell r="H121" t="str">
            <v>AGROSUPER ASIA1021150</v>
          </cell>
          <cell r="I121" t="str">
            <v>AGROSUPER ASIA</v>
          </cell>
          <cell r="J121">
            <v>1021150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44000</v>
          </cell>
          <cell r="Q121">
            <v>44000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0.77487878787878794</v>
          </cell>
          <cell r="X121">
            <v>0.77487878787878794</v>
          </cell>
        </row>
        <row r="122">
          <cell r="A122" t="str">
            <v>AGROSUPER ASIA1021156</v>
          </cell>
          <cell r="B122" t="str">
            <v>AGROSUPER ASIA</v>
          </cell>
          <cell r="C122">
            <v>1021156</v>
          </cell>
          <cell r="D122">
            <v>24000</v>
          </cell>
          <cell r="H122" t="str">
            <v>AGROSUPER ASIA1021156</v>
          </cell>
          <cell r="I122" t="str">
            <v>AGROSUPER ASIA</v>
          </cell>
          <cell r="J122">
            <v>1021156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24000</v>
          </cell>
          <cell r="Q122">
            <v>24000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2.9</v>
          </cell>
          <cell r="X122">
            <v>2.9</v>
          </cell>
        </row>
        <row r="123">
          <cell r="A123" t="str">
            <v>AGROSUPER ASIA1021664</v>
          </cell>
          <cell r="B123" t="str">
            <v>AGROSUPER ASIA</v>
          </cell>
          <cell r="C123">
            <v>1021664</v>
          </cell>
          <cell r="D123">
            <v>17000</v>
          </cell>
          <cell r="H123" t="str">
            <v>AGROSUPER ASIA1021664</v>
          </cell>
          <cell r="I123" t="str">
            <v>AGROSUPER ASIA</v>
          </cell>
          <cell r="J123">
            <v>1021664</v>
          </cell>
          <cell r="K123">
            <v>0</v>
          </cell>
          <cell r="L123">
            <v>0</v>
          </cell>
          <cell r="M123">
            <v>0</v>
          </cell>
          <cell r="N123">
            <v>17000</v>
          </cell>
          <cell r="O123">
            <v>0</v>
          </cell>
          <cell r="P123">
            <v>0</v>
          </cell>
          <cell r="Q123">
            <v>17000</v>
          </cell>
          <cell r="R123">
            <v>0</v>
          </cell>
          <cell r="S123">
            <v>0</v>
          </cell>
          <cell r="T123">
            <v>0</v>
          </cell>
          <cell r="U123">
            <v>5.6448846153846199</v>
          </cell>
          <cell r="V123">
            <v>0</v>
          </cell>
          <cell r="W123">
            <v>0</v>
          </cell>
          <cell r="X123">
            <v>5.6448846153846199</v>
          </cell>
        </row>
        <row r="124">
          <cell r="A124" t="str">
            <v>AGROSUPER ASIA1022283</v>
          </cell>
          <cell r="B124" t="str">
            <v>AGROSUPER ASIA</v>
          </cell>
          <cell r="C124">
            <v>1022283</v>
          </cell>
          <cell r="D124">
            <v>7000</v>
          </cell>
          <cell r="H124" t="str">
            <v>AGROSUPER ASIA1022283</v>
          </cell>
          <cell r="I124" t="str">
            <v>AGROSUPER ASIA</v>
          </cell>
          <cell r="J124">
            <v>1022283</v>
          </cell>
          <cell r="K124">
            <v>0</v>
          </cell>
          <cell r="L124">
            <v>0</v>
          </cell>
          <cell r="M124">
            <v>0</v>
          </cell>
          <cell r="N124">
            <v>5000</v>
          </cell>
          <cell r="O124">
            <v>0</v>
          </cell>
          <cell r="P124">
            <v>2000</v>
          </cell>
          <cell r="Q124">
            <v>7000</v>
          </cell>
          <cell r="R124">
            <v>0</v>
          </cell>
          <cell r="S124">
            <v>0</v>
          </cell>
          <cell r="T124">
            <v>0</v>
          </cell>
          <cell r="U124">
            <v>6.3375000000000004</v>
          </cell>
          <cell r="V124">
            <v>0</v>
          </cell>
          <cell r="W124">
            <v>6.8123182</v>
          </cell>
          <cell r="X124">
            <v>6.473162342857143</v>
          </cell>
        </row>
        <row r="125">
          <cell r="A125" t="str">
            <v>AGROSUPER ASIA1022607</v>
          </cell>
          <cell r="B125" t="str">
            <v>AGROSUPER ASIA</v>
          </cell>
          <cell r="C125">
            <v>1022607</v>
          </cell>
          <cell r="D125">
            <v>22000</v>
          </cell>
          <cell r="H125" t="str">
            <v>AGROSUPER ASIA1022607</v>
          </cell>
          <cell r="I125" t="str">
            <v>AGROSUPER ASIA</v>
          </cell>
          <cell r="J125">
            <v>1022607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22000</v>
          </cell>
          <cell r="Q125">
            <v>22000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5.3123181818181804</v>
          </cell>
          <cell r="X125">
            <v>5.3123181818181804</v>
          </cell>
        </row>
        <row r="126">
          <cell r="A126" t="str">
            <v>AGROSUPER ASIA1022885</v>
          </cell>
          <cell r="B126" t="str">
            <v>AGROSUPER ASIA</v>
          </cell>
          <cell r="C126">
            <v>1022885</v>
          </cell>
          <cell r="D126">
            <v>257000</v>
          </cell>
          <cell r="H126" t="str">
            <v>AGROSUPER ASIA1022885</v>
          </cell>
          <cell r="I126" t="str">
            <v>AGROSUPER ASIA</v>
          </cell>
          <cell r="J126">
            <v>1022885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257000</v>
          </cell>
          <cell r="Q126">
            <v>257000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6.0123181817699098</v>
          </cell>
          <cell r="X126">
            <v>6.0123181817699098</v>
          </cell>
        </row>
        <row r="127">
          <cell r="A127" t="str">
            <v>AGROSUPER ASIA1022930</v>
          </cell>
          <cell r="B127" t="str">
            <v>AGROSUPER ASIA</v>
          </cell>
          <cell r="C127">
            <v>1022930</v>
          </cell>
          <cell r="D127">
            <v>88000</v>
          </cell>
          <cell r="H127" t="str">
            <v>AGROSUPER ASIA1022930</v>
          </cell>
          <cell r="I127" t="str">
            <v>AGROSUPER ASIA</v>
          </cell>
          <cell r="J127">
            <v>1022930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88000</v>
          </cell>
          <cell r="Q127">
            <v>88000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6.2123181818181799</v>
          </cell>
          <cell r="X127">
            <v>6.2123181818181807</v>
          </cell>
        </row>
        <row r="128">
          <cell r="A128" t="str">
            <v>AGROSUPER ASIA1022985</v>
          </cell>
          <cell r="B128" t="str">
            <v>AGROSUPER ASIA</v>
          </cell>
          <cell r="C128">
            <v>1022985</v>
          </cell>
          <cell r="D128">
            <v>10000</v>
          </cell>
          <cell r="H128" t="str">
            <v>AGROSUPER ASIA1022985</v>
          </cell>
          <cell r="I128" t="str">
            <v>AGROSUPER ASIA</v>
          </cell>
          <cell r="J128">
            <v>1022985</v>
          </cell>
          <cell r="K128">
            <v>0</v>
          </cell>
          <cell r="L128">
            <v>0</v>
          </cell>
          <cell r="M128">
            <v>0</v>
          </cell>
          <cell r="N128">
            <v>5000</v>
          </cell>
          <cell r="O128">
            <v>0</v>
          </cell>
          <cell r="P128">
            <v>5000</v>
          </cell>
          <cell r="Q128">
            <v>10000</v>
          </cell>
          <cell r="R128">
            <v>0</v>
          </cell>
          <cell r="S128">
            <v>0</v>
          </cell>
          <cell r="T128">
            <v>0</v>
          </cell>
          <cell r="U128">
            <v>4.3499999999999996</v>
          </cell>
          <cell r="V128">
            <v>0</v>
          </cell>
          <cell r="W128">
            <v>4.2123181799999996</v>
          </cell>
          <cell r="X128">
            <v>4.2811590899999992</v>
          </cell>
        </row>
        <row r="129">
          <cell r="A129" t="str">
            <v>AGROSUPER ASIA1022986</v>
          </cell>
          <cell r="B129" t="str">
            <v>AGROSUPER ASIA</v>
          </cell>
          <cell r="C129">
            <v>1022986</v>
          </cell>
          <cell r="D129">
            <v>5000</v>
          </cell>
          <cell r="H129" t="str">
            <v>AGROSUPER ASIA1022986</v>
          </cell>
          <cell r="I129" t="str">
            <v>AGROSUPER ASIA</v>
          </cell>
          <cell r="J129">
            <v>1022986</v>
          </cell>
          <cell r="K129">
            <v>0</v>
          </cell>
          <cell r="L129">
            <v>0</v>
          </cell>
          <cell r="M129">
            <v>0</v>
          </cell>
          <cell r="N129">
            <v>5000</v>
          </cell>
          <cell r="O129">
            <v>0</v>
          </cell>
          <cell r="P129">
            <v>0</v>
          </cell>
          <cell r="Q129">
            <v>5000</v>
          </cell>
          <cell r="R129">
            <v>0</v>
          </cell>
          <cell r="S129">
            <v>0</v>
          </cell>
          <cell r="T129">
            <v>0</v>
          </cell>
          <cell r="U129">
            <v>6.2</v>
          </cell>
          <cell r="V129">
            <v>0</v>
          </cell>
          <cell r="W129">
            <v>0</v>
          </cell>
          <cell r="X129">
            <v>6.2</v>
          </cell>
        </row>
        <row r="130">
          <cell r="A130" t="str">
            <v>AGROSUPER ASIA1023038</v>
          </cell>
          <cell r="B130" t="str">
            <v>AGROSUPER ASIA</v>
          </cell>
          <cell r="C130">
            <v>1023038</v>
          </cell>
          <cell r="D130">
            <v>44000</v>
          </cell>
          <cell r="H130" t="str">
            <v>AGROSUPER ASIA1023038</v>
          </cell>
          <cell r="I130" t="str">
            <v>AGROSUPER ASIA</v>
          </cell>
          <cell r="J130">
            <v>1023038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44000</v>
          </cell>
          <cell r="Q130">
            <v>44000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4.4624173553719002</v>
          </cell>
          <cell r="X130">
            <v>4.4624173553719002</v>
          </cell>
        </row>
        <row r="131">
          <cell r="A131" t="str">
            <v>AGROSUPER ASIA1023090</v>
          </cell>
          <cell r="B131" t="str">
            <v>AGROSUPER ASIA</v>
          </cell>
          <cell r="C131">
            <v>1023090</v>
          </cell>
          <cell r="D131">
            <v>44000</v>
          </cell>
          <cell r="H131" t="str">
            <v>AGROSUPER ASIA1023090</v>
          </cell>
          <cell r="I131" t="str">
            <v>AGROSUPER ASIA</v>
          </cell>
          <cell r="J131">
            <v>1023090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22000</v>
          </cell>
          <cell r="P131">
            <v>22000</v>
          </cell>
          <cell r="Q131">
            <v>44000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6.3375000000000004</v>
          </cell>
          <cell r="W131">
            <v>6.5</v>
          </cell>
          <cell r="X131">
            <v>6.4187500000000002</v>
          </cell>
        </row>
        <row r="132">
          <cell r="A132" t="str">
            <v>AGROSUPER ASIA1023144</v>
          </cell>
          <cell r="B132" t="str">
            <v>AGROSUPER ASIA</v>
          </cell>
          <cell r="C132">
            <v>1023144</v>
          </cell>
          <cell r="D132">
            <v>96000</v>
          </cell>
          <cell r="H132" t="str">
            <v>AGROSUPER ASIA1023144</v>
          </cell>
          <cell r="I132" t="str">
            <v>AGROSUPER ASIA</v>
          </cell>
          <cell r="J132">
            <v>1023144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48000</v>
          </cell>
          <cell r="P132">
            <v>48000</v>
          </cell>
          <cell r="Q132">
            <v>96000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2.1606002750000002</v>
          </cell>
          <cell r="W132">
            <v>2.2044070833333298</v>
          </cell>
          <cell r="X132">
            <v>2.1825036791666648</v>
          </cell>
        </row>
        <row r="133">
          <cell r="A133" t="str">
            <v>AGROSUPER ASIA1023283</v>
          </cell>
          <cell r="B133" t="str">
            <v>AGROSUPER ASIA</v>
          </cell>
          <cell r="C133">
            <v>1023283</v>
          </cell>
          <cell r="D133">
            <v>72000</v>
          </cell>
          <cell r="H133" t="str">
            <v>AGROSUPER ASIA1023283</v>
          </cell>
          <cell r="I133" t="str">
            <v>AGROSUPER ASIA</v>
          </cell>
          <cell r="J133">
            <v>1023283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48000</v>
          </cell>
          <cell r="P133">
            <v>24000</v>
          </cell>
          <cell r="Q133">
            <v>72000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1.03641972222222</v>
          </cell>
          <cell r="W133">
            <v>0.956920833333333</v>
          </cell>
          <cell r="X133">
            <v>1.0099200925925911</v>
          </cell>
        </row>
        <row r="134">
          <cell r="A134" t="str">
            <v>AGROSUPER ASIA1023307</v>
          </cell>
          <cell r="B134" t="str">
            <v>AGROSUPER ASIA</v>
          </cell>
          <cell r="C134">
            <v>1023307</v>
          </cell>
          <cell r="D134">
            <v>24000</v>
          </cell>
          <cell r="H134" t="str">
            <v>AGROSUPER ASIA1023307</v>
          </cell>
          <cell r="I134" t="str">
            <v>AGROSUPER ASIA</v>
          </cell>
          <cell r="J134">
            <v>1023307</v>
          </cell>
          <cell r="K134">
            <v>0</v>
          </cell>
          <cell r="L134">
            <v>0</v>
          </cell>
          <cell r="M134">
            <v>0</v>
          </cell>
          <cell r="N134">
            <v>24000</v>
          </cell>
          <cell r="O134">
            <v>0</v>
          </cell>
          <cell r="P134">
            <v>0</v>
          </cell>
          <cell r="Q134">
            <v>24000</v>
          </cell>
          <cell r="R134">
            <v>0</v>
          </cell>
          <cell r="S134">
            <v>0</v>
          </cell>
          <cell r="T134">
            <v>0</v>
          </cell>
          <cell r="U134">
            <v>0.67419916666666702</v>
          </cell>
          <cell r="V134">
            <v>0</v>
          </cell>
          <cell r="W134">
            <v>0</v>
          </cell>
          <cell r="X134">
            <v>0.67419916666666702</v>
          </cell>
        </row>
        <row r="135">
          <cell r="A135" t="str">
            <v>AGROSUPER ASIA1023326</v>
          </cell>
          <cell r="B135" t="str">
            <v>AGROSUPER ASIA</v>
          </cell>
          <cell r="C135">
            <v>1023326</v>
          </cell>
          <cell r="D135">
            <v>96000</v>
          </cell>
          <cell r="H135" t="str">
            <v>AGROSUPER ASIA1023326</v>
          </cell>
          <cell r="I135" t="str">
            <v>AGROSUPER ASIA</v>
          </cell>
          <cell r="J135">
            <v>1023326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48000</v>
          </cell>
          <cell r="P135">
            <v>48000</v>
          </cell>
          <cell r="Q135">
            <v>96000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0.75931458333333302</v>
          </cell>
          <cell r="W135">
            <v>0.85465729166666704</v>
          </cell>
          <cell r="X135">
            <v>0.80698593749999992</v>
          </cell>
        </row>
        <row r="136">
          <cell r="A136" t="str">
            <v>AGROSUPER ASIA1023372</v>
          </cell>
          <cell r="B136" t="str">
            <v>AGROSUPER ASIA</v>
          </cell>
          <cell r="C136">
            <v>1023372</v>
          </cell>
          <cell r="D136">
            <v>24000</v>
          </cell>
          <cell r="H136" t="str">
            <v>AGROSUPER ASIA1023372</v>
          </cell>
          <cell r="I136" t="str">
            <v>AGROSUPER ASIA</v>
          </cell>
          <cell r="J136">
            <v>1023372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24000</v>
          </cell>
          <cell r="P136">
            <v>0</v>
          </cell>
          <cell r="Q136">
            <v>24000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3</v>
          </cell>
          <cell r="W136">
            <v>0</v>
          </cell>
          <cell r="X136">
            <v>3</v>
          </cell>
        </row>
        <row r="137">
          <cell r="A137" t="str">
            <v>AGROSUPER ASIA1023397</v>
          </cell>
          <cell r="B137" t="str">
            <v>AGROSUPER ASIA</v>
          </cell>
          <cell r="C137">
            <v>1023397</v>
          </cell>
          <cell r="D137">
            <v>120000</v>
          </cell>
          <cell r="H137" t="str">
            <v>AGROSUPER ASIA1023397</v>
          </cell>
          <cell r="I137" t="str">
            <v>AGROSUPER ASIA</v>
          </cell>
          <cell r="J137">
            <v>1023397</v>
          </cell>
          <cell r="K137">
            <v>0</v>
          </cell>
          <cell r="L137">
            <v>0</v>
          </cell>
          <cell r="M137">
            <v>24000</v>
          </cell>
          <cell r="N137">
            <v>48000</v>
          </cell>
          <cell r="O137">
            <v>24000</v>
          </cell>
          <cell r="P137">
            <v>24000</v>
          </cell>
          <cell r="Q137">
            <v>120000</v>
          </cell>
          <cell r="R137">
            <v>0</v>
          </cell>
          <cell r="S137">
            <v>0</v>
          </cell>
          <cell r="T137">
            <v>0.974448958333333</v>
          </cell>
          <cell r="U137">
            <v>1.1465462500000001</v>
          </cell>
          <cell r="V137">
            <v>1.25</v>
          </cell>
          <cell r="W137">
            <v>1.25</v>
          </cell>
          <cell r="X137">
            <v>1.1535082916666666</v>
          </cell>
        </row>
        <row r="138">
          <cell r="A138" t="str">
            <v>AGROSUPER ASIA1030535</v>
          </cell>
          <cell r="B138" t="str">
            <v>AGROSUPER ASIA</v>
          </cell>
          <cell r="C138">
            <v>1030535</v>
          </cell>
          <cell r="D138">
            <v>66000</v>
          </cell>
          <cell r="H138" t="str">
            <v>AGROSUPER ASIA1030535</v>
          </cell>
          <cell r="I138" t="str">
            <v>AGROSUPER ASIA</v>
          </cell>
          <cell r="J138">
            <v>1030535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66000</v>
          </cell>
          <cell r="Q138">
            <v>66000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2.5</v>
          </cell>
          <cell r="X138">
            <v>2.5</v>
          </cell>
        </row>
        <row r="139">
          <cell r="A139" t="str">
            <v>AGROSUPER ASIA1100492</v>
          </cell>
          <cell r="B139" t="str">
            <v>AGROSUPER ASIA</v>
          </cell>
          <cell r="C139">
            <v>1100492</v>
          </cell>
          <cell r="D139">
            <v>3000</v>
          </cell>
          <cell r="H139" t="str">
            <v>AGROSUPER ASIA1100492</v>
          </cell>
          <cell r="I139" t="str">
            <v>AGROSUPER ASIA</v>
          </cell>
          <cell r="J139">
            <v>1100492</v>
          </cell>
          <cell r="K139">
            <v>0</v>
          </cell>
          <cell r="L139">
            <v>0</v>
          </cell>
          <cell r="M139">
            <v>0</v>
          </cell>
          <cell r="N139">
            <v>3000</v>
          </cell>
          <cell r="O139">
            <v>0</v>
          </cell>
          <cell r="P139">
            <v>0</v>
          </cell>
          <cell r="Q139">
            <v>3000</v>
          </cell>
          <cell r="R139">
            <v>0</v>
          </cell>
          <cell r="S139">
            <v>0</v>
          </cell>
          <cell r="T139">
            <v>0</v>
          </cell>
          <cell r="U139">
            <v>2.5</v>
          </cell>
          <cell r="V139">
            <v>0</v>
          </cell>
          <cell r="W139">
            <v>0</v>
          </cell>
          <cell r="X139">
            <v>2.5</v>
          </cell>
        </row>
        <row r="140">
          <cell r="A140" t="str">
            <v>AGROSUPER ASIA1021045</v>
          </cell>
          <cell r="B140" t="str">
            <v>AGROSUPER ASIA</v>
          </cell>
          <cell r="C140">
            <v>1021045</v>
          </cell>
          <cell r="D140">
            <v>44000</v>
          </cell>
          <cell r="H140" t="str">
            <v>AGROSUPER ASIA1021045</v>
          </cell>
          <cell r="I140" t="str">
            <v>AGROSUPER ASIA</v>
          </cell>
          <cell r="J140">
            <v>1021045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44000</v>
          </cell>
          <cell r="Q140">
            <v>44000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2.0123181818181801</v>
          </cell>
          <cell r="X140">
            <v>2.0123181818181801</v>
          </cell>
        </row>
        <row r="141">
          <cell r="A141" t="str">
            <v>AGROSUPER ASIA1021151</v>
          </cell>
          <cell r="B141" t="str">
            <v>AGROSUPER ASIA</v>
          </cell>
          <cell r="C141">
            <v>1021151</v>
          </cell>
          <cell r="D141">
            <v>22000</v>
          </cell>
          <cell r="H141" t="str">
            <v>AGROSUPER ASIA1021151</v>
          </cell>
          <cell r="I141" t="str">
            <v>AGROSUPER ASIA</v>
          </cell>
          <cell r="J141">
            <v>1021151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22000</v>
          </cell>
          <cell r="Q141">
            <v>22000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1.06966322272727</v>
          </cell>
          <cell r="X141">
            <v>1.06966322272727</v>
          </cell>
        </row>
        <row r="142">
          <cell r="A142" t="str">
            <v>AGROSUPER ASIA1021152</v>
          </cell>
          <cell r="B142" t="str">
            <v>AGROSUPER ASIA</v>
          </cell>
          <cell r="C142">
            <v>1021152</v>
          </cell>
          <cell r="D142">
            <v>66000</v>
          </cell>
          <cell r="H142" t="str">
            <v>AGROSUPER ASIA1021152</v>
          </cell>
          <cell r="I142" t="str">
            <v>AGROSUPER ASIA</v>
          </cell>
          <cell r="J142">
            <v>1021152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22000</v>
          </cell>
          <cell r="P142">
            <v>44000</v>
          </cell>
          <cell r="Q142">
            <v>66000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1.1375</v>
          </cell>
          <cell r="W142">
            <v>1.0561590909090901</v>
          </cell>
          <cell r="X142">
            <v>1.0832727272727267</v>
          </cell>
        </row>
        <row r="143">
          <cell r="A143" t="str">
            <v>AGROSUPER ASIA1021204</v>
          </cell>
          <cell r="B143" t="str">
            <v>AGROSUPER ASIA</v>
          </cell>
          <cell r="C143">
            <v>1021204</v>
          </cell>
          <cell r="D143">
            <v>48000</v>
          </cell>
          <cell r="H143" t="str">
            <v>AGROSUPER ASIA1021204</v>
          </cell>
          <cell r="I143" t="str">
            <v>AGROSUPER ASIA</v>
          </cell>
          <cell r="J143">
            <v>1021204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24000</v>
          </cell>
          <cell r="P143">
            <v>24000</v>
          </cell>
          <cell r="Q143">
            <v>48000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1.4274512500000001</v>
          </cell>
          <cell r="W143">
            <v>1.5</v>
          </cell>
          <cell r="X143">
            <v>1.4637256250000001</v>
          </cell>
        </row>
        <row r="144">
          <cell r="A144" t="str">
            <v>AGROSUPER ASIA1023435</v>
          </cell>
          <cell r="B144" t="str">
            <v>AGROSUPER ASIA</v>
          </cell>
          <cell r="C144">
            <v>1023435</v>
          </cell>
          <cell r="D144">
            <v>336000</v>
          </cell>
          <cell r="H144" t="str">
            <v>AGROSUPER ASIA1023435</v>
          </cell>
          <cell r="I144" t="str">
            <v>AGROSUPER ASIA</v>
          </cell>
          <cell r="J144">
            <v>1023435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336000</v>
          </cell>
          <cell r="Q144">
            <v>336000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0.85357142857142898</v>
          </cell>
          <cell r="X144">
            <v>0.85357142857142887</v>
          </cell>
        </row>
        <row r="145">
          <cell r="A145" t="str">
            <v>AGROSUPER ASIA1021046</v>
          </cell>
          <cell r="B145" t="str">
            <v>AGROSUPER ASIA</v>
          </cell>
          <cell r="C145">
            <v>1021046</v>
          </cell>
          <cell r="D145">
            <v>154000</v>
          </cell>
          <cell r="H145" t="str">
            <v>AGROSUPER ASIA1021046</v>
          </cell>
          <cell r="I145" t="str">
            <v>AGROSUPER ASIA</v>
          </cell>
          <cell r="J145">
            <v>1021046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154000</v>
          </cell>
          <cell r="Q145">
            <v>154000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1.5530795454545501</v>
          </cell>
          <cell r="X145">
            <v>1.5530795454545501</v>
          </cell>
        </row>
        <row r="146">
          <cell r="A146" t="str">
            <v>AGROSUPER ASIA1023439</v>
          </cell>
          <cell r="B146" t="str">
            <v>AGROSUPER ASIA</v>
          </cell>
          <cell r="C146">
            <v>1023439</v>
          </cell>
          <cell r="D146">
            <v>32000</v>
          </cell>
          <cell r="H146" t="str">
            <v>AGROSUPER ASIA1023439</v>
          </cell>
          <cell r="I146" t="str">
            <v>AGROSUPER ASIA</v>
          </cell>
          <cell r="J146">
            <v>1023439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32000</v>
          </cell>
          <cell r="Q146">
            <v>32000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0.7</v>
          </cell>
          <cell r="X146">
            <v>0.7</v>
          </cell>
        </row>
        <row r="147">
          <cell r="A147" t="str">
            <v>AGROSUPER ASIA1023438</v>
          </cell>
          <cell r="B147" t="str">
            <v>AGROSUPER ASIA</v>
          </cell>
          <cell r="C147">
            <v>1023438</v>
          </cell>
          <cell r="D147">
            <v>141000</v>
          </cell>
          <cell r="H147" t="str">
            <v>AGROSUPER ASIA1023438</v>
          </cell>
          <cell r="I147" t="str">
            <v>AGROSUPER ASIA</v>
          </cell>
          <cell r="J147">
            <v>1023438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141000</v>
          </cell>
          <cell r="Q147">
            <v>141000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1.3</v>
          </cell>
          <cell r="X147">
            <v>1.3</v>
          </cell>
        </row>
        <row r="148">
          <cell r="A148" t="str">
            <v>AGROSUPER ASIA1020660</v>
          </cell>
          <cell r="B148" t="str">
            <v>AGROSUPER ASIA</v>
          </cell>
          <cell r="C148">
            <v>1020660</v>
          </cell>
          <cell r="D148">
            <v>115000</v>
          </cell>
          <cell r="H148" t="str">
            <v>AGROSUPER ASIA1020660</v>
          </cell>
          <cell r="I148" t="str">
            <v>AGROSUPER ASIA</v>
          </cell>
          <cell r="J148">
            <v>1020660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115000</v>
          </cell>
          <cell r="Q148">
            <v>115000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1.2</v>
          </cell>
          <cell r="X148">
            <v>1.2</v>
          </cell>
        </row>
        <row r="149">
          <cell r="A149" t="str">
            <v>AGROSUPER BRASIL1011560</v>
          </cell>
          <cell r="B149" t="str">
            <v>AGROSUPER BRASIL</v>
          </cell>
          <cell r="C149">
            <v>1011560</v>
          </cell>
          <cell r="D149">
            <v>48000</v>
          </cell>
          <cell r="H149" t="str">
            <v>AGROSUPER BRASIL1011560</v>
          </cell>
          <cell r="I149" t="str">
            <v>AGROSUPER BRASIL</v>
          </cell>
          <cell r="J149">
            <v>1011560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48000</v>
          </cell>
          <cell r="P149">
            <v>0</v>
          </cell>
          <cell r="Q149">
            <v>48000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2.8</v>
          </cell>
          <cell r="W149">
            <v>0</v>
          </cell>
          <cell r="X149">
            <v>2.8</v>
          </cell>
        </row>
        <row r="150">
          <cell r="A150" t="str">
            <v>AGROSUPER BRASIL1012362</v>
          </cell>
          <cell r="B150" t="str">
            <v>AGROSUPER BRASIL</v>
          </cell>
          <cell r="C150">
            <v>1012362</v>
          </cell>
          <cell r="D150">
            <v>24000</v>
          </cell>
          <cell r="H150" t="str">
            <v>AGROSUPER BRASIL1012362</v>
          </cell>
          <cell r="I150" t="str">
            <v>AGROSUPER BRASIL</v>
          </cell>
          <cell r="J150">
            <v>1012362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24000</v>
          </cell>
          <cell r="Q150">
            <v>24000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2.7</v>
          </cell>
          <cell r="X150">
            <v>2.7</v>
          </cell>
        </row>
        <row r="151">
          <cell r="A151" t="str">
            <v>AGROSUPER BRASIL1012674</v>
          </cell>
          <cell r="B151" t="str">
            <v>AGROSUPER BRASIL</v>
          </cell>
          <cell r="C151">
            <v>1012674</v>
          </cell>
          <cell r="D151">
            <v>71985</v>
          </cell>
          <cell r="H151" t="str">
            <v>AGROSUPER BRASIL1012674</v>
          </cell>
          <cell r="I151" t="str">
            <v>AGROSUPER BRASIL</v>
          </cell>
          <cell r="J151">
            <v>1012674</v>
          </cell>
          <cell r="K151">
            <v>0</v>
          </cell>
          <cell r="L151">
            <v>47990</v>
          </cell>
          <cell r="M151">
            <v>0</v>
          </cell>
          <cell r="N151">
            <v>0</v>
          </cell>
          <cell r="O151">
            <v>23995</v>
          </cell>
          <cell r="P151">
            <v>0</v>
          </cell>
          <cell r="Q151">
            <v>71985</v>
          </cell>
          <cell r="R151">
            <v>0</v>
          </cell>
          <cell r="S151">
            <v>2.5</v>
          </cell>
          <cell r="T151">
            <v>0</v>
          </cell>
          <cell r="U151">
            <v>0</v>
          </cell>
          <cell r="V151">
            <v>2.4</v>
          </cell>
          <cell r="W151">
            <v>0</v>
          </cell>
          <cell r="X151">
            <v>2.4666666666666668</v>
          </cell>
        </row>
        <row r="152">
          <cell r="A152" t="str">
            <v>AGROSUPER BRASIL1022217</v>
          </cell>
          <cell r="B152" t="str">
            <v>AGROSUPER BRASIL</v>
          </cell>
          <cell r="C152">
            <v>1022217</v>
          </cell>
          <cell r="D152">
            <v>264000</v>
          </cell>
          <cell r="H152" t="str">
            <v>AGROSUPER BRASIL1022217</v>
          </cell>
          <cell r="I152" t="str">
            <v>AGROSUPER BRASIL</v>
          </cell>
          <cell r="J152">
            <v>1022217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264000</v>
          </cell>
          <cell r="Q152">
            <v>264000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1.85663704545455</v>
          </cell>
          <cell r="X152">
            <v>1.85663704545455</v>
          </cell>
        </row>
        <row r="153">
          <cell r="A153" t="str">
            <v>AGROSUPER BRASIL1022218</v>
          </cell>
          <cell r="B153" t="str">
            <v>AGROSUPER BRASIL</v>
          </cell>
          <cell r="C153">
            <v>1022218</v>
          </cell>
          <cell r="D153">
            <v>72000</v>
          </cell>
          <cell r="H153" t="str">
            <v>AGROSUPER BRASIL1022218</v>
          </cell>
          <cell r="I153" t="str">
            <v>AGROSUPER BRASIL</v>
          </cell>
          <cell r="J153">
            <v>1022218</v>
          </cell>
          <cell r="K153">
            <v>24000</v>
          </cell>
          <cell r="L153">
            <v>24000</v>
          </cell>
          <cell r="M153">
            <v>0</v>
          </cell>
          <cell r="N153">
            <v>0</v>
          </cell>
          <cell r="O153">
            <v>0</v>
          </cell>
          <cell r="P153">
            <v>24000</v>
          </cell>
          <cell r="Q153">
            <v>72000</v>
          </cell>
          <cell r="R153">
            <v>1.5249999999999999</v>
          </cell>
          <cell r="S153">
            <v>1.5</v>
          </cell>
          <cell r="T153">
            <v>0</v>
          </cell>
          <cell r="U153">
            <v>0</v>
          </cell>
          <cell r="V153">
            <v>0</v>
          </cell>
          <cell r="W153">
            <v>1.75</v>
          </cell>
          <cell r="X153">
            <v>1.5916666666666666</v>
          </cell>
        </row>
        <row r="154">
          <cell r="A154" t="str">
            <v>AGROSUPER BRASIL1022273</v>
          </cell>
          <cell r="B154" t="str">
            <v>AGROSUPER BRASIL</v>
          </cell>
          <cell r="C154">
            <v>1022273</v>
          </cell>
          <cell r="D154">
            <v>214000</v>
          </cell>
          <cell r="H154" t="str">
            <v>AGROSUPER BRASIL1022273</v>
          </cell>
          <cell r="I154" t="str">
            <v>AGROSUPER BRASIL</v>
          </cell>
          <cell r="J154">
            <v>1022273</v>
          </cell>
          <cell r="K154">
            <v>0</v>
          </cell>
          <cell r="L154">
            <v>0</v>
          </cell>
          <cell r="M154">
            <v>22000</v>
          </cell>
          <cell r="N154">
            <v>0</v>
          </cell>
          <cell r="O154">
            <v>24000</v>
          </cell>
          <cell r="P154">
            <v>168000</v>
          </cell>
          <cell r="Q154">
            <v>214000</v>
          </cell>
          <cell r="R154">
            <v>0</v>
          </cell>
          <cell r="S154">
            <v>0</v>
          </cell>
          <cell r="T154">
            <v>1.4323089130434801</v>
          </cell>
          <cell r="U154">
            <v>0</v>
          </cell>
          <cell r="V154">
            <v>1.52435125</v>
          </cell>
          <cell r="W154">
            <v>1.69985592592593</v>
          </cell>
          <cell r="X154">
            <v>1.6526683254323029</v>
          </cell>
        </row>
        <row r="155">
          <cell r="A155" t="str">
            <v>AGROSUPER BRASIL1023329</v>
          </cell>
          <cell r="B155" t="str">
            <v>AGROSUPER BRASIL</v>
          </cell>
          <cell r="C155">
            <v>1023329</v>
          </cell>
          <cell r="D155">
            <v>48000</v>
          </cell>
          <cell r="H155" t="str">
            <v>AGROSUPER BRASIL1023329</v>
          </cell>
          <cell r="I155" t="str">
            <v>AGROSUPER BRASIL</v>
          </cell>
          <cell r="J155">
            <v>1023329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48000</v>
          </cell>
          <cell r="Q155">
            <v>48000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0.55000000000000004</v>
          </cell>
          <cell r="X155">
            <v>0.55000000000000004</v>
          </cell>
        </row>
        <row r="156">
          <cell r="A156" t="str">
            <v>AGROSUPER BRASIL1023334</v>
          </cell>
          <cell r="B156" t="str">
            <v>AGROSUPER BRASIL</v>
          </cell>
          <cell r="C156">
            <v>1023334</v>
          </cell>
          <cell r="D156">
            <v>48000</v>
          </cell>
          <cell r="H156" t="str">
            <v>AGROSUPER BRASIL1023334</v>
          </cell>
          <cell r="I156" t="str">
            <v>AGROSUPER BRASIL</v>
          </cell>
          <cell r="J156">
            <v>1023334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48000</v>
          </cell>
          <cell r="Q156">
            <v>48000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0.75</v>
          </cell>
          <cell r="X156">
            <v>0.75</v>
          </cell>
        </row>
        <row r="157">
          <cell r="A157" t="str">
            <v>AGROSUPER BRASIL1021864</v>
          </cell>
          <cell r="B157" t="str">
            <v>AGROSUPER BRASIL</v>
          </cell>
          <cell r="C157">
            <v>1021864</v>
          </cell>
          <cell r="D157">
            <v>24000</v>
          </cell>
          <cell r="H157" t="str">
            <v>AGROSUPER BRASIL1021864</v>
          </cell>
          <cell r="I157" t="str">
            <v>AGROSUPER BRASIL</v>
          </cell>
          <cell r="J157">
            <v>1021864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24000</v>
          </cell>
          <cell r="P157">
            <v>0</v>
          </cell>
          <cell r="Q157">
            <v>24000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0.55000000000000004</v>
          </cell>
          <cell r="W157">
            <v>0</v>
          </cell>
          <cell r="X157">
            <v>0.55000000000000004</v>
          </cell>
        </row>
        <row r="158">
          <cell r="A158" t="str">
            <v>AGROSUPER BRASIL1023399</v>
          </cell>
          <cell r="B158" t="str">
            <v>AGROSUPER BRASIL</v>
          </cell>
          <cell r="C158">
            <v>1023399</v>
          </cell>
          <cell r="D158">
            <v>1000</v>
          </cell>
          <cell r="H158" t="str">
            <v>AGROSUPER BRASIL1023399</v>
          </cell>
          <cell r="I158" t="str">
            <v>AGROSUPER BRASIL</v>
          </cell>
          <cell r="J158">
            <v>1023399</v>
          </cell>
          <cell r="K158">
            <v>0</v>
          </cell>
          <cell r="L158">
            <v>0</v>
          </cell>
          <cell r="M158">
            <v>1000</v>
          </cell>
          <cell r="N158">
            <v>0</v>
          </cell>
          <cell r="O158">
            <v>0</v>
          </cell>
          <cell r="P158">
            <v>0</v>
          </cell>
          <cell r="Q158">
            <v>1000</v>
          </cell>
          <cell r="R158">
            <v>0</v>
          </cell>
          <cell r="S158">
            <v>0</v>
          </cell>
          <cell r="T158">
            <v>1.45</v>
          </cell>
          <cell r="U158">
            <v>0</v>
          </cell>
          <cell r="V158">
            <v>0</v>
          </cell>
          <cell r="W158">
            <v>0</v>
          </cell>
          <cell r="X158">
            <v>1.45</v>
          </cell>
        </row>
        <row r="159">
          <cell r="A159" t="str">
            <v>AGROSUPER BRASIL1023398</v>
          </cell>
          <cell r="B159" t="str">
            <v>AGROSUPER BRASIL</v>
          </cell>
          <cell r="C159">
            <v>1023398</v>
          </cell>
          <cell r="D159">
            <v>1000</v>
          </cell>
          <cell r="H159" t="str">
            <v>AGROSUPER BRASIL1023398</v>
          </cell>
          <cell r="I159" t="str">
            <v>AGROSUPER BRASIL</v>
          </cell>
          <cell r="J159">
            <v>1023398</v>
          </cell>
          <cell r="K159">
            <v>0</v>
          </cell>
          <cell r="L159">
            <v>0</v>
          </cell>
          <cell r="M159">
            <v>1000</v>
          </cell>
          <cell r="N159">
            <v>0</v>
          </cell>
          <cell r="O159">
            <v>0</v>
          </cell>
          <cell r="P159">
            <v>0</v>
          </cell>
          <cell r="Q159">
            <v>1000</v>
          </cell>
          <cell r="R159">
            <v>0</v>
          </cell>
          <cell r="S159">
            <v>0</v>
          </cell>
          <cell r="T159">
            <v>1.47</v>
          </cell>
          <cell r="U159">
            <v>0</v>
          </cell>
          <cell r="V159">
            <v>0</v>
          </cell>
          <cell r="W159">
            <v>0</v>
          </cell>
          <cell r="X159">
            <v>1.47</v>
          </cell>
        </row>
        <row r="160">
          <cell r="A160" t="str">
            <v>AGROSUPER BRASIL1023336</v>
          </cell>
          <cell r="B160" t="str">
            <v>AGROSUPER BRASIL</v>
          </cell>
          <cell r="C160">
            <v>1023336</v>
          </cell>
          <cell r="D160">
            <v>120000</v>
          </cell>
          <cell r="H160" t="str">
            <v>AGROSUPER BRASIL1023336</v>
          </cell>
          <cell r="I160" t="str">
            <v>AGROSUPER BRASIL</v>
          </cell>
          <cell r="J160">
            <v>1023336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120000</v>
          </cell>
          <cell r="Q160">
            <v>120000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0.75</v>
          </cell>
          <cell r="X160">
            <v>0.75</v>
          </cell>
        </row>
        <row r="161">
          <cell r="A161" t="str">
            <v>AGROSUPER SHANGHAI1023035</v>
          </cell>
          <cell r="B161" t="str">
            <v>AGROSUPER SHANGHAI</v>
          </cell>
          <cell r="C161">
            <v>1023035</v>
          </cell>
          <cell r="D161">
            <v>24000</v>
          </cell>
          <cell r="H161" t="str">
            <v>AGROSUPER SHANGHAI1023035</v>
          </cell>
          <cell r="I161" t="str">
            <v>AGROSUPER SHANGHAI</v>
          </cell>
          <cell r="J161">
            <v>1023035</v>
          </cell>
          <cell r="K161">
            <v>24000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24000</v>
          </cell>
          <cell r="R161">
            <v>0.92500000000000004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0.92500000000000004</v>
          </cell>
        </row>
        <row r="162">
          <cell r="A162" t="str">
            <v>AGROSUPER SHANGHAI1030419</v>
          </cell>
          <cell r="B162" t="str">
            <v>AGROSUPER SHANGHAI</v>
          </cell>
          <cell r="C162">
            <v>1030419</v>
          </cell>
          <cell r="D162">
            <v>24000</v>
          </cell>
          <cell r="H162" t="str">
            <v>AGROSUPER SHANGHAI1030419</v>
          </cell>
          <cell r="I162" t="str">
            <v>AGROSUPER SHANGHAI</v>
          </cell>
          <cell r="J162">
            <v>1030419</v>
          </cell>
          <cell r="K162">
            <v>0</v>
          </cell>
          <cell r="L162">
            <v>0</v>
          </cell>
          <cell r="M162">
            <v>0</v>
          </cell>
          <cell r="N162">
            <v>24000</v>
          </cell>
          <cell r="O162">
            <v>0</v>
          </cell>
          <cell r="P162">
            <v>0</v>
          </cell>
          <cell r="Q162">
            <v>24000</v>
          </cell>
          <cell r="R162">
            <v>0</v>
          </cell>
          <cell r="S162">
            <v>0</v>
          </cell>
          <cell r="T162">
            <v>0</v>
          </cell>
          <cell r="U162">
            <v>1.7749999999999999</v>
          </cell>
          <cell r="V162">
            <v>0</v>
          </cell>
          <cell r="W162">
            <v>0</v>
          </cell>
          <cell r="X162">
            <v>1.7749999999999999</v>
          </cell>
        </row>
        <row r="163">
          <cell r="A163" t="str">
            <v>AGROSUPER SHANGHAI1021992</v>
          </cell>
          <cell r="B163" t="str">
            <v>AGROSUPER SHANGHAI</v>
          </cell>
          <cell r="C163">
            <v>1021992</v>
          </cell>
          <cell r="D163">
            <v>22000</v>
          </cell>
          <cell r="H163" t="str">
            <v>AGROSUPER SHANGHAI1021992</v>
          </cell>
          <cell r="I163" t="str">
            <v>AGROSUPER SHANGHAI</v>
          </cell>
          <cell r="J163">
            <v>1021992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22000</v>
          </cell>
          <cell r="P163">
            <v>0</v>
          </cell>
          <cell r="Q163">
            <v>22000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1.6387662656249999</v>
          </cell>
          <cell r="W163">
            <v>0</v>
          </cell>
          <cell r="X163">
            <v>1.6387662656249999</v>
          </cell>
        </row>
        <row r="164">
          <cell r="A164" t="str">
            <v>AGROSUPER SHANGHAI1022418</v>
          </cell>
          <cell r="B164" t="str">
            <v>AGROSUPER SHANGHAI</v>
          </cell>
          <cell r="C164">
            <v>1022418</v>
          </cell>
          <cell r="D164">
            <v>47880</v>
          </cell>
          <cell r="H164" t="str">
            <v>AGROSUPER SHANGHAI1022418</v>
          </cell>
          <cell r="I164" t="str">
            <v>AGROSUPER SHANGHAI</v>
          </cell>
          <cell r="J164">
            <v>1022418</v>
          </cell>
          <cell r="K164">
            <v>0</v>
          </cell>
          <cell r="L164">
            <v>0</v>
          </cell>
          <cell r="M164">
            <v>0</v>
          </cell>
          <cell r="N164">
            <v>47880</v>
          </cell>
          <cell r="O164">
            <v>0</v>
          </cell>
          <cell r="P164">
            <v>0</v>
          </cell>
          <cell r="Q164">
            <v>47880</v>
          </cell>
          <cell r="R164">
            <v>0</v>
          </cell>
          <cell r="S164">
            <v>0</v>
          </cell>
          <cell r="T164">
            <v>0</v>
          </cell>
          <cell r="U164">
            <v>5.2697172619047601</v>
          </cell>
          <cell r="V164">
            <v>0</v>
          </cell>
          <cell r="W164">
            <v>0</v>
          </cell>
          <cell r="X164">
            <v>5.2697172619047601</v>
          </cell>
        </row>
        <row r="165">
          <cell r="A165" t="str">
            <v>AGROSUPER SHANGHAI1021115</v>
          </cell>
          <cell r="B165" t="str">
            <v>AGROSUPER SHANGHAI</v>
          </cell>
          <cell r="C165">
            <v>1021115</v>
          </cell>
          <cell r="D165">
            <v>48000</v>
          </cell>
          <cell r="H165" t="str">
            <v>AGROSUPER SHANGHAI1021115</v>
          </cell>
          <cell r="I165" t="str">
            <v>AGROSUPER SHANGHAI</v>
          </cell>
          <cell r="J165">
            <v>1021115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48000</v>
          </cell>
          <cell r="Q165">
            <v>48000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0.32166666666666699</v>
          </cell>
          <cell r="X165">
            <v>0.32166666666666699</v>
          </cell>
        </row>
        <row r="166">
          <cell r="A166" t="str">
            <v>EXPORTACION DIRECTA1020105</v>
          </cell>
          <cell r="B166" t="str">
            <v>EXPORTACION DIRECTA</v>
          </cell>
          <cell r="C166">
            <v>1020105</v>
          </cell>
          <cell r="D166">
            <v>61000</v>
          </cell>
          <cell r="H166" t="str">
            <v>EXPORTACION DIRECTA1020105</v>
          </cell>
          <cell r="I166" t="str">
            <v>EXPORTACION DIRECTA</v>
          </cell>
          <cell r="J166">
            <v>1020105</v>
          </cell>
          <cell r="K166">
            <v>0</v>
          </cell>
          <cell r="L166">
            <v>0</v>
          </cell>
          <cell r="M166">
            <v>0</v>
          </cell>
          <cell r="N166">
            <v>6000</v>
          </cell>
          <cell r="O166">
            <v>9500</v>
          </cell>
          <cell r="P166">
            <v>45500</v>
          </cell>
          <cell r="Q166">
            <v>61000</v>
          </cell>
          <cell r="R166">
            <v>0</v>
          </cell>
          <cell r="S166">
            <v>0</v>
          </cell>
          <cell r="T166">
            <v>0</v>
          </cell>
          <cell r="U166">
            <v>3.7540941225000002</v>
          </cell>
          <cell r="V166">
            <v>3.9329804099999999</v>
          </cell>
          <cell r="W166">
            <v>3.8444478750000002</v>
          </cell>
          <cell r="X166">
            <v>3.8493484744672135</v>
          </cell>
        </row>
        <row r="167">
          <cell r="A167" t="str">
            <v>EXPORTACION DIRECTA1020110</v>
          </cell>
          <cell r="B167" t="str">
            <v>EXPORTACION DIRECTA</v>
          </cell>
          <cell r="C167">
            <v>1020110</v>
          </cell>
          <cell r="D167">
            <v>438660</v>
          </cell>
          <cell r="H167" t="str">
            <v>EXPORTACION DIRECTA1020110</v>
          </cell>
          <cell r="I167" t="str">
            <v>EXPORTACION DIRECTA</v>
          </cell>
          <cell r="J167">
            <v>1020110</v>
          </cell>
          <cell r="K167">
            <v>0</v>
          </cell>
          <cell r="L167">
            <v>0</v>
          </cell>
          <cell r="M167">
            <v>0</v>
          </cell>
          <cell r="N167">
            <v>61820</v>
          </cell>
          <cell r="O167">
            <v>132080</v>
          </cell>
          <cell r="P167">
            <v>244760</v>
          </cell>
          <cell r="Q167">
            <v>438660</v>
          </cell>
          <cell r="R167">
            <v>0</v>
          </cell>
          <cell r="S167">
            <v>0</v>
          </cell>
          <cell r="T167">
            <v>0</v>
          </cell>
          <cell r="U167">
            <v>3.3212949832412999</v>
          </cell>
          <cell r="V167">
            <v>3.4881181208609302</v>
          </cell>
          <cell r="W167">
            <v>3.4479164719199198</v>
          </cell>
          <cell r="X167">
            <v>3.4421764759367353</v>
          </cell>
        </row>
        <row r="168">
          <cell r="A168" t="str">
            <v>EXPORTACION DIRECTA1020284</v>
          </cell>
          <cell r="B168" t="str">
            <v>EXPORTACION DIRECTA</v>
          </cell>
          <cell r="C168">
            <v>1020284</v>
          </cell>
          <cell r="D168">
            <v>11500</v>
          </cell>
          <cell r="H168" t="str">
            <v>EXPORTACION DIRECTA1020284</v>
          </cell>
          <cell r="I168" t="str">
            <v>EXPORTACION DIRECTA</v>
          </cell>
          <cell r="J168">
            <v>1020284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4500</v>
          </cell>
          <cell r="P168">
            <v>7000</v>
          </cell>
          <cell r="Q168">
            <v>11500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3.6973310142857101</v>
          </cell>
          <cell r="W168">
            <v>3.5677305428571402</v>
          </cell>
          <cell r="X168">
            <v>3.6184437708074504</v>
          </cell>
        </row>
        <row r="169">
          <cell r="A169" t="str">
            <v>EXPORTACION DIRECTA1020326</v>
          </cell>
          <cell r="B169" t="str">
            <v>EXPORTACION DIRECTA</v>
          </cell>
          <cell r="C169">
            <v>1020326</v>
          </cell>
          <cell r="D169">
            <v>48000</v>
          </cell>
          <cell r="H169" t="str">
            <v>EXPORTACION DIRECTA1020326</v>
          </cell>
          <cell r="I169" t="str">
            <v>EXPORTACION DIRECTA</v>
          </cell>
          <cell r="J169">
            <v>1020326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48000</v>
          </cell>
          <cell r="Q169">
            <v>48000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2.5998890739606502</v>
          </cell>
          <cell r="X169">
            <v>2.5998890739606502</v>
          </cell>
        </row>
        <row r="170">
          <cell r="A170" t="str">
            <v>EXPORTACION DIRECTA1020589</v>
          </cell>
          <cell r="B170" t="str">
            <v>EXPORTACION DIRECTA</v>
          </cell>
          <cell r="C170">
            <v>1020589</v>
          </cell>
          <cell r="D170">
            <v>110000</v>
          </cell>
          <cell r="H170" t="str">
            <v>EXPORTACION DIRECTA1020589</v>
          </cell>
          <cell r="I170" t="str">
            <v>EXPORTACION DIRECTA</v>
          </cell>
          <cell r="J170">
            <v>1020589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44000</v>
          </cell>
          <cell r="P170">
            <v>66000</v>
          </cell>
          <cell r="Q170">
            <v>110000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3.6490840838461498</v>
          </cell>
          <cell r="W170">
            <v>3.6346496976923102</v>
          </cell>
          <cell r="X170">
            <v>3.6404234521538466</v>
          </cell>
        </row>
        <row r="171">
          <cell r="A171" t="str">
            <v>EXPORTACION DIRECTA1020592</v>
          </cell>
          <cell r="B171" t="str">
            <v>EXPORTACION DIRECTA</v>
          </cell>
          <cell r="C171">
            <v>1020592</v>
          </cell>
          <cell r="D171">
            <v>219730</v>
          </cell>
          <cell r="H171" t="str">
            <v>EXPORTACION DIRECTA1020592</v>
          </cell>
          <cell r="I171" t="str">
            <v>EXPORTACION DIRECTA</v>
          </cell>
          <cell r="J171">
            <v>1020592</v>
          </cell>
          <cell r="K171">
            <v>0</v>
          </cell>
          <cell r="L171">
            <v>0</v>
          </cell>
          <cell r="M171">
            <v>0</v>
          </cell>
          <cell r="N171">
            <v>20980</v>
          </cell>
          <cell r="O171">
            <v>61450</v>
          </cell>
          <cell r="P171">
            <v>137300</v>
          </cell>
          <cell r="Q171">
            <v>219730</v>
          </cell>
          <cell r="R171">
            <v>0</v>
          </cell>
          <cell r="S171">
            <v>0</v>
          </cell>
          <cell r="T171">
            <v>0</v>
          </cell>
          <cell r="U171">
            <v>3.4247216394549498</v>
          </cell>
          <cell r="V171">
            <v>3.62085906683168</v>
          </cell>
          <cell r="W171">
            <v>3.55033355080504</v>
          </cell>
          <cell r="X171">
            <v>3.5580632875715814</v>
          </cell>
        </row>
        <row r="172">
          <cell r="A172" t="str">
            <v>EXPORTACION DIRECTA1020620</v>
          </cell>
          <cell r="B172" t="str">
            <v>EXPORTACION DIRECTA</v>
          </cell>
          <cell r="C172">
            <v>1020620</v>
          </cell>
          <cell r="D172">
            <v>64700</v>
          </cell>
          <cell r="H172" t="str">
            <v>EXPORTACION DIRECTA1020620</v>
          </cell>
          <cell r="I172" t="str">
            <v>EXPORTACION DIRECTA</v>
          </cell>
          <cell r="J172">
            <v>1020620</v>
          </cell>
          <cell r="K172">
            <v>0</v>
          </cell>
          <cell r="L172">
            <v>0</v>
          </cell>
          <cell r="M172">
            <v>0</v>
          </cell>
          <cell r="N172">
            <v>6200</v>
          </cell>
          <cell r="O172">
            <v>26000</v>
          </cell>
          <cell r="P172">
            <v>32500</v>
          </cell>
          <cell r="Q172">
            <v>64700</v>
          </cell>
          <cell r="R172">
            <v>0</v>
          </cell>
          <cell r="S172">
            <v>0</v>
          </cell>
          <cell r="T172">
            <v>0</v>
          </cell>
          <cell r="U172">
            <v>3.39270131666667</v>
          </cell>
          <cell r="V172">
            <v>3.27800717428571</v>
          </cell>
          <cell r="W172">
            <v>3.5462887945945898</v>
          </cell>
          <cell r="X172">
            <v>3.4237607499085931</v>
          </cell>
        </row>
        <row r="173">
          <cell r="A173" t="str">
            <v>EXPORTACION DIRECTA1020636</v>
          </cell>
          <cell r="B173" t="str">
            <v>EXPORTACION DIRECTA</v>
          </cell>
          <cell r="C173">
            <v>1020636</v>
          </cell>
          <cell r="D173">
            <v>16800</v>
          </cell>
          <cell r="H173" t="str">
            <v>EXPORTACION DIRECTA1020636</v>
          </cell>
          <cell r="I173" t="str">
            <v>EXPORTACION DIRECTA</v>
          </cell>
          <cell r="J173">
            <v>1020636</v>
          </cell>
          <cell r="K173">
            <v>0</v>
          </cell>
          <cell r="L173">
            <v>0</v>
          </cell>
          <cell r="M173">
            <v>0</v>
          </cell>
          <cell r="N173">
            <v>7500</v>
          </cell>
          <cell r="O173">
            <v>800</v>
          </cell>
          <cell r="P173">
            <v>8500</v>
          </cell>
          <cell r="Q173">
            <v>16800</v>
          </cell>
          <cell r="R173">
            <v>0</v>
          </cell>
          <cell r="S173">
            <v>0</v>
          </cell>
          <cell r="T173">
            <v>0</v>
          </cell>
          <cell r="U173">
            <v>4.0734989285714303</v>
          </cell>
          <cell r="V173">
            <v>4.3699813461538497</v>
          </cell>
          <cell r="W173">
            <v>4.1950030769230802</v>
          </cell>
          <cell r="X173">
            <v>4.1490924520866068</v>
          </cell>
        </row>
        <row r="174">
          <cell r="A174" t="str">
            <v>EXPORTACION DIRECTA1020637</v>
          </cell>
          <cell r="B174" t="str">
            <v>EXPORTACION DIRECTA</v>
          </cell>
          <cell r="C174">
            <v>1020637</v>
          </cell>
          <cell r="D174">
            <v>196410</v>
          </cell>
          <cell r="H174" t="str">
            <v>EXPORTACION DIRECTA1020637</v>
          </cell>
          <cell r="I174" t="str">
            <v>EXPORTACION DIRECTA</v>
          </cell>
          <cell r="J174">
            <v>1020637</v>
          </cell>
          <cell r="K174">
            <v>0</v>
          </cell>
          <cell r="L174">
            <v>0</v>
          </cell>
          <cell r="M174">
            <v>0</v>
          </cell>
          <cell r="N174">
            <v>6400</v>
          </cell>
          <cell r="O174">
            <v>67170</v>
          </cell>
          <cell r="P174">
            <v>122840</v>
          </cell>
          <cell r="Q174">
            <v>196410</v>
          </cell>
          <cell r="R174">
            <v>0</v>
          </cell>
          <cell r="S174">
            <v>0</v>
          </cell>
          <cell r="T174">
            <v>0</v>
          </cell>
          <cell r="U174">
            <v>4.4739447161936603</v>
          </cell>
          <cell r="V174">
            <v>4.9790060104761897</v>
          </cell>
          <cell r="W174">
            <v>4.9569719760556596</v>
          </cell>
          <cell r="X174">
            <v>4.9487679723333962</v>
          </cell>
        </row>
        <row r="175">
          <cell r="A175" t="str">
            <v>EXPORTACION DIRECTA1020664</v>
          </cell>
          <cell r="B175" t="str">
            <v>EXPORTACION DIRECTA</v>
          </cell>
          <cell r="C175">
            <v>1020664</v>
          </cell>
          <cell r="D175">
            <v>10000</v>
          </cell>
          <cell r="H175" t="str">
            <v>EXPORTACION DIRECTA1020664</v>
          </cell>
          <cell r="I175" t="str">
            <v>EXPORTACION DIRECTA</v>
          </cell>
          <cell r="J175">
            <v>1020664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2000</v>
          </cell>
          <cell r="P175">
            <v>8000</v>
          </cell>
          <cell r="Q175">
            <v>10000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3.6736490750000002</v>
          </cell>
          <cell r="W175">
            <v>3.584961775</v>
          </cell>
          <cell r="X175">
            <v>3.6026992350000002</v>
          </cell>
        </row>
        <row r="176">
          <cell r="A176" t="str">
            <v>EXPORTACION DIRECTA1020665</v>
          </cell>
          <cell r="B176" t="str">
            <v>EXPORTACION DIRECTA</v>
          </cell>
          <cell r="C176">
            <v>1020665</v>
          </cell>
          <cell r="D176">
            <v>19500</v>
          </cell>
          <cell r="H176" t="str">
            <v>EXPORTACION DIRECTA1020665</v>
          </cell>
          <cell r="I176" t="str">
            <v>EXPORTACION DIRECTA</v>
          </cell>
          <cell r="J176">
            <v>1020665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8500</v>
          </cell>
          <cell r="P176">
            <v>11000</v>
          </cell>
          <cell r="Q176">
            <v>19500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3.62171825454545</v>
          </cell>
          <cell r="W176">
            <v>3.5565720909090901</v>
          </cell>
          <cell r="X176">
            <v>3.584969136596734</v>
          </cell>
        </row>
        <row r="177">
          <cell r="A177" t="str">
            <v>EXPORTACION DIRECTA1020678</v>
          </cell>
          <cell r="B177" t="str">
            <v>EXPORTACION DIRECTA</v>
          </cell>
          <cell r="C177">
            <v>1020678</v>
          </cell>
          <cell r="D177">
            <v>500</v>
          </cell>
          <cell r="H177" t="str">
            <v>EXPORTACION DIRECTA1020678</v>
          </cell>
          <cell r="I177" t="str">
            <v>EXPORTACION DIRECTA</v>
          </cell>
          <cell r="J177">
            <v>1020678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500</v>
          </cell>
          <cell r="P177">
            <v>0</v>
          </cell>
          <cell r="Q177">
            <v>500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4.7710151999999999</v>
          </cell>
          <cell r="W177">
            <v>0</v>
          </cell>
          <cell r="X177">
            <v>4.7710151999999999</v>
          </cell>
        </row>
        <row r="178">
          <cell r="A178" t="str">
            <v>EXPORTACION DIRECTA1020681</v>
          </cell>
          <cell r="B178" t="str">
            <v>EXPORTACION DIRECTA</v>
          </cell>
          <cell r="C178">
            <v>1020681</v>
          </cell>
          <cell r="D178">
            <v>19500</v>
          </cell>
          <cell r="H178" t="str">
            <v>EXPORTACION DIRECTA1020681</v>
          </cell>
          <cell r="I178" t="str">
            <v>EXPORTACION DIRECTA</v>
          </cell>
          <cell r="J178">
            <v>1020681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7500</v>
          </cell>
          <cell r="P178">
            <v>12000</v>
          </cell>
          <cell r="Q178">
            <v>19500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3.9763895100000002</v>
          </cell>
          <cell r="W178">
            <v>3.8878852666666699</v>
          </cell>
          <cell r="X178">
            <v>3.9219253602564121</v>
          </cell>
        </row>
        <row r="179">
          <cell r="A179" t="str">
            <v>EXPORTACION DIRECTA1020704</v>
          </cell>
          <cell r="B179" t="str">
            <v>EXPORTACION DIRECTA</v>
          </cell>
          <cell r="C179">
            <v>1020704</v>
          </cell>
          <cell r="D179">
            <v>1000</v>
          </cell>
          <cell r="H179" t="str">
            <v>EXPORTACION DIRECTA1020704</v>
          </cell>
          <cell r="I179" t="str">
            <v>EXPORTACION DIRECTA</v>
          </cell>
          <cell r="J179">
            <v>1020704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1000</v>
          </cell>
          <cell r="Q179">
            <v>1000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4.3995506000000004</v>
          </cell>
          <cell r="X179">
            <v>4.3995506000000004</v>
          </cell>
        </row>
        <row r="180">
          <cell r="A180" t="str">
            <v>EXPORTACION DIRECTA1020715</v>
          </cell>
          <cell r="B180" t="str">
            <v>EXPORTACION DIRECTA</v>
          </cell>
          <cell r="C180">
            <v>1020715</v>
          </cell>
          <cell r="D180">
            <v>2000</v>
          </cell>
          <cell r="H180" t="str">
            <v>EXPORTACION DIRECTA1020715</v>
          </cell>
          <cell r="I180" t="str">
            <v>EXPORTACION DIRECTA</v>
          </cell>
          <cell r="J180">
            <v>1020715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2000</v>
          </cell>
          <cell r="Q180">
            <v>2000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4.8104249499999998</v>
          </cell>
          <cell r="X180">
            <v>4.8104249499999998</v>
          </cell>
        </row>
        <row r="181">
          <cell r="A181" t="str">
            <v>EXPORTACION DIRECTA1020731</v>
          </cell>
          <cell r="B181" t="str">
            <v>EXPORTACION DIRECTA</v>
          </cell>
          <cell r="C181">
            <v>1020731</v>
          </cell>
          <cell r="D181">
            <v>44000</v>
          </cell>
          <cell r="H181" t="str">
            <v>EXPORTACION DIRECTA1020731</v>
          </cell>
          <cell r="I181" t="str">
            <v>EXPORTACION DIRECTA</v>
          </cell>
          <cell r="J181">
            <v>1020731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19000</v>
          </cell>
          <cell r="P181">
            <v>25000</v>
          </cell>
          <cell r="Q181">
            <v>44000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5.2942723880000004</v>
          </cell>
          <cell r="W181">
            <v>5.2599413999999998</v>
          </cell>
          <cell r="X181">
            <v>5.274766144818182</v>
          </cell>
        </row>
        <row r="182">
          <cell r="A182" t="str">
            <v>EXPORTACION DIRECTA1020758</v>
          </cell>
          <cell r="B182" t="str">
            <v>EXPORTACION DIRECTA</v>
          </cell>
          <cell r="C182">
            <v>1020758</v>
          </cell>
          <cell r="D182">
            <v>9200</v>
          </cell>
          <cell r="H182" t="str">
            <v>EXPORTACION DIRECTA1020758</v>
          </cell>
          <cell r="I182" t="str">
            <v>EXPORTACION DIRECTA</v>
          </cell>
          <cell r="J182">
            <v>1020758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200</v>
          </cell>
          <cell r="P182">
            <v>9000</v>
          </cell>
          <cell r="Q182">
            <v>9200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3.9397925222222199</v>
          </cell>
          <cell r="W182">
            <v>3.8686083</v>
          </cell>
          <cell r="X182">
            <v>3.8701557830917874</v>
          </cell>
        </row>
        <row r="183">
          <cell r="A183" t="str">
            <v>EXPORTACION DIRECTA1020774</v>
          </cell>
          <cell r="B183" t="str">
            <v>EXPORTACION DIRECTA</v>
          </cell>
          <cell r="C183">
            <v>1020774</v>
          </cell>
          <cell r="D183">
            <v>9000</v>
          </cell>
          <cell r="H183" t="str">
            <v>EXPORTACION DIRECTA1020774</v>
          </cell>
          <cell r="I183" t="str">
            <v>EXPORTACION DIRECTA</v>
          </cell>
          <cell r="J183">
            <v>1020774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2500</v>
          </cell>
          <cell r="P183">
            <v>6500</v>
          </cell>
          <cell r="Q183">
            <v>9000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6.0308936555555599</v>
          </cell>
          <cell r="W183">
            <v>5.9062124555555604</v>
          </cell>
          <cell r="X183">
            <v>5.9408461222222266</v>
          </cell>
        </row>
        <row r="184">
          <cell r="A184" t="str">
            <v>EXPORTACION DIRECTA1020802</v>
          </cell>
          <cell r="B184" t="str">
            <v>EXPORTACION DIRECTA</v>
          </cell>
          <cell r="C184">
            <v>1020802</v>
          </cell>
          <cell r="D184">
            <v>10000</v>
          </cell>
          <cell r="H184" t="str">
            <v>EXPORTACION DIRECTA1020802</v>
          </cell>
          <cell r="I184" t="str">
            <v>EXPORTACION DIRECTA</v>
          </cell>
          <cell r="J184">
            <v>1020802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10000</v>
          </cell>
          <cell r="Q184">
            <v>10000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4.8284526121951199</v>
          </cell>
          <cell r="X184">
            <v>4.8284526121951199</v>
          </cell>
        </row>
        <row r="185">
          <cell r="A185" t="str">
            <v>EXPORTACION DIRECTA1020810</v>
          </cell>
          <cell r="B185" t="str">
            <v>EXPORTACION DIRECTA</v>
          </cell>
          <cell r="C185">
            <v>1020810</v>
          </cell>
          <cell r="D185">
            <v>3000</v>
          </cell>
          <cell r="H185" t="str">
            <v>EXPORTACION DIRECTA1020810</v>
          </cell>
          <cell r="I185" t="str">
            <v>EXPORTACION DIRECTA</v>
          </cell>
          <cell r="J185">
            <v>1020810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1000</v>
          </cell>
          <cell r="P185">
            <v>2000</v>
          </cell>
          <cell r="Q185">
            <v>3000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4.0057396000000001</v>
          </cell>
          <cell r="W185">
            <v>4.0536669999999999</v>
          </cell>
          <cell r="X185">
            <v>4.0376912000000003</v>
          </cell>
        </row>
        <row r="186">
          <cell r="A186" t="str">
            <v>EXPORTACION DIRECTA1020914</v>
          </cell>
          <cell r="B186" t="str">
            <v>EXPORTACION DIRECTA</v>
          </cell>
          <cell r="C186">
            <v>1020914</v>
          </cell>
          <cell r="D186">
            <v>25500</v>
          </cell>
          <cell r="H186" t="str">
            <v>EXPORTACION DIRECTA1020914</v>
          </cell>
          <cell r="I186" t="str">
            <v>EXPORTACION DIRECTA</v>
          </cell>
          <cell r="J186">
            <v>1020914</v>
          </cell>
          <cell r="K186">
            <v>0</v>
          </cell>
          <cell r="L186">
            <v>0</v>
          </cell>
          <cell r="M186">
            <v>0</v>
          </cell>
          <cell r="N186">
            <v>7500</v>
          </cell>
          <cell r="O186">
            <v>9000</v>
          </cell>
          <cell r="P186">
            <v>9000</v>
          </cell>
          <cell r="Q186">
            <v>25500</v>
          </cell>
          <cell r="R186">
            <v>0</v>
          </cell>
          <cell r="S186">
            <v>0</v>
          </cell>
          <cell r="T186">
            <v>0</v>
          </cell>
          <cell r="U186">
            <v>5.0225429999999998</v>
          </cell>
          <cell r="V186">
            <v>5.7070767444444401</v>
          </cell>
          <cell r="W186">
            <v>5.5422146888888904</v>
          </cell>
          <cell r="X186">
            <v>5.44755668235294</v>
          </cell>
        </row>
        <row r="187">
          <cell r="A187" t="str">
            <v>EXPORTACION DIRECTA1020990</v>
          </cell>
          <cell r="B187" t="str">
            <v>EXPORTACION DIRECTA</v>
          </cell>
          <cell r="C187">
            <v>1020990</v>
          </cell>
          <cell r="D187">
            <v>10000</v>
          </cell>
          <cell r="H187" t="str">
            <v>EXPORTACION DIRECTA1020990</v>
          </cell>
          <cell r="I187" t="str">
            <v>EXPORTACION DIRECTA</v>
          </cell>
          <cell r="J187">
            <v>1020990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5000</v>
          </cell>
          <cell r="P187">
            <v>5000</v>
          </cell>
          <cell r="Q187">
            <v>10000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3.49591816</v>
          </cell>
          <cell r="W187">
            <v>3.53704478</v>
          </cell>
          <cell r="X187">
            <v>3.5164814700000004</v>
          </cell>
        </row>
        <row r="188">
          <cell r="A188" t="str">
            <v>EXPORTACION DIRECTA1020991</v>
          </cell>
          <cell r="B188" t="str">
            <v>EXPORTACION DIRECTA</v>
          </cell>
          <cell r="C188">
            <v>1020991</v>
          </cell>
          <cell r="D188">
            <v>15000</v>
          </cell>
          <cell r="H188" t="str">
            <v>EXPORTACION DIRECTA1020991</v>
          </cell>
          <cell r="I188" t="str">
            <v>EXPORTACION DIRECTA</v>
          </cell>
          <cell r="J188">
            <v>1020991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6000</v>
          </cell>
          <cell r="P188">
            <v>9000</v>
          </cell>
          <cell r="Q188">
            <v>15000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3.68216422222222</v>
          </cell>
          <cell r="W188">
            <v>3.5656848222222202</v>
          </cell>
          <cell r="X188">
            <v>3.6122765822222203</v>
          </cell>
        </row>
        <row r="189">
          <cell r="A189" t="str">
            <v>EXPORTACION DIRECTA1021136</v>
          </cell>
          <cell r="B189" t="str">
            <v>EXPORTACION DIRECTA</v>
          </cell>
          <cell r="C189">
            <v>1021136</v>
          </cell>
          <cell r="D189">
            <v>2000</v>
          </cell>
          <cell r="H189" t="str">
            <v>EXPORTACION DIRECTA1021136</v>
          </cell>
          <cell r="I189" t="str">
            <v>EXPORTACION DIRECTA</v>
          </cell>
          <cell r="J189">
            <v>1021136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2000</v>
          </cell>
          <cell r="Q189">
            <v>2000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2.7263114000000002</v>
          </cell>
          <cell r="X189">
            <v>2.7263114000000002</v>
          </cell>
        </row>
        <row r="190">
          <cell r="A190" t="str">
            <v>EXPORTACION DIRECTA1021533</v>
          </cell>
          <cell r="B190" t="str">
            <v>EXPORTACION DIRECTA</v>
          </cell>
          <cell r="C190">
            <v>1021533</v>
          </cell>
          <cell r="D190">
            <v>20000</v>
          </cell>
          <cell r="H190" t="str">
            <v>EXPORTACION DIRECTA1021533</v>
          </cell>
          <cell r="I190" t="str">
            <v>EXPORTACION DIRECTA</v>
          </cell>
          <cell r="J190">
            <v>1021533</v>
          </cell>
          <cell r="K190">
            <v>0</v>
          </cell>
          <cell r="L190">
            <v>0</v>
          </cell>
          <cell r="M190">
            <v>0</v>
          </cell>
          <cell r="N190">
            <v>5000</v>
          </cell>
          <cell r="O190">
            <v>0</v>
          </cell>
          <cell r="P190">
            <v>15000</v>
          </cell>
          <cell r="Q190">
            <v>20000</v>
          </cell>
          <cell r="R190">
            <v>0</v>
          </cell>
          <cell r="S190">
            <v>0</v>
          </cell>
          <cell r="T190">
            <v>0</v>
          </cell>
          <cell r="U190">
            <v>4.6539697950000001</v>
          </cell>
          <cell r="V190">
            <v>0</v>
          </cell>
          <cell r="W190">
            <v>5.3637652133333296</v>
          </cell>
          <cell r="X190">
            <v>5.1863163587499974</v>
          </cell>
        </row>
        <row r="191">
          <cell r="A191" t="str">
            <v>EXPORTACION DIRECTA1021603</v>
          </cell>
          <cell r="B191" t="str">
            <v>EXPORTACION DIRECTA</v>
          </cell>
          <cell r="C191">
            <v>1021603</v>
          </cell>
          <cell r="D191">
            <v>14000</v>
          </cell>
          <cell r="H191" t="str">
            <v>EXPORTACION DIRECTA1021603</v>
          </cell>
          <cell r="I191" t="str">
            <v>EXPORTACION DIRECTA</v>
          </cell>
          <cell r="J191">
            <v>1021603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7000</v>
          </cell>
          <cell r="P191">
            <v>7000</v>
          </cell>
          <cell r="Q191">
            <v>14000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3.8242040142857099</v>
          </cell>
          <cell r="W191">
            <v>3.8686083142857099</v>
          </cell>
          <cell r="X191">
            <v>3.8464061642857104</v>
          </cell>
        </row>
        <row r="192">
          <cell r="A192" t="str">
            <v>EXPORTACION DIRECTA1021609</v>
          </cell>
          <cell r="B192" t="str">
            <v>EXPORTACION DIRECTA</v>
          </cell>
          <cell r="C192">
            <v>1021609</v>
          </cell>
          <cell r="D192">
            <v>50000</v>
          </cell>
          <cell r="H192" t="str">
            <v>EXPORTACION DIRECTA1021609</v>
          </cell>
          <cell r="I192" t="str">
            <v>EXPORTACION DIRECTA</v>
          </cell>
          <cell r="J192">
            <v>1021609</v>
          </cell>
          <cell r="K192">
            <v>0</v>
          </cell>
          <cell r="L192">
            <v>0</v>
          </cell>
          <cell r="M192">
            <v>0</v>
          </cell>
          <cell r="N192">
            <v>20000</v>
          </cell>
          <cell r="O192">
            <v>10000</v>
          </cell>
          <cell r="P192">
            <v>20000</v>
          </cell>
          <cell r="Q192">
            <v>50000</v>
          </cell>
          <cell r="R192">
            <v>0</v>
          </cell>
          <cell r="S192">
            <v>0</v>
          </cell>
          <cell r="T192">
            <v>0</v>
          </cell>
          <cell r="U192">
            <v>4.6068619711111101</v>
          </cell>
          <cell r="V192">
            <v>4.3535921200000001</v>
          </cell>
          <cell r="W192">
            <v>4.4347998549999996</v>
          </cell>
          <cell r="X192">
            <v>4.4873831544444442</v>
          </cell>
        </row>
        <row r="193">
          <cell r="A193" t="str">
            <v>EXPORTACION DIRECTA1022326</v>
          </cell>
          <cell r="B193" t="str">
            <v>EXPORTACION DIRECTA</v>
          </cell>
          <cell r="C193">
            <v>1022326</v>
          </cell>
          <cell r="D193">
            <v>10000</v>
          </cell>
          <cell r="H193" t="str">
            <v>EXPORTACION DIRECTA1022326</v>
          </cell>
          <cell r="I193" t="str">
            <v>EXPORTACION DIRECTA</v>
          </cell>
          <cell r="J193">
            <v>1022326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10000</v>
          </cell>
          <cell r="Q193">
            <v>10000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3.58844998</v>
          </cell>
          <cell r="X193">
            <v>3.5884499799999996</v>
          </cell>
        </row>
        <row r="194">
          <cell r="A194" t="str">
            <v>EXPORTACION DIRECTA1022370</v>
          </cell>
          <cell r="B194" t="str">
            <v>EXPORTACION DIRECTA</v>
          </cell>
          <cell r="C194">
            <v>1022370</v>
          </cell>
          <cell r="D194">
            <v>58000</v>
          </cell>
          <cell r="H194" t="str">
            <v>EXPORTACION DIRECTA1022370</v>
          </cell>
          <cell r="I194" t="str">
            <v>EXPORTACION DIRECTA</v>
          </cell>
          <cell r="J194">
            <v>1022370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38000</v>
          </cell>
          <cell r="P194">
            <v>20000</v>
          </cell>
          <cell r="Q194">
            <v>58000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3.7869729224999999</v>
          </cell>
          <cell r="W194">
            <v>3.6934634649999998</v>
          </cell>
          <cell r="X194">
            <v>3.754728281982759</v>
          </cell>
        </row>
        <row r="195">
          <cell r="A195" t="str">
            <v>EXPORTACION DIRECTA1022371</v>
          </cell>
          <cell r="B195" t="str">
            <v>EXPORTACION DIRECTA</v>
          </cell>
          <cell r="C195">
            <v>1022371</v>
          </cell>
          <cell r="D195">
            <v>38000</v>
          </cell>
          <cell r="H195" t="str">
            <v>EXPORTACION DIRECTA1022371</v>
          </cell>
          <cell r="I195" t="str">
            <v>EXPORTACION DIRECTA</v>
          </cell>
          <cell r="J195">
            <v>1022371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19000</v>
          </cell>
          <cell r="P195">
            <v>19000</v>
          </cell>
          <cell r="Q195">
            <v>38000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4.8670179105263198</v>
          </cell>
          <cell r="W195">
            <v>4.81170044210526</v>
          </cell>
          <cell r="X195">
            <v>4.8393591763157904</v>
          </cell>
        </row>
        <row r="196">
          <cell r="A196" t="str">
            <v>EXPORTACION DIRECTA1022499</v>
          </cell>
          <cell r="B196" t="str">
            <v>EXPORTACION DIRECTA</v>
          </cell>
          <cell r="C196">
            <v>1022499</v>
          </cell>
          <cell r="D196">
            <v>54000</v>
          </cell>
          <cell r="H196" t="str">
            <v>EXPORTACION DIRECTA1022499</v>
          </cell>
          <cell r="I196" t="str">
            <v>EXPORTACION DIRECTA</v>
          </cell>
          <cell r="J196">
            <v>1022499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27000</v>
          </cell>
          <cell r="P196">
            <v>27000</v>
          </cell>
          <cell r="Q196">
            <v>54000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3.4607947222222202</v>
          </cell>
          <cell r="W196">
            <v>3.96767347777778</v>
          </cell>
          <cell r="X196">
            <v>3.7142341000000005</v>
          </cell>
        </row>
        <row r="197">
          <cell r="A197" t="str">
            <v>EXPORTACION DIRECTA1022587</v>
          </cell>
          <cell r="B197" t="str">
            <v>EXPORTACION DIRECTA</v>
          </cell>
          <cell r="C197">
            <v>1022587</v>
          </cell>
          <cell r="D197">
            <v>6000</v>
          </cell>
          <cell r="H197" t="str">
            <v>EXPORTACION DIRECTA1022587</v>
          </cell>
          <cell r="I197" t="str">
            <v>EXPORTACION DIRECTA</v>
          </cell>
          <cell r="J197">
            <v>1022587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3000</v>
          </cell>
          <cell r="P197">
            <v>3000</v>
          </cell>
          <cell r="Q197">
            <v>6000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4.2024936666666699</v>
          </cell>
          <cell r="W197">
            <v>3.9798638333333298</v>
          </cell>
          <cell r="X197">
            <v>4.0911787500000001</v>
          </cell>
        </row>
        <row r="198">
          <cell r="A198" t="str">
            <v>EXPORTACION DIRECTA1022600</v>
          </cell>
          <cell r="B198" t="str">
            <v>EXPORTACION DIRECTA</v>
          </cell>
          <cell r="C198">
            <v>1022600</v>
          </cell>
          <cell r="D198">
            <v>11000</v>
          </cell>
          <cell r="H198" t="str">
            <v>EXPORTACION DIRECTA1022600</v>
          </cell>
          <cell r="I198" t="str">
            <v>EXPORTACION DIRECTA</v>
          </cell>
          <cell r="J198">
            <v>1022600</v>
          </cell>
          <cell r="K198">
            <v>0</v>
          </cell>
          <cell r="L198">
            <v>0</v>
          </cell>
          <cell r="M198">
            <v>0</v>
          </cell>
          <cell r="N198">
            <v>6000</v>
          </cell>
          <cell r="O198">
            <v>0</v>
          </cell>
          <cell r="P198">
            <v>5000</v>
          </cell>
          <cell r="Q198">
            <v>11000</v>
          </cell>
          <cell r="R198">
            <v>0</v>
          </cell>
          <cell r="S198">
            <v>0</v>
          </cell>
          <cell r="T198">
            <v>0</v>
          </cell>
          <cell r="U198">
            <v>3.53563414</v>
          </cell>
          <cell r="V198">
            <v>0</v>
          </cell>
          <cell r="W198">
            <v>3.6901588599999999</v>
          </cell>
          <cell r="X198">
            <v>3.6058726490909097</v>
          </cell>
        </row>
        <row r="199">
          <cell r="A199" t="str">
            <v>EXPORTACION DIRECTA1022664</v>
          </cell>
          <cell r="B199" t="str">
            <v>EXPORTACION DIRECTA</v>
          </cell>
          <cell r="C199">
            <v>1022664</v>
          </cell>
          <cell r="D199">
            <v>108000</v>
          </cell>
          <cell r="H199" t="str">
            <v>EXPORTACION DIRECTA1022664</v>
          </cell>
          <cell r="I199" t="str">
            <v>EXPORTACION DIRECTA</v>
          </cell>
          <cell r="J199">
            <v>1022664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51000</v>
          </cell>
          <cell r="P199">
            <v>57000</v>
          </cell>
          <cell r="Q199">
            <v>108000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3.8224494964912301</v>
          </cell>
          <cell r="W199">
            <v>3.73050998947368</v>
          </cell>
          <cell r="X199">
            <v>3.7739258677875229</v>
          </cell>
        </row>
        <row r="200">
          <cell r="A200" t="str">
            <v>EXPORTACION DIRECTA1022931</v>
          </cell>
          <cell r="B200" t="str">
            <v>EXPORTACION DIRECTA</v>
          </cell>
          <cell r="C200">
            <v>1022931</v>
          </cell>
          <cell r="D200">
            <v>25000</v>
          </cell>
          <cell r="H200" t="str">
            <v>EXPORTACION DIRECTA1022931</v>
          </cell>
          <cell r="I200" t="str">
            <v>EXPORTACION DIRECTA</v>
          </cell>
          <cell r="J200">
            <v>1022931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10000</v>
          </cell>
          <cell r="P200">
            <v>15000</v>
          </cell>
          <cell r="Q200">
            <v>25000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4.4386529450000003</v>
          </cell>
          <cell r="W200">
            <v>4.2255072599999997</v>
          </cell>
          <cell r="X200">
            <v>4.3107655339999997</v>
          </cell>
        </row>
        <row r="201">
          <cell r="A201" t="str">
            <v>EXPORTACION DIRECTA1022987</v>
          </cell>
          <cell r="B201" t="str">
            <v>EXPORTACION DIRECTA</v>
          </cell>
          <cell r="C201">
            <v>1022987</v>
          </cell>
          <cell r="D201">
            <v>48000</v>
          </cell>
          <cell r="H201" t="str">
            <v>EXPORTACION DIRECTA1022987</v>
          </cell>
          <cell r="I201" t="str">
            <v>EXPORTACION DIRECTA</v>
          </cell>
          <cell r="J201">
            <v>1022987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24000</v>
          </cell>
          <cell r="P201">
            <v>24000</v>
          </cell>
          <cell r="Q201">
            <v>48000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1.9458002249999999</v>
          </cell>
          <cell r="W201">
            <v>1.84287634166667</v>
          </cell>
          <cell r="X201">
            <v>1.8943382833333351</v>
          </cell>
        </row>
        <row r="202">
          <cell r="A202" t="str">
            <v>EXPORTACION DIRECTA1023051</v>
          </cell>
          <cell r="B202" t="str">
            <v>EXPORTACION DIRECTA</v>
          </cell>
          <cell r="C202">
            <v>1023051</v>
          </cell>
          <cell r="D202">
            <v>2000</v>
          </cell>
          <cell r="H202" t="str">
            <v>EXPORTACION DIRECTA1023051</v>
          </cell>
          <cell r="I202" t="str">
            <v>EXPORTACION DIRECTA</v>
          </cell>
          <cell r="J202">
            <v>1023051</v>
          </cell>
          <cell r="K202">
            <v>0</v>
          </cell>
          <cell r="L202">
            <v>0</v>
          </cell>
          <cell r="M202">
            <v>0</v>
          </cell>
          <cell r="N202">
            <v>2000</v>
          </cell>
          <cell r="O202">
            <v>0</v>
          </cell>
          <cell r="P202">
            <v>0</v>
          </cell>
          <cell r="Q202">
            <v>2000</v>
          </cell>
          <cell r="R202">
            <v>0</v>
          </cell>
          <cell r="S202">
            <v>0</v>
          </cell>
          <cell r="T202">
            <v>0</v>
          </cell>
          <cell r="U202">
            <v>3.5033663000000002</v>
          </cell>
          <cell r="V202">
            <v>0</v>
          </cell>
          <cell r="W202">
            <v>0</v>
          </cell>
          <cell r="X202">
            <v>3.5033663000000002</v>
          </cell>
        </row>
        <row r="203">
          <cell r="A203" t="str">
            <v>EXPORTACION DIRECTA1023055</v>
          </cell>
          <cell r="B203" t="str">
            <v>EXPORTACION DIRECTA</v>
          </cell>
          <cell r="C203">
            <v>1023055</v>
          </cell>
          <cell r="D203">
            <v>15000</v>
          </cell>
          <cell r="H203" t="str">
            <v>EXPORTACION DIRECTA1023055</v>
          </cell>
          <cell r="I203" t="str">
            <v>EXPORTACION DIRECTA</v>
          </cell>
          <cell r="J203">
            <v>1023055</v>
          </cell>
          <cell r="K203">
            <v>0</v>
          </cell>
          <cell r="L203">
            <v>0</v>
          </cell>
          <cell r="M203">
            <v>0</v>
          </cell>
          <cell r="N203">
            <v>5000</v>
          </cell>
          <cell r="O203">
            <v>5000</v>
          </cell>
          <cell r="P203">
            <v>5000</v>
          </cell>
          <cell r="Q203">
            <v>15000</v>
          </cell>
          <cell r="R203">
            <v>0</v>
          </cell>
          <cell r="S203">
            <v>0</v>
          </cell>
          <cell r="T203">
            <v>0</v>
          </cell>
          <cell r="U203">
            <v>3.5033662799999998</v>
          </cell>
          <cell r="V203">
            <v>3.4959181799999999</v>
          </cell>
          <cell r="W203">
            <v>3.53704478</v>
          </cell>
          <cell r="X203">
            <v>3.5121097466666669</v>
          </cell>
        </row>
        <row r="204">
          <cell r="A204" t="str">
            <v>EXPORTACION DIRECTA1023163</v>
          </cell>
          <cell r="B204" t="str">
            <v>EXPORTACION DIRECTA</v>
          </cell>
          <cell r="C204">
            <v>1023163</v>
          </cell>
          <cell r="D204">
            <v>35000</v>
          </cell>
          <cell r="H204" t="str">
            <v>EXPORTACION DIRECTA1023163</v>
          </cell>
          <cell r="I204" t="str">
            <v>EXPORTACION DIRECTA</v>
          </cell>
          <cell r="J204">
            <v>1023163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15000</v>
          </cell>
          <cell r="P204">
            <v>20000</v>
          </cell>
          <cell r="Q204">
            <v>35000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3.8333351520000001</v>
          </cell>
          <cell r="W204">
            <v>3.7562512400000001</v>
          </cell>
          <cell r="X204">
            <v>3.7892872022857143</v>
          </cell>
        </row>
        <row r="205">
          <cell r="A205" t="str">
            <v>EXPORTACION DIRECTA1023194</v>
          </cell>
          <cell r="B205" t="str">
            <v>EXPORTACION DIRECTA</v>
          </cell>
          <cell r="C205">
            <v>1023194</v>
          </cell>
          <cell r="D205">
            <v>9000</v>
          </cell>
          <cell r="H205" t="str">
            <v>EXPORTACION DIRECTA1023194</v>
          </cell>
          <cell r="I205" t="str">
            <v>EXPORTACION DIRECTA</v>
          </cell>
          <cell r="J205">
            <v>1023194</v>
          </cell>
          <cell r="K205">
            <v>0</v>
          </cell>
          <cell r="L205">
            <v>0</v>
          </cell>
          <cell r="M205">
            <v>0</v>
          </cell>
          <cell r="N205">
            <v>4000</v>
          </cell>
          <cell r="O205">
            <v>0</v>
          </cell>
          <cell r="P205">
            <v>5000</v>
          </cell>
          <cell r="Q205">
            <v>9000</v>
          </cell>
          <cell r="R205">
            <v>0</v>
          </cell>
          <cell r="S205">
            <v>0</v>
          </cell>
          <cell r="T205">
            <v>0</v>
          </cell>
          <cell r="U205">
            <v>2.87539678333333</v>
          </cell>
          <cell r="V205">
            <v>0</v>
          </cell>
          <cell r="W205">
            <v>2.9521270799999999</v>
          </cell>
          <cell r="X205">
            <v>2.9180247259259242</v>
          </cell>
        </row>
        <row r="206">
          <cell r="A206" t="str">
            <v>EXPORTACION DIRECTA1023349</v>
          </cell>
          <cell r="B206" t="str">
            <v>EXPORTACION DIRECTA</v>
          </cell>
          <cell r="C206">
            <v>1023349</v>
          </cell>
          <cell r="D206">
            <v>5000</v>
          </cell>
          <cell r="H206" t="str">
            <v>EXPORTACION DIRECTA1023349</v>
          </cell>
          <cell r="I206" t="str">
            <v>EXPORTACION DIRECTA</v>
          </cell>
          <cell r="J206">
            <v>1023349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5000</v>
          </cell>
          <cell r="Q206">
            <v>5000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3.83225748</v>
          </cell>
          <cell r="X206">
            <v>3.83225748</v>
          </cell>
        </row>
        <row r="207">
          <cell r="A207" t="str">
            <v>EXPORTACION DIRECTA1023350</v>
          </cell>
          <cell r="B207" t="str">
            <v>EXPORTACION DIRECTA</v>
          </cell>
          <cell r="C207">
            <v>1023350</v>
          </cell>
          <cell r="D207">
            <v>27500</v>
          </cell>
          <cell r="H207" t="str">
            <v>EXPORTACION DIRECTA1023350</v>
          </cell>
          <cell r="I207" t="str">
            <v>EXPORTACION DIRECTA</v>
          </cell>
          <cell r="J207">
            <v>1023350</v>
          </cell>
          <cell r="K207">
            <v>0</v>
          </cell>
          <cell r="L207">
            <v>0</v>
          </cell>
          <cell r="M207">
            <v>0</v>
          </cell>
          <cell r="N207">
            <v>2500</v>
          </cell>
          <cell r="O207">
            <v>7500</v>
          </cell>
          <cell r="P207">
            <v>17500</v>
          </cell>
          <cell r="Q207">
            <v>27500</v>
          </cell>
          <cell r="R207">
            <v>0</v>
          </cell>
          <cell r="S207">
            <v>0</v>
          </cell>
          <cell r="T207">
            <v>0</v>
          </cell>
          <cell r="U207">
            <v>3.373718695</v>
          </cell>
          <cell r="V207">
            <v>3.5597817200000001</v>
          </cell>
          <cell r="W207">
            <v>3.4672346850000002</v>
          </cell>
          <cell r="X207">
            <v>3.483973331818182</v>
          </cell>
        </row>
        <row r="208">
          <cell r="A208" t="str">
            <v>EXPORTACION DIRECTA1023351</v>
          </cell>
          <cell r="B208" t="str">
            <v>EXPORTACION DIRECTA</v>
          </cell>
          <cell r="C208">
            <v>1023351</v>
          </cell>
          <cell r="D208">
            <v>5000</v>
          </cell>
          <cell r="H208" t="str">
            <v>EXPORTACION DIRECTA1023351</v>
          </cell>
          <cell r="I208" t="str">
            <v>EXPORTACION DIRECTA</v>
          </cell>
          <cell r="J208">
            <v>1023351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5000</v>
          </cell>
          <cell r="Q208">
            <v>5000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4.8632988800000003</v>
          </cell>
          <cell r="X208">
            <v>4.8632988800000003</v>
          </cell>
        </row>
        <row r="209">
          <cell r="A209" t="str">
            <v>EXPORTACION DIRECTA1023352</v>
          </cell>
          <cell r="B209" t="str">
            <v>EXPORTACION DIRECTA</v>
          </cell>
          <cell r="C209">
            <v>1023352</v>
          </cell>
          <cell r="D209">
            <v>38500</v>
          </cell>
          <cell r="H209" t="str">
            <v>EXPORTACION DIRECTA1023352</v>
          </cell>
          <cell r="I209" t="str">
            <v>EXPORTACION DIRECTA</v>
          </cell>
          <cell r="J209">
            <v>1023352</v>
          </cell>
          <cell r="K209">
            <v>0</v>
          </cell>
          <cell r="L209">
            <v>0</v>
          </cell>
          <cell r="M209">
            <v>0</v>
          </cell>
          <cell r="N209">
            <v>6500</v>
          </cell>
          <cell r="O209">
            <v>0</v>
          </cell>
          <cell r="P209">
            <v>32000</v>
          </cell>
          <cell r="Q209">
            <v>38500</v>
          </cell>
          <cell r="R209">
            <v>0</v>
          </cell>
          <cell r="S209">
            <v>0</v>
          </cell>
          <cell r="T209">
            <v>0</v>
          </cell>
          <cell r="U209">
            <v>4.45068842375</v>
          </cell>
          <cell r="V209">
            <v>0</v>
          </cell>
          <cell r="W209">
            <v>5.16872067410692</v>
          </cell>
          <cell r="X209">
            <v>5.0474944500206869</v>
          </cell>
        </row>
        <row r="210">
          <cell r="A210" t="str">
            <v>EXPORTACION DIRECTA1022919</v>
          </cell>
          <cell r="B210" t="str">
            <v>EXPORTACION DIRECTA</v>
          </cell>
          <cell r="C210">
            <v>1022919</v>
          </cell>
          <cell r="D210">
            <v>23000</v>
          </cell>
          <cell r="H210" t="str">
            <v>EXPORTACION DIRECTA1022919</v>
          </cell>
          <cell r="I210" t="str">
            <v>EXPORTACION DIRECTA</v>
          </cell>
          <cell r="J210">
            <v>1022919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23000</v>
          </cell>
          <cell r="P210">
            <v>0</v>
          </cell>
          <cell r="Q210">
            <v>23000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1.3776772833333299</v>
          </cell>
          <cell r="W210">
            <v>0</v>
          </cell>
          <cell r="X210">
            <v>1.3776772833333299</v>
          </cell>
        </row>
        <row r="211">
          <cell r="A211" t="str">
            <v>EXPORTACION DIRECTA1022313</v>
          </cell>
          <cell r="B211" t="str">
            <v>EXPORTACION DIRECTA</v>
          </cell>
          <cell r="C211">
            <v>1022313</v>
          </cell>
          <cell r="D211">
            <v>20000</v>
          </cell>
          <cell r="H211" t="str">
            <v>EXPORTACION DIRECTA1022313</v>
          </cell>
          <cell r="I211" t="str">
            <v>EXPORTACION DIRECTA</v>
          </cell>
          <cell r="J211">
            <v>1022313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10000</v>
          </cell>
          <cell r="P211">
            <v>10000</v>
          </cell>
          <cell r="Q211">
            <v>20000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3.88236062</v>
          </cell>
          <cell r="W211">
            <v>3.9424114800000001</v>
          </cell>
          <cell r="X211">
            <v>3.9123860500000003</v>
          </cell>
        </row>
        <row r="212">
          <cell r="A212" t="str">
            <v>EXPORTACION DIRECTA1022346</v>
          </cell>
          <cell r="B212" t="str">
            <v>EXPORTACION DIRECTA</v>
          </cell>
          <cell r="C212">
            <v>1022346</v>
          </cell>
          <cell r="D212">
            <v>5000</v>
          </cell>
          <cell r="H212" t="str">
            <v>EXPORTACION DIRECTA1022346</v>
          </cell>
          <cell r="I212" t="str">
            <v>EXPORTACION DIRECTA</v>
          </cell>
          <cell r="J212">
            <v>1022346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5000</v>
          </cell>
          <cell r="Q212">
            <v>5000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2.66848054</v>
          </cell>
          <cell r="X212">
            <v>2.66848054</v>
          </cell>
        </row>
        <row r="213">
          <cell r="A213" t="str">
            <v>EXPORTACION DIRECTA1023419</v>
          </cell>
          <cell r="B213" t="str">
            <v>EXPORTACION DIRECTA</v>
          </cell>
          <cell r="C213">
            <v>1023419</v>
          </cell>
          <cell r="D213">
            <v>24000</v>
          </cell>
          <cell r="H213" t="str">
            <v>EXPORTACION DIRECTA1023419</v>
          </cell>
          <cell r="I213" t="str">
            <v>EXPORTACION DIRECTA</v>
          </cell>
          <cell r="J213">
            <v>1023419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24000</v>
          </cell>
          <cell r="Q213">
            <v>24000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1.84287634166667</v>
          </cell>
          <cell r="X213">
            <v>1.84287634166667</v>
          </cell>
        </row>
        <row r="214">
          <cell r="A214" t="str">
            <v/>
          </cell>
          <cell r="H214" t="str">
            <v/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 t="e">
            <v>#DIV/0!</v>
          </cell>
        </row>
        <row r="215">
          <cell r="A215" t="str">
            <v/>
          </cell>
          <cell r="H215" t="str">
            <v/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 t="e">
            <v>#DIV/0!</v>
          </cell>
        </row>
        <row r="216">
          <cell r="A216" t="str">
            <v/>
          </cell>
          <cell r="H216" t="str">
            <v/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 t="e">
            <v>#DIV/0!</v>
          </cell>
        </row>
        <row r="217">
          <cell r="A217" t="str">
            <v/>
          </cell>
          <cell r="H217" t="str">
            <v/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 t="e">
            <v>#DIV/0!</v>
          </cell>
        </row>
        <row r="218">
          <cell r="A218" t="str">
            <v/>
          </cell>
          <cell r="H218" t="str">
            <v/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 t="e">
            <v>#DIV/0!</v>
          </cell>
        </row>
        <row r="219">
          <cell r="A219" t="str">
            <v/>
          </cell>
          <cell r="H219" t="str">
            <v/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 t="e">
            <v>#DIV/0!</v>
          </cell>
        </row>
        <row r="220">
          <cell r="A220" t="str">
            <v/>
          </cell>
          <cell r="H220" t="str">
            <v/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 t="e">
            <v>#DIV/0!</v>
          </cell>
        </row>
        <row r="221">
          <cell r="A221" t="str">
            <v/>
          </cell>
          <cell r="H221" t="str">
            <v/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 t="e">
            <v>#DIV/0!</v>
          </cell>
        </row>
        <row r="222">
          <cell r="A222" t="str">
            <v/>
          </cell>
          <cell r="H222" t="str">
            <v/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 t="e">
            <v>#DIV/0!</v>
          </cell>
        </row>
        <row r="223">
          <cell r="A223" t="str">
            <v/>
          </cell>
        </row>
        <row r="224">
          <cell r="A224" t="str">
            <v/>
          </cell>
        </row>
        <row r="225">
          <cell r="A225" t="str">
            <v/>
          </cell>
        </row>
        <row r="226">
          <cell r="A226" t="str">
            <v/>
          </cell>
        </row>
        <row r="227">
          <cell r="A227" t="str">
            <v/>
          </cell>
        </row>
        <row r="228">
          <cell r="A228" t="str">
            <v/>
          </cell>
        </row>
        <row r="229">
          <cell r="A229" t="str">
            <v/>
          </cell>
        </row>
        <row r="230">
          <cell r="A230" t="str">
            <v/>
          </cell>
        </row>
        <row r="231">
          <cell r="A231" t="str">
            <v/>
          </cell>
        </row>
        <row r="232">
          <cell r="A232" t="str">
            <v/>
          </cell>
        </row>
        <row r="233">
          <cell r="A233" t="str">
            <v/>
          </cell>
        </row>
        <row r="234">
          <cell r="A234" t="str">
            <v/>
          </cell>
        </row>
        <row r="235">
          <cell r="A235" t="str">
            <v/>
          </cell>
        </row>
        <row r="236">
          <cell r="A236" t="str">
            <v/>
          </cell>
        </row>
        <row r="237">
          <cell r="A237" t="str">
            <v/>
          </cell>
        </row>
        <row r="238">
          <cell r="A238" t="str">
            <v/>
          </cell>
        </row>
        <row r="239">
          <cell r="A239" t="str">
            <v/>
          </cell>
        </row>
        <row r="240">
          <cell r="A240" t="str">
            <v/>
          </cell>
        </row>
        <row r="241">
          <cell r="A241" t="str">
            <v/>
          </cell>
        </row>
        <row r="242">
          <cell r="A242" t="str">
            <v/>
          </cell>
        </row>
        <row r="243">
          <cell r="A243" t="str">
            <v/>
          </cell>
        </row>
        <row r="244">
          <cell r="A244" t="str">
            <v/>
          </cell>
        </row>
        <row r="245">
          <cell r="A245" t="str">
            <v/>
          </cell>
        </row>
        <row r="246">
          <cell r="A246" t="str">
            <v/>
          </cell>
        </row>
        <row r="247">
          <cell r="A247" t="str">
            <v/>
          </cell>
        </row>
        <row r="248">
          <cell r="A248" t="str">
            <v/>
          </cell>
        </row>
        <row r="249">
          <cell r="A249" t="str">
            <v/>
          </cell>
        </row>
        <row r="250">
          <cell r="A250" t="str">
            <v/>
          </cell>
        </row>
        <row r="251">
          <cell r="A251" t="str">
            <v/>
          </cell>
        </row>
        <row r="252">
          <cell r="A252" t="str">
            <v/>
          </cell>
        </row>
        <row r="253">
          <cell r="A253" t="str">
            <v/>
          </cell>
        </row>
        <row r="254">
          <cell r="A254" t="str">
            <v/>
          </cell>
        </row>
        <row r="255">
          <cell r="A255" t="str">
            <v/>
          </cell>
        </row>
        <row r="256">
          <cell r="A256" t="str">
            <v/>
          </cell>
        </row>
        <row r="257">
          <cell r="A257" t="str">
            <v/>
          </cell>
        </row>
        <row r="258">
          <cell r="A258" t="str">
            <v/>
          </cell>
        </row>
        <row r="259">
          <cell r="A259" t="str">
            <v/>
          </cell>
        </row>
        <row r="260">
          <cell r="A260" t="str">
            <v/>
          </cell>
        </row>
        <row r="261">
          <cell r="A261" t="str">
            <v/>
          </cell>
        </row>
        <row r="262">
          <cell r="A262" t="str">
            <v/>
          </cell>
        </row>
        <row r="263">
          <cell r="A263" t="str">
            <v/>
          </cell>
        </row>
        <row r="264">
          <cell r="A264" t="str">
            <v/>
          </cell>
        </row>
        <row r="265">
          <cell r="A265" t="str">
            <v/>
          </cell>
        </row>
        <row r="266">
          <cell r="A266" t="str">
            <v/>
          </cell>
        </row>
        <row r="267">
          <cell r="A267" t="str">
            <v/>
          </cell>
        </row>
        <row r="268">
          <cell r="A268" t="str">
            <v/>
          </cell>
        </row>
        <row r="269">
          <cell r="A269" t="str">
            <v/>
          </cell>
        </row>
        <row r="270">
          <cell r="A270" t="str">
            <v/>
          </cell>
        </row>
        <row r="271">
          <cell r="A271" t="str">
            <v/>
          </cell>
        </row>
        <row r="272">
          <cell r="A272" t="str">
            <v/>
          </cell>
        </row>
        <row r="273">
          <cell r="A273" t="str">
            <v/>
          </cell>
        </row>
        <row r="274">
          <cell r="A274" t="str">
            <v/>
          </cell>
        </row>
        <row r="275">
          <cell r="A275" t="str">
            <v/>
          </cell>
        </row>
        <row r="276">
          <cell r="A276" t="str">
            <v/>
          </cell>
        </row>
        <row r="277">
          <cell r="A277" t="str">
            <v/>
          </cell>
        </row>
        <row r="278">
          <cell r="A278" t="str">
            <v/>
          </cell>
        </row>
        <row r="279">
          <cell r="A279" t="str">
            <v/>
          </cell>
        </row>
        <row r="280">
          <cell r="A280" t="str">
            <v/>
          </cell>
        </row>
        <row r="281">
          <cell r="A281" t="str">
            <v/>
          </cell>
        </row>
        <row r="282">
          <cell r="A282" t="str">
            <v/>
          </cell>
        </row>
        <row r="283">
          <cell r="A283" t="str">
            <v/>
          </cell>
        </row>
        <row r="284">
          <cell r="A284" t="str">
            <v/>
          </cell>
        </row>
        <row r="285">
          <cell r="A285" t="str">
            <v/>
          </cell>
        </row>
        <row r="286">
          <cell r="A286" t="str">
            <v/>
          </cell>
        </row>
        <row r="287">
          <cell r="A287" t="str">
            <v/>
          </cell>
        </row>
        <row r="288">
          <cell r="A288" t="str">
            <v/>
          </cell>
        </row>
        <row r="289">
          <cell r="A289" t="str">
            <v/>
          </cell>
        </row>
        <row r="290">
          <cell r="A290" t="str">
            <v/>
          </cell>
        </row>
        <row r="291">
          <cell r="A291" t="str">
            <v/>
          </cell>
        </row>
        <row r="292">
          <cell r="A292" t="str">
            <v/>
          </cell>
        </row>
        <row r="293">
          <cell r="A293" t="str">
            <v/>
          </cell>
        </row>
        <row r="294">
          <cell r="A294" t="str">
            <v/>
          </cell>
        </row>
        <row r="295">
          <cell r="A295" t="str">
            <v/>
          </cell>
        </row>
        <row r="296">
          <cell r="A296" t="str">
            <v/>
          </cell>
        </row>
        <row r="297">
          <cell r="A297" t="str">
            <v/>
          </cell>
        </row>
        <row r="298">
          <cell r="A298" t="str">
            <v/>
          </cell>
        </row>
        <row r="299">
          <cell r="A299" t="str">
            <v/>
          </cell>
        </row>
        <row r="300">
          <cell r="A300" t="str">
            <v/>
          </cell>
        </row>
        <row r="301">
          <cell r="A301" t="str">
            <v/>
          </cell>
        </row>
        <row r="302">
          <cell r="A302" t="str">
            <v/>
          </cell>
        </row>
        <row r="303">
          <cell r="A303" t="str">
            <v/>
          </cell>
        </row>
        <row r="304">
          <cell r="A304" t="str">
            <v/>
          </cell>
        </row>
        <row r="305">
          <cell r="A305" t="str">
            <v/>
          </cell>
        </row>
        <row r="306">
          <cell r="A306" t="str">
            <v/>
          </cell>
        </row>
        <row r="307">
          <cell r="A307" t="str">
            <v/>
          </cell>
        </row>
        <row r="308">
          <cell r="A308" t="str">
            <v/>
          </cell>
        </row>
        <row r="309">
          <cell r="A309" t="str">
            <v/>
          </cell>
        </row>
        <row r="310">
          <cell r="A310" t="str">
            <v/>
          </cell>
        </row>
        <row r="311">
          <cell r="A311" t="str">
            <v/>
          </cell>
        </row>
        <row r="312">
          <cell r="A312" t="str">
            <v/>
          </cell>
        </row>
        <row r="313">
          <cell r="A313" t="str">
            <v/>
          </cell>
        </row>
        <row r="314">
          <cell r="A314" t="str">
            <v/>
          </cell>
        </row>
        <row r="315">
          <cell r="A315" t="str">
            <v/>
          </cell>
        </row>
        <row r="316">
          <cell r="A316" t="str">
            <v/>
          </cell>
        </row>
        <row r="317">
          <cell r="A317" t="str">
            <v/>
          </cell>
        </row>
        <row r="318">
          <cell r="A318" t="str">
            <v/>
          </cell>
        </row>
        <row r="319">
          <cell r="A319" t="str">
            <v/>
          </cell>
        </row>
        <row r="320">
          <cell r="A320" t="str">
            <v/>
          </cell>
        </row>
        <row r="321">
          <cell r="A321" t="str">
            <v/>
          </cell>
        </row>
        <row r="322">
          <cell r="A322" t="str">
            <v/>
          </cell>
        </row>
        <row r="323">
          <cell r="A323" t="str">
            <v/>
          </cell>
        </row>
        <row r="324">
          <cell r="A324" t="str">
            <v/>
          </cell>
        </row>
        <row r="325">
          <cell r="A325" t="str">
            <v/>
          </cell>
        </row>
        <row r="326">
          <cell r="A326" t="str">
            <v/>
          </cell>
        </row>
        <row r="327">
          <cell r="A327" t="str">
            <v/>
          </cell>
        </row>
        <row r="328">
          <cell r="A328" t="str">
            <v/>
          </cell>
        </row>
        <row r="329">
          <cell r="A329" t="str">
            <v/>
          </cell>
        </row>
        <row r="330">
          <cell r="A330" t="str">
            <v/>
          </cell>
        </row>
        <row r="331">
          <cell r="A331" t="str">
            <v/>
          </cell>
        </row>
        <row r="332">
          <cell r="A332" t="str">
            <v/>
          </cell>
        </row>
        <row r="333">
          <cell r="A333" t="str">
            <v/>
          </cell>
        </row>
        <row r="334">
          <cell r="A334" t="str">
            <v/>
          </cell>
        </row>
        <row r="335">
          <cell r="A335" t="str">
            <v/>
          </cell>
        </row>
        <row r="336">
          <cell r="A336" t="str">
            <v/>
          </cell>
        </row>
        <row r="337">
          <cell r="A337" t="str">
            <v/>
          </cell>
        </row>
        <row r="338">
          <cell r="A338" t="str">
            <v/>
          </cell>
        </row>
        <row r="339">
          <cell r="A339" t="str">
            <v/>
          </cell>
        </row>
        <row r="340">
          <cell r="A340" t="str">
            <v/>
          </cell>
        </row>
        <row r="341">
          <cell r="A341" t="str">
            <v/>
          </cell>
        </row>
        <row r="342">
          <cell r="A342" t="str">
            <v/>
          </cell>
        </row>
        <row r="343">
          <cell r="A343" t="str">
            <v/>
          </cell>
        </row>
        <row r="344">
          <cell r="A344" t="str">
            <v/>
          </cell>
        </row>
        <row r="345">
          <cell r="A345" t="str">
            <v/>
          </cell>
        </row>
        <row r="346">
          <cell r="A346" t="str">
            <v/>
          </cell>
        </row>
        <row r="347">
          <cell r="A347" t="str">
            <v/>
          </cell>
        </row>
        <row r="348">
          <cell r="A348" t="str">
            <v/>
          </cell>
        </row>
        <row r="349">
          <cell r="A349" t="str">
            <v/>
          </cell>
        </row>
        <row r="350">
          <cell r="A350" t="str">
            <v/>
          </cell>
        </row>
        <row r="351">
          <cell r="A351" t="str">
            <v/>
          </cell>
        </row>
        <row r="352">
          <cell r="A352" t="str">
            <v/>
          </cell>
        </row>
        <row r="353">
          <cell r="A353" t="str">
            <v/>
          </cell>
        </row>
        <row r="354">
          <cell r="A354" t="str">
            <v/>
          </cell>
        </row>
        <row r="355">
          <cell r="A355" t="str">
            <v/>
          </cell>
        </row>
        <row r="356">
          <cell r="A356" t="str">
            <v/>
          </cell>
        </row>
        <row r="357">
          <cell r="A357" t="str">
            <v/>
          </cell>
        </row>
        <row r="358">
          <cell r="A358" t="str">
            <v/>
          </cell>
        </row>
        <row r="359">
          <cell r="A359" t="str">
            <v/>
          </cell>
        </row>
        <row r="360">
          <cell r="A360" t="str">
            <v/>
          </cell>
        </row>
        <row r="361">
          <cell r="A361" t="str">
            <v/>
          </cell>
        </row>
        <row r="362">
          <cell r="A362" t="str">
            <v/>
          </cell>
        </row>
        <row r="363">
          <cell r="A363" t="str">
            <v/>
          </cell>
        </row>
        <row r="364">
          <cell r="A364" t="str">
            <v/>
          </cell>
        </row>
        <row r="365">
          <cell r="A365" t="str">
            <v/>
          </cell>
        </row>
        <row r="366">
          <cell r="A366" t="str">
            <v/>
          </cell>
        </row>
        <row r="367">
          <cell r="A367" t="str">
            <v/>
          </cell>
        </row>
        <row r="368">
          <cell r="A368" t="str">
            <v/>
          </cell>
        </row>
        <row r="369">
          <cell r="A369" t="str">
            <v/>
          </cell>
        </row>
        <row r="370">
          <cell r="A370" t="str">
            <v/>
          </cell>
        </row>
        <row r="371">
          <cell r="A371" t="str">
            <v/>
          </cell>
        </row>
        <row r="372">
          <cell r="A372" t="str">
            <v/>
          </cell>
        </row>
        <row r="373">
          <cell r="A373" t="str">
            <v/>
          </cell>
        </row>
        <row r="374">
          <cell r="A374" t="str">
            <v/>
          </cell>
        </row>
        <row r="375">
          <cell r="A375" t="str">
            <v/>
          </cell>
        </row>
        <row r="376">
          <cell r="A376" t="str">
            <v/>
          </cell>
        </row>
        <row r="377">
          <cell r="A377" t="str">
            <v/>
          </cell>
        </row>
        <row r="378">
          <cell r="A378" t="str">
            <v/>
          </cell>
        </row>
        <row r="379">
          <cell r="A379" t="str">
            <v/>
          </cell>
        </row>
        <row r="380">
          <cell r="A380" t="str">
            <v/>
          </cell>
        </row>
        <row r="381">
          <cell r="A381" t="str">
            <v/>
          </cell>
        </row>
        <row r="382">
          <cell r="A382" t="str">
            <v/>
          </cell>
        </row>
        <row r="383">
          <cell r="A383" t="str">
            <v/>
          </cell>
        </row>
        <row r="384">
          <cell r="A384" t="str">
            <v/>
          </cell>
        </row>
        <row r="385">
          <cell r="A385" t="str">
            <v/>
          </cell>
        </row>
        <row r="386">
          <cell r="A386" t="str">
            <v/>
          </cell>
        </row>
        <row r="387">
          <cell r="A387" t="str">
            <v/>
          </cell>
        </row>
        <row r="388">
          <cell r="A388" t="str">
            <v/>
          </cell>
        </row>
        <row r="389">
          <cell r="A389" t="str">
            <v/>
          </cell>
        </row>
        <row r="390">
          <cell r="A390" t="str">
            <v/>
          </cell>
        </row>
        <row r="391">
          <cell r="A391" t="str">
            <v/>
          </cell>
        </row>
        <row r="392">
          <cell r="A392" t="str">
            <v/>
          </cell>
        </row>
        <row r="393">
          <cell r="A393" t="str">
            <v/>
          </cell>
        </row>
        <row r="394">
          <cell r="A394" t="str">
            <v/>
          </cell>
        </row>
        <row r="395">
          <cell r="A395" t="str">
            <v/>
          </cell>
        </row>
        <row r="396">
          <cell r="A396" t="str">
            <v/>
          </cell>
        </row>
        <row r="397">
          <cell r="A397" t="str">
            <v/>
          </cell>
        </row>
        <row r="398">
          <cell r="A398" t="str">
            <v/>
          </cell>
        </row>
        <row r="399">
          <cell r="A399" t="str">
            <v/>
          </cell>
        </row>
        <row r="400">
          <cell r="A400" t="str">
            <v/>
          </cell>
        </row>
        <row r="401">
          <cell r="A401" t="str">
            <v/>
          </cell>
        </row>
        <row r="402">
          <cell r="A402" t="str">
            <v/>
          </cell>
        </row>
        <row r="403">
          <cell r="A403" t="str">
            <v/>
          </cell>
        </row>
        <row r="404">
          <cell r="A404" t="str">
            <v/>
          </cell>
        </row>
        <row r="405">
          <cell r="A405" t="str">
            <v/>
          </cell>
        </row>
        <row r="406">
          <cell r="A406" t="str">
            <v/>
          </cell>
        </row>
        <row r="407">
          <cell r="A407" t="str">
            <v/>
          </cell>
        </row>
        <row r="408">
          <cell r="A408" t="str">
            <v/>
          </cell>
        </row>
        <row r="409">
          <cell r="A409" t="str">
            <v/>
          </cell>
        </row>
        <row r="410">
          <cell r="A410" t="str">
            <v/>
          </cell>
        </row>
        <row r="411">
          <cell r="A411" t="str">
            <v/>
          </cell>
        </row>
        <row r="412">
          <cell r="A412" t="str">
            <v/>
          </cell>
        </row>
        <row r="413">
          <cell r="A413" t="str">
            <v/>
          </cell>
        </row>
        <row r="414">
          <cell r="A414" t="str">
            <v/>
          </cell>
        </row>
        <row r="415">
          <cell r="A415" t="str">
            <v/>
          </cell>
        </row>
        <row r="416">
          <cell r="A416" t="str">
            <v/>
          </cell>
        </row>
        <row r="417">
          <cell r="A417" t="str">
            <v/>
          </cell>
        </row>
        <row r="418">
          <cell r="A418" t="str">
            <v/>
          </cell>
        </row>
        <row r="419">
          <cell r="A419" t="str">
            <v/>
          </cell>
        </row>
        <row r="420">
          <cell r="A420" t="str">
            <v/>
          </cell>
        </row>
        <row r="421">
          <cell r="A421" t="str">
            <v/>
          </cell>
        </row>
        <row r="422">
          <cell r="A422" t="str">
            <v/>
          </cell>
        </row>
        <row r="423">
          <cell r="A423" t="str">
            <v/>
          </cell>
        </row>
        <row r="424">
          <cell r="A424" t="str">
            <v/>
          </cell>
        </row>
        <row r="425">
          <cell r="A425" t="str">
            <v/>
          </cell>
        </row>
        <row r="426">
          <cell r="A426" t="str">
            <v/>
          </cell>
        </row>
        <row r="427">
          <cell r="A427" t="str">
            <v/>
          </cell>
        </row>
        <row r="428">
          <cell r="A428" t="str">
            <v/>
          </cell>
        </row>
        <row r="429">
          <cell r="A429" t="str">
            <v/>
          </cell>
        </row>
        <row r="430">
          <cell r="A430" t="str">
            <v/>
          </cell>
        </row>
        <row r="431">
          <cell r="A431" t="str">
            <v/>
          </cell>
        </row>
        <row r="432">
          <cell r="A432" t="str">
            <v/>
          </cell>
        </row>
        <row r="433">
          <cell r="A433" t="str">
            <v/>
          </cell>
        </row>
        <row r="434">
          <cell r="A434" t="str">
            <v/>
          </cell>
        </row>
        <row r="435">
          <cell r="A435" t="str">
            <v/>
          </cell>
        </row>
        <row r="436">
          <cell r="A436" t="str">
            <v/>
          </cell>
        </row>
      </sheetData>
      <sheetData sheetId="2"/>
      <sheetData sheetId="3"/>
      <sheetData sheetId="4"/>
      <sheetData sheetId="5">
        <row r="1">
          <cell r="B1" t="str">
            <v>Destino</v>
          </cell>
          <cell r="C1" t="str">
            <v>(Varios elementos)</v>
          </cell>
        </row>
        <row r="2">
          <cell r="B2" t="str">
            <v>Restriccion</v>
          </cell>
          <cell r="C2" t="str">
            <v>Apto</v>
          </cell>
        </row>
        <row r="3">
          <cell r="B3" t="str">
            <v>Bloqueado</v>
          </cell>
          <cell r="C3" t="str">
            <v>(Varios elementos)</v>
          </cell>
        </row>
        <row r="4">
          <cell r="B4" t="str">
            <v>Camb. Etiqueta</v>
          </cell>
          <cell r="C4" t="str">
            <v>(Todas)</v>
          </cell>
        </row>
        <row r="6">
          <cell r="B6" t="str">
            <v>Material</v>
          </cell>
          <cell r="C6" t="str">
            <v>Suma de Stock disponible UMB</v>
          </cell>
        </row>
        <row r="7">
          <cell r="B7">
            <v>1011127</v>
          </cell>
          <cell r="C7">
            <v>113930</v>
          </cell>
        </row>
        <row r="8">
          <cell r="B8">
            <v>1011258</v>
          </cell>
          <cell r="C8">
            <v>37.658000000000001</v>
          </cell>
        </row>
        <row r="9">
          <cell r="B9">
            <v>1011421</v>
          </cell>
          <cell r="C9">
            <v>221448.97900000005</v>
          </cell>
        </row>
        <row r="10">
          <cell r="B10">
            <v>1012158</v>
          </cell>
          <cell r="C10">
            <v>15984.864</v>
          </cell>
        </row>
        <row r="11">
          <cell r="B11">
            <v>1012159</v>
          </cell>
          <cell r="C11">
            <v>57026.591999999953</v>
          </cell>
        </row>
        <row r="12">
          <cell r="B12">
            <v>1012163</v>
          </cell>
          <cell r="C12">
            <v>29502.144000000008</v>
          </cell>
        </row>
        <row r="13">
          <cell r="B13">
            <v>1012165</v>
          </cell>
          <cell r="C13">
            <v>45214.847999999984</v>
          </cell>
        </row>
        <row r="14">
          <cell r="B14">
            <v>1012167</v>
          </cell>
          <cell r="C14">
            <v>11938.752</v>
          </cell>
        </row>
        <row r="15">
          <cell r="B15">
            <v>1012208</v>
          </cell>
          <cell r="C15">
            <v>8794.0509999999977</v>
          </cell>
        </row>
        <row r="16">
          <cell r="B16">
            <v>1012451</v>
          </cell>
          <cell r="C16">
            <v>27360</v>
          </cell>
        </row>
        <row r="17">
          <cell r="B17">
            <v>1012452</v>
          </cell>
          <cell r="C17">
            <v>16943.279999999995</v>
          </cell>
        </row>
        <row r="18">
          <cell r="B18">
            <v>1012455</v>
          </cell>
          <cell r="C18">
            <v>30640</v>
          </cell>
        </row>
        <row r="19">
          <cell r="B19">
            <v>1012488</v>
          </cell>
          <cell r="C19">
            <v>26816.832000000017</v>
          </cell>
        </row>
        <row r="20">
          <cell r="B20">
            <v>1012502</v>
          </cell>
          <cell r="C20">
            <v>15320</v>
          </cell>
        </row>
        <row r="21">
          <cell r="B21">
            <v>1012503</v>
          </cell>
          <cell r="C21">
            <v>2640</v>
          </cell>
        </row>
        <row r="22">
          <cell r="B22">
            <v>1012504</v>
          </cell>
          <cell r="C22">
            <v>178700</v>
          </cell>
        </row>
        <row r="23">
          <cell r="B23">
            <v>1012518</v>
          </cell>
          <cell r="C23">
            <v>20702.304000000007</v>
          </cell>
        </row>
        <row r="24">
          <cell r="B24">
            <v>1012525</v>
          </cell>
          <cell r="C24">
            <v>22000</v>
          </cell>
        </row>
        <row r="25">
          <cell r="B25">
            <v>1012526</v>
          </cell>
          <cell r="C25">
            <v>14700</v>
          </cell>
        </row>
        <row r="26">
          <cell r="B26">
            <v>1012527</v>
          </cell>
          <cell r="C26">
            <v>12140</v>
          </cell>
        </row>
        <row r="27">
          <cell r="B27">
            <v>1012532</v>
          </cell>
          <cell r="C27">
            <v>8201.0879999999961</v>
          </cell>
        </row>
        <row r="28">
          <cell r="B28">
            <v>1012598</v>
          </cell>
          <cell r="C28">
            <v>3820</v>
          </cell>
        </row>
        <row r="29">
          <cell r="B29">
            <v>1012655</v>
          </cell>
          <cell r="C29">
            <v>2440</v>
          </cell>
        </row>
        <row r="30">
          <cell r="B30">
            <v>1012674</v>
          </cell>
          <cell r="C30">
            <v>21567.302999999996</v>
          </cell>
        </row>
        <row r="31">
          <cell r="B31">
            <v>1012694</v>
          </cell>
          <cell r="C31">
            <v>2376.864</v>
          </cell>
        </row>
        <row r="32">
          <cell r="B32">
            <v>1012719</v>
          </cell>
          <cell r="C32">
            <v>24127.624</v>
          </cell>
        </row>
        <row r="33">
          <cell r="B33">
            <v>1012730</v>
          </cell>
          <cell r="C33">
            <v>21331.123000000007</v>
          </cell>
        </row>
        <row r="34">
          <cell r="B34">
            <v>1012763</v>
          </cell>
          <cell r="C34">
            <v>8372.7860000000001</v>
          </cell>
        </row>
        <row r="35">
          <cell r="B35">
            <v>1012764</v>
          </cell>
          <cell r="C35">
            <v>17749.162</v>
          </cell>
        </row>
        <row r="36">
          <cell r="B36">
            <v>1012778</v>
          </cell>
          <cell r="C36">
            <v>38017.277999999991</v>
          </cell>
        </row>
        <row r="37">
          <cell r="B37">
            <v>1012799</v>
          </cell>
          <cell r="C37">
            <v>4201.0650000000005</v>
          </cell>
        </row>
        <row r="38">
          <cell r="B38">
            <v>1020105</v>
          </cell>
          <cell r="C38">
            <v>32204.545000000006</v>
          </cell>
        </row>
        <row r="39">
          <cell r="B39">
            <v>1020110</v>
          </cell>
          <cell r="C39">
            <v>196112.05299999996</v>
          </cell>
        </row>
        <row r="40">
          <cell r="B40">
            <v>1020326</v>
          </cell>
          <cell r="C40">
            <v>72123.8</v>
          </cell>
        </row>
        <row r="41">
          <cell r="B41">
            <v>1020339</v>
          </cell>
          <cell r="C41">
            <v>109538.932</v>
          </cell>
        </row>
        <row r="42">
          <cell r="B42">
            <v>1020367</v>
          </cell>
          <cell r="C42">
            <v>100070.492</v>
          </cell>
        </row>
        <row r="43">
          <cell r="B43">
            <v>1020589</v>
          </cell>
          <cell r="C43">
            <v>129372.52199999985</v>
          </cell>
        </row>
        <row r="44">
          <cell r="B44">
            <v>1020592</v>
          </cell>
          <cell r="C44">
            <v>156051.64899999983</v>
          </cell>
        </row>
        <row r="45">
          <cell r="B45">
            <v>1020620</v>
          </cell>
          <cell r="C45">
            <v>7410.8929999999982</v>
          </cell>
        </row>
        <row r="46">
          <cell r="B46">
            <v>1020637</v>
          </cell>
          <cell r="C46">
            <v>149893.242</v>
          </cell>
        </row>
        <row r="47">
          <cell r="B47">
            <v>1020662</v>
          </cell>
          <cell r="C47">
            <v>12915.093000000003</v>
          </cell>
        </row>
        <row r="48">
          <cell r="B48">
            <v>1020664</v>
          </cell>
          <cell r="C48">
            <v>11330.813000000002</v>
          </cell>
        </row>
        <row r="49">
          <cell r="B49">
            <v>1020731</v>
          </cell>
          <cell r="C49">
            <v>12118.880000000005</v>
          </cell>
        </row>
        <row r="50">
          <cell r="B50">
            <v>1020758</v>
          </cell>
          <cell r="C50">
            <v>3715.645</v>
          </cell>
        </row>
        <row r="51">
          <cell r="B51">
            <v>1020774</v>
          </cell>
          <cell r="C51">
            <v>5640</v>
          </cell>
        </row>
        <row r="52">
          <cell r="B52">
            <v>1020802</v>
          </cell>
          <cell r="C52">
            <v>3576.5110000000004</v>
          </cell>
        </row>
        <row r="53">
          <cell r="B53">
            <v>1020822</v>
          </cell>
          <cell r="C53">
            <v>7748.6660000000002</v>
          </cell>
        </row>
        <row r="54">
          <cell r="B54">
            <v>1020853</v>
          </cell>
          <cell r="C54">
            <v>43267.54</v>
          </cell>
        </row>
        <row r="55">
          <cell r="B55">
            <v>1020860</v>
          </cell>
          <cell r="C55">
            <v>44155.947999999989</v>
          </cell>
        </row>
        <row r="56">
          <cell r="B56">
            <v>1020869</v>
          </cell>
          <cell r="C56">
            <v>45120.754000000008</v>
          </cell>
        </row>
        <row r="57">
          <cell r="B57">
            <v>1020904</v>
          </cell>
          <cell r="C57">
            <v>28607.257999999994</v>
          </cell>
        </row>
        <row r="58">
          <cell r="B58">
            <v>1020925</v>
          </cell>
          <cell r="C58">
            <v>90717.78300000001</v>
          </cell>
        </row>
        <row r="59">
          <cell r="B59">
            <v>1020990</v>
          </cell>
          <cell r="C59">
            <v>12622.341000000008</v>
          </cell>
        </row>
        <row r="60">
          <cell r="B60">
            <v>1020993</v>
          </cell>
          <cell r="C60">
            <v>3934.2810000000004</v>
          </cell>
        </row>
        <row r="61">
          <cell r="B61">
            <v>1021012</v>
          </cell>
          <cell r="C61">
            <v>59559.228999999985</v>
          </cell>
        </row>
        <row r="62">
          <cell r="B62">
            <v>1021045</v>
          </cell>
          <cell r="C62">
            <v>23028.943999999992</v>
          </cell>
        </row>
        <row r="63">
          <cell r="B63">
            <v>1021078</v>
          </cell>
          <cell r="C63">
            <v>72222.813999999984</v>
          </cell>
        </row>
        <row r="64">
          <cell r="B64">
            <v>1021085</v>
          </cell>
          <cell r="C64">
            <v>50589.191000000028</v>
          </cell>
        </row>
        <row r="65">
          <cell r="B65">
            <v>1021092</v>
          </cell>
          <cell r="C65">
            <v>62516.365000000056</v>
          </cell>
        </row>
        <row r="66">
          <cell r="B66">
            <v>1021149</v>
          </cell>
          <cell r="C66">
            <v>33872.85</v>
          </cell>
        </row>
        <row r="67">
          <cell r="B67">
            <v>1021151</v>
          </cell>
          <cell r="C67">
            <v>40243.300000000003</v>
          </cell>
        </row>
        <row r="68">
          <cell r="B68">
            <v>1021152</v>
          </cell>
          <cell r="C68">
            <v>44514.83</v>
          </cell>
        </row>
        <row r="69">
          <cell r="B69">
            <v>1021187</v>
          </cell>
          <cell r="C69">
            <v>63815.234999999928</v>
          </cell>
        </row>
        <row r="70">
          <cell r="B70">
            <v>1021204</v>
          </cell>
          <cell r="C70">
            <v>34300</v>
          </cell>
        </row>
        <row r="71">
          <cell r="B71">
            <v>1021270</v>
          </cell>
          <cell r="C71">
            <v>21581.295999999995</v>
          </cell>
        </row>
        <row r="72">
          <cell r="B72">
            <v>1021385</v>
          </cell>
          <cell r="C72">
            <v>154744.80599999995</v>
          </cell>
        </row>
        <row r="73">
          <cell r="B73">
            <v>1021596</v>
          </cell>
          <cell r="C73">
            <v>24477.063999999991</v>
          </cell>
        </row>
        <row r="74">
          <cell r="B74">
            <v>1021622</v>
          </cell>
          <cell r="C74">
            <v>21704.05</v>
          </cell>
        </row>
        <row r="75">
          <cell r="B75">
            <v>1021731</v>
          </cell>
          <cell r="C75">
            <v>91941.36</v>
          </cell>
        </row>
        <row r="76">
          <cell r="B76">
            <v>1021732</v>
          </cell>
          <cell r="C76">
            <v>65322.35</v>
          </cell>
        </row>
        <row r="77">
          <cell r="B77">
            <v>1021733</v>
          </cell>
          <cell r="C77">
            <v>13828.603999999999</v>
          </cell>
        </row>
        <row r="78">
          <cell r="B78">
            <v>1021739</v>
          </cell>
          <cell r="C78">
            <v>25332.997000000025</v>
          </cell>
        </row>
        <row r="79">
          <cell r="B79">
            <v>1021767</v>
          </cell>
          <cell r="C79">
            <v>112718.98</v>
          </cell>
        </row>
        <row r="80">
          <cell r="B80">
            <v>1021874</v>
          </cell>
          <cell r="C80">
            <v>51254.139999999992</v>
          </cell>
        </row>
        <row r="81">
          <cell r="B81">
            <v>1021924</v>
          </cell>
          <cell r="C81">
            <v>68799.443999999989</v>
          </cell>
        </row>
        <row r="82">
          <cell r="B82">
            <v>1021925</v>
          </cell>
          <cell r="C82">
            <v>4775.7420000000002</v>
          </cell>
        </row>
        <row r="83">
          <cell r="B83">
            <v>1021929</v>
          </cell>
          <cell r="C83">
            <v>910</v>
          </cell>
        </row>
        <row r="84">
          <cell r="B84">
            <v>1021936</v>
          </cell>
          <cell r="C84">
            <v>86972.260000000009</v>
          </cell>
        </row>
        <row r="85">
          <cell r="B85">
            <v>1021976</v>
          </cell>
          <cell r="C85">
            <v>93731.432000000001</v>
          </cell>
        </row>
        <row r="86">
          <cell r="B86">
            <v>1021987</v>
          </cell>
          <cell r="C86">
            <v>11190</v>
          </cell>
        </row>
        <row r="87">
          <cell r="B87">
            <v>1022080</v>
          </cell>
          <cell r="C87">
            <v>49260.54</v>
          </cell>
        </row>
        <row r="88">
          <cell r="B88">
            <v>1022090</v>
          </cell>
          <cell r="C88">
            <v>77.063000000000002</v>
          </cell>
        </row>
        <row r="89">
          <cell r="B89">
            <v>1022099</v>
          </cell>
          <cell r="C89">
            <v>49662.69</v>
          </cell>
        </row>
        <row r="90">
          <cell r="B90">
            <v>1022125</v>
          </cell>
          <cell r="C90">
            <v>60638.481000000029</v>
          </cell>
        </row>
        <row r="91">
          <cell r="B91">
            <v>1022141</v>
          </cell>
          <cell r="C91">
            <v>47340.875999999975</v>
          </cell>
        </row>
        <row r="92">
          <cell r="B92">
            <v>1022149</v>
          </cell>
          <cell r="C92">
            <v>19080.382999999994</v>
          </cell>
        </row>
        <row r="93">
          <cell r="B93">
            <v>1022150</v>
          </cell>
          <cell r="C93">
            <v>86445.472000000009</v>
          </cell>
        </row>
        <row r="94">
          <cell r="B94">
            <v>1022169</v>
          </cell>
          <cell r="C94">
            <v>74120.55</v>
          </cell>
        </row>
        <row r="95">
          <cell r="B95">
            <v>1022186</v>
          </cell>
          <cell r="C95">
            <v>51776.68</v>
          </cell>
        </row>
        <row r="96">
          <cell r="B96">
            <v>1022193</v>
          </cell>
          <cell r="C96">
            <v>13115.980999999998</v>
          </cell>
        </row>
        <row r="97">
          <cell r="B97">
            <v>1022196</v>
          </cell>
          <cell r="C97">
            <v>47704.794000000009</v>
          </cell>
        </row>
        <row r="98">
          <cell r="B98">
            <v>1022293</v>
          </cell>
          <cell r="C98">
            <v>1570</v>
          </cell>
        </row>
        <row r="99">
          <cell r="B99">
            <v>1022304</v>
          </cell>
          <cell r="C99">
            <v>7014.6419999999998</v>
          </cell>
        </row>
        <row r="100">
          <cell r="B100">
            <v>1022371</v>
          </cell>
          <cell r="C100">
            <v>24387.348999999987</v>
          </cell>
        </row>
        <row r="101">
          <cell r="B101">
            <v>1022373</v>
          </cell>
          <cell r="C101">
            <v>55270.602999999996</v>
          </cell>
        </row>
        <row r="102">
          <cell r="B102">
            <v>1022378</v>
          </cell>
          <cell r="C102">
            <v>48427.199999999997</v>
          </cell>
        </row>
        <row r="103">
          <cell r="B103">
            <v>1022379</v>
          </cell>
          <cell r="C103">
            <v>50264.173000000017</v>
          </cell>
        </row>
        <row r="104">
          <cell r="B104">
            <v>1022413</v>
          </cell>
          <cell r="C104">
            <v>24608</v>
          </cell>
        </row>
        <row r="105">
          <cell r="B105">
            <v>1022417</v>
          </cell>
          <cell r="C105">
            <v>109071.18</v>
          </cell>
        </row>
        <row r="106">
          <cell r="B106">
            <v>1022515</v>
          </cell>
          <cell r="C106">
            <v>9089.7520000000004</v>
          </cell>
        </row>
        <row r="107">
          <cell r="B107">
            <v>1022607</v>
          </cell>
          <cell r="C107">
            <v>26027.268000000011</v>
          </cell>
        </row>
        <row r="108">
          <cell r="B108">
            <v>1022637</v>
          </cell>
          <cell r="C108">
            <v>47626.34</v>
          </cell>
        </row>
        <row r="109">
          <cell r="B109">
            <v>1022639</v>
          </cell>
          <cell r="C109">
            <v>155542.18900000004</v>
          </cell>
        </row>
        <row r="110">
          <cell r="B110">
            <v>1022646</v>
          </cell>
          <cell r="C110">
            <v>25019.167999999998</v>
          </cell>
        </row>
        <row r="111">
          <cell r="B111">
            <v>1022709</v>
          </cell>
          <cell r="C111">
            <v>70743.286999999997</v>
          </cell>
        </row>
        <row r="112">
          <cell r="B112">
            <v>1022751</v>
          </cell>
          <cell r="C112">
            <v>22568</v>
          </cell>
        </row>
        <row r="113">
          <cell r="B113">
            <v>1022753</v>
          </cell>
          <cell r="C113">
            <v>104424.12</v>
          </cell>
        </row>
        <row r="114">
          <cell r="B114">
            <v>1022767</v>
          </cell>
          <cell r="C114">
            <v>1480</v>
          </cell>
        </row>
        <row r="115">
          <cell r="B115">
            <v>1022851</v>
          </cell>
          <cell r="C115">
            <v>58740.849000000017</v>
          </cell>
        </row>
        <row r="116">
          <cell r="B116">
            <v>1022854</v>
          </cell>
          <cell r="C116">
            <v>32611.69100000001</v>
          </cell>
        </row>
        <row r="117">
          <cell r="B117">
            <v>1022863</v>
          </cell>
          <cell r="C117">
            <v>55934.82999999998</v>
          </cell>
        </row>
        <row r="118">
          <cell r="B118">
            <v>1022864</v>
          </cell>
          <cell r="C118">
            <v>80160.574999999997</v>
          </cell>
        </row>
        <row r="119">
          <cell r="B119">
            <v>1022865</v>
          </cell>
          <cell r="C119">
            <v>19716.357999999997</v>
          </cell>
        </row>
        <row r="120">
          <cell r="B120">
            <v>1022931</v>
          </cell>
          <cell r="C120">
            <v>11168.086000000001</v>
          </cell>
        </row>
        <row r="121">
          <cell r="B121">
            <v>1022939</v>
          </cell>
          <cell r="C121">
            <v>20285.46</v>
          </cell>
        </row>
        <row r="122">
          <cell r="B122">
            <v>1022987</v>
          </cell>
          <cell r="C122">
            <v>19880</v>
          </cell>
        </row>
        <row r="123">
          <cell r="B123">
            <v>1022989</v>
          </cell>
          <cell r="C123">
            <v>21119.385000000006</v>
          </cell>
        </row>
        <row r="124">
          <cell r="B124">
            <v>1022990</v>
          </cell>
          <cell r="C124">
            <v>6984</v>
          </cell>
        </row>
        <row r="125">
          <cell r="B125">
            <v>1023019</v>
          </cell>
          <cell r="C125">
            <v>1933.855</v>
          </cell>
        </row>
        <row r="126">
          <cell r="B126">
            <v>1023055</v>
          </cell>
          <cell r="C126">
            <v>6216.7919999999995</v>
          </cell>
        </row>
        <row r="127">
          <cell r="B127">
            <v>1023123</v>
          </cell>
          <cell r="C127">
            <v>987.49099999999999</v>
          </cell>
        </row>
        <row r="128">
          <cell r="B128">
            <v>1023163</v>
          </cell>
          <cell r="C128">
            <v>34738.571999999993</v>
          </cell>
        </row>
        <row r="129">
          <cell r="B129">
            <v>1023190</v>
          </cell>
          <cell r="C129">
            <v>48249.851999999977</v>
          </cell>
        </row>
        <row r="130">
          <cell r="B130">
            <v>1023194</v>
          </cell>
          <cell r="C130">
            <v>10250.008</v>
          </cell>
        </row>
        <row r="131">
          <cell r="B131">
            <v>1023274</v>
          </cell>
          <cell r="C131">
            <v>9600.5120000000024</v>
          </cell>
        </row>
        <row r="132">
          <cell r="B132">
            <v>1023283</v>
          </cell>
          <cell r="C132">
            <v>26279.275999999991</v>
          </cell>
        </row>
        <row r="133">
          <cell r="B133">
            <v>1023306</v>
          </cell>
          <cell r="C133">
            <v>20</v>
          </cell>
        </row>
        <row r="134">
          <cell r="B134">
            <v>1023324</v>
          </cell>
          <cell r="C134">
            <v>96744.835000000036</v>
          </cell>
        </row>
        <row r="135">
          <cell r="B135">
            <v>1023336</v>
          </cell>
          <cell r="C135">
            <v>51628.131000000001</v>
          </cell>
        </row>
        <row r="136">
          <cell r="B136">
            <v>1023351</v>
          </cell>
          <cell r="C136">
            <v>3203.7890000000002</v>
          </cell>
        </row>
        <row r="137">
          <cell r="B137">
            <v>1023352</v>
          </cell>
          <cell r="C137">
            <v>35436.981000000014</v>
          </cell>
        </row>
        <row r="138">
          <cell r="B138">
            <v>1023355</v>
          </cell>
          <cell r="C138">
            <v>4644.9089999999997</v>
          </cell>
        </row>
        <row r="139">
          <cell r="B139">
            <v>1023417</v>
          </cell>
          <cell r="C139">
            <v>20458.77</v>
          </cell>
        </row>
        <row r="140">
          <cell r="B140">
            <v>1023434</v>
          </cell>
          <cell r="C140">
            <v>45914.135999999999</v>
          </cell>
        </row>
        <row r="141">
          <cell r="B141">
            <v>1023435</v>
          </cell>
          <cell r="C141">
            <v>91072.715999999957</v>
          </cell>
        </row>
        <row r="142">
          <cell r="B142">
            <v>1012058</v>
          </cell>
          <cell r="C142">
            <v>85.14</v>
          </cell>
        </row>
        <row r="143">
          <cell r="B143">
            <v>1020678</v>
          </cell>
          <cell r="C143">
            <v>1268.1559999999999</v>
          </cell>
        </row>
        <row r="144">
          <cell r="B144">
            <v>1021046</v>
          </cell>
          <cell r="C144">
            <v>40688.584999999999</v>
          </cell>
        </row>
        <row r="145">
          <cell r="B145">
            <v>1022901</v>
          </cell>
          <cell r="C145">
            <v>9334.9130000000005</v>
          </cell>
        </row>
        <row r="146">
          <cell r="B146">
            <v>1021538</v>
          </cell>
          <cell r="C146">
            <v>49583.727999999974</v>
          </cell>
        </row>
        <row r="147">
          <cell r="B147">
            <v>1023397</v>
          </cell>
          <cell r="C147">
            <v>97244.641000000091</v>
          </cell>
        </row>
        <row r="148">
          <cell r="B148">
            <v>1022748</v>
          </cell>
          <cell r="C148">
            <v>64325.7</v>
          </cell>
        </row>
        <row r="149">
          <cell r="B149">
            <v>1022941</v>
          </cell>
          <cell r="C149">
            <v>41779</v>
          </cell>
        </row>
        <row r="150">
          <cell r="B150">
            <v>1021101</v>
          </cell>
          <cell r="C150">
            <v>23911.156000000006</v>
          </cell>
        </row>
        <row r="151">
          <cell r="B151">
            <v>1022499</v>
          </cell>
          <cell r="C151">
            <v>4883.5339999999997</v>
          </cell>
        </row>
        <row r="152">
          <cell r="B152">
            <v>1020660</v>
          </cell>
          <cell r="C152">
            <v>62666.198999999986</v>
          </cell>
        </row>
        <row r="153">
          <cell r="B153">
            <v>1023436</v>
          </cell>
          <cell r="C153">
            <v>9340</v>
          </cell>
        </row>
        <row r="154">
          <cell r="B154">
            <v>1021115</v>
          </cell>
          <cell r="C154">
            <v>3460</v>
          </cell>
        </row>
        <row r="155">
          <cell r="B155">
            <v>1022290</v>
          </cell>
          <cell r="C155">
            <v>27440.932000000008</v>
          </cell>
        </row>
        <row r="156">
          <cell r="B156">
            <v>1023319</v>
          </cell>
          <cell r="C156">
            <v>15708.55</v>
          </cell>
        </row>
        <row r="157">
          <cell r="B157">
            <v>1022406</v>
          </cell>
          <cell r="C157">
            <v>19092.253000000015</v>
          </cell>
        </row>
        <row r="158">
          <cell r="B158">
            <v>1021931</v>
          </cell>
          <cell r="C158">
            <v>18127.640999999996</v>
          </cell>
        </row>
        <row r="159">
          <cell r="B159">
            <v>1020284</v>
          </cell>
          <cell r="C159">
            <v>12962.795000000002</v>
          </cell>
        </row>
        <row r="160">
          <cell r="B160">
            <v>1021156</v>
          </cell>
          <cell r="C160">
            <v>25530.58</v>
          </cell>
        </row>
        <row r="161">
          <cell r="B161">
            <v>1020715</v>
          </cell>
          <cell r="C161">
            <v>1866.3159999999998</v>
          </cell>
        </row>
        <row r="162">
          <cell r="B162">
            <v>1022101</v>
          </cell>
          <cell r="C162">
            <v>2783.5589999999997</v>
          </cell>
        </row>
        <row r="163">
          <cell r="B163">
            <v>1020886</v>
          </cell>
          <cell r="C163">
            <v>17991.988999999998</v>
          </cell>
        </row>
        <row r="164">
          <cell r="B164">
            <v>1021106</v>
          </cell>
          <cell r="C164">
            <v>10377.531000000001</v>
          </cell>
        </row>
        <row r="165">
          <cell r="B165">
            <v>1020412</v>
          </cell>
          <cell r="C165">
            <v>31690.139000000003</v>
          </cell>
        </row>
        <row r="166">
          <cell r="B166">
            <v>1022907</v>
          </cell>
          <cell r="C166">
            <v>36629.86</v>
          </cell>
        </row>
        <row r="167">
          <cell r="B167">
            <v>1023051</v>
          </cell>
          <cell r="C167">
            <v>6509.0389999999989</v>
          </cell>
        </row>
        <row r="168">
          <cell r="B168">
            <v>1020878</v>
          </cell>
          <cell r="C168">
            <v>48343.120000000039</v>
          </cell>
        </row>
        <row r="169">
          <cell r="B169">
            <v>1020665</v>
          </cell>
          <cell r="C169">
            <v>14375.192000000001</v>
          </cell>
        </row>
        <row r="170">
          <cell r="B170">
            <v>1021023</v>
          </cell>
          <cell r="C170">
            <v>44736.615999999965</v>
          </cell>
        </row>
        <row r="171">
          <cell r="B171">
            <v>1022561</v>
          </cell>
          <cell r="C171">
            <v>21289.255000000005</v>
          </cell>
        </row>
        <row r="172">
          <cell r="B172">
            <v>1023343</v>
          </cell>
          <cell r="C172">
            <v>56767.673000000039</v>
          </cell>
        </row>
        <row r="173">
          <cell r="B173">
            <v>1022985</v>
          </cell>
          <cell r="C173">
            <v>12955.874000000002</v>
          </cell>
        </row>
        <row r="174">
          <cell r="B174">
            <v>1022212</v>
          </cell>
          <cell r="C174">
            <v>27342</v>
          </cell>
        </row>
        <row r="175">
          <cell r="B175">
            <v>1021735</v>
          </cell>
          <cell r="C175">
            <v>50882.080000000002</v>
          </cell>
        </row>
        <row r="176">
          <cell r="B176">
            <v>1021533</v>
          </cell>
          <cell r="C176">
            <v>1609.6469999999999</v>
          </cell>
        </row>
        <row r="177">
          <cell r="B177">
            <v>1022182</v>
          </cell>
          <cell r="C177">
            <v>1150</v>
          </cell>
        </row>
        <row r="178">
          <cell r="B178">
            <v>1023439</v>
          </cell>
          <cell r="C178">
            <v>24020</v>
          </cell>
        </row>
        <row r="179">
          <cell r="B179">
            <v>1023273</v>
          </cell>
          <cell r="C179">
            <v>12586.455999999998</v>
          </cell>
        </row>
        <row r="180">
          <cell r="B180">
            <v>1020991</v>
          </cell>
          <cell r="C180">
            <v>4837.8780000000006</v>
          </cell>
        </row>
        <row r="181">
          <cell r="B181">
            <v>1020905</v>
          </cell>
          <cell r="C181">
            <v>17253.326000000005</v>
          </cell>
        </row>
        <row r="182">
          <cell r="B182">
            <v>1022866</v>
          </cell>
          <cell r="C182">
            <v>15998.119999999997</v>
          </cell>
        </row>
        <row r="183">
          <cell r="B183">
            <v>1022986</v>
          </cell>
          <cell r="C183">
            <v>1545.742</v>
          </cell>
        </row>
        <row r="184">
          <cell r="B184">
            <v>1022621</v>
          </cell>
          <cell r="C184">
            <v>10047.882999999998</v>
          </cell>
        </row>
        <row r="185">
          <cell r="B185">
            <v>1023276</v>
          </cell>
          <cell r="C185">
            <v>8371.6459999999988</v>
          </cell>
        </row>
        <row r="186">
          <cell r="B186">
            <v>1023318</v>
          </cell>
          <cell r="C186">
            <v>24041.554999999993</v>
          </cell>
        </row>
        <row r="187">
          <cell r="B187">
            <v>1021470</v>
          </cell>
          <cell r="C187">
            <v>10167.202000000001</v>
          </cell>
        </row>
        <row r="188">
          <cell r="B188">
            <v>1020861</v>
          </cell>
          <cell r="C188">
            <v>48332.861000000004</v>
          </cell>
        </row>
        <row r="189">
          <cell r="B189">
            <v>1022472</v>
          </cell>
          <cell r="C189">
            <v>11779.782999999996</v>
          </cell>
        </row>
        <row r="190">
          <cell r="B190">
            <v>1021150</v>
          </cell>
          <cell r="C190">
            <v>50293.22</v>
          </cell>
        </row>
        <row r="191">
          <cell r="B191">
            <v>1020349</v>
          </cell>
          <cell r="C191">
            <v>28922.355</v>
          </cell>
        </row>
        <row r="192">
          <cell r="B192">
            <v>1023331</v>
          </cell>
          <cell r="C192">
            <v>9829.9619999999995</v>
          </cell>
        </row>
        <row r="193">
          <cell r="B193">
            <v>1021980</v>
          </cell>
          <cell r="C193">
            <v>10674.676000000007</v>
          </cell>
        </row>
        <row r="194">
          <cell r="B194">
            <v>1021655</v>
          </cell>
          <cell r="C194">
            <v>3020</v>
          </cell>
        </row>
        <row r="195">
          <cell r="B195">
            <v>1020828</v>
          </cell>
          <cell r="C195">
            <v>25110</v>
          </cell>
        </row>
        <row r="196">
          <cell r="B196">
            <v>1023391</v>
          </cell>
          <cell r="C196">
            <v>16701.46</v>
          </cell>
        </row>
        <row r="197">
          <cell r="B197">
            <v>1021026</v>
          </cell>
          <cell r="C197">
            <v>24951.373000000021</v>
          </cell>
        </row>
        <row r="198">
          <cell r="B198">
            <v>1021136</v>
          </cell>
          <cell r="C198">
            <v>5290</v>
          </cell>
        </row>
        <row r="199">
          <cell r="B199">
            <v>1022870</v>
          </cell>
          <cell r="C199">
            <v>10351.433999999999</v>
          </cell>
        </row>
        <row r="200">
          <cell r="B200">
            <v>1021039</v>
          </cell>
          <cell r="C200">
            <v>56502.628000000019</v>
          </cell>
        </row>
        <row r="201">
          <cell r="B201">
            <v>1023438</v>
          </cell>
          <cell r="C201">
            <v>25240.115999999998</v>
          </cell>
        </row>
        <row r="202">
          <cell r="B202">
            <v>1021279</v>
          </cell>
          <cell r="C202">
            <v>28052.41</v>
          </cell>
        </row>
        <row r="203">
          <cell r="B203">
            <v>1022142</v>
          </cell>
          <cell r="C203">
            <v>17208.548000000003</v>
          </cell>
        </row>
        <row r="204">
          <cell r="B204">
            <v>1022664</v>
          </cell>
          <cell r="C204">
            <v>19099.946000000004</v>
          </cell>
        </row>
        <row r="205">
          <cell r="B205">
            <v>1023326</v>
          </cell>
          <cell r="C205">
            <v>51007.450999999979</v>
          </cell>
        </row>
        <row r="206">
          <cell r="B206">
            <v>1021555</v>
          </cell>
          <cell r="C206">
            <v>80390.635000000068</v>
          </cell>
        </row>
        <row r="207">
          <cell r="B207">
            <v>1022914</v>
          </cell>
          <cell r="C207">
            <v>6180</v>
          </cell>
        </row>
        <row r="208">
          <cell r="B208">
            <v>1020017</v>
          </cell>
          <cell r="C208">
            <v>7463.3590000000004</v>
          </cell>
        </row>
        <row r="209">
          <cell r="B209">
            <v>1021664</v>
          </cell>
          <cell r="C209">
            <v>28484.276000000002</v>
          </cell>
        </row>
        <row r="210">
          <cell r="B210">
            <v>1023421</v>
          </cell>
          <cell r="C210">
            <v>28854.279999999995</v>
          </cell>
        </row>
        <row r="211">
          <cell r="B211">
            <v>1021766</v>
          </cell>
          <cell r="C211">
            <v>56127.14</v>
          </cell>
        </row>
        <row r="212">
          <cell r="B212">
            <v>1022183</v>
          </cell>
          <cell r="C212">
            <v>124039.133</v>
          </cell>
        </row>
        <row r="213">
          <cell r="B213">
            <v>1023400</v>
          </cell>
          <cell r="C213">
            <v>3782.587</v>
          </cell>
        </row>
        <row r="214">
          <cell r="B214">
            <v>1023218</v>
          </cell>
          <cell r="C214">
            <v>19261.32</v>
          </cell>
        </row>
        <row r="215">
          <cell r="B215">
            <v>1020352</v>
          </cell>
          <cell r="C215">
            <v>65313.456999999995</v>
          </cell>
        </row>
        <row r="216">
          <cell r="B216">
            <v>1023302</v>
          </cell>
          <cell r="C216">
            <v>7060</v>
          </cell>
        </row>
        <row r="217">
          <cell r="B217">
            <v>1022273</v>
          </cell>
          <cell r="C217">
            <v>246974.92399999991</v>
          </cell>
        </row>
        <row r="218">
          <cell r="B218">
            <v>1023265</v>
          </cell>
          <cell r="C218">
            <v>17829.409</v>
          </cell>
        </row>
        <row r="219">
          <cell r="B219">
            <v>1023219</v>
          </cell>
          <cell r="C219">
            <v>49282.792999999976</v>
          </cell>
        </row>
        <row r="220">
          <cell r="B220">
            <v>1020944</v>
          </cell>
          <cell r="C220">
            <v>70183.689999999973</v>
          </cell>
        </row>
        <row r="221">
          <cell r="B221">
            <v>1023212</v>
          </cell>
          <cell r="C221">
            <v>8850</v>
          </cell>
        </row>
        <row r="222">
          <cell r="B222">
            <v>1023284</v>
          </cell>
          <cell r="C222">
            <v>1093.876</v>
          </cell>
        </row>
        <row r="223">
          <cell r="B223">
            <v>1022096</v>
          </cell>
          <cell r="C223">
            <v>48138.979999999996</v>
          </cell>
        </row>
        <row r="224">
          <cell r="B224">
            <v>1022398</v>
          </cell>
          <cell r="C224">
            <v>49975.074000000015</v>
          </cell>
        </row>
        <row r="225">
          <cell r="B225">
            <v>1020636</v>
          </cell>
          <cell r="C225">
            <v>5870.98</v>
          </cell>
        </row>
        <row r="226">
          <cell r="B226">
            <v>1022600</v>
          </cell>
          <cell r="C226">
            <v>7078.4589999999989</v>
          </cell>
        </row>
        <row r="227">
          <cell r="B227">
            <v>1021609</v>
          </cell>
          <cell r="C227">
            <v>10207.208000000001</v>
          </cell>
        </row>
        <row r="228">
          <cell r="B228">
            <v>1020704</v>
          </cell>
          <cell r="C228">
            <v>825</v>
          </cell>
        </row>
        <row r="229">
          <cell r="B229">
            <v>1023353</v>
          </cell>
          <cell r="C229">
            <v>5776.6220000000003</v>
          </cell>
        </row>
        <row r="230">
          <cell r="B230">
            <v>1022313</v>
          </cell>
          <cell r="C230">
            <v>8672.4879999999994</v>
          </cell>
        </row>
        <row r="231">
          <cell r="B231">
            <v>1020681</v>
          </cell>
          <cell r="C231">
            <v>16059.090000000007</v>
          </cell>
        </row>
        <row r="232">
          <cell r="B232">
            <v>1023429</v>
          </cell>
          <cell r="C232">
            <v>2782.1369999999997</v>
          </cell>
        </row>
        <row r="233">
          <cell r="B233">
            <v>1021952</v>
          </cell>
          <cell r="C233">
            <v>3320</v>
          </cell>
        </row>
        <row r="234">
          <cell r="B234">
            <v>1022570</v>
          </cell>
          <cell r="C234">
            <v>1943.6509999999998</v>
          </cell>
        </row>
        <row r="235">
          <cell r="B235">
            <v>1023383</v>
          </cell>
          <cell r="C235">
            <v>4206.1839999999993</v>
          </cell>
        </row>
        <row r="236">
          <cell r="B236">
            <v>1021077</v>
          </cell>
          <cell r="C236">
            <v>26416.789000000001</v>
          </cell>
        </row>
        <row r="237">
          <cell r="B237">
            <v>1023349</v>
          </cell>
          <cell r="C237">
            <v>6487.9960000000001</v>
          </cell>
        </row>
        <row r="238">
          <cell r="B238">
            <v>1021774</v>
          </cell>
          <cell r="C238">
            <v>37880.29</v>
          </cell>
        </row>
        <row r="239">
          <cell r="B239">
            <v>1020848</v>
          </cell>
          <cell r="C239">
            <v>86253.915000000023</v>
          </cell>
        </row>
        <row r="240">
          <cell r="B240">
            <v>1022856</v>
          </cell>
          <cell r="C240">
            <v>38319.00499999999</v>
          </cell>
        </row>
        <row r="241">
          <cell r="B241">
            <v>1021922</v>
          </cell>
          <cell r="C241">
            <v>850</v>
          </cell>
        </row>
        <row r="242">
          <cell r="B242">
            <v>1023247</v>
          </cell>
          <cell r="C242">
            <v>3330</v>
          </cell>
        </row>
        <row r="243">
          <cell r="B243">
            <v>1022936</v>
          </cell>
          <cell r="C243">
            <v>790</v>
          </cell>
        </row>
        <row r="244">
          <cell r="B244">
            <v>1021740</v>
          </cell>
          <cell r="C244">
            <v>75653.84000000004</v>
          </cell>
        </row>
        <row r="245">
          <cell r="B245">
            <v>1021020</v>
          </cell>
          <cell r="C245">
            <v>12079.641000000003</v>
          </cell>
        </row>
        <row r="246">
          <cell r="B246">
            <v>1011042</v>
          </cell>
          <cell r="C246">
            <v>27930</v>
          </cell>
        </row>
        <row r="247">
          <cell r="B247">
            <v>1021082</v>
          </cell>
          <cell r="C247">
            <v>1099.4390000000001</v>
          </cell>
        </row>
        <row r="248">
          <cell r="B248">
            <v>1022636</v>
          </cell>
          <cell r="C248">
            <v>52695.35</v>
          </cell>
        </row>
        <row r="249">
          <cell r="B249">
            <v>1012399</v>
          </cell>
          <cell r="C249">
            <v>2620.7999999999997</v>
          </cell>
        </row>
        <row r="250">
          <cell r="B250">
            <v>1012556</v>
          </cell>
          <cell r="C250">
            <v>34016.912000000004</v>
          </cell>
        </row>
        <row r="251">
          <cell r="B251">
            <v>1012300</v>
          </cell>
          <cell r="C251">
            <v>60.72</v>
          </cell>
        </row>
        <row r="252">
          <cell r="B252">
            <v>1100737</v>
          </cell>
          <cell r="C252">
            <v>99.360000000000014</v>
          </cell>
        </row>
        <row r="253">
          <cell r="B253">
            <v>1011560</v>
          </cell>
          <cell r="C253">
            <v>17118</v>
          </cell>
        </row>
        <row r="254">
          <cell r="B254">
            <v>1011586</v>
          </cell>
          <cell r="C254">
            <v>33522.720000000001</v>
          </cell>
        </row>
        <row r="255">
          <cell r="B255">
            <v>1011968</v>
          </cell>
          <cell r="C255">
            <v>12600</v>
          </cell>
        </row>
        <row r="256">
          <cell r="B256">
            <v>1011969</v>
          </cell>
          <cell r="C256">
            <v>6300</v>
          </cell>
        </row>
        <row r="257">
          <cell r="B257">
            <v>1100602</v>
          </cell>
          <cell r="C257">
            <v>33562.080000000002</v>
          </cell>
        </row>
        <row r="258">
          <cell r="B258">
            <v>1012108</v>
          </cell>
          <cell r="C258">
            <v>19649.952000000008</v>
          </cell>
        </row>
        <row r="259">
          <cell r="B259">
            <v>1012207</v>
          </cell>
          <cell r="C259">
            <v>63336</v>
          </cell>
        </row>
        <row r="260">
          <cell r="B260">
            <v>1012362</v>
          </cell>
          <cell r="C260">
            <v>9810</v>
          </cell>
        </row>
        <row r="261">
          <cell r="B261">
            <v>1012448</v>
          </cell>
          <cell r="C261">
            <v>31500</v>
          </cell>
        </row>
        <row r="262">
          <cell r="B262">
            <v>1012520</v>
          </cell>
          <cell r="C262">
            <v>5352.4800000000005</v>
          </cell>
        </row>
        <row r="263">
          <cell r="B263">
            <v>1012612</v>
          </cell>
          <cell r="C263">
            <v>75655.587</v>
          </cell>
        </row>
        <row r="264">
          <cell r="B264">
            <v>1010877</v>
          </cell>
          <cell r="C264">
            <v>17820</v>
          </cell>
        </row>
        <row r="265">
          <cell r="B265">
            <v>1011150</v>
          </cell>
          <cell r="C265">
            <v>594</v>
          </cell>
        </row>
        <row r="266">
          <cell r="B266">
            <v>1011558</v>
          </cell>
          <cell r="C266">
            <v>23881.508999999984</v>
          </cell>
        </row>
        <row r="267">
          <cell r="B267">
            <v>1011614</v>
          </cell>
          <cell r="C267">
            <v>36.28</v>
          </cell>
        </row>
        <row r="268">
          <cell r="B268">
            <v>1011748</v>
          </cell>
          <cell r="C268">
            <v>93430</v>
          </cell>
        </row>
        <row r="269">
          <cell r="B269">
            <v>1011906</v>
          </cell>
          <cell r="C269">
            <v>135</v>
          </cell>
        </row>
        <row r="270">
          <cell r="B270">
            <v>1012014</v>
          </cell>
          <cell r="C270">
            <v>15</v>
          </cell>
        </row>
        <row r="271">
          <cell r="B271">
            <v>1012110</v>
          </cell>
          <cell r="C271">
            <v>60056.639999999985</v>
          </cell>
        </row>
        <row r="272">
          <cell r="B272">
            <v>1012111</v>
          </cell>
          <cell r="C272">
            <v>8364.384</v>
          </cell>
        </row>
        <row r="273">
          <cell r="B273">
            <v>1012145</v>
          </cell>
          <cell r="C273">
            <v>30716.730000000014</v>
          </cell>
        </row>
        <row r="274">
          <cell r="B274">
            <v>1012147</v>
          </cell>
          <cell r="C274">
            <v>33266.40400000001</v>
          </cell>
        </row>
        <row r="275">
          <cell r="B275">
            <v>1012148</v>
          </cell>
          <cell r="C275">
            <v>24465.606000000007</v>
          </cell>
        </row>
        <row r="276">
          <cell r="B276">
            <v>1012434</v>
          </cell>
          <cell r="C276">
            <v>24240</v>
          </cell>
        </row>
        <row r="277">
          <cell r="B277">
            <v>1012521</v>
          </cell>
          <cell r="C277">
            <v>24004.51200000001</v>
          </cell>
        </row>
        <row r="278">
          <cell r="B278">
            <v>1012522</v>
          </cell>
          <cell r="C278">
            <v>29048.544000000009</v>
          </cell>
        </row>
        <row r="279">
          <cell r="B279">
            <v>1012552</v>
          </cell>
          <cell r="C279">
            <v>80700</v>
          </cell>
        </row>
        <row r="280">
          <cell r="B280">
            <v>1012601</v>
          </cell>
          <cell r="C280">
            <v>30772.223999999987</v>
          </cell>
        </row>
        <row r="281">
          <cell r="B281">
            <v>1023334</v>
          </cell>
          <cell r="C281">
            <v>47122.715999999993</v>
          </cell>
        </row>
        <row r="282">
          <cell r="B282">
            <v>1100408</v>
          </cell>
          <cell r="C282">
            <v>20390</v>
          </cell>
        </row>
        <row r="283">
          <cell r="B283">
            <v>1100680</v>
          </cell>
          <cell r="C283">
            <v>30</v>
          </cell>
        </row>
        <row r="284">
          <cell r="B284">
            <v>1100723</v>
          </cell>
          <cell r="C284">
            <v>48</v>
          </cell>
        </row>
        <row r="285">
          <cell r="B285">
            <v>1100732</v>
          </cell>
          <cell r="C285">
            <v>3184</v>
          </cell>
        </row>
        <row r="286">
          <cell r="B286">
            <v>1012534</v>
          </cell>
          <cell r="C286">
            <v>8041.634</v>
          </cell>
        </row>
        <row r="287">
          <cell r="B287">
            <v>1012622</v>
          </cell>
          <cell r="C287">
            <v>80</v>
          </cell>
        </row>
        <row r="288">
          <cell r="B288">
            <v>1100722</v>
          </cell>
          <cell r="C288">
            <v>91.2</v>
          </cell>
        </row>
        <row r="289">
          <cell r="B289">
            <v>1012326</v>
          </cell>
          <cell r="C289">
            <v>14028</v>
          </cell>
        </row>
        <row r="290">
          <cell r="B290">
            <v>1012756</v>
          </cell>
          <cell r="C290">
            <v>4371.74</v>
          </cell>
        </row>
        <row r="291">
          <cell r="B291">
            <v>1011290</v>
          </cell>
          <cell r="C291">
            <v>21530.669000000002</v>
          </cell>
        </row>
        <row r="292">
          <cell r="B292">
            <v>1012745</v>
          </cell>
          <cell r="C292">
            <v>6064.112000000001</v>
          </cell>
        </row>
        <row r="293">
          <cell r="B293">
            <v>1012807</v>
          </cell>
          <cell r="C293">
            <v>500</v>
          </cell>
        </row>
        <row r="294">
          <cell r="B294">
            <v>1100407</v>
          </cell>
          <cell r="C294">
            <v>13776</v>
          </cell>
        </row>
        <row r="295">
          <cell r="B295">
            <v>1012278</v>
          </cell>
          <cell r="C295">
            <v>1080</v>
          </cell>
        </row>
        <row r="296">
          <cell r="B296">
            <v>1011701</v>
          </cell>
          <cell r="C296">
            <v>15095.362999999999</v>
          </cell>
        </row>
        <row r="297">
          <cell r="B297">
            <v>1012724</v>
          </cell>
          <cell r="C297">
            <v>13532.790000000003</v>
          </cell>
        </row>
        <row r="298">
          <cell r="B298">
            <v>1012012</v>
          </cell>
          <cell r="C298">
            <v>36229.200000000004</v>
          </cell>
        </row>
        <row r="299">
          <cell r="B299">
            <v>1011105</v>
          </cell>
          <cell r="C299">
            <v>13949.66</v>
          </cell>
        </row>
        <row r="300">
          <cell r="B300">
            <v>1012788</v>
          </cell>
          <cell r="C300">
            <v>6831.6000000000013</v>
          </cell>
        </row>
        <row r="301">
          <cell r="B301">
            <v>1012161</v>
          </cell>
          <cell r="C301">
            <v>21446.208000000006</v>
          </cell>
        </row>
        <row r="302">
          <cell r="B302">
            <v>1012310</v>
          </cell>
          <cell r="C302">
            <v>112.392</v>
          </cell>
        </row>
        <row r="303">
          <cell r="B303">
            <v>1012115</v>
          </cell>
          <cell r="C303">
            <v>281.23200000000003</v>
          </cell>
        </row>
        <row r="304">
          <cell r="B304">
            <v>1010885</v>
          </cell>
          <cell r="C304">
            <v>172.33</v>
          </cell>
        </row>
        <row r="305">
          <cell r="B305">
            <v>1012038</v>
          </cell>
          <cell r="C305">
            <v>136.08000000000001</v>
          </cell>
        </row>
        <row r="306">
          <cell r="B306">
            <v>1011897</v>
          </cell>
          <cell r="C306">
            <v>934.31200000000001</v>
          </cell>
        </row>
        <row r="307">
          <cell r="B307">
            <v>1011564</v>
          </cell>
          <cell r="C307">
            <v>1008</v>
          </cell>
        </row>
        <row r="308">
          <cell r="B308">
            <v>1011250</v>
          </cell>
          <cell r="C308">
            <v>1650.74</v>
          </cell>
        </row>
        <row r="309">
          <cell r="B309">
            <v>1012283</v>
          </cell>
          <cell r="C309">
            <v>19295.451000000001</v>
          </cell>
        </row>
        <row r="310">
          <cell r="B310">
            <v>1012400</v>
          </cell>
          <cell r="C310">
            <v>7828.8</v>
          </cell>
        </row>
        <row r="311">
          <cell r="B311">
            <v>1012109</v>
          </cell>
          <cell r="C311">
            <v>56445.983999999946</v>
          </cell>
        </row>
        <row r="312">
          <cell r="B312">
            <v>1012164</v>
          </cell>
          <cell r="C312">
            <v>18107.712000000007</v>
          </cell>
        </row>
        <row r="313">
          <cell r="B313">
            <v>1012483</v>
          </cell>
          <cell r="C313">
            <v>41694.911999999997</v>
          </cell>
        </row>
        <row r="314">
          <cell r="B314">
            <v>1010888</v>
          </cell>
          <cell r="C314">
            <v>771.12</v>
          </cell>
        </row>
        <row r="315">
          <cell r="B315">
            <v>1012753</v>
          </cell>
          <cell r="C315">
            <v>4008.94</v>
          </cell>
        </row>
        <row r="316">
          <cell r="B316">
            <v>1012107</v>
          </cell>
          <cell r="C316">
            <v>30735.936000000012</v>
          </cell>
        </row>
        <row r="317">
          <cell r="B317">
            <v>1012401</v>
          </cell>
          <cell r="C317">
            <v>8769.5999999999985</v>
          </cell>
        </row>
        <row r="318">
          <cell r="B318">
            <v>1012160</v>
          </cell>
          <cell r="C318">
            <v>11321.856000000002</v>
          </cell>
        </row>
        <row r="319">
          <cell r="B319">
            <v>1012218</v>
          </cell>
          <cell r="C319">
            <v>20565</v>
          </cell>
        </row>
        <row r="320">
          <cell r="B320">
            <v>1012112</v>
          </cell>
          <cell r="C320">
            <v>14823.648000000001</v>
          </cell>
        </row>
        <row r="321">
          <cell r="B321">
            <v>1012275</v>
          </cell>
          <cell r="C321">
            <v>14706</v>
          </cell>
        </row>
        <row r="322">
          <cell r="B322">
            <v>1012157</v>
          </cell>
          <cell r="C322">
            <v>6622.5599999999995</v>
          </cell>
        </row>
        <row r="323">
          <cell r="B323">
            <v>1100574</v>
          </cell>
          <cell r="C323">
            <v>30073.680000000004</v>
          </cell>
        </row>
        <row r="324">
          <cell r="B324">
            <v>1012623</v>
          </cell>
          <cell r="C324">
            <v>4554.1440000000002</v>
          </cell>
        </row>
        <row r="325">
          <cell r="B325">
            <v>1012681</v>
          </cell>
          <cell r="C325">
            <v>15940</v>
          </cell>
        </row>
        <row r="326">
          <cell r="B326">
            <v>1012519</v>
          </cell>
          <cell r="C326">
            <v>6894.7200000000012</v>
          </cell>
        </row>
        <row r="327">
          <cell r="B327">
            <v>1012523</v>
          </cell>
          <cell r="C327">
            <v>16873.920000000002</v>
          </cell>
        </row>
        <row r="328">
          <cell r="B328">
            <v>1011967</v>
          </cell>
          <cell r="C328">
            <v>14480</v>
          </cell>
        </row>
        <row r="329">
          <cell r="B329">
            <v>1012796</v>
          </cell>
          <cell r="C329">
            <v>3695.5050000000001</v>
          </cell>
        </row>
        <row r="330">
          <cell r="B330">
            <v>1012005</v>
          </cell>
          <cell r="C330">
            <v>8168</v>
          </cell>
        </row>
        <row r="331">
          <cell r="B331">
            <v>1012752</v>
          </cell>
          <cell r="C331">
            <v>5568.9800000000005</v>
          </cell>
        </row>
        <row r="332">
          <cell r="B332">
            <v>1012754</v>
          </cell>
          <cell r="C332">
            <v>2067.96</v>
          </cell>
        </row>
        <row r="333">
          <cell r="B333">
            <v>1100492</v>
          </cell>
          <cell r="C333">
            <v>5422.32</v>
          </cell>
        </row>
        <row r="334">
          <cell r="B334">
            <v>1011364</v>
          </cell>
          <cell r="C334">
            <v>893.75</v>
          </cell>
        </row>
        <row r="335">
          <cell r="B335">
            <v>1012524</v>
          </cell>
          <cell r="C335">
            <v>1669.248</v>
          </cell>
        </row>
        <row r="336">
          <cell r="B336">
            <v>1100572</v>
          </cell>
          <cell r="C336">
            <v>8457.84</v>
          </cell>
        </row>
        <row r="337">
          <cell r="B337">
            <v>1100573</v>
          </cell>
          <cell r="C337">
            <v>2998.8</v>
          </cell>
        </row>
        <row r="338">
          <cell r="B338">
            <v>1100570</v>
          </cell>
          <cell r="C338">
            <v>2190.96</v>
          </cell>
        </row>
        <row r="339">
          <cell r="B339">
            <v>1011565</v>
          </cell>
          <cell r="C339">
            <v>1080</v>
          </cell>
        </row>
        <row r="340">
          <cell r="B340">
            <v>1012773</v>
          </cell>
          <cell r="C340">
            <v>162.44999999999999</v>
          </cell>
        </row>
        <row r="341">
          <cell r="B341">
            <v>1100208</v>
          </cell>
          <cell r="C341">
            <v>105</v>
          </cell>
        </row>
        <row r="342">
          <cell r="B342">
            <v>1023183</v>
          </cell>
          <cell r="C342">
            <v>8516.6299999999992</v>
          </cell>
        </row>
        <row r="343">
          <cell r="B343">
            <v>1020810</v>
          </cell>
          <cell r="C343">
            <v>720</v>
          </cell>
        </row>
        <row r="344">
          <cell r="B344">
            <v>1020914</v>
          </cell>
          <cell r="C344">
            <v>3831.4700000000003</v>
          </cell>
        </row>
        <row r="345">
          <cell r="B345">
            <v>1021105</v>
          </cell>
          <cell r="C345">
            <v>27955.643000000007</v>
          </cell>
        </row>
        <row r="346">
          <cell r="B346">
            <v>1021260</v>
          </cell>
          <cell r="C346">
            <v>22.984999999999999</v>
          </cell>
        </row>
        <row r="347">
          <cell r="B347">
            <v>1021272</v>
          </cell>
          <cell r="C347">
            <v>43504.235000000001</v>
          </cell>
        </row>
        <row r="348">
          <cell r="B348">
            <v>1021398</v>
          </cell>
          <cell r="C348">
            <v>28685</v>
          </cell>
        </row>
        <row r="349">
          <cell r="B349">
            <v>1021539</v>
          </cell>
          <cell r="C349">
            <v>90</v>
          </cell>
        </row>
        <row r="350">
          <cell r="B350">
            <v>1021603</v>
          </cell>
          <cell r="C350">
            <v>3190.4580000000005</v>
          </cell>
        </row>
        <row r="351">
          <cell r="B351">
            <v>1021738</v>
          </cell>
          <cell r="C351">
            <v>23221.41</v>
          </cell>
        </row>
        <row r="352">
          <cell r="B352">
            <v>1021864</v>
          </cell>
          <cell r="C352">
            <v>13477.258000000002</v>
          </cell>
        </row>
        <row r="353">
          <cell r="B353">
            <v>1021868</v>
          </cell>
          <cell r="C353">
            <v>19678.294000000002</v>
          </cell>
        </row>
        <row r="354">
          <cell r="B354">
            <v>1021944</v>
          </cell>
          <cell r="C354">
            <v>2688</v>
          </cell>
        </row>
        <row r="355">
          <cell r="B355">
            <v>1021945</v>
          </cell>
          <cell r="C355">
            <v>2860.48</v>
          </cell>
        </row>
        <row r="356">
          <cell r="B356">
            <v>1021992</v>
          </cell>
          <cell r="C356">
            <v>23142.5</v>
          </cell>
        </row>
        <row r="357">
          <cell r="B357">
            <v>1022047</v>
          </cell>
          <cell r="C357">
            <v>1603.085</v>
          </cell>
        </row>
        <row r="358">
          <cell r="B358">
            <v>1022128</v>
          </cell>
          <cell r="C358">
            <v>20807.806000000004</v>
          </cell>
        </row>
        <row r="359">
          <cell r="B359">
            <v>1022145</v>
          </cell>
          <cell r="C359">
            <v>1510.933</v>
          </cell>
        </row>
        <row r="360">
          <cell r="B360">
            <v>1022197</v>
          </cell>
          <cell r="C360">
            <v>9433.0899999999983</v>
          </cell>
        </row>
        <row r="361">
          <cell r="B361">
            <v>1022217</v>
          </cell>
          <cell r="C361">
            <v>180863.94400000016</v>
          </cell>
        </row>
        <row r="362">
          <cell r="B362">
            <v>1022218</v>
          </cell>
          <cell r="C362">
            <v>88441.50499999999</v>
          </cell>
        </row>
        <row r="363">
          <cell r="B363">
            <v>1022291</v>
          </cell>
          <cell r="C363">
            <v>32395.882000000016</v>
          </cell>
        </row>
        <row r="364">
          <cell r="B364">
            <v>1022326</v>
          </cell>
          <cell r="C364">
            <v>11352.485000000002</v>
          </cell>
        </row>
        <row r="365">
          <cell r="B365">
            <v>1022370</v>
          </cell>
          <cell r="C365">
            <v>44066.147999999994</v>
          </cell>
        </row>
        <row r="366">
          <cell r="B366">
            <v>1022381</v>
          </cell>
          <cell r="C366">
            <v>11690</v>
          </cell>
        </row>
        <row r="367">
          <cell r="B367">
            <v>1022388</v>
          </cell>
          <cell r="C367">
            <v>37531.21</v>
          </cell>
        </row>
        <row r="368">
          <cell r="B368">
            <v>1022409</v>
          </cell>
          <cell r="C368">
            <v>18585</v>
          </cell>
        </row>
        <row r="369">
          <cell r="B369">
            <v>1022414</v>
          </cell>
          <cell r="C369">
            <v>97622.959999999992</v>
          </cell>
        </row>
        <row r="370">
          <cell r="B370">
            <v>1022418</v>
          </cell>
          <cell r="C370">
            <v>33705</v>
          </cell>
        </row>
        <row r="371">
          <cell r="B371">
            <v>1022541</v>
          </cell>
          <cell r="C371">
            <v>44982.555999999982</v>
          </cell>
        </row>
        <row r="372">
          <cell r="B372">
            <v>1022568</v>
          </cell>
          <cell r="C372">
            <v>23608.959000000003</v>
          </cell>
        </row>
        <row r="373">
          <cell r="B373">
            <v>1022569</v>
          </cell>
          <cell r="C373">
            <v>80</v>
          </cell>
        </row>
        <row r="374">
          <cell r="B374">
            <v>1022587</v>
          </cell>
          <cell r="C374">
            <v>2213.8820000000001</v>
          </cell>
        </row>
        <row r="375">
          <cell r="B375">
            <v>1022619</v>
          </cell>
          <cell r="C375">
            <v>11608.196</v>
          </cell>
        </row>
        <row r="376">
          <cell r="B376">
            <v>1022640</v>
          </cell>
          <cell r="C376">
            <v>41399.955000000031</v>
          </cell>
        </row>
        <row r="377">
          <cell r="B377">
            <v>1022844</v>
          </cell>
          <cell r="C377">
            <v>24736.058999999983</v>
          </cell>
        </row>
        <row r="378">
          <cell r="B378">
            <v>1022847</v>
          </cell>
          <cell r="C378">
            <v>23193.885000000002</v>
          </cell>
        </row>
        <row r="379">
          <cell r="B379">
            <v>1022858</v>
          </cell>
          <cell r="C379">
            <v>6671.0809999999992</v>
          </cell>
        </row>
        <row r="380">
          <cell r="B380">
            <v>1022883</v>
          </cell>
          <cell r="C380">
            <v>17265.489999999998</v>
          </cell>
        </row>
        <row r="381">
          <cell r="B381">
            <v>1022885</v>
          </cell>
          <cell r="C381">
            <v>148634.766</v>
          </cell>
        </row>
        <row r="382">
          <cell r="B382">
            <v>1022887</v>
          </cell>
          <cell r="C382">
            <v>93007.912000000011</v>
          </cell>
        </row>
        <row r="383">
          <cell r="B383">
            <v>1022918</v>
          </cell>
          <cell r="C383">
            <v>43764.79</v>
          </cell>
        </row>
        <row r="384">
          <cell r="B384">
            <v>1022921</v>
          </cell>
          <cell r="C384">
            <v>30213.228000000003</v>
          </cell>
        </row>
        <row r="385">
          <cell r="B385">
            <v>1022930</v>
          </cell>
          <cell r="C385">
            <v>68062.732000000018</v>
          </cell>
        </row>
        <row r="386">
          <cell r="B386">
            <v>1022940</v>
          </cell>
          <cell r="C386">
            <v>3198</v>
          </cell>
        </row>
        <row r="387">
          <cell r="B387">
            <v>1022943</v>
          </cell>
          <cell r="C387">
            <v>32</v>
          </cell>
        </row>
        <row r="388">
          <cell r="B388">
            <v>1022945</v>
          </cell>
          <cell r="C388">
            <v>67545.149999999994</v>
          </cell>
        </row>
        <row r="389">
          <cell r="B389">
            <v>1023034</v>
          </cell>
          <cell r="C389">
            <v>10160</v>
          </cell>
        </row>
        <row r="390">
          <cell r="B390">
            <v>1023035</v>
          </cell>
          <cell r="C390">
            <v>15837.322000000004</v>
          </cell>
        </row>
        <row r="391">
          <cell r="B391">
            <v>1023037</v>
          </cell>
          <cell r="C391">
            <v>16004.743999999997</v>
          </cell>
        </row>
        <row r="392">
          <cell r="B392">
            <v>1023038</v>
          </cell>
          <cell r="C392">
            <v>9734.69</v>
          </cell>
        </row>
        <row r="393">
          <cell r="B393">
            <v>1023050</v>
          </cell>
          <cell r="C393">
            <v>3050.2010000000005</v>
          </cell>
        </row>
        <row r="394">
          <cell r="B394">
            <v>1023093</v>
          </cell>
          <cell r="C394">
            <v>28383.17</v>
          </cell>
        </row>
        <row r="395">
          <cell r="B395">
            <v>1023102</v>
          </cell>
          <cell r="C395">
            <v>23876.192999999988</v>
          </cell>
        </row>
        <row r="396">
          <cell r="B396">
            <v>1023110</v>
          </cell>
          <cell r="C396">
            <v>67021.793000000005</v>
          </cell>
        </row>
        <row r="397">
          <cell r="B397">
            <v>1023124</v>
          </cell>
          <cell r="C397">
            <v>1680.32</v>
          </cell>
        </row>
        <row r="398">
          <cell r="B398">
            <v>1023144</v>
          </cell>
          <cell r="C398">
            <v>37675.527000000009</v>
          </cell>
        </row>
        <row r="399">
          <cell r="B399">
            <v>1023301</v>
          </cell>
          <cell r="C399">
            <v>5928.277</v>
          </cell>
        </row>
        <row r="400">
          <cell r="B400">
            <v>1023307</v>
          </cell>
          <cell r="C400">
            <v>23995.88700000001</v>
          </cell>
        </row>
        <row r="401">
          <cell r="B401">
            <v>1023308</v>
          </cell>
          <cell r="C401">
            <v>1333.9979999999998</v>
          </cell>
        </row>
        <row r="402">
          <cell r="B402">
            <v>1023350</v>
          </cell>
          <cell r="C402">
            <v>24526.330999999991</v>
          </cell>
        </row>
        <row r="403">
          <cell r="B403">
            <v>1022919</v>
          </cell>
          <cell r="C403">
            <v>59651.452000000005</v>
          </cell>
        </row>
        <row r="404">
          <cell r="B404">
            <v>1023373</v>
          </cell>
          <cell r="C404">
            <v>30582.809999999998</v>
          </cell>
        </row>
        <row r="405">
          <cell r="B405">
            <v>1021921</v>
          </cell>
          <cell r="C405">
            <v>1641.2570000000001</v>
          </cell>
        </row>
        <row r="406">
          <cell r="B406">
            <v>1022794</v>
          </cell>
          <cell r="C406">
            <v>0.4</v>
          </cell>
        </row>
        <row r="407">
          <cell r="B407">
            <v>1023090</v>
          </cell>
          <cell r="C407">
            <v>21124.760999999999</v>
          </cell>
        </row>
        <row r="408">
          <cell r="B408">
            <v>1022813</v>
          </cell>
          <cell r="C408">
            <v>975.76599999999985</v>
          </cell>
        </row>
        <row r="409">
          <cell r="B409">
            <v>1022824</v>
          </cell>
          <cell r="C409">
            <v>938.25199999999995</v>
          </cell>
        </row>
        <row r="410">
          <cell r="B410">
            <v>1021737</v>
          </cell>
          <cell r="C410">
            <v>7480</v>
          </cell>
        </row>
        <row r="411">
          <cell r="B411">
            <v>1023409</v>
          </cell>
          <cell r="C411">
            <v>8880</v>
          </cell>
        </row>
        <row r="412">
          <cell r="B412">
            <v>1020845</v>
          </cell>
          <cell r="C412">
            <v>9221.4440000000013</v>
          </cell>
        </row>
        <row r="413">
          <cell r="B413">
            <v>1023109</v>
          </cell>
          <cell r="C413">
            <v>46341.107000000004</v>
          </cell>
        </row>
        <row r="414">
          <cell r="B414">
            <v>1023291</v>
          </cell>
          <cell r="C414">
            <v>33607.31</v>
          </cell>
        </row>
        <row r="415">
          <cell r="B415">
            <v>1022855</v>
          </cell>
          <cell r="C415">
            <v>23921.142999999993</v>
          </cell>
        </row>
        <row r="416">
          <cell r="B416">
            <v>1022033</v>
          </cell>
          <cell r="C416">
            <v>52870.39</v>
          </cell>
        </row>
        <row r="417">
          <cell r="B417">
            <v>1023389</v>
          </cell>
          <cell r="C417">
            <v>3593.7999999999997</v>
          </cell>
        </row>
        <row r="418">
          <cell r="B418">
            <v>1023367</v>
          </cell>
          <cell r="C418">
            <v>2934.873</v>
          </cell>
        </row>
        <row r="419">
          <cell r="B419">
            <v>1023354</v>
          </cell>
          <cell r="C419">
            <v>12101.2</v>
          </cell>
        </row>
        <row r="420">
          <cell r="B420">
            <v>1021971</v>
          </cell>
          <cell r="C420">
            <v>9380</v>
          </cell>
        </row>
        <row r="421">
          <cell r="B421">
            <v>1022082</v>
          </cell>
          <cell r="C421">
            <v>4800</v>
          </cell>
        </row>
        <row r="422">
          <cell r="B422">
            <v>1023126</v>
          </cell>
          <cell r="C422">
            <v>3180</v>
          </cell>
        </row>
        <row r="423">
          <cell r="B423">
            <v>1021665</v>
          </cell>
          <cell r="C423">
            <v>1774.02</v>
          </cell>
        </row>
        <row r="424">
          <cell r="B424">
            <v>1022920</v>
          </cell>
          <cell r="C424">
            <v>25660.548999999992</v>
          </cell>
        </row>
        <row r="425">
          <cell r="B425">
            <v>1023411</v>
          </cell>
          <cell r="C425">
            <v>38462.839000000007</v>
          </cell>
        </row>
        <row r="426">
          <cell r="B426">
            <v>1023375</v>
          </cell>
          <cell r="C426">
            <v>17630.402999999995</v>
          </cell>
        </row>
        <row r="427">
          <cell r="B427">
            <v>1022928</v>
          </cell>
          <cell r="C427">
            <v>5781.8189999999995</v>
          </cell>
        </row>
        <row r="428">
          <cell r="B428">
            <v>1023372</v>
          </cell>
          <cell r="C428">
            <v>80975.061000000002</v>
          </cell>
        </row>
        <row r="429">
          <cell r="B429">
            <v>1021111</v>
          </cell>
          <cell r="C429">
            <v>5027.8799999999992</v>
          </cell>
        </row>
        <row r="430">
          <cell r="B430">
            <v>1022645</v>
          </cell>
          <cell r="C430">
            <v>30946.542000000001</v>
          </cell>
        </row>
        <row r="431">
          <cell r="B431">
            <v>1022283</v>
          </cell>
          <cell r="C431">
            <v>7750.8890000000019</v>
          </cell>
        </row>
        <row r="432">
          <cell r="B432">
            <v>1023257</v>
          </cell>
          <cell r="C432">
            <v>2389.6009999999997</v>
          </cell>
        </row>
        <row r="433">
          <cell r="B433">
            <v>1023290</v>
          </cell>
          <cell r="C433">
            <v>60</v>
          </cell>
        </row>
        <row r="434">
          <cell r="B434">
            <v>1022389</v>
          </cell>
          <cell r="C434">
            <v>13700</v>
          </cell>
        </row>
        <row r="435">
          <cell r="B435">
            <v>1023419</v>
          </cell>
          <cell r="C435">
            <v>21620.39</v>
          </cell>
        </row>
        <row r="436">
          <cell r="B436">
            <v>1020915</v>
          </cell>
          <cell r="C436">
            <v>14598.939000000002</v>
          </cell>
        </row>
        <row r="437">
          <cell r="B437">
            <v>1021433</v>
          </cell>
          <cell r="C437">
            <v>1040.127</v>
          </cell>
        </row>
        <row r="438">
          <cell r="B438">
            <v>1023412</v>
          </cell>
          <cell r="C438">
            <v>47712.532000000014</v>
          </cell>
        </row>
        <row r="439">
          <cell r="B439">
            <v>1023143</v>
          </cell>
          <cell r="C439">
            <v>1520</v>
          </cell>
        </row>
        <row r="440">
          <cell r="B440">
            <v>1022605</v>
          </cell>
          <cell r="C440">
            <v>2430</v>
          </cell>
        </row>
        <row r="441">
          <cell r="B441">
            <v>1022842</v>
          </cell>
          <cell r="C441">
            <v>520.84</v>
          </cell>
        </row>
        <row r="442">
          <cell r="B442">
            <v>1022922</v>
          </cell>
          <cell r="C442">
            <v>46.56</v>
          </cell>
        </row>
        <row r="443">
          <cell r="B443">
            <v>1023157</v>
          </cell>
          <cell r="C443">
            <v>2600</v>
          </cell>
        </row>
        <row r="444">
          <cell r="B444">
            <v>1023168</v>
          </cell>
          <cell r="C444">
            <v>857.76199999999994</v>
          </cell>
        </row>
        <row r="445">
          <cell r="B445">
            <v>1023364</v>
          </cell>
          <cell r="C445">
            <v>436.053</v>
          </cell>
        </row>
        <row r="446">
          <cell r="B446">
            <v>1023365</v>
          </cell>
          <cell r="C446">
            <v>499.072</v>
          </cell>
        </row>
        <row r="447">
          <cell r="B447">
            <v>1023366</v>
          </cell>
          <cell r="C447">
            <v>370.072</v>
          </cell>
        </row>
        <row r="448">
          <cell r="B448">
            <v>1023362</v>
          </cell>
          <cell r="C448">
            <v>19.04</v>
          </cell>
        </row>
        <row r="449">
          <cell r="B449">
            <v>1023363</v>
          </cell>
          <cell r="C449">
            <v>14.89</v>
          </cell>
        </row>
        <row r="450">
          <cell r="B450">
            <v>1023368</v>
          </cell>
          <cell r="C450">
            <v>551.35500000000002</v>
          </cell>
        </row>
        <row r="451">
          <cell r="B451">
            <v>1021263</v>
          </cell>
          <cell r="C451">
            <v>40.200000000000003</v>
          </cell>
        </row>
        <row r="452">
          <cell r="B452">
            <v>1023329</v>
          </cell>
          <cell r="C452">
            <v>26708.362000000001</v>
          </cell>
        </row>
        <row r="453">
          <cell r="B453">
            <v>1030224</v>
          </cell>
          <cell r="C453">
            <v>10525.078999999998</v>
          </cell>
        </row>
        <row r="454">
          <cell r="B454">
            <v>1030379</v>
          </cell>
          <cell r="C454">
            <v>109239.07999999983</v>
          </cell>
        </row>
        <row r="455">
          <cell r="B455">
            <v>1030525</v>
          </cell>
          <cell r="C455">
            <v>29685</v>
          </cell>
        </row>
        <row r="456">
          <cell r="B456">
            <v>1030683</v>
          </cell>
          <cell r="C456">
            <v>77205</v>
          </cell>
        </row>
        <row r="457">
          <cell r="B457">
            <v>1030685</v>
          </cell>
          <cell r="C457">
            <v>24945</v>
          </cell>
        </row>
        <row r="458">
          <cell r="B458">
            <v>1030228</v>
          </cell>
          <cell r="C458">
            <v>24167.808000000012</v>
          </cell>
        </row>
        <row r="459">
          <cell r="B459">
            <v>1030321</v>
          </cell>
          <cell r="C459">
            <v>4691.4280000000008</v>
          </cell>
        </row>
        <row r="460">
          <cell r="B460">
            <v>1030327</v>
          </cell>
          <cell r="C460">
            <v>22853.823000000011</v>
          </cell>
        </row>
        <row r="461">
          <cell r="B461">
            <v>1030337</v>
          </cell>
          <cell r="C461">
            <v>21345</v>
          </cell>
        </row>
        <row r="462">
          <cell r="B462">
            <v>1030355</v>
          </cell>
          <cell r="C462">
            <v>73660</v>
          </cell>
        </row>
        <row r="463">
          <cell r="B463">
            <v>1030366</v>
          </cell>
          <cell r="C463">
            <v>695.13800000000003</v>
          </cell>
        </row>
        <row r="464">
          <cell r="B464">
            <v>1030370</v>
          </cell>
          <cell r="C464">
            <v>7999.7400000000007</v>
          </cell>
        </row>
        <row r="465">
          <cell r="B465">
            <v>1030388</v>
          </cell>
          <cell r="C465">
            <v>27225</v>
          </cell>
        </row>
        <row r="466">
          <cell r="B466">
            <v>1030452</v>
          </cell>
          <cell r="C466">
            <v>24238.303</v>
          </cell>
        </row>
        <row r="467">
          <cell r="B467">
            <v>1030506</v>
          </cell>
          <cell r="C467">
            <v>4100</v>
          </cell>
        </row>
        <row r="468">
          <cell r="B468">
            <v>1030555</v>
          </cell>
          <cell r="C468">
            <v>14040</v>
          </cell>
        </row>
        <row r="469">
          <cell r="B469">
            <v>1030670</v>
          </cell>
          <cell r="C469">
            <v>330</v>
          </cell>
        </row>
        <row r="470">
          <cell r="B470">
            <v>1030686</v>
          </cell>
          <cell r="C470">
            <v>14880</v>
          </cell>
        </row>
        <row r="471">
          <cell r="B471">
            <v>1030720</v>
          </cell>
          <cell r="C471">
            <v>17451.648000000001</v>
          </cell>
        </row>
        <row r="472">
          <cell r="B472">
            <v>1030735</v>
          </cell>
          <cell r="C472">
            <v>13444.704000000003</v>
          </cell>
        </row>
        <row r="473">
          <cell r="B473">
            <v>1030773</v>
          </cell>
          <cell r="C473">
            <v>15428</v>
          </cell>
        </row>
        <row r="474">
          <cell r="B474">
            <v>1030785</v>
          </cell>
          <cell r="C474">
            <v>837.49799999999993</v>
          </cell>
        </row>
        <row r="475">
          <cell r="B475">
            <v>1030791</v>
          </cell>
          <cell r="C475">
            <v>3630</v>
          </cell>
        </row>
        <row r="476">
          <cell r="B476">
            <v>1030792</v>
          </cell>
          <cell r="C476">
            <v>24120</v>
          </cell>
        </row>
        <row r="477">
          <cell r="B477">
            <v>1030799</v>
          </cell>
          <cell r="C477">
            <v>11.355</v>
          </cell>
        </row>
        <row r="478">
          <cell r="B478">
            <v>1030801</v>
          </cell>
          <cell r="C478">
            <v>2367.4060000000004</v>
          </cell>
        </row>
        <row r="479">
          <cell r="B479">
            <v>1030803</v>
          </cell>
          <cell r="C479">
            <v>432</v>
          </cell>
        </row>
        <row r="480">
          <cell r="B480">
            <v>1030818</v>
          </cell>
          <cell r="C480">
            <v>25033.200000000001</v>
          </cell>
        </row>
        <row r="481">
          <cell r="B481">
            <v>1030804</v>
          </cell>
          <cell r="C481">
            <v>10872.839999999997</v>
          </cell>
        </row>
        <row r="482">
          <cell r="B482">
            <v>1030279</v>
          </cell>
          <cell r="C482">
            <v>16200</v>
          </cell>
        </row>
        <row r="483">
          <cell r="B483">
            <v>1030812</v>
          </cell>
          <cell r="C483">
            <v>25005</v>
          </cell>
        </row>
        <row r="484">
          <cell r="B484">
            <v>1030711</v>
          </cell>
          <cell r="C484">
            <v>8400</v>
          </cell>
        </row>
        <row r="485">
          <cell r="B485">
            <v>1030542</v>
          </cell>
          <cell r="C485">
            <v>73470</v>
          </cell>
        </row>
        <row r="486">
          <cell r="B486">
            <v>1030710</v>
          </cell>
          <cell r="C486">
            <v>6300</v>
          </cell>
        </row>
        <row r="487">
          <cell r="B487">
            <v>1030782</v>
          </cell>
          <cell r="C487">
            <v>17327.032000000007</v>
          </cell>
        </row>
        <row r="488">
          <cell r="B488">
            <v>1030783</v>
          </cell>
          <cell r="C488">
            <v>3597.8040000000001</v>
          </cell>
        </row>
        <row r="489">
          <cell r="B489">
            <v>1030332</v>
          </cell>
          <cell r="C489">
            <v>48010</v>
          </cell>
        </row>
        <row r="490">
          <cell r="B490">
            <v>1030535</v>
          </cell>
          <cell r="C490">
            <v>1080.895</v>
          </cell>
        </row>
        <row r="491">
          <cell r="B491">
            <v>1030788</v>
          </cell>
          <cell r="C491">
            <v>5370</v>
          </cell>
        </row>
        <row r="492">
          <cell r="B492">
            <v>1030265</v>
          </cell>
          <cell r="C492">
            <v>18000</v>
          </cell>
        </row>
        <row r="493">
          <cell r="B493">
            <v>1030817</v>
          </cell>
          <cell r="C493">
            <v>3667.7460000000001</v>
          </cell>
        </row>
        <row r="494">
          <cell r="B494">
            <v>1030498</v>
          </cell>
          <cell r="C494">
            <v>22080</v>
          </cell>
        </row>
        <row r="495">
          <cell r="B495">
            <v>1030424</v>
          </cell>
          <cell r="C495">
            <v>21346.874</v>
          </cell>
        </row>
        <row r="496">
          <cell r="B496">
            <v>1030376</v>
          </cell>
          <cell r="C496">
            <v>9504.0909999999985</v>
          </cell>
        </row>
        <row r="497">
          <cell r="B497">
            <v>1030802</v>
          </cell>
          <cell r="C497">
            <v>16287.806999999999</v>
          </cell>
        </row>
        <row r="498">
          <cell r="B498">
            <v>1030566</v>
          </cell>
          <cell r="C498">
            <v>20625</v>
          </cell>
        </row>
        <row r="499">
          <cell r="B499">
            <v>1030239</v>
          </cell>
          <cell r="C499">
            <v>29669.800000000007</v>
          </cell>
        </row>
        <row r="500">
          <cell r="B500">
            <v>1030419</v>
          </cell>
          <cell r="C500">
            <v>12330</v>
          </cell>
        </row>
        <row r="501">
          <cell r="B501">
            <v>1030635</v>
          </cell>
          <cell r="C501">
            <v>2070</v>
          </cell>
        </row>
        <row r="502">
          <cell r="B502">
            <v>1030658</v>
          </cell>
          <cell r="C502">
            <v>25323.440000000002</v>
          </cell>
        </row>
        <row r="503">
          <cell r="B503">
            <v>1030461</v>
          </cell>
          <cell r="C503">
            <v>3396.694</v>
          </cell>
        </row>
        <row r="504">
          <cell r="B504">
            <v>1030545</v>
          </cell>
          <cell r="C504">
            <v>60</v>
          </cell>
        </row>
        <row r="505">
          <cell r="B505">
            <v>1030784</v>
          </cell>
          <cell r="C505">
            <v>10544.042000000003</v>
          </cell>
        </row>
        <row r="506">
          <cell r="B506">
            <v>1030360</v>
          </cell>
          <cell r="C506">
            <v>1701.9040000000002</v>
          </cell>
        </row>
        <row r="507">
          <cell r="B507">
            <v>1030684</v>
          </cell>
          <cell r="C507">
            <v>15375</v>
          </cell>
        </row>
        <row r="508">
          <cell r="B508">
            <v>1030816</v>
          </cell>
          <cell r="C508">
            <v>1541.2560000000001</v>
          </cell>
        </row>
        <row r="509">
          <cell r="B509">
            <v>1023264</v>
          </cell>
          <cell r="C509">
            <v>2281.5</v>
          </cell>
        </row>
        <row r="510">
          <cell r="B510">
            <v>1023295</v>
          </cell>
          <cell r="C510">
            <v>1901.2499999999975</v>
          </cell>
        </row>
        <row r="511">
          <cell r="B511">
            <v>1011103</v>
          </cell>
          <cell r="C511">
            <v>700.6</v>
          </cell>
        </row>
        <row r="512">
          <cell r="B512">
            <v>1012687</v>
          </cell>
          <cell r="C512">
            <v>441.18</v>
          </cell>
        </row>
        <row r="513">
          <cell r="B513">
            <v>1022657</v>
          </cell>
          <cell r="C513">
            <v>90</v>
          </cell>
        </row>
        <row r="514">
          <cell r="B514">
            <v>1023430</v>
          </cell>
          <cell r="C514">
            <v>20.64</v>
          </cell>
        </row>
        <row r="515">
          <cell r="B515">
            <v>1023433</v>
          </cell>
          <cell r="C515">
            <v>19.52</v>
          </cell>
        </row>
        <row r="516">
          <cell r="B516">
            <v>1020086</v>
          </cell>
          <cell r="C516">
            <v>20.14</v>
          </cell>
        </row>
        <row r="517">
          <cell r="B517" t="str">
            <v>Total general</v>
          </cell>
          <cell r="C517">
            <v>13464634.352000011</v>
          </cell>
        </row>
      </sheetData>
      <sheetData sheetId="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 planificación"/>
      <sheetName val="Planificacion Pollo"/>
      <sheetName val="PI cerdo"/>
      <sheetName val="Planificacion Cerdo"/>
      <sheetName val="Planificacion Pavo"/>
      <sheetName val="Leadtime de congelado"/>
      <sheetName val="Plan Pollo Sept y Oct"/>
      <sheetName val="Plan Cerdo Sept y Oct"/>
      <sheetName val="Plan Pavo Sept y Oct"/>
    </sheetNames>
    <sheetDataSet>
      <sheetData sheetId="0">
        <row r="1">
          <cell r="B1" t="str">
            <v>SAP</v>
          </cell>
          <cell r="C1" t="str">
            <v>TOTAL</v>
          </cell>
        </row>
        <row r="2">
          <cell r="B2">
            <v>1020065</v>
          </cell>
          <cell r="C2">
            <v>0</v>
          </cell>
        </row>
        <row r="3">
          <cell r="B3">
            <v>1020828</v>
          </cell>
          <cell r="C3">
            <v>13917.399720973071</v>
          </cell>
        </row>
        <row r="4">
          <cell r="B4">
            <v>1021281</v>
          </cell>
          <cell r="C4">
            <v>0</v>
          </cell>
        </row>
        <row r="5">
          <cell r="B5">
            <v>1022384</v>
          </cell>
          <cell r="C5">
            <v>0</v>
          </cell>
        </row>
        <row r="6">
          <cell r="B6">
            <v>1022883</v>
          </cell>
          <cell r="C6">
            <v>1689.9294390448076</v>
          </cell>
        </row>
        <row r="7">
          <cell r="B7">
            <v>1021622</v>
          </cell>
          <cell r="C7">
            <v>0</v>
          </cell>
        </row>
        <row r="8">
          <cell r="B8">
            <v>1021623</v>
          </cell>
          <cell r="C8">
            <v>0</v>
          </cell>
        </row>
        <row r="9">
          <cell r="B9">
            <v>1021952</v>
          </cell>
          <cell r="C9">
            <v>0</v>
          </cell>
        </row>
        <row r="10">
          <cell r="B10">
            <v>1022932</v>
          </cell>
          <cell r="C10">
            <v>0</v>
          </cell>
        </row>
        <row r="11">
          <cell r="B11">
            <v>1021980</v>
          </cell>
          <cell r="C11">
            <v>790</v>
          </cell>
        </row>
        <row r="12">
          <cell r="B12">
            <v>1022657</v>
          </cell>
          <cell r="C12">
            <v>0</v>
          </cell>
        </row>
        <row r="13">
          <cell r="B13">
            <v>1022181</v>
          </cell>
          <cell r="C13">
            <v>0</v>
          </cell>
        </row>
        <row r="14">
          <cell r="B14">
            <v>1022182</v>
          </cell>
          <cell r="C14">
            <v>0</v>
          </cell>
        </row>
        <row r="15">
          <cell r="B15">
            <v>1022569</v>
          </cell>
          <cell r="C15">
            <v>0</v>
          </cell>
        </row>
        <row r="16">
          <cell r="B16">
            <v>1021739</v>
          </cell>
          <cell r="C16">
            <v>614.5726465752532</v>
          </cell>
        </row>
        <row r="17">
          <cell r="B17">
            <v>1022212</v>
          </cell>
          <cell r="C17">
            <v>0</v>
          </cell>
        </row>
        <row r="18">
          <cell r="B18">
            <v>1022639</v>
          </cell>
          <cell r="C18">
            <v>229279.93603824181</v>
          </cell>
        </row>
        <row r="19">
          <cell r="B19">
            <v>1022640</v>
          </cell>
          <cell r="C19">
            <v>3506.7924505200008</v>
          </cell>
        </row>
        <row r="20">
          <cell r="B20">
            <v>1022847</v>
          </cell>
          <cell r="C20">
            <v>5249</v>
          </cell>
        </row>
        <row r="21">
          <cell r="B21">
            <v>1023194</v>
          </cell>
          <cell r="C21">
            <v>0</v>
          </cell>
        </row>
        <row r="22">
          <cell r="B22">
            <v>1022849</v>
          </cell>
          <cell r="C22">
            <v>0</v>
          </cell>
        </row>
        <row r="23">
          <cell r="B23">
            <v>1020412</v>
          </cell>
          <cell r="C23">
            <v>44406.725745334203</v>
          </cell>
        </row>
        <row r="24">
          <cell r="B24">
            <v>1021557</v>
          </cell>
          <cell r="C24">
            <v>0</v>
          </cell>
        </row>
        <row r="25">
          <cell r="B25">
            <v>1022047</v>
          </cell>
          <cell r="C25">
            <v>0</v>
          </cell>
        </row>
        <row r="26">
          <cell r="B26">
            <v>1022922</v>
          </cell>
          <cell r="C26">
            <v>0</v>
          </cell>
        </row>
        <row r="27">
          <cell r="B27">
            <v>1022247</v>
          </cell>
          <cell r="C27">
            <v>0</v>
          </cell>
        </row>
        <row r="28">
          <cell r="B28">
            <v>1022373</v>
          </cell>
          <cell r="C28">
            <v>53489</v>
          </cell>
        </row>
        <row r="29">
          <cell r="B29">
            <v>1023257</v>
          </cell>
          <cell r="C29">
            <v>0</v>
          </cell>
        </row>
        <row r="30">
          <cell r="B30">
            <v>1022169</v>
          </cell>
          <cell r="C30">
            <v>24996.19300327812</v>
          </cell>
        </row>
        <row r="31">
          <cell r="B31">
            <v>1022414</v>
          </cell>
          <cell r="C31">
            <v>34677</v>
          </cell>
        </row>
        <row r="32">
          <cell r="B32">
            <v>1020017</v>
          </cell>
          <cell r="C32">
            <v>0</v>
          </cell>
        </row>
        <row r="33">
          <cell r="B33">
            <v>1021140</v>
          </cell>
          <cell r="C33">
            <v>0</v>
          </cell>
        </row>
        <row r="34">
          <cell r="B34">
            <v>1022946</v>
          </cell>
          <cell r="C34">
            <v>0</v>
          </cell>
        </row>
        <row r="35">
          <cell r="B35">
            <v>1020086</v>
          </cell>
          <cell r="C35">
            <v>0</v>
          </cell>
        </row>
        <row r="36">
          <cell r="B36">
            <v>1020105</v>
          </cell>
          <cell r="C36">
            <v>13678.828682601785</v>
          </cell>
        </row>
        <row r="37">
          <cell r="B37">
            <v>1020110</v>
          </cell>
          <cell r="C37">
            <v>144677.41173769889</v>
          </cell>
        </row>
        <row r="38">
          <cell r="B38">
            <v>1020589</v>
          </cell>
          <cell r="C38">
            <v>18200.441754415344</v>
          </cell>
        </row>
        <row r="39">
          <cell r="B39">
            <v>1022919</v>
          </cell>
          <cell r="C39">
            <v>15924.026333492035</v>
          </cell>
        </row>
        <row r="40">
          <cell r="B40">
            <v>1022989</v>
          </cell>
          <cell r="C40">
            <v>0</v>
          </cell>
        </row>
        <row r="41">
          <cell r="B41">
            <v>1020678</v>
          </cell>
          <cell r="C41">
            <v>0</v>
          </cell>
        </row>
        <row r="42">
          <cell r="B42">
            <v>1020681</v>
          </cell>
          <cell r="C42">
            <v>1110.4839028818496</v>
          </cell>
        </row>
        <row r="43">
          <cell r="B43">
            <v>1020682</v>
          </cell>
          <cell r="C43">
            <v>0</v>
          </cell>
        </row>
        <row r="44">
          <cell r="B44">
            <v>1020848</v>
          </cell>
          <cell r="C44">
            <v>19096.033842128214</v>
          </cell>
        </row>
        <row r="45">
          <cell r="B45">
            <v>1021603</v>
          </cell>
          <cell r="C45">
            <v>3464.7323933748771</v>
          </cell>
        </row>
        <row r="46">
          <cell r="B46">
            <v>1021819</v>
          </cell>
          <cell r="C46">
            <v>0</v>
          </cell>
        </row>
        <row r="47">
          <cell r="B47">
            <v>1022943</v>
          </cell>
          <cell r="C47">
            <v>0</v>
          </cell>
        </row>
        <row r="48">
          <cell r="B48">
            <v>1022917</v>
          </cell>
          <cell r="C48">
            <v>0</v>
          </cell>
        </row>
        <row r="49">
          <cell r="B49">
            <v>1021920</v>
          </cell>
          <cell r="C49">
            <v>0</v>
          </cell>
        </row>
        <row r="50">
          <cell r="B50">
            <v>1021921</v>
          </cell>
          <cell r="C50">
            <v>0</v>
          </cell>
        </row>
        <row r="51">
          <cell r="B51">
            <v>1021924</v>
          </cell>
          <cell r="C51">
            <v>0</v>
          </cell>
        </row>
        <row r="52">
          <cell r="B52">
            <v>1021925</v>
          </cell>
          <cell r="C52">
            <v>7570.5594147278516</v>
          </cell>
        </row>
        <row r="53">
          <cell r="B53">
            <v>1022101</v>
          </cell>
          <cell r="C53">
            <v>0</v>
          </cell>
        </row>
        <row r="54">
          <cell r="B54">
            <v>1022313</v>
          </cell>
          <cell r="C54">
            <v>2008.5426975999744</v>
          </cell>
        </row>
        <row r="55">
          <cell r="B55">
            <v>1022326</v>
          </cell>
          <cell r="C55">
            <v>3694.1680716087503</v>
          </cell>
        </row>
        <row r="56">
          <cell r="B56">
            <v>1022347</v>
          </cell>
          <cell r="C56">
            <v>0</v>
          </cell>
        </row>
        <row r="57">
          <cell r="B57">
            <v>1022370</v>
          </cell>
          <cell r="C57">
            <v>7684.6269784606056</v>
          </cell>
        </row>
        <row r="58">
          <cell r="B58">
            <v>1022472</v>
          </cell>
          <cell r="C58">
            <v>0</v>
          </cell>
        </row>
        <row r="59">
          <cell r="B59">
            <v>1022561</v>
          </cell>
          <cell r="C59">
            <v>0</v>
          </cell>
        </row>
        <row r="60">
          <cell r="B60">
            <v>1022587</v>
          </cell>
          <cell r="C60">
            <v>856.09695854160429</v>
          </cell>
        </row>
        <row r="61">
          <cell r="B61">
            <v>1022664</v>
          </cell>
          <cell r="C61">
            <v>13008.822538658269</v>
          </cell>
        </row>
        <row r="62">
          <cell r="B62">
            <v>1023184</v>
          </cell>
          <cell r="C62">
            <v>0</v>
          </cell>
        </row>
        <row r="63">
          <cell r="B63">
            <v>1022759</v>
          </cell>
          <cell r="C63">
            <v>0</v>
          </cell>
        </row>
        <row r="64">
          <cell r="B64">
            <v>1022404</v>
          </cell>
          <cell r="C64">
            <v>0</v>
          </cell>
        </row>
        <row r="65">
          <cell r="B65">
            <v>1022080</v>
          </cell>
          <cell r="C65">
            <v>12086</v>
          </cell>
        </row>
        <row r="66">
          <cell r="B66">
            <v>1021068</v>
          </cell>
          <cell r="C66">
            <v>0</v>
          </cell>
        </row>
        <row r="67">
          <cell r="B67">
            <v>1021903</v>
          </cell>
          <cell r="C67">
            <v>0</v>
          </cell>
        </row>
        <row r="68">
          <cell r="B68">
            <v>1022844</v>
          </cell>
          <cell r="C68">
            <v>0</v>
          </cell>
        </row>
        <row r="69">
          <cell r="B69">
            <v>1020869</v>
          </cell>
          <cell r="C69">
            <v>3025.5904013062973</v>
          </cell>
        </row>
        <row r="70">
          <cell r="B70">
            <v>1021538</v>
          </cell>
          <cell r="C70">
            <v>2375.2315176131947</v>
          </cell>
        </row>
        <row r="71">
          <cell r="B71">
            <v>1021539</v>
          </cell>
          <cell r="C71">
            <v>0</v>
          </cell>
        </row>
        <row r="72">
          <cell r="B72">
            <v>1023183</v>
          </cell>
          <cell r="C72">
            <v>0</v>
          </cell>
        </row>
        <row r="73">
          <cell r="B73">
            <v>1021656</v>
          </cell>
          <cell r="C73">
            <v>0</v>
          </cell>
        </row>
        <row r="74">
          <cell r="B74">
            <v>1021657</v>
          </cell>
          <cell r="C74">
            <v>0</v>
          </cell>
        </row>
        <row r="75">
          <cell r="B75">
            <v>1021664</v>
          </cell>
          <cell r="C75">
            <v>0</v>
          </cell>
        </row>
        <row r="76">
          <cell r="B76">
            <v>1021665</v>
          </cell>
          <cell r="C76">
            <v>0</v>
          </cell>
        </row>
        <row r="77">
          <cell r="B77">
            <v>1021666</v>
          </cell>
          <cell r="C77">
            <v>0</v>
          </cell>
        </row>
        <row r="78">
          <cell r="B78">
            <v>1021667</v>
          </cell>
          <cell r="C78">
            <v>0</v>
          </cell>
        </row>
        <row r="79">
          <cell r="B79">
            <v>1022102</v>
          </cell>
          <cell r="C79">
            <v>0</v>
          </cell>
        </row>
        <row r="80">
          <cell r="B80">
            <v>1022459</v>
          </cell>
          <cell r="C80">
            <v>53.46</v>
          </cell>
        </row>
        <row r="81">
          <cell r="B81">
            <v>1022760</v>
          </cell>
          <cell r="C81">
            <v>0</v>
          </cell>
        </row>
        <row r="82">
          <cell r="B82">
            <v>1020637</v>
          </cell>
          <cell r="C82">
            <v>32251.765625930908</v>
          </cell>
        </row>
        <row r="83">
          <cell r="B83">
            <v>1020715</v>
          </cell>
          <cell r="C83">
            <v>1184.8943927191649</v>
          </cell>
        </row>
        <row r="84">
          <cell r="B84">
            <v>1020731</v>
          </cell>
          <cell r="C84">
            <v>4030.9709659899463</v>
          </cell>
        </row>
        <row r="85">
          <cell r="B85">
            <v>1020802</v>
          </cell>
          <cell r="C85">
            <v>8044.7458094280755</v>
          </cell>
        </row>
        <row r="86">
          <cell r="B86">
            <v>1020886</v>
          </cell>
          <cell r="C86">
            <v>0</v>
          </cell>
        </row>
        <row r="87">
          <cell r="B87">
            <v>1020895</v>
          </cell>
          <cell r="C87">
            <v>0</v>
          </cell>
        </row>
        <row r="88">
          <cell r="B88">
            <v>1020896</v>
          </cell>
          <cell r="C88">
            <v>0</v>
          </cell>
        </row>
        <row r="89">
          <cell r="B89">
            <v>1020897</v>
          </cell>
          <cell r="C89">
            <v>0</v>
          </cell>
        </row>
        <row r="90">
          <cell r="B90">
            <v>1022885</v>
          </cell>
          <cell r="C90">
            <v>147581.47196012054</v>
          </cell>
        </row>
        <row r="91">
          <cell r="B91">
            <v>1022886</v>
          </cell>
          <cell r="C91">
            <v>0</v>
          </cell>
        </row>
        <row r="92">
          <cell r="B92">
            <v>1022887</v>
          </cell>
          <cell r="C92">
            <v>24046.716341179294</v>
          </cell>
        </row>
        <row r="93">
          <cell r="B93">
            <v>1022930</v>
          </cell>
          <cell r="C93">
            <v>38273.540112621515</v>
          </cell>
        </row>
        <row r="94">
          <cell r="B94">
            <v>1020901</v>
          </cell>
          <cell r="C94">
            <v>0</v>
          </cell>
        </row>
        <row r="95">
          <cell r="B95">
            <v>1020904</v>
          </cell>
          <cell r="C95">
            <v>9696.4277981498471</v>
          </cell>
        </row>
        <row r="96">
          <cell r="B96">
            <v>1020905</v>
          </cell>
          <cell r="C96">
            <v>0</v>
          </cell>
        </row>
        <row r="97">
          <cell r="B97">
            <v>1020906</v>
          </cell>
          <cell r="C97">
            <v>0</v>
          </cell>
        </row>
        <row r="98">
          <cell r="B98">
            <v>1020914</v>
          </cell>
          <cell r="C98">
            <v>2618</v>
          </cell>
        </row>
        <row r="99">
          <cell r="B99">
            <v>1022817</v>
          </cell>
          <cell r="C99">
            <v>0</v>
          </cell>
        </row>
        <row r="100">
          <cell r="B100">
            <v>1021212</v>
          </cell>
          <cell r="C100">
            <v>0</v>
          </cell>
        </row>
        <row r="101">
          <cell r="B101">
            <v>1021533</v>
          </cell>
          <cell r="C101">
            <v>6233.8731641135209</v>
          </cell>
        </row>
        <row r="102">
          <cell r="B102">
            <v>1021649</v>
          </cell>
          <cell r="C102">
            <v>0</v>
          </cell>
        </row>
        <row r="103">
          <cell r="B103">
            <v>1021929</v>
          </cell>
          <cell r="C103">
            <v>0</v>
          </cell>
        </row>
        <row r="104">
          <cell r="B104">
            <v>1021930</v>
          </cell>
          <cell r="C104">
            <v>0</v>
          </cell>
        </row>
        <row r="105">
          <cell r="B105">
            <v>1021985</v>
          </cell>
          <cell r="C105">
            <v>0</v>
          </cell>
        </row>
        <row r="106">
          <cell r="B106">
            <v>1022339</v>
          </cell>
          <cell r="C106">
            <v>0</v>
          </cell>
        </row>
        <row r="107">
          <cell r="B107">
            <v>1023247</v>
          </cell>
          <cell r="C107">
            <v>0</v>
          </cell>
        </row>
        <row r="108">
          <cell r="B108">
            <v>1022896</v>
          </cell>
          <cell r="C108">
            <v>0</v>
          </cell>
        </row>
        <row r="109">
          <cell r="B109">
            <v>1022371</v>
          </cell>
          <cell r="C109">
            <v>5762.3262826220744</v>
          </cell>
        </row>
        <row r="110">
          <cell r="B110">
            <v>1022412</v>
          </cell>
          <cell r="C110">
            <v>0</v>
          </cell>
        </row>
        <row r="111">
          <cell r="B111">
            <v>1022515</v>
          </cell>
          <cell r="C111">
            <v>1169.3692483893435</v>
          </cell>
        </row>
        <row r="112">
          <cell r="B112">
            <v>1022621</v>
          </cell>
          <cell r="C112">
            <v>0</v>
          </cell>
        </row>
        <row r="113">
          <cell r="B113">
            <v>1022645</v>
          </cell>
          <cell r="C113">
            <v>0</v>
          </cell>
        </row>
        <row r="114">
          <cell r="B114">
            <v>1022646</v>
          </cell>
          <cell r="C114">
            <v>17031.759691435676</v>
          </cell>
        </row>
        <row r="115">
          <cell r="B115">
            <v>1022570</v>
          </cell>
          <cell r="C115">
            <v>854.13539004021027</v>
          </cell>
        </row>
        <row r="116">
          <cell r="B116">
            <v>1022865</v>
          </cell>
          <cell r="C116">
            <v>8459.7257763195867</v>
          </cell>
        </row>
        <row r="117">
          <cell r="B117">
            <v>1022866</v>
          </cell>
          <cell r="C117">
            <v>8501.9500425048464</v>
          </cell>
        </row>
        <row r="118">
          <cell r="B118">
            <v>1022901</v>
          </cell>
          <cell r="C118">
            <v>0</v>
          </cell>
        </row>
        <row r="119">
          <cell r="B119">
            <v>1023165</v>
          </cell>
          <cell r="C119">
            <v>0</v>
          </cell>
        </row>
        <row r="120">
          <cell r="B120">
            <v>1022810</v>
          </cell>
          <cell r="C120">
            <v>0</v>
          </cell>
        </row>
        <row r="121">
          <cell r="B121">
            <v>1021187</v>
          </cell>
          <cell r="C121">
            <v>11543.6532375732</v>
          </cell>
        </row>
        <row r="122">
          <cell r="B122">
            <v>1021971</v>
          </cell>
          <cell r="C122">
            <v>0</v>
          </cell>
        </row>
        <row r="123">
          <cell r="B123">
            <v>1020182</v>
          </cell>
          <cell r="C123">
            <v>0</v>
          </cell>
        </row>
        <row r="124">
          <cell r="B124">
            <v>1020352</v>
          </cell>
          <cell r="C124">
            <v>9839</v>
          </cell>
        </row>
        <row r="125">
          <cell r="B125">
            <v>1021385</v>
          </cell>
          <cell r="C125">
            <v>0</v>
          </cell>
        </row>
        <row r="126">
          <cell r="B126">
            <v>1021596</v>
          </cell>
          <cell r="C126">
            <v>0</v>
          </cell>
        </row>
        <row r="127">
          <cell r="B127">
            <v>1022389</v>
          </cell>
          <cell r="C127">
            <v>0</v>
          </cell>
        </row>
        <row r="128">
          <cell r="B128">
            <v>1022417</v>
          </cell>
          <cell r="C128">
            <v>103370.42662267726</v>
          </cell>
        </row>
        <row r="129">
          <cell r="B129">
            <v>1022777</v>
          </cell>
          <cell r="C129">
            <v>0</v>
          </cell>
        </row>
        <row r="130">
          <cell r="B130">
            <v>1023306</v>
          </cell>
          <cell r="C130">
            <v>0</v>
          </cell>
        </row>
        <row r="131">
          <cell r="B131">
            <v>1021039</v>
          </cell>
          <cell r="C131">
            <v>0</v>
          </cell>
        </row>
        <row r="132">
          <cell r="B132">
            <v>1022951</v>
          </cell>
          <cell r="C132">
            <v>0</v>
          </cell>
        </row>
        <row r="133">
          <cell r="B133">
            <v>1022281</v>
          </cell>
          <cell r="C133">
            <v>0</v>
          </cell>
        </row>
        <row r="134">
          <cell r="B134">
            <v>1022295</v>
          </cell>
          <cell r="C134">
            <v>0</v>
          </cell>
        </row>
        <row r="135">
          <cell r="B135">
            <v>1022845</v>
          </cell>
          <cell r="C135">
            <v>0</v>
          </cell>
        </row>
        <row r="136">
          <cell r="B136">
            <v>1021944</v>
          </cell>
          <cell r="C136">
            <v>0</v>
          </cell>
        </row>
        <row r="137">
          <cell r="B137">
            <v>1021111</v>
          </cell>
          <cell r="C137">
            <v>904</v>
          </cell>
        </row>
        <row r="138">
          <cell r="B138">
            <v>1021115</v>
          </cell>
          <cell r="C138">
            <v>0</v>
          </cell>
        </row>
        <row r="139">
          <cell r="B139">
            <v>1021655</v>
          </cell>
          <cell r="C139">
            <v>5825</v>
          </cell>
        </row>
        <row r="140">
          <cell r="B140">
            <v>1021260</v>
          </cell>
          <cell r="C140">
            <v>0</v>
          </cell>
        </row>
        <row r="141">
          <cell r="B141">
            <v>1020636</v>
          </cell>
          <cell r="C141">
            <v>4077.1953641297828</v>
          </cell>
        </row>
        <row r="142">
          <cell r="B142">
            <v>1020704</v>
          </cell>
          <cell r="C142">
            <v>156.44580937304605</v>
          </cell>
        </row>
        <row r="143">
          <cell r="B143">
            <v>1020853</v>
          </cell>
          <cell r="C143">
            <v>33805.640131659871</v>
          </cell>
        </row>
        <row r="144">
          <cell r="B144">
            <v>1021609</v>
          </cell>
          <cell r="C144">
            <v>8770.6982491654271</v>
          </cell>
        </row>
        <row r="145">
          <cell r="B145">
            <v>1021639</v>
          </cell>
          <cell r="C145">
            <v>0</v>
          </cell>
        </row>
        <row r="146">
          <cell r="B146">
            <v>1021922</v>
          </cell>
          <cell r="C146">
            <v>0</v>
          </cell>
        </row>
        <row r="147">
          <cell r="B147">
            <v>1022091</v>
          </cell>
          <cell r="C147">
            <v>0</v>
          </cell>
        </row>
        <row r="148">
          <cell r="B148">
            <v>1022097</v>
          </cell>
          <cell r="C148">
            <v>0</v>
          </cell>
        </row>
        <row r="149">
          <cell r="B149">
            <v>1022809</v>
          </cell>
          <cell r="C149">
            <v>0</v>
          </cell>
        </row>
        <row r="150">
          <cell r="B150">
            <v>1022931</v>
          </cell>
          <cell r="C150">
            <v>9223.6848236508213</v>
          </cell>
        </row>
        <row r="151">
          <cell r="B151">
            <v>1022936</v>
          </cell>
          <cell r="C151">
            <v>0</v>
          </cell>
        </row>
        <row r="152">
          <cell r="B152">
            <v>1023312</v>
          </cell>
          <cell r="C152">
            <v>0</v>
          </cell>
        </row>
        <row r="153">
          <cell r="B153">
            <v>1021164</v>
          </cell>
          <cell r="C153">
            <v>0</v>
          </cell>
        </row>
        <row r="154">
          <cell r="B154">
            <v>1021270</v>
          </cell>
          <cell r="C154">
            <v>0</v>
          </cell>
        </row>
        <row r="155">
          <cell r="B155">
            <v>1022196</v>
          </cell>
          <cell r="C155">
            <v>10061</v>
          </cell>
        </row>
        <row r="156">
          <cell r="B156">
            <v>1022397</v>
          </cell>
          <cell r="C156">
            <v>0</v>
          </cell>
        </row>
        <row r="157">
          <cell r="B157">
            <v>1022588</v>
          </cell>
          <cell r="C157">
            <v>0</v>
          </cell>
        </row>
        <row r="158">
          <cell r="B158">
            <v>1022855</v>
          </cell>
          <cell r="C158">
            <v>4748</v>
          </cell>
        </row>
        <row r="159">
          <cell r="B159">
            <v>1021272</v>
          </cell>
          <cell r="C159">
            <v>30273.280386352839</v>
          </cell>
        </row>
        <row r="160">
          <cell r="B160">
            <v>1022197</v>
          </cell>
          <cell r="C160">
            <v>0</v>
          </cell>
        </row>
        <row r="161">
          <cell r="B161">
            <v>1023110</v>
          </cell>
          <cell r="C161">
            <v>41782.40332190528</v>
          </cell>
        </row>
        <row r="162">
          <cell r="B162">
            <v>1021077</v>
          </cell>
          <cell r="C162">
            <v>0</v>
          </cell>
        </row>
        <row r="163">
          <cell r="B163">
            <v>1021874</v>
          </cell>
          <cell r="C163">
            <v>110142.44356585998</v>
          </cell>
        </row>
        <row r="164">
          <cell r="B164">
            <v>1022150</v>
          </cell>
          <cell r="C164">
            <v>23513.777967470342</v>
          </cell>
        </row>
        <row r="165">
          <cell r="B165">
            <v>1022500</v>
          </cell>
          <cell r="C165">
            <v>0</v>
          </cell>
        </row>
        <row r="166">
          <cell r="B166">
            <v>1022921</v>
          </cell>
          <cell r="C166">
            <v>9350</v>
          </cell>
        </row>
        <row r="167">
          <cell r="B167">
            <v>1022541</v>
          </cell>
          <cell r="C167">
            <v>2000</v>
          </cell>
        </row>
        <row r="168">
          <cell r="B168">
            <v>1022846</v>
          </cell>
          <cell r="C168">
            <v>0</v>
          </cell>
        </row>
        <row r="169">
          <cell r="B169">
            <v>1022098</v>
          </cell>
          <cell r="C169">
            <v>0</v>
          </cell>
        </row>
        <row r="170">
          <cell r="B170">
            <v>1021085</v>
          </cell>
          <cell r="C170">
            <v>0</v>
          </cell>
        </row>
        <row r="171">
          <cell r="B171">
            <v>1021474</v>
          </cell>
          <cell r="C171">
            <v>0</v>
          </cell>
        </row>
        <row r="172">
          <cell r="B172">
            <v>1022381</v>
          </cell>
          <cell r="C172">
            <v>20068.961846862767</v>
          </cell>
        </row>
        <row r="173">
          <cell r="B173">
            <v>1022767</v>
          </cell>
          <cell r="C173">
            <v>0</v>
          </cell>
        </row>
        <row r="174">
          <cell r="B174">
            <v>1020367</v>
          </cell>
          <cell r="C174">
            <v>8772.9384062002591</v>
          </cell>
        </row>
        <row r="175">
          <cell r="B175">
            <v>1021435</v>
          </cell>
          <cell r="C175">
            <v>0</v>
          </cell>
        </row>
        <row r="176">
          <cell r="B176">
            <v>1022477</v>
          </cell>
          <cell r="C176">
            <v>0</v>
          </cell>
        </row>
        <row r="177">
          <cell r="B177">
            <v>1022856</v>
          </cell>
          <cell r="C177">
            <v>50478.071942095048</v>
          </cell>
        </row>
        <row r="178">
          <cell r="B178">
            <v>1022920</v>
          </cell>
          <cell r="C178">
            <v>4560</v>
          </cell>
        </row>
        <row r="179">
          <cell r="B179">
            <v>1021023</v>
          </cell>
          <cell r="C179">
            <v>0</v>
          </cell>
        </row>
        <row r="180">
          <cell r="B180">
            <v>1021026</v>
          </cell>
          <cell r="C180">
            <v>7570.7608939467009</v>
          </cell>
        </row>
        <row r="181">
          <cell r="B181">
            <v>1022996</v>
          </cell>
          <cell r="C181">
            <v>0</v>
          </cell>
        </row>
        <row r="182">
          <cell r="B182">
            <v>1022357</v>
          </cell>
          <cell r="C182">
            <v>0</v>
          </cell>
        </row>
        <row r="183">
          <cell r="B183">
            <v>1021555</v>
          </cell>
          <cell r="C183">
            <v>32278.913084693362</v>
          </cell>
        </row>
        <row r="184">
          <cell r="B184">
            <v>1020925</v>
          </cell>
          <cell r="C184">
            <v>0</v>
          </cell>
        </row>
        <row r="185">
          <cell r="B185">
            <v>1022218</v>
          </cell>
          <cell r="C185">
            <v>14343.854117008967</v>
          </cell>
        </row>
        <row r="186">
          <cell r="B186">
            <v>1022273</v>
          </cell>
          <cell r="C186">
            <v>60281.5573381625</v>
          </cell>
        </row>
        <row r="187">
          <cell r="B187">
            <v>1022356</v>
          </cell>
          <cell r="C187">
            <v>0</v>
          </cell>
        </row>
        <row r="188">
          <cell r="B188">
            <v>1022096</v>
          </cell>
          <cell r="C188">
            <v>25614.634146341461</v>
          </cell>
        </row>
        <row r="189">
          <cell r="B189">
            <v>1021151</v>
          </cell>
          <cell r="C189">
            <v>23079</v>
          </cell>
        </row>
        <row r="190">
          <cell r="B190">
            <v>1021152</v>
          </cell>
          <cell r="C190">
            <v>0</v>
          </cell>
        </row>
        <row r="191">
          <cell r="B191">
            <v>1021153</v>
          </cell>
          <cell r="C191">
            <v>0</v>
          </cell>
        </row>
        <row r="192">
          <cell r="B192">
            <v>1021766</v>
          </cell>
          <cell r="C192">
            <v>44721</v>
          </cell>
        </row>
        <row r="193">
          <cell r="B193">
            <v>1022099</v>
          </cell>
          <cell r="C193">
            <v>20314.500000000004</v>
          </cell>
        </row>
        <row r="194">
          <cell r="B194">
            <v>1022388</v>
          </cell>
          <cell r="C194">
            <v>15947.686187410558</v>
          </cell>
        </row>
        <row r="195">
          <cell r="B195">
            <v>1023212</v>
          </cell>
          <cell r="C195">
            <v>0</v>
          </cell>
        </row>
        <row r="196">
          <cell r="B196">
            <v>1022100</v>
          </cell>
          <cell r="C196">
            <v>0</v>
          </cell>
        </row>
        <row r="197">
          <cell r="B197">
            <v>1022636</v>
          </cell>
          <cell r="C197">
            <v>23553.450000000004</v>
          </cell>
        </row>
        <row r="198">
          <cell r="B198">
            <v>1022087</v>
          </cell>
          <cell r="C198">
            <v>0</v>
          </cell>
        </row>
        <row r="199">
          <cell r="B199">
            <v>1022637</v>
          </cell>
          <cell r="C199">
            <v>18465.219000000001</v>
          </cell>
        </row>
        <row r="200">
          <cell r="B200">
            <v>1021732</v>
          </cell>
          <cell r="C200">
            <v>52951.644999999997</v>
          </cell>
        </row>
        <row r="201">
          <cell r="B201">
            <v>1022550</v>
          </cell>
          <cell r="C201">
            <v>0</v>
          </cell>
        </row>
        <row r="202">
          <cell r="B202">
            <v>1021774</v>
          </cell>
          <cell r="C202">
            <v>13750.695</v>
          </cell>
        </row>
        <row r="203">
          <cell r="B203">
            <v>1020878</v>
          </cell>
          <cell r="C203">
            <v>0</v>
          </cell>
        </row>
        <row r="204">
          <cell r="B204">
            <v>1021156</v>
          </cell>
          <cell r="C204">
            <v>2909.64</v>
          </cell>
        </row>
        <row r="205">
          <cell r="B205">
            <v>1021279</v>
          </cell>
          <cell r="C205">
            <v>9064.5</v>
          </cell>
        </row>
        <row r="206">
          <cell r="B206">
            <v>1022975</v>
          </cell>
          <cell r="C206">
            <v>0</v>
          </cell>
        </row>
        <row r="207">
          <cell r="B207">
            <v>1022005</v>
          </cell>
          <cell r="C207">
            <v>0</v>
          </cell>
        </row>
        <row r="208">
          <cell r="B208">
            <v>1022854</v>
          </cell>
          <cell r="C208">
            <v>0</v>
          </cell>
        </row>
        <row r="209">
          <cell r="B209">
            <v>1022869</v>
          </cell>
          <cell r="C209">
            <v>0</v>
          </cell>
        </row>
        <row r="210">
          <cell r="B210">
            <v>1021945</v>
          </cell>
          <cell r="C210">
            <v>856</v>
          </cell>
        </row>
        <row r="211">
          <cell r="B211">
            <v>1022033</v>
          </cell>
          <cell r="C211">
            <v>9215</v>
          </cell>
        </row>
        <row r="212">
          <cell r="B212">
            <v>1020339</v>
          </cell>
          <cell r="C212">
            <v>33293.324708693217</v>
          </cell>
        </row>
        <row r="213">
          <cell r="B213">
            <v>1021204</v>
          </cell>
          <cell r="C213">
            <v>0</v>
          </cell>
        </row>
        <row r="214">
          <cell r="B214">
            <v>1021287</v>
          </cell>
          <cell r="C214">
            <v>0</v>
          </cell>
        </row>
        <row r="215">
          <cell r="B215">
            <v>1021900</v>
          </cell>
          <cell r="C215">
            <v>0</v>
          </cell>
        </row>
        <row r="216">
          <cell r="B216">
            <v>1022987</v>
          </cell>
          <cell r="C216">
            <v>9948.5253037473722</v>
          </cell>
        </row>
        <row r="217">
          <cell r="B217">
            <v>1021992</v>
          </cell>
          <cell r="C217">
            <v>55368.705246937781</v>
          </cell>
        </row>
        <row r="218">
          <cell r="B218">
            <v>1022217</v>
          </cell>
          <cell r="C218">
            <v>12861.67327406388</v>
          </cell>
        </row>
        <row r="219">
          <cell r="B219">
            <v>1022290</v>
          </cell>
          <cell r="C219">
            <v>0</v>
          </cell>
        </row>
        <row r="220">
          <cell r="B220">
            <v>1022918</v>
          </cell>
          <cell r="C220">
            <v>21965</v>
          </cell>
        </row>
        <row r="221">
          <cell r="B221">
            <v>1022914</v>
          </cell>
          <cell r="C221">
            <v>5136</v>
          </cell>
        </row>
        <row r="222">
          <cell r="B222">
            <v>1023157</v>
          </cell>
          <cell r="C222">
            <v>0</v>
          </cell>
        </row>
        <row r="223">
          <cell r="B223">
            <v>1021736</v>
          </cell>
          <cell r="C223">
            <v>0</v>
          </cell>
        </row>
        <row r="224">
          <cell r="B224">
            <v>1021737</v>
          </cell>
          <cell r="C224">
            <v>3895.65</v>
          </cell>
        </row>
        <row r="225">
          <cell r="B225">
            <v>1022748</v>
          </cell>
          <cell r="C225">
            <v>23893.200000000001</v>
          </cell>
        </row>
        <row r="226">
          <cell r="B226">
            <v>1022073</v>
          </cell>
          <cell r="C226">
            <v>14976.000000000036</v>
          </cell>
        </row>
        <row r="227">
          <cell r="B227">
            <v>1022945</v>
          </cell>
          <cell r="C227">
            <v>48101.357815844269</v>
          </cell>
        </row>
        <row r="228">
          <cell r="B228">
            <v>1022705</v>
          </cell>
          <cell r="C228">
            <v>0</v>
          </cell>
        </row>
        <row r="229">
          <cell r="B229">
            <v>1021788</v>
          </cell>
          <cell r="C229">
            <v>0</v>
          </cell>
        </row>
        <row r="230">
          <cell r="B230">
            <v>1021963</v>
          </cell>
          <cell r="C230">
            <v>0</v>
          </cell>
        </row>
        <row r="231">
          <cell r="B231">
            <v>1020326</v>
          </cell>
          <cell r="C231">
            <v>0</v>
          </cell>
        </row>
        <row r="232">
          <cell r="B232">
            <v>1020993</v>
          </cell>
          <cell r="C232">
            <v>0</v>
          </cell>
        </row>
        <row r="233">
          <cell r="B233">
            <v>1021005</v>
          </cell>
          <cell r="C233">
            <v>0</v>
          </cell>
        </row>
        <row r="234">
          <cell r="B234">
            <v>1021936</v>
          </cell>
          <cell r="C234">
            <v>153168.29999999999</v>
          </cell>
        </row>
        <row r="235">
          <cell r="B235">
            <v>1021976</v>
          </cell>
          <cell r="C235">
            <v>50032.588711942568</v>
          </cell>
        </row>
        <row r="236">
          <cell r="B236">
            <v>1022328</v>
          </cell>
          <cell r="C236">
            <v>0</v>
          </cell>
        </row>
        <row r="237">
          <cell r="B237">
            <v>1022346</v>
          </cell>
          <cell r="C237">
            <v>0</v>
          </cell>
        </row>
        <row r="238">
          <cell r="B238">
            <v>1022379</v>
          </cell>
          <cell r="C238">
            <v>41747.13986464234</v>
          </cell>
        </row>
        <row r="239">
          <cell r="B239">
            <v>1022641</v>
          </cell>
          <cell r="C239">
            <v>0</v>
          </cell>
        </row>
        <row r="240">
          <cell r="B240">
            <v>1022750</v>
          </cell>
          <cell r="C240">
            <v>0</v>
          </cell>
        </row>
        <row r="241">
          <cell r="B241">
            <v>1022751</v>
          </cell>
          <cell r="C241">
            <v>0</v>
          </cell>
        </row>
        <row r="242">
          <cell r="B242">
            <v>1022793</v>
          </cell>
          <cell r="C242">
            <v>0</v>
          </cell>
        </row>
        <row r="243">
          <cell r="B243">
            <v>1022794</v>
          </cell>
          <cell r="C243">
            <v>0</v>
          </cell>
        </row>
        <row r="244">
          <cell r="B244">
            <v>1022851</v>
          </cell>
          <cell r="C244">
            <v>15825.733636697067</v>
          </cell>
        </row>
        <row r="245">
          <cell r="B245">
            <v>1022405</v>
          </cell>
          <cell r="C245">
            <v>0</v>
          </cell>
        </row>
        <row r="246">
          <cell r="B246">
            <v>1021106</v>
          </cell>
          <cell r="C246">
            <v>0</v>
          </cell>
        </row>
        <row r="247">
          <cell r="B247">
            <v>1021740</v>
          </cell>
          <cell r="C247">
            <v>45680</v>
          </cell>
        </row>
        <row r="248">
          <cell r="B248">
            <v>1022109</v>
          </cell>
          <cell r="C248">
            <v>0</v>
          </cell>
        </row>
        <row r="249">
          <cell r="B249">
            <v>1022359</v>
          </cell>
          <cell r="C249">
            <v>0</v>
          </cell>
        </row>
        <row r="250">
          <cell r="B250">
            <v>1023190</v>
          </cell>
          <cell r="C250">
            <v>0</v>
          </cell>
        </row>
        <row r="251">
          <cell r="B251">
            <v>1023284</v>
          </cell>
          <cell r="C251">
            <v>0</v>
          </cell>
        </row>
        <row r="252">
          <cell r="B252">
            <v>1022304</v>
          </cell>
          <cell r="C252">
            <v>3720</v>
          </cell>
        </row>
        <row r="253">
          <cell r="B253">
            <v>1020349</v>
          </cell>
          <cell r="C253">
            <v>0</v>
          </cell>
        </row>
        <row r="254">
          <cell r="B254">
            <v>1021012</v>
          </cell>
          <cell r="C254">
            <v>23256.79237396258</v>
          </cell>
        </row>
        <row r="255">
          <cell r="B255">
            <v>1021013</v>
          </cell>
          <cell r="C255">
            <v>0</v>
          </cell>
        </row>
        <row r="256">
          <cell r="B256">
            <v>1021020</v>
          </cell>
          <cell r="C256">
            <v>0</v>
          </cell>
        </row>
        <row r="257">
          <cell r="B257">
            <v>1022219</v>
          </cell>
          <cell r="C257">
            <v>0</v>
          </cell>
        </row>
        <row r="258">
          <cell r="B258">
            <v>1022454</v>
          </cell>
          <cell r="C258">
            <v>0</v>
          </cell>
        </row>
        <row r="259">
          <cell r="B259">
            <v>1022513</v>
          </cell>
          <cell r="C259">
            <v>0</v>
          </cell>
        </row>
        <row r="260">
          <cell r="B260">
            <v>1023250</v>
          </cell>
          <cell r="C260">
            <v>0</v>
          </cell>
        </row>
        <row r="261">
          <cell r="B261">
            <v>1020774</v>
          </cell>
          <cell r="C261">
            <v>2092</v>
          </cell>
        </row>
        <row r="262">
          <cell r="B262">
            <v>1022283</v>
          </cell>
          <cell r="C262">
            <v>0</v>
          </cell>
        </row>
        <row r="263">
          <cell r="B263">
            <v>1022293</v>
          </cell>
          <cell r="C263">
            <v>241</v>
          </cell>
        </row>
        <row r="264">
          <cell r="B264">
            <v>1021735</v>
          </cell>
          <cell r="C264">
            <v>21467.699999999997</v>
          </cell>
        </row>
        <row r="265">
          <cell r="B265">
            <v>1021738</v>
          </cell>
          <cell r="C265">
            <v>17793.754000000001</v>
          </cell>
        </row>
        <row r="266">
          <cell r="B266">
            <v>1022406</v>
          </cell>
          <cell r="C266">
            <v>0</v>
          </cell>
        </row>
        <row r="267">
          <cell r="B267">
            <v>1021045</v>
          </cell>
          <cell r="C267">
            <v>0</v>
          </cell>
        </row>
        <row r="268">
          <cell r="B268">
            <v>1021046</v>
          </cell>
          <cell r="C268">
            <v>74663.056800000006</v>
          </cell>
        </row>
        <row r="269">
          <cell r="B269">
            <v>1021047</v>
          </cell>
          <cell r="C269">
            <v>0</v>
          </cell>
        </row>
        <row r="270">
          <cell r="B270">
            <v>1021470</v>
          </cell>
          <cell r="C270">
            <v>0</v>
          </cell>
        </row>
        <row r="271">
          <cell r="B271">
            <v>1021731</v>
          </cell>
          <cell r="C271">
            <v>12949.419999999998</v>
          </cell>
        </row>
        <row r="272">
          <cell r="B272">
            <v>1022692</v>
          </cell>
          <cell r="C272">
            <v>0</v>
          </cell>
        </row>
        <row r="273">
          <cell r="B273">
            <v>1022125</v>
          </cell>
          <cell r="C273">
            <v>61270.640000000007</v>
          </cell>
        </row>
        <row r="274">
          <cell r="B274">
            <v>1022291</v>
          </cell>
          <cell r="C274">
            <v>3809.0399999999995</v>
          </cell>
        </row>
        <row r="275">
          <cell r="B275">
            <v>1022753</v>
          </cell>
          <cell r="C275">
            <v>35225.360000000001</v>
          </cell>
        </row>
        <row r="276">
          <cell r="B276">
            <v>1022850</v>
          </cell>
          <cell r="C276">
            <v>0</v>
          </cell>
        </row>
        <row r="277">
          <cell r="B277">
            <v>1022940</v>
          </cell>
          <cell r="C277">
            <v>0</v>
          </cell>
        </row>
        <row r="278">
          <cell r="B278">
            <v>1022941</v>
          </cell>
          <cell r="C278">
            <v>0</v>
          </cell>
        </row>
        <row r="279">
          <cell r="B279">
            <v>1022183</v>
          </cell>
          <cell r="C279">
            <v>113928.91</v>
          </cell>
        </row>
        <row r="280">
          <cell r="B280">
            <v>1023219</v>
          </cell>
          <cell r="C280">
            <v>0</v>
          </cell>
        </row>
        <row r="281">
          <cell r="B281">
            <v>1020242</v>
          </cell>
          <cell r="C281">
            <v>0</v>
          </cell>
        </row>
        <row r="282">
          <cell r="B282">
            <v>1020284</v>
          </cell>
          <cell r="C282">
            <v>0</v>
          </cell>
        </row>
        <row r="283">
          <cell r="B283">
            <v>1020662</v>
          </cell>
          <cell r="C283">
            <v>0</v>
          </cell>
        </row>
        <row r="284">
          <cell r="B284">
            <v>1020664</v>
          </cell>
          <cell r="C284">
            <v>2620</v>
          </cell>
        </row>
        <row r="285">
          <cell r="B285">
            <v>1020665</v>
          </cell>
          <cell r="C285">
            <v>0</v>
          </cell>
        </row>
        <row r="286">
          <cell r="B286">
            <v>1020915</v>
          </cell>
          <cell r="C286">
            <v>0</v>
          </cell>
        </row>
        <row r="287">
          <cell r="B287">
            <v>1020921</v>
          </cell>
          <cell r="C287">
            <v>0</v>
          </cell>
        </row>
        <row r="288">
          <cell r="B288">
            <v>1020944</v>
          </cell>
          <cell r="C288">
            <v>0</v>
          </cell>
        </row>
        <row r="289">
          <cell r="B289">
            <v>1020945</v>
          </cell>
          <cell r="C289">
            <v>0</v>
          </cell>
        </row>
        <row r="290">
          <cell r="B290">
            <v>1020990</v>
          </cell>
          <cell r="C290">
            <v>0</v>
          </cell>
        </row>
        <row r="291">
          <cell r="B291">
            <v>1020991</v>
          </cell>
          <cell r="C291">
            <v>2874.9</v>
          </cell>
        </row>
        <row r="292">
          <cell r="B292">
            <v>1021263</v>
          </cell>
          <cell r="C292">
            <v>0</v>
          </cell>
        </row>
        <row r="293">
          <cell r="B293">
            <v>1021733</v>
          </cell>
          <cell r="C293">
            <v>203662.15692061905</v>
          </cell>
        </row>
        <row r="294">
          <cell r="B294">
            <v>1021765</v>
          </cell>
          <cell r="C294">
            <v>0</v>
          </cell>
        </row>
        <row r="295">
          <cell r="B295">
            <v>1022141</v>
          </cell>
          <cell r="C295">
            <v>8692.4599999999991</v>
          </cell>
        </row>
        <row r="296">
          <cell r="B296">
            <v>1022142</v>
          </cell>
          <cell r="C296">
            <v>0</v>
          </cell>
        </row>
        <row r="297">
          <cell r="B297">
            <v>1022145</v>
          </cell>
          <cell r="C297">
            <v>7598.9267406038553</v>
          </cell>
        </row>
        <row r="298">
          <cell r="B298">
            <v>1022351</v>
          </cell>
          <cell r="C298">
            <v>0</v>
          </cell>
        </row>
        <row r="299">
          <cell r="B299">
            <v>1022398</v>
          </cell>
          <cell r="C299">
            <v>10338.299999999999</v>
          </cell>
        </row>
        <row r="300">
          <cell r="B300">
            <v>1022449</v>
          </cell>
          <cell r="C300">
            <v>0</v>
          </cell>
        </row>
        <row r="301">
          <cell r="B301">
            <v>1022709</v>
          </cell>
          <cell r="C301">
            <v>0</v>
          </cell>
        </row>
        <row r="302">
          <cell r="B302">
            <v>1022403</v>
          </cell>
          <cell r="C302">
            <v>0</v>
          </cell>
        </row>
        <row r="303">
          <cell r="B303">
            <v>1023273</v>
          </cell>
          <cell r="C303">
            <v>10878</v>
          </cell>
        </row>
        <row r="304">
          <cell r="B304">
            <v>1023276</v>
          </cell>
          <cell r="C304">
            <v>4994.1000000000004</v>
          </cell>
        </row>
        <row r="305">
          <cell r="B305">
            <v>1023274</v>
          </cell>
          <cell r="C305">
            <v>9890</v>
          </cell>
        </row>
        <row r="306">
          <cell r="B306">
            <v>1021007</v>
          </cell>
          <cell r="C306">
            <v>0</v>
          </cell>
        </row>
        <row r="307">
          <cell r="B307">
            <v>1021009</v>
          </cell>
          <cell r="C307">
            <v>0</v>
          </cell>
        </row>
        <row r="308">
          <cell r="B308">
            <v>1022115</v>
          </cell>
          <cell r="C308">
            <v>0</v>
          </cell>
        </row>
        <row r="309">
          <cell r="B309">
            <v>1022149</v>
          </cell>
          <cell r="C309">
            <v>11200</v>
          </cell>
        </row>
        <row r="310">
          <cell r="B310">
            <v>1022457</v>
          </cell>
          <cell r="C310">
            <v>0</v>
          </cell>
        </row>
        <row r="311">
          <cell r="B311">
            <v>1022607</v>
          </cell>
          <cell r="C311">
            <v>4946</v>
          </cell>
        </row>
        <row r="312">
          <cell r="B312">
            <v>1022812</v>
          </cell>
          <cell r="C312">
            <v>0</v>
          </cell>
        </row>
        <row r="313">
          <cell r="B313">
            <v>1021105</v>
          </cell>
          <cell r="C313">
            <v>11763</v>
          </cell>
        </row>
        <row r="314">
          <cell r="B314">
            <v>1023307</v>
          </cell>
          <cell r="C314">
            <v>0</v>
          </cell>
        </row>
        <row r="315">
          <cell r="B315">
            <v>1021931</v>
          </cell>
          <cell r="C315">
            <v>3744</v>
          </cell>
        </row>
        <row r="316">
          <cell r="B316">
            <v>1023265</v>
          </cell>
          <cell r="C316">
            <v>1638</v>
          </cell>
        </row>
        <row r="317">
          <cell r="B317">
            <v>1022939</v>
          </cell>
          <cell r="C317">
            <v>0</v>
          </cell>
        </row>
        <row r="318">
          <cell r="B318">
            <v>1022186</v>
          </cell>
          <cell r="C318">
            <v>10664.202747792506</v>
          </cell>
        </row>
        <row r="319">
          <cell r="B319">
            <v>1020822</v>
          </cell>
          <cell r="C319">
            <v>0</v>
          </cell>
        </row>
        <row r="320">
          <cell r="B320">
            <v>1022335</v>
          </cell>
          <cell r="C320">
            <v>0</v>
          </cell>
        </row>
        <row r="321">
          <cell r="B321">
            <v>1022378</v>
          </cell>
          <cell r="C321">
            <v>15523.403086598568</v>
          </cell>
        </row>
        <row r="322">
          <cell r="B322">
            <v>1022318</v>
          </cell>
          <cell r="C322">
            <v>0</v>
          </cell>
        </row>
        <row r="323">
          <cell r="B323">
            <v>1022907</v>
          </cell>
          <cell r="C323">
            <v>0</v>
          </cell>
        </row>
        <row r="324">
          <cell r="B324">
            <v>1020037</v>
          </cell>
          <cell r="C324">
            <v>0</v>
          </cell>
        </row>
        <row r="325">
          <cell r="B325">
            <v>1021149</v>
          </cell>
          <cell r="C325">
            <v>22300</v>
          </cell>
        </row>
        <row r="326">
          <cell r="B326">
            <v>1021150</v>
          </cell>
          <cell r="C326">
            <v>0</v>
          </cell>
        </row>
        <row r="327">
          <cell r="B327">
            <v>1021767</v>
          </cell>
          <cell r="C327">
            <v>79881.399999999994</v>
          </cell>
        </row>
        <row r="328">
          <cell r="B328">
            <v>1021136</v>
          </cell>
          <cell r="C328">
            <v>0</v>
          </cell>
        </row>
        <row r="329">
          <cell r="B329">
            <v>1022413</v>
          </cell>
          <cell r="C329">
            <v>0</v>
          </cell>
        </row>
        <row r="330">
          <cell r="B330">
            <v>1021082</v>
          </cell>
          <cell r="C330">
            <v>0</v>
          </cell>
        </row>
        <row r="331">
          <cell r="B331">
            <v>1021500</v>
          </cell>
          <cell r="C331">
            <v>0</v>
          </cell>
        </row>
        <row r="332">
          <cell r="B332">
            <v>1021905</v>
          </cell>
          <cell r="C332">
            <v>0</v>
          </cell>
        </row>
        <row r="333">
          <cell r="B333">
            <v>1021078</v>
          </cell>
          <cell r="C333">
            <v>23730.447871558776</v>
          </cell>
        </row>
        <row r="334">
          <cell r="B334">
            <v>1021237</v>
          </cell>
          <cell r="C334">
            <v>0</v>
          </cell>
        </row>
        <row r="335">
          <cell r="B335">
            <v>1022082</v>
          </cell>
          <cell r="C335">
            <v>0</v>
          </cell>
        </row>
        <row r="336">
          <cell r="B336">
            <v>1021092</v>
          </cell>
          <cell r="C336">
            <v>31814.486472340832</v>
          </cell>
        </row>
        <row r="337">
          <cell r="B337">
            <v>1021550</v>
          </cell>
          <cell r="C337">
            <v>0</v>
          </cell>
        </row>
        <row r="338">
          <cell r="B338">
            <v>1022415</v>
          </cell>
          <cell r="C338">
            <v>0</v>
          </cell>
        </row>
        <row r="339">
          <cell r="B339">
            <v>1022654</v>
          </cell>
          <cell r="C339">
            <v>0</v>
          </cell>
        </row>
        <row r="340">
          <cell r="B340">
            <v>1022842</v>
          </cell>
          <cell r="C340">
            <v>471</v>
          </cell>
        </row>
        <row r="341">
          <cell r="B341">
            <v>1021706</v>
          </cell>
          <cell r="C341">
            <v>0</v>
          </cell>
        </row>
        <row r="342">
          <cell r="B342">
            <v>1022409</v>
          </cell>
          <cell r="C342">
            <v>1200</v>
          </cell>
        </row>
        <row r="343">
          <cell r="B343">
            <v>1022418</v>
          </cell>
          <cell r="C343">
            <v>3600</v>
          </cell>
        </row>
        <row r="344">
          <cell r="B344">
            <v>1020810</v>
          </cell>
          <cell r="C344">
            <v>0</v>
          </cell>
        </row>
        <row r="345">
          <cell r="B345">
            <v>1021707</v>
          </cell>
          <cell r="C345">
            <v>0</v>
          </cell>
        </row>
        <row r="346">
          <cell r="B346">
            <v>1021708</v>
          </cell>
          <cell r="C346">
            <v>0</v>
          </cell>
        </row>
        <row r="347">
          <cell r="B347">
            <v>1021709</v>
          </cell>
          <cell r="C347">
            <v>0</v>
          </cell>
        </row>
        <row r="348">
          <cell r="B348">
            <v>1021710</v>
          </cell>
          <cell r="C348">
            <v>0</v>
          </cell>
        </row>
        <row r="349">
          <cell r="B349">
            <v>1021987</v>
          </cell>
          <cell r="C349">
            <v>2640</v>
          </cell>
        </row>
        <row r="350">
          <cell r="B350">
            <v>1022220</v>
          </cell>
          <cell r="C350">
            <v>0</v>
          </cell>
        </row>
        <row r="351">
          <cell r="B351">
            <v>1022605</v>
          </cell>
          <cell r="C351">
            <v>700</v>
          </cell>
        </row>
        <row r="352">
          <cell r="B352">
            <v>1022254</v>
          </cell>
          <cell r="C352">
            <v>0</v>
          </cell>
        </row>
        <row r="353">
          <cell r="B353">
            <v>1022416</v>
          </cell>
          <cell r="C353">
            <v>0</v>
          </cell>
        </row>
        <row r="354">
          <cell r="B354">
            <v>1022584</v>
          </cell>
          <cell r="C354">
            <v>0</v>
          </cell>
        </row>
        <row r="355">
          <cell r="B355">
            <v>1020592</v>
          </cell>
          <cell r="C355">
            <v>46510.473476999206</v>
          </cell>
        </row>
        <row r="356">
          <cell r="B356">
            <v>1020620</v>
          </cell>
          <cell r="C356">
            <v>11390.512555308527</v>
          </cell>
        </row>
        <row r="357">
          <cell r="B357">
            <v>1020758</v>
          </cell>
          <cell r="C357">
            <v>6617.3915687229237</v>
          </cell>
        </row>
        <row r="358">
          <cell r="B358">
            <v>1020860</v>
          </cell>
          <cell r="C358">
            <v>0</v>
          </cell>
        </row>
        <row r="359">
          <cell r="B359">
            <v>1020861</v>
          </cell>
          <cell r="C359">
            <v>8669.0785707958166</v>
          </cell>
        </row>
        <row r="360">
          <cell r="B360">
            <v>1020862</v>
          </cell>
          <cell r="C360">
            <v>0</v>
          </cell>
        </row>
        <row r="361">
          <cell r="B361">
            <v>1020864</v>
          </cell>
          <cell r="C361">
            <v>0</v>
          </cell>
        </row>
        <row r="362">
          <cell r="B362">
            <v>1021650</v>
          </cell>
          <cell r="C362">
            <v>0</v>
          </cell>
        </row>
        <row r="363">
          <cell r="B363">
            <v>1022193</v>
          </cell>
          <cell r="C363">
            <v>0</v>
          </cell>
        </row>
        <row r="364">
          <cell r="B364">
            <v>1021820</v>
          </cell>
          <cell r="C364">
            <v>0</v>
          </cell>
        </row>
        <row r="365">
          <cell r="B365">
            <v>1021923</v>
          </cell>
          <cell r="C365">
            <v>0</v>
          </cell>
        </row>
        <row r="366">
          <cell r="B366">
            <v>1021984</v>
          </cell>
          <cell r="C366">
            <v>0</v>
          </cell>
        </row>
        <row r="367">
          <cell r="B367">
            <v>1022124</v>
          </cell>
          <cell r="C367">
            <v>0</v>
          </cell>
        </row>
        <row r="368">
          <cell r="B368">
            <v>1022314</v>
          </cell>
          <cell r="C368">
            <v>0</v>
          </cell>
        </row>
        <row r="369">
          <cell r="B369">
            <v>1022340</v>
          </cell>
          <cell r="C369">
            <v>0</v>
          </cell>
        </row>
        <row r="370">
          <cell r="B370">
            <v>1020868</v>
          </cell>
          <cell r="C370">
            <v>0</v>
          </cell>
        </row>
        <row r="371">
          <cell r="B371">
            <v>1022499</v>
          </cell>
          <cell r="C371">
            <v>3028.5890790763774</v>
          </cell>
        </row>
        <row r="372">
          <cell r="B372">
            <v>1022600</v>
          </cell>
          <cell r="C372">
            <v>0</v>
          </cell>
        </row>
        <row r="373">
          <cell r="B373">
            <v>1022863</v>
          </cell>
          <cell r="C373">
            <v>0</v>
          </cell>
        </row>
        <row r="374">
          <cell r="B374">
            <v>1022864</v>
          </cell>
          <cell r="C374">
            <v>55625.404543412056</v>
          </cell>
        </row>
        <row r="375">
          <cell r="B375">
            <v>1023158</v>
          </cell>
          <cell r="C375">
            <v>0</v>
          </cell>
        </row>
        <row r="376">
          <cell r="B376">
            <v>1022776</v>
          </cell>
          <cell r="C376">
            <v>0</v>
          </cell>
        </row>
        <row r="377">
          <cell r="B377">
            <v>1022969</v>
          </cell>
          <cell r="C377">
            <v>0</v>
          </cell>
        </row>
        <row r="378">
          <cell r="B378">
            <v>1022965</v>
          </cell>
          <cell r="C378">
            <v>0</v>
          </cell>
        </row>
        <row r="379">
          <cell r="B379">
            <v>1022971</v>
          </cell>
          <cell r="C379">
            <v>0</v>
          </cell>
        </row>
        <row r="380">
          <cell r="B380">
            <v>1022954</v>
          </cell>
          <cell r="C380">
            <v>0</v>
          </cell>
        </row>
        <row r="381">
          <cell r="B381">
            <v>1022964</v>
          </cell>
          <cell r="C381">
            <v>0</v>
          </cell>
        </row>
        <row r="382">
          <cell r="B382">
            <v>1022824</v>
          </cell>
          <cell r="C382">
            <v>0</v>
          </cell>
        </row>
        <row r="383">
          <cell r="B383">
            <v>1022825</v>
          </cell>
          <cell r="C383">
            <v>0</v>
          </cell>
        </row>
        <row r="384">
          <cell r="B384">
            <v>1022826</v>
          </cell>
          <cell r="C384">
            <v>0</v>
          </cell>
        </row>
        <row r="385">
          <cell r="B385">
            <v>1022988</v>
          </cell>
          <cell r="C385">
            <v>0</v>
          </cell>
        </row>
        <row r="386">
          <cell r="B386">
            <v>1022928</v>
          </cell>
          <cell r="C386">
            <v>0</v>
          </cell>
        </row>
        <row r="387">
          <cell r="B387">
            <v>1022990</v>
          </cell>
          <cell r="C387">
            <v>0</v>
          </cell>
        </row>
        <row r="388">
          <cell r="B388">
            <v>1023019</v>
          </cell>
          <cell r="C388">
            <v>0</v>
          </cell>
        </row>
        <row r="389">
          <cell r="B389">
            <v>1021101</v>
          </cell>
          <cell r="C389">
            <v>0</v>
          </cell>
        </row>
        <row r="390">
          <cell r="B390">
            <v>1022568</v>
          </cell>
          <cell r="C390">
            <v>3675.0768229126411</v>
          </cell>
        </row>
        <row r="391">
          <cell r="B391">
            <v>1022985</v>
          </cell>
          <cell r="C391">
            <v>991.19302614766548</v>
          </cell>
        </row>
        <row r="392">
          <cell r="B392">
            <v>1022986</v>
          </cell>
          <cell r="C392">
            <v>0</v>
          </cell>
        </row>
        <row r="393">
          <cell r="B393">
            <v>1023034</v>
          </cell>
          <cell r="C393">
            <v>0</v>
          </cell>
        </row>
        <row r="394">
          <cell r="B394">
            <v>1022994</v>
          </cell>
          <cell r="C394">
            <v>0</v>
          </cell>
        </row>
        <row r="395">
          <cell r="B395">
            <v>1022995</v>
          </cell>
          <cell r="C395">
            <v>0</v>
          </cell>
        </row>
        <row r="396">
          <cell r="B396">
            <v>1022858</v>
          </cell>
          <cell r="C396">
            <v>0</v>
          </cell>
        </row>
        <row r="397">
          <cell r="B397">
            <v>1023002</v>
          </cell>
          <cell r="C397">
            <v>0</v>
          </cell>
        </row>
        <row r="398">
          <cell r="B398">
            <v>1021433</v>
          </cell>
          <cell r="C398">
            <v>0</v>
          </cell>
        </row>
        <row r="399">
          <cell r="B399">
            <v>1023056</v>
          </cell>
          <cell r="C399">
            <v>0</v>
          </cell>
        </row>
        <row r="400">
          <cell r="B400">
            <v>1023050</v>
          </cell>
          <cell r="C400">
            <v>0</v>
          </cell>
        </row>
        <row r="401">
          <cell r="B401">
            <v>1023047</v>
          </cell>
          <cell r="C401">
            <v>0</v>
          </cell>
        </row>
        <row r="402">
          <cell r="B402">
            <v>1023048</v>
          </cell>
          <cell r="C402">
            <v>0</v>
          </cell>
        </row>
        <row r="403">
          <cell r="B403">
            <v>1023051</v>
          </cell>
          <cell r="C403">
            <v>0</v>
          </cell>
        </row>
        <row r="404">
          <cell r="B404">
            <v>1023055</v>
          </cell>
          <cell r="C404">
            <v>0</v>
          </cell>
        </row>
        <row r="405">
          <cell r="B405">
            <v>1023037</v>
          </cell>
          <cell r="C405">
            <v>0</v>
          </cell>
        </row>
        <row r="406">
          <cell r="B406">
            <v>1023038</v>
          </cell>
          <cell r="C406">
            <v>11239.472897861195</v>
          </cell>
        </row>
        <row r="407">
          <cell r="B407">
            <v>1023084</v>
          </cell>
          <cell r="C407">
            <v>0</v>
          </cell>
        </row>
        <row r="408">
          <cell r="B408">
            <v>1022923</v>
          </cell>
          <cell r="C408">
            <v>0</v>
          </cell>
        </row>
        <row r="409">
          <cell r="B409">
            <v>1023066</v>
          </cell>
          <cell r="C409">
            <v>0</v>
          </cell>
        </row>
        <row r="410">
          <cell r="B410">
            <v>1023090</v>
          </cell>
          <cell r="C410">
            <v>8909.4342435484177</v>
          </cell>
        </row>
        <row r="411">
          <cell r="B411">
            <v>1023102</v>
          </cell>
          <cell r="C411">
            <v>12488.75258692627</v>
          </cell>
        </row>
        <row r="412">
          <cell r="B412">
            <v>1021652</v>
          </cell>
          <cell r="C412">
            <v>0</v>
          </cell>
        </row>
        <row r="413">
          <cell r="B413">
            <v>1022128</v>
          </cell>
          <cell r="C413">
            <v>0</v>
          </cell>
        </row>
        <row r="414">
          <cell r="B414">
            <v>1023109</v>
          </cell>
          <cell r="C414">
            <v>39167.461449075992</v>
          </cell>
        </row>
        <row r="415">
          <cell r="B415">
            <v>1023111</v>
          </cell>
          <cell r="C415">
            <v>0</v>
          </cell>
        </row>
        <row r="416">
          <cell r="B416">
            <v>1022282</v>
          </cell>
          <cell r="C416">
            <v>0</v>
          </cell>
        </row>
        <row r="417">
          <cell r="B417">
            <v>1023093</v>
          </cell>
          <cell r="C417">
            <v>14243</v>
          </cell>
        </row>
        <row r="418">
          <cell r="B418">
            <v>1022813</v>
          </cell>
          <cell r="C418">
            <v>0</v>
          </cell>
        </row>
        <row r="419">
          <cell r="B419">
            <v>1021549</v>
          </cell>
          <cell r="C419">
            <v>0</v>
          </cell>
        </row>
        <row r="420">
          <cell r="B420">
            <v>1022619</v>
          </cell>
          <cell r="C420">
            <v>2800</v>
          </cell>
        </row>
        <row r="421">
          <cell r="B421">
            <v>1023126</v>
          </cell>
          <cell r="C421">
            <v>0</v>
          </cell>
        </row>
        <row r="422">
          <cell r="B422">
            <v>1022925</v>
          </cell>
          <cell r="C422">
            <v>0</v>
          </cell>
        </row>
        <row r="423">
          <cell r="B423">
            <v>1023130</v>
          </cell>
          <cell r="C423">
            <v>0</v>
          </cell>
        </row>
        <row r="424">
          <cell r="B424">
            <v>1023035</v>
          </cell>
          <cell r="C424">
            <v>6000</v>
          </cell>
        </row>
        <row r="425">
          <cell r="B425">
            <v>1023131</v>
          </cell>
          <cell r="C425">
            <v>0</v>
          </cell>
        </row>
        <row r="426">
          <cell r="B426">
            <v>1023018</v>
          </cell>
          <cell r="C426">
            <v>0</v>
          </cell>
        </row>
        <row r="427">
          <cell r="B427">
            <v>1023132</v>
          </cell>
          <cell r="C427">
            <v>0</v>
          </cell>
        </row>
        <row r="428">
          <cell r="B428">
            <v>1023144</v>
          </cell>
          <cell r="C428">
            <v>21073</v>
          </cell>
        </row>
        <row r="429">
          <cell r="B429">
            <v>1023138</v>
          </cell>
          <cell r="C429">
            <v>0</v>
          </cell>
        </row>
        <row r="430">
          <cell r="B430">
            <v>1022622</v>
          </cell>
          <cell r="C430">
            <v>0</v>
          </cell>
        </row>
        <row r="431">
          <cell r="B431">
            <v>1021864</v>
          </cell>
          <cell r="C431">
            <v>13025.359886711134</v>
          </cell>
        </row>
        <row r="432">
          <cell r="B432">
            <v>1023163</v>
          </cell>
          <cell r="C432">
            <v>4803.6495192514885</v>
          </cell>
        </row>
        <row r="433">
          <cell r="B433">
            <v>1023164</v>
          </cell>
          <cell r="C433">
            <v>0</v>
          </cell>
        </row>
        <row r="434">
          <cell r="B434">
            <v>1020845</v>
          </cell>
          <cell r="C434">
            <v>40475.695376387921</v>
          </cell>
        </row>
        <row r="435">
          <cell r="B435">
            <v>1023137</v>
          </cell>
          <cell r="C435">
            <v>0</v>
          </cell>
        </row>
        <row r="436">
          <cell r="B436">
            <v>1023139</v>
          </cell>
          <cell r="C436">
            <v>0</v>
          </cell>
        </row>
        <row r="437">
          <cell r="B437">
            <v>1023140</v>
          </cell>
          <cell r="C437">
            <v>0</v>
          </cell>
        </row>
        <row r="438">
          <cell r="B438">
            <v>1023141</v>
          </cell>
          <cell r="C438">
            <v>0</v>
          </cell>
        </row>
        <row r="439">
          <cell r="B439">
            <v>1023143</v>
          </cell>
          <cell r="C439">
            <v>0</v>
          </cell>
        </row>
        <row r="440">
          <cell r="B440">
            <v>1021398</v>
          </cell>
          <cell r="C440">
            <v>0</v>
          </cell>
        </row>
        <row r="441">
          <cell r="B441">
            <v>1023123</v>
          </cell>
          <cell r="C441">
            <v>0</v>
          </cell>
        </row>
        <row r="442">
          <cell r="B442">
            <v>1023301</v>
          </cell>
          <cell r="C442">
            <v>0</v>
          </cell>
        </row>
        <row r="443">
          <cell r="B443">
            <v>1023302</v>
          </cell>
          <cell r="C443">
            <v>0</v>
          </cell>
        </row>
        <row r="444">
          <cell r="B444">
            <v>1023283</v>
          </cell>
          <cell r="C444">
            <v>19066</v>
          </cell>
        </row>
        <row r="445">
          <cell r="B445">
            <v>1023290</v>
          </cell>
          <cell r="C445">
            <v>0</v>
          </cell>
        </row>
        <row r="446">
          <cell r="B446">
            <v>1021868</v>
          </cell>
          <cell r="C446">
            <v>0</v>
          </cell>
        </row>
        <row r="447">
          <cell r="B447">
            <v>1023329</v>
          </cell>
          <cell r="C447">
            <v>8494.3889407874431</v>
          </cell>
        </row>
        <row r="448">
          <cell r="B448">
            <v>1023318</v>
          </cell>
          <cell r="C448">
            <v>1006</v>
          </cell>
        </row>
        <row r="449">
          <cell r="B449">
            <v>1023319</v>
          </cell>
          <cell r="C449">
            <v>0</v>
          </cell>
        </row>
        <row r="450">
          <cell r="B450">
            <v>1023324</v>
          </cell>
          <cell r="C450">
            <v>0</v>
          </cell>
        </row>
        <row r="451">
          <cell r="B451">
            <v>1023331</v>
          </cell>
          <cell r="C451">
            <v>0</v>
          </cell>
        </row>
        <row r="452">
          <cell r="B452">
            <v>1023326</v>
          </cell>
          <cell r="C452">
            <v>11867.955403606347</v>
          </cell>
        </row>
        <row r="453">
          <cell r="B453">
            <v>1023334</v>
          </cell>
          <cell r="C453">
            <v>0</v>
          </cell>
        </row>
        <row r="454">
          <cell r="B454">
            <v>1023336</v>
          </cell>
          <cell r="C454">
            <v>75962.546651540513</v>
          </cell>
        </row>
        <row r="455">
          <cell r="B455">
            <v>1023353</v>
          </cell>
          <cell r="C455">
            <v>0</v>
          </cell>
        </row>
        <row r="456">
          <cell r="B456">
            <v>1023350</v>
          </cell>
          <cell r="C456">
            <v>1002.5590944954307</v>
          </cell>
        </row>
        <row r="457">
          <cell r="B457">
            <v>1023351</v>
          </cell>
          <cell r="C457">
            <v>2162.2880732146141</v>
          </cell>
        </row>
        <row r="458">
          <cell r="B458">
            <v>1023352</v>
          </cell>
          <cell r="C458">
            <v>2147.0078794001315</v>
          </cell>
        </row>
        <row r="459">
          <cell r="B459">
            <v>1023343</v>
          </cell>
          <cell r="C459">
            <v>5000</v>
          </cell>
        </row>
        <row r="460">
          <cell r="B460">
            <v>1023349</v>
          </cell>
          <cell r="C460">
            <v>0</v>
          </cell>
        </row>
        <row r="461">
          <cell r="B461">
            <v>1023291</v>
          </cell>
          <cell r="C461">
            <v>7499</v>
          </cell>
        </row>
        <row r="462">
          <cell r="B462">
            <v>1023383</v>
          </cell>
          <cell r="C462">
            <v>0</v>
          </cell>
        </row>
        <row r="463">
          <cell r="B463">
            <v>1023375</v>
          </cell>
          <cell r="C463">
            <v>1840</v>
          </cell>
        </row>
        <row r="464">
          <cell r="B464">
            <v>1023355</v>
          </cell>
          <cell r="C464">
            <v>6200</v>
          </cell>
        </row>
        <row r="465">
          <cell r="B465">
            <v>1023354</v>
          </cell>
          <cell r="C465">
            <v>0</v>
          </cell>
        </row>
        <row r="466">
          <cell r="B466">
            <v>1023372</v>
          </cell>
          <cell r="C466">
            <v>0</v>
          </cell>
        </row>
        <row r="467">
          <cell r="B467">
            <v>1023387</v>
          </cell>
          <cell r="C467">
            <v>0</v>
          </cell>
        </row>
        <row r="468">
          <cell r="B468">
            <v>1023389</v>
          </cell>
          <cell r="C468">
            <v>0</v>
          </cell>
        </row>
        <row r="469">
          <cell r="B469">
            <v>1023391</v>
          </cell>
          <cell r="C469">
            <v>7527.165534761165</v>
          </cell>
        </row>
        <row r="470">
          <cell r="B470">
            <v>1023397</v>
          </cell>
          <cell r="C470">
            <v>9898.7534536709682</v>
          </cell>
        </row>
        <row r="471">
          <cell r="B471">
            <v>1023370</v>
          </cell>
          <cell r="C471">
            <v>0</v>
          </cell>
        </row>
        <row r="472">
          <cell r="B472">
            <v>1023371</v>
          </cell>
          <cell r="C472">
            <v>0</v>
          </cell>
        </row>
        <row r="473">
          <cell r="B473">
            <v>1023218</v>
          </cell>
          <cell r="C473">
            <v>21972</v>
          </cell>
        </row>
        <row r="474">
          <cell r="B474">
            <v>1023410</v>
          </cell>
          <cell r="C474">
            <v>0</v>
          </cell>
        </row>
        <row r="475">
          <cell r="B475">
            <v>1023411</v>
          </cell>
          <cell r="C475">
            <v>32810.43571863808</v>
          </cell>
        </row>
        <row r="476">
          <cell r="B476">
            <v>1023412</v>
          </cell>
          <cell r="C476">
            <v>11771.942228065678</v>
          </cell>
        </row>
        <row r="477">
          <cell r="B477">
            <v>1023400</v>
          </cell>
          <cell r="C477">
            <v>3225</v>
          </cell>
        </row>
        <row r="478">
          <cell r="B478">
            <v>1023417</v>
          </cell>
          <cell r="C478">
            <v>20952.5</v>
          </cell>
        </row>
        <row r="479">
          <cell r="B479">
            <v>1021278</v>
          </cell>
          <cell r="C479">
            <v>1322.3286153846154</v>
          </cell>
        </row>
        <row r="480">
          <cell r="B480">
            <v>1023409</v>
          </cell>
          <cell r="C480">
            <v>1050.6749360269807</v>
          </cell>
        </row>
        <row r="481">
          <cell r="B481">
            <v>1023421</v>
          </cell>
          <cell r="C481">
            <v>22561.014188118716</v>
          </cell>
        </row>
        <row r="482">
          <cell r="B482">
            <v>1023426</v>
          </cell>
          <cell r="C482">
            <v>0</v>
          </cell>
        </row>
        <row r="483">
          <cell r="B483">
            <v>1023419</v>
          </cell>
          <cell r="C483">
            <v>3000</v>
          </cell>
        </row>
        <row r="484">
          <cell r="B484">
            <v>1023269</v>
          </cell>
          <cell r="C484">
            <v>0</v>
          </cell>
        </row>
        <row r="485">
          <cell r="B485">
            <v>1023373</v>
          </cell>
          <cell r="C485">
            <v>13565.4</v>
          </cell>
        </row>
        <row r="486">
          <cell r="B486">
            <v>1023434</v>
          </cell>
          <cell r="C486">
            <v>9991.8358673514595</v>
          </cell>
        </row>
        <row r="487">
          <cell r="B487">
            <v>1023420</v>
          </cell>
          <cell r="C487">
            <v>0</v>
          </cell>
        </row>
        <row r="488">
          <cell r="B488">
            <v>1023432</v>
          </cell>
          <cell r="C488">
            <v>21583.249986909635</v>
          </cell>
        </row>
        <row r="489">
          <cell r="B489">
            <v>1023435</v>
          </cell>
          <cell r="C489">
            <v>142965.66556535978</v>
          </cell>
        </row>
        <row r="490">
          <cell r="B490">
            <v>1020660</v>
          </cell>
          <cell r="C490">
            <v>59956.416000000005</v>
          </cell>
        </row>
        <row r="491">
          <cell r="B491">
            <v>1023436</v>
          </cell>
          <cell r="C491">
            <v>6440.3680000000004</v>
          </cell>
        </row>
        <row r="492">
          <cell r="B492">
            <v>1023438</v>
          </cell>
          <cell r="C492">
            <v>36750.491942748107</v>
          </cell>
        </row>
        <row r="493">
          <cell r="B493">
            <v>1023439</v>
          </cell>
          <cell r="C493">
            <v>25772.612999999998</v>
          </cell>
        </row>
        <row r="494">
          <cell r="B494">
            <v>1022870</v>
          </cell>
          <cell r="C494">
            <v>23868</v>
          </cell>
        </row>
        <row r="495">
          <cell r="B495">
            <v>1023433</v>
          </cell>
          <cell r="C495">
            <v>15936.82559759888</v>
          </cell>
        </row>
        <row r="496">
          <cell r="B496">
            <v>3020247</v>
          </cell>
          <cell r="C496">
            <v>650</v>
          </cell>
        </row>
        <row r="497">
          <cell r="B497">
            <v>3020245</v>
          </cell>
          <cell r="C497">
            <v>0</v>
          </cell>
        </row>
        <row r="498">
          <cell r="B498">
            <v>1010143</v>
          </cell>
          <cell r="C498">
            <v>24000</v>
          </cell>
        </row>
        <row r="499">
          <cell r="B499">
            <v>1010176</v>
          </cell>
          <cell r="C499">
            <v>3000</v>
          </cell>
        </row>
        <row r="500">
          <cell r="B500">
            <v>1010204</v>
          </cell>
          <cell r="C500">
            <v>2000</v>
          </cell>
        </row>
        <row r="501">
          <cell r="B501">
            <v>1010291</v>
          </cell>
          <cell r="C501">
            <v>3900</v>
          </cell>
        </row>
        <row r="502">
          <cell r="B502">
            <v>1010431</v>
          </cell>
          <cell r="C502">
            <v>20000</v>
          </cell>
        </row>
        <row r="503">
          <cell r="B503">
            <v>1010792</v>
          </cell>
          <cell r="C503">
            <v>20800</v>
          </cell>
        </row>
        <row r="504">
          <cell r="B504">
            <v>1010877</v>
          </cell>
          <cell r="C504">
            <v>38599</v>
          </cell>
        </row>
        <row r="505">
          <cell r="B505">
            <v>1011127</v>
          </cell>
          <cell r="C505">
            <v>311900</v>
          </cell>
        </row>
        <row r="506">
          <cell r="B506">
            <v>1011138</v>
          </cell>
          <cell r="C506">
            <v>2500</v>
          </cell>
        </row>
        <row r="507">
          <cell r="B507">
            <v>1011139</v>
          </cell>
          <cell r="C507">
            <v>83000</v>
          </cell>
        </row>
        <row r="508">
          <cell r="B508">
            <v>1011140</v>
          </cell>
          <cell r="C508">
            <v>54000</v>
          </cell>
        </row>
        <row r="509">
          <cell r="B509">
            <v>1011141</v>
          </cell>
          <cell r="C509">
            <v>14800</v>
          </cell>
        </row>
        <row r="510">
          <cell r="B510">
            <v>1011142</v>
          </cell>
          <cell r="C510">
            <v>20600</v>
          </cell>
        </row>
        <row r="511">
          <cell r="B511">
            <v>1011143</v>
          </cell>
          <cell r="C511">
            <v>1000</v>
          </cell>
        </row>
        <row r="512">
          <cell r="B512">
            <v>1011145</v>
          </cell>
          <cell r="C512">
            <v>3600</v>
          </cell>
        </row>
        <row r="513">
          <cell r="B513">
            <v>1011156</v>
          </cell>
          <cell r="C513">
            <v>3200</v>
          </cell>
        </row>
        <row r="514">
          <cell r="B514">
            <v>1011157</v>
          </cell>
          <cell r="C514">
            <v>1280</v>
          </cell>
        </row>
        <row r="515">
          <cell r="B515">
            <v>1011290</v>
          </cell>
          <cell r="C515">
            <v>2470</v>
          </cell>
        </row>
        <row r="516">
          <cell r="B516">
            <v>1011330</v>
          </cell>
          <cell r="C516">
            <v>34000</v>
          </cell>
        </row>
        <row r="517">
          <cell r="B517">
            <v>1011331</v>
          </cell>
          <cell r="C517">
            <v>20900</v>
          </cell>
        </row>
        <row r="518">
          <cell r="B518">
            <v>1011421</v>
          </cell>
          <cell r="C518">
            <v>25000</v>
          </cell>
        </row>
        <row r="519">
          <cell r="B519">
            <v>1011560</v>
          </cell>
          <cell r="C519">
            <v>17923.399177904153</v>
          </cell>
        </row>
        <row r="520">
          <cell r="B520">
            <v>1011586</v>
          </cell>
          <cell r="C520">
            <v>23000</v>
          </cell>
        </row>
        <row r="521">
          <cell r="B521">
            <v>1011614</v>
          </cell>
          <cell r="C521">
            <v>35498</v>
          </cell>
        </row>
        <row r="522">
          <cell r="B522">
            <v>1011632</v>
          </cell>
          <cell r="C522">
            <v>2200</v>
          </cell>
        </row>
        <row r="523">
          <cell r="B523">
            <v>1011638</v>
          </cell>
          <cell r="C523">
            <v>1700</v>
          </cell>
        </row>
        <row r="524">
          <cell r="B524">
            <v>1011678</v>
          </cell>
          <cell r="C524">
            <v>4000</v>
          </cell>
        </row>
        <row r="525">
          <cell r="B525">
            <v>1011700</v>
          </cell>
          <cell r="C525">
            <v>4000</v>
          </cell>
        </row>
        <row r="526">
          <cell r="B526">
            <v>1011770</v>
          </cell>
          <cell r="C526">
            <v>30000</v>
          </cell>
        </row>
        <row r="527">
          <cell r="B527">
            <v>1011967</v>
          </cell>
          <cell r="C527">
            <v>3300</v>
          </cell>
        </row>
        <row r="528">
          <cell r="B528">
            <v>1011968</v>
          </cell>
          <cell r="C528">
            <v>420</v>
          </cell>
        </row>
        <row r="529">
          <cell r="B529">
            <v>1011969</v>
          </cell>
          <cell r="C529">
            <v>11900</v>
          </cell>
        </row>
        <row r="530">
          <cell r="B530">
            <v>1012017</v>
          </cell>
          <cell r="C530">
            <v>58353</v>
          </cell>
        </row>
        <row r="531">
          <cell r="B531">
            <v>1012018</v>
          </cell>
          <cell r="C531">
            <v>50013</v>
          </cell>
        </row>
        <row r="532">
          <cell r="B532">
            <v>1012107</v>
          </cell>
          <cell r="C532">
            <v>17778.5</v>
          </cell>
        </row>
        <row r="533">
          <cell r="B533">
            <v>1012108</v>
          </cell>
          <cell r="C533">
            <v>63162.7</v>
          </cell>
        </row>
        <row r="534">
          <cell r="B534">
            <v>1012109</v>
          </cell>
          <cell r="C534">
            <v>48213.5</v>
          </cell>
        </row>
        <row r="535">
          <cell r="B535">
            <v>1012110</v>
          </cell>
          <cell r="C535">
            <v>35570</v>
          </cell>
        </row>
        <row r="536">
          <cell r="B536">
            <v>1012111</v>
          </cell>
          <cell r="C536">
            <v>17500.515779695423</v>
          </cell>
        </row>
        <row r="537">
          <cell r="B537">
            <v>1012112</v>
          </cell>
          <cell r="C537">
            <v>2107</v>
          </cell>
        </row>
        <row r="538">
          <cell r="B538">
            <v>1012145</v>
          </cell>
          <cell r="C538">
            <v>31000</v>
          </cell>
        </row>
        <row r="539">
          <cell r="B539">
            <v>1012147</v>
          </cell>
          <cell r="C539">
            <v>6600</v>
          </cell>
        </row>
        <row r="540">
          <cell r="B540">
            <v>1012148</v>
          </cell>
          <cell r="C540">
            <v>3586</v>
          </cell>
        </row>
        <row r="541">
          <cell r="B541">
            <v>1012157</v>
          </cell>
          <cell r="C541">
            <v>635</v>
          </cell>
        </row>
        <row r="542">
          <cell r="B542">
            <v>1012158</v>
          </cell>
          <cell r="C542">
            <v>24587</v>
          </cell>
        </row>
        <row r="543">
          <cell r="B543">
            <v>1012159</v>
          </cell>
          <cell r="C543">
            <v>15500</v>
          </cell>
        </row>
        <row r="544">
          <cell r="B544">
            <v>1012160</v>
          </cell>
          <cell r="C544">
            <v>17800</v>
          </cell>
        </row>
        <row r="545">
          <cell r="B545">
            <v>1012161</v>
          </cell>
          <cell r="C545">
            <v>52482</v>
          </cell>
        </row>
        <row r="546">
          <cell r="B546">
            <v>1012163</v>
          </cell>
          <cell r="C546">
            <v>64278</v>
          </cell>
        </row>
        <row r="547">
          <cell r="B547">
            <v>1012164</v>
          </cell>
          <cell r="C547">
            <v>4000</v>
          </cell>
        </row>
        <row r="548">
          <cell r="B548">
            <v>1012165</v>
          </cell>
          <cell r="C548">
            <v>193520</v>
          </cell>
        </row>
        <row r="549">
          <cell r="B549">
            <v>1012167</v>
          </cell>
          <cell r="C549">
            <v>98052</v>
          </cell>
        </row>
        <row r="550">
          <cell r="B550">
            <v>1012208</v>
          </cell>
          <cell r="C550">
            <v>600</v>
          </cell>
        </row>
        <row r="551">
          <cell r="B551">
            <v>1012275</v>
          </cell>
          <cell r="C551">
            <v>12804</v>
          </cell>
        </row>
        <row r="552">
          <cell r="B552">
            <v>1012330</v>
          </cell>
          <cell r="C552">
            <v>4000</v>
          </cell>
        </row>
        <row r="553">
          <cell r="B553">
            <v>1012434</v>
          </cell>
          <cell r="C553">
            <v>20000</v>
          </cell>
        </row>
        <row r="554">
          <cell r="B554">
            <v>1012448</v>
          </cell>
          <cell r="C554">
            <v>74785</v>
          </cell>
        </row>
        <row r="555">
          <cell r="B555">
            <v>1012451</v>
          </cell>
          <cell r="C555">
            <v>2000</v>
          </cell>
        </row>
        <row r="556">
          <cell r="B556">
            <v>1012452</v>
          </cell>
          <cell r="C556">
            <v>8000</v>
          </cell>
        </row>
        <row r="557">
          <cell r="B557">
            <v>1012455</v>
          </cell>
          <cell r="C557">
            <v>3200</v>
          </cell>
        </row>
        <row r="558">
          <cell r="B558">
            <v>1012483</v>
          </cell>
          <cell r="C558">
            <v>8038</v>
          </cell>
        </row>
        <row r="559">
          <cell r="B559">
            <v>1012502</v>
          </cell>
          <cell r="C559">
            <v>1500</v>
          </cell>
        </row>
        <row r="560">
          <cell r="B560">
            <v>1012503</v>
          </cell>
          <cell r="C560">
            <v>6500</v>
          </cell>
        </row>
        <row r="561">
          <cell r="B561">
            <v>1012504</v>
          </cell>
          <cell r="C561">
            <v>61000</v>
          </cell>
        </row>
        <row r="562">
          <cell r="B562">
            <v>1012518</v>
          </cell>
          <cell r="C562">
            <v>21000</v>
          </cell>
        </row>
        <row r="563">
          <cell r="B563">
            <v>1012519</v>
          </cell>
          <cell r="C563">
            <v>9360</v>
          </cell>
        </row>
        <row r="564">
          <cell r="B564">
            <v>1012520</v>
          </cell>
          <cell r="C564">
            <v>23090.3</v>
          </cell>
        </row>
        <row r="565">
          <cell r="B565">
            <v>1012521</v>
          </cell>
          <cell r="C565">
            <v>51900</v>
          </cell>
        </row>
        <row r="566">
          <cell r="B566">
            <v>1012522</v>
          </cell>
          <cell r="C566">
            <v>7297</v>
          </cell>
        </row>
        <row r="567">
          <cell r="B567">
            <v>1012523</v>
          </cell>
          <cell r="C567">
            <v>32250</v>
          </cell>
        </row>
        <row r="568">
          <cell r="B568">
            <v>1012524</v>
          </cell>
          <cell r="C568">
            <v>2537</v>
          </cell>
        </row>
        <row r="569">
          <cell r="B569">
            <v>1012525</v>
          </cell>
          <cell r="C569">
            <v>460</v>
          </cell>
        </row>
        <row r="570">
          <cell r="B570">
            <v>1012526</v>
          </cell>
          <cell r="C570">
            <v>460</v>
          </cell>
        </row>
        <row r="571">
          <cell r="B571">
            <v>1012527</v>
          </cell>
          <cell r="C571">
            <v>560</v>
          </cell>
        </row>
        <row r="572">
          <cell r="B572">
            <v>1012532</v>
          </cell>
          <cell r="C572">
            <v>900</v>
          </cell>
        </row>
        <row r="573">
          <cell r="B573">
            <v>1012534</v>
          </cell>
          <cell r="C573">
            <v>13985</v>
          </cell>
        </row>
        <row r="574">
          <cell r="B574">
            <v>1012556</v>
          </cell>
          <cell r="C574">
            <v>45000</v>
          </cell>
        </row>
        <row r="575">
          <cell r="B575">
            <v>1012558</v>
          </cell>
          <cell r="C575">
            <v>2100</v>
          </cell>
        </row>
        <row r="576">
          <cell r="B576">
            <v>1012559</v>
          </cell>
          <cell r="C576">
            <v>2400</v>
          </cell>
        </row>
        <row r="577">
          <cell r="B577">
            <v>1012571</v>
          </cell>
          <cell r="C577">
            <v>6000</v>
          </cell>
        </row>
        <row r="578">
          <cell r="B578">
            <v>1012598</v>
          </cell>
          <cell r="C578">
            <v>1000</v>
          </cell>
        </row>
        <row r="579">
          <cell r="B579">
            <v>1012601</v>
          </cell>
          <cell r="C579">
            <v>58510.808696625099</v>
          </cell>
        </row>
        <row r="580">
          <cell r="B580">
            <v>1012612</v>
          </cell>
          <cell r="C580">
            <v>409000</v>
          </cell>
        </row>
        <row r="581">
          <cell r="B581">
            <v>1012654</v>
          </cell>
          <cell r="C581">
            <v>13000</v>
          </cell>
        </row>
        <row r="582">
          <cell r="B582">
            <v>1012655</v>
          </cell>
          <cell r="C582">
            <v>2300</v>
          </cell>
        </row>
        <row r="583">
          <cell r="B583">
            <v>1012674</v>
          </cell>
          <cell r="C583">
            <v>9000</v>
          </cell>
        </row>
        <row r="584">
          <cell r="B584">
            <v>1012681</v>
          </cell>
          <cell r="C584">
            <v>8100</v>
          </cell>
        </row>
        <row r="585">
          <cell r="B585">
            <v>1012693</v>
          </cell>
          <cell r="C585">
            <v>8000</v>
          </cell>
        </row>
        <row r="586">
          <cell r="B586">
            <v>1012695</v>
          </cell>
          <cell r="C586">
            <v>7000</v>
          </cell>
        </row>
        <row r="587">
          <cell r="B587">
            <v>1012745</v>
          </cell>
          <cell r="C587">
            <v>500</v>
          </cell>
        </row>
        <row r="588">
          <cell r="B588">
            <v>1012763</v>
          </cell>
          <cell r="C588">
            <v>3000</v>
          </cell>
        </row>
        <row r="589">
          <cell r="B589">
            <v>1012764</v>
          </cell>
          <cell r="C589">
            <v>60000</v>
          </cell>
        </row>
        <row r="590">
          <cell r="B590">
            <v>1012799</v>
          </cell>
          <cell r="C590">
            <v>400</v>
          </cell>
        </row>
        <row r="591">
          <cell r="B591">
            <v>1030198</v>
          </cell>
          <cell r="C591">
            <v>0</v>
          </cell>
        </row>
        <row r="592">
          <cell r="B592">
            <v>1030319</v>
          </cell>
          <cell r="C592">
            <v>12500</v>
          </cell>
        </row>
        <row r="593">
          <cell r="B593">
            <v>1030095</v>
          </cell>
          <cell r="C593">
            <v>3000</v>
          </cell>
        </row>
        <row r="594">
          <cell r="B594">
            <v>1030444</v>
          </cell>
          <cell r="C594">
            <v>4000</v>
          </cell>
        </row>
        <row r="595">
          <cell r="B595">
            <v>1030023</v>
          </cell>
          <cell r="C595">
            <v>33057.887110888187</v>
          </cell>
        </row>
        <row r="596">
          <cell r="B596">
            <v>1030024</v>
          </cell>
          <cell r="C596">
            <v>2199.6080000000002</v>
          </cell>
        </row>
        <row r="597">
          <cell r="B597">
            <v>1030026</v>
          </cell>
          <cell r="C597">
            <v>36115.516331045896</v>
          </cell>
        </row>
        <row r="598">
          <cell r="B598">
            <v>1030028</v>
          </cell>
          <cell r="C598">
            <v>0</v>
          </cell>
        </row>
        <row r="599">
          <cell r="B599">
            <v>1030108</v>
          </cell>
          <cell r="C599">
            <v>2000</v>
          </cell>
        </row>
        <row r="600">
          <cell r="B600">
            <v>1030114</v>
          </cell>
          <cell r="C600">
            <v>0</v>
          </cell>
        </row>
        <row r="601">
          <cell r="B601">
            <v>1030239</v>
          </cell>
          <cell r="C601">
            <v>0</v>
          </cell>
        </row>
        <row r="602">
          <cell r="B602">
            <v>1030325</v>
          </cell>
          <cell r="C602">
            <v>0</v>
          </cell>
        </row>
        <row r="603">
          <cell r="B603">
            <v>1030332</v>
          </cell>
          <cell r="C603">
            <v>0</v>
          </cell>
        </row>
        <row r="604">
          <cell r="B604">
            <v>1030381</v>
          </cell>
          <cell r="C604">
            <v>0</v>
          </cell>
        </row>
        <row r="605">
          <cell r="B605">
            <v>1030525</v>
          </cell>
          <cell r="C605">
            <v>21030.816039306366</v>
          </cell>
        </row>
        <row r="606">
          <cell r="B606">
            <v>1030685</v>
          </cell>
          <cell r="C606">
            <v>23168.445083259892</v>
          </cell>
        </row>
        <row r="607">
          <cell r="B607">
            <v>1030718</v>
          </cell>
          <cell r="C607">
            <v>0</v>
          </cell>
        </row>
        <row r="608">
          <cell r="B608">
            <v>1030722</v>
          </cell>
          <cell r="C608">
            <v>2000</v>
          </cell>
        </row>
        <row r="609">
          <cell r="B609">
            <v>1030121</v>
          </cell>
          <cell r="C609">
            <v>0</v>
          </cell>
        </row>
        <row r="610">
          <cell r="B610">
            <v>1030124</v>
          </cell>
          <cell r="C610">
            <v>141500</v>
          </cell>
        </row>
        <row r="611">
          <cell r="B611">
            <v>1030004</v>
          </cell>
          <cell r="C611">
            <v>0</v>
          </cell>
        </row>
        <row r="612">
          <cell r="B612">
            <v>1030040</v>
          </cell>
          <cell r="C612">
            <v>0</v>
          </cell>
        </row>
        <row r="613">
          <cell r="B613">
            <v>1030041</v>
          </cell>
          <cell r="C613">
            <v>1000</v>
          </cell>
        </row>
        <row r="614">
          <cell r="B614">
            <v>1030042</v>
          </cell>
          <cell r="C614">
            <v>0</v>
          </cell>
        </row>
        <row r="615">
          <cell r="B615">
            <v>1030378</v>
          </cell>
          <cell r="C615">
            <v>0</v>
          </cell>
        </row>
        <row r="616">
          <cell r="B616">
            <v>1030419</v>
          </cell>
          <cell r="C616">
            <v>4000</v>
          </cell>
        </row>
        <row r="617">
          <cell r="B617">
            <v>1030498</v>
          </cell>
          <cell r="C617">
            <v>0</v>
          </cell>
        </row>
        <row r="618">
          <cell r="B618">
            <v>1030634</v>
          </cell>
          <cell r="C618">
            <v>0</v>
          </cell>
        </row>
        <row r="619">
          <cell r="B619">
            <v>1030635</v>
          </cell>
          <cell r="C619">
            <v>0</v>
          </cell>
        </row>
        <row r="620">
          <cell r="B620">
            <v>1030686</v>
          </cell>
          <cell r="C620">
            <v>29610.022829096899</v>
          </cell>
        </row>
        <row r="621">
          <cell r="B621">
            <v>1030710</v>
          </cell>
          <cell r="C621">
            <v>1548.2704992289923</v>
          </cell>
        </row>
        <row r="622">
          <cell r="B622">
            <v>1030711</v>
          </cell>
          <cell r="C622">
            <v>5233.6890166519788</v>
          </cell>
        </row>
        <row r="623">
          <cell r="B623">
            <v>1030684</v>
          </cell>
          <cell r="C623">
            <v>1455.596783400988</v>
          </cell>
        </row>
        <row r="624">
          <cell r="B624">
            <v>1030003</v>
          </cell>
          <cell r="C624">
            <v>0</v>
          </cell>
        </row>
        <row r="625">
          <cell r="B625">
            <v>1030039</v>
          </cell>
          <cell r="C625">
            <v>0</v>
          </cell>
        </row>
        <row r="626">
          <cell r="B626">
            <v>1030008</v>
          </cell>
          <cell r="C626">
            <v>0</v>
          </cell>
        </row>
        <row r="627">
          <cell r="B627">
            <v>1030366</v>
          </cell>
          <cell r="C627">
            <v>294</v>
          </cell>
        </row>
        <row r="628">
          <cell r="B628">
            <v>1030712</v>
          </cell>
          <cell r="C628">
            <v>0</v>
          </cell>
        </row>
        <row r="629">
          <cell r="B629">
            <v>1030009</v>
          </cell>
          <cell r="C629">
            <v>1000</v>
          </cell>
        </row>
        <row r="630">
          <cell r="B630">
            <v>1030010</v>
          </cell>
          <cell r="C630">
            <v>10500</v>
          </cell>
        </row>
        <row r="631">
          <cell r="B631">
            <v>1030052</v>
          </cell>
          <cell r="C631">
            <v>4564.7999999999993</v>
          </cell>
        </row>
        <row r="632">
          <cell r="B632">
            <v>1030053</v>
          </cell>
          <cell r="C632">
            <v>0</v>
          </cell>
        </row>
        <row r="633">
          <cell r="B633">
            <v>1030058</v>
          </cell>
          <cell r="C633">
            <v>0</v>
          </cell>
        </row>
        <row r="634">
          <cell r="B634">
            <v>1030068</v>
          </cell>
          <cell r="C634">
            <v>0</v>
          </cell>
        </row>
        <row r="635">
          <cell r="B635">
            <v>1030069</v>
          </cell>
          <cell r="C635">
            <v>6400</v>
          </cell>
        </row>
        <row r="636">
          <cell r="B636">
            <v>1030077</v>
          </cell>
          <cell r="C636">
            <v>4700</v>
          </cell>
        </row>
        <row r="637">
          <cell r="B637">
            <v>1030182</v>
          </cell>
          <cell r="C637">
            <v>6577.2</v>
          </cell>
        </row>
        <row r="638">
          <cell r="B638">
            <v>1030201</v>
          </cell>
          <cell r="C638">
            <v>2125.1999999999998</v>
          </cell>
        </row>
        <row r="639">
          <cell r="B639">
            <v>1030203</v>
          </cell>
          <cell r="C639">
            <v>2377.1999999999998</v>
          </cell>
        </row>
        <row r="640">
          <cell r="B640">
            <v>1030210</v>
          </cell>
          <cell r="C640">
            <v>5047.7999999999993</v>
          </cell>
        </row>
        <row r="641">
          <cell r="B641">
            <v>1030236</v>
          </cell>
          <cell r="C641">
            <v>0</v>
          </cell>
        </row>
        <row r="642">
          <cell r="B642">
            <v>1030265</v>
          </cell>
          <cell r="C642">
            <v>16000</v>
          </cell>
        </row>
        <row r="643">
          <cell r="B643">
            <v>1030271</v>
          </cell>
          <cell r="C643">
            <v>0</v>
          </cell>
        </row>
        <row r="644">
          <cell r="B644">
            <v>1030294</v>
          </cell>
          <cell r="C644">
            <v>0</v>
          </cell>
        </row>
        <row r="645">
          <cell r="B645">
            <v>1030327</v>
          </cell>
          <cell r="C645">
            <v>0</v>
          </cell>
        </row>
        <row r="646">
          <cell r="B646">
            <v>1030337</v>
          </cell>
          <cell r="C646">
            <v>0</v>
          </cell>
        </row>
        <row r="647">
          <cell r="B647">
            <v>1030379</v>
          </cell>
          <cell r="C647">
            <v>163747.58996278344</v>
          </cell>
        </row>
        <row r="648">
          <cell r="B648">
            <v>1030424</v>
          </cell>
          <cell r="C648">
            <v>15000</v>
          </cell>
        </row>
        <row r="649">
          <cell r="B649">
            <v>1030425</v>
          </cell>
          <cell r="C649">
            <v>10000.000000000004</v>
          </cell>
        </row>
        <row r="650">
          <cell r="B650">
            <v>1030452</v>
          </cell>
          <cell r="C650">
            <v>9300</v>
          </cell>
        </row>
        <row r="651">
          <cell r="B651">
            <v>1030461</v>
          </cell>
          <cell r="C651">
            <v>600</v>
          </cell>
        </row>
        <row r="652">
          <cell r="B652">
            <v>1030506</v>
          </cell>
          <cell r="C652">
            <v>0</v>
          </cell>
        </row>
        <row r="653">
          <cell r="B653">
            <v>1030542</v>
          </cell>
          <cell r="C653">
            <v>0</v>
          </cell>
        </row>
        <row r="654">
          <cell r="B654">
            <v>1030589</v>
          </cell>
          <cell r="C654">
            <v>0</v>
          </cell>
        </row>
        <row r="655">
          <cell r="B655">
            <v>1030592</v>
          </cell>
          <cell r="C655">
            <v>2236.4</v>
          </cell>
        </row>
        <row r="656">
          <cell r="B656">
            <v>1030593</v>
          </cell>
          <cell r="C656">
            <v>609</v>
          </cell>
        </row>
        <row r="657">
          <cell r="B657">
            <v>1030652</v>
          </cell>
          <cell r="C657">
            <v>0</v>
          </cell>
        </row>
        <row r="658">
          <cell r="B658">
            <v>1030657</v>
          </cell>
          <cell r="C658">
            <v>0</v>
          </cell>
        </row>
        <row r="659">
          <cell r="B659">
            <v>1030670</v>
          </cell>
          <cell r="C659">
            <v>25000</v>
          </cell>
        </row>
        <row r="660">
          <cell r="B660">
            <v>1030675</v>
          </cell>
          <cell r="C660">
            <v>0</v>
          </cell>
        </row>
        <row r="661">
          <cell r="B661">
            <v>1030702</v>
          </cell>
          <cell r="C661">
            <v>11784.270193301016</v>
          </cell>
        </row>
        <row r="662">
          <cell r="B662">
            <v>1030117</v>
          </cell>
          <cell r="C662">
            <v>16000</v>
          </cell>
        </row>
        <row r="663">
          <cell r="B663">
            <v>1030230</v>
          </cell>
          <cell r="C663">
            <v>0</v>
          </cell>
        </row>
        <row r="664">
          <cell r="B664">
            <v>1030255</v>
          </cell>
          <cell r="C664">
            <v>0</v>
          </cell>
        </row>
        <row r="665">
          <cell r="B665">
            <v>1030370</v>
          </cell>
          <cell r="C665">
            <v>3200</v>
          </cell>
        </row>
        <row r="666">
          <cell r="B666">
            <v>1030720</v>
          </cell>
          <cell r="C666">
            <v>6000</v>
          </cell>
        </row>
        <row r="667">
          <cell r="B667">
            <v>1030014</v>
          </cell>
          <cell r="C667">
            <v>1520</v>
          </cell>
        </row>
        <row r="668">
          <cell r="B668">
            <v>1030017</v>
          </cell>
          <cell r="C668">
            <v>580</v>
          </cell>
        </row>
        <row r="669">
          <cell r="B669">
            <v>1030018</v>
          </cell>
          <cell r="C669">
            <v>17988.999999999996</v>
          </cell>
        </row>
        <row r="670">
          <cell r="B670">
            <v>1030078</v>
          </cell>
          <cell r="C670">
            <v>0</v>
          </cell>
        </row>
        <row r="671">
          <cell r="B671">
            <v>1030083</v>
          </cell>
          <cell r="C671">
            <v>450</v>
          </cell>
        </row>
        <row r="672">
          <cell r="B672">
            <v>1030085</v>
          </cell>
          <cell r="C672">
            <v>17252.900000000001</v>
          </cell>
        </row>
        <row r="673">
          <cell r="B673">
            <v>1030088</v>
          </cell>
          <cell r="C673">
            <v>3973.2</v>
          </cell>
        </row>
        <row r="674">
          <cell r="B674">
            <v>1030224</v>
          </cell>
          <cell r="C674">
            <v>0</v>
          </cell>
        </row>
        <row r="675">
          <cell r="B675">
            <v>1030535</v>
          </cell>
          <cell r="C675">
            <v>0</v>
          </cell>
        </row>
        <row r="676">
          <cell r="B676">
            <v>1030671</v>
          </cell>
          <cell r="C676">
            <v>0</v>
          </cell>
        </row>
        <row r="677">
          <cell r="B677">
            <v>1030672</v>
          </cell>
          <cell r="C677">
            <v>0</v>
          </cell>
        </row>
        <row r="678">
          <cell r="B678">
            <v>1030683</v>
          </cell>
          <cell r="C678">
            <v>79006.825013813592</v>
          </cell>
        </row>
        <row r="679">
          <cell r="B679">
            <v>1030719</v>
          </cell>
          <cell r="C679">
            <v>0</v>
          </cell>
        </row>
        <row r="680">
          <cell r="B680">
            <v>1030020</v>
          </cell>
          <cell r="C680">
            <v>21369.199999999997</v>
          </cell>
        </row>
        <row r="681">
          <cell r="B681">
            <v>1030099</v>
          </cell>
          <cell r="C681">
            <v>9600</v>
          </cell>
        </row>
        <row r="682">
          <cell r="B682">
            <v>1030104</v>
          </cell>
          <cell r="C682">
            <v>0</v>
          </cell>
        </row>
        <row r="683">
          <cell r="B683">
            <v>1030211</v>
          </cell>
          <cell r="C683">
            <v>4670.3599999999997</v>
          </cell>
        </row>
        <row r="684">
          <cell r="B684">
            <v>1030228</v>
          </cell>
          <cell r="C684">
            <v>0</v>
          </cell>
        </row>
        <row r="685">
          <cell r="B685">
            <v>1030249</v>
          </cell>
          <cell r="C685">
            <v>0</v>
          </cell>
        </row>
        <row r="686">
          <cell r="B686">
            <v>1030275</v>
          </cell>
          <cell r="C686">
            <v>1663.8</v>
          </cell>
        </row>
        <row r="687">
          <cell r="B687">
            <v>1030279</v>
          </cell>
          <cell r="C687">
            <v>5000</v>
          </cell>
        </row>
        <row r="688">
          <cell r="B688">
            <v>1030445</v>
          </cell>
          <cell r="C688">
            <v>1700</v>
          </cell>
        </row>
        <row r="689">
          <cell r="B689">
            <v>1030543</v>
          </cell>
          <cell r="C689">
            <v>0</v>
          </cell>
        </row>
        <row r="690">
          <cell r="B690">
            <v>1030545</v>
          </cell>
          <cell r="C690">
            <v>0</v>
          </cell>
        </row>
        <row r="691">
          <cell r="B691">
            <v>1030549</v>
          </cell>
          <cell r="C691">
            <v>0</v>
          </cell>
        </row>
        <row r="692">
          <cell r="B692">
            <v>1030568</v>
          </cell>
          <cell r="C692">
            <v>4074</v>
          </cell>
        </row>
        <row r="693">
          <cell r="B693">
            <v>1030658</v>
          </cell>
          <cell r="C693">
            <v>62039.792784643396</v>
          </cell>
        </row>
        <row r="694">
          <cell r="B694">
            <v>1030665</v>
          </cell>
          <cell r="C694">
            <v>5162.4000000000005</v>
          </cell>
        </row>
        <row r="695">
          <cell r="B695">
            <v>1030679</v>
          </cell>
          <cell r="C695">
            <v>1306.8</v>
          </cell>
        </row>
        <row r="696">
          <cell r="B696">
            <v>1030680</v>
          </cell>
          <cell r="C696">
            <v>942.8</v>
          </cell>
        </row>
        <row r="697">
          <cell r="B697">
            <v>1030682</v>
          </cell>
          <cell r="C697">
            <v>6665.4000000000005</v>
          </cell>
        </row>
        <row r="698">
          <cell r="B698">
            <v>1030355</v>
          </cell>
          <cell r="C698">
            <v>15097.215587204011</v>
          </cell>
        </row>
        <row r="699">
          <cell r="B699">
            <v>1030775</v>
          </cell>
          <cell r="C699">
            <v>0</v>
          </cell>
        </row>
        <row r="700">
          <cell r="B700">
            <v>1030776</v>
          </cell>
          <cell r="C700">
            <v>3175</v>
          </cell>
        </row>
        <row r="701">
          <cell r="B701">
            <v>1030321</v>
          </cell>
          <cell r="C701">
            <v>1512</v>
          </cell>
        </row>
        <row r="702">
          <cell r="B702">
            <v>1030376</v>
          </cell>
          <cell r="C702">
            <v>1932</v>
          </cell>
        </row>
        <row r="703">
          <cell r="B703">
            <v>1030360</v>
          </cell>
          <cell r="C703">
            <v>574</v>
          </cell>
        </row>
        <row r="704">
          <cell r="B704">
            <v>1030359</v>
          </cell>
          <cell r="C704">
            <v>0</v>
          </cell>
        </row>
        <row r="705">
          <cell r="B705">
            <v>1030221</v>
          </cell>
          <cell r="C705">
            <v>0</v>
          </cell>
        </row>
        <row r="706">
          <cell r="B706">
            <v>1030428</v>
          </cell>
          <cell r="C706">
            <v>0</v>
          </cell>
        </row>
        <row r="707">
          <cell r="B707">
            <v>1030389</v>
          </cell>
          <cell r="C707">
            <v>0</v>
          </cell>
        </row>
        <row r="708">
          <cell r="B708">
            <v>1030309</v>
          </cell>
          <cell r="C708">
            <v>0</v>
          </cell>
        </row>
        <row r="709">
          <cell r="B709">
            <v>1030725</v>
          </cell>
          <cell r="C709">
            <v>0</v>
          </cell>
        </row>
        <row r="710">
          <cell r="B710">
            <v>1030016</v>
          </cell>
          <cell r="C710">
            <v>0</v>
          </cell>
        </row>
        <row r="711">
          <cell r="B711">
            <v>1030732</v>
          </cell>
          <cell r="C711">
            <v>0</v>
          </cell>
        </row>
        <row r="712">
          <cell r="B712">
            <v>1030566</v>
          </cell>
          <cell r="C712">
            <v>8000</v>
          </cell>
        </row>
        <row r="713">
          <cell r="B713">
            <v>1030733</v>
          </cell>
          <cell r="C713">
            <v>0</v>
          </cell>
        </row>
        <row r="714">
          <cell r="B714">
            <v>1030727</v>
          </cell>
          <cell r="C714">
            <v>0</v>
          </cell>
        </row>
        <row r="715">
          <cell r="B715">
            <v>1030661</v>
          </cell>
          <cell r="C715">
            <v>0</v>
          </cell>
        </row>
        <row r="716">
          <cell r="B716">
            <v>1030736</v>
          </cell>
          <cell r="C716">
            <v>0</v>
          </cell>
        </row>
        <row r="717">
          <cell r="B717">
            <v>1030735</v>
          </cell>
          <cell r="C717">
            <v>0</v>
          </cell>
        </row>
        <row r="718">
          <cell r="B718">
            <v>1030388</v>
          </cell>
          <cell r="C718">
            <v>3414.4727608583707</v>
          </cell>
        </row>
        <row r="719">
          <cell r="B719">
            <v>1030390</v>
          </cell>
          <cell r="C719">
            <v>0</v>
          </cell>
        </row>
        <row r="720">
          <cell r="B720">
            <v>1030737</v>
          </cell>
          <cell r="C720">
            <v>0</v>
          </cell>
        </row>
        <row r="721">
          <cell r="B721">
            <v>1030739</v>
          </cell>
          <cell r="C721">
            <v>0</v>
          </cell>
        </row>
        <row r="722">
          <cell r="B722">
            <v>1030730</v>
          </cell>
          <cell r="C722">
            <v>0</v>
          </cell>
        </row>
        <row r="723">
          <cell r="B723">
            <v>1030745</v>
          </cell>
          <cell r="C723">
            <v>0</v>
          </cell>
        </row>
        <row r="724">
          <cell r="B724">
            <v>1030744</v>
          </cell>
          <cell r="C724">
            <v>0</v>
          </cell>
        </row>
        <row r="725">
          <cell r="B725">
            <v>1030505</v>
          </cell>
          <cell r="C725">
            <v>0</v>
          </cell>
        </row>
        <row r="726">
          <cell r="B726">
            <v>1030740</v>
          </cell>
          <cell r="C726">
            <v>0</v>
          </cell>
        </row>
        <row r="727">
          <cell r="B727">
            <v>1030118</v>
          </cell>
          <cell r="C727">
            <v>0</v>
          </cell>
        </row>
        <row r="728">
          <cell r="B728">
            <v>1030724</v>
          </cell>
          <cell r="C728">
            <v>0</v>
          </cell>
        </row>
        <row r="729">
          <cell r="B729">
            <v>1030753</v>
          </cell>
          <cell r="C729">
            <v>0</v>
          </cell>
        </row>
        <row r="730">
          <cell r="B730">
            <v>1030755</v>
          </cell>
          <cell r="C730">
            <v>0</v>
          </cell>
        </row>
        <row r="731">
          <cell r="B731">
            <v>1030759</v>
          </cell>
          <cell r="C731">
            <v>0</v>
          </cell>
        </row>
        <row r="732">
          <cell r="B732">
            <v>1030760</v>
          </cell>
          <cell r="C732">
            <v>2000</v>
          </cell>
        </row>
        <row r="733">
          <cell r="B733">
            <v>1030757</v>
          </cell>
          <cell r="C733">
            <v>0</v>
          </cell>
        </row>
        <row r="734">
          <cell r="B734">
            <v>1030756</v>
          </cell>
          <cell r="C734">
            <v>0</v>
          </cell>
        </row>
        <row r="735">
          <cell r="B735">
            <v>1030765</v>
          </cell>
          <cell r="C735">
            <v>0</v>
          </cell>
        </row>
        <row r="736">
          <cell r="B736">
            <v>1030761</v>
          </cell>
          <cell r="C736">
            <v>528</v>
          </cell>
        </row>
        <row r="737">
          <cell r="B737">
            <v>1030743</v>
          </cell>
          <cell r="C737">
            <v>0</v>
          </cell>
        </row>
        <row r="738">
          <cell r="B738">
            <v>1030751</v>
          </cell>
          <cell r="C738">
            <v>0</v>
          </cell>
        </row>
        <row r="739">
          <cell r="B739">
            <v>1030762</v>
          </cell>
          <cell r="C739">
            <v>2100</v>
          </cell>
        </row>
        <row r="740">
          <cell r="B740">
            <v>1030555</v>
          </cell>
          <cell r="C740">
            <v>1568.5740090969973</v>
          </cell>
        </row>
        <row r="741">
          <cell r="B741">
            <v>1030517</v>
          </cell>
          <cell r="C741">
            <v>0</v>
          </cell>
        </row>
        <row r="742">
          <cell r="B742">
            <v>1030774</v>
          </cell>
          <cell r="C742">
            <v>0</v>
          </cell>
        </row>
        <row r="743">
          <cell r="B743">
            <v>1030742</v>
          </cell>
          <cell r="C743">
            <v>0</v>
          </cell>
        </row>
        <row r="744">
          <cell r="B744">
            <v>1030781</v>
          </cell>
          <cell r="C744">
            <v>0</v>
          </cell>
        </row>
        <row r="745">
          <cell r="B745">
            <v>1030780</v>
          </cell>
          <cell r="C745">
            <v>0</v>
          </cell>
        </row>
        <row r="746">
          <cell r="B746">
            <v>1030773</v>
          </cell>
          <cell r="C746">
            <v>2000</v>
          </cell>
        </row>
        <row r="747">
          <cell r="B747">
            <v>1030787</v>
          </cell>
          <cell r="C747">
            <v>0</v>
          </cell>
        </row>
        <row r="748">
          <cell r="B748">
            <v>1030786</v>
          </cell>
          <cell r="C748">
            <v>0</v>
          </cell>
        </row>
        <row r="749">
          <cell r="B749">
            <v>1030446</v>
          </cell>
          <cell r="C749">
            <v>0</v>
          </cell>
        </row>
        <row r="750">
          <cell r="B750">
            <v>1030782</v>
          </cell>
          <cell r="C750">
            <v>5100</v>
          </cell>
        </row>
        <row r="751">
          <cell r="B751">
            <v>1030783</v>
          </cell>
          <cell r="C751">
            <v>462</v>
          </cell>
        </row>
        <row r="752">
          <cell r="B752">
            <v>1030784</v>
          </cell>
          <cell r="C752">
            <v>686</v>
          </cell>
        </row>
        <row r="753">
          <cell r="B753">
            <v>1030785</v>
          </cell>
          <cell r="C753">
            <v>126</v>
          </cell>
        </row>
        <row r="754">
          <cell r="B754">
            <v>1030777</v>
          </cell>
          <cell r="C754">
            <v>0</v>
          </cell>
        </row>
        <row r="755">
          <cell r="B755">
            <v>1030792</v>
          </cell>
          <cell r="C755">
            <v>0</v>
          </cell>
        </row>
        <row r="756">
          <cell r="B756">
            <v>1030791</v>
          </cell>
          <cell r="C756">
            <v>400</v>
          </cell>
        </row>
        <row r="757">
          <cell r="B757">
            <v>1030802</v>
          </cell>
          <cell r="C757">
            <v>22500</v>
          </cell>
        </row>
        <row r="758">
          <cell r="B758">
            <v>1030801</v>
          </cell>
          <cell r="C758">
            <v>400</v>
          </cell>
        </row>
        <row r="759">
          <cell r="B759">
            <v>1030788</v>
          </cell>
          <cell r="C759">
            <v>0</v>
          </cell>
        </row>
        <row r="760">
          <cell r="B760">
            <v>1030793</v>
          </cell>
          <cell r="C760">
            <v>0</v>
          </cell>
        </row>
        <row r="761">
          <cell r="B761">
            <v>1030794</v>
          </cell>
          <cell r="C761">
            <v>0</v>
          </cell>
        </row>
        <row r="762">
          <cell r="B762">
            <v>1030795</v>
          </cell>
          <cell r="C762">
            <v>0</v>
          </cell>
        </row>
        <row r="763">
          <cell r="B763">
            <v>1030796</v>
          </cell>
          <cell r="C763">
            <v>0</v>
          </cell>
        </row>
        <row r="764">
          <cell r="B764">
            <v>1030797</v>
          </cell>
          <cell r="C764">
            <v>0</v>
          </cell>
        </row>
        <row r="765">
          <cell r="B765">
            <v>1030798</v>
          </cell>
          <cell r="C765">
            <v>0</v>
          </cell>
        </row>
        <row r="766">
          <cell r="B766">
            <v>1030804</v>
          </cell>
          <cell r="C766">
            <v>0</v>
          </cell>
        </row>
        <row r="767">
          <cell r="B767">
            <v>1030803</v>
          </cell>
          <cell r="C767">
            <v>500</v>
          </cell>
        </row>
        <row r="768">
          <cell r="B768">
            <v>1030818</v>
          </cell>
          <cell r="C768">
            <v>0</v>
          </cell>
        </row>
        <row r="769">
          <cell r="B769">
            <v>1030820</v>
          </cell>
          <cell r="C769">
            <v>0</v>
          </cell>
        </row>
        <row r="770">
          <cell r="B770">
            <v>1030821</v>
          </cell>
          <cell r="C770">
            <v>0</v>
          </cell>
        </row>
        <row r="771">
          <cell r="B771">
            <v>1030822</v>
          </cell>
          <cell r="C771">
            <v>0</v>
          </cell>
        </row>
        <row r="772">
          <cell r="B772">
            <v>1030823</v>
          </cell>
          <cell r="C772">
            <v>0</v>
          </cell>
        </row>
        <row r="773">
          <cell r="B773">
            <v>1030824</v>
          </cell>
          <cell r="C773">
            <v>0</v>
          </cell>
        </row>
        <row r="774">
          <cell r="B774">
            <v>1030810</v>
          </cell>
          <cell r="C774">
            <v>0</v>
          </cell>
        </row>
        <row r="775">
          <cell r="B775">
            <v>1030811</v>
          </cell>
          <cell r="C775">
            <v>0</v>
          </cell>
        </row>
        <row r="776">
          <cell r="B776">
            <v>1030812</v>
          </cell>
          <cell r="C776">
            <v>0</v>
          </cell>
        </row>
        <row r="777">
          <cell r="B777">
            <v>1030813</v>
          </cell>
          <cell r="C777">
            <v>0</v>
          </cell>
        </row>
        <row r="778">
          <cell r="B778">
            <v>1030814</v>
          </cell>
          <cell r="C778">
            <v>0</v>
          </cell>
        </row>
        <row r="779">
          <cell r="B779">
            <v>1030815</v>
          </cell>
          <cell r="C779">
            <v>0</v>
          </cell>
        </row>
        <row r="780">
          <cell r="B780">
            <v>1030816</v>
          </cell>
          <cell r="C780">
            <v>0</v>
          </cell>
        </row>
        <row r="781">
          <cell r="B781">
            <v>1030817</v>
          </cell>
          <cell r="C781">
            <v>0</v>
          </cell>
        </row>
        <row r="782">
          <cell r="B782">
            <v>1030071</v>
          </cell>
          <cell r="C782">
            <v>0</v>
          </cell>
        </row>
        <row r="783">
          <cell r="B783">
            <v>1030214</v>
          </cell>
          <cell r="C78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 - AP (zarpe mes n y n+1) "/>
      <sheetName val="Hoja2"/>
      <sheetName val="Hoja1"/>
    </sheetNames>
    <sheetDataSet>
      <sheetData sheetId="0"/>
      <sheetData sheetId="1">
        <row r="1">
          <cell r="A1" t="str">
            <v>Mes carga</v>
          </cell>
          <cell r="E1" t="str">
            <v>Mes carga</v>
          </cell>
          <cell r="F1">
            <v>8</v>
          </cell>
        </row>
        <row r="2">
          <cell r="E2" t="str">
            <v>ETD</v>
          </cell>
          <cell r="F2" t="str">
            <v>(Todas)</v>
          </cell>
        </row>
        <row r="3">
          <cell r="E3" t="str">
            <v>Fecha de Carga</v>
          </cell>
          <cell r="F3" t="str">
            <v>(Todas)</v>
          </cell>
        </row>
        <row r="5">
          <cell r="E5" t="str">
            <v>Oficina</v>
          </cell>
          <cell r="F5" t="str">
            <v>Material</v>
          </cell>
          <cell r="G5" t="str">
            <v>Suma de Total Kilos</v>
          </cell>
        </row>
        <row r="6">
          <cell r="D6" t="str">
            <v>AGROSUPER BRASIL1022218</v>
          </cell>
          <cell r="E6" t="str">
            <v>AGROSUPER BRASIL</v>
          </cell>
          <cell r="F6" t="str">
            <v>1022218</v>
          </cell>
          <cell r="G6">
            <v>24000</v>
          </cell>
        </row>
        <row r="7">
          <cell r="D7" t="str">
            <v>AGROSUPER BRASIL1022273</v>
          </cell>
          <cell r="E7" t="str">
            <v>AGROSUPER BRASIL</v>
          </cell>
          <cell r="F7" t="str">
            <v>1022273</v>
          </cell>
          <cell r="G7">
            <v>48000</v>
          </cell>
        </row>
        <row r="8">
          <cell r="D8" t="str">
            <v>AGROSUPER BRASIL1023329</v>
          </cell>
          <cell r="E8" t="str">
            <v>AGROSUPER BRASIL</v>
          </cell>
          <cell r="F8" t="str">
            <v>1023329</v>
          </cell>
          <cell r="G8">
            <v>24000</v>
          </cell>
        </row>
        <row r="9">
          <cell r="D9" t="str">
            <v>AGROSUPER BRASIL1023334</v>
          </cell>
          <cell r="E9" t="str">
            <v>AGROSUPER BRASIL</v>
          </cell>
          <cell r="F9" t="str">
            <v>1023334</v>
          </cell>
          <cell r="G9">
            <v>48000</v>
          </cell>
        </row>
        <row r="10">
          <cell r="D10" t="str">
            <v>AGROSUPER BRASIL1023336</v>
          </cell>
          <cell r="E10" t="str">
            <v>AGROSUPER BRASIL</v>
          </cell>
          <cell r="F10" t="str">
            <v>1023336</v>
          </cell>
          <cell r="G10">
            <v>24000</v>
          </cell>
        </row>
        <row r="11">
          <cell r="D11" t="str">
            <v>AGRO SUDAMERICA1012552</v>
          </cell>
          <cell r="E11" t="str">
            <v>AGRO SUDAMERICA</v>
          </cell>
          <cell r="F11" t="str">
            <v>1012552</v>
          </cell>
          <cell r="G11">
            <v>24000</v>
          </cell>
        </row>
        <row r="12">
          <cell r="D12" t="str">
            <v>AGRO SUDAMERICA1020339</v>
          </cell>
          <cell r="E12" t="str">
            <v>AGRO SUDAMERICA</v>
          </cell>
          <cell r="F12" t="str">
            <v>1020339</v>
          </cell>
          <cell r="G12">
            <v>24000</v>
          </cell>
        </row>
        <row r="13">
          <cell r="D13" t="str">
            <v>AGRO SUDAMERICA1020367</v>
          </cell>
          <cell r="E13" t="str">
            <v>AGRO SUDAMERICA</v>
          </cell>
          <cell r="F13" t="str">
            <v>1020367</v>
          </cell>
          <cell r="G13">
            <v>24000</v>
          </cell>
        </row>
        <row r="14">
          <cell r="D14" t="str">
            <v>AGRO SUDAMERICA1022920</v>
          </cell>
          <cell r="E14" t="str">
            <v>AGRO SUDAMERICA</v>
          </cell>
          <cell r="F14" t="str">
            <v>1022920</v>
          </cell>
          <cell r="G14">
            <v>24000</v>
          </cell>
        </row>
        <row r="15">
          <cell r="D15" t="str">
            <v>EXPORTACION DIRECTA1020105</v>
          </cell>
          <cell r="E15" t="str">
            <v>EXPORTACION DIRECTA</v>
          </cell>
          <cell r="F15" t="str">
            <v>1020105</v>
          </cell>
          <cell r="G15">
            <v>5500</v>
          </cell>
        </row>
        <row r="16">
          <cell r="D16" t="str">
            <v>EXPORTACION DIRECTA1020110</v>
          </cell>
          <cell r="E16" t="str">
            <v>EXPORTACION DIRECTA</v>
          </cell>
          <cell r="F16" t="str">
            <v>1020110</v>
          </cell>
          <cell r="G16">
            <v>1800</v>
          </cell>
        </row>
        <row r="17">
          <cell r="D17" t="str">
            <v>EXPORTACION DIRECTA1020326</v>
          </cell>
          <cell r="E17" t="str">
            <v>EXPORTACION DIRECTA</v>
          </cell>
          <cell r="F17" t="str">
            <v>1020326</v>
          </cell>
          <cell r="G17">
            <v>24000</v>
          </cell>
        </row>
        <row r="18">
          <cell r="D18" t="str">
            <v>EXPORTACION DIRECTA1020589</v>
          </cell>
          <cell r="E18" t="str">
            <v>EXPORTACION DIRECTA</v>
          </cell>
          <cell r="F18" t="str">
            <v>1020589</v>
          </cell>
          <cell r="G18">
            <v>5000</v>
          </cell>
        </row>
        <row r="19">
          <cell r="D19" t="str">
            <v>EXPORTACION DIRECTA1020592</v>
          </cell>
          <cell r="E19" t="str">
            <v>EXPORTACION DIRECTA</v>
          </cell>
          <cell r="F19" t="str">
            <v>1020592</v>
          </cell>
          <cell r="G19">
            <v>15800</v>
          </cell>
        </row>
        <row r="20">
          <cell r="D20" t="str">
            <v>EXPORTACION DIRECTA1020636</v>
          </cell>
          <cell r="E20" t="str">
            <v>EXPORTACION DIRECTA</v>
          </cell>
          <cell r="F20" t="str">
            <v>1020636</v>
          </cell>
          <cell r="G20">
            <v>2500</v>
          </cell>
        </row>
        <row r="21">
          <cell r="D21" t="str">
            <v>EXPORTACION DIRECTA1020637</v>
          </cell>
          <cell r="E21" t="str">
            <v>EXPORTACION DIRECTA</v>
          </cell>
          <cell r="F21" t="str">
            <v>1020637</v>
          </cell>
          <cell r="G21">
            <v>10860</v>
          </cell>
        </row>
        <row r="22">
          <cell r="D22" t="str">
            <v>EXPORTACION DIRECTA1020731</v>
          </cell>
          <cell r="E22" t="str">
            <v>EXPORTACION DIRECTA</v>
          </cell>
          <cell r="F22" t="str">
            <v>1020731</v>
          </cell>
          <cell r="G22">
            <v>3000</v>
          </cell>
        </row>
        <row r="23">
          <cell r="D23" t="str">
            <v>EXPORTACION DIRECTA1020802</v>
          </cell>
          <cell r="E23" t="str">
            <v>EXPORTACION DIRECTA</v>
          </cell>
          <cell r="F23" t="str">
            <v>1020802</v>
          </cell>
          <cell r="G23">
            <v>3000</v>
          </cell>
        </row>
        <row r="24">
          <cell r="D24" t="str">
            <v>EXPORTACION DIRECTA1022600</v>
          </cell>
          <cell r="E24" t="str">
            <v>EXPORTACION DIRECTA</v>
          </cell>
          <cell r="F24" t="str">
            <v>1022600</v>
          </cell>
          <cell r="G24">
            <v>2500</v>
          </cell>
        </row>
        <row r="25">
          <cell r="D25" t="str">
            <v>EXPORTACION DIRECTA1023194</v>
          </cell>
          <cell r="E25" t="str">
            <v>EXPORTACION DIRECTA</v>
          </cell>
          <cell r="F25" t="str">
            <v>1023194</v>
          </cell>
          <cell r="G25">
            <v>2500</v>
          </cell>
        </row>
        <row r="26">
          <cell r="D26" t="str">
            <v>EXPORTACION DIRECTA1023352</v>
          </cell>
          <cell r="E26" t="str">
            <v>EXPORTACION DIRECTA</v>
          </cell>
          <cell r="F26" t="str">
            <v>1023352</v>
          </cell>
          <cell r="G26">
            <v>3000</v>
          </cell>
        </row>
        <row r="27">
          <cell r="E27" t="str">
            <v>Total general</v>
          </cell>
          <cell r="G27">
            <v>343460</v>
          </cell>
        </row>
      </sheetData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edidos Planta-Puerto-Embarcado"/>
    </sheetNames>
    <sheetDataSet>
      <sheetData sheetId="0">
        <row r="1">
          <cell r="A1" t="str">
            <v>Considerado como pedido atrasado</v>
          </cell>
        </row>
        <row r="2">
          <cell r="A2" t="str">
            <v>ETD</v>
          </cell>
          <cell r="B2" t="str">
            <v>(Todas)</v>
          </cell>
        </row>
        <row r="3">
          <cell r="A3" t="str">
            <v>Mes zarpe</v>
          </cell>
          <cell r="B3">
            <v>9</v>
          </cell>
        </row>
        <row r="4">
          <cell r="A4" t="str">
            <v>Status del pedido</v>
          </cell>
          <cell r="B4" t="str">
            <v>(Varios elementos)</v>
          </cell>
        </row>
        <row r="5">
          <cell r="A5" t="str">
            <v>Considerado</v>
          </cell>
          <cell r="B5">
            <v>0</v>
          </cell>
        </row>
        <row r="6">
          <cell r="A6" t="str">
            <v>Tipo de venta</v>
          </cell>
          <cell r="B6" t="str">
            <v>VVDD</v>
          </cell>
        </row>
        <row r="8">
          <cell r="A8" t="str">
            <v>Suma de Kilos</v>
          </cell>
          <cell r="B8" t="str">
            <v>Ubicación (puerto / Planta)</v>
          </cell>
        </row>
        <row r="9">
          <cell r="A9" t="str">
            <v>Oficina Material</v>
          </cell>
          <cell r="B9" t="str">
            <v>Planta</v>
          </cell>
          <cell r="C9" t="str">
            <v>Puerto</v>
          </cell>
          <cell r="D9" t="str">
            <v>Total general</v>
          </cell>
        </row>
        <row r="10">
          <cell r="A10" t="str">
            <v>AGRO AMERICA1012145</v>
          </cell>
          <cell r="B10">
            <v>19974.366879384001</v>
          </cell>
          <cell r="C10"/>
          <cell r="D10">
            <v>19974.366879384001</v>
          </cell>
        </row>
        <row r="11">
          <cell r="A11" t="str">
            <v>AGRO AMERICA1012147</v>
          </cell>
          <cell r="B11"/>
          <cell r="C11">
            <v>18660.774880000001</v>
          </cell>
          <cell r="D11">
            <v>18660.774880000001</v>
          </cell>
        </row>
        <row r="12">
          <cell r="A12" t="str">
            <v>AGRO AMERICA1020822</v>
          </cell>
          <cell r="B12"/>
          <cell r="C12">
            <v>23931.953904239999</v>
          </cell>
          <cell r="D12">
            <v>23931.953904239999</v>
          </cell>
        </row>
        <row r="13">
          <cell r="A13" t="str">
            <v>AGRO MEXICO1012764</v>
          </cell>
          <cell r="B13"/>
          <cell r="C13">
            <v>143799.72000000003</v>
          </cell>
          <cell r="D13">
            <v>143799.72000000003</v>
          </cell>
        </row>
        <row r="14">
          <cell r="A14" t="str">
            <v>AGRO MEXICO1030802</v>
          </cell>
          <cell r="B14"/>
          <cell r="C14">
            <v>48008.182000000001</v>
          </cell>
          <cell r="D14">
            <v>48008.182000000001</v>
          </cell>
        </row>
        <row r="15">
          <cell r="A15" t="str">
            <v>AGRO SUDAMERICA1010877</v>
          </cell>
          <cell r="B15"/>
          <cell r="C15">
            <v>24000</v>
          </cell>
          <cell r="D15">
            <v>24000</v>
          </cell>
        </row>
        <row r="16">
          <cell r="A16" t="str">
            <v>AGRO SUDAMERICA1011421</v>
          </cell>
          <cell r="B16"/>
          <cell r="C16">
            <v>311848.69999999995</v>
          </cell>
          <cell r="D16">
            <v>311848.69999999995</v>
          </cell>
        </row>
        <row r="17">
          <cell r="A17" t="str">
            <v>AGRO SUDAMERICA1012556</v>
          </cell>
          <cell r="B17">
            <v>4000</v>
          </cell>
          <cell r="C17">
            <v>48002.509999999995</v>
          </cell>
          <cell r="D17">
            <v>52002.509999999995</v>
          </cell>
        </row>
        <row r="18">
          <cell r="A18" t="str">
            <v>AGRO SUDAMERICA1012719</v>
          </cell>
          <cell r="B18"/>
          <cell r="C18">
            <v>22590.38</v>
          </cell>
          <cell r="D18">
            <v>22590.38</v>
          </cell>
        </row>
        <row r="19">
          <cell r="A19" t="str">
            <v>AGRO SUDAMERICA1012763</v>
          </cell>
          <cell r="B19"/>
          <cell r="C19">
            <v>23982.75</v>
          </cell>
          <cell r="D19">
            <v>23982.75</v>
          </cell>
        </row>
        <row r="20">
          <cell r="A20" t="str">
            <v>AGRO SUDAMERICA1020017</v>
          </cell>
          <cell r="B20"/>
          <cell r="C20">
            <v>4001.22</v>
          </cell>
          <cell r="D20">
            <v>4001.22</v>
          </cell>
        </row>
        <row r="21">
          <cell r="A21" t="str">
            <v>AGRO SUDAMERICA1020339</v>
          </cell>
          <cell r="B21"/>
          <cell r="C21">
            <v>2518.3200000000002</v>
          </cell>
          <cell r="D21">
            <v>2518.3200000000002</v>
          </cell>
        </row>
        <row r="22">
          <cell r="A22" t="str">
            <v>AGRO SUDAMERICA1020367</v>
          </cell>
          <cell r="B22">
            <v>24000</v>
          </cell>
          <cell r="C22"/>
          <cell r="D22">
            <v>24000</v>
          </cell>
        </row>
        <row r="23">
          <cell r="A23" t="str">
            <v>AGRO SUDAMERICA1020848</v>
          </cell>
          <cell r="B23"/>
          <cell r="C23">
            <v>23796.98</v>
          </cell>
          <cell r="D23">
            <v>23796.98</v>
          </cell>
        </row>
        <row r="24">
          <cell r="A24" t="str">
            <v>AGRO SUDAMERICA1020944</v>
          </cell>
          <cell r="B24"/>
          <cell r="C24">
            <v>47974.38</v>
          </cell>
          <cell r="D24">
            <v>47974.38</v>
          </cell>
        </row>
        <row r="25">
          <cell r="A25" t="str">
            <v>AGRO SUDAMERICA1021023</v>
          </cell>
          <cell r="B25"/>
          <cell r="C25">
            <v>23997.03</v>
          </cell>
          <cell r="D25">
            <v>23997.03</v>
          </cell>
        </row>
        <row r="26">
          <cell r="A26" t="str">
            <v>AGRO SUDAMERICA1021082</v>
          </cell>
          <cell r="B26"/>
          <cell r="C26">
            <v>2505.58</v>
          </cell>
          <cell r="D26">
            <v>2505.58</v>
          </cell>
        </row>
        <row r="27">
          <cell r="A27" t="str">
            <v>AGRO SUDAMERICA1021092</v>
          </cell>
          <cell r="B27"/>
          <cell r="C27">
            <v>24016.53</v>
          </cell>
          <cell r="D27">
            <v>24016.53</v>
          </cell>
        </row>
        <row r="28">
          <cell r="A28" t="str">
            <v>AGRO SUDAMERICA1021819</v>
          </cell>
          <cell r="B28">
            <v>1</v>
          </cell>
          <cell r="C28"/>
          <cell r="D28">
            <v>1</v>
          </cell>
        </row>
        <row r="29">
          <cell r="A29" t="str">
            <v>AGRO SUDAMERICA1021976</v>
          </cell>
          <cell r="B29"/>
          <cell r="C29">
            <v>4003.94</v>
          </cell>
          <cell r="D29">
            <v>4003.94</v>
          </cell>
        </row>
        <row r="30">
          <cell r="A30" t="str">
            <v>AGRO SUDAMERICA1022709</v>
          </cell>
          <cell r="B30"/>
          <cell r="C30">
            <v>11011.61</v>
          </cell>
          <cell r="D30">
            <v>11011.61</v>
          </cell>
        </row>
        <row r="31">
          <cell r="A31" t="str">
            <v>AGRO SUDAMERICA1023355</v>
          </cell>
          <cell r="B31"/>
          <cell r="C31">
            <v>22500.02</v>
          </cell>
          <cell r="D31">
            <v>22500.02</v>
          </cell>
        </row>
        <row r="32">
          <cell r="A32" t="str">
            <v>AGROSUPER ASIA1012612</v>
          </cell>
          <cell r="B32"/>
          <cell r="C32">
            <v>143866.23999999999</v>
          </cell>
          <cell r="D32">
            <v>143866.23999999999</v>
          </cell>
        </row>
        <row r="33">
          <cell r="A33" t="str">
            <v>AGROSUPER ASIA1020860</v>
          </cell>
          <cell r="B33"/>
          <cell r="C33">
            <v>22009.75</v>
          </cell>
          <cell r="D33">
            <v>22009.75</v>
          </cell>
        </row>
        <row r="34">
          <cell r="A34" t="str">
            <v>AGROSUPER ASIA1020861</v>
          </cell>
          <cell r="B34"/>
          <cell r="C34">
            <v>22010.87</v>
          </cell>
          <cell r="D34">
            <v>22010.87</v>
          </cell>
        </row>
        <row r="35">
          <cell r="A35" t="str">
            <v>AGROSUPER ASIA1020904</v>
          </cell>
          <cell r="B35"/>
          <cell r="C35">
            <v>22012.3</v>
          </cell>
          <cell r="D35">
            <v>22012.3</v>
          </cell>
        </row>
        <row r="36">
          <cell r="A36" t="str">
            <v>AGROSUPER ASIA1020905</v>
          </cell>
          <cell r="B36"/>
          <cell r="C36">
            <v>22010.02</v>
          </cell>
          <cell r="D36">
            <v>22010.02</v>
          </cell>
        </row>
        <row r="37">
          <cell r="A37" t="str">
            <v>AGROSUPER ASIA1021012</v>
          </cell>
          <cell r="B37"/>
          <cell r="C37">
            <v>66222.06</v>
          </cell>
          <cell r="D37">
            <v>66222.06</v>
          </cell>
        </row>
        <row r="38">
          <cell r="A38" t="str">
            <v>AGROSUPER ASIA1021045</v>
          </cell>
          <cell r="B38"/>
          <cell r="C38">
            <v>22004.639999999999</v>
          </cell>
          <cell r="D38">
            <v>22004.639999999999</v>
          </cell>
        </row>
        <row r="39">
          <cell r="A39" t="str">
            <v>AGROSUPER ASIA1021046</v>
          </cell>
          <cell r="B39"/>
          <cell r="C39">
            <v>22011.06</v>
          </cell>
          <cell r="D39">
            <v>22011.06</v>
          </cell>
        </row>
        <row r="40">
          <cell r="A40" t="str">
            <v>AGROSUPER ASIA1021150</v>
          </cell>
          <cell r="B40"/>
          <cell r="C40">
            <v>66000</v>
          </cell>
          <cell r="D40">
            <v>66000</v>
          </cell>
        </row>
        <row r="41">
          <cell r="A41" t="str">
            <v>AGROSUPER ASIA1021151</v>
          </cell>
          <cell r="B41"/>
          <cell r="C41">
            <v>66000</v>
          </cell>
          <cell r="D41">
            <v>66000</v>
          </cell>
        </row>
        <row r="42">
          <cell r="A42" t="str">
            <v>AGROSUPER ASIA1021156</v>
          </cell>
          <cell r="B42"/>
          <cell r="C42">
            <v>24000</v>
          </cell>
          <cell r="D42">
            <v>24000</v>
          </cell>
        </row>
        <row r="43">
          <cell r="A43" t="str">
            <v>AGROSUPER ASIA1021470</v>
          </cell>
          <cell r="B43"/>
          <cell r="C43">
            <v>44011.659999999996</v>
          </cell>
          <cell r="D43">
            <v>44011.659999999996</v>
          </cell>
        </row>
        <row r="44">
          <cell r="A44" t="str">
            <v>AGROSUPER ASIA1022885</v>
          </cell>
          <cell r="B44"/>
          <cell r="C44">
            <v>176027.80000000002</v>
          </cell>
          <cell r="D44">
            <v>176027.80000000002</v>
          </cell>
        </row>
        <row r="45">
          <cell r="A45" t="str">
            <v>AGROSUPER ASIA1022887</v>
          </cell>
          <cell r="B45"/>
          <cell r="C45">
            <v>22011.200000000001</v>
          </cell>
          <cell r="D45">
            <v>22011.200000000001</v>
          </cell>
        </row>
        <row r="46">
          <cell r="A46" t="str">
            <v>AGROSUPER ASIA1022930</v>
          </cell>
          <cell r="B46"/>
          <cell r="C46">
            <v>22016.21</v>
          </cell>
          <cell r="D46">
            <v>22016.21</v>
          </cell>
        </row>
        <row r="47">
          <cell r="A47" t="str">
            <v>AGROSUPER ASIA1023038</v>
          </cell>
          <cell r="B47"/>
          <cell r="C47">
            <v>22009.96</v>
          </cell>
          <cell r="D47">
            <v>22009.96</v>
          </cell>
        </row>
        <row r="48">
          <cell r="A48" t="str">
            <v>AGROSUPER ASIA1023283</v>
          </cell>
          <cell r="B48"/>
          <cell r="C48">
            <v>47976.12</v>
          </cell>
          <cell r="D48">
            <v>47976.12</v>
          </cell>
        </row>
        <row r="49">
          <cell r="A49" t="str">
            <v>AGROSUPER SHANGHAI1012503</v>
          </cell>
          <cell r="B49"/>
          <cell r="C49">
            <v>16500</v>
          </cell>
          <cell r="D49">
            <v>16500</v>
          </cell>
        </row>
        <row r="50">
          <cell r="A50" t="str">
            <v>AGROSUPER SHANGHAI1012598</v>
          </cell>
          <cell r="B50"/>
          <cell r="C50">
            <v>7640</v>
          </cell>
          <cell r="D50">
            <v>7640</v>
          </cell>
        </row>
        <row r="51">
          <cell r="A51" t="str">
            <v>Total general</v>
          </cell>
          <cell r="B51">
            <v>47975.366879384004</v>
          </cell>
          <cell r="C51">
            <v>1687490.4707842399</v>
          </cell>
          <cell r="D51">
            <v>1735465.837663624</v>
          </cell>
        </row>
      </sheetData>
      <sheetData sheetId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om.sap.ip.bi.xl.hiddensheet"/>
      <sheetName val="Base S&amp;OP"/>
      <sheetName val="Cumplimiento mes N"/>
      <sheetName val="Cumplimiento volumen"/>
      <sheetName val="Efecto"/>
      <sheetName val="Facturación por nivel"/>
      <sheetName val="Presentación planes agosto"/>
      <sheetName val="MAPE Volumen"/>
      <sheetName val="MAPE precio"/>
      <sheetName val="BASE"/>
      <sheetName val="Cruce demandas"/>
      <sheetName val="Cruce plan irrestricto"/>
      <sheetName val="Hoja2"/>
      <sheetName val="Ultimos precios facturados"/>
      <sheetName val="Hoja1"/>
      <sheetName val="Ponderación Stock china"/>
      <sheetName val="Base ultimos planes"/>
      <sheetName val="Ultimos planes"/>
      <sheetName val="Ultimos planes NETO"/>
      <sheetName val="Ultimos planes por sector"/>
      <sheetName val="Consolidación plan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D6" t="str">
            <v>Motivo volumen</v>
          </cell>
          <cell r="E6" t="str">
            <v>(Todas)</v>
          </cell>
        </row>
        <row r="7">
          <cell r="D7" t="str">
            <v>Canal de distribución</v>
          </cell>
          <cell r="E7" t="str">
            <v>(Todas)</v>
          </cell>
        </row>
        <row r="8">
          <cell r="D8" t="str">
            <v>Nivel Jer. 3</v>
          </cell>
          <cell r="E8" t="str">
            <v>(Todas)</v>
          </cell>
        </row>
        <row r="10">
          <cell r="C10" t="str">
            <v xml:space="preserve"> Plan Total [KG]</v>
          </cell>
          <cell r="D10" t="str">
            <v xml:space="preserve"> Plan Total [KG]</v>
          </cell>
          <cell r="F10" t="str">
            <v>Mes natural</v>
          </cell>
        </row>
        <row r="11">
          <cell r="C11" t="str">
            <v>OficinaMaterial</v>
          </cell>
          <cell r="D11" t="str">
            <v>Oficina</v>
          </cell>
          <cell r="E11" t="str">
            <v>Material</v>
          </cell>
          <cell r="F11" t="str">
            <v>1</v>
          </cell>
          <cell r="G11" t="str">
            <v>2</v>
          </cell>
          <cell r="H11" t="str">
            <v>3</v>
          </cell>
          <cell r="I11" t="str">
            <v>4</v>
          </cell>
          <cell r="J11" t="str">
            <v>5</v>
          </cell>
          <cell r="K11" t="str">
            <v>6</v>
          </cell>
          <cell r="L11" t="str">
            <v>7</v>
          </cell>
          <cell r="M11" t="str">
            <v>8</v>
          </cell>
        </row>
        <row r="12">
          <cell r="C12" t="str">
            <v>Africa1010877</v>
          </cell>
          <cell r="D12" t="str">
            <v>Africa</v>
          </cell>
          <cell r="E12" t="str">
            <v>1010877</v>
          </cell>
          <cell r="F12"/>
          <cell r="G12"/>
          <cell r="H12">
            <v>48000</v>
          </cell>
          <cell r="I12">
            <v>48000</v>
          </cell>
          <cell r="J12">
            <v>72000</v>
          </cell>
          <cell r="K12"/>
          <cell r="L12"/>
          <cell r="M12"/>
        </row>
        <row r="13">
          <cell r="C13" t="str">
            <v>Africa1011042</v>
          </cell>
          <cell r="D13" t="str">
            <v>Africa</v>
          </cell>
          <cell r="E13" t="str">
            <v>1011042</v>
          </cell>
          <cell r="F13">
            <v>48000</v>
          </cell>
          <cell r="G13">
            <v>288000</v>
          </cell>
          <cell r="H13">
            <v>120000</v>
          </cell>
          <cell r="I13">
            <v>144000</v>
          </cell>
          <cell r="J13">
            <v>24000</v>
          </cell>
          <cell r="K13"/>
          <cell r="L13"/>
          <cell r="M13"/>
        </row>
        <row r="14">
          <cell r="C14" t="str">
            <v>Africa1012207</v>
          </cell>
          <cell r="D14" t="str">
            <v>Africa</v>
          </cell>
          <cell r="E14" t="str">
            <v>1012207</v>
          </cell>
          <cell r="F14"/>
          <cell r="G14"/>
          <cell r="H14">
            <v>31476</v>
          </cell>
          <cell r="I14"/>
          <cell r="J14"/>
          <cell r="K14"/>
          <cell r="L14"/>
          <cell r="M14"/>
        </row>
        <row r="15">
          <cell r="C15" t="str">
            <v>Africa1012719</v>
          </cell>
          <cell r="D15" t="str">
            <v>Africa</v>
          </cell>
          <cell r="E15" t="str">
            <v>1012719</v>
          </cell>
          <cell r="F15"/>
          <cell r="G15"/>
          <cell r="H15"/>
          <cell r="I15"/>
          <cell r="J15"/>
          <cell r="K15"/>
          <cell r="L15"/>
          <cell r="M15"/>
        </row>
        <row r="16">
          <cell r="C16" t="str">
            <v>Africa1030224</v>
          </cell>
          <cell r="D16" t="str">
            <v>Africa</v>
          </cell>
          <cell r="E16" t="str">
            <v>1030224</v>
          </cell>
          <cell r="F16">
            <v>12000</v>
          </cell>
          <cell r="G16"/>
          <cell r="H16">
            <v>48000</v>
          </cell>
          <cell r="I16">
            <v>52000</v>
          </cell>
          <cell r="J16">
            <v>96000</v>
          </cell>
          <cell r="K16"/>
          <cell r="L16"/>
          <cell r="M16"/>
        </row>
        <row r="17">
          <cell r="C17" t="str">
            <v>Africa1030332</v>
          </cell>
          <cell r="D17" t="str">
            <v>Africa</v>
          </cell>
          <cell r="E17" t="str">
            <v>1030332</v>
          </cell>
          <cell r="F17"/>
          <cell r="G17">
            <v>24000</v>
          </cell>
          <cell r="H17">
            <v>24000</v>
          </cell>
          <cell r="I17">
            <v>24000</v>
          </cell>
          <cell r="J17">
            <v>72000</v>
          </cell>
          <cell r="K17"/>
          <cell r="L17"/>
          <cell r="M17"/>
        </row>
        <row r="18">
          <cell r="C18" t="str">
            <v>Africa1030355</v>
          </cell>
          <cell r="D18" t="str">
            <v>Africa</v>
          </cell>
          <cell r="E18" t="str">
            <v>1030355</v>
          </cell>
          <cell r="F18">
            <v>72000</v>
          </cell>
          <cell r="G18">
            <v>72000</v>
          </cell>
          <cell r="H18">
            <v>72000</v>
          </cell>
          <cell r="I18">
            <v>72000</v>
          </cell>
          <cell r="J18"/>
          <cell r="K18"/>
          <cell r="L18"/>
          <cell r="M18"/>
        </row>
        <row r="19">
          <cell r="C19" t="str">
            <v>Africa1030378</v>
          </cell>
          <cell r="D19" t="str">
            <v>Africa</v>
          </cell>
          <cell r="E19" t="str">
            <v>1030378</v>
          </cell>
          <cell r="F19">
            <v>6000</v>
          </cell>
          <cell r="G19"/>
          <cell r="H19"/>
          <cell r="I19"/>
          <cell r="J19"/>
          <cell r="K19"/>
          <cell r="L19"/>
          <cell r="M19"/>
        </row>
        <row r="20">
          <cell r="C20" t="str">
            <v>Africa1030388</v>
          </cell>
          <cell r="D20" t="str">
            <v>Africa</v>
          </cell>
          <cell r="E20" t="str">
            <v>1030388</v>
          </cell>
          <cell r="F20">
            <v>6000</v>
          </cell>
          <cell r="G20"/>
          <cell r="H20"/>
          <cell r="I20"/>
          <cell r="J20"/>
          <cell r="K20"/>
          <cell r="L20"/>
          <cell r="M20"/>
        </row>
        <row r="21">
          <cell r="C21" t="str">
            <v>Africa1030545</v>
          </cell>
          <cell r="D21" t="str">
            <v>Africa</v>
          </cell>
          <cell r="E21" t="str">
            <v>1030545</v>
          </cell>
          <cell r="F21"/>
          <cell r="G21"/>
          <cell r="H21"/>
          <cell r="I21">
            <v>20000</v>
          </cell>
          <cell r="J21"/>
          <cell r="K21"/>
          <cell r="L21"/>
          <cell r="M21"/>
        </row>
        <row r="22">
          <cell r="C22" t="str">
            <v>Africa1030635</v>
          </cell>
          <cell r="D22" t="str">
            <v>Africa</v>
          </cell>
          <cell r="E22" t="str">
            <v>1030635</v>
          </cell>
          <cell r="F22"/>
          <cell r="G22"/>
          <cell r="H22"/>
          <cell r="I22"/>
          <cell r="J22"/>
          <cell r="K22"/>
          <cell r="L22"/>
          <cell r="M22"/>
        </row>
        <row r="23">
          <cell r="C23" t="str">
            <v>Agro America1010885</v>
          </cell>
          <cell r="D23" t="str">
            <v>Agro America</v>
          </cell>
          <cell r="E23" t="str">
            <v>1010885</v>
          </cell>
          <cell r="F23"/>
          <cell r="G23"/>
          <cell r="H23"/>
          <cell r="I23"/>
          <cell r="J23">
            <v>6095</v>
          </cell>
          <cell r="K23">
            <v>10089</v>
          </cell>
          <cell r="L23"/>
          <cell r="M23">
            <v>20000</v>
          </cell>
        </row>
        <row r="24">
          <cell r="C24" t="str">
            <v>Agro America1010886</v>
          </cell>
          <cell r="D24" t="str">
            <v>Agro America</v>
          </cell>
          <cell r="E24" t="str">
            <v>1010886</v>
          </cell>
          <cell r="F24"/>
          <cell r="G24"/>
          <cell r="H24"/>
          <cell r="I24"/>
          <cell r="J24">
            <v>24500</v>
          </cell>
          <cell r="K24">
            <v>1509</v>
          </cell>
          <cell r="L24"/>
          <cell r="M24">
            <v>60000</v>
          </cell>
        </row>
        <row r="25">
          <cell r="C25" t="str">
            <v>Agro America1010887</v>
          </cell>
          <cell r="D25" t="str">
            <v>Agro America</v>
          </cell>
          <cell r="E25" t="str">
            <v>1010887</v>
          </cell>
          <cell r="F25"/>
          <cell r="G25"/>
          <cell r="H25"/>
          <cell r="I25"/>
          <cell r="J25">
            <v>11746</v>
          </cell>
          <cell r="K25"/>
          <cell r="L25"/>
          <cell r="M25"/>
        </row>
        <row r="26">
          <cell r="C26" t="str">
            <v>Agro America1010888</v>
          </cell>
          <cell r="D26" t="str">
            <v>Agro America</v>
          </cell>
          <cell r="E26" t="str">
            <v>1010888</v>
          </cell>
          <cell r="F26"/>
          <cell r="G26"/>
          <cell r="H26"/>
          <cell r="I26"/>
          <cell r="J26">
            <v>2068</v>
          </cell>
          <cell r="K26">
            <v>4059</v>
          </cell>
          <cell r="L26"/>
          <cell r="M26"/>
        </row>
        <row r="27">
          <cell r="C27" t="str">
            <v>Agro America1011120</v>
          </cell>
          <cell r="D27" t="str">
            <v>Agro America</v>
          </cell>
          <cell r="E27" t="str">
            <v>1011120</v>
          </cell>
          <cell r="F27"/>
          <cell r="G27"/>
          <cell r="H27"/>
          <cell r="I27"/>
          <cell r="J27"/>
          <cell r="K27"/>
          <cell r="L27"/>
          <cell r="M27"/>
        </row>
        <row r="28">
          <cell r="C28" t="str">
            <v>Agro America1011250</v>
          </cell>
          <cell r="D28" t="str">
            <v>Agro America</v>
          </cell>
          <cell r="E28" t="str">
            <v>1011250</v>
          </cell>
          <cell r="F28">
            <v>18143.716</v>
          </cell>
          <cell r="G28">
            <v>6469</v>
          </cell>
          <cell r="H28">
            <v>907</v>
          </cell>
          <cell r="I28"/>
          <cell r="J28">
            <v>25213</v>
          </cell>
          <cell r="K28">
            <v>24385</v>
          </cell>
          <cell r="L28">
            <v>22952</v>
          </cell>
          <cell r="M28">
            <v>10000</v>
          </cell>
        </row>
        <row r="29">
          <cell r="C29" t="str">
            <v>Agro America1011701</v>
          </cell>
          <cell r="D29" t="str">
            <v>Agro America</v>
          </cell>
          <cell r="E29" t="str">
            <v>1011701</v>
          </cell>
          <cell r="F29">
            <v>18138.726999999999</v>
          </cell>
          <cell r="G29"/>
          <cell r="H29">
            <v>53978</v>
          </cell>
          <cell r="I29">
            <v>35380</v>
          </cell>
          <cell r="J29">
            <v>145087</v>
          </cell>
          <cell r="K29">
            <v>149076</v>
          </cell>
          <cell r="L29">
            <v>226381</v>
          </cell>
          <cell r="M29">
            <v>160000</v>
          </cell>
        </row>
        <row r="30">
          <cell r="C30" t="str">
            <v>Agro America1012038</v>
          </cell>
          <cell r="D30" t="str">
            <v>Agro America</v>
          </cell>
          <cell r="E30" t="str">
            <v>1012038</v>
          </cell>
          <cell r="F30"/>
          <cell r="G30"/>
          <cell r="H30"/>
          <cell r="I30"/>
          <cell r="J30">
            <v>10956</v>
          </cell>
          <cell r="K30">
            <v>5308</v>
          </cell>
          <cell r="L30"/>
          <cell r="M30">
            <v>20000</v>
          </cell>
        </row>
        <row r="31">
          <cell r="C31" t="str">
            <v>Agro America1012107</v>
          </cell>
          <cell r="D31" t="str">
            <v>Agro America</v>
          </cell>
          <cell r="E31" t="str">
            <v>1012107</v>
          </cell>
          <cell r="F31"/>
          <cell r="G31"/>
          <cell r="H31"/>
          <cell r="I31">
            <v>174180</v>
          </cell>
          <cell r="J31"/>
          <cell r="K31"/>
          <cell r="L31"/>
          <cell r="M31"/>
        </row>
        <row r="32">
          <cell r="C32" t="str">
            <v>Agro America1012108</v>
          </cell>
          <cell r="D32" t="str">
            <v>Agro America</v>
          </cell>
          <cell r="E32" t="str">
            <v>1012108</v>
          </cell>
          <cell r="F32"/>
          <cell r="G32"/>
          <cell r="H32"/>
          <cell r="I32">
            <v>264898</v>
          </cell>
          <cell r="J32"/>
          <cell r="K32"/>
          <cell r="L32"/>
          <cell r="M32"/>
        </row>
        <row r="33">
          <cell r="C33" t="str">
            <v>Agro America1012109</v>
          </cell>
          <cell r="D33" t="str">
            <v>Agro America</v>
          </cell>
          <cell r="E33" t="str">
            <v>1012109</v>
          </cell>
          <cell r="F33"/>
          <cell r="G33"/>
          <cell r="H33"/>
          <cell r="I33">
            <v>267620</v>
          </cell>
          <cell r="J33"/>
          <cell r="K33"/>
          <cell r="L33"/>
          <cell r="M33"/>
        </row>
        <row r="34">
          <cell r="C34" t="str">
            <v>Agro America1012110</v>
          </cell>
          <cell r="D34" t="str">
            <v>Agro America</v>
          </cell>
          <cell r="E34" t="str">
            <v>1012110</v>
          </cell>
          <cell r="F34"/>
          <cell r="G34"/>
          <cell r="H34"/>
          <cell r="I34">
            <v>128820</v>
          </cell>
          <cell r="J34"/>
          <cell r="K34"/>
          <cell r="L34"/>
          <cell r="M34"/>
        </row>
        <row r="35">
          <cell r="C35" t="str">
            <v>Agro America1012111</v>
          </cell>
          <cell r="D35" t="str">
            <v>Agro America</v>
          </cell>
          <cell r="E35" t="str">
            <v>1012111</v>
          </cell>
          <cell r="F35"/>
          <cell r="G35"/>
          <cell r="H35"/>
          <cell r="I35">
            <v>94347</v>
          </cell>
          <cell r="J35"/>
          <cell r="K35"/>
          <cell r="L35"/>
          <cell r="M35"/>
        </row>
        <row r="36">
          <cell r="C36" t="str">
            <v>Agro America1012112</v>
          </cell>
          <cell r="D36" t="str">
            <v>Agro America</v>
          </cell>
          <cell r="E36" t="str">
            <v>1012112</v>
          </cell>
          <cell r="F36"/>
          <cell r="G36"/>
          <cell r="H36"/>
          <cell r="I36">
            <v>21319</v>
          </cell>
          <cell r="J36"/>
          <cell r="K36"/>
          <cell r="L36"/>
          <cell r="M36"/>
        </row>
        <row r="37">
          <cell r="C37" t="str">
            <v>Agro America1012122</v>
          </cell>
          <cell r="D37" t="str">
            <v>Agro America</v>
          </cell>
          <cell r="E37" t="str">
            <v>1012122</v>
          </cell>
          <cell r="F37"/>
          <cell r="G37"/>
          <cell r="H37"/>
          <cell r="I37"/>
          <cell r="J37"/>
          <cell r="K37"/>
          <cell r="L37"/>
          <cell r="M37">
            <v>20000</v>
          </cell>
        </row>
        <row r="38">
          <cell r="C38" t="str">
            <v>Agro America1012145</v>
          </cell>
          <cell r="D38" t="str">
            <v>Agro America</v>
          </cell>
          <cell r="E38" t="str">
            <v>1012145</v>
          </cell>
          <cell r="F38">
            <v>98792.535999999993</v>
          </cell>
          <cell r="G38">
            <v>4319.43</v>
          </cell>
          <cell r="H38">
            <v>45359</v>
          </cell>
          <cell r="I38">
            <v>54885</v>
          </cell>
          <cell r="J38">
            <v>19755</v>
          </cell>
          <cell r="K38">
            <v>118129</v>
          </cell>
          <cell r="L38">
            <v>115301</v>
          </cell>
          <cell r="M38">
            <v>240000</v>
          </cell>
        </row>
        <row r="39">
          <cell r="C39" t="str">
            <v>Agro America1012147</v>
          </cell>
          <cell r="D39" t="str">
            <v>Agro America</v>
          </cell>
          <cell r="E39" t="str">
            <v>1012147</v>
          </cell>
          <cell r="F39">
            <v>64668.288</v>
          </cell>
          <cell r="G39">
            <v>37000</v>
          </cell>
          <cell r="H39">
            <v>18597</v>
          </cell>
          <cell r="I39">
            <v>136985</v>
          </cell>
          <cell r="J39">
            <v>105039</v>
          </cell>
          <cell r="K39">
            <v>60000</v>
          </cell>
          <cell r="L39">
            <v>178398</v>
          </cell>
          <cell r="M39">
            <v>140000</v>
          </cell>
        </row>
        <row r="40">
          <cell r="C40" t="str">
            <v>Agro America1012148</v>
          </cell>
          <cell r="D40" t="str">
            <v>Agro America</v>
          </cell>
          <cell r="E40" t="str">
            <v>1012148</v>
          </cell>
          <cell r="F40">
            <v>177826.56400000001</v>
          </cell>
          <cell r="G40">
            <v>22722</v>
          </cell>
          <cell r="H40">
            <v>60328</v>
          </cell>
          <cell r="I40">
            <v>151046</v>
          </cell>
          <cell r="J40">
            <v>61211</v>
          </cell>
          <cell r="K40">
            <v>106000</v>
          </cell>
          <cell r="L40">
            <v>115391</v>
          </cell>
          <cell r="M40">
            <v>160000</v>
          </cell>
        </row>
        <row r="41">
          <cell r="C41" t="str">
            <v>Agro America1012157</v>
          </cell>
          <cell r="D41" t="str">
            <v>Agro America</v>
          </cell>
          <cell r="E41" t="str">
            <v>1012157</v>
          </cell>
          <cell r="F41">
            <v>69853.308000000005</v>
          </cell>
          <cell r="G41">
            <v>85790.91</v>
          </cell>
          <cell r="H41">
            <v>58967</v>
          </cell>
          <cell r="I41">
            <v>19504</v>
          </cell>
          <cell r="J41">
            <v>90466</v>
          </cell>
          <cell r="K41">
            <v>36776</v>
          </cell>
          <cell r="L41">
            <v>39680</v>
          </cell>
          <cell r="M41">
            <v>10877</v>
          </cell>
        </row>
        <row r="42">
          <cell r="C42" t="str">
            <v>Agro America1012158</v>
          </cell>
          <cell r="D42" t="str">
            <v>Agro America</v>
          </cell>
          <cell r="E42" t="str">
            <v>1012158</v>
          </cell>
          <cell r="F42">
            <v>31189.047999999999</v>
          </cell>
          <cell r="G42">
            <v>41596.31</v>
          </cell>
          <cell r="H42">
            <v>31752</v>
          </cell>
          <cell r="I42">
            <v>92533</v>
          </cell>
          <cell r="J42">
            <v>54884</v>
          </cell>
          <cell r="K42">
            <v>32448</v>
          </cell>
          <cell r="L42">
            <v>91753</v>
          </cell>
          <cell r="M42">
            <v>140000</v>
          </cell>
        </row>
        <row r="43">
          <cell r="C43" t="str">
            <v>Agro America1012159</v>
          </cell>
          <cell r="D43" t="str">
            <v>Agro America</v>
          </cell>
          <cell r="E43" t="str">
            <v>1012159</v>
          </cell>
          <cell r="F43">
            <v>183686.98499999999</v>
          </cell>
          <cell r="G43">
            <v>120000</v>
          </cell>
          <cell r="H43">
            <v>117934</v>
          </cell>
          <cell r="I43">
            <v>246755</v>
          </cell>
          <cell r="J43">
            <v>598912</v>
          </cell>
          <cell r="K43">
            <v>414793</v>
          </cell>
          <cell r="L43">
            <v>396041</v>
          </cell>
          <cell r="M43">
            <v>380000</v>
          </cell>
        </row>
        <row r="44">
          <cell r="C44" t="str">
            <v>Agro America1012160</v>
          </cell>
          <cell r="D44" t="str">
            <v>Agro America</v>
          </cell>
          <cell r="E44" t="str">
            <v>1012160</v>
          </cell>
          <cell r="F44">
            <v>97976.067999999999</v>
          </cell>
          <cell r="G44">
            <v>67372.72</v>
          </cell>
          <cell r="H44">
            <v>19958</v>
          </cell>
          <cell r="I44">
            <v>22680</v>
          </cell>
          <cell r="J44"/>
          <cell r="K44"/>
          <cell r="L44">
            <v>63866</v>
          </cell>
          <cell r="M44">
            <v>60000</v>
          </cell>
        </row>
        <row r="45">
          <cell r="C45" t="str">
            <v>Agro America1012161</v>
          </cell>
          <cell r="D45" t="str">
            <v>Agro America</v>
          </cell>
          <cell r="E45" t="str">
            <v>1012161</v>
          </cell>
          <cell r="F45">
            <v>50076.656999999999</v>
          </cell>
          <cell r="G45">
            <v>70000</v>
          </cell>
          <cell r="H45">
            <v>39009</v>
          </cell>
          <cell r="I45">
            <v>43545</v>
          </cell>
          <cell r="J45">
            <v>33955</v>
          </cell>
          <cell r="K45">
            <v>96960</v>
          </cell>
          <cell r="L45">
            <v>126099</v>
          </cell>
          <cell r="M45">
            <v>80000</v>
          </cell>
        </row>
        <row r="46">
          <cell r="C46" t="str">
            <v>Agro America1012163</v>
          </cell>
          <cell r="D46" t="str">
            <v>Agro America</v>
          </cell>
          <cell r="E46" t="str">
            <v>1012163</v>
          </cell>
          <cell r="F46">
            <v>163656.32199999999</v>
          </cell>
          <cell r="G46">
            <v>186735</v>
          </cell>
          <cell r="H46">
            <v>142428</v>
          </cell>
          <cell r="I46">
            <v>30391</v>
          </cell>
          <cell r="J46">
            <v>163780</v>
          </cell>
          <cell r="K46">
            <v>118287</v>
          </cell>
          <cell r="L46">
            <v>106975</v>
          </cell>
          <cell r="M46">
            <v>120000</v>
          </cell>
        </row>
        <row r="47">
          <cell r="C47" t="str">
            <v>Agro America1012164</v>
          </cell>
          <cell r="D47" t="str">
            <v>Agro America</v>
          </cell>
          <cell r="E47" t="str">
            <v>1012164</v>
          </cell>
          <cell r="F47">
            <v>23586.830999999998</v>
          </cell>
          <cell r="G47">
            <v>108000</v>
          </cell>
          <cell r="H47">
            <v>76204</v>
          </cell>
          <cell r="I47">
            <v>94347</v>
          </cell>
          <cell r="J47">
            <v>88916</v>
          </cell>
          <cell r="K47">
            <v>67235</v>
          </cell>
          <cell r="L47">
            <v>21772</v>
          </cell>
          <cell r="M47">
            <v>20000</v>
          </cell>
        </row>
        <row r="48">
          <cell r="C48" t="str">
            <v>Agro America1012165</v>
          </cell>
          <cell r="D48" t="str">
            <v>Agro America</v>
          </cell>
          <cell r="E48" t="str">
            <v>1012165</v>
          </cell>
          <cell r="F48">
            <v>824781.59499999997</v>
          </cell>
          <cell r="G48">
            <v>1121000</v>
          </cell>
          <cell r="H48">
            <v>1164373</v>
          </cell>
          <cell r="I48">
            <v>430913</v>
          </cell>
          <cell r="J48">
            <v>697121</v>
          </cell>
          <cell r="K48">
            <v>751522</v>
          </cell>
          <cell r="L48">
            <v>560152</v>
          </cell>
          <cell r="M48">
            <v>640000</v>
          </cell>
        </row>
        <row r="49">
          <cell r="C49" t="str">
            <v>Agro America1012166</v>
          </cell>
          <cell r="D49" t="str">
            <v>Agro America</v>
          </cell>
          <cell r="E49" t="str">
            <v>1012166</v>
          </cell>
          <cell r="F49">
            <v>19958.088</v>
          </cell>
          <cell r="G49">
            <v>21000</v>
          </cell>
          <cell r="H49">
            <v>72575</v>
          </cell>
          <cell r="I49">
            <v>62142</v>
          </cell>
          <cell r="J49">
            <v>80456</v>
          </cell>
          <cell r="K49">
            <v>27000</v>
          </cell>
          <cell r="L49">
            <v>10868</v>
          </cell>
          <cell r="M49"/>
        </row>
        <row r="50">
          <cell r="C50" t="str">
            <v>Agro America1012167</v>
          </cell>
          <cell r="D50" t="str">
            <v>Agro America</v>
          </cell>
          <cell r="E50" t="str">
            <v>1012167</v>
          </cell>
          <cell r="F50">
            <v>313886.29300000001</v>
          </cell>
          <cell r="G50">
            <v>119080.72</v>
          </cell>
          <cell r="H50">
            <v>217725</v>
          </cell>
          <cell r="I50">
            <v>548847</v>
          </cell>
          <cell r="J50">
            <v>335641</v>
          </cell>
          <cell r="K50">
            <v>247186</v>
          </cell>
          <cell r="L50">
            <v>433500</v>
          </cell>
          <cell r="M50">
            <v>380000</v>
          </cell>
        </row>
        <row r="51">
          <cell r="C51" t="str">
            <v>Agro America1012310</v>
          </cell>
          <cell r="D51" t="str">
            <v>Agro America</v>
          </cell>
          <cell r="E51" t="str">
            <v>1012310</v>
          </cell>
          <cell r="F51"/>
          <cell r="G51"/>
          <cell r="H51"/>
          <cell r="I51"/>
          <cell r="J51"/>
          <cell r="K51"/>
          <cell r="L51"/>
          <cell r="M51"/>
        </row>
        <row r="52">
          <cell r="C52" t="str">
            <v>Agro America1012325</v>
          </cell>
          <cell r="D52" t="str">
            <v>Agro America</v>
          </cell>
          <cell r="E52" t="str">
            <v>1012325</v>
          </cell>
          <cell r="F52"/>
          <cell r="G52"/>
          <cell r="H52"/>
          <cell r="I52"/>
          <cell r="J52"/>
          <cell r="K52"/>
          <cell r="L52"/>
          <cell r="M52"/>
        </row>
        <row r="53">
          <cell r="C53" t="str">
            <v>Agro America1012399</v>
          </cell>
          <cell r="D53" t="str">
            <v>Agro America</v>
          </cell>
          <cell r="E53" t="str">
            <v>1012399</v>
          </cell>
          <cell r="F53">
            <v>18256.661</v>
          </cell>
          <cell r="G53"/>
          <cell r="H53"/>
          <cell r="I53"/>
          <cell r="J53"/>
          <cell r="K53"/>
          <cell r="L53"/>
          <cell r="M53"/>
        </row>
        <row r="54">
          <cell r="C54" t="str">
            <v>Agro America1012401</v>
          </cell>
          <cell r="D54" t="str">
            <v>Agro America</v>
          </cell>
          <cell r="E54" t="str">
            <v>1012401</v>
          </cell>
          <cell r="F54"/>
          <cell r="G54"/>
          <cell r="H54"/>
          <cell r="I54">
            <v>18144</v>
          </cell>
          <cell r="J54"/>
          <cell r="K54"/>
          <cell r="L54"/>
          <cell r="M54"/>
        </row>
        <row r="55">
          <cell r="C55" t="str">
            <v>Agro America1012483</v>
          </cell>
          <cell r="D55" t="str">
            <v>Agro America</v>
          </cell>
          <cell r="E55" t="str">
            <v>1012483</v>
          </cell>
          <cell r="F55">
            <v>172801</v>
          </cell>
          <cell r="G55">
            <v>328000</v>
          </cell>
          <cell r="H55">
            <v>290299</v>
          </cell>
          <cell r="I55">
            <v>228611</v>
          </cell>
          <cell r="J55">
            <v>350665</v>
          </cell>
          <cell r="K55">
            <v>549000</v>
          </cell>
          <cell r="L55">
            <v>324990</v>
          </cell>
          <cell r="M55">
            <v>295000</v>
          </cell>
        </row>
        <row r="56">
          <cell r="C56" t="str">
            <v>Agro America1012488</v>
          </cell>
          <cell r="D56" t="str">
            <v>Agro America</v>
          </cell>
          <cell r="E56" t="str">
            <v>1012488</v>
          </cell>
          <cell r="F56"/>
          <cell r="G56">
            <v>10669</v>
          </cell>
          <cell r="H56">
            <v>10433</v>
          </cell>
          <cell r="I56"/>
          <cell r="J56"/>
          <cell r="K56"/>
          <cell r="L56"/>
          <cell r="M56">
            <v>120000</v>
          </cell>
        </row>
        <row r="57">
          <cell r="C57" t="str">
            <v>Agro America1012518</v>
          </cell>
          <cell r="D57" t="str">
            <v>Agro America</v>
          </cell>
          <cell r="E57" t="str">
            <v>1012518</v>
          </cell>
          <cell r="F57">
            <v>109842.05899999999</v>
          </cell>
          <cell r="G57">
            <v>108000</v>
          </cell>
          <cell r="H57">
            <v>127006</v>
          </cell>
          <cell r="I57">
            <v>72575</v>
          </cell>
          <cell r="J57">
            <v>145437</v>
          </cell>
          <cell r="K57">
            <v>143006</v>
          </cell>
          <cell r="L57">
            <v>109570</v>
          </cell>
          <cell r="M57">
            <v>140000</v>
          </cell>
        </row>
        <row r="58">
          <cell r="C58" t="str">
            <v>Agro America1012519</v>
          </cell>
          <cell r="D58" t="str">
            <v>Agro America</v>
          </cell>
          <cell r="E58" t="str">
            <v>1012519</v>
          </cell>
          <cell r="F58">
            <v>220446.15400000001</v>
          </cell>
          <cell r="G58">
            <v>213152</v>
          </cell>
          <cell r="H58">
            <v>176901</v>
          </cell>
          <cell r="I58"/>
          <cell r="J58">
            <v>236798</v>
          </cell>
          <cell r="K58">
            <v>262516</v>
          </cell>
          <cell r="L58">
            <v>303960</v>
          </cell>
          <cell r="M58">
            <v>200000</v>
          </cell>
        </row>
        <row r="59">
          <cell r="C59" t="str">
            <v>Agro America1012520</v>
          </cell>
          <cell r="D59" t="str">
            <v>Agro America</v>
          </cell>
          <cell r="E59" t="str">
            <v>1012520</v>
          </cell>
          <cell r="F59">
            <v>261323.94699999999</v>
          </cell>
          <cell r="G59">
            <v>164881</v>
          </cell>
          <cell r="H59">
            <v>340195</v>
          </cell>
          <cell r="I59"/>
          <cell r="J59">
            <v>376598</v>
          </cell>
          <cell r="K59">
            <v>396096</v>
          </cell>
          <cell r="L59">
            <v>456268</v>
          </cell>
          <cell r="M59">
            <v>480000</v>
          </cell>
        </row>
        <row r="60">
          <cell r="C60" t="str">
            <v>Agro America1012521</v>
          </cell>
          <cell r="D60" t="str">
            <v>Agro America</v>
          </cell>
          <cell r="E60" t="str">
            <v>1012521</v>
          </cell>
          <cell r="F60">
            <v>380383.01400000002</v>
          </cell>
          <cell r="G60">
            <v>594787.4</v>
          </cell>
          <cell r="H60">
            <v>415945</v>
          </cell>
          <cell r="I60"/>
          <cell r="J60">
            <v>517914</v>
          </cell>
          <cell r="K60">
            <v>768041</v>
          </cell>
          <cell r="L60">
            <v>355079</v>
          </cell>
          <cell r="M60">
            <v>620000</v>
          </cell>
        </row>
        <row r="61">
          <cell r="C61" t="str">
            <v>Agro America1012522</v>
          </cell>
          <cell r="D61" t="str">
            <v>Agro America</v>
          </cell>
          <cell r="E61" t="str">
            <v>1012522</v>
          </cell>
          <cell r="F61">
            <v>81047.981</v>
          </cell>
          <cell r="G61">
            <v>373289</v>
          </cell>
          <cell r="H61">
            <v>167376</v>
          </cell>
          <cell r="I61"/>
          <cell r="J61">
            <v>136731</v>
          </cell>
          <cell r="K61">
            <v>249910</v>
          </cell>
          <cell r="L61">
            <v>100244</v>
          </cell>
          <cell r="M61">
            <v>180000</v>
          </cell>
        </row>
        <row r="62">
          <cell r="C62" t="str">
            <v>Agro America1012523</v>
          </cell>
          <cell r="D62" t="str">
            <v>Agro America</v>
          </cell>
          <cell r="E62" t="str">
            <v>1012523</v>
          </cell>
          <cell r="F62">
            <v>109769.484</v>
          </cell>
          <cell r="G62">
            <v>163293</v>
          </cell>
          <cell r="H62">
            <v>106141</v>
          </cell>
          <cell r="I62"/>
          <cell r="J62">
            <v>84527</v>
          </cell>
          <cell r="K62">
            <v>118501</v>
          </cell>
          <cell r="L62">
            <v>205568</v>
          </cell>
          <cell r="M62">
            <v>120000</v>
          </cell>
        </row>
        <row r="63">
          <cell r="C63" t="str">
            <v>Agro America1012524</v>
          </cell>
          <cell r="D63" t="str">
            <v>Agro America</v>
          </cell>
          <cell r="E63" t="str">
            <v>1012524</v>
          </cell>
          <cell r="F63">
            <v>59874.264000000003</v>
          </cell>
          <cell r="G63">
            <v>153587</v>
          </cell>
          <cell r="H63">
            <v>107955</v>
          </cell>
          <cell r="I63"/>
          <cell r="J63">
            <v>93517</v>
          </cell>
          <cell r="K63">
            <v>119118</v>
          </cell>
          <cell r="L63">
            <v>97704</v>
          </cell>
          <cell r="M63">
            <v>60000</v>
          </cell>
        </row>
        <row r="64">
          <cell r="C64" t="str">
            <v>Agro America1012532</v>
          </cell>
          <cell r="D64" t="str">
            <v>Agro America</v>
          </cell>
          <cell r="E64" t="str">
            <v>1012532</v>
          </cell>
          <cell r="F64"/>
          <cell r="G64"/>
          <cell r="H64"/>
          <cell r="I64"/>
          <cell r="J64"/>
          <cell r="K64"/>
          <cell r="L64"/>
          <cell r="M64"/>
        </row>
        <row r="65">
          <cell r="C65" t="str">
            <v>Agro America1012597</v>
          </cell>
          <cell r="D65" t="str">
            <v>Agro America</v>
          </cell>
          <cell r="E65" t="str">
            <v>1012597</v>
          </cell>
          <cell r="F65"/>
          <cell r="G65"/>
          <cell r="H65"/>
          <cell r="I65"/>
          <cell r="J65"/>
          <cell r="K65"/>
          <cell r="L65"/>
          <cell r="M65"/>
        </row>
        <row r="66">
          <cell r="C66" t="str">
            <v>Agro America1012601</v>
          </cell>
          <cell r="D66" t="str">
            <v>Agro America</v>
          </cell>
          <cell r="E66" t="str">
            <v>1012601</v>
          </cell>
          <cell r="F66">
            <v>151899</v>
          </cell>
          <cell r="G66">
            <v>173000</v>
          </cell>
          <cell r="H66">
            <v>86636</v>
          </cell>
          <cell r="I66">
            <v>303454</v>
          </cell>
          <cell r="J66">
            <v>260357</v>
          </cell>
          <cell r="K66">
            <v>108390</v>
          </cell>
          <cell r="L66">
            <v>86800</v>
          </cell>
          <cell r="M66">
            <v>98164</v>
          </cell>
        </row>
        <row r="67">
          <cell r="C67" t="str">
            <v>Agro America1012602</v>
          </cell>
          <cell r="D67" t="str">
            <v>Agro America</v>
          </cell>
          <cell r="E67" t="str">
            <v>1012602</v>
          </cell>
          <cell r="F67">
            <v>107410.80100000001</v>
          </cell>
          <cell r="G67">
            <v>34835</v>
          </cell>
          <cell r="H67"/>
          <cell r="I67"/>
          <cell r="J67"/>
          <cell r="K67"/>
          <cell r="L67"/>
          <cell r="M67"/>
        </row>
        <row r="68">
          <cell r="C68" t="str">
            <v>Agro America1012624</v>
          </cell>
          <cell r="D68" t="str">
            <v>Agro America</v>
          </cell>
          <cell r="E68" t="str">
            <v>1012624</v>
          </cell>
          <cell r="F68"/>
          <cell r="G68"/>
          <cell r="H68"/>
          <cell r="I68"/>
          <cell r="J68"/>
          <cell r="K68"/>
          <cell r="L68"/>
          <cell r="M68"/>
        </row>
        <row r="69">
          <cell r="C69" t="str">
            <v>Agro America1012627</v>
          </cell>
          <cell r="D69" t="str">
            <v>Agro America</v>
          </cell>
          <cell r="E69" t="str">
            <v>1012627</v>
          </cell>
          <cell r="F69"/>
          <cell r="G69"/>
          <cell r="H69"/>
          <cell r="I69"/>
          <cell r="J69"/>
          <cell r="K69"/>
          <cell r="L69"/>
          <cell r="M69"/>
        </row>
        <row r="70">
          <cell r="C70" t="str">
            <v>Agro America1012628</v>
          </cell>
          <cell r="D70" t="str">
            <v>Agro America</v>
          </cell>
          <cell r="E70" t="str">
            <v>1012628</v>
          </cell>
          <cell r="F70"/>
          <cell r="G70"/>
          <cell r="H70"/>
          <cell r="I70"/>
          <cell r="J70"/>
          <cell r="K70"/>
          <cell r="L70"/>
          <cell r="M70"/>
        </row>
        <row r="71">
          <cell r="C71" t="str">
            <v>Agro America1012694</v>
          </cell>
          <cell r="D71" t="str">
            <v>Agro America</v>
          </cell>
          <cell r="E71" t="str">
            <v>1012694</v>
          </cell>
          <cell r="F71">
            <v>54431.148999999998</v>
          </cell>
          <cell r="G71">
            <v>39000</v>
          </cell>
          <cell r="H71">
            <v>36287</v>
          </cell>
          <cell r="I71">
            <v>36287</v>
          </cell>
          <cell r="J71"/>
          <cell r="K71"/>
          <cell r="L71">
            <v>19051</v>
          </cell>
          <cell r="M71">
            <v>30000</v>
          </cell>
        </row>
        <row r="72">
          <cell r="C72" t="str">
            <v>Agro America1020822</v>
          </cell>
          <cell r="D72" t="str">
            <v>Agro America</v>
          </cell>
          <cell r="E72" t="str">
            <v>1020822</v>
          </cell>
          <cell r="F72"/>
          <cell r="G72"/>
          <cell r="H72">
            <v>23587</v>
          </cell>
          <cell r="I72"/>
          <cell r="J72"/>
          <cell r="K72"/>
          <cell r="L72">
            <v>23995</v>
          </cell>
          <cell r="M72"/>
        </row>
        <row r="73">
          <cell r="C73" t="str">
            <v>Agro America1020828</v>
          </cell>
          <cell r="D73" t="str">
            <v>Agro America</v>
          </cell>
          <cell r="E73" t="str">
            <v>1020828</v>
          </cell>
          <cell r="F73">
            <v>18143.716</v>
          </cell>
          <cell r="G73">
            <v>22000</v>
          </cell>
          <cell r="H73"/>
          <cell r="I73"/>
          <cell r="J73"/>
          <cell r="K73">
            <v>42896</v>
          </cell>
          <cell r="L73">
            <v>43329</v>
          </cell>
          <cell r="M73">
            <v>70000</v>
          </cell>
        </row>
        <row r="74">
          <cell r="C74" t="str">
            <v>Agro America1020878</v>
          </cell>
          <cell r="D74" t="str">
            <v>Agro America</v>
          </cell>
          <cell r="E74" t="str">
            <v>1020878</v>
          </cell>
          <cell r="F74">
            <v>34567</v>
          </cell>
          <cell r="G74"/>
          <cell r="H74"/>
          <cell r="I74"/>
          <cell r="J74">
            <v>47990</v>
          </cell>
          <cell r="K74"/>
          <cell r="L74"/>
          <cell r="M74"/>
        </row>
        <row r="75">
          <cell r="C75" t="str">
            <v>Agro America1021140</v>
          </cell>
          <cell r="D75" t="str">
            <v>Agro America</v>
          </cell>
          <cell r="E75" t="str">
            <v>1021140</v>
          </cell>
          <cell r="F75">
            <v>72038.010999999999</v>
          </cell>
          <cell r="G75"/>
          <cell r="H75"/>
          <cell r="I75"/>
          <cell r="J75"/>
          <cell r="K75"/>
          <cell r="L75"/>
          <cell r="M75"/>
        </row>
        <row r="76">
          <cell r="C76" t="str">
            <v>Agro America1021260</v>
          </cell>
          <cell r="D76" t="str">
            <v>Agro America</v>
          </cell>
          <cell r="E76" t="str">
            <v>1021260</v>
          </cell>
          <cell r="F76"/>
          <cell r="G76"/>
          <cell r="H76"/>
          <cell r="I76"/>
          <cell r="J76"/>
          <cell r="K76"/>
          <cell r="L76">
            <v>23995</v>
          </cell>
          <cell r="M76"/>
        </row>
        <row r="77">
          <cell r="C77" t="str">
            <v>Agro America1021398</v>
          </cell>
          <cell r="D77" t="str">
            <v>Agro America</v>
          </cell>
          <cell r="E77" t="str">
            <v>1021398</v>
          </cell>
          <cell r="F77"/>
          <cell r="G77">
            <v>17674</v>
          </cell>
          <cell r="H77">
            <v>14515</v>
          </cell>
          <cell r="I77"/>
          <cell r="J77">
            <v>19620</v>
          </cell>
          <cell r="K77">
            <v>40000</v>
          </cell>
          <cell r="L77">
            <v>56955</v>
          </cell>
          <cell r="M77">
            <v>43565</v>
          </cell>
        </row>
        <row r="78">
          <cell r="C78" t="str">
            <v>Agro America1021538</v>
          </cell>
          <cell r="D78" t="str">
            <v>Agro America</v>
          </cell>
          <cell r="E78" t="str">
            <v>1021538</v>
          </cell>
          <cell r="F78">
            <v>60503.851000000002</v>
          </cell>
          <cell r="G78">
            <v>118690</v>
          </cell>
          <cell r="H78">
            <v>119295</v>
          </cell>
          <cell r="I78">
            <v>47174</v>
          </cell>
          <cell r="J78">
            <v>142061</v>
          </cell>
          <cell r="K78">
            <v>152730</v>
          </cell>
          <cell r="L78">
            <v>207907</v>
          </cell>
          <cell r="M78">
            <v>268526</v>
          </cell>
        </row>
        <row r="79">
          <cell r="C79" t="str">
            <v>Agro America1021539</v>
          </cell>
          <cell r="D79" t="str">
            <v>Agro America</v>
          </cell>
          <cell r="E79" t="str">
            <v>1021539</v>
          </cell>
          <cell r="F79">
            <v>13960.683000000001</v>
          </cell>
          <cell r="G79"/>
          <cell r="H79">
            <v>23587</v>
          </cell>
          <cell r="I79"/>
          <cell r="J79"/>
          <cell r="K79">
            <v>24000</v>
          </cell>
          <cell r="L79">
            <v>24000</v>
          </cell>
          <cell r="M79"/>
        </row>
        <row r="80">
          <cell r="C80" t="str">
            <v>Agro America1022449</v>
          </cell>
          <cell r="D80" t="str">
            <v>Agro America</v>
          </cell>
          <cell r="E80" t="str">
            <v>1022449</v>
          </cell>
          <cell r="F80"/>
          <cell r="G80"/>
          <cell r="H80"/>
          <cell r="I80"/>
          <cell r="J80"/>
          <cell r="K80"/>
          <cell r="L80"/>
          <cell r="M80"/>
        </row>
        <row r="81">
          <cell r="C81" t="str">
            <v>Agro America1022619</v>
          </cell>
          <cell r="D81" t="str">
            <v>Agro America</v>
          </cell>
          <cell r="E81" t="str">
            <v>1022619</v>
          </cell>
          <cell r="F81"/>
          <cell r="G81">
            <v>9079</v>
          </cell>
          <cell r="H81">
            <v>4536</v>
          </cell>
          <cell r="I81"/>
          <cell r="J81"/>
          <cell r="K81"/>
          <cell r="L81">
            <v>3420</v>
          </cell>
          <cell r="M81">
            <v>11000</v>
          </cell>
        </row>
        <row r="82">
          <cell r="C82" t="str">
            <v>Agro America1022791</v>
          </cell>
          <cell r="D82" t="str">
            <v>Agro America</v>
          </cell>
          <cell r="E82" t="str">
            <v>1022791</v>
          </cell>
          <cell r="F82"/>
          <cell r="G82"/>
          <cell r="H82"/>
          <cell r="I82"/>
          <cell r="J82"/>
          <cell r="K82"/>
          <cell r="L82"/>
          <cell r="M82"/>
        </row>
        <row r="83">
          <cell r="C83" t="str">
            <v>Agro America1022820</v>
          </cell>
          <cell r="D83" t="str">
            <v>Agro America</v>
          </cell>
          <cell r="E83" t="str">
            <v>1022820</v>
          </cell>
          <cell r="F83"/>
          <cell r="G83"/>
          <cell r="H83"/>
          <cell r="I83"/>
          <cell r="J83"/>
          <cell r="K83"/>
          <cell r="L83"/>
          <cell r="M83"/>
        </row>
        <row r="84">
          <cell r="C84" t="str">
            <v>Agro America1022883</v>
          </cell>
          <cell r="D84" t="str">
            <v>Agro America</v>
          </cell>
          <cell r="E84" t="str">
            <v>1022883</v>
          </cell>
          <cell r="F84">
            <v>22397.510999999999</v>
          </cell>
          <cell r="G84"/>
          <cell r="H84">
            <v>23587</v>
          </cell>
          <cell r="I84">
            <v>23587</v>
          </cell>
          <cell r="J84"/>
          <cell r="K84"/>
          <cell r="L84">
            <v>24000</v>
          </cell>
          <cell r="M84"/>
        </row>
        <row r="85">
          <cell r="C85" t="str">
            <v>Agro America1023050</v>
          </cell>
          <cell r="D85" t="str">
            <v>Agro America</v>
          </cell>
          <cell r="E85" t="str">
            <v>1023050</v>
          </cell>
          <cell r="F85"/>
          <cell r="G85"/>
          <cell r="H85"/>
          <cell r="I85"/>
          <cell r="J85"/>
          <cell r="K85">
            <v>71000</v>
          </cell>
          <cell r="L85">
            <v>52200</v>
          </cell>
          <cell r="M85"/>
        </row>
        <row r="86">
          <cell r="C86" t="str">
            <v>Agro America1023190</v>
          </cell>
          <cell r="D86" t="str">
            <v>Agro America</v>
          </cell>
          <cell r="E86" t="str">
            <v>1023190</v>
          </cell>
          <cell r="F86">
            <v>189687.11199999999</v>
          </cell>
          <cell r="G86">
            <v>211000</v>
          </cell>
          <cell r="H86">
            <v>141521</v>
          </cell>
          <cell r="I86">
            <v>284403</v>
          </cell>
          <cell r="J86">
            <v>250857</v>
          </cell>
          <cell r="K86">
            <v>176857</v>
          </cell>
          <cell r="L86">
            <v>148469</v>
          </cell>
          <cell r="M86">
            <v>240000</v>
          </cell>
        </row>
        <row r="87">
          <cell r="C87" t="str">
            <v>Agro America1023273</v>
          </cell>
          <cell r="D87" t="str">
            <v>Agro America</v>
          </cell>
          <cell r="E87" t="str">
            <v>1023273</v>
          </cell>
          <cell r="F87"/>
          <cell r="G87"/>
          <cell r="H87">
            <v>18144</v>
          </cell>
          <cell r="I87"/>
          <cell r="J87">
            <v>23672</v>
          </cell>
          <cell r="K87"/>
          <cell r="L87">
            <v>24958</v>
          </cell>
          <cell r="M87">
            <v>59000</v>
          </cell>
        </row>
        <row r="88">
          <cell r="C88" t="str">
            <v>Agro America1023274</v>
          </cell>
          <cell r="D88" t="str">
            <v>Agro America</v>
          </cell>
          <cell r="E88" t="str">
            <v>1023274</v>
          </cell>
          <cell r="F88"/>
          <cell r="G88"/>
          <cell r="H88"/>
          <cell r="I88"/>
          <cell r="J88"/>
          <cell r="K88"/>
          <cell r="L88"/>
          <cell r="M88">
            <v>15113</v>
          </cell>
        </row>
        <row r="89">
          <cell r="C89" t="str">
            <v>Agro America1023276</v>
          </cell>
          <cell r="D89" t="str">
            <v>Agro America</v>
          </cell>
          <cell r="E89" t="str">
            <v>1023276</v>
          </cell>
          <cell r="F89"/>
          <cell r="G89"/>
          <cell r="H89"/>
          <cell r="I89"/>
          <cell r="J89">
            <v>23672</v>
          </cell>
          <cell r="K89"/>
          <cell r="L89"/>
          <cell r="M89">
            <v>18000</v>
          </cell>
        </row>
        <row r="90">
          <cell r="C90" t="str">
            <v>Agro America1030228</v>
          </cell>
          <cell r="D90" t="str">
            <v>Agro America</v>
          </cell>
          <cell r="E90" t="str">
            <v>1030228</v>
          </cell>
          <cell r="F90"/>
          <cell r="G90"/>
          <cell r="H90"/>
          <cell r="I90"/>
          <cell r="J90"/>
          <cell r="K90"/>
          <cell r="L90">
            <v>24059</v>
          </cell>
          <cell r="M90">
            <v>24000</v>
          </cell>
        </row>
        <row r="91">
          <cell r="C91" t="str">
            <v>Agro America1030230</v>
          </cell>
          <cell r="D91" t="str">
            <v>Agro America</v>
          </cell>
          <cell r="E91" t="str">
            <v>1030230</v>
          </cell>
          <cell r="F91"/>
          <cell r="G91"/>
          <cell r="H91"/>
          <cell r="I91"/>
          <cell r="J91"/>
          <cell r="K91"/>
          <cell r="L91"/>
          <cell r="M91"/>
        </row>
        <row r="92">
          <cell r="C92" t="str">
            <v>Agro America1030239</v>
          </cell>
          <cell r="D92" t="str">
            <v>Agro America</v>
          </cell>
          <cell r="E92" t="str">
            <v>1030239</v>
          </cell>
          <cell r="F92"/>
          <cell r="G92">
            <v>24000</v>
          </cell>
          <cell r="H92">
            <v>23587</v>
          </cell>
          <cell r="I92"/>
          <cell r="J92">
            <v>24000</v>
          </cell>
          <cell r="K92"/>
          <cell r="L92">
            <v>23991</v>
          </cell>
          <cell r="M92">
            <v>24000</v>
          </cell>
        </row>
        <row r="93">
          <cell r="C93" t="str">
            <v>Agro America1030321</v>
          </cell>
          <cell r="D93" t="str">
            <v>Agro America</v>
          </cell>
          <cell r="E93" t="str">
            <v>1030321</v>
          </cell>
          <cell r="F93"/>
          <cell r="G93"/>
          <cell r="H93"/>
          <cell r="I93"/>
          <cell r="J93"/>
          <cell r="K93"/>
          <cell r="L93">
            <v>12241</v>
          </cell>
          <cell r="M93">
            <v>12698</v>
          </cell>
        </row>
        <row r="94">
          <cell r="C94" t="str">
            <v>Agro America1030360</v>
          </cell>
          <cell r="D94" t="str">
            <v>Agro America</v>
          </cell>
          <cell r="E94" t="str">
            <v>1030360</v>
          </cell>
          <cell r="F94"/>
          <cell r="G94"/>
          <cell r="H94"/>
          <cell r="I94"/>
          <cell r="J94"/>
          <cell r="K94"/>
          <cell r="L94">
            <v>10146</v>
          </cell>
          <cell r="M94">
            <v>5520</v>
          </cell>
        </row>
        <row r="95">
          <cell r="C95" t="str">
            <v>Agro America1030366</v>
          </cell>
          <cell r="D95" t="str">
            <v>Agro America</v>
          </cell>
          <cell r="E95" t="str">
            <v>1030366</v>
          </cell>
          <cell r="F95"/>
          <cell r="G95"/>
          <cell r="H95"/>
          <cell r="I95"/>
          <cell r="J95"/>
          <cell r="K95"/>
          <cell r="L95"/>
          <cell r="M95">
            <v>2520</v>
          </cell>
        </row>
        <row r="96">
          <cell r="C96" t="str">
            <v>Agro America1030370</v>
          </cell>
          <cell r="D96" t="str">
            <v>Agro America</v>
          </cell>
          <cell r="E96" t="str">
            <v>1030370</v>
          </cell>
          <cell r="F96">
            <v>12718.745000000001</v>
          </cell>
          <cell r="G96">
            <v>31770</v>
          </cell>
          <cell r="H96">
            <v>30844</v>
          </cell>
          <cell r="I96"/>
          <cell r="J96">
            <v>22875</v>
          </cell>
          <cell r="K96">
            <v>10433</v>
          </cell>
          <cell r="L96"/>
          <cell r="M96">
            <v>6080</v>
          </cell>
        </row>
        <row r="97">
          <cell r="C97" t="str">
            <v>Agro America1030376</v>
          </cell>
          <cell r="D97" t="str">
            <v>Agro America</v>
          </cell>
          <cell r="E97" t="str">
            <v>1030376</v>
          </cell>
          <cell r="F97"/>
          <cell r="G97"/>
          <cell r="H97"/>
          <cell r="I97"/>
          <cell r="J97"/>
          <cell r="K97"/>
          <cell r="L97">
            <v>12407</v>
          </cell>
          <cell r="M97">
            <v>3240</v>
          </cell>
        </row>
        <row r="98">
          <cell r="C98" t="str">
            <v>Agro America1030379</v>
          </cell>
          <cell r="D98" t="str">
            <v>Agro America</v>
          </cell>
          <cell r="E98" t="str">
            <v>1030379</v>
          </cell>
          <cell r="F98">
            <v>453592.90899999999</v>
          </cell>
          <cell r="G98">
            <v>302924</v>
          </cell>
          <cell r="H98">
            <v>548847</v>
          </cell>
          <cell r="I98">
            <v>263084</v>
          </cell>
          <cell r="J98">
            <v>444181</v>
          </cell>
          <cell r="K98">
            <v>694916</v>
          </cell>
          <cell r="L98">
            <v>605560</v>
          </cell>
          <cell r="M98">
            <v>680000</v>
          </cell>
        </row>
        <row r="99">
          <cell r="C99" t="str">
            <v>Agro America1030424</v>
          </cell>
          <cell r="D99" t="str">
            <v>Agro America</v>
          </cell>
          <cell r="E99" t="str">
            <v>1030424</v>
          </cell>
          <cell r="F99">
            <v>42157.832000000002</v>
          </cell>
          <cell r="G99">
            <v>24000</v>
          </cell>
          <cell r="H99">
            <v>23587</v>
          </cell>
          <cell r="I99">
            <v>70760</v>
          </cell>
          <cell r="J99">
            <v>71282</v>
          </cell>
          <cell r="K99">
            <v>90000</v>
          </cell>
          <cell r="L99">
            <v>93564</v>
          </cell>
          <cell r="M99">
            <v>48000</v>
          </cell>
        </row>
        <row r="100">
          <cell r="C100" t="str">
            <v>Agro America1030452</v>
          </cell>
          <cell r="D100" t="str">
            <v>Agro America</v>
          </cell>
          <cell r="E100" t="str">
            <v>1030452</v>
          </cell>
          <cell r="F100"/>
          <cell r="G100"/>
          <cell r="H100"/>
          <cell r="I100"/>
          <cell r="J100"/>
          <cell r="K100"/>
          <cell r="L100">
            <v>8919</v>
          </cell>
          <cell r="M100">
            <v>29478</v>
          </cell>
        </row>
        <row r="101">
          <cell r="C101" t="str">
            <v>Agro America1030461</v>
          </cell>
          <cell r="D101" t="str">
            <v>Agro America</v>
          </cell>
          <cell r="E101" t="str">
            <v>1030461</v>
          </cell>
          <cell r="F101"/>
          <cell r="G101"/>
          <cell r="H101"/>
          <cell r="I101"/>
          <cell r="J101"/>
          <cell r="K101"/>
          <cell r="L101"/>
          <cell r="M101">
            <v>1457</v>
          </cell>
        </row>
        <row r="102">
          <cell r="C102" t="str">
            <v>Agro America1030505</v>
          </cell>
          <cell r="D102" t="str">
            <v>Agro America</v>
          </cell>
          <cell r="E102" t="str">
            <v>1030505</v>
          </cell>
          <cell r="F102"/>
          <cell r="G102"/>
          <cell r="H102">
            <v>41731</v>
          </cell>
          <cell r="I102"/>
          <cell r="J102">
            <v>7400</v>
          </cell>
          <cell r="K102"/>
          <cell r="L102"/>
          <cell r="M102">
            <v>16000</v>
          </cell>
        </row>
        <row r="103">
          <cell r="C103" t="str">
            <v>Agro America1030555</v>
          </cell>
          <cell r="D103" t="str">
            <v>Agro America</v>
          </cell>
          <cell r="E103" t="str">
            <v>1030555</v>
          </cell>
          <cell r="F103"/>
          <cell r="G103"/>
          <cell r="H103"/>
          <cell r="I103"/>
          <cell r="J103"/>
          <cell r="K103"/>
          <cell r="L103"/>
          <cell r="M103">
            <v>11000</v>
          </cell>
        </row>
        <row r="104">
          <cell r="C104" t="str">
            <v>Agro America1030735</v>
          </cell>
          <cell r="D104" t="str">
            <v>Agro America</v>
          </cell>
          <cell r="E104" t="str">
            <v>1030735</v>
          </cell>
          <cell r="F104">
            <v>19050.901999999998</v>
          </cell>
          <cell r="G104"/>
          <cell r="H104">
            <v>19051</v>
          </cell>
          <cell r="I104"/>
          <cell r="J104">
            <v>20312</v>
          </cell>
          <cell r="K104">
            <v>19000</v>
          </cell>
          <cell r="L104">
            <v>19051</v>
          </cell>
          <cell r="M104">
            <v>52000</v>
          </cell>
        </row>
        <row r="105">
          <cell r="C105" t="str">
            <v>Agro America1030745</v>
          </cell>
          <cell r="D105" t="str">
            <v>Agro America</v>
          </cell>
          <cell r="E105" t="str">
            <v>1030745</v>
          </cell>
          <cell r="F105">
            <v>18143.716</v>
          </cell>
          <cell r="G105">
            <v>24000</v>
          </cell>
          <cell r="H105">
            <v>23587</v>
          </cell>
          <cell r="I105">
            <v>23587</v>
          </cell>
          <cell r="J105">
            <v>26375</v>
          </cell>
          <cell r="K105">
            <v>23587</v>
          </cell>
          <cell r="L105"/>
          <cell r="M105">
            <v>10000</v>
          </cell>
        </row>
        <row r="106">
          <cell r="C106" t="str">
            <v>Agro America1030773</v>
          </cell>
          <cell r="D106" t="str">
            <v>Agro America</v>
          </cell>
          <cell r="E106" t="str">
            <v>1030773</v>
          </cell>
          <cell r="F106"/>
          <cell r="G106"/>
          <cell r="H106"/>
          <cell r="I106"/>
          <cell r="J106"/>
          <cell r="K106"/>
          <cell r="L106">
            <v>27157</v>
          </cell>
          <cell r="M106">
            <v>14900</v>
          </cell>
        </row>
        <row r="107">
          <cell r="C107" t="str">
            <v>Agro America1030782</v>
          </cell>
          <cell r="D107" t="str">
            <v>Agro America</v>
          </cell>
          <cell r="E107" t="str">
            <v>1030782</v>
          </cell>
          <cell r="F107"/>
          <cell r="G107"/>
          <cell r="H107"/>
          <cell r="I107"/>
          <cell r="J107"/>
          <cell r="K107"/>
          <cell r="L107">
            <v>12861</v>
          </cell>
          <cell r="M107">
            <v>18900</v>
          </cell>
        </row>
        <row r="108">
          <cell r="C108" t="str">
            <v>Agro America1030783</v>
          </cell>
          <cell r="D108" t="str">
            <v>Agro America</v>
          </cell>
          <cell r="E108" t="str">
            <v>1030783</v>
          </cell>
          <cell r="F108"/>
          <cell r="G108"/>
          <cell r="H108"/>
          <cell r="I108"/>
          <cell r="J108"/>
          <cell r="K108"/>
          <cell r="L108"/>
          <cell r="M108">
            <v>120</v>
          </cell>
        </row>
        <row r="109">
          <cell r="C109" t="str">
            <v>Agro America1030784</v>
          </cell>
          <cell r="D109" t="str">
            <v>Agro America</v>
          </cell>
          <cell r="E109" t="str">
            <v>1030784</v>
          </cell>
          <cell r="F109"/>
          <cell r="G109"/>
          <cell r="H109"/>
          <cell r="I109"/>
          <cell r="J109"/>
          <cell r="K109"/>
          <cell r="L109"/>
          <cell r="M109">
            <v>3600</v>
          </cell>
        </row>
        <row r="110">
          <cell r="C110" t="str">
            <v>Agro America1030785</v>
          </cell>
          <cell r="D110" t="str">
            <v>Agro America</v>
          </cell>
          <cell r="E110" t="str">
            <v>1030785</v>
          </cell>
          <cell r="F110"/>
          <cell r="G110"/>
          <cell r="H110"/>
          <cell r="I110"/>
          <cell r="J110"/>
          <cell r="K110"/>
          <cell r="L110"/>
          <cell r="M110">
            <v>1080</v>
          </cell>
        </row>
        <row r="111">
          <cell r="C111" t="str">
            <v>Agro America1030793</v>
          </cell>
          <cell r="D111" t="str">
            <v>Agro America</v>
          </cell>
          <cell r="E111" t="str">
            <v>1030793</v>
          </cell>
          <cell r="F111"/>
          <cell r="G111"/>
          <cell r="H111"/>
          <cell r="I111"/>
          <cell r="J111"/>
          <cell r="K111"/>
          <cell r="L111"/>
          <cell r="M111">
            <v>720</v>
          </cell>
        </row>
        <row r="112">
          <cell r="C112" t="str">
            <v>Agro America1030794</v>
          </cell>
          <cell r="D112" t="str">
            <v>Agro America</v>
          </cell>
          <cell r="E112" t="str">
            <v>1030794</v>
          </cell>
          <cell r="F112"/>
          <cell r="G112"/>
          <cell r="H112"/>
          <cell r="I112"/>
          <cell r="J112"/>
          <cell r="K112"/>
          <cell r="L112"/>
          <cell r="M112">
            <v>1080</v>
          </cell>
        </row>
        <row r="113">
          <cell r="C113" t="str">
            <v>Agro America1030818</v>
          </cell>
          <cell r="D113" t="str">
            <v>Agro America</v>
          </cell>
          <cell r="E113" t="str">
            <v>1030818</v>
          </cell>
          <cell r="F113"/>
          <cell r="G113"/>
          <cell r="H113"/>
          <cell r="I113"/>
          <cell r="J113"/>
          <cell r="K113"/>
          <cell r="L113"/>
          <cell r="M113">
            <v>24000</v>
          </cell>
        </row>
        <row r="114">
          <cell r="C114" t="str">
            <v>Agro America1100570</v>
          </cell>
          <cell r="D114" t="str">
            <v>Agro America</v>
          </cell>
          <cell r="E114" t="str">
            <v>1100570</v>
          </cell>
          <cell r="F114">
            <v>12217.071</v>
          </cell>
          <cell r="G114"/>
          <cell r="H114">
            <v>2449</v>
          </cell>
          <cell r="I114">
            <v>7711</v>
          </cell>
          <cell r="J114"/>
          <cell r="K114"/>
          <cell r="L114"/>
          <cell r="M114"/>
        </row>
        <row r="115">
          <cell r="C115" t="str">
            <v>Agro America1100572</v>
          </cell>
          <cell r="D115" t="str">
            <v>Agro America</v>
          </cell>
          <cell r="E115" t="str">
            <v>1100572</v>
          </cell>
          <cell r="F115">
            <v>18974.244999999999</v>
          </cell>
          <cell r="G115"/>
          <cell r="H115">
            <v>3674</v>
          </cell>
          <cell r="I115">
            <v>12247</v>
          </cell>
          <cell r="J115"/>
          <cell r="K115"/>
          <cell r="L115"/>
          <cell r="M115"/>
        </row>
        <row r="116">
          <cell r="C116" t="str">
            <v>Agro America1100573</v>
          </cell>
          <cell r="D116" t="str">
            <v>Agro America</v>
          </cell>
          <cell r="E116" t="str">
            <v>1100573</v>
          </cell>
          <cell r="F116">
            <v>9817.5650000000005</v>
          </cell>
          <cell r="G116"/>
          <cell r="H116">
            <v>1837</v>
          </cell>
          <cell r="I116">
            <v>5443</v>
          </cell>
          <cell r="J116"/>
          <cell r="K116"/>
          <cell r="L116"/>
          <cell r="M116"/>
        </row>
        <row r="117">
          <cell r="C117" t="str">
            <v>Agro America1100574</v>
          </cell>
          <cell r="D117" t="str">
            <v>Agro America</v>
          </cell>
          <cell r="E117" t="str">
            <v>1100574</v>
          </cell>
          <cell r="F117">
            <v>26337.871999999999</v>
          </cell>
          <cell r="G117"/>
          <cell r="H117">
            <v>5520</v>
          </cell>
          <cell r="I117">
            <v>16329</v>
          </cell>
          <cell r="J117"/>
          <cell r="K117"/>
          <cell r="L117"/>
          <cell r="M117"/>
        </row>
        <row r="118">
          <cell r="C118" t="str">
            <v>Agro America1100602</v>
          </cell>
          <cell r="D118" t="str">
            <v>Agro America</v>
          </cell>
          <cell r="E118" t="str">
            <v>1100602</v>
          </cell>
          <cell r="F118"/>
          <cell r="G118"/>
          <cell r="H118"/>
          <cell r="I118"/>
          <cell r="J118"/>
          <cell r="K118"/>
          <cell r="L118"/>
          <cell r="M118"/>
        </row>
        <row r="119">
          <cell r="C119" t="str">
            <v>Agro America1011105</v>
          </cell>
          <cell r="D119" t="str">
            <v>Agro America</v>
          </cell>
          <cell r="E119" t="str">
            <v>1011105</v>
          </cell>
          <cell r="F119"/>
          <cell r="G119"/>
          <cell r="H119"/>
          <cell r="I119"/>
          <cell r="J119"/>
          <cell r="K119"/>
          <cell r="L119"/>
          <cell r="M119"/>
        </row>
        <row r="120">
          <cell r="C120" t="str">
            <v>Agro America1012115</v>
          </cell>
          <cell r="D120" t="str">
            <v>Agro America</v>
          </cell>
          <cell r="E120" t="str">
            <v>1012115</v>
          </cell>
          <cell r="F120"/>
          <cell r="G120"/>
          <cell r="H120"/>
          <cell r="I120"/>
          <cell r="J120"/>
          <cell r="K120"/>
          <cell r="L120"/>
          <cell r="M120"/>
        </row>
        <row r="121">
          <cell r="C121" t="str">
            <v>Agro America1012579</v>
          </cell>
          <cell r="D121" t="str">
            <v>Agro America</v>
          </cell>
          <cell r="E121" t="str">
            <v>1012579</v>
          </cell>
          <cell r="F121"/>
          <cell r="G121"/>
          <cell r="H121"/>
          <cell r="I121"/>
          <cell r="J121"/>
          <cell r="K121"/>
          <cell r="L121"/>
          <cell r="M121"/>
        </row>
        <row r="122">
          <cell r="C122" t="str">
            <v>Agro Europa1010877</v>
          </cell>
          <cell r="D122" t="str">
            <v>Agro Europa</v>
          </cell>
          <cell r="E122" t="str">
            <v>1010877</v>
          </cell>
          <cell r="F122"/>
          <cell r="G122"/>
          <cell r="H122"/>
          <cell r="I122"/>
          <cell r="J122"/>
          <cell r="K122"/>
          <cell r="L122">
            <v>72000</v>
          </cell>
          <cell r="M122"/>
        </row>
        <row r="123">
          <cell r="C123" t="str">
            <v>Agro Europa1011042</v>
          </cell>
          <cell r="D123" t="str">
            <v>Agro Europa</v>
          </cell>
          <cell r="E123" t="str">
            <v>1011042</v>
          </cell>
          <cell r="F123"/>
          <cell r="G123"/>
          <cell r="H123"/>
          <cell r="I123"/>
          <cell r="J123"/>
          <cell r="K123"/>
          <cell r="L123">
            <v>24000</v>
          </cell>
          <cell r="M123"/>
        </row>
        <row r="124">
          <cell r="C124" t="str">
            <v>Agro Europa1011748</v>
          </cell>
          <cell r="D124" t="str">
            <v>Agro Europa</v>
          </cell>
          <cell r="E124" t="str">
            <v>1011748</v>
          </cell>
          <cell r="F124">
            <v>40000</v>
          </cell>
          <cell r="G124">
            <v>40000</v>
          </cell>
          <cell r="H124">
            <v>42000</v>
          </cell>
          <cell r="I124">
            <v>40000</v>
          </cell>
          <cell r="J124">
            <v>22000</v>
          </cell>
          <cell r="K124">
            <v>45600</v>
          </cell>
          <cell r="L124">
            <v>60000</v>
          </cell>
          <cell r="M124">
            <v>20000</v>
          </cell>
        </row>
        <row r="125">
          <cell r="C125" t="str">
            <v>Agro Europa1012207</v>
          </cell>
          <cell r="D125" t="str">
            <v>Agro Europa</v>
          </cell>
          <cell r="E125" t="str">
            <v>1012207</v>
          </cell>
          <cell r="F125"/>
          <cell r="G125"/>
          <cell r="H125"/>
          <cell r="I125"/>
          <cell r="J125"/>
          <cell r="K125"/>
          <cell r="L125"/>
          <cell r="M125"/>
        </row>
        <row r="126">
          <cell r="C126" t="str">
            <v>Agro Europa1012405</v>
          </cell>
          <cell r="D126" t="str">
            <v>Agro Europa</v>
          </cell>
          <cell r="E126" t="str">
            <v>1012405</v>
          </cell>
          <cell r="F126">
            <v>15000</v>
          </cell>
          <cell r="G126">
            <v>20000</v>
          </cell>
          <cell r="H126">
            <v>20000</v>
          </cell>
          <cell r="I126">
            <v>10000</v>
          </cell>
          <cell r="J126">
            <v>8000</v>
          </cell>
          <cell r="K126">
            <v>10000</v>
          </cell>
          <cell r="L126"/>
          <cell r="M126"/>
        </row>
        <row r="127">
          <cell r="C127" t="str">
            <v>Agro Europa1012573</v>
          </cell>
          <cell r="D127" t="str">
            <v>Agro Europa</v>
          </cell>
          <cell r="E127" t="str">
            <v>1012573</v>
          </cell>
          <cell r="F127"/>
          <cell r="G127"/>
          <cell r="H127"/>
          <cell r="I127"/>
          <cell r="J127"/>
          <cell r="K127"/>
          <cell r="L127"/>
          <cell r="M127"/>
        </row>
        <row r="128">
          <cell r="C128" t="str">
            <v>Agro Europa1012593</v>
          </cell>
          <cell r="D128" t="str">
            <v>Agro Europa</v>
          </cell>
          <cell r="E128" t="str">
            <v>1012593</v>
          </cell>
          <cell r="F128">
            <v>20000</v>
          </cell>
          <cell r="G128"/>
          <cell r="H128"/>
          <cell r="I128"/>
          <cell r="J128"/>
          <cell r="K128"/>
          <cell r="L128"/>
          <cell r="M128"/>
        </row>
        <row r="129">
          <cell r="C129" t="str">
            <v>Agro Europa1012671</v>
          </cell>
          <cell r="D129" t="str">
            <v>Agro Europa</v>
          </cell>
          <cell r="E129" t="str">
            <v>1012671</v>
          </cell>
          <cell r="F129"/>
          <cell r="G129"/>
          <cell r="H129"/>
          <cell r="I129"/>
          <cell r="J129"/>
          <cell r="K129"/>
          <cell r="L129"/>
          <cell r="M129"/>
        </row>
        <row r="130">
          <cell r="C130" t="str">
            <v>Agro Europa1012702</v>
          </cell>
          <cell r="D130" t="str">
            <v>Agro Europa</v>
          </cell>
          <cell r="E130" t="str">
            <v>1012702</v>
          </cell>
          <cell r="F130"/>
          <cell r="G130"/>
          <cell r="H130"/>
          <cell r="I130"/>
          <cell r="J130"/>
          <cell r="K130"/>
          <cell r="L130"/>
          <cell r="M130"/>
        </row>
        <row r="131">
          <cell r="C131" t="str">
            <v>Agro Europa1012724</v>
          </cell>
          <cell r="D131" t="str">
            <v>Agro Europa</v>
          </cell>
          <cell r="E131" t="str">
            <v>1012724</v>
          </cell>
          <cell r="F131">
            <v>20000</v>
          </cell>
          <cell r="G131">
            <v>10800</v>
          </cell>
          <cell r="H131">
            <v>32400</v>
          </cell>
          <cell r="I131"/>
          <cell r="J131"/>
          <cell r="K131">
            <v>10000</v>
          </cell>
          <cell r="L131">
            <v>17000</v>
          </cell>
          <cell r="M131"/>
        </row>
        <row r="132">
          <cell r="C132" t="str">
            <v>Agro Europa1012730</v>
          </cell>
          <cell r="D132" t="str">
            <v>Agro Europa</v>
          </cell>
          <cell r="E132" t="str">
            <v>1012730</v>
          </cell>
          <cell r="F132">
            <v>20000</v>
          </cell>
          <cell r="G132">
            <v>10800</v>
          </cell>
          <cell r="H132">
            <v>10800</v>
          </cell>
          <cell r="I132">
            <v>40000</v>
          </cell>
          <cell r="J132">
            <v>21000</v>
          </cell>
          <cell r="K132">
            <v>10000</v>
          </cell>
          <cell r="L132">
            <v>20000</v>
          </cell>
          <cell r="M132"/>
        </row>
        <row r="133">
          <cell r="C133" t="str">
            <v>Agro Europa1012733</v>
          </cell>
          <cell r="D133" t="str">
            <v>Agro Europa</v>
          </cell>
          <cell r="E133" t="str">
            <v>1012733</v>
          </cell>
          <cell r="F133"/>
          <cell r="G133"/>
          <cell r="H133"/>
          <cell r="I133"/>
          <cell r="J133"/>
          <cell r="K133"/>
          <cell r="L133">
            <v>21600</v>
          </cell>
          <cell r="M133"/>
        </row>
        <row r="134">
          <cell r="C134" t="str">
            <v>Agro Europa1012734</v>
          </cell>
          <cell r="D134" t="str">
            <v>Agro Europa</v>
          </cell>
          <cell r="E134" t="str">
            <v>1012734</v>
          </cell>
          <cell r="F134"/>
          <cell r="G134"/>
          <cell r="H134"/>
          <cell r="I134"/>
          <cell r="J134"/>
          <cell r="K134"/>
          <cell r="L134"/>
          <cell r="M134"/>
        </row>
        <row r="135">
          <cell r="C135" t="str">
            <v>Agro Europa1012742</v>
          </cell>
          <cell r="D135" t="str">
            <v>Agro Europa</v>
          </cell>
          <cell r="E135" t="str">
            <v>1012742</v>
          </cell>
          <cell r="F135"/>
          <cell r="G135"/>
          <cell r="H135"/>
          <cell r="I135"/>
          <cell r="J135"/>
          <cell r="K135"/>
          <cell r="L135"/>
          <cell r="M135"/>
        </row>
        <row r="136">
          <cell r="C136" t="str">
            <v>Agro Europa1012745</v>
          </cell>
          <cell r="D136" t="str">
            <v>Agro Europa</v>
          </cell>
          <cell r="E136" t="str">
            <v>1012745</v>
          </cell>
          <cell r="F136"/>
          <cell r="G136"/>
          <cell r="H136"/>
          <cell r="I136"/>
          <cell r="J136"/>
          <cell r="K136">
            <v>21600</v>
          </cell>
          <cell r="L136">
            <v>5000</v>
          </cell>
          <cell r="M136"/>
        </row>
        <row r="137">
          <cell r="C137" t="str">
            <v>Agro Europa1012773</v>
          </cell>
          <cell r="D137" t="str">
            <v>Agro Europa</v>
          </cell>
          <cell r="E137" t="str">
            <v>1012773</v>
          </cell>
          <cell r="F137"/>
          <cell r="G137"/>
          <cell r="H137"/>
          <cell r="I137"/>
          <cell r="J137"/>
          <cell r="K137"/>
          <cell r="L137"/>
          <cell r="M137"/>
        </row>
        <row r="138">
          <cell r="C138" t="str">
            <v>Agro Europa1020853</v>
          </cell>
          <cell r="D138" t="str">
            <v>Agro Europa</v>
          </cell>
          <cell r="E138" t="str">
            <v>1020853</v>
          </cell>
          <cell r="F138">
            <v>120000</v>
          </cell>
          <cell r="G138">
            <v>120000</v>
          </cell>
          <cell r="H138">
            <v>160000</v>
          </cell>
          <cell r="I138">
            <v>180000</v>
          </cell>
          <cell r="J138">
            <v>140000</v>
          </cell>
          <cell r="K138">
            <v>120000</v>
          </cell>
          <cell r="L138">
            <v>160000</v>
          </cell>
          <cell r="M138">
            <v>248000</v>
          </cell>
        </row>
        <row r="139">
          <cell r="C139" t="str">
            <v>Agro Europa1021005</v>
          </cell>
          <cell r="D139" t="str">
            <v>Agro Europa</v>
          </cell>
          <cell r="E139" t="str">
            <v>1021005</v>
          </cell>
          <cell r="F139">
            <v>10000</v>
          </cell>
          <cell r="G139">
            <v>24000</v>
          </cell>
          <cell r="H139"/>
          <cell r="I139"/>
          <cell r="J139"/>
          <cell r="K139"/>
          <cell r="L139"/>
          <cell r="M139"/>
        </row>
        <row r="140">
          <cell r="C140" t="str">
            <v>Agro Europa1021237</v>
          </cell>
          <cell r="D140" t="str">
            <v>Agro Europa</v>
          </cell>
          <cell r="E140" t="str">
            <v>1021237</v>
          </cell>
          <cell r="F140">
            <v>48000</v>
          </cell>
          <cell r="G140">
            <v>48000</v>
          </cell>
          <cell r="H140"/>
          <cell r="I140"/>
          <cell r="J140"/>
          <cell r="K140"/>
          <cell r="L140"/>
          <cell r="M140"/>
        </row>
        <row r="141">
          <cell r="C141" t="str">
            <v>Agro Europa1021263</v>
          </cell>
          <cell r="D141" t="str">
            <v>Agro Europa</v>
          </cell>
          <cell r="E141" t="str">
            <v>1021263</v>
          </cell>
          <cell r="F141">
            <v>120000</v>
          </cell>
          <cell r="G141">
            <v>62000</v>
          </cell>
          <cell r="H141"/>
          <cell r="I141"/>
          <cell r="J141"/>
          <cell r="K141"/>
          <cell r="L141"/>
          <cell r="M141"/>
        </row>
        <row r="142">
          <cell r="C142" t="str">
            <v>Agro Europa1021287</v>
          </cell>
          <cell r="D142" t="str">
            <v>Agro Europa</v>
          </cell>
          <cell r="E142" t="str">
            <v>1021287</v>
          </cell>
          <cell r="F142">
            <v>96000</v>
          </cell>
          <cell r="G142">
            <v>24000</v>
          </cell>
          <cell r="H142"/>
          <cell r="I142"/>
          <cell r="J142"/>
          <cell r="K142"/>
          <cell r="L142"/>
          <cell r="M142"/>
        </row>
        <row r="143">
          <cell r="C143" t="str">
            <v>Agro Europa1021433</v>
          </cell>
          <cell r="D143" t="str">
            <v>Agro Europa</v>
          </cell>
          <cell r="E143" t="str">
            <v>1021433</v>
          </cell>
          <cell r="F143"/>
          <cell r="G143"/>
          <cell r="H143"/>
          <cell r="I143">
            <v>20000</v>
          </cell>
          <cell r="J143">
            <v>20000</v>
          </cell>
          <cell r="K143">
            <v>39000</v>
          </cell>
          <cell r="L143">
            <v>5000</v>
          </cell>
          <cell r="M143"/>
        </row>
        <row r="144">
          <cell r="C144" t="str">
            <v>Agro Europa1021435</v>
          </cell>
          <cell r="D144" t="str">
            <v>Agro Europa</v>
          </cell>
          <cell r="E144" t="str">
            <v>1021435</v>
          </cell>
          <cell r="F144">
            <v>120000</v>
          </cell>
          <cell r="G144">
            <v>72000</v>
          </cell>
          <cell r="H144"/>
          <cell r="I144"/>
          <cell r="J144"/>
          <cell r="K144"/>
          <cell r="L144"/>
          <cell r="M144"/>
        </row>
        <row r="145">
          <cell r="C145" t="str">
            <v>Agro Europa1021474</v>
          </cell>
          <cell r="D145" t="str">
            <v>Agro Europa</v>
          </cell>
          <cell r="E145" t="str">
            <v>1021474</v>
          </cell>
          <cell r="F145">
            <v>48000</v>
          </cell>
          <cell r="G145">
            <v>48000</v>
          </cell>
          <cell r="H145"/>
          <cell r="I145"/>
          <cell r="J145"/>
          <cell r="K145"/>
          <cell r="L145"/>
          <cell r="M145"/>
        </row>
        <row r="146">
          <cell r="C146" t="str">
            <v>Agro Europa1021550</v>
          </cell>
          <cell r="D146" t="str">
            <v>Agro Europa</v>
          </cell>
          <cell r="E146" t="str">
            <v>1021550</v>
          </cell>
          <cell r="F146">
            <v>24000</v>
          </cell>
          <cell r="G146">
            <v>24000</v>
          </cell>
          <cell r="H146"/>
          <cell r="I146"/>
          <cell r="J146"/>
          <cell r="K146"/>
          <cell r="L146"/>
          <cell r="M146"/>
        </row>
        <row r="147">
          <cell r="C147" t="str">
            <v>Agro Europa1021819</v>
          </cell>
          <cell r="D147" t="str">
            <v>Agro Europa</v>
          </cell>
          <cell r="E147" t="str">
            <v>1021819</v>
          </cell>
          <cell r="F147">
            <v>72000</v>
          </cell>
          <cell r="G147">
            <v>48000</v>
          </cell>
          <cell r="H147"/>
          <cell r="I147"/>
          <cell r="J147"/>
          <cell r="K147"/>
          <cell r="L147"/>
          <cell r="M147"/>
        </row>
        <row r="148">
          <cell r="C148" t="str">
            <v>Agro Europa1021820</v>
          </cell>
          <cell r="D148" t="str">
            <v>Agro Europa</v>
          </cell>
          <cell r="E148" t="str">
            <v>1021820</v>
          </cell>
          <cell r="F148">
            <v>24000</v>
          </cell>
          <cell r="G148">
            <v>10000</v>
          </cell>
          <cell r="H148"/>
          <cell r="I148"/>
          <cell r="J148"/>
          <cell r="K148"/>
          <cell r="L148"/>
          <cell r="M148"/>
        </row>
        <row r="149">
          <cell r="C149" t="str">
            <v>Agro Europa1021903</v>
          </cell>
          <cell r="D149" t="str">
            <v>Agro Europa</v>
          </cell>
          <cell r="E149" t="str">
            <v>1021903</v>
          </cell>
          <cell r="F149">
            <v>60000</v>
          </cell>
          <cell r="G149">
            <v>48000</v>
          </cell>
          <cell r="H149"/>
          <cell r="I149"/>
          <cell r="J149"/>
          <cell r="K149"/>
          <cell r="L149"/>
          <cell r="M149"/>
        </row>
        <row r="150">
          <cell r="C150" t="str">
            <v>Agro Europa1022145</v>
          </cell>
          <cell r="D150" t="str">
            <v>Agro Europa</v>
          </cell>
          <cell r="E150" t="str">
            <v>1022145</v>
          </cell>
          <cell r="F150"/>
          <cell r="G150"/>
          <cell r="H150"/>
          <cell r="I150"/>
          <cell r="J150"/>
          <cell r="K150"/>
          <cell r="L150">
            <v>20000</v>
          </cell>
          <cell r="M150"/>
        </row>
        <row r="151">
          <cell r="C151" t="str">
            <v>Agro Europa1022247</v>
          </cell>
          <cell r="D151" t="str">
            <v>Agro Europa</v>
          </cell>
          <cell r="E151" t="str">
            <v>1022247</v>
          </cell>
          <cell r="F151">
            <v>24000</v>
          </cell>
          <cell r="G151"/>
          <cell r="H151"/>
          <cell r="I151"/>
          <cell r="J151"/>
          <cell r="K151"/>
          <cell r="L151"/>
          <cell r="M151"/>
        </row>
        <row r="152">
          <cell r="C152" t="str">
            <v>Agro Europa1022304</v>
          </cell>
          <cell r="D152" t="str">
            <v>Agro Europa</v>
          </cell>
          <cell r="E152" t="str">
            <v>1022304</v>
          </cell>
          <cell r="F152"/>
          <cell r="G152">
            <v>20000</v>
          </cell>
          <cell r="H152">
            <v>20000</v>
          </cell>
          <cell r="I152"/>
          <cell r="J152">
            <v>40000</v>
          </cell>
          <cell r="K152"/>
          <cell r="L152"/>
          <cell r="M152"/>
        </row>
        <row r="153">
          <cell r="C153" t="str">
            <v>Agro Europa1022500</v>
          </cell>
          <cell r="D153" t="str">
            <v>Agro Europa</v>
          </cell>
          <cell r="E153" t="str">
            <v>1022500</v>
          </cell>
          <cell r="F153">
            <v>24000</v>
          </cell>
          <cell r="G153"/>
          <cell r="H153"/>
          <cell r="I153"/>
          <cell r="J153"/>
          <cell r="K153"/>
          <cell r="L153"/>
          <cell r="M153"/>
        </row>
        <row r="154">
          <cell r="C154" t="str">
            <v>Agro Europa1022654</v>
          </cell>
          <cell r="D154" t="str">
            <v>Agro Europa</v>
          </cell>
          <cell r="E154" t="str">
            <v>1022654</v>
          </cell>
          <cell r="F154">
            <v>24000</v>
          </cell>
          <cell r="G154"/>
          <cell r="H154"/>
          <cell r="I154"/>
          <cell r="J154"/>
          <cell r="K154"/>
          <cell r="L154"/>
          <cell r="M154"/>
        </row>
        <row r="155">
          <cell r="C155" t="str">
            <v>Agro Europa1022858</v>
          </cell>
          <cell r="D155" t="str">
            <v>Agro Europa</v>
          </cell>
          <cell r="E155" t="str">
            <v>1022858</v>
          </cell>
          <cell r="F155"/>
          <cell r="G155"/>
          <cell r="H155"/>
          <cell r="I155"/>
          <cell r="J155">
            <v>8000</v>
          </cell>
          <cell r="K155">
            <v>44000</v>
          </cell>
          <cell r="L155">
            <v>20000</v>
          </cell>
          <cell r="M155">
            <v>22000</v>
          </cell>
        </row>
        <row r="156">
          <cell r="C156" t="str">
            <v>Agro Europa1023264</v>
          </cell>
          <cell r="D156" t="str">
            <v>Agro Europa</v>
          </cell>
          <cell r="E156" t="str">
            <v>1023264</v>
          </cell>
          <cell r="F156"/>
          <cell r="G156"/>
          <cell r="H156"/>
          <cell r="I156"/>
          <cell r="J156"/>
          <cell r="K156"/>
          <cell r="L156"/>
          <cell r="M156"/>
        </row>
        <row r="157">
          <cell r="C157" t="str">
            <v>Agro Europa1023292</v>
          </cell>
          <cell r="D157" t="str">
            <v>Agro Europa</v>
          </cell>
          <cell r="E157" t="str">
            <v>1023292</v>
          </cell>
          <cell r="F157"/>
          <cell r="G157"/>
          <cell r="H157"/>
          <cell r="I157"/>
          <cell r="J157"/>
          <cell r="K157"/>
          <cell r="L157"/>
          <cell r="M157"/>
        </row>
        <row r="158">
          <cell r="C158" t="str">
            <v>Agro Europa1023353</v>
          </cell>
          <cell r="D158" t="str">
            <v>Agro Europa</v>
          </cell>
          <cell r="E158" t="str">
            <v>1023353</v>
          </cell>
          <cell r="F158"/>
          <cell r="G158"/>
          <cell r="H158"/>
          <cell r="I158"/>
          <cell r="J158">
            <v>40000</v>
          </cell>
          <cell r="K158">
            <v>20000</v>
          </cell>
          <cell r="L158">
            <v>15000</v>
          </cell>
          <cell r="M158">
            <v>42000</v>
          </cell>
        </row>
        <row r="159">
          <cell r="C159" t="str">
            <v>Agro Europa1023400</v>
          </cell>
          <cell r="D159" t="str">
            <v>Agro Europa</v>
          </cell>
          <cell r="E159" t="str">
            <v>1023400</v>
          </cell>
          <cell r="F159"/>
          <cell r="G159"/>
          <cell r="H159"/>
          <cell r="I159"/>
          <cell r="J159"/>
          <cell r="K159"/>
          <cell r="L159"/>
          <cell r="M159"/>
        </row>
        <row r="160">
          <cell r="C160" t="str">
            <v>Agro Europa1030224</v>
          </cell>
          <cell r="D160" t="str">
            <v>Agro Europa</v>
          </cell>
          <cell r="E160" t="str">
            <v>1030224</v>
          </cell>
          <cell r="F160"/>
          <cell r="G160"/>
          <cell r="H160"/>
          <cell r="I160"/>
          <cell r="J160"/>
          <cell r="K160">
            <v>48000</v>
          </cell>
          <cell r="L160"/>
          <cell r="M160"/>
        </row>
        <row r="161">
          <cell r="C161" t="str">
            <v>Agro Europa1030265</v>
          </cell>
          <cell r="D161" t="str">
            <v>Agro Europa</v>
          </cell>
          <cell r="E161" t="str">
            <v>1030265</v>
          </cell>
          <cell r="F161">
            <v>21600</v>
          </cell>
          <cell r="G161">
            <v>21600</v>
          </cell>
          <cell r="H161"/>
          <cell r="I161"/>
          <cell r="J161">
            <v>43200</v>
          </cell>
          <cell r="K161">
            <v>21600</v>
          </cell>
          <cell r="L161">
            <v>21600</v>
          </cell>
          <cell r="M161">
            <v>21600</v>
          </cell>
        </row>
        <row r="162">
          <cell r="C162" t="str">
            <v>Agro Europa1030332</v>
          </cell>
          <cell r="D162" t="str">
            <v>Agro Europa</v>
          </cell>
          <cell r="E162" t="str">
            <v>1030332</v>
          </cell>
          <cell r="F162"/>
          <cell r="G162"/>
          <cell r="H162"/>
          <cell r="I162"/>
          <cell r="J162"/>
          <cell r="K162">
            <v>48000</v>
          </cell>
          <cell r="L162"/>
          <cell r="M162">
            <v>48000</v>
          </cell>
        </row>
        <row r="163">
          <cell r="C163" t="str">
            <v>Agro Europa1030355</v>
          </cell>
          <cell r="D163" t="str">
            <v>Agro Europa</v>
          </cell>
          <cell r="E163" t="str">
            <v>1030355</v>
          </cell>
          <cell r="F163"/>
          <cell r="G163"/>
          <cell r="H163"/>
          <cell r="I163"/>
          <cell r="J163"/>
          <cell r="K163">
            <v>120000</v>
          </cell>
          <cell r="L163">
            <v>24000</v>
          </cell>
          <cell r="M163">
            <v>75900</v>
          </cell>
        </row>
        <row r="164">
          <cell r="C164" t="str">
            <v>Agro Europa1030635</v>
          </cell>
          <cell r="D164" t="str">
            <v>Agro Europa</v>
          </cell>
          <cell r="E164" t="str">
            <v>1030635</v>
          </cell>
          <cell r="F164"/>
          <cell r="G164"/>
          <cell r="H164"/>
          <cell r="I164"/>
          <cell r="J164"/>
          <cell r="K164"/>
          <cell r="L164"/>
          <cell r="M164"/>
        </row>
        <row r="165">
          <cell r="C165" t="str">
            <v>Agro Europa1030675</v>
          </cell>
          <cell r="D165" t="str">
            <v>Agro Europa</v>
          </cell>
          <cell r="E165" t="str">
            <v>1030675</v>
          </cell>
          <cell r="F165">
            <v>24000</v>
          </cell>
          <cell r="G165"/>
          <cell r="H165"/>
          <cell r="I165"/>
          <cell r="J165"/>
          <cell r="K165"/>
          <cell r="L165"/>
          <cell r="M165"/>
        </row>
        <row r="166">
          <cell r="C166" t="str">
            <v>Agro Europa1030710</v>
          </cell>
          <cell r="D166" t="str">
            <v>Agro Europa</v>
          </cell>
          <cell r="E166" t="str">
            <v>1030710</v>
          </cell>
          <cell r="F166"/>
          <cell r="G166">
            <v>10800</v>
          </cell>
          <cell r="H166">
            <v>10800</v>
          </cell>
          <cell r="I166">
            <v>10000</v>
          </cell>
          <cell r="J166">
            <v>20000</v>
          </cell>
          <cell r="K166"/>
          <cell r="L166">
            <v>10000</v>
          </cell>
          <cell r="M166"/>
        </row>
        <row r="167">
          <cell r="C167" t="str">
            <v>Agro Europa1030711</v>
          </cell>
          <cell r="D167" t="str">
            <v>Agro Europa</v>
          </cell>
          <cell r="E167" t="str">
            <v>1030711</v>
          </cell>
          <cell r="F167"/>
          <cell r="G167">
            <v>10800</v>
          </cell>
          <cell r="H167">
            <v>10800</v>
          </cell>
          <cell r="I167">
            <v>10000</v>
          </cell>
          <cell r="J167">
            <v>20000</v>
          </cell>
          <cell r="K167"/>
          <cell r="L167"/>
          <cell r="M167">
            <v>7975</v>
          </cell>
        </row>
        <row r="168">
          <cell r="C168" t="str">
            <v>Agro Europa1030720</v>
          </cell>
          <cell r="D168" t="str">
            <v>Agro Europa</v>
          </cell>
          <cell r="E168" t="str">
            <v>1030720</v>
          </cell>
          <cell r="F168"/>
          <cell r="G168"/>
          <cell r="H168"/>
          <cell r="I168"/>
          <cell r="J168"/>
          <cell r="K168"/>
          <cell r="L168"/>
          <cell r="M168"/>
        </row>
        <row r="169">
          <cell r="C169" t="str">
            <v>Agro Europa1030765</v>
          </cell>
          <cell r="D169" t="str">
            <v>Agro Europa</v>
          </cell>
          <cell r="E169" t="str">
            <v>1030765</v>
          </cell>
          <cell r="F169"/>
          <cell r="G169"/>
          <cell r="H169"/>
          <cell r="I169"/>
          <cell r="J169"/>
          <cell r="K169"/>
          <cell r="L169"/>
          <cell r="M169"/>
        </row>
        <row r="170">
          <cell r="C170" t="str">
            <v>Agro Europa1030788</v>
          </cell>
          <cell r="D170" t="str">
            <v>Agro Europa</v>
          </cell>
          <cell r="E170" t="str">
            <v>1030788</v>
          </cell>
          <cell r="F170"/>
          <cell r="G170"/>
          <cell r="H170"/>
          <cell r="I170"/>
          <cell r="J170"/>
          <cell r="K170"/>
          <cell r="L170"/>
          <cell r="M170"/>
        </row>
        <row r="171">
          <cell r="C171" t="str">
            <v>Agro Europa1030804</v>
          </cell>
          <cell r="D171" t="str">
            <v>Agro Europa</v>
          </cell>
          <cell r="E171" t="str">
            <v>1030804</v>
          </cell>
          <cell r="F171"/>
          <cell r="G171"/>
          <cell r="H171"/>
          <cell r="I171"/>
          <cell r="J171"/>
          <cell r="K171"/>
          <cell r="L171">
            <v>10000</v>
          </cell>
          <cell r="M171"/>
        </row>
        <row r="172">
          <cell r="C172" t="str">
            <v>Agro Europa1023391</v>
          </cell>
          <cell r="D172" t="str">
            <v>Agro Europa</v>
          </cell>
          <cell r="E172" t="str">
            <v>1023391</v>
          </cell>
          <cell r="F172"/>
          <cell r="G172"/>
          <cell r="H172"/>
          <cell r="I172"/>
          <cell r="J172"/>
          <cell r="K172"/>
          <cell r="L172"/>
          <cell r="M172"/>
        </row>
        <row r="173">
          <cell r="C173" t="str">
            <v>Agro Mexico1011047</v>
          </cell>
          <cell r="D173" t="str">
            <v>Agro Mexico</v>
          </cell>
          <cell r="E173" t="str">
            <v>1011047</v>
          </cell>
          <cell r="F173">
            <v>273600</v>
          </cell>
          <cell r="G173">
            <v>159600</v>
          </cell>
          <cell r="H173">
            <v>76325</v>
          </cell>
          <cell r="I173">
            <v>30700</v>
          </cell>
          <cell r="J173"/>
          <cell r="K173"/>
          <cell r="L173">
            <v>22800</v>
          </cell>
          <cell r="M173"/>
        </row>
        <row r="174">
          <cell r="C174" t="str">
            <v>Agro Mexico1011073</v>
          </cell>
          <cell r="D174" t="str">
            <v>Agro Mexico</v>
          </cell>
          <cell r="E174" t="str">
            <v>1011073</v>
          </cell>
          <cell r="F174"/>
          <cell r="G174"/>
          <cell r="H174"/>
          <cell r="I174"/>
          <cell r="J174"/>
          <cell r="K174"/>
          <cell r="L174"/>
          <cell r="M174"/>
        </row>
        <row r="175">
          <cell r="C175" t="str">
            <v>Agro Mexico1011127</v>
          </cell>
          <cell r="D175" t="str">
            <v>Agro Mexico</v>
          </cell>
          <cell r="E175" t="str">
            <v>1011127</v>
          </cell>
          <cell r="F175">
            <v>798000</v>
          </cell>
          <cell r="G175">
            <v>800000</v>
          </cell>
          <cell r="H175">
            <v>775200</v>
          </cell>
          <cell r="I175">
            <v>980400</v>
          </cell>
          <cell r="J175">
            <v>1153521</v>
          </cell>
          <cell r="K175">
            <v>1112000</v>
          </cell>
          <cell r="L175">
            <v>1090000</v>
          </cell>
          <cell r="M175">
            <v>1013200</v>
          </cell>
        </row>
        <row r="176">
          <cell r="C176" t="str">
            <v>Agro Mexico1011150</v>
          </cell>
          <cell r="D176" t="str">
            <v>Agro Mexico</v>
          </cell>
          <cell r="E176" t="str">
            <v>1011150</v>
          </cell>
          <cell r="F176">
            <v>100000</v>
          </cell>
          <cell r="G176">
            <v>120000</v>
          </cell>
          <cell r="H176">
            <v>40000</v>
          </cell>
          <cell r="I176">
            <v>60000</v>
          </cell>
          <cell r="J176">
            <v>40000</v>
          </cell>
          <cell r="K176">
            <v>60000</v>
          </cell>
          <cell r="L176">
            <v>40000</v>
          </cell>
          <cell r="M176">
            <v>60000</v>
          </cell>
        </row>
        <row r="177">
          <cell r="C177" t="str">
            <v>Agro Mexico1011151</v>
          </cell>
          <cell r="D177" t="str">
            <v>Agro Mexico</v>
          </cell>
          <cell r="E177" t="str">
            <v>1011151</v>
          </cell>
          <cell r="F177"/>
          <cell r="G177"/>
          <cell r="H177"/>
          <cell r="I177"/>
          <cell r="J177"/>
          <cell r="K177"/>
          <cell r="L177"/>
          <cell r="M177"/>
        </row>
        <row r="178">
          <cell r="C178" t="str">
            <v>Agro Mexico1011614</v>
          </cell>
          <cell r="D178" t="str">
            <v>Agro Mexico</v>
          </cell>
          <cell r="E178" t="str">
            <v>1011614</v>
          </cell>
          <cell r="F178">
            <v>20000</v>
          </cell>
          <cell r="G178"/>
          <cell r="H178"/>
          <cell r="I178">
            <v>20000</v>
          </cell>
          <cell r="J178"/>
          <cell r="K178"/>
          <cell r="L178"/>
          <cell r="M178"/>
        </row>
        <row r="179">
          <cell r="C179" t="str">
            <v>Agro Mexico1011748</v>
          </cell>
          <cell r="D179" t="str">
            <v>Agro Mexico</v>
          </cell>
          <cell r="E179" t="str">
            <v>1011748</v>
          </cell>
          <cell r="F179"/>
          <cell r="G179"/>
          <cell r="H179"/>
          <cell r="I179"/>
          <cell r="J179"/>
          <cell r="K179"/>
          <cell r="L179"/>
          <cell r="M179"/>
        </row>
        <row r="180">
          <cell r="C180" t="str">
            <v>Agro Mexico1012278</v>
          </cell>
          <cell r="D180" t="str">
            <v>Agro Mexico</v>
          </cell>
          <cell r="E180" t="str">
            <v>1012278</v>
          </cell>
          <cell r="F180">
            <v>40000</v>
          </cell>
          <cell r="G180">
            <v>60000</v>
          </cell>
          <cell r="H180">
            <v>40000</v>
          </cell>
          <cell r="I180">
            <v>40000</v>
          </cell>
          <cell r="J180">
            <v>57658</v>
          </cell>
          <cell r="K180">
            <v>100000</v>
          </cell>
          <cell r="L180">
            <v>40000</v>
          </cell>
          <cell r="M180">
            <v>60000</v>
          </cell>
        </row>
        <row r="181">
          <cell r="C181" t="str">
            <v>Agro Mexico1012399</v>
          </cell>
          <cell r="D181" t="str">
            <v>Agro Mexico</v>
          </cell>
          <cell r="E181" t="str">
            <v>1012399</v>
          </cell>
          <cell r="F181"/>
          <cell r="G181"/>
          <cell r="H181"/>
          <cell r="I181"/>
          <cell r="J181">
            <v>10000</v>
          </cell>
          <cell r="K181"/>
          <cell r="L181"/>
          <cell r="M181"/>
        </row>
        <row r="182">
          <cell r="C182" t="str">
            <v>Agro Mexico1012400</v>
          </cell>
          <cell r="D182" t="str">
            <v>Agro Mexico</v>
          </cell>
          <cell r="E182" t="str">
            <v>1012400</v>
          </cell>
          <cell r="F182"/>
          <cell r="G182"/>
          <cell r="H182"/>
          <cell r="I182"/>
          <cell r="J182">
            <v>10000</v>
          </cell>
          <cell r="K182"/>
          <cell r="L182"/>
          <cell r="M182"/>
        </row>
        <row r="183">
          <cell r="C183" t="str">
            <v>Agro Mexico1012534</v>
          </cell>
          <cell r="D183" t="str">
            <v>Agro Mexico</v>
          </cell>
          <cell r="E183" t="str">
            <v>1012534</v>
          </cell>
          <cell r="F183"/>
          <cell r="G183">
            <v>120000</v>
          </cell>
          <cell r="H183">
            <v>120000</v>
          </cell>
          <cell r="I183">
            <v>160000</v>
          </cell>
          <cell r="J183">
            <v>455376</v>
          </cell>
          <cell r="K183">
            <v>180000</v>
          </cell>
          <cell r="L183">
            <v>180000</v>
          </cell>
          <cell r="M183">
            <v>100000</v>
          </cell>
        </row>
        <row r="184">
          <cell r="C184" t="str">
            <v>Agro Mexico1012725</v>
          </cell>
          <cell r="D184" t="str">
            <v>Agro Mexico</v>
          </cell>
          <cell r="E184" t="str">
            <v>1012725</v>
          </cell>
          <cell r="F184"/>
          <cell r="G184"/>
          <cell r="H184">
            <v>12000</v>
          </cell>
          <cell r="I184">
            <v>11975</v>
          </cell>
          <cell r="J184">
            <v>12000</v>
          </cell>
          <cell r="K184">
            <v>23900</v>
          </cell>
          <cell r="L184">
            <v>20000</v>
          </cell>
          <cell r="M184">
            <v>20000</v>
          </cell>
        </row>
        <row r="185">
          <cell r="C185" t="str">
            <v>Agro Mexico1012748</v>
          </cell>
          <cell r="D185" t="str">
            <v>Agro Mexico</v>
          </cell>
          <cell r="E185" t="str">
            <v>1012748</v>
          </cell>
          <cell r="F185"/>
          <cell r="G185"/>
          <cell r="H185"/>
          <cell r="I185"/>
          <cell r="J185"/>
          <cell r="K185"/>
          <cell r="L185"/>
          <cell r="M185"/>
        </row>
        <row r="186">
          <cell r="C186" t="str">
            <v>Agro Mexico1012764</v>
          </cell>
          <cell r="D186" t="str">
            <v>Agro Mexico</v>
          </cell>
          <cell r="E186" t="str">
            <v>1012764</v>
          </cell>
          <cell r="F186"/>
          <cell r="G186"/>
          <cell r="H186"/>
          <cell r="I186"/>
          <cell r="J186">
            <v>192000</v>
          </cell>
          <cell r="K186">
            <v>312001</v>
          </cell>
          <cell r="L186">
            <v>192000</v>
          </cell>
          <cell r="M186">
            <v>359989.05</v>
          </cell>
        </row>
        <row r="187">
          <cell r="C187" t="str">
            <v>Agro Mexico1012788</v>
          </cell>
          <cell r="D187" t="str">
            <v>Agro Mexico</v>
          </cell>
          <cell r="E187" t="str">
            <v>1012788</v>
          </cell>
          <cell r="F187"/>
          <cell r="G187"/>
          <cell r="H187"/>
          <cell r="I187"/>
          <cell r="J187"/>
          <cell r="K187">
            <v>120000</v>
          </cell>
          <cell r="L187">
            <v>60000</v>
          </cell>
          <cell r="M187"/>
        </row>
        <row r="188">
          <cell r="C188" t="str">
            <v>Agro Mexico1020845</v>
          </cell>
          <cell r="D188" t="str">
            <v>Agro Mexico</v>
          </cell>
          <cell r="E188" t="str">
            <v>1020845</v>
          </cell>
          <cell r="F188">
            <v>72000</v>
          </cell>
          <cell r="G188"/>
          <cell r="H188">
            <v>48000</v>
          </cell>
          <cell r="I188">
            <v>24000</v>
          </cell>
          <cell r="J188"/>
          <cell r="K188"/>
          <cell r="L188"/>
          <cell r="M188"/>
        </row>
        <row r="189">
          <cell r="C189" t="str">
            <v>Agro Mexico1020869</v>
          </cell>
          <cell r="D189" t="str">
            <v>Agro Mexico</v>
          </cell>
          <cell r="E189" t="str">
            <v>1020869</v>
          </cell>
          <cell r="F189"/>
          <cell r="G189"/>
          <cell r="H189"/>
          <cell r="I189"/>
          <cell r="J189"/>
          <cell r="K189"/>
          <cell r="L189"/>
          <cell r="M189"/>
        </row>
        <row r="190">
          <cell r="C190" t="str">
            <v>Agro Mexico1021020</v>
          </cell>
          <cell r="D190" t="str">
            <v>Agro Mexico</v>
          </cell>
          <cell r="E190" t="str">
            <v>1021020</v>
          </cell>
          <cell r="F190">
            <v>48000</v>
          </cell>
          <cell r="G190">
            <v>24000</v>
          </cell>
          <cell r="H190">
            <v>24000</v>
          </cell>
          <cell r="I190"/>
          <cell r="J190"/>
          <cell r="K190"/>
          <cell r="L190"/>
          <cell r="M190"/>
        </row>
        <row r="191">
          <cell r="C191" t="str">
            <v>Agro Mexico1021026</v>
          </cell>
          <cell r="D191" t="str">
            <v>Agro Mexico</v>
          </cell>
          <cell r="E191" t="str">
            <v>1021026</v>
          </cell>
          <cell r="F191">
            <v>24000</v>
          </cell>
          <cell r="G191"/>
          <cell r="H191">
            <v>48000</v>
          </cell>
          <cell r="I191">
            <v>24000</v>
          </cell>
          <cell r="J191">
            <v>72000</v>
          </cell>
          <cell r="K191">
            <v>72000</v>
          </cell>
          <cell r="L191"/>
          <cell r="M191"/>
        </row>
        <row r="192">
          <cell r="C192" t="str">
            <v>Agro Mexico1021270</v>
          </cell>
          <cell r="D192" t="str">
            <v>Agro Mexico</v>
          </cell>
          <cell r="E192" t="str">
            <v>1021270</v>
          </cell>
          <cell r="F192">
            <v>72000</v>
          </cell>
          <cell r="G192">
            <v>96000</v>
          </cell>
          <cell r="H192">
            <v>168000</v>
          </cell>
          <cell r="I192">
            <v>72000</v>
          </cell>
          <cell r="J192">
            <v>144000</v>
          </cell>
          <cell r="K192">
            <v>144000</v>
          </cell>
          <cell r="L192">
            <v>96000</v>
          </cell>
          <cell r="M192">
            <v>72000</v>
          </cell>
        </row>
        <row r="193">
          <cell r="C193" t="str">
            <v>Agro Mexico1021272</v>
          </cell>
          <cell r="D193" t="str">
            <v>Agro Mexico</v>
          </cell>
          <cell r="E193" t="str">
            <v>1021272</v>
          </cell>
          <cell r="F193">
            <v>336000</v>
          </cell>
          <cell r="G193">
            <v>240000</v>
          </cell>
          <cell r="H193">
            <v>240000</v>
          </cell>
          <cell r="I193">
            <v>240000</v>
          </cell>
          <cell r="J193">
            <v>384000</v>
          </cell>
          <cell r="K193">
            <v>168000</v>
          </cell>
          <cell r="L193">
            <v>192000</v>
          </cell>
          <cell r="M193">
            <v>167000</v>
          </cell>
        </row>
        <row r="194">
          <cell r="C194" t="str">
            <v>Agro Mexico1021555</v>
          </cell>
          <cell r="D194" t="str">
            <v>Agro Mexico</v>
          </cell>
          <cell r="E194" t="str">
            <v>1021555</v>
          </cell>
          <cell r="F194">
            <v>120000</v>
          </cell>
          <cell r="G194">
            <v>24000</v>
          </cell>
          <cell r="H194">
            <v>168000</v>
          </cell>
          <cell r="I194">
            <v>120000</v>
          </cell>
          <cell r="J194">
            <v>264000</v>
          </cell>
          <cell r="K194">
            <v>48000</v>
          </cell>
          <cell r="L194">
            <v>120000</v>
          </cell>
          <cell r="M194">
            <v>168000</v>
          </cell>
        </row>
        <row r="195">
          <cell r="C195" t="str">
            <v>Agro Mexico1021596</v>
          </cell>
          <cell r="D195" t="str">
            <v>Agro Mexico</v>
          </cell>
          <cell r="E195" t="str">
            <v>1021596</v>
          </cell>
          <cell r="F195">
            <v>48000</v>
          </cell>
          <cell r="G195">
            <v>24000</v>
          </cell>
          <cell r="H195">
            <v>24000</v>
          </cell>
          <cell r="I195">
            <v>48000</v>
          </cell>
          <cell r="J195">
            <v>144000</v>
          </cell>
          <cell r="K195">
            <v>72000</v>
          </cell>
          <cell r="L195">
            <v>48000</v>
          </cell>
          <cell r="M195">
            <v>24000</v>
          </cell>
        </row>
        <row r="196">
          <cell r="C196" t="str">
            <v>Agro Mexico1021874</v>
          </cell>
          <cell r="D196" t="str">
            <v>Agro Mexico</v>
          </cell>
          <cell r="E196" t="str">
            <v>1021874</v>
          </cell>
          <cell r="F196">
            <v>288000</v>
          </cell>
          <cell r="G196">
            <v>312000</v>
          </cell>
          <cell r="H196">
            <v>408000</v>
          </cell>
          <cell r="I196">
            <v>312000</v>
          </cell>
          <cell r="J196">
            <v>456000</v>
          </cell>
          <cell r="K196">
            <v>240000</v>
          </cell>
          <cell r="L196">
            <v>96000</v>
          </cell>
          <cell r="M196">
            <v>39000</v>
          </cell>
        </row>
        <row r="197">
          <cell r="C197" t="str">
            <v>Agro Mexico1022115</v>
          </cell>
          <cell r="D197" t="str">
            <v>Agro Mexico</v>
          </cell>
          <cell r="E197" t="str">
            <v>1022115</v>
          </cell>
          <cell r="F197">
            <v>24000</v>
          </cell>
          <cell r="G197"/>
          <cell r="H197"/>
          <cell r="I197">
            <v>24000</v>
          </cell>
          <cell r="J197"/>
          <cell r="K197"/>
          <cell r="L197"/>
          <cell r="M197"/>
        </row>
        <row r="198">
          <cell r="C198" t="str">
            <v>Agro Mexico1022657</v>
          </cell>
          <cell r="D198" t="str">
            <v>Agro Mexico</v>
          </cell>
          <cell r="E198" t="str">
            <v>1022657</v>
          </cell>
          <cell r="F198"/>
          <cell r="G198"/>
          <cell r="H198"/>
          <cell r="I198"/>
          <cell r="J198">
            <v>7500</v>
          </cell>
          <cell r="K198"/>
          <cell r="L198">
            <v>7500</v>
          </cell>
          <cell r="M198"/>
        </row>
        <row r="199">
          <cell r="C199" t="str">
            <v>Agro Mexico1022822</v>
          </cell>
          <cell r="D199" t="str">
            <v>Agro Mexico</v>
          </cell>
          <cell r="E199" t="str">
            <v>1022822</v>
          </cell>
          <cell r="F199"/>
          <cell r="G199"/>
          <cell r="H199"/>
          <cell r="I199"/>
          <cell r="J199"/>
          <cell r="K199"/>
          <cell r="L199"/>
          <cell r="M199"/>
        </row>
        <row r="200">
          <cell r="C200" t="str">
            <v>Agro Mexico1022854</v>
          </cell>
          <cell r="D200" t="str">
            <v>Agro Mexico</v>
          </cell>
          <cell r="E200" t="str">
            <v>1022854</v>
          </cell>
          <cell r="F200"/>
          <cell r="G200"/>
          <cell r="H200"/>
          <cell r="I200"/>
          <cell r="J200">
            <v>48000</v>
          </cell>
          <cell r="K200"/>
          <cell r="L200"/>
          <cell r="M200"/>
        </row>
        <row r="201">
          <cell r="C201" t="str">
            <v>Agro Mexico1022907</v>
          </cell>
          <cell r="D201" t="str">
            <v>Agro Mexico</v>
          </cell>
          <cell r="E201" t="str">
            <v>1022907</v>
          </cell>
          <cell r="F201"/>
          <cell r="G201">
            <v>72000</v>
          </cell>
          <cell r="H201">
            <v>72000</v>
          </cell>
          <cell r="I201">
            <v>24000</v>
          </cell>
          <cell r="J201">
            <v>72000</v>
          </cell>
          <cell r="K201">
            <v>24000</v>
          </cell>
          <cell r="L201">
            <v>48000</v>
          </cell>
          <cell r="M201">
            <v>9568</v>
          </cell>
        </row>
        <row r="202">
          <cell r="C202" t="str">
            <v>Agro Mexico1023218</v>
          </cell>
          <cell r="D202" t="str">
            <v>Agro Mexico</v>
          </cell>
          <cell r="E202" t="str">
            <v>1023218</v>
          </cell>
          <cell r="F202"/>
          <cell r="G202"/>
          <cell r="H202"/>
          <cell r="I202"/>
          <cell r="J202"/>
          <cell r="K202"/>
          <cell r="L202">
            <v>24000</v>
          </cell>
          <cell r="M202">
            <v>96000</v>
          </cell>
        </row>
        <row r="203">
          <cell r="C203" t="str">
            <v>Agro Mexico1023257</v>
          </cell>
          <cell r="D203" t="str">
            <v>Agro Mexico</v>
          </cell>
          <cell r="E203" t="str">
            <v>1023257</v>
          </cell>
          <cell r="F203"/>
          <cell r="G203">
            <v>48000</v>
          </cell>
          <cell r="H203">
            <v>24000</v>
          </cell>
          <cell r="I203">
            <v>48000</v>
          </cell>
          <cell r="J203"/>
          <cell r="K203"/>
          <cell r="L203">
            <v>96000</v>
          </cell>
          <cell r="M203"/>
        </row>
        <row r="204">
          <cell r="C204" t="str">
            <v>Agro Mexico1023302</v>
          </cell>
          <cell r="D204" t="str">
            <v>Agro Mexico</v>
          </cell>
          <cell r="E204" t="str">
            <v>1023302</v>
          </cell>
          <cell r="F204">
            <v>72000</v>
          </cell>
          <cell r="G204">
            <v>120000</v>
          </cell>
          <cell r="H204">
            <v>216000</v>
          </cell>
          <cell r="I204">
            <v>264000</v>
          </cell>
          <cell r="J204">
            <v>456000</v>
          </cell>
          <cell r="K204">
            <v>216000</v>
          </cell>
          <cell r="L204">
            <v>48000</v>
          </cell>
          <cell r="M204">
            <v>13580</v>
          </cell>
        </row>
        <row r="205">
          <cell r="C205" t="str">
            <v>Agro Mexico1023318</v>
          </cell>
          <cell r="D205" t="str">
            <v>Agro Mexico</v>
          </cell>
          <cell r="E205" t="str">
            <v>1023318</v>
          </cell>
          <cell r="F205"/>
          <cell r="G205">
            <v>24000</v>
          </cell>
          <cell r="H205"/>
          <cell r="I205"/>
          <cell r="J205"/>
          <cell r="K205"/>
          <cell r="L205">
            <v>24000</v>
          </cell>
          <cell r="M205"/>
        </row>
        <row r="206">
          <cell r="C206" t="str">
            <v>Agro Mexico1023319</v>
          </cell>
          <cell r="D206" t="str">
            <v>Agro Mexico</v>
          </cell>
          <cell r="E206" t="str">
            <v>1023319</v>
          </cell>
          <cell r="F206"/>
          <cell r="G206"/>
          <cell r="H206">
            <v>24000</v>
          </cell>
          <cell r="I206"/>
          <cell r="J206">
            <v>48000</v>
          </cell>
          <cell r="K206"/>
          <cell r="L206"/>
          <cell r="M206"/>
        </row>
        <row r="207">
          <cell r="C207" t="str">
            <v>Agro Mexico1023324</v>
          </cell>
          <cell r="D207" t="str">
            <v>Agro Mexico</v>
          </cell>
          <cell r="E207" t="str">
            <v>1023324</v>
          </cell>
          <cell r="F207"/>
          <cell r="G207">
            <v>24000</v>
          </cell>
          <cell r="H207"/>
          <cell r="I207">
            <v>24000</v>
          </cell>
          <cell r="J207">
            <v>96000</v>
          </cell>
          <cell r="K207">
            <v>24000</v>
          </cell>
          <cell r="L207">
            <v>48000</v>
          </cell>
          <cell r="M207">
            <v>240000</v>
          </cell>
        </row>
        <row r="208">
          <cell r="C208" t="str">
            <v>Agro Mexico1023343</v>
          </cell>
          <cell r="D208" t="str">
            <v>Agro Mexico</v>
          </cell>
          <cell r="E208" t="str">
            <v>1023343</v>
          </cell>
          <cell r="F208"/>
          <cell r="G208"/>
          <cell r="H208"/>
          <cell r="I208"/>
          <cell r="J208">
            <v>192000</v>
          </cell>
          <cell r="K208">
            <v>72000</v>
          </cell>
          <cell r="L208"/>
          <cell r="M208"/>
        </row>
        <row r="209">
          <cell r="C209" t="str">
            <v>Agro Mexico1023383</v>
          </cell>
          <cell r="D209" t="str">
            <v>Agro Mexico</v>
          </cell>
          <cell r="E209" t="str">
            <v>1023383</v>
          </cell>
          <cell r="F209"/>
          <cell r="G209"/>
          <cell r="H209"/>
          <cell r="I209"/>
          <cell r="J209"/>
          <cell r="K209">
            <v>48000</v>
          </cell>
          <cell r="L209"/>
          <cell r="M209"/>
        </row>
        <row r="210">
          <cell r="C210" t="str">
            <v>Agro Mexico1030327</v>
          </cell>
          <cell r="D210" t="str">
            <v>Agro Mexico</v>
          </cell>
          <cell r="E210" t="str">
            <v>1030327</v>
          </cell>
          <cell r="F210"/>
          <cell r="G210"/>
          <cell r="H210"/>
          <cell r="I210"/>
          <cell r="J210">
            <v>20000</v>
          </cell>
          <cell r="K210">
            <v>20000</v>
          </cell>
          <cell r="L210"/>
          <cell r="M210"/>
        </row>
        <row r="211">
          <cell r="C211" t="str">
            <v>Agro Mexico1030337</v>
          </cell>
          <cell r="D211" t="str">
            <v>Agro Mexico</v>
          </cell>
          <cell r="E211" t="str">
            <v>1030337</v>
          </cell>
          <cell r="F211">
            <v>96000</v>
          </cell>
          <cell r="G211">
            <v>192000</v>
          </cell>
          <cell r="H211">
            <v>312000</v>
          </cell>
          <cell r="I211">
            <v>192000</v>
          </cell>
          <cell r="J211">
            <v>144000</v>
          </cell>
          <cell r="K211">
            <v>120000</v>
          </cell>
          <cell r="L211">
            <v>216000</v>
          </cell>
          <cell r="M211">
            <v>143000</v>
          </cell>
        </row>
        <row r="212">
          <cell r="C212" t="str">
            <v>Agro Mexico1030575</v>
          </cell>
          <cell r="D212" t="str">
            <v>Agro Mexico</v>
          </cell>
          <cell r="E212" t="str">
            <v>1030575</v>
          </cell>
          <cell r="F212"/>
          <cell r="G212"/>
          <cell r="H212"/>
          <cell r="I212"/>
          <cell r="J212"/>
          <cell r="K212"/>
          <cell r="L212"/>
          <cell r="M212"/>
        </row>
        <row r="213">
          <cell r="C213" t="str">
            <v>Agro Mexico1030658</v>
          </cell>
          <cell r="D213" t="str">
            <v>Agro Mexico</v>
          </cell>
          <cell r="E213" t="str">
            <v>1030658</v>
          </cell>
          <cell r="F213">
            <v>72000</v>
          </cell>
          <cell r="G213">
            <v>72000</v>
          </cell>
          <cell r="H213">
            <v>96000</v>
          </cell>
          <cell r="I213">
            <v>144000</v>
          </cell>
          <cell r="J213">
            <v>192000</v>
          </cell>
          <cell r="K213">
            <v>192000</v>
          </cell>
          <cell r="L213">
            <v>240000</v>
          </cell>
          <cell r="M213">
            <v>192000</v>
          </cell>
        </row>
        <row r="214">
          <cell r="C214" t="str">
            <v>Agro Mexico1030773</v>
          </cell>
          <cell r="D214" t="str">
            <v>Agro Mexico</v>
          </cell>
          <cell r="E214" t="str">
            <v>1030773</v>
          </cell>
          <cell r="F214"/>
          <cell r="G214"/>
          <cell r="H214"/>
          <cell r="I214"/>
          <cell r="J214"/>
          <cell r="K214"/>
          <cell r="L214"/>
          <cell r="M214"/>
        </row>
        <row r="215">
          <cell r="C215" t="str">
            <v>Agro Mexico1030792</v>
          </cell>
          <cell r="D215" t="str">
            <v>Agro Mexico</v>
          </cell>
          <cell r="E215" t="str">
            <v>1030792</v>
          </cell>
          <cell r="F215"/>
          <cell r="G215"/>
          <cell r="H215"/>
          <cell r="I215">
            <v>24000</v>
          </cell>
          <cell r="J215">
            <v>72000</v>
          </cell>
          <cell r="K215">
            <v>24000</v>
          </cell>
          <cell r="L215">
            <v>72000</v>
          </cell>
          <cell r="M215">
            <v>48000</v>
          </cell>
        </row>
        <row r="216">
          <cell r="C216" t="str">
            <v>Agro Mexico1030802</v>
          </cell>
          <cell r="D216" t="str">
            <v>Agro Mexico</v>
          </cell>
          <cell r="E216" t="str">
            <v>1030802</v>
          </cell>
          <cell r="F216"/>
          <cell r="G216"/>
          <cell r="H216"/>
          <cell r="I216"/>
          <cell r="J216"/>
          <cell r="K216"/>
          <cell r="L216"/>
          <cell r="M216">
            <v>96000</v>
          </cell>
        </row>
        <row r="217">
          <cell r="C217" t="str">
            <v>Agro Mexico1030809</v>
          </cell>
          <cell r="D217" t="str">
            <v>Agro Mexico</v>
          </cell>
          <cell r="E217" t="str">
            <v>1030809</v>
          </cell>
          <cell r="F217"/>
          <cell r="G217"/>
          <cell r="H217"/>
          <cell r="I217"/>
          <cell r="J217"/>
          <cell r="K217"/>
          <cell r="L217"/>
          <cell r="M217"/>
        </row>
        <row r="218">
          <cell r="C218" t="str">
            <v>Agro Mexico1030810</v>
          </cell>
          <cell r="D218" t="str">
            <v>Agro Mexico</v>
          </cell>
          <cell r="E218" t="str">
            <v>1030810</v>
          </cell>
          <cell r="F218"/>
          <cell r="G218"/>
          <cell r="H218"/>
          <cell r="I218"/>
          <cell r="J218"/>
          <cell r="K218"/>
          <cell r="L218"/>
          <cell r="M218"/>
        </row>
        <row r="219">
          <cell r="C219" t="str">
            <v>Agro Mexico1100665</v>
          </cell>
          <cell r="D219" t="str">
            <v>Agro Mexico</v>
          </cell>
          <cell r="E219" t="str">
            <v>1100665</v>
          </cell>
          <cell r="F219"/>
          <cell r="G219"/>
          <cell r="H219"/>
          <cell r="I219"/>
          <cell r="J219"/>
          <cell r="K219"/>
          <cell r="L219"/>
          <cell r="M219"/>
        </row>
        <row r="220">
          <cell r="C220" t="str">
            <v>Agro Mexico1012796</v>
          </cell>
          <cell r="D220" t="str">
            <v>Agro Mexico</v>
          </cell>
          <cell r="E220" t="str">
            <v>1012796</v>
          </cell>
          <cell r="F220"/>
          <cell r="G220"/>
          <cell r="H220"/>
          <cell r="I220"/>
          <cell r="J220"/>
          <cell r="K220"/>
          <cell r="L220"/>
          <cell r="M220"/>
        </row>
        <row r="221">
          <cell r="C221" t="str">
            <v>Agro Sudamerica1010877</v>
          </cell>
          <cell r="D221" t="str">
            <v>Agro Sudamerica</v>
          </cell>
          <cell r="E221" t="str">
            <v>1010877</v>
          </cell>
          <cell r="F221">
            <v>96000</v>
          </cell>
          <cell r="G221">
            <v>123000</v>
          </cell>
          <cell r="H221">
            <v>95960</v>
          </cell>
          <cell r="I221">
            <v>48000</v>
          </cell>
          <cell r="J221">
            <v>115000</v>
          </cell>
          <cell r="K221">
            <v>162334</v>
          </cell>
          <cell r="L221">
            <v>180000</v>
          </cell>
          <cell r="M221">
            <v>76590</v>
          </cell>
        </row>
        <row r="222">
          <cell r="C222" t="str">
            <v>Agro Sudamerica1011042</v>
          </cell>
          <cell r="D222" t="str">
            <v>Agro Sudamerica</v>
          </cell>
          <cell r="E222" t="str">
            <v>1011042</v>
          </cell>
          <cell r="F222">
            <v>24000</v>
          </cell>
          <cell r="G222"/>
          <cell r="H222">
            <v>23960</v>
          </cell>
          <cell r="I222"/>
          <cell r="J222">
            <v>72000</v>
          </cell>
          <cell r="K222">
            <v>36000</v>
          </cell>
          <cell r="L222">
            <v>36000</v>
          </cell>
          <cell r="M222">
            <v>55410</v>
          </cell>
        </row>
        <row r="223">
          <cell r="C223" t="str">
            <v>Agro Sudamerica1011047</v>
          </cell>
          <cell r="D223" t="str">
            <v>Agro Sudamerica</v>
          </cell>
          <cell r="E223" t="str">
            <v>1011047</v>
          </cell>
          <cell r="F223"/>
          <cell r="G223"/>
          <cell r="H223"/>
          <cell r="I223"/>
          <cell r="J223"/>
          <cell r="K223"/>
          <cell r="L223"/>
          <cell r="M223"/>
        </row>
        <row r="224">
          <cell r="C224" t="str">
            <v>Agro Sudamerica1011127</v>
          </cell>
          <cell r="D224" t="str">
            <v>Agro Sudamerica</v>
          </cell>
          <cell r="E224" t="str">
            <v>1011127</v>
          </cell>
          <cell r="F224"/>
          <cell r="G224"/>
          <cell r="H224">
            <v>47000</v>
          </cell>
          <cell r="I224">
            <v>24000</v>
          </cell>
          <cell r="J224"/>
          <cell r="K224"/>
          <cell r="L224"/>
          <cell r="M224"/>
        </row>
        <row r="225">
          <cell r="C225" t="str">
            <v>Agro Sudamerica1011250</v>
          </cell>
          <cell r="D225" t="str">
            <v>Agro Sudamerica</v>
          </cell>
          <cell r="E225" t="str">
            <v>1011250</v>
          </cell>
          <cell r="F225"/>
          <cell r="G225"/>
          <cell r="H225"/>
          <cell r="I225"/>
          <cell r="J225"/>
          <cell r="K225"/>
          <cell r="L225"/>
          <cell r="M225"/>
        </row>
        <row r="226">
          <cell r="C226" t="str">
            <v>Agro Sudamerica1011290</v>
          </cell>
          <cell r="D226" t="str">
            <v>Agro Sudamerica</v>
          </cell>
          <cell r="E226" t="str">
            <v>1011290</v>
          </cell>
          <cell r="F226">
            <v>24000</v>
          </cell>
          <cell r="G226">
            <v>23700</v>
          </cell>
          <cell r="H226"/>
          <cell r="I226">
            <v>24000</v>
          </cell>
          <cell r="J226"/>
          <cell r="K226">
            <v>8000</v>
          </cell>
          <cell r="L226">
            <v>500</v>
          </cell>
          <cell r="M226"/>
        </row>
        <row r="227">
          <cell r="C227" t="str">
            <v>Agro Sudamerica1011421</v>
          </cell>
          <cell r="D227" t="str">
            <v>Agro Sudamerica</v>
          </cell>
          <cell r="E227" t="str">
            <v>1011421</v>
          </cell>
          <cell r="F227">
            <v>620000</v>
          </cell>
          <cell r="G227">
            <v>696000</v>
          </cell>
          <cell r="H227">
            <v>840000</v>
          </cell>
          <cell r="I227">
            <v>720000</v>
          </cell>
          <cell r="J227">
            <v>888000</v>
          </cell>
          <cell r="K227">
            <v>647996</v>
          </cell>
          <cell r="L227">
            <v>582000</v>
          </cell>
          <cell r="M227">
            <v>1052000</v>
          </cell>
        </row>
        <row r="228">
          <cell r="C228" t="str">
            <v>Agro Sudamerica1011422</v>
          </cell>
          <cell r="D228" t="str">
            <v>Agro Sudamerica</v>
          </cell>
          <cell r="E228" t="str">
            <v>1011422</v>
          </cell>
          <cell r="F228"/>
          <cell r="G228"/>
          <cell r="H228">
            <v>24000</v>
          </cell>
          <cell r="I228"/>
          <cell r="J228"/>
          <cell r="K228"/>
          <cell r="L228"/>
          <cell r="M228"/>
        </row>
        <row r="229">
          <cell r="C229" t="str">
            <v>Agro Sudamerica1011558</v>
          </cell>
          <cell r="D229" t="str">
            <v>Agro Sudamerica</v>
          </cell>
          <cell r="E229" t="str">
            <v>1011558</v>
          </cell>
          <cell r="F229">
            <v>192000</v>
          </cell>
          <cell r="G229">
            <v>408000</v>
          </cell>
          <cell r="H229">
            <v>288000</v>
          </cell>
          <cell r="I229">
            <v>264000</v>
          </cell>
          <cell r="J229">
            <v>168000</v>
          </cell>
          <cell r="K229">
            <v>119997</v>
          </cell>
          <cell r="L229">
            <v>154410</v>
          </cell>
          <cell r="M229">
            <v>249000</v>
          </cell>
        </row>
        <row r="230">
          <cell r="C230" t="str">
            <v>Agro Sudamerica1011560</v>
          </cell>
          <cell r="D230" t="str">
            <v>Agro Sudamerica</v>
          </cell>
          <cell r="E230" t="str">
            <v>1011560</v>
          </cell>
          <cell r="F230"/>
          <cell r="G230"/>
          <cell r="H230"/>
          <cell r="I230"/>
          <cell r="J230"/>
          <cell r="K230"/>
          <cell r="L230"/>
          <cell r="M230"/>
        </row>
        <row r="231">
          <cell r="C231" t="str">
            <v>Agro Sudamerica1011566</v>
          </cell>
          <cell r="D231" t="str">
            <v>Agro Sudamerica</v>
          </cell>
          <cell r="E231" t="str">
            <v>1011566</v>
          </cell>
          <cell r="F231"/>
          <cell r="G231"/>
          <cell r="H231"/>
          <cell r="I231"/>
          <cell r="J231"/>
          <cell r="K231"/>
          <cell r="L231"/>
          <cell r="M231"/>
        </row>
        <row r="232">
          <cell r="C232" t="str">
            <v>Agro Sudamerica1011582</v>
          </cell>
          <cell r="D232" t="str">
            <v>Agro Sudamerica</v>
          </cell>
          <cell r="E232" t="str">
            <v>1011582</v>
          </cell>
          <cell r="F232">
            <v>24000</v>
          </cell>
          <cell r="G232">
            <v>82000</v>
          </cell>
          <cell r="H232">
            <v>60000</v>
          </cell>
          <cell r="I232">
            <v>24000</v>
          </cell>
          <cell r="J232">
            <v>46500</v>
          </cell>
          <cell r="K232"/>
          <cell r="L232"/>
          <cell r="M232"/>
        </row>
        <row r="233">
          <cell r="C233" t="str">
            <v>Agro Sudamerica1011888</v>
          </cell>
          <cell r="D233" t="str">
            <v>Agro Sudamerica</v>
          </cell>
          <cell r="E233" t="str">
            <v>1011888</v>
          </cell>
          <cell r="F233"/>
          <cell r="G233"/>
          <cell r="H233"/>
          <cell r="I233"/>
          <cell r="J233"/>
          <cell r="K233"/>
          <cell r="L233"/>
          <cell r="M233"/>
        </row>
        <row r="234">
          <cell r="C234" t="str">
            <v>Agro Sudamerica1011939</v>
          </cell>
          <cell r="D234" t="str">
            <v>Agro Sudamerica</v>
          </cell>
          <cell r="E234" t="str">
            <v>1011939</v>
          </cell>
          <cell r="F234"/>
          <cell r="G234"/>
          <cell r="H234"/>
          <cell r="I234"/>
          <cell r="J234"/>
          <cell r="K234"/>
          <cell r="L234"/>
          <cell r="M234"/>
        </row>
        <row r="235">
          <cell r="C235" t="str">
            <v>Agro Sudamerica1012207</v>
          </cell>
          <cell r="D235" t="str">
            <v>Agro Sudamerica</v>
          </cell>
          <cell r="E235" t="str">
            <v>1012207</v>
          </cell>
          <cell r="F235">
            <v>24000</v>
          </cell>
          <cell r="G235">
            <v>60000</v>
          </cell>
          <cell r="H235">
            <v>55476</v>
          </cell>
          <cell r="I235">
            <v>24000</v>
          </cell>
          <cell r="J235">
            <v>48000</v>
          </cell>
          <cell r="K235">
            <v>72000</v>
          </cell>
          <cell r="L235">
            <v>48000</v>
          </cell>
          <cell r="M235">
            <v>41500</v>
          </cell>
        </row>
        <row r="236">
          <cell r="C236" t="str">
            <v>Agro Sudamerica1012208</v>
          </cell>
          <cell r="D236" t="str">
            <v>Agro Sudamerica</v>
          </cell>
          <cell r="E236" t="str">
            <v>1012208</v>
          </cell>
          <cell r="F236">
            <v>24000</v>
          </cell>
          <cell r="G236">
            <v>120000</v>
          </cell>
          <cell r="H236">
            <v>72000</v>
          </cell>
          <cell r="I236"/>
          <cell r="J236">
            <v>24000</v>
          </cell>
          <cell r="K236">
            <v>24000</v>
          </cell>
          <cell r="L236">
            <v>24000</v>
          </cell>
          <cell r="M236">
            <v>24000</v>
          </cell>
        </row>
        <row r="237">
          <cell r="C237" t="str">
            <v>Agro Sudamerica1012283</v>
          </cell>
          <cell r="D237" t="str">
            <v>Agro Sudamerica</v>
          </cell>
          <cell r="E237" t="str">
            <v>1012283</v>
          </cell>
          <cell r="F237">
            <v>72000</v>
          </cell>
          <cell r="G237">
            <v>48000</v>
          </cell>
          <cell r="H237">
            <v>60779</v>
          </cell>
          <cell r="I237">
            <v>48000</v>
          </cell>
          <cell r="J237">
            <v>48000</v>
          </cell>
          <cell r="K237">
            <v>48000</v>
          </cell>
          <cell r="L237">
            <v>72000</v>
          </cell>
          <cell r="M237">
            <v>47000</v>
          </cell>
        </row>
        <row r="238">
          <cell r="C238" t="str">
            <v>Agro Sudamerica1012362</v>
          </cell>
          <cell r="D238" t="str">
            <v>Agro Sudamerica</v>
          </cell>
          <cell r="E238" t="str">
            <v>1012362</v>
          </cell>
          <cell r="F238"/>
          <cell r="G238">
            <v>3000</v>
          </cell>
          <cell r="H238"/>
          <cell r="I238"/>
          <cell r="J238">
            <v>13000</v>
          </cell>
          <cell r="K238">
            <v>10000</v>
          </cell>
          <cell r="L238">
            <v>29000</v>
          </cell>
          <cell r="M238">
            <v>29000</v>
          </cell>
        </row>
        <row r="239">
          <cell r="C239" t="str">
            <v>Agro Sudamerica1012552</v>
          </cell>
          <cell r="D239" t="str">
            <v>Agro Sudamerica</v>
          </cell>
          <cell r="E239" t="str">
            <v>1012552</v>
          </cell>
          <cell r="F239">
            <v>48000</v>
          </cell>
          <cell r="G239">
            <v>48000</v>
          </cell>
          <cell r="H239">
            <v>48000</v>
          </cell>
          <cell r="I239">
            <v>24000</v>
          </cell>
          <cell r="J239">
            <v>72000</v>
          </cell>
          <cell r="K239">
            <v>46000</v>
          </cell>
          <cell r="L239"/>
          <cell r="M239">
            <v>47000</v>
          </cell>
        </row>
        <row r="240">
          <cell r="C240" t="str">
            <v>Agro Sudamerica1012556</v>
          </cell>
          <cell r="D240" t="str">
            <v>Agro Sudamerica</v>
          </cell>
          <cell r="E240" t="str">
            <v>1012556</v>
          </cell>
          <cell r="F240"/>
          <cell r="G240"/>
          <cell r="H240">
            <v>24000</v>
          </cell>
          <cell r="I240">
            <v>72000</v>
          </cell>
          <cell r="J240">
            <v>48000</v>
          </cell>
          <cell r="K240"/>
          <cell r="L240">
            <v>96000</v>
          </cell>
          <cell r="M240">
            <v>268000</v>
          </cell>
        </row>
        <row r="241">
          <cell r="C241" t="str">
            <v>Agro Sudamerica1012602</v>
          </cell>
          <cell r="D241" t="str">
            <v>Agro Sudamerica</v>
          </cell>
          <cell r="E241" t="str">
            <v>1012602</v>
          </cell>
          <cell r="F241"/>
          <cell r="G241"/>
          <cell r="H241"/>
          <cell r="I241"/>
          <cell r="J241"/>
          <cell r="K241"/>
          <cell r="L241"/>
          <cell r="M241"/>
        </row>
        <row r="242">
          <cell r="C242" t="str">
            <v>Agro Sudamerica1012612</v>
          </cell>
          <cell r="D242" t="str">
            <v>Agro Sudamerica</v>
          </cell>
          <cell r="E242" t="str">
            <v>1012612</v>
          </cell>
          <cell r="F242"/>
          <cell r="G242"/>
          <cell r="H242"/>
          <cell r="I242"/>
          <cell r="J242"/>
          <cell r="K242"/>
          <cell r="L242"/>
          <cell r="M242"/>
        </row>
        <row r="243">
          <cell r="C243" t="str">
            <v>Agro Sudamerica1012698</v>
          </cell>
          <cell r="D243" t="str">
            <v>Agro Sudamerica</v>
          </cell>
          <cell r="E243" t="str">
            <v>1012698</v>
          </cell>
          <cell r="F243"/>
          <cell r="G243"/>
          <cell r="H243">
            <v>80</v>
          </cell>
          <cell r="I243"/>
          <cell r="J243"/>
          <cell r="K243"/>
          <cell r="L243"/>
          <cell r="M243"/>
        </row>
        <row r="244">
          <cell r="C244" t="str">
            <v>Agro Sudamerica1012699</v>
          </cell>
          <cell r="D244" t="str">
            <v>Agro Sudamerica</v>
          </cell>
          <cell r="E244" t="str">
            <v>1012699</v>
          </cell>
          <cell r="F244"/>
          <cell r="G244"/>
          <cell r="H244">
            <v>80</v>
          </cell>
          <cell r="I244"/>
          <cell r="J244"/>
          <cell r="K244"/>
          <cell r="L244"/>
          <cell r="M244"/>
        </row>
        <row r="245">
          <cell r="C245" t="str">
            <v>Agro Sudamerica1012719</v>
          </cell>
          <cell r="D245" t="str">
            <v>Agro Sudamerica</v>
          </cell>
          <cell r="E245" t="str">
            <v>1012719</v>
          </cell>
          <cell r="F245">
            <v>192000</v>
          </cell>
          <cell r="G245">
            <v>423600</v>
          </cell>
          <cell r="H245">
            <v>357200</v>
          </cell>
          <cell r="I245">
            <v>144000</v>
          </cell>
          <cell r="J245">
            <v>358600</v>
          </cell>
          <cell r="K245">
            <v>24000</v>
          </cell>
          <cell r="L245">
            <v>136446</v>
          </cell>
          <cell r="M245">
            <v>117880</v>
          </cell>
        </row>
        <row r="246">
          <cell r="C246" t="str">
            <v>Agro Sudamerica1012744</v>
          </cell>
          <cell r="D246" t="str">
            <v>Agro Sudamerica</v>
          </cell>
          <cell r="E246" t="str">
            <v>1012744</v>
          </cell>
          <cell r="F246"/>
          <cell r="G246">
            <v>143000</v>
          </cell>
          <cell r="H246">
            <v>72000</v>
          </cell>
          <cell r="I246">
            <v>24000</v>
          </cell>
          <cell r="J246">
            <v>24000</v>
          </cell>
          <cell r="K246"/>
          <cell r="L246"/>
          <cell r="M246"/>
        </row>
        <row r="247">
          <cell r="C247" t="str">
            <v>Agro Sudamerica1012763</v>
          </cell>
          <cell r="D247" t="str">
            <v>Agro Sudamerica</v>
          </cell>
          <cell r="E247" t="str">
            <v>1012763</v>
          </cell>
          <cell r="F247"/>
          <cell r="G247"/>
          <cell r="H247">
            <v>48000</v>
          </cell>
          <cell r="I247">
            <v>48000</v>
          </cell>
          <cell r="J247">
            <v>48000</v>
          </cell>
          <cell r="K247">
            <v>48000</v>
          </cell>
          <cell r="L247">
            <v>72000</v>
          </cell>
          <cell r="M247">
            <v>48000</v>
          </cell>
        </row>
        <row r="248">
          <cell r="C248" t="str">
            <v>Agro Sudamerica1012778</v>
          </cell>
          <cell r="D248" t="str">
            <v>Agro Sudamerica</v>
          </cell>
          <cell r="E248" t="str">
            <v>1012778</v>
          </cell>
          <cell r="F248"/>
          <cell r="G248"/>
          <cell r="H248"/>
          <cell r="I248"/>
          <cell r="J248">
            <v>24000</v>
          </cell>
          <cell r="K248">
            <v>24000</v>
          </cell>
          <cell r="L248">
            <v>5000</v>
          </cell>
          <cell r="M248">
            <v>17000</v>
          </cell>
        </row>
        <row r="249">
          <cell r="C249" t="str">
            <v>Agro Sudamerica1012782</v>
          </cell>
          <cell r="D249" t="str">
            <v>Agro Sudamerica</v>
          </cell>
          <cell r="E249" t="str">
            <v>1012782</v>
          </cell>
          <cell r="F249"/>
          <cell r="G249"/>
          <cell r="H249"/>
          <cell r="I249"/>
          <cell r="J249"/>
          <cell r="K249"/>
          <cell r="L249">
            <v>2628</v>
          </cell>
          <cell r="M249"/>
        </row>
        <row r="250">
          <cell r="C250" t="str">
            <v>Agro Sudamerica1020017</v>
          </cell>
          <cell r="D250" t="str">
            <v>Agro Sudamerica</v>
          </cell>
          <cell r="E250" t="str">
            <v>1020017</v>
          </cell>
          <cell r="F250">
            <v>192000</v>
          </cell>
          <cell r="G250">
            <v>108000</v>
          </cell>
          <cell r="H250">
            <v>132000</v>
          </cell>
          <cell r="I250">
            <v>96000</v>
          </cell>
          <cell r="J250">
            <v>37000</v>
          </cell>
          <cell r="K250"/>
          <cell r="L250"/>
          <cell r="M250"/>
        </row>
        <row r="251">
          <cell r="C251" t="str">
            <v>Agro Sudamerica1020339</v>
          </cell>
          <cell r="D251" t="str">
            <v>Agro Sudamerica</v>
          </cell>
          <cell r="E251" t="str">
            <v>1020339</v>
          </cell>
          <cell r="F251">
            <v>34000</v>
          </cell>
          <cell r="G251">
            <v>95000</v>
          </cell>
          <cell r="H251">
            <v>85000</v>
          </cell>
          <cell r="I251">
            <v>98500</v>
          </cell>
          <cell r="J251">
            <v>130881</v>
          </cell>
          <cell r="K251">
            <v>168000</v>
          </cell>
          <cell r="L251">
            <v>48000</v>
          </cell>
          <cell r="M251">
            <v>96000</v>
          </cell>
        </row>
        <row r="252">
          <cell r="C252" t="str">
            <v>Agro Sudamerica1020349</v>
          </cell>
          <cell r="D252" t="str">
            <v>Agro Sudamerica</v>
          </cell>
          <cell r="E252" t="str">
            <v>1020349</v>
          </cell>
          <cell r="F252">
            <v>120000</v>
          </cell>
          <cell r="G252">
            <v>156000</v>
          </cell>
          <cell r="H252">
            <v>228000</v>
          </cell>
          <cell r="I252">
            <v>192000</v>
          </cell>
          <cell r="J252"/>
          <cell r="K252">
            <v>24000</v>
          </cell>
          <cell r="L252"/>
          <cell r="M252"/>
        </row>
        <row r="253">
          <cell r="C253" t="str">
            <v>Agro Sudamerica1020352</v>
          </cell>
          <cell r="D253" t="str">
            <v>Agro Sudamerica</v>
          </cell>
          <cell r="E253" t="str">
            <v>1020352</v>
          </cell>
          <cell r="F253">
            <v>35000</v>
          </cell>
          <cell r="G253"/>
          <cell r="H253">
            <v>48000</v>
          </cell>
          <cell r="I253">
            <v>48000</v>
          </cell>
          <cell r="J253">
            <v>24000</v>
          </cell>
          <cell r="K253">
            <v>48000</v>
          </cell>
          <cell r="L253"/>
          <cell r="M253">
            <v>71966.820000000007</v>
          </cell>
        </row>
        <row r="254">
          <cell r="C254" t="str">
            <v>Agro Sudamerica1020367</v>
          </cell>
          <cell r="D254" t="str">
            <v>Agro Sudamerica</v>
          </cell>
          <cell r="E254" t="str">
            <v>1020367</v>
          </cell>
          <cell r="F254">
            <v>48000</v>
          </cell>
          <cell r="G254">
            <v>72000</v>
          </cell>
          <cell r="H254">
            <v>24000</v>
          </cell>
          <cell r="I254">
            <v>48100</v>
          </cell>
          <cell r="J254">
            <v>72000</v>
          </cell>
          <cell r="K254">
            <v>145000</v>
          </cell>
          <cell r="L254">
            <v>239000</v>
          </cell>
          <cell r="M254">
            <v>166000</v>
          </cell>
        </row>
        <row r="255">
          <cell r="C255" t="str">
            <v>Agro Sudamerica1020412</v>
          </cell>
          <cell r="D255" t="str">
            <v>Agro Sudamerica</v>
          </cell>
          <cell r="E255" t="str">
            <v>1020412</v>
          </cell>
          <cell r="F255">
            <v>48000</v>
          </cell>
          <cell r="G255">
            <v>73000</v>
          </cell>
          <cell r="H255">
            <v>96000</v>
          </cell>
          <cell r="I255">
            <v>72000</v>
          </cell>
          <cell r="J255">
            <v>72000</v>
          </cell>
          <cell r="K255">
            <v>116000</v>
          </cell>
          <cell r="L255">
            <v>263000</v>
          </cell>
          <cell r="M255">
            <v>96000</v>
          </cell>
        </row>
        <row r="256">
          <cell r="C256" t="str">
            <v>Agro Sudamerica1020828</v>
          </cell>
          <cell r="D256" t="str">
            <v>Agro Sudamerica</v>
          </cell>
          <cell r="E256" t="str">
            <v>1020828</v>
          </cell>
          <cell r="F256"/>
          <cell r="G256"/>
          <cell r="H256"/>
          <cell r="I256"/>
          <cell r="J256"/>
          <cell r="K256"/>
          <cell r="L256"/>
          <cell r="M256"/>
        </row>
        <row r="257">
          <cell r="C257" t="str">
            <v>Agro Sudamerica1020848</v>
          </cell>
          <cell r="D257" t="str">
            <v>Agro Sudamerica</v>
          </cell>
          <cell r="E257" t="str">
            <v>1020848</v>
          </cell>
          <cell r="F257">
            <v>240000</v>
          </cell>
          <cell r="G257">
            <v>147000</v>
          </cell>
          <cell r="H257">
            <v>360000</v>
          </cell>
          <cell r="I257">
            <v>192000</v>
          </cell>
          <cell r="J257">
            <v>72000</v>
          </cell>
          <cell r="K257">
            <v>72000</v>
          </cell>
          <cell r="L257">
            <v>48000</v>
          </cell>
          <cell r="M257">
            <v>72000</v>
          </cell>
        </row>
        <row r="258">
          <cell r="C258" t="str">
            <v>Agro Sudamerica1020869</v>
          </cell>
          <cell r="D258" t="str">
            <v>Agro Sudamerica</v>
          </cell>
          <cell r="E258" t="str">
            <v>1020869</v>
          </cell>
          <cell r="F258"/>
          <cell r="G258"/>
          <cell r="H258">
            <v>24000</v>
          </cell>
          <cell r="I258"/>
          <cell r="J258"/>
          <cell r="K258">
            <v>33000</v>
          </cell>
          <cell r="L258"/>
          <cell r="M258">
            <v>67000</v>
          </cell>
        </row>
        <row r="259">
          <cell r="C259" t="str">
            <v>Agro Sudamerica1020886</v>
          </cell>
          <cell r="D259" t="str">
            <v>Agro Sudamerica</v>
          </cell>
          <cell r="E259" t="str">
            <v>1020886</v>
          </cell>
          <cell r="F259"/>
          <cell r="G259">
            <v>10000</v>
          </cell>
          <cell r="H259"/>
          <cell r="I259"/>
          <cell r="J259"/>
          <cell r="K259"/>
          <cell r="L259"/>
          <cell r="M259"/>
        </row>
        <row r="260">
          <cell r="C260" t="str">
            <v>Agro Sudamerica1020915</v>
          </cell>
          <cell r="D260" t="str">
            <v>Agro Sudamerica</v>
          </cell>
          <cell r="E260" t="str">
            <v>1020915</v>
          </cell>
          <cell r="F260">
            <v>10000</v>
          </cell>
          <cell r="G260">
            <v>2000</v>
          </cell>
          <cell r="H260"/>
          <cell r="I260"/>
          <cell r="J260"/>
          <cell r="K260"/>
          <cell r="L260">
            <v>48000</v>
          </cell>
          <cell r="M260">
            <v>52000</v>
          </cell>
        </row>
        <row r="261">
          <cell r="C261" t="str">
            <v>Agro Sudamerica1020925</v>
          </cell>
          <cell r="D261" t="str">
            <v>Agro Sudamerica</v>
          </cell>
          <cell r="E261" t="str">
            <v>1020925</v>
          </cell>
          <cell r="F261"/>
          <cell r="G261">
            <v>3000</v>
          </cell>
          <cell r="H261">
            <v>14000</v>
          </cell>
          <cell r="I261">
            <v>38000</v>
          </cell>
          <cell r="J261">
            <v>48000</v>
          </cell>
          <cell r="K261">
            <v>72000</v>
          </cell>
          <cell r="L261">
            <v>144000</v>
          </cell>
          <cell r="M261">
            <v>96000</v>
          </cell>
        </row>
        <row r="262">
          <cell r="C262" t="str">
            <v>Agro Sudamerica1020944</v>
          </cell>
          <cell r="D262" t="str">
            <v>Agro Sudamerica</v>
          </cell>
          <cell r="E262" t="str">
            <v>1020944</v>
          </cell>
          <cell r="F262">
            <v>480000</v>
          </cell>
          <cell r="G262">
            <v>508001</v>
          </cell>
          <cell r="H262">
            <v>384000</v>
          </cell>
          <cell r="I262">
            <v>188000</v>
          </cell>
          <cell r="J262">
            <v>504000</v>
          </cell>
          <cell r="K262">
            <v>262964</v>
          </cell>
          <cell r="L262">
            <v>382300</v>
          </cell>
          <cell r="M262">
            <v>226000</v>
          </cell>
        </row>
        <row r="263">
          <cell r="C263" t="str">
            <v>Agro Sudamerica1021023</v>
          </cell>
          <cell r="D263" t="str">
            <v>Agro Sudamerica</v>
          </cell>
          <cell r="E263" t="str">
            <v>1021023</v>
          </cell>
          <cell r="F263">
            <v>120000</v>
          </cell>
          <cell r="G263">
            <v>216000</v>
          </cell>
          <cell r="H263">
            <v>264000</v>
          </cell>
          <cell r="I263">
            <v>167000</v>
          </cell>
          <cell r="J263">
            <v>96000</v>
          </cell>
          <cell r="K263">
            <v>120000</v>
          </cell>
          <cell r="L263">
            <v>118000</v>
          </cell>
          <cell r="M263">
            <v>119000</v>
          </cell>
        </row>
        <row r="264">
          <cell r="C264" t="str">
            <v>Agro Sudamerica1021039</v>
          </cell>
          <cell r="D264" t="str">
            <v>Agro Sudamerica</v>
          </cell>
          <cell r="E264" t="str">
            <v>1021039</v>
          </cell>
          <cell r="F264">
            <v>24000</v>
          </cell>
          <cell r="G264">
            <v>24000</v>
          </cell>
          <cell r="H264">
            <v>72000</v>
          </cell>
          <cell r="I264"/>
          <cell r="J264">
            <v>48000</v>
          </cell>
          <cell r="K264">
            <v>48000</v>
          </cell>
          <cell r="L264">
            <v>24000</v>
          </cell>
          <cell r="M264">
            <v>50039</v>
          </cell>
        </row>
        <row r="265">
          <cell r="C265" t="str">
            <v>Agro Sudamerica1021077</v>
          </cell>
          <cell r="D265" t="str">
            <v>Agro Sudamerica</v>
          </cell>
          <cell r="E265" t="str">
            <v>1021077</v>
          </cell>
          <cell r="F265"/>
          <cell r="G265">
            <v>24000</v>
          </cell>
          <cell r="H265"/>
          <cell r="I265">
            <v>48000</v>
          </cell>
          <cell r="J265"/>
          <cell r="K265">
            <v>48000</v>
          </cell>
          <cell r="L265">
            <v>35000</v>
          </cell>
          <cell r="M265">
            <v>48000</v>
          </cell>
        </row>
        <row r="266">
          <cell r="C266" t="str">
            <v>Agro Sudamerica1021078</v>
          </cell>
          <cell r="D266" t="str">
            <v>Agro Sudamerica</v>
          </cell>
          <cell r="E266" t="str">
            <v>1021078</v>
          </cell>
          <cell r="F266">
            <v>48000</v>
          </cell>
          <cell r="G266">
            <v>107000</v>
          </cell>
          <cell r="H266">
            <v>143000</v>
          </cell>
          <cell r="I266">
            <v>96000</v>
          </cell>
          <cell r="J266">
            <v>96000</v>
          </cell>
          <cell r="K266">
            <v>96000</v>
          </cell>
          <cell r="L266">
            <v>96000</v>
          </cell>
          <cell r="M266">
            <v>144000</v>
          </cell>
        </row>
        <row r="267">
          <cell r="C267" t="str">
            <v>Agro Sudamerica1021082</v>
          </cell>
          <cell r="D267" t="str">
            <v>Agro Sudamerica</v>
          </cell>
          <cell r="E267" t="str">
            <v>1021082</v>
          </cell>
          <cell r="F267"/>
          <cell r="G267"/>
          <cell r="H267"/>
          <cell r="I267"/>
          <cell r="J267">
            <v>2500</v>
          </cell>
          <cell r="K267">
            <v>48000</v>
          </cell>
          <cell r="L267">
            <v>24000</v>
          </cell>
          <cell r="M267">
            <v>73500</v>
          </cell>
        </row>
        <row r="268">
          <cell r="C268" t="str">
            <v>Agro Sudamerica1021085</v>
          </cell>
          <cell r="D268" t="str">
            <v>Agro Sudamerica</v>
          </cell>
          <cell r="E268" t="str">
            <v>1021085</v>
          </cell>
          <cell r="F268">
            <v>24000</v>
          </cell>
          <cell r="G268">
            <v>24000</v>
          </cell>
          <cell r="H268"/>
          <cell r="I268"/>
          <cell r="J268">
            <v>24000</v>
          </cell>
          <cell r="K268"/>
          <cell r="L268"/>
          <cell r="M268">
            <v>21300</v>
          </cell>
        </row>
        <row r="269">
          <cell r="C269" t="str">
            <v>Agro Sudamerica1021092</v>
          </cell>
          <cell r="D269" t="str">
            <v>Agro Sudamerica</v>
          </cell>
          <cell r="E269" t="str">
            <v>1021092</v>
          </cell>
          <cell r="F269">
            <v>48000</v>
          </cell>
          <cell r="G269">
            <v>79070</v>
          </cell>
          <cell r="H269"/>
          <cell r="I269">
            <v>72000</v>
          </cell>
          <cell r="J269">
            <v>144000</v>
          </cell>
          <cell r="K269">
            <v>121000</v>
          </cell>
          <cell r="L269">
            <v>169000</v>
          </cell>
          <cell r="M269">
            <v>146000</v>
          </cell>
        </row>
        <row r="270">
          <cell r="C270" t="str">
            <v>Agro Sudamerica1021101</v>
          </cell>
          <cell r="D270" t="str">
            <v>Agro Sudamerica</v>
          </cell>
          <cell r="E270" t="str">
            <v>1021101</v>
          </cell>
          <cell r="F270">
            <v>12000</v>
          </cell>
          <cell r="G270">
            <v>48000</v>
          </cell>
          <cell r="H270">
            <v>24000</v>
          </cell>
          <cell r="I270">
            <v>24000</v>
          </cell>
          <cell r="J270">
            <v>28000</v>
          </cell>
          <cell r="K270">
            <v>24000</v>
          </cell>
          <cell r="L270"/>
          <cell r="M270">
            <v>24000</v>
          </cell>
        </row>
        <row r="271">
          <cell r="C271" t="str">
            <v>Agro Sudamerica1021105</v>
          </cell>
          <cell r="D271" t="str">
            <v>Agro Sudamerica</v>
          </cell>
          <cell r="E271" t="str">
            <v>1021105</v>
          </cell>
          <cell r="F271">
            <v>24000</v>
          </cell>
          <cell r="G271">
            <v>24000</v>
          </cell>
          <cell r="H271">
            <v>24000</v>
          </cell>
          <cell r="I271">
            <v>24000</v>
          </cell>
          <cell r="J271"/>
          <cell r="K271"/>
          <cell r="L271">
            <v>29211</v>
          </cell>
          <cell r="M271">
            <v>53211</v>
          </cell>
        </row>
        <row r="272">
          <cell r="C272" t="str">
            <v>Agro Sudamerica1021106</v>
          </cell>
          <cell r="D272" t="str">
            <v>Agro Sudamerica</v>
          </cell>
          <cell r="E272" t="str">
            <v>1021106</v>
          </cell>
          <cell r="F272">
            <v>96000</v>
          </cell>
          <cell r="G272">
            <v>144000</v>
          </cell>
          <cell r="H272">
            <v>96000</v>
          </cell>
          <cell r="I272">
            <v>120000</v>
          </cell>
          <cell r="J272">
            <v>48000</v>
          </cell>
          <cell r="K272">
            <v>120000</v>
          </cell>
          <cell r="L272"/>
          <cell r="M272"/>
        </row>
        <row r="273">
          <cell r="C273" t="str">
            <v>Agro Sudamerica1021111</v>
          </cell>
          <cell r="D273" t="str">
            <v>Agro Sudamerica</v>
          </cell>
          <cell r="E273" t="str">
            <v>1021111</v>
          </cell>
          <cell r="F273">
            <v>3000</v>
          </cell>
          <cell r="G273">
            <v>2500</v>
          </cell>
          <cell r="H273"/>
          <cell r="I273"/>
          <cell r="J273"/>
          <cell r="K273"/>
          <cell r="L273"/>
          <cell r="M273">
            <v>9262</v>
          </cell>
        </row>
        <row r="274">
          <cell r="C274" t="str">
            <v>Agro Sudamerica1021156</v>
          </cell>
          <cell r="D274" t="str">
            <v>Agro Sudamerica</v>
          </cell>
          <cell r="E274" t="str">
            <v>1021156</v>
          </cell>
          <cell r="F274"/>
          <cell r="G274"/>
          <cell r="H274"/>
          <cell r="I274"/>
          <cell r="J274"/>
          <cell r="K274"/>
          <cell r="L274"/>
          <cell r="M274"/>
        </row>
        <row r="275">
          <cell r="C275" t="str">
            <v>Agro Sudamerica1021187</v>
          </cell>
          <cell r="D275" t="str">
            <v>Agro Sudamerica</v>
          </cell>
          <cell r="E275" t="str">
            <v>1021187</v>
          </cell>
          <cell r="F275">
            <v>72000</v>
          </cell>
          <cell r="G275">
            <v>24000</v>
          </cell>
          <cell r="H275">
            <v>48000</v>
          </cell>
          <cell r="I275">
            <v>24000</v>
          </cell>
          <cell r="J275">
            <v>88000</v>
          </cell>
          <cell r="K275">
            <v>69000</v>
          </cell>
          <cell r="L275">
            <v>96000</v>
          </cell>
          <cell r="M275">
            <v>72000</v>
          </cell>
        </row>
        <row r="276">
          <cell r="C276" t="str">
            <v>Agro Sudamerica1021204</v>
          </cell>
          <cell r="D276" t="str">
            <v>Agro Sudamerica</v>
          </cell>
          <cell r="E276" t="str">
            <v>1021204</v>
          </cell>
          <cell r="F276"/>
          <cell r="G276"/>
          <cell r="H276"/>
          <cell r="I276"/>
          <cell r="J276">
            <v>23040</v>
          </cell>
          <cell r="K276"/>
          <cell r="L276"/>
          <cell r="M276"/>
        </row>
        <row r="277">
          <cell r="C277" t="str">
            <v>Agro Sudamerica1021237</v>
          </cell>
          <cell r="D277" t="str">
            <v>Agro Sudamerica</v>
          </cell>
          <cell r="E277" t="str">
            <v>1021237</v>
          </cell>
          <cell r="F277"/>
          <cell r="G277"/>
          <cell r="H277"/>
          <cell r="I277">
            <v>61042</v>
          </cell>
          <cell r="J277">
            <v>13042</v>
          </cell>
          <cell r="K277"/>
          <cell r="L277"/>
          <cell r="M277"/>
        </row>
        <row r="278">
          <cell r="C278" t="str">
            <v>Agro Sudamerica1021263</v>
          </cell>
          <cell r="D278" t="str">
            <v>Agro Sudamerica</v>
          </cell>
          <cell r="E278" t="str">
            <v>1021263</v>
          </cell>
          <cell r="F278"/>
          <cell r="G278"/>
          <cell r="H278"/>
          <cell r="I278">
            <v>72000</v>
          </cell>
          <cell r="J278">
            <v>48000</v>
          </cell>
          <cell r="K278"/>
          <cell r="L278"/>
          <cell r="M278"/>
        </row>
        <row r="279">
          <cell r="C279" t="str">
            <v>Agro Sudamerica1021279</v>
          </cell>
          <cell r="D279" t="str">
            <v>Agro Sudamerica</v>
          </cell>
          <cell r="E279" t="str">
            <v>1021279</v>
          </cell>
          <cell r="F279"/>
          <cell r="G279"/>
          <cell r="H279"/>
          <cell r="I279"/>
          <cell r="J279"/>
          <cell r="K279"/>
          <cell r="L279"/>
          <cell r="M279">
            <v>24000</v>
          </cell>
        </row>
        <row r="280">
          <cell r="C280" t="str">
            <v>Agro Sudamerica1021287</v>
          </cell>
          <cell r="D280" t="str">
            <v>Agro Sudamerica</v>
          </cell>
          <cell r="E280" t="str">
            <v>1021287</v>
          </cell>
          <cell r="F280"/>
          <cell r="G280">
            <v>5000</v>
          </cell>
          <cell r="H280"/>
          <cell r="I280"/>
          <cell r="J280"/>
          <cell r="K280"/>
          <cell r="L280"/>
          <cell r="M280"/>
        </row>
        <row r="281">
          <cell r="C281" t="str">
            <v>Agro Sudamerica1021385</v>
          </cell>
          <cell r="D281" t="str">
            <v>Agro Sudamerica</v>
          </cell>
          <cell r="E281" t="str">
            <v>1021385</v>
          </cell>
          <cell r="F281">
            <v>120000</v>
          </cell>
          <cell r="G281">
            <v>96000</v>
          </cell>
          <cell r="H281">
            <v>144000</v>
          </cell>
          <cell r="I281">
            <v>24000</v>
          </cell>
          <cell r="J281">
            <v>144000</v>
          </cell>
          <cell r="K281">
            <v>250000</v>
          </cell>
          <cell r="L281">
            <v>150200</v>
          </cell>
          <cell r="M281">
            <v>174400</v>
          </cell>
        </row>
        <row r="282">
          <cell r="C282" t="str">
            <v>Agro Sudamerica1021435</v>
          </cell>
          <cell r="D282" t="str">
            <v>Agro Sudamerica</v>
          </cell>
          <cell r="E282" t="str">
            <v>1021435</v>
          </cell>
          <cell r="F282"/>
          <cell r="G282">
            <v>24000</v>
          </cell>
          <cell r="H282"/>
          <cell r="I282">
            <v>12000</v>
          </cell>
          <cell r="J282"/>
          <cell r="K282"/>
          <cell r="L282"/>
          <cell r="M282"/>
        </row>
        <row r="283">
          <cell r="C283" t="str">
            <v>Agro Sudamerica1021550</v>
          </cell>
          <cell r="D283" t="str">
            <v>Agro Sudamerica</v>
          </cell>
          <cell r="E283" t="str">
            <v>1021550</v>
          </cell>
          <cell r="F283"/>
          <cell r="G283">
            <v>5780</v>
          </cell>
          <cell r="H283"/>
          <cell r="I283">
            <v>70958</v>
          </cell>
          <cell r="J283">
            <v>34958</v>
          </cell>
          <cell r="K283"/>
          <cell r="L283"/>
          <cell r="M283"/>
        </row>
        <row r="284">
          <cell r="C284" t="str">
            <v>Agro Sudamerica1021622</v>
          </cell>
          <cell r="D284" t="str">
            <v>Agro Sudamerica</v>
          </cell>
          <cell r="E284" t="str">
            <v>1021622</v>
          </cell>
          <cell r="F284"/>
          <cell r="G284">
            <v>6790</v>
          </cell>
          <cell r="H284"/>
          <cell r="I284">
            <v>18000</v>
          </cell>
          <cell r="J284">
            <v>110</v>
          </cell>
          <cell r="K284"/>
          <cell r="L284">
            <v>26000</v>
          </cell>
          <cell r="M284">
            <v>24000</v>
          </cell>
        </row>
        <row r="285">
          <cell r="C285" t="str">
            <v>Agro Sudamerica1021623</v>
          </cell>
          <cell r="D285" t="str">
            <v>Agro Sudamerica</v>
          </cell>
          <cell r="E285" t="str">
            <v>1021623</v>
          </cell>
          <cell r="F285">
            <v>2000</v>
          </cell>
          <cell r="G285"/>
          <cell r="H285"/>
          <cell r="I285"/>
          <cell r="J285">
            <v>530</v>
          </cell>
          <cell r="K285"/>
          <cell r="L285"/>
          <cell r="M285"/>
        </row>
        <row r="286">
          <cell r="C286" t="str">
            <v>Agro Sudamerica1021639</v>
          </cell>
          <cell r="D286" t="str">
            <v>Agro Sudamerica</v>
          </cell>
          <cell r="E286" t="str">
            <v>1021639</v>
          </cell>
          <cell r="F286"/>
          <cell r="G286">
            <v>48000</v>
          </cell>
          <cell r="H286">
            <v>24000</v>
          </cell>
          <cell r="I286">
            <v>24000</v>
          </cell>
          <cell r="J286">
            <v>24000</v>
          </cell>
          <cell r="K286">
            <v>25000</v>
          </cell>
          <cell r="L286"/>
          <cell r="M286"/>
        </row>
        <row r="287">
          <cell r="C287" t="str">
            <v>Agro Sudamerica1021819</v>
          </cell>
          <cell r="D287" t="str">
            <v>Agro Sudamerica</v>
          </cell>
          <cell r="E287" t="str">
            <v>1021819</v>
          </cell>
          <cell r="F287"/>
          <cell r="G287"/>
          <cell r="H287"/>
          <cell r="I287"/>
          <cell r="J287">
            <v>48000</v>
          </cell>
          <cell r="K287"/>
          <cell r="L287"/>
          <cell r="M287"/>
        </row>
        <row r="288">
          <cell r="C288" t="str">
            <v>Agro Sudamerica1021820</v>
          </cell>
          <cell r="D288" t="str">
            <v>Agro Sudamerica</v>
          </cell>
          <cell r="E288" t="str">
            <v>1021820</v>
          </cell>
          <cell r="F288"/>
          <cell r="G288"/>
          <cell r="H288"/>
          <cell r="I288"/>
          <cell r="J288"/>
          <cell r="K288"/>
          <cell r="L288"/>
          <cell r="M288"/>
        </row>
        <row r="289">
          <cell r="C289" t="str">
            <v>Agro Sudamerica1021864</v>
          </cell>
          <cell r="D289" t="str">
            <v>Agro Sudamerica</v>
          </cell>
          <cell r="E289" t="str">
            <v>1021864</v>
          </cell>
          <cell r="F289"/>
          <cell r="G289"/>
          <cell r="H289"/>
          <cell r="I289"/>
          <cell r="J289"/>
          <cell r="K289"/>
          <cell r="L289"/>
          <cell r="M289">
            <v>43922</v>
          </cell>
        </row>
        <row r="290">
          <cell r="C290" t="str">
            <v>Agro Sudamerica1021868</v>
          </cell>
          <cell r="D290" t="str">
            <v>Agro Sudamerica</v>
          </cell>
          <cell r="E290" t="str">
            <v>1021868</v>
          </cell>
          <cell r="F290">
            <v>24000</v>
          </cell>
          <cell r="G290">
            <v>48000</v>
          </cell>
          <cell r="H290">
            <v>48000</v>
          </cell>
          <cell r="I290">
            <v>34000</v>
          </cell>
          <cell r="J290">
            <v>24000</v>
          </cell>
          <cell r="K290">
            <v>24000</v>
          </cell>
          <cell r="L290">
            <v>142000</v>
          </cell>
          <cell r="M290">
            <v>49000</v>
          </cell>
        </row>
        <row r="291">
          <cell r="C291" t="str">
            <v>Agro Sudamerica1021903</v>
          </cell>
          <cell r="D291" t="str">
            <v>Agro Sudamerica</v>
          </cell>
          <cell r="E291" t="str">
            <v>1021903</v>
          </cell>
          <cell r="F291"/>
          <cell r="G291"/>
          <cell r="H291"/>
          <cell r="I291"/>
          <cell r="J291">
            <v>24000</v>
          </cell>
          <cell r="K291"/>
          <cell r="L291"/>
          <cell r="M291"/>
        </row>
        <row r="292">
          <cell r="C292" t="str">
            <v>Agro Sudamerica1021905</v>
          </cell>
          <cell r="D292" t="str">
            <v>Agro Sudamerica</v>
          </cell>
          <cell r="E292" t="str">
            <v>1021905</v>
          </cell>
          <cell r="F292"/>
          <cell r="G292"/>
          <cell r="H292"/>
          <cell r="I292"/>
          <cell r="J292"/>
          <cell r="K292"/>
          <cell r="L292"/>
          <cell r="M292"/>
        </row>
        <row r="293">
          <cell r="C293" t="str">
            <v>Agro Sudamerica1021971</v>
          </cell>
          <cell r="D293" t="str">
            <v>Agro Sudamerica</v>
          </cell>
          <cell r="E293" t="str">
            <v>1021971</v>
          </cell>
          <cell r="F293"/>
          <cell r="G293"/>
          <cell r="H293"/>
          <cell r="I293"/>
          <cell r="J293"/>
          <cell r="K293">
            <v>3000</v>
          </cell>
          <cell r="L293"/>
          <cell r="M293"/>
        </row>
        <row r="294">
          <cell r="C294" t="str">
            <v>Agro Sudamerica1021976</v>
          </cell>
          <cell r="D294" t="str">
            <v>Agro Sudamerica</v>
          </cell>
          <cell r="E294" t="str">
            <v>1021976</v>
          </cell>
          <cell r="F294">
            <v>80000</v>
          </cell>
          <cell r="G294">
            <v>187000</v>
          </cell>
          <cell r="H294">
            <v>312000</v>
          </cell>
          <cell r="I294">
            <v>168000</v>
          </cell>
          <cell r="J294">
            <v>340000</v>
          </cell>
          <cell r="K294">
            <v>254000</v>
          </cell>
          <cell r="L294">
            <v>220000</v>
          </cell>
          <cell r="M294">
            <v>168000</v>
          </cell>
        </row>
        <row r="295">
          <cell r="C295" t="str">
            <v>Agro Sudamerica1022047</v>
          </cell>
          <cell r="D295" t="str">
            <v>Agro Sudamerica</v>
          </cell>
          <cell r="E295" t="str">
            <v>1022047</v>
          </cell>
          <cell r="F295"/>
          <cell r="G295"/>
          <cell r="H295"/>
          <cell r="I295">
            <v>48000</v>
          </cell>
          <cell r="J295"/>
          <cell r="K295"/>
          <cell r="L295">
            <v>24000</v>
          </cell>
          <cell r="M295"/>
        </row>
        <row r="296">
          <cell r="C296" t="str">
            <v>Agro Sudamerica1022149</v>
          </cell>
          <cell r="D296" t="str">
            <v>Agro Sudamerica</v>
          </cell>
          <cell r="E296" t="str">
            <v>1022149</v>
          </cell>
          <cell r="F296">
            <v>72000</v>
          </cell>
          <cell r="G296">
            <v>36000</v>
          </cell>
          <cell r="H296">
            <v>48000</v>
          </cell>
          <cell r="I296">
            <v>24000</v>
          </cell>
          <cell r="J296">
            <v>24000</v>
          </cell>
          <cell r="K296">
            <v>24000</v>
          </cell>
          <cell r="L296">
            <v>14000</v>
          </cell>
          <cell r="M296"/>
        </row>
        <row r="297">
          <cell r="C297" t="str">
            <v>Agro Sudamerica1022150</v>
          </cell>
          <cell r="D297" t="str">
            <v>Agro Sudamerica</v>
          </cell>
          <cell r="E297" t="str">
            <v>1022150</v>
          </cell>
          <cell r="F297">
            <v>120000</v>
          </cell>
          <cell r="G297">
            <v>174000</v>
          </cell>
          <cell r="H297">
            <v>132000</v>
          </cell>
          <cell r="I297">
            <v>96000</v>
          </cell>
          <cell r="J297">
            <v>168000</v>
          </cell>
          <cell r="K297">
            <v>168000</v>
          </cell>
          <cell r="L297">
            <v>197000</v>
          </cell>
          <cell r="M297">
            <v>191989.89</v>
          </cell>
        </row>
        <row r="298">
          <cell r="C298" t="str">
            <v>Agro Sudamerica1022196</v>
          </cell>
          <cell r="D298" t="str">
            <v>Agro Sudamerica</v>
          </cell>
          <cell r="E298" t="str">
            <v>1022196</v>
          </cell>
          <cell r="F298"/>
          <cell r="G298">
            <v>24000</v>
          </cell>
          <cell r="H298">
            <v>48000</v>
          </cell>
          <cell r="I298"/>
          <cell r="J298">
            <v>24000</v>
          </cell>
          <cell r="K298">
            <v>24000</v>
          </cell>
          <cell r="L298">
            <v>72000</v>
          </cell>
          <cell r="M298">
            <v>96000</v>
          </cell>
        </row>
        <row r="299">
          <cell r="C299" t="str">
            <v>Agro Sudamerica1022197</v>
          </cell>
          <cell r="D299" t="str">
            <v>Agro Sudamerica</v>
          </cell>
          <cell r="E299" t="str">
            <v>1022197</v>
          </cell>
          <cell r="F299"/>
          <cell r="G299"/>
          <cell r="H299">
            <v>24000</v>
          </cell>
          <cell r="I299">
            <v>24000</v>
          </cell>
          <cell r="J299"/>
          <cell r="K299"/>
          <cell r="L299"/>
          <cell r="M299">
            <v>4698</v>
          </cell>
        </row>
        <row r="300">
          <cell r="C300" t="str">
            <v>Agro Sudamerica1022217</v>
          </cell>
          <cell r="D300" t="str">
            <v>Agro Sudamerica</v>
          </cell>
          <cell r="E300" t="str">
            <v>1022217</v>
          </cell>
          <cell r="F300"/>
          <cell r="G300"/>
          <cell r="H300"/>
          <cell r="I300"/>
          <cell r="J300"/>
          <cell r="K300"/>
          <cell r="L300"/>
          <cell r="M300"/>
        </row>
        <row r="301">
          <cell r="C301" t="str">
            <v>Agro Sudamerica1022218</v>
          </cell>
          <cell r="D301" t="str">
            <v>Agro Sudamerica</v>
          </cell>
          <cell r="E301" t="str">
            <v>1022218</v>
          </cell>
          <cell r="F301">
            <v>7000</v>
          </cell>
          <cell r="G301"/>
          <cell r="H301"/>
          <cell r="I301"/>
          <cell r="J301"/>
          <cell r="K301"/>
          <cell r="L301"/>
          <cell r="M301"/>
        </row>
        <row r="302">
          <cell r="C302" t="str">
            <v>Agro Sudamerica1022247</v>
          </cell>
          <cell r="D302" t="str">
            <v>Agro Sudamerica</v>
          </cell>
          <cell r="E302" t="str">
            <v>1022247</v>
          </cell>
          <cell r="F302"/>
          <cell r="G302"/>
          <cell r="H302"/>
          <cell r="I302">
            <v>48000</v>
          </cell>
          <cell r="J302"/>
          <cell r="K302"/>
          <cell r="L302"/>
          <cell r="M302"/>
        </row>
        <row r="303">
          <cell r="C303" t="str">
            <v>Agro Sudamerica1022273</v>
          </cell>
          <cell r="D303" t="str">
            <v>Agro Sudamerica</v>
          </cell>
          <cell r="E303" t="str">
            <v>1022273</v>
          </cell>
          <cell r="F303"/>
          <cell r="G303"/>
          <cell r="H303">
            <v>12000</v>
          </cell>
          <cell r="I303"/>
          <cell r="J303"/>
          <cell r="K303"/>
          <cell r="L303"/>
          <cell r="M303"/>
        </row>
        <row r="304">
          <cell r="C304" t="str">
            <v>Agro Sudamerica1022384</v>
          </cell>
          <cell r="D304" t="str">
            <v>Agro Sudamerica</v>
          </cell>
          <cell r="E304" t="str">
            <v>1022384</v>
          </cell>
          <cell r="F304">
            <v>2947</v>
          </cell>
          <cell r="G304"/>
          <cell r="H304"/>
          <cell r="I304"/>
          <cell r="J304">
            <v>619</v>
          </cell>
          <cell r="K304"/>
          <cell r="L304"/>
          <cell r="M304"/>
        </row>
        <row r="305">
          <cell r="C305" t="str">
            <v>Agro Sudamerica1022406</v>
          </cell>
          <cell r="D305" t="str">
            <v>Agro Sudamerica</v>
          </cell>
          <cell r="E305" t="str">
            <v>1022406</v>
          </cell>
          <cell r="F305"/>
          <cell r="G305"/>
          <cell r="H305"/>
          <cell r="I305"/>
          <cell r="J305"/>
          <cell r="K305"/>
          <cell r="L305"/>
          <cell r="M305"/>
        </row>
        <row r="306">
          <cell r="C306" t="str">
            <v>Agro Sudamerica1022409</v>
          </cell>
          <cell r="D306" t="str">
            <v>Agro Sudamerica</v>
          </cell>
          <cell r="E306" t="str">
            <v>1022409</v>
          </cell>
          <cell r="F306">
            <v>23940</v>
          </cell>
          <cell r="G306">
            <v>13680</v>
          </cell>
          <cell r="H306">
            <v>23940</v>
          </cell>
          <cell r="I306">
            <v>13680</v>
          </cell>
          <cell r="J306"/>
          <cell r="K306">
            <v>13680</v>
          </cell>
          <cell r="L306">
            <v>23940</v>
          </cell>
          <cell r="M306"/>
        </row>
        <row r="307">
          <cell r="C307" t="str">
            <v>Agro Sudamerica1022418</v>
          </cell>
          <cell r="D307" t="str">
            <v>Agro Sudamerica</v>
          </cell>
          <cell r="E307" t="str">
            <v>1022418</v>
          </cell>
          <cell r="F307"/>
          <cell r="G307"/>
          <cell r="H307"/>
          <cell r="I307"/>
          <cell r="J307"/>
          <cell r="K307"/>
          <cell r="L307"/>
          <cell r="M307"/>
        </row>
        <row r="308">
          <cell r="C308" t="str">
            <v>Agro Sudamerica1022569</v>
          </cell>
          <cell r="D308" t="str">
            <v>Agro Sudamerica</v>
          </cell>
          <cell r="E308" t="str">
            <v>1022569</v>
          </cell>
          <cell r="F308"/>
          <cell r="G308">
            <v>5000</v>
          </cell>
          <cell r="H308"/>
          <cell r="I308"/>
          <cell r="J308">
            <v>5000</v>
          </cell>
          <cell r="K308">
            <v>5000</v>
          </cell>
          <cell r="L308"/>
          <cell r="M308"/>
        </row>
        <row r="309">
          <cell r="C309" t="str">
            <v>Agro Sudamerica1022654</v>
          </cell>
          <cell r="D309" t="str">
            <v>Agro Sudamerica</v>
          </cell>
          <cell r="E309" t="str">
            <v>1022654</v>
          </cell>
          <cell r="F309"/>
          <cell r="G309">
            <v>3360</v>
          </cell>
          <cell r="H309"/>
          <cell r="I309"/>
          <cell r="J309"/>
          <cell r="K309"/>
          <cell r="L309"/>
          <cell r="M309"/>
        </row>
        <row r="310">
          <cell r="C310" t="str">
            <v>Agro Sudamerica1022705</v>
          </cell>
          <cell r="D310" t="str">
            <v>Agro Sudamerica</v>
          </cell>
          <cell r="E310" t="str">
            <v>1022705</v>
          </cell>
          <cell r="F310"/>
          <cell r="G310"/>
          <cell r="H310"/>
          <cell r="I310"/>
          <cell r="J310"/>
          <cell r="K310"/>
          <cell r="L310"/>
          <cell r="M310"/>
        </row>
        <row r="311">
          <cell r="C311" t="str">
            <v>Agro Sudamerica1022709</v>
          </cell>
          <cell r="D311" t="str">
            <v>Agro Sudamerica</v>
          </cell>
          <cell r="E311" t="str">
            <v>1022709</v>
          </cell>
          <cell r="F311"/>
          <cell r="G311">
            <v>65000</v>
          </cell>
          <cell r="H311">
            <v>48000</v>
          </cell>
          <cell r="I311">
            <v>120000</v>
          </cell>
          <cell r="J311">
            <v>83000</v>
          </cell>
          <cell r="K311">
            <v>419000</v>
          </cell>
          <cell r="L311">
            <v>179000</v>
          </cell>
          <cell r="M311">
            <v>179991.64</v>
          </cell>
        </row>
        <row r="312">
          <cell r="C312" t="str">
            <v>Agro Sudamerica1022780</v>
          </cell>
          <cell r="D312" t="str">
            <v>Agro Sudamerica</v>
          </cell>
          <cell r="E312" t="str">
            <v>1022780</v>
          </cell>
          <cell r="F312"/>
          <cell r="G312"/>
          <cell r="H312"/>
          <cell r="I312"/>
          <cell r="J312"/>
          <cell r="K312"/>
          <cell r="L312"/>
          <cell r="M312"/>
        </row>
        <row r="313">
          <cell r="C313" t="str">
            <v>Agro Sudamerica1022781</v>
          </cell>
          <cell r="D313" t="str">
            <v>Agro Sudamerica</v>
          </cell>
          <cell r="E313" t="str">
            <v>1022781</v>
          </cell>
          <cell r="F313">
            <v>7067</v>
          </cell>
          <cell r="G313">
            <v>3060</v>
          </cell>
          <cell r="H313">
            <v>10282</v>
          </cell>
          <cell r="I313">
            <v>1500</v>
          </cell>
          <cell r="J313">
            <v>6600</v>
          </cell>
          <cell r="K313">
            <v>15300</v>
          </cell>
          <cell r="L313">
            <v>6120</v>
          </cell>
          <cell r="M313">
            <v>6120</v>
          </cell>
        </row>
        <row r="314">
          <cell r="C314" t="str">
            <v>Agro Sudamerica1022782</v>
          </cell>
          <cell r="D314" t="str">
            <v>Agro Sudamerica</v>
          </cell>
          <cell r="E314" t="str">
            <v>1022782</v>
          </cell>
          <cell r="F314">
            <v>18796</v>
          </cell>
          <cell r="G314">
            <v>3600</v>
          </cell>
          <cell r="H314"/>
          <cell r="I314"/>
          <cell r="J314">
            <v>3600</v>
          </cell>
          <cell r="K314">
            <v>11520</v>
          </cell>
          <cell r="L314"/>
          <cell r="M314"/>
        </row>
        <row r="315">
          <cell r="C315" t="str">
            <v>Agro Sudamerica1022783</v>
          </cell>
          <cell r="D315" t="str">
            <v>Agro Sudamerica</v>
          </cell>
          <cell r="E315" t="str">
            <v>1022783</v>
          </cell>
          <cell r="F315"/>
          <cell r="G315">
            <v>15600</v>
          </cell>
          <cell r="H315"/>
          <cell r="I315"/>
          <cell r="J315"/>
          <cell r="K315">
            <v>4800</v>
          </cell>
          <cell r="L315"/>
          <cell r="M315"/>
        </row>
        <row r="316">
          <cell r="C316" t="str">
            <v>Agro Sudamerica1022784</v>
          </cell>
          <cell r="D316" t="str">
            <v>Agro Sudamerica</v>
          </cell>
          <cell r="E316" t="str">
            <v>1022784</v>
          </cell>
          <cell r="F316"/>
          <cell r="G316"/>
          <cell r="H316"/>
          <cell r="I316"/>
          <cell r="J316"/>
          <cell r="K316">
            <v>900</v>
          </cell>
          <cell r="L316"/>
          <cell r="M316"/>
        </row>
        <row r="317">
          <cell r="C317" t="str">
            <v>Agro Sudamerica1022786</v>
          </cell>
          <cell r="D317" t="str">
            <v>Agro Sudamerica</v>
          </cell>
          <cell r="E317" t="str">
            <v>1022786</v>
          </cell>
          <cell r="F317"/>
          <cell r="G317">
            <v>300</v>
          </cell>
          <cell r="H317"/>
          <cell r="I317">
            <v>1500</v>
          </cell>
          <cell r="J317">
            <v>1500</v>
          </cell>
          <cell r="K317"/>
          <cell r="L317"/>
          <cell r="M317"/>
        </row>
        <row r="318">
          <cell r="C318" t="str">
            <v>Agro Sudamerica1022820</v>
          </cell>
          <cell r="D318" t="str">
            <v>Agro Sudamerica</v>
          </cell>
          <cell r="E318" t="str">
            <v>1022820</v>
          </cell>
          <cell r="F318"/>
          <cell r="G318"/>
          <cell r="H318"/>
          <cell r="I318"/>
          <cell r="J318"/>
          <cell r="K318"/>
          <cell r="L318"/>
          <cell r="M318"/>
        </row>
        <row r="319">
          <cell r="C319" t="str">
            <v>Agro Sudamerica1022842</v>
          </cell>
          <cell r="D319" t="str">
            <v>Agro Sudamerica</v>
          </cell>
          <cell r="E319" t="str">
            <v>1022842</v>
          </cell>
          <cell r="F319"/>
          <cell r="G319"/>
          <cell r="H319"/>
          <cell r="I319"/>
          <cell r="J319"/>
          <cell r="K319"/>
          <cell r="L319">
            <v>24000</v>
          </cell>
          <cell r="M319"/>
        </row>
        <row r="320">
          <cell r="C320" t="str">
            <v>Agro Sudamerica1022847</v>
          </cell>
          <cell r="D320" t="str">
            <v>Agro Sudamerica</v>
          </cell>
          <cell r="E320" t="str">
            <v>1022847</v>
          </cell>
          <cell r="F320">
            <v>28000</v>
          </cell>
          <cell r="G320">
            <v>72000</v>
          </cell>
          <cell r="H320">
            <v>60000</v>
          </cell>
          <cell r="I320">
            <v>24000</v>
          </cell>
          <cell r="J320">
            <v>24000</v>
          </cell>
          <cell r="K320">
            <v>48000</v>
          </cell>
          <cell r="L320">
            <v>48000</v>
          </cell>
          <cell r="M320">
            <v>24000</v>
          </cell>
        </row>
        <row r="321">
          <cell r="C321" t="str">
            <v>Agro Sudamerica1022855</v>
          </cell>
          <cell r="D321" t="str">
            <v>Agro Sudamerica</v>
          </cell>
          <cell r="E321" t="str">
            <v>1022855</v>
          </cell>
          <cell r="F321">
            <v>16600</v>
          </cell>
          <cell r="G321">
            <v>24000</v>
          </cell>
          <cell r="H321"/>
          <cell r="I321">
            <v>24000</v>
          </cell>
          <cell r="J321">
            <v>24000</v>
          </cell>
          <cell r="K321">
            <v>48000</v>
          </cell>
          <cell r="L321">
            <v>24000</v>
          </cell>
          <cell r="M321">
            <v>72000</v>
          </cell>
        </row>
        <row r="322">
          <cell r="C322" t="str">
            <v>Agro Sudamerica1022920</v>
          </cell>
          <cell r="D322" t="str">
            <v>Agro Sudamerica</v>
          </cell>
          <cell r="E322" t="str">
            <v>1022920</v>
          </cell>
          <cell r="F322"/>
          <cell r="G322"/>
          <cell r="H322"/>
          <cell r="I322"/>
          <cell r="J322">
            <v>4619</v>
          </cell>
          <cell r="K322"/>
          <cell r="L322"/>
          <cell r="M322">
            <v>24000</v>
          </cell>
        </row>
        <row r="323">
          <cell r="C323" t="str">
            <v>Agro Sudamerica1022921</v>
          </cell>
          <cell r="D323" t="str">
            <v>Agro Sudamerica</v>
          </cell>
          <cell r="E323" t="str">
            <v>1022921</v>
          </cell>
          <cell r="F323">
            <v>10000</v>
          </cell>
          <cell r="G323">
            <v>48000</v>
          </cell>
          <cell r="H323">
            <v>10000</v>
          </cell>
          <cell r="I323">
            <v>12000</v>
          </cell>
          <cell r="J323">
            <v>47000</v>
          </cell>
          <cell r="K323"/>
          <cell r="L323"/>
          <cell r="M323">
            <v>24000</v>
          </cell>
        </row>
        <row r="324">
          <cell r="C324" t="str">
            <v>Agro Sudamerica1022922</v>
          </cell>
          <cell r="D324" t="str">
            <v>Agro Sudamerica</v>
          </cell>
          <cell r="E324" t="str">
            <v>1022922</v>
          </cell>
          <cell r="F324"/>
          <cell r="G324"/>
          <cell r="H324"/>
          <cell r="I324">
            <v>17000</v>
          </cell>
          <cell r="J324">
            <v>6000</v>
          </cell>
          <cell r="K324"/>
          <cell r="L324"/>
          <cell r="M324"/>
        </row>
        <row r="325">
          <cell r="C325" t="str">
            <v>Agro Sudamerica1022928</v>
          </cell>
          <cell r="D325" t="str">
            <v>Agro Sudamerica</v>
          </cell>
          <cell r="E325" t="str">
            <v>1022928</v>
          </cell>
          <cell r="F325"/>
          <cell r="G325"/>
          <cell r="H325"/>
          <cell r="I325">
            <v>16000</v>
          </cell>
          <cell r="J325">
            <v>5000</v>
          </cell>
          <cell r="K325"/>
          <cell r="L325"/>
          <cell r="M325"/>
        </row>
        <row r="326">
          <cell r="C326" t="str">
            <v>Agro Sudamerica1022996</v>
          </cell>
          <cell r="D326" t="str">
            <v>Agro Sudamerica</v>
          </cell>
          <cell r="E326" t="str">
            <v>1022996</v>
          </cell>
          <cell r="F326">
            <v>36000</v>
          </cell>
          <cell r="G326">
            <v>24000</v>
          </cell>
          <cell r="H326">
            <v>24000</v>
          </cell>
          <cell r="I326"/>
          <cell r="J326"/>
          <cell r="K326"/>
          <cell r="L326"/>
          <cell r="M326"/>
        </row>
        <row r="327">
          <cell r="C327" t="str">
            <v>Agro Sudamerica1023167</v>
          </cell>
          <cell r="D327" t="str">
            <v>Agro Sudamerica</v>
          </cell>
          <cell r="E327" t="str">
            <v>1023167</v>
          </cell>
          <cell r="F327"/>
          <cell r="G327"/>
          <cell r="H327"/>
          <cell r="I327"/>
          <cell r="J327"/>
          <cell r="K327"/>
          <cell r="L327"/>
          <cell r="M327"/>
        </row>
        <row r="328">
          <cell r="C328" t="str">
            <v>Agro Sudamerica1023270</v>
          </cell>
          <cell r="D328" t="str">
            <v>Agro Sudamerica</v>
          </cell>
          <cell r="E328" t="str">
            <v>1023270</v>
          </cell>
          <cell r="F328"/>
          <cell r="G328">
            <v>2700</v>
          </cell>
          <cell r="H328"/>
          <cell r="I328"/>
          <cell r="J328"/>
          <cell r="K328"/>
          <cell r="L328"/>
          <cell r="M328"/>
        </row>
        <row r="329">
          <cell r="C329" t="str">
            <v>Agro Sudamerica1023295</v>
          </cell>
          <cell r="D329" t="str">
            <v>Agro Sudamerica</v>
          </cell>
          <cell r="E329" t="str">
            <v>1023295</v>
          </cell>
          <cell r="F329"/>
          <cell r="G329">
            <v>2700</v>
          </cell>
          <cell r="H329"/>
          <cell r="I329"/>
          <cell r="J329"/>
          <cell r="K329"/>
          <cell r="L329"/>
          <cell r="M329">
            <v>450</v>
          </cell>
        </row>
        <row r="330">
          <cell r="C330" t="str">
            <v>Agro Sudamerica1023312</v>
          </cell>
          <cell r="D330" t="str">
            <v>Agro Sudamerica</v>
          </cell>
          <cell r="E330" t="str">
            <v>1023312</v>
          </cell>
          <cell r="F330"/>
          <cell r="G330"/>
          <cell r="H330">
            <v>10221</v>
          </cell>
          <cell r="I330"/>
          <cell r="J330"/>
          <cell r="K330"/>
          <cell r="L330"/>
          <cell r="M330"/>
        </row>
        <row r="331">
          <cell r="C331" t="str">
            <v>Agro Sudamerica1023329</v>
          </cell>
          <cell r="D331" t="str">
            <v>Agro Sudamerica</v>
          </cell>
          <cell r="E331" t="str">
            <v>1023329</v>
          </cell>
          <cell r="F331"/>
          <cell r="G331"/>
          <cell r="H331"/>
          <cell r="I331">
            <v>24000</v>
          </cell>
          <cell r="J331">
            <v>24000</v>
          </cell>
          <cell r="K331"/>
          <cell r="L331"/>
          <cell r="M331"/>
        </row>
        <row r="332">
          <cell r="C332" t="str">
            <v>Agro Sudamerica1023331</v>
          </cell>
          <cell r="D332" t="str">
            <v>Agro Sudamerica</v>
          </cell>
          <cell r="E332" t="str">
            <v>1023331</v>
          </cell>
          <cell r="F332"/>
          <cell r="G332">
            <v>23000</v>
          </cell>
          <cell r="H332"/>
          <cell r="I332">
            <v>23000</v>
          </cell>
          <cell r="J332"/>
          <cell r="K332"/>
          <cell r="L332"/>
          <cell r="M332"/>
        </row>
        <row r="333">
          <cell r="C333" t="str">
            <v>Agro Sudamerica1023334</v>
          </cell>
          <cell r="D333" t="str">
            <v>Agro Sudamerica</v>
          </cell>
          <cell r="E333" t="str">
            <v>1023334</v>
          </cell>
          <cell r="F333"/>
          <cell r="G333"/>
          <cell r="H333"/>
          <cell r="I333"/>
          <cell r="J333"/>
          <cell r="K333"/>
          <cell r="L333"/>
          <cell r="M333"/>
        </row>
        <row r="334">
          <cell r="C334" t="str">
            <v>Agro Sudamerica1023336</v>
          </cell>
          <cell r="D334" t="str">
            <v>Agro Sudamerica</v>
          </cell>
          <cell r="E334" t="str">
            <v>1023336</v>
          </cell>
          <cell r="F334"/>
          <cell r="G334"/>
          <cell r="H334"/>
          <cell r="I334"/>
          <cell r="J334"/>
          <cell r="K334"/>
          <cell r="L334"/>
          <cell r="M334"/>
        </row>
        <row r="335">
          <cell r="C335" t="str">
            <v>Agro Sudamerica1023355</v>
          </cell>
          <cell r="D335" t="str">
            <v>Agro Sudamerica</v>
          </cell>
          <cell r="E335" t="str">
            <v>1023355</v>
          </cell>
          <cell r="F335"/>
          <cell r="G335"/>
          <cell r="H335"/>
          <cell r="I335"/>
          <cell r="J335">
            <v>24000</v>
          </cell>
          <cell r="K335">
            <v>24000</v>
          </cell>
          <cell r="L335">
            <v>69000</v>
          </cell>
          <cell r="M335">
            <v>46500</v>
          </cell>
        </row>
        <row r="336">
          <cell r="C336" t="str">
            <v>Agro Sudamerica1030224</v>
          </cell>
          <cell r="D336" t="str">
            <v>Agro Sudamerica</v>
          </cell>
          <cell r="E336" t="str">
            <v>1030224</v>
          </cell>
          <cell r="F336">
            <v>48000</v>
          </cell>
          <cell r="G336">
            <v>72000</v>
          </cell>
          <cell r="H336">
            <v>48000</v>
          </cell>
          <cell r="I336">
            <v>48000</v>
          </cell>
          <cell r="J336">
            <v>48000</v>
          </cell>
          <cell r="K336">
            <v>168009</v>
          </cell>
          <cell r="L336"/>
          <cell r="M336"/>
        </row>
        <row r="337">
          <cell r="C337" t="str">
            <v>Agro Sudamerica1030332</v>
          </cell>
          <cell r="D337" t="str">
            <v>Agro Sudamerica</v>
          </cell>
          <cell r="E337" t="str">
            <v>1030332</v>
          </cell>
          <cell r="F337">
            <v>48000</v>
          </cell>
          <cell r="G337">
            <v>168000</v>
          </cell>
          <cell r="H337">
            <v>72000</v>
          </cell>
          <cell r="I337">
            <v>48000</v>
          </cell>
          <cell r="J337">
            <v>48000</v>
          </cell>
          <cell r="K337"/>
          <cell r="L337"/>
          <cell r="M337"/>
        </row>
        <row r="338">
          <cell r="C338" t="str">
            <v>Agro Sudamerica1030498</v>
          </cell>
          <cell r="D338" t="str">
            <v>Agro Sudamerica</v>
          </cell>
          <cell r="E338" t="str">
            <v>1030498</v>
          </cell>
          <cell r="F338"/>
          <cell r="G338"/>
          <cell r="H338"/>
          <cell r="I338"/>
          <cell r="J338"/>
          <cell r="K338"/>
          <cell r="L338">
            <v>24000</v>
          </cell>
          <cell r="M338"/>
        </row>
        <row r="339">
          <cell r="C339" t="str">
            <v>Agro Sudamerica1030545</v>
          </cell>
          <cell r="D339" t="str">
            <v>Agro Sudamerica</v>
          </cell>
          <cell r="E339" t="str">
            <v>1030545</v>
          </cell>
          <cell r="F339">
            <v>24000</v>
          </cell>
          <cell r="G339">
            <v>48000</v>
          </cell>
          <cell r="H339">
            <v>44000</v>
          </cell>
          <cell r="I339">
            <v>24000</v>
          </cell>
          <cell r="J339">
            <v>72000</v>
          </cell>
          <cell r="K339"/>
          <cell r="L339"/>
          <cell r="M339"/>
        </row>
        <row r="340">
          <cell r="C340" t="str">
            <v>Agro Sudamerica1030670</v>
          </cell>
          <cell r="D340" t="str">
            <v>Agro Sudamerica</v>
          </cell>
          <cell r="E340" t="str">
            <v>1030670</v>
          </cell>
          <cell r="F340">
            <v>24000</v>
          </cell>
          <cell r="G340">
            <v>96000</v>
          </cell>
          <cell r="H340">
            <v>48000</v>
          </cell>
          <cell r="I340">
            <v>72000</v>
          </cell>
          <cell r="J340">
            <v>72000</v>
          </cell>
          <cell r="K340">
            <v>48000</v>
          </cell>
          <cell r="L340">
            <v>24000</v>
          </cell>
          <cell r="M340"/>
        </row>
        <row r="341">
          <cell r="C341" t="str">
            <v>Agro Sudamerica1030720</v>
          </cell>
          <cell r="D341" t="str">
            <v>Agro Sudamerica</v>
          </cell>
          <cell r="E341" t="str">
            <v>1030720</v>
          </cell>
          <cell r="F341"/>
          <cell r="G341">
            <v>24000</v>
          </cell>
          <cell r="H341">
            <v>24000</v>
          </cell>
          <cell r="I341">
            <v>28001</v>
          </cell>
          <cell r="J341">
            <v>48000</v>
          </cell>
          <cell r="K341">
            <v>24000</v>
          </cell>
          <cell r="L341">
            <v>24000</v>
          </cell>
          <cell r="M341"/>
        </row>
        <row r="342">
          <cell r="C342" t="str">
            <v>Agro Sudamerica1030732</v>
          </cell>
          <cell r="D342" t="str">
            <v>Agro Sudamerica</v>
          </cell>
          <cell r="E342" t="str">
            <v>1030732</v>
          </cell>
          <cell r="F342"/>
          <cell r="G342"/>
          <cell r="H342"/>
          <cell r="I342"/>
          <cell r="J342"/>
          <cell r="K342"/>
          <cell r="L342"/>
          <cell r="M342"/>
        </row>
        <row r="343">
          <cell r="C343" t="str">
            <v>Agro Sudamerica1030739</v>
          </cell>
          <cell r="D343" t="str">
            <v>Agro Sudamerica</v>
          </cell>
          <cell r="E343" t="str">
            <v>1030739</v>
          </cell>
          <cell r="F343"/>
          <cell r="G343"/>
          <cell r="H343"/>
          <cell r="I343"/>
          <cell r="J343"/>
          <cell r="K343"/>
          <cell r="L343"/>
          <cell r="M343"/>
        </row>
        <row r="344">
          <cell r="C344" t="str">
            <v>Agro Sudamerica1030780</v>
          </cell>
          <cell r="D344" t="str">
            <v>Agro Sudamerica</v>
          </cell>
          <cell r="E344" t="str">
            <v>1030780</v>
          </cell>
          <cell r="F344"/>
          <cell r="G344"/>
          <cell r="H344"/>
          <cell r="I344"/>
          <cell r="J344"/>
          <cell r="K344"/>
          <cell r="L344"/>
          <cell r="M344"/>
        </row>
        <row r="345">
          <cell r="C345" t="str">
            <v>Agro Sudamerica1030802</v>
          </cell>
          <cell r="D345" t="str">
            <v>Agro Sudamerica</v>
          </cell>
          <cell r="E345" t="str">
            <v>1030802</v>
          </cell>
          <cell r="F345"/>
          <cell r="G345"/>
          <cell r="H345"/>
          <cell r="I345"/>
          <cell r="J345"/>
          <cell r="K345"/>
          <cell r="L345"/>
          <cell r="M345"/>
        </row>
        <row r="346">
          <cell r="C346" t="str">
            <v>Agro Sudamerica1030817</v>
          </cell>
          <cell r="D346" t="str">
            <v>Agro Sudamerica</v>
          </cell>
          <cell r="E346" t="str">
            <v>1030817</v>
          </cell>
          <cell r="F346"/>
          <cell r="G346"/>
          <cell r="H346"/>
          <cell r="I346"/>
          <cell r="J346"/>
          <cell r="K346"/>
          <cell r="L346"/>
          <cell r="M346">
            <v>24000</v>
          </cell>
        </row>
        <row r="347">
          <cell r="C347" t="str">
            <v>Agro Sudamerica1100407</v>
          </cell>
          <cell r="D347" t="str">
            <v>Agro Sudamerica</v>
          </cell>
          <cell r="E347" t="str">
            <v>1100407</v>
          </cell>
          <cell r="F347">
            <v>11000</v>
          </cell>
          <cell r="G347"/>
          <cell r="H347">
            <v>9000</v>
          </cell>
          <cell r="I347"/>
          <cell r="J347"/>
          <cell r="K347"/>
          <cell r="L347">
            <v>24000</v>
          </cell>
          <cell r="M347">
            <v>12000</v>
          </cell>
        </row>
        <row r="348">
          <cell r="C348" t="str">
            <v>Agro Sudamerica1100408</v>
          </cell>
          <cell r="D348" t="str">
            <v>Agro Sudamerica</v>
          </cell>
          <cell r="E348" t="str">
            <v>1100408</v>
          </cell>
          <cell r="F348">
            <v>7000</v>
          </cell>
          <cell r="G348"/>
          <cell r="H348">
            <v>9000</v>
          </cell>
          <cell r="I348"/>
          <cell r="J348"/>
          <cell r="K348">
            <v>6000</v>
          </cell>
          <cell r="L348">
            <v>12000</v>
          </cell>
          <cell r="M348"/>
        </row>
        <row r="349">
          <cell r="C349" t="str">
            <v>Agro Sudamerica1023328</v>
          </cell>
          <cell r="D349" t="str">
            <v>Agro Sudamerica</v>
          </cell>
          <cell r="E349" t="str">
            <v>1023328</v>
          </cell>
          <cell r="F349"/>
          <cell r="G349"/>
          <cell r="H349"/>
          <cell r="I349"/>
          <cell r="J349"/>
          <cell r="K349"/>
          <cell r="L349"/>
          <cell r="M349"/>
        </row>
        <row r="350">
          <cell r="C350" t="str">
            <v>Agro Sudamerica1022825</v>
          </cell>
          <cell r="D350" t="str">
            <v>Agro Sudamerica</v>
          </cell>
          <cell r="E350" t="str">
            <v>1022825</v>
          </cell>
          <cell r="F350"/>
          <cell r="G350"/>
          <cell r="H350"/>
          <cell r="I350"/>
          <cell r="J350"/>
          <cell r="K350"/>
          <cell r="L350"/>
          <cell r="M350"/>
        </row>
        <row r="351">
          <cell r="C351" t="str">
            <v>Agro Sudamerica1020993</v>
          </cell>
          <cell r="D351" t="str">
            <v>Agro Sudamerica</v>
          </cell>
          <cell r="E351" t="str">
            <v>1020993</v>
          </cell>
          <cell r="F351"/>
          <cell r="G351"/>
          <cell r="H351"/>
          <cell r="I351"/>
          <cell r="J351"/>
          <cell r="K351"/>
          <cell r="L351"/>
          <cell r="M351"/>
        </row>
        <row r="352">
          <cell r="C352" t="str">
            <v>Agro Sudamerica1011105</v>
          </cell>
          <cell r="D352" t="str">
            <v>Agro Sudamerica</v>
          </cell>
          <cell r="E352" t="str">
            <v>1011105</v>
          </cell>
          <cell r="F352"/>
          <cell r="G352"/>
          <cell r="H352"/>
          <cell r="I352"/>
          <cell r="J352"/>
          <cell r="K352"/>
          <cell r="L352"/>
          <cell r="M352"/>
        </row>
        <row r="353">
          <cell r="C353" t="str">
            <v>Agro Sudamerica1011258</v>
          </cell>
          <cell r="D353" t="str">
            <v>Agro Sudamerica</v>
          </cell>
          <cell r="E353" t="str">
            <v>1011258</v>
          </cell>
          <cell r="F353"/>
          <cell r="G353"/>
          <cell r="H353"/>
          <cell r="I353"/>
          <cell r="J353"/>
          <cell r="K353"/>
          <cell r="L353"/>
          <cell r="M353"/>
        </row>
        <row r="354">
          <cell r="C354" t="str">
            <v>Agrosuper Asia1012012</v>
          </cell>
          <cell r="D354" t="str">
            <v>Agrosuper Asia</v>
          </cell>
          <cell r="E354" t="str">
            <v>1012012</v>
          </cell>
          <cell r="F354">
            <v>108000</v>
          </cell>
          <cell r="G354">
            <v>88000</v>
          </cell>
          <cell r="H354"/>
          <cell r="I354"/>
          <cell r="J354"/>
          <cell r="K354">
            <v>19958</v>
          </cell>
          <cell r="L354">
            <v>17000</v>
          </cell>
          <cell r="M354">
            <v>17000</v>
          </cell>
        </row>
        <row r="355">
          <cell r="C355" t="str">
            <v>Agrosuper Asia1012612</v>
          </cell>
          <cell r="D355" t="str">
            <v>Agrosuper Asia</v>
          </cell>
          <cell r="E355" t="str">
            <v>1012612</v>
          </cell>
          <cell r="F355">
            <v>625000</v>
          </cell>
          <cell r="G355">
            <v>625000</v>
          </cell>
          <cell r="H355">
            <v>950000</v>
          </cell>
          <cell r="I355">
            <v>1100000</v>
          </cell>
          <cell r="J355">
            <v>1291866</v>
          </cell>
          <cell r="K355">
            <v>1074071</v>
          </cell>
          <cell r="L355">
            <v>1125000</v>
          </cell>
          <cell r="M355">
            <v>1295324.5</v>
          </cell>
        </row>
        <row r="356">
          <cell r="C356" t="str">
            <v>Agrosuper Asia1020860</v>
          </cell>
          <cell r="D356" t="str">
            <v>Agrosuper Asia</v>
          </cell>
          <cell r="E356" t="str">
            <v>1020860</v>
          </cell>
          <cell r="F356">
            <v>154000</v>
          </cell>
          <cell r="G356">
            <v>66000</v>
          </cell>
          <cell r="H356">
            <v>88000</v>
          </cell>
          <cell r="I356">
            <v>154000</v>
          </cell>
          <cell r="J356">
            <v>176000</v>
          </cell>
          <cell r="K356">
            <v>187000</v>
          </cell>
          <cell r="L356">
            <v>88000</v>
          </cell>
          <cell r="M356">
            <v>110000</v>
          </cell>
        </row>
        <row r="357">
          <cell r="C357" t="str">
            <v>Agrosuper Asia1020861</v>
          </cell>
          <cell r="D357" t="str">
            <v>Agrosuper Asia</v>
          </cell>
          <cell r="E357" t="str">
            <v>1020861</v>
          </cell>
          <cell r="F357">
            <v>88000</v>
          </cell>
          <cell r="G357">
            <v>66000</v>
          </cell>
          <cell r="H357">
            <v>66000</v>
          </cell>
          <cell r="I357">
            <v>154000</v>
          </cell>
          <cell r="J357">
            <v>153860</v>
          </cell>
          <cell r="K357">
            <v>198044</v>
          </cell>
          <cell r="L357">
            <v>144000</v>
          </cell>
          <cell r="M357">
            <v>166000</v>
          </cell>
        </row>
        <row r="358">
          <cell r="C358" t="str">
            <v>Agrosuper Asia1020904</v>
          </cell>
          <cell r="D358" t="str">
            <v>Agrosuper Asia</v>
          </cell>
          <cell r="E358" t="str">
            <v>1020904</v>
          </cell>
          <cell r="F358">
            <v>22000</v>
          </cell>
          <cell r="G358">
            <v>154000</v>
          </cell>
          <cell r="H358">
            <v>66000</v>
          </cell>
          <cell r="I358">
            <v>22000</v>
          </cell>
          <cell r="J358">
            <v>22000</v>
          </cell>
          <cell r="K358"/>
          <cell r="L358">
            <v>44000</v>
          </cell>
          <cell r="M358">
            <v>44000</v>
          </cell>
        </row>
        <row r="359">
          <cell r="C359" t="str">
            <v>Agrosuper Asia1020905</v>
          </cell>
          <cell r="D359" t="str">
            <v>Agrosuper Asia</v>
          </cell>
          <cell r="E359" t="str">
            <v>1020905</v>
          </cell>
          <cell r="F359">
            <v>22000</v>
          </cell>
          <cell r="G359">
            <v>22000</v>
          </cell>
          <cell r="H359"/>
          <cell r="I359">
            <v>44000</v>
          </cell>
          <cell r="J359">
            <v>22000</v>
          </cell>
          <cell r="K359"/>
          <cell r="L359">
            <v>22000</v>
          </cell>
          <cell r="M359">
            <v>22000</v>
          </cell>
        </row>
        <row r="360">
          <cell r="C360" t="str">
            <v>Agrosuper Asia1021012</v>
          </cell>
          <cell r="D360" t="str">
            <v>Agrosuper Asia</v>
          </cell>
          <cell r="E360" t="str">
            <v>1021012</v>
          </cell>
          <cell r="F360">
            <v>110000</v>
          </cell>
          <cell r="G360">
            <v>66000</v>
          </cell>
          <cell r="H360"/>
          <cell r="I360">
            <v>22000</v>
          </cell>
          <cell r="J360">
            <v>176010</v>
          </cell>
          <cell r="K360">
            <v>219933</v>
          </cell>
          <cell r="L360">
            <v>143000</v>
          </cell>
          <cell r="M360">
            <v>154000</v>
          </cell>
        </row>
        <row r="361">
          <cell r="C361" t="str">
            <v>Agrosuper Asia1021045</v>
          </cell>
          <cell r="D361" t="str">
            <v>Agrosuper Asia</v>
          </cell>
          <cell r="E361" t="str">
            <v>1021045</v>
          </cell>
          <cell r="F361">
            <v>88000</v>
          </cell>
          <cell r="G361">
            <v>44000</v>
          </cell>
          <cell r="H361">
            <v>22000</v>
          </cell>
          <cell r="I361">
            <v>44000</v>
          </cell>
          <cell r="J361">
            <v>22000</v>
          </cell>
          <cell r="K361">
            <v>22000</v>
          </cell>
          <cell r="L361">
            <v>66000</v>
          </cell>
          <cell r="M361">
            <v>44000</v>
          </cell>
        </row>
        <row r="362">
          <cell r="C362" t="str">
            <v>Agrosuper Asia1021046</v>
          </cell>
          <cell r="D362" t="str">
            <v>Agrosuper Asia</v>
          </cell>
          <cell r="E362" t="str">
            <v>1021046</v>
          </cell>
          <cell r="F362">
            <v>88000</v>
          </cell>
          <cell r="G362">
            <v>66000</v>
          </cell>
          <cell r="H362">
            <v>44000</v>
          </cell>
          <cell r="I362">
            <v>44000</v>
          </cell>
          <cell r="J362">
            <v>22105</v>
          </cell>
          <cell r="K362">
            <v>44022</v>
          </cell>
          <cell r="L362"/>
          <cell r="M362"/>
        </row>
        <row r="363">
          <cell r="C363" t="str">
            <v>Agrosuper Asia1021149</v>
          </cell>
          <cell r="D363" t="str">
            <v>Agrosuper Asia</v>
          </cell>
          <cell r="E363" t="str">
            <v>1021149</v>
          </cell>
          <cell r="F363">
            <v>66000</v>
          </cell>
          <cell r="G363">
            <v>44000</v>
          </cell>
          <cell r="H363">
            <v>66000</v>
          </cell>
          <cell r="I363">
            <v>44000</v>
          </cell>
          <cell r="J363">
            <v>66000</v>
          </cell>
          <cell r="K363">
            <v>110000</v>
          </cell>
          <cell r="L363">
            <v>44000</v>
          </cell>
          <cell r="M363">
            <v>22000</v>
          </cell>
        </row>
        <row r="364">
          <cell r="C364" t="str">
            <v>Agrosuper Asia1021150</v>
          </cell>
          <cell r="D364" t="str">
            <v>Agrosuper Asia</v>
          </cell>
          <cell r="E364" t="str">
            <v>1021150</v>
          </cell>
          <cell r="F364">
            <v>44000</v>
          </cell>
          <cell r="G364">
            <v>66000</v>
          </cell>
          <cell r="H364">
            <v>22000</v>
          </cell>
          <cell r="I364">
            <v>44000</v>
          </cell>
          <cell r="J364">
            <v>22000</v>
          </cell>
          <cell r="K364">
            <v>88000</v>
          </cell>
          <cell r="L364">
            <v>44000</v>
          </cell>
          <cell r="M364">
            <v>22000</v>
          </cell>
        </row>
        <row r="365">
          <cell r="C365" t="str">
            <v>Agrosuper Asia1021151</v>
          </cell>
          <cell r="D365" t="str">
            <v>Agrosuper Asia</v>
          </cell>
          <cell r="E365" t="str">
            <v>1021151</v>
          </cell>
          <cell r="F365">
            <v>44000</v>
          </cell>
          <cell r="G365">
            <v>22000</v>
          </cell>
          <cell r="H365">
            <v>22000</v>
          </cell>
          <cell r="I365">
            <v>44000</v>
          </cell>
          <cell r="J365">
            <v>44000</v>
          </cell>
          <cell r="K365">
            <v>22000</v>
          </cell>
          <cell r="L365">
            <v>44000</v>
          </cell>
          <cell r="M365">
            <v>22000</v>
          </cell>
        </row>
        <row r="366">
          <cell r="C366" t="str">
            <v>Agrosuper Asia1021152</v>
          </cell>
          <cell r="D366" t="str">
            <v>Agrosuper Asia</v>
          </cell>
          <cell r="E366" t="str">
            <v>1021152</v>
          </cell>
          <cell r="F366">
            <v>44000</v>
          </cell>
          <cell r="G366">
            <v>22000</v>
          </cell>
          <cell r="H366">
            <v>44000</v>
          </cell>
          <cell r="I366">
            <v>22000</v>
          </cell>
          <cell r="J366"/>
          <cell r="K366">
            <v>22000</v>
          </cell>
          <cell r="L366"/>
          <cell r="M366">
            <v>22000</v>
          </cell>
        </row>
        <row r="367">
          <cell r="C367" t="str">
            <v>Agrosuper Asia1021156</v>
          </cell>
          <cell r="D367" t="str">
            <v>Agrosuper Asia</v>
          </cell>
          <cell r="E367" t="str">
            <v>1021156</v>
          </cell>
          <cell r="F367">
            <v>46000</v>
          </cell>
          <cell r="G367">
            <v>72000</v>
          </cell>
          <cell r="H367">
            <v>7000</v>
          </cell>
          <cell r="I367">
            <v>14000</v>
          </cell>
          <cell r="J367">
            <v>24000</v>
          </cell>
          <cell r="K367">
            <v>24000</v>
          </cell>
          <cell r="L367">
            <v>24000</v>
          </cell>
          <cell r="M367">
            <v>47000</v>
          </cell>
        </row>
        <row r="368">
          <cell r="C368" t="str">
            <v>Agrosuper Asia1021204</v>
          </cell>
          <cell r="D368" t="str">
            <v>Agrosuper Asia</v>
          </cell>
          <cell r="E368" t="str">
            <v>1021204</v>
          </cell>
          <cell r="F368">
            <v>24000</v>
          </cell>
          <cell r="G368"/>
          <cell r="H368"/>
          <cell r="I368"/>
          <cell r="J368"/>
          <cell r="K368">
            <v>24000</v>
          </cell>
          <cell r="L368">
            <v>24000</v>
          </cell>
          <cell r="M368">
            <v>24000</v>
          </cell>
        </row>
        <row r="369">
          <cell r="C369" t="str">
            <v>Agrosuper Asia1021470</v>
          </cell>
          <cell r="D369" t="str">
            <v>Agrosuper Asia</v>
          </cell>
          <cell r="E369" t="str">
            <v>1021470</v>
          </cell>
          <cell r="F369">
            <v>22000</v>
          </cell>
          <cell r="G369">
            <v>22000</v>
          </cell>
          <cell r="H369"/>
          <cell r="I369">
            <v>22000</v>
          </cell>
          <cell r="J369"/>
          <cell r="K369">
            <v>22000</v>
          </cell>
          <cell r="L369"/>
          <cell r="M369">
            <v>22000</v>
          </cell>
        </row>
        <row r="370">
          <cell r="C370" t="str">
            <v>Agrosuper Asia1021655</v>
          </cell>
          <cell r="D370" t="str">
            <v>Agrosuper Asia</v>
          </cell>
          <cell r="E370" t="str">
            <v>1021655</v>
          </cell>
          <cell r="F370"/>
          <cell r="G370"/>
          <cell r="H370"/>
          <cell r="I370"/>
          <cell r="J370">
            <v>48000</v>
          </cell>
          <cell r="K370">
            <v>24000</v>
          </cell>
          <cell r="L370"/>
          <cell r="M370"/>
        </row>
        <row r="371">
          <cell r="C371" t="str">
            <v>Agrosuper Asia1021664</v>
          </cell>
          <cell r="D371" t="str">
            <v>Agrosuper Asia</v>
          </cell>
          <cell r="E371" t="str">
            <v>1021664</v>
          </cell>
          <cell r="F371">
            <v>154000</v>
          </cell>
          <cell r="G371">
            <v>66000</v>
          </cell>
          <cell r="H371">
            <v>66000</v>
          </cell>
          <cell r="I371">
            <v>66000</v>
          </cell>
          <cell r="J371">
            <v>44000</v>
          </cell>
          <cell r="K371"/>
          <cell r="L371"/>
          <cell r="M371">
            <v>22000</v>
          </cell>
        </row>
        <row r="372">
          <cell r="C372" t="str">
            <v>Agrosuper Asia1021665</v>
          </cell>
          <cell r="D372" t="str">
            <v>Agrosuper Asia</v>
          </cell>
          <cell r="E372" t="str">
            <v>1021665</v>
          </cell>
          <cell r="F372">
            <v>44000</v>
          </cell>
          <cell r="G372">
            <v>110000</v>
          </cell>
          <cell r="H372">
            <v>44000</v>
          </cell>
          <cell r="I372">
            <v>66000</v>
          </cell>
          <cell r="J372">
            <v>44061</v>
          </cell>
          <cell r="K372">
            <v>21786</v>
          </cell>
          <cell r="L372"/>
          <cell r="M372"/>
        </row>
        <row r="373">
          <cell r="C373" t="str">
            <v>Agrosuper Asia1022182</v>
          </cell>
          <cell r="D373" t="str">
            <v>Agrosuper Asia</v>
          </cell>
          <cell r="E373" t="str">
            <v>1022182</v>
          </cell>
          <cell r="F373"/>
          <cell r="G373"/>
          <cell r="H373"/>
          <cell r="I373">
            <v>22000</v>
          </cell>
          <cell r="J373"/>
          <cell r="K373">
            <v>22000</v>
          </cell>
          <cell r="L373"/>
          <cell r="M373"/>
        </row>
        <row r="374">
          <cell r="C374" t="str">
            <v>Agrosuper Asia1022283</v>
          </cell>
          <cell r="D374" t="str">
            <v>Agrosuper Asia</v>
          </cell>
          <cell r="E374" t="str">
            <v>1022283</v>
          </cell>
          <cell r="F374">
            <v>11000</v>
          </cell>
          <cell r="G374">
            <v>9000</v>
          </cell>
          <cell r="H374"/>
          <cell r="I374">
            <v>5000</v>
          </cell>
          <cell r="J374">
            <v>6000</v>
          </cell>
          <cell r="K374">
            <v>10000</v>
          </cell>
          <cell r="L374">
            <v>10000</v>
          </cell>
          <cell r="M374">
            <v>5000</v>
          </cell>
        </row>
        <row r="375">
          <cell r="C375" t="str">
            <v>Agrosuper Asia1022605</v>
          </cell>
          <cell r="D375" t="str">
            <v>Agrosuper Asia</v>
          </cell>
          <cell r="E375" t="str">
            <v>1022605</v>
          </cell>
          <cell r="F375"/>
          <cell r="G375"/>
          <cell r="H375"/>
          <cell r="I375"/>
          <cell r="J375"/>
          <cell r="K375">
            <v>7000</v>
          </cell>
          <cell r="L375"/>
          <cell r="M375"/>
        </row>
        <row r="376">
          <cell r="C376" t="str">
            <v>Agrosuper Asia1022607</v>
          </cell>
          <cell r="D376" t="str">
            <v>Agrosuper Asia</v>
          </cell>
          <cell r="E376" t="str">
            <v>1022607</v>
          </cell>
          <cell r="F376">
            <v>22000</v>
          </cell>
          <cell r="G376">
            <v>22000</v>
          </cell>
          <cell r="H376">
            <v>22000</v>
          </cell>
          <cell r="I376">
            <v>44000</v>
          </cell>
          <cell r="J376">
            <v>44001</v>
          </cell>
          <cell r="K376">
            <v>22000</v>
          </cell>
          <cell r="L376">
            <v>22000</v>
          </cell>
          <cell r="M376">
            <v>22000</v>
          </cell>
        </row>
        <row r="377">
          <cell r="C377" t="str">
            <v>Agrosuper Asia1022885</v>
          </cell>
          <cell r="D377" t="str">
            <v>Agrosuper Asia</v>
          </cell>
          <cell r="E377" t="str">
            <v>1022885</v>
          </cell>
          <cell r="F377">
            <v>660000</v>
          </cell>
          <cell r="G377">
            <v>597000</v>
          </cell>
          <cell r="H377">
            <v>476000</v>
          </cell>
          <cell r="I377">
            <v>702000</v>
          </cell>
          <cell r="J377">
            <v>615555</v>
          </cell>
          <cell r="K377">
            <v>469016</v>
          </cell>
          <cell r="L377">
            <v>352000</v>
          </cell>
          <cell r="M377">
            <v>528004.15</v>
          </cell>
        </row>
        <row r="378">
          <cell r="C378" t="str">
            <v>Agrosuper Asia1022887</v>
          </cell>
          <cell r="D378" t="str">
            <v>Agrosuper Asia</v>
          </cell>
          <cell r="E378" t="str">
            <v>1022887</v>
          </cell>
          <cell r="F378">
            <v>198000</v>
          </cell>
          <cell r="G378">
            <v>275000</v>
          </cell>
          <cell r="H378">
            <v>385000</v>
          </cell>
          <cell r="I378">
            <v>352000</v>
          </cell>
          <cell r="J378">
            <v>308028</v>
          </cell>
          <cell r="K378">
            <v>209000</v>
          </cell>
          <cell r="L378">
            <v>198000</v>
          </cell>
          <cell r="M378">
            <v>264000</v>
          </cell>
        </row>
        <row r="379">
          <cell r="C379" t="str">
            <v>Agrosuper Asia1022930</v>
          </cell>
          <cell r="D379" t="str">
            <v>Agrosuper Asia</v>
          </cell>
          <cell r="E379" t="str">
            <v>1022930</v>
          </cell>
          <cell r="F379">
            <v>154000</v>
          </cell>
          <cell r="G379">
            <v>44000</v>
          </cell>
          <cell r="H379">
            <v>44000</v>
          </cell>
          <cell r="I379">
            <v>88000</v>
          </cell>
          <cell r="J379">
            <v>65946</v>
          </cell>
          <cell r="K379">
            <v>22000</v>
          </cell>
          <cell r="L379">
            <v>110000</v>
          </cell>
          <cell r="M379">
            <v>242031.5</v>
          </cell>
        </row>
        <row r="380">
          <cell r="C380" t="str">
            <v>Agrosuper Asia1022985</v>
          </cell>
          <cell r="D380" t="str">
            <v>Agrosuper Asia</v>
          </cell>
          <cell r="E380" t="str">
            <v>1022985</v>
          </cell>
          <cell r="F380">
            <v>10000</v>
          </cell>
          <cell r="G380">
            <v>10000</v>
          </cell>
          <cell r="H380">
            <v>17000</v>
          </cell>
          <cell r="I380">
            <v>12000</v>
          </cell>
          <cell r="J380">
            <v>8000</v>
          </cell>
          <cell r="K380">
            <v>5000</v>
          </cell>
          <cell r="L380">
            <v>5000</v>
          </cell>
          <cell r="M380">
            <v>10000</v>
          </cell>
        </row>
        <row r="381">
          <cell r="C381" t="str">
            <v>Agrosuper Asia1022986</v>
          </cell>
          <cell r="D381" t="str">
            <v>Agrosuper Asia</v>
          </cell>
          <cell r="E381" t="str">
            <v>1022986</v>
          </cell>
          <cell r="F381">
            <v>20000</v>
          </cell>
          <cell r="G381">
            <v>17000</v>
          </cell>
          <cell r="H381"/>
          <cell r="I381">
            <v>5000</v>
          </cell>
          <cell r="J381">
            <v>7500</v>
          </cell>
          <cell r="K381"/>
          <cell r="L381"/>
          <cell r="M381"/>
        </row>
        <row r="382">
          <cell r="C382" t="str">
            <v>Agrosuper Asia1023037</v>
          </cell>
          <cell r="D382" t="str">
            <v>Agrosuper Asia</v>
          </cell>
          <cell r="E382" t="str">
            <v>1023037</v>
          </cell>
          <cell r="F382">
            <v>66000</v>
          </cell>
          <cell r="G382">
            <v>110000</v>
          </cell>
          <cell r="H382">
            <v>176000</v>
          </cell>
          <cell r="I382">
            <v>176000</v>
          </cell>
          <cell r="J382">
            <v>99000</v>
          </cell>
          <cell r="K382">
            <v>143000</v>
          </cell>
          <cell r="L382">
            <v>198000</v>
          </cell>
          <cell r="M382">
            <v>77000</v>
          </cell>
        </row>
        <row r="383">
          <cell r="C383" t="str">
            <v>Agrosuper Asia1023038</v>
          </cell>
          <cell r="D383" t="str">
            <v>Agrosuper Asia</v>
          </cell>
          <cell r="E383" t="str">
            <v>1023038</v>
          </cell>
          <cell r="F383">
            <v>66000</v>
          </cell>
          <cell r="G383">
            <v>77000</v>
          </cell>
          <cell r="H383">
            <v>77000</v>
          </cell>
          <cell r="I383">
            <v>66000</v>
          </cell>
          <cell r="J383">
            <v>113643</v>
          </cell>
          <cell r="K383">
            <v>77000</v>
          </cell>
          <cell r="L383">
            <v>88000</v>
          </cell>
          <cell r="M383">
            <v>121010.71</v>
          </cell>
        </row>
        <row r="384">
          <cell r="C384" t="str">
            <v>Agrosuper Asia1023090</v>
          </cell>
          <cell r="D384" t="str">
            <v>Agrosuper Asia</v>
          </cell>
          <cell r="E384" t="str">
            <v>1023090</v>
          </cell>
          <cell r="F384">
            <v>22000</v>
          </cell>
          <cell r="G384">
            <v>22000</v>
          </cell>
          <cell r="H384">
            <v>22000</v>
          </cell>
          <cell r="I384">
            <v>22000</v>
          </cell>
          <cell r="J384">
            <v>22008</v>
          </cell>
          <cell r="K384">
            <v>22000</v>
          </cell>
          <cell r="L384"/>
          <cell r="M384">
            <v>22000</v>
          </cell>
        </row>
        <row r="385">
          <cell r="C385" t="str">
            <v>Agrosuper Asia1023144</v>
          </cell>
          <cell r="D385" t="str">
            <v>Agrosuper Asia</v>
          </cell>
          <cell r="E385" t="str">
            <v>1023144</v>
          </cell>
          <cell r="F385"/>
          <cell r="G385"/>
          <cell r="H385"/>
          <cell r="I385"/>
          <cell r="J385">
            <v>24000</v>
          </cell>
          <cell r="K385">
            <v>48000</v>
          </cell>
          <cell r="L385">
            <v>48000</v>
          </cell>
          <cell r="M385">
            <v>72000</v>
          </cell>
        </row>
        <row r="386">
          <cell r="C386" t="str">
            <v>Agrosuper Asia1023166</v>
          </cell>
          <cell r="D386" t="str">
            <v>Agrosuper Asia</v>
          </cell>
          <cell r="E386" t="str">
            <v>1023166</v>
          </cell>
          <cell r="F386"/>
          <cell r="G386"/>
          <cell r="H386"/>
          <cell r="I386"/>
          <cell r="J386"/>
          <cell r="K386"/>
          <cell r="L386"/>
          <cell r="M386"/>
        </row>
        <row r="387">
          <cell r="C387" t="str">
            <v>Agrosuper Asia1023183</v>
          </cell>
          <cell r="D387" t="str">
            <v>Agrosuper Asia</v>
          </cell>
          <cell r="E387" t="str">
            <v>1023183</v>
          </cell>
          <cell r="F387">
            <v>22000</v>
          </cell>
          <cell r="G387">
            <v>44000</v>
          </cell>
          <cell r="H387">
            <v>66000</v>
          </cell>
          <cell r="I387"/>
          <cell r="J387">
            <v>22000</v>
          </cell>
          <cell r="K387">
            <v>22000</v>
          </cell>
          <cell r="L387">
            <v>44000</v>
          </cell>
          <cell r="M387"/>
        </row>
        <row r="388">
          <cell r="C388" t="str">
            <v>Agrosuper Asia1023283</v>
          </cell>
          <cell r="D388" t="str">
            <v>Agrosuper Asia</v>
          </cell>
          <cell r="E388" t="str">
            <v>1023283</v>
          </cell>
          <cell r="F388">
            <v>120000</v>
          </cell>
          <cell r="G388">
            <v>96000</v>
          </cell>
          <cell r="H388">
            <v>178000</v>
          </cell>
          <cell r="I388">
            <v>216000</v>
          </cell>
          <cell r="J388">
            <v>144149</v>
          </cell>
          <cell r="K388">
            <v>72000</v>
          </cell>
          <cell r="L388">
            <v>120000</v>
          </cell>
          <cell r="M388">
            <v>120000</v>
          </cell>
        </row>
        <row r="389">
          <cell r="C389" t="str">
            <v>Agrosuper Asia1023305</v>
          </cell>
          <cell r="D389" t="str">
            <v>Agrosuper Asia</v>
          </cell>
          <cell r="E389" t="str">
            <v>1023305</v>
          </cell>
          <cell r="F389"/>
          <cell r="G389"/>
          <cell r="H389"/>
          <cell r="I389"/>
          <cell r="J389"/>
          <cell r="K389"/>
          <cell r="L389"/>
          <cell r="M389"/>
        </row>
        <row r="390">
          <cell r="C390" t="str">
            <v>Agrosuper Asia1023307</v>
          </cell>
          <cell r="D390" t="str">
            <v>Agrosuper Asia</v>
          </cell>
          <cell r="E390" t="str">
            <v>1023307</v>
          </cell>
          <cell r="F390">
            <v>22000</v>
          </cell>
          <cell r="G390">
            <v>24000</v>
          </cell>
          <cell r="H390">
            <v>22000</v>
          </cell>
          <cell r="I390">
            <v>48000</v>
          </cell>
          <cell r="J390">
            <v>24000</v>
          </cell>
          <cell r="K390">
            <v>48000</v>
          </cell>
          <cell r="L390">
            <v>48000</v>
          </cell>
          <cell r="M390">
            <v>24000</v>
          </cell>
        </row>
        <row r="391">
          <cell r="C391" t="str">
            <v>Agrosuper Asia1023326</v>
          </cell>
          <cell r="D391" t="str">
            <v>Agrosuper Asia</v>
          </cell>
          <cell r="E391" t="str">
            <v>1023326</v>
          </cell>
          <cell r="F391"/>
          <cell r="G391"/>
          <cell r="H391">
            <v>44000</v>
          </cell>
          <cell r="I391">
            <v>48000</v>
          </cell>
          <cell r="J391">
            <v>48003</v>
          </cell>
          <cell r="K391">
            <v>48000</v>
          </cell>
          <cell r="L391">
            <v>24000</v>
          </cell>
          <cell r="M391">
            <v>48000</v>
          </cell>
        </row>
        <row r="392">
          <cell r="C392" t="str">
            <v>Agrosuper Asia1023370</v>
          </cell>
          <cell r="D392" t="str">
            <v>Agrosuper Asia</v>
          </cell>
          <cell r="E392" t="str">
            <v>1023370</v>
          </cell>
          <cell r="F392"/>
          <cell r="G392"/>
          <cell r="H392"/>
          <cell r="I392"/>
          <cell r="J392"/>
          <cell r="K392">
            <v>24000</v>
          </cell>
          <cell r="L392"/>
          <cell r="M392"/>
        </row>
        <row r="393">
          <cell r="C393" t="str">
            <v>Agrosuper Asia1023371</v>
          </cell>
          <cell r="D393" t="str">
            <v>Agrosuper Asia</v>
          </cell>
          <cell r="E393" t="str">
            <v>1023371</v>
          </cell>
          <cell r="F393"/>
          <cell r="G393"/>
          <cell r="H393"/>
          <cell r="I393"/>
          <cell r="J393"/>
          <cell r="K393">
            <v>24000</v>
          </cell>
          <cell r="L393"/>
          <cell r="M393"/>
        </row>
        <row r="394">
          <cell r="C394" t="str">
            <v>Agrosuper Asia1023372</v>
          </cell>
          <cell r="D394" t="str">
            <v>Agrosuper Asia</v>
          </cell>
          <cell r="E394" t="str">
            <v>1023372</v>
          </cell>
          <cell r="F394"/>
          <cell r="G394"/>
          <cell r="H394"/>
          <cell r="I394"/>
          <cell r="J394"/>
          <cell r="K394"/>
          <cell r="L394">
            <v>24000</v>
          </cell>
          <cell r="M394">
            <v>48000</v>
          </cell>
        </row>
        <row r="395">
          <cell r="C395" t="str">
            <v>Agrosuper Asia1023397</v>
          </cell>
          <cell r="D395" t="str">
            <v>Agrosuper Asia</v>
          </cell>
          <cell r="E395" t="str">
            <v>1023397</v>
          </cell>
          <cell r="F395"/>
          <cell r="G395"/>
          <cell r="H395"/>
          <cell r="I395"/>
          <cell r="J395"/>
          <cell r="K395">
            <v>48000</v>
          </cell>
          <cell r="L395">
            <v>96000</v>
          </cell>
          <cell r="M395">
            <v>48000</v>
          </cell>
        </row>
        <row r="396">
          <cell r="C396" t="str">
            <v>Agrosuper Asia1030309</v>
          </cell>
          <cell r="D396" t="str">
            <v>Agrosuper Asia</v>
          </cell>
          <cell r="E396" t="str">
            <v>1030309</v>
          </cell>
          <cell r="F396">
            <v>16000</v>
          </cell>
          <cell r="G396"/>
          <cell r="H396">
            <v>22000</v>
          </cell>
          <cell r="I396"/>
          <cell r="J396"/>
          <cell r="K396"/>
          <cell r="L396"/>
          <cell r="M396"/>
        </row>
        <row r="397">
          <cell r="C397" t="str">
            <v>Agrosuper Asia1030535</v>
          </cell>
          <cell r="D397" t="str">
            <v>Agrosuper Asia</v>
          </cell>
          <cell r="E397" t="str">
            <v>1030535</v>
          </cell>
          <cell r="F397">
            <v>6000</v>
          </cell>
          <cell r="G397"/>
          <cell r="H397">
            <v>28000</v>
          </cell>
          <cell r="I397">
            <v>44000</v>
          </cell>
          <cell r="J397">
            <v>43998</v>
          </cell>
          <cell r="K397">
            <v>22000</v>
          </cell>
          <cell r="L397">
            <v>22000</v>
          </cell>
          <cell r="M397"/>
        </row>
        <row r="398">
          <cell r="C398" t="str">
            <v>Agrosuper Asia1030542</v>
          </cell>
          <cell r="D398" t="str">
            <v>Agrosuper Asia</v>
          </cell>
          <cell r="E398" t="str">
            <v>1030542</v>
          </cell>
          <cell r="F398"/>
          <cell r="G398"/>
          <cell r="H398"/>
          <cell r="I398"/>
          <cell r="J398"/>
          <cell r="K398"/>
          <cell r="L398">
            <v>24000</v>
          </cell>
          <cell r="M398">
            <v>50500</v>
          </cell>
        </row>
        <row r="399">
          <cell r="C399" t="str">
            <v>Agrosuper Asia1030576</v>
          </cell>
          <cell r="D399" t="str">
            <v>Agrosuper Asia</v>
          </cell>
          <cell r="E399" t="str">
            <v>1030576</v>
          </cell>
          <cell r="F399"/>
          <cell r="G399"/>
          <cell r="H399"/>
          <cell r="I399"/>
          <cell r="J399"/>
          <cell r="K399"/>
          <cell r="L399"/>
          <cell r="M399"/>
        </row>
        <row r="400">
          <cell r="C400" t="str">
            <v>Agrosuper Asia1100492</v>
          </cell>
          <cell r="D400" t="str">
            <v>Agrosuper Asia</v>
          </cell>
          <cell r="E400" t="str">
            <v>1100492</v>
          </cell>
          <cell r="F400"/>
          <cell r="G400"/>
          <cell r="H400"/>
          <cell r="I400"/>
          <cell r="J400"/>
          <cell r="K400"/>
          <cell r="L400"/>
          <cell r="M400"/>
        </row>
        <row r="401">
          <cell r="C401" t="str">
            <v>Agrosuper Brasil1011560</v>
          </cell>
          <cell r="D401" t="str">
            <v>Agrosuper Brasil</v>
          </cell>
          <cell r="E401" t="str">
            <v>1011560</v>
          </cell>
          <cell r="F401"/>
          <cell r="G401">
            <v>24000</v>
          </cell>
          <cell r="H401"/>
          <cell r="I401"/>
          <cell r="J401">
            <v>24000</v>
          </cell>
          <cell r="K401">
            <v>24000</v>
          </cell>
          <cell r="L401">
            <v>24000</v>
          </cell>
          <cell r="M401">
            <v>24000</v>
          </cell>
        </row>
        <row r="402">
          <cell r="C402" t="str">
            <v>Agrosuper Brasil1012362</v>
          </cell>
          <cell r="D402" t="str">
            <v>Agrosuper Brasil</v>
          </cell>
          <cell r="E402" t="str">
            <v>1012362</v>
          </cell>
          <cell r="F402">
            <v>24000</v>
          </cell>
          <cell r="G402">
            <v>24000</v>
          </cell>
          <cell r="H402">
            <v>47990</v>
          </cell>
          <cell r="I402">
            <v>23995</v>
          </cell>
          <cell r="J402">
            <v>24000</v>
          </cell>
          <cell r="K402">
            <v>24000</v>
          </cell>
          <cell r="L402">
            <v>23990</v>
          </cell>
          <cell r="M402">
            <v>23990</v>
          </cell>
        </row>
        <row r="403">
          <cell r="C403" t="str">
            <v>Agrosuper Brasil1012674</v>
          </cell>
          <cell r="D403" t="str">
            <v>Agrosuper Brasil</v>
          </cell>
          <cell r="E403" t="str">
            <v>1012674</v>
          </cell>
          <cell r="F403">
            <v>24000</v>
          </cell>
          <cell r="G403">
            <v>72000</v>
          </cell>
          <cell r="H403">
            <v>24000</v>
          </cell>
          <cell r="I403">
            <v>23995</v>
          </cell>
          <cell r="J403">
            <v>24000</v>
          </cell>
          <cell r="K403">
            <v>48000</v>
          </cell>
          <cell r="L403">
            <v>24000</v>
          </cell>
          <cell r="M403">
            <v>24000</v>
          </cell>
        </row>
        <row r="404">
          <cell r="C404" t="str">
            <v>Agrosuper Brasil1021864</v>
          </cell>
          <cell r="D404" t="str">
            <v>Agrosuper Brasil</v>
          </cell>
          <cell r="E404" t="str">
            <v>1021864</v>
          </cell>
          <cell r="F404">
            <v>48000</v>
          </cell>
          <cell r="G404">
            <v>48000</v>
          </cell>
          <cell r="H404">
            <v>48000</v>
          </cell>
          <cell r="I404">
            <v>24000</v>
          </cell>
          <cell r="J404">
            <v>48000</v>
          </cell>
          <cell r="K404">
            <v>48000</v>
          </cell>
          <cell r="L404"/>
          <cell r="M404">
            <v>72000</v>
          </cell>
        </row>
        <row r="405">
          <cell r="C405" t="str">
            <v>Agrosuper Brasil1022217</v>
          </cell>
          <cell r="D405" t="str">
            <v>Agrosuper Brasil</v>
          </cell>
          <cell r="E405" t="str">
            <v>1022217</v>
          </cell>
          <cell r="F405">
            <v>96000</v>
          </cell>
          <cell r="G405">
            <v>47994</v>
          </cell>
          <cell r="H405">
            <v>72000</v>
          </cell>
          <cell r="I405">
            <v>264000</v>
          </cell>
          <cell r="J405">
            <v>168000</v>
          </cell>
          <cell r="K405">
            <v>216000</v>
          </cell>
          <cell r="L405">
            <v>168000</v>
          </cell>
          <cell r="M405">
            <v>192000</v>
          </cell>
        </row>
        <row r="406">
          <cell r="C406" t="str">
            <v>Agrosuper Brasil1022218</v>
          </cell>
          <cell r="D406" t="str">
            <v>Agrosuper Brasil</v>
          </cell>
          <cell r="E406" t="str">
            <v>1022218</v>
          </cell>
          <cell r="F406">
            <v>120000</v>
          </cell>
          <cell r="G406">
            <v>48000</v>
          </cell>
          <cell r="H406">
            <v>96000</v>
          </cell>
          <cell r="I406">
            <v>96000</v>
          </cell>
          <cell r="J406">
            <v>96000</v>
          </cell>
          <cell r="K406">
            <v>48000</v>
          </cell>
          <cell r="L406">
            <v>48000</v>
          </cell>
          <cell r="M406">
            <v>96000</v>
          </cell>
        </row>
        <row r="407">
          <cell r="C407" t="str">
            <v>Agrosuper Brasil1022273</v>
          </cell>
          <cell r="D407" t="str">
            <v>Agrosuper Brasil</v>
          </cell>
          <cell r="E407" t="str">
            <v>1022273</v>
          </cell>
          <cell r="F407"/>
          <cell r="G407">
            <v>144000</v>
          </cell>
          <cell r="H407">
            <v>144000</v>
          </cell>
          <cell r="I407">
            <v>120000</v>
          </cell>
          <cell r="J407">
            <v>168000</v>
          </cell>
          <cell r="K407">
            <v>48000</v>
          </cell>
          <cell r="L407">
            <v>48000</v>
          </cell>
          <cell r="M407">
            <v>190000</v>
          </cell>
        </row>
        <row r="408">
          <cell r="C408" t="str">
            <v>Agrosuper Brasil1022782</v>
          </cell>
          <cell r="D408" t="str">
            <v>Agrosuper Brasil</v>
          </cell>
          <cell r="E408" t="str">
            <v>1022782</v>
          </cell>
          <cell r="F408"/>
          <cell r="G408"/>
          <cell r="H408"/>
          <cell r="I408"/>
          <cell r="J408"/>
          <cell r="K408">
            <v>6240</v>
          </cell>
          <cell r="L408"/>
          <cell r="M408"/>
        </row>
        <row r="409">
          <cell r="C409" t="str">
            <v>Agrosuper Brasil1022783</v>
          </cell>
          <cell r="D409" t="str">
            <v>Agrosuper Brasil</v>
          </cell>
          <cell r="E409" t="str">
            <v>1022783</v>
          </cell>
          <cell r="F409"/>
          <cell r="G409"/>
          <cell r="H409"/>
          <cell r="I409"/>
          <cell r="J409"/>
          <cell r="K409">
            <v>6480</v>
          </cell>
          <cell r="L409"/>
          <cell r="M409"/>
        </row>
        <row r="410">
          <cell r="C410" t="str">
            <v>Agrosuper Brasil1022784</v>
          </cell>
          <cell r="D410" t="str">
            <v>Agrosuper Brasil</v>
          </cell>
          <cell r="E410" t="str">
            <v>1022784</v>
          </cell>
          <cell r="F410"/>
          <cell r="G410"/>
          <cell r="H410"/>
          <cell r="I410"/>
          <cell r="J410"/>
          <cell r="K410">
            <v>5175</v>
          </cell>
          <cell r="L410"/>
          <cell r="M410"/>
        </row>
        <row r="411">
          <cell r="C411" t="str">
            <v>Agrosuper Brasil1023329</v>
          </cell>
          <cell r="D411" t="str">
            <v>Agrosuper Brasil</v>
          </cell>
          <cell r="E411" t="str">
            <v>1023329</v>
          </cell>
          <cell r="F411"/>
          <cell r="G411">
            <v>24000</v>
          </cell>
          <cell r="H411">
            <v>72000</v>
          </cell>
          <cell r="I411">
            <v>24000</v>
          </cell>
          <cell r="J411">
            <v>72000</v>
          </cell>
          <cell r="K411">
            <v>72000</v>
          </cell>
          <cell r="L411">
            <v>24000</v>
          </cell>
          <cell r="M411">
            <v>24000</v>
          </cell>
        </row>
        <row r="412">
          <cell r="C412" t="str">
            <v>Agrosuper Brasil1023334</v>
          </cell>
          <cell r="D412" t="str">
            <v>Agrosuper Brasil</v>
          </cell>
          <cell r="E412" t="str">
            <v>1023334</v>
          </cell>
          <cell r="F412"/>
          <cell r="G412">
            <v>72000</v>
          </cell>
          <cell r="H412">
            <v>144000</v>
          </cell>
          <cell r="I412">
            <v>168000</v>
          </cell>
          <cell r="J412">
            <v>48000</v>
          </cell>
          <cell r="K412">
            <v>72000</v>
          </cell>
          <cell r="L412">
            <v>168000</v>
          </cell>
          <cell r="M412">
            <v>72000</v>
          </cell>
        </row>
        <row r="413">
          <cell r="C413" t="str">
            <v>Agrosuper Brasil1023336</v>
          </cell>
          <cell r="D413" t="str">
            <v>Agrosuper Brasil</v>
          </cell>
          <cell r="E413" t="str">
            <v>1023336</v>
          </cell>
          <cell r="F413"/>
          <cell r="G413">
            <v>24000</v>
          </cell>
          <cell r="H413">
            <v>24000</v>
          </cell>
          <cell r="I413">
            <v>24000</v>
          </cell>
          <cell r="J413">
            <v>72000</v>
          </cell>
          <cell r="K413"/>
          <cell r="L413"/>
          <cell r="M413"/>
        </row>
        <row r="414">
          <cell r="C414" t="str">
            <v>Agrosuper Shanghai1011586</v>
          </cell>
          <cell r="D414" t="str">
            <v>Agrosuper Shanghai</v>
          </cell>
          <cell r="E414" t="str">
            <v>1011586</v>
          </cell>
          <cell r="F414">
            <v>96000</v>
          </cell>
          <cell r="G414">
            <v>111908</v>
          </cell>
          <cell r="H414">
            <v>87908</v>
          </cell>
          <cell r="I414">
            <v>48000</v>
          </cell>
          <cell r="J414">
            <v>67954</v>
          </cell>
          <cell r="K414">
            <v>83862</v>
          </cell>
          <cell r="L414">
            <v>63908</v>
          </cell>
          <cell r="M414"/>
        </row>
        <row r="415">
          <cell r="C415" t="str">
            <v>Agrosuper Shanghai1011967</v>
          </cell>
          <cell r="D415" t="str">
            <v>Agrosuper Shanghai</v>
          </cell>
          <cell r="E415" t="str">
            <v>1011967</v>
          </cell>
          <cell r="F415">
            <v>101240</v>
          </cell>
          <cell r="G415">
            <v>215100</v>
          </cell>
          <cell r="H415">
            <v>192000</v>
          </cell>
          <cell r="I415">
            <v>155920</v>
          </cell>
          <cell r="J415">
            <v>47240</v>
          </cell>
          <cell r="K415">
            <v>191700</v>
          </cell>
          <cell r="L415">
            <v>156000</v>
          </cell>
          <cell r="M415"/>
        </row>
        <row r="416">
          <cell r="C416" t="str">
            <v>Agrosuper Shanghai1011968</v>
          </cell>
          <cell r="D416" t="str">
            <v>Agrosuper Shanghai</v>
          </cell>
          <cell r="E416" t="str">
            <v>1011968</v>
          </cell>
          <cell r="F416">
            <v>29660</v>
          </cell>
          <cell r="G416">
            <v>24000</v>
          </cell>
          <cell r="H416"/>
          <cell r="I416">
            <v>35920</v>
          </cell>
          <cell r="J416"/>
          <cell r="K416">
            <v>35800</v>
          </cell>
          <cell r="L416">
            <v>24000</v>
          </cell>
          <cell r="M416"/>
        </row>
        <row r="417">
          <cell r="C417" t="str">
            <v>Agrosuper Shanghai1011969</v>
          </cell>
          <cell r="D417" t="str">
            <v>Agrosuper Shanghai</v>
          </cell>
          <cell r="E417" t="str">
            <v>1011969</v>
          </cell>
          <cell r="F417">
            <v>78800</v>
          </cell>
          <cell r="G417">
            <v>24000</v>
          </cell>
          <cell r="H417">
            <v>143500</v>
          </cell>
          <cell r="I417">
            <v>47300</v>
          </cell>
          <cell r="J417">
            <v>72000</v>
          </cell>
          <cell r="K417">
            <v>168000</v>
          </cell>
          <cell r="L417">
            <v>120000</v>
          </cell>
          <cell r="M417">
            <v>47840</v>
          </cell>
        </row>
        <row r="418">
          <cell r="C418" t="str">
            <v>Agrosuper Shanghai1012005</v>
          </cell>
          <cell r="D418" t="str">
            <v>Agrosuper Shanghai</v>
          </cell>
          <cell r="E418" t="str">
            <v>1012005</v>
          </cell>
          <cell r="F418">
            <v>7816</v>
          </cell>
          <cell r="G418"/>
          <cell r="H418"/>
          <cell r="I418"/>
          <cell r="J418"/>
          <cell r="K418"/>
          <cell r="L418">
            <v>5600</v>
          </cell>
          <cell r="M418"/>
        </row>
        <row r="419">
          <cell r="C419" t="str">
            <v>Agrosuper Shanghai1012218</v>
          </cell>
          <cell r="D419" t="str">
            <v>Agrosuper Shanghai</v>
          </cell>
          <cell r="E419" t="str">
            <v>1012218</v>
          </cell>
          <cell r="F419"/>
          <cell r="G419"/>
          <cell r="H419"/>
          <cell r="I419"/>
          <cell r="J419"/>
          <cell r="K419"/>
          <cell r="L419"/>
          <cell r="M419">
            <v>21000</v>
          </cell>
        </row>
        <row r="420">
          <cell r="C420" t="str">
            <v>Agrosuper Shanghai1012312</v>
          </cell>
          <cell r="D420" t="str">
            <v>Agrosuper Shanghai</v>
          </cell>
          <cell r="E420" t="str">
            <v>1012312</v>
          </cell>
          <cell r="F420"/>
          <cell r="G420"/>
          <cell r="H420"/>
          <cell r="I420"/>
          <cell r="J420"/>
          <cell r="K420"/>
          <cell r="L420"/>
          <cell r="M420"/>
        </row>
        <row r="421">
          <cell r="C421" t="str">
            <v>Agrosuper Shanghai1012424</v>
          </cell>
          <cell r="D421" t="str">
            <v>Agrosuper Shanghai</v>
          </cell>
          <cell r="E421" t="str">
            <v>1012424</v>
          </cell>
          <cell r="F421"/>
          <cell r="G421">
            <v>24000</v>
          </cell>
          <cell r="H421"/>
          <cell r="I421"/>
          <cell r="J421"/>
          <cell r="K421"/>
          <cell r="L421"/>
          <cell r="M421"/>
        </row>
        <row r="422">
          <cell r="C422" t="str">
            <v>Agrosuper Shanghai1012434</v>
          </cell>
          <cell r="D422" t="str">
            <v>Agrosuper Shanghai</v>
          </cell>
          <cell r="E422" t="str">
            <v>1012434</v>
          </cell>
          <cell r="F422">
            <v>23500</v>
          </cell>
          <cell r="G422"/>
          <cell r="H422"/>
          <cell r="I422"/>
          <cell r="J422">
            <v>24000</v>
          </cell>
          <cell r="K422">
            <v>24000</v>
          </cell>
          <cell r="L422"/>
          <cell r="M422">
            <v>48000</v>
          </cell>
        </row>
        <row r="423">
          <cell r="C423" t="str">
            <v>Agrosuper Shanghai1012448</v>
          </cell>
          <cell r="D423" t="str">
            <v>Agrosuper Shanghai</v>
          </cell>
          <cell r="E423" t="str">
            <v>1012448</v>
          </cell>
          <cell r="F423">
            <v>216000</v>
          </cell>
          <cell r="G423">
            <v>144000</v>
          </cell>
          <cell r="H423">
            <v>108000</v>
          </cell>
          <cell r="I423">
            <v>144000</v>
          </cell>
          <cell r="J423">
            <v>239820</v>
          </cell>
          <cell r="K423">
            <v>239820</v>
          </cell>
          <cell r="L423">
            <v>240000</v>
          </cell>
          <cell r="M423">
            <v>263035</v>
          </cell>
        </row>
        <row r="424">
          <cell r="C424" t="str">
            <v>Agrosuper Shanghai1012451</v>
          </cell>
          <cell r="D424" t="str">
            <v>Agrosuper Shanghai</v>
          </cell>
          <cell r="E424" t="str">
            <v>1012451</v>
          </cell>
          <cell r="F424"/>
          <cell r="G424"/>
          <cell r="H424"/>
          <cell r="I424"/>
          <cell r="J424"/>
          <cell r="K424">
            <v>20475</v>
          </cell>
          <cell r="L424">
            <v>37425</v>
          </cell>
          <cell r="M424">
            <v>10500</v>
          </cell>
        </row>
        <row r="425">
          <cell r="C425" t="str">
            <v>Agrosuper Shanghai1012452</v>
          </cell>
          <cell r="D425" t="str">
            <v>Agrosuper Shanghai</v>
          </cell>
          <cell r="E425" t="str">
            <v>1012452</v>
          </cell>
          <cell r="F425">
            <v>24000</v>
          </cell>
          <cell r="G425">
            <v>72000</v>
          </cell>
          <cell r="H425">
            <v>37721</v>
          </cell>
          <cell r="I425"/>
          <cell r="J425">
            <v>24000</v>
          </cell>
          <cell r="K425">
            <v>24000</v>
          </cell>
          <cell r="L425">
            <v>24000</v>
          </cell>
          <cell r="M425"/>
        </row>
        <row r="426">
          <cell r="C426" t="str">
            <v>Agrosuper Shanghai1012455</v>
          </cell>
          <cell r="D426" t="str">
            <v>Agrosuper Shanghai</v>
          </cell>
          <cell r="E426" t="str">
            <v>1012455</v>
          </cell>
          <cell r="F426">
            <v>216000</v>
          </cell>
          <cell r="G426">
            <v>96000</v>
          </cell>
          <cell r="H426">
            <v>72000</v>
          </cell>
          <cell r="I426">
            <v>120000</v>
          </cell>
          <cell r="J426">
            <v>168000</v>
          </cell>
          <cell r="K426">
            <v>216000</v>
          </cell>
          <cell r="L426">
            <v>168000</v>
          </cell>
          <cell r="M426">
            <v>24000</v>
          </cell>
        </row>
        <row r="427">
          <cell r="C427" t="str">
            <v>Agrosuper Shanghai1012502</v>
          </cell>
          <cell r="D427" t="str">
            <v>Agrosuper Shanghai</v>
          </cell>
          <cell r="E427" t="str">
            <v>1012502</v>
          </cell>
          <cell r="F427">
            <v>24020</v>
          </cell>
          <cell r="G427"/>
          <cell r="H427"/>
          <cell r="I427"/>
          <cell r="J427">
            <v>24000</v>
          </cell>
          <cell r="K427"/>
          <cell r="L427"/>
          <cell r="M427">
            <v>23920</v>
          </cell>
        </row>
        <row r="428">
          <cell r="C428" t="str">
            <v>Agrosuper Shanghai1012503</v>
          </cell>
          <cell r="D428" t="str">
            <v>Agrosuper Shanghai</v>
          </cell>
          <cell r="E428" t="str">
            <v>1012503</v>
          </cell>
          <cell r="F428">
            <v>252820</v>
          </cell>
          <cell r="G428">
            <v>71940</v>
          </cell>
          <cell r="H428">
            <v>168000</v>
          </cell>
          <cell r="I428">
            <v>72000</v>
          </cell>
          <cell r="J428">
            <v>203000</v>
          </cell>
          <cell r="K428">
            <v>394300</v>
          </cell>
          <cell r="L428">
            <v>312000</v>
          </cell>
          <cell r="M428">
            <v>280460</v>
          </cell>
        </row>
        <row r="429">
          <cell r="C429" t="str">
            <v>Agrosuper Shanghai1012504</v>
          </cell>
          <cell r="D429" t="str">
            <v>Agrosuper Shanghai</v>
          </cell>
          <cell r="E429" t="str">
            <v>1012504</v>
          </cell>
          <cell r="F429">
            <v>96000</v>
          </cell>
          <cell r="G429">
            <v>96000</v>
          </cell>
          <cell r="H429">
            <v>24000</v>
          </cell>
          <cell r="I429">
            <v>24000</v>
          </cell>
          <cell r="J429">
            <v>96000</v>
          </cell>
          <cell r="K429">
            <v>72000</v>
          </cell>
          <cell r="L429">
            <v>24000</v>
          </cell>
          <cell r="M429">
            <v>23900</v>
          </cell>
        </row>
        <row r="430">
          <cell r="C430" t="str">
            <v>Agrosuper Shanghai1012525</v>
          </cell>
          <cell r="D430" t="str">
            <v>Agrosuper Shanghai</v>
          </cell>
          <cell r="E430" t="str">
            <v>1012525</v>
          </cell>
          <cell r="F430">
            <v>12000</v>
          </cell>
          <cell r="G430"/>
          <cell r="H430"/>
          <cell r="I430"/>
          <cell r="J430">
            <v>12000</v>
          </cell>
          <cell r="K430">
            <v>12020</v>
          </cell>
          <cell r="L430"/>
          <cell r="M430"/>
        </row>
        <row r="431">
          <cell r="C431" t="str">
            <v>Agrosuper Shanghai1012526</v>
          </cell>
          <cell r="D431" t="str">
            <v>Agrosuper Shanghai</v>
          </cell>
          <cell r="E431" t="str">
            <v>1012526</v>
          </cell>
          <cell r="F431"/>
          <cell r="G431"/>
          <cell r="H431"/>
          <cell r="I431">
            <v>23900</v>
          </cell>
          <cell r="J431"/>
          <cell r="K431">
            <v>24000</v>
          </cell>
          <cell r="L431"/>
          <cell r="M431"/>
        </row>
        <row r="432">
          <cell r="C432" t="str">
            <v>Agrosuper Shanghai1012527</v>
          </cell>
          <cell r="D432" t="str">
            <v>Agrosuper Shanghai</v>
          </cell>
          <cell r="E432" t="str">
            <v>1012527</v>
          </cell>
          <cell r="F432">
            <v>24000</v>
          </cell>
          <cell r="G432">
            <v>23900</v>
          </cell>
          <cell r="H432"/>
          <cell r="I432"/>
          <cell r="J432"/>
          <cell r="K432">
            <v>24100</v>
          </cell>
          <cell r="L432">
            <v>48100</v>
          </cell>
          <cell r="M432"/>
        </row>
        <row r="433">
          <cell r="C433" t="str">
            <v>Agrosuper Shanghai1012595</v>
          </cell>
          <cell r="D433" t="str">
            <v>Agrosuper Shanghai</v>
          </cell>
          <cell r="E433" t="str">
            <v>1012595</v>
          </cell>
          <cell r="F433">
            <v>5008</v>
          </cell>
          <cell r="G433">
            <v>5008</v>
          </cell>
          <cell r="H433">
            <v>5008</v>
          </cell>
          <cell r="I433"/>
          <cell r="J433"/>
          <cell r="K433"/>
          <cell r="L433"/>
          <cell r="M433"/>
        </row>
        <row r="434">
          <cell r="C434" t="str">
            <v>Agrosuper Shanghai1012598</v>
          </cell>
          <cell r="D434" t="str">
            <v>Agrosuper Shanghai</v>
          </cell>
          <cell r="E434" t="str">
            <v>1012598</v>
          </cell>
          <cell r="F434">
            <v>4340</v>
          </cell>
          <cell r="G434"/>
          <cell r="H434">
            <v>22640</v>
          </cell>
          <cell r="I434"/>
          <cell r="J434"/>
          <cell r="K434"/>
          <cell r="L434"/>
          <cell r="M434">
            <v>7500</v>
          </cell>
        </row>
        <row r="435">
          <cell r="C435" t="str">
            <v>Agrosuper Shanghai1012681</v>
          </cell>
          <cell r="D435" t="str">
            <v>Agrosuper Shanghai</v>
          </cell>
          <cell r="E435" t="str">
            <v>1012681</v>
          </cell>
          <cell r="F435"/>
          <cell r="G435"/>
          <cell r="H435"/>
          <cell r="I435"/>
          <cell r="J435"/>
          <cell r="K435">
            <v>24000</v>
          </cell>
          <cell r="L435">
            <v>48000</v>
          </cell>
          <cell r="M435">
            <v>23800</v>
          </cell>
        </row>
        <row r="436">
          <cell r="C436" t="str">
            <v>Agrosuper Shanghai1021115</v>
          </cell>
          <cell r="D436" t="str">
            <v>Agrosuper Shanghai</v>
          </cell>
          <cell r="E436" t="str">
            <v>1021115</v>
          </cell>
          <cell r="F436">
            <v>72000</v>
          </cell>
          <cell r="G436">
            <v>48000</v>
          </cell>
          <cell r="H436">
            <v>24000</v>
          </cell>
          <cell r="I436">
            <v>48000</v>
          </cell>
          <cell r="J436">
            <v>48000</v>
          </cell>
          <cell r="K436"/>
          <cell r="L436"/>
          <cell r="M436"/>
        </row>
        <row r="437">
          <cell r="C437" t="str">
            <v>Agrosuper Shanghai1021731</v>
          </cell>
          <cell r="D437" t="str">
            <v>Agrosuper Shanghai</v>
          </cell>
          <cell r="E437" t="str">
            <v>1021731</v>
          </cell>
          <cell r="F437">
            <v>406200</v>
          </cell>
          <cell r="G437">
            <v>263600</v>
          </cell>
          <cell r="H437">
            <v>216000</v>
          </cell>
          <cell r="I437">
            <v>168240</v>
          </cell>
          <cell r="J437">
            <v>289217</v>
          </cell>
          <cell r="K437">
            <v>336640</v>
          </cell>
          <cell r="L437">
            <v>289000</v>
          </cell>
          <cell r="M437"/>
        </row>
        <row r="438">
          <cell r="C438" t="str">
            <v>Agrosuper Shanghai1021732</v>
          </cell>
          <cell r="D438" t="str">
            <v>Agrosuper Shanghai</v>
          </cell>
          <cell r="E438" t="str">
            <v>1021732</v>
          </cell>
          <cell r="F438">
            <v>315540</v>
          </cell>
          <cell r="G438">
            <v>167940</v>
          </cell>
          <cell r="H438">
            <v>193640</v>
          </cell>
          <cell r="I438">
            <v>263460</v>
          </cell>
          <cell r="J438">
            <v>266300</v>
          </cell>
          <cell r="K438">
            <v>169360</v>
          </cell>
          <cell r="L438">
            <v>410040</v>
          </cell>
          <cell r="M438">
            <v>338740</v>
          </cell>
        </row>
        <row r="439">
          <cell r="C439" t="str">
            <v>Agrosuper Shanghai1021733</v>
          </cell>
          <cell r="D439" t="str">
            <v>Agrosuper Shanghai</v>
          </cell>
          <cell r="E439" t="str">
            <v>1021733</v>
          </cell>
          <cell r="F439">
            <v>168999.345</v>
          </cell>
          <cell r="G439">
            <v>146713.35</v>
          </cell>
          <cell r="H439">
            <v>25007</v>
          </cell>
          <cell r="I439">
            <v>97007</v>
          </cell>
          <cell r="J439">
            <v>24000</v>
          </cell>
          <cell r="K439"/>
          <cell r="L439">
            <v>24000</v>
          </cell>
          <cell r="M439">
            <v>144000</v>
          </cell>
        </row>
        <row r="440">
          <cell r="C440" t="str">
            <v>Agrosuper Shanghai1021735</v>
          </cell>
          <cell r="D440" t="str">
            <v>Agrosuper Shanghai</v>
          </cell>
          <cell r="E440" t="str">
            <v>1021735</v>
          </cell>
          <cell r="F440">
            <v>288600</v>
          </cell>
          <cell r="G440">
            <v>167740</v>
          </cell>
          <cell r="H440">
            <v>145000</v>
          </cell>
          <cell r="I440">
            <v>48280</v>
          </cell>
          <cell r="J440">
            <v>258140</v>
          </cell>
          <cell r="K440">
            <v>216980</v>
          </cell>
          <cell r="L440">
            <v>217140</v>
          </cell>
          <cell r="M440">
            <v>83860</v>
          </cell>
        </row>
        <row r="441">
          <cell r="C441" t="str">
            <v>Agrosuper Shanghai1021737</v>
          </cell>
          <cell r="D441" t="str">
            <v>Agrosuper Shanghai</v>
          </cell>
          <cell r="E441" t="str">
            <v>1021737</v>
          </cell>
          <cell r="F441">
            <v>24000</v>
          </cell>
          <cell r="G441"/>
          <cell r="H441">
            <v>24000</v>
          </cell>
          <cell r="I441"/>
          <cell r="J441">
            <v>24280</v>
          </cell>
          <cell r="K441">
            <v>24280</v>
          </cell>
          <cell r="L441"/>
          <cell r="M441"/>
        </row>
        <row r="442">
          <cell r="C442" t="str">
            <v>Agrosuper Shanghai1021738</v>
          </cell>
          <cell r="D442" t="str">
            <v>Agrosuper Shanghai</v>
          </cell>
          <cell r="E442" t="str">
            <v>1021738</v>
          </cell>
          <cell r="F442">
            <v>96220</v>
          </cell>
          <cell r="G442">
            <v>49000</v>
          </cell>
          <cell r="H442">
            <v>48000</v>
          </cell>
          <cell r="I442">
            <v>71820</v>
          </cell>
          <cell r="J442">
            <v>73020</v>
          </cell>
          <cell r="K442">
            <v>144300</v>
          </cell>
          <cell r="L442">
            <v>72020</v>
          </cell>
          <cell r="M442">
            <v>73000</v>
          </cell>
        </row>
        <row r="443">
          <cell r="C443" t="str">
            <v>Agrosuper Shanghai1021739</v>
          </cell>
          <cell r="D443" t="str">
            <v>Agrosuper Shanghai</v>
          </cell>
          <cell r="E443" t="str">
            <v>1021739</v>
          </cell>
          <cell r="F443">
            <v>48023.588000000003</v>
          </cell>
          <cell r="G443">
            <v>22361.24</v>
          </cell>
          <cell r="H443">
            <v>22361</v>
          </cell>
          <cell r="I443">
            <v>24015</v>
          </cell>
          <cell r="J443">
            <v>23327</v>
          </cell>
          <cell r="K443">
            <v>44278</v>
          </cell>
          <cell r="L443">
            <v>45647</v>
          </cell>
          <cell r="M443"/>
        </row>
        <row r="444">
          <cell r="C444" t="str">
            <v>Agrosuper Shanghai1021740</v>
          </cell>
          <cell r="D444" t="str">
            <v>Agrosuper Shanghai</v>
          </cell>
          <cell r="E444" t="str">
            <v>1021740</v>
          </cell>
          <cell r="F444"/>
          <cell r="G444"/>
          <cell r="H444"/>
          <cell r="I444"/>
          <cell r="J444"/>
          <cell r="K444"/>
          <cell r="L444"/>
          <cell r="M444">
            <v>33000</v>
          </cell>
        </row>
        <row r="445">
          <cell r="C445" t="str">
            <v>Agrosuper Shanghai1021765</v>
          </cell>
          <cell r="D445" t="str">
            <v>Agrosuper Shanghai</v>
          </cell>
          <cell r="E445" t="str">
            <v>1021765</v>
          </cell>
          <cell r="F445"/>
          <cell r="G445"/>
          <cell r="H445">
            <v>6760</v>
          </cell>
          <cell r="I445"/>
          <cell r="J445"/>
          <cell r="K445"/>
          <cell r="L445"/>
          <cell r="M445"/>
        </row>
        <row r="446">
          <cell r="C446" t="str">
            <v>Agrosuper Shanghai1021766</v>
          </cell>
          <cell r="D446" t="str">
            <v>Agrosuper Shanghai</v>
          </cell>
          <cell r="E446" t="str">
            <v>1021766</v>
          </cell>
          <cell r="F446">
            <v>241236</v>
          </cell>
          <cell r="G446">
            <v>215532</v>
          </cell>
          <cell r="H446">
            <v>240642</v>
          </cell>
          <cell r="I446">
            <v>240966</v>
          </cell>
          <cell r="J446">
            <v>143820</v>
          </cell>
          <cell r="K446">
            <v>337518</v>
          </cell>
          <cell r="L446">
            <v>360180</v>
          </cell>
          <cell r="M446">
            <v>432684</v>
          </cell>
        </row>
        <row r="447">
          <cell r="C447" t="str">
            <v>Agrosuper Shanghai1021767</v>
          </cell>
          <cell r="D447" t="str">
            <v>Agrosuper Shanghai</v>
          </cell>
          <cell r="E447" t="str">
            <v>1021767</v>
          </cell>
          <cell r="F447">
            <v>436518</v>
          </cell>
          <cell r="G447">
            <v>220284</v>
          </cell>
          <cell r="H447">
            <v>192996</v>
          </cell>
          <cell r="I447">
            <v>441396</v>
          </cell>
          <cell r="J447">
            <v>436644</v>
          </cell>
          <cell r="K447">
            <v>535518</v>
          </cell>
          <cell r="L447">
            <v>556596</v>
          </cell>
          <cell r="M447">
            <v>289512</v>
          </cell>
        </row>
        <row r="448">
          <cell r="C448" t="str">
            <v>Agrosuper Shanghai1021774</v>
          </cell>
          <cell r="D448" t="str">
            <v>Agrosuper Shanghai</v>
          </cell>
          <cell r="E448" t="str">
            <v>1021774</v>
          </cell>
          <cell r="F448">
            <v>72060</v>
          </cell>
          <cell r="G448">
            <v>96000</v>
          </cell>
          <cell r="H448">
            <v>72000</v>
          </cell>
          <cell r="I448">
            <v>72000</v>
          </cell>
          <cell r="J448">
            <v>72340</v>
          </cell>
          <cell r="K448">
            <v>71600</v>
          </cell>
          <cell r="L448">
            <v>72020</v>
          </cell>
          <cell r="M448">
            <v>144460</v>
          </cell>
        </row>
        <row r="449">
          <cell r="C449" t="str">
            <v>Agrosuper Shanghai1021905</v>
          </cell>
          <cell r="D449" t="str">
            <v>Agrosuper Shanghai</v>
          </cell>
          <cell r="E449" t="str">
            <v>1021905</v>
          </cell>
          <cell r="F449"/>
          <cell r="G449"/>
          <cell r="H449"/>
          <cell r="I449"/>
          <cell r="J449"/>
          <cell r="K449"/>
          <cell r="L449">
            <v>24008</v>
          </cell>
          <cell r="M449"/>
        </row>
        <row r="450">
          <cell r="C450" t="str">
            <v>Agrosuper Shanghai1021971</v>
          </cell>
          <cell r="D450" t="str">
            <v>Agrosuper Shanghai</v>
          </cell>
          <cell r="E450" t="str">
            <v>1021971</v>
          </cell>
          <cell r="F450"/>
          <cell r="G450">
            <v>23480</v>
          </cell>
          <cell r="H450">
            <v>48480</v>
          </cell>
          <cell r="I450">
            <v>25000</v>
          </cell>
          <cell r="J450">
            <v>47820</v>
          </cell>
          <cell r="K450">
            <v>16000</v>
          </cell>
          <cell r="L450">
            <v>41000</v>
          </cell>
          <cell r="M450"/>
        </row>
        <row r="451">
          <cell r="C451" t="str">
            <v>Agrosuper Shanghai1021992</v>
          </cell>
          <cell r="D451" t="str">
            <v>Agrosuper Shanghai</v>
          </cell>
          <cell r="E451" t="str">
            <v>1021992</v>
          </cell>
          <cell r="F451">
            <v>144000</v>
          </cell>
          <cell r="G451">
            <v>72000</v>
          </cell>
          <cell r="H451">
            <v>120000</v>
          </cell>
          <cell r="I451"/>
          <cell r="J451"/>
          <cell r="K451"/>
          <cell r="L451">
            <v>48420</v>
          </cell>
          <cell r="M451">
            <v>48000</v>
          </cell>
        </row>
        <row r="452">
          <cell r="C452" t="str">
            <v>Agrosuper Shanghai1022033</v>
          </cell>
          <cell r="D452" t="str">
            <v>Agrosuper Shanghai</v>
          </cell>
          <cell r="E452" t="str">
            <v>1022033</v>
          </cell>
          <cell r="F452">
            <v>24000</v>
          </cell>
          <cell r="G452">
            <v>48000</v>
          </cell>
          <cell r="H452"/>
          <cell r="I452">
            <v>71090</v>
          </cell>
          <cell r="J452">
            <v>24000</v>
          </cell>
          <cell r="K452">
            <v>48000</v>
          </cell>
          <cell r="L452">
            <v>72610</v>
          </cell>
          <cell r="M452">
            <v>72520</v>
          </cell>
        </row>
        <row r="453">
          <cell r="C453" t="str">
            <v>Agrosuper Shanghai1022073</v>
          </cell>
          <cell r="D453" t="str">
            <v>Agrosuper Shanghai</v>
          </cell>
          <cell r="E453" t="str">
            <v>1022073</v>
          </cell>
          <cell r="F453">
            <v>96011.85</v>
          </cell>
          <cell r="G453">
            <v>24011.78</v>
          </cell>
          <cell r="H453">
            <v>48029</v>
          </cell>
          <cell r="I453">
            <v>24016</v>
          </cell>
          <cell r="J453">
            <v>24000</v>
          </cell>
          <cell r="K453">
            <v>72017</v>
          </cell>
          <cell r="L453">
            <v>120017</v>
          </cell>
          <cell r="M453">
            <v>48016</v>
          </cell>
        </row>
        <row r="454">
          <cell r="C454" t="str">
            <v>Agrosuper Shanghai1022080</v>
          </cell>
          <cell r="D454" t="str">
            <v>Agrosuper Shanghai</v>
          </cell>
          <cell r="E454" t="str">
            <v>1022080</v>
          </cell>
          <cell r="F454">
            <v>47900</v>
          </cell>
          <cell r="G454">
            <v>144470</v>
          </cell>
          <cell r="H454">
            <v>24060</v>
          </cell>
          <cell r="I454">
            <v>48100</v>
          </cell>
          <cell r="J454">
            <v>120320</v>
          </cell>
          <cell r="K454">
            <v>120040</v>
          </cell>
          <cell r="L454">
            <v>120590</v>
          </cell>
          <cell r="M454">
            <v>192820</v>
          </cell>
        </row>
        <row r="455">
          <cell r="C455" t="str">
            <v>Agrosuper Shanghai1022082</v>
          </cell>
          <cell r="D455" t="str">
            <v>Agrosuper Shanghai</v>
          </cell>
          <cell r="E455" t="str">
            <v>1022082</v>
          </cell>
          <cell r="F455"/>
          <cell r="G455"/>
          <cell r="H455"/>
          <cell r="I455"/>
          <cell r="J455"/>
          <cell r="K455"/>
          <cell r="L455"/>
          <cell r="M455"/>
        </row>
        <row r="456">
          <cell r="C456" t="str">
            <v>Agrosuper Shanghai1022096</v>
          </cell>
          <cell r="D456" t="str">
            <v>Agrosuper Shanghai</v>
          </cell>
          <cell r="E456" t="str">
            <v>1022096</v>
          </cell>
          <cell r="F456">
            <v>240000</v>
          </cell>
          <cell r="G456">
            <v>288000</v>
          </cell>
          <cell r="H456">
            <v>239990</v>
          </cell>
          <cell r="I456">
            <v>192000</v>
          </cell>
          <cell r="J456">
            <v>236781</v>
          </cell>
          <cell r="K456">
            <v>287850</v>
          </cell>
          <cell r="L456">
            <v>144260</v>
          </cell>
          <cell r="M456">
            <v>72280</v>
          </cell>
        </row>
        <row r="457">
          <cell r="C457" t="str">
            <v>Agrosuper Shanghai1022099</v>
          </cell>
          <cell r="D457" t="str">
            <v>Agrosuper Shanghai</v>
          </cell>
          <cell r="E457" t="str">
            <v>1022099</v>
          </cell>
          <cell r="F457">
            <v>218484</v>
          </cell>
          <cell r="G457">
            <v>169074</v>
          </cell>
          <cell r="H457">
            <v>193086</v>
          </cell>
          <cell r="I457">
            <v>168606</v>
          </cell>
          <cell r="J457">
            <v>193050</v>
          </cell>
          <cell r="K457">
            <v>266256</v>
          </cell>
          <cell r="L457">
            <v>288882</v>
          </cell>
          <cell r="M457">
            <v>193374</v>
          </cell>
        </row>
        <row r="458">
          <cell r="C458" t="str">
            <v>Agrosuper Shanghai1022125</v>
          </cell>
          <cell r="D458" t="str">
            <v>Agrosuper Shanghai</v>
          </cell>
          <cell r="E458" t="str">
            <v>1022125</v>
          </cell>
          <cell r="F458">
            <v>324199.21000000002</v>
          </cell>
          <cell r="G458">
            <v>157044.39000000001</v>
          </cell>
          <cell r="H458">
            <v>108004</v>
          </cell>
          <cell r="I458">
            <v>194030</v>
          </cell>
          <cell r="J458">
            <v>96000</v>
          </cell>
          <cell r="K458">
            <v>239447</v>
          </cell>
          <cell r="L458">
            <v>119969</v>
          </cell>
          <cell r="M458">
            <v>48170</v>
          </cell>
        </row>
        <row r="459">
          <cell r="C459" t="str">
            <v>Agrosuper Shanghai1022169</v>
          </cell>
          <cell r="D459" t="str">
            <v>Agrosuper Shanghai</v>
          </cell>
          <cell r="E459" t="str">
            <v>1022169</v>
          </cell>
          <cell r="F459">
            <v>142720</v>
          </cell>
          <cell r="G459">
            <v>192340</v>
          </cell>
          <cell r="H459">
            <v>120980</v>
          </cell>
          <cell r="I459">
            <v>192870</v>
          </cell>
          <cell r="J459">
            <v>96600</v>
          </cell>
          <cell r="K459">
            <v>96040</v>
          </cell>
          <cell r="L459">
            <v>144440</v>
          </cell>
          <cell r="M459">
            <v>335470</v>
          </cell>
        </row>
        <row r="460">
          <cell r="C460" t="str">
            <v>Agrosuper Shanghai1022183</v>
          </cell>
          <cell r="D460" t="str">
            <v>Agrosuper Shanghai</v>
          </cell>
          <cell r="E460" t="str">
            <v>1022183</v>
          </cell>
          <cell r="F460">
            <v>725659.62800000003</v>
          </cell>
          <cell r="G460">
            <v>724991.21</v>
          </cell>
          <cell r="H460">
            <v>556143</v>
          </cell>
          <cell r="I460">
            <v>795541</v>
          </cell>
          <cell r="J460">
            <v>803662</v>
          </cell>
          <cell r="K460">
            <v>673884</v>
          </cell>
          <cell r="L460">
            <v>553414</v>
          </cell>
          <cell r="M460">
            <v>291002</v>
          </cell>
        </row>
        <row r="461">
          <cell r="C461" t="str">
            <v>Agrosuper Shanghai1022186</v>
          </cell>
          <cell r="D461" t="str">
            <v>Agrosuper Shanghai</v>
          </cell>
          <cell r="E461" t="str">
            <v>1022186</v>
          </cell>
          <cell r="F461">
            <v>96024</v>
          </cell>
          <cell r="G461">
            <v>168960</v>
          </cell>
          <cell r="H461">
            <v>97926</v>
          </cell>
          <cell r="I461">
            <v>96024</v>
          </cell>
          <cell r="J461">
            <v>122016</v>
          </cell>
          <cell r="K461">
            <v>24000</v>
          </cell>
          <cell r="L461">
            <v>96024</v>
          </cell>
          <cell r="M461"/>
        </row>
        <row r="462">
          <cell r="C462" t="str">
            <v>Agrosuper Shanghai1022193</v>
          </cell>
          <cell r="D462" t="str">
            <v>Agrosuper Shanghai</v>
          </cell>
          <cell r="E462" t="str">
            <v>1022193</v>
          </cell>
          <cell r="F462">
            <v>24016.18</v>
          </cell>
          <cell r="G462"/>
          <cell r="H462"/>
          <cell r="I462">
            <v>50002</v>
          </cell>
          <cell r="J462">
            <v>48008</v>
          </cell>
          <cell r="K462">
            <v>24016</v>
          </cell>
          <cell r="L462">
            <v>23000</v>
          </cell>
          <cell r="M462"/>
        </row>
        <row r="463">
          <cell r="C463" t="str">
            <v>Agrosuper Shanghai1022212</v>
          </cell>
          <cell r="D463" t="str">
            <v>Agrosuper Shanghai</v>
          </cell>
          <cell r="E463" t="str">
            <v>1022212</v>
          </cell>
          <cell r="F463">
            <v>695776.66299999994</v>
          </cell>
          <cell r="G463">
            <v>551827.36</v>
          </cell>
          <cell r="H463">
            <v>429390</v>
          </cell>
          <cell r="I463">
            <v>546850</v>
          </cell>
          <cell r="J463">
            <v>553416</v>
          </cell>
          <cell r="K463">
            <v>791769</v>
          </cell>
          <cell r="L463">
            <v>626236</v>
          </cell>
          <cell r="M463">
            <v>576014</v>
          </cell>
        </row>
        <row r="464">
          <cell r="C464" t="str">
            <v>Agrosuper Shanghai1022291</v>
          </cell>
          <cell r="D464" t="str">
            <v>Agrosuper Shanghai</v>
          </cell>
          <cell r="E464" t="str">
            <v>1022291</v>
          </cell>
          <cell r="F464">
            <v>72017.5</v>
          </cell>
          <cell r="G464">
            <v>96034.05</v>
          </cell>
          <cell r="H464">
            <v>72016</v>
          </cell>
          <cell r="I464">
            <v>72000</v>
          </cell>
          <cell r="J464">
            <v>143822</v>
          </cell>
          <cell r="K464">
            <v>48000</v>
          </cell>
          <cell r="L464">
            <v>24000</v>
          </cell>
          <cell r="M464">
            <v>24024</v>
          </cell>
        </row>
        <row r="465">
          <cell r="C465" t="str">
            <v>Agrosuper Shanghai1022340</v>
          </cell>
          <cell r="D465" t="str">
            <v>Agrosuper Shanghai</v>
          </cell>
          <cell r="E465" t="str">
            <v>1022340</v>
          </cell>
          <cell r="F465">
            <v>13065</v>
          </cell>
          <cell r="G465">
            <v>9600</v>
          </cell>
          <cell r="H465"/>
          <cell r="I465"/>
          <cell r="J465"/>
          <cell r="K465"/>
          <cell r="L465"/>
          <cell r="M465"/>
        </row>
        <row r="466">
          <cell r="C466" t="str">
            <v>Agrosuper Shanghai1022373</v>
          </cell>
          <cell r="D466" t="str">
            <v>Agrosuper Shanghai</v>
          </cell>
          <cell r="E466" t="str">
            <v>1022373</v>
          </cell>
          <cell r="F466">
            <v>96000</v>
          </cell>
          <cell r="G466">
            <v>171038.13</v>
          </cell>
          <cell r="H466">
            <v>148026</v>
          </cell>
          <cell r="I466">
            <v>99032</v>
          </cell>
          <cell r="J466">
            <v>97254</v>
          </cell>
          <cell r="K466">
            <v>23984</v>
          </cell>
          <cell r="L466">
            <v>48100</v>
          </cell>
          <cell r="M466">
            <v>48206</v>
          </cell>
        </row>
        <row r="467">
          <cell r="C467" t="str">
            <v>Agrosuper Shanghai1022378</v>
          </cell>
          <cell r="D467" t="str">
            <v>Agrosuper Shanghai</v>
          </cell>
          <cell r="E467" t="str">
            <v>1022378</v>
          </cell>
          <cell r="F467">
            <v>97000</v>
          </cell>
          <cell r="G467">
            <v>72000</v>
          </cell>
          <cell r="H467">
            <v>120000</v>
          </cell>
          <cell r="I467">
            <v>96000</v>
          </cell>
          <cell r="J467">
            <v>120280</v>
          </cell>
          <cell r="K467">
            <v>96290</v>
          </cell>
          <cell r="L467">
            <v>144000</v>
          </cell>
          <cell r="M467">
            <v>24000</v>
          </cell>
        </row>
        <row r="468">
          <cell r="C468" t="str">
            <v>Agrosuper Shanghai1022379</v>
          </cell>
          <cell r="D468" t="str">
            <v>Agrosuper Shanghai</v>
          </cell>
          <cell r="E468" t="str">
            <v>1022379</v>
          </cell>
          <cell r="F468">
            <v>72070.100000000006</v>
          </cell>
          <cell r="G468">
            <v>24068.1</v>
          </cell>
          <cell r="H468"/>
          <cell r="I468">
            <v>24183</v>
          </cell>
          <cell r="J468"/>
          <cell r="K468"/>
          <cell r="L468">
            <v>24000</v>
          </cell>
          <cell r="M468">
            <v>120000</v>
          </cell>
        </row>
        <row r="469">
          <cell r="C469" t="str">
            <v>Agrosuper Shanghai1022381</v>
          </cell>
          <cell r="D469" t="str">
            <v>Agrosuper Shanghai</v>
          </cell>
          <cell r="E469" t="str">
            <v>1022381</v>
          </cell>
          <cell r="F469">
            <v>24000</v>
          </cell>
          <cell r="G469">
            <v>48000</v>
          </cell>
          <cell r="H469">
            <v>72000</v>
          </cell>
          <cell r="I469">
            <v>119920</v>
          </cell>
          <cell r="J469">
            <v>120140</v>
          </cell>
          <cell r="K469">
            <v>72000</v>
          </cell>
          <cell r="L469">
            <v>24370</v>
          </cell>
          <cell r="M469">
            <v>120000</v>
          </cell>
        </row>
        <row r="470">
          <cell r="C470" t="str">
            <v>Agrosuper Shanghai1022388</v>
          </cell>
          <cell r="D470" t="str">
            <v>Agrosuper Shanghai</v>
          </cell>
          <cell r="E470" t="str">
            <v>1022388</v>
          </cell>
          <cell r="F470">
            <v>96070</v>
          </cell>
          <cell r="G470">
            <v>48000</v>
          </cell>
          <cell r="H470">
            <v>72210</v>
          </cell>
          <cell r="I470"/>
          <cell r="J470">
            <v>48410</v>
          </cell>
          <cell r="K470">
            <v>96200</v>
          </cell>
          <cell r="L470">
            <v>168420</v>
          </cell>
          <cell r="M470">
            <v>192160</v>
          </cell>
        </row>
        <row r="471">
          <cell r="C471" t="str">
            <v>Agrosuper Shanghai1022389</v>
          </cell>
          <cell r="D471" t="str">
            <v>Agrosuper Shanghai</v>
          </cell>
          <cell r="E471" t="str">
            <v>1022389</v>
          </cell>
          <cell r="F471">
            <v>72000</v>
          </cell>
          <cell r="G471"/>
          <cell r="H471"/>
          <cell r="I471"/>
          <cell r="J471"/>
          <cell r="K471">
            <v>24000</v>
          </cell>
          <cell r="L471">
            <v>24000</v>
          </cell>
          <cell r="M471"/>
        </row>
        <row r="472">
          <cell r="C472" t="str">
            <v>Agrosuper Shanghai1022414</v>
          </cell>
          <cell r="D472" t="str">
            <v>Agrosuper Shanghai</v>
          </cell>
          <cell r="E472" t="str">
            <v>1022414</v>
          </cell>
          <cell r="F472">
            <v>264090</v>
          </cell>
          <cell r="G472">
            <v>288990</v>
          </cell>
          <cell r="H472">
            <v>216030</v>
          </cell>
          <cell r="I472">
            <v>216170</v>
          </cell>
          <cell r="J472">
            <v>168100</v>
          </cell>
          <cell r="K472">
            <v>216260</v>
          </cell>
          <cell r="L472">
            <v>216205</v>
          </cell>
          <cell r="M472">
            <v>119750</v>
          </cell>
        </row>
        <row r="473">
          <cell r="C473" t="str">
            <v>Agrosuper Shanghai1022415</v>
          </cell>
          <cell r="D473" t="str">
            <v>Agrosuper Shanghai</v>
          </cell>
          <cell r="E473" t="str">
            <v>1022415</v>
          </cell>
          <cell r="F473"/>
          <cell r="G473"/>
          <cell r="H473">
            <v>4084</v>
          </cell>
          <cell r="I473"/>
          <cell r="J473"/>
          <cell r="K473"/>
          <cell r="L473"/>
          <cell r="M473"/>
        </row>
        <row r="474">
          <cell r="C474" t="str">
            <v>Agrosuper Shanghai1022416</v>
          </cell>
          <cell r="D474" t="str">
            <v>Agrosuper Shanghai</v>
          </cell>
          <cell r="E474" t="str">
            <v>1022416</v>
          </cell>
          <cell r="F474">
            <v>23686.82</v>
          </cell>
          <cell r="G474"/>
          <cell r="H474"/>
          <cell r="I474"/>
          <cell r="J474"/>
          <cell r="K474"/>
          <cell r="L474"/>
          <cell r="M474"/>
        </row>
        <row r="475">
          <cell r="C475" t="str">
            <v>Agrosuper Shanghai1022417</v>
          </cell>
          <cell r="D475" t="str">
            <v>Agrosuper Shanghai</v>
          </cell>
          <cell r="E475" t="str">
            <v>1022417</v>
          </cell>
          <cell r="F475">
            <v>98000</v>
          </cell>
          <cell r="G475">
            <v>297000</v>
          </cell>
          <cell r="H475">
            <v>171000</v>
          </cell>
          <cell r="I475">
            <v>195000</v>
          </cell>
          <cell r="J475">
            <v>146500</v>
          </cell>
          <cell r="K475">
            <v>119500</v>
          </cell>
          <cell r="L475">
            <v>168980</v>
          </cell>
          <cell r="M475">
            <v>193380</v>
          </cell>
        </row>
        <row r="476">
          <cell r="C476" t="str">
            <v>Agrosuper Shanghai1022418</v>
          </cell>
          <cell r="D476" t="str">
            <v>Agrosuper Shanghai</v>
          </cell>
          <cell r="E476" t="str">
            <v>1022418</v>
          </cell>
          <cell r="F476"/>
          <cell r="G476"/>
          <cell r="H476"/>
          <cell r="I476"/>
          <cell r="J476"/>
          <cell r="K476"/>
          <cell r="L476"/>
          <cell r="M476">
            <v>24000</v>
          </cell>
        </row>
        <row r="477">
          <cell r="C477" t="str">
            <v>Agrosuper Shanghai1022541</v>
          </cell>
          <cell r="D477" t="str">
            <v>Agrosuper Shanghai</v>
          </cell>
          <cell r="E477" t="str">
            <v>1022541</v>
          </cell>
          <cell r="F477">
            <v>24000</v>
          </cell>
          <cell r="G477">
            <v>96156.51</v>
          </cell>
          <cell r="H477">
            <v>72157</v>
          </cell>
          <cell r="I477">
            <v>24000</v>
          </cell>
          <cell r="J477">
            <v>168000</v>
          </cell>
          <cell r="K477">
            <v>167898</v>
          </cell>
          <cell r="L477">
            <v>261907</v>
          </cell>
          <cell r="M477">
            <v>49026</v>
          </cell>
        </row>
        <row r="478">
          <cell r="C478" t="str">
            <v>Agrosuper Shanghai1022568</v>
          </cell>
          <cell r="D478" t="str">
            <v>Agrosuper Shanghai</v>
          </cell>
          <cell r="E478" t="str">
            <v>1022568</v>
          </cell>
          <cell r="F478"/>
          <cell r="G478"/>
          <cell r="H478">
            <v>49015</v>
          </cell>
          <cell r="I478">
            <v>87023</v>
          </cell>
          <cell r="J478">
            <v>48013</v>
          </cell>
          <cell r="K478">
            <v>24017</v>
          </cell>
          <cell r="L478">
            <v>169357</v>
          </cell>
          <cell r="M478"/>
        </row>
        <row r="479">
          <cell r="C479" t="str">
            <v>Agrosuper Shanghai1022636</v>
          </cell>
          <cell r="D479" t="str">
            <v>Agrosuper Shanghai</v>
          </cell>
          <cell r="E479" t="str">
            <v>1022636</v>
          </cell>
          <cell r="F479">
            <v>114105</v>
          </cell>
          <cell r="G479">
            <v>69030</v>
          </cell>
          <cell r="H479">
            <v>45495</v>
          </cell>
          <cell r="I479">
            <v>271815</v>
          </cell>
          <cell r="J479">
            <v>156045</v>
          </cell>
          <cell r="K479">
            <v>181695</v>
          </cell>
          <cell r="L479">
            <v>200940</v>
          </cell>
          <cell r="M479">
            <v>201180</v>
          </cell>
        </row>
        <row r="480">
          <cell r="C480" t="str">
            <v>Agrosuper Shanghai1022637</v>
          </cell>
          <cell r="D480" t="str">
            <v>Agrosuper Shanghai</v>
          </cell>
          <cell r="E480" t="str">
            <v>1022637</v>
          </cell>
          <cell r="F480">
            <v>188145</v>
          </cell>
          <cell r="G480">
            <v>166650</v>
          </cell>
          <cell r="H480">
            <v>120000</v>
          </cell>
          <cell r="I480">
            <v>165870</v>
          </cell>
          <cell r="J480">
            <v>92835</v>
          </cell>
          <cell r="K480">
            <v>114885</v>
          </cell>
          <cell r="L480">
            <v>113205</v>
          </cell>
          <cell r="M480">
            <v>87300</v>
          </cell>
        </row>
        <row r="481">
          <cell r="C481" t="str">
            <v>Agrosuper Shanghai1022639</v>
          </cell>
          <cell r="D481" t="str">
            <v>Agrosuper Shanghai</v>
          </cell>
          <cell r="E481" t="str">
            <v>1022639</v>
          </cell>
          <cell r="F481">
            <v>917300.36300000001</v>
          </cell>
          <cell r="G481">
            <v>517471.42</v>
          </cell>
          <cell r="H481">
            <v>491671</v>
          </cell>
          <cell r="I481">
            <v>913186</v>
          </cell>
          <cell r="J481">
            <v>447424</v>
          </cell>
          <cell r="K481">
            <v>718325</v>
          </cell>
          <cell r="L481">
            <v>1200554</v>
          </cell>
          <cell r="M481">
            <v>884488</v>
          </cell>
        </row>
        <row r="482">
          <cell r="C482" t="str">
            <v>Agrosuper Shanghai1022640</v>
          </cell>
          <cell r="D482" t="str">
            <v>Agrosuper Shanghai</v>
          </cell>
          <cell r="E482" t="str">
            <v>1022640</v>
          </cell>
          <cell r="F482">
            <v>92880.426000000007</v>
          </cell>
          <cell r="G482">
            <v>90424.72</v>
          </cell>
          <cell r="H482">
            <v>44648</v>
          </cell>
          <cell r="I482">
            <v>44416</v>
          </cell>
          <cell r="J482">
            <v>22313</v>
          </cell>
          <cell r="K482">
            <v>67359</v>
          </cell>
          <cell r="L482">
            <v>23382</v>
          </cell>
          <cell r="M482"/>
        </row>
        <row r="483">
          <cell r="C483" t="str">
            <v>Agrosuper Shanghai1022645</v>
          </cell>
          <cell r="D483" t="str">
            <v>Agrosuper Shanghai</v>
          </cell>
          <cell r="E483" t="str">
            <v>1022645</v>
          </cell>
          <cell r="F483"/>
          <cell r="G483"/>
          <cell r="H483"/>
          <cell r="I483"/>
          <cell r="J483">
            <v>25006</v>
          </cell>
          <cell r="K483">
            <v>48808</v>
          </cell>
          <cell r="L483">
            <v>23797</v>
          </cell>
          <cell r="M483"/>
        </row>
        <row r="484">
          <cell r="C484" t="str">
            <v>Agrosuper Shanghai1022646</v>
          </cell>
          <cell r="D484" t="str">
            <v>Agrosuper Shanghai</v>
          </cell>
          <cell r="E484" t="str">
            <v>1022646</v>
          </cell>
          <cell r="F484"/>
          <cell r="G484">
            <v>73176.759999999995</v>
          </cell>
          <cell r="H484">
            <v>24009</v>
          </cell>
          <cell r="I484">
            <v>2380</v>
          </cell>
          <cell r="J484"/>
          <cell r="K484"/>
          <cell r="L484"/>
          <cell r="M484"/>
        </row>
        <row r="485">
          <cell r="C485" t="str">
            <v>Agrosuper Shanghai1022748</v>
          </cell>
          <cell r="D485" t="str">
            <v>Agrosuper Shanghai</v>
          </cell>
          <cell r="E485" t="str">
            <v>1022748</v>
          </cell>
          <cell r="F485">
            <v>219060</v>
          </cell>
          <cell r="G485">
            <v>131890</v>
          </cell>
          <cell r="H485">
            <v>131880</v>
          </cell>
          <cell r="I485">
            <v>204210</v>
          </cell>
          <cell r="J485">
            <v>216430</v>
          </cell>
          <cell r="K485">
            <v>211310</v>
          </cell>
          <cell r="L485">
            <v>240290</v>
          </cell>
          <cell r="M485">
            <v>180280</v>
          </cell>
        </row>
        <row r="486">
          <cell r="C486" t="str">
            <v>Agrosuper Shanghai1022753</v>
          </cell>
          <cell r="D486" t="str">
            <v>Agrosuper Shanghai</v>
          </cell>
          <cell r="E486" t="str">
            <v>1022753</v>
          </cell>
          <cell r="F486">
            <v>72420</v>
          </cell>
          <cell r="G486">
            <v>144860</v>
          </cell>
          <cell r="H486">
            <v>71900</v>
          </cell>
          <cell r="I486">
            <v>23840</v>
          </cell>
          <cell r="J486">
            <v>169460</v>
          </cell>
          <cell r="K486">
            <v>170400</v>
          </cell>
          <cell r="L486">
            <v>239860</v>
          </cell>
          <cell r="M486">
            <v>192760</v>
          </cell>
        </row>
        <row r="487">
          <cell r="C487" t="str">
            <v>Agrosuper Shanghai1022813</v>
          </cell>
          <cell r="D487" t="str">
            <v>Agrosuper Shanghai</v>
          </cell>
          <cell r="E487" t="str">
            <v>1022813</v>
          </cell>
          <cell r="F487"/>
          <cell r="G487"/>
          <cell r="H487"/>
          <cell r="I487"/>
          <cell r="J487"/>
          <cell r="K487"/>
          <cell r="L487"/>
          <cell r="M487"/>
        </row>
        <row r="488">
          <cell r="C488" t="str">
            <v>Agrosuper Shanghai1022832</v>
          </cell>
          <cell r="D488" t="str">
            <v>Agrosuper Shanghai</v>
          </cell>
          <cell r="E488" t="str">
            <v>1022832</v>
          </cell>
          <cell r="F488"/>
          <cell r="G488"/>
          <cell r="H488"/>
          <cell r="I488"/>
          <cell r="J488"/>
          <cell r="K488"/>
          <cell r="L488"/>
          <cell r="M488"/>
        </row>
        <row r="489">
          <cell r="C489" t="str">
            <v>Agrosuper Shanghai1022851</v>
          </cell>
          <cell r="D489" t="str">
            <v>Agrosuper Shanghai</v>
          </cell>
          <cell r="E489" t="str">
            <v>1022851</v>
          </cell>
          <cell r="F489">
            <v>8596</v>
          </cell>
          <cell r="G489"/>
          <cell r="H489">
            <v>8956</v>
          </cell>
          <cell r="I489"/>
          <cell r="J489"/>
          <cell r="K489"/>
          <cell r="L489">
            <v>48000</v>
          </cell>
          <cell r="M489">
            <v>96000</v>
          </cell>
        </row>
        <row r="490">
          <cell r="C490" t="str">
            <v>Agrosuper Shanghai1022856</v>
          </cell>
          <cell r="D490" t="str">
            <v>Agrosuper Shanghai</v>
          </cell>
          <cell r="E490" t="str">
            <v>1022856</v>
          </cell>
          <cell r="F490">
            <v>96000</v>
          </cell>
          <cell r="G490">
            <v>73026.850000000006</v>
          </cell>
          <cell r="H490">
            <v>169027</v>
          </cell>
          <cell r="I490">
            <v>145003</v>
          </cell>
          <cell r="J490">
            <v>195045</v>
          </cell>
          <cell r="K490">
            <v>131045</v>
          </cell>
          <cell r="L490">
            <v>97015</v>
          </cell>
          <cell r="M490">
            <v>120000</v>
          </cell>
        </row>
        <row r="491">
          <cell r="C491" t="str">
            <v>Agrosuper Shanghai1022936</v>
          </cell>
          <cell r="D491" t="str">
            <v>Agrosuper Shanghai</v>
          </cell>
          <cell r="E491" t="str">
            <v>1022936</v>
          </cell>
          <cell r="F491"/>
          <cell r="G491"/>
          <cell r="H491"/>
          <cell r="I491">
            <v>23925</v>
          </cell>
          <cell r="J491">
            <v>23500</v>
          </cell>
          <cell r="K491">
            <v>24220</v>
          </cell>
          <cell r="L491"/>
          <cell r="M491"/>
        </row>
        <row r="492">
          <cell r="C492" t="str">
            <v>Agrosuper Shanghai1022939</v>
          </cell>
          <cell r="D492" t="str">
            <v>Agrosuper Shanghai</v>
          </cell>
          <cell r="E492" t="str">
            <v>1022939</v>
          </cell>
          <cell r="F492">
            <v>24000</v>
          </cell>
          <cell r="G492"/>
          <cell r="H492">
            <v>24080</v>
          </cell>
          <cell r="I492">
            <v>24160</v>
          </cell>
          <cell r="J492"/>
          <cell r="K492"/>
          <cell r="L492"/>
          <cell r="M492"/>
        </row>
        <row r="493">
          <cell r="C493" t="str">
            <v>Agrosuper Shanghai1022940</v>
          </cell>
          <cell r="D493" t="str">
            <v>Agrosuper Shanghai</v>
          </cell>
          <cell r="E493" t="str">
            <v>1022940</v>
          </cell>
          <cell r="F493"/>
          <cell r="G493"/>
          <cell r="H493"/>
          <cell r="I493">
            <v>24170</v>
          </cell>
          <cell r="J493">
            <v>97478</v>
          </cell>
          <cell r="K493">
            <v>39709</v>
          </cell>
          <cell r="L493">
            <v>64022</v>
          </cell>
          <cell r="M493">
            <v>72037</v>
          </cell>
        </row>
        <row r="494">
          <cell r="C494" t="str">
            <v>Agrosuper Shanghai1022941</v>
          </cell>
          <cell r="D494" t="str">
            <v>Agrosuper Shanghai</v>
          </cell>
          <cell r="E494" t="str">
            <v>1022941</v>
          </cell>
          <cell r="F494">
            <v>48011</v>
          </cell>
          <cell r="G494">
            <v>48011</v>
          </cell>
          <cell r="H494">
            <v>24006</v>
          </cell>
          <cell r="I494">
            <v>48093</v>
          </cell>
          <cell r="J494">
            <v>47929</v>
          </cell>
          <cell r="K494">
            <v>23985</v>
          </cell>
          <cell r="L494">
            <v>72427</v>
          </cell>
          <cell r="M494">
            <v>96494</v>
          </cell>
        </row>
        <row r="495">
          <cell r="C495" t="str">
            <v>Agrosuper Shanghai1022943</v>
          </cell>
          <cell r="D495" t="str">
            <v>Agrosuper Shanghai</v>
          </cell>
          <cell r="E495" t="str">
            <v>1022943</v>
          </cell>
          <cell r="F495"/>
          <cell r="G495"/>
          <cell r="H495"/>
          <cell r="I495"/>
          <cell r="J495">
            <v>25003</v>
          </cell>
          <cell r="K495">
            <v>24126</v>
          </cell>
          <cell r="L495"/>
          <cell r="M495"/>
        </row>
        <row r="496">
          <cell r="C496" t="str">
            <v>Agrosuper Shanghai1022945</v>
          </cell>
          <cell r="D496" t="str">
            <v>Agrosuper Shanghai</v>
          </cell>
          <cell r="E496" t="str">
            <v>1022945</v>
          </cell>
          <cell r="F496">
            <v>192020</v>
          </cell>
          <cell r="G496">
            <v>24260</v>
          </cell>
          <cell r="H496">
            <v>72500</v>
          </cell>
          <cell r="I496">
            <v>72260</v>
          </cell>
          <cell r="J496">
            <v>48000</v>
          </cell>
          <cell r="K496">
            <v>48140</v>
          </cell>
          <cell r="L496">
            <v>120040</v>
          </cell>
          <cell r="M496">
            <v>96600</v>
          </cell>
        </row>
        <row r="497">
          <cell r="C497" t="str">
            <v>Agrosuper Shanghai1023034</v>
          </cell>
          <cell r="D497" t="str">
            <v>Agrosuper Shanghai</v>
          </cell>
          <cell r="E497" t="str">
            <v>1023034</v>
          </cell>
          <cell r="F497">
            <v>244000</v>
          </cell>
          <cell r="G497">
            <v>246000</v>
          </cell>
          <cell r="H497">
            <v>124000</v>
          </cell>
          <cell r="I497">
            <v>245000</v>
          </cell>
          <cell r="J497">
            <v>219320</v>
          </cell>
          <cell r="K497">
            <v>144220</v>
          </cell>
          <cell r="L497">
            <v>217320</v>
          </cell>
          <cell r="M497">
            <v>168240</v>
          </cell>
        </row>
        <row r="498">
          <cell r="C498" t="str">
            <v>Agrosuper Shanghai1023035</v>
          </cell>
          <cell r="D498" t="str">
            <v>Agrosuper Shanghai</v>
          </cell>
          <cell r="E498" t="str">
            <v>1023035</v>
          </cell>
          <cell r="F498">
            <v>24014.59</v>
          </cell>
          <cell r="G498">
            <v>23378.080000000002</v>
          </cell>
          <cell r="H498"/>
          <cell r="I498"/>
          <cell r="J498"/>
          <cell r="K498"/>
          <cell r="L498"/>
          <cell r="M498">
            <v>24000</v>
          </cell>
        </row>
        <row r="499">
          <cell r="C499" t="str">
            <v>Agrosuper Shanghai1023047</v>
          </cell>
          <cell r="D499" t="str">
            <v>Agrosuper Shanghai</v>
          </cell>
          <cell r="E499" t="str">
            <v>1023047</v>
          </cell>
          <cell r="F499">
            <v>8448.6669999999995</v>
          </cell>
          <cell r="G499">
            <v>20441.37</v>
          </cell>
          <cell r="H499"/>
          <cell r="I499"/>
          <cell r="J499"/>
          <cell r="K499"/>
          <cell r="L499"/>
          <cell r="M499"/>
        </row>
        <row r="500">
          <cell r="C500" t="str">
            <v>Agrosuper Shanghai1023093</v>
          </cell>
          <cell r="D500" t="str">
            <v>Agrosuper Shanghai</v>
          </cell>
          <cell r="E500" t="str">
            <v>1023093</v>
          </cell>
          <cell r="F500">
            <v>12000</v>
          </cell>
          <cell r="G500">
            <v>23860</v>
          </cell>
          <cell r="H500">
            <v>12000</v>
          </cell>
          <cell r="I500">
            <v>60000</v>
          </cell>
          <cell r="J500">
            <v>22900</v>
          </cell>
          <cell r="K500">
            <v>83180</v>
          </cell>
          <cell r="L500">
            <v>90500</v>
          </cell>
          <cell r="M500"/>
        </row>
        <row r="501">
          <cell r="C501" t="str">
            <v>Agrosuper Shanghai1023110</v>
          </cell>
          <cell r="D501" t="str">
            <v>Agrosuper Shanghai</v>
          </cell>
          <cell r="E501" t="str">
            <v>1023110</v>
          </cell>
          <cell r="F501"/>
          <cell r="G501"/>
          <cell r="H501"/>
          <cell r="I501"/>
          <cell r="J501"/>
          <cell r="K501">
            <v>48000</v>
          </cell>
          <cell r="L501">
            <v>24007</v>
          </cell>
          <cell r="M501">
            <v>73326</v>
          </cell>
        </row>
        <row r="502">
          <cell r="C502" t="str">
            <v>Agrosuper Shanghai1023111</v>
          </cell>
          <cell r="D502" t="str">
            <v>Agrosuper Shanghai</v>
          </cell>
          <cell r="E502" t="str">
            <v>1023111</v>
          </cell>
          <cell r="F502">
            <v>48000</v>
          </cell>
          <cell r="G502"/>
          <cell r="H502">
            <v>96000</v>
          </cell>
          <cell r="I502"/>
          <cell r="J502">
            <v>24000</v>
          </cell>
          <cell r="K502"/>
          <cell r="L502"/>
          <cell r="M502"/>
        </row>
        <row r="503">
          <cell r="C503" t="str">
            <v>Agrosuper Shanghai1023126</v>
          </cell>
          <cell r="D503" t="str">
            <v>Agrosuper Shanghai</v>
          </cell>
          <cell r="E503" t="str">
            <v>1023126</v>
          </cell>
          <cell r="F503">
            <v>24000</v>
          </cell>
          <cell r="G503"/>
          <cell r="H503"/>
          <cell r="I503"/>
          <cell r="J503"/>
          <cell r="K503"/>
          <cell r="L503"/>
          <cell r="M503"/>
        </row>
        <row r="504">
          <cell r="C504" t="str">
            <v>Agrosuper Shanghai1023131</v>
          </cell>
          <cell r="D504" t="str">
            <v>Agrosuper Shanghai</v>
          </cell>
          <cell r="E504" t="str">
            <v>1023131</v>
          </cell>
          <cell r="F504">
            <v>4224</v>
          </cell>
          <cell r="G504"/>
          <cell r="H504">
            <v>4200</v>
          </cell>
          <cell r="I504"/>
          <cell r="J504"/>
          <cell r="K504"/>
          <cell r="L504"/>
          <cell r="M504"/>
        </row>
        <row r="505">
          <cell r="C505" t="str">
            <v>Agrosuper Shanghai1023132</v>
          </cell>
          <cell r="D505" t="str">
            <v>Agrosuper Shanghai</v>
          </cell>
          <cell r="E505" t="str">
            <v>1023132</v>
          </cell>
          <cell r="F505">
            <v>24014.97</v>
          </cell>
          <cell r="G505"/>
          <cell r="H505"/>
          <cell r="I505"/>
          <cell r="J505"/>
          <cell r="K505"/>
          <cell r="L505"/>
          <cell r="M505"/>
        </row>
        <row r="506">
          <cell r="C506" t="str">
            <v>Agrosuper Shanghai1023141</v>
          </cell>
          <cell r="D506" t="str">
            <v>Agrosuper Shanghai</v>
          </cell>
          <cell r="E506" t="str">
            <v>1023141</v>
          </cell>
          <cell r="F506"/>
          <cell r="G506">
            <v>5509</v>
          </cell>
          <cell r="H506"/>
          <cell r="I506"/>
          <cell r="J506"/>
          <cell r="K506"/>
          <cell r="L506"/>
          <cell r="M506"/>
        </row>
        <row r="507">
          <cell r="C507" t="str">
            <v>Agrosuper Shanghai1023157</v>
          </cell>
          <cell r="D507" t="str">
            <v>Agrosuper Shanghai</v>
          </cell>
          <cell r="E507" t="str">
            <v>1023157</v>
          </cell>
          <cell r="F507"/>
          <cell r="G507"/>
          <cell r="H507"/>
          <cell r="I507"/>
          <cell r="J507"/>
          <cell r="K507"/>
          <cell r="L507"/>
          <cell r="M507"/>
        </row>
        <row r="508">
          <cell r="C508" t="str">
            <v>Agrosuper Shanghai1023291</v>
          </cell>
          <cell r="D508" t="str">
            <v>Agrosuper Shanghai</v>
          </cell>
          <cell r="E508" t="str">
            <v>1023291</v>
          </cell>
          <cell r="F508"/>
          <cell r="G508"/>
          <cell r="H508"/>
          <cell r="I508"/>
          <cell r="J508"/>
          <cell r="K508"/>
          <cell r="L508"/>
          <cell r="M508"/>
        </row>
        <row r="509">
          <cell r="C509" t="str">
            <v>Agrosuper Shanghai1023306</v>
          </cell>
          <cell r="D509" t="str">
            <v>Agrosuper Shanghai</v>
          </cell>
          <cell r="E509" t="str">
            <v>1023306</v>
          </cell>
          <cell r="F509">
            <v>168000</v>
          </cell>
          <cell r="G509">
            <v>120000</v>
          </cell>
          <cell r="H509">
            <v>144000</v>
          </cell>
          <cell r="I509">
            <v>264000</v>
          </cell>
          <cell r="J509">
            <v>262960</v>
          </cell>
          <cell r="K509">
            <v>191340</v>
          </cell>
          <cell r="L509">
            <v>312160</v>
          </cell>
          <cell r="M509">
            <v>312020</v>
          </cell>
        </row>
        <row r="510">
          <cell r="C510" t="str">
            <v>Agrosuper Shanghai1023362</v>
          </cell>
          <cell r="D510" t="str">
            <v>Agrosuper Shanghai</v>
          </cell>
          <cell r="E510" t="str">
            <v>1023362</v>
          </cell>
          <cell r="F510"/>
          <cell r="G510"/>
          <cell r="H510"/>
          <cell r="I510"/>
          <cell r="J510"/>
          <cell r="K510">
            <v>7761</v>
          </cell>
          <cell r="L510"/>
          <cell r="M510"/>
        </row>
        <row r="511">
          <cell r="C511" t="str">
            <v>Agrosuper Shanghai1023363</v>
          </cell>
          <cell r="D511" t="str">
            <v>Agrosuper Shanghai</v>
          </cell>
          <cell r="E511" t="str">
            <v>1023363</v>
          </cell>
          <cell r="F511"/>
          <cell r="G511"/>
          <cell r="H511"/>
          <cell r="I511"/>
          <cell r="J511"/>
          <cell r="K511">
            <v>6843</v>
          </cell>
          <cell r="L511"/>
          <cell r="M511"/>
        </row>
        <row r="512">
          <cell r="C512" t="str">
            <v>Agrosuper Shanghai1023365</v>
          </cell>
          <cell r="D512" t="str">
            <v>Agrosuper Shanghai</v>
          </cell>
          <cell r="E512" t="str">
            <v>1023365</v>
          </cell>
          <cell r="F512"/>
          <cell r="G512"/>
          <cell r="H512"/>
          <cell r="I512"/>
          <cell r="J512"/>
          <cell r="K512">
            <v>313</v>
          </cell>
          <cell r="L512"/>
          <cell r="M512">
            <v>313</v>
          </cell>
        </row>
        <row r="513">
          <cell r="C513" t="str">
            <v>Agrosuper Shanghai1023368</v>
          </cell>
          <cell r="D513" t="str">
            <v>Agrosuper Shanghai</v>
          </cell>
          <cell r="E513" t="str">
            <v>1023368</v>
          </cell>
          <cell r="F513"/>
          <cell r="G513"/>
          <cell r="H513"/>
          <cell r="I513"/>
          <cell r="J513"/>
          <cell r="K513">
            <v>7122</v>
          </cell>
          <cell r="L513"/>
          <cell r="M513"/>
        </row>
        <row r="514">
          <cell r="C514" t="str">
            <v>Agrosuper Shanghai1030388</v>
          </cell>
          <cell r="D514" t="str">
            <v>Agrosuper Shanghai</v>
          </cell>
          <cell r="E514" t="str">
            <v>1030388</v>
          </cell>
          <cell r="F514"/>
          <cell r="G514"/>
          <cell r="H514"/>
          <cell r="I514"/>
          <cell r="J514"/>
          <cell r="K514"/>
          <cell r="L514">
            <v>24000</v>
          </cell>
          <cell r="M514">
            <v>24000</v>
          </cell>
        </row>
        <row r="515">
          <cell r="C515" t="str">
            <v>Agrosuper Shanghai1030419</v>
          </cell>
          <cell r="D515" t="str">
            <v>Agrosuper Shanghai</v>
          </cell>
          <cell r="E515" t="str">
            <v>1030419</v>
          </cell>
          <cell r="F515"/>
          <cell r="G515"/>
          <cell r="H515"/>
          <cell r="I515"/>
          <cell r="J515"/>
          <cell r="K515"/>
          <cell r="L515"/>
          <cell r="M515">
            <v>24000</v>
          </cell>
        </row>
        <row r="516">
          <cell r="C516" t="str">
            <v>Agrosuper Shanghai1030506</v>
          </cell>
          <cell r="D516" t="str">
            <v>Agrosuper Shanghai</v>
          </cell>
          <cell r="E516" t="str">
            <v>1030506</v>
          </cell>
          <cell r="F516"/>
          <cell r="G516">
            <v>48000</v>
          </cell>
          <cell r="H516">
            <v>24000</v>
          </cell>
          <cell r="I516"/>
          <cell r="J516"/>
          <cell r="K516"/>
          <cell r="L516"/>
          <cell r="M516"/>
        </row>
        <row r="517">
          <cell r="C517" t="str">
            <v>Agrosuper Shanghai1030525</v>
          </cell>
          <cell r="D517" t="str">
            <v>Agrosuper Shanghai</v>
          </cell>
          <cell r="E517" t="str">
            <v>1030525</v>
          </cell>
          <cell r="F517"/>
          <cell r="G517"/>
          <cell r="H517"/>
          <cell r="I517"/>
          <cell r="J517"/>
          <cell r="K517"/>
          <cell r="L517">
            <v>24000</v>
          </cell>
          <cell r="M517">
            <v>24000</v>
          </cell>
        </row>
        <row r="518">
          <cell r="C518" t="str">
            <v>Agrosuper Shanghai1030566</v>
          </cell>
          <cell r="D518" t="str">
            <v>Agrosuper Shanghai</v>
          </cell>
          <cell r="E518" t="str">
            <v>1030566</v>
          </cell>
          <cell r="F518"/>
          <cell r="G518"/>
          <cell r="H518">
            <v>24000</v>
          </cell>
          <cell r="I518"/>
          <cell r="J518"/>
          <cell r="K518">
            <v>24000</v>
          </cell>
          <cell r="L518">
            <v>72000</v>
          </cell>
          <cell r="M518">
            <v>24000</v>
          </cell>
        </row>
        <row r="519">
          <cell r="C519" t="str">
            <v>Agrosuper Shanghai1030683</v>
          </cell>
          <cell r="D519" t="str">
            <v>Agrosuper Shanghai</v>
          </cell>
          <cell r="E519" t="str">
            <v>1030683</v>
          </cell>
          <cell r="F519">
            <v>144000</v>
          </cell>
          <cell r="G519">
            <v>192000</v>
          </cell>
          <cell r="H519">
            <v>120000</v>
          </cell>
          <cell r="I519">
            <v>240000</v>
          </cell>
          <cell r="J519">
            <v>240000</v>
          </cell>
          <cell r="K519">
            <v>240000</v>
          </cell>
          <cell r="L519">
            <v>288000</v>
          </cell>
          <cell r="M519">
            <v>407820</v>
          </cell>
        </row>
        <row r="520">
          <cell r="C520" t="str">
            <v>Agrosuper Shanghai1030684</v>
          </cell>
          <cell r="D520" t="str">
            <v>Agrosuper Shanghai</v>
          </cell>
          <cell r="E520" t="str">
            <v>1030684</v>
          </cell>
          <cell r="F520">
            <v>24000</v>
          </cell>
          <cell r="G520"/>
          <cell r="H520">
            <v>24000</v>
          </cell>
          <cell r="I520">
            <v>24000</v>
          </cell>
          <cell r="J520">
            <v>24000</v>
          </cell>
          <cell r="K520">
            <v>48000</v>
          </cell>
          <cell r="L520">
            <v>48000</v>
          </cell>
          <cell r="M520"/>
        </row>
        <row r="521">
          <cell r="C521" t="str">
            <v>Agrosuper Shanghai1030685</v>
          </cell>
          <cell r="D521" t="str">
            <v>Agrosuper Shanghai</v>
          </cell>
          <cell r="E521" t="str">
            <v>1030685</v>
          </cell>
          <cell r="F521">
            <v>120000</v>
          </cell>
          <cell r="G521">
            <v>120000</v>
          </cell>
          <cell r="H521">
            <v>48000</v>
          </cell>
          <cell r="I521">
            <v>72000</v>
          </cell>
          <cell r="J521">
            <v>72000</v>
          </cell>
          <cell r="K521">
            <v>72000</v>
          </cell>
          <cell r="L521">
            <v>192000</v>
          </cell>
          <cell r="M521">
            <v>168000</v>
          </cell>
        </row>
        <row r="522">
          <cell r="C522" t="str">
            <v>Agrosuper Shanghai1030686</v>
          </cell>
          <cell r="D522" t="str">
            <v>Agrosuper Shanghai</v>
          </cell>
          <cell r="E522" t="str">
            <v>1030686</v>
          </cell>
          <cell r="F522">
            <v>96000</v>
          </cell>
          <cell r="G522">
            <v>120000</v>
          </cell>
          <cell r="H522">
            <v>96000</v>
          </cell>
          <cell r="I522">
            <v>72000</v>
          </cell>
          <cell r="J522">
            <v>72000</v>
          </cell>
          <cell r="K522">
            <v>72000</v>
          </cell>
          <cell r="L522">
            <v>168000</v>
          </cell>
          <cell r="M522">
            <v>168000</v>
          </cell>
        </row>
        <row r="523">
          <cell r="C523" t="str">
            <v>Agrosuper Shanghai1030708</v>
          </cell>
          <cell r="D523" t="str">
            <v>Agrosuper Shanghai</v>
          </cell>
          <cell r="E523" t="str">
            <v>1030708</v>
          </cell>
          <cell r="F523"/>
          <cell r="G523"/>
          <cell r="H523"/>
          <cell r="I523"/>
          <cell r="J523"/>
          <cell r="K523"/>
          <cell r="L523"/>
          <cell r="M523"/>
        </row>
        <row r="524">
          <cell r="C524" t="str">
            <v>Agrosuper Shanghai1030709</v>
          </cell>
          <cell r="D524" t="str">
            <v>Agrosuper Shanghai</v>
          </cell>
          <cell r="E524" t="str">
            <v>1030709</v>
          </cell>
          <cell r="F524">
            <v>109519.48</v>
          </cell>
          <cell r="G524">
            <v>27762.89</v>
          </cell>
          <cell r="H524">
            <v>83181</v>
          </cell>
          <cell r="I524"/>
          <cell r="J524"/>
          <cell r="K524"/>
          <cell r="L524"/>
          <cell r="M524"/>
        </row>
        <row r="525">
          <cell r="C525" t="str">
            <v>Andes Asia1012326</v>
          </cell>
          <cell r="D525" t="str">
            <v>Andes Asia</v>
          </cell>
          <cell r="E525" t="str">
            <v>1012326</v>
          </cell>
          <cell r="F525">
            <v>1800</v>
          </cell>
          <cell r="G525">
            <v>1800</v>
          </cell>
          <cell r="H525">
            <v>1800</v>
          </cell>
          <cell r="I525"/>
          <cell r="J525">
            <v>3000</v>
          </cell>
          <cell r="K525">
            <v>2900</v>
          </cell>
          <cell r="L525">
            <v>11000</v>
          </cell>
          <cell r="M525">
            <v>7720</v>
          </cell>
        </row>
        <row r="526">
          <cell r="C526" t="str">
            <v>Andes Asia1021921</v>
          </cell>
          <cell r="D526" t="str">
            <v>Andes Asia</v>
          </cell>
          <cell r="E526" t="str">
            <v>1021921</v>
          </cell>
          <cell r="F526">
            <v>1000</v>
          </cell>
          <cell r="G526">
            <v>500</v>
          </cell>
          <cell r="H526"/>
          <cell r="I526"/>
          <cell r="J526"/>
          <cell r="K526"/>
          <cell r="L526">
            <v>1000</v>
          </cell>
          <cell r="M526">
            <v>1000</v>
          </cell>
        </row>
        <row r="527">
          <cell r="C527" t="str">
            <v>Andes Asia1021922</v>
          </cell>
          <cell r="D527" t="str">
            <v>Andes Asia</v>
          </cell>
          <cell r="E527" t="str">
            <v>1021922</v>
          </cell>
          <cell r="F527">
            <v>1000</v>
          </cell>
          <cell r="G527"/>
          <cell r="H527"/>
          <cell r="I527">
            <v>500</v>
          </cell>
          <cell r="J527">
            <v>250</v>
          </cell>
          <cell r="K527"/>
          <cell r="L527"/>
          <cell r="M527">
            <v>1000</v>
          </cell>
        </row>
        <row r="528">
          <cell r="C528" t="str">
            <v>Andes Asia1021924</v>
          </cell>
          <cell r="D528" t="str">
            <v>Andes Asia</v>
          </cell>
          <cell r="E528" t="str">
            <v>1021924</v>
          </cell>
          <cell r="F528">
            <v>5500</v>
          </cell>
          <cell r="G528">
            <v>7500</v>
          </cell>
          <cell r="H528">
            <v>11000</v>
          </cell>
          <cell r="I528">
            <v>12000</v>
          </cell>
          <cell r="J528">
            <v>32000</v>
          </cell>
          <cell r="K528">
            <v>23500</v>
          </cell>
          <cell r="L528">
            <v>20000</v>
          </cell>
          <cell r="M528">
            <v>17000</v>
          </cell>
        </row>
        <row r="529">
          <cell r="C529" t="str">
            <v>Andes Asia1021925</v>
          </cell>
          <cell r="D529" t="str">
            <v>Andes Asia</v>
          </cell>
          <cell r="E529" t="str">
            <v>1021925</v>
          </cell>
          <cell r="F529">
            <v>23500</v>
          </cell>
          <cell r="G529">
            <v>23500</v>
          </cell>
          <cell r="H529">
            <v>28500</v>
          </cell>
          <cell r="I529">
            <v>28500</v>
          </cell>
          <cell r="J529">
            <v>29000</v>
          </cell>
          <cell r="K529">
            <v>25100</v>
          </cell>
          <cell r="L529">
            <v>18000</v>
          </cell>
          <cell r="M529">
            <v>15000</v>
          </cell>
        </row>
        <row r="530">
          <cell r="C530" t="str">
            <v>Andes Asia1021929</v>
          </cell>
          <cell r="D530" t="str">
            <v>Andes Asia</v>
          </cell>
          <cell r="E530" t="str">
            <v>1021929</v>
          </cell>
          <cell r="F530">
            <v>5000</v>
          </cell>
          <cell r="G530">
            <v>3500</v>
          </cell>
          <cell r="H530">
            <v>3500</v>
          </cell>
          <cell r="I530">
            <v>3500</v>
          </cell>
          <cell r="J530">
            <v>1500</v>
          </cell>
          <cell r="K530">
            <v>1000</v>
          </cell>
          <cell r="L530"/>
          <cell r="M530"/>
        </row>
        <row r="531">
          <cell r="C531" t="str">
            <v>Andes Asia1021931</v>
          </cell>
          <cell r="D531" t="str">
            <v>Andes Asia</v>
          </cell>
          <cell r="E531" t="str">
            <v>1021931</v>
          </cell>
          <cell r="F531">
            <v>20000</v>
          </cell>
          <cell r="G531">
            <v>20000</v>
          </cell>
          <cell r="H531">
            <v>17000</v>
          </cell>
          <cell r="I531">
            <v>19000</v>
          </cell>
          <cell r="J531">
            <v>17000</v>
          </cell>
          <cell r="K531">
            <v>11000</v>
          </cell>
          <cell r="L531">
            <v>18000</v>
          </cell>
          <cell r="M531">
            <v>16000</v>
          </cell>
        </row>
        <row r="532">
          <cell r="C532" t="str">
            <v>Andes Asia1021936</v>
          </cell>
          <cell r="D532" t="str">
            <v>Andes Asia</v>
          </cell>
          <cell r="E532" t="str">
            <v>1021936</v>
          </cell>
          <cell r="F532">
            <v>300000</v>
          </cell>
          <cell r="G532">
            <v>300000</v>
          </cell>
          <cell r="H532">
            <v>300000</v>
          </cell>
          <cell r="I532">
            <v>344000</v>
          </cell>
          <cell r="J532">
            <v>380000</v>
          </cell>
          <cell r="K532">
            <v>408000</v>
          </cell>
          <cell r="L532">
            <v>340000</v>
          </cell>
          <cell r="M532">
            <v>360000</v>
          </cell>
        </row>
        <row r="533">
          <cell r="C533" t="str">
            <v>Andes Asia1021952</v>
          </cell>
          <cell r="D533" t="str">
            <v>Andes Asia</v>
          </cell>
          <cell r="E533" t="str">
            <v>1021952</v>
          </cell>
          <cell r="F533">
            <v>1000</v>
          </cell>
          <cell r="G533">
            <v>1000</v>
          </cell>
          <cell r="H533">
            <v>1000</v>
          </cell>
          <cell r="I533">
            <v>1000</v>
          </cell>
          <cell r="J533">
            <v>2000</v>
          </cell>
          <cell r="K533">
            <v>1000</v>
          </cell>
          <cell r="L533">
            <v>2000</v>
          </cell>
          <cell r="M533">
            <v>3000</v>
          </cell>
        </row>
        <row r="534">
          <cell r="C534" t="str">
            <v>Andes Asia1021987</v>
          </cell>
          <cell r="D534" t="str">
            <v>Andes Asia</v>
          </cell>
          <cell r="E534" t="str">
            <v>1021987</v>
          </cell>
          <cell r="F534">
            <v>8500</v>
          </cell>
          <cell r="G534">
            <v>10000</v>
          </cell>
          <cell r="H534">
            <v>9000</v>
          </cell>
          <cell r="I534">
            <v>8000</v>
          </cell>
          <cell r="J534"/>
          <cell r="K534"/>
          <cell r="L534">
            <v>7000</v>
          </cell>
          <cell r="M534">
            <v>5000</v>
          </cell>
        </row>
        <row r="535">
          <cell r="C535" t="str">
            <v>Andes Asia1022101</v>
          </cell>
          <cell r="D535" t="str">
            <v>Andes Asia</v>
          </cell>
          <cell r="E535" t="str">
            <v>1022101</v>
          </cell>
          <cell r="F535"/>
          <cell r="G535"/>
          <cell r="H535"/>
          <cell r="I535">
            <v>1000</v>
          </cell>
          <cell r="J535">
            <v>1000</v>
          </cell>
          <cell r="K535">
            <v>1500</v>
          </cell>
          <cell r="L535">
            <v>2000</v>
          </cell>
          <cell r="M535">
            <v>1000</v>
          </cell>
        </row>
        <row r="536">
          <cell r="C536" t="str">
            <v>Andes Asia1022128</v>
          </cell>
          <cell r="D536" t="str">
            <v>Andes Asia</v>
          </cell>
          <cell r="E536" t="str">
            <v>1022128</v>
          </cell>
          <cell r="F536"/>
          <cell r="G536"/>
          <cell r="H536"/>
          <cell r="I536">
            <v>10000</v>
          </cell>
          <cell r="J536">
            <v>10000</v>
          </cell>
          <cell r="K536">
            <v>12000</v>
          </cell>
          <cell r="L536">
            <v>5000</v>
          </cell>
          <cell r="M536">
            <v>10000</v>
          </cell>
        </row>
        <row r="537">
          <cell r="C537" t="str">
            <v>Andes Asia1022141</v>
          </cell>
          <cell r="D537" t="str">
            <v>Andes Asia</v>
          </cell>
          <cell r="E537" t="str">
            <v>1022141</v>
          </cell>
          <cell r="F537">
            <v>23000</v>
          </cell>
          <cell r="G537">
            <v>6000</v>
          </cell>
          <cell r="H537">
            <v>11000</v>
          </cell>
          <cell r="I537">
            <v>41000</v>
          </cell>
          <cell r="J537">
            <v>71000</v>
          </cell>
          <cell r="K537">
            <v>47200</v>
          </cell>
          <cell r="L537">
            <v>26100</v>
          </cell>
          <cell r="M537">
            <v>29100</v>
          </cell>
        </row>
        <row r="538">
          <cell r="C538" t="str">
            <v>Andes Asia1022142</v>
          </cell>
          <cell r="D538" t="str">
            <v>Andes Asia</v>
          </cell>
          <cell r="E538" t="str">
            <v>1022142</v>
          </cell>
          <cell r="F538">
            <v>5000</v>
          </cell>
          <cell r="G538">
            <v>5000</v>
          </cell>
          <cell r="H538">
            <v>5000</v>
          </cell>
          <cell r="I538">
            <v>10000</v>
          </cell>
          <cell r="J538">
            <v>10000</v>
          </cell>
          <cell r="K538">
            <v>20200</v>
          </cell>
          <cell r="L538">
            <v>21600</v>
          </cell>
          <cell r="M538">
            <v>16100</v>
          </cell>
        </row>
        <row r="539">
          <cell r="C539" t="str">
            <v>Andes Asia1022293</v>
          </cell>
          <cell r="D539" t="str">
            <v>Andes Asia</v>
          </cell>
          <cell r="E539" t="str">
            <v>1022293</v>
          </cell>
          <cell r="F539">
            <v>6000</v>
          </cell>
          <cell r="G539">
            <v>6000</v>
          </cell>
          <cell r="H539">
            <v>7000</v>
          </cell>
          <cell r="I539">
            <v>8000</v>
          </cell>
          <cell r="J539">
            <v>7000</v>
          </cell>
          <cell r="K539">
            <v>3500</v>
          </cell>
          <cell r="L539">
            <v>2000</v>
          </cell>
          <cell r="M539">
            <v>4000</v>
          </cell>
        </row>
        <row r="540">
          <cell r="C540" t="str">
            <v>Andes Asia1022398</v>
          </cell>
          <cell r="D540" t="str">
            <v>Andes Asia</v>
          </cell>
          <cell r="E540" t="str">
            <v>1022398</v>
          </cell>
          <cell r="F540">
            <v>12000</v>
          </cell>
          <cell r="G540">
            <v>12000</v>
          </cell>
          <cell r="H540">
            <v>12000</v>
          </cell>
          <cell r="I540">
            <v>15000</v>
          </cell>
          <cell r="J540">
            <v>12000</v>
          </cell>
          <cell r="K540">
            <v>17200</v>
          </cell>
          <cell r="L540">
            <v>35100</v>
          </cell>
          <cell r="M540">
            <v>44100</v>
          </cell>
        </row>
        <row r="541">
          <cell r="C541" t="str">
            <v>Andes Asia1022413</v>
          </cell>
          <cell r="D541" t="str">
            <v>Andes Asia</v>
          </cell>
          <cell r="E541" t="str">
            <v>1022413</v>
          </cell>
          <cell r="F541"/>
          <cell r="G541"/>
          <cell r="H541"/>
          <cell r="I541">
            <v>2000</v>
          </cell>
          <cell r="J541">
            <v>4000</v>
          </cell>
          <cell r="K541">
            <v>5000</v>
          </cell>
          <cell r="L541">
            <v>5000</v>
          </cell>
          <cell r="M541">
            <v>6000</v>
          </cell>
        </row>
        <row r="542">
          <cell r="C542" t="str">
            <v>Andes Asia1022515</v>
          </cell>
          <cell r="D542" t="str">
            <v>Andes Asia</v>
          </cell>
          <cell r="E542" t="str">
            <v>1022515</v>
          </cell>
          <cell r="F542">
            <v>17000</v>
          </cell>
          <cell r="G542">
            <v>17000</v>
          </cell>
          <cell r="H542">
            <v>19000</v>
          </cell>
          <cell r="I542">
            <v>21000</v>
          </cell>
          <cell r="J542">
            <v>18000</v>
          </cell>
          <cell r="K542">
            <v>21000</v>
          </cell>
          <cell r="L542">
            <v>19000</v>
          </cell>
          <cell r="M542">
            <v>20000</v>
          </cell>
        </row>
        <row r="543">
          <cell r="C543" t="str">
            <v>Andes Asia1022550</v>
          </cell>
          <cell r="D543" t="str">
            <v>Andes Asia</v>
          </cell>
          <cell r="E543" t="str">
            <v>1022550</v>
          </cell>
          <cell r="F543">
            <v>24000</v>
          </cell>
          <cell r="G543">
            <v>24000</v>
          </cell>
          <cell r="H543">
            <v>24000</v>
          </cell>
          <cell r="I543">
            <v>24000</v>
          </cell>
          <cell r="J543">
            <v>24000</v>
          </cell>
          <cell r="K543"/>
          <cell r="L543"/>
          <cell r="M543"/>
        </row>
        <row r="544">
          <cell r="C544" t="str">
            <v>Andes Asia1022561</v>
          </cell>
          <cell r="D544" t="str">
            <v>Andes Asia</v>
          </cell>
          <cell r="E544" t="str">
            <v>1022561</v>
          </cell>
          <cell r="F544">
            <v>1000</v>
          </cell>
          <cell r="G544">
            <v>1000</v>
          </cell>
          <cell r="H544">
            <v>2000</v>
          </cell>
          <cell r="I544">
            <v>2000</v>
          </cell>
          <cell r="J544">
            <v>2000</v>
          </cell>
          <cell r="K544">
            <v>7000</v>
          </cell>
          <cell r="L544">
            <v>4000</v>
          </cell>
          <cell r="M544"/>
        </row>
        <row r="545">
          <cell r="C545" t="str">
            <v>Andes Asia1022570</v>
          </cell>
          <cell r="D545" t="str">
            <v>Andes Asia</v>
          </cell>
          <cell r="E545" t="str">
            <v>1022570</v>
          </cell>
          <cell r="F545"/>
          <cell r="G545"/>
          <cell r="H545">
            <v>2000</v>
          </cell>
          <cell r="I545">
            <v>2000</v>
          </cell>
          <cell r="J545">
            <v>2000</v>
          </cell>
          <cell r="K545"/>
          <cell r="L545">
            <v>2000</v>
          </cell>
          <cell r="M545">
            <v>1000</v>
          </cell>
        </row>
        <row r="546">
          <cell r="C546" t="str">
            <v>Andes Asia1022621</v>
          </cell>
          <cell r="D546" t="str">
            <v>Andes Asia</v>
          </cell>
          <cell r="E546" t="str">
            <v>1022621</v>
          </cell>
          <cell r="F546">
            <v>21000</v>
          </cell>
          <cell r="G546">
            <v>21000</v>
          </cell>
          <cell r="H546">
            <v>26000</v>
          </cell>
          <cell r="I546">
            <v>25000</v>
          </cell>
          <cell r="J546">
            <v>24000</v>
          </cell>
          <cell r="K546">
            <v>30000</v>
          </cell>
          <cell r="L546">
            <v>16000</v>
          </cell>
          <cell r="M546">
            <v>10000</v>
          </cell>
        </row>
        <row r="547">
          <cell r="C547" t="str">
            <v>Andes Asia1022750</v>
          </cell>
          <cell r="D547" t="str">
            <v>Andes Asia</v>
          </cell>
          <cell r="E547" t="str">
            <v>1022750</v>
          </cell>
          <cell r="F547">
            <v>24000</v>
          </cell>
          <cell r="G547">
            <v>24000</v>
          </cell>
          <cell r="H547">
            <v>24000</v>
          </cell>
          <cell r="I547">
            <v>24000</v>
          </cell>
          <cell r="J547">
            <v>24000</v>
          </cell>
          <cell r="K547">
            <v>24000</v>
          </cell>
          <cell r="L547">
            <v>20000</v>
          </cell>
          <cell r="M547">
            <v>14000</v>
          </cell>
        </row>
        <row r="548">
          <cell r="C548" t="str">
            <v>Andes Asia1022751</v>
          </cell>
          <cell r="D548" t="str">
            <v>Andes Asia</v>
          </cell>
          <cell r="E548" t="str">
            <v>1022751</v>
          </cell>
          <cell r="F548">
            <v>20000</v>
          </cell>
          <cell r="G548">
            <v>14000</v>
          </cell>
          <cell r="H548">
            <v>18000</v>
          </cell>
          <cell r="I548">
            <v>12000</v>
          </cell>
          <cell r="J548">
            <v>12000</v>
          </cell>
          <cell r="K548">
            <v>12000</v>
          </cell>
          <cell r="L548">
            <v>12000</v>
          </cell>
          <cell r="M548">
            <v>12000</v>
          </cell>
        </row>
        <row r="549">
          <cell r="C549" t="str">
            <v>Andes Asia1022767</v>
          </cell>
          <cell r="D549" t="str">
            <v>Andes Asia</v>
          </cell>
          <cell r="E549" t="str">
            <v>1022767</v>
          </cell>
          <cell r="F549">
            <v>24000</v>
          </cell>
          <cell r="G549"/>
          <cell r="H549">
            <v>24000</v>
          </cell>
          <cell r="I549">
            <v>24000</v>
          </cell>
          <cell r="J549">
            <v>48000</v>
          </cell>
          <cell r="K549">
            <v>48000</v>
          </cell>
          <cell r="L549">
            <v>24000</v>
          </cell>
          <cell r="M549"/>
        </row>
        <row r="550">
          <cell r="C550" t="str">
            <v>Andes Asia1022817</v>
          </cell>
          <cell r="D550" t="str">
            <v>Andes Asia</v>
          </cell>
          <cell r="E550" t="str">
            <v>1022817</v>
          </cell>
          <cell r="F550"/>
          <cell r="G550"/>
          <cell r="H550"/>
          <cell r="I550"/>
          <cell r="J550"/>
          <cell r="K550"/>
          <cell r="L550"/>
          <cell r="M550"/>
        </row>
        <row r="551">
          <cell r="C551" t="str">
            <v>Andes Asia1022841</v>
          </cell>
          <cell r="D551" t="str">
            <v>Andes Asia</v>
          </cell>
          <cell r="E551" t="str">
            <v>1022841</v>
          </cell>
          <cell r="F551"/>
          <cell r="G551"/>
          <cell r="H551"/>
          <cell r="I551"/>
          <cell r="J551"/>
          <cell r="K551"/>
          <cell r="L551"/>
          <cell r="M551"/>
        </row>
        <row r="552">
          <cell r="C552" t="str">
            <v>Andes Asia1022863</v>
          </cell>
          <cell r="D552" t="str">
            <v>Andes Asia</v>
          </cell>
          <cell r="E552" t="str">
            <v>1022863</v>
          </cell>
          <cell r="F552">
            <v>60000</v>
          </cell>
          <cell r="G552">
            <v>55000</v>
          </cell>
          <cell r="H552">
            <v>55000</v>
          </cell>
          <cell r="I552">
            <v>50000</v>
          </cell>
          <cell r="J552">
            <v>50000</v>
          </cell>
          <cell r="K552">
            <v>41000</v>
          </cell>
          <cell r="L552">
            <v>65000</v>
          </cell>
          <cell r="M552">
            <v>50000</v>
          </cell>
        </row>
        <row r="553">
          <cell r="C553" t="str">
            <v>Andes Asia1022864</v>
          </cell>
          <cell r="D553" t="str">
            <v>Andes Asia</v>
          </cell>
          <cell r="E553" t="str">
            <v>1022864</v>
          </cell>
          <cell r="F553">
            <v>45000</v>
          </cell>
          <cell r="G553">
            <v>50000</v>
          </cell>
          <cell r="H553">
            <v>45000</v>
          </cell>
          <cell r="I553">
            <v>40000</v>
          </cell>
          <cell r="J553">
            <v>33000</v>
          </cell>
          <cell r="K553">
            <v>40000</v>
          </cell>
          <cell r="L553">
            <v>50000</v>
          </cell>
          <cell r="M553">
            <v>50000</v>
          </cell>
        </row>
        <row r="554">
          <cell r="C554" t="str">
            <v>Andes Asia1022865</v>
          </cell>
          <cell r="D554" t="str">
            <v>Andes Asia</v>
          </cell>
          <cell r="E554" t="str">
            <v>1022865</v>
          </cell>
          <cell r="F554">
            <v>48000</v>
          </cell>
          <cell r="G554">
            <v>55000</v>
          </cell>
          <cell r="H554">
            <v>40000</v>
          </cell>
          <cell r="I554">
            <v>60000</v>
          </cell>
          <cell r="J554">
            <v>65000</v>
          </cell>
          <cell r="K554">
            <v>57000</v>
          </cell>
          <cell r="L554">
            <v>73000</v>
          </cell>
          <cell r="M554">
            <v>60000</v>
          </cell>
        </row>
        <row r="555">
          <cell r="C555" t="str">
            <v>Andes Asia1022866</v>
          </cell>
          <cell r="D555" t="str">
            <v>Andes Asia</v>
          </cell>
          <cell r="E555" t="str">
            <v>1022866</v>
          </cell>
          <cell r="F555">
            <v>35000</v>
          </cell>
          <cell r="G555">
            <v>50000</v>
          </cell>
          <cell r="H555">
            <v>50000</v>
          </cell>
          <cell r="I555">
            <v>50000</v>
          </cell>
          <cell r="J555">
            <v>55000</v>
          </cell>
          <cell r="K555">
            <v>57000</v>
          </cell>
          <cell r="L555">
            <v>25000</v>
          </cell>
          <cell r="M555">
            <v>40000</v>
          </cell>
        </row>
        <row r="556">
          <cell r="C556" t="str">
            <v>Andes Asia1022914</v>
          </cell>
          <cell r="D556" t="str">
            <v>Andes Asia</v>
          </cell>
          <cell r="E556" t="str">
            <v>1022914</v>
          </cell>
          <cell r="F556">
            <v>24000</v>
          </cell>
          <cell r="G556">
            <v>48000</v>
          </cell>
          <cell r="H556">
            <v>24000</v>
          </cell>
          <cell r="I556">
            <v>24000</v>
          </cell>
          <cell r="J556"/>
          <cell r="K556"/>
          <cell r="L556">
            <v>24000</v>
          </cell>
          <cell r="M556">
            <v>24000</v>
          </cell>
        </row>
        <row r="557">
          <cell r="C557" t="str">
            <v>Andes Asia1022918</v>
          </cell>
          <cell r="D557" t="str">
            <v>Andes Asia</v>
          </cell>
          <cell r="E557" t="str">
            <v>1022918</v>
          </cell>
          <cell r="F557">
            <v>120000</v>
          </cell>
          <cell r="G557">
            <v>96000</v>
          </cell>
          <cell r="H557">
            <v>96000</v>
          </cell>
          <cell r="I557">
            <v>96000</v>
          </cell>
          <cell r="J557">
            <v>96000</v>
          </cell>
          <cell r="K557">
            <v>72000</v>
          </cell>
          <cell r="L557">
            <v>96000</v>
          </cell>
          <cell r="M557">
            <v>120000</v>
          </cell>
        </row>
        <row r="558">
          <cell r="C558" t="str">
            <v>Andes Asia1022989</v>
          </cell>
          <cell r="D558" t="str">
            <v>Andes Asia</v>
          </cell>
          <cell r="E558" t="str">
            <v>1022989</v>
          </cell>
          <cell r="F558"/>
          <cell r="G558"/>
          <cell r="H558"/>
          <cell r="I558">
            <v>30000</v>
          </cell>
          <cell r="J558">
            <v>60000</v>
          </cell>
          <cell r="K558">
            <v>75000</v>
          </cell>
          <cell r="L558">
            <v>60000</v>
          </cell>
          <cell r="M558">
            <v>40000</v>
          </cell>
        </row>
        <row r="559">
          <cell r="C559" t="str">
            <v>Andes Asia1023102</v>
          </cell>
          <cell r="D559" t="str">
            <v>Andes Asia</v>
          </cell>
          <cell r="E559" t="str">
            <v>1023102</v>
          </cell>
          <cell r="F559"/>
          <cell r="G559"/>
          <cell r="H559"/>
          <cell r="I559">
            <v>10000</v>
          </cell>
          <cell r="J559">
            <v>5000</v>
          </cell>
          <cell r="K559">
            <v>9500</v>
          </cell>
          <cell r="L559">
            <v>6000</v>
          </cell>
          <cell r="M559">
            <v>13000</v>
          </cell>
        </row>
        <row r="560">
          <cell r="C560" t="str">
            <v>Andes Asia1023123</v>
          </cell>
          <cell r="D560" t="str">
            <v>Andes Asia</v>
          </cell>
          <cell r="E560" t="str">
            <v>1023123</v>
          </cell>
          <cell r="F560">
            <v>5000</v>
          </cell>
          <cell r="G560">
            <v>5000</v>
          </cell>
          <cell r="H560">
            <v>5000</v>
          </cell>
          <cell r="I560">
            <v>5000</v>
          </cell>
          <cell r="J560">
            <v>5000</v>
          </cell>
          <cell r="K560">
            <v>4000</v>
          </cell>
          <cell r="L560">
            <v>6000</v>
          </cell>
          <cell r="M560">
            <v>5000</v>
          </cell>
        </row>
        <row r="561">
          <cell r="C561" t="str">
            <v>Andes Asia1023166</v>
          </cell>
          <cell r="D561" t="str">
            <v>Andes Asia</v>
          </cell>
          <cell r="E561" t="str">
            <v>1023166</v>
          </cell>
          <cell r="F561"/>
          <cell r="G561"/>
          <cell r="H561"/>
          <cell r="I561"/>
          <cell r="J561"/>
          <cell r="K561"/>
          <cell r="L561"/>
          <cell r="M561"/>
        </row>
        <row r="562">
          <cell r="C562" t="str">
            <v>Andes Asia1023167</v>
          </cell>
          <cell r="D562" t="str">
            <v>Andes Asia</v>
          </cell>
          <cell r="E562" t="str">
            <v>1023167</v>
          </cell>
          <cell r="F562"/>
          <cell r="G562"/>
          <cell r="H562"/>
          <cell r="I562"/>
          <cell r="J562"/>
          <cell r="K562"/>
          <cell r="L562"/>
          <cell r="M562"/>
        </row>
        <row r="563">
          <cell r="C563" t="str">
            <v>Andes Asia1023184</v>
          </cell>
          <cell r="D563" t="str">
            <v>Andes Asia</v>
          </cell>
          <cell r="E563" t="str">
            <v>1023184</v>
          </cell>
          <cell r="F563"/>
          <cell r="G563"/>
          <cell r="H563"/>
          <cell r="I563"/>
          <cell r="J563">
            <v>1000</v>
          </cell>
          <cell r="K563"/>
          <cell r="L563"/>
          <cell r="M563">
            <v>1000</v>
          </cell>
        </row>
        <row r="564">
          <cell r="C564" t="str">
            <v>Andes Asia1023247</v>
          </cell>
          <cell r="D564" t="str">
            <v>Andes Asia</v>
          </cell>
          <cell r="E564" t="str">
            <v>1023247</v>
          </cell>
          <cell r="F564"/>
          <cell r="G564">
            <v>500</v>
          </cell>
          <cell r="H564"/>
          <cell r="I564">
            <v>500</v>
          </cell>
          <cell r="J564"/>
          <cell r="K564"/>
          <cell r="L564"/>
          <cell r="M564"/>
        </row>
        <row r="565">
          <cell r="C565" t="str">
            <v>Andes Asia1023265</v>
          </cell>
          <cell r="D565" t="str">
            <v>Andes Asia</v>
          </cell>
          <cell r="E565" t="str">
            <v>1023265</v>
          </cell>
          <cell r="F565">
            <v>6000</v>
          </cell>
          <cell r="G565">
            <v>4000</v>
          </cell>
          <cell r="H565">
            <v>5000</v>
          </cell>
          <cell r="I565">
            <v>5000</v>
          </cell>
          <cell r="J565">
            <v>5000</v>
          </cell>
          <cell r="K565">
            <v>5000</v>
          </cell>
          <cell r="L565">
            <v>5000</v>
          </cell>
          <cell r="M565">
            <v>6000</v>
          </cell>
        </row>
        <row r="566">
          <cell r="C566" t="str">
            <v>Exportacion Directa1020105</v>
          </cell>
          <cell r="D566" t="str">
            <v>Exportacion Directa</v>
          </cell>
          <cell r="E566" t="str">
            <v>1020105</v>
          </cell>
          <cell r="F566">
            <v>53000</v>
          </cell>
          <cell r="G566">
            <v>35000</v>
          </cell>
          <cell r="H566">
            <v>40000</v>
          </cell>
          <cell r="I566">
            <v>55000</v>
          </cell>
          <cell r="J566">
            <v>58500</v>
          </cell>
          <cell r="K566">
            <v>40113</v>
          </cell>
          <cell r="L566">
            <v>66935</v>
          </cell>
          <cell r="M566">
            <v>80899.350000000006</v>
          </cell>
        </row>
        <row r="567">
          <cell r="C567" t="str">
            <v>Exportacion Directa1020110</v>
          </cell>
          <cell r="D567" t="str">
            <v>Exportacion Directa</v>
          </cell>
          <cell r="E567" t="str">
            <v>1020110</v>
          </cell>
          <cell r="F567">
            <v>412200</v>
          </cell>
          <cell r="G567">
            <v>240000</v>
          </cell>
          <cell r="H567">
            <v>400000</v>
          </cell>
          <cell r="I567">
            <v>460000</v>
          </cell>
          <cell r="J567">
            <v>600000</v>
          </cell>
          <cell r="K567">
            <v>690745</v>
          </cell>
          <cell r="L567">
            <v>724953</v>
          </cell>
          <cell r="M567">
            <v>679040.59</v>
          </cell>
        </row>
        <row r="568">
          <cell r="C568" t="str">
            <v>Exportacion Directa1020284</v>
          </cell>
          <cell r="D568" t="str">
            <v>Exportacion Directa</v>
          </cell>
          <cell r="E568" t="str">
            <v>1020284</v>
          </cell>
          <cell r="F568">
            <v>11750</v>
          </cell>
          <cell r="G568">
            <v>5750</v>
          </cell>
          <cell r="H568">
            <v>4000</v>
          </cell>
          <cell r="I568">
            <v>17000</v>
          </cell>
          <cell r="J568">
            <v>23200</v>
          </cell>
          <cell r="K568">
            <v>7667</v>
          </cell>
          <cell r="L568">
            <v>11833</v>
          </cell>
          <cell r="M568">
            <v>7234.67</v>
          </cell>
        </row>
        <row r="569">
          <cell r="C569" t="str">
            <v>Exportacion Directa1020326</v>
          </cell>
          <cell r="D569" t="str">
            <v>Exportacion Directa</v>
          </cell>
          <cell r="E569" t="str">
            <v>1020326</v>
          </cell>
          <cell r="F569">
            <v>296000</v>
          </cell>
          <cell r="G569">
            <v>264000</v>
          </cell>
          <cell r="H569">
            <v>240000</v>
          </cell>
          <cell r="I569">
            <v>408000</v>
          </cell>
          <cell r="J569">
            <v>360000</v>
          </cell>
          <cell r="K569">
            <v>312000</v>
          </cell>
          <cell r="L569">
            <v>240000</v>
          </cell>
          <cell r="M569">
            <v>216000</v>
          </cell>
        </row>
        <row r="570">
          <cell r="C570" t="str">
            <v>Exportacion Directa1020589</v>
          </cell>
          <cell r="D570" t="str">
            <v>Exportacion Directa</v>
          </cell>
          <cell r="E570" t="str">
            <v>1020589</v>
          </cell>
          <cell r="F570">
            <v>64100</v>
          </cell>
          <cell r="G570">
            <v>43000</v>
          </cell>
          <cell r="H570">
            <v>100000</v>
          </cell>
          <cell r="I570">
            <v>110000</v>
          </cell>
          <cell r="J570">
            <v>144100</v>
          </cell>
          <cell r="K570">
            <v>156329</v>
          </cell>
          <cell r="L570">
            <v>119539</v>
          </cell>
          <cell r="M570">
            <v>170914.29</v>
          </cell>
        </row>
        <row r="571">
          <cell r="C571" t="str">
            <v>Exportacion Directa1020592</v>
          </cell>
          <cell r="D571" t="str">
            <v>Exportacion Directa</v>
          </cell>
          <cell r="E571" t="str">
            <v>1020592</v>
          </cell>
          <cell r="F571"/>
          <cell r="G571">
            <v>90000</v>
          </cell>
          <cell r="H571">
            <v>280000</v>
          </cell>
          <cell r="I571">
            <v>280000</v>
          </cell>
          <cell r="J571">
            <v>270000</v>
          </cell>
          <cell r="K571">
            <v>282647</v>
          </cell>
          <cell r="L571">
            <v>254664</v>
          </cell>
          <cell r="M571">
            <v>233415.89</v>
          </cell>
        </row>
        <row r="572">
          <cell r="C572" t="str">
            <v>Exportacion Directa1020620</v>
          </cell>
          <cell r="D572" t="str">
            <v>Exportacion Directa</v>
          </cell>
          <cell r="E572" t="str">
            <v>1020620</v>
          </cell>
          <cell r="F572">
            <v>17000</v>
          </cell>
          <cell r="G572">
            <v>3000</v>
          </cell>
          <cell r="H572">
            <v>16000</v>
          </cell>
          <cell r="I572">
            <v>30000</v>
          </cell>
          <cell r="J572">
            <v>40857</v>
          </cell>
          <cell r="K572">
            <v>48000</v>
          </cell>
          <cell r="L572">
            <v>52971</v>
          </cell>
          <cell r="M572">
            <v>29617.14</v>
          </cell>
        </row>
        <row r="573">
          <cell r="C573" t="str">
            <v>Exportacion Directa1020636</v>
          </cell>
          <cell r="D573" t="str">
            <v>Exportacion Directa</v>
          </cell>
          <cell r="E573" t="str">
            <v>1020636</v>
          </cell>
          <cell r="F573">
            <v>14500</v>
          </cell>
          <cell r="G573">
            <v>14500</v>
          </cell>
          <cell r="H573">
            <v>15000</v>
          </cell>
          <cell r="I573">
            <v>18000</v>
          </cell>
          <cell r="J573">
            <v>20000</v>
          </cell>
          <cell r="K573">
            <v>30333</v>
          </cell>
          <cell r="L573">
            <v>25800</v>
          </cell>
          <cell r="M573">
            <v>23071.33</v>
          </cell>
        </row>
        <row r="574">
          <cell r="C574" t="str">
            <v>Exportacion Directa1020637</v>
          </cell>
          <cell r="D574" t="str">
            <v>Exportacion Directa</v>
          </cell>
          <cell r="E574" t="str">
            <v>1020637</v>
          </cell>
          <cell r="F574">
            <v>193900</v>
          </cell>
          <cell r="G574">
            <v>170000</v>
          </cell>
          <cell r="H574">
            <v>190000</v>
          </cell>
          <cell r="I574">
            <v>270000</v>
          </cell>
          <cell r="J574">
            <v>253474</v>
          </cell>
          <cell r="K574">
            <v>227600</v>
          </cell>
          <cell r="L574">
            <v>217050</v>
          </cell>
          <cell r="M574">
            <v>239740</v>
          </cell>
        </row>
        <row r="575">
          <cell r="C575" t="str">
            <v>Exportacion Directa1020662</v>
          </cell>
          <cell r="D575" t="str">
            <v>Exportacion Directa</v>
          </cell>
          <cell r="E575" t="str">
            <v>1020662</v>
          </cell>
          <cell r="F575">
            <v>30000</v>
          </cell>
          <cell r="G575">
            <v>5000</v>
          </cell>
          <cell r="H575">
            <v>4000</v>
          </cell>
          <cell r="I575">
            <v>20000</v>
          </cell>
          <cell r="J575">
            <v>22000</v>
          </cell>
          <cell r="K575">
            <v>31500</v>
          </cell>
          <cell r="L575">
            <v>38000</v>
          </cell>
          <cell r="M575">
            <v>27460</v>
          </cell>
        </row>
        <row r="576">
          <cell r="C576" t="str">
            <v>Exportacion Directa1020664</v>
          </cell>
          <cell r="D576" t="str">
            <v>Exportacion Directa</v>
          </cell>
          <cell r="E576" t="str">
            <v>1020664</v>
          </cell>
          <cell r="F576"/>
          <cell r="G576">
            <v>3000</v>
          </cell>
          <cell r="H576">
            <v>3000</v>
          </cell>
          <cell r="I576">
            <v>3000</v>
          </cell>
          <cell r="J576"/>
          <cell r="K576">
            <v>3000</v>
          </cell>
          <cell r="L576">
            <v>7000</v>
          </cell>
          <cell r="M576">
            <v>17000</v>
          </cell>
        </row>
        <row r="577">
          <cell r="C577" t="str">
            <v>Exportacion Directa1020665</v>
          </cell>
          <cell r="D577" t="str">
            <v>Exportacion Directa</v>
          </cell>
          <cell r="E577" t="str">
            <v>1020665</v>
          </cell>
          <cell r="F577">
            <v>11750</v>
          </cell>
          <cell r="G577">
            <v>4750</v>
          </cell>
          <cell r="H577">
            <v>5000</v>
          </cell>
          <cell r="I577">
            <v>15000</v>
          </cell>
          <cell r="J577">
            <v>17000</v>
          </cell>
          <cell r="K577">
            <v>9100</v>
          </cell>
          <cell r="L577">
            <v>13733</v>
          </cell>
          <cell r="M577">
            <v>11666.67</v>
          </cell>
        </row>
        <row r="578">
          <cell r="C578" t="str">
            <v>Exportacion Directa1020678</v>
          </cell>
          <cell r="D578" t="str">
            <v>Exportacion Directa</v>
          </cell>
          <cell r="E578" t="str">
            <v>1020678</v>
          </cell>
          <cell r="F578"/>
          <cell r="G578">
            <v>500</v>
          </cell>
          <cell r="H578"/>
          <cell r="I578">
            <v>500</v>
          </cell>
          <cell r="J578">
            <v>500</v>
          </cell>
          <cell r="K578"/>
          <cell r="L578">
            <v>500</v>
          </cell>
          <cell r="M578">
            <v>1000</v>
          </cell>
        </row>
        <row r="579">
          <cell r="C579" t="str">
            <v>Exportacion Directa1020681</v>
          </cell>
          <cell r="D579" t="str">
            <v>Exportacion Directa</v>
          </cell>
          <cell r="E579" t="str">
            <v>1020681</v>
          </cell>
          <cell r="F579">
            <v>14250</v>
          </cell>
          <cell r="G579">
            <v>11250</v>
          </cell>
          <cell r="H579">
            <v>15000</v>
          </cell>
          <cell r="I579">
            <v>22000</v>
          </cell>
          <cell r="J579">
            <v>20545</v>
          </cell>
          <cell r="K579">
            <v>15000</v>
          </cell>
          <cell r="L579">
            <v>16667</v>
          </cell>
          <cell r="M579">
            <v>17361.330000000002</v>
          </cell>
        </row>
        <row r="580">
          <cell r="C580" t="str">
            <v>Exportacion Directa1020704</v>
          </cell>
          <cell r="D580" t="str">
            <v>Exportacion Directa</v>
          </cell>
          <cell r="E580" t="str">
            <v>1020704</v>
          </cell>
          <cell r="F580"/>
          <cell r="G580">
            <v>500</v>
          </cell>
          <cell r="H580">
            <v>500</v>
          </cell>
          <cell r="I580">
            <v>1500</v>
          </cell>
          <cell r="J580">
            <v>1500</v>
          </cell>
          <cell r="K580">
            <v>2000</v>
          </cell>
          <cell r="L580">
            <v>2000</v>
          </cell>
          <cell r="M580">
            <v>1500</v>
          </cell>
        </row>
        <row r="581">
          <cell r="C581" t="str">
            <v>Exportacion Directa1020715</v>
          </cell>
          <cell r="D581" t="str">
            <v>Exportacion Directa</v>
          </cell>
          <cell r="E581" t="str">
            <v>1020715</v>
          </cell>
          <cell r="F581">
            <v>3000</v>
          </cell>
          <cell r="G581">
            <v>2000</v>
          </cell>
          <cell r="H581">
            <v>2000</v>
          </cell>
          <cell r="I581">
            <v>4000</v>
          </cell>
          <cell r="J581">
            <v>6000</v>
          </cell>
          <cell r="K581">
            <v>2000</v>
          </cell>
          <cell r="L581">
            <v>2000</v>
          </cell>
          <cell r="M581">
            <v>1568</v>
          </cell>
        </row>
        <row r="582">
          <cell r="C582" t="str">
            <v>Exportacion Directa1020731</v>
          </cell>
          <cell r="D582" t="str">
            <v>Exportacion Directa</v>
          </cell>
          <cell r="E582" t="str">
            <v>1020731</v>
          </cell>
          <cell r="F582">
            <v>18000</v>
          </cell>
          <cell r="G582">
            <v>6000</v>
          </cell>
          <cell r="H582">
            <v>10000</v>
          </cell>
          <cell r="I582">
            <v>20000</v>
          </cell>
          <cell r="J582">
            <v>18000</v>
          </cell>
          <cell r="K582">
            <v>22000</v>
          </cell>
          <cell r="L582">
            <v>18300</v>
          </cell>
          <cell r="M582">
            <v>21240</v>
          </cell>
        </row>
        <row r="583">
          <cell r="C583" t="str">
            <v>Exportacion Directa1020758</v>
          </cell>
          <cell r="D583" t="str">
            <v>Exportacion Directa</v>
          </cell>
          <cell r="E583" t="str">
            <v>1020758</v>
          </cell>
          <cell r="F583">
            <v>8000</v>
          </cell>
          <cell r="G583">
            <v>5000</v>
          </cell>
          <cell r="H583">
            <v>8000</v>
          </cell>
          <cell r="I583">
            <v>12000</v>
          </cell>
          <cell r="J583">
            <v>6000</v>
          </cell>
          <cell r="K583">
            <v>3000</v>
          </cell>
          <cell r="L583">
            <v>3000</v>
          </cell>
          <cell r="M583">
            <v>12102</v>
          </cell>
        </row>
        <row r="584">
          <cell r="C584" t="str">
            <v>Exportacion Directa1020774</v>
          </cell>
          <cell r="D584" t="str">
            <v>Exportacion Directa</v>
          </cell>
          <cell r="E584" t="str">
            <v>1020774</v>
          </cell>
          <cell r="F584">
            <v>6500</v>
          </cell>
          <cell r="G584">
            <v>9000</v>
          </cell>
          <cell r="H584">
            <v>7000</v>
          </cell>
          <cell r="I584">
            <v>7000</v>
          </cell>
          <cell r="J584">
            <v>12778</v>
          </cell>
          <cell r="K584">
            <v>13810</v>
          </cell>
          <cell r="L584">
            <v>10667</v>
          </cell>
          <cell r="M584">
            <v>10504.19</v>
          </cell>
        </row>
        <row r="585">
          <cell r="C585" t="str">
            <v>Exportacion Directa1020802</v>
          </cell>
          <cell r="D585" t="str">
            <v>Exportacion Directa</v>
          </cell>
          <cell r="E585" t="str">
            <v>1020802</v>
          </cell>
          <cell r="F585">
            <v>103000</v>
          </cell>
          <cell r="G585">
            <v>47000</v>
          </cell>
          <cell r="H585">
            <v>95000</v>
          </cell>
          <cell r="I585">
            <v>130000</v>
          </cell>
          <cell r="J585">
            <v>92821</v>
          </cell>
          <cell r="K585">
            <v>95563</v>
          </cell>
          <cell r="L585">
            <v>73025</v>
          </cell>
          <cell r="M585">
            <v>58246</v>
          </cell>
        </row>
        <row r="586">
          <cell r="C586" t="str">
            <v>Exportacion Directa1020810</v>
          </cell>
          <cell r="D586" t="str">
            <v>Exportacion Directa</v>
          </cell>
          <cell r="E586" t="str">
            <v>1020810</v>
          </cell>
          <cell r="F586">
            <v>5000</v>
          </cell>
          <cell r="G586">
            <v>6000</v>
          </cell>
          <cell r="H586">
            <v>2500</v>
          </cell>
          <cell r="I586"/>
          <cell r="J586">
            <v>6000</v>
          </cell>
          <cell r="K586">
            <v>1500</v>
          </cell>
          <cell r="L586">
            <v>3000</v>
          </cell>
          <cell r="M586">
            <v>4330</v>
          </cell>
        </row>
        <row r="587">
          <cell r="C587" t="str">
            <v>Exportacion Directa1020914</v>
          </cell>
          <cell r="D587" t="str">
            <v>Exportacion Directa</v>
          </cell>
          <cell r="E587" t="str">
            <v>1020914</v>
          </cell>
          <cell r="F587">
            <v>3000</v>
          </cell>
          <cell r="G587">
            <v>0</v>
          </cell>
          <cell r="H587">
            <v>3000</v>
          </cell>
          <cell r="I587">
            <v>15000</v>
          </cell>
          <cell r="J587">
            <v>10000</v>
          </cell>
          <cell r="K587">
            <v>12786</v>
          </cell>
          <cell r="L587">
            <v>14143</v>
          </cell>
          <cell r="M587">
            <v>22142.86</v>
          </cell>
        </row>
        <row r="588">
          <cell r="C588" t="str">
            <v>Exportacion Directa1020990</v>
          </cell>
          <cell r="D588" t="str">
            <v>Exportacion Directa</v>
          </cell>
          <cell r="E588" t="str">
            <v>1020990</v>
          </cell>
          <cell r="F588">
            <v>8750</v>
          </cell>
          <cell r="G588">
            <v>4750</v>
          </cell>
          <cell r="H588">
            <v>7000</v>
          </cell>
          <cell r="I588">
            <v>13000</v>
          </cell>
          <cell r="J588">
            <v>13000</v>
          </cell>
          <cell r="K588">
            <v>8000</v>
          </cell>
          <cell r="L588">
            <v>7833</v>
          </cell>
          <cell r="M588">
            <v>5901.33</v>
          </cell>
        </row>
        <row r="589">
          <cell r="C589" t="str">
            <v>Exportacion Directa1020991</v>
          </cell>
          <cell r="D589" t="str">
            <v>Exportacion Directa</v>
          </cell>
          <cell r="E589" t="str">
            <v>1020991</v>
          </cell>
          <cell r="F589">
            <v>1250</v>
          </cell>
          <cell r="G589">
            <v>5000</v>
          </cell>
          <cell r="H589">
            <v>5000</v>
          </cell>
          <cell r="I589">
            <v>60000</v>
          </cell>
          <cell r="J589">
            <v>10000</v>
          </cell>
          <cell r="K589">
            <v>10000</v>
          </cell>
          <cell r="L589">
            <v>8000</v>
          </cell>
          <cell r="M589">
            <v>10000</v>
          </cell>
        </row>
        <row r="590">
          <cell r="C590" t="str">
            <v>Exportacion Directa1021136</v>
          </cell>
          <cell r="D590" t="str">
            <v>Exportacion Directa</v>
          </cell>
          <cell r="E590" t="str">
            <v>1021136</v>
          </cell>
          <cell r="F590">
            <v>5000</v>
          </cell>
          <cell r="G590">
            <v>3000</v>
          </cell>
          <cell r="H590">
            <v>4000</v>
          </cell>
          <cell r="I590">
            <v>5000</v>
          </cell>
          <cell r="J590">
            <v>7200</v>
          </cell>
          <cell r="K590">
            <v>8000</v>
          </cell>
          <cell r="L590">
            <v>4000</v>
          </cell>
          <cell r="M590">
            <v>7333.33</v>
          </cell>
        </row>
        <row r="591">
          <cell r="C591" t="str">
            <v>Exportacion Directa1021533</v>
          </cell>
          <cell r="D591" t="str">
            <v>Exportacion Directa</v>
          </cell>
          <cell r="E591" t="str">
            <v>1021533</v>
          </cell>
          <cell r="F591">
            <v>2000</v>
          </cell>
          <cell r="G591">
            <v>18000</v>
          </cell>
          <cell r="H591">
            <v>15000</v>
          </cell>
          <cell r="I591">
            <v>10000</v>
          </cell>
          <cell r="J591">
            <v>15400</v>
          </cell>
          <cell r="K591">
            <v>3000</v>
          </cell>
          <cell r="L591"/>
          <cell r="M591"/>
        </row>
        <row r="592">
          <cell r="C592" t="str">
            <v>Exportacion Directa1021603</v>
          </cell>
          <cell r="D592" t="str">
            <v>Exportacion Directa</v>
          </cell>
          <cell r="E592" t="str">
            <v>1021603</v>
          </cell>
          <cell r="F592">
            <v>5000</v>
          </cell>
          <cell r="G592">
            <v>3000</v>
          </cell>
          <cell r="H592">
            <v>4000</v>
          </cell>
          <cell r="I592">
            <v>5000</v>
          </cell>
          <cell r="J592">
            <v>7000</v>
          </cell>
          <cell r="K592">
            <v>5500</v>
          </cell>
          <cell r="L592">
            <v>7000</v>
          </cell>
          <cell r="M592">
            <v>8852</v>
          </cell>
        </row>
        <row r="593">
          <cell r="C593" t="str">
            <v>Exportacion Directa1021609</v>
          </cell>
          <cell r="D593" t="str">
            <v>Exportacion Directa</v>
          </cell>
          <cell r="E593" t="str">
            <v>1021609</v>
          </cell>
          <cell r="F593">
            <v>16500</v>
          </cell>
          <cell r="G593">
            <v>6500</v>
          </cell>
          <cell r="H593">
            <v>3000</v>
          </cell>
          <cell r="I593">
            <v>5000</v>
          </cell>
          <cell r="J593"/>
          <cell r="K593"/>
          <cell r="L593">
            <v>26000</v>
          </cell>
          <cell r="M593">
            <v>47840</v>
          </cell>
        </row>
        <row r="594">
          <cell r="C594" t="str">
            <v>Exportacion Directa1022282</v>
          </cell>
          <cell r="D594" t="str">
            <v>Exportacion Directa</v>
          </cell>
          <cell r="E594" t="str">
            <v>1022282</v>
          </cell>
          <cell r="F594"/>
          <cell r="G594"/>
          <cell r="H594"/>
          <cell r="I594">
            <v>3000</v>
          </cell>
          <cell r="J594">
            <v>2000</v>
          </cell>
          <cell r="K594"/>
          <cell r="L594"/>
          <cell r="M594"/>
        </row>
        <row r="595">
          <cell r="C595" t="str">
            <v>Exportacion Directa1022313</v>
          </cell>
          <cell r="D595" t="str">
            <v>Exportacion Directa</v>
          </cell>
          <cell r="E595" t="str">
            <v>1022313</v>
          </cell>
          <cell r="F595">
            <v>17750</v>
          </cell>
          <cell r="G595">
            <v>9000</v>
          </cell>
          <cell r="H595">
            <v>8000</v>
          </cell>
          <cell r="I595">
            <v>7000</v>
          </cell>
          <cell r="J595">
            <v>7000</v>
          </cell>
          <cell r="K595">
            <v>10000</v>
          </cell>
          <cell r="L595">
            <v>5333</v>
          </cell>
          <cell r="M595">
            <v>10901.33</v>
          </cell>
        </row>
        <row r="596">
          <cell r="C596" t="str">
            <v>Exportacion Directa1022326</v>
          </cell>
          <cell r="D596" t="str">
            <v>Exportacion Directa</v>
          </cell>
          <cell r="E596" t="str">
            <v>1022326</v>
          </cell>
          <cell r="F596">
            <v>35000</v>
          </cell>
          <cell r="G596">
            <v>23000</v>
          </cell>
          <cell r="H596">
            <v>45000</v>
          </cell>
          <cell r="I596">
            <v>30000</v>
          </cell>
          <cell r="J596">
            <v>41343</v>
          </cell>
          <cell r="K596">
            <v>41667</v>
          </cell>
          <cell r="L596">
            <v>39667</v>
          </cell>
          <cell r="M596">
            <v>6969.33</v>
          </cell>
        </row>
        <row r="597">
          <cell r="C597" t="str">
            <v>Exportacion Directa1022370</v>
          </cell>
          <cell r="D597" t="str">
            <v>Exportacion Directa</v>
          </cell>
          <cell r="E597" t="str">
            <v>1022370</v>
          </cell>
          <cell r="F597">
            <v>30000</v>
          </cell>
          <cell r="G597">
            <v>13000</v>
          </cell>
          <cell r="H597">
            <v>18000</v>
          </cell>
          <cell r="I597">
            <v>35000</v>
          </cell>
          <cell r="J597">
            <v>30000</v>
          </cell>
          <cell r="K597">
            <v>42500</v>
          </cell>
          <cell r="L597">
            <v>39500</v>
          </cell>
          <cell r="M597">
            <v>47340</v>
          </cell>
        </row>
        <row r="598">
          <cell r="C598" t="str">
            <v>Exportacion Directa1022371</v>
          </cell>
          <cell r="D598" t="str">
            <v>Exportacion Directa</v>
          </cell>
          <cell r="E598" t="str">
            <v>1022371</v>
          </cell>
          <cell r="F598">
            <v>15000</v>
          </cell>
          <cell r="G598">
            <v>30000</v>
          </cell>
          <cell r="H598">
            <v>25000</v>
          </cell>
          <cell r="I598">
            <v>22000</v>
          </cell>
          <cell r="J598">
            <v>12000</v>
          </cell>
          <cell r="K598">
            <v>24700</v>
          </cell>
          <cell r="L598">
            <v>14500</v>
          </cell>
          <cell r="M598">
            <v>25340</v>
          </cell>
        </row>
        <row r="599">
          <cell r="C599" t="str">
            <v>Exportacion Directa1022472</v>
          </cell>
          <cell r="D599" t="str">
            <v>Exportacion Directa</v>
          </cell>
          <cell r="E599" t="str">
            <v>1022472</v>
          </cell>
          <cell r="F599">
            <v>7000</v>
          </cell>
          <cell r="G599">
            <v>5000</v>
          </cell>
          <cell r="H599">
            <v>3000</v>
          </cell>
          <cell r="I599">
            <v>10000</v>
          </cell>
          <cell r="J599">
            <v>4333</v>
          </cell>
          <cell r="K599">
            <v>18000</v>
          </cell>
          <cell r="L599">
            <v>21500</v>
          </cell>
          <cell r="M599">
            <v>10000</v>
          </cell>
        </row>
        <row r="600">
          <cell r="C600" t="str">
            <v>Exportacion Directa1022499</v>
          </cell>
          <cell r="D600" t="str">
            <v>Exportacion Directa</v>
          </cell>
          <cell r="E600" t="str">
            <v>1022499</v>
          </cell>
          <cell r="F600">
            <v>16000</v>
          </cell>
          <cell r="G600">
            <v>3000</v>
          </cell>
          <cell r="H600">
            <v>5000</v>
          </cell>
          <cell r="I600">
            <v>20000</v>
          </cell>
          <cell r="J600">
            <v>15000</v>
          </cell>
          <cell r="K600">
            <v>23500</v>
          </cell>
          <cell r="L600">
            <v>14500</v>
          </cell>
          <cell r="M600">
            <v>12500</v>
          </cell>
        </row>
        <row r="601">
          <cell r="C601" t="str">
            <v>Exportacion Directa1022587</v>
          </cell>
          <cell r="D601" t="str">
            <v>Exportacion Directa</v>
          </cell>
          <cell r="E601" t="str">
            <v>1022587</v>
          </cell>
          <cell r="F601">
            <v>5000</v>
          </cell>
          <cell r="G601">
            <v>5000</v>
          </cell>
          <cell r="H601">
            <v>5000</v>
          </cell>
          <cell r="I601">
            <v>6000</v>
          </cell>
          <cell r="J601">
            <v>3000</v>
          </cell>
          <cell r="K601">
            <v>6000</v>
          </cell>
          <cell r="L601">
            <v>3000</v>
          </cell>
          <cell r="M601">
            <v>3000</v>
          </cell>
        </row>
        <row r="602">
          <cell r="C602" t="str">
            <v>Exportacion Directa1022600</v>
          </cell>
          <cell r="D602" t="str">
            <v>Exportacion Directa</v>
          </cell>
          <cell r="E602" t="str">
            <v>1022600</v>
          </cell>
          <cell r="F602">
            <v>18000</v>
          </cell>
          <cell r="G602">
            <v>3000</v>
          </cell>
          <cell r="H602">
            <v>11000</v>
          </cell>
          <cell r="I602">
            <v>20000</v>
          </cell>
          <cell r="J602">
            <v>19625</v>
          </cell>
          <cell r="K602">
            <v>27333</v>
          </cell>
          <cell r="L602">
            <v>32999</v>
          </cell>
          <cell r="M602">
            <v>29000</v>
          </cell>
        </row>
        <row r="603">
          <cell r="C603" t="str">
            <v>Exportacion Directa1022664</v>
          </cell>
          <cell r="D603" t="str">
            <v>Exportacion Directa</v>
          </cell>
          <cell r="E603" t="str">
            <v>1022664</v>
          </cell>
          <cell r="F603">
            <v>43000</v>
          </cell>
          <cell r="G603">
            <v>23700</v>
          </cell>
          <cell r="H603">
            <v>17000</v>
          </cell>
          <cell r="I603">
            <v>30000</v>
          </cell>
          <cell r="J603">
            <v>35000</v>
          </cell>
          <cell r="K603">
            <v>30667</v>
          </cell>
          <cell r="L603">
            <v>35000</v>
          </cell>
          <cell r="M603">
            <v>51153.33</v>
          </cell>
        </row>
        <row r="604">
          <cell r="C604" t="str">
            <v>Exportacion Directa1022817</v>
          </cell>
          <cell r="D604" t="str">
            <v>Exportacion Directa</v>
          </cell>
          <cell r="E604" t="str">
            <v>1022817</v>
          </cell>
          <cell r="F604"/>
          <cell r="G604"/>
          <cell r="H604"/>
          <cell r="I604"/>
          <cell r="J604"/>
          <cell r="K604"/>
          <cell r="L604"/>
          <cell r="M604"/>
        </row>
        <row r="605">
          <cell r="C605" t="str">
            <v>Exportacion Directa1022841</v>
          </cell>
          <cell r="D605" t="str">
            <v>Exportacion Directa</v>
          </cell>
          <cell r="E605" t="str">
            <v>1022841</v>
          </cell>
          <cell r="F605"/>
          <cell r="G605"/>
          <cell r="H605"/>
          <cell r="I605"/>
          <cell r="J605"/>
          <cell r="K605"/>
          <cell r="L605"/>
          <cell r="M605"/>
        </row>
        <row r="606">
          <cell r="C606" t="str">
            <v>Exportacion Directa1022869</v>
          </cell>
          <cell r="D606" t="str">
            <v>Exportacion Directa</v>
          </cell>
          <cell r="E606" t="str">
            <v>1022869</v>
          </cell>
          <cell r="F606">
            <v>500</v>
          </cell>
          <cell r="G606">
            <v>1300</v>
          </cell>
          <cell r="H606">
            <v>2400</v>
          </cell>
          <cell r="I606">
            <v>800</v>
          </cell>
          <cell r="J606">
            <v>800</v>
          </cell>
          <cell r="K606"/>
          <cell r="L606"/>
          <cell r="M606"/>
        </row>
        <row r="607">
          <cell r="C607" t="str">
            <v>Exportacion Directa1022901</v>
          </cell>
          <cell r="D607" t="str">
            <v>Exportacion Directa</v>
          </cell>
          <cell r="E607" t="str">
            <v>1022901</v>
          </cell>
          <cell r="F607">
            <v>15000</v>
          </cell>
          <cell r="G607">
            <v>12000</v>
          </cell>
          <cell r="H607">
            <v>13000</v>
          </cell>
          <cell r="I607">
            <v>18000</v>
          </cell>
          <cell r="J607">
            <v>18000</v>
          </cell>
          <cell r="K607">
            <v>13000</v>
          </cell>
          <cell r="L607">
            <v>8000</v>
          </cell>
          <cell r="M607">
            <v>1000</v>
          </cell>
        </row>
        <row r="608">
          <cell r="C608" t="str">
            <v>Exportacion Directa1022919</v>
          </cell>
          <cell r="D608" t="str">
            <v>Exportacion Directa</v>
          </cell>
          <cell r="E608" t="str">
            <v>1022919</v>
          </cell>
          <cell r="F608">
            <v>15000</v>
          </cell>
          <cell r="G608">
            <v>48000</v>
          </cell>
          <cell r="H608">
            <v>5000</v>
          </cell>
          <cell r="I608">
            <v>24000</v>
          </cell>
          <cell r="J608">
            <v>23000</v>
          </cell>
          <cell r="K608">
            <v>12000</v>
          </cell>
          <cell r="L608">
            <v>35000</v>
          </cell>
          <cell r="M608">
            <v>12000</v>
          </cell>
        </row>
        <row r="609">
          <cell r="C609" t="str">
            <v>Exportacion Directa1022931</v>
          </cell>
          <cell r="D609" t="str">
            <v>Exportacion Directa</v>
          </cell>
          <cell r="E609" t="str">
            <v>1022931</v>
          </cell>
          <cell r="F609"/>
          <cell r="G609"/>
          <cell r="H609"/>
          <cell r="I609">
            <v>20000</v>
          </cell>
          <cell r="J609">
            <v>20182</v>
          </cell>
          <cell r="K609">
            <v>24000</v>
          </cell>
          <cell r="L609">
            <v>20500</v>
          </cell>
          <cell r="M609">
            <v>28000</v>
          </cell>
        </row>
        <row r="610">
          <cell r="C610" t="str">
            <v>Exportacion Directa1022987</v>
          </cell>
          <cell r="D610" t="str">
            <v>Exportacion Directa</v>
          </cell>
          <cell r="E610" t="str">
            <v>1022987</v>
          </cell>
          <cell r="F610"/>
          <cell r="G610">
            <v>30000</v>
          </cell>
          <cell r="H610">
            <v>24000</v>
          </cell>
          <cell r="I610">
            <v>48000</v>
          </cell>
          <cell r="J610">
            <v>24000</v>
          </cell>
          <cell r="K610">
            <v>24000</v>
          </cell>
          <cell r="L610">
            <v>24000</v>
          </cell>
          <cell r="M610">
            <v>48000</v>
          </cell>
        </row>
        <row r="611">
          <cell r="D611" t="str">
            <v>Exportacion Directa</v>
          </cell>
          <cell r="E611" t="str">
            <v>1022990</v>
          </cell>
          <cell r="F611">
            <v>10000</v>
          </cell>
          <cell r="G611">
            <v>20000</v>
          </cell>
          <cell r="H611">
            <v>13000</v>
          </cell>
          <cell r="I611"/>
          <cell r="J611"/>
          <cell r="K611"/>
          <cell r="L611"/>
          <cell r="M611"/>
        </row>
        <row r="612">
          <cell r="D612" t="str">
            <v>Exportacion Directa</v>
          </cell>
          <cell r="E612" t="str">
            <v>1023051</v>
          </cell>
          <cell r="F612"/>
          <cell r="G612"/>
          <cell r="H612"/>
          <cell r="I612">
            <v>3000</v>
          </cell>
          <cell r="J612">
            <v>2500</v>
          </cell>
          <cell r="K612"/>
          <cell r="L612"/>
          <cell r="M612">
            <v>8000</v>
          </cell>
        </row>
        <row r="613">
          <cell r="D613" t="str">
            <v>Exportacion Directa</v>
          </cell>
          <cell r="E613" t="str">
            <v>1023055</v>
          </cell>
          <cell r="F613"/>
          <cell r="G613"/>
          <cell r="H613">
            <v>5000</v>
          </cell>
          <cell r="I613">
            <v>7000</v>
          </cell>
          <cell r="J613">
            <v>5000</v>
          </cell>
          <cell r="K613">
            <v>3500</v>
          </cell>
          <cell r="L613">
            <v>7000</v>
          </cell>
          <cell r="M613">
            <v>3500</v>
          </cell>
        </row>
        <row r="614">
          <cell r="D614" t="str">
            <v>Exportacion Directa</v>
          </cell>
          <cell r="E614" t="str">
            <v>1023163</v>
          </cell>
          <cell r="F614">
            <v>15000</v>
          </cell>
          <cell r="G614">
            <v>7000</v>
          </cell>
          <cell r="H614">
            <v>4000</v>
          </cell>
          <cell r="I614">
            <v>20000</v>
          </cell>
          <cell r="J614">
            <v>15000</v>
          </cell>
          <cell r="K614">
            <v>36000</v>
          </cell>
          <cell r="L614">
            <v>30000</v>
          </cell>
          <cell r="M614">
            <v>32300</v>
          </cell>
        </row>
        <row r="615">
          <cell r="D615" t="str">
            <v>Exportacion Directa</v>
          </cell>
          <cell r="E615" t="str">
            <v>1023166</v>
          </cell>
          <cell r="F615"/>
          <cell r="G615"/>
          <cell r="H615"/>
          <cell r="I615"/>
          <cell r="J615"/>
          <cell r="K615"/>
          <cell r="L615"/>
          <cell r="M615"/>
        </row>
        <row r="616">
          <cell r="D616" t="str">
            <v>Exportacion Directa</v>
          </cell>
          <cell r="E616" t="str">
            <v>1023194</v>
          </cell>
          <cell r="F616">
            <v>9000</v>
          </cell>
          <cell r="G616">
            <v>5000</v>
          </cell>
          <cell r="H616">
            <v>6000</v>
          </cell>
          <cell r="I616">
            <v>12000</v>
          </cell>
          <cell r="J616">
            <v>7000</v>
          </cell>
          <cell r="K616">
            <v>12000</v>
          </cell>
          <cell r="L616">
            <v>18000</v>
          </cell>
          <cell r="M616">
            <v>18852</v>
          </cell>
        </row>
        <row r="617">
          <cell r="D617" t="str">
            <v>Exportacion Directa</v>
          </cell>
          <cell r="E617" t="str">
            <v>1023301</v>
          </cell>
          <cell r="F617">
            <v>60000</v>
          </cell>
          <cell r="G617">
            <v>70000</v>
          </cell>
          <cell r="H617">
            <v>35000</v>
          </cell>
          <cell r="I617">
            <v>23500</v>
          </cell>
          <cell r="J617">
            <v>23500</v>
          </cell>
          <cell r="K617">
            <v>30000</v>
          </cell>
          <cell r="L617">
            <v>37500</v>
          </cell>
          <cell r="M617">
            <v>23500</v>
          </cell>
        </row>
        <row r="618">
          <cell r="D618" t="str">
            <v>Exportacion Directa</v>
          </cell>
          <cell r="E618" t="str">
            <v>1023349</v>
          </cell>
          <cell r="F618"/>
          <cell r="G618"/>
          <cell r="H618">
            <v>2000</v>
          </cell>
          <cell r="I618">
            <v>5000</v>
          </cell>
          <cell r="J618">
            <v>7500</v>
          </cell>
          <cell r="K618">
            <v>12500</v>
          </cell>
          <cell r="L618">
            <v>7500</v>
          </cell>
          <cell r="M618">
            <v>12500</v>
          </cell>
        </row>
        <row r="619">
          <cell r="D619" t="str">
            <v>Exportacion Directa</v>
          </cell>
          <cell r="E619" t="str">
            <v>1023350</v>
          </cell>
          <cell r="F619"/>
          <cell r="G619"/>
          <cell r="H619">
            <v>35000</v>
          </cell>
          <cell r="I619">
            <v>15000</v>
          </cell>
          <cell r="J619">
            <v>41143</v>
          </cell>
          <cell r="K619">
            <v>26000</v>
          </cell>
          <cell r="L619">
            <v>27500</v>
          </cell>
          <cell r="M619">
            <v>12300</v>
          </cell>
        </row>
        <row r="620">
          <cell r="D620" t="str">
            <v>Exportacion Directa</v>
          </cell>
          <cell r="E620" t="str">
            <v>1023351</v>
          </cell>
          <cell r="F620"/>
          <cell r="G620"/>
          <cell r="H620">
            <v>3000</v>
          </cell>
          <cell r="I620">
            <v>8000</v>
          </cell>
          <cell r="J620">
            <v>8214</v>
          </cell>
          <cell r="K620">
            <v>5000</v>
          </cell>
          <cell r="L620"/>
          <cell r="M620">
            <v>5000</v>
          </cell>
        </row>
        <row r="621">
          <cell r="D621" t="str">
            <v>Exportacion Directa</v>
          </cell>
          <cell r="E621" t="str">
            <v>1023352</v>
          </cell>
          <cell r="F621"/>
          <cell r="G621"/>
          <cell r="H621"/>
          <cell r="I621">
            <v>45000</v>
          </cell>
          <cell r="J621">
            <v>118342</v>
          </cell>
          <cell r="K621">
            <v>77647</v>
          </cell>
          <cell r="L621">
            <v>51765</v>
          </cell>
          <cell r="M621">
            <v>37262.35</v>
          </cell>
        </row>
        <row r="622">
          <cell r="D622" t="str">
            <v>Exportacion Directa</v>
          </cell>
          <cell r="E622" t="str">
            <v>1023419</v>
          </cell>
          <cell r="F622"/>
          <cell r="G622"/>
          <cell r="H622"/>
          <cell r="I622"/>
          <cell r="J622"/>
          <cell r="K622"/>
          <cell r="L622"/>
          <cell r="M622">
            <v>24000</v>
          </cell>
        </row>
        <row r="623">
          <cell r="D623" t="str">
            <v>Total general</v>
          </cell>
          <cell r="F623">
            <v>28434716.661000002</v>
          </cell>
          <cell r="G623">
            <v>28155215.70000001</v>
          </cell>
          <cell r="H623">
            <v>27547085</v>
          </cell>
          <cell r="I623">
            <v>28532188</v>
          </cell>
          <cell r="J623">
            <v>33001778</v>
          </cell>
          <cell r="K623">
            <v>32252297</v>
          </cell>
          <cell r="L623">
            <v>32275373</v>
          </cell>
          <cell r="M623">
            <v>31546741.569999997</v>
          </cell>
        </row>
      </sheetData>
      <sheetData sheetId="12"/>
      <sheetData sheetId="13">
        <row r="11">
          <cell r="B11" t="str">
            <v>Motivo volumen</v>
          </cell>
          <cell r="C11" t="str">
            <v>(Todas)</v>
          </cell>
        </row>
        <row r="12">
          <cell r="B12" t="str">
            <v>Mes natural</v>
          </cell>
          <cell r="C12" t="str">
            <v>(Varios elementos)</v>
          </cell>
        </row>
        <row r="13">
          <cell r="B13" t="str">
            <v>Motivo precio</v>
          </cell>
          <cell r="C13" t="str">
            <v>(Todas)</v>
          </cell>
        </row>
        <row r="14">
          <cell r="B14" t="str">
            <v>Canal de distribución</v>
          </cell>
          <cell r="C14" t="str">
            <v>(Todas)</v>
          </cell>
        </row>
        <row r="15">
          <cell r="B15" t="str">
            <v>Nivel Jer. 3</v>
          </cell>
          <cell r="C15" t="str">
            <v>(Todas)</v>
          </cell>
        </row>
        <row r="16">
          <cell r="B16" t="str">
            <v>Sector</v>
          </cell>
          <cell r="C16" t="str">
            <v>(Todas)</v>
          </cell>
        </row>
        <row r="18">
          <cell r="D18" t="str">
            <v>Valores</v>
          </cell>
        </row>
        <row r="19">
          <cell r="B19" t="str">
            <v>Oficina</v>
          </cell>
          <cell r="C19" t="str">
            <v>SKU</v>
          </cell>
          <cell r="D19" t="str">
            <v xml:space="preserve"> Venta [Kg]</v>
          </cell>
          <cell r="E19" t="str">
            <v xml:space="preserve"> Venta FOB [USD]</v>
          </cell>
          <cell r="F19" t="str">
            <v xml:space="preserve"> Diferencia FOB</v>
          </cell>
          <cell r="G19" t="str">
            <v>Suma de Precio Real</v>
          </cell>
        </row>
        <row r="20">
          <cell r="A20" t="str">
            <v>Africa1010877</v>
          </cell>
          <cell r="B20" t="str">
            <v>Africa</v>
          </cell>
          <cell r="C20">
            <v>1010877</v>
          </cell>
          <cell r="D20">
            <v>120000</v>
          </cell>
          <cell r="E20">
            <v>107304.7</v>
          </cell>
          <cell r="F20">
            <v>-63575.299999999996</v>
          </cell>
          <cell r="G20">
            <v>0.89420583333333326</v>
          </cell>
        </row>
        <row r="21">
          <cell r="A21" t="str">
            <v>Africa1011042</v>
          </cell>
          <cell r="B21" t="str">
            <v>Africa</v>
          </cell>
          <cell r="C21">
            <v>1011042</v>
          </cell>
          <cell r="D21">
            <v>345120</v>
          </cell>
          <cell r="E21">
            <v>122156.99</v>
          </cell>
          <cell r="F21">
            <v>-6243.0099999999948</v>
          </cell>
          <cell r="G21">
            <v>0.35395511706073252</v>
          </cell>
        </row>
        <row r="22">
          <cell r="A22" t="str">
            <v>Africa1012207</v>
          </cell>
          <cell r="B22" t="str">
            <v>Africa</v>
          </cell>
          <cell r="C22">
            <v>1012207</v>
          </cell>
          <cell r="D22">
            <v>0</v>
          </cell>
          <cell r="E22"/>
          <cell r="F22">
            <v>-37171</v>
          </cell>
          <cell r="G22" t="e">
            <v>#DIV/0!</v>
          </cell>
        </row>
        <row r="23">
          <cell r="A23" t="str">
            <v>Africa1030224</v>
          </cell>
          <cell r="B23" t="str">
            <v>Africa</v>
          </cell>
          <cell r="C23">
            <v>1030224</v>
          </cell>
          <cell r="D23">
            <v>0</v>
          </cell>
          <cell r="E23"/>
          <cell r="F23">
            <v>-351120</v>
          </cell>
          <cell r="G23" t="e">
            <v>#DIV/0!</v>
          </cell>
        </row>
        <row r="24">
          <cell r="A24" t="str">
            <v>Africa1030332</v>
          </cell>
          <cell r="B24" t="str">
            <v>Africa</v>
          </cell>
          <cell r="C24">
            <v>1030332</v>
          </cell>
          <cell r="D24">
            <v>24000</v>
          </cell>
          <cell r="E24">
            <v>33261.910000000003</v>
          </cell>
          <cell r="F24">
            <v>-168098.09</v>
          </cell>
          <cell r="G24">
            <v>1.3859129166666668</v>
          </cell>
        </row>
        <row r="25">
          <cell r="A25" t="str">
            <v>Africa1030355</v>
          </cell>
          <cell r="B25" t="str">
            <v>Africa</v>
          </cell>
          <cell r="C25">
            <v>1030355</v>
          </cell>
          <cell r="D25">
            <v>120000</v>
          </cell>
          <cell r="E25">
            <v>115552.6</v>
          </cell>
          <cell r="F25">
            <v>-47167.4</v>
          </cell>
          <cell r="G25">
            <v>0.96293833333333334</v>
          </cell>
        </row>
        <row r="26">
          <cell r="A26" t="str">
            <v>Africa1030545</v>
          </cell>
          <cell r="B26" t="str">
            <v>Africa</v>
          </cell>
          <cell r="C26">
            <v>1030545</v>
          </cell>
          <cell r="D26">
            <v>0</v>
          </cell>
          <cell r="E26"/>
          <cell r="F26">
            <v>-84800</v>
          </cell>
          <cell r="G26" t="e">
            <v>#DIV/0!</v>
          </cell>
        </row>
        <row r="27">
          <cell r="A27" t="str">
            <v>Agro America1010885</v>
          </cell>
          <cell r="B27" t="str">
            <v>Agro America</v>
          </cell>
          <cell r="C27">
            <v>1010885</v>
          </cell>
          <cell r="D27">
            <v>21808.703999999998</v>
          </cell>
          <cell r="E27">
            <v>158999.6</v>
          </cell>
          <cell r="F27">
            <v>-67814.399999999994</v>
          </cell>
          <cell r="G27">
            <v>7.2906487244725788</v>
          </cell>
        </row>
        <row r="28">
          <cell r="A28" t="str">
            <v>Agro America1010886</v>
          </cell>
          <cell r="B28" t="str">
            <v>Agro America</v>
          </cell>
          <cell r="C28">
            <v>1010886</v>
          </cell>
          <cell r="D28">
            <v>19849.186000000002</v>
          </cell>
          <cell r="E28">
            <v>135018</v>
          </cell>
          <cell r="F28">
            <v>-396641</v>
          </cell>
          <cell r="G28">
            <v>6.8021932990098426</v>
          </cell>
        </row>
        <row r="29">
          <cell r="A29" t="str">
            <v>Agro America1010887</v>
          </cell>
          <cell r="B29" t="str">
            <v>Agro America</v>
          </cell>
          <cell r="C29">
            <v>1010887</v>
          </cell>
          <cell r="D29">
            <v>11729.888999999999</v>
          </cell>
          <cell r="E29">
            <v>94389</v>
          </cell>
          <cell r="F29">
            <v>16865</v>
          </cell>
          <cell r="G29">
            <v>8.0468792159925808</v>
          </cell>
        </row>
        <row r="30">
          <cell r="A30" t="str">
            <v>Agro America1010888</v>
          </cell>
          <cell r="B30" t="str">
            <v>Agro America</v>
          </cell>
          <cell r="C30">
            <v>1010888</v>
          </cell>
          <cell r="D30">
            <v>18080.177</v>
          </cell>
          <cell r="E30">
            <v>127393</v>
          </cell>
          <cell r="F30">
            <v>86955</v>
          </cell>
          <cell r="G30">
            <v>7.0460040297171869</v>
          </cell>
        </row>
        <row r="31">
          <cell r="A31" t="str">
            <v>Agro America1011120</v>
          </cell>
          <cell r="B31" t="str">
            <v>Agro America</v>
          </cell>
          <cell r="C31">
            <v>1011120</v>
          </cell>
          <cell r="D31">
            <v>3999.547</v>
          </cell>
          <cell r="E31">
            <v>11021.875</v>
          </cell>
          <cell r="F31">
            <v>11021.875</v>
          </cell>
          <cell r="G31">
            <v>2.7557808421803771</v>
          </cell>
        </row>
        <row r="32">
          <cell r="A32" t="str">
            <v>Agro America1011250</v>
          </cell>
          <cell r="B32" t="str">
            <v>Agro America</v>
          </cell>
          <cell r="C32">
            <v>1011250</v>
          </cell>
          <cell r="D32">
            <v>83914.521000000008</v>
          </cell>
          <cell r="E32">
            <v>506124</v>
          </cell>
          <cell r="F32">
            <v>163222</v>
          </cell>
          <cell r="G32">
            <v>6.0314233337517349</v>
          </cell>
        </row>
        <row r="33">
          <cell r="A33" t="str">
            <v>Agro America1011701</v>
          </cell>
          <cell r="B33" t="str">
            <v>Agro America</v>
          </cell>
          <cell r="C33">
            <v>1011701</v>
          </cell>
          <cell r="D33">
            <v>989319.73600000003</v>
          </cell>
          <cell r="E33">
            <v>4490732.9512</v>
          </cell>
          <cell r="F33">
            <v>606226.95120000001</v>
          </cell>
          <cell r="G33">
            <v>4.5392129437919149</v>
          </cell>
        </row>
        <row r="34">
          <cell r="A34" t="str">
            <v>Agro America1012038</v>
          </cell>
          <cell r="B34" t="str">
            <v>Agro America</v>
          </cell>
          <cell r="C34">
            <v>1012038</v>
          </cell>
          <cell r="D34">
            <v>18878.499</v>
          </cell>
          <cell r="E34">
            <v>143468</v>
          </cell>
          <cell r="F34">
            <v>-83875</v>
          </cell>
          <cell r="G34">
            <v>7.5995448578830338</v>
          </cell>
        </row>
        <row r="35">
          <cell r="A35" t="str">
            <v>Agro America1012107</v>
          </cell>
          <cell r="B35" t="str">
            <v>Agro America</v>
          </cell>
          <cell r="C35">
            <v>1012107</v>
          </cell>
          <cell r="D35">
            <v>838383.1649999998</v>
          </cell>
          <cell r="E35">
            <v>6637918.4225000003</v>
          </cell>
          <cell r="F35">
            <v>5369518.4225000003</v>
          </cell>
          <cell r="G35">
            <v>7.917523513845846</v>
          </cell>
        </row>
        <row r="36">
          <cell r="A36" t="str">
            <v>Agro America1012108</v>
          </cell>
          <cell r="B36" t="str">
            <v>Agro America</v>
          </cell>
          <cell r="C36">
            <v>1012108</v>
          </cell>
          <cell r="D36">
            <v>1700480.121</v>
          </cell>
          <cell r="E36">
            <v>12567290.98</v>
          </cell>
          <cell r="F36">
            <v>10772490.98</v>
          </cell>
          <cell r="G36">
            <v>7.3904368682708057</v>
          </cell>
        </row>
        <row r="37">
          <cell r="A37" t="str">
            <v>Agro America1012109</v>
          </cell>
          <cell r="B37" t="str">
            <v>Agro America</v>
          </cell>
          <cell r="C37">
            <v>1012109</v>
          </cell>
          <cell r="D37">
            <v>2105737.3560000001</v>
          </cell>
          <cell r="E37">
            <v>16556796.925800001</v>
          </cell>
          <cell r="F37">
            <v>14634156.925800001</v>
          </cell>
          <cell r="G37">
            <v>7.8627075112780593</v>
          </cell>
        </row>
        <row r="38">
          <cell r="A38" t="str">
            <v>Agro America1012110</v>
          </cell>
          <cell r="B38" t="str">
            <v>Agro America</v>
          </cell>
          <cell r="C38">
            <v>1012110</v>
          </cell>
          <cell r="D38">
            <v>426140.61100000003</v>
          </cell>
          <cell r="E38">
            <v>3291140.76</v>
          </cell>
          <cell r="F38">
            <v>2394740.7599999998</v>
          </cell>
          <cell r="G38">
            <v>7.7231333391972807</v>
          </cell>
        </row>
        <row r="39">
          <cell r="A39" t="str">
            <v>Agro America1012111</v>
          </cell>
          <cell r="B39" t="str">
            <v>Agro America</v>
          </cell>
          <cell r="C39">
            <v>1012111</v>
          </cell>
          <cell r="D39">
            <v>262992.64199999999</v>
          </cell>
          <cell r="E39">
            <v>2039064.21</v>
          </cell>
          <cell r="F39">
            <v>1403064.21</v>
          </cell>
          <cell r="G39">
            <v>7.7533127713892469</v>
          </cell>
        </row>
        <row r="40">
          <cell r="A40" t="str">
            <v>Agro America1012112</v>
          </cell>
          <cell r="B40" t="str">
            <v>Agro America</v>
          </cell>
          <cell r="C40">
            <v>1012112</v>
          </cell>
          <cell r="D40">
            <v>124266.06399999998</v>
          </cell>
          <cell r="E40">
            <v>701660.8</v>
          </cell>
          <cell r="F40">
            <v>579460.80000000005</v>
          </cell>
          <cell r="G40">
            <v>5.6464394011867967</v>
          </cell>
        </row>
        <row r="41">
          <cell r="A41" t="str">
            <v>Agro America1012122</v>
          </cell>
          <cell r="B41" t="str">
            <v>Agro America</v>
          </cell>
          <cell r="C41">
            <v>1012122</v>
          </cell>
          <cell r="D41">
            <v>0</v>
          </cell>
          <cell r="E41"/>
          <cell r="F41">
            <v>-100000</v>
          </cell>
          <cell r="G41" t="e">
            <v>#DIV/0!</v>
          </cell>
        </row>
        <row r="42">
          <cell r="A42" t="str">
            <v>Agro America1012145</v>
          </cell>
          <cell r="B42" t="str">
            <v>Agro America</v>
          </cell>
          <cell r="C42">
            <v>1012145</v>
          </cell>
          <cell r="D42">
            <v>651346.86199999996</v>
          </cell>
          <cell r="E42">
            <v>4215547.1160000004</v>
          </cell>
          <cell r="F42">
            <v>485042.11599999998</v>
          </cell>
          <cell r="G42">
            <v>6.4720464040556021</v>
          </cell>
        </row>
        <row r="43">
          <cell r="A43" t="str">
            <v>Agro America1012147</v>
          </cell>
          <cell r="B43" t="str">
            <v>Agro America</v>
          </cell>
          <cell r="C43">
            <v>1012147</v>
          </cell>
          <cell r="D43">
            <v>639335.11100000003</v>
          </cell>
          <cell r="E43">
            <v>4297693.74</v>
          </cell>
          <cell r="F43">
            <v>384750.74</v>
          </cell>
          <cell r="G43">
            <v>6.7221300161004294</v>
          </cell>
        </row>
        <row r="44">
          <cell r="A44" t="str">
            <v>Agro America1012148</v>
          </cell>
          <cell r="B44" t="str">
            <v>Agro America</v>
          </cell>
          <cell r="C44">
            <v>1012148</v>
          </cell>
          <cell r="D44">
            <v>525834.14600000007</v>
          </cell>
          <cell r="E44">
            <v>2384244.48</v>
          </cell>
          <cell r="F44">
            <v>-300364.52000000008</v>
          </cell>
          <cell r="G44">
            <v>4.5342138735889543</v>
          </cell>
        </row>
        <row r="45">
          <cell r="A45" t="str">
            <v>Agro America1012157</v>
          </cell>
          <cell r="B45" t="str">
            <v>Agro America</v>
          </cell>
          <cell r="C45">
            <v>1012157</v>
          </cell>
          <cell r="D45">
            <v>340919.74599999998</v>
          </cell>
          <cell r="E45">
            <v>1290736</v>
          </cell>
          <cell r="F45">
            <v>178525</v>
          </cell>
          <cell r="G45">
            <v>3.7860406008867553</v>
          </cell>
        </row>
        <row r="46">
          <cell r="A46" t="str">
            <v>Agro America1012158</v>
          </cell>
          <cell r="B46" t="str">
            <v>Agro America</v>
          </cell>
          <cell r="C46">
            <v>1012158</v>
          </cell>
          <cell r="D46">
            <v>622328.22400000005</v>
          </cell>
          <cell r="E46">
            <v>4235894.3169999998</v>
          </cell>
          <cell r="F46">
            <v>1305965.317</v>
          </cell>
          <cell r="G46">
            <v>6.8065277351136171</v>
          </cell>
        </row>
        <row r="47">
          <cell r="A47" t="str">
            <v>Agro America1012159</v>
          </cell>
          <cell r="B47" t="str">
            <v>Agro America</v>
          </cell>
          <cell r="C47">
            <v>1012159</v>
          </cell>
          <cell r="D47">
            <v>2230729.1680000001</v>
          </cell>
          <cell r="E47">
            <v>7924397.1871999996</v>
          </cell>
          <cell r="F47">
            <v>-973045.81279999996</v>
          </cell>
          <cell r="G47">
            <v>3.5523797782698825</v>
          </cell>
        </row>
        <row r="48">
          <cell r="A48" t="str">
            <v>Agro America1012160</v>
          </cell>
          <cell r="B48" t="str">
            <v>Agro America</v>
          </cell>
          <cell r="C48">
            <v>1012160</v>
          </cell>
          <cell r="D48">
            <v>244340.93900000001</v>
          </cell>
          <cell r="E48">
            <v>1268703.8600000001</v>
          </cell>
          <cell r="F48">
            <v>253416.86</v>
          </cell>
          <cell r="G48">
            <v>5.1923507587076925</v>
          </cell>
        </row>
        <row r="49">
          <cell r="A49" t="str">
            <v>Agro America1012161</v>
          </cell>
          <cell r="B49" t="str">
            <v>Agro America</v>
          </cell>
          <cell r="C49">
            <v>1012161</v>
          </cell>
          <cell r="D49">
            <v>624959.05799999996</v>
          </cell>
          <cell r="E49">
            <v>4167755.8032999998</v>
          </cell>
          <cell r="F49">
            <v>1360622.8033</v>
          </cell>
          <cell r="G49">
            <v>6.6688461427180403</v>
          </cell>
        </row>
        <row r="50">
          <cell r="A50" t="str">
            <v>Agro America1012163</v>
          </cell>
          <cell r="B50" t="str">
            <v>Agro America</v>
          </cell>
          <cell r="C50">
            <v>1012163</v>
          </cell>
          <cell r="D50">
            <v>959528.51600000006</v>
          </cell>
          <cell r="E50">
            <v>6590931.0899999999</v>
          </cell>
          <cell r="F50">
            <v>2050579.09</v>
          </cell>
          <cell r="G50">
            <v>6.8689267490201402</v>
          </cell>
        </row>
        <row r="51">
          <cell r="A51" t="str">
            <v>Agro America1012164</v>
          </cell>
          <cell r="B51" t="str">
            <v>Agro America</v>
          </cell>
          <cell r="C51">
            <v>1012164</v>
          </cell>
          <cell r="D51">
            <v>391105.16699999996</v>
          </cell>
          <cell r="E51">
            <v>2589622.4</v>
          </cell>
          <cell r="F51">
            <v>124865.39999999997</v>
          </cell>
          <cell r="G51">
            <v>6.621294266869147</v>
          </cell>
        </row>
        <row r="52">
          <cell r="A52" t="str">
            <v>Agro America1012165</v>
          </cell>
          <cell r="B52" t="str">
            <v>Agro America</v>
          </cell>
          <cell r="C52">
            <v>1012165</v>
          </cell>
          <cell r="D52">
            <v>3899312.7</v>
          </cell>
          <cell r="E52">
            <v>16413383.156100001</v>
          </cell>
          <cell r="F52">
            <v>-1839434.8438999997</v>
          </cell>
          <cell r="G52">
            <v>4.2093015920728805</v>
          </cell>
        </row>
        <row r="53">
          <cell r="A53" t="str">
            <v>Agro America1012166</v>
          </cell>
          <cell r="B53" t="str">
            <v>Agro America</v>
          </cell>
          <cell r="C53">
            <v>1012166</v>
          </cell>
          <cell r="D53">
            <v>174868.788</v>
          </cell>
          <cell r="E53">
            <v>604780.58000000007</v>
          </cell>
          <cell r="F53">
            <v>-535388.41999999993</v>
          </cell>
          <cell r="G53">
            <v>3.4584821391911293</v>
          </cell>
        </row>
        <row r="54">
          <cell r="A54" t="str">
            <v>Agro America1012167</v>
          </cell>
          <cell r="B54" t="str">
            <v>Agro America</v>
          </cell>
          <cell r="C54">
            <v>1012167</v>
          </cell>
          <cell r="D54">
            <v>2221439.605</v>
          </cell>
          <cell r="E54">
            <v>12935681.199999999</v>
          </cell>
          <cell r="F54">
            <v>770106.2</v>
          </cell>
          <cell r="G54">
            <v>5.823107308830032</v>
          </cell>
        </row>
        <row r="55">
          <cell r="A55" t="str">
            <v>Agro America1012310</v>
          </cell>
          <cell r="B55" t="str">
            <v>Agro America</v>
          </cell>
          <cell r="C55">
            <v>1012310</v>
          </cell>
          <cell r="D55">
            <v>108.86199999999999</v>
          </cell>
          <cell r="E55">
            <v>360</v>
          </cell>
          <cell r="F55">
            <v>360</v>
          </cell>
          <cell r="G55">
            <v>3.3069390604618691</v>
          </cell>
        </row>
        <row r="56">
          <cell r="A56" t="str">
            <v>Agro America1012325</v>
          </cell>
          <cell r="B56" t="str">
            <v>Agro America</v>
          </cell>
          <cell r="C56">
            <v>1012325</v>
          </cell>
          <cell r="D56">
            <v>619.38</v>
          </cell>
          <cell r="E56">
            <v>1160.675</v>
          </cell>
          <cell r="F56">
            <v>1160.675</v>
          </cell>
          <cell r="G56">
            <v>1.873930381994898</v>
          </cell>
        </row>
        <row r="57">
          <cell r="A57" t="str">
            <v>Agro America1012399</v>
          </cell>
          <cell r="B57" t="str">
            <v>Agro America</v>
          </cell>
          <cell r="C57">
            <v>1012399</v>
          </cell>
          <cell r="D57">
            <v>18441.236000000001</v>
          </cell>
          <cell r="E57">
            <v>115869.6</v>
          </cell>
          <cell r="F57">
            <v>115869.6</v>
          </cell>
          <cell r="G57">
            <v>6.2831797174549475</v>
          </cell>
        </row>
        <row r="58">
          <cell r="A58" t="str">
            <v>Agro America1012401</v>
          </cell>
          <cell r="B58" t="str">
            <v>Agro America</v>
          </cell>
          <cell r="C58">
            <v>1012401</v>
          </cell>
          <cell r="D58">
            <v>36882.472000000002</v>
          </cell>
          <cell r="E58">
            <v>197181.59999999998</v>
          </cell>
          <cell r="F58">
            <v>91181.599999999991</v>
          </cell>
          <cell r="G58">
            <v>5.3462143209923667</v>
          </cell>
        </row>
        <row r="59">
          <cell r="A59" t="str">
            <v>Agro America1012483</v>
          </cell>
          <cell r="B59" t="str">
            <v>Agro America</v>
          </cell>
          <cell r="C59">
            <v>1012483</v>
          </cell>
          <cell r="D59">
            <v>2077868.6639999996</v>
          </cell>
          <cell r="E59">
            <v>9120807.5300000012</v>
          </cell>
          <cell r="F59">
            <v>-643230.47</v>
          </cell>
          <cell r="G59">
            <v>4.3895014579227531</v>
          </cell>
        </row>
        <row r="60">
          <cell r="A60" t="str">
            <v>Agro America1012488</v>
          </cell>
          <cell r="B60" t="str">
            <v>Agro America</v>
          </cell>
          <cell r="C60">
            <v>1012488</v>
          </cell>
          <cell r="D60">
            <v>190290.916</v>
          </cell>
          <cell r="E60">
            <v>1140744</v>
          </cell>
          <cell r="F60">
            <v>490144</v>
          </cell>
          <cell r="G60">
            <v>5.99473702675329</v>
          </cell>
        </row>
        <row r="61">
          <cell r="A61" t="str">
            <v>Agro America1012518</v>
          </cell>
          <cell r="B61" t="str">
            <v>Agro America</v>
          </cell>
          <cell r="C61">
            <v>1012518</v>
          </cell>
          <cell r="D61">
            <v>693233.72500000009</v>
          </cell>
          <cell r="E61">
            <v>4734692.18</v>
          </cell>
          <cell r="F61">
            <v>-65185.819999999832</v>
          </cell>
          <cell r="G61">
            <v>6.8298641702695564</v>
          </cell>
        </row>
        <row r="62">
          <cell r="A62" t="str">
            <v>Agro America1012519</v>
          </cell>
          <cell r="B62" t="str">
            <v>Agro America</v>
          </cell>
          <cell r="C62">
            <v>1012519</v>
          </cell>
          <cell r="D62">
            <v>105578.07399999999</v>
          </cell>
          <cell r="E62">
            <v>796004</v>
          </cell>
          <cell r="F62">
            <v>-7875113</v>
          </cell>
          <cell r="G62">
            <v>7.5394821087567863</v>
          </cell>
        </row>
        <row r="63">
          <cell r="A63" t="str">
            <v>Agro America1012520</v>
          </cell>
          <cell r="B63" t="str">
            <v>Agro America</v>
          </cell>
          <cell r="C63">
            <v>1012520</v>
          </cell>
          <cell r="D63">
            <v>418465.83399999997</v>
          </cell>
          <cell r="E63">
            <v>2989525.02</v>
          </cell>
          <cell r="F63">
            <v>-11832888.98</v>
          </cell>
          <cell r="G63">
            <v>7.1440121919248494</v>
          </cell>
        </row>
        <row r="64">
          <cell r="A64" t="str">
            <v>Agro America1012521</v>
          </cell>
          <cell r="B64" t="str">
            <v>Agro America</v>
          </cell>
          <cell r="C64">
            <v>1012521</v>
          </cell>
          <cell r="D64">
            <v>1114275.9620000001</v>
          </cell>
          <cell r="E64">
            <v>8824180.870000001</v>
          </cell>
          <cell r="F64">
            <v>-11396837.129999999</v>
          </cell>
          <cell r="G64">
            <v>7.9192059875020444</v>
          </cell>
        </row>
        <row r="65">
          <cell r="A65" t="str">
            <v>Agro America1012522</v>
          </cell>
          <cell r="B65" t="str">
            <v>Agro America</v>
          </cell>
          <cell r="C65">
            <v>1012522</v>
          </cell>
          <cell r="D65">
            <v>553454.81599999999</v>
          </cell>
          <cell r="E65">
            <v>4381996.8</v>
          </cell>
          <cell r="F65">
            <v>-1891066.2</v>
          </cell>
          <cell r="G65">
            <v>7.9175330547670217</v>
          </cell>
        </row>
        <row r="66">
          <cell r="A66" t="str">
            <v>Agro America1012523</v>
          </cell>
          <cell r="B66" t="str">
            <v>Agro America</v>
          </cell>
          <cell r="C66">
            <v>1012523</v>
          </cell>
          <cell r="D66">
            <v>368607.00199999998</v>
          </cell>
          <cell r="E66">
            <v>2752719</v>
          </cell>
          <cell r="F66">
            <v>-1935234</v>
          </cell>
          <cell r="G66">
            <v>7.4678966624730592</v>
          </cell>
        </row>
        <row r="67">
          <cell r="A67" t="str">
            <v>Agro America1012524</v>
          </cell>
          <cell r="B67" t="str">
            <v>Agro America</v>
          </cell>
          <cell r="C67">
            <v>1012524</v>
          </cell>
          <cell r="D67">
            <v>150846.554</v>
          </cell>
          <cell r="E67">
            <v>871206</v>
          </cell>
          <cell r="F67">
            <v>-1995780</v>
          </cell>
          <cell r="G67">
            <v>5.7754451586610323</v>
          </cell>
        </row>
        <row r="68">
          <cell r="A68" t="str">
            <v>Agro America1012532</v>
          </cell>
          <cell r="B68" t="str">
            <v>Agro America</v>
          </cell>
          <cell r="C68">
            <v>1012532</v>
          </cell>
          <cell r="D68">
            <v>27796.118000000002</v>
          </cell>
          <cell r="E68">
            <v>39446</v>
          </cell>
          <cell r="F68">
            <v>39446</v>
          </cell>
          <cell r="G68">
            <v>1.4191190294990113</v>
          </cell>
        </row>
        <row r="69">
          <cell r="A69" t="str">
            <v>Agro America1012597</v>
          </cell>
          <cell r="B69" t="str">
            <v>Agro America</v>
          </cell>
          <cell r="C69">
            <v>1012597</v>
          </cell>
          <cell r="D69">
            <v>477378.36499999999</v>
          </cell>
          <cell r="E69">
            <v>2720540.6999999997</v>
          </cell>
          <cell r="F69">
            <v>2720540.6999999997</v>
          </cell>
          <cell r="G69">
            <v>5.6989191372340464</v>
          </cell>
        </row>
        <row r="70">
          <cell r="A70" t="str">
            <v>Agro America1012601</v>
          </cell>
          <cell r="B70" t="str">
            <v>Agro America</v>
          </cell>
          <cell r="C70">
            <v>1012601</v>
          </cell>
          <cell r="D70">
            <v>1193237.2590000001</v>
          </cell>
          <cell r="E70">
            <v>1167539.2</v>
          </cell>
          <cell r="F70">
            <v>313751.2</v>
          </cell>
          <cell r="G70">
            <v>0.97846357980680509</v>
          </cell>
        </row>
        <row r="71">
          <cell r="A71" t="str">
            <v>Agro America1012602</v>
          </cell>
          <cell r="B71" t="str">
            <v>Agro America</v>
          </cell>
          <cell r="C71">
            <v>1012602</v>
          </cell>
          <cell r="D71">
            <v>0</v>
          </cell>
          <cell r="E71">
            <v>-1280</v>
          </cell>
          <cell r="F71">
            <v>-1280</v>
          </cell>
          <cell r="G71" t="e">
            <v>#DIV/0!</v>
          </cell>
        </row>
        <row r="72">
          <cell r="A72" t="str">
            <v>Agro America1012624</v>
          </cell>
          <cell r="B72" t="str">
            <v>Agro America</v>
          </cell>
          <cell r="C72">
            <v>1012624</v>
          </cell>
          <cell r="D72">
            <v>707.60400000000004</v>
          </cell>
          <cell r="E72">
            <v>1326</v>
          </cell>
          <cell r="F72">
            <v>1326</v>
          </cell>
          <cell r="G72">
            <v>1.8739294859836857</v>
          </cell>
        </row>
        <row r="73">
          <cell r="A73" t="str">
            <v>Agro America1012627</v>
          </cell>
          <cell r="B73" t="str">
            <v>Agro America</v>
          </cell>
          <cell r="C73">
            <v>1012627</v>
          </cell>
          <cell r="D73">
            <v>1632.931</v>
          </cell>
          <cell r="E73">
            <v>-2911.34</v>
          </cell>
          <cell r="F73">
            <v>-2911.34</v>
          </cell>
          <cell r="G73">
            <v>-1.7828922348831642</v>
          </cell>
        </row>
        <row r="74">
          <cell r="A74" t="str">
            <v>Agro America1012628</v>
          </cell>
          <cell r="B74" t="str">
            <v>Agro America</v>
          </cell>
          <cell r="C74">
            <v>1012628</v>
          </cell>
          <cell r="D74">
            <v>1034.19</v>
          </cell>
          <cell r="E74">
            <v>5654.4</v>
          </cell>
          <cell r="F74">
            <v>5654.4</v>
          </cell>
          <cell r="G74">
            <v>5.4674672932439874</v>
          </cell>
        </row>
        <row r="75">
          <cell r="A75" t="str">
            <v>Agro America1012694</v>
          </cell>
          <cell r="B75" t="str">
            <v>Agro America</v>
          </cell>
          <cell r="C75">
            <v>1012694</v>
          </cell>
          <cell r="D75">
            <v>148034.28599999999</v>
          </cell>
          <cell r="E75">
            <v>1136140</v>
          </cell>
          <cell r="F75">
            <v>291913</v>
          </cell>
          <cell r="G75">
            <v>7.6748436507472331</v>
          </cell>
        </row>
        <row r="76">
          <cell r="A76" t="str">
            <v>Agro America1020822</v>
          </cell>
          <cell r="B76" t="str">
            <v>Agro America</v>
          </cell>
          <cell r="C76">
            <v>1020822</v>
          </cell>
          <cell r="D76">
            <v>95848.837</v>
          </cell>
          <cell r="E76">
            <v>253047.36470000003</v>
          </cell>
          <cell r="F76">
            <v>124941.36470000001</v>
          </cell>
          <cell r="G76">
            <v>2.6400671371735061</v>
          </cell>
        </row>
        <row r="77">
          <cell r="A77" t="str">
            <v>Agro America1020828</v>
          </cell>
          <cell r="B77" t="str">
            <v>Agro America</v>
          </cell>
          <cell r="C77">
            <v>1020828</v>
          </cell>
          <cell r="D77">
            <v>89848.736999999994</v>
          </cell>
          <cell r="E77">
            <v>773363.21600000001</v>
          </cell>
          <cell r="F77">
            <v>-509054.7840000001</v>
          </cell>
          <cell r="G77">
            <v>8.6073910643841334</v>
          </cell>
        </row>
        <row r="78">
          <cell r="A78" t="str">
            <v>Agro America1020878</v>
          </cell>
          <cell r="B78" t="str">
            <v>Agro America</v>
          </cell>
          <cell r="C78">
            <v>1020878</v>
          </cell>
          <cell r="D78">
            <v>71998.657999999996</v>
          </cell>
          <cell r="E78">
            <v>179364.90000000002</v>
          </cell>
          <cell r="F78">
            <v>53630.900000000009</v>
          </cell>
          <cell r="G78">
            <v>2.4912256003438289</v>
          </cell>
        </row>
        <row r="79">
          <cell r="A79" t="str">
            <v>Agro America1021260</v>
          </cell>
          <cell r="B79" t="str">
            <v>Agro America</v>
          </cell>
          <cell r="C79">
            <v>1021260</v>
          </cell>
          <cell r="D79">
            <v>46842.904000000002</v>
          </cell>
          <cell r="E79">
            <v>45439.244400000003</v>
          </cell>
          <cell r="F79">
            <v>22164.244400000003</v>
          </cell>
          <cell r="G79">
            <v>0.97003474421654134</v>
          </cell>
        </row>
        <row r="80">
          <cell r="A80" t="str">
            <v>Agro America1021398</v>
          </cell>
          <cell r="B80" t="str">
            <v>Agro America</v>
          </cell>
          <cell r="C80">
            <v>1021398</v>
          </cell>
          <cell r="D80">
            <v>167123.70500000002</v>
          </cell>
          <cell r="E80">
            <v>571065.20900000003</v>
          </cell>
          <cell r="F80">
            <v>-149246.79099999997</v>
          </cell>
          <cell r="G80">
            <v>3.4170209965127327</v>
          </cell>
        </row>
        <row r="81">
          <cell r="A81" t="str">
            <v>Agro America1021538</v>
          </cell>
          <cell r="B81" t="str">
            <v>Agro America</v>
          </cell>
          <cell r="C81">
            <v>1021538</v>
          </cell>
          <cell r="D81">
            <v>659086.19499999995</v>
          </cell>
          <cell r="E81">
            <v>3649817.9228000003</v>
          </cell>
          <cell r="F81">
            <v>-1908934.0771999997</v>
          </cell>
          <cell r="G81">
            <v>5.537694387302408</v>
          </cell>
        </row>
        <row r="82">
          <cell r="A82" t="str">
            <v>Agro America1021539</v>
          </cell>
          <cell r="B82" t="str">
            <v>Agro America</v>
          </cell>
          <cell r="C82">
            <v>1021539</v>
          </cell>
          <cell r="D82">
            <v>56688.998</v>
          </cell>
          <cell r="E82">
            <v>363175.96499999997</v>
          </cell>
          <cell r="F82">
            <v>-67824.035000000003</v>
          </cell>
          <cell r="G82">
            <v>6.4064629436561917</v>
          </cell>
        </row>
        <row r="83">
          <cell r="A83" t="str">
            <v>Agro America1022619</v>
          </cell>
          <cell r="B83" t="str">
            <v>Agro America</v>
          </cell>
          <cell r="C83">
            <v>1022619</v>
          </cell>
          <cell r="D83">
            <v>29698.853999999999</v>
          </cell>
          <cell r="E83">
            <v>228145.56900000002</v>
          </cell>
          <cell r="F83">
            <v>82882.569000000018</v>
          </cell>
          <cell r="G83">
            <v>7.6819654051297741</v>
          </cell>
        </row>
        <row r="84">
          <cell r="A84" t="str">
            <v>Agro America1022883</v>
          </cell>
          <cell r="B84" t="str">
            <v>Agro America</v>
          </cell>
          <cell r="C84">
            <v>1022883</v>
          </cell>
          <cell r="D84">
            <v>67192.398000000001</v>
          </cell>
          <cell r="E84">
            <v>489656.3</v>
          </cell>
          <cell r="F84">
            <v>-28263.700000000019</v>
          </cell>
          <cell r="G84">
            <v>7.2873764677962525</v>
          </cell>
        </row>
        <row r="85">
          <cell r="A85" t="str">
            <v>Agro America1023050</v>
          </cell>
          <cell r="B85" t="str">
            <v>Agro America</v>
          </cell>
          <cell r="C85">
            <v>1023050</v>
          </cell>
          <cell r="D85">
            <v>188649.15600000002</v>
          </cell>
          <cell r="E85">
            <v>531388.62150000001</v>
          </cell>
          <cell r="F85">
            <v>179746.62150000001</v>
          </cell>
          <cell r="G85">
            <v>2.8168088994789882</v>
          </cell>
        </row>
        <row r="86">
          <cell r="A86" t="str">
            <v>Agro America1023190</v>
          </cell>
          <cell r="B86" t="str">
            <v>Agro America</v>
          </cell>
          <cell r="C86">
            <v>1023190</v>
          </cell>
          <cell r="D86">
            <v>1430684.568</v>
          </cell>
          <cell r="E86">
            <v>1378036.9643000001</v>
          </cell>
          <cell r="F86">
            <v>221161.96429999999</v>
          </cell>
          <cell r="G86">
            <v>0.96320111023941657</v>
          </cell>
        </row>
        <row r="87">
          <cell r="A87" t="str">
            <v>Agro America1023273</v>
          </cell>
          <cell r="B87" t="str">
            <v>Agro America</v>
          </cell>
          <cell r="C87">
            <v>1023273</v>
          </cell>
          <cell r="D87">
            <v>96100.894</v>
          </cell>
          <cell r="E87">
            <v>404083.54729999998</v>
          </cell>
          <cell r="F87">
            <v>-91658.45269999998</v>
          </cell>
          <cell r="G87">
            <v>4.2047844768228693</v>
          </cell>
        </row>
        <row r="88">
          <cell r="A88" t="str">
            <v>Agro America1023274</v>
          </cell>
          <cell r="B88" t="str">
            <v>Agro America</v>
          </cell>
          <cell r="C88">
            <v>1023274</v>
          </cell>
          <cell r="D88">
            <v>30781.531000000003</v>
          </cell>
          <cell r="E88">
            <v>135510.81150000001</v>
          </cell>
          <cell r="F88">
            <v>76569.811499999996</v>
          </cell>
          <cell r="G88">
            <v>4.4023415047159284</v>
          </cell>
        </row>
        <row r="89">
          <cell r="A89" t="str">
            <v>Agro America1023276</v>
          </cell>
          <cell r="B89" t="str">
            <v>Agro America</v>
          </cell>
          <cell r="C89">
            <v>1023276</v>
          </cell>
          <cell r="D89">
            <v>18156.272000000001</v>
          </cell>
          <cell r="E89">
            <v>70048.58</v>
          </cell>
          <cell r="F89">
            <v>-83950.42</v>
          </cell>
          <cell r="G89">
            <v>3.8580926745314237</v>
          </cell>
        </row>
        <row r="90">
          <cell r="A90" t="str">
            <v>Agro America1030228</v>
          </cell>
          <cell r="B90" t="str">
            <v>Agro America</v>
          </cell>
          <cell r="C90">
            <v>1030228</v>
          </cell>
          <cell r="D90">
            <v>0</v>
          </cell>
          <cell r="E90"/>
          <cell r="F90">
            <v>-222513</v>
          </cell>
          <cell r="G90" t="e">
            <v>#DIV/0!</v>
          </cell>
        </row>
        <row r="91">
          <cell r="A91" t="str">
            <v>Agro America1030239</v>
          </cell>
          <cell r="B91" t="str">
            <v>Agro America</v>
          </cell>
          <cell r="C91">
            <v>1030239</v>
          </cell>
          <cell r="D91">
            <v>168001.40600000002</v>
          </cell>
          <cell r="E91">
            <v>475994.6</v>
          </cell>
          <cell r="F91">
            <v>214337.6</v>
          </cell>
          <cell r="G91">
            <v>2.8332774786420534</v>
          </cell>
        </row>
        <row r="92">
          <cell r="A92" t="str">
            <v>Agro America1030321</v>
          </cell>
          <cell r="B92" t="str">
            <v>Agro America</v>
          </cell>
          <cell r="C92">
            <v>1030321</v>
          </cell>
          <cell r="D92">
            <v>21643.121999999999</v>
          </cell>
          <cell r="E92">
            <v>157513.6439</v>
          </cell>
          <cell r="F92">
            <v>-36742.35609999999</v>
          </cell>
          <cell r="G92">
            <v>7.2777690713936742</v>
          </cell>
        </row>
        <row r="93">
          <cell r="A93" t="str">
            <v>Agro America1030360</v>
          </cell>
          <cell r="B93" t="str">
            <v>Agro America</v>
          </cell>
          <cell r="C93">
            <v>1030360</v>
          </cell>
          <cell r="D93">
            <v>21822.435999999998</v>
          </cell>
          <cell r="E93">
            <v>139744.43409999998</v>
          </cell>
          <cell r="F93">
            <v>22877.434099999999</v>
          </cell>
          <cell r="G93">
            <v>6.4037046139120308</v>
          </cell>
        </row>
        <row r="94">
          <cell r="A94" t="str">
            <v>Agro America1030366</v>
          </cell>
          <cell r="B94" t="str">
            <v>Agro America</v>
          </cell>
          <cell r="C94">
            <v>1030366</v>
          </cell>
          <cell r="D94">
            <v>0</v>
          </cell>
          <cell r="E94"/>
          <cell r="F94">
            <v>-22226</v>
          </cell>
          <cell r="G94" t="e">
            <v>#DIV/0!</v>
          </cell>
        </row>
        <row r="95">
          <cell r="A95" t="str">
            <v>Agro America1030370</v>
          </cell>
          <cell r="B95" t="str">
            <v>Agro America</v>
          </cell>
          <cell r="C95">
            <v>1030370</v>
          </cell>
          <cell r="D95">
            <v>85093.860000000015</v>
          </cell>
          <cell r="E95">
            <v>409497.59999999998</v>
          </cell>
          <cell r="F95">
            <v>140354.6</v>
          </cell>
          <cell r="G95">
            <v>4.8123049066054815</v>
          </cell>
        </row>
        <row r="96">
          <cell r="A96" t="str">
            <v>Agro America1030376</v>
          </cell>
          <cell r="B96" t="str">
            <v>Agro America</v>
          </cell>
          <cell r="C96">
            <v>1030376</v>
          </cell>
          <cell r="D96">
            <v>16714.54</v>
          </cell>
          <cell r="E96">
            <v>117949.6323</v>
          </cell>
          <cell r="F96">
            <v>5997.6322999999975</v>
          </cell>
          <cell r="G96">
            <v>7.0567082492249256</v>
          </cell>
        </row>
        <row r="97">
          <cell r="A97" t="str">
            <v>Agro America1030379</v>
          </cell>
          <cell r="B97" t="str">
            <v>Agro America</v>
          </cell>
          <cell r="C97">
            <v>1030379</v>
          </cell>
          <cell r="D97">
            <v>3921212.1209999998</v>
          </cell>
          <cell r="E97">
            <v>39842194.400000006</v>
          </cell>
          <cell r="F97">
            <v>6698457.3999999994</v>
          </cell>
          <cell r="G97">
            <v>10.160683271028788</v>
          </cell>
        </row>
        <row r="98">
          <cell r="A98" t="str">
            <v>Agro America1030424</v>
          </cell>
          <cell r="B98" t="str">
            <v>Agro America</v>
          </cell>
          <cell r="C98">
            <v>1030424</v>
          </cell>
          <cell r="D98">
            <v>373104.24100000004</v>
          </cell>
          <cell r="E98">
            <v>2578425.9452</v>
          </cell>
          <cell r="F98">
            <v>-119093.05480000004</v>
          </cell>
          <cell r="G98">
            <v>6.9107387744756288</v>
          </cell>
        </row>
        <row r="99">
          <cell r="A99" t="str">
            <v>Agro America1030452</v>
          </cell>
          <cell r="B99" t="str">
            <v>Agro America</v>
          </cell>
          <cell r="C99">
            <v>1030452</v>
          </cell>
          <cell r="D99">
            <v>67446.342000000004</v>
          </cell>
          <cell r="E99">
            <v>629280.07070000004</v>
          </cell>
          <cell r="F99">
            <v>271099.07069999998</v>
          </cell>
          <cell r="G99">
            <v>9.3300845092532967</v>
          </cell>
        </row>
        <row r="100">
          <cell r="A100" t="str">
            <v>Agro America1030461</v>
          </cell>
          <cell r="B100" t="str">
            <v>Agro America</v>
          </cell>
          <cell r="C100">
            <v>1030461</v>
          </cell>
          <cell r="D100">
            <v>1417.9470000000001</v>
          </cell>
          <cell r="E100">
            <v>14519.57</v>
          </cell>
          <cell r="F100">
            <v>386.56999999999789</v>
          </cell>
          <cell r="G100">
            <v>10.239853816821078</v>
          </cell>
        </row>
        <row r="101">
          <cell r="A101" t="str">
            <v>Agro America1030505</v>
          </cell>
          <cell r="B101" t="str">
            <v>Agro America</v>
          </cell>
          <cell r="C101">
            <v>1030505</v>
          </cell>
          <cell r="D101">
            <v>34527.422999999995</v>
          </cell>
          <cell r="E101">
            <v>281106</v>
          </cell>
          <cell r="F101">
            <v>-105305</v>
          </cell>
          <cell r="G101">
            <v>8.1415285467438459</v>
          </cell>
        </row>
        <row r="102">
          <cell r="A102" t="str">
            <v>Agro America1030555</v>
          </cell>
          <cell r="B102" t="str">
            <v>Agro America</v>
          </cell>
          <cell r="C102">
            <v>1030555</v>
          </cell>
          <cell r="D102">
            <v>0</v>
          </cell>
          <cell r="E102"/>
          <cell r="F102">
            <v>-18700</v>
          </cell>
          <cell r="G102" t="e">
            <v>#DIV/0!</v>
          </cell>
        </row>
        <row r="103">
          <cell r="A103" t="str">
            <v>Agro America1030735</v>
          </cell>
          <cell r="B103" t="str">
            <v>Agro America</v>
          </cell>
          <cell r="C103">
            <v>1030735</v>
          </cell>
          <cell r="D103">
            <v>160925.37</v>
          </cell>
          <cell r="E103">
            <v>333902.09999999998</v>
          </cell>
          <cell r="F103">
            <v>61284.100000000006</v>
          </cell>
          <cell r="G103">
            <v>2.0748878812582503</v>
          </cell>
        </row>
        <row r="104">
          <cell r="A104" t="str">
            <v>Agro America1030745</v>
          </cell>
          <cell r="B104" t="str">
            <v>Agro America</v>
          </cell>
          <cell r="C104">
            <v>1030745</v>
          </cell>
          <cell r="D104">
            <v>66315.149999999994</v>
          </cell>
          <cell r="E104">
            <v>121708.4</v>
          </cell>
          <cell r="F104">
            <v>-41766.600000000006</v>
          </cell>
          <cell r="G104">
            <v>1.8353030943909499</v>
          </cell>
        </row>
        <row r="105">
          <cell r="A105" t="str">
            <v>Agro America1030773</v>
          </cell>
          <cell r="B105" t="str">
            <v>Agro America</v>
          </cell>
          <cell r="C105">
            <v>1030773</v>
          </cell>
          <cell r="D105">
            <v>63697.924999999996</v>
          </cell>
          <cell r="E105">
            <v>412816</v>
          </cell>
          <cell r="F105">
            <v>125985</v>
          </cell>
          <cell r="G105">
            <v>6.4808390540194214</v>
          </cell>
        </row>
        <row r="106">
          <cell r="A106" t="str">
            <v>Agro America1030782</v>
          </cell>
          <cell r="B106" t="str">
            <v>Agro America</v>
          </cell>
          <cell r="C106">
            <v>1030782</v>
          </cell>
          <cell r="D106">
            <v>35499.275000000001</v>
          </cell>
          <cell r="E106">
            <v>352879.51500000001</v>
          </cell>
          <cell r="F106">
            <v>105047.51499999998</v>
          </cell>
          <cell r="G106">
            <v>9.9404710377888001</v>
          </cell>
        </row>
        <row r="107">
          <cell r="A107" t="str">
            <v>Agro America1030783</v>
          </cell>
          <cell r="B107" t="str">
            <v>Agro America</v>
          </cell>
          <cell r="C107">
            <v>1030783</v>
          </cell>
          <cell r="D107">
            <v>2374.962</v>
          </cell>
          <cell r="E107">
            <v>15436.024799999999</v>
          </cell>
          <cell r="F107">
            <v>14378.024799999999</v>
          </cell>
          <cell r="G107">
            <v>6.4994828548835724</v>
          </cell>
        </row>
        <row r="108">
          <cell r="A108" t="str">
            <v>Agro America1030784</v>
          </cell>
          <cell r="B108" t="str">
            <v>Agro America</v>
          </cell>
          <cell r="C108">
            <v>1030784</v>
          </cell>
          <cell r="D108">
            <v>11218.183999999999</v>
          </cell>
          <cell r="E108">
            <v>74149.127700000012</v>
          </cell>
          <cell r="F108">
            <v>47166.127699999997</v>
          </cell>
          <cell r="G108">
            <v>6.6097264673141405</v>
          </cell>
        </row>
        <row r="109">
          <cell r="A109" t="str">
            <v>Agro America1030785</v>
          </cell>
          <cell r="B109" t="str">
            <v>Agro America</v>
          </cell>
          <cell r="C109">
            <v>1030785</v>
          </cell>
          <cell r="D109">
            <v>2508.8339999999998</v>
          </cell>
          <cell r="E109">
            <v>14575.330900000001</v>
          </cell>
          <cell r="F109">
            <v>6480.3309000000008</v>
          </cell>
          <cell r="G109">
            <v>5.8096035449136938</v>
          </cell>
        </row>
        <row r="110">
          <cell r="A110" t="str">
            <v>Agro America1030793</v>
          </cell>
          <cell r="B110" t="str">
            <v>Agro America</v>
          </cell>
          <cell r="C110">
            <v>1030793</v>
          </cell>
          <cell r="D110">
            <v>0</v>
          </cell>
          <cell r="E110"/>
          <cell r="F110">
            <v>-5397</v>
          </cell>
          <cell r="G110" t="e">
            <v>#DIV/0!</v>
          </cell>
        </row>
        <row r="111">
          <cell r="A111" t="str">
            <v>Agro America1030794</v>
          </cell>
          <cell r="B111" t="str">
            <v>Agro America</v>
          </cell>
          <cell r="C111">
            <v>1030794</v>
          </cell>
          <cell r="D111">
            <v>0</v>
          </cell>
          <cell r="E111"/>
          <cell r="F111">
            <v>-8095</v>
          </cell>
          <cell r="G111" t="e">
            <v>#DIV/0!</v>
          </cell>
        </row>
        <row r="112">
          <cell r="A112" t="str">
            <v>Agro America1030818</v>
          </cell>
          <cell r="B112" t="str">
            <v>Agro America</v>
          </cell>
          <cell r="C112">
            <v>1030818</v>
          </cell>
          <cell r="D112">
            <v>0</v>
          </cell>
          <cell r="E112"/>
          <cell r="F112">
            <v>-264540</v>
          </cell>
          <cell r="G112" t="e">
            <v>#DIV/0!</v>
          </cell>
        </row>
        <row r="113">
          <cell r="A113" t="str">
            <v>Agro America1100570</v>
          </cell>
          <cell r="B113" t="str">
            <v>Agro America</v>
          </cell>
          <cell r="C113">
            <v>1100570</v>
          </cell>
          <cell r="D113">
            <v>22055.1</v>
          </cell>
          <cell r="E113">
            <v>66875.373999999996</v>
          </cell>
          <cell r="F113">
            <v>37724.373999999996</v>
          </cell>
          <cell r="G113">
            <v>3.0321954559262938</v>
          </cell>
        </row>
        <row r="114">
          <cell r="A114" t="str">
            <v>Agro America1100572</v>
          </cell>
          <cell r="B114" t="str">
            <v>Agro America</v>
          </cell>
          <cell r="C114">
            <v>1100572</v>
          </cell>
          <cell r="D114">
            <v>30377.460000000003</v>
          </cell>
          <cell r="E114">
            <v>91678.300099999993</v>
          </cell>
          <cell r="F114">
            <v>45999.300099999993</v>
          </cell>
          <cell r="G114">
            <v>3.0179712227421249</v>
          </cell>
        </row>
        <row r="115">
          <cell r="A115" t="str">
            <v>Agro America1100573</v>
          </cell>
          <cell r="B115" t="str">
            <v>Agro America</v>
          </cell>
          <cell r="C115">
            <v>1100573</v>
          </cell>
          <cell r="D115">
            <v>16560.173999999999</v>
          </cell>
          <cell r="E115">
            <v>51171.431200000006</v>
          </cell>
          <cell r="F115">
            <v>30284.431199999999</v>
          </cell>
          <cell r="G115">
            <v>3.0900298028269515</v>
          </cell>
        </row>
        <row r="116">
          <cell r="A116" t="str">
            <v>Agro America1100574</v>
          </cell>
          <cell r="B116" t="str">
            <v>Agro America</v>
          </cell>
          <cell r="C116">
            <v>1100574</v>
          </cell>
          <cell r="D116">
            <v>46285.508000000002</v>
          </cell>
          <cell r="E116">
            <v>142205.1268</v>
          </cell>
          <cell r="F116">
            <v>79519.126799999998</v>
          </cell>
          <cell r="G116">
            <v>3.0723466792240886</v>
          </cell>
        </row>
        <row r="117">
          <cell r="A117" t="str">
            <v>Agro America1100602</v>
          </cell>
          <cell r="B117" t="str">
            <v>Agro America</v>
          </cell>
          <cell r="C117">
            <v>1100602</v>
          </cell>
          <cell r="D117">
            <v>6661.9059999999999</v>
          </cell>
          <cell r="E117">
            <v>42064.86</v>
          </cell>
          <cell r="F117">
            <v>42064.86</v>
          </cell>
          <cell r="G117">
            <v>6.3142379973539109</v>
          </cell>
        </row>
        <row r="118">
          <cell r="A118" t="str">
            <v>Agro America1011105</v>
          </cell>
          <cell r="B118" t="str">
            <v>Agro America</v>
          </cell>
          <cell r="C118">
            <v>1011105</v>
          </cell>
          <cell r="D118">
            <v>18143.68</v>
          </cell>
          <cell r="E118">
            <v>52000</v>
          </cell>
          <cell r="F118">
            <v>52000</v>
          </cell>
          <cell r="G118">
            <v>2.8660117462389105</v>
          </cell>
        </row>
        <row r="119">
          <cell r="A119" t="str">
            <v>Agro America1012115</v>
          </cell>
          <cell r="B119" t="str">
            <v>Agro America</v>
          </cell>
          <cell r="C119">
            <v>1012115</v>
          </cell>
          <cell r="D119">
            <v>36695.593000000001</v>
          </cell>
          <cell r="E119">
            <v>289822.40000000002</v>
          </cell>
          <cell r="F119">
            <v>289822.40000000002</v>
          </cell>
          <cell r="G119">
            <v>7.8980165274887373</v>
          </cell>
        </row>
        <row r="120">
          <cell r="A120" t="str">
            <v>Agro America1012579</v>
          </cell>
          <cell r="B120" t="str">
            <v>Agro America</v>
          </cell>
          <cell r="C120">
            <v>1012579</v>
          </cell>
          <cell r="D120">
            <v>70687.777000000002</v>
          </cell>
          <cell r="E120">
            <v>444144</v>
          </cell>
          <cell r="F120">
            <v>444144</v>
          </cell>
          <cell r="G120">
            <v>6.2831796224119483</v>
          </cell>
        </row>
        <row r="121">
          <cell r="A121" t="str">
            <v>Agro Europa1010877</v>
          </cell>
          <cell r="B121" t="str">
            <v>Agro Europa</v>
          </cell>
          <cell r="C121">
            <v>1010877</v>
          </cell>
          <cell r="D121">
            <v>120000</v>
          </cell>
          <cell r="E121">
            <v>144480</v>
          </cell>
          <cell r="F121">
            <v>58080</v>
          </cell>
          <cell r="G121">
            <v>1.204</v>
          </cell>
        </row>
        <row r="122">
          <cell r="A122" t="str">
            <v>Agro Europa1011042</v>
          </cell>
          <cell r="B122" t="str">
            <v>Agro Europa</v>
          </cell>
          <cell r="C122">
            <v>1011042</v>
          </cell>
          <cell r="D122">
            <v>45560</v>
          </cell>
          <cell r="E122">
            <v>31435.200000000001</v>
          </cell>
          <cell r="F122">
            <v>15595.2</v>
          </cell>
          <cell r="G122">
            <v>0.68997366110623359</v>
          </cell>
        </row>
        <row r="123">
          <cell r="A123" t="str">
            <v>Agro Europa1011748</v>
          </cell>
          <cell r="B123" t="str">
            <v>Agro Europa</v>
          </cell>
          <cell r="C123">
            <v>1011748</v>
          </cell>
          <cell r="D123">
            <v>308750</v>
          </cell>
          <cell r="E123">
            <v>1641476.0482999999</v>
          </cell>
          <cell r="F123">
            <v>514115.85050000006</v>
          </cell>
          <cell r="G123">
            <v>5.316521613927125</v>
          </cell>
        </row>
        <row r="124">
          <cell r="A124" t="str">
            <v>Agro Europa1012207</v>
          </cell>
          <cell r="B124" t="str">
            <v>Agro Europa</v>
          </cell>
          <cell r="C124">
            <v>1012207</v>
          </cell>
          <cell r="D124">
            <v>47244</v>
          </cell>
          <cell r="E124">
            <v>62804.28</v>
          </cell>
          <cell r="F124">
            <v>62804.28</v>
          </cell>
          <cell r="G124">
            <v>1.3293599187198375</v>
          </cell>
        </row>
        <row r="125">
          <cell r="A125" t="str">
            <v>Agro Europa1012405</v>
          </cell>
          <cell r="B125" t="str">
            <v>Agro Europa</v>
          </cell>
          <cell r="C125">
            <v>1012405</v>
          </cell>
          <cell r="D125">
            <v>29860</v>
          </cell>
          <cell r="E125">
            <v>131063.5336</v>
          </cell>
          <cell r="F125">
            <v>-45324.2984</v>
          </cell>
          <cell r="G125">
            <v>4.38926770261219</v>
          </cell>
        </row>
        <row r="126">
          <cell r="A126" t="str">
            <v>Agro Europa1012573</v>
          </cell>
          <cell r="B126" t="str">
            <v>Agro Europa</v>
          </cell>
          <cell r="C126">
            <v>1012573</v>
          </cell>
          <cell r="D126">
            <v>0</v>
          </cell>
          <cell r="E126">
            <v>-1.2097</v>
          </cell>
          <cell r="F126">
            <v>-1.2097</v>
          </cell>
          <cell r="G126" t="e">
            <v>#DIV/0!</v>
          </cell>
        </row>
        <row r="127">
          <cell r="A127" t="str">
            <v>Agro Europa1012702</v>
          </cell>
          <cell r="B127" t="str">
            <v>Agro Europa</v>
          </cell>
          <cell r="C127">
            <v>1012702</v>
          </cell>
          <cell r="D127">
            <v>103440</v>
          </cell>
          <cell r="E127">
            <v>535819.43260000006</v>
          </cell>
          <cell r="F127">
            <v>535819.43260000006</v>
          </cell>
          <cell r="G127">
            <v>5.1800022486465593</v>
          </cell>
        </row>
        <row r="128">
          <cell r="A128" t="str">
            <v>Agro Europa1012724</v>
          </cell>
          <cell r="B128" t="str">
            <v>Agro Europa</v>
          </cell>
          <cell r="C128">
            <v>1012724</v>
          </cell>
          <cell r="D128">
            <v>49100.44</v>
          </cell>
          <cell r="E128">
            <v>48392.545400000003</v>
          </cell>
          <cell r="F128">
            <v>-2958.9360000000015</v>
          </cell>
          <cell r="G128">
            <v>0.98558272390227053</v>
          </cell>
        </row>
        <row r="129">
          <cell r="A129" t="str">
            <v>Agro Europa1012730</v>
          </cell>
          <cell r="B129" t="str">
            <v>Agro Europa</v>
          </cell>
          <cell r="C129">
            <v>1012730</v>
          </cell>
          <cell r="D129">
            <v>139817.08000000002</v>
          </cell>
          <cell r="E129">
            <v>112937.6464</v>
          </cell>
          <cell r="F129">
            <v>28779.9876</v>
          </cell>
          <cell r="G129">
            <v>0.80775286109536826</v>
          </cell>
        </row>
        <row r="130">
          <cell r="A130" t="str">
            <v>Agro Europa1012733</v>
          </cell>
          <cell r="B130" t="str">
            <v>Agro Europa</v>
          </cell>
          <cell r="C130">
            <v>1012733</v>
          </cell>
          <cell r="D130">
            <v>0</v>
          </cell>
          <cell r="E130"/>
          <cell r="F130">
            <v>-16920.738000000001</v>
          </cell>
          <cell r="G130" t="e">
            <v>#DIV/0!</v>
          </cell>
        </row>
        <row r="131">
          <cell r="A131" t="str">
            <v>Agro Europa1012742</v>
          </cell>
          <cell r="B131" t="str">
            <v>Agro Europa</v>
          </cell>
          <cell r="C131">
            <v>1012742</v>
          </cell>
          <cell r="D131">
            <v>5600</v>
          </cell>
          <cell r="E131">
            <v>31610.722500000003</v>
          </cell>
          <cell r="F131">
            <v>31610.722500000003</v>
          </cell>
          <cell r="G131">
            <v>5.6447718750000009</v>
          </cell>
        </row>
        <row r="132">
          <cell r="A132" t="str">
            <v>Agro Europa1012745</v>
          </cell>
          <cell r="B132" t="str">
            <v>Agro Europa</v>
          </cell>
          <cell r="C132">
            <v>1012745</v>
          </cell>
          <cell r="D132">
            <v>51062.979999999996</v>
          </cell>
          <cell r="E132">
            <v>35432.833299999998</v>
          </cell>
          <cell r="F132">
            <v>16759.545100000003</v>
          </cell>
          <cell r="G132">
            <v>0.6939045331862731</v>
          </cell>
        </row>
        <row r="133">
          <cell r="A133" t="str">
            <v>Agro Europa1012773</v>
          </cell>
          <cell r="B133" t="str">
            <v>Agro Europa</v>
          </cell>
          <cell r="C133">
            <v>1012773</v>
          </cell>
          <cell r="D133">
            <v>21605.85</v>
          </cell>
          <cell r="E133">
            <v>16633.4797</v>
          </cell>
          <cell r="F133">
            <v>16633.4797</v>
          </cell>
          <cell r="G133">
            <v>0.76986000087939155</v>
          </cell>
        </row>
        <row r="134">
          <cell r="A134" t="str">
            <v>Agro Europa1020853</v>
          </cell>
          <cell r="B134" t="str">
            <v>Agro Europa</v>
          </cell>
          <cell r="C134">
            <v>1020853</v>
          </cell>
          <cell r="D134">
            <v>909460</v>
          </cell>
          <cell r="E134">
            <v>3655018.8245999999</v>
          </cell>
          <cell r="F134">
            <v>-408180.34139999992</v>
          </cell>
          <cell r="G134">
            <v>4.0188890381105269</v>
          </cell>
        </row>
        <row r="135">
          <cell r="A135" t="str">
            <v>Agro Europa1021237</v>
          </cell>
          <cell r="B135" t="str">
            <v>Agro Europa</v>
          </cell>
          <cell r="C135">
            <v>1021237</v>
          </cell>
          <cell r="D135">
            <v>-24000</v>
          </cell>
          <cell r="E135">
            <v>-43200</v>
          </cell>
          <cell r="F135">
            <v>-43200</v>
          </cell>
          <cell r="G135">
            <v>1.8</v>
          </cell>
        </row>
        <row r="136">
          <cell r="A136" t="str">
            <v>Agro Europa1021263</v>
          </cell>
          <cell r="B136" t="str">
            <v>Agro Europa</v>
          </cell>
          <cell r="C136">
            <v>1021263</v>
          </cell>
          <cell r="D136">
            <v>-60847.5</v>
          </cell>
          <cell r="E136">
            <v>-125440.1105</v>
          </cell>
          <cell r="F136">
            <v>-125440.1105</v>
          </cell>
          <cell r="G136">
            <v>2.0615491269156498</v>
          </cell>
        </row>
        <row r="137">
          <cell r="A137" t="str">
            <v>Agro Europa1021433</v>
          </cell>
          <cell r="B137" t="str">
            <v>Agro Europa</v>
          </cell>
          <cell r="C137">
            <v>1021433</v>
          </cell>
          <cell r="D137">
            <v>119463</v>
          </cell>
          <cell r="E137">
            <v>282067.641</v>
          </cell>
          <cell r="F137">
            <v>85778.272499999992</v>
          </cell>
          <cell r="G137">
            <v>2.3611297305441852</v>
          </cell>
        </row>
        <row r="138">
          <cell r="A138" t="str">
            <v>Agro Europa1021819</v>
          </cell>
          <cell r="B138" t="str">
            <v>Agro Europa</v>
          </cell>
          <cell r="C138">
            <v>1021819</v>
          </cell>
          <cell r="D138">
            <v>-24004.38</v>
          </cell>
          <cell r="E138">
            <v>-60010.95</v>
          </cell>
          <cell r="F138">
            <v>-60010.95</v>
          </cell>
          <cell r="G138">
            <v>2.4999999999999996</v>
          </cell>
        </row>
        <row r="139">
          <cell r="A139" t="str">
            <v>Agro Europa1021820</v>
          </cell>
          <cell r="B139" t="str">
            <v>Agro Europa</v>
          </cell>
          <cell r="C139">
            <v>1021820</v>
          </cell>
          <cell r="D139">
            <v>-9951</v>
          </cell>
          <cell r="E139">
            <v>-27862.799999999999</v>
          </cell>
          <cell r="F139">
            <v>-27862.799999999999</v>
          </cell>
          <cell r="G139">
            <v>2.8</v>
          </cell>
        </row>
        <row r="140">
          <cell r="A140" t="str">
            <v>Agro Europa1021903</v>
          </cell>
          <cell r="B140" t="str">
            <v>Agro Europa</v>
          </cell>
          <cell r="C140">
            <v>1021903</v>
          </cell>
          <cell r="D140">
            <v>-24006.06</v>
          </cell>
          <cell r="E140">
            <v>-31207.878000000001</v>
          </cell>
          <cell r="F140">
            <v>-31207.878000000001</v>
          </cell>
          <cell r="G140">
            <v>1.3</v>
          </cell>
        </row>
        <row r="141">
          <cell r="A141" t="str">
            <v>Agro Europa1022145</v>
          </cell>
          <cell r="B141" t="str">
            <v>Agro Europa</v>
          </cell>
          <cell r="C141">
            <v>1022145</v>
          </cell>
          <cell r="D141">
            <v>24002.62</v>
          </cell>
          <cell r="E141">
            <v>73811.392900000006</v>
          </cell>
          <cell r="F141">
            <v>12186.482900000003</v>
          </cell>
          <cell r="G141">
            <v>3.0751390014923374</v>
          </cell>
        </row>
        <row r="142">
          <cell r="A142" t="str">
            <v>Agro Europa1022304</v>
          </cell>
          <cell r="B142" t="str">
            <v>Agro Europa</v>
          </cell>
          <cell r="C142">
            <v>1022304</v>
          </cell>
          <cell r="D142">
            <v>80024.92</v>
          </cell>
          <cell r="E142">
            <v>263536.0796</v>
          </cell>
          <cell r="F142">
            <v>60283.589599999985</v>
          </cell>
          <cell r="G142">
            <v>3.293175170934254</v>
          </cell>
        </row>
        <row r="143">
          <cell r="A143" t="str">
            <v>Agro Europa1022858</v>
          </cell>
          <cell r="B143" t="str">
            <v>Agro Europa</v>
          </cell>
          <cell r="C143">
            <v>1022858</v>
          </cell>
          <cell r="D143">
            <v>174181.61000000002</v>
          </cell>
          <cell r="E143">
            <v>538884.29830000002</v>
          </cell>
          <cell r="F143">
            <v>244817.87230000005</v>
          </cell>
          <cell r="G143">
            <v>3.0938070804374811</v>
          </cell>
        </row>
        <row r="144">
          <cell r="A144" t="str">
            <v>Agro Europa1023353</v>
          </cell>
          <cell r="B144" t="str">
            <v>Agro Europa</v>
          </cell>
          <cell r="C144">
            <v>1023353</v>
          </cell>
          <cell r="D144">
            <v>218186.44</v>
          </cell>
          <cell r="E144">
            <v>475360.5393</v>
          </cell>
          <cell r="F144">
            <v>228274.43729999996</v>
          </cell>
          <cell r="G144">
            <v>2.1786896532158462</v>
          </cell>
        </row>
        <row r="145">
          <cell r="A145" t="str">
            <v>Agro Europa1023400</v>
          </cell>
          <cell r="B145" t="str">
            <v>Agro Europa</v>
          </cell>
          <cell r="C145">
            <v>1023400</v>
          </cell>
          <cell r="D145">
            <v>116.36</v>
          </cell>
          <cell r="E145">
            <v>124.548</v>
          </cell>
          <cell r="F145">
            <v>124.548</v>
          </cell>
          <cell r="G145">
            <v>1.0703678239944998</v>
          </cell>
        </row>
        <row r="146">
          <cell r="A146" t="str">
            <v>Agro Europa1030224</v>
          </cell>
          <cell r="B146" t="str">
            <v>Agro Europa</v>
          </cell>
          <cell r="C146">
            <v>1030224</v>
          </cell>
          <cell r="D146">
            <v>168045.07</v>
          </cell>
          <cell r="E146">
            <v>329848.53090000001</v>
          </cell>
          <cell r="F146">
            <v>236248.53090000001</v>
          </cell>
          <cell r="G146">
            <v>1.9628575292330801</v>
          </cell>
        </row>
        <row r="147">
          <cell r="A147" t="str">
            <v>Agro Europa1030265</v>
          </cell>
          <cell r="B147" t="str">
            <v>Agro Europa</v>
          </cell>
          <cell r="C147">
            <v>1030265</v>
          </cell>
          <cell r="D147">
            <v>129600</v>
          </cell>
          <cell r="E147">
            <v>763434.24479999999</v>
          </cell>
          <cell r="F147">
            <v>120308.65200000002</v>
          </cell>
          <cell r="G147">
            <v>5.8906963333333335</v>
          </cell>
        </row>
        <row r="148">
          <cell r="A148" t="str">
            <v>Agro Europa1030332</v>
          </cell>
          <cell r="B148" t="str">
            <v>Agro Europa</v>
          </cell>
          <cell r="C148">
            <v>1030332</v>
          </cell>
          <cell r="D148">
            <v>99000</v>
          </cell>
          <cell r="E148">
            <v>173700</v>
          </cell>
          <cell r="F148">
            <v>16108.873640000005</v>
          </cell>
          <cell r="G148">
            <v>1.7545454545454546</v>
          </cell>
        </row>
        <row r="149">
          <cell r="A149" t="str">
            <v>Agro Europa1030355</v>
          </cell>
          <cell r="B149" t="str">
            <v>Agro Europa</v>
          </cell>
          <cell r="C149">
            <v>1030355</v>
          </cell>
          <cell r="D149">
            <v>246300</v>
          </cell>
          <cell r="E149">
            <v>345360</v>
          </cell>
          <cell r="F149">
            <v>70330.745760000005</v>
          </cell>
          <cell r="G149">
            <v>1.4021924482338612</v>
          </cell>
        </row>
        <row r="150">
          <cell r="A150" t="str">
            <v>Agro Europa1030635</v>
          </cell>
          <cell r="B150" t="str">
            <v>Agro Europa</v>
          </cell>
          <cell r="C150">
            <v>1030635</v>
          </cell>
          <cell r="D150">
            <v>33000</v>
          </cell>
          <cell r="E150">
            <v>42350</v>
          </cell>
          <cell r="F150">
            <v>42350</v>
          </cell>
          <cell r="G150">
            <v>1.2833333333333334</v>
          </cell>
        </row>
        <row r="151">
          <cell r="A151" t="str">
            <v>Agro Europa1030710</v>
          </cell>
          <cell r="B151" t="str">
            <v>Agro Europa</v>
          </cell>
          <cell r="C151">
            <v>1030710</v>
          </cell>
          <cell r="D151">
            <v>21000</v>
          </cell>
          <cell r="E151">
            <v>23878.637999999999</v>
          </cell>
          <cell r="F151">
            <v>-50170.642719999996</v>
          </cell>
          <cell r="G151">
            <v>1.137078</v>
          </cell>
        </row>
        <row r="152">
          <cell r="A152" t="str">
            <v>Agro Europa1030711</v>
          </cell>
          <cell r="B152" t="str">
            <v>Agro Europa</v>
          </cell>
          <cell r="C152">
            <v>1030711</v>
          </cell>
          <cell r="D152">
            <v>21000</v>
          </cell>
          <cell r="E152">
            <v>37255.097300000001</v>
          </cell>
          <cell r="F152">
            <v>-39297.646959999998</v>
          </cell>
          <cell r="G152">
            <v>1.7740522523809525</v>
          </cell>
        </row>
        <row r="153">
          <cell r="A153" t="str">
            <v>Agro Europa1030720</v>
          </cell>
          <cell r="B153" t="str">
            <v>Agro Europa</v>
          </cell>
          <cell r="C153">
            <v>1030720</v>
          </cell>
          <cell r="D153">
            <v>24003.11</v>
          </cell>
          <cell r="E153">
            <v>18962.456900000001</v>
          </cell>
          <cell r="F153">
            <v>18962.456900000001</v>
          </cell>
          <cell r="G153">
            <v>0.79</v>
          </cell>
        </row>
        <row r="154">
          <cell r="A154" t="str">
            <v>Agro Europa1030788</v>
          </cell>
          <cell r="B154" t="str">
            <v>Agro Europa</v>
          </cell>
          <cell r="C154">
            <v>1030788</v>
          </cell>
          <cell r="D154">
            <v>3000</v>
          </cell>
          <cell r="E154">
            <v>2250</v>
          </cell>
          <cell r="F154">
            <v>2250</v>
          </cell>
          <cell r="G154">
            <v>0.75</v>
          </cell>
        </row>
        <row r="155">
          <cell r="A155" t="str">
            <v>Agro Europa1030804</v>
          </cell>
          <cell r="B155" t="str">
            <v>Agro Europa</v>
          </cell>
          <cell r="C155">
            <v>1030804</v>
          </cell>
          <cell r="D155">
            <v>0</v>
          </cell>
          <cell r="E155"/>
          <cell r="F155">
            <v>-15667.35</v>
          </cell>
          <cell r="G155" t="e">
            <v>#DIV/0!</v>
          </cell>
        </row>
        <row r="156">
          <cell r="A156" t="str">
            <v>Agro Europa1023391</v>
          </cell>
          <cell r="B156" t="str">
            <v>Agro Europa</v>
          </cell>
          <cell r="C156">
            <v>1023391</v>
          </cell>
          <cell r="D156">
            <v>20000</v>
          </cell>
          <cell r="E156">
            <v>43373.24</v>
          </cell>
          <cell r="F156">
            <v>43373.24</v>
          </cell>
          <cell r="G156">
            <v>2.1686619999999999</v>
          </cell>
        </row>
        <row r="157">
          <cell r="A157" t="str">
            <v>Agro Mexico1011047</v>
          </cell>
          <cell r="B157" t="str">
            <v>Agro Mexico</v>
          </cell>
          <cell r="C157">
            <v>1011047</v>
          </cell>
          <cell r="D157">
            <v>167160</v>
          </cell>
          <cell r="E157">
            <v>772341.14439999999</v>
          </cell>
          <cell r="F157">
            <v>174842.39840000001</v>
          </cell>
          <cell r="G157">
            <v>4.6203705695142379</v>
          </cell>
        </row>
        <row r="158">
          <cell r="A158" t="str">
            <v>Agro Mexico1011073</v>
          </cell>
          <cell r="B158" t="str">
            <v>Agro Mexico</v>
          </cell>
          <cell r="C158">
            <v>1011073</v>
          </cell>
          <cell r="D158">
            <v>173.23</v>
          </cell>
          <cell r="E158">
            <v>0</v>
          </cell>
          <cell r="F158">
            <v>0</v>
          </cell>
          <cell r="G158">
            <v>0</v>
          </cell>
        </row>
        <row r="159">
          <cell r="A159" t="str">
            <v>Agro Mexico1011127</v>
          </cell>
          <cell r="B159" t="str">
            <v>Agro Mexico</v>
          </cell>
          <cell r="C159">
            <v>1011127</v>
          </cell>
          <cell r="D159">
            <v>6326756</v>
          </cell>
          <cell r="E159">
            <v>28889144.410099998</v>
          </cell>
          <cell r="F159">
            <v>812349.73388000159</v>
          </cell>
          <cell r="G159">
            <v>4.5661859585070133</v>
          </cell>
        </row>
        <row r="160">
          <cell r="A160" t="str">
            <v>Agro Mexico1011150</v>
          </cell>
          <cell r="B160" t="str">
            <v>Agro Mexico</v>
          </cell>
          <cell r="C160">
            <v>1011150</v>
          </cell>
          <cell r="D160">
            <v>301723</v>
          </cell>
          <cell r="E160">
            <v>1027912.2899</v>
          </cell>
          <cell r="F160">
            <v>-93421.710099999967</v>
          </cell>
          <cell r="G160">
            <v>3.4068078664868104</v>
          </cell>
        </row>
        <row r="161">
          <cell r="A161" t="str">
            <v>Agro Mexico1011151</v>
          </cell>
          <cell r="B161" t="str">
            <v>Agro Mexico</v>
          </cell>
          <cell r="C161">
            <v>1011151</v>
          </cell>
          <cell r="D161">
            <v>-18</v>
          </cell>
          <cell r="E161">
            <v>-3001.0740000000001</v>
          </cell>
          <cell r="F161">
            <v>-3001.0740000000001</v>
          </cell>
          <cell r="G161">
            <v>166.72633333333334</v>
          </cell>
        </row>
        <row r="162">
          <cell r="A162" t="str">
            <v>Agro Mexico1011614</v>
          </cell>
          <cell r="B162" t="str">
            <v>Agro Mexico</v>
          </cell>
          <cell r="C162">
            <v>1011614</v>
          </cell>
          <cell r="D162">
            <v>39906</v>
          </cell>
          <cell r="E162">
            <v>184989.72380000001</v>
          </cell>
          <cell r="F162">
            <v>90388.123800000001</v>
          </cell>
          <cell r="G162">
            <v>4.6356368415777078</v>
          </cell>
        </row>
        <row r="163">
          <cell r="A163" t="str">
            <v>Agro Mexico1011748</v>
          </cell>
          <cell r="B163" t="str">
            <v>Agro Mexico</v>
          </cell>
          <cell r="C163">
            <v>1011748</v>
          </cell>
          <cell r="D163">
            <v>22800</v>
          </cell>
          <cell r="E163">
            <v>89385.12</v>
          </cell>
          <cell r="F163">
            <v>89385.12</v>
          </cell>
          <cell r="G163">
            <v>3.9203999999999999</v>
          </cell>
        </row>
        <row r="164">
          <cell r="A164" t="str">
            <v>Agro Mexico1012278</v>
          </cell>
          <cell r="B164" t="str">
            <v>Agro Mexico</v>
          </cell>
          <cell r="C164">
            <v>1012278</v>
          </cell>
          <cell r="D164">
            <v>340846</v>
          </cell>
          <cell r="E164">
            <v>1167218.5377</v>
          </cell>
          <cell r="F164">
            <v>-68971.029299999966</v>
          </cell>
          <cell r="G164">
            <v>3.4244748000563305</v>
          </cell>
        </row>
        <row r="165">
          <cell r="A165" t="str">
            <v>Agro Mexico1012399</v>
          </cell>
          <cell r="B165" t="str">
            <v>Agro Mexico</v>
          </cell>
          <cell r="C165">
            <v>1012399</v>
          </cell>
          <cell r="D165">
            <v>0</v>
          </cell>
          <cell r="E165"/>
          <cell r="F165">
            <v>-59560.4</v>
          </cell>
          <cell r="G165" t="e">
            <v>#DIV/0!</v>
          </cell>
        </row>
        <row r="166">
          <cell r="A166" t="str">
            <v>Agro Mexico1012400</v>
          </cell>
          <cell r="B166" t="str">
            <v>Agro Mexico</v>
          </cell>
          <cell r="C166">
            <v>1012400</v>
          </cell>
          <cell r="D166">
            <v>0</v>
          </cell>
          <cell r="E166"/>
          <cell r="F166">
            <v>-49308.2</v>
          </cell>
          <cell r="G166" t="e">
            <v>#DIV/0!</v>
          </cell>
        </row>
        <row r="167">
          <cell r="A167" t="str">
            <v>Agro Mexico1012534</v>
          </cell>
          <cell r="B167" t="str">
            <v>Agro Mexico</v>
          </cell>
          <cell r="C167">
            <v>1012534</v>
          </cell>
          <cell r="D167">
            <v>1097551.8450000002</v>
          </cell>
          <cell r="E167">
            <v>3903531.5869</v>
          </cell>
          <cell r="F167">
            <v>-316810.86077999999</v>
          </cell>
          <cell r="G167">
            <v>3.5565805885916935</v>
          </cell>
        </row>
        <row r="168">
          <cell r="A168" t="str">
            <v>Agro Mexico1012725</v>
          </cell>
          <cell r="B168" t="str">
            <v>Agro Mexico</v>
          </cell>
          <cell r="C168">
            <v>1012725</v>
          </cell>
          <cell r="D168">
            <v>55879.519999999997</v>
          </cell>
          <cell r="E168">
            <v>319104.93569999997</v>
          </cell>
          <cell r="F168">
            <v>-215572.07646000001</v>
          </cell>
          <cell r="G168">
            <v>5.7105883461418419</v>
          </cell>
        </row>
        <row r="169">
          <cell r="A169" t="str">
            <v>Agro Mexico1012748</v>
          </cell>
          <cell r="B169" t="str">
            <v>Agro Mexico</v>
          </cell>
          <cell r="C169">
            <v>1012748</v>
          </cell>
          <cell r="D169">
            <v>54.42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Agro Mexico1012764</v>
          </cell>
          <cell r="B170" t="str">
            <v>Agro Mexico</v>
          </cell>
          <cell r="C170">
            <v>1012764</v>
          </cell>
          <cell r="D170">
            <v>1331802.8999999999</v>
          </cell>
          <cell r="E170">
            <v>1087442.8584</v>
          </cell>
          <cell r="F170">
            <v>168217.66355999996</v>
          </cell>
          <cell r="G170">
            <v>0.81651936514029222</v>
          </cell>
        </row>
        <row r="171">
          <cell r="A171" t="str">
            <v>Agro Mexico1012788</v>
          </cell>
          <cell r="B171" t="str">
            <v>Agro Mexico</v>
          </cell>
          <cell r="C171">
            <v>1012788</v>
          </cell>
          <cell r="D171">
            <v>159587.845</v>
          </cell>
          <cell r="E171">
            <v>456022.89900000003</v>
          </cell>
          <cell r="F171">
            <v>-207760.70099999994</v>
          </cell>
          <cell r="G171">
            <v>2.8575039596530676</v>
          </cell>
        </row>
        <row r="172">
          <cell r="A172" t="str">
            <v>Agro Mexico1020845</v>
          </cell>
          <cell r="B172" t="str">
            <v>Agro Mexico</v>
          </cell>
          <cell r="C172">
            <v>1020845</v>
          </cell>
          <cell r="D172">
            <v>48026.868000000002</v>
          </cell>
          <cell r="E172">
            <v>154667.6704</v>
          </cell>
          <cell r="F172">
            <v>-75705.737599999979</v>
          </cell>
          <cell r="G172">
            <v>3.2204404917680662</v>
          </cell>
        </row>
        <row r="173">
          <cell r="A173" t="str">
            <v>Agro Mexico1020869</v>
          </cell>
          <cell r="B173" t="str">
            <v>Agro Mexico</v>
          </cell>
          <cell r="C173">
            <v>1020869</v>
          </cell>
          <cell r="D173">
            <v>85.91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Agro Mexico1021020</v>
          </cell>
          <cell r="B174" t="str">
            <v>Agro Mexico</v>
          </cell>
          <cell r="C174">
            <v>1021020</v>
          </cell>
          <cell r="D174">
            <v>23672.458999999999</v>
          </cell>
          <cell r="E174">
            <v>48892.150099999999</v>
          </cell>
          <cell r="F174">
            <v>11244.790099999998</v>
          </cell>
          <cell r="G174">
            <v>2.0653600075936347</v>
          </cell>
        </row>
        <row r="175">
          <cell r="A175" t="str">
            <v>Agro Mexico1021026</v>
          </cell>
          <cell r="B175" t="str">
            <v>Agro Mexico</v>
          </cell>
          <cell r="C175">
            <v>1021026</v>
          </cell>
          <cell r="D175">
            <v>168083.65399999998</v>
          </cell>
          <cell r="E175">
            <v>199802.96460000001</v>
          </cell>
          <cell r="F175">
            <v>-59079.083400000003</v>
          </cell>
          <cell r="G175">
            <v>1.1887114531672427</v>
          </cell>
        </row>
        <row r="176">
          <cell r="A176" t="str">
            <v>Agro Mexico1021270</v>
          </cell>
          <cell r="B176" t="str">
            <v>Agro Mexico</v>
          </cell>
          <cell r="C176">
            <v>1021270</v>
          </cell>
          <cell r="D176">
            <v>649432.67499999993</v>
          </cell>
          <cell r="E176">
            <v>615039.75589999999</v>
          </cell>
          <cell r="F176">
            <v>-26627.364099999992</v>
          </cell>
          <cell r="G176">
            <v>0.9470415942653333</v>
          </cell>
        </row>
        <row r="177">
          <cell r="A177" t="str">
            <v>Agro Mexico1021272</v>
          </cell>
          <cell r="B177" t="str">
            <v>Agro Mexico</v>
          </cell>
          <cell r="C177">
            <v>1021272</v>
          </cell>
          <cell r="D177">
            <v>1539885.7919999999</v>
          </cell>
          <cell r="E177">
            <v>1624696.4952999998</v>
          </cell>
          <cell r="F177">
            <v>202068.94329999996</v>
          </cell>
          <cell r="G177">
            <v>1.0550759697508787</v>
          </cell>
        </row>
        <row r="178">
          <cell r="A178" t="str">
            <v>Agro Mexico1021555</v>
          </cell>
          <cell r="B178" t="str">
            <v>Agro Mexico</v>
          </cell>
          <cell r="C178">
            <v>1021555</v>
          </cell>
          <cell r="D178">
            <v>863801.76800000016</v>
          </cell>
          <cell r="E178">
            <v>917987.4155</v>
          </cell>
          <cell r="F178">
            <v>10455.639500000019</v>
          </cell>
          <cell r="G178">
            <v>1.062729262091531</v>
          </cell>
        </row>
        <row r="179">
          <cell r="A179" t="str">
            <v>Agro Mexico1021596</v>
          </cell>
          <cell r="B179" t="str">
            <v>Agro Mexico</v>
          </cell>
          <cell r="C179">
            <v>1021596</v>
          </cell>
          <cell r="D179">
            <v>312146.99</v>
          </cell>
          <cell r="E179">
            <v>261242.01299999998</v>
          </cell>
          <cell r="F179">
            <v>-63154.130999999994</v>
          </cell>
          <cell r="G179">
            <v>0.83691985304743766</v>
          </cell>
        </row>
        <row r="180">
          <cell r="A180" t="str">
            <v>Agro Mexico1021874</v>
          </cell>
          <cell r="B180" t="str">
            <v>Agro Mexico</v>
          </cell>
          <cell r="C180">
            <v>1021874</v>
          </cell>
          <cell r="D180">
            <v>1800839.5919999999</v>
          </cell>
          <cell r="E180">
            <v>2230047.4414999997</v>
          </cell>
          <cell r="F180">
            <v>392530.76150000002</v>
          </cell>
          <cell r="G180">
            <v>1.2383376350712749</v>
          </cell>
        </row>
        <row r="181">
          <cell r="A181" t="str">
            <v>Agro Mexico1022115</v>
          </cell>
          <cell r="B181" t="str">
            <v>Agro Mexico</v>
          </cell>
          <cell r="C181">
            <v>1022115</v>
          </cell>
          <cell r="D181">
            <v>24014.11</v>
          </cell>
          <cell r="E181">
            <v>42845.014499999997</v>
          </cell>
          <cell r="F181">
            <v>4199.2544999999955</v>
          </cell>
          <cell r="G181">
            <v>1.7841600000999411</v>
          </cell>
        </row>
        <row r="182">
          <cell r="A182" t="str">
            <v>Agro Mexico1022657</v>
          </cell>
          <cell r="B182" t="str">
            <v>Agro Mexico</v>
          </cell>
          <cell r="C182">
            <v>1022657</v>
          </cell>
          <cell r="D182">
            <v>2680</v>
          </cell>
          <cell r="E182">
            <v>16975.2192</v>
          </cell>
          <cell r="F182">
            <v>-76912.705799999996</v>
          </cell>
          <cell r="G182">
            <v>6.3340370149253733</v>
          </cell>
        </row>
        <row r="183">
          <cell r="A183" t="str">
            <v>Agro Mexico1022822</v>
          </cell>
          <cell r="B183" t="str">
            <v>Agro Mexico</v>
          </cell>
          <cell r="C183">
            <v>1022822</v>
          </cell>
          <cell r="D183">
            <v>20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Agro Mexico1022854</v>
          </cell>
          <cell r="B184" t="str">
            <v>Agro Mexico</v>
          </cell>
          <cell r="C184">
            <v>1022854</v>
          </cell>
          <cell r="D184">
            <v>47989.256000000001</v>
          </cell>
          <cell r="E184">
            <v>119369.46580000001</v>
          </cell>
          <cell r="F184">
            <v>-23575.494199999994</v>
          </cell>
          <cell r="G184">
            <v>2.4874206384862481</v>
          </cell>
        </row>
        <row r="185">
          <cell r="A185" t="str">
            <v>Agro Mexico1022907</v>
          </cell>
          <cell r="B185" t="str">
            <v>Agro Mexico</v>
          </cell>
          <cell r="C185">
            <v>1022907</v>
          </cell>
          <cell r="D185">
            <v>210526.64899999998</v>
          </cell>
          <cell r="E185">
            <v>168183.25220000002</v>
          </cell>
          <cell r="F185">
            <v>-25278.596860000001</v>
          </cell>
          <cell r="G185">
            <v>0.79886918353979997</v>
          </cell>
        </row>
        <row r="186">
          <cell r="A186" t="str">
            <v>Agro Mexico1023218</v>
          </cell>
          <cell r="B186" t="str">
            <v>Agro Mexico</v>
          </cell>
          <cell r="C186">
            <v>1023218</v>
          </cell>
          <cell r="D186">
            <v>23900</v>
          </cell>
          <cell r="E186">
            <v>30852.51</v>
          </cell>
          <cell r="F186">
            <v>-221565.978</v>
          </cell>
          <cell r="G186">
            <v>1.2908999999999999</v>
          </cell>
        </row>
        <row r="187">
          <cell r="A187" t="str">
            <v>Agro Mexico1023257</v>
          </cell>
          <cell r="B187" t="str">
            <v>Agro Mexico</v>
          </cell>
          <cell r="C187">
            <v>1023257</v>
          </cell>
          <cell r="D187">
            <v>24002.645</v>
          </cell>
          <cell r="E187">
            <v>35535.051800000001</v>
          </cell>
          <cell r="F187">
            <v>-214311.1882</v>
          </cell>
          <cell r="G187">
            <v>1.4804639988634587</v>
          </cell>
        </row>
        <row r="188">
          <cell r="A188" t="str">
            <v>Agro Mexico1023302</v>
          </cell>
          <cell r="B188" t="str">
            <v>Agro Mexico</v>
          </cell>
          <cell r="C188">
            <v>1023302</v>
          </cell>
          <cell r="D188">
            <v>1367779</v>
          </cell>
          <cell r="E188">
            <v>1616526.3672999998</v>
          </cell>
          <cell r="F188">
            <v>194126.67082</v>
          </cell>
          <cell r="G188">
            <v>1.1818622506267458</v>
          </cell>
        </row>
        <row r="189">
          <cell r="A189" t="str">
            <v>Agro Mexico1023318</v>
          </cell>
          <cell r="B189" t="str">
            <v>Agro Mexico</v>
          </cell>
          <cell r="C189">
            <v>1023318</v>
          </cell>
          <cell r="D189">
            <v>12000.458000000001</v>
          </cell>
          <cell r="E189">
            <v>23367.291799999999</v>
          </cell>
          <cell r="F189">
            <v>-18422.708200000001</v>
          </cell>
          <cell r="G189">
            <v>1.9471999985333892</v>
          </cell>
        </row>
        <row r="190">
          <cell r="A190" t="str">
            <v>Agro Mexico1023319</v>
          </cell>
          <cell r="B190" t="str">
            <v>Agro Mexico</v>
          </cell>
          <cell r="C190">
            <v>1023319</v>
          </cell>
          <cell r="D190">
            <v>84000</v>
          </cell>
          <cell r="E190">
            <v>170261.52959999998</v>
          </cell>
          <cell r="F190">
            <v>33481.891200000005</v>
          </cell>
          <cell r="G190">
            <v>2.0269229714285713</v>
          </cell>
        </row>
        <row r="191">
          <cell r="A191" t="str">
            <v>Agro Mexico1023324</v>
          </cell>
          <cell r="B191" t="str">
            <v>Agro Mexico</v>
          </cell>
          <cell r="C191">
            <v>1023324</v>
          </cell>
          <cell r="D191">
            <v>671641.11300000001</v>
          </cell>
          <cell r="E191">
            <v>1941035.3204000001</v>
          </cell>
          <cell r="F191">
            <v>701179.0003999999</v>
          </cell>
          <cell r="G191">
            <v>2.8899888390245105</v>
          </cell>
        </row>
        <row r="192">
          <cell r="A192" t="str">
            <v>Agro Mexico1023343</v>
          </cell>
          <cell r="B192" t="str">
            <v>Agro Mexico</v>
          </cell>
          <cell r="C192">
            <v>1023343</v>
          </cell>
          <cell r="D192">
            <v>519558.70400000003</v>
          </cell>
          <cell r="E192">
            <v>767408.52350000013</v>
          </cell>
          <cell r="F192">
            <v>380395.08350000001</v>
          </cell>
          <cell r="G192">
            <v>1.4770391056714933</v>
          </cell>
        </row>
        <row r="193">
          <cell r="A193" t="str">
            <v>Agro Mexico1023383</v>
          </cell>
          <cell r="B193" t="str">
            <v>Agro Mexico</v>
          </cell>
          <cell r="C193">
            <v>1023383</v>
          </cell>
          <cell r="D193">
            <v>149559.06300000002</v>
          </cell>
          <cell r="E193">
            <v>120567.3143</v>
          </cell>
          <cell r="F193">
            <v>80738.642300000007</v>
          </cell>
          <cell r="G193">
            <v>0.80615184316847432</v>
          </cell>
        </row>
        <row r="194">
          <cell r="A194" t="str">
            <v>Agro Mexico1030327</v>
          </cell>
          <cell r="B194" t="str">
            <v>Agro Mexico</v>
          </cell>
          <cell r="C194">
            <v>1030327</v>
          </cell>
          <cell r="D194">
            <v>20036.767</v>
          </cell>
          <cell r="E194">
            <v>198095.18890000001</v>
          </cell>
          <cell r="F194">
            <v>-240207.61109999998</v>
          </cell>
          <cell r="G194">
            <v>9.8865844424901486</v>
          </cell>
        </row>
        <row r="195">
          <cell r="A195" t="str">
            <v>Agro Mexico1030337</v>
          </cell>
          <cell r="B195" t="str">
            <v>Agro Mexico</v>
          </cell>
          <cell r="C195">
            <v>1030337</v>
          </cell>
          <cell r="D195">
            <v>1189871</v>
          </cell>
          <cell r="E195">
            <v>12844974.199099999</v>
          </cell>
          <cell r="F195">
            <v>1075139.2390999992</v>
          </cell>
          <cell r="G195">
            <v>10.795266208773892</v>
          </cell>
        </row>
        <row r="196">
          <cell r="A196" t="str">
            <v>Agro Mexico1030575</v>
          </cell>
          <cell r="B196" t="str">
            <v>Agro Mexico</v>
          </cell>
          <cell r="C196">
            <v>1030575</v>
          </cell>
          <cell r="D196">
            <v>45</v>
          </cell>
          <cell r="E196">
            <v>0</v>
          </cell>
          <cell r="F196">
            <v>0</v>
          </cell>
          <cell r="G196">
            <v>0</v>
          </cell>
        </row>
        <row r="197">
          <cell r="A197" t="str">
            <v>Agro Mexico1030658</v>
          </cell>
          <cell r="B197" t="str">
            <v>Agro Mexico</v>
          </cell>
          <cell r="C197">
            <v>1030658</v>
          </cell>
          <cell r="D197">
            <v>1080690.5</v>
          </cell>
          <cell r="E197">
            <v>5059098.5084999995</v>
          </cell>
          <cell r="F197">
            <v>138721.70850000012</v>
          </cell>
          <cell r="G197">
            <v>4.6813574362872625</v>
          </cell>
        </row>
        <row r="198">
          <cell r="A198" t="str">
            <v>Agro Mexico1030773</v>
          </cell>
          <cell r="B198" t="str">
            <v>Agro Mexico</v>
          </cell>
          <cell r="C198">
            <v>1030773</v>
          </cell>
          <cell r="D198">
            <v>42</v>
          </cell>
          <cell r="E198">
            <v>0</v>
          </cell>
          <cell r="F198">
            <v>0</v>
          </cell>
          <cell r="G198">
            <v>0</v>
          </cell>
        </row>
        <row r="199">
          <cell r="A199" t="str">
            <v>Agro Mexico1030792</v>
          </cell>
          <cell r="B199" t="str">
            <v>Agro Mexico</v>
          </cell>
          <cell r="C199">
            <v>1030792</v>
          </cell>
          <cell r="D199">
            <v>239940</v>
          </cell>
          <cell r="E199">
            <v>2204937.6089999997</v>
          </cell>
          <cell r="F199">
            <v>99677.04899999997</v>
          </cell>
          <cell r="G199">
            <v>9.1895374218554622</v>
          </cell>
        </row>
        <row r="200">
          <cell r="A200" t="str">
            <v>Agro Mexico1030802</v>
          </cell>
          <cell r="B200" t="str">
            <v>Agro Mexico</v>
          </cell>
          <cell r="C200">
            <v>1030802</v>
          </cell>
          <cell r="D200">
            <v>72045.686000000002</v>
          </cell>
          <cell r="E200">
            <v>96707.463400000008</v>
          </cell>
          <cell r="F200">
            <v>-15843.706599999998</v>
          </cell>
          <cell r="G200">
            <v>1.3423074825049206</v>
          </cell>
        </row>
        <row r="201">
          <cell r="A201" t="str">
            <v>Agro Mexico1030809</v>
          </cell>
          <cell r="B201" t="str">
            <v>Agro Mexico</v>
          </cell>
          <cell r="C201">
            <v>1030809</v>
          </cell>
          <cell r="D201">
            <v>45</v>
          </cell>
          <cell r="E201">
            <v>0</v>
          </cell>
          <cell r="F201">
            <v>0</v>
          </cell>
          <cell r="G201">
            <v>0</v>
          </cell>
        </row>
        <row r="202">
          <cell r="A202" t="str">
            <v>Agro Mexico1030810</v>
          </cell>
          <cell r="B202" t="str">
            <v>Agro Mexico</v>
          </cell>
          <cell r="C202">
            <v>1030810</v>
          </cell>
          <cell r="D202">
            <v>45</v>
          </cell>
          <cell r="E202">
            <v>0</v>
          </cell>
          <cell r="F202">
            <v>0</v>
          </cell>
          <cell r="G202">
            <v>0</v>
          </cell>
        </row>
        <row r="203">
          <cell r="A203" t="str">
            <v>Agro Mexico1100665</v>
          </cell>
          <cell r="B203" t="str">
            <v>Agro Mexico</v>
          </cell>
          <cell r="C203">
            <v>1100665</v>
          </cell>
          <cell r="D203">
            <v>14.4</v>
          </cell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Agro Mexico1012796</v>
          </cell>
          <cell r="B204" t="str">
            <v>Agro Mexico</v>
          </cell>
          <cell r="C204">
            <v>1012796</v>
          </cell>
          <cell r="D204">
            <v>19998.356</v>
          </cell>
          <cell r="E204">
            <v>30063.528600000001</v>
          </cell>
          <cell r="F204">
            <v>30063.528600000001</v>
          </cell>
          <cell r="G204">
            <v>1.5033000012601037</v>
          </cell>
        </row>
        <row r="205">
          <cell r="A205" t="str">
            <v>Agro Sudamerica1010877</v>
          </cell>
          <cell r="B205" t="str">
            <v>Agro Sudamerica</v>
          </cell>
          <cell r="C205">
            <v>1010877</v>
          </cell>
          <cell r="D205">
            <v>546530</v>
          </cell>
          <cell r="E205">
            <v>560368.52839999995</v>
          </cell>
          <cell r="F205">
            <v>-136929.32160000002</v>
          </cell>
          <cell r="G205">
            <v>1.0253207113973615</v>
          </cell>
        </row>
        <row r="206">
          <cell r="A206" t="str">
            <v>Agro Sudamerica1011042</v>
          </cell>
          <cell r="B206" t="str">
            <v>Agro Sudamerica</v>
          </cell>
          <cell r="C206">
            <v>1011042</v>
          </cell>
          <cell r="D206">
            <v>210440</v>
          </cell>
          <cell r="E206">
            <v>107040.9676</v>
          </cell>
          <cell r="F206">
            <v>-14212.532399999998</v>
          </cell>
          <cell r="G206">
            <v>0.50865314388899452</v>
          </cell>
        </row>
        <row r="207">
          <cell r="A207" t="str">
            <v>Agro Sudamerica1011127</v>
          </cell>
          <cell r="B207" t="str">
            <v>Agro Sudamerica</v>
          </cell>
          <cell r="C207">
            <v>1011127</v>
          </cell>
          <cell r="D207">
            <v>93960</v>
          </cell>
          <cell r="E207">
            <v>374068</v>
          </cell>
          <cell r="F207">
            <v>104688</v>
          </cell>
          <cell r="G207">
            <v>3.9811409110259683</v>
          </cell>
        </row>
        <row r="208">
          <cell r="A208" t="str">
            <v>Agro Sudamerica1011250</v>
          </cell>
          <cell r="B208" t="str">
            <v>Agro Sudamerica</v>
          </cell>
          <cell r="C208">
            <v>1011250</v>
          </cell>
          <cell r="D208">
            <v>40615.46</v>
          </cell>
          <cell r="E208">
            <v>137506.58600000001</v>
          </cell>
          <cell r="F208">
            <v>137506.58600000001</v>
          </cell>
          <cell r="G208">
            <v>3.3855725381418802</v>
          </cell>
        </row>
        <row r="209">
          <cell r="A209" t="str">
            <v>Agro Sudamerica1011290</v>
          </cell>
          <cell r="B209" t="str">
            <v>Agro Sudamerica</v>
          </cell>
          <cell r="C209">
            <v>1011290</v>
          </cell>
          <cell r="D209">
            <v>32084.059999999998</v>
          </cell>
          <cell r="E209">
            <v>10880.708200000001</v>
          </cell>
          <cell r="F209">
            <v>-5306.2918</v>
          </cell>
          <cell r="G209">
            <v>0.33913127577993563</v>
          </cell>
        </row>
        <row r="210">
          <cell r="A210" t="str">
            <v>Agro Sudamerica1011421</v>
          </cell>
          <cell r="B210" t="str">
            <v>Agro Sudamerica</v>
          </cell>
          <cell r="C210">
            <v>1011421</v>
          </cell>
          <cell r="D210">
            <v>4313141.8600000003</v>
          </cell>
          <cell r="E210">
            <v>3826044.9636000004</v>
          </cell>
          <cell r="F210">
            <v>-271353.18640000001</v>
          </cell>
          <cell r="G210">
            <v>0.88706680368727775</v>
          </cell>
        </row>
        <row r="211">
          <cell r="A211" t="str">
            <v>Agro Sudamerica1011422</v>
          </cell>
          <cell r="B211" t="str">
            <v>Agro Sudamerica</v>
          </cell>
          <cell r="C211">
            <v>1011422</v>
          </cell>
          <cell r="D211">
            <v>23991.86</v>
          </cell>
          <cell r="E211">
            <v>11995.205900000001</v>
          </cell>
          <cell r="F211">
            <v>-4.7940999999991618</v>
          </cell>
          <cell r="G211">
            <v>0.49996981893025388</v>
          </cell>
        </row>
        <row r="212">
          <cell r="A212" t="str">
            <v>Agro Sudamerica1011558</v>
          </cell>
          <cell r="B212" t="str">
            <v>Agro Sudamerica</v>
          </cell>
          <cell r="C212">
            <v>1011558</v>
          </cell>
          <cell r="D212">
            <v>1326199.3699999999</v>
          </cell>
          <cell r="E212">
            <v>1168505.5785999999</v>
          </cell>
          <cell r="F212">
            <v>110718.93860000001</v>
          </cell>
          <cell r="G212">
            <v>0.8810934502253609</v>
          </cell>
        </row>
        <row r="213">
          <cell r="A213" t="str">
            <v>Agro Sudamerica1011560</v>
          </cell>
          <cell r="B213" t="str">
            <v>Agro Sudamerica</v>
          </cell>
          <cell r="C213">
            <v>1011560</v>
          </cell>
          <cell r="D213">
            <v>14994</v>
          </cell>
          <cell r="E213">
            <v>10428.120000000001</v>
          </cell>
          <cell r="F213">
            <v>10428.120000000001</v>
          </cell>
          <cell r="G213">
            <v>0.69548619447779114</v>
          </cell>
        </row>
        <row r="214">
          <cell r="A214" t="str">
            <v>Agro Sudamerica1011566</v>
          </cell>
          <cell r="B214" t="str">
            <v>Agro Sudamerica</v>
          </cell>
          <cell r="C214">
            <v>1011566</v>
          </cell>
          <cell r="D214">
            <v>1880</v>
          </cell>
          <cell r="E214">
            <v>1092.3079</v>
          </cell>
          <cell r="F214">
            <v>1092.3079</v>
          </cell>
          <cell r="G214">
            <v>0.58101484042553198</v>
          </cell>
        </row>
        <row r="215">
          <cell r="A215" t="str">
            <v>Agro Sudamerica1011582</v>
          </cell>
          <cell r="B215" t="str">
            <v>Agro Sudamerica</v>
          </cell>
          <cell r="C215">
            <v>1011582</v>
          </cell>
          <cell r="D215">
            <v>56102.349999999991</v>
          </cell>
          <cell r="E215">
            <v>54619.206300000005</v>
          </cell>
          <cell r="F215">
            <v>-68365.793700000009</v>
          </cell>
          <cell r="G215">
            <v>0.97356360829804833</v>
          </cell>
        </row>
        <row r="216">
          <cell r="A216" t="str">
            <v>Agro Sudamerica1012207</v>
          </cell>
          <cell r="B216" t="str">
            <v>Agro Sudamerica</v>
          </cell>
          <cell r="C216">
            <v>1012207</v>
          </cell>
          <cell r="D216">
            <v>203352</v>
          </cell>
          <cell r="E216">
            <v>252082.3407</v>
          </cell>
          <cell r="F216">
            <v>-75777.659299999999</v>
          </cell>
          <cell r="G216">
            <v>1.2396354139619969</v>
          </cell>
        </row>
        <row r="217">
          <cell r="A217" t="str">
            <v>Agro Sudamerica1012208</v>
          </cell>
          <cell r="B217" t="str">
            <v>Agro Sudamerica</v>
          </cell>
          <cell r="C217">
            <v>1012208</v>
          </cell>
          <cell r="D217">
            <v>140058.59</v>
          </cell>
          <cell r="E217">
            <v>203232.88520000002</v>
          </cell>
          <cell r="F217">
            <v>-42071.114799999996</v>
          </cell>
          <cell r="G217">
            <v>1.451056198695132</v>
          </cell>
        </row>
        <row r="218">
          <cell r="A218" t="str">
            <v>Agro Sudamerica1012283</v>
          </cell>
          <cell r="B218" t="str">
            <v>Agro Sudamerica</v>
          </cell>
          <cell r="C218">
            <v>1012283</v>
          </cell>
          <cell r="D218">
            <v>549093.53</v>
          </cell>
          <cell r="E218">
            <v>455563.60840000003</v>
          </cell>
          <cell r="F218">
            <v>231328.60839999997</v>
          </cell>
          <cell r="G218">
            <v>0.82966486310629084</v>
          </cell>
        </row>
        <row r="219">
          <cell r="A219" t="str">
            <v>Agro Sudamerica1012362</v>
          </cell>
          <cell r="B219" t="str">
            <v>Agro Sudamerica</v>
          </cell>
          <cell r="C219">
            <v>1012362</v>
          </cell>
          <cell r="D219">
            <v>65628</v>
          </cell>
          <cell r="E219">
            <v>46328.918699999995</v>
          </cell>
          <cell r="F219">
            <v>-18023.081299999998</v>
          </cell>
          <cell r="G219">
            <v>0.70593220424209169</v>
          </cell>
        </row>
        <row r="220">
          <cell r="A220" t="str">
            <v>Agro Sudamerica1012552</v>
          </cell>
          <cell r="B220" t="str">
            <v>Agro Sudamerica</v>
          </cell>
          <cell r="C220">
            <v>1012552</v>
          </cell>
          <cell r="D220">
            <v>211350</v>
          </cell>
          <cell r="E220">
            <v>851771.53630000004</v>
          </cell>
          <cell r="F220">
            <v>-127101.46369999999</v>
          </cell>
          <cell r="G220">
            <v>4.0301468478826594</v>
          </cell>
        </row>
        <row r="221">
          <cell r="A221" t="str">
            <v>Agro Sudamerica1012556</v>
          </cell>
          <cell r="B221" t="str">
            <v>Agro Sudamerica</v>
          </cell>
          <cell r="C221">
            <v>1012556</v>
          </cell>
          <cell r="D221">
            <v>479747.32999999996</v>
          </cell>
          <cell r="E221">
            <v>488243.60090000008</v>
          </cell>
          <cell r="F221">
            <v>7986.1609000000099</v>
          </cell>
          <cell r="G221">
            <v>1.0177098867856129</v>
          </cell>
        </row>
        <row r="222">
          <cell r="A222" t="str">
            <v>Agro Sudamerica1012602</v>
          </cell>
          <cell r="B222" t="str">
            <v>Agro Sudamerica</v>
          </cell>
          <cell r="C222">
            <v>1012602</v>
          </cell>
          <cell r="D222">
            <v>0</v>
          </cell>
          <cell r="E222">
            <v>-6408.7</v>
          </cell>
          <cell r="F222">
            <v>-6408.7</v>
          </cell>
          <cell r="G222" t="e">
            <v>#DIV/0!</v>
          </cell>
        </row>
        <row r="223">
          <cell r="A223" t="str">
            <v>Agro Sudamerica1012612</v>
          </cell>
          <cell r="B223" t="str">
            <v>Agro Sudamerica</v>
          </cell>
          <cell r="C223">
            <v>1012612</v>
          </cell>
          <cell r="D223">
            <v>49784.9</v>
          </cell>
          <cell r="E223">
            <v>29892.698700000001</v>
          </cell>
          <cell r="F223">
            <v>29892.698700000001</v>
          </cell>
          <cell r="G223">
            <v>0.60043705420719939</v>
          </cell>
        </row>
        <row r="224">
          <cell r="A224" t="str">
            <v>Agro Sudamerica1012698</v>
          </cell>
          <cell r="B224" t="str">
            <v>Agro Sudamerica</v>
          </cell>
          <cell r="C224">
            <v>1012698</v>
          </cell>
          <cell r="D224">
            <v>36</v>
          </cell>
          <cell r="E224">
            <v>33.398699999999998</v>
          </cell>
          <cell r="F224">
            <v>-446.60129999999998</v>
          </cell>
          <cell r="G224">
            <v>0.92774166666666658</v>
          </cell>
        </row>
        <row r="225">
          <cell r="A225" t="str">
            <v>Agro Sudamerica1012699</v>
          </cell>
          <cell r="B225" t="str">
            <v>Agro Sudamerica</v>
          </cell>
          <cell r="C225">
            <v>1012699</v>
          </cell>
          <cell r="D225">
            <v>36</v>
          </cell>
          <cell r="E225">
            <v>33.398699999999998</v>
          </cell>
          <cell r="F225">
            <v>-486.60129999999998</v>
          </cell>
          <cell r="G225">
            <v>0.92774166666666658</v>
          </cell>
        </row>
        <row r="226">
          <cell r="A226" t="str">
            <v>Agro Sudamerica1012719</v>
          </cell>
          <cell r="B226" t="str">
            <v>Agro Sudamerica</v>
          </cell>
          <cell r="C226">
            <v>1012719</v>
          </cell>
          <cell r="D226">
            <v>1869030.93</v>
          </cell>
          <cell r="E226">
            <v>1221593.1838999998</v>
          </cell>
          <cell r="F226">
            <v>453250.27390000003</v>
          </cell>
          <cell r="G226">
            <v>0.6535970937088772</v>
          </cell>
        </row>
        <row r="227">
          <cell r="A227" t="str">
            <v>Agro Sudamerica1012744</v>
          </cell>
          <cell r="B227" t="str">
            <v>Agro Sudamerica</v>
          </cell>
          <cell r="C227">
            <v>1012744</v>
          </cell>
          <cell r="D227">
            <v>101044.78</v>
          </cell>
          <cell r="E227">
            <v>344847.65009999997</v>
          </cell>
          <cell r="F227">
            <v>-64352.349900000016</v>
          </cell>
          <cell r="G227">
            <v>3.4128200397882997</v>
          </cell>
        </row>
        <row r="228">
          <cell r="A228" t="str">
            <v>Agro Sudamerica1012763</v>
          </cell>
          <cell r="B228" t="str">
            <v>Agro Sudamerica</v>
          </cell>
          <cell r="C228">
            <v>1012763</v>
          </cell>
          <cell r="D228">
            <v>311854.38999999996</v>
          </cell>
          <cell r="E228">
            <v>231522.23429999998</v>
          </cell>
          <cell r="F228">
            <v>10314.2343</v>
          </cell>
          <cell r="G228">
            <v>0.74240492269485137</v>
          </cell>
        </row>
        <row r="229">
          <cell r="A229" t="str">
            <v>Agro Sudamerica1012778</v>
          </cell>
          <cell r="B229" t="str">
            <v>Agro Sudamerica</v>
          </cell>
          <cell r="C229">
            <v>1012778</v>
          </cell>
          <cell r="D229">
            <v>113213.84999999999</v>
          </cell>
          <cell r="E229">
            <v>85912.8073</v>
          </cell>
          <cell r="F229">
            <v>40595.8073</v>
          </cell>
          <cell r="G229">
            <v>0.75885421527489794</v>
          </cell>
        </row>
        <row r="230">
          <cell r="A230" t="str">
            <v>Agro Sudamerica1012782</v>
          </cell>
          <cell r="B230" t="str">
            <v>Agro Sudamerica</v>
          </cell>
          <cell r="C230">
            <v>1012782</v>
          </cell>
          <cell r="D230">
            <v>2627.55</v>
          </cell>
          <cell r="E230">
            <v>1248.9087999999999</v>
          </cell>
          <cell r="F230">
            <v>-39.091200000000072</v>
          </cell>
          <cell r="G230">
            <v>0.4753130482769119</v>
          </cell>
        </row>
        <row r="231">
          <cell r="A231" t="str">
            <v>Agro Sudamerica1020017</v>
          </cell>
          <cell r="B231" t="str">
            <v>Agro Sudamerica</v>
          </cell>
          <cell r="C231">
            <v>1020017</v>
          </cell>
          <cell r="D231">
            <v>145074.45000000001</v>
          </cell>
          <cell r="E231">
            <v>402056.52469999995</v>
          </cell>
          <cell r="F231">
            <v>-333853.47530000005</v>
          </cell>
          <cell r="G231">
            <v>2.7713806580000813</v>
          </cell>
        </row>
        <row r="232">
          <cell r="A232" t="str">
            <v>Agro Sudamerica1020339</v>
          </cell>
          <cell r="B232" t="str">
            <v>Agro Sudamerica</v>
          </cell>
          <cell r="C232">
            <v>1020339</v>
          </cell>
          <cell r="D232">
            <v>425303.71</v>
          </cell>
          <cell r="E232">
            <v>635246.64490000007</v>
          </cell>
          <cell r="F232">
            <v>-285716.35510000004</v>
          </cell>
          <cell r="G232">
            <v>1.4936306219854043</v>
          </cell>
        </row>
        <row r="233">
          <cell r="A233" t="str">
            <v>Agro Sudamerica1020349</v>
          </cell>
          <cell r="B233" t="str">
            <v>Agro Sudamerica</v>
          </cell>
          <cell r="C233">
            <v>1020349</v>
          </cell>
          <cell r="D233">
            <v>395869.67000000004</v>
          </cell>
          <cell r="E233">
            <v>702461.34210000001</v>
          </cell>
          <cell r="F233">
            <v>-100284.65790000002</v>
          </cell>
          <cell r="G233">
            <v>1.7744762868547115</v>
          </cell>
        </row>
        <row r="234">
          <cell r="A234" t="str">
            <v>Agro Sudamerica1020352</v>
          </cell>
          <cell r="B234" t="str">
            <v>Agro Sudamerica</v>
          </cell>
          <cell r="C234">
            <v>1020352</v>
          </cell>
          <cell r="D234">
            <v>199908.4</v>
          </cell>
          <cell r="E234">
            <v>258549.47639999999</v>
          </cell>
          <cell r="F234">
            <v>-33607.4136</v>
          </cell>
          <cell r="G234">
            <v>1.2933397315970714</v>
          </cell>
        </row>
        <row r="235">
          <cell r="A235" t="str">
            <v>Agro Sudamerica1020367</v>
          </cell>
          <cell r="B235" t="str">
            <v>Agro Sudamerica</v>
          </cell>
          <cell r="C235">
            <v>1020367</v>
          </cell>
          <cell r="D235">
            <v>670972.68000000005</v>
          </cell>
          <cell r="E235">
            <v>813315.42240000004</v>
          </cell>
          <cell r="F235">
            <v>19501.272400000016</v>
          </cell>
          <cell r="G235">
            <v>1.2121438720873106</v>
          </cell>
        </row>
        <row r="236">
          <cell r="A236" t="str">
            <v>Agro Sudamerica1020412</v>
          </cell>
          <cell r="B236" t="str">
            <v>Agro Sudamerica</v>
          </cell>
          <cell r="C236">
            <v>1020412</v>
          </cell>
          <cell r="D236">
            <v>704024.78</v>
          </cell>
          <cell r="E236">
            <v>1253235.9588000001</v>
          </cell>
          <cell r="F236">
            <v>9286.3688000000548</v>
          </cell>
          <cell r="G236">
            <v>1.7801020566349952</v>
          </cell>
        </row>
        <row r="237">
          <cell r="A237" t="str">
            <v>Agro Sudamerica1020848</v>
          </cell>
          <cell r="B237" t="str">
            <v>Agro Sudamerica</v>
          </cell>
          <cell r="C237">
            <v>1020848</v>
          </cell>
          <cell r="D237">
            <v>743369.37</v>
          </cell>
          <cell r="E237">
            <v>2007860.2611999998</v>
          </cell>
          <cell r="F237">
            <v>-227512.73880000002</v>
          </cell>
          <cell r="G237">
            <v>2.7010263567894919</v>
          </cell>
        </row>
        <row r="238">
          <cell r="A238" t="str">
            <v>Agro Sudamerica1020869</v>
          </cell>
          <cell r="B238" t="str">
            <v>Agro Sudamerica</v>
          </cell>
          <cell r="C238">
            <v>1020869</v>
          </cell>
          <cell r="D238">
            <v>83674.39</v>
          </cell>
          <cell r="E238">
            <v>405917.4902</v>
          </cell>
          <cell r="F238">
            <v>-134549.5098</v>
          </cell>
          <cell r="G238">
            <v>4.8511556546752237</v>
          </cell>
        </row>
        <row r="239">
          <cell r="A239" t="str">
            <v>Agro Sudamerica1020915</v>
          </cell>
          <cell r="B239" t="str">
            <v>Agro Sudamerica</v>
          </cell>
          <cell r="C239">
            <v>1020915</v>
          </cell>
          <cell r="D239">
            <v>93504.88</v>
          </cell>
          <cell r="E239">
            <v>212236.3328</v>
          </cell>
          <cell r="F239">
            <v>636.33280000000514</v>
          </cell>
          <cell r="G239">
            <v>2.2697888366895929</v>
          </cell>
        </row>
        <row r="240">
          <cell r="A240" t="str">
            <v>Agro Sudamerica1020925</v>
          </cell>
          <cell r="B240" t="str">
            <v>Agro Sudamerica</v>
          </cell>
          <cell r="C240">
            <v>1020925</v>
          </cell>
          <cell r="D240">
            <v>131898.70000000001</v>
          </cell>
          <cell r="E240">
            <v>175831.37359999999</v>
          </cell>
          <cell r="F240">
            <v>-399832.62640000001</v>
          </cell>
          <cell r="G240">
            <v>1.3330788976691959</v>
          </cell>
        </row>
        <row r="241">
          <cell r="A241" t="str">
            <v>Agro Sudamerica1020944</v>
          </cell>
          <cell r="B241" t="str">
            <v>Agro Sudamerica</v>
          </cell>
          <cell r="C241">
            <v>1020944</v>
          </cell>
          <cell r="D241">
            <v>1720278.2699999998</v>
          </cell>
          <cell r="E241">
            <v>4278256.216</v>
          </cell>
          <cell r="F241">
            <v>-629601.18400000001</v>
          </cell>
          <cell r="G241">
            <v>2.4869559132430363</v>
          </cell>
        </row>
        <row r="242">
          <cell r="A242" t="str">
            <v>Agro Sudamerica1021023</v>
          </cell>
          <cell r="B242" t="str">
            <v>Agro Sudamerica</v>
          </cell>
          <cell r="C242">
            <v>1021023</v>
          </cell>
          <cell r="D242">
            <v>1016414.2300000001</v>
          </cell>
          <cell r="E242">
            <v>1125691.6425999999</v>
          </cell>
          <cell r="F242">
            <v>154304.11259999999</v>
          </cell>
          <cell r="G242">
            <v>1.1075126748274666</v>
          </cell>
        </row>
        <row r="243">
          <cell r="A243" t="str">
            <v>Agro Sudamerica1021039</v>
          </cell>
          <cell r="B243" t="str">
            <v>Agro Sudamerica</v>
          </cell>
          <cell r="C243">
            <v>1021039</v>
          </cell>
          <cell r="D243">
            <v>157882.70000000001</v>
          </cell>
          <cell r="E243">
            <v>93313.357400000008</v>
          </cell>
          <cell r="F243">
            <v>-45207.732599999996</v>
          </cell>
          <cell r="G243">
            <v>0.59102965302721577</v>
          </cell>
        </row>
        <row r="244">
          <cell r="A244" t="str">
            <v>Agro Sudamerica1021077</v>
          </cell>
          <cell r="B244" t="str">
            <v>Agro Sudamerica</v>
          </cell>
          <cell r="C244">
            <v>1021077</v>
          </cell>
          <cell r="D244">
            <v>120996.76999999999</v>
          </cell>
          <cell r="E244">
            <v>133876.65730000002</v>
          </cell>
          <cell r="F244">
            <v>-101862.34269999998</v>
          </cell>
          <cell r="G244">
            <v>1.1064481911376645</v>
          </cell>
        </row>
        <row r="245">
          <cell r="A245" t="str">
            <v>Agro Sudamerica1021078</v>
          </cell>
          <cell r="B245" t="str">
            <v>Agro Sudamerica</v>
          </cell>
          <cell r="C245">
            <v>1021078</v>
          </cell>
          <cell r="D245">
            <v>623966.47</v>
          </cell>
          <cell r="E245">
            <v>1352586.2047000001</v>
          </cell>
          <cell r="F245">
            <v>-84019.795300000027</v>
          </cell>
          <cell r="G245">
            <v>2.1677225776250446</v>
          </cell>
        </row>
        <row r="246">
          <cell r="A246" t="str">
            <v>Agro Sudamerica1021082</v>
          </cell>
          <cell r="B246" t="str">
            <v>Agro Sudamerica</v>
          </cell>
          <cell r="C246">
            <v>1021082</v>
          </cell>
          <cell r="D246">
            <v>70970.87</v>
          </cell>
          <cell r="E246">
            <v>121743.83610000001</v>
          </cell>
          <cell r="F246">
            <v>-117981.1639</v>
          </cell>
          <cell r="G246">
            <v>1.7154057164580345</v>
          </cell>
        </row>
        <row r="247">
          <cell r="A247" t="str">
            <v>Agro Sudamerica1021085</v>
          </cell>
          <cell r="B247" t="str">
            <v>Agro Sudamerica</v>
          </cell>
          <cell r="C247">
            <v>1021085</v>
          </cell>
          <cell r="D247">
            <v>24969.77</v>
          </cell>
          <cell r="E247">
            <v>22492.044400000002</v>
          </cell>
          <cell r="F247">
            <v>-18142.955599999998</v>
          </cell>
          <cell r="G247">
            <v>0.90077098827902713</v>
          </cell>
        </row>
        <row r="248">
          <cell r="A248" t="str">
            <v>Agro Sudamerica1021092</v>
          </cell>
          <cell r="B248" t="str">
            <v>Agro Sudamerica</v>
          </cell>
          <cell r="C248">
            <v>1021092</v>
          </cell>
          <cell r="D248">
            <v>647834.49</v>
          </cell>
          <cell r="E248">
            <v>1473822.6631999998</v>
          </cell>
          <cell r="F248">
            <v>-30146.386799999949</v>
          </cell>
          <cell r="G248">
            <v>2.2749987627241022</v>
          </cell>
        </row>
        <row r="249">
          <cell r="A249" t="str">
            <v>Agro Sudamerica1021101</v>
          </cell>
          <cell r="B249" t="str">
            <v>Agro Sudamerica</v>
          </cell>
          <cell r="C249">
            <v>1021101</v>
          </cell>
          <cell r="D249">
            <v>62969.55</v>
          </cell>
          <cell r="E249">
            <v>72441.407000000007</v>
          </cell>
          <cell r="F249">
            <v>-67003.592999999993</v>
          </cell>
          <cell r="G249">
            <v>1.1504196393336146</v>
          </cell>
        </row>
        <row r="250">
          <cell r="A250" t="str">
            <v>Agro Sudamerica1021105</v>
          </cell>
          <cell r="B250" t="str">
            <v>Agro Sudamerica</v>
          </cell>
          <cell r="C250">
            <v>1021105</v>
          </cell>
          <cell r="D250">
            <v>100947.32999999999</v>
          </cell>
          <cell r="E250">
            <v>56440.485499999995</v>
          </cell>
          <cell r="F250">
            <v>-21080.184500000003</v>
          </cell>
          <cell r="G250">
            <v>0.55910825477008652</v>
          </cell>
        </row>
        <row r="251">
          <cell r="A251" t="str">
            <v>Agro Sudamerica1021106</v>
          </cell>
          <cell r="B251" t="str">
            <v>Agro Sudamerica</v>
          </cell>
          <cell r="C251">
            <v>1021106</v>
          </cell>
          <cell r="D251">
            <v>264166.46000000002</v>
          </cell>
          <cell r="E251">
            <v>183948.65719999999</v>
          </cell>
          <cell r="F251">
            <v>-79511.342799999999</v>
          </cell>
          <cell r="G251">
            <v>0.69633615561945283</v>
          </cell>
        </row>
        <row r="252">
          <cell r="A252" t="str">
            <v>Agro Sudamerica1021111</v>
          </cell>
          <cell r="B252" t="str">
            <v>Agro Sudamerica</v>
          </cell>
          <cell r="C252">
            <v>1021111</v>
          </cell>
          <cell r="D252">
            <v>4908.49</v>
          </cell>
          <cell r="E252">
            <v>6829.7240000000002</v>
          </cell>
          <cell r="F252">
            <v>-4161.1859999999997</v>
          </cell>
          <cell r="G252">
            <v>1.3914103930129227</v>
          </cell>
        </row>
        <row r="253">
          <cell r="A253" t="str">
            <v>Agro Sudamerica1021156</v>
          </cell>
          <cell r="B253" t="str">
            <v>Agro Sudamerica</v>
          </cell>
          <cell r="C253">
            <v>1021156</v>
          </cell>
          <cell r="D253">
            <v>29000</v>
          </cell>
          <cell r="E253">
            <v>47656.6011</v>
          </cell>
          <cell r="F253">
            <v>47656.6011</v>
          </cell>
          <cell r="G253">
            <v>1.6433310724137931</v>
          </cell>
        </row>
        <row r="254">
          <cell r="A254" t="str">
            <v>Agro Sudamerica1021187</v>
          </cell>
          <cell r="B254" t="str">
            <v>Agro Sudamerica</v>
          </cell>
          <cell r="C254">
            <v>1021187</v>
          </cell>
          <cell r="D254">
            <v>228907.93</v>
          </cell>
          <cell r="E254">
            <v>449982.51639999996</v>
          </cell>
          <cell r="F254">
            <v>-348932.48360000004</v>
          </cell>
          <cell r="G254">
            <v>1.965779500954816</v>
          </cell>
        </row>
        <row r="255">
          <cell r="A255" t="str">
            <v>Agro Sudamerica1021204</v>
          </cell>
          <cell r="B255" t="str">
            <v>Agro Sudamerica</v>
          </cell>
          <cell r="C255">
            <v>1021204</v>
          </cell>
          <cell r="D255">
            <v>23040</v>
          </cell>
          <cell r="E255">
            <v>33689.82</v>
          </cell>
          <cell r="F255">
            <v>-179.18000000000029</v>
          </cell>
          <cell r="G255">
            <v>1.4622317708333332</v>
          </cell>
        </row>
        <row r="256">
          <cell r="A256" t="str">
            <v>Agro Sudamerica1021237</v>
          </cell>
          <cell r="B256" t="str">
            <v>Agro Sudamerica</v>
          </cell>
          <cell r="C256">
            <v>1021237</v>
          </cell>
          <cell r="D256">
            <v>58640</v>
          </cell>
          <cell r="E256">
            <v>106977.8413</v>
          </cell>
          <cell r="F256">
            <v>-30907.1587</v>
          </cell>
          <cell r="G256">
            <v>1.8243151654160983</v>
          </cell>
        </row>
        <row r="257">
          <cell r="A257" t="str">
            <v>Agro Sudamerica1021263</v>
          </cell>
          <cell r="B257" t="str">
            <v>Agro Sudamerica</v>
          </cell>
          <cell r="C257">
            <v>1021263</v>
          </cell>
          <cell r="D257">
            <v>85115.35</v>
          </cell>
          <cell r="E257">
            <v>153826.42050000001</v>
          </cell>
          <cell r="F257">
            <v>-71293.579499999993</v>
          </cell>
          <cell r="G257">
            <v>1.8072700223872662</v>
          </cell>
        </row>
        <row r="258">
          <cell r="A258" t="str">
            <v>Agro Sudamerica1021279</v>
          </cell>
          <cell r="B258" t="str">
            <v>Agro Sudamerica</v>
          </cell>
          <cell r="C258">
            <v>1021279</v>
          </cell>
          <cell r="D258">
            <v>0</v>
          </cell>
          <cell r="E258"/>
          <cell r="F258">
            <v>-29680</v>
          </cell>
          <cell r="G258" t="e">
            <v>#DIV/0!</v>
          </cell>
        </row>
        <row r="259">
          <cell r="A259" t="str">
            <v>Agro Sudamerica1021385</v>
          </cell>
          <cell r="B259" t="str">
            <v>Agro Sudamerica</v>
          </cell>
          <cell r="C259">
            <v>1021385</v>
          </cell>
          <cell r="D259">
            <v>711928.8600000001</v>
          </cell>
          <cell r="E259">
            <v>660215.23640000005</v>
          </cell>
          <cell r="F259">
            <v>-221951.14360000001</v>
          </cell>
          <cell r="G259">
            <v>0.92736124842586087</v>
          </cell>
        </row>
        <row r="260">
          <cell r="A260" t="str">
            <v>Agro Sudamerica1021435</v>
          </cell>
          <cell r="B260" t="str">
            <v>Agro Sudamerica</v>
          </cell>
          <cell r="C260">
            <v>1021435</v>
          </cell>
          <cell r="D260">
            <v>11988.92</v>
          </cell>
          <cell r="E260">
            <v>12088.0946</v>
          </cell>
          <cell r="F260">
            <v>1648.0946000000004</v>
          </cell>
          <cell r="G260">
            <v>1.0082721879869079</v>
          </cell>
        </row>
        <row r="261">
          <cell r="A261" t="str">
            <v>Agro Sudamerica1021550</v>
          </cell>
          <cell r="B261" t="str">
            <v>Agro Sudamerica</v>
          </cell>
          <cell r="C261">
            <v>1021550</v>
          </cell>
          <cell r="D261">
            <v>72140</v>
          </cell>
          <cell r="E261">
            <v>133265.90709999998</v>
          </cell>
          <cell r="F261">
            <v>-64849.092900000003</v>
          </cell>
          <cell r="G261">
            <v>1.8473233587468809</v>
          </cell>
        </row>
        <row r="262">
          <cell r="A262" t="str">
            <v>Agro Sudamerica1021622</v>
          </cell>
          <cell r="B262" t="str">
            <v>Agro Sudamerica</v>
          </cell>
          <cell r="C262">
            <v>1021622</v>
          </cell>
          <cell r="D262">
            <v>29660</v>
          </cell>
          <cell r="E262">
            <v>203551.91680000001</v>
          </cell>
          <cell r="F262">
            <v>-249962.08319999999</v>
          </cell>
          <cell r="G262">
            <v>6.8628427781523937</v>
          </cell>
        </row>
        <row r="263">
          <cell r="A263" t="str">
            <v>Agro Sudamerica1021623</v>
          </cell>
          <cell r="B263" t="str">
            <v>Agro Sudamerica</v>
          </cell>
          <cell r="C263">
            <v>1021623</v>
          </cell>
          <cell r="D263">
            <v>530</v>
          </cell>
          <cell r="E263">
            <v>1812.7774999999999</v>
          </cell>
          <cell r="F263">
            <v>10.777499999999918</v>
          </cell>
          <cell r="G263">
            <v>3.4203349056603773</v>
          </cell>
        </row>
        <row r="264">
          <cell r="A264" t="str">
            <v>Agro Sudamerica1021639</v>
          </cell>
          <cell r="B264" t="str">
            <v>Agro Sudamerica</v>
          </cell>
          <cell r="C264">
            <v>1021639</v>
          </cell>
          <cell r="D264">
            <v>43110</v>
          </cell>
          <cell r="E264">
            <v>132733.53510000001</v>
          </cell>
          <cell r="F264">
            <v>-158400.46489999999</v>
          </cell>
          <cell r="G264">
            <v>3.0789500139178845</v>
          </cell>
        </row>
        <row r="265">
          <cell r="A265" t="str">
            <v>Agro Sudamerica1021819</v>
          </cell>
          <cell r="B265" t="str">
            <v>Agro Sudamerica</v>
          </cell>
          <cell r="C265">
            <v>1021819</v>
          </cell>
          <cell r="D265">
            <v>48004.960000000006</v>
          </cell>
          <cell r="E265">
            <v>88792.408900000009</v>
          </cell>
          <cell r="F265">
            <v>-7207.5910999999978</v>
          </cell>
          <cell r="G265">
            <v>1.8496507215087774</v>
          </cell>
        </row>
        <row r="266">
          <cell r="A266" t="str">
            <v>Agro Sudamerica1021820</v>
          </cell>
          <cell r="B266" t="str">
            <v>Agro Sudamerica</v>
          </cell>
          <cell r="C266">
            <v>1021820</v>
          </cell>
          <cell r="D266">
            <v>9951</v>
          </cell>
          <cell r="E266">
            <v>21063.197</v>
          </cell>
          <cell r="F266">
            <v>21063.197</v>
          </cell>
          <cell r="G266">
            <v>2.1166914882926338</v>
          </cell>
        </row>
        <row r="267">
          <cell r="A267" t="str">
            <v>Agro Sudamerica1021864</v>
          </cell>
          <cell r="B267" t="str">
            <v>Agro Sudamerica</v>
          </cell>
          <cell r="C267">
            <v>1021864</v>
          </cell>
          <cell r="D267">
            <v>70370.739999999991</v>
          </cell>
          <cell r="E267">
            <v>40118.0697</v>
          </cell>
          <cell r="F267">
            <v>18157.0697</v>
          </cell>
          <cell r="G267">
            <v>0.57009589070684785</v>
          </cell>
        </row>
        <row r="268">
          <cell r="A268" t="str">
            <v>Agro Sudamerica1021868</v>
          </cell>
          <cell r="B268" t="str">
            <v>Agro Sudamerica</v>
          </cell>
          <cell r="C268">
            <v>1021868</v>
          </cell>
          <cell r="D268">
            <v>274206.46999999997</v>
          </cell>
          <cell r="E268">
            <v>758235.55579999997</v>
          </cell>
          <cell r="F268">
            <v>-147237.11420000007</v>
          </cell>
          <cell r="G268">
            <v>2.7651993616343189</v>
          </cell>
        </row>
        <row r="269">
          <cell r="A269" t="str">
            <v>Agro Sudamerica1021903</v>
          </cell>
          <cell r="B269" t="str">
            <v>Agro Sudamerica</v>
          </cell>
          <cell r="C269">
            <v>1021903</v>
          </cell>
          <cell r="D269">
            <v>24006.06</v>
          </cell>
          <cell r="E269">
            <v>29193.874400000001</v>
          </cell>
          <cell r="F269">
            <v>-86.125599999999395</v>
          </cell>
          <cell r="G269">
            <v>1.2161043669806706</v>
          </cell>
        </row>
        <row r="270">
          <cell r="A270" t="str">
            <v>Agro Sudamerica1021971</v>
          </cell>
          <cell r="B270" t="str">
            <v>Agro Sudamerica</v>
          </cell>
          <cell r="C270">
            <v>1021971</v>
          </cell>
          <cell r="D270">
            <v>2980</v>
          </cell>
          <cell r="E270">
            <v>5860.0253000000002</v>
          </cell>
          <cell r="F270">
            <v>-289.97469999999976</v>
          </cell>
          <cell r="G270">
            <v>1.9664514429530202</v>
          </cell>
        </row>
        <row r="271">
          <cell r="A271" t="str">
            <v>Agro Sudamerica1021976</v>
          </cell>
          <cell r="B271" t="str">
            <v>Agro Sudamerica</v>
          </cell>
          <cell r="C271">
            <v>1021976</v>
          </cell>
          <cell r="D271">
            <v>1257339.2200000002</v>
          </cell>
          <cell r="E271">
            <v>2874027.7090000003</v>
          </cell>
          <cell r="F271">
            <v>-479833.92099999997</v>
          </cell>
          <cell r="G271">
            <v>2.2858013679076996</v>
          </cell>
        </row>
        <row r="272">
          <cell r="A272" t="str">
            <v>Agro Sudamerica1022047</v>
          </cell>
          <cell r="B272" t="str">
            <v>Agro Sudamerica</v>
          </cell>
          <cell r="C272">
            <v>1022047</v>
          </cell>
          <cell r="D272">
            <v>23918.43</v>
          </cell>
          <cell r="E272">
            <v>31958.843499999999</v>
          </cell>
          <cell r="F272">
            <v>-63546.156499999997</v>
          </cell>
          <cell r="G272">
            <v>1.3361597521241988</v>
          </cell>
        </row>
        <row r="273">
          <cell r="A273" t="str">
            <v>Agro Sudamerica1022149</v>
          </cell>
          <cell r="B273" t="str">
            <v>Agro Sudamerica</v>
          </cell>
          <cell r="C273">
            <v>1022149</v>
          </cell>
          <cell r="D273">
            <v>69305.2</v>
          </cell>
          <cell r="E273">
            <v>138411.38950000002</v>
          </cell>
          <cell r="F273">
            <v>-108253.61049999998</v>
          </cell>
          <cell r="G273">
            <v>1.9971284910800347</v>
          </cell>
        </row>
        <row r="274">
          <cell r="A274" t="str">
            <v>Agro Sudamerica1022150</v>
          </cell>
          <cell r="B274" t="str">
            <v>Agro Sudamerica</v>
          </cell>
          <cell r="C274">
            <v>1022150</v>
          </cell>
          <cell r="D274">
            <v>639789.18000000005</v>
          </cell>
          <cell r="E274">
            <v>729249.00559999992</v>
          </cell>
          <cell r="F274">
            <v>-379215.89439999999</v>
          </cell>
          <cell r="G274">
            <v>1.1398270374000383</v>
          </cell>
        </row>
        <row r="275">
          <cell r="A275" t="str">
            <v>Agro Sudamerica1022196</v>
          </cell>
          <cell r="B275" t="str">
            <v>Agro Sudamerica</v>
          </cell>
          <cell r="C275">
            <v>1022196</v>
          </cell>
          <cell r="D275">
            <v>191813.91000000003</v>
          </cell>
          <cell r="E275">
            <v>137446.18240000002</v>
          </cell>
          <cell r="F275">
            <v>-86493.81759999998</v>
          </cell>
          <cell r="G275">
            <v>0.71656003675645841</v>
          </cell>
        </row>
        <row r="276">
          <cell r="A276" t="str">
            <v>Agro Sudamerica1022197</v>
          </cell>
          <cell r="B276" t="str">
            <v>Agro Sudamerica</v>
          </cell>
          <cell r="C276">
            <v>1022197</v>
          </cell>
          <cell r="D276">
            <v>52597.55</v>
          </cell>
          <cell r="E276">
            <v>44015.598400000003</v>
          </cell>
          <cell r="F276">
            <v>1826.5984000000026</v>
          </cell>
          <cell r="G276">
            <v>0.8368374268383223</v>
          </cell>
        </row>
        <row r="277">
          <cell r="A277" t="str">
            <v>Agro Sudamerica1022217</v>
          </cell>
          <cell r="B277" t="str">
            <v>Agro Sudamerica</v>
          </cell>
          <cell r="C277">
            <v>1022217</v>
          </cell>
          <cell r="D277">
            <v>46034.71</v>
          </cell>
          <cell r="E277">
            <v>71353.800499999998</v>
          </cell>
          <cell r="F277">
            <v>71353.800499999998</v>
          </cell>
          <cell r="G277">
            <v>1.55</v>
          </cell>
        </row>
        <row r="278">
          <cell r="A278" t="str">
            <v>Agro Sudamerica1022218</v>
          </cell>
          <cell r="B278" t="str">
            <v>Agro Sudamerica</v>
          </cell>
          <cell r="C278">
            <v>1022218</v>
          </cell>
          <cell r="D278">
            <v>23981.13</v>
          </cell>
          <cell r="E278">
            <v>32980.751499999998</v>
          </cell>
          <cell r="F278">
            <v>32980.751499999998</v>
          </cell>
          <cell r="G278">
            <v>1.3752792925104029</v>
          </cell>
        </row>
        <row r="279">
          <cell r="A279" t="str">
            <v>Agro Sudamerica1022247</v>
          </cell>
          <cell r="B279" t="str">
            <v>Agro Sudamerica</v>
          </cell>
          <cell r="C279">
            <v>1022247</v>
          </cell>
          <cell r="D279">
            <v>0</v>
          </cell>
          <cell r="E279"/>
          <cell r="F279">
            <v>-64560</v>
          </cell>
          <cell r="G279" t="e">
            <v>#DIV/0!</v>
          </cell>
        </row>
        <row r="280">
          <cell r="A280" t="str">
            <v>Agro Sudamerica1022273</v>
          </cell>
          <cell r="B280" t="str">
            <v>Agro Sudamerica</v>
          </cell>
          <cell r="C280">
            <v>1022273</v>
          </cell>
          <cell r="D280">
            <v>35996.089999999997</v>
          </cell>
          <cell r="E280">
            <v>44884.657399999996</v>
          </cell>
          <cell r="F280">
            <v>32884.657399999996</v>
          </cell>
          <cell r="G280">
            <v>1.2469314695012708</v>
          </cell>
        </row>
        <row r="281">
          <cell r="A281" t="str">
            <v>Agro Sudamerica1022384</v>
          </cell>
          <cell r="B281" t="str">
            <v>Agro Sudamerica</v>
          </cell>
          <cell r="C281">
            <v>1022384</v>
          </cell>
          <cell r="D281">
            <v>1608.51</v>
          </cell>
          <cell r="E281">
            <v>7341.4768999999997</v>
          </cell>
          <cell r="F281">
            <v>5236.4768999999997</v>
          </cell>
          <cell r="G281">
            <v>4.5641475029685861</v>
          </cell>
        </row>
        <row r="282">
          <cell r="A282" t="str">
            <v>Agro Sudamerica1022406</v>
          </cell>
          <cell r="B282" t="str">
            <v>Agro Sudamerica</v>
          </cell>
          <cell r="C282">
            <v>1022406</v>
          </cell>
          <cell r="D282">
            <v>4994.0600000000004</v>
          </cell>
          <cell r="E282">
            <v>10908.5604</v>
          </cell>
          <cell r="F282">
            <v>10908.5604</v>
          </cell>
          <cell r="G282">
            <v>2.1843070367596704</v>
          </cell>
        </row>
        <row r="283">
          <cell r="A283" t="str">
            <v>Agro Sudamerica1022409</v>
          </cell>
          <cell r="B283" t="str">
            <v>Agro Sudamerica</v>
          </cell>
          <cell r="C283">
            <v>1022409</v>
          </cell>
          <cell r="D283">
            <v>95760</v>
          </cell>
          <cell r="E283">
            <v>456553.76</v>
          </cell>
          <cell r="F283">
            <v>-3257.2399999999907</v>
          </cell>
          <cell r="G283">
            <v>4.767687552213868</v>
          </cell>
        </row>
        <row r="284">
          <cell r="A284" t="str">
            <v>Agro Sudamerica1022418</v>
          </cell>
          <cell r="B284" t="str">
            <v>Agro Sudamerica</v>
          </cell>
          <cell r="C284">
            <v>1022418</v>
          </cell>
          <cell r="D284">
            <v>11025</v>
          </cell>
          <cell r="E284">
            <v>44080.55</v>
          </cell>
          <cell r="F284">
            <v>44080.55</v>
          </cell>
          <cell r="G284">
            <v>3.9982358276643994</v>
          </cell>
        </row>
        <row r="285">
          <cell r="A285" t="str">
            <v>Agro Sudamerica1022569</v>
          </cell>
          <cell r="B285" t="str">
            <v>Agro Sudamerica</v>
          </cell>
          <cell r="C285">
            <v>1022569</v>
          </cell>
          <cell r="D285">
            <v>5000</v>
          </cell>
          <cell r="E285">
            <v>35394.1927</v>
          </cell>
          <cell r="F285">
            <v>-35442.8073</v>
          </cell>
          <cell r="G285">
            <v>7.0788385399999996</v>
          </cell>
        </row>
        <row r="286">
          <cell r="A286" t="str">
            <v>Agro Sudamerica1022705</v>
          </cell>
          <cell r="B286" t="str">
            <v>Agro Sudamerica</v>
          </cell>
          <cell r="C286">
            <v>1022705</v>
          </cell>
          <cell r="D286">
            <v>0</v>
          </cell>
          <cell r="E286">
            <v>-3000</v>
          </cell>
          <cell r="F286">
            <v>-3000</v>
          </cell>
          <cell r="G286" t="e">
            <v>#DIV/0!</v>
          </cell>
        </row>
        <row r="287">
          <cell r="A287" t="str">
            <v>Agro Sudamerica1022709</v>
          </cell>
          <cell r="B287" t="str">
            <v>Agro Sudamerica</v>
          </cell>
          <cell r="C287">
            <v>1022709</v>
          </cell>
          <cell r="D287">
            <v>840273.22</v>
          </cell>
          <cell r="E287">
            <v>2302094.65</v>
          </cell>
          <cell r="F287">
            <v>-533104.14</v>
          </cell>
          <cell r="G287">
            <v>2.7396977497390669</v>
          </cell>
        </row>
        <row r="288">
          <cell r="A288" t="str">
            <v>Agro Sudamerica1022780</v>
          </cell>
          <cell r="B288" t="str">
            <v>Agro Sudamerica</v>
          </cell>
          <cell r="C288">
            <v>1022780</v>
          </cell>
          <cell r="D288">
            <v>627.29999999999995</v>
          </cell>
          <cell r="E288">
            <v>6312.9570999999996</v>
          </cell>
          <cell r="F288">
            <v>6312.9570999999996</v>
          </cell>
          <cell r="G288">
            <v>10.063696955204847</v>
          </cell>
        </row>
        <row r="289">
          <cell r="A289" t="str">
            <v>Agro Sudamerica1022781</v>
          </cell>
          <cell r="B289" t="str">
            <v>Agro Sudamerica</v>
          </cell>
          <cell r="C289">
            <v>1022781</v>
          </cell>
          <cell r="D289">
            <v>39198.6</v>
          </cell>
          <cell r="E289">
            <v>395263.40669999999</v>
          </cell>
          <cell r="F289">
            <v>-151333.59330000001</v>
          </cell>
          <cell r="G289">
            <v>10.083610299857648</v>
          </cell>
        </row>
        <row r="290">
          <cell r="A290" t="str">
            <v>Agro Sudamerica1022782</v>
          </cell>
          <cell r="B290" t="str">
            <v>Agro Sudamerica</v>
          </cell>
          <cell r="C290">
            <v>1022782</v>
          </cell>
          <cell r="D290">
            <v>52730.400000000001</v>
          </cell>
          <cell r="E290">
            <v>425590.79099999997</v>
          </cell>
          <cell r="F290">
            <v>268500.79099999997</v>
          </cell>
          <cell r="G290">
            <v>8.0710707864912834</v>
          </cell>
        </row>
        <row r="291">
          <cell r="A291" t="str">
            <v>Agro Sudamerica1022783</v>
          </cell>
          <cell r="B291" t="str">
            <v>Agro Sudamerica</v>
          </cell>
          <cell r="C291">
            <v>1022783</v>
          </cell>
          <cell r="D291">
            <v>44892</v>
          </cell>
          <cell r="E291">
            <v>350331.39289999998</v>
          </cell>
          <cell r="F291">
            <v>301947.39289999998</v>
          </cell>
          <cell r="G291">
            <v>7.8038713556981198</v>
          </cell>
        </row>
        <row r="292">
          <cell r="A292" t="str">
            <v>Agro Sudamerica1022784</v>
          </cell>
          <cell r="B292" t="str">
            <v>Agro Sudamerica</v>
          </cell>
          <cell r="C292">
            <v>1022784</v>
          </cell>
          <cell r="D292">
            <v>1179</v>
          </cell>
          <cell r="E292">
            <v>9045.9346999999998</v>
          </cell>
          <cell r="F292">
            <v>-26.065300000000207</v>
          </cell>
          <cell r="G292">
            <v>7.6725485156912638</v>
          </cell>
        </row>
        <row r="293">
          <cell r="A293" t="str">
            <v>Agro Sudamerica1022786</v>
          </cell>
          <cell r="B293" t="str">
            <v>Agro Sudamerica</v>
          </cell>
          <cell r="C293">
            <v>1022786</v>
          </cell>
          <cell r="D293">
            <v>12675</v>
          </cell>
          <cell r="E293">
            <v>220356.7175</v>
          </cell>
          <cell r="F293">
            <v>174426.7175</v>
          </cell>
          <cell r="G293">
            <v>17.385145364891518</v>
          </cell>
        </row>
        <row r="294">
          <cell r="A294" t="str">
            <v>Agro Sudamerica1022820</v>
          </cell>
          <cell r="B294" t="str">
            <v>Agro Sudamerica</v>
          </cell>
          <cell r="C294">
            <v>1022820</v>
          </cell>
          <cell r="D294">
            <v>28.5</v>
          </cell>
          <cell r="E294">
            <v>142.994</v>
          </cell>
          <cell r="F294">
            <v>142.994</v>
          </cell>
          <cell r="G294">
            <v>5.0173333333333332</v>
          </cell>
        </row>
        <row r="295">
          <cell r="A295" t="str">
            <v>Agro Sudamerica1022842</v>
          </cell>
          <cell r="B295" t="str">
            <v>Agro Sudamerica</v>
          </cell>
          <cell r="C295">
            <v>1022842</v>
          </cell>
          <cell r="D295">
            <v>0</v>
          </cell>
          <cell r="E295"/>
          <cell r="F295">
            <v>-60000</v>
          </cell>
          <cell r="G295" t="e">
            <v>#DIV/0!</v>
          </cell>
        </row>
        <row r="296">
          <cell r="A296" t="str">
            <v>Agro Sudamerica1022847</v>
          </cell>
          <cell r="B296" t="str">
            <v>Agro Sudamerica</v>
          </cell>
          <cell r="C296">
            <v>1022847</v>
          </cell>
          <cell r="D296">
            <v>155960.06999999998</v>
          </cell>
          <cell r="E296">
            <v>213060.68610000005</v>
          </cell>
          <cell r="F296">
            <v>-93614.313900000008</v>
          </cell>
          <cell r="G296">
            <v>1.3661233038687408</v>
          </cell>
        </row>
        <row r="297">
          <cell r="A297" t="str">
            <v>Agro Sudamerica1022855</v>
          </cell>
          <cell r="B297" t="str">
            <v>Agro Sudamerica</v>
          </cell>
          <cell r="C297">
            <v>1022855</v>
          </cell>
          <cell r="D297">
            <v>47975.87</v>
          </cell>
          <cell r="E297">
            <v>67528.804999999993</v>
          </cell>
          <cell r="F297">
            <v>-175107.19500000001</v>
          </cell>
          <cell r="G297">
            <v>1.4075576951496656</v>
          </cell>
        </row>
        <row r="298">
          <cell r="A298" t="str">
            <v>Agro Sudamerica1022920</v>
          </cell>
          <cell r="B298" t="str">
            <v>Agro Sudamerica</v>
          </cell>
          <cell r="C298">
            <v>1022920</v>
          </cell>
          <cell r="D298">
            <v>4615.3999999999996</v>
          </cell>
          <cell r="E298">
            <v>4247.2983000000004</v>
          </cell>
          <cell r="F298">
            <v>-26081.3917</v>
          </cell>
          <cell r="G298">
            <v>0.92024489751700844</v>
          </cell>
        </row>
        <row r="299">
          <cell r="A299" t="str">
            <v>Agro Sudamerica1022921</v>
          </cell>
          <cell r="B299" t="str">
            <v>Agro Sudamerica</v>
          </cell>
          <cell r="C299">
            <v>1022921</v>
          </cell>
          <cell r="D299">
            <v>133071.26</v>
          </cell>
          <cell r="E299">
            <v>135268.78010000003</v>
          </cell>
          <cell r="F299">
            <v>38788.780100000004</v>
          </cell>
          <cell r="G299">
            <v>1.0165138595666714</v>
          </cell>
        </row>
        <row r="300">
          <cell r="A300" t="str">
            <v>Agro Sudamerica1022922</v>
          </cell>
          <cell r="B300" t="str">
            <v>Agro Sudamerica</v>
          </cell>
          <cell r="C300">
            <v>1022922</v>
          </cell>
          <cell r="D300">
            <v>14806.009999999998</v>
          </cell>
          <cell r="E300">
            <v>20737.2048</v>
          </cell>
          <cell r="F300">
            <v>-7322.7952000000005</v>
          </cell>
          <cell r="G300">
            <v>1.4005937318696935</v>
          </cell>
        </row>
        <row r="301">
          <cell r="A301" t="str">
            <v>Agro Sudamerica1022928</v>
          </cell>
          <cell r="B301" t="str">
            <v>Agro Sudamerica</v>
          </cell>
          <cell r="C301">
            <v>1022928</v>
          </cell>
          <cell r="D301">
            <v>16744.45</v>
          </cell>
          <cell r="E301">
            <v>15070.005000000001</v>
          </cell>
          <cell r="F301">
            <v>1600.0050000000001</v>
          </cell>
          <cell r="G301">
            <v>0.9</v>
          </cell>
        </row>
        <row r="302">
          <cell r="A302" t="str">
            <v>Agro Sudamerica1022996</v>
          </cell>
          <cell r="B302" t="str">
            <v>Agro Sudamerica</v>
          </cell>
          <cell r="C302">
            <v>1022996</v>
          </cell>
          <cell r="D302">
            <v>30218.89</v>
          </cell>
          <cell r="E302">
            <v>31281.822999999997</v>
          </cell>
          <cell r="F302">
            <v>6081.8229999999985</v>
          </cell>
          <cell r="G302">
            <v>1.0351744554482312</v>
          </cell>
        </row>
        <row r="303">
          <cell r="A303" t="str">
            <v>Agro Sudamerica1023167</v>
          </cell>
          <cell r="B303" t="str">
            <v>Agro Sudamerica</v>
          </cell>
          <cell r="C303">
            <v>1023167</v>
          </cell>
          <cell r="D303">
            <v>60</v>
          </cell>
          <cell r="E303">
            <v>181.11750000000001</v>
          </cell>
          <cell r="F303">
            <v>181.11750000000001</v>
          </cell>
          <cell r="G303">
            <v>3.0186250000000001</v>
          </cell>
        </row>
        <row r="304">
          <cell r="A304" t="str">
            <v>Agro Sudamerica1023295</v>
          </cell>
          <cell r="B304" t="str">
            <v>Agro Sudamerica</v>
          </cell>
          <cell r="C304">
            <v>1023295</v>
          </cell>
          <cell r="D304">
            <v>2661.75</v>
          </cell>
          <cell r="E304">
            <v>38610</v>
          </cell>
          <cell r="F304">
            <v>33125.85</v>
          </cell>
          <cell r="G304">
            <v>14.505494505494505</v>
          </cell>
        </row>
        <row r="305">
          <cell r="A305" t="str">
            <v>Agro Sudamerica1023312</v>
          </cell>
          <cell r="B305" t="str">
            <v>Agro Sudamerica</v>
          </cell>
          <cell r="C305">
            <v>1023312</v>
          </cell>
          <cell r="D305">
            <v>0</v>
          </cell>
          <cell r="E305"/>
          <cell r="F305">
            <v>-28823</v>
          </cell>
          <cell r="G305" t="e">
            <v>#DIV/0!</v>
          </cell>
        </row>
        <row r="306">
          <cell r="A306" t="str">
            <v>Agro Sudamerica1023329</v>
          </cell>
          <cell r="B306" t="str">
            <v>Agro Sudamerica</v>
          </cell>
          <cell r="C306">
            <v>1023329</v>
          </cell>
          <cell r="D306">
            <v>78515.44</v>
          </cell>
          <cell r="E306">
            <v>45428.421400000007</v>
          </cell>
          <cell r="F306">
            <v>21548.421400000003</v>
          </cell>
          <cell r="G306">
            <v>0.57859220301128045</v>
          </cell>
        </row>
        <row r="307">
          <cell r="A307" t="str">
            <v>Agro Sudamerica1023331</v>
          </cell>
          <cell r="B307" t="str">
            <v>Agro Sudamerica</v>
          </cell>
          <cell r="C307">
            <v>1023331</v>
          </cell>
          <cell r="D307">
            <v>23009.350000000002</v>
          </cell>
          <cell r="E307">
            <v>59081.819999999992</v>
          </cell>
          <cell r="F307">
            <v>1351.8199999999997</v>
          </cell>
          <cell r="G307">
            <v>2.5677309441596563</v>
          </cell>
        </row>
        <row r="308">
          <cell r="A308" t="str">
            <v>Agro Sudamerica1023336</v>
          </cell>
          <cell r="B308" t="str">
            <v>Agro Sudamerica</v>
          </cell>
          <cell r="C308">
            <v>1023336</v>
          </cell>
          <cell r="D308">
            <v>4008.89</v>
          </cell>
          <cell r="E308">
            <v>1905.8234</v>
          </cell>
          <cell r="F308">
            <v>1905.8234</v>
          </cell>
          <cell r="G308">
            <v>0.47539927511106567</v>
          </cell>
        </row>
        <row r="309">
          <cell r="A309" t="str">
            <v>Agro Sudamerica1023355</v>
          </cell>
          <cell r="B309" t="str">
            <v>Agro Sudamerica</v>
          </cell>
          <cell r="C309">
            <v>1023355</v>
          </cell>
          <cell r="D309">
            <v>112771.13999999998</v>
          </cell>
          <cell r="E309">
            <v>73417.513800000001</v>
          </cell>
          <cell r="F309">
            <v>-32394.266199999998</v>
          </cell>
          <cell r="G309">
            <v>0.65103105102954539</v>
          </cell>
        </row>
        <row r="310">
          <cell r="A310" t="str">
            <v>Agro Sudamerica1030224</v>
          </cell>
          <cell r="B310" t="str">
            <v>Agro Sudamerica</v>
          </cell>
          <cell r="C310">
            <v>1030224</v>
          </cell>
          <cell r="D310">
            <v>249865.87000000002</v>
          </cell>
          <cell r="E310">
            <v>495498.9032</v>
          </cell>
          <cell r="F310">
            <v>-144905.0968</v>
          </cell>
          <cell r="G310">
            <v>1.9830595639172326</v>
          </cell>
        </row>
        <row r="311">
          <cell r="A311" t="str">
            <v>Agro Sudamerica1030332</v>
          </cell>
          <cell r="B311" t="str">
            <v>Agro Sudamerica</v>
          </cell>
          <cell r="C311">
            <v>1030332</v>
          </cell>
          <cell r="D311">
            <v>192000</v>
          </cell>
          <cell r="E311">
            <v>281968.08</v>
          </cell>
          <cell r="F311">
            <v>33328.080000000002</v>
          </cell>
          <cell r="G311">
            <v>1.4685837500000001</v>
          </cell>
        </row>
        <row r="312">
          <cell r="A312" t="str">
            <v>Agro Sudamerica1030498</v>
          </cell>
          <cell r="B312" t="str">
            <v>Agro Sudamerica</v>
          </cell>
          <cell r="C312">
            <v>1030498</v>
          </cell>
          <cell r="D312">
            <v>24000</v>
          </cell>
          <cell r="E312">
            <v>43953.77</v>
          </cell>
          <cell r="F312">
            <v>-632.2300000000032</v>
          </cell>
          <cell r="G312">
            <v>1.8314070833333331</v>
          </cell>
        </row>
        <row r="313">
          <cell r="A313" t="str">
            <v>Agro Sudamerica1030545</v>
          </cell>
          <cell r="B313" t="str">
            <v>Agro Sudamerica</v>
          </cell>
          <cell r="C313">
            <v>1030545</v>
          </cell>
          <cell r="D313">
            <v>120000</v>
          </cell>
          <cell r="E313">
            <v>532084.85</v>
          </cell>
          <cell r="F313">
            <v>-70915.150000000009</v>
          </cell>
          <cell r="G313">
            <v>4.434040416666666</v>
          </cell>
        </row>
        <row r="314">
          <cell r="A314" t="str">
            <v>Agro Sudamerica1030670</v>
          </cell>
          <cell r="B314" t="str">
            <v>Agro Sudamerica</v>
          </cell>
          <cell r="C314">
            <v>1030670</v>
          </cell>
          <cell r="D314">
            <v>336000</v>
          </cell>
          <cell r="E314">
            <v>3105714.1399999997</v>
          </cell>
          <cell r="F314">
            <v>546992.1399999999</v>
          </cell>
          <cell r="G314">
            <v>9.2431968452380939</v>
          </cell>
        </row>
        <row r="315">
          <cell r="A315" t="str">
            <v>Agro Sudamerica1030720</v>
          </cell>
          <cell r="B315" t="str">
            <v>Agro Sudamerica</v>
          </cell>
          <cell r="C315">
            <v>1030720</v>
          </cell>
          <cell r="D315">
            <v>170662.15999999997</v>
          </cell>
          <cell r="E315">
            <v>94222.919399999999</v>
          </cell>
          <cell r="F315">
            <v>16526.919399999999</v>
          </cell>
          <cell r="G315">
            <v>0.55210199730274134</v>
          </cell>
        </row>
        <row r="316">
          <cell r="A316" t="str">
            <v>Agro Sudamerica1030732</v>
          </cell>
          <cell r="B316" t="str">
            <v>Agro Sudamerica</v>
          </cell>
          <cell r="C316">
            <v>1030732</v>
          </cell>
          <cell r="D316">
            <v>165.619</v>
          </cell>
          <cell r="E316">
            <v>729.93910000000005</v>
          </cell>
          <cell r="F316">
            <v>729.93910000000005</v>
          </cell>
          <cell r="G316">
            <v>4.4073391337950358</v>
          </cell>
        </row>
        <row r="317">
          <cell r="A317" t="str">
            <v>Agro Sudamerica1030739</v>
          </cell>
          <cell r="B317" t="str">
            <v>Agro Sudamerica</v>
          </cell>
          <cell r="C317">
            <v>1030739</v>
          </cell>
          <cell r="D317">
            <v>0</v>
          </cell>
          <cell r="E317">
            <v>-22</v>
          </cell>
          <cell r="F317">
            <v>-22</v>
          </cell>
          <cell r="G317" t="e">
            <v>#DIV/0!</v>
          </cell>
        </row>
        <row r="318">
          <cell r="A318" t="str">
            <v>Agro Sudamerica1030780</v>
          </cell>
          <cell r="B318" t="str">
            <v>Agro Sudamerica</v>
          </cell>
          <cell r="C318">
            <v>1030780</v>
          </cell>
          <cell r="D318">
            <v>1486.86</v>
          </cell>
          <cell r="E318">
            <v>6553.0964000000004</v>
          </cell>
          <cell r="F318">
            <v>6553.0964000000004</v>
          </cell>
          <cell r="G318">
            <v>4.4073392249438417</v>
          </cell>
        </row>
        <row r="319">
          <cell r="A319" t="str">
            <v>Agro Sudamerica1030802</v>
          </cell>
          <cell r="B319" t="str">
            <v>Agro Sudamerica</v>
          </cell>
          <cell r="C319">
            <v>1030802</v>
          </cell>
          <cell r="D319">
            <v>2007.461</v>
          </cell>
          <cell r="E319">
            <v>2865.1215000000002</v>
          </cell>
          <cell r="F319">
            <v>2865.1215000000002</v>
          </cell>
          <cell r="G319">
            <v>1.4272364444440018</v>
          </cell>
        </row>
        <row r="320">
          <cell r="A320" t="str">
            <v>Agro Sudamerica1030817</v>
          </cell>
          <cell r="B320" t="str">
            <v>Agro Sudamerica</v>
          </cell>
          <cell r="C320">
            <v>1030817</v>
          </cell>
          <cell r="D320">
            <v>133994.16</v>
          </cell>
          <cell r="E320">
            <v>292870.55429999996</v>
          </cell>
          <cell r="F320">
            <v>238870.55429999999</v>
          </cell>
          <cell r="G320">
            <v>2.1856964087091555</v>
          </cell>
        </row>
        <row r="321">
          <cell r="A321" t="str">
            <v>Agro Sudamerica1100407</v>
          </cell>
          <cell r="B321" t="str">
            <v>Agro Sudamerica</v>
          </cell>
          <cell r="C321">
            <v>1100407</v>
          </cell>
          <cell r="D321">
            <v>57000</v>
          </cell>
          <cell r="E321">
            <v>204096.99979999999</v>
          </cell>
          <cell r="F321">
            <v>41196.999800000005</v>
          </cell>
          <cell r="G321">
            <v>3.5806491192982453</v>
          </cell>
        </row>
        <row r="322">
          <cell r="A322" t="str">
            <v>Agro Sudamerica1100408</v>
          </cell>
          <cell r="B322" t="str">
            <v>Agro Sudamerica</v>
          </cell>
          <cell r="C322">
            <v>1100408</v>
          </cell>
          <cell r="D322">
            <v>27000</v>
          </cell>
          <cell r="E322">
            <v>94050.900200000004</v>
          </cell>
          <cell r="F322">
            <v>-2249.0997999999963</v>
          </cell>
          <cell r="G322">
            <v>3.4833666740740741</v>
          </cell>
        </row>
        <row r="323">
          <cell r="A323" t="str">
            <v>Agro Sudamerica1023328</v>
          </cell>
          <cell r="B323" t="str">
            <v>Agro Sudamerica</v>
          </cell>
          <cell r="C323">
            <v>1023328</v>
          </cell>
          <cell r="D323">
            <v>50.08</v>
          </cell>
          <cell r="E323">
            <v>246.26320000000001</v>
          </cell>
          <cell r="F323">
            <v>246.26320000000001</v>
          </cell>
          <cell r="G323">
            <v>4.9173961661341856</v>
          </cell>
        </row>
        <row r="324">
          <cell r="A324" t="str">
            <v>Agro Sudamerica1022825</v>
          </cell>
          <cell r="B324" t="str">
            <v>Agro Sudamerica</v>
          </cell>
          <cell r="C324">
            <v>1022825</v>
          </cell>
          <cell r="D324">
            <v>60.06</v>
          </cell>
          <cell r="E324">
            <v>229.31549999999999</v>
          </cell>
          <cell r="F324">
            <v>229.31549999999999</v>
          </cell>
          <cell r="G324">
            <v>3.8181068931068927</v>
          </cell>
        </row>
        <row r="325">
          <cell r="A325" t="str">
            <v>Agro Sudamerica1020993</v>
          </cell>
          <cell r="B325" t="str">
            <v>Agro Sudamerica</v>
          </cell>
          <cell r="C325">
            <v>1020993</v>
          </cell>
          <cell r="D325">
            <v>6461.78</v>
          </cell>
          <cell r="E325">
            <v>8489.5712999999996</v>
          </cell>
          <cell r="F325">
            <v>8489.5712999999996</v>
          </cell>
          <cell r="G325">
            <v>1.3138131134145701</v>
          </cell>
        </row>
        <row r="326">
          <cell r="A326" t="str">
            <v>Agro Sudamerica1011105</v>
          </cell>
          <cell r="B326" t="str">
            <v>Agro Sudamerica</v>
          </cell>
          <cell r="C326">
            <v>1011105</v>
          </cell>
          <cell r="D326">
            <v>4172.2</v>
          </cell>
          <cell r="E326">
            <v>12303.592699999999</v>
          </cell>
          <cell r="F326">
            <v>12303.592699999999</v>
          </cell>
          <cell r="G326">
            <v>2.9489460476487226</v>
          </cell>
        </row>
        <row r="327">
          <cell r="A327" t="str">
            <v>Agro Sudamerica1011258</v>
          </cell>
          <cell r="B327" t="str">
            <v>Agro Sudamerica</v>
          </cell>
          <cell r="C327">
            <v>1011258</v>
          </cell>
          <cell r="D327">
            <v>2080.77</v>
          </cell>
          <cell r="E327">
            <v>1034.8487</v>
          </cell>
          <cell r="F327">
            <v>1034.8487</v>
          </cell>
          <cell r="G327">
            <v>0.49733930227752227</v>
          </cell>
        </row>
        <row r="328">
          <cell r="A328" t="str">
            <v>Agrosuper Asia1012012</v>
          </cell>
          <cell r="B328" t="str">
            <v>Agrosuper Asia</v>
          </cell>
          <cell r="C328">
            <v>1012012</v>
          </cell>
          <cell r="D328">
            <v>35339.360000000001</v>
          </cell>
          <cell r="E328">
            <v>257171.1151</v>
          </cell>
          <cell r="F328">
            <v>-112810.5049</v>
          </cell>
          <cell r="G328">
            <v>7.2771865449742155</v>
          </cell>
        </row>
        <row r="329">
          <cell r="A329" t="str">
            <v>Agrosuper Asia1012612</v>
          </cell>
          <cell r="B329" t="str">
            <v>Agrosuper Asia</v>
          </cell>
          <cell r="C329">
            <v>1012612</v>
          </cell>
          <cell r="D329">
            <v>6643924.1600000001</v>
          </cell>
          <cell r="E329">
            <v>6297858.2596999994</v>
          </cell>
          <cell r="F329">
            <v>-569774.88029999996</v>
          </cell>
          <cell r="G329">
            <v>0.94791242465055459</v>
          </cell>
        </row>
        <row r="330">
          <cell r="A330" t="str">
            <v>Agrosuper Asia1020860</v>
          </cell>
          <cell r="B330" t="str">
            <v>Agrosuper Asia</v>
          </cell>
          <cell r="C330">
            <v>1020860</v>
          </cell>
          <cell r="D330">
            <v>760267.65999999992</v>
          </cell>
          <cell r="E330">
            <v>3095144.7949999999</v>
          </cell>
          <cell r="F330">
            <v>-145857.20499999996</v>
          </cell>
          <cell r="G330">
            <v>4.07112515479088</v>
          </cell>
        </row>
        <row r="331">
          <cell r="A331" t="str">
            <v>Agrosuper Asia1020861</v>
          </cell>
          <cell r="B331" t="str">
            <v>Agrosuper Asia</v>
          </cell>
          <cell r="C331">
            <v>1020861</v>
          </cell>
          <cell r="D331">
            <v>705127.11</v>
          </cell>
          <cell r="E331">
            <v>2862354.4050000003</v>
          </cell>
          <cell r="F331">
            <v>-730927.56499999994</v>
          </cell>
          <cell r="G331">
            <v>4.0593452788958864</v>
          </cell>
        </row>
        <row r="332">
          <cell r="A332" t="str">
            <v>Agrosuper Asia1020904</v>
          </cell>
          <cell r="B332" t="str">
            <v>Agrosuper Asia</v>
          </cell>
          <cell r="C332">
            <v>1020904</v>
          </cell>
          <cell r="D332">
            <v>154073.07</v>
          </cell>
          <cell r="E332">
            <v>963712.64799999993</v>
          </cell>
          <cell r="F332">
            <v>-272700.35199999996</v>
          </cell>
          <cell r="G332">
            <v>6.2549065063738905</v>
          </cell>
        </row>
        <row r="333">
          <cell r="A333" t="str">
            <v>Agrosuper Asia1020905</v>
          </cell>
          <cell r="B333" t="str">
            <v>Agrosuper Asia</v>
          </cell>
          <cell r="C333">
            <v>1020905</v>
          </cell>
          <cell r="D333">
            <v>66022.36</v>
          </cell>
          <cell r="E333">
            <v>402944.44400000002</v>
          </cell>
          <cell r="F333">
            <v>-290660.55599999998</v>
          </cell>
          <cell r="G333">
            <v>6.1031511748444016</v>
          </cell>
        </row>
        <row r="334">
          <cell r="A334" t="str">
            <v>Agrosuper Asia1021012</v>
          </cell>
          <cell r="B334" t="str">
            <v>Agrosuper Asia</v>
          </cell>
          <cell r="C334">
            <v>1021012</v>
          </cell>
          <cell r="D334">
            <v>714117.08</v>
          </cell>
          <cell r="E334">
            <v>1407170.328</v>
          </cell>
          <cell r="F334">
            <v>25521.327999999994</v>
          </cell>
          <cell r="G334">
            <v>1.9705036714707902</v>
          </cell>
        </row>
        <row r="335">
          <cell r="A335" t="str">
            <v>Agrosuper Asia1021045</v>
          </cell>
          <cell r="B335" t="str">
            <v>Agrosuper Asia</v>
          </cell>
          <cell r="C335">
            <v>1021045</v>
          </cell>
          <cell r="D335">
            <v>153545.26999999999</v>
          </cell>
          <cell r="E335">
            <v>308837.3665</v>
          </cell>
          <cell r="F335">
            <v>-139614.96350000001</v>
          </cell>
          <cell r="G335">
            <v>2.0113766220216358</v>
          </cell>
        </row>
        <row r="336">
          <cell r="A336" t="str">
            <v>Agrosuper Asia1021046</v>
          </cell>
          <cell r="B336" t="str">
            <v>Agrosuper Asia</v>
          </cell>
          <cell r="C336">
            <v>1021046</v>
          </cell>
          <cell r="D336">
            <v>110218.15</v>
          </cell>
          <cell r="E336">
            <v>233808.46649999998</v>
          </cell>
          <cell r="F336">
            <v>-42017.533499999998</v>
          </cell>
          <cell r="G336">
            <v>2.1213245413754449</v>
          </cell>
        </row>
        <row r="337">
          <cell r="A337" t="str">
            <v>Agrosuper Asia1021149</v>
          </cell>
          <cell r="B337" t="str">
            <v>Agrosuper Asia</v>
          </cell>
          <cell r="C337">
            <v>1021149</v>
          </cell>
          <cell r="D337">
            <v>264128</v>
          </cell>
          <cell r="E337">
            <v>223418.90000000002</v>
          </cell>
          <cell r="F337">
            <v>-79572.850000000006</v>
          </cell>
          <cell r="G337">
            <v>0.84587359159195552</v>
          </cell>
        </row>
        <row r="338">
          <cell r="A338" t="str">
            <v>Agrosuper Asia1021150</v>
          </cell>
          <cell r="B338" t="str">
            <v>Agrosuper Asia</v>
          </cell>
          <cell r="C338">
            <v>1021150</v>
          </cell>
          <cell r="D338">
            <v>198016</v>
          </cell>
          <cell r="E338">
            <v>183018.2</v>
          </cell>
          <cell r="F338">
            <v>-29593.130000000005</v>
          </cell>
          <cell r="G338">
            <v>0.92425965578539115</v>
          </cell>
        </row>
        <row r="339">
          <cell r="A339" t="str">
            <v>Agrosuper Asia1021151</v>
          </cell>
          <cell r="B339" t="str">
            <v>Agrosuper Asia</v>
          </cell>
          <cell r="C339">
            <v>1021151</v>
          </cell>
          <cell r="D339">
            <v>197984</v>
          </cell>
          <cell r="E339">
            <v>290740.59999999998</v>
          </cell>
          <cell r="F339">
            <v>4382.5999999999985</v>
          </cell>
          <cell r="G339">
            <v>1.4685055358008727</v>
          </cell>
        </row>
        <row r="340">
          <cell r="A340" t="str">
            <v>Agrosuper Asia1021152</v>
          </cell>
          <cell r="B340" t="str">
            <v>Agrosuper Asia</v>
          </cell>
          <cell r="C340">
            <v>1021152</v>
          </cell>
          <cell r="D340">
            <v>44000</v>
          </cell>
          <cell r="E340">
            <v>68742</v>
          </cell>
          <cell r="F340">
            <v>-86869</v>
          </cell>
          <cell r="G340">
            <v>1.5623181818181817</v>
          </cell>
        </row>
        <row r="341">
          <cell r="A341" t="str">
            <v>Agrosuper Asia1021156</v>
          </cell>
          <cell r="B341" t="str">
            <v>Agrosuper Asia</v>
          </cell>
          <cell r="C341">
            <v>1021156</v>
          </cell>
          <cell r="D341">
            <v>108000</v>
          </cell>
          <cell r="E341">
            <v>293448.68369999999</v>
          </cell>
          <cell r="F341">
            <v>-107449.31630000001</v>
          </cell>
          <cell r="G341">
            <v>2.7171174416666668</v>
          </cell>
        </row>
        <row r="342">
          <cell r="A342" t="str">
            <v>Agrosuper Asia1021204</v>
          </cell>
          <cell r="B342" t="str">
            <v>Agrosuper Asia</v>
          </cell>
          <cell r="C342">
            <v>1021204</v>
          </cell>
          <cell r="D342">
            <v>24000</v>
          </cell>
          <cell r="E342">
            <v>32517.66</v>
          </cell>
          <cell r="F342">
            <v>-61830.34</v>
          </cell>
          <cell r="G342">
            <v>1.3549024999999999</v>
          </cell>
        </row>
        <row r="343">
          <cell r="A343" t="str">
            <v>Agrosuper Asia1021470</v>
          </cell>
          <cell r="B343" t="str">
            <v>Agrosuper Asia</v>
          </cell>
          <cell r="C343">
            <v>1021470</v>
          </cell>
          <cell r="D343">
            <v>65996.62</v>
          </cell>
          <cell r="E343">
            <v>114050.69999999998</v>
          </cell>
          <cell r="F343">
            <v>2739.6999999999898</v>
          </cell>
          <cell r="G343">
            <v>1.7281294102637377</v>
          </cell>
        </row>
        <row r="344">
          <cell r="A344" t="str">
            <v>Agrosuper Asia1021655</v>
          </cell>
          <cell r="B344" t="str">
            <v>Agrosuper Asia</v>
          </cell>
          <cell r="C344">
            <v>1021655</v>
          </cell>
          <cell r="D344">
            <v>48000</v>
          </cell>
          <cell r="E344">
            <v>89498.42</v>
          </cell>
          <cell r="F344">
            <v>-52876.58</v>
          </cell>
          <cell r="G344">
            <v>1.8645504166666667</v>
          </cell>
        </row>
        <row r="345">
          <cell r="A345" t="str">
            <v>Agrosuper Asia1021664</v>
          </cell>
          <cell r="B345" t="str">
            <v>Agrosuper Asia</v>
          </cell>
          <cell r="C345">
            <v>1021664</v>
          </cell>
          <cell r="D345">
            <v>237415.41000000003</v>
          </cell>
          <cell r="E345">
            <v>1312800.4500000002</v>
          </cell>
          <cell r="F345">
            <v>217008.65999999997</v>
          </cell>
          <cell r="G345">
            <v>5.5295502933023597</v>
          </cell>
        </row>
        <row r="346">
          <cell r="A346" t="str">
            <v>Agrosuper Asia1021665</v>
          </cell>
          <cell r="B346" t="str">
            <v>Agrosuper Asia</v>
          </cell>
          <cell r="C346">
            <v>1021665</v>
          </cell>
          <cell r="D346">
            <v>132321.78999999998</v>
          </cell>
          <cell r="E346">
            <v>727133.1</v>
          </cell>
          <cell r="F346">
            <v>-245345.9</v>
          </cell>
          <cell r="G346">
            <v>5.4951879051817549</v>
          </cell>
        </row>
        <row r="347">
          <cell r="A347" t="str">
            <v>Agrosuper Asia1022182</v>
          </cell>
          <cell r="B347" t="str">
            <v>Agrosuper Asia</v>
          </cell>
          <cell r="C347">
            <v>1022182</v>
          </cell>
          <cell r="D347">
            <v>66000</v>
          </cell>
          <cell r="E347">
            <v>353793</v>
          </cell>
          <cell r="F347">
            <v>115902</v>
          </cell>
          <cell r="G347">
            <v>5.3605</v>
          </cell>
        </row>
        <row r="348">
          <cell r="A348" t="str">
            <v>Agrosuper Asia1022283</v>
          </cell>
          <cell r="B348" t="str">
            <v>Agrosuper Asia</v>
          </cell>
          <cell r="C348">
            <v>1022283</v>
          </cell>
          <cell r="D348">
            <v>24244.720000000001</v>
          </cell>
          <cell r="E348">
            <v>140175.85279999999</v>
          </cell>
          <cell r="F348">
            <v>-78170.147200000007</v>
          </cell>
          <cell r="G348">
            <v>5.7817064004038814</v>
          </cell>
        </row>
        <row r="349">
          <cell r="A349" t="str">
            <v>Agrosuper Asia1022605</v>
          </cell>
          <cell r="B349" t="str">
            <v>Agrosuper Asia</v>
          </cell>
          <cell r="C349">
            <v>1022605</v>
          </cell>
          <cell r="D349">
            <v>0</v>
          </cell>
          <cell r="E349">
            <v>-560</v>
          </cell>
          <cell r="F349">
            <v>-30751</v>
          </cell>
          <cell r="G349" t="e">
            <v>#DIV/0!</v>
          </cell>
        </row>
        <row r="350">
          <cell r="A350" t="str">
            <v>Agrosuper Asia1022607</v>
          </cell>
          <cell r="B350" t="str">
            <v>Agrosuper Asia</v>
          </cell>
          <cell r="C350">
            <v>1022607</v>
          </cell>
          <cell r="D350">
            <v>154034.44</v>
          </cell>
          <cell r="E350">
            <v>798263.32000000007</v>
          </cell>
          <cell r="F350">
            <v>-135200.68</v>
          </cell>
          <cell r="G350">
            <v>5.1823690857706888</v>
          </cell>
        </row>
        <row r="351">
          <cell r="A351" t="str">
            <v>Agrosuper Asia1022885</v>
          </cell>
          <cell r="B351" t="str">
            <v>Agrosuper Asia</v>
          </cell>
          <cell r="C351">
            <v>1022885</v>
          </cell>
          <cell r="D351">
            <v>3268517.16</v>
          </cell>
          <cell r="E351">
            <v>19732743.299899999</v>
          </cell>
          <cell r="F351">
            <v>585435.22989999992</v>
          </cell>
          <cell r="G351">
            <v>6.0372157568540956</v>
          </cell>
        </row>
        <row r="352">
          <cell r="A352" t="str">
            <v>Agrosuper Asia1022887</v>
          </cell>
          <cell r="B352" t="str">
            <v>Agrosuper Asia</v>
          </cell>
          <cell r="C352">
            <v>1022887</v>
          </cell>
          <cell r="D352">
            <v>1947640.56</v>
          </cell>
          <cell r="E352">
            <v>11730182.308</v>
          </cell>
          <cell r="F352">
            <v>1420334.7279999994</v>
          </cell>
          <cell r="G352">
            <v>6.0227654675665612</v>
          </cell>
        </row>
        <row r="353">
          <cell r="A353" t="str">
            <v>Agrosuper Asia1022930</v>
          </cell>
          <cell r="B353" t="str">
            <v>Agrosuper Asia</v>
          </cell>
          <cell r="C353">
            <v>1022930</v>
          </cell>
          <cell r="D353">
            <v>616229.28</v>
          </cell>
          <cell r="E353">
            <v>3809779.5220000003</v>
          </cell>
          <cell r="F353">
            <v>372247.4219999999</v>
          </cell>
          <cell r="G353">
            <v>6.1824058765919077</v>
          </cell>
        </row>
        <row r="354">
          <cell r="A354" t="str">
            <v>Agrosuper Asia1022985</v>
          </cell>
          <cell r="B354" t="str">
            <v>Agrosuper Asia</v>
          </cell>
          <cell r="C354">
            <v>1022985</v>
          </cell>
          <cell r="D354">
            <v>23979.350000000002</v>
          </cell>
          <cell r="E354">
            <v>96461.292100000006</v>
          </cell>
          <cell r="F354">
            <v>-134806.70789999998</v>
          </cell>
          <cell r="G354">
            <v>4.0226816865344555</v>
          </cell>
        </row>
        <row r="355">
          <cell r="A355" t="str">
            <v>Agrosuper Asia1022986</v>
          </cell>
          <cell r="B355" t="str">
            <v>Agrosuper Asia</v>
          </cell>
          <cell r="C355">
            <v>1022986</v>
          </cell>
          <cell r="D355">
            <v>20021.490000000002</v>
          </cell>
          <cell r="E355">
            <v>130353.4225</v>
          </cell>
          <cell r="F355">
            <v>49031.422500000001</v>
          </cell>
          <cell r="G355">
            <v>6.5106754042781025</v>
          </cell>
        </row>
        <row r="356">
          <cell r="A356" t="str">
            <v>Agrosuper Asia1023037</v>
          </cell>
          <cell r="B356" t="str">
            <v>Agrosuper Asia</v>
          </cell>
          <cell r="C356">
            <v>1023037</v>
          </cell>
          <cell r="D356">
            <v>857816.23</v>
          </cell>
          <cell r="E356">
            <v>5362777.8340000007</v>
          </cell>
          <cell r="F356">
            <v>-76723.125999999931</v>
          </cell>
          <cell r="G356">
            <v>6.2516628229335334</v>
          </cell>
        </row>
        <row r="357">
          <cell r="A357" t="str">
            <v>Agrosuper Asia1023038</v>
          </cell>
          <cell r="B357" t="str">
            <v>Agrosuper Asia</v>
          </cell>
          <cell r="C357">
            <v>1023038</v>
          </cell>
          <cell r="D357">
            <v>473720.36999999994</v>
          </cell>
          <cell r="E357">
            <v>2032607.3494999995</v>
          </cell>
          <cell r="F357">
            <v>-265605.75049999997</v>
          </cell>
          <cell r="G357">
            <v>4.2907324198450656</v>
          </cell>
        </row>
        <row r="358">
          <cell r="A358" t="str">
            <v>Agrosuper Asia1023090</v>
          </cell>
          <cell r="B358" t="str">
            <v>Agrosuper Asia</v>
          </cell>
          <cell r="C358">
            <v>1023090</v>
          </cell>
          <cell r="D358">
            <v>110039.07</v>
          </cell>
          <cell r="E358">
            <v>694994.04700000002</v>
          </cell>
          <cell r="F358">
            <v>-11090.953000000009</v>
          </cell>
          <cell r="G358">
            <v>6.315884412690874</v>
          </cell>
        </row>
        <row r="359">
          <cell r="A359" t="str">
            <v>Agrosuper Asia1023144</v>
          </cell>
          <cell r="B359" t="str">
            <v>Agrosuper Asia</v>
          </cell>
          <cell r="C359">
            <v>1023144</v>
          </cell>
          <cell r="D359">
            <v>96040.43</v>
          </cell>
          <cell r="E359">
            <v>191328.7984</v>
          </cell>
          <cell r="F359">
            <v>-212478.3616</v>
          </cell>
          <cell r="G359">
            <v>1.9921693228570512</v>
          </cell>
        </row>
        <row r="360">
          <cell r="A360" t="str">
            <v>Agrosuper Asia1023166</v>
          </cell>
          <cell r="B360" t="str">
            <v>Agrosuper Asia</v>
          </cell>
          <cell r="C360">
            <v>1023166</v>
          </cell>
          <cell r="D360">
            <v>11.2</v>
          </cell>
          <cell r="E360">
            <v>50.4</v>
          </cell>
          <cell r="F360">
            <v>50.4</v>
          </cell>
          <cell r="G360">
            <v>4.5</v>
          </cell>
        </row>
        <row r="361">
          <cell r="A361" t="str">
            <v>Agrosuper Asia1023183</v>
          </cell>
          <cell r="B361" t="str">
            <v>Agrosuper Asia</v>
          </cell>
          <cell r="C361">
            <v>1023183</v>
          </cell>
          <cell r="D361">
            <v>132391.5</v>
          </cell>
          <cell r="E361">
            <v>766946.45200000005</v>
          </cell>
          <cell r="F361">
            <v>-123297.54800000001</v>
          </cell>
          <cell r="G361">
            <v>5.7930188267373666</v>
          </cell>
        </row>
        <row r="362">
          <cell r="A362" t="str">
            <v>Agrosuper Asia1023283</v>
          </cell>
          <cell r="B362" t="str">
            <v>Agrosuper Asia</v>
          </cell>
          <cell r="C362">
            <v>1023283</v>
          </cell>
          <cell r="D362">
            <v>457772.32</v>
          </cell>
          <cell r="E362">
            <v>406870.49969999999</v>
          </cell>
          <cell r="F362">
            <v>-406179.82030000002</v>
          </cell>
          <cell r="G362">
            <v>0.88880537752916122</v>
          </cell>
        </row>
        <row r="363">
          <cell r="A363" t="str">
            <v>Agrosuper Asia1023305</v>
          </cell>
          <cell r="B363" t="str">
            <v>Agrosuper Asia</v>
          </cell>
          <cell r="C363">
            <v>1023305</v>
          </cell>
          <cell r="D363">
            <v>21999</v>
          </cell>
          <cell r="E363">
            <v>38769.1</v>
          </cell>
          <cell r="F363">
            <v>38769.1</v>
          </cell>
          <cell r="G363">
            <v>1.7623119232692395</v>
          </cell>
        </row>
        <row r="364">
          <cell r="A364" t="str">
            <v>Agrosuper Asia1023307</v>
          </cell>
          <cell r="B364" t="str">
            <v>Agrosuper Asia</v>
          </cell>
          <cell r="C364">
            <v>1023307</v>
          </cell>
          <cell r="D364">
            <v>144184.06</v>
          </cell>
          <cell r="E364">
            <v>96972.748000000007</v>
          </cell>
          <cell r="F364">
            <v>-70836.45199999999</v>
          </cell>
          <cell r="G364">
            <v>0.67256219584883381</v>
          </cell>
        </row>
        <row r="365">
          <cell r="A365" t="str">
            <v>Agrosuper Asia1023326</v>
          </cell>
          <cell r="B365" t="str">
            <v>Agrosuper Asia</v>
          </cell>
          <cell r="C365">
            <v>1023326</v>
          </cell>
          <cell r="D365">
            <v>144038.67000000001</v>
          </cell>
          <cell r="E365">
            <v>114025.02230000001</v>
          </cell>
          <cell r="F365">
            <v>-109244.97769999999</v>
          </cell>
          <cell r="G365">
            <v>0.79162784757732074</v>
          </cell>
        </row>
        <row r="366">
          <cell r="A366" t="str">
            <v>Agrosuper Asia1023370</v>
          </cell>
          <cell r="B366" t="str">
            <v>Agrosuper Asia</v>
          </cell>
          <cell r="C366">
            <v>1023370</v>
          </cell>
          <cell r="D366">
            <v>0</v>
          </cell>
          <cell r="E366"/>
          <cell r="F366">
            <v>-33325</v>
          </cell>
          <cell r="G366" t="e">
            <v>#DIV/0!</v>
          </cell>
        </row>
        <row r="367">
          <cell r="A367" t="str">
            <v>Agrosuper Asia1023371</v>
          </cell>
          <cell r="B367" t="str">
            <v>Agrosuper Asia</v>
          </cell>
          <cell r="C367">
            <v>1023371</v>
          </cell>
          <cell r="D367">
            <v>0</v>
          </cell>
          <cell r="E367"/>
          <cell r="F367">
            <v>-28525</v>
          </cell>
          <cell r="G367" t="e">
            <v>#DIV/0!</v>
          </cell>
        </row>
        <row r="368">
          <cell r="A368" t="str">
            <v>Agrosuper Asia1023372</v>
          </cell>
          <cell r="B368" t="str">
            <v>Agrosuper Asia</v>
          </cell>
          <cell r="C368">
            <v>1023372</v>
          </cell>
          <cell r="D368">
            <v>23373.84</v>
          </cell>
          <cell r="E368">
            <v>60771.983999999997</v>
          </cell>
          <cell r="F368">
            <v>-136028.016</v>
          </cell>
          <cell r="G368">
            <v>2.5999999999999996</v>
          </cell>
        </row>
        <row r="369">
          <cell r="A369" t="str">
            <v>Agrosuper Asia1023397</v>
          </cell>
          <cell r="B369" t="str">
            <v>Agrosuper Asia</v>
          </cell>
          <cell r="C369">
            <v>1023397</v>
          </cell>
          <cell r="D369">
            <v>48019.78</v>
          </cell>
          <cell r="E369">
            <v>47527.055099999998</v>
          </cell>
          <cell r="F369">
            <v>-166273.9449</v>
          </cell>
          <cell r="G369">
            <v>0.98973912625172378</v>
          </cell>
        </row>
        <row r="370">
          <cell r="A370" t="str">
            <v>Agrosuper Asia1030309</v>
          </cell>
          <cell r="B370" t="str">
            <v>Agrosuper Asia</v>
          </cell>
          <cell r="C370">
            <v>1030309</v>
          </cell>
          <cell r="D370">
            <v>36750</v>
          </cell>
          <cell r="E370">
            <v>48077.308199999999</v>
          </cell>
          <cell r="F370">
            <v>19477.308199999999</v>
          </cell>
          <cell r="G370">
            <v>1.3082260734693878</v>
          </cell>
        </row>
        <row r="371">
          <cell r="A371" t="str">
            <v>Agrosuper Asia1030535</v>
          </cell>
          <cell r="B371" t="str">
            <v>Agrosuper Asia</v>
          </cell>
          <cell r="C371">
            <v>1030535</v>
          </cell>
          <cell r="D371">
            <v>245460.3</v>
          </cell>
          <cell r="E371">
            <v>572640.23050000006</v>
          </cell>
          <cell r="F371">
            <v>255489.23050000001</v>
          </cell>
          <cell r="G371">
            <v>2.3329240227442081</v>
          </cell>
        </row>
        <row r="372">
          <cell r="A372" t="str">
            <v>Agrosuper Asia1030542</v>
          </cell>
          <cell r="B372" t="str">
            <v>Agrosuper Asia</v>
          </cell>
          <cell r="C372">
            <v>1030542</v>
          </cell>
          <cell r="D372">
            <v>90480</v>
          </cell>
          <cell r="E372">
            <v>922824.96070000005</v>
          </cell>
          <cell r="F372">
            <v>1165.4007000000274</v>
          </cell>
          <cell r="G372">
            <v>10.199214861847922</v>
          </cell>
        </row>
        <row r="373">
          <cell r="A373" t="str">
            <v>Agrosuper Asia1030576</v>
          </cell>
          <cell r="B373" t="str">
            <v>Agrosuper Asia</v>
          </cell>
          <cell r="C373">
            <v>1030576</v>
          </cell>
          <cell r="D373">
            <v>30</v>
          </cell>
          <cell r="E373">
            <v>30</v>
          </cell>
          <cell r="F373">
            <v>30</v>
          </cell>
          <cell r="G373">
            <v>1</v>
          </cell>
        </row>
        <row r="374">
          <cell r="A374" t="str">
            <v>Agrosuper Asia1100492</v>
          </cell>
          <cell r="B374" t="str">
            <v>Agrosuper Asia</v>
          </cell>
          <cell r="C374">
            <v>1100492</v>
          </cell>
          <cell r="D374">
            <v>3108.96</v>
          </cell>
          <cell r="E374">
            <v>8083.2960000000003</v>
          </cell>
          <cell r="F374">
            <v>8083.2960000000003</v>
          </cell>
          <cell r="G374">
            <v>2.6</v>
          </cell>
        </row>
        <row r="375">
          <cell r="A375" t="str">
            <v>Agrosuper Brasil1011560</v>
          </cell>
          <cell r="B375" t="str">
            <v>Agrosuper Brasil</v>
          </cell>
          <cell r="C375">
            <v>1011560</v>
          </cell>
          <cell r="D375">
            <v>43956</v>
          </cell>
          <cell r="E375">
            <v>114332.4</v>
          </cell>
          <cell r="F375">
            <v>-141481.60000000001</v>
          </cell>
          <cell r="G375">
            <v>2.601064701064701</v>
          </cell>
        </row>
        <row r="376">
          <cell r="A376" t="str">
            <v>Agrosuper Brasil1012362</v>
          </cell>
          <cell r="B376" t="str">
            <v>Agrosuper Brasil</v>
          </cell>
          <cell r="C376">
            <v>1012362</v>
          </cell>
          <cell r="D376">
            <v>155952</v>
          </cell>
          <cell r="E376">
            <v>428095.8</v>
          </cell>
          <cell r="F376">
            <v>-37407.700000000012</v>
          </cell>
          <cell r="G376">
            <v>2.7450484764542935</v>
          </cell>
        </row>
        <row r="377">
          <cell r="A377" t="str">
            <v>Agrosuper Brasil1012674</v>
          </cell>
          <cell r="B377" t="str">
            <v>Agrosuper Brasil</v>
          </cell>
          <cell r="C377">
            <v>1012674</v>
          </cell>
          <cell r="D377">
            <v>116258.68999999999</v>
          </cell>
          <cell r="E377">
            <v>301944.69</v>
          </cell>
          <cell r="F377">
            <v>-123242.31</v>
          </cell>
          <cell r="G377">
            <v>2.5971795312677273</v>
          </cell>
        </row>
        <row r="378">
          <cell r="A378" t="str">
            <v>Agrosuper Brasil1021864</v>
          </cell>
          <cell r="B378" t="str">
            <v>Agrosuper Brasil</v>
          </cell>
          <cell r="C378">
            <v>1021864</v>
          </cell>
          <cell r="D378">
            <v>325187.01</v>
          </cell>
          <cell r="E378">
            <v>178852.85550000001</v>
          </cell>
          <cell r="F378">
            <v>54318.855500000005</v>
          </cell>
          <cell r="G378">
            <v>0.55000000000000004</v>
          </cell>
        </row>
        <row r="379">
          <cell r="A379" t="str">
            <v>Agrosuper Brasil1022217</v>
          </cell>
          <cell r="B379" t="str">
            <v>Agrosuper Brasil</v>
          </cell>
          <cell r="C379">
            <v>1022217</v>
          </cell>
          <cell r="D379">
            <v>1299322.19</v>
          </cell>
          <cell r="E379">
            <v>2064909.8808000002</v>
          </cell>
          <cell r="F379">
            <v>374917.88079999998</v>
          </cell>
          <cell r="G379">
            <v>1.5892208235126042</v>
          </cell>
        </row>
        <row r="380">
          <cell r="A380" t="str">
            <v>Agrosuper Brasil1022218</v>
          </cell>
          <cell r="B380" t="str">
            <v>Agrosuper Brasil</v>
          </cell>
          <cell r="C380">
            <v>1022218</v>
          </cell>
          <cell r="D380">
            <v>319159.98000000004</v>
          </cell>
          <cell r="E380">
            <v>471732.6275</v>
          </cell>
          <cell r="F380">
            <v>-239833.3725</v>
          </cell>
          <cell r="G380">
            <v>1.4780444199175597</v>
          </cell>
        </row>
        <row r="381">
          <cell r="A381" t="str">
            <v>Agrosuper Brasil1022273</v>
          </cell>
          <cell r="B381" t="str">
            <v>Agrosuper Brasil</v>
          </cell>
          <cell r="C381">
            <v>1022273</v>
          </cell>
          <cell r="D381">
            <v>886750.34000000008</v>
          </cell>
          <cell r="E381">
            <v>1292746.0757999998</v>
          </cell>
          <cell r="F381">
            <v>253839.07579999996</v>
          </cell>
          <cell r="G381">
            <v>1.4578467213218094</v>
          </cell>
        </row>
        <row r="382">
          <cell r="A382" t="str">
            <v>Agrosuper Brasil1022782</v>
          </cell>
          <cell r="B382" t="str">
            <v>Agrosuper Brasil</v>
          </cell>
          <cell r="C382">
            <v>1022782</v>
          </cell>
          <cell r="D382">
            <v>7924.8</v>
          </cell>
          <cell r="E382">
            <v>66144</v>
          </cell>
          <cell r="F382">
            <v>0</v>
          </cell>
          <cell r="G382">
            <v>8.3464566929133852</v>
          </cell>
        </row>
        <row r="383">
          <cell r="A383" t="str">
            <v>Agrosuper Brasil1022783</v>
          </cell>
          <cell r="B383" t="str">
            <v>Agrosuper Brasil</v>
          </cell>
          <cell r="C383">
            <v>1022783</v>
          </cell>
          <cell r="D383">
            <v>8359.2000000000007</v>
          </cell>
          <cell r="E383">
            <v>68688</v>
          </cell>
          <cell r="F383">
            <v>0</v>
          </cell>
          <cell r="G383">
            <v>8.2170542635658901</v>
          </cell>
        </row>
        <row r="384">
          <cell r="A384" t="str">
            <v>Agrosuper Brasil1022784</v>
          </cell>
          <cell r="B384" t="str">
            <v>Agrosuper Brasil</v>
          </cell>
          <cell r="C384">
            <v>1022784</v>
          </cell>
          <cell r="D384">
            <v>6779.25</v>
          </cell>
          <cell r="E384">
            <v>54855</v>
          </cell>
          <cell r="F384">
            <v>0</v>
          </cell>
          <cell r="G384">
            <v>8.0916030534351151</v>
          </cell>
        </row>
        <row r="385">
          <cell r="A385" t="str">
            <v>Agrosuper Brasil1023329</v>
          </cell>
          <cell r="B385" t="str">
            <v>Agrosuper Brasil</v>
          </cell>
          <cell r="C385">
            <v>1023329</v>
          </cell>
          <cell r="D385">
            <v>186158.68</v>
          </cell>
          <cell r="E385">
            <v>102387.274</v>
          </cell>
          <cell r="F385">
            <v>-53612.72600000001</v>
          </cell>
          <cell r="G385">
            <v>0.55000000000000004</v>
          </cell>
        </row>
        <row r="386">
          <cell r="A386" t="str">
            <v>Agrosuper Brasil1023334</v>
          </cell>
          <cell r="B386" t="str">
            <v>Agrosuper Brasil</v>
          </cell>
          <cell r="C386">
            <v>1023334</v>
          </cell>
          <cell r="D386">
            <v>931052</v>
          </cell>
          <cell r="E386">
            <v>605183.80000000005</v>
          </cell>
          <cell r="F386">
            <v>183102.8</v>
          </cell>
          <cell r="G386">
            <v>0.65</v>
          </cell>
        </row>
        <row r="387">
          <cell r="A387" t="str">
            <v>Agrosuper Brasil1023336</v>
          </cell>
          <cell r="B387" t="str">
            <v>Agrosuper Brasil</v>
          </cell>
          <cell r="C387">
            <v>1023336</v>
          </cell>
          <cell r="D387">
            <v>186767.39</v>
          </cell>
          <cell r="E387">
            <v>121398.80350000001</v>
          </cell>
          <cell r="F387">
            <v>44598.803500000002</v>
          </cell>
          <cell r="G387">
            <v>0.65</v>
          </cell>
        </row>
        <row r="388">
          <cell r="A388" t="str">
            <v>Agrosuper Shanghai1011586</v>
          </cell>
          <cell r="B388" t="str">
            <v>Agrosuper Shanghai</v>
          </cell>
          <cell r="C388">
            <v>1011586</v>
          </cell>
          <cell r="D388">
            <v>438988</v>
          </cell>
          <cell r="E388">
            <v>1433076.7712000001</v>
          </cell>
          <cell r="F388">
            <v>342873.28283000004</v>
          </cell>
          <cell r="G388">
            <v>3.2645010141507287</v>
          </cell>
        </row>
        <row r="389">
          <cell r="A389" t="str">
            <v>Agrosuper Shanghai1011967</v>
          </cell>
          <cell r="B389" t="str">
            <v>Agrosuper Shanghai</v>
          </cell>
          <cell r="C389">
            <v>1011967</v>
          </cell>
          <cell r="D389">
            <v>982320</v>
          </cell>
          <cell r="E389">
            <v>5839295.0839999998</v>
          </cell>
          <cell r="F389">
            <v>1469353.8971300002</v>
          </cell>
          <cell r="G389">
            <v>5.9443919333821968</v>
          </cell>
        </row>
        <row r="390">
          <cell r="A390" t="str">
            <v>Agrosuper Shanghai1011968</v>
          </cell>
          <cell r="B390" t="str">
            <v>Agrosuper Shanghai</v>
          </cell>
          <cell r="C390">
            <v>1011968</v>
          </cell>
          <cell r="D390">
            <v>71720</v>
          </cell>
          <cell r="E390">
            <v>424059.99879999994</v>
          </cell>
          <cell r="F390">
            <v>-139975.69010000001</v>
          </cell>
          <cell r="G390">
            <v>5.9127161015058549</v>
          </cell>
        </row>
        <row r="391">
          <cell r="A391" t="str">
            <v>Agrosuper Shanghai1011969</v>
          </cell>
          <cell r="B391" t="str">
            <v>Agrosuper Shanghai</v>
          </cell>
          <cell r="C391">
            <v>1011969</v>
          </cell>
          <cell r="D391">
            <v>814140</v>
          </cell>
          <cell r="E391">
            <v>4518597.4625000004</v>
          </cell>
          <cell r="F391">
            <v>1269529.7337400001</v>
          </cell>
          <cell r="G391">
            <v>5.550147962881077</v>
          </cell>
        </row>
        <row r="392">
          <cell r="A392" t="str">
            <v>Agrosuper Shanghai1012005</v>
          </cell>
          <cell r="B392" t="str">
            <v>Agrosuper Shanghai</v>
          </cell>
          <cell r="C392">
            <v>1012005</v>
          </cell>
          <cell r="D392">
            <v>5560</v>
          </cell>
          <cell r="E392">
            <v>36121.536800000002</v>
          </cell>
          <cell r="F392">
            <v>-2203.7655999999988</v>
          </cell>
          <cell r="G392">
            <v>6.49667928057554</v>
          </cell>
        </row>
        <row r="393">
          <cell r="A393" t="str">
            <v>Agrosuper Shanghai1012218</v>
          </cell>
          <cell r="B393" t="str">
            <v>Agrosuper Shanghai</v>
          </cell>
          <cell r="C393">
            <v>1012218</v>
          </cell>
          <cell r="D393">
            <v>12000</v>
          </cell>
          <cell r="E393">
            <v>56738.37</v>
          </cell>
          <cell r="F393">
            <v>-45023.703000000001</v>
          </cell>
          <cell r="G393">
            <v>4.7281975000000003</v>
          </cell>
        </row>
        <row r="394">
          <cell r="A394" t="str">
            <v>Agrosuper Shanghai1012434</v>
          </cell>
          <cell r="B394" t="str">
            <v>Agrosuper Shanghai</v>
          </cell>
          <cell r="C394">
            <v>1012434</v>
          </cell>
          <cell r="D394">
            <v>95780</v>
          </cell>
          <cell r="E394">
            <v>72761.236699999994</v>
          </cell>
          <cell r="F394">
            <v>4005.5518999999967</v>
          </cell>
          <cell r="G394">
            <v>0.75967046043015241</v>
          </cell>
        </row>
        <row r="395">
          <cell r="A395" t="str">
            <v>Agrosuper Shanghai1012448</v>
          </cell>
          <cell r="B395" t="str">
            <v>Agrosuper Shanghai</v>
          </cell>
          <cell r="C395">
            <v>1012448</v>
          </cell>
          <cell r="D395">
            <v>1329150</v>
          </cell>
          <cell r="E395">
            <v>7084580.3997</v>
          </cell>
          <cell r="F395">
            <v>519097.52441000025</v>
          </cell>
          <cell r="G395">
            <v>5.330158672610315</v>
          </cell>
        </row>
        <row r="396">
          <cell r="A396" t="str">
            <v>Agrosuper Shanghai1012451</v>
          </cell>
          <cell r="B396" t="str">
            <v>Agrosuper Shanghai</v>
          </cell>
          <cell r="C396">
            <v>1012451</v>
          </cell>
          <cell r="D396">
            <v>53985</v>
          </cell>
          <cell r="E396">
            <v>257843.52489999999</v>
          </cell>
          <cell r="F396">
            <v>-69693.811449999994</v>
          </cell>
          <cell r="G396">
            <v>4.7762068148559784</v>
          </cell>
        </row>
        <row r="397">
          <cell r="A397" t="str">
            <v>Agrosuper Shanghai1012452</v>
          </cell>
          <cell r="B397" t="str">
            <v>Agrosuper Shanghai</v>
          </cell>
          <cell r="C397">
            <v>1012452</v>
          </cell>
          <cell r="D397">
            <v>83644.959999999992</v>
          </cell>
          <cell r="E397">
            <v>214695.52959999998</v>
          </cell>
          <cell r="F397">
            <v>-57793.470400000013</v>
          </cell>
          <cell r="G397">
            <v>2.5667479499063663</v>
          </cell>
        </row>
        <row r="398">
          <cell r="A398" t="str">
            <v>Agrosuper Shanghai1012455</v>
          </cell>
          <cell r="B398" t="str">
            <v>Agrosuper Shanghai</v>
          </cell>
          <cell r="C398">
            <v>1012455</v>
          </cell>
          <cell r="D398">
            <v>934500</v>
          </cell>
          <cell r="E398">
            <v>2661354.5465000002</v>
          </cell>
          <cell r="F398">
            <v>526625.36478000006</v>
          </cell>
          <cell r="G398">
            <v>2.84789143552702</v>
          </cell>
        </row>
        <row r="399">
          <cell r="A399" t="str">
            <v>Agrosuper Shanghai1012502</v>
          </cell>
          <cell r="B399" t="str">
            <v>Agrosuper Shanghai</v>
          </cell>
          <cell r="C399">
            <v>1012502</v>
          </cell>
          <cell r="D399">
            <v>58980</v>
          </cell>
          <cell r="E399">
            <v>316694.64870000002</v>
          </cell>
          <cell r="F399">
            <v>68777.418890000001</v>
          </cell>
          <cell r="G399">
            <v>5.3695260885045784</v>
          </cell>
        </row>
        <row r="400">
          <cell r="A400" t="str">
            <v>Agrosuper Shanghai1012503</v>
          </cell>
          <cell r="B400" t="str">
            <v>Agrosuper Shanghai</v>
          </cell>
          <cell r="C400">
            <v>1012503</v>
          </cell>
          <cell r="D400">
            <v>1916300</v>
          </cell>
          <cell r="E400">
            <v>9846539.376600001</v>
          </cell>
          <cell r="F400">
            <v>2401669.7740500001</v>
          </cell>
          <cell r="G400">
            <v>5.1383078727756617</v>
          </cell>
        </row>
        <row r="401">
          <cell r="A401" t="str">
            <v>Agrosuper Shanghai1012504</v>
          </cell>
          <cell r="B401" t="str">
            <v>Agrosuper Shanghai</v>
          </cell>
          <cell r="C401">
            <v>1012504</v>
          </cell>
          <cell r="D401">
            <v>287200</v>
          </cell>
          <cell r="E401">
            <v>1416024.1368</v>
          </cell>
          <cell r="F401">
            <v>216215.95722999997</v>
          </cell>
          <cell r="G401">
            <v>4.9304461587743731</v>
          </cell>
        </row>
        <row r="402">
          <cell r="A402" t="str">
            <v>Agrosuper Shanghai1012525</v>
          </cell>
          <cell r="B402" t="str">
            <v>Agrosuper Shanghai</v>
          </cell>
          <cell r="C402">
            <v>1012525</v>
          </cell>
          <cell r="D402">
            <v>60200</v>
          </cell>
          <cell r="E402">
            <v>350942.86209999997</v>
          </cell>
          <cell r="F402">
            <v>209322.98336999997</v>
          </cell>
          <cell r="G402">
            <v>5.8296156495016609</v>
          </cell>
        </row>
        <row r="403">
          <cell r="A403" t="str">
            <v>Agrosuper Shanghai1012526</v>
          </cell>
          <cell r="B403" t="str">
            <v>Agrosuper Shanghai</v>
          </cell>
          <cell r="C403">
            <v>1012526</v>
          </cell>
          <cell r="D403">
            <v>47900</v>
          </cell>
          <cell r="E403">
            <v>279590.90249999997</v>
          </cell>
          <cell r="F403">
            <v>5629.5142499999783</v>
          </cell>
          <cell r="G403">
            <v>5.8369708246346548</v>
          </cell>
        </row>
        <row r="404">
          <cell r="A404" t="str">
            <v>Agrosuper Shanghai1012527</v>
          </cell>
          <cell r="B404" t="str">
            <v>Agrosuper Shanghai</v>
          </cell>
          <cell r="C404">
            <v>1012527</v>
          </cell>
          <cell r="D404">
            <v>72100</v>
          </cell>
          <cell r="E404">
            <v>372522.48070000001</v>
          </cell>
          <cell r="F404">
            <v>-39982.02194999998</v>
          </cell>
          <cell r="G404">
            <v>5.1667473051317616</v>
          </cell>
        </row>
        <row r="405">
          <cell r="A405" t="str">
            <v>Agrosuper Shanghai1012595</v>
          </cell>
          <cell r="B405" t="str">
            <v>Agrosuper Shanghai</v>
          </cell>
          <cell r="C405">
            <v>1012595</v>
          </cell>
          <cell r="D405">
            <v>784</v>
          </cell>
          <cell r="E405">
            <v>2691.3658999999998</v>
          </cell>
          <cell r="F405">
            <v>-11851.68808</v>
          </cell>
          <cell r="G405">
            <v>3.4328646683673467</v>
          </cell>
        </row>
        <row r="406">
          <cell r="A406" t="str">
            <v>Agrosuper Shanghai1012598</v>
          </cell>
          <cell r="B406" t="str">
            <v>Agrosuper Shanghai</v>
          </cell>
          <cell r="C406">
            <v>1012598</v>
          </cell>
          <cell r="D406">
            <v>19780</v>
          </cell>
          <cell r="E406">
            <v>21355.993999999999</v>
          </cell>
          <cell r="F406">
            <v>-14474.928959999999</v>
          </cell>
          <cell r="G406">
            <v>1.0796761375126389</v>
          </cell>
        </row>
        <row r="407">
          <cell r="A407" t="str">
            <v>Agrosuper Shanghai1012681</v>
          </cell>
          <cell r="B407" t="str">
            <v>Agrosuper Shanghai</v>
          </cell>
          <cell r="C407">
            <v>1012681</v>
          </cell>
          <cell r="D407">
            <v>82800</v>
          </cell>
          <cell r="E407">
            <v>102779.6446</v>
          </cell>
          <cell r="F407">
            <v>-25332.289480000003</v>
          </cell>
          <cell r="G407">
            <v>1.2413000555555556</v>
          </cell>
        </row>
        <row r="408">
          <cell r="A408" t="str">
            <v>Agrosuper Shanghai1021115</v>
          </cell>
          <cell r="B408" t="str">
            <v>Agrosuper Shanghai</v>
          </cell>
          <cell r="C408">
            <v>1021115</v>
          </cell>
          <cell r="D408">
            <v>95800</v>
          </cell>
          <cell r="E408">
            <v>26164</v>
          </cell>
          <cell r="F408">
            <v>404</v>
          </cell>
          <cell r="G408">
            <v>0.27311064718162842</v>
          </cell>
        </row>
        <row r="409">
          <cell r="A409" t="str">
            <v>Agrosuper Shanghai1021731</v>
          </cell>
          <cell r="B409" t="str">
            <v>Agrosuper Shanghai</v>
          </cell>
          <cell r="C409">
            <v>1021731</v>
          </cell>
          <cell r="D409">
            <v>1135532.8</v>
          </cell>
          <cell r="E409">
            <v>2301775.6078999997</v>
          </cell>
          <cell r="F409">
            <v>-328764.23735999997</v>
          </cell>
          <cell r="G409">
            <v>2.027044580218202</v>
          </cell>
        </row>
        <row r="410">
          <cell r="A410" t="str">
            <v>Agrosuper Shanghai1021732</v>
          </cell>
          <cell r="B410" t="str">
            <v>Agrosuper Shanghai</v>
          </cell>
          <cell r="C410">
            <v>1021732</v>
          </cell>
          <cell r="D410">
            <v>1890740</v>
          </cell>
          <cell r="E410">
            <v>3013266.5601000004</v>
          </cell>
          <cell r="F410">
            <v>395623.55805999984</v>
          </cell>
          <cell r="G410">
            <v>1.5936969441065405</v>
          </cell>
        </row>
        <row r="411">
          <cell r="A411" t="str">
            <v>Agrosuper Shanghai1021733</v>
          </cell>
          <cell r="B411" t="str">
            <v>Agrosuper Shanghai</v>
          </cell>
          <cell r="C411">
            <v>1021733</v>
          </cell>
          <cell r="D411">
            <v>314814.13099999994</v>
          </cell>
          <cell r="E411">
            <v>752903.79280000005</v>
          </cell>
          <cell r="F411">
            <v>83700.658490000031</v>
          </cell>
          <cell r="G411">
            <v>2.3915819483973553</v>
          </cell>
        </row>
        <row r="412">
          <cell r="A412" t="str">
            <v>Agrosuper Shanghai1021735</v>
          </cell>
          <cell r="B412" t="str">
            <v>Agrosuper Shanghai</v>
          </cell>
          <cell r="C412">
            <v>1021735</v>
          </cell>
          <cell r="D412">
            <v>1013334</v>
          </cell>
          <cell r="E412">
            <v>4631858.5514000002</v>
          </cell>
          <cell r="F412">
            <v>233614.8855700001</v>
          </cell>
          <cell r="G412">
            <v>4.5709100369670814</v>
          </cell>
        </row>
        <row r="413">
          <cell r="A413" t="str">
            <v>Agrosuper Shanghai1021737</v>
          </cell>
          <cell r="B413" t="str">
            <v>Agrosuper Shanghai</v>
          </cell>
          <cell r="C413">
            <v>1021737</v>
          </cell>
          <cell r="D413">
            <v>72280</v>
          </cell>
          <cell r="E413">
            <v>345173.68209999998</v>
          </cell>
          <cell r="F413">
            <v>6498.6993500000099</v>
          </cell>
          <cell r="G413">
            <v>4.7755074999999998</v>
          </cell>
        </row>
        <row r="414">
          <cell r="A414" t="str">
            <v>Agrosuper Shanghai1021738</v>
          </cell>
          <cell r="B414" t="str">
            <v>Agrosuper Shanghai</v>
          </cell>
          <cell r="C414">
            <v>1021738</v>
          </cell>
          <cell r="D414">
            <v>554920</v>
          </cell>
          <cell r="E414">
            <v>2558639.1409999998</v>
          </cell>
          <cell r="F414">
            <v>400815.56178999995</v>
          </cell>
          <cell r="G414">
            <v>4.6108252378721257</v>
          </cell>
        </row>
        <row r="415">
          <cell r="A415" t="str">
            <v>Agrosuper Shanghai1021739</v>
          </cell>
          <cell r="B415" t="str">
            <v>Agrosuper Shanghai</v>
          </cell>
          <cell r="C415">
            <v>1021739</v>
          </cell>
          <cell r="D415">
            <v>184504.82</v>
          </cell>
          <cell r="E415">
            <v>218502.65039999998</v>
          </cell>
          <cell r="F415">
            <v>37489.707389999996</v>
          </cell>
          <cell r="G415">
            <v>1.1842652696010867</v>
          </cell>
        </row>
        <row r="416">
          <cell r="A416" t="str">
            <v>Agrosuper Shanghai1021740</v>
          </cell>
          <cell r="B416" t="str">
            <v>Agrosuper Shanghai</v>
          </cell>
          <cell r="C416">
            <v>1021740</v>
          </cell>
          <cell r="D416">
            <v>72036.47</v>
          </cell>
          <cell r="E416">
            <v>31220.058499999999</v>
          </cell>
          <cell r="F416">
            <v>17401.308499999999</v>
          </cell>
          <cell r="G416">
            <v>0.43339239832268295</v>
          </cell>
        </row>
        <row r="417">
          <cell r="A417" t="str">
            <v>Agrosuper Shanghai1021765</v>
          </cell>
          <cell r="B417" t="str">
            <v>Agrosuper Shanghai</v>
          </cell>
          <cell r="C417">
            <v>1021765</v>
          </cell>
          <cell r="D417">
            <v>6532.67</v>
          </cell>
          <cell r="E417">
            <v>7050.5373</v>
          </cell>
          <cell r="F417">
            <v>-272.46270000000004</v>
          </cell>
          <cell r="G417">
            <v>1.0792734517433147</v>
          </cell>
        </row>
        <row r="418">
          <cell r="A418" t="str">
            <v>Agrosuper Shanghai1021766</v>
          </cell>
          <cell r="B418" t="str">
            <v>Agrosuper Shanghai</v>
          </cell>
          <cell r="C418">
            <v>1021766</v>
          </cell>
          <cell r="D418">
            <v>2113632</v>
          </cell>
          <cell r="E418">
            <v>3938129.0883000004</v>
          </cell>
          <cell r="F418">
            <v>659345.35196</v>
          </cell>
          <cell r="G418">
            <v>1.8632047055968117</v>
          </cell>
        </row>
        <row r="419">
          <cell r="A419" t="str">
            <v>Agrosuper Shanghai1021767</v>
          </cell>
          <cell r="B419" t="str">
            <v>Agrosuper Shanghai</v>
          </cell>
          <cell r="C419">
            <v>1021767</v>
          </cell>
          <cell r="D419">
            <v>2894382</v>
          </cell>
          <cell r="E419">
            <v>4742561.2829</v>
          </cell>
          <cell r="F419">
            <v>742931.95261000027</v>
          </cell>
          <cell r="G419">
            <v>1.6385402075123463</v>
          </cell>
        </row>
        <row r="420">
          <cell r="A420" t="str">
            <v>Agrosuper Shanghai1021774</v>
          </cell>
          <cell r="B420" t="str">
            <v>Agrosuper Shanghai</v>
          </cell>
          <cell r="C420">
            <v>1021774</v>
          </cell>
          <cell r="D420">
            <v>552980</v>
          </cell>
          <cell r="E420">
            <v>592001.18400000001</v>
          </cell>
          <cell r="F420">
            <v>30062.872329999998</v>
          </cell>
          <cell r="G420">
            <v>1.0705652718000651</v>
          </cell>
        </row>
        <row r="421">
          <cell r="A421" t="str">
            <v>Agrosuper Shanghai1021905</v>
          </cell>
          <cell r="B421" t="str">
            <v>Agrosuper Shanghai</v>
          </cell>
          <cell r="C421">
            <v>1021905</v>
          </cell>
          <cell r="D421">
            <v>48010.789999999994</v>
          </cell>
          <cell r="E421">
            <v>67614.336200000005</v>
          </cell>
          <cell r="F421">
            <v>22266.040600000004</v>
          </cell>
          <cell r="G421">
            <v>1.4083154265947304</v>
          </cell>
        </row>
        <row r="422">
          <cell r="A422" t="str">
            <v>Agrosuper Shanghai1021971</v>
          </cell>
          <cell r="B422" t="str">
            <v>Agrosuper Shanghai</v>
          </cell>
          <cell r="C422">
            <v>1021971</v>
          </cell>
          <cell r="D422">
            <v>212300</v>
          </cell>
          <cell r="E422">
            <v>382827.17210000003</v>
          </cell>
          <cell r="F422">
            <v>61996.060779999985</v>
          </cell>
          <cell r="G422">
            <v>1.8032367974564296</v>
          </cell>
        </row>
        <row r="423">
          <cell r="A423" t="str">
            <v>Agrosuper Shanghai1021992</v>
          </cell>
          <cell r="B423" t="str">
            <v>Agrosuper Shanghai</v>
          </cell>
          <cell r="C423">
            <v>1021992</v>
          </cell>
          <cell r="D423">
            <v>366080</v>
          </cell>
          <cell r="E423">
            <v>483319.09939999995</v>
          </cell>
          <cell r="F423">
            <v>143151.24819999997</v>
          </cell>
          <cell r="G423">
            <v>1.32025540701486</v>
          </cell>
        </row>
        <row r="424">
          <cell r="A424" t="str">
            <v>Agrosuper Shanghai1022033</v>
          </cell>
          <cell r="B424" t="str">
            <v>Agrosuper Shanghai</v>
          </cell>
          <cell r="C424">
            <v>1022033</v>
          </cell>
          <cell r="D424">
            <v>215810</v>
          </cell>
          <cell r="E424">
            <v>1274538.7836</v>
          </cell>
          <cell r="F424">
            <v>-359457.45969000005</v>
          </cell>
          <cell r="G424">
            <v>5.9058374662897917</v>
          </cell>
        </row>
        <row r="425">
          <cell r="A425" t="str">
            <v>Agrosuper Shanghai1022073</v>
          </cell>
          <cell r="B425" t="str">
            <v>Agrosuper Shanghai</v>
          </cell>
          <cell r="C425">
            <v>1022073</v>
          </cell>
          <cell r="D425">
            <v>408668.24</v>
          </cell>
          <cell r="E425">
            <v>465289.36269999994</v>
          </cell>
          <cell r="F425">
            <v>73473.614259999988</v>
          </cell>
          <cell r="G425">
            <v>1.1385503377996782</v>
          </cell>
        </row>
        <row r="426">
          <cell r="A426" t="str">
            <v>Agrosuper Shanghai1022080</v>
          </cell>
          <cell r="B426" t="str">
            <v>Agrosuper Shanghai</v>
          </cell>
          <cell r="C426">
            <v>1022080</v>
          </cell>
          <cell r="D426">
            <v>505880</v>
          </cell>
          <cell r="E426">
            <v>705697.08899999992</v>
          </cell>
          <cell r="F426">
            <v>-131906.78690999994</v>
          </cell>
          <cell r="G426">
            <v>1.3949891061121213</v>
          </cell>
        </row>
        <row r="427">
          <cell r="A427" t="str">
            <v>Agrosuper Shanghai1022082</v>
          </cell>
          <cell r="B427" t="str">
            <v>Agrosuper Shanghai</v>
          </cell>
          <cell r="C427">
            <v>1022082</v>
          </cell>
          <cell r="D427">
            <v>12000</v>
          </cell>
          <cell r="E427">
            <v>18312.6384</v>
          </cell>
          <cell r="F427">
            <v>18312.6384</v>
          </cell>
          <cell r="G427">
            <v>1.5260532</v>
          </cell>
        </row>
        <row r="428">
          <cell r="A428" t="str">
            <v>Agrosuper Shanghai1022096</v>
          </cell>
          <cell r="B428" t="str">
            <v>Agrosuper Shanghai</v>
          </cell>
          <cell r="C428">
            <v>1022096</v>
          </cell>
          <cell r="D428">
            <v>1321080</v>
          </cell>
          <cell r="E428">
            <v>1783845.7019000002</v>
          </cell>
          <cell r="F428">
            <v>247693.10750000004</v>
          </cell>
          <cell r="G428">
            <v>1.3502934734459686</v>
          </cell>
        </row>
        <row r="429">
          <cell r="A429" t="str">
            <v>Agrosuper Shanghai1022099</v>
          </cell>
          <cell r="B429" t="str">
            <v>Agrosuper Shanghai</v>
          </cell>
          <cell r="C429">
            <v>1022099</v>
          </cell>
          <cell r="D429">
            <v>1328868</v>
          </cell>
          <cell r="E429">
            <v>2463858.6399000003</v>
          </cell>
          <cell r="F429">
            <v>80084.736429999961</v>
          </cell>
          <cell r="G429">
            <v>1.8541033721182241</v>
          </cell>
        </row>
        <row r="430">
          <cell r="A430" t="str">
            <v>Agrosuper Shanghai1022125</v>
          </cell>
          <cell r="B430" t="str">
            <v>Agrosuper Shanghai</v>
          </cell>
          <cell r="C430">
            <v>1022125</v>
          </cell>
          <cell r="D430">
            <v>780729.49000000011</v>
          </cell>
          <cell r="E430">
            <v>2269023.2673999998</v>
          </cell>
          <cell r="F430">
            <v>-16478.611579999997</v>
          </cell>
          <cell r="G430">
            <v>2.9062861035260745</v>
          </cell>
        </row>
        <row r="431">
          <cell r="A431" t="str">
            <v>Agrosuper Shanghai1022169</v>
          </cell>
          <cell r="B431" t="str">
            <v>Agrosuper Shanghai</v>
          </cell>
          <cell r="C431">
            <v>1022169</v>
          </cell>
          <cell r="D431">
            <v>1059190</v>
          </cell>
          <cell r="E431">
            <v>1139916.5978000001</v>
          </cell>
          <cell r="F431">
            <v>105908.36855000003</v>
          </cell>
          <cell r="G431">
            <v>1.0762154078116297</v>
          </cell>
        </row>
        <row r="432">
          <cell r="A432" t="str">
            <v>Agrosuper Shanghai1022183</v>
          </cell>
          <cell r="B432" t="str">
            <v>Agrosuper Shanghai</v>
          </cell>
          <cell r="C432">
            <v>1022183</v>
          </cell>
          <cell r="D432">
            <v>4499814.66</v>
          </cell>
          <cell r="E432">
            <v>8982275.1066999994</v>
          </cell>
          <cell r="F432">
            <v>1955507.7212499999</v>
          </cell>
          <cell r="G432">
            <v>1.996143349312969</v>
          </cell>
        </row>
        <row r="433">
          <cell r="A433" t="str">
            <v>Agrosuper Shanghai1022186</v>
          </cell>
          <cell r="B433" t="str">
            <v>Agrosuper Shanghai</v>
          </cell>
          <cell r="C433">
            <v>1022186</v>
          </cell>
          <cell r="D433">
            <v>416286</v>
          </cell>
          <cell r="E433">
            <v>398104.03640000004</v>
          </cell>
          <cell r="F433">
            <v>-8849.0409499999878</v>
          </cell>
          <cell r="G433">
            <v>0.95632338440399156</v>
          </cell>
        </row>
        <row r="434">
          <cell r="A434" t="str">
            <v>Agrosuper Shanghai1022193</v>
          </cell>
          <cell r="B434" t="str">
            <v>Agrosuper Shanghai</v>
          </cell>
          <cell r="C434">
            <v>1022193</v>
          </cell>
          <cell r="D434">
            <v>141655.26</v>
          </cell>
          <cell r="E434">
            <v>444340.5711</v>
          </cell>
          <cell r="F434">
            <v>-22090.145509999988</v>
          </cell>
          <cell r="G434">
            <v>3.1367742440344255</v>
          </cell>
        </row>
        <row r="435">
          <cell r="A435" t="str">
            <v>Agrosuper Shanghai1022212</v>
          </cell>
          <cell r="B435" t="str">
            <v>Agrosuper Shanghai</v>
          </cell>
          <cell r="C435">
            <v>1022212</v>
          </cell>
          <cell r="D435">
            <v>3666156.6949999998</v>
          </cell>
          <cell r="E435">
            <v>6447472.7429</v>
          </cell>
          <cell r="F435">
            <v>349386.24886999978</v>
          </cell>
          <cell r="G435">
            <v>1.7586462552714213</v>
          </cell>
        </row>
        <row r="436">
          <cell r="A436" t="str">
            <v>Agrosuper Shanghai1022291</v>
          </cell>
          <cell r="B436" t="str">
            <v>Agrosuper Shanghai</v>
          </cell>
          <cell r="C436">
            <v>1022291</v>
          </cell>
          <cell r="D436">
            <v>240125.43</v>
          </cell>
          <cell r="E436">
            <v>445693.60639999993</v>
          </cell>
          <cell r="F436">
            <v>-241032.40360000002</v>
          </cell>
          <cell r="G436">
            <v>1.8560866560447178</v>
          </cell>
        </row>
        <row r="437">
          <cell r="A437" t="str">
            <v>Agrosuper Shanghai1022373</v>
          </cell>
          <cell r="B437" t="str">
            <v>Agrosuper Shanghai</v>
          </cell>
          <cell r="C437">
            <v>1022373</v>
          </cell>
          <cell r="D437">
            <v>544724.44999999995</v>
          </cell>
          <cell r="E437">
            <v>676851.02140000009</v>
          </cell>
          <cell r="F437">
            <v>132054.29624999998</v>
          </cell>
          <cell r="G437">
            <v>1.2425567117466458</v>
          </cell>
        </row>
        <row r="438">
          <cell r="A438" t="str">
            <v>Agrosuper Shanghai1022378</v>
          </cell>
          <cell r="B438" t="str">
            <v>Agrosuper Shanghai</v>
          </cell>
          <cell r="C438">
            <v>1022378</v>
          </cell>
          <cell r="D438">
            <v>337750</v>
          </cell>
          <cell r="E438">
            <v>666335.8382</v>
          </cell>
          <cell r="F438">
            <v>-521581.47012000001</v>
          </cell>
          <cell r="G438">
            <v>1.9728670264988897</v>
          </cell>
        </row>
        <row r="439">
          <cell r="A439" t="str">
            <v>Agrosuper Shanghai1022379</v>
          </cell>
          <cell r="B439" t="str">
            <v>Agrosuper Shanghai</v>
          </cell>
          <cell r="C439">
            <v>1022379</v>
          </cell>
          <cell r="D439">
            <v>287962.81</v>
          </cell>
          <cell r="E439">
            <v>698484.00249999994</v>
          </cell>
          <cell r="F439">
            <v>299169.47704999999</v>
          </cell>
          <cell r="G439">
            <v>2.4256048984242096</v>
          </cell>
        </row>
        <row r="440">
          <cell r="A440" t="str">
            <v>Agrosuper Shanghai1022381</v>
          </cell>
          <cell r="B440" t="str">
            <v>Agrosuper Shanghai</v>
          </cell>
          <cell r="C440">
            <v>1022381</v>
          </cell>
          <cell r="D440">
            <v>456140</v>
          </cell>
          <cell r="E440">
            <v>473094.69899999996</v>
          </cell>
          <cell r="F440">
            <v>-46510.882789999981</v>
          </cell>
          <cell r="G440">
            <v>1.0371699456307273</v>
          </cell>
        </row>
        <row r="441">
          <cell r="A441" t="str">
            <v>Agrosuper Shanghai1022388</v>
          </cell>
          <cell r="B441" t="str">
            <v>Agrosuper Shanghai</v>
          </cell>
          <cell r="C441">
            <v>1022388</v>
          </cell>
          <cell r="D441">
            <v>816780</v>
          </cell>
          <cell r="E441">
            <v>1297391.0713</v>
          </cell>
          <cell r="F441">
            <v>366378.90741000004</v>
          </cell>
          <cell r="G441">
            <v>1.5884216940914322</v>
          </cell>
        </row>
        <row r="442">
          <cell r="A442" t="str">
            <v>Agrosuper Shanghai1022389</v>
          </cell>
          <cell r="B442" t="str">
            <v>Agrosuper Shanghai</v>
          </cell>
          <cell r="C442">
            <v>1022389</v>
          </cell>
          <cell r="D442">
            <v>24000</v>
          </cell>
          <cell r="E442">
            <v>26235.5088</v>
          </cell>
          <cell r="F442">
            <v>-25140.046249999999</v>
          </cell>
          <cell r="G442">
            <v>1.0931462000000001</v>
          </cell>
        </row>
        <row r="443">
          <cell r="A443" t="str">
            <v>Agrosuper Shanghai1022414</v>
          </cell>
          <cell r="B443" t="str">
            <v>Agrosuper Shanghai</v>
          </cell>
          <cell r="C443">
            <v>1022414</v>
          </cell>
          <cell r="D443">
            <v>962005</v>
          </cell>
          <cell r="E443">
            <v>997362.17940000002</v>
          </cell>
          <cell r="F443">
            <v>-208177.29516999997</v>
          </cell>
          <cell r="G443">
            <v>1.0367536337129226</v>
          </cell>
        </row>
        <row r="444">
          <cell r="A444" t="str">
            <v>Agrosuper Shanghai1022415</v>
          </cell>
          <cell r="B444" t="str">
            <v>Agrosuper Shanghai</v>
          </cell>
          <cell r="C444">
            <v>1022415</v>
          </cell>
          <cell r="D444">
            <v>4100</v>
          </cell>
          <cell r="E444">
            <v>3623.5333000000001</v>
          </cell>
          <cell r="F444">
            <v>15.533300000000054</v>
          </cell>
          <cell r="G444">
            <v>0.88378860975609752</v>
          </cell>
        </row>
        <row r="445">
          <cell r="A445" t="str">
            <v>Agrosuper Shanghai1022417</v>
          </cell>
          <cell r="B445" t="str">
            <v>Agrosuper Shanghai</v>
          </cell>
          <cell r="C445">
            <v>1022417</v>
          </cell>
          <cell r="D445">
            <v>1027420</v>
          </cell>
          <cell r="E445">
            <v>810836.50080000004</v>
          </cell>
          <cell r="F445">
            <v>65937.853130000003</v>
          </cell>
          <cell r="G445">
            <v>0.78919672655778561</v>
          </cell>
        </row>
        <row r="446">
          <cell r="A446" t="str">
            <v>Agrosuper Shanghai1022418</v>
          </cell>
          <cell r="B446" t="str">
            <v>Agrosuper Shanghai</v>
          </cell>
          <cell r="C446">
            <v>1022418</v>
          </cell>
          <cell r="D446">
            <v>0</v>
          </cell>
          <cell r="E446"/>
          <cell r="F446">
            <v>-130285.71</v>
          </cell>
          <cell r="G446" t="e">
            <v>#DIV/0!</v>
          </cell>
        </row>
        <row r="447">
          <cell r="A447" t="str">
            <v>Agrosuper Shanghai1022541</v>
          </cell>
          <cell r="B447" t="str">
            <v>Agrosuper Shanghai</v>
          </cell>
          <cell r="C447">
            <v>1022541</v>
          </cell>
          <cell r="D447">
            <v>929260.15300000005</v>
          </cell>
          <cell r="E447">
            <v>1055178.8172000002</v>
          </cell>
          <cell r="F447">
            <v>278028.85285000002</v>
          </cell>
          <cell r="G447">
            <v>1.1355042113809437</v>
          </cell>
        </row>
        <row r="448">
          <cell r="A448" t="str">
            <v>Agrosuper Shanghai1022568</v>
          </cell>
          <cell r="B448" t="str">
            <v>Agrosuper Shanghai</v>
          </cell>
          <cell r="C448">
            <v>1022568</v>
          </cell>
          <cell r="D448">
            <v>368968.217</v>
          </cell>
          <cell r="E448">
            <v>1926609.8978000002</v>
          </cell>
          <cell r="F448">
            <v>-146092.19453999994</v>
          </cell>
          <cell r="G448">
            <v>5.2216147869451861</v>
          </cell>
        </row>
        <row r="449">
          <cell r="A449" t="str">
            <v>Agrosuper Shanghai1022636</v>
          </cell>
          <cell r="B449" t="str">
            <v>Agrosuper Shanghai</v>
          </cell>
          <cell r="C449">
            <v>1022636</v>
          </cell>
          <cell r="D449">
            <v>1099275</v>
          </cell>
          <cell r="E449">
            <v>818868.05060000008</v>
          </cell>
          <cell r="F449">
            <v>9146.7348300000012</v>
          </cell>
          <cell r="G449">
            <v>0.74491646821768898</v>
          </cell>
        </row>
        <row r="450">
          <cell r="A450" t="str">
            <v>Agrosuper Shanghai1022637</v>
          </cell>
          <cell r="B450" t="str">
            <v>Agrosuper Shanghai</v>
          </cell>
          <cell r="C450">
            <v>1022637</v>
          </cell>
          <cell r="D450">
            <v>502500</v>
          </cell>
          <cell r="E450">
            <v>571548.91189999995</v>
          </cell>
          <cell r="F450">
            <v>-209354.78725999998</v>
          </cell>
          <cell r="G450">
            <v>1.1374107699502487</v>
          </cell>
        </row>
        <row r="451">
          <cell r="A451" t="str">
            <v>Agrosuper Shanghai1022639</v>
          </cell>
          <cell r="B451" t="str">
            <v>Agrosuper Shanghai</v>
          </cell>
          <cell r="C451">
            <v>1022639</v>
          </cell>
          <cell r="D451">
            <v>5527697.0869999994</v>
          </cell>
          <cell r="E451">
            <v>9308271.221599998</v>
          </cell>
          <cell r="F451">
            <v>1486415.84876</v>
          </cell>
          <cell r="G451">
            <v>1.6839329426156739</v>
          </cell>
        </row>
        <row r="452">
          <cell r="A452" t="str">
            <v>Agrosuper Shanghai1022640</v>
          </cell>
          <cell r="B452" t="str">
            <v>Agrosuper Shanghai</v>
          </cell>
          <cell r="C452">
            <v>1022640</v>
          </cell>
          <cell r="D452">
            <v>247074.33</v>
          </cell>
          <cell r="E452">
            <v>386979.06670000002</v>
          </cell>
          <cell r="F452">
            <v>84512.20014999999</v>
          </cell>
          <cell r="G452">
            <v>1.5662455371223714</v>
          </cell>
        </row>
        <row r="453">
          <cell r="A453" t="str">
            <v>Agrosuper Shanghai1022645</v>
          </cell>
          <cell r="B453" t="str">
            <v>Agrosuper Shanghai</v>
          </cell>
          <cell r="C453">
            <v>1022645</v>
          </cell>
          <cell r="D453">
            <v>73814.41</v>
          </cell>
          <cell r="E453">
            <v>380128.06900000002</v>
          </cell>
          <cell r="F453">
            <v>-147244.97730999999</v>
          </cell>
          <cell r="G453">
            <v>5.149781309638592</v>
          </cell>
        </row>
        <row r="454">
          <cell r="A454" t="str">
            <v>Agrosuper Shanghai1022646</v>
          </cell>
          <cell r="B454" t="str">
            <v>Agrosuper Shanghai</v>
          </cell>
          <cell r="C454">
            <v>1022646</v>
          </cell>
          <cell r="D454">
            <v>2295.91</v>
          </cell>
          <cell r="E454">
            <v>12523.5489</v>
          </cell>
          <cell r="F454">
            <v>-140385.82913999999</v>
          </cell>
          <cell r="G454">
            <v>5.4547211780949603</v>
          </cell>
        </row>
        <row r="455">
          <cell r="A455" t="str">
            <v>Agrosuper Shanghai1022748</v>
          </cell>
          <cell r="B455" t="str">
            <v>Agrosuper Shanghai</v>
          </cell>
          <cell r="C455">
            <v>1022748</v>
          </cell>
          <cell r="D455">
            <v>1081270</v>
          </cell>
          <cell r="E455">
            <v>5539418.1609000005</v>
          </cell>
          <cell r="F455">
            <v>-507876.96620999987</v>
          </cell>
          <cell r="G455">
            <v>5.1230665429541196</v>
          </cell>
        </row>
        <row r="456">
          <cell r="A456" t="str">
            <v>Agrosuper Shanghai1022753</v>
          </cell>
          <cell r="B456" t="str">
            <v>Agrosuper Shanghai</v>
          </cell>
          <cell r="C456">
            <v>1022753</v>
          </cell>
          <cell r="D456">
            <v>868940</v>
          </cell>
          <cell r="E456">
            <v>1988132.8232</v>
          </cell>
          <cell r="F456">
            <v>38450.867859999969</v>
          </cell>
          <cell r="G456">
            <v>2.2879978171105027</v>
          </cell>
        </row>
        <row r="457">
          <cell r="A457" t="str">
            <v>Agrosuper Shanghai1022851</v>
          </cell>
          <cell r="B457" t="str">
            <v>Agrosuper Shanghai</v>
          </cell>
          <cell r="C457">
            <v>1022851</v>
          </cell>
          <cell r="D457">
            <v>175383.27000000002</v>
          </cell>
          <cell r="E457">
            <v>304751.35940000002</v>
          </cell>
          <cell r="F457">
            <v>39463.759399999988</v>
          </cell>
          <cell r="G457">
            <v>1.7376307295444997</v>
          </cell>
        </row>
        <row r="458">
          <cell r="A458" t="str">
            <v>Agrosuper Shanghai1022856</v>
          </cell>
          <cell r="B458" t="str">
            <v>Agrosuper Shanghai</v>
          </cell>
          <cell r="C458">
            <v>1022856</v>
          </cell>
          <cell r="D458">
            <v>820470.14000000013</v>
          </cell>
          <cell r="E458">
            <v>789930.78649999993</v>
          </cell>
          <cell r="F458">
            <v>-28276.585480000002</v>
          </cell>
          <cell r="G458">
            <v>0.96277822676154889</v>
          </cell>
        </row>
        <row r="459">
          <cell r="A459" t="str">
            <v>Agrosuper Shanghai1022936</v>
          </cell>
          <cell r="B459" t="str">
            <v>Agrosuper Shanghai</v>
          </cell>
          <cell r="C459">
            <v>1022936</v>
          </cell>
          <cell r="D459">
            <v>71645</v>
          </cell>
          <cell r="E459">
            <v>163310.37349999999</v>
          </cell>
          <cell r="F459">
            <v>-4219.7357199999969</v>
          </cell>
          <cell r="G459">
            <v>2.2794385302533322</v>
          </cell>
        </row>
        <row r="460">
          <cell r="A460" t="str">
            <v>Agrosuper Shanghai1022939</v>
          </cell>
          <cell r="B460" t="str">
            <v>Agrosuper Shanghai</v>
          </cell>
          <cell r="C460">
            <v>1022939</v>
          </cell>
          <cell r="D460">
            <v>48240</v>
          </cell>
          <cell r="E460">
            <v>132277.1764</v>
          </cell>
          <cell r="F460">
            <v>-399.72861000000557</v>
          </cell>
          <cell r="G460">
            <v>2.7420641873963514</v>
          </cell>
        </row>
        <row r="461">
          <cell r="A461" t="str">
            <v>Agrosuper Shanghai1022940</v>
          </cell>
          <cell r="B461" t="str">
            <v>Agrosuper Shanghai</v>
          </cell>
          <cell r="C461">
            <v>1022940</v>
          </cell>
          <cell r="D461">
            <v>305614</v>
          </cell>
          <cell r="E461">
            <v>766399.46869999997</v>
          </cell>
          <cell r="F461">
            <v>10282.422939999975</v>
          </cell>
          <cell r="G461">
            <v>2.507736781364728</v>
          </cell>
        </row>
        <row r="462">
          <cell r="A462" t="str">
            <v>Agrosuper Shanghai1022941</v>
          </cell>
          <cell r="B462" t="str">
            <v>Agrosuper Shanghai</v>
          </cell>
          <cell r="C462">
            <v>1022941</v>
          </cell>
          <cell r="D462">
            <v>385564</v>
          </cell>
          <cell r="E462">
            <v>918721.57119999989</v>
          </cell>
          <cell r="F462">
            <v>190139.46899999992</v>
          </cell>
          <cell r="G462">
            <v>2.3827991492981706</v>
          </cell>
        </row>
        <row r="463">
          <cell r="A463" t="str">
            <v>Agrosuper Shanghai1022943</v>
          </cell>
          <cell r="B463" t="str">
            <v>Agrosuper Shanghai</v>
          </cell>
          <cell r="C463">
            <v>1022943</v>
          </cell>
          <cell r="D463">
            <v>99154.26999999999</v>
          </cell>
          <cell r="E463">
            <v>238002.52729999999</v>
          </cell>
          <cell r="F463">
            <v>145773.61429999999</v>
          </cell>
          <cell r="G463">
            <v>2.4003255462422346</v>
          </cell>
        </row>
        <row r="464">
          <cell r="A464" t="str">
            <v>Agrosuper Shanghai1022945</v>
          </cell>
          <cell r="B464" t="str">
            <v>Agrosuper Shanghai</v>
          </cell>
          <cell r="C464">
            <v>1022945</v>
          </cell>
          <cell r="D464">
            <v>530060</v>
          </cell>
          <cell r="E464">
            <v>634292.9987</v>
          </cell>
          <cell r="F464">
            <v>100937.46264999999</v>
          </cell>
          <cell r="G464">
            <v>1.1966437737237294</v>
          </cell>
        </row>
        <row r="465">
          <cell r="A465" t="str">
            <v>Agrosuper Shanghai1023034</v>
          </cell>
          <cell r="B465" t="str">
            <v>Agrosuper Shanghai</v>
          </cell>
          <cell r="C465">
            <v>1023034</v>
          </cell>
          <cell r="D465">
            <v>1097420</v>
          </cell>
          <cell r="E465">
            <v>788793.08630000008</v>
          </cell>
          <cell r="F465">
            <v>-6452.7142600000006</v>
          </cell>
          <cell r="G465">
            <v>0.71877046736891992</v>
          </cell>
        </row>
        <row r="466">
          <cell r="A466" t="str">
            <v>Agrosuper Shanghai1023035</v>
          </cell>
          <cell r="B466" t="str">
            <v>Agrosuper Shanghai</v>
          </cell>
          <cell r="C466">
            <v>1023035</v>
          </cell>
          <cell r="D466">
            <v>0</v>
          </cell>
          <cell r="E466"/>
          <cell r="F466">
            <v>-22400</v>
          </cell>
          <cell r="G466" t="e">
            <v>#DIV/0!</v>
          </cell>
        </row>
        <row r="467">
          <cell r="A467" t="str">
            <v>Agrosuper Shanghai1023093</v>
          </cell>
          <cell r="B467" t="str">
            <v>Agrosuper Shanghai</v>
          </cell>
          <cell r="C467">
            <v>1023093</v>
          </cell>
          <cell r="D467">
            <v>337860</v>
          </cell>
          <cell r="E467">
            <v>1304956.1794</v>
          </cell>
          <cell r="F467">
            <v>314890.63720000006</v>
          </cell>
          <cell r="G467">
            <v>3.8624169164742792</v>
          </cell>
        </row>
        <row r="468">
          <cell r="A468" t="str">
            <v>Agrosuper Shanghai1023110</v>
          </cell>
          <cell r="B468" t="str">
            <v>Agrosuper Shanghai</v>
          </cell>
          <cell r="C468">
            <v>1023110</v>
          </cell>
          <cell r="D468">
            <v>193758.63</v>
          </cell>
          <cell r="E468">
            <v>168446.56390000001</v>
          </cell>
          <cell r="F468">
            <v>6483.96083</v>
          </cell>
          <cell r="G468">
            <v>0.86936289702296099</v>
          </cell>
        </row>
        <row r="469">
          <cell r="A469" t="str">
            <v>Agrosuper Shanghai1023111</v>
          </cell>
          <cell r="B469" t="str">
            <v>Agrosuper Shanghai</v>
          </cell>
          <cell r="C469">
            <v>1023111</v>
          </cell>
          <cell r="D469">
            <v>140426.41999999998</v>
          </cell>
          <cell r="E469">
            <v>92927.606599999999</v>
          </cell>
          <cell r="F469">
            <v>15327.606599999996</v>
          </cell>
          <cell r="G469">
            <v>0.66175301342866966</v>
          </cell>
        </row>
        <row r="470">
          <cell r="A470" t="str">
            <v>Agrosuper Shanghai1023131</v>
          </cell>
          <cell r="B470" t="str">
            <v>Agrosuper Shanghai</v>
          </cell>
          <cell r="C470">
            <v>1023131</v>
          </cell>
          <cell r="D470">
            <v>4086.84</v>
          </cell>
          <cell r="E470">
            <v>5027.2340000000004</v>
          </cell>
          <cell r="F470">
            <v>-152.76599999999962</v>
          </cell>
          <cell r="G470">
            <v>1.2301029646377153</v>
          </cell>
        </row>
        <row r="471">
          <cell r="A471" t="str">
            <v>Agrosuper Shanghai1023157</v>
          </cell>
          <cell r="B471" t="str">
            <v>Agrosuper Shanghai</v>
          </cell>
          <cell r="C471">
            <v>1023157</v>
          </cell>
          <cell r="D471">
            <v>12000</v>
          </cell>
          <cell r="E471">
            <v>12101.7744</v>
          </cell>
          <cell r="F471">
            <v>12101.7744</v>
          </cell>
          <cell r="G471">
            <v>1.0084812000000001</v>
          </cell>
        </row>
        <row r="472">
          <cell r="A472" t="str">
            <v>Agrosuper Shanghai1023291</v>
          </cell>
          <cell r="B472" t="str">
            <v>Agrosuper Shanghai</v>
          </cell>
          <cell r="C472">
            <v>1023291</v>
          </cell>
          <cell r="D472">
            <v>71980</v>
          </cell>
          <cell r="E472">
            <v>150378.01819999999</v>
          </cell>
          <cell r="F472">
            <v>150378.01819999999</v>
          </cell>
          <cell r="G472">
            <v>2.0891639094192831</v>
          </cell>
        </row>
        <row r="473">
          <cell r="A473" t="str">
            <v>Agrosuper Shanghai1023306</v>
          </cell>
          <cell r="B473" t="str">
            <v>Agrosuper Shanghai</v>
          </cell>
          <cell r="C473">
            <v>1023306</v>
          </cell>
          <cell r="D473">
            <v>1535240</v>
          </cell>
          <cell r="E473">
            <v>1528010.9707000002</v>
          </cell>
          <cell r="F473">
            <v>50714.385970000018</v>
          </cell>
          <cell r="G473">
            <v>0.99529127087621494</v>
          </cell>
        </row>
        <row r="474">
          <cell r="A474" t="str">
            <v>Agrosuper Shanghai1023362</v>
          </cell>
          <cell r="B474" t="str">
            <v>Agrosuper Shanghai</v>
          </cell>
          <cell r="C474">
            <v>1023362</v>
          </cell>
          <cell r="D474">
            <v>16680.97</v>
          </cell>
          <cell r="E474">
            <v>27233.4627</v>
          </cell>
          <cell r="F474">
            <v>14428.4627</v>
          </cell>
          <cell r="G474">
            <v>1.6326066589652759</v>
          </cell>
        </row>
        <row r="475">
          <cell r="A475" t="str">
            <v>Agrosuper Shanghai1023363</v>
          </cell>
          <cell r="B475" t="str">
            <v>Agrosuper Shanghai</v>
          </cell>
          <cell r="C475">
            <v>1023363</v>
          </cell>
          <cell r="D475">
            <v>15901.65</v>
          </cell>
          <cell r="E475">
            <v>25953.0039</v>
          </cell>
          <cell r="F475">
            <v>14651.0039</v>
          </cell>
          <cell r="G475">
            <v>1.6320950278744659</v>
          </cell>
        </row>
        <row r="476">
          <cell r="A476" t="str">
            <v>Agrosuper Shanghai1023365</v>
          </cell>
          <cell r="B476" t="str">
            <v>Agrosuper Shanghai</v>
          </cell>
          <cell r="C476">
            <v>1023365</v>
          </cell>
          <cell r="D476">
            <v>0</v>
          </cell>
          <cell r="E476"/>
          <cell r="F476">
            <v>-563.70000000000005</v>
          </cell>
          <cell r="G476" t="e">
            <v>#DIV/0!</v>
          </cell>
        </row>
        <row r="477">
          <cell r="A477" t="str">
            <v>Agrosuper Shanghai1023368</v>
          </cell>
          <cell r="B477" t="str">
            <v>Agrosuper Shanghai</v>
          </cell>
          <cell r="C477">
            <v>1023368</v>
          </cell>
          <cell r="D477">
            <v>15149.57</v>
          </cell>
          <cell r="E477">
            <v>24745.991099999999</v>
          </cell>
          <cell r="F477">
            <v>12991.991099999999</v>
          </cell>
          <cell r="G477">
            <v>1.6334451142837718</v>
          </cell>
        </row>
        <row r="478">
          <cell r="A478" t="str">
            <v>Agrosuper Shanghai1030388</v>
          </cell>
          <cell r="B478" t="str">
            <v>Agrosuper Shanghai</v>
          </cell>
          <cell r="C478">
            <v>1030388</v>
          </cell>
          <cell r="D478">
            <v>48000</v>
          </cell>
          <cell r="E478">
            <v>127593.85679999999</v>
          </cell>
          <cell r="F478">
            <v>-16463.048760000005</v>
          </cell>
          <cell r="G478">
            <v>2.6582053499999998</v>
          </cell>
        </row>
        <row r="479">
          <cell r="A479" t="str">
            <v>Agrosuper Shanghai1030419</v>
          </cell>
          <cell r="B479" t="str">
            <v>Agrosuper Shanghai</v>
          </cell>
          <cell r="C479">
            <v>1030419</v>
          </cell>
          <cell r="D479">
            <v>24000</v>
          </cell>
          <cell r="E479">
            <v>42600</v>
          </cell>
          <cell r="F479">
            <v>-3000</v>
          </cell>
          <cell r="G479">
            <v>1.7749999999999999</v>
          </cell>
        </row>
        <row r="480">
          <cell r="A480" t="str">
            <v>Agrosuper Shanghai1030506</v>
          </cell>
          <cell r="B480" t="str">
            <v>Agrosuper Shanghai</v>
          </cell>
          <cell r="C480">
            <v>1030506</v>
          </cell>
          <cell r="D480">
            <v>24000</v>
          </cell>
          <cell r="E480">
            <v>125289.39599999999</v>
          </cell>
          <cell r="F480">
            <v>-229.88880000000063</v>
          </cell>
          <cell r="G480">
            <v>5.2203914999999999</v>
          </cell>
        </row>
        <row r="481">
          <cell r="A481" t="str">
            <v>Agrosuper Shanghai1030525</v>
          </cell>
          <cell r="B481" t="str">
            <v>Agrosuper Shanghai</v>
          </cell>
          <cell r="C481">
            <v>1030525</v>
          </cell>
          <cell r="D481">
            <v>48000</v>
          </cell>
          <cell r="E481">
            <v>89888.589600000007</v>
          </cell>
          <cell r="F481">
            <v>2452.6082999999999</v>
          </cell>
          <cell r="G481">
            <v>1.8726789500000001</v>
          </cell>
        </row>
        <row r="482">
          <cell r="A482" t="str">
            <v>Agrosuper Shanghai1030566</v>
          </cell>
          <cell r="B482" t="str">
            <v>Agrosuper Shanghai</v>
          </cell>
          <cell r="C482">
            <v>1030566</v>
          </cell>
          <cell r="D482">
            <v>168000</v>
          </cell>
          <cell r="E482">
            <v>512611.6344000001</v>
          </cell>
          <cell r="F482">
            <v>54195.08159999999</v>
          </cell>
          <cell r="G482">
            <v>3.0512597285714294</v>
          </cell>
        </row>
        <row r="483">
          <cell r="A483" t="str">
            <v>Agrosuper Shanghai1030683</v>
          </cell>
          <cell r="B483" t="str">
            <v>Agrosuper Shanghai</v>
          </cell>
          <cell r="C483">
            <v>1030683</v>
          </cell>
          <cell r="D483">
            <v>1871790</v>
          </cell>
          <cell r="E483">
            <v>4453192.8251000009</v>
          </cell>
          <cell r="F483">
            <v>783849.48818999995</v>
          </cell>
          <cell r="G483">
            <v>2.3791092083513647</v>
          </cell>
        </row>
        <row r="484">
          <cell r="A484" t="str">
            <v>Agrosuper Shanghai1030684</v>
          </cell>
          <cell r="B484" t="str">
            <v>Agrosuper Shanghai</v>
          </cell>
          <cell r="C484">
            <v>1030684</v>
          </cell>
          <cell r="D484">
            <v>120000</v>
          </cell>
          <cell r="E484">
            <v>408551.07119999995</v>
          </cell>
          <cell r="F484">
            <v>-85362.13430000002</v>
          </cell>
          <cell r="G484">
            <v>3.4045922599999994</v>
          </cell>
        </row>
        <row r="485">
          <cell r="A485" t="str">
            <v>Agrosuper Shanghai1030685</v>
          </cell>
          <cell r="B485" t="str">
            <v>Agrosuper Shanghai</v>
          </cell>
          <cell r="C485">
            <v>1030685</v>
          </cell>
          <cell r="D485">
            <v>744000</v>
          </cell>
          <cell r="E485">
            <v>3839721.3796999999</v>
          </cell>
          <cell r="F485">
            <v>509602.31695999997</v>
          </cell>
          <cell r="G485">
            <v>5.1609158329301072</v>
          </cell>
        </row>
        <row r="486">
          <cell r="A486" t="str">
            <v>Agrosuper Shanghai1030686</v>
          </cell>
          <cell r="B486" t="str">
            <v>Agrosuper Shanghai</v>
          </cell>
          <cell r="C486">
            <v>1030686</v>
          </cell>
          <cell r="D486">
            <v>672000</v>
          </cell>
          <cell r="E486">
            <v>1486402.2335999999</v>
          </cell>
          <cell r="F486">
            <v>67100.814110000036</v>
          </cell>
          <cell r="G486">
            <v>2.2119080857142857</v>
          </cell>
        </row>
        <row r="487">
          <cell r="A487" t="str">
            <v>Agrosuper Shanghai1030709</v>
          </cell>
          <cell r="B487" t="str">
            <v>Agrosuper Shanghai</v>
          </cell>
          <cell r="C487">
            <v>1030709</v>
          </cell>
          <cell r="D487">
            <v>83180.679999999993</v>
          </cell>
          <cell r="E487">
            <v>174910.22889999999</v>
          </cell>
          <cell r="F487">
            <v>-261.78812000001199</v>
          </cell>
          <cell r="G487">
            <v>2.1027746935947147</v>
          </cell>
        </row>
        <row r="488">
          <cell r="A488" t="str">
            <v>Andes Asia1012326</v>
          </cell>
          <cell r="B488" t="str">
            <v>Andes Asia</v>
          </cell>
          <cell r="C488">
            <v>1012326</v>
          </cell>
          <cell r="D488">
            <v>29088</v>
          </cell>
          <cell r="E488">
            <v>78422.794800000003</v>
          </cell>
          <cell r="F488">
            <v>8636.0668000000023</v>
          </cell>
          <cell r="G488">
            <v>2.696053176567657</v>
          </cell>
        </row>
        <row r="489">
          <cell r="A489" t="str">
            <v>Andes Asia1021921</v>
          </cell>
          <cell r="B489" t="str">
            <v>Andes Asia</v>
          </cell>
          <cell r="C489">
            <v>1021921</v>
          </cell>
          <cell r="D489">
            <v>1002.1</v>
          </cell>
          <cell r="E489">
            <v>4463.2714999999998</v>
          </cell>
          <cell r="F489">
            <v>-4103.3284999999996</v>
          </cell>
          <cell r="G489">
            <v>4.4539182716295773</v>
          </cell>
        </row>
        <row r="490">
          <cell r="A490" t="str">
            <v>Andes Asia1021922</v>
          </cell>
          <cell r="B490" t="str">
            <v>Andes Asia</v>
          </cell>
          <cell r="C490">
            <v>1021922</v>
          </cell>
          <cell r="D490">
            <v>1600</v>
          </cell>
          <cell r="E490">
            <v>8033.6469999999999</v>
          </cell>
          <cell r="F490">
            <v>-1117.453</v>
          </cell>
          <cell r="G490">
            <v>5.0210293750000003</v>
          </cell>
        </row>
        <row r="491">
          <cell r="A491" t="str">
            <v>Andes Asia1021924</v>
          </cell>
          <cell r="B491" t="str">
            <v>Andes Asia</v>
          </cell>
          <cell r="C491">
            <v>1021924</v>
          </cell>
          <cell r="D491">
            <v>128516.7</v>
          </cell>
          <cell r="E491">
            <v>542926.48659999995</v>
          </cell>
          <cell r="F491">
            <v>46533.886599999998</v>
          </cell>
          <cell r="G491">
            <v>4.2245598167397693</v>
          </cell>
        </row>
        <row r="492">
          <cell r="A492" t="str">
            <v>Andes Asia1021925</v>
          </cell>
          <cell r="B492" t="str">
            <v>Andes Asia</v>
          </cell>
          <cell r="C492">
            <v>1021925</v>
          </cell>
          <cell r="D492">
            <v>167448.40000000002</v>
          </cell>
          <cell r="E492">
            <v>748107.84299999999</v>
          </cell>
          <cell r="F492">
            <v>95310.292999999976</v>
          </cell>
          <cell r="G492">
            <v>4.4676917963981735</v>
          </cell>
        </row>
        <row r="493">
          <cell r="A493" t="str">
            <v>Andes Asia1021929</v>
          </cell>
          <cell r="B493" t="str">
            <v>Andes Asia</v>
          </cell>
          <cell r="C493">
            <v>1021929</v>
          </cell>
          <cell r="D493">
            <v>9440</v>
          </cell>
          <cell r="E493">
            <v>53917.499499999998</v>
          </cell>
          <cell r="F493">
            <v>-804.90049999999792</v>
          </cell>
          <cell r="G493">
            <v>5.7115995233050842</v>
          </cell>
        </row>
        <row r="494">
          <cell r="A494" t="str">
            <v>Andes Asia1021931</v>
          </cell>
          <cell r="B494" t="str">
            <v>Andes Asia</v>
          </cell>
          <cell r="C494">
            <v>1021931</v>
          </cell>
          <cell r="D494">
            <v>79609.5</v>
          </cell>
          <cell r="E494">
            <v>377964.7071</v>
          </cell>
          <cell r="F494">
            <v>-90910.842900000003</v>
          </cell>
          <cell r="G494">
            <v>4.7477337139411757</v>
          </cell>
        </row>
        <row r="495">
          <cell r="A495" t="str">
            <v>Andes Asia1021936</v>
          </cell>
          <cell r="B495" t="str">
            <v>Andes Asia</v>
          </cell>
          <cell r="C495">
            <v>1021936</v>
          </cell>
          <cell r="D495">
            <v>2368350</v>
          </cell>
          <cell r="E495">
            <v>8054765.6277000001</v>
          </cell>
          <cell r="F495">
            <v>678501.02769999998</v>
          </cell>
          <cell r="G495">
            <v>3.4010030728988538</v>
          </cell>
        </row>
        <row r="496">
          <cell r="A496" t="str">
            <v>Andes Asia1021952</v>
          </cell>
          <cell r="B496" t="str">
            <v>Andes Asia</v>
          </cell>
          <cell r="C496">
            <v>1021952</v>
          </cell>
          <cell r="D496">
            <v>11570</v>
          </cell>
          <cell r="E496">
            <v>68054.5095</v>
          </cell>
          <cell r="F496">
            <v>11420.009500000004</v>
          </cell>
          <cell r="G496">
            <v>5.8819800777873814</v>
          </cell>
        </row>
        <row r="497">
          <cell r="A497" t="str">
            <v>Andes Asia1021987</v>
          </cell>
          <cell r="B497" t="str">
            <v>Andes Asia</v>
          </cell>
          <cell r="C497">
            <v>1021987</v>
          </cell>
          <cell r="D497">
            <v>20480</v>
          </cell>
          <cell r="E497">
            <v>96285.941999999995</v>
          </cell>
          <cell r="F497">
            <v>-39263.008000000002</v>
          </cell>
          <cell r="G497">
            <v>4.7014620117187498</v>
          </cell>
        </row>
        <row r="498">
          <cell r="A498" t="str">
            <v>Andes Asia1022101</v>
          </cell>
          <cell r="B498" t="str">
            <v>Andes Asia</v>
          </cell>
          <cell r="C498">
            <v>1022101</v>
          </cell>
          <cell r="D498">
            <v>5175.9000000000005</v>
          </cell>
          <cell r="E498">
            <v>24809.333599999998</v>
          </cell>
          <cell r="F498">
            <v>-6929.366399999999</v>
          </cell>
          <cell r="G498">
            <v>4.793240518557158</v>
          </cell>
        </row>
        <row r="499">
          <cell r="A499" t="str">
            <v>Andes Asia1022128</v>
          </cell>
          <cell r="B499" t="str">
            <v>Andes Asia</v>
          </cell>
          <cell r="C499">
            <v>1022128</v>
          </cell>
          <cell r="D499">
            <v>39850.800000000003</v>
          </cell>
          <cell r="E499">
            <v>159634.25539999999</v>
          </cell>
          <cell r="F499">
            <v>-31214.994599999995</v>
          </cell>
          <cell r="G499">
            <v>4.005798011583205</v>
          </cell>
        </row>
        <row r="500">
          <cell r="A500" t="str">
            <v>Andes Asia1022141</v>
          </cell>
          <cell r="B500" t="str">
            <v>Andes Asia</v>
          </cell>
          <cell r="C500">
            <v>1022141</v>
          </cell>
          <cell r="D500">
            <v>187681.9</v>
          </cell>
          <cell r="E500">
            <v>766850.33259999997</v>
          </cell>
          <cell r="F500">
            <v>-162418.15239999999</v>
          </cell>
          <cell r="G500">
            <v>4.0859045683147919</v>
          </cell>
        </row>
        <row r="501">
          <cell r="A501" t="str">
            <v>Andes Asia1022142</v>
          </cell>
          <cell r="B501" t="str">
            <v>Andes Asia</v>
          </cell>
          <cell r="C501">
            <v>1022142</v>
          </cell>
          <cell r="D501">
            <v>74965.5</v>
          </cell>
          <cell r="E501">
            <v>304574.26649999997</v>
          </cell>
          <cell r="F501">
            <v>-34527.693500000008</v>
          </cell>
          <cell r="G501">
            <v>4.062859135202193</v>
          </cell>
        </row>
        <row r="502">
          <cell r="A502" t="str">
            <v>Andes Asia1022293</v>
          </cell>
          <cell r="B502" t="str">
            <v>Andes Asia</v>
          </cell>
          <cell r="C502">
            <v>1022293</v>
          </cell>
          <cell r="D502">
            <v>24395</v>
          </cell>
          <cell r="E502">
            <v>148464.18400000001</v>
          </cell>
          <cell r="F502">
            <v>-45863.716</v>
          </cell>
          <cell r="G502">
            <v>6.0858448042631688</v>
          </cell>
        </row>
        <row r="503">
          <cell r="A503" t="str">
            <v>Andes Asia1022398</v>
          </cell>
          <cell r="B503" t="str">
            <v>Andes Asia</v>
          </cell>
          <cell r="C503">
            <v>1022398</v>
          </cell>
          <cell r="D503">
            <v>134210.4</v>
          </cell>
          <cell r="E503">
            <v>547087.52230000007</v>
          </cell>
          <cell r="F503">
            <v>-8763.7427000000243</v>
          </cell>
          <cell r="G503">
            <v>4.0763422380083814</v>
          </cell>
        </row>
        <row r="504">
          <cell r="A504" t="str">
            <v>Andes Asia1022413</v>
          </cell>
          <cell r="B504" t="str">
            <v>Andes Asia</v>
          </cell>
          <cell r="C504">
            <v>1022413</v>
          </cell>
          <cell r="D504">
            <v>21960</v>
          </cell>
          <cell r="E504">
            <v>35750.324000000001</v>
          </cell>
          <cell r="F504">
            <v>-1101.8759999999984</v>
          </cell>
          <cell r="G504">
            <v>1.6279746812386158</v>
          </cell>
        </row>
        <row r="505">
          <cell r="A505" t="str">
            <v>Andes Asia1022515</v>
          </cell>
          <cell r="B505" t="str">
            <v>Andes Asia</v>
          </cell>
          <cell r="C505">
            <v>1022515</v>
          </cell>
          <cell r="D505">
            <v>55549.4</v>
          </cell>
          <cell r="E505">
            <v>294246.02859999996</v>
          </cell>
          <cell r="F505">
            <v>-338249.07140000002</v>
          </cell>
          <cell r="G505">
            <v>5.2970154241089906</v>
          </cell>
        </row>
        <row r="506">
          <cell r="A506" t="str">
            <v>Andes Asia1022550</v>
          </cell>
          <cell r="B506" t="str">
            <v>Andes Asia</v>
          </cell>
          <cell r="C506">
            <v>1022550</v>
          </cell>
          <cell r="D506">
            <v>72000</v>
          </cell>
          <cell r="E506">
            <v>60169.968000000008</v>
          </cell>
          <cell r="F506">
            <v>-4510.0319999999992</v>
          </cell>
          <cell r="G506">
            <v>0.83569400000000016</v>
          </cell>
        </row>
        <row r="507">
          <cell r="A507" t="str">
            <v>Andes Asia1022561</v>
          </cell>
          <cell r="B507" t="str">
            <v>Andes Asia</v>
          </cell>
          <cell r="C507">
            <v>1022561</v>
          </cell>
          <cell r="D507">
            <v>9010</v>
          </cell>
          <cell r="E507">
            <v>38153.424200000001</v>
          </cell>
          <cell r="F507">
            <v>-35399.775800000003</v>
          </cell>
          <cell r="G507">
            <v>4.2345642841287461</v>
          </cell>
        </row>
        <row r="508">
          <cell r="A508" t="str">
            <v>Andes Asia1022570</v>
          </cell>
          <cell r="B508" t="str">
            <v>Andes Asia</v>
          </cell>
          <cell r="C508">
            <v>1022570</v>
          </cell>
          <cell r="D508">
            <v>6010.1</v>
          </cell>
          <cell r="E508">
            <v>37477.436900000001</v>
          </cell>
          <cell r="F508">
            <v>-17615.563099999999</v>
          </cell>
          <cell r="G508">
            <v>6.235742649872714</v>
          </cell>
        </row>
        <row r="509">
          <cell r="A509" t="str">
            <v>Andes Asia1022621</v>
          </cell>
          <cell r="B509" t="str">
            <v>Andes Asia</v>
          </cell>
          <cell r="C509">
            <v>1022621</v>
          </cell>
          <cell r="D509">
            <v>144518.20000000001</v>
          </cell>
          <cell r="E509">
            <v>761944.94669999997</v>
          </cell>
          <cell r="F509">
            <v>63942.846699999995</v>
          </cell>
          <cell r="G509">
            <v>5.2723113538640805</v>
          </cell>
        </row>
        <row r="510">
          <cell r="A510" t="str">
            <v>Andes Asia1022750</v>
          </cell>
          <cell r="B510" t="str">
            <v>Andes Asia</v>
          </cell>
          <cell r="C510">
            <v>1022750</v>
          </cell>
          <cell r="D510">
            <v>170327.5</v>
          </cell>
          <cell r="E510">
            <v>678819.79850000003</v>
          </cell>
          <cell r="F510">
            <v>134552.19850000003</v>
          </cell>
          <cell r="G510">
            <v>3.985379921034478</v>
          </cell>
        </row>
        <row r="511">
          <cell r="A511" t="str">
            <v>Andes Asia1022751</v>
          </cell>
          <cell r="B511" t="str">
            <v>Andes Asia</v>
          </cell>
          <cell r="C511">
            <v>1022751</v>
          </cell>
          <cell r="D511">
            <v>120260</v>
          </cell>
          <cell r="E511">
            <v>484698.16009999998</v>
          </cell>
          <cell r="F511">
            <v>160689.16009999998</v>
          </cell>
          <cell r="G511">
            <v>4.0304187601862633</v>
          </cell>
        </row>
        <row r="512">
          <cell r="A512" t="str">
            <v>Andes Asia1022767</v>
          </cell>
          <cell r="B512" t="str">
            <v>Andes Asia</v>
          </cell>
          <cell r="C512">
            <v>1022767</v>
          </cell>
          <cell r="D512">
            <v>144960</v>
          </cell>
          <cell r="E512">
            <v>155825.899</v>
          </cell>
          <cell r="F512">
            <v>-23133.700999999997</v>
          </cell>
          <cell r="G512">
            <v>1.0749579125275939</v>
          </cell>
        </row>
        <row r="513">
          <cell r="A513" t="str">
            <v>Andes Asia1022817</v>
          </cell>
          <cell r="B513" t="str">
            <v>Andes Asia</v>
          </cell>
          <cell r="C513">
            <v>1022817</v>
          </cell>
          <cell r="D513">
            <v>124.5</v>
          </cell>
          <cell r="E513">
            <v>540.26779999999997</v>
          </cell>
          <cell r="F513">
            <v>540.26779999999997</v>
          </cell>
          <cell r="G513">
            <v>4.3395004016064256</v>
          </cell>
        </row>
        <row r="514">
          <cell r="A514" t="str">
            <v>Andes Asia1022841</v>
          </cell>
          <cell r="B514" t="str">
            <v>Andes Asia</v>
          </cell>
          <cell r="C514">
            <v>1022841</v>
          </cell>
          <cell r="D514">
            <v>45</v>
          </cell>
          <cell r="E514">
            <v>144.58500000000001</v>
          </cell>
          <cell r="F514">
            <v>144.58500000000001</v>
          </cell>
          <cell r="G514">
            <v>3.2130000000000001</v>
          </cell>
        </row>
        <row r="515">
          <cell r="A515" t="str">
            <v>Andes Asia1022863</v>
          </cell>
          <cell r="B515" t="str">
            <v>Andes Asia</v>
          </cell>
          <cell r="C515">
            <v>1022863</v>
          </cell>
          <cell r="D515">
            <v>264654.3</v>
          </cell>
          <cell r="E515">
            <v>1110944.1743000001</v>
          </cell>
          <cell r="F515">
            <v>-202163.57569999999</v>
          </cell>
          <cell r="G515">
            <v>4.1977182093772898</v>
          </cell>
        </row>
        <row r="516">
          <cell r="A516" t="str">
            <v>Andes Asia1022864</v>
          </cell>
          <cell r="B516" t="str">
            <v>Andes Asia</v>
          </cell>
          <cell r="C516">
            <v>1022864</v>
          </cell>
          <cell r="D516">
            <v>202142.30000000002</v>
          </cell>
          <cell r="E516">
            <v>860307.75549999997</v>
          </cell>
          <cell r="F516">
            <v>-232395.99450000003</v>
          </cell>
          <cell r="G516">
            <v>4.2559511566851667</v>
          </cell>
        </row>
        <row r="517">
          <cell r="A517" t="str">
            <v>Andes Asia1022865</v>
          </cell>
          <cell r="B517" t="str">
            <v>Andes Asia</v>
          </cell>
          <cell r="C517">
            <v>1022865</v>
          </cell>
          <cell r="D517">
            <v>290068.19999999995</v>
          </cell>
          <cell r="E517">
            <v>1587683.7443000001</v>
          </cell>
          <cell r="F517">
            <v>-349381.55569999997</v>
          </cell>
          <cell r="G517">
            <v>5.4734843195496801</v>
          </cell>
        </row>
        <row r="518">
          <cell r="A518" t="str">
            <v>Andes Asia1022866</v>
          </cell>
          <cell r="B518" t="str">
            <v>Andes Asia</v>
          </cell>
          <cell r="C518">
            <v>1022866</v>
          </cell>
          <cell r="D518">
            <v>224820.19999999998</v>
          </cell>
          <cell r="E518">
            <v>1233024.3547999999</v>
          </cell>
          <cell r="F518">
            <v>-285303.4952</v>
          </cell>
          <cell r="G518">
            <v>5.4844909612214563</v>
          </cell>
        </row>
        <row r="519">
          <cell r="A519" t="str">
            <v>Andes Asia1022914</v>
          </cell>
          <cell r="B519" t="str">
            <v>Andes Asia</v>
          </cell>
          <cell r="C519">
            <v>1022914</v>
          </cell>
          <cell r="D519">
            <v>96020</v>
          </cell>
          <cell r="E519">
            <v>182028.07559999998</v>
          </cell>
          <cell r="F519">
            <v>-3064.2443999999959</v>
          </cell>
          <cell r="G519">
            <v>1.8957308435742553</v>
          </cell>
        </row>
        <row r="520">
          <cell r="A520" t="str">
            <v>Andes Asia1022918</v>
          </cell>
          <cell r="B520" t="str">
            <v>Andes Asia</v>
          </cell>
          <cell r="C520">
            <v>1022918</v>
          </cell>
          <cell r="D520">
            <v>624020</v>
          </cell>
          <cell r="E520">
            <v>1160835.3054000002</v>
          </cell>
          <cell r="F520">
            <v>98590.505400000024</v>
          </cell>
          <cell r="G520">
            <v>1.8602533659177594</v>
          </cell>
        </row>
        <row r="521">
          <cell r="A521" t="str">
            <v>Andes Asia1022989</v>
          </cell>
          <cell r="B521" t="str">
            <v>Andes Asia</v>
          </cell>
          <cell r="C521">
            <v>1022989</v>
          </cell>
          <cell r="D521">
            <v>288824.69999999995</v>
          </cell>
          <cell r="E521">
            <v>1195177.676</v>
          </cell>
          <cell r="F521">
            <v>79267.67600000005</v>
          </cell>
          <cell r="G521">
            <v>4.1380729418224966</v>
          </cell>
        </row>
        <row r="522">
          <cell r="A522" t="str">
            <v>Andes Asia1023102</v>
          </cell>
          <cell r="B522" t="str">
            <v>Andes Asia</v>
          </cell>
          <cell r="C522">
            <v>1023102</v>
          </cell>
          <cell r="D522">
            <v>31030.1</v>
          </cell>
          <cell r="E522">
            <v>129039.42939999999</v>
          </cell>
          <cell r="F522">
            <v>-56131.870600000002</v>
          </cell>
          <cell r="G522">
            <v>4.158524445618931</v>
          </cell>
        </row>
        <row r="523">
          <cell r="A523" t="str">
            <v>Andes Asia1023123</v>
          </cell>
          <cell r="B523" t="str">
            <v>Andes Asia</v>
          </cell>
          <cell r="C523">
            <v>1023123</v>
          </cell>
          <cell r="D523">
            <v>18499.900000000001</v>
          </cell>
          <cell r="E523">
            <v>80362.446599999996</v>
          </cell>
          <cell r="F523">
            <v>-49748.853400000007</v>
          </cell>
          <cell r="G523">
            <v>4.343939513186557</v>
          </cell>
        </row>
        <row r="524">
          <cell r="A524" t="str">
            <v>Andes Asia1023166</v>
          </cell>
          <cell r="B524" t="str">
            <v>Andes Asia</v>
          </cell>
          <cell r="C524">
            <v>1023166</v>
          </cell>
          <cell r="D524">
            <v>128.1</v>
          </cell>
          <cell r="E524">
            <v>555.89</v>
          </cell>
          <cell r="F524">
            <v>555.89</v>
          </cell>
          <cell r="G524">
            <v>4.3395003903200626</v>
          </cell>
        </row>
        <row r="525">
          <cell r="A525" t="str">
            <v>Andes Asia1023167</v>
          </cell>
          <cell r="B525" t="str">
            <v>Andes Asia</v>
          </cell>
          <cell r="C525">
            <v>1023167</v>
          </cell>
          <cell r="D525">
            <v>28.8</v>
          </cell>
          <cell r="E525">
            <v>123.55200000000001</v>
          </cell>
          <cell r="F525">
            <v>123.55200000000001</v>
          </cell>
          <cell r="G525">
            <v>4.29</v>
          </cell>
        </row>
        <row r="526">
          <cell r="A526" t="str">
            <v>Andes Asia1023184</v>
          </cell>
          <cell r="B526" t="str">
            <v>Andes Asia</v>
          </cell>
          <cell r="C526">
            <v>1023184</v>
          </cell>
          <cell r="D526">
            <v>1999.8</v>
          </cell>
          <cell r="E526">
            <v>8366.2492999999995</v>
          </cell>
          <cell r="F526">
            <v>-79.950699999999415</v>
          </cell>
          <cell r="G526">
            <v>4.1835430043004296</v>
          </cell>
        </row>
        <row r="527">
          <cell r="A527" t="str">
            <v>Andes Asia1023247</v>
          </cell>
          <cell r="B527" t="str">
            <v>Andes Asia</v>
          </cell>
          <cell r="C527">
            <v>1023247</v>
          </cell>
          <cell r="D527">
            <v>800</v>
          </cell>
          <cell r="E527">
            <v>4416.08</v>
          </cell>
          <cell r="F527">
            <v>1296.28</v>
          </cell>
          <cell r="G527">
            <v>5.5201000000000002</v>
          </cell>
        </row>
        <row r="528">
          <cell r="A528" t="str">
            <v>Andes Asia1023265</v>
          </cell>
          <cell r="B528" t="str">
            <v>Andes Asia</v>
          </cell>
          <cell r="C528">
            <v>1023265</v>
          </cell>
          <cell r="D528">
            <v>43195.199999999997</v>
          </cell>
          <cell r="E528">
            <v>197450.77480000001</v>
          </cell>
          <cell r="F528">
            <v>56376.874799999991</v>
          </cell>
          <cell r="G528">
            <v>4.571127690113717</v>
          </cell>
        </row>
        <row r="529">
          <cell r="A529" t="str">
            <v>Exportacion Directa1020105</v>
          </cell>
          <cell r="B529" t="str">
            <v>Exportacion Directa</v>
          </cell>
          <cell r="C529">
            <v>1020105</v>
          </cell>
          <cell r="D529">
            <v>269236.09999999998</v>
          </cell>
          <cell r="E529">
            <v>1032857.5828</v>
          </cell>
          <cell r="F529">
            <v>-289870.12720000005</v>
          </cell>
          <cell r="G529">
            <v>3.8362522068920182</v>
          </cell>
        </row>
        <row r="530">
          <cell r="A530" t="str">
            <v>Exportacion Directa1020110</v>
          </cell>
          <cell r="B530" t="str">
            <v>Exportacion Directa</v>
          </cell>
          <cell r="C530">
            <v>1020110</v>
          </cell>
          <cell r="D530">
            <v>3295233.9099999997</v>
          </cell>
          <cell r="E530">
            <v>10998573.292099999</v>
          </cell>
          <cell r="F530">
            <v>-1308925.0779000006</v>
          </cell>
          <cell r="G530">
            <v>3.3377215677232455</v>
          </cell>
        </row>
        <row r="531">
          <cell r="A531" t="str">
            <v>Exportacion Directa1020284</v>
          </cell>
          <cell r="B531" t="str">
            <v>Exportacion Directa</v>
          </cell>
          <cell r="C531">
            <v>1020284</v>
          </cell>
          <cell r="D531">
            <v>43157.61</v>
          </cell>
          <cell r="E531">
            <v>157784.71979999999</v>
          </cell>
          <cell r="F531">
            <v>-96971.610199999996</v>
          </cell>
          <cell r="G531">
            <v>3.6560115307590015</v>
          </cell>
        </row>
        <row r="532">
          <cell r="A532" t="str">
            <v>Exportacion Directa1020326</v>
          </cell>
          <cell r="B532" t="str">
            <v>Exportacion Directa</v>
          </cell>
          <cell r="C532">
            <v>1020326</v>
          </cell>
          <cell r="D532">
            <v>1844920</v>
          </cell>
          <cell r="E532">
            <v>4459322.6634999998</v>
          </cell>
          <cell r="F532">
            <v>-95142.806499999948</v>
          </cell>
          <cell r="G532">
            <v>2.4170818591050018</v>
          </cell>
        </row>
        <row r="533">
          <cell r="A533" t="str">
            <v>Exportacion Directa1020589</v>
          </cell>
          <cell r="B533" t="str">
            <v>Exportacion Directa</v>
          </cell>
          <cell r="C533">
            <v>1020589</v>
          </cell>
          <cell r="D533">
            <v>706743.28</v>
          </cell>
          <cell r="E533">
            <v>2569095.8455999997</v>
          </cell>
          <cell r="F533">
            <v>-477187.46440000006</v>
          </cell>
          <cell r="G533">
            <v>3.6351188872995008</v>
          </cell>
        </row>
        <row r="534">
          <cell r="A534" t="str">
            <v>Exportacion Directa1020592</v>
          </cell>
          <cell r="B534" t="str">
            <v>Exportacion Directa</v>
          </cell>
          <cell r="C534">
            <v>1020592</v>
          </cell>
          <cell r="D534">
            <v>1251487.19</v>
          </cell>
          <cell r="E534">
            <v>4389564.8814000003</v>
          </cell>
          <cell r="F534">
            <v>-1341948.1186000002</v>
          </cell>
          <cell r="G534">
            <v>3.5074788751133763</v>
          </cell>
        </row>
        <row r="535">
          <cell r="A535" t="str">
            <v>Exportacion Directa1020620</v>
          </cell>
          <cell r="B535" t="str">
            <v>Exportacion Directa</v>
          </cell>
          <cell r="C535">
            <v>1020620</v>
          </cell>
          <cell r="D535">
            <v>139868.29</v>
          </cell>
          <cell r="E535">
            <v>482909.87639999995</v>
          </cell>
          <cell r="F535">
            <v>-300953.91360000003</v>
          </cell>
          <cell r="G535">
            <v>3.4526044209162774</v>
          </cell>
        </row>
        <row r="536">
          <cell r="A536" t="str">
            <v>Exportacion Directa1020636</v>
          </cell>
          <cell r="B536" t="str">
            <v>Exportacion Directa</v>
          </cell>
          <cell r="C536">
            <v>1020636</v>
          </cell>
          <cell r="D536">
            <v>76865</v>
          </cell>
          <cell r="E536">
            <v>328787.50680000003</v>
          </cell>
          <cell r="F536">
            <v>-249802.94320000001</v>
          </cell>
          <cell r="G536">
            <v>4.2774670760424121</v>
          </cell>
        </row>
        <row r="537">
          <cell r="A537" t="str">
            <v>Exportacion Directa1020637</v>
          </cell>
          <cell r="B537" t="str">
            <v>Exportacion Directa</v>
          </cell>
          <cell r="C537">
            <v>1020637</v>
          </cell>
          <cell r="D537">
            <v>1254725.07</v>
          </cell>
          <cell r="E537">
            <v>5767304.0242999997</v>
          </cell>
          <cell r="F537">
            <v>-1128506.3457000004</v>
          </cell>
          <cell r="G537">
            <v>4.5964683118190974</v>
          </cell>
        </row>
        <row r="538">
          <cell r="A538" t="str">
            <v>Exportacion Directa1020662</v>
          </cell>
          <cell r="B538" t="str">
            <v>Exportacion Directa</v>
          </cell>
          <cell r="C538">
            <v>1020662</v>
          </cell>
          <cell r="D538">
            <v>95140.79</v>
          </cell>
          <cell r="E538">
            <v>345238.4031</v>
          </cell>
          <cell r="F538">
            <v>-193678.97690000001</v>
          </cell>
          <cell r="G538">
            <v>3.6287107044202598</v>
          </cell>
        </row>
        <row r="539">
          <cell r="A539" t="str">
            <v>Exportacion Directa1020664</v>
          </cell>
          <cell r="B539" t="str">
            <v>Exportacion Directa</v>
          </cell>
          <cell r="C539">
            <v>1020664</v>
          </cell>
          <cell r="D539">
            <v>22891.18</v>
          </cell>
          <cell r="E539">
            <v>83847.246799999994</v>
          </cell>
          <cell r="F539">
            <v>-39855.643200000006</v>
          </cell>
          <cell r="G539">
            <v>3.6628625872497613</v>
          </cell>
        </row>
        <row r="540">
          <cell r="A540" t="str">
            <v>Exportacion Directa1020665</v>
          </cell>
          <cell r="B540" t="str">
            <v>Exportacion Directa</v>
          </cell>
          <cell r="C540">
            <v>1020665</v>
          </cell>
          <cell r="D540">
            <v>43148.150000000009</v>
          </cell>
          <cell r="E540">
            <v>156587.2573</v>
          </cell>
          <cell r="F540">
            <v>-99906.682700000005</v>
          </cell>
          <cell r="G540">
            <v>3.6290607430446027</v>
          </cell>
        </row>
        <row r="541">
          <cell r="A541" t="str">
            <v>Exportacion Directa1020678</v>
          </cell>
          <cell r="B541" t="str">
            <v>Exportacion Directa</v>
          </cell>
          <cell r="C541">
            <v>1020678</v>
          </cell>
          <cell r="D541">
            <v>513.66999999999996</v>
          </cell>
          <cell r="E541">
            <v>2316.7750999999998</v>
          </cell>
          <cell r="F541">
            <v>-8437.3649000000005</v>
          </cell>
          <cell r="G541">
            <v>4.5102402320556001</v>
          </cell>
        </row>
        <row r="542">
          <cell r="A542" t="str">
            <v>Exportacion Directa1020681</v>
          </cell>
          <cell r="B542" t="str">
            <v>Exportacion Directa</v>
          </cell>
          <cell r="C542">
            <v>1020681</v>
          </cell>
          <cell r="D542">
            <v>90219.639999999985</v>
          </cell>
          <cell r="E542">
            <v>347032.69390000001</v>
          </cell>
          <cell r="F542">
            <v>-80524.396100000013</v>
          </cell>
          <cell r="G542">
            <v>3.8465315744997439</v>
          </cell>
        </row>
        <row r="543">
          <cell r="A543" t="str">
            <v>Exportacion Directa1020704</v>
          </cell>
          <cell r="B543" t="str">
            <v>Exportacion Directa</v>
          </cell>
          <cell r="C543">
            <v>1020704</v>
          </cell>
          <cell r="D543">
            <v>5010</v>
          </cell>
          <cell r="E543">
            <v>22035.019699999997</v>
          </cell>
          <cell r="F543">
            <v>-20162.630299999997</v>
          </cell>
          <cell r="G543">
            <v>4.3982075249500996</v>
          </cell>
        </row>
        <row r="544">
          <cell r="A544" t="str">
            <v>Exportacion Directa1020715</v>
          </cell>
          <cell r="B544" t="str">
            <v>Exportacion Directa</v>
          </cell>
          <cell r="C544">
            <v>1020715</v>
          </cell>
          <cell r="D544">
            <v>12056.13</v>
          </cell>
          <cell r="E544">
            <v>51403.845999999998</v>
          </cell>
          <cell r="F544">
            <v>-26736.103999999999</v>
          </cell>
          <cell r="G544">
            <v>4.263710328272837</v>
          </cell>
        </row>
        <row r="545">
          <cell r="A545" t="str">
            <v>Exportacion Directa1020731</v>
          </cell>
          <cell r="B545" t="str">
            <v>Exportacion Directa</v>
          </cell>
          <cell r="C545">
            <v>1020731</v>
          </cell>
          <cell r="D545">
            <v>90213.12999999999</v>
          </cell>
          <cell r="E545">
            <v>423180.80750000005</v>
          </cell>
          <cell r="F545">
            <v>-120118.37249999998</v>
          </cell>
          <cell r="G545">
            <v>4.6909003988665523</v>
          </cell>
        </row>
        <row r="546">
          <cell r="A546" t="str">
            <v>Exportacion Directa1020758</v>
          </cell>
          <cell r="B546" t="str">
            <v>Exportacion Directa</v>
          </cell>
          <cell r="C546">
            <v>1020758</v>
          </cell>
          <cell r="D546">
            <v>33457.199999999997</v>
          </cell>
          <cell r="E546">
            <v>128275.2988</v>
          </cell>
          <cell r="F546">
            <v>-45857.711199999998</v>
          </cell>
          <cell r="G546">
            <v>3.8340117762394943</v>
          </cell>
        </row>
        <row r="547">
          <cell r="A547" t="str">
            <v>Exportacion Directa1020774</v>
          </cell>
          <cell r="B547" t="str">
            <v>Exportacion Directa</v>
          </cell>
          <cell r="C547">
            <v>1020774</v>
          </cell>
          <cell r="D547">
            <v>63530</v>
          </cell>
          <cell r="E547">
            <v>360402.27840000007</v>
          </cell>
          <cell r="F547">
            <v>-4177.8616000000038</v>
          </cell>
          <cell r="G547">
            <v>5.6729462993861182</v>
          </cell>
        </row>
        <row r="548">
          <cell r="A548" t="str">
            <v>Exportacion Directa1020802</v>
          </cell>
          <cell r="B548" t="str">
            <v>Exportacion Directa</v>
          </cell>
          <cell r="C548">
            <v>1020802</v>
          </cell>
          <cell r="D548">
            <v>441307.15</v>
          </cell>
          <cell r="E548">
            <v>1912721.6862999999</v>
          </cell>
          <cell r="F548">
            <v>-540695.92369999993</v>
          </cell>
          <cell r="G548">
            <v>4.3342186644834548</v>
          </cell>
        </row>
        <row r="549">
          <cell r="A549" t="str">
            <v>Exportacion Directa1020810</v>
          </cell>
          <cell r="B549" t="str">
            <v>Exportacion Directa</v>
          </cell>
          <cell r="C549">
            <v>1020810</v>
          </cell>
          <cell r="D549">
            <v>19500</v>
          </cell>
          <cell r="E549">
            <v>63243.948399999994</v>
          </cell>
          <cell r="F549">
            <v>4497.7684000000008</v>
          </cell>
          <cell r="G549">
            <v>3.243279405128205</v>
          </cell>
        </row>
        <row r="550">
          <cell r="A550" t="str">
            <v>Exportacion Directa1020914</v>
          </cell>
          <cell r="B550" t="str">
            <v>Exportacion Directa</v>
          </cell>
          <cell r="C550">
            <v>1020914</v>
          </cell>
          <cell r="D550">
            <v>36010</v>
          </cell>
          <cell r="E550">
            <v>184796.33180000001</v>
          </cell>
          <cell r="F550">
            <v>-235500.40820000001</v>
          </cell>
          <cell r="G550">
            <v>5.1318059372396556</v>
          </cell>
        </row>
        <row r="551">
          <cell r="A551" t="str">
            <v>Exportacion Directa1020990</v>
          </cell>
          <cell r="B551" t="str">
            <v>Exportacion Directa</v>
          </cell>
          <cell r="C551">
            <v>1020990</v>
          </cell>
          <cell r="D551">
            <v>37089.979999999996</v>
          </cell>
          <cell r="E551">
            <v>136943.11339999997</v>
          </cell>
          <cell r="F551">
            <v>-72791.7166</v>
          </cell>
          <cell r="G551">
            <v>3.6921862292727035</v>
          </cell>
        </row>
        <row r="552">
          <cell r="A552" t="str">
            <v>Exportacion Directa1020991</v>
          </cell>
          <cell r="B552" t="str">
            <v>Exportacion Directa</v>
          </cell>
          <cell r="C552">
            <v>1020991</v>
          </cell>
          <cell r="D552">
            <v>71028.11</v>
          </cell>
          <cell r="E552">
            <v>255613.49559999999</v>
          </cell>
          <cell r="F552">
            <v>-142097.3744</v>
          </cell>
          <cell r="G552">
            <v>3.5987652719465575</v>
          </cell>
        </row>
        <row r="553">
          <cell r="A553" t="str">
            <v>Exportacion Directa1021136</v>
          </cell>
          <cell r="B553" t="str">
            <v>Exportacion Directa</v>
          </cell>
          <cell r="C553">
            <v>1021136</v>
          </cell>
          <cell r="D553">
            <v>19000</v>
          </cell>
          <cell r="E553">
            <v>48389.984900000003</v>
          </cell>
          <cell r="F553">
            <v>-44102.075100000002</v>
          </cell>
          <cell r="G553">
            <v>2.5468413105263159</v>
          </cell>
        </row>
        <row r="554">
          <cell r="A554" t="str">
            <v>Exportacion Directa1021533</v>
          </cell>
          <cell r="B554" t="str">
            <v>Exportacion Directa</v>
          </cell>
          <cell r="C554">
            <v>1021533</v>
          </cell>
          <cell r="D554">
            <v>69034.179999999993</v>
          </cell>
          <cell r="E554">
            <v>324893.5894</v>
          </cell>
          <cell r="F554">
            <v>108000.5894</v>
          </cell>
          <cell r="G554">
            <v>4.7062714353962054</v>
          </cell>
        </row>
        <row r="555">
          <cell r="A555" t="str">
            <v>Exportacion Directa1021603</v>
          </cell>
          <cell r="B555" t="str">
            <v>Exportacion Directa</v>
          </cell>
          <cell r="C555">
            <v>1021603</v>
          </cell>
          <cell r="D555">
            <v>30996.139999999996</v>
          </cell>
          <cell r="E555">
            <v>119243.942</v>
          </cell>
          <cell r="F555">
            <v>-26449.537999999997</v>
          </cell>
          <cell r="G555">
            <v>3.8470577949383378</v>
          </cell>
        </row>
        <row r="556">
          <cell r="A556" t="str">
            <v>Exportacion Directa1021609</v>
          </cell>
          <cell r="B556" t="str">
            <v>Exportacion Directa</v>
          </cell>
          <cell r="C556">
            <v>1021609</v>
          </cell>
          <cell r="D556">
            <v>86061.16</v>
          </cell>
          <cell r="E556">
            <v>381101.91259999998</v>
          </cell>
          <cell r="F556">
            <v>10709.492599999976</v>
          </cell>
          <cell r="G556">
            <v>4.4282683686810635</v>
          </cell>
        </row>
        <row r="557">
          <cell r="A557" t="str">
            <v>Exportacion Directa1022282</v>
          </cell>
          <cell r="B557" t="str">
            <v>Exportacion Directa</v>
          </cell>
          <cell r="C557">
            <v>1022282</v>
          </cell>
          <cell r="D557">
            <v>0</v>
          </cell>
          <cell r="E557"/>
          <cell r="F557">
            <v>-31310</v>
          </cell>
          <cell r="G557" t="e">
            <v>#DIV/0!</v>
          </cell>
        </row>
        <row r="558">
          <cell r="A558" t="str">
            <v>Exportacion Directa1022313</v>
          </cell>
          <cell r="B558" t="str">
            <v>Exportacion Directa</v>
          </cell>
          <cell r="C558">
            <v>1022313</v>
          </cell>
          <cell r="D558">
            <v>37095.369999999995</v>
          </cell>
          <cell r="E558">
            <v>145078.40329999998</v>
          </cell>
          <cell r="F558">
            <v>-59379.246700000003</v>
          </cell>
          <cell r="G558">
            <v>3.9109571706657729</v>
          </cell>
        </row>
        <row r="559">
          <cell r="A559" t="str">
            <v>Exportacion Directa1022326</v>
          </cell>
          <cell r="B559" t="str">
            <v>Exportacion Directa</v>
          </cell>
          <cell r="C559">
            <v>1022326</v>
          </cell>
          <cell r="D559">
            <v>171255.4</v>
          </cell>
          <cell r="E559">
            <v>555253.11670000001</v>
          </cell>
          <cell r="F559">
            <v>-134504.76329999999</v>
          </cell>
          <cell r="G559">
            <v>3.2422517287046131</v>
          </cell>
        </row>
        <row r="560">
          <cell r="A560" t="str">
            <v>Exportacion Directa1022370</v>
          </cell>
          <cell r="B560" t="str">
            <v>Exportacion Directa</v>
          </cell>
          <cell r="C560">
            <v>1022370</v>
          </cell>
          <cell r="D560">
            <v>162403.37</v>
          </cell>
          <cell r="E560">
            <v>581672.56609999994</v>
          </cell>
          <cell r="F560">
            <v>-195781.22390000001</v>
          </cell>
          <cell r="G560">
            <v>3.5816533000515935</v>
          </cell>
        </row>
        <row r="561">
          <cell r="A561" t="str">
            <v>Exportacion Directa1022371</v>
          </cell>
          <cell r="B561" t="str">
            <v>Exportacion Directa</v>
          </cell>
          <cell r="C561">
            <v>1022371</v>
          </cell>
          <cell r="D561">
            <v>106701.86000000002</v>
          </cell>
          <cell r="E561">
            <v>460354.40709999995</v>
          </cell>
          <cell r="F561">
            <v>-92094.642900000006</v>
          </cell>
          <cell r="G561">
            <v>4.3143990845145517</v>
          </cell>
        </row>
        <row r="562">
          <cell r="A562" t="str">
            <v>Exportacion Directa1022472</v>
          </cell>
          <cell r="B562" t="str">
            <v>Exportacion Directa</v>
          </cell>
          <cell r="C562">
            <v>1022472</v>
          </cell>
          <cell r="D562">
            <v>46108.25</v>
          </cell>
          <cell r="E562">
            <v>175041.2439</v>
          </cell>
          <cell r="F562">
            <v>-87040.866099999999</v>
          </cell>
          <cell r="G562">
            <v>3.7963107231352309</v>
          </cell>
        </row>
        <row r="563">
          <cell r="A563" t="str">
            <v>Exportacion Directa1022499</v>
          </cell>
          <cell r="B563" t="str">
            <v>Exportacion Directa</v>
          </cell>
          <cell r="C563">
            <v>1022499</v>
          </cell>
          <cell r="D563">
            <v>83117.34</v>
          </cell>
          <cell r="E563">
            <v>324312.31580000004</v>
          </cell>
          <cell r="F563">
            <v>-44907.964200000002</v>
          </cell>
          <cell r="G563">
            <v>3.9018611014260087</v>
          </cell>
        </row>
        <row r="564">
          <cell r="A564" t="str">
            <v>Exportacion Directa1022587</v>
          </cell>
          <cell r="B564" t="str">
            <v>Exportacion Directa</v>
          </cell>
          <cell r="C564">
            <v>1022587</v>
          </cell>
          <cell r="D564">
            <v>21072.42</v>
          </cell>
          <cell r="E564">
            <v>82687.653299999991</v>
          </cell>
          <cell r="F564">
            <v>-22270.826699999998</v>
          </cell>
          <cell r="G564">
            <v>3.9239751912689664</v>
          </cell>
        </row>
        <row r="565">
          <cell r="A565" t="str">
            <v>Exportacion Directa1022600</v>
          </cell>
          <cell r="B565" t="str">
            <v>Exportacion Directa</v>
          </cell>
          <cell r="C565">
            <v>1022600</v>
          </cell>
          <cell r="D565">
            <v>83419.53</v>
          </cell>
          <cell r="E565">
            <v>304219.40049999999</v>
          </cell>
          <cell r="F565">
            <v>-219970.16950000002</v>
          </cell>
          <cell r="G565">
            <v>3.6468606392292067</v>
          </cell>
        </row>
        <row r="566">
          <cell r="A566" t="str">
            <v>Exportacion Directa1022664</v>
          </cell>
          <cell r="B566" t="str">
            <v>Exportacion Directa</v>
          </cell>
          <cell r="C566">
            <v>1022664</v>
          </cell>
          <cell r="D566">
            <v>210365.02</v>
          </cell>
          <cell r="E566">
            <v>711251.28670000006</v>
          </cell>
          <cell r="F566">
            <v>24808.616699999984</v>
          </cell>
          <cell r="G566">
            <v>3.3810340079353502</v>
          </cell>
        </row>
        <row r="567">
          <cell r="A567" t="str">
            <v>Exportacion Directa1022817</v>
          </cell>
          <cell r="B567" t="str">
            <v>Exportacion Directa</v>
          </cell>
          <cell r="C567">
            <v>1022817</v>
          </cell>
          <cell r="D567">
            <v>22.38</v>
          </cell>
          <cell r="E567">
            <v>79.071799999999996</v>
          </cell>
          <cell r="F567">
            <v>79.071799999999996</v>
          </cell>
          <cell r="G567">
            <v>3.5331456657730116</v>
          </cell>
        </row>
        <row r="568">
          <cell r="A568" t="str">
            <v>Exportacion Directa1022841</v>
          </cell>
          <cell r="B568" t="str">
            <v>Exportacion Directa</v>
          </cell>
          <cell r="C568">
            <v>1022841</v>
          </cell>
          <cell r="D568">
            <v>21.14</v>
          </cell>
          <cell r="E568">
            <v>79.873500000000007</v>
          </cell>
          <cell r="F568">
            <v>79.873500000000007</v>
          </cell>
          <cell r="G568">
            <v>3.778311258278146</v>
          </cell>
        </row>
        <row r="569">
          <cell r="A569" t="str">
            <v>Exportacion Directa1022869</v>
          </cell>
          <cell r="B569" t="str">
            <v>Exportacion Directa</v>
          </cell>
          <cell r="C569">
            <v>1022869</v>
          </cell>
          <cell r="D569">
            <v>2430</v>
          </cell>
          <cell r="E569">
            <v>6574.7772999999997</v>
          </cell>
          <cell r="F569">
            <v>-4542.2227000000003</v>
          </cell>
          <cell r="G569">
            <v>2.705669670781893</v>
          </cell>
        </row>
        <row r="570">
          <cell r="A570" t="str">
            <v>Exportacion Directa1022901</v>
          </cell>
          <cell r="B570" t="str">
            <v>Exportacion Directa</v>
          </cell>
          <cell r="C570">
            <v>1022901</v>
          </cell>
          <cell r="D570">
            <v>60072.429999999993</v>
          </cell>
          <cell r="E570">
            <v>273030.77209999994</v>
          </cell>
          <cell r="F570">
            <v>-63942.137900000002</v>
          </cell>
          <cell r="G570">
            <v>4.5450262641281531</v>
          </cell>
        </row>
        <row r="571">
          <cell r="A571" t="str">
            <v>Exportacion Directa1022919</v>
          </cell>
          <cell r="B571" t="str">
            <v>Exportacion Directa</v>
          </cell>
          <cell r="C571">
            <v>1022919</v>
          </cell>
          <cell r="D571">
            <v>97019.99</v>
          </cell>
          <cell r="E571">
            <v>350996.93729999999</v>
          </cell>
          <cell r="F571">
            <v>-67796.622700000007</v>
          </cell>
          <cell r="G571">
            <v>3.6177795658399878</v>
          </cell>
        </row>
        <row r="572">
          <cell r="A572" t="str">
            <v>Exportacion Directa1022931</v>
          </cell>
          <cell r="B572" t="str">
            <v>Exportacion Directa</v>
          </cell>
          <cell r="C572">
            <v>1022931</v>
          </cell>
          <cell r="D572">
            <v>107780.67</v>
          </cell>
          <cell r="E572">
            <v>449519.05740000005</v>
          </cell>
          <cell r="F572">
            <v>5721.0274000000063</v>
          </cell>
          <cell r="G572">
            <v>4.1706834574325811</v>
          </cell>
        </row>
        <row r="573">
          <cell r="A573" t="str">
            <v>Exportacion Directa1022987</v>
          </cell>
          <cell r="B573" t="str">
            <v>Exportacion Directa</v>
          </cell>
          <cell r="C573">
            <v>1022987</v>
          </cell>
          <cell r="D573">
            <v>168000</v>
          </cell>
          <cell r="E573">
            <v>213030.83809999999</v>
          </cell>
          <cell r="F573">
            <v>-56179.841899999985</v>
          </cell>
          <cell r="G573">
            <v>1.2680407029761904</v>
          </cell>
        </row>
        <row r="574">
          <cell r="A574" t="str">
            <v>Exportacion Directa1022990</v>
          </cell>
          <cell r="B574" t="str">
            <v>Exportacion Directa</v>
          </cell>
          <cell r="C574">
            <v>1022990</v>
          </cell>
          <cell r="D574">
            <v>10836.56</v>
          </cell>
          <cell r="E574">
            <v>54172.3868</v>
          </cell>
          <cell r="F574">
            <v>-10634.6132</v>
          </cell>
          <cell r="G574">
            <v>4.9990390677484369</v>
          </cell>
        </row>
        <row r="575">
          <cell r="A575" t="str">
            <v>Exportacion Directa1023051</v>
          </cell>
          <cell r="B575" t="str">
            <v>Exportacion Directa</v>
          </cell>
          <cell r="C575">
            <v>1023051</v>
          </cell>
          <cell r="D575">
            <v>16072.140000000001</v>
          </cell>
          <cell r="E575">
            <v>56893.187100000003</v>
          </cell>
          <cell r="F575">
            <v>7758.2370999999985</v>
          </cell>
          <cell r="G575">
            <v>3.5398638326943392</v>
          </cell>
        </row>
        <row r="576">
          <cell r="A576" t="str">
            <v>Exportacion Directa1023055</v>
          </cell>
          <cell r="B576" t="str">
            <v>Exportacion Directa</v>
          </cell>
          <cell r="C576">
            <v>1023055</v>
          </cell>
          <cell r="D576">
            <v>31430.19</v>
          </cell>
          <cell r="E576">
            <v>110716.89780000001</v>
          </cell>
          <cell r="F576">
            <v>9474.8077999999987</v>
          </cell>
          <cell r="G576">
            <v>3.5226289691535433</v>
          </cell>
        </row>
        <row r="577">
          <cell r="A577" t="str">
            <v>Exportacion Directa1023163</v>
          </cell>
          <cell r="B577" t="str">
            <v>Exportacion Directa</v>
          </cell>
          <cell r="C577">
            <v>1023163</v>
          </cell>
          <cell r="D577">
            <v>110099.08</v>
          </cell>
          <cell r="E577">
            <v>394396.66529999999</v>
          </cell>
          <cell r="F577">
            <v>-117245.29470000001</v>
          </cell>
          <cell r="G577">
            <v>3.5821976468831527</v>
          </cell>
        </row>
        <row r="578">
          <cell r="A578" t="str">
            <v>Exportacion Directa1023166</v>
          </cell>
          <cell r="B578" t="str">
            <v>Exportacion Directa</v>
          </cell>
          <cell r="C578">
            <v>1023166</v>
          </cell>
          <cell r="D578">
            <v>100</v>
          </cell>
          <cell r="E578">
            <v>136.57640000000001</v>
          </cell>
          <cell r="F578">
            <v>136.57640000000001</v>
          </cell>
          <cell r="G578">
            <v>1.365764</v>
          </cell>
        </row>
        <row r="579">
          <cell r="A579" t="str">
            <v>Exportacion Directa1023194</v>
          </cell>
          <cell r="B579" t="str">
            <v>Exportacion Directa</v>
          </cell>
          <cell r="C579">
            <v>1023194</v>
          </cell>
          <cell r="D579">
            <v>47703.770000000004</v>
          </cell>
          <cell r="E579">
            <v>142173.1808</v>
          </cell>
          <cell r="F579">
            <v>-73390.3992</v>
          </cell>
          <cell r="G579">
            <v>2.9803342754671172</v>
          </cell>
        </row>
        <row r="580">
          <cell r="A580" t="str">
            <v>Exportacion Directa1023301</v>
          </cell>
          <cell r="B580" t="str">
            <v>Exportacion Directa</v>
          </cell>
          <cell r="C580">
            <v>1023301</v>
          </cell>
          <cell r="D580">
            <v>140254.24000000002</v>
          </cell>
          <cell r="E580">
            <v>538170.7206</v>
          </cell>
          <cell r="F580">
            <v>-122357.69940000001</v>
          </cell>
          <cell r="G580">
            <v>3.8371083868837044</v>
          </cell>
        </row>
        <row r="581">
          <cell r="A581" t="str">
            <v>Exportacion Directa1023349</v>
          </cell>
          <cell r="B581" t="str">
            <v>Exportacion Directa</v>
          </cell>
          <cell r="C581">
            <v>1023349</v>
          </cell>
          <cell r="D581">
            <v>30104.519999999997</v>
          </cell>
          <cell r="E581">
            <v>113803.60809999998</v>
          </cell>
          <cell r="F581">
            <v>-67911.051900000006</v>
          </cell>
          <cell r="G581">
            <v>3.7802830970233039</v>
          </cell>
        </row>
        <row r="582">
          <cell r="A582" t="str">
            <v>Exportacion Directa1023350</v>
          </cell>
          <cell r="B582" t="str">
            <v>Exportacion Directa</v>
          </cell>
          <cell r="C582">
            <v>1023350</v>
          </cell>
          <cell r="D582">
            <v>135027.47</v>
          </cell>
          <cell r="E582">
            <v>464971.03249999997</v>
          </cell>
          <cell r="F582">
            <v>-108333.38749999998</v>
          </cell>
          <cell r="G582">
            <v>3.4435291759521225</v>
          </cell>
        </row>
        <row r="583">
          <cell r="A583" t="str">
            <v>Exportacion Directa1023351</v>
          </cell>
          <cell r="B583" t="str">
            <v>Exportacion Directa</v>
          </cell>
          <cell r="C583">
            <v>1023351</v>
          </cell>
          <cell r="D583">
            <v>30047.050000000003</v>
          </cell>
          <cell r="E583">
            <v>129803.79479999999</v>
          </cell>
          <cell r="F583">
            <v>6200.3447999999953</v>
          </cell>
          <cell r="G583">
            <v>4.3200179318768388</v>
          </cell>
        </row>
        <row r="584">
          <cell r="A584" t="str">
            <v>Exportacion Directa1023352</v>
          </cell>
          <cell r="B584" t="str">
            <v>Exportacion Directa</v>
          </cell>
          <cell r="C584">
            <v>1023352</v>
          </cell>
          <cell r="D584">
            <v>447650.77</v>
          </cell>
          <cell r="E584">
            <v>1979029.3853</v>
          </cell>
          <cell r="F584">
            <v>451547.94529999996</v>
          </cell>
          <cell r="G584">
            <v>4.4209225537576984</v>
          </cell>
        </row>
        <row r="585">
          <cell r="A585" t="str">
            <v>Exportacion Directa1023419</v>
          </cell>
          <cell r="B585" t="str">
            <v>Exportacion Directa</v>
          </cell>
          <cell r="C585">
            <v>1023419</v>
          </cell>
          <cell r="D585">
            <v>0</v>
          </cell>
          <cell r="E585"/>
          <cell r="F585">
            <v>-43200</v>
          </cell>
          <cell r="G585" t="e">
            <v>#DIV/0!</v>
          </cell>
        </row>
        <row r="586">
          <cell r="A586" t="str">
            <v>Total general</v>
          </cell>
          <cell r="B586" t="str">
            <v>Total general</v>
          </cell>
          <cell r="D586">
            <v>188156287.37899995</v>
          </cell>
          <cell r="E586">
            <v>609205369.29480088</v>
          </cell>
          <cell r="F586">
            <v>14361462.014229996</v>
          </cell>
          <cell r="G586">
            <v>3.237762488731978</v>
          </cell>
        </row>
        <row r="587">
          <cell r="A587" t="str">
            <v/>
          </cell>
        </row>
        <row r="588">
          <cell r="A588" t="str">
            <v/>
          </cell>
        </row>
        <row r="589">
          <cell r="A589" t="str">
            <v/>
          </cell>
        </row>
        <row r="590">
          <cell r="A590" t="str">
            <v/>
          </cell>
        </row>
        <row r="591">
          <cell r="A591" t="str">
            <v/>
          </cell>
        </row>
        <row r="592">
          <cell r="A592" t="str">
            <v/>
          </cell>
        </row>
        <row r="593">
          <cell r="A593" t="str">
            <v/>
          </cell>
        </row>
        <row r="594">
          <cell r="A594" t="str">
            <v/>
          </cell>
        </row>
        <row r="595">
          <cell r="A595" t="str">
            <v/>
          </cell>
        </row>
        <row r="596">
          <cell r="A596" t="str">
            <v/>
          </cell>
        </row>
        <row r="597">
          <cell r="A597" t="str">
            <v/>
          </cell>
        </row>
        <row r="598">
          <cell r="A598" t="str">
            <v/>
          </cell>
        </row>
        <row r="599">
          <cell r="A599" t="str">
            <v/>
          </cell>
        </row>
        <row r="600">
          <cell r="A600" t="str">
            <v/>
          </cell>
        </row>
        <row r="601">
          <cell r="A601" t="str">
            <v/>
          </cell>
        </row>
        <row r="602">
          <cell r="A602" t="str">
            <v/>
          </cell>
        </row>
        <row r="603">
          <cell r="A603" t="str">
            <v/>
          </cell>
        </row>
        <row r="604">
          <cell r="A604" t="str">
            <v/>
          </cell>
        </row>
        <row r="605">
          <cell r="A605" t="str">
            <v/>
          </cell>
        </row>
        <row r="606">
          <cell r="A606" t="str">
            <v/>
          </cell>
        </row>
        <row r="607">
          <cell r="A607" t="str">
            <v/>
          </cell>
        </row>
        <row r="608">
          <cell r="A608" t="str">
            <v/>
          </cell>
        </row>
        <row r="609">
          <cell r="A609" t="str">
            <v/>
          </cell>
        </row>
        <row r="610">
          <cell r="A610" t="str">
            <v/>
          </cell>
        </row>
        <row r="611">
          <cell r="A611" t="str">
            <v/>
          </cell>
        </row>
        <row r="612">
          <cell r="A612" t="str">
            <v/>
          </cell>
        </row>
        <row r="613">
          <cell r="A613" t="str">
            <v/>
          </cell>
        </row>
        <row r="614">
          <cell r="A614" t="str">
            <v/>
          </cell>
        </row>
        <row r="615">
          <cell r="A615" t="str">
            <v/>
          </cell>
        </row>
        <row r="616">
          <cell r="A616" t="str">
            <v/>
          </cell>
        </row>
        <row r="617">
          <cell r="A617" t="str">
            <v/>
          </cell>
        </row>
        <row r="618">
          <cell r="A618" t="str">
            <v/>
          </cell>
        </row>
        <row r="619">
          <cell r="A619" t="str">
            <v/>
          </cell>
        </row>
        <row r="620">
          <cell r="A620" t="str">
            <v/>
          </cell>
        </row>
        <row r="621">
          <cell r="A621" t="str">
            <v/>
          </cell>
        </row>
        <row r="622">
          <cell r="A622" t="str">
            <v/>
          </cell>
        </row>
        <row r="623">
          <cell r="A623" t="str">
            <v/>
          </cell>
        </row>
        <row r="624">
          <cell r="A624" t="str">
            <v/>
          </cell>
        </row>
        <row r="625">
          <cell r="A625" t="str">
            <v/>
          </cell>
        </row>
        <row r="626">
          <cell r="A626" t="str">
            <v/>
          </cell>
        </row>
        <row r="627">
          <cell r="A627" t="str">
            <v/>
          </cell>
        </row>
        <row r="628">
          <cell r="A628" t="str">
            <v/>
          </cell>
        </row>
      </sheetData>
      <sheetData sheetId="14"/>
      <sheetData sheetId="15">
        <row r="3">
          <cell r="D3" t="str">
            <v>Mes natural</v>
          </cell>
        </row>
      </sheetData>
      <sheetData sheetId="16">
        <row r="2">
          <cell r="B2" t="str">
            <v>Planes</v>
          </cell>
          <cell r="P2" t="str">
            <v>Planes</v>
          </cell>
        </row>
        <row r="3">
          <cell r="B3" t="str">
            <v>Canal de distribución</v>
          </cell>
          <cell r="C3" t="str">
            <v>EX</v>
          </cell>
          <cell r="P3" t="str">
            <v>Canal de distribución</v>
          </cell>
          <cell r="Q3" t="str">
            <v>EX</v>
          </cell>
        </row>
        <row r="5">
          <cell r="B5" t="str">
            <v>Suma de Plan Total [KG]
  (Año Actual)</v>
          </cell>
          <cell r="F5"/>
          <cell r="G5"/>
          <cell r="H5" t="str">
            <v>Mes natural</v>
          </cell>
          <cell r="I5"/>
          <cell r="J5"/>
          <cell r="K5"/>
          <cell r="L5"/>
          <cell r="M5"/>
          <cell r="O5"/>
          <cell r="P5" t="str">
            <v>Suma de Plan Total FOB [USD]
       (Año Actual)</v>
          </cell>
          <cell r="T5"/>
          <cell r="U5"/>
          <cell r="V5" t="str">
            <v>Mes natural</v>
          </cell>
          <cell r="W5"/>
          <cell r="X5"/>
          <cell r="Y5"/>
          <cell r="Z5"/>
          <cell r="AA5"/>
        </row>
        <row r="6">
          <cell r="B6" t="str">
            <v>Sector</v>
          </cell>
          <cell r="C6" t="str">
            <v>Oficina</v>
          </cell>
          <cell r="D6" t="str">
            <v>Material</v>
          </cell>
          <cell r="E6" t="str">
            <v>Descripción</v>
          </cell>
          <cell r="F6" t="str">
            <v>Nivel Jer. 2</v>
          </cell>
          <cell r="G6" t="str">
            <v>Nivel Jer. 3</v>
          </cell>
          <cell r="H6" t="str">
            <v xml:space="preserve">1 </v>
          </cell>
          <cell r="I6" t="str">
            <v>2</v>
          </cell>
          <cell r="J6" t="str">
            <v>3</v>
          </cell>
          <cell r="K6" t="str">
            <v>4</v>
          </cell>
          <cell r="L6" t="str">
            <v>5</v>
          </cell>
          <cell r="M6" t="str">
            <v>6</v>
          </cell>
          <cell r="O6"/>
          <cell r="P6" t="str">
            <v>Sector</v>
          </cell>
          <cell r="Q6" t="str">
            <v>Oficina</v>
          </cell>
          <cell r="R6" t="str">
            <v>Material</v>
          </cell>
          <cell r="S6" t="str">
            <v>Descripción</v>
          </cell>
          <cell r="T6" t="str">
            <v>Nivel Jer. 2</v>
          </cell>
          <cell r="U6" t="str">
            <v>Nivel Jer. 3</v>
          </cell>
          <cell r="V6" t="str">
            <v xml:space="preserve">1 </v>
          </cell>
          <cell r="W6" t="str">
            <v>2</v>
          </cell>
          <cell r="X6" t="str">
            <v>3</v>
          </cell>
          <cell r="Y6" t="str">
            <v>4</v>
          </cell>
          <cell r="Z6" t="str">
            <v>5</v>
          </cell>
          <cell r="AA6" t="str">
            <v>6</v>
          </cell>
        </row>
        <row r="7">
          <cell r="A7" t="str">
            <v>Agro Sudamerica1020017</v>
          </cell>
          <cell r="B7" t="str">
            <v>Cerdo</v>
          </cell>
          <cell r="C7" t="str">
            <v>Agro Sudamerica</v>
          </cell>
          <cell r="D7" t="str">
            <v>1020017</v>
          </cell>
          <cell r="E7" t="str">
            <v>GO Chu Ctro@ Fi Cj 20k AS</v>
          </cell>
          <cell r="F7" t="str">
            <v>Chuleta</v>
          </cell>
          <cell r="G7" t="str">
            <v>Chuleta Centro</v>
          </cell>
          <cell r="H7">
            <v>192000</v>
          </cell>
          <cell r="I7">
            <v>108000</v>
          </cell>
          <cell r="J7">
            <v>132000</v>
          </cell>
          <cell r="K7">
            <v>96000</v>
          </cell>
          <cell r="L7">
            <v>37000</v>
          </cell>
          <cell r="M7"/>
          <cell r="O7" t="str">
            <v>Agro Sudamerica1020017</v>
          </cell>
          <cell r="P7" t="str">
            <v>Cerdo</v>
          </cell>
          <cell r="Q7" t="str">
            <v>Agro Sudamerica</v>
          </cell>
          <cell r="R7" t="str">
            <v>1020017</v>
          </cell>
          <cell r="S7" t="str">
            <v>GO Chu Ctro@ Fi Cj 20k AS</v>
          </cell>
          <cell r="T7" t="str">
            <v>Chuleta</v>
          </cell>
          <cell r="U7" t="str">
            <v>Chuleta Centro</v>
          </cell>
          <cell r="V7">
            <v>518400</v>
          </cell>
          <cell r="W7">
            <v>287900</v>
          </cell>
          <cell r="X7">
            <v>363120</v>
          </cell>
          <cell r="Y7">
            <v>267600</v>
          </cell>
          <cell r="Z7">
            <v>105190</v>
          </cell>
          <cell r="AA7"/>
        </row>
        <row r="8">
          <cell r="A8" t="str">
            <v>Agro Sudamerica1020339</v>
          </cell>
          <cell r="B8" t="str">
            <v>Cerdo</v>
          </cell>
          <cell r="C8" t="str">
            <v>Agro Sudamerica</v>
          </cell>
          <cell r="D8" t="str">
            <v>1020339</v>
          </cell>
          <cell r="E8" t="str">
            <v>GO Lom Tocino@ Cj 20k AS</v>
          </cell>
          <cell r="F8" t="str">
            <v>Grasas</v>
          </cell>
          <cell r="G8" t="str">
            <v>Grasa Lomo Tocino</v>
          </cell>
          <cell r="H8">
            <v>34000</v>
          </cell>
          <cell r="I8">
            <v>95000</v>
          </cell>
          <cell r="J8">
            <v>85000</v>
          </cell>
          <cell r="K8">
            <v>98500</v>
          </cell>
          <cell r="L8">
            <v>130881</v>
          </cell>
          <cell r="M8">
            <v>168000</v>
          </cell>
          <cell r="O8" t="str">
            <v>Agro Sudamerica1020339</v>
          </cell>
          <cell r="P8" t="str">
            <v>Cerdo</v>
          </cell>
          <cell r="Q8" t="str">
            <v>Agro Sudamerica</v>
          </cell>
          <cell r="R8" t="str">
            <v>1020339</v>
          </cell>
          <cell r="S8" t="str">
            <v>GO Lom Tocino@ Cj 20k AS</v>
          </cell>
          <cell r="T8" t="str">
            <v>Grasas</v>
          </cell>
          <cell r="U8" t="str">
            <v>Grasa Lomo Tocino</v>
          </cell>
          <cell r="V8">
            <v>54400</v>
          </cell>
          <cell r="W8">
            <v>127400</v>
          </cell>
          <cell r="X8">
            <v>115793</v>
          </cell>
          <cell r="Y8">
            <v>135470</v>
          </cell>
          <cell r="Z8">
            <v>186971</v>
          </cell>
          <cell r="AA8">
            <v>263881</v>
          </cell>
        </row>
        <row r="9">
          <cell r="A9" t="str">
            <v>Agro Sudamerica1020349</v>
          </cell>
          <cell r="B9" t="str">
            <v>Cerdo</v>
          </cell>
          <cell r="C9" t="str">
            <v>Agro Sudamerica</v>
          </cell>
          <cell r="D9" t="str">
            <v>1020349</v>
          </cell>
          <cell r="E9" t="str">
            <v>GO Papda@ Cj t-f AS</v>
          </cell>
          <cell r="F9" t="str">
            <v>Plancha</v>
          </cell>
          <cell r="G9" t="str">
            <v>Plancha s/Cuero</v>
          </cell>
          <cell r="H9">
            <v>120000</v>
          </cell>
          <cell r="I9">
            <v>156000</v>
          </cell>
          <cell r="J9">
            <v>228000</v>
          </cell>
          <cell r="K9">
            <v>192000</v>
          </cell>
          <cell r="L9"/>
          <cell r="M9">
            <v>24000</v>
          </cell>
          <cell r="O9" t="str">
            <v>Agro Sudamerica1020349</v>
          </cell>
          <cell r="P9" t="str">
            <v>Cerdo</v>
          </cell>
          <cell r="Q9" t="str">
            <v>Agro Sudamerica</v>
          </cell>
          <cell r="R9" t="str">
            <v>1020349</v>
          </cell>
          <cell r="S9" t="str">
            <v>GO Papda@ Cj t-f AS</v>
          </cell>
          <cell r="T9" t="str">
            <v>Plancha</v>
          </cell>
          <cell r="U9" t="str">
            <v>Plancha s/Cuero</v>
          </cell>
          <cell r="V9">
            <v>243200</v>
          </cell>
          <cell r="W9">
            <v>302179</v>
          </cell>
          <cell r="X9">
            <v>424800</v>
          </cell>
          <cell r="Y9">
            <v>335760</v>
          </cell>
          <cell r="Z9"/>
          <cell r="AA9">
            <v>42186</v>
          </cell>
        </row>
        <row r="10">
          <cell r="A10" t="str">
            <v>Agro Sudamerica1020352</v>
          </cell>
          <cell r="B10" t="str">
            <v>Cerdo</v>
          </cell>
          <cell r="C10" t="str">
            <v>Agro Sudamerica</v>
          </cell>
          <cell r="D10" t="str">
            <v>1020352</v>
          </cell>
          <cell r="E10" t="str">
            <v>GO Cue 20@ Cj 20k AS</v>
          </cell>
          <cell r="F10" t="str">
            <v>Cueros</v>
          </cell>
          <cell r="G10" t="str">
            <v>Cuero Panceta</v>
          </cell>
          <cell r="H10">
            <v>35000</v>
          </cell>
          <cell r="I10"/>
          <cell r="J10">
            <v>48000</v>
          </cell>
          <cell r="K10">
            <v>48000</v>
          </cell>
          <cell r="L10">
            <v>24000</v>
          </cell>
          <cell r="M10">
            <v>48000</v>
          </cell>
          <cell r="O10" t="str">
            <v>Agro Sudamerica1020352</v>
          </cell>
          <cell r="P10" t="str">
            <v>Cerdo</v>
          </cell>
          <cell r="Q10" t="str">
            <v>Agro Sudamerica</v>
          </cell>
          <cell r="R10" t="str">
            <v>1020352</v>
          </cell>
          <cell r="S10" t="str">
            <v>GO Cue 20@ Cj 20k AS</v>
          </cell>
          <cell r="T10" t="str">
            <v>Cueros</v>
          </cell>
          <cell r="U10" t="str">
            <v>Cuero Panceta</v>
          </cell>
          <cell r="V10">
            <v>47250</v>
          </cell>
          <cell r="W10"/>
          <cell r="X10">
            <v>57310</v>
          </cell>
          <cell r="Y10">
            <v>50880</v>
          </cell>
          <cell r="Z10">
            <v>30240</v>
          </cell>
          <cell r="AA10">
            <v>60230</v>
          </cell>
        </row>
        <row r="11">
          <cell r="A11" t="str">
            <v>Agro Sudamerica1020367</v>
          </cell>
          <cell r="B11" t="str">
            <v>Cerdo</v>
          </cell>
          <cell r="C11" t="str">
            <v>Agro Sudamerica</v>
          </cell>
          <cell r="D11" t="str">
            <v>1020367</v>
          </cell>
          <cell r="E11" t="str">
            <v>GO Gord Lom Tocino@ Cj t-f AS</v>
          </cell>
          <cell r="F11" t="str">
            <v>Grasas</v>
          </cell>
          <cell r="G11" t="str">
            <v>Grasa Gordura</v>
          </cell>
          <cell r="H11">
            <v>48000</v>
          </cell>
          <cell r="I11">
            <v>72000</v>
          </cell>
          <cell r="J11">
            <v>24000</v>
          </cell>
          <cell r="K11">
            <v>48100</v>
          </cell>
          <cell r="L11">
            <v>72000</v>
          </cell>
          <cell r="M11">
            <v>145000</v>
          </cell>
          <cell r="O11" t="str">
            <v>Agro Sudamerica1020367</v>
          </cell>
          <cell r="P11" t="str">
            <v>Cerdo</v>
          </cell>
          <cell r="Q11" t="str">
            <v>Agro Sudamerica</v>
          </cell>
          <cell r="R11" t="str">
            <v>1020367</v>
          </cell>
          <cell r="S11" t="str">
            <v>GO Gord Lom Tocino@ Cj t-f AS</v>
          </cell>
          <cell r="T11" t="str">
            <v>Grasas</v>
          </cell>
          <cell r="U11" t="str">
            <v>Grasa Gordura</v>
          </cell>
          <cell r="V11">
            <v>64800</v>
          </cell>
          <cell r="W11">
            <v>89200</v>
          </cell>
          <cell r="X11">
            <v>26400</v>
          </cell>
          <cell r="Y11">
            <v>53143</v>
          </cell>
          <cell r="Z11">
            <v>74627</v>
          </cell>
          <cell r="AA11">
            <v>166475</v>
          </cell>
        </row>
        <row r="12">
          <cell r="A12" t="str">
            <v>Agro Sudamerica1020412</v>
          </cell>
          <cell r="B12" t="str">
            <v>Cerdo</v>
          </cell>
          <cell r="C12" t="str">
            <v>Agro Sudamerica</v>
          </cell>
          <cell r="D12" t="str">
            <v>1020412</v>
          </cell>
          <cell r="E12" t="str">
            <v>GO Cne Long@ Cj t-f AS</v>
          </cell>
          <cell r="F12" t="str">
            <v>Recortes</v>
          </cell>
          <cell r="G12" t="str">
            <v>Recortes No Magro</v>
          </cell>
          <cell r="H12">
            <v>48000</v>
          </cell>
          <cell r="I12">
            <v>73000</v>
          </cell>
          <cell r="J12">
            <v>96000</v>
          </cell>
          <cell r="K12">
            <v>72000</v>
          </cell>
          <cell r="L12">
            <v>72000</v>
          </cell>
          <cell r="M12">
            <v>116000</v>
          </cell>
          <cell r="O12" t="str">
            <v>Agro Sudamerica1020412</v>
          </cell>
          <cell r="P12" t="str">
            <v>Cerdo</v>
          </cell>
          <cell r="Q12" t="str">
            <v>Agro Sudamerica</v>
          </cell>
          <cell r="R12" t="str">
            <v>1020412</v>
          </cell>
          <cell r="S12" t="str">
            <v>GO Cne Long@ Cj t-f AS</v>
          </cell>
          <cell r="T12" t="str">
            <v>Recortes</v>
          </cell>
          <cell r="U12" t="str">
            <v>Recortes No Magro</v>
          </cell>
          <cell r="V12">
            <v>67200</v>
          </cell>
          <cell r="W12">
            <v>115910</v>
          </cell>
          <cell r="X12">
            <v>139150</v>
          </cell>
          <cell r="Y12">
            <v>115909</v>
          </cell>
          <cell r="Z12">
            <v>121440</v>
          </cell>
          <cell r="AA12">
            <v>208322</v>
          </cell>
        </row>
        <row r="13">
          <cell r="A13" t="str">
            <v>Agro Sudamerica1020828</v>
          </cell>
          <cell r="B13" t="str">
            <v>Cerdo</v>
          </cell>
          <cell r="C13" t="str">
            <v>Agro Sudamerica</v>
          </cell>
          <cell r="D13" t="str">
            <v>1020828</v>
          </cell>
          <cell r="E13" t="str">
            <v>GO BB Ribs 20-24 Oz@ Cj 10k AS</v>
          </cell>
          <cell r="F13" t="str">
            <v>Chuleta</v>
          </cell>
          <cell r="G13" t="str">
            <v>Chuleta Huesos</v>
          </cell>
          <cell r="H13"/>
          <cell r="I13"/>
          <cell r="J13"/>
          <cell r="K13"/>
          <cell r="L13"/>
          <cell r="M13"/>
          <cell r="O13" t="str">
            <v>Agro Sudamerica1020828</v>
          </cell>
          <cell r="P13" t="str">
            <v>Cerdo</v>
          </cell>
          <cell r="Q13" t="str">
            <v>Agro Sudamerica</v>
          </cell>
          <cell r="R13" t="str">
            <v>1020828</v>
          </cell>
          <cell r="S13" t="str">
            <v>GO BB Ribs 20-24 Oz@ Cj 10k AS</v>
          </cell>
          <cell r="T13" t="str">
            <v>Chuleta</v>
          </cell>
          <cell r="U13" t="str">
            <v>Chuleta Huesos</v>
          </cell>
          <cell r="V13"/>
          <cell r="W13"/>
          <cell r="X13"/>
          <cell r="Y13"/>
          <cell r="Z13"/>
          <cell r="AA13"/>
        </row>
        <row r="14">
          <cell r="A14" t="str">
            <v>Agro Sudamerica1020848</v>
          </cell>
          <cell r="B14" t="str">
            <v>Cerdo</v>
          </cell>
          <cell r="C14" t="str">
            <v>Agro Sudamerica</v>
          </cell>
          <cell r="D14" t="str">
            <v>1020848</v>
          </cell>
          <cell r="E14" t="str">
            <v>GO Lom Ctro 27@ Cj 20k AS</v>
          </cell>
          <cell r="F14" t="str">
            <v>Lomo</v>
          </cell>
          <cell r="G14" t="str">
            <v>Lomo Centro</v>
          </cell>
          <cell r="H14">
            <v>240000</v>
          </cell>
          <cell r="I14">
            <v>147000</v>
          </cell>
          <cell r="J14">
            <v>360000</v>
          </cell>
          <cell r="K14">
            <v>192000</v>
          </cell>
          <cell r="L14">
            <v>72000</v>
          </cell>
          <cell r="M14">
            <v>72000</v>
          </cell>
          <cell r="O14" t="str">
            <v>Agro Sudamerica1020848</v>
          </cell>
          <cell r="P14" t="str">
            <v>Cerdo</v>
          </cell>
          <cell r="Q14" t="str">
            <v>Agro Sudamerica</v>
          </cell>
          <cell r="R14" t="str">
            <v>1020848</v>
          </cell>
          <cell r="S14" t="str">
            <v>GO Lom Ctro 27@ Cj 20k AS</v>
          </cell>
          <cell r="T14" t="str">
            <v>Lomo</v>
          </cell>
          <cell r="U14" t="str">
            <v>Lomo Centro</v>
          </cell>
          <cell r="V14">
            <v>684000</v>
          </cell>
          <cell r="W14">
            <v>364350</v>
          </cell>
          <cell r="X14">
            <v>949090</v>
          </cell>
          <cell r="Y14">
            <v>495200</v>
          </cell>
          <cell r="Z14">
            <v>201467</v>
          </cell>
          <cell r="AA14">
            <v>204416</v>
          </cell>
        </row>
        <row r="15">
          <cell r="A15" t="str">
            <v>Agro Sudamerica1020869</v>
          </cell>
          <cell r="B15" t="str">
            <v>Cerdo</v>
          </cell>
          <cell r="C15" t="str">
            <v>Agro Sudamerica</v>
          </cell>
          <cell r="D15" t="str">
            <v>1020869</v>
          </cell>
          <cell r="E15" t="str">
            <v>GO Cos 79@ Bo Cj 20k AS</v>
          </cell>
          <cell r="F15" t="str">
            <v>Cost-Pec</v>
          </cell>
          <cell r="G15" t="str">
            <v>Cost-Pec Entero</v>
          </cell>
          <cell r="H15"/>
          <cell r="I15"/>
          <cell r="J15">
            <v>24000</v>
          </cell>
          <cell r="K15"/>
          <cell r="L15"/>
          <cell r="M15">
            <v>33000</v>
          </cell>
          <cell r="O15" t="str">
            <v>Agro Sudamerica1020869</v>
          </cell>
          <cell r="P15" t="str">
            <v>Cerdo</v>
          </cell>
          <cell r="Q15" t="str">
            <v>Agro Sudamerica</v>
          </cell>
          <cell r="R15" t="str">
            <v>1020869</v>
          </cell>
          <cell r="S15" t="str">
            <v>GO Cos 79@ Bo Cj 20k AS</v>
          </cell>
          <cell r="T15" t="str">
            <v>Cost-Pec</v>
          </cell>
          <cell r="U15" t="str">
            <v>Cost-Pec Entero</v>
          </cell>
          <cell r="V15"/>
          <cell r="W15"/>
          <cell r="X15">
            <v>120000</v>
          </cell>
          <cell r="Y15"/>
          <cell r="Z15"/>
          <cell r="AA15">
            <v>139067</v>
          </cell>
        </row>
        <row r="16">
          <cell r="A16" t="str">
            <v>Agro Sudamerica1020886</v>
          </cell>
          <cell r="B16" t="str">
            <v>Cerdo</v>
          </cell>
          <cell r="C16" t="str">
            <v>Agro Sudamerica</v>
          </cell>
          <cell r="D16" t="str">
            <v>1020886</v>
          </cell>
          <cell r="E16" t="str">
            <v>GO Panc Tecl Nor@ Cj 20k AS</v>
          </cell>
          <cell r="F16" t="str">
            <v>Panceta</v>
          </cell>
          <cell r="G16" t="str">
            <v>Panceta s/Cuero</v>
          </cell>
          <cell r="H16"/>
          <cell r="I16">
            <v>10000</v>
          </cell>
          <cell r="J16"/>
          <cell r="K16"/>
          <cell r="L16"/>
          <cell r="M16"/>
          <cell r="O16" t="str">
            <v>Agro Sudamerica1020886</v>
          </cell>
          <cell r="P16" t="str">
            <v>Cerdo</v>
          </cell>
          <cell r="Q16" t="str">
            <v>Agro Sudamerica</v>
          </cell>
          <cell r="R16" t="str">
            <v>1020886</v>
          </cell>
          <cell r="S16" t="str">
            <v>GO Panc Tecl Nor@ Cj 20k AS</v>
          </cell>
          <cell r="T16" t="str">
            <v>Panceta</v>
          </cell>
          <cell r="U16" t="str">
            <v>Panceta s/Cuero</v>
          </cell>
          <cell r="V16"/>
          <cell r="W16">
            <v>51667</v>
          </cell>
          <cell r="X16"/>
          <cell r="Y16"/>
          <cell r="Z16"/>
          <cell r="AA16"/>
        </row>
        <row r="17">
          <cell r="A17" t="str">
            <v>Agro Sudamerica1020915</v>
          </cell>
          <cell r="B17" t="str">
            <v>Cerdo</v>
          </cell>
          <cell r="C17" t="str">
            <v>Agro Sudamerica</v>
          </cell>
          <cell r="D17" t="str">
            <v>1020915</v>
          </cell>
          <cell r="E17" t="str">
            <v>GO Pna Nor@ Bo Cj 20k AS</v>
          </cell>
          <cell r="F17" t="str">
            <v>Pierna</v>
          </cell>
          <cell r="G17" t="str">
            <v>Pierna Entera</v>
          </cell>
          <cell r="H17">
            <v>10000</v>
          </cell>
          <cell r="I17">
            <v>2000</v>
          </cell>
          <cell r="J17"/>
          <cell r="K17"/>
          <cell r="L17"/>
          <cell r="M17"/>
          <cell r="O17" t="str">
            <v>Agro Sudamerica1020915</v>
          </cell>
          <cell r="P17" t="str">
            <v>Cerdo</v>
          </cell>
          <cell r="Q17" t="str">
            <v>Agro Sudamerica</v>
          </cell>
          <cell r="R17" t="str">
            <v>1020915</v>
          </cell>
          <cell r="S17" t="str">
            <v>GO Pna Nor@ Bo Cj 20k AS</v>
          </cell>
          <cell r="T17" t="str">
            <v>Pierna</v>
          </cell>
          <cell r="U17" t="str">
            <v>Pierna Entera</v>
          </cell>
          <cell r="V17">
            <v>17000</v>
          </cell>
          <cell r="W17">
            <v>4300</v>
          </cell>
          <cell r="X17"/>
          <cell r="Y17"/>
          <cell r="Z17"/>
          <cell r="AA17"/>
        </row>
        <row r="18">
          <cell r="A18" t="str">
            <v>Agro Sudamerica1020925</v>
          </cell>
          <cell r="B18" t="str">
            <v>Cerdo</v>
          </cell>
          <cell r="C18" t="str">
            <v>Agro Sudamerica</v>
          </cell>
          <cell r="D18" t="str">
            <v>1020925</v>
          </cell>
          <cell r="E18" t="str">
            <v>GO Grasa Forro Pna Limp@ Cj 20k AS</v>
          </cell>
          <cell r="F18" t="str">
            <v>Grasas</v>
          </cell>
          <cell r="G18" t="str">
            <v>Grasa Forro</v>
          </cell>
          <cell r="H18"/>
          <cell r="I18">
            <v>3000</v>
          </cell>
          <cell r="J18">
            <v>14000</v>
          </cell>
          <cell r="K18">
            <v>38000</v>
          </cell>
          <cell r="L18">
            <v>48000</v>
          </cell>
          <cell r="M18">
            <v>72000</v>
          </cell>
          <cell r="O18" t="str">
            <v>Agro Sudamerica1020925</v>
          </cell>
          <cell r="P18" t="str">
            <v>Cerdo</v>
          </cell>
          <cell r="Q18" t="str">
            <v>Agro Sudamerica</v>
          </cell>
          <cell r="R18" t="str">
            <v>1020925</v>
          </cell>
          <cell r="S18" t="str">
            <v>GO Grasa Forro Pna Limp@ Cj 20k AS</v>
          </cell>
          <cell r="T18" t="str">
            <v>Grasas</v>
          </cell>
          <cell r="U18" t="str">
            <v>Grasa Forro</v>
          </cell>
          <cell r="V18"/>
          <cell r="W18">
            <v>3450</v>
          </cell>
          <cell r="X18">
            <v>13300</v>
          </cell>
          <cell r="Y18">
            <v>44140</v>
          </cell>
          <cell r="Z18">
            <v>69120</v>
          </cell>
          <cell r="AA18">
            <v>103224</v>
          </cell>
        </row>
        <row r="19">
          <cell r="A19" t="str">
            <v>Agro Sudamerica1020944</v>
          </cell>
          <cell r="B19" t="str">
            <v>Cerdo</v>
          </cell>
          <cell r="C19" t="str">
            <v>Agro Sudamerica</v>
          </cell>
          <cell r="D19" t="str">
            <v>1020944</v>
          </cell>
          <cell r="E19" t="str">
            <v>GO PpPna 59@ Fi Cj 20k AS</v>
          </cell>
          <cell r="F19" t="str">
            <v>Pierna</v>
          </cell>
          <cell r="G19" t="str">
            <v>Pierna Pulpa</v>
          </cell>
          <cell r="H19">
            <v>480000</v>
          </cell>
          <cell r="I19">
            <v>508001</v>
          </cell>
          <cell r="J19">
            <v>384000</v>
          </cell>
          <cell r="K19">
            <v>188000</v>
          </cell>
          <cell r="L19">
            <v>504000</v>
          </cell>
          <cell r="M19">
            <v>262964</v>
          </cell>
          <cell r="O19" t="str">
            <v>Agro Sudamerica1020944</v>
          </cell>
          <cell r="P19" t="str">
            <v>Cerdo</v>
          </cell>
          <cell r="Q19" t="str">
            <v>Agro Sudamerica</v>
          </cell>
          <cell r="R19" t="str">
            <v>1020944</v>
          </cell>
          <cell r="S19" t="str">
            <v>GO PpPna 59@ Fi Cj 20k AS</v>
          </cell>
          <cell r="T19" t="str">
            <v>Pierna</v>
          </cell>
          <cell r="U19" t="str">
            <v>Pierna Pulpa</v>
          </cell>
          <cell r="V19">
            <v>1248000</v>
          </cell>
          <cell r="W19">
            <v>1281954</v>
          </cell>
          <cell r="X19">
            <v>924000</v>
          </cell>
          <cell r="Y19">
            <v>424640</v>
          </cell>
          <cell r="Z19">
            <v>1231920</v>
          </cell>
          <cell r="AA19">
            <v>681801</v>
          </cell>
        </row>
        <row r="20">
          <cell r="A20" t="str">
            <v>Agro Sudamerica1021023</v>
          </cell>
          <cell r="B20" t="str">
            <v>Cerdo</v>
          </cell>
          <cell r="C20" t="str">
            <v>Agro Sudamerica</v>
          </cell>
          <cell r="D20" t="str">
            <v>1021023</v>
          </cell>
          <cell r="E20" t="str">
            <v>GO Gord rebaje@ Bo Cj 20k AS</v>
          </cell>
          <cell r="F20" t="str">
            <v>Grasas</v>
          </cell>
          <cell r="G20" t="str">
            <v>Grasa Gordura</v>
          </cell>
          <cell r="H20">
            <v>120000</v>
          </cell>
          <cell r="I20">
            <v>216000</v>
          </cell>
          <cell r="J20">
            <v>264000</v>
          </cell>
          <cell r="K20">
            <v>167000</v>
          </cell>
          <cell r="L20">
            <v>96000</v>
          </cell>
          <cell r="M20">
            <v>120000</v>
          </cell>
          <cell r="O20" t="str">
            <v>Agro Sudamerica1021023</v>
          </cell>
          <cell r="P20" t="str">
            <v>Cerdo</v>
          </cell>
          <cell r="Q20" t="str">
            <v>Agro Sudamerica</v>
          </cell>
          <cell r="R20" t="str">
            <v>1021023</v>
          </cell>
          <cell r="S20" t="str">
            <v>GO Gord rebaje@ Bo Cj 20k AS</v>
          </cell>
          <cell r="T20" t="str">
            <v>Grasas</v>
          </cell>
          <cell r="U20" t="str">
            <v>Grasa Gordura</v>
          </cell>
          <cell r="V20">
            <v>141600</v>
          </cell>
          <cell r="W20">
            <v>245849</v>
          </cell>
          <cell r="X20">
            <v>290400</v>
          </cell>
          <cell r="Y20">
            <v>181920</v>
          </cell>
          <cell r="Z20">
            <v>95760</v>
          </cell>
          <cell r="AA20">
            <v>134889</v>
          </cell>
        </row>
        <row r="21">
          <cell r="A21" t="str">
            <v>Agro Sudamerica1021039</v>
          </cell>
          <cell r="B21" t="str">
            <v>Cerdo</v>
          </cell>
          <cell r="C21" t="str">
            <v>Agro Sudamerica</v>
          </cell>
          <cell r="D21" t="str">
            <v>1021039</v>
          </cell>
          <cell r="E21" t="str">
            <v>GO Cue Papda CP@ Cj 20k bca AS</v>
          </cell>
          <cell r="F21" t="str">
            <v>Cueros</v>
          </cell>
          <cell r="G21" t="str">
            <v>Cuero Papada</v>
          </cell>
          <cell r="H21">
            <v>24000</v>
          </cell>
          <cell r="I21">
            <v>24000</v>
          </cell>
          <cell r="J21">
            <v>72000</v>
          </cell>
          <cell r="K21"/>
          <cell r="L21">
            <v>48000</v>
          </cell>
          <cell r="M21">
            <v>48000</v>
          </cell>
          <cell r="O21" t="str">
            <v>Agro Sudamerica1021039</v>
          </cell>
          <cell r="P21" t="str">
            <v>Cerdo</v>
          </cell>
          <cell r="Q21" t="str">
            <v>Agro Sudamerica</v>
          </cell>
          <cell r="R21" t="str">
            <v>1021039</v>
          </cell>
          <cell r="S21" t="str">
            <v>GO Cue Papda CP@ Cj 20k bca AS</v>
          </cell>
          <cell r="T21" t="str">
            <v>Cueros</v>
          </cell>
          <cell r="U21" t="str">
            <v>Cuero Papada</v>
          </cell>
          <cell r="V21">
            <v>12000</v>
          </cell>
          <cell r="W21">
            <v>14400</v>
          </cell>
          <cell r="X21">
            <v>38880</v>
          </cell>
          <cell r="Y21"/>
          <cell r="Z21">
            <v>28787</v>
          </cell>
          <cell r="AA21">
            <v>30298</v>
          </cell>
        </row>
        <row r="22">
          <cell r="A22" t="str">
            <v>Agro Sudamerica1021077</v>
          </cell>
          <cell r="B22" t="str">
            <v>Cerdo</v>
          </cell>
          <cell r="C22" t="str">
            <v>Agro Sudamerica</v>
          </cell>
          <cell r="D22" t="str">
            <v>1021077</v>
          </cell>
          <cell r="E22" t="str">
            <v>GO Gord chic@ Cj 20k AS</v>
          </cell>
          <cell r="F22" t="str">
            <v>Grasas</v>
          </cell>
          <cell r="G22" t="str">
            <v>Grasa Gordura</v>
          </cell>
          <cell r="H22"/>
          <cell r="I22">
            <v>24000</v>
          </cell>
          <cell r="J22"/>
          <cell r="K22">
            <v>48000</v>
          </cell>
          <cell r="L22"/>
          <cell r="M22">
            <v>48000</v>
          </cell>
          <cell r="O22" t="str">
            <v>Agro Sudamerica1021077</v>
          </cell>
          <cell r="P22" t="str">
            <v>Cerdo</v>
          </cell>
          <cell r="Q22" t="str">
            <v>Agro Sudamerica</v>
          </cell>
          <cell r="R22" t="str">
            <v>1021077</v>
          </cell>
          <cell r="S22" t="str">
            <v>GO Gord chic@ Cj 20k AS</v>
          </cell>
          <cell r="T22" t="str">
            <v>Grasas</v>
          </cell>
          <cell r="U22" t="str">
            <v>Grasa Gordura</v>
          </cell>
          <cell r="V22"/>
          <cell r="W22">
            <v>29259</v>
          </cell>
          <cell r="X22"/>
          <cell r="Y22">
            <v>60720</v>
          </cell>
          <cell r="Z22"/>
          <cell r="AA22">
            <v>69235</v>
          </cell>
        </row>
        <row r="23">
          <cell r="A23" t="str">
            <v>Agro Sudamerica1021078</v>
          </cell>
          <cell r="B23" t="str">
            <v>Cerdo</v>
          </cell>
          <cell r="C23" t="str">
            <v>Agro Sudamerica</v>
          </cell>
          <cell r="D23" t="str">
            <v>1021078</v>
          </cell>
          <cell r="E23" t="str">
            <v>GO Triming 80/20@ Cj 20k AS</v>
          </cell>
          <cell r="F23" t="str">
            <v>Recortes</v>
          </cell>
          <cell r="G23" t="str">
            <v>Recortes No Magro</v>
          </cell>
          <cell r="H23">
            <v>48000</v>
          </cell>
          <cell r="I23">
            <v>107000</v>
          </cell>
          <cell r="J23">
            <v>143000</v>
          </cell>
          <cell r="K23">
            <v>96000</v>
          </cell>
          <cell r="L23">
            <v>96000</v>
          </cell>
          <cell r="M23">
            <v>96000</v>
          </cell>
          <cell r="O23" t="str">
            <v>Agro Sudamerica1021078</v>
          </cell>
          <cell r="P23" t="str">
            <v>Cerdo</v>
          </cell>
          <cell r="Q23" t="str">
            <v>Agro Sudamerica</v>
          </cell>
          <cell r="R23" t="str">
            <v>1021078</v>
          </cell>
          <cell r="S23" t="str">
            <v>GO Triming 80/20@ Cj 20k AS</v>
          </cell>
          <cell r="T23" t="str">
            <v>Recortes</v>
          </cell>
          <cell r="U23" t="str">
            <v>Recortes No Magro</v>
          </cell>
          <cell r="V23">
            <v>97440</v>
          </cell>
          <cell r="W23">
            <v>222108</v>
          </cell>
          <cell r="X23">
            <v>309400</v>
          </cell>
          <cell r="Y23">
            <v>198480</v>
          </cell>
          <cell r="Z23">
            <v>209280</v>
          </cell>
          <cell r="AA23">
            <v>209605</v>
          </cell>
        </row>
        <row r="24">
          <cell r="A24" t="str">
            <v>Agro Sudamerica1021082</v>
          </cell>
          <cell r="B24" t="str">
            <v>Cerdo</v>
          </cell>
          <cell r="C24" t="str">
            <v>Agro Sudamerica</v>
          </cell>
          <cell r="D24" t="str">
            <v>1021082</v>
          </cell>
          <cell r="E24" t="str">
            <v>GO Triming 70/30@ Cj 20k AS</v>
          </cell>
          <cell r="F24" t="str">
            <v>Recortes</v>
          </cell>
          <cell r="G24" t="str">
            <v>Recortes No Magro</v>
          </cell>
          <cell r="H24"/>
          <cell r="I24"/>
          <cell r="J24"/>
          <cell r="K24"/>
          <cell r="L24">
            <v>2500</v>
          </cell>
          <cell r="M24">
            <v>48000</v>
          </cell>
          <cell r="O24" t="str">
            <v>Agro Sudamerica1021082</v>
          </cell>
          <cell r="P24" t="str">
            <v>Cerdo</v>
          </cell>
          <cell r="Q24" t="str">
            <v>Agro Sudamerica</v>
          </cell>
          <cell r="R24" t="str">
            <v>1021082</v>
          </cell>
          <cell r="S24" t="str">
            <v>GO Triming 70/30@ Cj 20k AS</v>
          </cell>
          <cell r="T24" t="str">
            <v>Recortes</v>
          </cell>
          <cell r="U24" t="str">
            <v>Recortes No Magro</v>
          </cell>
          <cell r="V24"/>
          <cell r="W24"/>
          <cell r="X24"/>
          <cell r="Y24"/>
          <cell r="Z24">
            <v>5125</v>
          </cell>
          <cell r="AA24">
            <v>86646</v>
          </cell>
        </row>
        <row r="25">
          <cell r="A25" t="str">
            <v>Agro Sudamerica1021085</v>
          </cell>
          <cell r="B25" t="str">
            <v>Cerdo</v>
          </cell>
          <cell r="C25" t="str">
            <v>Agro Sudamerica</v>
          </cell>
          <cell r="D25" t="str">
            <v>1021085</v>
          </cell>
          <cell r="E25" t="str">
            <v>GO Gord Esp@ Cj 20k AS</v>
          </cell>
          <cell r="F25" t="str">
            <v>Grasas</v>
          </cell>
          <cell r="G25" t="str">
            <v>Grasa Gordura</v>
          </cell>
          <cell r="H25">
            <v>24000</v>
          </cell>
          <cell r="I25">
            <v>24000</v>
          </cell>
          <cell r="J25"/>
          <cell r="K25"/>
          <cell r="L25">
            <v>24000</v>
          </cell>
          <cell r="M25"/>
          <cell r="O25" t="str">
            <v>Agro Sudamerica1021085</v>
          </cell>
          <cell r="P25" t="str">
            <v>Cerdo</v>
          </cell>
          <cell r="Q25" t="str">
            <v>Agro Sudamerica</v>
          </cell>
          <cell r="R25" t="str">
            <v>1021085</v>
          </cell>
          <cell r="S25" t="str">
            <v>GO Gord Esp@ Cj 20k AS</v>
          </cell>
          <cell r="T25" t="str">
            <v>Grasas</v>
          </cell>
          <cell r="U25" t="str">
            <v>Grasa Gordura</v>
          </cell>
          <cell r="V25">
            <v>28800</v>
          </cell>
          <cell r="W25">
            <v>21600</v>
          </cell>
          <cell r="X25"/>
          <cell r="Y25"/>
          <cell r="Z25">
            <v>20400</v>
          </cell>
          <cell r="AA25"/>
        </row>
        <row r="26">
          <cell r="A26" t="str">
            <v>Agro Sudamerica1021092</v>
          </cell>
          <cell r="B26" t="str">
            <v>Cerdo</v>
          </cell>
          <cell r="C26" t="str">
            <v>Agro Sudamerica</v>
          </cell>
          <cell r="D26" t="str">
            <v>1021092</v>
          </cell>
          <cell r="E26" t="str">
            <v>GO Triming 85/15@ Cj t-f 20k AS</v>
          </cell>
          <cell r="F26" t="str">
            <v>Recortes</v>
          </cell>
          <cell r="G26" t="str">
            <v>Recortes No Magro</v>
          </cell>
          <cell r="H26">
            <v>48000</v>
          </cell>
          <cell r="I26">
            <v>79070</v>
          </cell>
          <cell r="J26"/>
          <cell r="K26">
            <v>72000</v>
          </cell>
          <cell r="L26">
            <v>144000</v>
          </cell>
          <cell r="M26">
            <v>121000</v>
          </cell>
          <cell r="O26" t="str">
            <v>Agro Sudamerica1021092</v>
          </cell>
          <cell r="P26" t="str">
            <v>Cerdo</v>
          </cell>
          <cell r="Q26" t="str">
            <v>Agro Sudamerica</v>
          </cell>
          <cell r="R26" t="str">
            <v>1021092</v>
          </cell>
          <cell r="S26" t="str">
            <v>GO Triming 85/15@ Cj t-f 20k AS</v>
          </cell>
          <cell r="T26" t="str">
            <v>Recortes</v>
          </cell>
          <cell r="U26" t="str">
            <v>Recortes No Magro</v>
          </cell>
          <cell r="V26">
            <v>120000</v>
          </cell>
          <cell r="W26">
            <v>149977</v>
          </cell>
          <cell r="X26"/>
          <cell r="Y26">
            <v>130800</v>
          </cell>
          <cell r="Z26">
            <v>337200</v>
          </cell>
          <cell r="AA26">
            <v>290729</v>
          </cell>
        </row>
        <row r="27">
          <cell r="A27" t="str">
            <v>Agro Sudamerica1021101</v>
          </cell>
          <cell r="B27" t="str">
            <v>Cerdo</v>
          </cell>
          <cell r="C27" t="str">
            <v>Agro Sudamerica</v>
          </cell>
          <cell r="D27" t="str">
            <v>1021101</v>
          </cell>
          <cell r="E27" t="str">
            <v>GO Corazón Partido@ Cj t-f 20k AS</v>
          </cell>
          <cell r="F27" t="str">
            <v>Subprod</v>
          </cell>
          <cell r="G27" t="str">
            <v>Subprod Visceras</v>
          </cell>
          <cell r="H27">
            <v>12000</v>
          </cell>
          <cell r="I27">
            <v>48000</v>
          </cell>
          <cell r="J27">
            <v>24000</v>
          </cell>
          <cell r="K27">
            <v>24000</v>
          </cell>
          <cell r="L27">
            <v>28000</v>
          </cell>
          <cell r="M27">
            <v>24000</v>
          </cell>
          <cell r="O27" t="str">
            <v>Agro Sudamerica1021101</v>
          </cell>
          <cell r="P27" t="str">
            <v>Cerdo</v>
          </cell>
          <cell r="Q27" t="str">
            <v>Agro Sudamerica</v>
          </cell>
          <cell r="R27" t="str">
            <v>1021101</v>
          </cell>
          <cell r="S27" t="str">
            <v>GO Corazón Partido@ Cj t-f 20k AS</v>
          </cell>
          <cell r="T27" t="str">
            <v>Subprod</v>
          </cell>
          <cell r="U27" t="str">
            <v>Subprod Visceras</v>
          </cell>
          <cell r="V27">
            <v>14040</v>
          </cell>
          <cell r="W27">
            <v>56000</v>
          </cell>
          <cell r="X27">
            <v>26400</v>
          </cell>
          <cell r="Y27">
            <v>24720</v>
          </cell>
          <cell r="Z27">
            <v>32800</v>
          </cell>
          <cell r="AA27">
            <v>29445</v>
          </cell>
        </row>
        <row r="28">
          <cell r="A28" t="str">
            <v>Agro Sudamerica1021105</v>
          </cell>
          <cell r="B28" t="str">
            <v>Cerdo</v>
          </cell>
          <cell r="C28" t="str">
            <v>Agro Sudamerica</v>
          </cell>
          <cell r="D28" t="str">
            <v>1021105</v>
          </cell>
          <cell r="E28" t="str">
            <v>GO Pulmon@ Cj 20k bca AS</v>
          </cell>
          <cell r="F28" t="str">
            <v>Subprod</v>
          </cell>
          <cell r="G28" t="str">
            <v>Subprod Visceras</v>
          </cell>
          <cell r="H28">
            <v>24000</v>
          </cell>
          <cell r="I28">
            <v>24000</v>
          </cell>
          <cell r="J28">
            <v>24000</v>
          </cell>
          <cell r="K28">
            <v>24000</v>
          </cell>
          <cell r="L28"/>
          <cell r="M28"/>
          <cell r="O28" t="str">
            <v>Agro Sudamerica1021105</v>
          </cell>
          <cell r="P28" t="str">
            <v>Cerdo</v>
          </cell>
          <cell r="Q28" t="str">
            <v>Agro Sudamerica</v>
          </cell>
          <cell r="R28" t="str">
            <v>1021105</v>
          </cell>
          <cell r="S28" t="str">
            <v>GO Pulmon@ Cj 20k bca AS</v>
          </cell>
          <cell r="T28" t="str">
            <v>Subprod</v>
          </cell>
          <cell r="U28" t="str">
            <v>Subprod Visceras</v>
          </cell>
          <cell r="V28">
            <v>12960</v>
          </cell>
          <cell r="W28">
            <v>12960</v>
          </cell>
          <cell r="X28">
            <v>12000</v>
          </cell>
          <cell r="Y28">
            <v>11760</v>
          </cell>
          <cell r="Z28"/>
          <cell r="AA28"/>
        </row>
        <row r="29">
          <cell r="A29" t="str">
            <v>Agro Sudamerica1021106</v>
          </cell>
          <cell r="B29" t="str">
            <v>Cerdo</v>
          </cell>
          <cell r="C29" t="str">
            <v>Agro Sudamerica</v>
          </cell>
          <cell r="D29" t="str">
            <v>1021106</v>
          </cell>
          <cell r="E29" t="str">
            <v>GO Pana S/Corazón@ Cj 20k AS</v>
          </cell>
          <cell r="F29" t="str">
            <v>Subprod</v>
          </cell>
          <cell r="G29" t="str">
            <v>Subprod Visceras</v>
          </cell>
          <cell r="H29">
            <v>96000</v>
          </cell>
          <cell r="I29">
            <v>144000</v>
          </cell>
          <cell r="J29">
            <v>96000</v>
          </cell>
          <cell r="K29">
            <v>120000</v>
          </cell>
          <cell r="L29">
            <v>48000</v>
          </cell>
          <cell r="M29">
            <v>120000</v>
          </cell>
          <cell r="O29" t="str">
            <v>Agro Sudamerica1021106</v>
          </cell>
          <cell r="P29" t="str">
            <v>Cerdo</v>
          </cell>
          <cell r="Q29" t="str">
            <v>Agro Sudamerica</v>
          </cell>
          <cell r="R29" t="str">
            <v>1021106</v>
          </cell>
          <cell r="S29" t="str">
            <v>GO Pana S/Corazón@ Cj 20k AS</v>
          </cell>
          <cell r="T29" t="str">
            <v>Subprod</v>
          </cell>
          <cell r="U29" t="str">
            <v>Subprod Visceras</v>
          </cell>
          <cell r="V29">
            <v>67008</v>
          </cell>
          <cell r="W29">
            <v>102640</v>
          </cell>
          <cell r="X29">
            <v>67579</v>
          </cell>
          <cell r="Y29">
            <v>84720</v>
          </cell>
          <cell r="Z29">
            <v>30827</v>
          </cell>
          <cell r="AA29">
            <v>80334</v>
          </cell>
        </row>
        <row r="30">
          <cell r="A30" t="str">
            <v>Agro Sudamerica1021111</v>
          </cell>
          <cell r="B30" t="str">
            <v>Cerdo</v>
          </cell>
          <cell r="C30" t="str">
            <v>Agro Sudamerica</v>
          </cell>
          <cell r="D30" t="str">
            <v>1021111</v>
          </cell>
          <cell r="E30" t="str">
            <v>GO Epiplón@ Cj 20k AS</v>
          </cell>
          <cell r="F30" t="str">
            <v>Grasas</v>
          </cell>
          <cell r="G30" t="str">
            <v>Grasa Interior</v>
          </cell>
          <cell r="H30">
            <v>3000</v>
          </cell>
          <cell r="I30">
            <v>2500</v>
          </cell>
          <cell r="J30"/>
          <cell r="K30"/>
          <cell r="L30"/>
          <cell r="M30"/>
          <cell r="O30" t="str">
            <v>Agro Sudamerica1021111</v>
          </cell>
          <cell r="P30" t="str">
            <v>Cerdo</v>
          </cell>
          <cell r="Q30" t="str">
            <v>Agro Sudamerica</v>
          </cell>
          <cell r="R30" t="str">
            <v>1021111</v>
          </cell>
          <cell r="S30" t="str">
            <v>GO Epiplón@ Cj 20k AS</v>
          </cell>
          <cell r="T30" t="str">
            <v>Grasas</v>
          </cell>
          <cell r="U30" t="str">
            <v>Grasa Interior</v>
          </cell>
          <cell r="V30">
            <v>3900</v>
          </cell>
          <cell r="W30">
            <v>3220</v>
          </cell>
          <cell r="X30"/>
          <cell r="Y30"/>
          <cell r="Z30"/>
          <cell r="AA30"/>
        </row>
        <row r="31">
          <cell r="A31" t="str">
            <v>Agro Sudamerica1021156</v>
          </cell>
          <cell r="B31" t="str">
            <v>Cerdo</v>
          </cell>
          <cell r="C31" t="str">
            <v>Agro Sudamerica</v>
          </cell>
          <cell r="D31" t="str">
            <v>1021156</v>
          </cell>
          <cell r="E31" t="str">
            <v>GO Hso Pecho@ Cj Lom Vet TJ</v>
          </cell>
          <cell r="F31" t="str">
            <v>Huesos</v>
          </cell>
          <cell r="G31" t="str">
            <v>Huesos Cuarto Centra</v>
          </cell>
          <cell r="H31"/>
          <cell r="I31"/>
          <cell r="J31"/>
          <cell r="K31"/>
          <cell r="L31"/>
          <cell r="M31"/>
          <cell r="O31" t="str">
            <v>Agro Sudamerica1021156</v>
          </cell>
          <cell r="P31" t="str">
            <v>Cerdo</v>
          </cell>
          <cell r="Q31" t="str">
            <v>Agro Sudamerica</v>
          </cell>
          <cell r="R31" t="str">
            <v>1021156</v>
          </cell>
          <cell r="S31" t="str">
            <v>GO Hso Pecho@ Cj Lom Vet TJ</v>
          </cell>
          <cell r="T31" t="str">
            <v>Huesos</v>
          </cell>
          <cell r="U31" t="str">
            <v>Huesos Cuarto Centra</v>
          </cell>
          <cell r="V31"/>
          <cell r="W31"/>
          <cell r="X31"/>
          <cell r="Y31"/>
          <cell r="Z31"/>
          <cell r="AA31"/>
        </row>
        <row r="32">
          <cell r="A32" t="str">
            <v>Agro Sudamerica1021187</v>
          </cell>
          <cell r="B32" t="str">
            <v>Cerdo</v>
          </cell>
          <cell r="C32" t="str">
            <v>Agro Sudamerica</v>
          </cell>
          <cell r="D32" t="str">
            <v>1021187</v>
          </cell>
          <cell r="E32" t="str">
            <v>GO Cue Back@ Cj 20k t-f AS</v>
          </cell>
          <cell r="F32" t="str">
            <v>Cueros</v>
          </cell>
          <cell r="G32" t="str">
            <v>Cuero Back</v>
          </cell>
          <cell r="H32">
            <v>72000</v>
          </cell>
          <cell r="I32">
            <v>24000</v>
          </cell>
          <cell r="J32">
            <v>48000</v>
          </cell>
          <cell r="K32">
            <v>24000</v>
          </cell>
          <cell r="L32">
            <v>88000</v>
          </cell>
          <cell r="M32">
            <v>69000</v>
          </cell>
          <cell r="O32" t="str">
            <v>Agro Sudamerica1021187</v>
          </cell>
          <cell r="P32" t="str">
            <v>Cerdo</v>
          </cell>
          <cell r="Q32" t="str">
            <v>Agro Sudamerica</v>
          </cell>
          <cell r="R32" t="str">
            <v>1021187</v>
          </cell>
          <cell r="S32" t="str">
            <v>GO Cue Back@ Cj 20k t-f AS</v>
          </cell>
          <cell r="T32" t="str">
            <v>Cueros</v>
          </cell>
          <cell r="U32" t="str">
            <v>Cuero Back</v>
          </cell>
          <cell r="V32">
            <v>147600</v>
          </cell>
          <cell r="W32">
            <v>50100</v>
          </cell>
          <cell r="X32">
            <v>90190</v>
          </cell>
          <cell r="Y32">
            <v>48240</v>
          </cell>
          <cell r="Z32">
            <v>173280</v>
          </cell>
          <cell r="AA32">
            <v>143717</v>
          </cell>
        </row>
        <row r="33">
          <cell r="A33" t="str">
            <v>Agro Sudamerica1021204</v>
          </cell>
          <cell r="B33" t="str">
            <v>Cerdo</v>
          </cell>
          <cell r="C33" t="str">
            <v>Agro Sudamerica</v>
          </cell>
          <cell r="D33" t="str">
            <v>1021204</v>
          </cell>
          <cell r="E33" t="str">
            <v>GO Lom Tocino@ Cj 20k AS</v>
          </cell>
          <cell r="F33" t="str">
            <v>Grasas</v>
          </cell>
          <cell r="G33" t="str">
            <v>Grasa Lomo Tocino</v>
          </cell>
          <cell r="H33"/>
          <cell r="I33"/>
          <cell r="J33"/>
          <cell r="K33"/>
          <cell r="L33">
            <v>23040</v>
          </cell>
          <cell r="M33"/>
          <cell r="O33" t="str">
            <v>Agro Sudamerica1021204</v>
          </cell>
          <cell r="P33" t="str">
            <v>Cerdo</v>
          </cell>
          <cell r="Q33" t="str">
            <v>Agro Sudamerica</v>
          </cell>
          <cell r="R33" t="str">
            <v>1021204</v>
          </cell>
          <cell r="S33" t="str">
            <v>GO Lom Tocino@ Cj 20k AS</v>
          </cell>
          <cell r="T33" t="str">
            <v>Grasas</v>
          </cell>
          <cell r="U33" t="str">
            <v>Grasa Lomo Tocino</v>
          </cell>
          <cell r="V33"/>
          <cell r="W33"/>
          <cell r="X33"/>
          <cell r="Y33"/>
          <cell r="Z33">
            <v>33869</v>
          </cell>
          <cell r="AA33"/>
        </row>
        <row r="34">
          <cell r="A34" t="str">
            <v>Agro Sudamerica1021237</v>
          </cell>
          <cell r="B34" t="str">
            <v>Cerdo</v>
          </cell>
          <cell r="C34" t="str">
            <v>Agro Sudamerica</v>
          </cell>
          <cell r="D34" t="str">
            <v>1021237</v>
          </cell>
          <cell r="E34" t="str">
            <v>GO Triming 80/20@ Bo c/f Cj 20k AS</v>
          </cell>
          <cell r="F34" t="str">
            <v>Recortes</v>
          </cell>
          <cell r="G34" t="str">
            <v>Recortes No Magro</v>
          </cell>
          <cell r="H34"/>
          <cell r="I34"/>
          <cell r="J34"/>
          <cell r="K34">
            <v>61042</v>
          </cell>
          <cell r="L34">
            <v>13042</v>
          </cell>
          <cell r="M34"/>
          <cell r="O34" t="str">
            <v>Agro Sudamerica1021237</v>
          </cell>
          <cell r="P34" t="str">
            <v>Cerdo</v>
          </cell>
          <cell r="Q34" t="str">
            <v>Agro Sudamerica</v>
          </cell>
          <cell r="R34" t="str">
            <v>1021237</v>
          </cell>
          <cell r="S34" t="str">
            <v>GO Triming 80/20@ Bo c/f Cj 20k AS</v>
          </cell>
          <cell r="T34" t="str">
            <v>Recortes</v>
          </cell>
          <cell r="U34" t="str">
            <v>Recortes No Magro</v>
          </cell>
          <cell r="V34"/>
          <cell r="W34"/>
          <cell r="X34"/>
          <cell r="Y34">
            <v>112844</v>
          </cell>
          <cell r="Z34">
            <v>25041</v>
          </cell>
          <cell r="AA34"/>
        </row>
        <row r="35">
          <cell r="A35" t="str">
            <v>Agro Sudamerica1021263</v>
          </cell>
          <cell r="B35" t="str">
            <v>Cerdo</v>
          </cell>
          <cell r="C35" t="str">
            <v>Agro Sudamerica</v>
          </cell>
          <cell r="D35" t="str">
            <v>1021263</v>
          </cell>
          <cell r="E35" t="str">
            <v>GO PpPna 59@ Fi Cj 20k AS</v>
          </cell>
          <cell r="F35" t="str">
            <v>Pierna</v>
          </cell>
          <cell r="G35" t="str">
            <v>Pierna Pulpa</v>
          </cell>
          <cell r="H35"/>
          <cell r="I35"/>
          <cell r="J35"/>
          <cell r="K35">
            <v>72000</v>
          </cell>
          <cell r="L35">
            <v>48000</v>
          </cell>
          <cell r="M35"/>
          <cell r="O35" t="str">
            <v>Agro Sudamerica1021263</v>
          </cell>
          <cell r="P35" t="str">
            <v>Cerdo</v>
          </cell>
          <cell r="Q35" t="str">
            <v>Agro Sudamerica</v>
          </cell>
          <cell r="R35" t="str">
            <v>1021263</v>
          </cell>
          <cell r="S35" t="str">
            <v>GO PpPna 59@ Fi Cj 20k AS</v>
          </cell>
          <cell r="T35" t="str">
            <v>Pierna</v>
          </cell>
          <cell r="U35" t="str">
            <v>Pierna Pulpa</v>
          </cell>
          <cell r="V35"/>
          <cell r="W35"/>
          <cell r="X35"/>
          <cell r="Y35">
            <v>132240</v>
          </cell>
          <cell r="Z35">
            <v>92880</v>
          </cell>
          <cell r="AA35"/>
        </row>
        <row r="36">
          <cell r="A36" t="str">
            <v>Agro Sudamerica1021287</v>
          </cell>
          <cell r="B36" t="str">
            <v>Cerdo</v>
          </cell>
          <cell r="C36" t="str">
            <v>Agro Sudamerica</v>
          </cell>
          <cell r="D36" t="str">
            <v>1021287</v>
          </cell>
          <cell r="E36" t="str">
            <v>GO Lom Tocino@ Bo Cj AS</v>
          </cell>
          <cell r="F36" t="str">
            <v>Grasas</v>
          </cell>
          <cell r="G36" t="str">
            <v>Grasa Lomo Tocino</v>
          </cell>
          <cell r="H36"/>
          <cell r="I36">
            <v>5000</v>
          </cell>
          <cell r="J36"/>
          <cell r="K36"/>
          <cell r="L36"/>
          <cell r="M36"/>
          <cell r="O36" t="str">
            <v>Agro Sudamerica1021287</v>
          </cell>
          <cell r="P36" t="str">
            <v>Cerdo</v>
          </cell>
          <cell r="Q36" t="str">
            <v>Agro Sudamerica</v>
          </cell>
          <cell r="R36" t="str">
            <v>1021287</v>
          </cell>
          <cell r="S36" t="str">
            <v>GO Lom Tocino@ Bo Cj AS</v>
          </cell>
          <cell r="T36" t="str">
            <v>Grasas</v>
          </cell>
          <cell r="U36" t="str">
            <v>Grasa Lomo Tocino</v>
          </cell>
          <cell r="V36"/>
          <cell r="W36">
            <v>6833</v>
          </cell>
          <cell r="X36"/>
          <cell r="Y36"/>
          <cell r="Z36"/>
          <cell r="AA36"/>
        </row>
        <row r="37">
          <cell r="A37" t="str">
            <v>Agro Sudamerica1021385</v>
          </cell>
          <cell r="B37" t="str">
            <v>Cerdo</v>
          </cell>
          <cell r="C37" t="str">
            <v>Agro Sudamerica</v>
          </cell>
          <cell r="D37" t="str">
            <v>1021385</v>
          </cell>
          <cell r="E37" t="str">
            <v>GO Cue granel Esp CC@ Cj 20k AS</v>
          </cell>
          <cell r="F37" t="str">
            <v>Cueros</v>
          </cell>
          <cell r="G37" t="str">
            <v>Cuero Mixto</v>
          </cell>
          <cell r="H37">
            <v>120000</v>
          </cell>
          <cell r="I37">
            <v>96000</v>
          </cell>
          <cell r="J37">
            <v>144000</v>
          </cell>
          <cell r="K37">
            <v>24000</v>
          </cell>
          <cell r="L37">
            <v>144000</v>
          </cell>
          <cell r="M37">
            <v>250000</v>
          </cell>
          <cell r="O37" t="str">
            <v>Agro Sudamerica1021385</v>
          </cell>
          <cell r="P37" t="str">
            <v>Cerdo</v>
          </cell>
          <cell r="Q37" t="str">
            <v>Agro Sudamerica</v>
          </cell>
          <cell r="R37" t="str">
            <v>1021385</v>
          </cell>
          <cell r="S37" t="str">
            <v>GO Cue granel Esp CC@ Cj 20k AS</v>
          </cell>
          <cell r="T37" t="str">
            <v>Cueros</v>
          </cell>
          <cell r="U37" t="str">
            <v>Cuero Mixto</v>
          </cell>
          <cell r="V37">
            <v>114138.1036</v>
          </cell>
          <cell r="W37">
            <v>93960</v>
          </cell>
          <cell r="X37">
            <v>139920</v>
          </cell>
          <cell r="Y37">
            <v>21600</v>
          </cell>
          <cell r="Z37">
            <v>140160</v>
          </cell>
          <cell r="AA37">
            <v>257478</v>
          </cell>
        </row>
        <row r="38">
          <cell r="A38" t="str">
            <v>Agro Sudamerica1021435</v>
          </cell>
          <cell r="B38" t="str">
            <v>Cerdo</v>
          </cell>
          <cell r="C38" t="str">
            <v>Agro Sudamerica</v>
          </cell>
          <cell r="D38" t="str">
            <v>1021435</v>
          </cell>
          <cell r="E38" t="str">
            <v>GO Gord Lom Tocino@ Cj 20k AS</v>
          </cell>
          <cell r="F38" t="str">
            <v>Grasas</v>
          </cell>
          <cell r="G38" t="str">
            <v>Grasa Gordura</v>
          </cell>
          <cell r="H38"/>
          <cell r="I38">
            <v>24000</v>
          </cell>
          <cell r="J38"/>
          <cell r="K38">
            <v>12000</v>
          </cell>
          <cell r="L38"/>
          <cell r="M38"/>
          <cell r="O38" t="str">
            <v>Agro Sudamerica1021435</v>
          </cell>
          <cell r="P38" t="str">
            <v>Cerdo</v>
          </cell>
          <cell r="Q38" t="str">
            <v>Agro Sudamerica</v>
          </cell>
          <cell r="R38" t="str">
            <v>1021435</v>
          </cell>
          <cell r="S38" t="str">
            <v>GO Gord Lom Tocino@ Cj 20k AS</v>
          </cell>
          <cell r="T38" t="str">
            <v>Grasas</v>
          </cell>
          <cell r="U38" t="str">
            <v>Grasa Gordura</v>
          </cell>
          <cell r="V38"/>
          <cell r="W38">
            <v>26800</v>
          </cell>
          <cell r="X38"/>
          <cell r="Y38">
            <v>10440</v>
          </cell>
          <cell r="Z38"/>
          <cell r="AA38"/>
        </row>
        <row r="39">
          <cell r="A39" t="str">
            <v>Agro Sudamerica1021550</v>
          </cell>
          <cell r="B39" t="str">
            <v>Cerdo</v>
          </cell>
          <cell r="C39" t="str">
            <v>Agro Sudamerica</v>
          </cell>
          <cell r="D39" t="str">
            <v>1021550</v>
          </cell>
          <cell r="E39" t="str">
            <v>GO Triming 85/15@ Cj 20k AS</v>
          </cell>
          <cell r="F39" t="str">
            <v>Recortes</v>
          </cell>
          <cell r="G39" t="str">
            <v>Recortes No Magro</v>
          </cell>
          <cell r="H39"/>
          <cell r="I39">
            <v>5780</v>
          </cell>
          <cell r="J39"/>
          <cell r="K39">
            <v>70958</v>
          </cell>
          <cell r="L39">
            <v>34958</v>
          </cell>
          <cell r="M39"/>
          <cell r="O39" t="str">
            <v>Agro Sudamerica1021550</v>
          </cell>
          <cell r="P39" t="str">
            <v>Cerdo</v>
          </cell>
          <cell r="Q39" t="str">
            <v>Agro Sudamerica</v>
          </cell>
          <cell r="R39" t="str">
            <v>1021550</v>
          </cell>
          <cell r="S39" t="str">
            <v>GO Triming 85/15@ Cj 20k AS</v>
          </cell>
          <cell r="T39" t="str">
            <v>Recortes</v>
          </cell>
          <cell r="U39" t="str">
            <v>Recortes No Magro</v>
          </cell>
          <cell r="V39"/>
          <cell r="W39">
            <v>10500</v>
          </cell>
          <cell r="X39"/>
          <cell r="Y39">
            <v>130996</v>
          </cell>
          <cell r="Z39">
            <v>67119</v>
          </cell>
          <cell r="AA39"/>
        </row>
        <row r="40">
          <cell r="A40" t="str">
            <v>Agro Sudamerica1021622</v>
          </cell>
          <cell r="B40" t="str">
            <v>Cerdo</v>
          </cell>
          <cell r="C40" t="str">
            <v>Agro Sudamerica</v>
          </cell>
          <cell r="D40" t="str">
            <v>1021622</v>
          </cell>
          <cell r="E40" t="str">
            <v>GO BB Ribs 20-24 Oz@ Cj 10k AS</v>
          </cell>
          <cell r="F40" t="str">
            <v>Chuleta</v>
          </cell>
          <cell r="G40" t="str">
            <v>Chuleta Huesos</v>
          </cell>
          <cell r="H40"/>
          <cell r="I40">
            <v>6790</v>
          </cell>
          <cell r="J40"/>
          <cell r="K40">
            <v>18000</v>
          </cell>
          <cell r="L40">
            <v>110</v>
          </cell>
          <cell r="M40"/>
          <cell r="O40" t="str">
            <v>Agro Sudamerica1021622</v>
          </cell>
          <cell r="P40" t="str">
            <v>Cerdo</v>
          </cell>
          <cell r="Q40" t="str">
            <v>Agro Sudamerica</v>
          </cell>
          <cell r="R40" t="str">
            <v>1021622</v>
          </cell>
          <cell r="S40" t="str">
            <v>GO BB Ribs 20-24 Oz@ Cj 10k AS</v>
          </cell>
          <cell r="T40" t="str">
            <v>Chuleta</v>
          </cell>
          <cell r="U40" t="str">
            <v>Chuleta Huesos</v>
          </cell>
          <cell r="V40"/>
          <cell r="W40">
            <v>53075</v>
          </cell>
          <cell r="X40"/>
          <cell r="Y40">
            <v>131760</v>
          </cell>
          <cell r="Z40">
            <v>374</v>
          </cell>
          <cell r="AA40"/>
        </row>
        <row r="41">
          <cell r="A41" t="str">
            <v>Agro Sudamerica1021623</v>
          </cell>
          <cell r="B41" t="str">
            <v>Cerdo</v>
          </cell>
          <cell r="C41" t="str">
            <v>Agro Sudamerica</v>
          </cell>
          <cell r="D41" t="str">
            <v>1021623</v>
          </cell>
          <cell r="E41" t="str">
            <v>GO BB Ribs 24 oz@ Cj 10k AS</v>
          </cell>
          <cell r="F41" t="str">
            <v>Chuleta</v>
          </cell>
          <cell r="G41" t="str">
            <v>Chuleta Huesos</v>
          </cell>
          <cell r="H41">
            <v>2000</v>
          </cell>
          <cell r="I41"/>
          <cell r="J41"/>
          <cell r="K41"/>
          <cell r="L41">
            <v>530</v>
          </cell>
          <cell r="M41"/>
          <cell r="O41" t="str">
            <v>Agro Sudamerica1021623</v>
          </cell>
          <cell r="P41" t="str">
            <v>Cerdo</v>
          </cell>
          <cell r="Q41" t="str">
            <v>Agro Sudamerica</v>
          </cell>
          <cell r="R41" t="str">
            <v>1021623</v>
          </cell>
          <cell r="S41" t="str">
            <v>GO BB Ribs 24 oz@ Cj 10k AS</v>
          </cell>
          <cell r="T41" t="str">
            <v>Chuleta</v>
          </cell>
          <cell r="U41" t="str">
            <v>Chuleta Huesos</v>
          </cell>
          <cell r="V41">
            <v>10600</v>
          </cell>
          <cell r="W41"/>
          <cell r="X41"/>
          <cell r="Y41"/>
          <cell r="Z41">
            <v>1802</v>
          </cell>
          <cell r="AA41"/>
        </row>
        <row r="42">
          <cell r="A42" t="str">
            <v>Agro Sudamerica1021639</v>
          </cell>
          <cell r="B42" t="str">
            <v>Cerdo</v>
          </cell>
          <cell r="C42" t="str">
            <v>Agro Sudamerica</v>
          </cell>
          <cell r="D42" t="str">
            <v>1021639</v>
          </cell>
          <cell r="E42" t="str">
            <v>GO File C/cab@ Cj 5k AS</v>
          </cell>
          <cell r="F42" t="str">
            <v>Filete</v>
          </cell>
          <cell r="G42" t="str">
            <v>Filete c/Cabeza</v>
          </cell>
          <cell r="H42"/>
          <cell r="I42">
            <v>48000</v>
          </cell>
          <cell r="J42">
            <v>24000</v>
          </cell>
          <cell r="K42">
            <v>24000</v>
          </cell>
          <cell r="L42">
            <v>24000</v>
          </cell>
          <cell r="M42">
            <v>25000</v>
          </cell>
          <cell r="O42" t="str">
            <v>Agro Sudamerica1021639</v>
          </cell>
          <cell r="P42" t="str">
            <v>Cerdo</v>
          </cell>
          <cell r="Q42" t="str">
            <v>Agro Sudamerica</v>
          </cell>
          <cell r="R42" t="str">
            <v>1021639</v>
          </cell>
          <cell r="S42" t="str">
            <v>GO File C/cab@ Cj 5k AS</v>
          </cell>
          <cell r="T42" t="str">
            <v>Filete</v>
          </cell>
          <cell r="U42" t="str">
            <v>Filete c/Cabeza</v>
          </cell>
          <cell r="V42"/>
          <cell r="W42">
            <v>147200</v>
          </cell>
          <cell r="X42">
            <v>72000</v>
          </cell>
          <cell r="Y42">
            <v>69600</v>
          </cell>
          <cell r="Z42">
            <v>73200</v>
          </cell>
          <cell r="AA42">
            <v>76334</v>
          </cell>
        </row>
        <row r="43">
          <cell r="A43" t="str">
            <v>Agro Sudamerica1021819</v>
          </cell>
          <cell r="B43" t="str">
            <v>Cerdo</v>
          </cell>
          <cell r="C43" t="str">
            <v>Agro Sudamerica</v>
          </cell>
          <cell r="D43" t="str">
            <v>1021819</v>
          </cell>
          <cell r="E43" t="str">
            <v>GO Lom Ctro 27@ Fi Cj 20k AS</v>
          </cell>
          <cell r="F43" t="str">
            <v>Lomo</v>
          </cell>
          <cell r="G43" t="str">
            <v>Lomo Centro</v>
          </cell>
          <cell r="H43"/>
          <cell r="I43"/>
          <cell r="J43"/>
          <cell r="K43"/>
          <cell r="L43">
            <v>48000</v>
          </cell>
          <cell r="M43"/>
          <cell r="O43" t="str">
            <v>Agro Sudamerica1021819</v>
          </cell>
          <cell r="P43" t="str">
            <v>Cerdo</v>
          </cell>
          <cell r="Q43" t="str">
            <v>Agro Sudamerica</v>
          </cell>
          <cell r="R43" t="str">
            <v>1021819</v>
          </cell>
          <cell r="S43" t="str">
            <v>GO Lom Ctro 27@ Fi Cj 20k AS</v>
          </cell>
          <cell r="T43" t="str">
            <v>Lomo</v>
          </cell>
          <cell r="U43" t="str">
            <v>Lomo Centro</v>
          </cell>
          <cell r="V43"/>
          <cell r="W43"/>
          <cell r="X43"/>
          <cell r="Y43"/>
          <cell r="Z43">
            <v>96000</v>
          </cell>
          <cell r="AA43"/>
        </row>
        <row r="44">
          <cell r="A44" t="str">
            <v>Agro Sudamerica1021820</v>
          </cell>
          <cell r="B44" t="str">
            <v>Cerdo</v>
          </cell>
          <cell r="C44" t="str">
            <v>Agro Sudamerica</v>
          </cell>
          <cell r="D44" t="str">
            <v>1021820</v>
          </cell>
          <cell r="E44" t="str">
            <v>GO Lom Vet 44@ Fi Cj 20k AS</v>
          </cell>
          <cell r="F44" t="str">
            <v>Lomo</v>
          </cell>
          <cell r="G44" t="str">
            <v>Lomo Vetado</v>
          </cell>
          <cell r="H44"/>
          <cell r="I44"/>
          <cell r="J44"/>
          <cell r="K44"/>
          <cell r="L44"/>
          <cell r="M44"/>
          <cell r="O44" t="str">
            <v>Agro Sudamerica1021820</v>
          </cell>
          <cell r="P44" t="str">
            <v>Cerdo</v>
          </cell>
          <cell r="Q44" t="str">
            <v>Agro Sudamerica</v>
          </cell>
          <cell r="R44" t="str">
            <v>1021820</v>
          </cell>
          <cell r="S44" t="str">
            <v>GO Lom Vet 44@ Fi Cj 20k AS</v>
          </cell>
          <cell r="T44" t="str">
            <v>Lomo</v>
          </cell>
          <cell r="U44" t="str">
            <v>Lomo Vetado</v>
          </cell>
          <cell r="V44"/>
          <cell r="W44"/>
          <cell r="X44"/>
          <cell r="Y44"/>
          <cell r="Z44"/>
          <cell r="AA44"/>
        </row>
        <row r="45">
          <cell r="A45" t="str">
            <v>Agro Sudamerica1021864</v>
          </cell>
          <cell r="B45" t="str">
            <v>Cerdo</v>
          </cell>
          <cell r="C45" t="str">
            <v>Agro Sudamerica</v>
          </cell>
          <cell r="D45" t="str">
            <v>1021864</v>
          </cell>
          <cell r="E45" t="str">
            <v>GO Cue Papda CP@ Cj 20k AS</v>
          </cell>
          <cell r="F45" t="str">
            <v>Cueros</v>
          </cell>
          <cell r="G45" t="str">
            <v>Cuero Papada</v>
          </cell>
          <cell r="H45"/>
          <cell r="I45"/>
          <cell r="J45"/>
          <cell r="K45"/>
          <cell r="L45"/>
          <cell r="M45"/>
          <cell r="O45" t="str">
            <v>Agro Sudamerica1021864</v>
          </cell>
          <cell r="P45" t="str">
            <v>Cerdo</v>
          </cell>
          <cell r="Q45" t="str">
            <v>Agro Sudamerica</v>
          </cell>
          <cell r="R45" t="str">
            <v>1021864</v>
          </cell>
          <cell r="S45" t="str">
            <v>GO Cue Papda CP@ Cj 20k AS</v>
          </cell>
          <cell r="T45" t="str">
            <v>Cueros</v>
          </cell>
          <cell r="U45" t="str">
            <v>Cuero Papada</v>
          </cell>
          <cell r="V45"/>
          <cell r="W45"/>
          <cell r="X45"/>
          <cell r="Y45"/>
          <cell r="Z45"/>
          <cell r="AA45"/>
        </row>
        <row r="46">
          <cell r="A46" t="str">
            <v>Agro Sudamerica1021868</v>
          </cell>
          <cell r="B46" t="str">
            <v>Cerdo</v>
          </cell>
          <cell r="C46" t="str">
            <v>Agro Sudamerica</v>
          </cell>
          <cell r="D46" t="str">
            <v>1021868</v>
          </cell>
          <cell r="E46" t="str">
            <v>GO PpPna 54@ Cj 20k AS</v>
          </cell>
          <cell r="F46" t="str">
            <v>Pierna</v>
          </cell>
          <cell r="G46" t="str">
            <v>Pierna Pulpa Fina</v>
          </cell>
          <cell r="H46">
            <v>24000</v>
          </cell>
          <cell r="I46">
            <v>48000</v>
          </cell>
          <cell r="J46">
            <v>48000</v>
          </cell>
          <cell r="K46">
            <v>34000</v>
          </cell>
          <cell r="L46">
            <v>24000</v>
          </cell>
          <cell r="M46">
            <v>24000</v>
          </cell>
          <cell r="O46" t="str">
            <v>Agro Sudamerica1021868</v>
          </cell>
          <cell r="P46" t="str">
            <v>Cerdo</v>
          </cell>
          <cell r="Q46" t="str">
            <v>Agro Sudamerica</v>
          </cell>
          <cell r="R46" t="str">
            <v>1021868</v>
          </cell>
          <cell r="S46" t="str">
            <v>GO PpPna 54@ Cj 20k AS</v>
          </cell>
          <cell r="T46" t="str">
            <v>Pierna</v>
          </cell>
          <cell r="U46" t="str">
            <v>Pierna Pulpa Fina</v>
          </cell>
          <cell r="V46">
            <v>66000</v>
          </cell>
          <cell r="W46">
            <v>134400</v>
          </cell>
          <cell r="X46">
            <v>119520</v>
          </cell>
          <cell r="Y46">
            <v>86500</v>
          </cell>
          <cell r="Z46">
            <v>60000</v>
          </cell>
          <cell r="AA46">
            <v>73172</v>
          </cell>
        </row>
        <row r="47">
          <cell r="A47" t="str">
            <v>Agro Sudamerica1021903</v>
          </cell>
          <cell r="B47" t="str">
            <v>Cerdo</v>
          </cell>
          <cell r="C47" t="str">
            <v>Agro Sudamerica</v>
          </cell>
          <cell r="D47" t="str">
            <v>1021903</v>
          </cell>
          <cell r="E47" t="str">
            <v>GO Corazón Partido@ Cj 10k AS</v>
          </cell>
          <cell r="F47" t="str">
            <v>Subprod</v>
          </cell>
          <cell r="G47" t="str">
            <v>Subprod Visceras</v>
          </cell>
          <cell r="H47"/>
          <cell r="I47"/>
          <cell r="J47"/>
          <cell r="K47"/>
          <cell r="L47">
            <v>24000</v>
          </cell>
          <cell r="M47"/>
          <cell r="O47" t="str">
            <v>Agro Sudamerica1021903</v>
          </cell>
          <cell r="P47" t="str">
            <v>Cerdo</v>
          </cell>
          <cell r="Q47" t="str">
            <v>Agro Sudamerica</v>
          </cell>
          <cell r="R47" t="str">
            <v>1021903</v>
          </cell>
          <cell r="S47" t="str">
            <v>GO Corazón Partido@ Cj 10k AS</v>
          </cell>
          <cell r="T47" t="str">
            <v>Subprod</v>
          </cell>
          <cell r="U47" t="str">
            <v>Subprod Visceras</v>
          </cell>
          <cell r="V47"/>
          <cell r="W47"/>
          <cell r="X47"/>
          <cell r="Y47"/>
          <cell r="Z47">
            <v>29280</v>
          </cell>
          <cell r="AA47"/>
        </row>
        <row r="48">
          <cell r="A48" t="str">
            <v>Agro Sudamerica1021905</v>
          </cell>
          <cell r="B48" t="str">
            <v>Cerdo</v>
          </cell>
          <cell r="C48" t="str">
            <v>Agro Sudamerica</v>
          </cell>
          <cell r="D48" t="str">
            <v>1021905</v>
          </cell>
          <cell r="E48" t="str">
            <v>GO Reco 70/30 @ Cj 20k AS</v>
          </cell>
          <cell r="F48" t="str">
            <v>Recortes</v>
          </cell>
          <cell r="G48" t="str">
            <v>Recortes No Magro</v>
          </cell>
          <cell r="H48"/>
          <cell r="I48"/>
          <cell r="J48"/>
          <cell r="K48"/>
          <cell r="L48"/>
          <cell r="M48"/>
          <cell r="O48" t="str">
            <v>Agro Sudamerica1021905</v>
          </cell>
          <cell r="P48" t="str">
            <v>Cerdo</v>
          </cell>
          <cell r="Q48" t="str">
            <v>Agro Sudamerica</v>
          </cell>
          <cell r="R48" t="str">
            <v>1021905</v>
          </cell>
          <cell r="S48" t="str">
            <v>GO Reco 70/30 @ Cj 20k AS</v>
          </cell>
          <cell r="T48" t="str">
            <v>Recortes</v>
          </cell>
          <cell r="U48" t="str">
            <v>Recortes No Magro</v>
          </cell>
          <cell r="V48"/>
          <cell r="W48"/>
          <cell r="X48"/>
          <cell r="Y48"/>
          <cell r="Z48"/>
          <cell r="AA48"/>
        </row>
        <row r="49">
          <cell r="A49" t="str">
            <v>Agro Sudamerica1021971</v>
          </cell>
          <cell r="B49" t="str">
            <v>Cerdo</v>
          </cell>
          <cell r="C49" t="str">
            <v>Agro Sudamerica</v>
          </cell>
          <cell r="D49" t="str">
            <v>1021971</v>
          </cell>
          <cell r="E49" t="str">
            <v>GO Cue Back@ Cj 20k bca AS</v>
          </cell>
          <cell r="F49" t="str">
            <v>Cueros</v>
          </cell>
          <cell r="G49" t="str">
            <v>Cuero Back</v>
          </cell>
          <cell r="H49"/>
          <cell r="I49"/>
          <cell r="J49"/>
          <cell r="K49"/>
          <cell r="L49"/>
          <cell r="M49">
            <v>3000</v>
          </cell>
          <cell r="O49" t="str">
            <v>Agro Sudamerica1021971</v>
          </cell>
          <cell r="P49" t="str">
            <v>Cerdo</v>
          </cell>
          <cell r="Q49" t="str">
            <v>Agro Sudamerica</v>
          </cell>
          <cell r="R49" t="str">
            <v>1021971</v>
          </cell>
          <cell r="S49" t="str">
            <v>GO Cue Back@ Cj 20k bca AS</v>
          </cell>
          <cell r="T49" t="str">
            <v>Cueros</v>
          </cell>
          <cell r="U49" t="str">
            <v>Cuero Back</v>
          </cell>
          <cell r="V49"/>
          <cell r="W49"/>
          <cell r="X49"/>
          <cell r="Y49"/>
          <cell r="Z49"/>
          <cell r="AA49">
            <v>6150</v>
          </cell>
        </row>
        <row r="50">
          <cell r="A50" t="str">
            <v>Agro Sudamerica1021976</v>
          </cell>
          <cell r="B50" t="str">
            <v>Cerdo</v>
          </cell>
          <cell r="C50" t="str">
            <v>Agro Sudamerica</v>
          </cell>
          <cell r="D50" t="str">
            <v>1021976</v>
          </cell>
          <cell r="E50" t="str">
            <v>GO PpPal 77@ Cj 20k AS</v>
          </cell>
          <cell r="F50" t="str">
            <v>Paleta</v>
          </cell>
          <cell r="G50" t="str">
            <v>Paleta Pulpa</v>
          </cell>
          <cell r="H50">
            <v>80000</v>
          </cell>
          <cell r="I50">
            <v>187000</v>
          </cell>
          <cell r="J50">
            <v>312000</v>
          </cell>
          <cell r="K50">
            <v>168000</v>
          </cell>
          <cell r="L50">
            <v>340000</v>
          </cell>
          <cell r="M50">
            <v>254000</v>
          </cell>
          <cell r="O50" t="str">
            <v>Agro Sudamerica1021976</v>
          </cell>
          <cell r="P50" t="str">
            <v>Cerdo</v>
          </cell>
          <cell r="Q50" t="str">
            <v>Agro Sudamerica</v>
          </cell>
          <cell r="R50" t="str">
            <v>1021976</v>
          </cell>
          <cell r="S50" t="str">
            <v>GO PpPal 77@ Cj 20k AS</v>
          </cell>
          <cell r="T50" t="str">
            <v>Paleta</v>
          </cell>
          <cell r="U50" t="str">
            <v>Paleta Pulpa</v>
          </cell>
          <cell r="V50">
            <v>179200</v>
          </cell>
          <cell r="W50">
            <v>405233</v>
          </cell>
          <cell r="X50">
            <v>682914</v>
          </cell>
          <cell r="Y50">
            <v>369600</v>
          </cell>
          <cell r="Z50">
            <v>769345</v>
          </cell>
          <cell r="AA50">
            <v>595202</v>
          </cell>
        </row>
        <row r="51">
          <cell r="A51" t="str">
            <v>Agro Sudamerica1022047</v>
          </cell>
          <cell r="B51" t="str">
            <v>Cerdo</v>
          </cell>
          <cell r="C51" t="str">
            <v>Agro Sudamerica</v>
          </cell>
          <cell r="D51" t="str">
            <v>1022047</v>
          </cell>
          <cell r="E51" t="str">
            <v>GO Triming Panc@ Cj 20k AS</v>
          </cell>
          <cell r="F51" t="str">
            <v>Recortes</v>
          </cell>
          <cell r="G51" t="str">
            <v>Recortes No Magro</v>
          </cell>
          <cell r="H51"/>
          <cell r="I51"/>
          <cell r="J51"/>
          <cell r="K51">
            <v>48000</v>
          </cell>
          <cell r="L51"/>
          <cell r="M51"/>
          <cell r="O51" t="str">
            <v>Agro Sudamerica1022047</v>
          </cell>
          <cell r="P51" t="str">
            <v>Cerdo</v>
          </cell>
          <cell r="Q51" t="str">
            <v>Agro Sudamerica</v>
          </cell>
          <cell r="R51" t="str">
            <v>1022047</v>
          </cell>
          <cell r="S51" t="str">
            <v>GO Triming Panc@ Cj 20k AS</v>
          </cell>
          <cell r="T51" t="str">
            <v>Recortes</v>
          </cell>
          <cell r="U51" t="str">
            <v>Recortes No Magro</v>
          </cell>
          <cell r="V51"/>
          <cell r="W51"/>
          <cell r="X51"/>
          <cell r="Y51">
            <v>63600</v>
          </cell>
          <cell r="Z51"/>
          <cell r="AA51"/>
        </row>
        <row r="52">
          <cell r="A52" t="str">
            <v>Agro Sudamerica1022149</v>
          </cell>
          <cell r="B52" t="str">
            <v>Cerdo</v>
          </cell>
          <cell r="C52" t="str">
            <v>Agro Sudamerica</v>
          </cell>
          <cell r="D52" t="str">
            <v>1022149</v>
          </cell>
          <cell r="E52" t="str">
            <v>GO Plancha Rebaje Ent@ Cj 20k AS</v>
          </cell>
          <cell r="F52" t="str">
            <v>Plancha</v>
          </cell>
          <cell r="G52" t="str">
            <v>Plancha s/Cuero</v>
          </cell>
          <cell r="H52">
            <v>72000</v>
          </cell>
          <cell r="I52">
            <v>36000</v>
          </cell>
          <cell r="J52">
            <v>48000</v>
          </cell>
          <cell r="K52">
            <v>24000</v>
          </cell>
          <cell r="L52">
            <v>24000</v>
          </cell>
          <cell r="M52">
            <v>24000</v>
          </cell>
          <cell r="O52" t="str">
            <v>Agro Sudamerica1022149</v>
          </cell>
          <cell r="P52" t="str">
            <v>Cerdo</v>
          </cell>
          <cell r="Q52" t="str">
            <v>Agro Sudamerica</v>
          </cell>
          <cell r="R52" t="str">
            <v>1022149</v>
          </cell>
          <cell r="S52" t="str">
            <v>GO Plancha Rebaje Ent@ Cj 20k AS</v>
          </cell>
          <cell r="T52" t="str">
            <v>Plancha</v>
          </cell>
          <cell r="U52" t="str">
            <v>Plancha s/Cuero</v>
          </cell>
          <cell r="V52">
            <v>149040</v>
          </cell>
          <cell r="W52">
            <v>81300</v>
          </cell>
          <cell r="X52">
            <v>86400</v>
          </cell>
          <cell r="Y52">
            <v>41040</v>
          </cell>
          <cell r="Z52">
            <v>44640</v>
          </cell>
          <cell r="AA52">
            <v>44765</v>
          </cell>
        </row>
        <row r="53">
          <cell r="A53" t="str">
            <v>Agro Sudamerica1022150</v>
          </cell>
          <cell r="B53" t="str">
            <v>Cerdo</v>
          </cell>
          <cell r="C53" t="str">
            <v>Agro Sudamerica</v>
          </cell>
          <cell r="D53" t="str">
            <v>1022150</v>
          </cell>
          <cell r="E53" t="str">
            <v>GO Gord chic@ Cj 20k AS</v>
          </cell>
          <cell r="F53" t="str">
            <v>Grasas</v>
          </cell>
          <cell r="G53" t="str">
            <v>Grasa Gordura</v>
          </cell>
          <cell r="H53">
            <v>120000</v>
          </cell>
          <cell r="I53">
            <v>174000</v>
          </cell>
          <cell r="J53">
            <v>132000</v>
          </cell>
          <cell r="K53">
            <v>96000</v>
          </cell>
          <cell r="L53">
            <v>168000</v>
          </cell>
          <cell r="M53">
            <v>168000</v>
          </cell>
          <cell r="O53" t="str">
            <v>Agro Sudamerica1022150</v>
          </cell>
          <cell r="P53" t="str">
            <v>Cerdo</v>
          </cell>
          <cell r="Q53" t="str">
            <v>Agro Sudamerica</v>
          </cell>
          <cell r="R53" t="str">
            <v>1022150</v>
          </cell>
          <cell r="S53" t="str">
            <v>GO Gord chic@ Cj 20k AS</v>
          </cell>
          <cell r="T53" t="str">
            <v>Grasas</v>
          </cell>
          <cell r="U53" t="str">
            <v>Grasa Gordura</v>
          </cell>
          <cell r="V53">
            <v>124800</v>
          </cell>
          <cell r="W53">
            <v>183900</v>
          </cell>
          <cell r="X53">
            <v>127200</v>
          </cell>
          <cell r="Y53">
            <v>88560</v>
          </cell>
          <cell r="Z53">
            <v>187440</v>
          </cell>
          <cell r="AA53">
            <v>218215</v>
          </cell>
        </row>
        <row r="54">
          <cell r="A54" t="str">
            <v>Agro Sudamerica1022196</v>
          </cell>
          <cell r="B54" t="str">
            <v>Cerdo</v>
          </cell>
          <cell r="C54" t="str">
            <v>Agro Sudamerica</v>
          </cell>
          <cell r="D54" t="str">
            <v>1022196</v>
          </cell>
          <cell r="E54" t="str">
            <v>GO Forro Pal@ Cj 20k AS</v>
          </cell>
          <cell r="F54" t="str">
            <v>Cueros</v>
          </cell>
          <cell r="G54" t="str">
            <v>Cuero Forro</v>
          </cell>
          <cell r="H54"/>
          <cell r="I54">
            <v>24000</v>
          </cell>
          <cell r="J54">
            <v>48000</v>
          </cell>
          <cell r="K54"/>
          <cell r="L54">
            <v>24000</v>
          </cell>
          <cell r="M54">
            <v>24000</v>
          </cell>
          <cell r="O54" t="str">
            <v>Agro Sudamerica1022196</v>
          </cell>
          <cell r="P54" t="str">
            <v>Cerdo</v>
          </cell>
          <cell r="Q54" t="str">
            <v>Agro Sudamerica</v>
          </cell>
          <cell r="R54" t="str">
            <v>1022196</v>
          </cell>
          <cell r="S54" t="str">
            <v>GO Forro Pal@ Cj 20k AS</v>
          </cell>
          <cell r="T54" t="str">
            <v>Cueros</v>
          </cell>
          <cell r="U54" t="str">
            <v>Cuero Forro</v>
          </cell>
          <cell r="V54"/>
          <cell r="W54">
            <v>15600</v>
          </cell>
          <cell r="X54">
            <v>31200</v>
          </cell>
          <cell r="Y54"/>
          <cell r="Z54">
            <v>10800</v>
          </cell>
          <cell r="AA54">
            <v>16440</v>
          </cell>
        </row>
        <row r="55">
          <cell r="A55" t="str">
            <v>Agro Sudamerica1022197</v>
          </cell>
          <cell r="B55" t="str">
            <v>Cerdo</v>
          </cell>
          <cell r="C55" t="str">
            <v>Agro Sudamerica</v>
          </cell>
          <cell r="D55" t="str">
            <v>1022197</v>
          </cell>
          <cell r="E55" t="str">
            <v>GO Pna Forro@ Cj 20k AS</v>
          </cell>
          <cell r="F55" t="str">
            <v>Cueros</v>
          </cell>
          <cell r="G55" t="str">
            <v>Cuero Forro</v>
          </cell>
          <cell r="H55"/>
          <cell r="I55"/>
          <cell r="J55">
            <v>24000</v>
          </cell>
          <cell r="K55">
            <v>24000</v>
          </cell>
          <cell r="L55"/>
          <cell r="M55"/>
          <cell r="O55" t="str">
            <v>Agro Sudamerica1022197</v>
          </cell>
          <cell r="P55" t="str">
            <v>Cerdo</v>
          </cell>
          <cell r="Q55" t="str">
            <v>Agro Sudamerica</v>
          </cell>
          <cell r="R55" t="str">
            <v>1022197</v>
          </cell>
          <cell r="S55" t="str">
            <v>GO Pna Forro@ Cj 20k AS</v>
          </cell>
          <cell r="T55" t="str">
            <v>Cueros</v>
          </cell>
          <cell r="U55" t="str">
            <v>Cuero Forro</v>
          </cell>
          <cell r="V55"/>
          <cell r="W55"/>
          <cell r="X55">
            <v>21600</v>
          </cell>
          <cell r="Y55">
            <v>18240</v>
          </cell>
          <cell r="Z55"/>
          <cell r="AA55"/>
        </row>
        <row r="56">
          <cell r="A56" t="str">
            <v>Agro Sudamerica1022217</v>
          </cell>
          <cell r="B56" t="str">
            <v>Cerdo</v>
          </cell>
          <cell r="C56" t="str">
            <v>Agro Sudamerica</v>
          </cell>
          <cell r="D56" t="str">
            <v>1022217</v>
          </cell>
          <cell r="E56" t="str">
            <v>GO Lom Tocino@ Bo Cj 20k AS</v>
          </cell>
          <cell r="F56" t="str">
            <v>Grasas</v>
          </cell>
          <cell r="G56" t="str">
            <v>Grasa Lomo Tocino</v>
          </cell>
          <cell r="H56"/>
          <cell r="I56"/>
          <cell r="J56"/>
          <cell r="K56"/>
          <cell r="L56"/>
          <cell r="M56"/>
          <cell r="O56" t="str">
            <v>Agro Sudamerica1022217</v>
          </cell>
          <cell r="P56" t="str">
            <v>Cerdo</v>
          </cell>
          <cell r="Q56" t="str">
            <v>Agro Sudamerica</v>
          </cell>
          <cell r="R56" t="str">
            <v>1022217</v>
          </cell>
          <cell r="S56" t="str">
            <v>GO Lom Tocino@ Bo Cj 20k AS</v>
          </cell>
          <cell r="T56" t="str">
            <v>Grasas</v>
          </cell>
          <cell r="U56" t="str">
            <v>Grasa Lomo Tocino</v>
          </cell>
          <cell r="V56"/>
          <cell r="W56"/>
          <cell r="X56"/>
          <cell r="Y56"/>
          <cell r="Z56"/>
          <cell r="AA56"/>
        </row>
        <row r="57">
          <cell r="A57" t="str">
            <v>Agro Sudamerica1022218</v>
          </cell>
          <cell r="B57" t="str">
            <v>Cerdo</v>
          </cell>
          <cell r="C57" t="str">
            <v>Agro Sudamerica</v>
          </cell>
          <cell r="D57" t="str">
            <v>1022218</v>
          </cell>
          <cell r="E57" t="str">
            <v>GO Grasa Forro Pna Limp@ Cj 20k AS</v>
          </cell>
          <cell r="F57" t="str">
            <v>Grasas</v>
          </cell>
          <cell r="G57" t="str">
            <v>Grasa Forro</v>
          </cell>
          <cell r="H57">
            <v>7000</v>
          </cell>
          <cell r="I57"/>
          <cell r="J57"/>
          <cell r="K57"/>
          <cell r="L57"/>
          <cell r="M57"/>
          <cell r="O57" t="str">
            <v>Agro Sudamerica1022218</v>
          </cell>
          <cell r="P57" t="str">
            <v>Cerdo</v>
          </cell>
          <cell r="Q57" t="str">
            <v>Agro Sudamerica</v>
          </cell>
          <cell r="R57" t="str">
            <v>1022218</v>
          </cell>
          <cell r="S57" t="str">
            <v>GO Grasa Forro Pna Limp@ Cj 20k AS</v>
          </cell>
          <cell r="T57" t="str">
            <v>Grasas</v>
          </cell>
          <cell r="U57" t="str">
            <v>Grasa Forro</v>
          </cell>
          <cell r="V57">
            <v>10850</v>
          </cell>
          <cell r="W57"/>
          <cell r="X57"/>
          <cell r="Y57"/>
          <cell r="Z57"/>
          <cell r="AA57"/>
        </row>
        <row r="58">
          <cell r="A58" t="str">
            <v>Agro Sudamerica1022247</v>
          </cell>
          <cell r="B58" t="str">
            <v>Cerdo</v>
          </cell>
          <cell r="C58" t="str">
            <v>Agro Sudamerica</v>
          </cell>
          <cell r="D58" t="str">
            <v>1022247</v>
          </cell>
          <cell r="E58" t="str">
            <v>GO Triming 60/40@ Bo Cj AS</v>
          </cell>
          <cell r="F58" t="str">
            <v>Recortes</v>
          </cell>
          <cell r="G58" t="str">
            <v>Recortes No Magro</v>
          </cell>
          <cell r="H58"/>
          <cell r="I58"/>
          <cell r="J58"/>
          <cell r="K58">
            <v>48000</v>
          </cell>
          <cell r="L58"/>
          <cell r="M58"/>
          <cell r="O58" t="str">
            <v>Agro Sudamerica1022247</v>
          </cell>
          <cell r="P58" t="str">
            <v>Cerdo</v>
          </cell>
          <cell r="Q58" t="str">
            <v>Agro Sudamerica</v>
          </cell>
          <cell r="R58" t="str">
            <v>1022247</v>
          </cell>
          <cell r="S58" t="str">
            <v>GO Triming 60/40@ Bo Cj AS</v>
          </cell>
          <cell r="T58" t="str">
            <v>Recortes</v>
          </cell>
          <cell r="U58" t="str">
            <v>Recortes No Magro</v>
          </cell>
          <cell r="V58"/>
          <cell r="W58"/>
          <cell r="X58"/>
          <cell r="Y58">
            <v>64560</v>
          </cell>
          <cell r="Z58"/>
          <cell r="AA58"/>
        </row>
        <row r="59">
          <cell r="A59" t="str">
            <v>Agro Sudamerica1022273</v>
          </cell>
          <cell r="B59" t="str">
            <v>Cerdo</v>
          </cell>
          <cell r="C59" t="str">
            <v>Agro Sudamerica</v>
          </cell>
          <cell r="D59" t="str">
            <v>1022273</v>
          </cell>
          <cell r="E59" t="str">
            <v>GO Grasa Forro Pna Limp@ Bo Cj AS</v>
          </cell>
          <cell r="F59" t="str">
            <v>Grasas</v>
          </cell>
          <cell r="G59" t="str">
            <v>Grasa Forro</v>
          </cell>
          <cell r="H59"/>
          <cell r="I59"/>
          <cell r="J59">
            <v>12000</v>
          </cell>
          <cell r="K59"/>
          <cell r="L59"/>
          <cell r="M59"/>
          <cell r="O59" t="str">
            <v>Agro Sudamerica1022273</v>
          </cell>
          <cell r="P59" t="str">
            <v>Cerdo</v>
          </cell>
          <cell r="Q59" t="str">
            <v>Agro Sudamerica</v>
          </cell>
          <cell r="R59" t="str">
            <v>1022273</v>
          </cell>
          <cell r="S59" t="str">
            <v>GO Grasa Forro Pna Limp@ Bo Cj AS</v>
          </cell>
          <cell r="T59" t="str">
            <v>Grasas</v>
          </cell>
          <cell r="U59" t="str">
            <v>Grasa Forro</v>
          </cell>
          <cell r="V59"/>
          <cell r="W59"/>
          <cell r="X59">
            <v>12000</v>
          </cell>
          <cell r="Y59"/>
          <cell r="Z59"/>
          <cell r="AA59"/>
        </row>
        <row r="60">
          <cell r="A60" t="str">
            <v>Agro Sudamerica1022384</v>
          </cell>
          <cell r="B60" t="str">
            <v>Cerdo</v>
          </cell>
          <cell r="C60" t="str">
            <v>Agro Sudamerica</v>
          </cell>
          <cell r="D60" t="str">
            <v>1022384</v>
          </cell>
          <cell r="E60" t="str">
            <v>GO BB Ribs Grd B@ Fi Cj 10k AS</v>
          </cell>
          <cell r="F60" t="str">
            <v>Chuleta</v>
          </cell>
          <cell r="G60" t="str">
            <v>Chuleta Huesos</v>
          </cell>
          <cell r="H60">
            <v>2947</v>
          </cell>
          <cell r="I60"/>
          <cell r="J60"/>
          <cell r="K60"/>
          <cell r="L60">
            <v>619</v>
          </cell>
          <cell r="M60"/>
          <cell r="O60" t="str">
            <v>Agro Sudamerica1022384</v>
          </cell>
          <cell r="P60" t="str">
            <v>Cerdo</v>
          </cell>
          <cell r="Q60" t="str">
            <v>Agro Sudamerica</v>
          </cell>
          <cell r="R60" t="str">
            <v>1022384</v>
          </cell>
          <cell r="S60" t="str">
            <v>GO BB Ribs Grd B@ Fi Cj 10k AS</v>
          </cell>
          <cell r="T60" t="str">
            <v>Chuleta</v>
          </cell>
          <cell r="U60" t="str">
            <v>Chuleta Huesos</v>
          </cell>
          <cell r="V60">
            <v>15619.1</v>
          </cell>
          <cell r="W60"/>
          <cell r="X60"/>
          <cell r="Y60"/>
          <cell r="Z60">
            <v>2105</v>
          </cell>
          <cell r="AA60"/>
        </row>
        <row r="61">
          <cell r="A61" t="str">
            <v>Agro Sudamerica1022406</v>
          </cell>
          <cell r="B61" t="str">
            <v>Cerdo</v>
          </cell>
          <cell r="C61" t="str">
            <v>Agro Sudamerica</v>
          </cell>
          <cell r="D61" t="str">
            <v>1022406</v>
          </cell>
          <cell r="E61" t="str">
            <v>GO Patas B@ Bo Cj 20 k AS</v>
          </cell>
          <cell r="F61" t="str">
            <v>Subprod</v>
          </cell>
          <cell r="G61" t="str">
            <v>Subprod Patas-Manos</v>
          </cell>
          <cell r="H61"/>
          <cell r="I61"/>
          <cell r="J61"/>
          <cell r="K61"/>
          <cell r="L61"/>
          <cell r="M61"/>
          <cell r="O61" t="str">
            <v>Agro Sudamerica1022406</v>
          </cell>
          <cell r="P61" t="str">
            <v>Cerdo</v>
          </cell>
          <cell r="Q61" t="str">
            <v>Agro Sudamerica</v>
          </cell>
          <cell r="R61" t="str">
            <v>1022406</v>
          </cell>
          <cell r="S61" t="str">
            <v>GO Patas B@ Bo Cj 20 k AS</v>
          </cell>
          <cell r="T61" t="str">
            <v>Subprod</v>
          </cell>
          <cell r="U61" t="str">
            <v>Subprod Patas-Manos</v>
          </cell>
          <cell r="V61"/>
          <cell r="W61"/>
          <cell r="X61"/>
          <cell r="Y61"/>
          <cell r="Z61"/>
          <cell r="AA61"/>
        </row>
        <row r="62">
          <cell r="A62" t="str">
            <v>Agro Sudamerica1022409</v>
          </cell>
          <cell r="B62" t="str">
            <v>Cerdo</v>
          </cell>
          <cell r="C62" t="str">
            <v>Agro Sudamerica</v>
          </cell>
          <cell r="D62" t="str">
            <v>1022409</v>
          </cell>
          <cell r="E62" t="str">
            <v>GO Tripa s/Cal# Bidon AS</v>
          </cell>
          <cell r="F62" t="str">
            <v>Subprod</v>
          </cell>
          <cell r="G62" t="str">
            <v>Subprod Tripa</v>
          </cell>
          <cell r="H62">
            <v>23940</v>
          </cell>
          <cell r="I62">
            <v>13680</v>
          </cell>
          <cell r="J62">
            <v>23940</v>
          </cell>
          <cell r="K62">
            <v>13680</v>
          </cell>
          <cell r="L62"/>
          <cell r="M62">
            <v>13680</v>
          </cell>
          <cell r="O62" t="str">
            <v>Agro Sudamerica1022409</v>
          </cell>
          <cell r="P62" t="str">
            <v>Cerdo</v>
          </cell>
          <cell r="Q62" t="str">
            <v>Agro Sudamerica</v>
          </cell>
          <cell r="R62" t="str">
            <v>1022409</v>
          </cell>
          <cell r="S62" t="str">
            <v>GO Tripa s/Cal# Bidon AS</v>
          </cell>
          <cell r="T62" t="str">
            <v>Subprod</v>
          </cell>
          <cell r="U62" t="str">
            <v>Subprod Tripa</v>
          </cell>
          <cell r="V62">
            <v>113715</v>
          </cell>
          <cell r="W62">
            <v>114912</v>
          </cell>
          <cell r="X62">
            <v>116348</v>
          </cell>
          <cell r="Y62">
            <v>114228</v>
          </cell>
          <cell r="Z62"/>
          <cell r="AA62">
            <v>115520</v>
          </cell>
        </row>
        <row r="63">
          <cell r="A63" t="str">
            <v>Agro Sudamerica1022418</v>
          </cell>
          <cell r="B63" t="str">
            <v>Cerdo</v>
          </cell>
          <cell r="C63" t="str">
            <v>Agro Sudamerica</v>
          </cell>
          <cell r="D63" t="str">
            <v>1022418</v>
          </cell>
          <cell r="E63" t="str">
            <v>GO Tripa s/Cal# Bidon AS</v>
          </cell>
          <cell r="F63" t="str">
            <v>Subprod</v>
          </cell>
          <cell r="G63" t="str">
            <v>Subprod Tripa</v>
          </cell>
          <cell r="H63"/>
          <cell r="I63"/>
          <cell r="J63"/>
          <cell r="K63"/>
          <cell r="L63"/>
          <cell r="M63"/>
          <cell r="O63" t="str">
            <v>Agro Sudamerica1022418</v>
          </cell>
          <cell r="P63" t="str">
            <v>Cerdo</v>
          </cell>
          <cell r="Q63" t="str">
            <v>Agro Sudamerica</v>
          </cell>
          <cell r="R63" t="str">
            <v>1022418</v>
          </cell>
          <cell r="S63" t="str">
            <v>GO Tripa s/Cal# Bidon AS</v>
          </cell>
          <cell r="T63" t="str">
            <v>Subprod</v>
          </cell>
          <cell r="U63" t="str">
            <v>Subprod Tripa</v>
          </cell>
          <cell r="V63"/>
          <cell r="W63"/>
          <cell r="X63"/>
          <cell r="Y63"/>
          <cell r="Z63"/>
          <cell r="AA63"/>
        </row>
        <row r="64">
          <cell r="A64" t="str">
            <v>Agro Sudamerica1022569</v>
          </cell>
          <cell r="B64" t="str">
            <v>Cerdo</v>
          </cell>
          <cell r="C64" t="str">
            <v>Agro Sudamerica</v>
          </cell>
          <cell r="D64" t="str">
            <v>1022569</v>
          </cell>
          <cell r="E64" t="str">
            <v>GO BB Ribs 24-28 Oz@ Cj 10k AS</v>
          </cell>
          <cell r="F64" t="str">
            <v>Chuleta</v>
          </cell>
          <cell r="G64" t="str">
            <v>Chuleta Huesos</v>
          </cell>
          <cell r="H64"/>
          <cell r="I64">
            <v>5000</v>
          </cell>
          <cell r="J64"/>
          <cell r="K64"/>
          <cell r="L64">
            <v>5000</v>
          </cell>
          <cell r="M64">
            <v>5000</v>
          </cell>
          <cell r="O64" t="str">
            <v>Agro Sudamerica1022569</v>
          </cell>
          <cell r="P64" t="str">
            <v>Cerdo</v>
          </cell>
          <cell r="Q64" t="str">
            <v>Agro Sudamerica</v>
          </cell>
          <cell r="R64" t="str">
            <v>1022569</v>
          </cell>
          <cell r="S64" t="str">
            <v>GO BB Ribs 24-28 Oz@ Cj 10k AS</v>
          </cell>
          <cell r="T64" t="str">
            <v>Chuleta</v>
          </cell>
          <cell r="U64" t="str">
            <v>Chuleta Huesos</v>
          </cell>
          <cell r="V64"/>
          <cell r="W64">
            <v>35667</v>
          </cell>
          <cell r="X64"/>
          <cell r="Y64"/>
          <cell r="Z64">
            <v>35400</v>
          </cell>
          <cell r="AA64">
            <v>35437</v>
          </cell>
        </row>
        <row r="65">
          <cell r="A65" t="str">
            <v>Agro Sudamerica1022654</v>
          </cell>
          <cell r="B65" t="str">
            <v>Cerdo</v>
          </cell>
          <cell r="C65" t="str">
            <v>Agro Sudamerica</v>
          </cell>
          <cell r="D65" t="str">
            <v>1022654</v>
          </cell>
          <cell r="E65" t="str">
            <v>GO Triming 90/10@ Cj 20k AS</v>
          </cell>
          <cell r="F65" t="str">
            <v>Recortes</v>
          </cell>
          <cell r="G65" t="str">
            <v>Recortes No Magro</v>
          </cell>
          <cell r="H65"/>
          <cell r="I65">
            <v>3360</v>
          </cell>
          <cell r="J65"/>
          <cell r="K65"/>
          <cell r="L65"/>
          <cell r="M65"/>
          <cell r="O65" t="str">
            <v>Agro Sudamerica1022654</v>
          </cell>
          <cell r="P65" t="str">
            <v>Cerdo</v>
          </cell>
          <cell r="Q65" t="str">
            <v>Agro Sudamerica</v>
          </cell>
          <cell r="R65" t="str">
            <v>1022654</v>
          </cell>
          <cell r="S65" t="str">
            <v>GO Triming 90/10@ Cj 20k AS</v>
          </cell>
          <cell r="T65" t="str">
            <v>Recortes</v>
          </cell>
          <cell r="U65" t="str">
            <v>Recortes No Magro</v>
          </cell>
          <cell r="V65"/>
          <cell r="W65">
            <v>6104</v>
          </cell>
          <cell r="X65"/>
          <cell r="Y65"/>
          <cell r="Z65"/>
          <cell r="AA65"/>
        </row>
        <row r="66">
          <cell r="A66" t="str">
            <v>Agro Sudamerica1022705</v>
          </cell>
          <cell r="B66" t="str">
            <v>Cerdo</v>
          </cell>
          <cell r="C66" t="str">
            <v>Agro Sudamerica</v>
          </cell>
          <cell r="D66" t="str">
            <v>1022705</v>
          </cell>
          <cell r="E66" t="str">
            <v>GO Mantec@ Cj 20k AS</v>
          </cell>
          <cell r="F66" t="str">
            <v>Grasas</v>
          </cell>
          <cell r="G66" t="str">
            <v>Grasa Interior</v>
          </cell>
          <cell r="H66"/>
          <cell r="I66"/>
          <cell r="J66"/>
          <cell r="K66"/>
          <cell r="L66"/>
          <cell r="M66"/>
          <cell r="O66" t="str">
            <v>Agro Sudamerica1022705</v>
          </cell>
          <cell r="P66" t="str">
            <v>Cerdo</v>
          </cell>
          <cell r="Q66" t="str">
            <v>Agro Sudamerica</v>
          </cell>
          <cell r="R66" t="str">
            <v>1022705</v>
          </cell>
          <cell r="S66" t="str">
            <v>GO Mantec@ Cj 20k AS</v>
          </cell>
          <cell r="T66" t="str">
            <v>Grasas</v>
          </cell>
          <cell r="U66" t="str">
            <v>Grasa Interior</v>
          </cell>
          <cell r="V66"/>
          <cell r="W66"/>
          <cell r="X66"/>
          <cell r="Y66"/>
          <cell r="Z66"/>
          <cell r="AA66"/>
        </row>
        <row r="67">
          <cell r="A67" t="str">
            <v>Agro Sudamerica1022709</v>
          </cell>
          <cell r="B67" t="str">
            <v>Cerdo</v>
          </cell>
          <cell r="C67" t="str">
            <v>Agro Sudamerica</v>
          </cell>
          <cell r="D67" t="str">
            <v>1022709</v>
          </cell>
          <cell r="E67" t="str">
            <v>GO PpPna 57@ Bo Cj AS</v>
          </cell>
          <cell r="F67" t="str">
            <v>Pierna</v>
          </cell>
          <cell r="G67" t="str">
            <v>Pierna Pulpa</v>
          </cell>
          <cell r="H67"/>
          <cell r="I67">
            <v>65000</v>
          </cell>
          <cell r="J67">
            <v>48000</v>
          </cell>
          <cell r="K67">
            <v>120000</v>
          </cell>
          <cell r="L67">
            <v>83000</v>
          </cell>
          <cell r="M67">
            <v>419000</v>
          </cell>
          <cell r="O67" t="str">
            <v>Agro Sudamerica1022709</v>
          </cell>
          <cell r="P67" t="str">
            <v>Cerdo</v>
          </cell>
          <cell r="Q67" t="str">
            <v>Agro Sudamerica</v>
          </cell>
          <cell r="R67" t="str">
            <v>1022709</v>
          </cell>
          <cell r="S67" t="str">
            <v>GO PpPna 57@ Bo Cj AS</v>
          </cell>
          <cell r="T67" t="str">
            <v>Pierna</v>
          </cell>
          <cell r="U67" t="str">
            <v>Pierna Pulpa</v>
          </cell>
          <cell r="V67"/>
          <cell r="W67">
            <v>171870</v>
          </cell>
          <cell r="X67">
            <v>122400</v>
          </cell>
          <cell r="Y67">
            <v>301920</v>
          </cell>
          <cell r="Z67">
            <v>224037</v>
          </cell>
          <cell r="AA67">
            <v>1168954</v>
          </cell>
        </row>
        <row r="68">
          <cell r="A68" t="str">
            <v>Agro Sudamerica1022780</v>
          </cell>
          <cell r="B68" t="str">
            <v>Cerdo</v>
          </cell>
          <cell r="C68" t="str">
            <v>Agro Sudamerica</v>
          </cell>
          <cell r="D68" t="str">
            <v>1022780</v>
          </cell>
          <cell r="E68" t="str">
            <v>GO Tripa Calib 30/32# Bo Bidon AS</v>
          </cell>
          <cell r="F68" t="str">
            <v>Subprod</v>
          </cell>
          <cell r="G68" t="str">
            <v>Subprod Tripa</v>
          </cell>
          <cell r="H68"/>
          <cell r="I68"/>
          <cell r="J68"/>
          <cell r="K68"/>
          <cell r="L68"/>
          <cell r="M68"/>
          <cell r="O68" t="str">
            <v>Agro Sudamerica1022780</v>
          </cell>
          <cell r="P68" t="str">
            <v>Cerdo</v>
          </cell>
          <cell r="Q68" t="str">
            <v>Agro Sudamerica</v>
          </cell>
          <cell r="R68" t="str">
            <v>1022780</v>
          </cell>
          <cell r="S68" t="str">
            <v>GO Tripa Calib 30/32# Bo Bidon AS</v>
          </cell>
          <cell r="T68" t="str">
            <v>Subprod</v>
          </cell>
          <cell r="U68" t="str">
            <v>Subprod Tripa</v>
          </cell>
          <cell r="V68"/>
          <cell r="W68"/>
          <cell r="X68"/>
          <cell r="Y68"/>
          <cell r="Z68"/>
          <cell r="AA68"/>
        </row>
        <row r="69">
          <cell r="A69" t="str">
            <v>Agro Sudamerica1022781</v>
          </cell>
          <cell r="B69" t="str">
            <v>Cerdo</v>
          </cell>
          <cell r="C69" t="str">
            <v>Agro Sudamerica</v>
          </cell>
          <cell r="D69" t="str">
            <v>1022781</v>
          </cell>
          <cell r="E69" t="str">
            <v>GO Tripa Calib 32/35# Bo Bidon AS</v>
          </cell>
          <cell r="F69" t="str">
            <v>Subprod</v>
          </cell>
          <cell r="G69" t="str">
            <v>Subprod Tripa</v>
          </cell>
          <cell r="H69">
            <v>7067</v>
          </cell>
          <cell r="I69">
            <v>3060</v>
          </cell>
          <cell r="J69">
            <v>10282</v>
          </cell>
          <cell r="K69">
            <v>1500</v>
          </cell>
          <cell r="L69">
            <v>6600</v>
          </cell>
          <cell r="M69">
            <v>15300</v>
          </cell>
          <cell r="O69" t="str">
            <v>Agro Sudamerica1022781</v>
          </cell>
          <cell r="P69" t="str">
            <v>Cerdo</v>
          </cell>
          <cell r="Q69" t="str">
            <v>Agro Sudamerica</v>
          </cell>
          <cell r="R69" t="str">
            <v>1022781</v>
          </cell>
          <cell r="S69" t="str">
            <v>GO Tripa Calib 32/35# Bo Bidon AS</v>
          </cell>
          <cell r="T69" t="str">
            <v>Subprod</v>
          </cell>
          <cell r="U69" t="str">
            <v>Subprod Tripa</v>
          </cell>
          <cell r="V69">
            <v>79009.06</v>
          </cell>
          <cell r="W69">
            <v>39589</v>
          </cell>
          <cell r="X69">
            <v>108578</v>
          </cell>
          <cell r="Y69">
            <v>22170</v>
          </cell>
          <cell r="Z69">
            <v>88521</v>
          </cell>
          <cell r="AA69">
            <v>198441</v>
          </cell>
        </row>
        <row r="70">
          <cell r="A70" t="str">
            <v>Agro Sudamerica1022782</v>
          </cell>
          <cell r="B70" t="str">
            <v>Cerdo</v>
          </cell>
          <cell r="C70" t="str">
            <v>Agro Sudamerica</v>
          </cell>
          <cell r="D70" t="str">
            <v>1022782</v>
          </cell>
          <cell r="E70" t="str">
            <v>GO Tripa Calib 35/38# Bo Bidon AS</v>
          </cell>
          <cell r="F70" t="str">
            <v>Subprod</v>
          </cell>
          <cell r="G70" t="str">
            <v>Subprod Tripa</v>
          </cell>
          <cell r="H70">
            <v>18796</v>
          </cell>
          <cell r="I70">
            <v>3600</v>
          </cell>
          <cell r="J70"/>
          <cell r="K70"/>
          <cell r="L70">
            <v>3600</v>
          </cell>
          <cell r="M70">
            <v>11520</v>
          </cell>
          <cell r="O70" t="str">
            <v>Agro Sudamerica1022782</v>
          </cell>
          <cell r="P70" t="str">
            <v>Cerdo</v>
          </cell>
          <cell r="Q70" t="str">
            <v>Agro Sudamerica</v>
          </cell>
          <cell r="R70" t="str">
            <v>1022782</v>
          </cell>
          <cell r="S70" t="str">
            <v>GO Tripa Calib 35/38# Bo Bidon AS</v>
          </cell>
          <cell r="T70" t="str">
            <v>Subprod</v>
          </cell>
          <cell r="U70" t="str">
            <v>Subprod Tripa</v>
          </cell>
          <cell r="V70">
            <v>156946.6</v>
          </cell>
          <cell r="W70">
            <v>36108</v>
          </cell>
          <cell r="X70"/>
          <cell r="Y70"/>
          <cell r="Z70">
            <v>36360</v>
          </cell>
          <cell r="AA70">
            <v>120730</v>
          </cell>
        </row>
        <row r="71">
          <cell r="A71" t="str">
            <v>Agro Sudamerica1022783</v>
          </cell>
          <cell r="B71" t="str">
            <v>Cerdo</v>
          </cell>
          <cell r="C71" t="str">
            <v>Agro Sudamerica</v>
          </cell>
          <cell r="D71" t="str">
            <v>1022783</v>
          </cell>
          <cell r="E71" t="str">
            <v>GO Tripa Calib 38/40# Bo Bidon AS</v>
          </cell>
          <cell r="F71" t="str">
            <v>Subprod</v>
          </cell>
          <cell r="G71" t="str">
            <v>Subprod Tripa</v>
          </cell>
          <cell r="H71"/>
          <cell r="I71">
            <v>15600</v>
          </cell>
          <cell r="J71"/>
          <cell r="K71"/>
          <cell r="L71"/>
          <cell r="M71">
            <v>4800</v>
          </cell>
          <cell r="O71" t="str">
            <v>Agro Sudamerica1022783</v>
          </cell>
          <cell r="P71" t="str">
            <v>Cerdo</v>
          </cell>
          <cell r="Q71" t="str">
            <v>Agro Sudamerica</v>
          </cell>
          <cell r="R71" t="str">
            <v>1022783</v>
          </cell>
          <cell r="S71" t="str">
            <v>GO Tripa Calib 38/40# Bo Bidon AS</v>
          </cell>
          <cell r="T71" t="str">
            <v>Subprod</v>
          </cell>
          <cell r="U71" t="str">
            <v>Subprod Tripa</v>
          </cell>
          <cell r="V71"/>
          <cell r="W71">
            <v>156468</v>
          </cell>
          <cell r="X71"/>
          <cell r="Y71"/>
          <cell r="Z71"/>
          <cell r="AA71">
            <v>48384</v>
          </cell>
        </row>
        <row r="72">
          <cell r="A72" t="str">
            <v>Agro Sudamerica1022786</v>
          </cell>
          <cell r="B72" t="str">
            <v>Cerdo</v>
          </cell>
          <cell r="C72" t="str">
            <v>Agro Sudamerica</v>
          </cell>
          <cell r="D72" t="str">
            <v>1022786</v>
          </cell>
          <cell r="E72" t="str">
            <v>GO Trip Calib Tub 35/39 Azul# Bidon AS</v>
          </cell>
          <cell r="F72" t="str">
            <v>Subprod</v>
          </cell>
          <cell r="G72" t="str">
            <v>Subprod Tripa</v>
          </cell>
          <cell r="H72"/>
          <cell r="I72">
            <v>300</v>
          </cell>
          <cell r="J72"/>
          <cell r="K72">
            <v>1500</v>
          </cell>
          <cell r="L72">
            <v>1500</v>
          </cell>
          <cell r="M72"/>
          <cell r="O72" t="str">
            <v>Agro Sudamerica1022786</v>
          </cell>
          <cell r="P72" t="str">
            <v>Cerdo</v>
          </cell>
          <cell r="Q72" t="str">
            <v>Agro Sudamerica</v>
          </cell>
          <cell r="R72" t="str">
            <v>1022786</v>
          </cell>
          <cell r="S72" t="str">
            <v>GO Trip Calib Tub 35/39 Azul# Bidon AS</v>
          </cell>
          <cell r="T72" t="str">
            <v>Subprod</v>
          </cell>
          <cell r="U72" t="str">
            <v>Subprod Tripa</v>
          </cell>
          <cell r="V72"/>
          <cell r="W72">
            <v>3450</v>
          </cell>
          <cell r="X72"/>
          <cell r="Y72">
            <v>22965</v>
          </cell>
          <cell r="Z72">
            <v>22965</v>
          </cell>
          <cell r="AA72"/>
        </row>
        <row r="73">
          <cell r="A73" t="str">
            <v>Agro Sudamerica1022847</v>
          </cell>
          <cell r="B73" t="str">
            <v>Cerdo</v>
          </cell>
          <cell r="C73" t="str">
            <v>Agro Sudamerica</v>
          </cell>
          <cell r="D73" t="str">
            <v>1022847</v>
          </cell>
          <cell r="E73" t="str">
            <v>GO Cne Falda Pan@ CJ 20k AS</v>
          </cell>
          <cell r="F73" t="str">
            <v>Panceta</v>
          </cell>
          <cell r="G73" t="str">
            <v>Panceta s/Cuero</v>
          </cell>
          <cell r="H73">
            <v>28000</v>
          </cell>
          <cell r="I73">
            <v>72000</v>
          </cell>
          <cell r="J73">
            <v>60000</v>
          </cell>
          <cell r="K73">
            <v>24000</v>
          </cell>
          <cell r="L73">
            <v>24000</v>
          </cell>
          <cell r="M73">
            <v>48000</v>
          </cell>
          <cell r="O73" t="str">
            <v>Agro Sudamerica1022847</v>
          </cell>
          <cell r="P73" t="str">
            <v>Cerdo</v>
          </cell>
          <cell r="Q73" t="str">
            <v>Agro Sudamerica</v>
          </cell>
          <cell r="R73" t="str">
            <v>1022847</v>
          </cell>
          <cell r="S73" t="str">
            <v>GO Cne Falda Pan@ CJ 20k AS</v>
          </cell>
          <cell r="T73" t="str">
            <v>Panceta</v>
          </cell>
          <cell r="U73" t="str">
            <v>Panceta s/Cuero</v>
          </cell>
          <cell r="V73">
            <v>36776.119400000003</v>
          </cell>
          <cell r="W73">
            <v>95110</v>
          </cell>
          <cell r="X73">
            <v>77274</v>
          </cell>
          <cell r="Y73">
            <v>28800</v>
          </cell>
          <cell r="Z73">
            <v>31440</v>
          </cell>
          <cell r="AA73">
            <v>67857</v>
          </cell>
        </row>
        <row r="74">
          <cell r="A74" t="str">
            <v>Agro Sudamerica1022855</v>
          </cell>
          <cell r="B74" t="str">
            <v>Cerdo</v>
          </cell>
          <cell r="C74" t="str">
            <v>Agro Sudamerica</v>
          </cell>
          <cell r="D74" t="str">
            <v>1022855</v>
          </cell>
          <cell r="E74" t="str">
            <v>GO Grasa Forro Pal@ Cj 20k AS</v>
          </cell>
          <cell r="F74" t="str">
            <v>Grasas</v>
          </cell>
          <cell r="G74" t="str">
            <v>Grasa Forro</v>
          </cell>
          <cell r="H74">
            <v>16600</v>
          </cell>
          <cell r="I74">
            <v>24000</v>
          </cell>
          <cell r="J74"/>
          <cell r="K74">
            <v>24000</v>
          </cell>
          <cell r="L74">
            <v>24000</v>
          </cell>
          <cell r="M74">
            <v>48000</v>
          </cell>
          <cell r="O74" t="str">
            <v>Agro Sudamerica1022855</v>
          </cell>
          <cell r="P74" t="str">
            <v>Cerdo</v>
          </cell>
          <cell r="Q74" t="str">
            <v>Agro Sudamerica</v>
          </cell>
          <cell r="R74" t="str">
            <v>1022855</v>
          </cell>
          <cell r="S74" t="str">
            <v>GO Grasa Forro Pal@ Cj 20k AS</v>
          </cell>
          <cell r="T74" t="str">
            <v>Grasas</v>
          </cell>
          <cell r="U74" t="str">
            <v>Grasa Forro</v>
          </cell>
          <cell r="V74">
            <v>25937.5</v>
          </cell>
          <cell r="W74">
            <v>33060</v>
          </cell>
          <cell r="X74"/>
          <cell r="Y74">
            <v>30240</v>
          </cell>
          <cell r="Z74">
            <v>33840</v>
          </cell>
          <cell r="AA74">
            <v>67900</v>
          </cell>
        </row>
        <row r="75">
          <cell r="A75" t="str">
            <v>Agro Sudamerica1022920</v>
          </cell>
          <cell r="B75" t="str">
            <v>Cerdo</v>
          </cell>
          <cell r="C75" t="str">
            <v>Agro Sudamerica</v>
          </cell>
          <cell r="D75" t="str">
            <v>1022920</v>
          </cell>
          <cell r="E75" t="str">
            <v>GO Gord rebaje@ Cj 20k AS</v>
          </cell>
          <cell r="F75" t="str">
            <v>Grasas</v>
          </cell>
          <cell r="G75" t="str">
            <v>Grasa Gordura</v>
          </cell>
          <cell r="H75"/>
          <cell r="I75"/>
          <cell r="J75"/>
          <cell r="K75"/>
          <cell r="L75">
            <v>4619</v>
          </cell>
          <cell r="M75"/>
          <cell r="O75" t="str">
            <v>Agro Sudamerica1022920</v>
          </cell>
          <cell r="P75" t="str">
            <v>Cerdo</v>
          </cell>
          <cell r="Q75" t="str">
            <v>Agro Sudamerica</v>
          </cell>
          <cell r="R75" t="str">
            <v>1022920</v>
          </cell>
          <cell r="S75" t="str">
            <v>GO Gord rebaje@ Cj 20k AS</v>
          </cell>
          <cell r="T75" t="str">
            <v>Grasas</v>
          </cell>
          <cell r="U75" t="str">
            <v>Grasa Gordura</v>
          </cell>
          <cell r="V75"/>
          <cell r="W75"/>
          <cell r="X75"/>
          <cell r="Y75"/>
          <cell r="Z75">
            <v>4249</v>
          </cell>
          <cell r="AA75"/>
        </row>
        <row r="76">
          <cell r="A76" t="str">
            <v>Agro Sudamerica1022921</v>
          </cell>
          <cell r="B76" t="str">
            <v>Cerdo</v>
          </cell>
          <cell r="C76" t="str">
            <v>Agro Sudamerica</v>
          </cell>
          <cell r="D76" t="str">
            <v>1022921</v>
          </cell>
          <cell r="E76" t="str">
            <v>GO Gord chic@ Cj 20k AS</v>
          </cell>
          <cell r="F76" t="str">
            <v>Grasas</v>
          </cell>
          <cell r="G76" t="str">
            <v>Grasa Gordura</v>
          </cell>
          <cell r="H76">
            <v>10000</v>
          </cell>
          <cell r="I76">
            <v>48000</v>
          </cell>
          <cell r="J76">
            <v>10000</v>
          </cell>
          <cell r="K76">
            <v>12000</v>
          </cell>
          <cell r="L76">
            <v>47000</v>
          </cell>
          <cell r="M76"/>
          <cell r="O76" t="str">
            <v>Agro Sudamerica1022921</v>
          </cell>
          <cell r="P76" t="str">
            <v>Cerdo</v>
          </cell>
          <cell r="Q76" t="str">
            <v>Agro Sudamerica</v>
          </cell>
          <cell r="R76" t="str">
            <v>1022921</v>
          </cell>
          <cell r="S76" t="str">
            <v>GO Gord chic@ Cj 20k AS</v>
          </cell>
          <cell r="T76" t="str">
            <v>Grasas</v>
          </cell>
          <cell r="U76" t="str">
            <v>Grasa Gordura</v>
          </cell>
          <cell r="V76">
            <v>10000</v>
          </cell>
          <cell r="W76">
            <v>45600</v>
          </cell>
          <cell r="X76">
            <v>10500</v>
          </cell>
          <cell r="Y76">
            <v>8040</v>
          </cell>
          <cell r="Z76">
            <v>46740</v>
          </cell>
          <cell r="AA76"/>
        </row>
        <row r="77">
          <cell r="A77" t="str">
            <v>Agro Sudamerica1022922</v>
          </cell>
          <cell r="B77" t="str">
            <v>Cerdo</v>
          </cell>
          <cell r="C77" t="str">
            <v>Agro Sudamerica</v>
          </cell>
          <cell r="D77" t="str">
            <v>1022922</v>
          </cell>
          <cell r="E77" t="str">
            <v>GO Triming Panc@ Cj 20k AS</v>
          </cell>
          <cell r="F77" t="str">
            <v>Recortes</v>
          </cell>
          <cell r="G77" t="str">
            <v>Recortes No Magro</v>
          </cell>
          <cell r="H77"/>
          <cell r="I77"/>
          <cell r="J77"/>
          <cell r="K77">
            <v>17000</v>
          </cell>
          <cell r="L77">
            <v>6000</v>
          </cell>
          <cell r="M77"/>
          <cell r="O77" t="str">
            <v>Agro Sudamerica1022922</v>
          </cell>
          <cell r="P77" t="str">
            <v>Cerdo</v>
          </cell>
          <cell r="Q77" t="str">
            <v>Agro Sudamerica</v>
          </cell>
          <cell r="R77" t="str">
            <v>1022922</v>
          </cell>
          <cell r="S77" t="str">
            <v>GO Triming Panc@ Cj 20k AS</v>
          </cell>
          <cell r="T77" t="str">
            <v>Recortes</v>
          </cell>
          <cell r="U77" t="str">
            <v>Recortes No Magro</v>
          </cell>
          <cell r="V77"/>
          <cell r="W77"/>
          <cell r="X77"/>
          <cell r="Y77">
            <v>20740</v>
          </cell>
          <cell r="Z77">
            <v>7320</v>
          </cell>
          <cell r="AA77"/>
        </row>
        <row r="78">
          <cell r="A78" t="str">
            <v>Agro Sudamerica1022928</v>
          </cell>
          <cell r="B78" t="str">
            <v>Cerdo</v>
          </cell>
          <cell r="C78" t="str">
            <v>Agro Sudamerica</v>
          </cell>
          <cell r="D78" t="str">
            <v>1022928</v>
          </cell>
          <cell r="E78" t="str">
            <v>GO Cue Granel Esp CC@Cj 20k AS</v>
          </cell>
          <cell r="F78" t="str">
            <v>Cueros</v>
          </cell>
          <cell r="G78" t="str">
            <v>Cuero Mixto</v>
          </cell>
          <cell r="H78"/>
          <cell r="I78"/>
          <cell r="J78"/>
          <cell r="K78">
            <v>16000</v>
          </cell>
          <cell r="L78">
            <v>5000</v>
          </cell>
          <cell r="M78"/>
          <cell r="O78" t="str">
            <v>Agro Sudamerica1022928</v>
          </cell>
          <cell r="P78" t="str">
            <v>Cerdo</v>
          </cell>
          <cell r="Q78" t="str">
            <v>Agro Sudamerica</v>
          </cell>
          <cell r="R78" t="str">
            <v>1022928</v>
          </cell>
          <cell r="S78" t="str">
            <v>GO Cue Granel Esp CC@Cj 20k AS</v>
          </cell>
          <cell r="T78" t="str">
            <v>Cueros</v>
          </cell>
          <cell r="U78" t="str">
            <v>Cuero Mixto</v>
          </cell>
          <cell r="V78"/>
          <cell r="W78"/>
          <cell r="X78"/>
          <cell r="Y78">
            <v>9870</v>
          </cell>
          <cell r="Z78">
            <v>3600</v>
          </cell>
          <cell r="AA78"/>
        </row>
        <row r="79">
          <cell r="A79" t="str">
            <v>Agro Sudamerica1022996</v>
          </cell>
          <cell r="B79" t="str">
            <v>Cerdo</v>
          </cell>
          <cell r="C79" t="str">
            <v>Agro Sudamerica</v>
          </cell>
          <cell r="D79" t="str">
            <v>1022996</v>
          </cell>
          <cell r="E79" t="str">
            <v>GO Visual Triming@ Cj 20k AS</v>
          </cell>
          <cell r="F79" t="str">
            <v>Grasas</v>
          </cell>
          <cell r="G79" t="str">
            <v>Grasa Gordura</v>
          </cell>
          <cell r="H79">
            <v>36000</v>
          </cell>
          <cell r="I79">
            <v>24000</v>
          </cell>
          <cell r="J79">
            <v>24000</v>
          </cell>
          <cell r="K79"/>
          <cell r="L79"/>
          <cell r="M79"/>
          <cell r="O79" t="str">
            <v>Agro Sudamerica1022996</v>
          </cell>
          <cell r="P79" t="str">
            <v>Cerdo</v>
          </cell>
          <cell r="Q79" t="str">
            <v>Agro Sudamerica</v>
          </cell>
          <cell r="R79" t="str">
            <v>1022996</v>
          </cell>
          <cell r="S79" t="str">
            <v>GO Visual Triming@ Cj 20k AS</v>
          </cell>
          <cell r="T79" t="str">
            <v>Grasas</v>
          </cell>
          <cell r="U79" t="str">
            <v>Grasa Gordura</v>
          </cell>
          <cell r="V79">
            <v>44712</v>
          </cell>
          <cell r="W79">
            <v>26640</v>
          </cell>
          <cell r="X79">
            <v>25200</v>
          </cell>
          <cell r="Y79"/>
          <cell r="Z79"/>
          <cell r="AA79"/>
        </row>
        <row r="80">
          <cell r="A80" t="str">
            <v>Agro Sudamerica1023270</v>
          </cell>
          <cell r="B80" t="str">
            <v>Cerdo</v>
          </cell>
          <cell r="C80" t="str">
            <v>Agro Sudamerica</v>
          </cell>
          <cell r="D80" t="str">
            <v>1023270</v>
          </cell>
          <cell r="E80" t="str">
            <v>GO Trip Calib Tub -/35 Rojo# Cj AS</v>
          </cell>
          <cell r="F80" t="str">
            <v>Subprod</v>
          </cell>
          <cell r="G80" t="str">
            <v>Subprod Tripa</v>
          </cell>
          <cell r="H80"/>
          <cell r="I80">
            <v>2700</v>
          </cell>
          <cell r="J80"/>
          <cell r="K80"/>
          <cell r="L80"/>
          <cell r="M80"/>
          <cell r="O80" t="str">
            <v>Agro Sudamerica1023270</v>
          </cell>
          <cell r="P80" t="str">
            <v>Cerdo</v>
          </cell>
          <cell r="Q80" t="str">
            <v>Agro Sudamerica</v>
          </cell>
          <cell r="R80" t="str">
            <v>1023270</v>
          </cell>
          <cell r="S80" t="str">
            <v>GO Trip Calib Tub -/35 Rojo# Cj AS</v>
          </cell>
          <cell r="T80" t="str">
            <v>Subprod</v>
          </cell>
          <cell r="U80" t="str">
            <v>Subprod Tripa</v>
          </cell>
          <cell r="V80"/>
          <cell r="W80">
            <v>40331</v>
          </cell>
          <cell r="X80"/>
          <cell r="Y80"/>
          <cell r="Z80"/>
          <cell r="AA80"/>
        </row>
        <row r="81">
          <cell r="A81" t="str">
            <v>Agro Sudamerica1023295</v>
          </cell>
          <cell r="B81" t="str">
            <v>Cerdo</v>
          </cell>
          <cell r="C81" t="str">
            <v>Agro Sudamerica</v>
          </cell>
          <cell r="D81" t="str">
            <v>1023295</v>
          </cell>
          <cell r="E81" t="str">
            <v>GO Trip Calib Tub 37/40 Azul# Cj AS</v>
          </cell>
          <cell r="F81" t="str">
            <v>Subprod</v>
          </cell>
          <cell r="G81" t="str">
            <v>Subprod Tripa</v>
          </cell>
          <cell r="H81"/>
          <cell r="I81">
            <v>2700</v>
          </cell>
          <cell r="J81"/>
          <cell r="K81"/>
          <cell r="L81"/>
          <cell r="M81"/>
          <cell r="O81" t="str">
            <v>Agro Sudamerica1023295</v>
          </cell>
          <cell r="P81" t="str">
            <v>Cerdo</v>
          </cell>
          <cell r="Q81" t="str">
            <v>Agro Sudamerica</v>
          </cell>
          <cell r="R81" t="str">
            <v>1023295</v>
          </cell>
          <cell r="S81" t="str">
            <v>GO Trip Calib Tub 37/40 Azul# Cj AS</v>
          </cell>
          <cell r="T81" t="str">
            <v>Subprod</v>
          </cell>
          <cell r="U81" t="str">
            <v>Subprod Tripa</v>
          </cell>
          <cell r="V81"/>
          <cell r="W81">
            <v>33075</v>
          </cell>
          <cell r="X81"/>
          <cell r="Y81"/>
          <cell r="Z81"/>
          <cell r="AA81"/>
        </row>
        <row r="82">
          <cell r="A82" t="str">
            <v>Agro Sudamerica1023312</v>
          </cell>
          <cell r="B82" t="str">
            <v>Cerdo</v>
          </cell>
          <cell r="C82" t="str">
            <v>Agro Sudamerica</v>
          </cell>
          <cell r="D82" t="str">
            <v>1023312</v>
          </cell>
          <cell r="E82" t="str">
            <v>GO File C/cab@Cj 20k AS</v>
          </cell>
          <cell r="F82" t="str">
            <v>Filete</v>
          </cell>
          <cell r="G82" t="str">
            <v>Filete c/Cabeza</v>
          </cell>
          <cell r="H82"/>
          <cell r="I82"/>
          <cell r="J82">
            <v>10221</v>
          </cell>
          <cell r="K82"/>
          <cell r="L82"/>
          <cell r="M82"/>
          <cell r="O82" t="str">
            <v>Agro Sudamerica1023312</v>
          </cell>
          <cell r="P82" t="str">
            <v>Cerdo</v>
          </cell>
          <cell r="Q82" t="str">
            <v>Agro Sudamerica</v>
          </cell>
          <cell r="R82" t="str">
            <v>1023312</v>
          </cell>
          <cell r="S82" t="str">
            <v>GO File C/cab@Cj 20k AS</v>
          </cell>
          <cell r="T82" t="str">
            <v>Filete</v>
          </cell>
          <cell r="U82" t="str">
            <v>Filete c/Cabeza</v>
          </cell>
          <cell r="V82"/>
          <cell r="W82"/>
          <cell r="X82">
            <v>28823</v>
          </cell>
          <cell r="Y82"/>
          <cell r="Z82"/>
          <cell r="AA82"/>
        </row>
        <row r="83">
          <cell r="A83" t="str">
            <v>Agro Sudamerica1023329</v>
          </cell>
          <cell r="B83" t="str">
            <v>Cerdo</v>
          </cell>
          <cell r="C83" t="str">
            <v>Agro Sudamerica</v>
          </cell>
          <cell r="D83" t="str">
            <v>1023329</v>
          </cell>
          <cell r="E83" t="str">
            <v>GO Cue Papda CP@ Cj 20k AS</v>
          </cell>
          <cell r="F83" t="str">
            <v>Cueros</v>
          </cell>
          <cell r="G83" t="str">
            <v>Cuero Papada</v>
          </cell>
          <cell r="H83"/>
          <cell r="I83"/>
          <cell r="J83"/>
          <cell r="K83">
            <v>24000</v>
          </cell>
          <cell r="L83">
            <v>24000</v>
          </cell>
          <cell r="M83"/>
          <cell r="O83" t="str">
            <v>Agro Sudamerica1023329</v>
          </cell>
          <cell r="P83" t="str">
            <v>Cerdo</v>
          </cell>
          <cell r="Q83" t="str">
            <v>Agro Sudamerica</v>
          </cell>
          <cell r="R83" t="str">
            <v>1023329</v>
          </cell>
          <cell r="S83" t="str">
            <v>GO Cue Papda CP@ Cj 20k AS</v>
          </cell>
          <cell r="T83" t="str">
            <v>Cueros</v>
          </cell>
          <cell r="U83" t="str">
            <v>Cuero Papada</v>
          </cell>
          <cell r="V83"/>
          <cell r="W83"/>
          <cell r="X83"/>
          <cell r="Y83">
            <v>10440</v>
          </cell>
          <cell r="Z83">
            <v>13440</v>
          </cell>
          <cell r="AA83"/>
        </row>
        <row r="84">
          <cell r="A84" t="str">
            <v>Agro Sudamerica1023331</v>
          </cell>
          <cell r="B84" t="str">
            <v>Cerdo</v>
          </cell>
          <cell r="C84" t="str">
            <v>Agro Sudamerica</v>
          </cell>
          <cell r="D84" t="str">
            <v>1023331</v>
          </cell>
          <cell r="E84" t="str">
            <v>GO Lom Vet 44@ Bo Cj 20k AS</v>
          </cell>
          <cell r="F84" t="str">
            <v>Lomo</v>
          </cell>
          <cell r="G84" t="str">
            <v>Lomo Vetado</v>
          </cell>
          <cell r="H84"/>
          <cell r="I84">
            <v>23000</v>
          </cell>
          <cell r="J84"/>
          <cell r="K84">
            <v>23000</v>
          </cell>
          <cell r="L84"/>
          <cell r="M84"/>
          <cell r="O84" t="str">
            <v>Agro Sudamerica1023331</v>
          </cell>
          <cell r="P84" t="str">
            <v>Cerdo</v>
          </cell>
          <cell r="Q84" t="str">
            <v>Agro Sudamerica</v>
          </cell>
          <cell r="R84" t="str">
            <v>1023331</v>
          </cell>
          <cell r="S84" t="str">
            <v>GO Lom Vet 44@ Bo Cj 20k AS</v>
          </cell>
          <cell r="T84" t="str">
            <v>Lomo</v>
          </cell>
          <cell r="U84" t="str">
            <v>Lomo Vetado</v>
          </cell>
          <cell r="V84"/>
          <cell r="W84">
            <v>59608</v>
          </cell>
          <cell r="X84"/>
          <cell r="Y84">
            <v>57730</v>
          </cell>
          <cell r="Z84"/>
          <cell r="AA84"/>
        </row>
        <row r="85">
          <cell r="A85" t="str">
            <v>Agro Sudamerica1023334</v>
          </cell>
          <cell r="B85" t="str">
            <v>Cerdo</v>
          </cell>
          <cell r="C85" t="str">
            <v>Agro Sudamerica</v>
          </cell>
          <cell r="D85" t="str">
            <v>1023334</v>
          </cell>
          <cell r="E85" t="str">
            <v>Cue granel Esp CC@ Cj 20k AS</v>
          </cell>
          <cell r="F85" t="str">
            <v>Cueros</v>
          </cell>
          <cell r="G85" t="str">
            <v>Cuero Mixto</v>
          </cell>
          <cell r="H85"/>
          <cell r="I85"/>
          <cell r="J85"/>
          <cell r="K85"/>
          <cell r="L85"/>
          <cell r="M85"/>
          <cell r="O85" t="str">
            <v>Agro Sudamerica1023334</v>
          </cell>
          <cell r="P85" t="str">
            <v>Cerdo</v>
          </cell>
          <cell r="Q85" t="str">
            <v>Agro Sudamerica</v>
          </cell>
          <cell r="R85" t="str">
            <v>1023334</v>
          </cell>
          <cell r="S85" t="str">
            <v>Cue granel Esp CC@ Cj 20k AS</v>
          </cell>
          <cell r="T85" t="str">
            <v>Cueros</v>
          </cell>
          <cell r="U85" t="str">
            <v>Cuero Mixto</v>
          </cell>
          <cell r="V85"/>
          <cell r="W85"/>
          <cell r="X85"/>
          <cell r="Y85"/>
          <cell r="Z85"/>
          <cell r="AA85"/>
        </row>
        <row r="86">
          <cell r="A86" t="str">
            <v>Agro Sudamerica1023336</v>
          </cell>
          <cell r="B86" t="str">
            <v>Cerdo</v>
          </cell>
          <cell r="C86" t="str">
            <v>Agro Sudamerica</v>
          </cell>
          <cell r="D86" t="str">
            <v>1023336</v>
          </cell>
          <cell r="E86" t="str">
            <v>Cue granel Esp CC@ Cj 20k AS</v>
          </cell>
          <cell r="F86" t="str">
            <v>Cueros</v>
          </cell>
          <cell r="G86" t="str">
            <v>Cuero Mixto</v>
          </cell>
          <cell r="H86"/>
          <cell r="I86"/>
          <cell r="J86"/>
          <cell r="K86"/>
          <cell r="L86"/>
          <cell r="M86"/>
          <cell r="O86" t="str">
            <v>Agro Sudamerica1023336</v>
          </cell>
          <cell r="P86" t="str">
            <v>Cerdo</v>
          </cell>
          <cell r="Q86" t="str">
            <v>Agro Sudamerica</v>
          </cell>
          <cell r="R86" t="str">
            <v>1023336</v>
          </cell>
          <cell r="S86" t="str">
            <v>Cue granel Esp CC@ Cj 20k AS</v>
          </cell>
          <cell r="T86" t="str">
            <v>Cueros</v>
          </cell>
          <cell r="U86" t="str">
            <v>Cuero Mixto</v>
          </cell>
          <cell r="V86"/>
          <cell r="W86"/>
          <cell r="X86"/>
          <cell r="Y86"/>
          <cell r="Z86"/>
          <cell r="AA86"/>
        </row>
        <row r="87">
          <cell r="A87" t="str">
            <v>Agro Sudamerica1023355</v>
          </cell>
          <cell r="B87" t="str">
            <v>Cerdo</v>
          </cell>
          <cell r="C87" t="str">
            <v>Agro Sudamerica</v>
          </cell>
          <cell r="D87" t="str">
            <v>1023355</v>
          </cell>
          <cell r="E87" t="str">
            <v>GO Pulmon@ Cj 20k AS</v>
          </cell>
          <cell r="F87" t="str">
            <v>Subprod</v>
          </cell>
          <cell r="G87" t="str">
            <v>Subprod Visceras</v>
          </cell>
          <cell r="H87"/>
          <cell r="I87"/>
          <cell r="J87"/>
          <cell r="K87"/>
          <cell r="L87">
            <v>24000</v>
          </cell>
          <cell r="M87">
            <v>24000</v>
          </cell>
          <cell r="O87" t="str">
            <v>Agro Sudamerica1023355</v>
          </cell>
          <cell r="P87" t="str">
            <v>Cerdo</v>
          </cell>
          <cell r="Q87" t="str">
            <v>Agro Sudamerica</v>
          </cell>
          <cell r="R87" t="str">
            <v>1023355</v>
          </cell>
          <cell r="S87" t="str">
            <v>GO Pulmon@ Cj 20k AS</v>
          </cell>
          <cell r="T87" t="str">
            <v>Subprod</v>
          </cell>
          <cell r="U87" t="str">
            <v>Subprod Visceras</v>
          </cell>
          <cell r="V87"/>
          <cell r="W87"/>
          <cell r="X87"/>
          <cell r="Y87"/>
          <cell r="Z87">
            <v>12240</v>
          </cell>
          <cell r="AA87">
            <v>15157</v>
          </cell>
        </row>
        <row r="88">
          <cell r="A88" t="str">
            <v>Agro Sudamerica1022784</v>
          </cell>
          <cell r="B88" t="str">
            <v>Cerdo</v>
          </cell>
          <cell r="C88" t="str">
            <v>Agro Sudamerica</v>
          </cell>
          <cell r="D88" t="str">
            <v>1022784</v>
          </cell>
          <cell r="E88" t="str">
            <v>GO Tripa Calib 40/42# Bo Bin AS</v>
          </cell>
          <cell r="F88" t="str">
            <v>Subprod</v>
          </cell>
          <cell r="G88" t="str">
            <v>Subprod Tripa</v>
          </cell>
          <cell r="H88"/>
          <cell r="I88"/>
          <cell r="J88"/>
          <cell r="K88"/>
          <cell r="L88"/>
          <cell r="M88">
            <v>900</v>
          </cell>
          <cell r="O88" t="str">
            <v>Agro Sudamerica1022784</v>
          </cell>
          <cell r="P88" t="str">
            <v>Cerdo</v>
          </cell>
          <cell r="Q88" t="str">
            <v>Agro Sudamerica</v>
          </cell>
          <cell r="R88" t="str">
            <v>1022784</v>
          </cell>
          <cell r="S88" t="str">
            <v>GO Tripa Calib 40/42# Bo Bin AS</v>
          </cell>
          <cell r="T88" t="str">
            <v>Subprod</v>
          </cell>
          <cell r="U88" t="str">
            <v>Subprod Tripa</v>
          </cell>
          <cell r="V88"/>
          <cell r="W88"/>
          <cell r="X88"/>
          <cell r="Y88"/>
          <cell r="Z88"/>
          <cell r="AA88">
            <v>9072</v>
          </cell>
        </row>
        <row r="89">
          <cell r="A89" t="str">
            <v>Agrosuper Asia1020860</v>
          </cell>
          <cell r="B89" t="str">
            <v>Cerdo</v>
          </cell>
          <cell r="C89" t="str">
            <v>Agrosuper Asia</v>
          </cell>
          <cell r="D89" t="str">
            <v>1020860</v>
          </cell>
          <cell r="E89" t="str">
            <v>GO Lom Vet@ Cj 12k AK</v>
          </cell>
          <cell r="F89" t="str">
            <v>Lomo</v>
          </cell>
          <cell r="G89" t="str">
            <v>Lomo Vetado</v>
          </cell>
          <cell r="H89">
            <v>154000</v>
          </cell>
          <cell r="I89">
            <v>66000</v>
          </cell>
          <cell r="J89">
            <v>88000</v>
          </cell>
          <cell r="K89">
            <v>154000</v>
          </cell>
          <cell r="L89">
            <v>176000</v>
          </cell>
          <cell r="M89">
            <v>187000</v>
          </cell>
          <cell r="O89" t="str">
            <v>Agrosuper Asia1020860</v>
          </cell>
          <cell r="P89" t="str">
            <v>Cerdo</v>
          </cell>
          <cell r="Q89" t="str">
            <v>Agrosuper Asia</v>
          </cell>
          <cell r="R89" t="str">
            <v>1020860</v>
          </cell>
          <cell r="S89" t="str">
            <v>GO Lom Vet@ Cj 12k AK</v>
          </cell>
          <cell r="T89" t="str">
            <v>Lomo</v>
          </cell>
          <cell r="U89" t="str">
            <v>Lomo Vetado</v>
          </cell>
          <cell r="V89">
            <v>643647.0895</v>
          </cell>
          <cell r="W89">
            <v>265650</v>
          </cell>
          <cell r="X89">
            <v>335280</v>
          </cell>
          <cell r="Y89">
            <v>607165</v>
          </cell>
          <cell r="Z89">
            <v>682827</v>
          </cell>
          <cell r="AA89">
            <v>786186</v>
          </cell>
        </row>
        <row r="90">
          <cell r="A90" t="str">
            <v>Agrosuper Asia1020861</v>
          </cell>
          <cell r="B90" t="str">
            <v>Cerdo</v>
          </cell>
          <cell r="C90" t="str">
            <v>Agrosuper Asia</v>
          </cell>
          <cell r="D90" t="str">
            <v>1020861</v>
          </cell>
          <cell r="E90" t="str">
            <v>GO Lom Vet@ Cj 12k TJ</v>
          </cell>
          <cell r="F90" t="str">
            <v>Lomo</v>
          </cell>
          <cell r="G90" t="str">
            <v>Lomo Vetado</v>
          </cell>
          <cell r="H90">
            <v>88000</v>
          </cell>
          <cell r="I90">
            <v>66000</v>
          </cell>
          <cell r="J90">
            <v>66000</v>
          </cell>
          <cell r="K90">
            <v>154000</v>
          </cell>
          <cell r="L90">
            <v>153860</v>
          </cell>
          <cell r="M90">
            <v>198044</v>
          </cell>
          <cell r="O90" t="str">
            <v>Agrosuper Asia1020861</v>
          </cell>
          <cell r="P90" t="str">
            <v>Cerdo</v>
          </cell>
          <cell r="Q90" t="str">
            <v>Agrosuper Asia</v>
          </cell>
          <cell r="R90" t="str">
            <v>1020861</v>
          </cell>
          <cell r="S90" t="str">
            <v>GO Lom Vet@ Cj 12k TJ</v>
          </cell>
          <cell r="T90" t="str">
            <v>Lomo</v>
          </cell>
          <cell r="U90" t="str">
            <v>Lomo Vetado</v>
          </cell>
          <cell r="V90">
            <v>375760</v>
          </cell>
          <cell r="W90">
            <v>264000</v>
          </cell>
          <cell r="X90">
            <v>252780</v>
          </cell>
          <cell r="Y90">
            <v>601865</v>
          </cell>
          <cell r="Z90">
            <v>601173</v>
          </cell>
          <cell r="AA90">
            <v>832508</v>
          </cell>
        </row>
        <row r="91">
          <cell r="A91" t="str">
            <v>Agrosuper Asia1020904</v>
          </cell>
          <cell r="B91" t="str">
            <v>Cerdo</v>
          </cell>
          <cell r="C91" t="str">
            <v>Agrosuper Asia</v>
          </cell>
          <cell r="D91" t="str">
            <v>1020904</v>
          </cell>
          <cell r="E91" t="str">
            <v>GO Panc C/cue@ Cj Panc 230 TJ</v>
          </cell>
          <cell r="F91" t="str">
            <v>Panceta</v>
          </cell>
          <cell r="G91" t="str">
            <v>Panceta c/Cuero</v>
          </cell>
          <cell r="H91">
            <v>22000</v>
          </cell>
          <cell r="I91">
            <v>154000</v>
          </cell>
          <cell r="J91">
            <v>66000</v>
          </cell>
          <cell r="K91">
            <v>22000</v>
          </cell>
          <cell r="L91">
            <v>22000</v>
          </cell>
          <cell r="M91"/>
          <cell r="O91" t="str">
            <v>Agrosuper Asia1020904</v>
          </cell>
          <cell r="P91" t="str">
            <v>Cerdo</v>
          </cell>
          <cell r="Q91" t="str">
            <v>Agrosuper Asia</v>
          </cell>
          <cell r="R91" t="str">
            <v>1020904</v>
          </cell>
          <cell r="S91" t="str">
            <v>GO Panc C/cue@ Cj Panc 230 TJ</v>
          </cell>
          <cell r="T91" t="str">
            <v>Panceta</v>
          </cell>
          <cell r="U91" t="str">
            <v>Panceta c/Cuero</v>
          </cell>
          <cell r="V91">
            <v>147276.35709999999</v>
          </cell>
          <cell r="W91">
            <v>970200</v>
          </cell>
          <cell r="X91">
            <v>412500</v>
          </cell>
          <cell r="Y91">
            <v>140295</v>
          </cell>
          <cell r="Z91">
            <v>139028</v>
          </cell>
          <cell r="AA91"/>
        </row>
        <row r="92">
          <cell r="A92" t="str">
            <v>Agrosuper Asia1020905</v>
          </cell>
          <cell r="B92" t="str">
            <v>Cerdo</v>
          </cell>
          <cell r="C92" t="str">
            <v>Agrosuper Asia</v>
          </cell>
          <cell r="D92" t="str">
            <v>1020905</v>
          </cell>
          <cell r="E92" t="str">
            <v>GO Panc C/cue@ Cj Panc 230 AK</v>
          </cell>
          <cell r="F92" t="str">
            <v>Panceta</v>
          </cell>
          <cell r="G92" t="str">
            <v>Panceta c/Cuero</v>
          </cell>
          <cell r="H92">
            <v>22000</v>
          </cell>
          <cell r="I92">
            <v>22000</v>
          </cell>
          <cell r="J92"/>
          <cell r="K92">
            <v>44000</v>
          </cell>
          <cell r="L92">
            <v>22000</v>
          </cell>
          <cell r="M92"/>
          <cell r="O92" t="str">
            <v>Agrosuper Asia1020905</v>
          </cell>
          <cell r="P92" t="str">
            <v>Cerdo</v>
          </cell>
          <cell r="Q92" t="str">
            <v>Agrosuper Asia</v>
          </cell>
          <cell r="R92" t="str">
            <v>1020905</v>
          </cell>
          <cell r="S92" t="str">
            <v>GO Panc C/cue@ Cj Panc 230 AK</v>
          </cell>
          <cell r="T92" t="str">
            <v>Panceta</v>
          </cell>
          <cell r="U92" t="str">
            <v>Panceta c/Cuero</v>
          </cell>
          <cell r="V92">
            <v>153120</v>
          </cell>
          <cell r="W92">
            <v>138600</v>
          </cell>
          <cell r="X92"/>
          <cell r="Y92">
            <v>281600</v>
          </cell>
          <cell r="Z92">
            <v>139661</v>
          </cell>
          <cell r="AA92"/>
        </row>
        <row r="93">
          <cell r="A93" t="str">
            <v>Agrosuper Asia1021012</v>
          </cell>
          <cell r="B93" t="str">
            <v>Cerdo</v>
          </cell>
          <cell r="C93" t="str">
            <v>Agrosuper Asia</v>
          </cell>
          <cell r="D93" t="str">
            <v>1021012</v>
          </cell>
          <cell r="E93" t="str">
            <v>GO Papda K@ Cj 20k AK</v>
          </cell>
          <cell r="F93" t="str">
            <v>Plancha</v>
          </cell>
          <cell r="G93" t="str">
            <v>Plancha s/Cuero</v>
          </cell>
          <cell r="H93">
            <v>110000</v>
          </cell>
          <cell r="I93">
            <v>66000</v>
          </cell>
          <cell r="J93"/>
          <cell r="K93">
            <v>22000</v>
          </cell>
          <cell r="L93">
            <v>176010</v>
          </cell>
          <cell r="M93">
            <v>219933</v>
          </cell>
          <cell r="O93" t="str">
            <v>Agrosuper Asia1021012</v>
          </cell>
          <cell r="P93" t="str">
            <v>Cerdo</v>
          </cell>
          <cell r="Q93" t="str">
            <v>Agrosuper Asia</v>
          </cell>
          <cell r="R93" t="str">
            <v>1021012</v>
          </cell>
          <cell r="S93" t="str">
            <v>GO Papda K@ Cj 20k AK</v>
          </cell>
          <cell r="T93" t="str">
            <v>Plancha</v>
          </cell>
          <cell r="U93" t="str">
            <v>Plancha s/Cuero</v>
          </cell>
          <cell r="V93">
            <v>247500</v>
          </cell>
          <cell r="W93">
            <v>108240</v>
          </cell>
          <cell r="X93"/>
          <cell r="Y93">
            <v>38720</v>
          </cell>
          <cell r="Z93">
            <v>346371</v>
          </cell>
          <cell r="AA93">
            <v>424319</v>
          </cell>
        </row>
        <row r="94">
          <cell r="A94" t="str">
            <v>Agrosuper Asia1021045</v>
          </cell>
          <cell r="B94" t="str">
            <v>Cerdo</v>
          </cell>
          <cell r="C94" t="str">
            <v>Agrosuper Asia</v>
          </cell>
          <cell r="D94" t="str">
            <v>1021045</v>
          </cell>
          <cell r="E94" t="str">
            <v>GO PernilM C/M@ Cj 15k AK</v>
          </cell>
          <cell r="F94" t="str">
            <v>Pernil</v>
          </cell>
          <cell r="G94" t="str">
            <v>Pernil Mano</v>
          </cell>
          <cell r="H94">
            <v>88000</v>
          </cell>
          <cell r="I94">
            <v>44000</v>
          </cell>
          <cell r="J94">
            <v>22000</v>
          </cell>
          <cell r="K94">
            <v>44000</v>
          </cell>
          <cell r="L94">
            <v>22000</v>
          </cell>
          <cell r="M94">
            <v>22000</v>
          </cell>
          <cell r="O94" t="str">
            <v>Agrosuper Asia1021045</v>
          </cell>
          <cell r="P94" t="str">
            <v>Cerdo</v>
          </cell>
          <cell r="Q94" t="str">
            <v>Agrosuper Asia</v>
          </cell>
          <cell r="R94" t="str">
            <v>1021045</v>
          </cell>
          <cell r="S94" t="str">
            <v>GO PernilM C/M@ Cj 15k AK</v>
          </cell>
          <cell r="T94" t="str">
            <v>Pernil</v>
          </cell>
          <cell r="U94" t="str">
            <v>Pernil Mano</v>
          </cell>
          <cell r="V94">
            <v>237667.5</v>
          </cell>
          <cell r="W94">
            <v>114400</v>
          </cell>
          <cell r="X94">
            <v>43120</v>
          </cell>
          <cell r="Y94">
            <v>91571</v>
          </cell>
          <cell r="Z94">
            <v>45756</v>
          </cell>
          <cell r="AA94">
            <v>42091</v>
          </cell>
        </row>
        <row r="95">
          <cell r="A95" t="str">
            <v>Agrosuper Asia1021046</v>
          </cell>
          <cell r="B95" t="str">
            <v>Cerdo</v>
          </cell>
          <cell r="C95" t="str">
            <v>Agrosuper Asia</v>
          </cell>
          <cell r="D95" t="str">
            <v>1021046</v>
          </cell>
          <cell r="E95" t="str">
            <v>GO PernilM C/M@ Cj 15k TJ</v>
          </cell>
          <cell r="F95" t="str">
            <v>Pernil</v>
          </cell>
          <cell r="G95" t="str">
            <v>Pernil Mano</v>
          </cell>
          <cell r="H95">
            <v>88000</v>
          </cell>
          <cell r="I95">
            <v>66000</v>
          </cell>
          <cell r="J95">
            <v>44000</v>
          </cell>
          <cell r="K95">
            <v>44000</v>
          </cell>
          <cell r="L95">
            <v>22105</v>
          </cell>
          <cell r="M95">
            <v>44022</v>
          </cell>
          <cell r="O95" t="str">
            <v>Agrosuper Asia1021046</v>
          </cell>
          <cell r="P95" t="str">
            <v>Cerdo</v>
          </cell>
          <cell r="Q95" t="str">
            <v>Agrosuper Asia</v>
          </cell>
          <cell r="R95" t="str">
            <v>1021046</v>
          </cell>
          <cell r="S95" t="str">
            <v>GO PernilM C/M@ Cj 15k TJ</v>
          </cell>
          <cell r="T95" t="str">
            <v>Pernil</v>
          </cell>
          <cell r="U95" t="str">
            <v>Pernil Mano</v>
          </cell>
          <cell r="V95">
            <v>227040</v>
          </cell>
          <cell r="W95">
            <v>171600</v>
          </cell>
          <cell r="X95">
            <v>99220</v>
          </cell>
          <cell r="Y95">
            <v>88542</v>
          </cell>
          <cell r="Z95">
            <v>45973</v>
          </cell>
          <cell r="AA95">
            <v>42091</v>
          </cell>
        </row>
        <row r="96">
          <cell r="A96" t="str">
            <v>Agrosuper Asia1021149</v>
          </cell>
          <cell r="B96" t="str">
            <v>Cerdo</v>
          </cell>
          <cell r="C96" t="str">
            <v>Agrosuper Asia</v>
          </cell>
          <cell r="D96" t="str">
            <v>1021149</v>
          </cell>
          <cell r="E96" t="str">
            <v>GO Tira Hso Ctro@ Cj 20k TJ</v>
          </cell>
          <cell r="F96" t="str">
            <v>Huesos</v>
          </cell>
          <cell r="G96" t="str">
            <v>Huesos Cuarto Centra</v>
          </cell>
          <cell r="H96">
            <v>66000</v>
          </cell>
          <cell r="I96">
            <v>44000</v>
          </cell>
          <cell r="J96">
            <v>66000</v>
          </cell>
          <cell r="K96">
            <v>44000</v>
          </cell>
          <cell r="L96">
            <v>66000</v>
          </cell>
          <cell r="M96">
            <v>110000</v>
          </cell>
          <cell r="O96" t="str">
            <v>Agrosuper Asia1021149</v>
          </cell>
          <cell r="P96" t="str">
            <v>Cerdo</v>
          </cell>
          <cell r="Q96" t="str">
            <v>Agrosuper Asia</v>
          </cell>
          <cell r="R96" t="str">
            <v>1021149</v>
          </cell>
          <cell r="S96" t="str">
            <v>GO Tira Hso Ctro@ Cj 20k TJ</v>
          </cell>
          <cell r="T96" t="str">
            <v>Huesos</v>
          </cell>
          <cell r="U96" t="str">
            <v>Huesos Cuarto Centra</v>
          </cell>
          <cell r="V96">
            <v>75240</v>
          </cell>
          <cell r="W96">
            <v>72160</v>
          </cell>
          <cell r="X96">
            <v>67980</v>
          </cell>
          <cell r="Y96">
            <v>46640</v>
          </cell>
          <cell r="Z96">
            <v>54659</v>
          </cell>
          <cell r="AA96">
            <v>81377</v>
          </cell>
        </row>
        <row r="97">
          <cell r="A97" t="str">
            <v>Agrosuper Asia1021150</v>
          </cell>
          <cell r="B97" t="str">
            <v>Cerdo</v>
          </cell>
          <cell r="C97" t="str">
            <v>Agrosuper Asia</v>
          </cell>
          <cell r="D97" t="str">
            <v>1021150</v>
          </cell>
          <cell r="E97" t="str">
            <v>GO Tira Hso Ctro@ Cj 20k AK</v>
          </cell>
          <cell r="F97" t="str">
            <v>Huesos</v>
          </cell>
          <cell r="G97" t="str">
            <v>Huesos Cuarto Centra</v>
          </cell>
          <cell r="H97">
            <v>44000</v>
          </cell>
          <cell r="I97">
            <v>66000</v>
          </cell>
          <cell r="J97">
            <v>22000</v>
          </cell>
          <cell r="K97">
            <v>44000</v>
          </cell>
          <cell r="L97">
            <v>22000</v>
          </cell>
          <cell r="M97">
            <v>88000</v>
          </cell>
          <cell r="O97" t="str">
            <v>Agrosuper Asia1021150</v>
          </cell>
          <cell r="P97" t="str">
            <v>Cerdo</v>
          </cell>
          <cell r="Q97" t="str">
            <v>Agrosuper Asia</v>
          </cell>
          <cell r="R97" t="str">
            <v>1021150</v>
          </cell>
          <cell r="S97" t="str">
            <v>GO Tira Hso Ctro@ Cj 20k AK</v>
          </cell>
          <cell r="T97" t="str">
            <v>Huesos</v>
          </cell>
          <cell r="U97" t="str">
            <v>Huesos Cuarto Centra</v>
          </cell>
          <cell r="V97">
            <v>49824.5</v>
          </cell>
          <cell r="W97">
            <v>108240</v>
          </cell>
          <cell r="X97">
            <v>23100</v>
          </cell>
          <cell r="Y97">
            <v>49060</v>
          </cell>
          <cell r="Z97">
            <v>23341</v>
          </cell>
          <cell r="AA97">
            <v>65304</v>
          </cell>
        </row>
        <row r="98">
          <cell r="A98" t="str">
            <v>Agrosuper Asia1021151</v>
          </cell>
          <cell r="B98" t="str">
            <v>Cerdo</v>
          </cell>
          <cell r="C98" t="str">
            <v>Agrosuper Asia</v>
          </cell>
          <cell r="D98" t="str">
            <v>1021151</v>
          </cell>
          <cell r="E98" t="str">
            <v>GO Hso Cogote@ Bo Cj 20k TJ</v>
          </cell>
          <cell r="F98" t="str">
            <v>Huesos</v>
          </cell>
          <cell r="G98" t="str">
            <v>Huesos Cuarto Delant</v>
          </cell>
          <cell r="H98">
            <v>44000</v>
          </cell>
          <cell r="I98">
            <v>22000</v>
          </cell>
          <cell r="J98">
            <v>22000</v>
          </cell>
          <cell r="K98">
            <v>44000</v>
          </cell>
          <cell r="L98">
            <v>44000</v>
          </cell>
          <cell r="M98">
            <v>22000</v>
          </cell>
          <cell r="O98" t="str">
            <v>Agrosuper Asia1021151</v>
          </cell>
          <cell r="P98" t="str">
            <v>Cerdo</v>
          </cell>
          <cell r="Q98" t="str">
            <v>Agrosuper Asia</v>
          </cell>
          <cell r="R98" t="str">
            <v>1021151</v>
          </cell>
          <cell r="S98" t="str">
            <v>GO Hso Cogote@ Bo Cj 20k TJ</v>
          </cell>
          <cell r="T98" t="str">
            <v>Huesos</v>
          </cell>
          <cell r="U98" t="str">
            <v>Huesos Cuarto Delant</v>
          </cell>
          <cell r="V98">
            <v>73726.666700000002</v>
          </cell>
          <cell r="W98">
            <v>35200</v>
          </cell>
          <cell r="X98">
            <v>34100</v>
          </cell>
          <cell r="Y98">
            <v>71771</v>
          </cell>
          <cell r="Z98">
            <v>70197</v>
          </cell>
          <cell r="AA98">
            <v>24490</v>
          </cell>
        </row>
        <row r="99">
          <cell r="A99" t="str">
            <v>Agrosuper Asia1021152</v>
          </cell>
          <cell r="B99" t="str">
            <v>Cerdo</v>
          </cell>
          <cell r="C99" t="str">
            <v>Agrosuper Asia</v>
          </cell>
          <cell r="D99" t="str">
            <v>1021152</v>
          </cell>
          <cell r="E99" t="str">
            <v>GO Hso Cogote@ Bo Cj 20k AK</v>
          </cell>
          <cell r="F99" t="str">
            <v>Huesos</v>
          </cell>
          <cell r="G99" t="str">
            <v>Huesos Cuarto Delant</v>
          </cell>
          <cell r="H99">
            <v>44000</v>
          </cell>
          <cell r="I99">
            <v>22000</v>
          </cell>
          <cell r="J99">
            <v>44000</v>
          </cell>
          <cell r="K99">
            <v>22000</v>
          </cell>
          <cell r="L99"/>
          <cell r="M99">
            <v>22000</v>
          </cell>
          <cell r="O99" t="str">
            <v>Agrosuper Asia1021152</v>
          </cell>
          <cell r="P99" t="str">
            <v>Cerdo</v>
          </cell>
          <cell r="Q99" t="str">
            <v>Agrosuper Asia</v>
          </cell>
          <cell r="R99" t="str">
            <v>1021152</v>
          </cell>
          <cell r="S99" t="str">
            <v>GO Hso Cogote@ Bo Cj 20k AK</v>
          </cell>
          <cell r="T99" t="str">
            <v>Huesos</v>
          </cell>
          <cell r="U99" t="str">
            <v>Huesos Cuarto Delant</v>
          </cell>
          <cell r="V99">
            <v>71559.5</v>
          </cell>
          <cell r="W99">
            <v>35200</v>
          </cell>
          <cell r="X99">
            <v>68200</v>
          </cell>
          <cell r="Y99">
            <v>34320</v>
          </cell>
          <cell r="Z99"/>
          <cell r="AA99">
            <v>24491</v>
          </cell>
        </row>
        <row r="100">
          <cell r="A100" t="str">
            <v>Agrosuper Asia1021156</v>
          </cell>
          <cell r="B100" t="str">
            <v>Cerdo</v>
          </cell>
          <cell r="C100" t="str">
            <v>Agrosuper Asia</v>
          </cell>
          <cell r="D100" t="str">
            <v>1021156</v>
          </cell>
          <cell r="E100" t="str">
            <v>GO Hso Pecho@ Cj Lom Vet TJ</v>
          </cell>
          <cell r="F100" t="str">
            <v>Huesos</v>
          </cell>
          <cell r="G100" t="str">
            <v>Huesos Cuarto Centra</v>
          </cell>
          <cell r="H100">
            <v>46000</v>
          </cell>
          <cell r="I100">
            <v>72000</v>
          </cell>
          <cell r="J100">
            <v>7000</v>
          </cell>
          <cell r="K100">
            <v>14000</v>
          </cell>
          <cell r="L100">
            <v>24000</v>
          </cell>
          <cell r="M100">
            <v>24000</v>
          </cell>
          <cell r="O100" t="str">
            <v>Agrosuper Asia1021156</v>
          </cell>
          <cell r="P100" t="str">
            <v>Cerdo</v>
          </cell>
          <cell r="Q100" t="str">
            <v>Agrosuper Asia</v>
          </cell>
          <cell r="R100" t="str">
            <v>1021156</v>
          </cell>
          <cell r="S100" t="str">
            <v>GO Hso Pecho@ Cj Lom Vet TJ</v>
          </cell>
          <cell r="T100" t="str">
            <v>Huesos</v>
          </cell>
          <cell r="U100" t="str">
            <v>Huesos Cuarto Centra</v>
          </cell>
          <cell r="V100">
            <v>134780</v>
          </cell>
          <cell r="W100">
            <v>181080</v>
          </cell>
          <cell r="X100">
            <v>17570</v>
          </cell>
          <cell r="Y100">
            <v>35840</v>
          </cell>
          <cell r="Z100">
            <v>86720</v>
          </cell>
          <cell r="AA100">
            <v>65716</v>
          </cell>
        </row>
        <row r="101">
          <cell r="A101" t="str">
            <v>Agrosuper Asia1021204</v>
          </cell>
          <cell r="B101" t="str">
            <v>Cerdo</v>
          </cell>
          <cell r="C101" t="str">
            <v>Agrosuper Asia</v>
          </cell>
          <cell r="D101" t="str">
            <v>1021204</v>
          </cell>
          <cell r="E101" t="str">
            <v>GO Lom Tocino@ Cj 20k AS</v>
          </cell>
          <cell r="F101" t="str">
            <v>Grasas</v>
          </cell>
          <cell r="G101" t="str">
            <v>Grasa Lomo Tocino</v>
          </cell>
          <cell r="H101">
            <v>24000</v>
          </cell>
          <cell r="I101"/>
          <cell r="J101"/>
          <cell r="K101"/>
          <cell r="L101"/>
          <cell r="M101">
            <v>24000</v>
          </cell>
          <cell r="O101" t="str">
            <v>Agrosuper Asia1021204</v>
          </cell>
          <cell r="P101" t="str">
            <v>Cerdo</v>
          </cell>
          <cell r="Q101" t="str">
            <v>Agrosuper Asia</v>
          </cell>
          <cell r="R101" t="str">
            <v>1021204</v>
          </cell>
          <cell r="S101" t="str">
            <v>GO Lom Tocino@ Cj 20k AS</v>
          </cell>
          <cell r="T101" t="str">
            <v>Grasas</v>
          </cell>
          <cell r="U101" t="str">
            <v>Grasa Lomo Tocino</v>
          </cell>
          <cell r="V101">
            <v>32880</v>
          </cell>
          <cell r="W101"/>
          <cell r="X101"/>
          <cell r="Y101"/>
          <cell r="Z101"/>
          <cell r="AA101">
            <v>30925</v>
          </cell>
        </row>
        <row r="102">
          <cell r="A102" t="str">
            <v>Agrosuper Asia1021470</v>
          </cell>
          <cell r="B102" t="str">
            <v>Cerdo</v>
          </cell>
          <cell r="C102" t="str">
            <v>Agrosuper Asia</v>
          </cell>
          <cell r="D102" t="str">
            <v>1021470</v>
          </cell>
          <cell r="E102" t="str">
            <v>GO PernilM@ Cj 20k AK</v>
          </cell>
          <cell r="F102" t="str">
            <v>Pernil</v>
          </cell>
          <cell r="G102" t="str">
            <v>Pernil Mano</v>
          </cell>
          <cell r="H102">
            <v>22000</v>
          </cell>
          <cell r="I102">
            <v>22000</v>
          </cell>
          <cell r="J102"/>
          <cell r="K102">
            <v>22000</v>
          </cell>
          <cell r="L102"/>
          <cell r="M102">
            <v>22000</v>
          </cell>
          <cell r="O102" t="str">
            <v>Agrosuper Asia1021470</v>
          </cell>
          <cell r="P102" t="str">
            <v>Cerdo</v>
          </cell>
          <cell r="Q102" t="str">
            <v>Agrosuper Asia</v>
          </cell>
          <cell r="R102" t="str">
            <v>1021470</v>
          </cell>
          <cell r="S102" t="str">
            <v>GO PernilM@ Cj 20k AK</v>
          </cell>
          <cell r="T102" t="str">
            <v>Pernil</v>
          </cell>
          <cell r="U102" t="str">
            <v>Pernil Mano</v>
          </cell>
          <cell r="V102">
            <v>41800</v>
          </cell>
          <cell r="W102">
            <v>45540</v>
          </cell>
          <cell r="X102"/>
          <cell r="Y102">
            <v>39600</v>
          </cell>
          <cell r="Z102"/>
          <cell r="AA102">
            <v>36511</v>
          </cell>
        </row>
        <row r="103">
          <cell r="A103" t="str">
            <v>Agrosuper Asia1021655</v>
          </cell>
          <cell r="B103" t="str">
            <v>Cerdo</v>
          </cell>
          <cell r="C103" t="str">
            <v>Agrosuper Asia</v>
          </cell>
          <cell r="D103" t="str">
            <v>1021655</v>
          </cell>
          <cell r="E103" t="str">
            <v>GO Estómago Pouch@ Bo Cj 10k AS</v>
          </cell>
          <cell r="F103" t="str">
            <v>Subprod</v>
          </cell>
          <cell r="G103" t="str">
            <v>Subprod Visceras</v>
          </cell>
          <cell r="H103"/>
          <cell r="I103"/>
          <cell r="J103"/>
          <cell r="K103"/>
          <cell r="L103">
            <v>48000</v>
          </cell>
          <cell r="M103">
            <v>24000</v>
          </cell>
          <cell r="O103" t="str">
            <v>Agrosuper Asia1021655</v>
          </cell>
          <cell r="P103" t="str">
            <v>Cerdo</v>
          </cell>
          <cell r="Q103" t="str">
            <v>Agrosuper Asia</v>
          </cell>
          <cell r="R103" t="str">
            <v>1021655</v>
          </cell>
          <cell r="S103" t="str">
            <v>GO Estómago Pouch@ Bo Cj 10k AS</v>
          </cell>
          <cell r="T103" t="str">
            <v>Subprod</v>
          </cell>
          <cell r="U103" t="str">
            <v>Subprod Visceras</v>
          </cell>
          <cell r="V103"/>
          <cell r="W103"/>
          <cell r="X103"/>
          <cell r="Y103"/>
          <cell r="Z103">
            <v>96000</v>
          </cell>
          <cell r="AA103">
            <v>46375</v>
          </cell>
        </row>
        <row r="104">
          <cell r="A104" t="str">
            <v>Agrosuper Asia1021664</v>
          </cell>
          <cell r="B104" t="str">
            <v>Cerdo</v>
          </cell>
          <cell r="C104" t="str">
            <v>Agrosuper Asia</v>
          </cell>
          <cell r="D104" t="str">
            <v>1021664</v>
          </cell>
          <cell r="E104" t="str">
            <v>GO Pecho S/cue K@ Cj 20k TJ</v>
          </cell>
          <cell r="F104" t="str">
            <v>Cost-Pec</v>
          </cell>
          <cell r="G104" t="str">
            <v>Cost-Pec Entero</v>
          </cell>
          <cell r="H104">
            <v>154000</v>
          </cell>
          <cell r="I104">
            <v>66000</v>
          </cell>
          <cell r="J104">
            <v>66000</v>
          </cell>
          <cell r="K104">
            <v>66000</v>
          </cell>
          <cell r="L104">
            <v>44000</v>
          </cell>
          <cell r="M104"/>
          <cell r="O104" t="str">
            <v>Agrosuper Asia1021664</v>
          </cell>
          <cell r="P104" t="str">
            <v>Cerdo</v>
          </cell>
          <cell r="Q104" t="str">
            <v>Agrosuper Asia</v>
          </cell>
          <cell r="R104" t="str">
            <v>1021664</v>
          </cell>
          <cell r="S104" t="str">
            <v>GO Pecho S/cue K@ Cj 20k TJ</v>
          </cell>
          <cell r="T104" t="str">
            <v>Cost-Pec</v>
          </cell>
          <cell r="U104" t="str">
            <v>Cost-Pec Entero</v>
          </cell>
          <cell r="V104">
            <v>927442.25</v>
          </cell>
          <cell r="W104">
            <v>349140</v>
          </cell>
          <cell r="X104">
            <v>364980</v>
          </cell>
          <cell r="Y104">
            <v>362785</v>
          </cell>
          <cell r="Z104">
            <v>242281</v>
          </cell>
          <cell r="AA104"/>
        </row>
        <row r="105">
          <cell r="A105" t="str">
            <v>Agrosuper Asia1021665</v>
          </cell>
          <cell r="B105" t="str">
            <v>Cerdo</v>
          </cell>
          <cell r="C105" t="str">
            <v>Agrosuper Asia</v>
          </cell>
          <cell r="D105" t="str">
            <v>1021665</v>
          </cell>
          <cell r="E105" t="str">
            <v>GO Pecho S/cue K@ Cj 20k AK</v>
          </cell>
          <cell r="F105" t="str">
            <v>Cost-Pec</v>
          </cell>
          <cell r="G105" t="str">
            <v>Cost-Pec Entero</v>
          </cell>
          <cell r="H105">
            <v>44000</v>
          </cell>
          <cell r="I105">
            <v>110000</v>
          </cell>
          <cell r="J105">
            <v>44000</v>
          </cell>
          <cell r="K105">
            <v>66000</v>
          </cell>
          <cell r="L105">
            <v>44061</v>
          </cell>
          <cell r="M105">
            <v>21786</v>
          </cell>
          <cell r="O105" t="str">
            <v>Agrosuper Asia1021665</v>
          </cell>
          <cell r="P105" t="str">
            <v>Cerdo</v>
          </cell>
          <cell r="Q105" t="str">
            <v>Agrosuper Asia</v>
          </cell>
          <cell r="R105" t="str">
            <v>1021665</v>
          </cell>
          <cell r="S105" t="str">
            <v>GO Pecho S/cue K@ Cj 20k AK</v>
          </cell>
          <cell r="T105" t="str">
            <v>Cost-Pec</v>
          </cell>
          <cell r="U105" t="str">
            <v>Cost-Pec Entero</v>
          </cell>
          <cell r="V105">
            <v>265776</v>
          </cell>
          <cell r="W105">
            <v>584650</v>
          </cell>
          <cell r="X105">
            <v>243320</v>
          </cell>
          <cell r="Y105">
            <v>366571</v>
          </cell>
          <cell r="Z105">
            <v>243648</v>
          </cell>
          <cell r="AA105">
            <v>118940</v>
          </cell>
        </row>
        <row r="106">
          <cell r="A106" t="str">
            <v>Agrosuper Asia1022182</v>
          </cell>
          <cell r="B106" t="str">
            <v>Cerdo</v>
          </cell>
          <cell r="C106" t="str">
            <v>Agrosuper Asia</v>
          </cell>
          <cell r="D106" t="str">
            <v>1022182</v>
          </cell>
          <cell r="E106" t="str">
            <v>GO BB Ribs 20-24 Oz@ Cj 10k AS</v>
          </cell>
          <cell r="F106" t="str">
            <v>Chuleta</v>
          </cell>
          <cell r="G106" t="str">
            <v>Chuleta Huesos</v>
          </cell>
          <cell r="H106"/>
          <cell r="I106"/>
          <cell r="J106"/>
          <cell r="K106">
            <v>22000</v>
          </cell>
          <cell r="L106"/>
          <cell r="M106">
            <v>22000</v>
          </cell>
          <cell r="O106" t="str">
            <v>Agrosuper Asia1022182</v>
          </cell>
          <cell r="P106" t="str">
            <v>Cerdo</v>
          </cell>
          <cell r="Q106" t="str">
            <v>Agrosuper Asia</v>
          </cell>
          <cell r="R106" t="str">
            <v>1022182</v>
          </cell>
          <cell r="S106" t="str">
            <v>GO BB Ribs 20-24 Oz@ Cj 10k AS</v>
          </cell>
          <cell r="T106" t="str">
            <v>Chuleta</v>
          </cell>
          <cell r="U106" t="str">
            <v>Chuleta Huesos</v>
          </cell>
          <cell r="V106"/>
          <cell r="W106"/>
          <cell r="X106"/>
          <cell r="Y106">
            <v>121000</v>
          </cell>
          <cell r="Z106"/>
          <cell r="AA106">
            <v>116891</v>
          </cell>
        </row>
        <row r="107">
          <cell r="A107" t="str">
            <v>Agrosuper Asia1022283</v>
          </cell>
          <cell r="B107" t="str">
            <v>Cerdo</v>
          </cell>
          <cell r="C107" t="str">
            <v>Agrosuper Asia</v>
          </cell>
          <cell r="D107" t="str">
            <v>1022283</v>
          </cell>
          <cell r="E107" t="str">
            <v>GO Malaya 5-6mm@ Bo Cj 9k AS</v>
          </cell>
          <cell r="F107" t="str">
            <v>Prolijado</v>
          </cell>
          <cell r="G107" t="str">
            <v>Prolijado Malaya</v>
          </cell>
          <cell r="H107">
            <v>11000</v>
          </cell>
          <cell r="I107">
            <v>9000</v>
          </cell>
          <cell r="J107"/>
          <cell r="K107">
            <v>5000</v>
          </cell>
          <cell r="L107">
            <v>6000</v>
          </cell>
          <cell r="M107">
            <v>10000</v>
          </cell>
          <cell r="O107" t="str">
            <v>Agrosuper Asia1022283</v>
          </cell>
          <cell r="P107" t="str">
            <v>Cerdo</v>
          </cell>
          <cell r="Q107" t="str">
            <v>Agrosuper Asia</v>
          </cell>
          <cell r="R107" t="str">
            <v>1022283</v>
          </cell>
          <cell r="S107" t="str">
            <v>GO Malaya 5-6mm@ Bo Cj 9k AS</v>
          </cell>
          <cell r="T107" t="str">
            <v>Prolijado</v>
          </cell>
          <cell r="U107" t="str">
            <v>Prolijado Malaya</v>
          </cell>
          <cell r="V107">
            <v>62981.599999999999</v>
          </cell>
          <cell r="W107">
            <v>48600</v>
          </cell>
          <cell r="X107"/>
          <cell r="Y107">
            <v>28500</v>
          </cell>
          <cell r="Z107">
            <v>32760</v>
          </cell>
          <cell r="AA107">
            <v>60298</v>
          </cell>
        </row>
        <row r="108">
          <cell r="A108" t="str">
            <v>Agrosuper Asia1022607</v>
          </cell>
          <cell r="B108" t="str">
            <v>Cerdo</v>
          </cell>
          <cell r="C108" t="str">
            <v>Agrosuper Asia</v>
          </cell>
          <cell r="D108" t="str">
            <v>1022607</v>
          </cell>
          <cell r="E108" t="str">
            <v>GO Platead Lom TF@ Cj 10k AK (TS)</v>
          </cell>
          <cell r="F108" t="str">
            <v>Prolijado</v>
          </cell>
          <cell r="G108" t="str">
            <v>Prolijado Plateada</v>
          </cell>
          <cell r="H108">
            <v>22000</v>
          </cell>
          <cell r="I108">
            <v>22000</v>
          </cell>
          <cell r="J108">
            <v>22000</v>
          </cell>
          <cell r="K108">
            <v>44000</v>
          </cell>
          <cell r="L108">
            <v>44001</v>
          </cell>
          <cell r="M108">
            <v>22000</v>
          </cell>
          <cell r="O108" t="str">
            <v>Agrosuper Asia1022607</v>
          </cell>
          <cell r="P108" t="str">
            <v>Cerdo</v>
          </cell>
          <cell r="Q108" t="str">
            <v>Agrosuper Asia</v>
          </cell>
          <cell r="R108" t="str">
            <v>1022607</v>
          </cell>
          <cell r="S108" t="str">
            <v>GO Platead Lom TF@ Cj 10k AK (TS)</v>
          </cell>
          <cell r="T108" t="str">
            <v>Prolijado</v>
          </cell>
          <cell r="U108" t="str">
            <v>Prolijado Plateada</v>
          </cell>
          <cell r="V108">
            <v>126060</v>
          </cell>
          <cell r="W108">
            <v>114400</v>
          </cell>
          <cell r="X108">
            <v>112860</v>
          </cell>
          <cell r="Y108">
            <v>233200</v>
          </cell>
          <cell r="Z108">
            <v>233204</v>
          </cell>
          <cell r="AA108">
            <v>116600</v>
          </cell>
        </row>
        <row r="109">
          <cell r="A109" t="str">
            <v>Agrosuper Asia1022885</v>
          </cell>
          <cell r="B109" t="str">
            <v>Cerdo</v>
          </cell>
          <cell r="C109" t="str">
            <v>Agrosuper Asia</v>
          </cell>
          <cell r="D109" t="str">
            <v>1022885</v>
          </cell>
          <cell r="E109" t="str">
            <v>GO Panc S/cue@ Cj Panc TJ</v>
          </cell>
          <cell r="F109" t="str">
            <v>Panceta</v>
          </cell>
          <cell r="G109" t="str">
            <v>Panceta s/Cuero</v>
          </cell>
          <cell r="H109">
            <v>660000</v>
          </cell>
          <cell r="I109">
            <v>597000</v>
          </cell>
          <cell r="J109">
            <v>476000</v>
          </cell>
          <cell r="K109">
            <v>702000</v>
          </cell>
          <cell r="L109">
            <v>615555</v>
          </cell>
          <cell r="M109">
            <v>469016</v>
          </cell>
          <cell r="O109" t="str">
            <v>Agrosuper Asia1022885</v>
          </cell>
          <cell r="P109" t="str">
            <v>Cerdo</v>
          </cell>
          <cell r="Q109" t="str">
            <v>Agrosuper Asia</v>
          </cell>
          <cell r="R109" t="str">
            <v>1022885</v>
          </cell>
          <cell r="S109" t="str">
            <v>GO Panc S/cue@ Cj Panc TJ</v>
          </cell>
          <cell r="T109" t="str">
            <v>Panceta</v>
          </cell>
          <cell r="U109" t="str">
            <v>Panceta s/Cuero</v>
          </cell>
          <cell r="V109">
            <v>4448231.7450000001</v>
          </cell>
          <cell r="W109">
            <v>3883485</v>
          </cell>
          <cell r="X109">
            <v>2975000</v>
          </cell>
          <cell r="Y109">
            <v>4283678</v>
          </cell>
          <cell r="Z109">
            <v>3723805</v>
          </cell>
          <cell r="AA109">
            <v>2830975</v>
          </cell>
        </row>
        <row r="110">
          <cell r="A110" t="str">
            <v>Agrosuper Asia1022887</v>
          </cell>
          <cell r="B110" t="str">
            <v>Cerdo</v>
          </cell>
          <cell r="C110" t="str">
            <v>Agrosuper Asia</v>
          </cell>
          <cell r="D110" t="str">
            <v>1022887</v>
          </cell>
          <cell r="E110" t="str">
            <v>GO Panc S/cue@ Cj Panc AK</v>
          </cell>
          <cell r="F110" t="str">
            <v>Panceta</v>
          </cell>
          <cell r="G110" t="str">
            <v>Panceta s/Cuero</v>
          </cell>
          <cell r="H110">
            <v>198000</v>
          </cell>
          <cell r="I110">
            <v>275000</v>
          </cell>
          <cell r="J110">
            <v>385000</v>
          </cell>
          <cell r="K110">
            <v>352000</v>
          </cell>
          <cell r="L110">
            <v>308028</v>
          </cell>
          <cell r="M110">
            <v>209000</v>
          </cell>
          <cell r="O110" t="str">
            <v>Agrosuper Asia1022887</v>
          </cell>
          <cell r="P110" t="str">
            <v>Cerdo</v>
          </cell>
          <cell r="Q110" t="str">
            <v>Agrosuper Asia</v>
          </cell>
          <cell r="R110" t="str">
            <v>1022887</v>
          </cell>
          <cell r="S110" t="str">
            <v>GO Panc S/cue@ Cj Panc AK</v>
          </cell>
          <cell r="T110" t="str">
            <v>Panceta</v>
          </cell>
          <cell r="U110" t="str">
            <v>Panceta s/Cuero</v>
          </cell>
          <cell r="V110">
            <v>1378080</v>
          </cell>
          <cell r="W110">
            <v>1761375</v>
          </cell>
          <cell r="X110">
            <v>2321550</v>
          </cell>
          <cell r="Y110">
            <v>2089499</v>
          </cell>
          <cell r="Z110">
            <v>1830564</v>
          </cell>
          <cell r="AA110">
            <v>1258453</v>
          </cell>
        </row>
        <row r="111">
          <cell r="A111" t="str">
            <v>Agrosuper Asia1022930</v>
          </cell>
          <cell r="B111" t="str">
            <v>Cerdo</v>
          </cell>
          <cell r="C111" t="str">
            <v>Agrosuper Asia</v>
          </cell>
          <cell r="D111" t="str">
            <v>1022930</v>
          </cell>
          <cell r="E111" t="str">
            <v>GO Panc S/cue Hem@ Cj Panc TJ AS</v>
          </cell>
          <cell r="F111" t="str">
            <v>Panceta</v>
          </cell>
          <cell r="G111" t="str">
            <v>Panceta s/Cuero</v>
          </cell>
          <cell r="H111">
            <v>154000</v>
          </cell>
          <cell r="I111">
            <v>44000</v>
          </cell>
          <cell r="J111">
            <v>44000</v>
          </cell>
          <cell r="K111">
            <v>88000</v>
          </cell>
          <cell r="L111">
            <v>65946</v>
          </cell>
          <cell r="M111">
            <v>22000</v>
          </cell>
          <cell r="O111" t="str">
            <v>Agrosuper Asia1022930</v>
          </cell>
          <cell r="P111" t="str">
            <v>Cerdo</v>
          </cell>
          <cell r="Q111" t="str">
            <v>Agrosuper Asia</v>
          </cell>
          <cell r="R111" t="str">
            <v>1022930</v>
          </cell>
          <cell r="S111" t="str">
            <v>GO Panc S/cue Hem@ Cj Panc TJ AS</v>
          </cell>
          <cell r="T111" t="str">
            <v>Panceta</v>
          </cell>
          <cell r="U111" t="str">
            <v>Panceta s/Cuero</v>
          </cell>
          <cell r="V111">
            <v>1083909.05</v>
          </cell>
          <cell r="W111">
            <v>286440</v>
          </cell>
          <cell r="X111">
            <v>264440</v>
          </cell>
          <cell r="Y111">
            <v>533280</v>
          </cell>
          <cell r="Z111">
            <v>273348</v>
          </cell>
          <cell r="AA111">
            <v>138292</v>
          </cell>
        </row>
        <row r="112">
          <cell r="A112" t="str">
            <v>Agrosuper Asia1022985</v>
          </cell>
          <cell r="B112" t="str">
            <v>Cerdo</v>
          </cell>
          <cell r="C112" t="str">
            <v>Agrosuper Asia</v>
          </cell>
          <cell r="D112" t="str">
            <v>1022985</v>
          </cell>
          <cell r="E112" t="str">
            <v>GO Lom Vet Mad@ Cj 8,5k TJ</v>
          </cell>
          <cell r="F112" t="str">
            <v>Lomo</v>
          </cell>
          <cell r="G112" t="str">
            <v>Lomo Vetado</v>
          </cell>
          <cell r="H112">
            <v>10000</v>
          </cell>
          <cell r="I112">
            <v>10000</v>
          </cell>
          <cell r="J112">
            <v>17000</v>
          </cell>
          <cell r="K112">
            <v>12000</v>
          </cell>
          <cell r="L112">
            <v>8000</v>
          </cell>
          <cell r="M112">
            <v>5000</v>
          </cell>
          <cell r="O112" t="str">
            <v>Agrosuper Asia1022985</v>
          </cell>
          <cell r="P112" t="str">
            <v>Cerdo</v>
          </cell>
          <cell r="Q112" t="str">
            <v>Agrosuper Asia</v>
          </cell>
          <cell r="R112" t="str">
            <v>1022985</v>
          </cell>
          <cell r="S112" t="str">
            <v>GO Lom Vet Mad@ Cj 8,5k TJ</v>
          </cell>
          <cell r="T112" t="str">
            <v>Lomo</v>
          </cell>
          <cell r="U112" t="str">
            <v>Lomo Vetado</v>
          </cell>
          <cell r="V112">
            <v>42616</v>
          </cell>
          <cell r="W112">
            <v>41000</v>
          </cell>
          <cell r="X112">
            <v>66243</v>
          </cell>
          <cell r="Y112">
            <v>49200</v>
          </cell>
          <cell r="Z112">
            <v>31677</v>
          </cell>
          <cell r="AA112">
            <v>19798</v>
          </cell>
        </row>
        <row r="113">
          <cell r="A113" t="str">
            <v>Agrosuper Asia1022986</v>
          </cell>
          <cell r="B113" t="str">
            <v>Cerdo</v>
          </cell>
          <cell r="C113" t="str">
            <v>Agrosuper Asia</v>
          </cell>
          <cell r="D113" t="str">
            <v>1022986</v>
          </cell>
          <cell r="E113" t="str">
            <v>GO Panc S/cue Mad@ Cj 16,4k Panc TJ</v>
          </cell>
          <cell r="F113" t="str">
            <v>Panceta</v>
          </cell>
          <cell r="G113" t="str">
            <v>Panceta s/Cuero</v>
          </cell>
          <cell r="H113">
            <v>20000</v>
          </cell>
          <cell r="I113">
            <v>17000</v>
          </cell>
          <cell r="J113"/>
          <cell r="K113">
            <v>5000</v>
          </cell>
          <cell r="L113">
            <v>7500</v>
          </cell>
          <cell r="M113"/>
          <cell r="O113" t="str">
            <v>Agrosuper Asia1022986</v>
          </cell>
          <cell r="P113" t="str">
            <v>Cerdo</v>
          </cell>
          <cell r="Q113" t="str">
            <v>Agrosuper Asia</v>
          </cell>
          <cell r="R113" t="str">
            <v>1022986</v>
          </cell>
          <cell r="S113" t="str">
            <v>GO Panc S/cue Mad@ Cj 16,4k Panc TJ</v>
          </cell>
          <cell r="T113" t="str">
            <v>Panceta</v>
          </cell>
          <cell r="U113" t="str">
            <v>Panceta s/Cuero</v>
          </cell>
          <cell r="V113">
            <v>137818.6667</v>
          </cell>
          <cell r="W113">
            <v>113900</v>
          </cell>
          <cell r="X113"/>
          <cell r="Y113">
            <v>32500</v>
          </cell>
          <cell r="Z113">
            <v>48822</v>
          </cell>
          <cell r="AA113"/>
        </row>
        <row r="114">
          <cell r="A114" t="str">
            <v>Agrosuper Asia1023037</v>
          </cell>
          <cell r="B114" t="str">
            <v>Cerdo</v>
          </cell>
          <cell r="C114" t="str">
            <v>Agrosuper Asia</v>
          </cell>
          <cell r="D114" t="str">
            <v>1023037</v>
          </cell>
          <cell r="E114" t="str">
            <v>GO Panc S/cue@ Cj Panc 16k AS</v>
          </cell>
          <cell r="F114" t="str">
            <v>Panceta</v>
          </cell>
          <cell r="G114" t="str">
            <v>Panceta s/Cuero</v>
          </cell>
          <cell r="H114">
            <v>66000</v>
          </cell>
          <cell r="I114">
            <v>110000</v>
          </cell>
          <cell r="J114">
            <v>176000</v>
          </cell>
          <cell r="K114">
            <v>176000</v>
          </cell>
          <cell r="L114">
            <v>99000</v>
          </cell>
          <cell r="M114">
            <v>143000</v>
          </cell>
          <cell r="O114" t="str">
            <v>Agrosuper Asia1023037</v>
          </cell>
          <cell r="P114" t="str">
            <v>Cerdo</v>
          </cell>
          <cell r="Q114" t="str">
            <v>Agrosuper Asia</v>
          </cell>
          <cell r="R114" t="str">
            <v>1023037</v>
          </cell>
          <cell r="S114" t="str">
            <v>GO Panc S/cue@ Cj Panc 16k AS</v>
          </cell>
          <cell r="T114" t="str">
            <v>Panceta</v>
          </cell>
          <cell r="U114" t="str">
            <v>Panceta s/Cuero</v>
          </cell>
          <cell r="V114">
            <v>465306.14689999999</v>
          </cell>
          <cell r="W114">
            <v>743600</v>
          </cell>
          <cell r="X114">
            <v>1096480</v>
          </cell>
          <cell r="Y114">
            <v>1099808</v>
          </cell>
          <cell r="Z114">
            <v>613267</v>
          </cell>
          <cell r="AA114">
            <v>899875</v>
          </cell>
        </row>
        <row r="115">
          <cell r="A115" t="str">
            <v>Agrosuper Asia1023038</v>
          </cell>
          <cell r="B115" t="str">
            <v>Cerdo</v>
          </cell>
          <cell r="C115" t="str">
            <v>Agrosuper Asia</v>
          </cell>
          <cell r="D115" t="str">
            <v>1023038</v>
          </cell>
          <cell r="E115" t="str">
            <v>GO Lom Vet@ Cj 8k AS</v>
          </cell>
          <cell r="F115" t="str">
            <v>Lomo</v>
          </cell>
          <cell r="G115" t="str">
            <v>Lomo Vetado</v>
          </cell>
          <cell r="H115">
            <v>66000</v>
          </cell>
          <cell r="I115">
            <v>77000</v>
          </cell>
          <cell r="J115">
            <v>77000</v>
          </cell>
          <cell r="K115">
            <v>66000</v>
          </cell>
          <cell r="L115">
            <v>113643</v>
          </cell>
          <cell r="M115">
            <v>77000</v>
          </cell>
          <cell r="O115" t="str">
            <v>Agrosuper Asia1023038</v>
          </cell>
          <cell r="P115" t="str">
            <v>Cerdo</v>
          </cell>
          <cell r="Q115" t="str">
            <v>Agrosuper Asia</v>
          </cell>
          <cell r="R115" t="str">
            <v>1023038</v>
          </cell>
          <cell r="S115" t="str">
            <v>GO Lom Vet@ Cj 8k AS</v>
          </cell>
          <cell r="T115" t="str">
            <v>Lomo</v>
          </cell>
          <cell r="U115" t="str">
            <v>Lomo Vetado</v>
          </cell>
          <cell r="V115">
            <v>290424.40000000002</v>
          </cell>
          <cell r="W115">
            <v>315700</v>
          </cell>
          <cell r="X115">
            <v>310310</v>
          </cell>
          <cell r="Y115">
            <v>272657</v>
          </cell>
          <cell r="Z115">
            <v>467607</v>
          </cell>
          <cell r="AA115">
            <v>330247</v>
          </cell>
        </row>
        <row r="116">
          <cell r="A116" t="str">
            <v>Agrosuper Asia1023090</v>
          </cell>
          <cell r="B116" t="str">
            <v>Cerdo</v>
          </cell>
          <cell r="C116" t="str">
            <v>Agrosuper Asia</v>
          </cell>
          <cell r="D116" t="str">
            <v>1023090</v>
          </cell>
          <cell r="E116" t="str">
            <v>GO Panc S/cue S/h@ Cj Panc 16k AS</v>
          </cell>
          <cell r="F116" t="str">
            <v>Panceta</v>
          </cell>
          <cell r="G116" t="str">
            <v>Panceta s/Cuero</v>
          </cell>
          <cell r="H116">
            <v>22000</v>
          </cell>
          <cell r="I116">
            <v>22000</v>
          </cell>
          <cell r="J116">
            <v>22000</v>
          </cell>
          <cell r="K116">
            <v>22000</v>
          </cell>
          <cell r="L116">
            <v>22008</v>
          </cell>
          <cell r="M116">
            <v>22000</v>
          </cell>
          <cell r="O116" t="str">
            <v>Agrosuper Asia1023090</v>
          </cell>
          <cell r="P116" t="str">
            <v>Cerdo</v>
          </cell>
          <cell r="Q116" t="str">
            <v>Agrosuper Asia</v>
          </cell>
          <cell r="R116" t="str">
            <v>1023090</v>
          </cell>
          <cell r="S116" t="str">
            <v>GO Panc S/cue S/h@ Cj Panc 16k AS</v>
          </cell>
          <cell r="T116" t="str">
            <v>Panceta</v>
          </cell>
          <cell r="U116" t="str">
            <v>Panceta s/Cuero</v>
          </cell>
          <cell r="V116">
            <v>149600</v>
          </cell>
          <cell r="W116">
            <v>147400</v>
          </cell>
          <cell r="X116">
            <v>144100</v>
          </cell>
          <cell r="Y116">
            <v>137060</v>
          </cell>
          <cell r="Z116">
            <v>138925</v>
          </cell>
          <cell r="AA116">
            <v>143000</v>
          </cell>
        </row>
        <row r="117">
          <cell r="A117" t="str">
            <v>Agrosuper Asia1023144</v>
          </cell>
          <cell r="B117" t="str">
            <v>Cerdo</v>
          </cell>
          <cell r="C117" t="str">
            <v>Agrosuper Asia</v>
          </cell>
          <cell r="D117" t="str">
            <v>1023144</v>
          </cell>
          <cell r="E117" t="str">
            <v>GO Papda C/Cue granel@ Bo Cj AS</v>
          </cell>
          <cell r="F117" t="str">
            <v>Plancha</v>
          </cell>
          <cell r="G117" t="str">
            <v>Plancha c/Cuero</v>
          </cell>
          <cell r="H117"/>
          <cell r="I117"/>
          <cell r="J117"/>
          <cell r="K117"/>
          <cell r="L117">
            <v>24000</v>
          </cell>
          <cell r="M117">
            <v>48000</v>
          </cell>
          <cell r="O117" t="str">
            <v>Agrosuper Asia1023144</v>
          </cell>
          <cell r="P117" t="str">
            <v>Cerdo</v>
          </cell>
          <cell r="Q117" t="str">
            <v>Agrosuper Asia</v>
          </cell>
          <cell r="R117" t="str">
            <v>1023144</v>
          </cell>
          <cell r="S117" t="str">
            <v>GO Papda C/Cue granel@ Bo Cj AS</v>
          </cell>
          <cell r="T117" t="str">
            <v>Plancha</v>
          </cell>
          <cell r="U117" t="str">
            <v>Plancha c/Cuero</v>
          </cell>
          <cell r="V117"/>
          <cell r="W117"/>
          <cell r="X117"/>
          <cell r="Y117"/>
          <cell r="Z117">
            <v>42907</v>
          </cell>
          <cell r="AA117">
            <v>103200</v>
          </cell>
        </row>
        <row r="118">
          <cell r="A118" t="str">
            <v>Agrosuper Asia1023183</v>
          </cell>
          <cell r="B118" t="str">
            <v>Cerdo</v>
          </cell>
          <cell r="C118" t="str">
            <v>Agrosuper Asia</v>
          </cell>
          <cell r="D118" t="str">
            <v>1023183</v>
          </cell>
          <cell r="E118" t="str">
            <v>GO Pech S/Cue@ Vp Cj AS</v>
          </cell>
          <cell r="F118" t="str">
            <v>Cost-Pec</v>
          </cell>
          <cell r="G118" t="str">
            <v>Cost-Pec Entero</v>
          </cell>
          <cell r="H118">
            <v>22000</v>
          </cell>
          <cell r="I118">
            <v>44000</v>
          </cell>
          <cell r="J118">
            <v>66000</v>
          </cell>
          <cell r="K118"/>
          <cell r="L118">
            <v>22000</v>
          </cell>
          <cell r="M118">
            <v>22000</v>
          </cell>
          <cell r="O118" t="str">
            <v>Agrosuper Asia1023183</v>
          </cell>
          <cell r="P118" t="str">
            <v>Cerdo</v>
          </cell>
          <cell r="Q118" t="str">
            <v>Agrosuper Asia</v>
          </cell>
          <cell r="R118" t="str">
            <v>1023183</v>
          </cell>
          <cell r="S118" t="str">
            <v>GO Pech S/Cue@ Vp Cj AS</v>
          </cell>
          <cell r="T118" t="str">
            <v>Cost-Pec</v>
          </cell>
          <cell r="U118" t="str">
            <v>Cost-Pec Entero</v>
          </cell>
          <cell r="V118">
            <v>136200.5</v>
          </cell>
          <cell r="W118">
            <v>259600</v>
          </cell>
          <cell r="X118">
            <v>378180</v>
          </cell>
          <cell r="Y118"/>
          <cell r="Z118">
            <v>124511</v>
          </cell>
          <cell r="AA118">
            <v>126688</v>
          </cell>
        </row>
        <row r="119">
          <cell r="A119" t="str">
            <v>Agrosuper Asia1023283</v>
          </cell>
          <cell r="B119" t="str">
            <v>Cerdo</v>
          </cell>
          <cell r="C119" t="str">
            <v>Agrosuper Asia</v>
          </cell>
          <cell r="D119" t="str">
            <v>1023283</v>
          </cell>
          <cell r="E119" t="str">
            <v>GO Grasa Chaleco@ Cj 10k AS</v>
          </cell>
          <cell r="F119" t="str">
            <v>Subprod</v>
          </cell>
          <cell r="G119" t="str">
            <v>Subprod Grasa</v>
          </cell>
          <cell r="H119">
            <v>120000</v>
          </cell>
          <cell r="I119">
            <v>96000</v>
          </cell>
          <cell r="J119">
            <v>178000</v>
          </cell>
          <cell r="K119">
            <v>216000</v>
          </cell>
          <cell r="L119">
            <v>144149</v>
          </cell>
          <cell r="M119">
            <v>72000</v>
          </cell>
          <cell r="O119" t="str">
            <v>Agrosuper Asia1023283</v>
          </cell>
          <cell r="P119" t="str">
            <v>Cerdo</v>
          </cell>
          <cell r="Q119" t="str">
            <v>Agrosuper Asia</v>
          </cell>
          <cell r="R119" t="str">
            <v>1023283</v>
          </cell>
          <cell r="S119" t="str">
            <v>GO Grasa Chaleco@ Cj 10k AS</v>
          </cell>
          <cell r="T119" t="str">
            <v>Subprod</v>
          </cell>
          <cell r="U119" t="str">
            <v>Subprod Grasa</v>
          </cell>
          <cell r="V119">
            <v>107052.12119999999</v>
          </cell>
          <cell r="W119">
            <v>89280</v>
          </cell>
          <cell r="X119">
            <v>157911</v>
          </cell>
          <cell r="Y119">
            <v>220922</v>
          </cell>
          <cell r="Z119">
            <v>136463</v>
          </cell>
          <cell r="AA119">
            <v>70008</v>
          </cell>
        </row>
        <row r="120">
          <cell r="A120" t="str">
            <v>Agrosuper Asia1023305</v>
          </cell>
          <cell r="B120" t="str">
            <v>Cerdo</v>
          </cell>
          <cell r="C120" t="str">
            <v>Agrosuper Asia</v>
          </cell>
          <cell r="D120" t="str">
            <v>1023305</v>
          </cell>
          <cell r="E120" t="str">
            <v>GO Mucosa # Isotanque AS</v>
          </cell>
          <cell r="F120" t="str">
            <v>Subprod</v>
          </cell>
          <cell r="G120" t="str">
            <v>Subprod Proteína y O</v>
          </cell>
          <cell r="H120"/>
          <cell r="I120"/>
          <cell r="J120"/>
          <cell r="K120"/>
          <cell r="L120"/>
          <cell r="M120"/>
          <cell r="O120" t="str">
            <v>Agrosuper Asia1023305</v>
          </cell>
          <cell r="P120" t="str">
            <v>Cerdo</v>
          </cell>
          <cell r="Q120" t="str">
            <v>Agrosuper Asia</v>
          </cell>
          <cell r="R120" t="str">
            <v>1023305</v>
          </cell>
          <cell r="S120" t="str">
            <v>GO Mucosa # Isotanque AS</v>
          </cell>
          <cell r="T120" t="str">
            <v>Subprod</v>
          </cell>
          <cell r="U120" t="str">
            <v>Subprod Proteína y O</v>
          </cell>
          <cell r="V120"/>
          <cell r="W120"/>
          <cell r="X120"/>
          <cell r="Y120"/>
          <cell r="Z120"/>
          <cell r="AA120"/>
        </row>
        <row r="121">
          <cell r="A121" t="str">
            <v>Agrosuper Asia1023307</v>
          </cell>
          <cell r="B121" t="str">
            <v>Cerdo</v>
          </cell>
          <cell r="C121" t="str">
            <v>Agrosuper Asia</v>
          </cell>
          <cell r="D121" t="str">
            <v>1023307</v>
          </cell>
          <cell r="E121" t="str">
            <v>GO Pulmon@ Cj 20k AS</v>
          </cell>
          <cell r="F121" t="str">
            <v>Subprod</v>
          </cell>
          <cell r="G121" t="str">
            <v>Subprod Visceras</v>
          </cell>
          <cell r="H121">
            <v>22000</v>
          </cell>
          <cell r="I121">
            <v>24000</v>
          </cell>
          <cell r="J121">
            <v>22000</v>
          </cell>
          <cell r="K121">
            <v>48000</v>
          </cell>
          <cell r="L121">
            <v>24000</v>
          </cell>
          <cell r="M121">
            <v>48000</v>
          </cell>
          <cell r="O121" t="str">
            <v>Agrosuper Asia1023307</v>
          </cell>
          <cell r="P121" t="str">
            <v>Cerdo</v>
          </cell>
          <cell r="Q121" t="str">
            <v>Agrosuper Asia</v>
          </cell>
          <cell r="R121" t="str">
            <v>1023307</v>
          </cell>
          <cell r="S121" t="str">
            <v>GO Pulmon@ Cj 20k AS</v>
          </cell>
          <cell r="T121" t="str">
            <v>Subprod</v>
          </cell>
          <cell r="U121" t="str">
            <v>Subprod Visceras</v>
          </cell>
          <cell r="V121">
            <v>16376.75</v>
          </cell>
          <cell r="W121">
            <v>16800</v>
          </cell>
          <cell r="X121">
            <v>14667</v>
          </cell>
          <cell r="Y121">
            <v>35843</v>
          </cell>
          <cell r="Z121">
            <v>17322</v>
          </cell>
          <cell r="AA121">
            <v>40800</v>
          </cell>
        </row>
        <row r="122">
          <cell r="A122" t="str">
            <v>Agrosuper Asia1023326</v>
          </cell>
          <cell r="B122" t="str">
            <v>Cerdo</v>
          </cell>
          <cell r="C122" t="str">
            <v>Agrosuper Asia</v>
          </cell>
          <cell r="D122" t="str">
            <v>1023326</v>
          </cell>
          <cell r="E122" t="str">
            <v>GO Corazón Partido@ Cj 10k AS</v>
          </cell>
          <cell r="F122" t="str">
            <v>Subprod</v>
          </cell>
          <cell r="G122" t="str">
            <v>Subprod Visceras</v>
          </cell>
          <cell r="H122"/>
          <cell r="I122"/>
          <cell r="J122">
            <v>44000</v>
          </cell>
          <cell r="K122">
            <v>48000</v>
          </cell>
          <cell r="L122">
            <v>48003</v>
          </cell>
          <cell r="M122">
            <v>48000</v>
          </cell>
          <cell r="O122" t="str">
            <v>Agrosuper Asia1023326</v>
          </cell>
          <cell r="P122" t="str">
            <v>Cerdo</v>
          </cell>
          <cell r="Q122" t="str">
            <v>Agrosuper Asia</v>
          </cell>
          <cell r="R122" t="str">
            <v>1023326</v>
          </cell>
          <cell r="S122" t="str">
            <v>GO Corazón Partido@ Cj 10k AS</v>
          </cell>
          <cell r="T122" t="str">
            <v>Subprod</v>
          </cell>
          <cell r="U122" t="str">
            <v>Subprod Visceras</v>
          </cell>
          <cell r="V122"/>
          <cell r="W122"/>
          <cell r="X122">
            <v>35200</v>
          </cell>
          <cell r="Y122">
            <v>45600</v>
          </cell>
          <cell r="Z122">
            <v>37999</v>
          </cell>
          <cell r="AA122">
            <v>39917</v>
          </cell>
        </row>
        <row r="123">
          <cell r="A123" t="str">
            <v>Agrosuper Asia1022605</v>
          </cell>
          <cell r="B123" t="str">
            <v>Cerdo</v>
          </cell>
          <cell r="C123" t="str">
            <v>Agrosuper Asia</v>
          </cell>
          <cell r="D123" t="str">
            <v>1022605</v>
          </cell>
          <cell r="E123" t="str">
            <v>GO Recto Tubo Crud@ Cj 10k AS</v>
          </cell>
          <cell r="F123" t="str">
            <v>Subprod</v>
          </cell>
          <cell r="G123" t="str">
            <v>Subprod Tripa</v>
          </cell>
          <cell r="H123"/>
          <cell r="I123"/>
          <cell r="J123"/>
          <cell r="K123"/>
          <cell r="L123"/>
          <cell r="M123">
            <v>7000</v>
          </cell>
          <cell r="O123" t="str">
            <v>Agrosuper Asia1022605</v>
          </cell>
          <cell r="P123" t="str">
            <v>Cerdo</v>
          </cell>
          <cell r="Q123" t="str">
            <v>Agrosuper Asia</v>
          </cell>
          <cell r="R123" t="str">
            <v>1022605</v>
          </cell>
          <cell r="S123" t="str">
            <v>GO Recto Tubo Crud@ Cj 10k AS</v>
          </cell>
          <cell r="T123" t="str">
            <v>Subprod</v>
          </cell>
          <cell r="U123" t="str">
            <v>Subprod Tripa</v>
          </cell>
          <cell r="V123"/>
          <cell r="W123"/>
          <cell r="X123"/>
          <cell r="Y123"/>
          <cell r="Z123"/>
          <cell r="AA123">
            <v>30191</v>
          </cell>
        </row>
        <row r="124">
          <cell r="A124" t="str">
            <v>Agrosuper Asia1023397</v>
          </cell>
          <cell r="B124" t="str">
            <v>Cerdo</v>
          </cell>
          <cell r="C124" t="str">
            <v>Agrosuper Asia</v>
          </cell>
          <cell r="D124" t="str">
            <v>1023397</v>
          </cell>
          <cell r="E124" t="str">
            <v>GO Gord Esp@ Cj 20k AS</v>
          </cell>
          <cell r="F124" t="str">
            <v>Grasas</v>
          </cell>
          <cell r="G124" t="str">
            <v>Grasa Gordura</v>
          </cell>
          <cell r="H124"/>
          <cell r="I124"/>
          <cell r="J124"/>
          <cell r="K124"/>
          <cell r="L124"/>
          <cell r="M124">
            <v>48000</v>
          </cell>
          <cell r="O124" t="str">
            <v>Agrosuper Asia1023397</v>
          </cell>
          <cell r="P124" t="str">
            <v>Cerdo</v>
          </cell>
          <cell r="Q124" t="str">
            <v>Agrosuper Asia</v>
          </cell>
          <cell r="R124" t="str">
            <v>1023397</v>
          </cell>
          <cell r="S124" t="str">
            <v>GO Gord Esp@ Cj 20k AS</v>
          </cell>
          <cell r="T124" t="str">
            <v>Grasas</v>
          </cell>
          <cell r="U124" t="str">
            <v>Grasa Gordura</v>
          </cell>
          <cell r="V124"/>
          <cell r="W124"/>
          <cell r="X124"/>
          <cell r="Y124"/>
          <cell r="Z124"/>
          <cell r="AA124">
            <v>51325</v>
          </cell>
        </row>
        <row r="125">
          <cell r="A125" t="str">
            <v>Agrosuper Asia1023371</v>
          </cell>
          <cell r="B125" t="str">
            <v>Cerdo</v>
          </cell>
          <cell r="C125" t="str">
            <v>Agrosuper Asia</v>
          </cell>
          <cell r="D125" t="str">
            <v>1023371</v>
          </cell>
          <cell r="E125" t="str">
            <v>GO Pal Nor@ Cj 20k AS</v>
          </cell>
          <cell r="F125" t="str">
            <v>Paleta</v>
          </cell>
          <cell r="G125" t="str">
            <v>Paleta Entera</v>
          </cell>
          <cell r="H125"/>
          <cell r="I125"/>
          <cell r="J125"/>
          <cell r="K125"/>
          <cell r="L125"/>
          <cell r="M125">
            <v>24000</v>
          </cell>
          <cell r="O125" t="str">
            <v>Agrosuper Asia1023371</v>
          </cell>
          <cell r="P125" t="str">
            <v>Cerdo</v>
          </cell>
          <cell r="Q125" t="str">
            <v>Agrosuper Asia</v>
          </cell>
          <cell r="R125" t="str">
            <v>1023371</v>
          </cell>
          <cell r="S125" t="str">
            <v>GO Pal Nor@ Cj 20k AS</v>
          </cell>
          <cell r="T125" t="str">
            <v>Paleta</v>
          </cell>
          <cell r="U125" t="str">
            <v>Paleta Entera</v>
          </cell>
          <cell r="V125"/>
          <cell r="W125"/>
          <cell r="X125"/>
          <cell r="Y125"/>
          <cell r="Z125"/>
          <cell r="AA125">
            <v>28525</v>
          </cell>
        </row>
        <row r="126">
          <cell r="A126" t="str">
            <v>Agrosuper Asia1023370</v>
          </cell>
          <cell r="B126" t="str">
            <v>Cerdo</v>
          </cell>
          <cell r="C126" t="str">
            <v>Agrosuper Asia</v>
          </cell>
          <cell r="D126" t="str">
            <v>1023370</v>
          </cell>
          <cell r="E126" t="str">
            <v>GO Pna Nor@ Cj 20k AS</v>
          </cell>
          <cell r="F126" t="str">
            <v>Pierna</v>
          </cell>
          <cell r="G126" t="str">
            <v>Pierna Entera</v>
          </cell>
          <cell r="H126"/>
          <cell r="I126"/>
          <cell r="J126"/>
          <cell r="K126"/>
          <cell r="L126"/>
          <cell r="M126">
            <v>24000</v>
          </cell>
          <cell r="O126" t="str">
            <v>Agrosuper Asia1023370</v>
          </cell>
          <cell r="P126" t="str">
            <v>Cerdo</v>
          </cell>
          <cell r="Q126" t="str">
            <v>Agrosuper Asia</v>
          </cell>
          <cell r="R126" t="str">
            <v>1023370</v>
          </cell>
          <cell r="S126" t="str">
            <v>GO Pna Nor@ Cj 20k AS</v>
          </cell>
          <cell r="T126" t="str">
            <v>Pierna</v>
          </cell>
          <cell r="U126" t="str">
            <v>Pierna Entera</v>
          </cell>
          <cell r="V126"/>
          <cell r="W126"/>
          <cell r="X126"/>
          <cell r="Y126"/>
          <cell r="Z126"/>
          <cell r="AA126">
            <v>33325</v>
          </cell>
        </row>
        <row r="127">
          <cell r="A127" t="str">
            <v>Agrosuper Brasil1021864</v>
          </cell>
          <cell r="B127" t="str">
            <v>Cerdo</v>
          </cell>
          <cell r="C127" t="str">
            <v>Agrosuper Brasil</v>
          </cell>
          <cell r="D127" t="str">
            <v>1021864</v>
          </cell>
          <cell r="E127" t="str">
            <v>GO Cue Papda CP@ Cj 20k AS</v>
          </cell>
          <cell r="F127" t="str">
            <v>Cueros</v>
          </cell>
          <cell r="G127" t="str">
            <v>Cuero Papada</v>
          </cell>
          <cell r="H127">
            <v>48000</v>
          </cell>
          <cell r="I127">
            <v>48000</v>
          </cell>
          <cell r="J127">
            <v>48000</v>
          </cell>
          <cell r="K127">
            <v>24000</v>
          </cell>
          <cell r="L127">
            <v>48000</v>
          </cell>
          <cell r="M127">
            <v>48000</v>
          </cell>
          <cell r="O127" t="str">
            <v>Agrosuper Brasil1021864</v>
          </cell>
          <cell r="P127" t="str">
            <v>Cerdo</v>
          </cell>
          <cell r="Q127" t="str">
            <v>Agrosuper Brasil</v>
          </cell>
          <cell r="R127" t="str">
            <v>1021864</v>
          </cell>
          <cell r="S127" t="str">
            <v>GO Cue Papda CP@ Cj 20k AS</v>
          </cell>
          <cell r="T127" t="str">
            <v>Cueros</v>
          </cell>
          <cell r="U127" t="str">
            <v>Cuero Papada</v>
          </cell>
          <cell r="V127">
            <v>26400</v>
          </cell>
          <cell r="W127">
            <v>26400</v>
          </cell>
          <cell r="X127">
            <v>26400</v>
          </cell>
          <cell r="Y127">
            <v>12000</v>
          </cell>
          <cell r="Z127">
            <v>26400</v>
          </cell>
          <cell r="AA127">
            <v>23734</v>
          </cell>
        </row>
        <row r="128">
          <cell r="A128" t="str">
            <v>Agrosuper Brasil1022217</v>
          </cell>
          <cell r="B128" t="str">
            <v>Cerdo</v>
          </cell>
          <cell r="C128" t="str">
            <v>Agrosuper Brasil</v>
          </cell>
          <cell r="D128" t="str">
            <v>1022217</v>
          </cell>
          <cell r="E128" t="str">
            <v>GO Lom Tocino@ Bo Cj 20k AS</v>
          </cell>
          <cell r="F128" t="str">
            <v>Grasas</v>
          </cell>
          <cell r="G128" t="str">
            <v>Grasa Lomo Tocino</v>
          </cell>
          <cell r="H128">
            <v>96000</v>
          </cell>
          <cell r="I128">
            <v>47994</v>
          </cell>
          <cell r="J128">
            <v>72000</v>
          </cell>
          <cell r="K128">
            <v>264000</v>
          </cell>
          <cell r="L128">
            <v>168000</v>
          </cell>
          <cell r="M128">
            <v>216000</v>
          </cell>
          <cell r="O128" t="str">
            <v>Agrosuper Brasil1022217</v>
          </cell>
          <cell r="P128" t="str">
            <v>Cerdo</v>
          </cell>
          <cell r="Q128" t="str">
            <v>Agrosuper Brasil</v>
          </cell>
          <cell r="R128" t="str">
            <v>1022217</v>
          </cell>
          <cell r="S128" t="str">
            <v>GO Lom Tocino@ Bo Cj 20k AS</v>
          </cell>
          <cell r="T128" t="str">
            <v>Grasas</v>
          </cell>
          <cell r="U128" t="str">
            <v>Grasa Lomo Tocino</v>
          </cell>
          <cell r="V128">
            <v>153600</v>
          </cell>
          <cell r="W128">
            <v>64392</v>
          </cell>
          <cell r="X128">
            <v>103820</v>
          </cell>
          <cell r="Y128">
            <v>414000</v>
          </cell>
          <cell r="Z128">
            <v>279600</v>
          </cell>
          <cell r="AA128">
            <v>335772</v>
          </cell>
        </row>
        <row r="129">
          <cell r="A129" t="str">
            <v>Agrosuper Brasil1022218</v>
          </cell>
          <cell r="B129" t="str">
            <v>Cerdo</v>
          </cell>
          <cell r="C129" t="str">
            <v>Agrosuper Brasil</v>
          </cell>
          <cell r="D129" t="str">
            <v>1022218</v>
          </cell>
          <cell r="E129" t="str">
            <v>GO Grasa Forro Pna Limp@ Cj 20k AS</v>
          </cell>
          <cell r="F129" t="str">
            <v>Grasas</v>
          </cell>
          <cell r="G129" t="str">
            <v>Grasa Forro</v>
          </cell>
          <cell r="H129">
            <v>120000</v>
          </cell>
          <cell r="I129">
            <v>48000</v>
          </cell>
          <cell r="J129">
            <v>96000</v>
          </cell>
          <cell r="K129">
            <v>96000</v>
          </cell>
          <cell r="L129">
            <v>96000</v>
          </cell>
          <cell r="M129">
            <v>48000</v>
          </cell>
          <cell r="O129" t="str">
            <v>Agrosuper Brasil1022218</v>
          </cell>
          <cell r="P129" t="str">
            <v>Cerdo</v>
          </cell>
          <cell r="Q129" t="str">
            <v>Agrosuper Brasil</v>
          </cell>
          <cell r="R129" t="str">
            <v>1022218</v>
          </cell>
          <cell r="S129" t="str">
            <v>GO Grasa Forro Pna Limp@ Cj 20k AS</v>
          </cell>
          <cell r="T129" t="str">
            <v>Grasas</v>
          </cell>
          <cell r="U129" t="str">
            <v>Grasa Forro</v>
          </cell>
          <cell r="V129">
            <v>180000</v>
          </cell>
          <cell r="W129">
            <v>69600</v>
          </cell>
          <cell r="X129">
            <v>140400</v>
          </cell>
          <cell r="Y129">
            <v>136320</v>
          </cell>
          <cell r="Z129">
            <v>145200</v>
          </cell>
          <cell r="AA129">
            <v>72686</v>
          </cell>
        </row>
        <row r="130">
          <cell r="A130" t="str">
            <v>Agrosuper Brasil1022273</v>
          </cell>
          <cell r="B130" t="str">
            <v>Cerdo</v>
          </cell>
          <cell r="C130" t="str">
            <v>Agrosuper Brasil</v>
          </cell>
          <cell r="D130" t="str">
            <v>1022273</v>
          </cell>
          <cell r="E130" t="str">
            <v>GO Grasa Forro Pna Limp@ Bo Cj AS</v>
          </cell>
          <cell r="F130" t="str">
            <v>Grasas</v>
          </cell>
          <cell r="G130" t="str">
            <v>Grasa Forro</v>
          </cell>
          <cell r="H130"/>
          <cell r="I130">
            <v>144000</v>
          </cell>
          <cell r="J130">
            <v>144000</v>
          </cell>
          <cell r="K130">
            <v>120000</v>
          </cell>
          <cell r="L130">
            <v>168000</v>
          </cell>
          <cell r="M130">
            <v>48000</v>
          </cell>
          <cell r="O130" t="str">
            <v>Agrosuper Brasil1022273</v>
          </cell>
          <cell r="P130" t="str">
            <v>Cerdo</v>
          </cell>
          <cell r="Q130" t="str">
            <v>Agrosuper Brasil</v>
          </cell>
          <cell r="R130" t="str">
            <v>1022273</v>
          </cell>
          <cell r="S130" t="str">
            <v>GO Grasa Forro Pna Limp@ Bo Cj AS</v>
          </cell>
          <cell r="T130" t="str">
            <v>Grasas</v>
          </cell>
          <cell r="U130" t="str">
            <v>Grasa Forro</v>
          </cell>
          <cell r="V130"/>
          <cell r="W130">
            <v>208800</v>
          </cell>
          <cell r="X130">
            <v>208800</v>
          </cell>
          <cell r="Y130">
            <v>180000</v>
          </cell>
          <cell r="Z130">
            <v>252000</v>
          </cell>
          <cell r="AA130">
            <v>68267</v>
          </cell>
        </row>
        <row r="131">
          <cell r="A131" t="str">
            <v>Agrosuper Brasil1022782</v>
          </cell>
          <cell r="B131" t="str">
            <v>Cerdo</v>
          </cell>
          <cell r="C131" t="str">
            <v>Agrosuper Brasil</v>
          </cell>
          <cell r="D131" t="str">
            <v>1022782</v>
          </cell>
          <cell r="E131" t="str">
            <v>GO Tripa Calib 35/38# Bo Bidon AS</v>
          </cell>
          <cell r="F131" t="str">
            <v>Subprod</v>
          </cell>
          <cell r="G131" t="str">
            <v>Subprod Tripa</v>
          </cell>
          <cell r="H131"/>
          <cell r="I131"/>
          <cell r="J131"/>
          <cell r="K131"/>
          <cell r="L131"/>
          <cell r="M131">
            <v>6240</v>
          </cell>
          <cell r="O131" t="str">
            <v>Agrosuper Brasil1022782</v>
          </cell>
          <cell r="P131" t="str">
            <v>Cerdo</v>
          </cell>
          <cell r="Q131" t="str">
            <v>Agrosuper Brasil</v>
          </cell>
          <cell r="R131" t="str">
            <v>1022782</v>
          </cell>
          <cell r="S131" t="str">
            <v>GO Tripa Calib 35/38# Bo Bidon AS</v>
          </cell>
          <cell r="T131" t="str">
            <v>Subprod</v>
          </cell>
          <cell r="U131" t="str">
            <v>Subprod Tripa</v>
          </cell>
          <cell r="V131"/>
          <cell r="W131"/>
          <cell r="X131"/>
          <cell r="Y131"/>
          <cell r="Z131"/>
          <cell r="AA131">
            <v>66144</v>
          </cell>
        </row>
        <row r="132">
          <cell r="A132" t="str">
            <v>Agrosuper Brasil1022783</v>
          </cell>
          <cell r="B132" t="str">
            <v>Cerdo</v>
          </cell>
          <cell r="C132" t="str">
            <v>Agrosuper Brasil</v>
          </cell>
          <cell r="D132" t="str">
            <v>1022783</v>
          </cell>
          <cell r="E132" t="str">
            <v>GO Tripa Calib 38/40# Bo Bidon AS</v>
          </cell>
          <cell r="F132" t="str">
            <v>Subprod</v>
          </cell>
          <cell r="G132" t="str">
            <v>Subprod Tripa</v>
          </cell>
          <cell r="H132"/>
          <cell r="I132"/>
          <cell r="J132"/>
          <cell r="K132"/>
          <cell r="L132"/>
          <cell r="M132">
            <v>6480</v>
          </cell>
          <cell r="O132" t="str">
            <v>Agrosuper Brasil1022783</v>
          </cell>
          <cell r="P132" t="str">
            <v>Cerdo</v>
          </cell>
          <cell r="Q132" t="str">
            <v>Agrosuper Brasil</v>
          </cell>
          <cell r="R132" t="str">
            <v>1022783</v>
          </cell>
          <cell r="S132" t="str">
            <v>GO Tripa Calib 38/40# Bo Bidon AS</v>
          </cell>
          <cell r="T132" t="str">
            <v>Subprod</v>
          </cell>
          <cell r="U132" t="str">
            <v>Subprod Tripa</v>
          </cell>
          <cell r="V132"/>
          <cell r="W132"/>
          <cell r="X132"/>
          <cell r="Y132"/>
          <cell r="Z132"/>
          <cell r="AA132">
            <v>68688</v>
          </cell>
        </row>
        <row r="133">
          <cell r="A133" t="str">
            <v>Agrosuper Brasil1023329</v>
          </cell>
          <cell r="B133" t="str">
            <v>Cerdo</v>
          </cell>
          <cell r="C133" t="str">
            <v>Agrosuper Brasil</v>
          </cell>
          <cell r="D133" t="str">
            <v>1023329</v>
          </cell>
          <cell r="E133" t="str">
            <v>GO Cue Papda CP@ Cj 20k AS</v>
          </cell>
          <cell r="F133" t="str">
            <v>Cueros</v>
          </cell>
          <cell r="G133" t="str">
            <v>Cuero Papada</v>
          </cell>
          <cell r="H133"/>
          <cell r="I133">
            <v>24000</v>
          </cell>
          <cell r="J133">
            <v>72000</v>
          </cell>
          <cell r="K133">
            <v>24000</v>
          </cell>
          <cell r="L133">
            <v>72000</v>
          </cell>
          <cell r="M133">
            <v>72000</v>
          </cell>
          <cell r="O133" t="str">
            <v>Agrosuper Brasil1023329</v>
          </cell>
          <cell r="P133" t="str">
            <v>Cerdo</v>
          </cell>
          <cell r="Q133" t="str">
            <v>Agrosuper Brasil</v>
          </cell>
          <cell r="R133" t="str">
            <v>1023329</v>
          </cell>
          <cell r="S133" t="str">
            <v>GO Cue Papda CP@ Cj 20k AS</v>
          </cell>
          <cell r="T133" t="str">
            <v>Cueros</v>
          </cell>
          <cell r="U133" t="str">
            <v>Cuero Papada</v>
          </cell>
          <cell r="V133"/>
          <cell r="W133">
            <v>13200</v>
          </cell>
          <cell r="X133">
            <v>39600</v>
          </cell>
          <cell r="Y133">
            <v>12000</v>
          </cell>
          <cell r="Z133">
            <v>39600</v>
          </cell>
          <cell r="AA133">
            <v>39600</v>
          </cell>
        </row>
        <row r="134">
          <cell r="A134" t="str">
            <v>Agrosuper Brasil1023334</v>
          </cell>
          <cell r="B134" t="str">
            <v>Cerdo</v>
          </cell>
          <cell r="C134" t="str">
            <v>Agrosuper Brasil</v>
          </cell>
          <cell r="D134" t="str">
            <v>1023334</v>
          </cell>
          <cell r="E134" t="str">
            <v>Cue granel Esp CC@ Cj 20k AS</v>
          </cell>
          <cell r="F134" t="str">
            <v>Cueros</v>
          </cell>
          <cell r="G134" t="str">
            <v>Cuero Mixto</v>
          </cell>
          <cell r="H134"/>
          <cell r="I134">
            <v>72000</v>
          </cell>
          <cell r="J134">
            <v>144000</v>
          </cell>
          <cell r="K134">
            <v>168000</v>
          </cell>
          <cell r="L134">
            <v>48000</v>
          </cell>
          <cell r="M134">
            <v>72000</v>
          </cell>
          <cell r="O134" t="str">
            <v>Agrosuper Brasil1023334</v>
          </cell>
          <cell r="P134" t="str">
            <v>Cerdo</v>
          </cell>
          <cell r="Q134" t="str">
            <v>Agrosuper Brasil</v>
          </cell>
          <cell r="R134" t="str">
            <v>1023334</v>
          </cell>
          <cell r="S134" t="str">
            <v>Cue granel Esp CC@ Cj 20k AS</v>
          </cell>
          <cell r="T134" t="str">
            <v>Cueros</v>
          </cell>
          <cell r="U134" t="str">
            <v>Cuero Mixto</v>
          </cell>
          <cell r="V134"/>
          <cell r="W134">
            <v>46800</v>
          </cell>
          <cell r="X134">
            <v>93600</v>
          </cell>
          <cell r="Y134">
            <v>100800</v>
          </cell>
          <cell r="Z134">
            <v>29760</v>
          </cell>
          <cell r="AA134">
            <v>46800</v>
          </cell>
        </row>
        <row r="135">
          <cell r="A135" t="str">
            <v>Agrosuper Brasil1023336</v>
          </cell>
          <cell r="B135" t="str">
            <v>Cerdo</v>
          </cell>
          <cell r="C135" t="str">
            <v>Agrosuper Brasil</v>
          </cell>
          <cell r="D135" t="str">
            <v>1023336</v>
          </cell>
          <cell r="E135" t="str">
            <v>Cue granel Esp CC@ Cj 20k AS</v>
          </cell>
          <cell r="F135" t="str">
            <v>Cueros</v>
          </cell>
          <cell r="G135" t="str">
            <v>Cuero Mixto</v>
          </cell>
          <cell r="H135"/>
          <cell r="I135">
            <v>24000</v>
          </cell>
          <cell r="J135">
            <v>24000</v>
          </cell>
          <cell r="K135">
            <v>24000</v>
          </cell>
          <cell r="L135">
            <v>72000</v>
          </cell>
          <cell r="M135"/>
          <cell r="O135" t="str">
            <v>Agrosuper Brasil1023336</v>
          </cell>
          <cell r="P135" t="str">
            <v>Cerdo</v>
          </cell>
          <cell r="Q135" t="str">
            <v>Agrosuper Brasil</v>
          </cell>
          <cell r="R135" t="str">
            <v>1023336</v>
          </cell>
          <cell r="S135" t="str">
            <v>Cue granel Esp CC@ Cj 20k AS</v>
          </cell>
          <cell r="T135" t="str">
            <v>Cueros</v>
          </cell>
          <cell r="U135" t="str">
            <v>Cuero Mixto</v>
          </cell>
          <cell r="V135"/>
          <cell r="W135">
            <v>15600</v>
          </cell>
          <cell r="X135">
            <v>15600</v>
          </cell>
          <cell r="Y135">
            <v>14400</v>
          </cell>
          <cell r="Z135">
            <v>46800</v>
          </cell>
          <cell r="AA135"/>
        </row>
        <row r="136">
          <cell r="A136" t="str">
            <v>Agrosuper Brasil1022784</v>
          </cell>
          <cell r="B136" t="str">
            <v>Cerdo</v>
          </cell>
          <cell r="C136" t="str">
            <v>Agrosuper Brasil</v>
          </cell>
          <cell r="D136" t="str">
            <v>1022784</v>
          </cell>
          <cell r="E136" t="str">
            <v>GO Tripa Calib 40/42# Bo Bin AS</v>
          </cell>
          <cell r="F136" t="str">
            <v>Subprod</v>
          </cell>
          <cell r="G136" t="str">
            <v>Subprod Tripa</v>
          </cell>
          <cell r="H136"/>
          <cell r="I136"/>
          <cell r="J136"/>
          <cell r="K136"/>
          <cell r="L136"/>
          <cell r="M136">
            <v>5175</v>
          </cell>
          <cell r="O136" t="str">
            <v>Agrosuper Brasil1022784</v>
          </cell>
          <cell r="P136" t="str">
            <v>Cerdo</v>
          </cell>
          <cell r="Q136" t="str">
            <v>Agrosuper Brasil</v>
          </cell>
          <cell r="R136" t="str">
            <v>1022784</v>
          </cell>
          <cell r="S136" t="str">
            <v>GO Tripa Calib 40/42# Bo Bin AS</v>
          </cell>
          <cell r="T136" t="str">
            <v>Subprod</v>
          </cell>
          <cell r="U136" t="str">
            <v>Subprod Tripa</v>
          </cell>
          <cell r="V136"/>
          <cell r="W136"/>
          <cell r="X136"/>
          <cell r="Y136"/>
          <cell r="Z136"/>
          <cell r="AA136">
            <v>54855</v>
          </cell>
        </row>
        <row r="137">
          <cell r="A137" t="str">
            <v>Agrosuper Shanghai1021115</v>
          </cell>
          <cell r="B137" t="str">
            <v>Cerdo</v>
          </cell>
          <cell r="C137" t="str">
            <v>Agrosuper Shanghai</v>
          </cell>
          <cell r="D137" t="str">
            <v>1021115</v>
          </cell>
          <cell r="E137" t="str">
            <v>GO Estómago Pouch@ 20k bca AS</v>
          </cell>
          <cell r="F137" t="str">
            <v>Subprod</v>
          </cell>
          <cell r="G137" t="str">
            <v>Subprod Visceras</v>
          </cell>
          <cell r="H137">
            <v>72000</v>
          </cell>
          <cell r="I137">
            <v>48000</v>
          </cell>
          <cell r="J137">
            <v>24000</v>
          </cell>
          <cell r="K137">
            <v>48000</v>
          </cell>
          <cell r="L137">
            <v>48000</v>
          </cell>
          <cell r="M137"/>
          <cell r="O137" t="str">
            <v>Agrosuper Shanghai1021115</v>
          </cell>
          <cell r="P137" t="str">
            <v>Cerdo</v>
          </cell>
          <cell r="Q137" t="str">
            <v>Agrosuper Shanghai</v>
          </cell>
          <cell r="R137" t="str">
            <v>1021115</v>
          </cell>
          <cell r="S137" t="str">
            <v>GO Estómago Pouch@ 20k bca AS</v>
          </cell>
          <cell r="T137" t="str">
            <v>Subprod</v>
          </cell>
          <cell r="U137" t="str">
            <v>Subprod Visceras</v>
          </cell>
          <cell r="V137">
            <v>21480</v>
          </cell>
          <cell r="W137">
            <v>14400</v>
          </cell>
          <cell r="X137">
            <v>6640</v>
          </cell>
          <cell r="Y137">
            <v>6480</v>
          </cell>
          <cell r="Z137">
            <v>12640</v>
          </cell>
          <cell r="AA137"/>
        </row>
        <row r="138">
          <cell r="A138" t="str">
            <v>Agrosuper Shanghai1021731</v>
          </cell>
          <cell r="B138" t="str">
            <v>Cerdo</v>
          </cell>
          <cell r="C138" t="str">
            <v>Agrosuper Shanghai</v>
          </cell>
          <cell r="D138" t="str">
            <v>1021731</v>
          </cell>
          <cell r="E138" t="str">
            <v>GO PernilM@ Cj 20k AS</v>
          </cell>
          <cell r="F138" t="str">
            <v>Pernil</v>
          </cell>
          <cell r="G138" t="str">
            <v>Pernil Mano</v>
          </cell>
          <cell r="H138">
            <v>312000</v>
          </cell>
          <cell r="I138">
            <v>216000</v>
          </cell>
          <cell r="J138">
            <v>216000</v>
          </cell>
          <cell r="K138">
            <v>144000</v>
          </cell>
          <cell r="L138">
            <v>168000</v>
          </cell>
          <cell r="M138">
            <v>264000</v>
          </cell>
          <cell r="O138" t="str">
            <v>Agrosuper Shanghai1021731</v>
          </cell>
          <cell r="P138" t="str">
            <v>Cerdo</v>
          </cell>
          <cell r="Q138" t="str">
            <v>Agrosuper Shanghai</v>
          </cell>
          <cell r="R138" t="str">
            <v>1021731</v>
          </cell>
          <cell r="S138" t="str">
            <v>GO PernilM@ Cj 20k AS</v>
          </cell>
          <cell r="T138" t="str">
            <v>Pernil</v>
          </cell>
          <cell r="U138" t="str">
            <v>Pernil Mano</v>
          </cell>
          <cell r="V138">
            <v>623108.57140000002</v>
          </cell>
          <cell r="W138">
            <v>406080</v>
          </cell>
          <cell r="X138">
            <v>403920</v>
          </cell>
          <cell r="Y138">
            <v>265334</v>
          </cell>
          <cell r="Z138">
            <v>325720</v>
          </cell>
          <cell r="AA138">
            <v>540233</v>
          </cell>
        </row>
        <row r="139">
          <cell r="A139" t="str">
            <v>Agrosuper Shanghai1021733</v>
          </cell>
          <cell r="B139" t="str">
            <v>Cerdo</v>
          </cell>
          <cell r="C139" t="str">
            <v>Agrosuper Shanghai</v>
          </cell>
          <cell r="D139" t="str">
            <v>1021733</v>
          </cell>
          <cell r="E139" t="str">
            <v>GO PpPna 59@ Cj 20k AS</v>
          </cell>
          <cell r="F139" t="str">
            <v>Pierna</v>
          </cell>
          <cell r="G139" t="str">
            <v>Pierna Pulpa</v>
          </cell>
          <cell r="H139">
            <v>96000</v>
          </cell>
          <cell r="I139"/>
          <cell r="J139"/>
          <cell r="K139">
            <v>72000</v>
          </cell>
          <cell r="L139">
            <v>24000</v>
          </cell>
          <cell r="M139"/>
          <cell r="O139" t="str">
            <v>Agrosuper Shanghai1021733</v>
          </cell>
          <cell r="P139" t="str">
            <v>Cerdo</v>
          </cell>
          <cell r="Q139" t="str">
            <v>Agrosuper Shanghai</v>
          </cell>
          <cell r="R139" t="str">
            <v>1021733</v>
          </cell>
          <cell r="S139" t="str">
            <v>GO PpPna 59@ Cj 20k AS</v>
          </cell>
          <cell r="T139" t="str">
            <v>Pierna</v>
          </cell>
          <cell r="U139" t="str">
            <v>Pierna Pulpa</v>
          </cell>
          <cell r="V139">
            <v>169760</v>
          </cell>
          <cell r="W139"/>
          <cell r="X139"/>
          <cell r="Y139">
            <v>65368</v>
          </cell>
          <cell r="Z139">
            <v>43579</v>
          </cell>
          <cell r="AA139"/>
        </row>
        <row r="140">
          <cell r="A140" t="str">
            <v>Agrosuper Shanghai1021735</v>
          </cell>
          <cell r="B140" t="str">
            <v>Cerdo</v>
          </cell>
          <cell r="C140" t="str">
            <v>Agrosuper Shanghai</v>
          </cell>
          <cell r="D140" t="str">
            <v>1021735</v>
          </cell>
          <cell r="E140" t="str">
            <v>GO Patas@ Cj 20k AS</v>
          </cell>
          <cell r="F140" t="str">
            <v>Subprod</v>
          </cell>
          <cell r="G140" t="str">
            <v>Subprod Patas-Manos</v>
          </cell>
          <cell r="H140">
            <v>240000</v>
          </cell>
          <cell r="I140">
            <v>96000</v>
          </cell>
          <cell r="J140">
            <v>96000</v>
          </cell>
          <cell r="K140"/>
          <cell r="L140">
            <v>186020</v>
          </cell>
          <cell r="M140">
            <v>72000</v>
          </cell>
          <cell r="O140" t="str">
            <v>Agrosuper Shanghai1021735</v>
          </cell>
          <cell r="P140" t="str">
            <v>Cerdo</v>
          </cell>
          <cell r="Q140" t="str">
            <v>Agrosuper Shanghai</v>
          </cell>
          <cell r="R140" t="str">
            <v>1021735</v>
          </cell>
          <cell r="S140" t="str">
            <v>GO Patas@ Cj 20k AS</v>
          </cell>
          <cell r="T140" t="str">
            <v>Subprod</v>
          </cell>
          <cell r="U140" t="str">
            <v>Subprod Patas-Manos</v>
          </cell>
          <cell r="V140">
            <v>982080</v>
          </cell>
          <cell r="W140">
            <v>384000</v>
          </cell>
          <cell r="X140">
            <v>393600</v>
          </cell>
          <cell r="Y140"/>
          <cell r="Z140">
            <v>791853</v>
          </cell>
          <cell r="AA140">
            <v>325592</v>
          </cell>
        </row>
        <row r="141">
          <cell r="A141" t="str">
            <v>Agrosuper Shanghai1021738</v>
          </cell>
          <cell r="B141" t="str">
            <v>Cerdo</v>
          </cell>
          <cell r="C141" t="str">
            <v>Agrosuper Shanghai</v>
          </cell>
          <cell r="D141" t="str">
            <v>1021738</v>
          </cell>
          <cell r="E141" t="str">
            <v>GO Patas B@ Cj 20k AS</v>
          </cell>
          <cell r="F141" t="str">
            <v>Subprod</v>
          </cell>
          <cell r="G141" t="str">
            <v>Subprod Patas-Manos</v>
          </cell>
          <cell r="H141">
            <v>48000</v>
          </cell>
          <cell r="I141"/>
          <cell r="J141"/>
          <cell r="K141">
            <v>24000</v>
          </cell>
          <cell r="L141"/>
          <cell r="M141"/>
          <cell r="O141" t="str">
            <v>Agrosuper Shanghai1021738</v>
          </cell>
          <cell r="P141" t="str">
            <v>Cerdo</v>
          </cell>
          <cell r="Q141" t="str">
            <v>Agrosuper Shanghai</v>
          </cell>
          <cell r="R141" t="str">
            <v>1021738</v>
          </cell>
          <cell r="S141" t="str">
            <v>GO Patas B@ Cj 20k AS</v>
          </cell>
          <cell r="T141" t="str">
            <v>Subprod</v>
          </cell>
          <cell r="U141" t="str">
            <v>Subprod Patas-Manos</v>
          </cell>
          <cell r="V141">
            <v>177600</v>
          </cell>
          <cell r="W141"/>
          <cell r="X141"/>
          <cell r="Y141">
            <v>46600</v>
          </cell>
          <cell r="Z141"/>
          <cell r="AA141"/>
        </row>
        <row r="142">
          <cell r="A142" t="str">
            <v>Agrosuper Shanghai1021765</v>
          </cell>
          <cell r="B142" t="str">
            <v>Cerdo</v>
          </cell>
          <cell r="C142" t="str">
            <v>Agrosuper Shanghai</v>
          </cell>
          <cell r="D142" t="str">
            <v>1021765</v>
          </cell>
          <cell r="E142" t="str">
            <v>GO Pna Nor@ Bo Cj 20k AS</v>
          </cell>
          <cell r="F142" t="str">
            <v>Pierna</v>
          </cell>
          <cell r="G142" t="str">
            <v>Pierna Entera</v>
          </cell>
          <cell r="H142"/>
          <cell r="I142"/>
          <cell r="J142">
            <v>6760</v>
          </cell>
          <cell r="K142"/>
          <cell r="L142"/>
          <cell r="M142"/>
          <cell r="O142" t="str">
            <v>Agrosuper Shanghai1021765</v>
          </cell>
          <cell r="P142" t="str">
            <v>Cerdo</v>
          </cell>
          <cell r="Q142" t="str">
            <v>Agrosuper Shanghai</v>
          </cell>
          <cell r="R142" t="str">
            <v>1021765</v>
          </cell>
          <cell r="S142" t="str">
            <v>GO Pna Nor@ Bo Cj 20k AS</v>
          </cell>
          <cell r="T142" t="str">
            <v>Pierna</v>
          </cell>
          <cell r="U142" t="str">
            <v>Pierna Entera</v>
          </cell>
          <cell r="V142"/>
          <cell r="W142"/>
          <cell r="X142">
            <v>7323</v>
          </cell>
          <cell r="Y142"/>
          <cell r="Z142"/>
          <cell r="AA142"/>
        </row>
        <row r="143">
          <cell r="A143" t="str">
            <v>Agrosuper Shanghai1021905</v>
          </cell>
          <cell r="B143" t="str">
            <v>Cerdo</v>
          </cell>
          <cell r="C143" t="str">
            <v>Agrosuper Shanghai</v>
          </cell>
          <cell r="D143" t="str">
            <v>1021905</v>
          </cell>
          <cell r="E143" t="str">
            <v>GO Reco 70/30 @ Cj 20k AS</v>
          </cell>
          <cell r="F143" t="str">
            <v>Recortes</v>
          </cell>
          <cell r="G143" t="str">
            <v>Recortes No Magro</v>
          </cell>
          <cell r="H143"/>
          <cell r="I143"/>
          <cell r="J143"/>
          <cell r="K143"/>
          <cell r="L143"/>
          <cell r="M143"/>
          <cell r="O143" t="str">
            <v>Agrosuper Shanghai1021905</v>
          </cell>
          <cell r="P143" t="str">
            <v>Cerdo</v>
          </cell>
          <cell r="Q143" t="str">
            <v>Agrosuper Shanghai</v>
          </cell>
          <cell r="R143" t="str">
            <v>1021905</v>
          </cell>
          <cell r="S143" t="str">
            <v>GO Reco 70/30 @ Cj 20k AS</v>
          </cell>
          <cell r="T143" t="str">
            <v>Recortes</v>
          </cell>
          <cell r="U143" t="str">
            <v>Recortes No Magro</v>
          </cell>
          <cell r="V143"/>
          <cell r="W143"/>
          <cell r="X143"/>
          <cell r="Y143"/>
          <cell r="Z143"/>
          <cell r="AA143"/>
        </row>
        <row r="144">
          <cell r="A144" t="str">
            <v>Agrosuper Shanghai1021992</v>
          </cell>
          <cell r="B144" t="str">
            <v>Cerdo</v>
          </cell>
          <cell r="C144" t="str">
            <v>Agrosuper Shanghai</v>
          </cell>
          <cell r="D144" t="str">
            <v>1021992</v>
          </cell>
          <cell r="E144" t="str">
            <v>GO Lom Tocino@ Cj 20k AS</v>
          </cell>
          <cell r="F144" t="str">
            <v>Grasas</v>
          </cell>
          <cell r="G144" t="str">
            <v>Grasa Lomo Tocino</v>
          </cell>
          <cell r="H144">
            <v>96000</v>
          </cell>
          <cell r="I144">
            <v>72000</v>
          </cell>
          <cell r="J144">
            <v>120000</v>
          </cell>
          <cell r="K144"/>
          <cell r="L144"/>
          <cell r="M144"/>
          <cell r="O144" t="str">
            <v>Agrosuper Shanghai1021992</v>
          </cell>
          <cell r="P144" t="str">
            <v>Cerdo</v>
          </cell>
          <cell r="Q144" t="str">
            <v>Agrosuper Shanghai</v>
          </cell>
          <cell r="R144" t="str">
            <v>1021992</v>
          </cell>
          <cell r="S144" t="str">
            <v>GO Lom Tocino@ Cj 20k AS</v>
          </cell>
          <cell r="T144" t="str">
            <v>Grasas</v>
          </cell>
          <cell r="U144" t="str">
            <v>Grasa Lomo Tocino</v>
          </cell>
          <cell r="V144">
            <v>91200</v>
          </cell>
          <cell r="W144">
            <v>63360</v>
          </cell>
          <cell r="X144">
            <v>181390</v>
          </cell>
          <cell r="Y144"/>
          <cell r="Z144"/>
          <cell r="AA144"/>
        </row>
        <row r="145">
          <cell r="A145" t="str">
            <v>Agrosuper Shanghai1022073</v>
          </cell>
          <cell r="B145" t="str">
            <v>Cerdo</v>
          </cell>
          <cell r="C145" t="str">
            <v>Agrosuper Shanghai</v>
          </cell>
          <cell r="D145" t="str">
            <v>1022073</v>
          </cell>
          <cell r="E145" t="str">
            <v>GO Mantec@ Cj 20k AS</v>
          </cell>
          <cell r="F145" t="str">
            <v>Grasas</v>
          </cell>
          <cell r="G145" t="str">
            <v>Grasa Interior</v>
          </cell>
          <cell r="H145">
            <v>72000</v>
          </cell>
          <cell r="I145"/>
          <cell r="J145"/>
          <cell r="K145"/>
          <cell r="L145">
            <v>24000</v>
          </cell>
          <cell r="M145">
            <v>48000</v>
          </cell>
          <cell r="O145" t="str">
            <v>Agrosuper Shanghai1022073</v>
          </cell>
          <cell r="P145" t="str">
            <v>Cerdo</v>
          </cell>
          <cell r="Q145" t="str">
            <v>Agrosuper Shanghai</v>
          </cell>
          <cell r="R145" t="str">
            <v>1022073</v>
          </cell>
          <cell r="S145" t="str">
            <v>GO Mantec@ Cj 20k AS</v>
          </cell>
          <cell r="T145" t="str">
            <v>Grasas</v>
          </cell>
          <cell r="U145" t="str">
            <v>Grasa Interior</v>
          </cell>
          <cell r="V145">
            <v>48600</v>
          </cell>
          <cell r="W145"/>
          <cell r="X145"/>
          <cell r="Y145"/>
          <cell r="Z145">
            <v>22800</v>
          </cell>
          <cell r="AA145">
            <v>52800</v>
          </cell>
        </row>
        <row r="146">
          <cell r="A146" t="str">
            <v>Agrosuper Shanghai1022096</v>
          </cell>
          <cell r="B146" t="str">
            <v>Cerdo</v>
          </cell>
          <cell r="C146" t="str">
            <v>Agrosuper Shanghai</v>
          </cell>
          <cell r="D146" t="str">
            <v>1022096</v>
          </cell>
          <cell r="E146" t="str">
            <v>GO Sternum Bones@ Bo Cj 10k AS</v>
          </cell>
          <cell r="F146" t="str">
            <v>Huesos</v>
          </cell>
          <cell r="G146" t="str">
            <v>Huesos Cuarto Delant</v>
          </cell>
          <cell r="H146">
            <v>192000</v>
          </cell>
          <cell r="I146">
            <v>264000</v>
          </cell>
          <cell r="J146">
            <v>216000</v>
          </cell>
          <cell r="K146">
            <v>192000</v>
          </cell>
          <cell r="L146">
            <v>164571</v>
          </cell>
          <cell r="M146">
            <v>168000</v>
          </cell>
          <cell r="O146" t="str">
            <v>Agrosuper Shanghai1022096</v>
          </cell>
          <cell r="P146" t="str">
            <v>Cerdo</v>
          </cell>
          <cell r="Q146" t="str">
            <v>Agrosuper Shanghai</v>
          </cell>
          <cell r="R146" t="str">
            <v>1022096</v>
          </cell>
          <cell r="S146" t="str">
            <v>GO Sternum Bones@ Bo Cj 10k AS</v>
          </cell>
          <cell r="T146" t="str">
            <v>Huesos</v>
          </cell>
          <cell r="U146" t="str">
            <v>Huesos Cuarto Delant</v>
          </cell>
          <cell r="V146">
            <v>270080</v>
          </cell>
          <cell r="W146">
            <v>312840</v>
          </cell>
          <cell r="X146">
            <v>248400</v>
          </cell>
          <cell r="Y146">
            <v>222459</v>
          </cell>
          <cell r="Z146">
            <v>194168</v>
          </cell>
          <cell r="AA146">
            <v>223136</v>
          </cell>
        </row>
        <row r="147">
          <cell r="A147" t="str">
            <v>Agrosuper Shanghai1022125</v>
          </cell>
          <cell r="B147" t="str">
            <v>Cerdo</v>
          </cell>
          <cell r="C147" t="str">
            <v>Agrosuper Shanghai</v>
          </cell>
          <cell r="D147" t="str">
            <v>1022125</v>
          </cell>
          <cell r="E147" t="str">
            <v>GO PernilM C/M@ Cj 20k AS</v>
          </cell>
          <cell r="F147" t="str">
            <v>Pernil</v>
          </cell>
          <cell r="G147" t="str">
            <v>Pernil Mano</v>
          </cell>
          <cell r="H147">
            <v>216000</v>
          </cell>
          <cell r="I147">
            <v>96000</v>
          </cell>
          <cell r="J147">
            <v>96000</v>
          </cell>
          <cell r="K147">
            <v>120000</v>
          </cell>
          <cell r="L147">
            <v>96000</v>
          </cell>
          <cell r="M147">
            <v>72000</v>
          </cell>
          <cell r="O147" t="str">
            <v>Agrosuper Shanghai1022125</v>
          </cell>
          <cell r="P147" t="str">
            <v>Cerdo</v>
          </cell>
          <cell r="Q147" t="str">
            <v>Agrosuper Shanghai</v>
          </cell>
          <cell r="R147" t="str">
            <v>1022125</v>
          </cell>
          <cell r="S147" t="str">
            <v>GO PernilM C/M@ Cj 20k AS</v>
          </cell>
          <cell r="T147" t="str">
            <v>Pernil</v>
          </cell>
          <cell r="U147" t="str">
            <v>Pernil Mano</v>
          </cell>
          <cell r="V147">
            <v>586500</v>
          </cell>
          <cell r="W147">
            <v>239040</v>
          </cell>
          <cell r="X147">
            <v>233280</v>
          </cell>
          <cell r="Y147">
            <v>304970</v>
          </cell>
          <cell r="Z147">
            <v>246850</v>
          </cell>
          <cell r="AA147">
            <v>186360</v>
          </cell>
        </row>
        <row r="148">
          <cell r="A148" t="str">
            <v>Agrosuper Shanghai1022183</v>
          </cell>
          <cell r="B148" t="str">
            <v>Cerdo</v>
          </cell>
          <cell r="C148" t="str">
            <v>Agrosuper Shanghai</v>
          </cell>
          <cell r="D148" t="str">
            <v>1022183</v>
          </cell>
          <cell r="E148" t="str">
            <v>GO PernilP@ Bo Cj 20k AS</v>
          </cell>
          <cell r="F148" t="str">
            <v>Pernil</v>
          </cell>
          <cell r="G148" t="str">
            <v>Pernil Pierna</v>
          </cell>
          <cell r="H148">
            <v>456000</v>
          </cell>
          <cell r="I148">
            <v>408000</v>
          </cell>
          <cell r="J148">
            <v>360000</v>
          </cell>
          <cell r="K148">
            <v>551000</v>
          </cell>
          <cell r="L148">
            <v>484400</v>
          </cell>
          <cell r="M148">
            <v>360000</v>
          </cell>
          <cell r="O148" t="str">
            <v>Agrosuper Shanghai1022183</v>
          </cell>
          <cell r="P148" t="str">
            <v>Cerdo</v>
          </cell>
          <cell r="Q148" t="str">
            <v>Agrosuper Shanghai</v>
          </cell>
          <cell r="R148" t="str">
            <v>1022183</v>
          </cell>
          <cell r="S148" t="str">
            <v>GO PernilP@ Bo Cj 20k AS</v>
          </cell>
          <cell r="T148" t="str">
            <v>Pernil</v>
          </cell>
          <cell r="U148" t="str">
            <v>Pernil Pierna</v>
          </cell>
          <cell r="V148">
            <v>825106.66669999994</v>
          </cell>
          <cell r="W148">
            <v>634440</v>
          </cell>
          <cell r="X148">
            <v>601200</v>
          </cell>
          <cell r="Y148">
            <v>931630</v>
          </cell>
          <cell r="Z148">
            <v>890457</v>
          </cell>
          <cell r="AA148">
            <v>731662</v>
          </cell>
        </row>
        <row r="149">
          <cell r="A149" t="str">
            <v>Agrosuper Shanghai1022186</v>
          </cell>
          <cell r="B149" t="str">
            <v>Cerdo</v>
          </cell>
          <cell r="C149" t="str">
            <v>Agrosuper Shanghai</v>
          </cell>
          <cell r="D149" t="str">
            <v>1022186</v>
          </cell>
          <cell r="E149" t="str">
            <v>GO Resto Tira Hso Ctro@ Bo Cj 20k AS</v>
          </cell>
          <cell r="F149" t="str">
            <v>Huesos</v>
          </cell>
          <cell r="G149" t="str">
            <v>Huesos Cuarto Centra</v>
          </cell>
          <cell r="H149">
            <v>48000</v>
          </cell>
          <cell r="I149">
            <v>48000</v>
          </cell>
          <cell r="J149">
            <v>24000</v>
          </cell>
          <cell r="K149">
            <v>48000</v>
          </cell>
          <cell r="L149">
            <v>48000</v>
          </cell>
          <cell r="M149">
            <v>24000</v>
          </cell>
          <cell r="O149" t="str">
            <v>Agrosuper Shanghai1022186</v>
          </cell>
          <cell r="P149" t="str">
            <v>Cerdo</v>
          </cell>
          <cell r="Q149" t="str">
            <v>Agrosuper Shanghai</v>
          </cell>
          <cell r="R149" t="str">
            <v>1022186</v>
          </cell>
          <cell r="S149" t="str">
            <v>GO Resto Tira Hso Ctro@ Bo Cj 20k AS</v>
          </cell>
          <cell r="T149" t="str">
            <v>Huesos</v>
          </cell>
          <cell r="U149" t="str">
            <v>Huesos Cuarto Centra</v>
          </cell>
          <cell r="V149">
            <v>40800</v>
          </cell>
          <cell r="W149">
            <v>31200</v>
          </cell>
          <cell r="X149">
            <v>19200</v>
          </cell>
          <cell r="Y149">
            <v>43458</v>
          </cell>
          <cell r="Z149">
            <v>38400</v>
          </cell>
          <cell r="AA149">
            <v>18796</v>
          </cell>
        </row>
        <row r="150">
          <cell r="A150" t="str">
            <v>Agrosuper Shanghai1022291</v>
          </cell>
          <cell r="B150" t="str">
            <v>Cerdo</v>
          </cell>
          <cell r="C150" t="str">
            <v>Agrosuper Shanghai</v>
          </cell>
          <cell r="D150" t="str">
            <v>1022291</v>
          </cell>
          <cell r="E150" t="str">
            <v>GO PernilM B@ Bo Cj 20k AS</v>
          </cell>
          <cell r="F150" t="str">
            <v>Pernil</v>
          </cell>
          <cell r="G150" t="str">
            <v>Pernil Mano</v>
          </cell>
          <cell r="H150">
            <v>48000</v>
          </cell>
          <cell r="I150">
            <v>48000</v>
          </cell>
          <cell r="J150">
            <v>48000</v>
          </cell>
          <cell r="K150">
            <v>72000</v>
          </cell>
          <cell r="L150">
            <v>119757</v>
          </cell>
          <cell r="M150">
            <v>48000</v>
          </cell>
          <cell r="O150" t="str">
            <v>Agrosuper Shanghai1022291</v>
          </cell>
          <cell r="P150" t="str">
            <v>Cerdo</v>
          </cell>
          <cell r="Q150" t="str">
            <v>Agrosuper Shanghai</v>
          </cell>
          <cell r="R150" t="str">
            <v>1022291</v>
          </cell>
          <cell r="S150" t="str">
            <v>GO PernilM B@ Bo Cj 20k AS</v>
          </cell>
          <cell r="T150" t="str">
            <v>Pernil</v>
          </cell>
          <cell r="U150" t="str">
            <v>Pernil Mano</v>
          </cell>
          <cell r="V150">
            <v>77760</v>
          </cell>
          <cell r="W150">
            <v>80400</v>
          </cell>
          <cell r="X150">
            <v>82560</v>
          </cell>
          <cell r="Y150">
            <v>121706</v>
          </cell>
          <cell r="Z150">
            <v>206659</v>
          </cell>
          <cell r="AA150">
            <v>94133</v>
          </cell>
        </row>
        <row r="151">
          <cell r="A151" t="str">
            <v>Agrosuper Shanghai1022373</v>
          </cell>
          <cell r="B151" t="str">
            <v>Cerdo</v>
          </cell>
          <cell r="C151" t="str">
            <v>Agrosuper Shanghai</v>
          </cell>
          <cell r="D151" t="str">
            <v>1022373</v>
          </cell>
          <cell r="E151" t="str">
            <v>GO Reco 60/40 @ Cj 20k AS</v>
          </cell>
          <cell r="F151" t="str">
            <v>Recortes</v>
          </cell>
          <cell r="G151" t="str">
            <v>Recortes No Magro</v>
          </cell>
          <cell r="H151">
            <v>96000</v>
          </cell>
          <cell r="I151">
            <v>96000</v>
          </cell>
          <cell r="J151">
            <v>48000</v>
          </cell>
          <cell r="K151"/>
          <cell r="L151">
            <v>48000</v>
          </cell>
          <cell r="M151">
            <v>23984</v>
          </cell>
          <cell r="O151" t="str">
            <v>Agrosuper Shanghai1022373</v>
          </cell>
          <cell r="P151" t="str">
            <v>Cerdo</v>
          </cell>
          <cell r="Q151" t="str">
            <v>Agrosuper Shanghai</v>
          </cell>
          <cell r="R151" t="str">
            <v>1022373</v>
          </cell>
          <cell r="S151" t="str">
            <v>GO Reco 60/40 @ Cj 20k AS</v>
          </cell>
          <cell r="T151" t="str">
            <v>Recortes</v>
          </cell>
          <cell r="U151" t="str">
            <v>Recortes No Magro</v>
          </cell>
          <cell r="V151">
            <v>84000</v>
          </cell>
          <cell r="W151">
            <v>81600</v>
          </cell>
          <cell r="X151">
            <v>40800</v>
          </cell>
          <cell r="Y151"/>
          <cell r="Z151">
            <v>50400</v>
          </cell>
          <cell r="AA151">
            <v>23025</v>
          </cell>
        </row>
        <row r="152">
          <cell r="A152" t="str">
            <v>Agrosuper Shanghai1022378</v>
          </cell>
          <cell r="B152" t="str">
            <v>Cerdo</v>
          </cell>
          <cell r="C152" t="str">
            <v>Agrosuper Shanghai</v>
          </cell>
          <cell r="D152" t="str">
            <v>1022378</v>
          </cell>
          <cell r="E152" t="str">
            <v>GO Resto Tira Hso@ Fi Cj 10k AS</v>
          </cell>
          <cell r="F152" t="str">
            <v>Huesos</v>
          </cell>
          <cell r="G152" t="str">
            <v>Huesos Cuarto Centra</v>
          </cell>
          <cell r="H152">
            <v>72000</v>
          </cell>
          <cell r="I152">
            <v>72000</v>
          </cell>
          <cell r="J152">
            <v>96000</v>
          </cell>
          <cell r="K152">
            <v>96000</v>
          </cell>
          <cell r="L152">
            <v>96000</v>
          </cell>
          <cell r="M152">
            <v>72290</v>
          </cell>
          <cell r="O152" t="str">
            <v>Agrosuper Shanghai1022378</v>
          </cell>
          <cell r="P152" t="str">
            <v>Cerdo</v>
          </cell>
          <cell r="Q152" t="str">
            <v>Agrosuper Shanghai</v>
          </cell>
          <cell r="R152" t="str">
            <v>1022378</v>
          </cell>
          <cell r="S152" t="str">
            <v>GO Resto Tira Hso@ Fi Cj 10k AS</v>
          </cell>
          <cell r="T152" t="str">
            <v>Huesos</v>
          </cell>
          <cell r="U152" t="str">
            <v>Huesos Cuarto Centra</v>
          </cell>
          <cell r="V152">
            <v>168000</v>
          </cell>
          <cell r="W152">
            <v>151200</v>
          </cell>
          <cell r="X152">
            <v>187200</v>
          </cell>
          <cell r="Y152">
            <v>179840</v>
          </cell>
          <cell r="Z152">
            <v>177168</v>
          </cell>
          <cell r="AA152">
            <v>142066</v>
          </cell>
        </row>
        <row r="153">
          <cell r="A153" t="str">
            <v>Agrosuper Shanghai1022379</v>
          </cell>
          <cell r="B153" t="str">
            <v>Cerdo</v>
          </cell>
          <cell r="C153" t="str">
            <v>Agrosuper Shanghai</v>
          </cell>
          <cell r="D153" t="str">
            <v>1022379</v>
          </cell>
          <cell r="E153" t="str">
            <v>GO PpPal 77@ Bo Cj AS</v>
          </cell>
          <cell r="F153" t="str">
            <v>Paleta</v>
          </cell>
          <cell r="G153" t="str">
            <v>Paleta Pulpa</v>
          </cell>
          <cell r="H153">
            <v>48000</v>
          </cell>
          <cell r="I153"/>
          <cell r="J153"/>
          <cell r="K153"/>
          <cell r="L153"/>
          <cell r="M153"/>
          <cell r="O153" t="str">
            <v>Agrosuper Shanghai1022379</v>
          </cell>
          <cell r="P153" t="str">
            <v>Cerdo</v>
          </cell>
          <cell r="Q153" t="str">
            <v>Agrosuper Shanghai</v>
          </cell>
          <cell r="R153" t="str">
            <v>1022379</v>
          </cell>
          <cell r="S153" t="str">
            <v>GO PpPal 77@ Bo Cj AS</v>
          </cell>
          <cell r="T153" t="str">
            <v>Paleta</v>
          </cell>
          <cell r="U153" t="str">
            <v>Paleta Pulpa</v>
          </cell>
          <cell r="V153">
            <v>79200</v>
          </cell>
          <cell r="W153"/>
          <cell r="X153"/>
          <cell r="Y153"/>
          <cell r="Z153"/>
          <cell r="AA153"/>
        </row>
        <row r="154">
          <cell r="A154" t="str">
            <v>Agrosuper Shanghai1022381</v>
          </cell>
          <cell r="B154" t="str">
            <v>Cerdo</v>
          </cell>
          <cell r="C154" t="str">
            <v>Agrosuper Shanghai</v>
          </cell>
          <cell r="D154" t="str">
            <v>1022381</v>
          </cell>
          <cell r="E154" t="str">
            <v>GO Gord Esp@ Bo Cj 10k AS</v>
          </cell>
          <cell r="F154" t="str">
            <v>Grasas</v>
          </cell>
          <cell r="G154" t="str">
            <v>Grasa Gordura</v>
          </cell>
          <cell r="H154">
            <v>24000</v>
          </cell>
          <cell r="I154">
            <v>48000</v>
          </cell>
          <cell r="J154">
            <v>72000</v>
          </cell>
          <cell r="K154">
            <v>96000</v>
          </cell>
          <cell r="L154">
            <v>96000</v>
          </cell>
          <cell r="M154">
            <v>72000</v>
          </cell>
          <cell r="O154" t="str">
            <v>Agrosuper Shanghai1022381</v>
          </cell>
          <cell r="P154" t="str">
            <v>Cerdo</v>
          </cell>
          <cell r="Q154" t="str">
            <v>Agrosuper Shanghai</v>
          </cell>
          <cell r="R154" t="str">
            <v>1022381</v>
          </cell>
          <cell r="S154" t="str">
            <v>GO Gord Esp@ Bo Cj 10k AS</v>
          </cell>
          <cell r="T154" t="str">
            <v>Grasas</v>
          </cell>
          <cell r="U154" t="str">
            <v>Grasa Gordura</v>
          </cell>
          <cell r="V154">
            <v>14400</v>
          </cell>
          <cell r="W154">
            <v>30240</v>
          </cell>
          <cell r="X154">
            <v>52560</v>
          </cell>
          <cell r="Y154">
            <v>73280</v>
          </cell>
          <cell r="Z154">
            <v>83353</v>
          </cell>
          <cell r="AA154">
            <v>62400</v>
          </cell>
        </row>
        <row r="155">
          <cell r="A155" t="str">
            <v>Agrosuper Shanghai1022389</v>
          </cell>
          <cell r="B155" t="str">
            <v>Cerdo</v>
          </cell>
          <cell r="C155" t="str">
            <v>Agrosuper Shanghai</v>
          </cell>
          <cell r="D155" t="str">
            <v>1022389</v>
          </cell>
          <cell r="E155" t="str">
            <v>GO Cue 20@ Bo Cj 20k AS</v>
          </cell>
          <cell r="F155" t="str">
            <v>Cueros</v>
          </cell>
          <cell r="G155" t="str">
            <v>Cuero Panceta</v>
          </cell>
          <cell r="H155">
            <v>72000</v>
          </cell>
          <cell r="I155"/>
          <cell r="J155"/>
          <cell r="K155"/>
          <cell r="L155"/>
          <cell r="M155"/>
          <cell r="O155" t="str">
            <v>Agrosuper Shanghai1022389</v>
          </cell>
          <cell r="P155" t="str">
            <v>Cerdo</v>
          </cell>
          <cell r="Q155" t="str">
            <v>Agrosuper Shanghai</v>
          </cell>
          <cell r="R155" t="str">
            <v>1022389</v>
          </cell>
          <cell r="S155" t="str">
            <v>GO Cue 20@ Bo Cj 20k AS</v>
          </cell>
          <cell r="T155" t="str">
            <v>Cueros</v>
          </cell>
          <cell r="U155" t="str">
            <v>Cuero Panceta</v>
          </cell>
          <cell r="V155">
            <v>72000</v>
          </cell>
          <cell r="W155"/>
          <cell r="X155"/>
          <cell r="Y155"/>
          <cell r="Z155"/>
          <cell r="AA155"/>
        </row>
        <row r="156">
          <cell r="A156" t="str">
            <v>Agrosuper Shanghai1022414</v>
          </cell>
          <cell r="B156" t="str">
            <v>Cerdo</v>
          </cell>
          <cell r="C156" t="str">
            <v>Agrosuper Shanghai</v>
          </cell>
          <cell r="D156" t="str">
            <v>1022414</v>
          </cell>
          <cell r="E156" t="str">
            <v>GO Caz Ent@ Bo Cj 10k AS</v>
          </cell>
          <cell r="F156" t="str">
            <v>Chuleta</v>
          </cell>
          <cell r="G156" t="str">
            <v>Chuleta Cazuela</v>
          </cell>
          <cell r="H156">
            <v>192000</v>
          </cell>
          <cell r="I156">
            <v>192000</v>
          </cell>
          <cell r="J156">
            <v>192000</v>
          </cell>
          <cell r="K156">
            <v>120000</v>
          </cell>
          <cell r="L156">
            <v>120000</v>
          </cell>
          <cell r="M156">
            <v>144000</v>
          </cell>
          <cell r="O156" t="str">
            <v>Agrosuper Shanghai1022414</v>
          </cell>
          <cell r="P156" t="str">
            <v>Cerdo</v>
          </cell>
          <cell r="Q156" t="str">
            <v>Agrosuper Shanghai</v>
          </cell>
          <cell r="R156" t="str">
            <v>1022414</v>
          </cell>
          <cell r="S156" t="str">
            <v>GO Caz Ent@ Bo Cj 10k AS</v>
          </cell>
          <cell r="T156" t="str">
            <v>Chuleta</v>
          </cell>
          <cell r="U156" t="str">
            <v>Chuleta Cazuela</v>
          </cell>
          <cell r="V156">
            <v>154240</v>
          </cell>
          <cell r="W156">
            <v>158400</v>
          </cell>
          <cell r="X156">
            <v>157440</v>
          </cell>
          <cell r="Y156">
            <v>100645</v>
          </cell>
          <cell r="Z156">
            <v>105556</v>
          </cell>
          <cell r="AA156">
            <v>133889</v>
          </cell>
        </row>
        <row r="157">
          <cell r="A157" t="str">
            <v>Agrosuper Shanghai1022415</v>
          </cell>
          <cell r="B157" t="str">
            <v>Cerdo</v>
          </cell>
          <cell r="C157" t="str">
            <v>Agrosuper Shanghai</v>
          </cell>
          <cell r="D157" t="str">
            <v>1022415</v>
          </cell>
          <cell r="E157" t="str">
            <v>GO Reco 85/15 @ Cj 20k AS</v>
          </cell>
          <cell r="F157" t="str">
            <v>Recortes</v>
          </cell>
          <cell r="G157" t="str">
            <v>Recortes No Magro</v>
          </cell>
          <cell r="H157"/>
          <cell r="I157"/>
          <cell r="J157">
            <v>4084</v>
          </cell>
          <cell r="K157"/>
          <cell r="L157"/>
          <cell r="M157"/>
          <cell r="O157" t="str">
            <v>Agrosuper Shanghai1022415</v>
          </cell>
          <cell r="P157" t="str">
            <v>Cerdo</v>
          </cell>
          <cell r="Q157" t="str">
            <v>Agrosuper Shanghai</v>
          </cell>
          <cell r="R157" t="str">
            <v>1022415</v>
          </cell>
          <cell r="S157" t="str">
            <v>GO Reco 85/15 @ Cj 20k AS</v>
          </cell>
          <cell r="T157" t="str">
            <v>Recortes</v>
          </cell>
          <cell r="U157" t="str">
            <v>Recortes No Magro</v>
          </cell>
          <cell r="V157"/>
          <cell r="W157"/>
          <cell r="X157">
            <v>3608</v>
          </cell>
          <cell r="Y157"/>
          <cell r="Z157"/>
          <cell r="AA157"/>
        </row>
        <row r="158">
          <cell r="A158" t="str">
            <v>Agrosuper Shanghai1022417</v>
          </cell>
          <cell r="B158" t="str">
            <v>Cerdo</v>
          </cell>
          <cell r="C158" t="str">
            <v>Agrosuper Shanghai</v>
          </cell>
          <cell r="D158" t="str">
            <v>1022417</v>
          </cell>
          <cell r="E158" t="str">
            <v>GO Cue granel@ Bo Cj 20k AS</v>
          </cell>
          <cell r="F158" t="str">
            <v>Cueros</v>
          </cell>
          <cell r="G158" t="str">
            <v>Cuero Mixto</v>
          </cell>
          <cell r="H158"/>
          <cell r="I158"/>
          <cell r="J158">
            <v>24000</v>
          </cell>
          <cell r="K158">
            <v>48000</v>
          </cell>
          <cell r="L158">
            <v>24000</v>
          </cell>
          <cell r="M158">
            <v>96000</v>
          </cell>
          <cell r="O158" t="str">
            <v>Agrosuper Shanghai1022417</v>
          </cell>
          <cell r="P158" t="str">
            <v>Cerdo</v>
          </cell>
          <cell r="Q158" t="str">
            <v>Agrosuper Shanghai</v>
          </cell>
          <cell r="R158" t="str">
            <v>1022417</v>
          </cell>
          <cell r="S158" t="str">
            <v>GO Cue granel@ Bo Cj 20k AS</v>
          </cell>
          <cell r="T158" t="str">
            <v>Cueros</v>
          </cell>
          <cell r="U158" t="str">
            <v>Cuero Mixto</v>
          </cell>
          <cell r="V158"/>
          <cell r="W158"/>
          <cell r="X158">
            <v>19920</v>
          </cell>
          <cell r="Y158">
            <v>24960</v>
          </cell>
          <cell r="Z158">
            <v>15600</v>
          </cell>
          <cell r="AA158">
            <v>62400</v>
          </cell>
        </row>
        <row r="159">
          <cell r="A159" t="str">
            <v>Agrosuper Shanghai1022541</v>
          </cell>
          <cell r="B159" t="str">
            <v>Cerdo</v>
          </cell>
          <cell r="C159" t="str">
            <v>Agrosuper Shanghai</v>
          </cell>
          <cell r="D159" t="str">
            <v>1022541</v>
          </cell>
          <cell r="E159" t="str">
            <v>GO Reco 20/80 @ Cj 20k AS</v>
          </cell>
          <cell r="F159" t="str">
            <v>Grasas</v>
          </cell>
          <cell r="G159" t="str">
            <v>Grasa Gordura</v>
          </cell>
          <cell r="H159">
            <v>24000</v>
          </cell>
          <cell r="I159">
            <v>72000</v>
          </cell>
          <cell r="J159">
            <v>48000</v>
          </cell>
          <cell r="K159">
            <v>24000</v>
          </cell>
          <cell r="L159">
            <v>168000</v>
          </cell>
          <cell r="M159">
            <v>144000</v>
          </cell>
          <cell r="O159" t="str">
            <v>Agrosuper Shanghai1022541</v>
          </cell>
          <cell r="P159" t="str">
            <v>Cerdo</v>
          </cell>
          <cell r="Q159" t="str">
            <v>Agrosuper Shanghai</v>
          </cell>
          <cell r="R159" t="str">
            <v>1022541</v>
          </cell>
          <cell r="S159" t="str">
            <v>GO Reco 20/80 @ Cj 20k AS</v>
          </cell>
          <cell r="T159" t="str">
            <v>Grasas</v>
          </cell>
          <cell r="U159" t="str">
            <v>Grasa Gordura</v>
          </cell>
          <cell r="V159">
            <v>14400</v>
          </cell>
          <cell r="W159">
            <v>45360</v>
          </cell>
          <cell r="X159">
            <v>32160</v>
          </cell>
          <cell r="Y159">
            <v>7720</v>
          </cell>
          <cell r="Z159">
            <v>145332</v>
          </cell>
          <cell r="AA159">
            <v>151177</v>
          </cell>
        </row>
        <row r="160">
          <cell r="A160" t="str">
            <v>Agrosuper Shanghai1022637</v>
          </cell>
          <cell r="B160" t="str">
            <v>Cerdo</v>
          </cell>
          <cell r="C160" t="str">
            <v>Agrosuper Shanghai</v>
          </cell>
          <cell r="D160" t="str">
            <v>1022637</v>
          </cell>
          <cell r="E160" t="str">
            <v>GO Hso Escapula@ Cj 15kg AS</v>
          </cell>
          <cell r="F160" t="str">
            <v>Huesos</v>
          </cell>
          <cell r="G160" t="str">
            <v>Huesos Cuarto Delant</v>
          </cell>
          <cell r="H160">
            <v>144000</v>
          </cell>
          <cell r="I160">
            <v>144000</v>
          </cell>
          <cell r="J160">
            <v>120000</v>
          </cell>
          <cell r="K160">
            <v>144000</v>
          </cell>
          <cell r="L160">
            <v>71100</v>
          </cell>
          <cell r="M160">
            <v>72000</v>
          </cell>
          <cell r="O160" t="str">
            <v>Agrosuper Shanghai1022637</v>
          </cell>
          <cell r="P160" t="str">
            <v>Cerdo</v>
          </cell>
          <cell r="Q160" t="str">
            <v>Agrosuper Shanghai</v>
          </cell>
          <cell r="R160" t="str">
            <v>1022637</v>
          </cell>
          <cell r="S160" t="str">
            <v>GO Hso Escapula@ Cj 15kg AS</v>
          </cell>
          <cell r="T160" t="str">
            <v>Huesos</v>
          </cell>
          <cell r="U160" t="str">
            <v>Huesos Cuarto Delant</v>
          </cell>
          <cell r="V160">
            <v>163350</v>
          </cell>
          <cell r="W160">
            <v>144000</v>
          </cell>
          <cell r="X160">
            <v>120000</v>
          </cell>
          <cell r="Y160">
            <v>142519</v>
          </cell>
          <cell r="Z160">
            <v>73751</v>
          </cell>
          <cell r="AA160">
            <v>79080</v>
          </cell>
        </row>
        <row r="161">
          <cell r="A161" t="str">
            <v>Agrosuper Shanghai1022748</v>
          </cell>
          <cell r="B161" t="str">
            <v>Cerdo</v>
          </cell>
          <cell r="C161" t="str">
            <v>Agrosuper Shanghai</v>
          </cell>
          <cell r="D161" t="str">
            <v>1022748</v>
          </cell>
          <cell r="E161" t="str">
            <v>GO Manos@ Cj 10k AS</v>
          </cell>
          <cell r="F161" t="str">
            <v>Subprod</v>
          </cell>
          <cell r="G161" t="str">
            <v>Subprod Patas-Manos</v>
          </cell>
          <cell r="H161">
            <v>144000</v>
          </cell>
          <cell r="I161"/>
          <cell r="J161">
            <v>84000</v>
          </cell>
          <cell r="K161">
            <v>132000</v>
          </cell>
          <cell r="L161">
            <v>96000</v>
          </cell>
          <cell r="M161">
            <v>68000</v>
          </cell>
          <cell r="O161" t="str">
            <v>Agrosuper Shanghai1022748</v>
          </cell>
          <cell r="P161" t="str">
            <v>Cerdo</v>
          </cell>
          <cell r="Q161" t="str">
            <v>Agrosuper Shanghai</v>
          </cell>
          <cell r="R161" t="str">
            <v>1022748</v>
          </cell>
          <cell r="S161" t="str">
            <v>GO Manos@ Cj 10k AS</v>
          </cell>
          <cell r="T161" t="str">
            <v>Subprod</v>
          </cell>
          <cell r="U161" t="str">
            <v>Subprod Patas-Manos</v>
          </cell>
          <cell r="V161">
            <v>636000</v>
          </cell>
          <cell r="W161"/>
          <cell r="X161">
            <v>398160</v>
          </cell>
          <cell r="Y161">
            <v>623093</v>
          </cell>
          <cell r="Z161">
            <v>455946</v>
          </cell>
          <cell r="AA161">
            <v>342073</v>
          </cell>
        </row>
        <row r="162">
          <cell r="A162" t="str">
            <v>Agrosuper Shanghai1022851</v>
          </cell>
          <cell r="B162" t="str">
            <v>Cerdo</v>
          </cell>
          <cell r="C162" t="str">
            <v>Agrosuper Shanghai</v>
          </cell>
          <cell r="D162" t="str">
            <v>1022851</v>
          </cell>
          <cell r="E162" t="str">
            <v>GO Pal Nor@ Cj 20k AS</v>
          </cell>
          <cell r="F162" t="str">
            <v>Paleta</v>
          </cell>
          <cell r="G162" t="str">
            <v>Paleta Entera</v>
          </cell>
          <cell r="H162">
            <v>8596</v>
          </cell>
          <cell r="I162"/>
          <cell r="J162">
            <v>8956</v>
          </cell>
          <cell r="K162"/>
          <cell r="L162"/>
          <cell r="M162"/>
          <cell r="O162" t="str">
            <v>Agrosuper Shanghai1022851</v>
          </cell>
          <cell r="P162" t="str">
            <v>Cerdo</v>
          </cell>
          <cell r="Q162" t="str">
            <v>Agrosuper Shanghai</v>
          </cell>
          <cell r="R162" t="str">
            <v>1022851</v>
          </cell>
          <cell r="S162" t="str">
            <v>GO Pal Nor@ Cj 20k AS</v>
          </cell>
          <cell r="T162" t="str">
            <v>Paleta</v>
          </cell>
          <cell r="U162" t="str">
            <v>Paleta Entera</v>
          </cell>
          <cell r="V162">
            <v>9025.7999999999993</v>
          </cell>
          <cell r="W162"/>
          <cell r="X162">
            <v>9255</v>
          </cell>
          <cell r="Y162"/>
          <cell r="Z162"/>
          <cell r="AA162"/>
        </row>
        <row r="163">
          <cell r="A163" t="str">
            <v>Agrosuper Shanghai1022856</v>
          </cell>
          <cell r="B163" t="str">
            <v>Cerdo</v>
          </cell>
          <cell r="C163" t="str">
            <v>Agrosuper Shanghai</v>
          </cell>
          <cell r="D163" t="str">
            <v>1022856</v>
          </cell>
          <cell r="E163" t="str">
            <v>GO Reco 10/90 @ Cj 20k AS</v>
          </cell>
          <cell r="F163" t="str">
            <v>Grasas</v>
          </cell>
          <cell r="G163" t="str">
            <v>Grasa Gordura</v>
          </cell>
          <cell r="H163">
            <v>96000</v>
          </cell>
          <cell r="I163">
            <v>24000</v>
          </cell>
          <cell r="J163">
            <v>120000</v>
          </cell>
          <cell r="K163">
            <v>120000</v>
          </cell>
          <cell r="L163">
            <v>96000</v>
          </cell>
          <cell r="M163">
            <v>73012</v>
          </cell>
          <cell r="O163" t="str">
            <v>Agrosuper Shanghai1022856</v>
          </cell>
          <cell r="P163" t="str">
            <v>Cerdo</v>
          </cell>
          <cell r="Q163" t="str">
            <v>Agrosuper Shanghai</v>
          </cell>
          <cell r="R163" t="str">
            <v>1022856</v>
          </cell>
          <cell r="S163" t="str">
            <v>GO Reco 10/90 @ Cj 20k AS</v>
          </cell>
          <cell r="T163" t="str">
            <v>Grasas</v>
          </cell>
          <cell r="U163" t="str">
            <v>Grasa Gordura</v>
          </cell>
          <cell r="V163">
            <v>59626.666700000002</v>
          </cell>
          <cell r="W163">
            <v>14400</v>
          </cell>
          <cell r="X163">
            <v>90000</v>
          </cell>
          <cell r="Y163">
            <v>89108</v>
          </cell>
          <cell r="Z163">
            <v>84901</v>
          </cell>
          <cell r="AA163">
            <v>66191</v>
          </cell>
        </row>
        <row r="164">
          <cell r="A164" t="str">
            <v>Agrosuper Shanghai1022945</v>
          </cell>
          <cell r="B164" t="str">
            <v>Cerdo</v>
          </cell>
          <cell r="C164" t="str">
            <v>Agrosuper Shanghai</v>
          </cell>
          <cell r="D164" t="str">
            <v>1022945</v>
          </cell>
          <cell r="E164" t="str">
            <v>GO Mantec@ Cj 20k AS</v>
          </cell>
          <cell r="F164" t="str">
            <v>Grasas</v>
          </cell>
          <cell r="G164" t="str">
            <v>Grasa Interior</v>
          </cell>
          <cell r="H164">
            <v>144000</v>
          </cell>
          <cell r="I164"/>
          <cell r="J164"/>
          <cell r="K164"/>
          <cell r="L164">
            <v>48000</v>
          </cell>
          <cell r="M164">
            <v>48140</v>
          </cell>
          <cell r="O164" t="str">
            <v>Agrosuper Shanghai1022945</v>
          </cell>
          <cell r="P164" t="str">
            <v>Cerdo</v>
          </cell>
          <cell r="Q164" t="str">
            <v>Agrosuper Shanghai</v>
          </cell>
          <cell r="R164" t="str">
            <v>1022945</v>
          </cell>
          <cell r="S164" t="str">
            <v>GO Mantec@ Cj 20k AS</v>
          </cell>
          <cell r="T164" t="str">
            <v>Grasas</v>
          </cell>
          <cell r="U164" t="str">
            <v>Grasa Interior</v>
          </cell>
          <cell r="V164">
            <v>94200</v>
          </cell>
          <cell r="W164"/>
          <cell r="X164"/>
          <cell r="Y164"/>
          <cell r="Z164">
            <v>46080</v>
          </cell>
          <cell r="AA164">
            <v>45412</v>
          </cell>
        </row>
        <row r="165">
          <cell r="A165" t="str">
            <v>Agrosuper Shanghai1023034</v>
          </cell>
          <cell r="B165" t="str">
            <v>Cerdo</v>
          </cell>
          <cell r="C165" t="str">
            <v>Agrosuper Shanghai</v>
          </cell>
          <cell r="D165" t="str">
            <v>1023034</v>
          </cell>
          <cell r="E165" t="str">
            <v>GO Forro Pal@ Bo Cj 20k AS</v>
          </cell>
          <cell r="F165" t="str">
            <v>Cueros</v>
          </cell>
          <cell r="G165" t="str">
            <v>Cuero Forro</v>
          </cell>
          <cell r="H165">
            <v>120000</v>
          </cell>
          <cell r="I165">
            <v>96000</v>
          </cell>
          <cell r="J165">
            <v>24000</v>
          </cell>
          <cell r="K165">
            <v>120000</v>
          </cell>
          <cell r="L165">
            <v>72100</v>
          </cell>
          <cell r="M165">
            <v>72000</v>
          </cell>
          <cell r="O165" t="str">
            <v>Agrosuper Shanghai1023034</v>
          </cell>
          <cell r="P165" t="str">
            <v>Cerdo</v>
          </cell>
          <cell r="Q165" t="str">
            <v>Agrosuper Shanghai</v>
          </cell>
          <cell r="R165" t="str">
            <v>1023034</v>
          </cell>
          <cell r="S165" t="str">
            <v>GO Forro Pal@ Bo Cj 20k AS</v>
          </cell>
          <cell r="T165" t="str">
            <v>Cueros</v>
          </cell>
          <cell r="U165" t="str">
            <v>Cuero Forro</v>
          </cell>
          <cell r="V165">
            <v>34000</v>
          </cell>
          <cell r="W165">
            <v>29760</v>
          </cell>
          <cell r="X165">
            <v>7039</v>
          </cell>
          <cell r="Y165">
            <v>42744</v>
          </cell>
          <cell r="Z165">
            <v>37227</v>
          </cell>
          <cell r="AA165">
            <v>54000</v>
          </cell>
        </row>
        <row r="166">
          <cell r="A166" t="str">
            <v>Agrosuper Shanghai1023093</v>
          </cell>
          <cell r="B166" t="str">
            <v>Cerdo</v>
          </cell>
          <cell r="C166" t="str">
            <v>Agrosuper Shanghai</v>
          </cell>
          <cell r="D166" t="str">
            <v>1023093</v>
          </cell>
          <cell r="E166" t="str">
            <v>GO Cordon Lom@ Bo Cj 20k AS</v>
          </cell>
          <cell r="F166" t="str">
            <v>Recortes</v>
          </cell>
          <cell r="G166" t="str">
            <v>Recortes No Magro</v>
          </cell>
          <cell r="H166"/>
          <cell r="I166"/>
          <cell r="J166">
            <v>12000</v>
          </cell>
          <cell r="K166">
            <v>12000</v>
          </cell>
          <cell r="L166"/>
          <cell r="M166"/>
          <cell r="O166" t="str">
            <v>Agrosuper Shanghai1023093</v>
          </cell>
          <cell r="P166" t="str">
            <v>Cerdo</v>
          </cell>
          <cell r="Q166" t="str">
            <v>Agrosuper Shanghai</v>
          </cell>
          <cell r="R166" t="str">
            <v>1023093</v>
          </cell>
          <cell r="S166" t="str">
            <v>GO Cordon Lom@ Bo Cj 20k AS</v>
          </cell>
          <cell r="T166" t="str">
            <v>Recortes</v>
          </cell>
          <cell r="U166" t="str">
            <v>Recortes No Magro</v>
          </cell>
          <cell r="V166"/>
          <cell r="W166"/>
          <cell r="X166">
            <v>41800</v>
          </cell>
          <cell r="Y166">
            <v>20940</v>
          </cell>
          <cell r="Z166"/>
          <cell r="AA166"/>
        </row>
        <row r="167">
          <cell r="A167" t="str">
            <v>Agrosuper Shanghai1023111</v>
          </cell>
          <cell r="B167" t="str">
            <v>Cerdo</v>
          </cell>
          <cell r="C167" t="str">
            <v>Agrosuper Shanghai</v>
          </cell>
          <cell r="D167" t="str">
            <v>1023111</v>
          </cell>
          <cell r="E167" t="str">
            <v>GO Grasa Forro Pna Limp@ Bo Cj 20k AS</v>
          </cell>
          <cell r="F167" t="str">
            <v>Grasas</v>
          </cell>
          <cell r="G167" t="str">
            <v>Grasa Forro</v>
          </cell>
          <cell r="H167">
            <v>48000</v>
          </cell>
          <cell r="I167"/>
          <cell r="J167">
            <v>96000</v>
          </cell>
          <cell r="K167"/>
          <cell r="L167">
            <v>24000</v>
          </cell>
          <cell r="M167"/>
          <cell r="O167" t="str">
            <v>Agrosuper Shanghai1023111</v>
          </cell>
          <cell r="P167" t="str">
            <v>Cerdo</v>
          </cell>
          <cell r="Q167" t="str">
            <v>Agrosuper Shanghai</v>
          </cell>
          <cell r="R167" t="str">
            <v>1023111</v>
          </cell>
          <cell r="S167" t="str">
            <v>GO Grasa Forro Pna Limp@ Bo Cj 20k AS</v>
          </cell>
          <cell r="T167" t="str">
            <v>Grasas</v>
          </cell>
          <cell r="U167" t="str">
            <v>Grasa Forro</v>
          </cell>
          <cell r="V167">
            <v>26400</v>
          </cell>
          <cell r="W167"/>
          <cell r="X167">
            <v>58800</v>
          </cell>
          <cell r="Y167"/>
          <cell r="Z167">
            <v>18800</v>
          </cell>
          <cell r="AA167"/>
        </row>
        <row r="168">
          <cell r="A168" t="str">
            <v>Agrosuper Shanghai1023131</v>
          </cell>
          <cell r="B168" t="str">
            <v>Cerdo</v>
          </cell>
          <cell r="C168" t="str">
            <v>Agrosuper Shanghai</v>
          </cell>
          <cell r="D168" t="str">
            <v>1023131</v>
          </cell>
          <cell r="E168" t="str">
            <v>GO Pna S/Hso C/Cue@ Cj 20k AS</v>
          </cell>
          <cell r="F168" t="str">
            <v>Pierna</v>
          </cell>
          <cell r="G168" t="str">
            <v>Pierna Pulpa</v>
          </cell>
          <cell r="H168">
            <v>4224</v>
          </cell>
          <cell r="I168"/>
          <cell r="J168">
            <v>4200</v>
          </cell>
          <cell r="K168"/>
          <cell r="L168"/>
          <cell r="M168"/>
          <cell r="O168" t="str">
            <v>Agrosuper Shanghai1023131</v>
          </cell>
          <cell r="P168" t="str">
            <v>Cerdo</v>
          </cell>
          <cell r="Q168" t="str">
            <v>Agrosuper Shanghai</v>
          </cell>
          <cell r="R168" t="str">
            <v>1023131</v>
          </cell>
          <cell r="S168" t="str">
            <v>GO Pna S/Hso C/Cue@ Cj 20k AS</v>
          </cell>
          <cell r="T168" t="str">
            <v>Pierna</v>
          </cell>
          <cell r="U168" t="str">
            <v>Pierna Pulpa</v>
          </cell>
          <cell r="V168">
            <v>5280</v>
          </cell>
          <cell r="W168"/>
          <cell r="X168">
            <v>5180</v>
          </cell>
          <cell r="Y168"/>
          <cell r="Z168"/>
          <cell r="AA168"/>
        </row>
        <row r="169">
          <cell r="A169" t="str">
            <v>Agrosuper Shanghai1023306</v>
          </cell>
          <cell r="B169" t="str">
            <v>Cerdo</v>
          </cell>
          <cell r="C169" t="str">
            <v>Agrosuper Shanghai</v>
          </cell>
          <cell r="D169" t="str">
            <v>1023306</v>
          </cell>
          <cell r="E169" t="str">
            <v>GO Cue granel@ Bo Cj 20k AS</v>
          </cell>
          <cell r="F169" t="str">
            <v>Cueros</v>
          </cell>
          <cell r="G169" t="str">
            <v>Cuero Mixto</v>
          </cell>
          <cell r="H169">
            <v>144000</v>
          </cell>
          <cell r="I169">
            <v>72000</v>
          </cell>
          <cell r="J169">
            <v>72000</v>
          </cell>
          <cell r="K169">
            <v>144000</v>
          </cell>
          <cell r="L169">
            <v>96000</v>
          </cell>
          <cell r="M169">
            <v>96000</v>
          </cell>
          <cell r="O169" t="str">
            <v>Agrosuper Shanghai1023306</v>
          </cell>
          <cell r="P169" t="str">
            <v>Cerdo</v>
          </cell>
          <cell r="Q169" t="str">
            <v>Agrosuper Shanghai</v>
          </cell>
          <cell r="R169" t="str">
            <v>1023306</v>
          </cell>
          <cell r="S169" t="str">
            <v>GO Cue granel@ Bo Cj 20k AS</v>
          </cell>
          <cell r="T169" t="str">
            <v>Cueros</v>
          </cell>
          <cell r="U169" t="str">
            <v>Cuero Mixto</v>
          </cell>
          <cell r="V169">
            <v>83520</v>
          </cell>
          <cell r="W169">
            <v>46800</v>
          </cell>
          <cell r="X169">
            <v>59760</v>
          </cell>
          <cell r="Y169">
            <v>108784</v>
          </cell>
          <cell r="Z169">
            <v>85572</v>
          </cell>
          <cell r="AA169">
            <v>76800</v>
          </cell>
        </row>
        <row r="170">
          <cell r="A170" t="str">
            <v>Agrosuper Shanghai1023368</v>
          </cell>
          <cell r="B170" t="str">
            <v>Cerdo</v>
          </cell>
          <cell r="C170" t="str">
            <v>Agrosuper Shanghai</v>
          </cell>
          <cell r="D170" t="str">
            <v>1023368</v>
          </cell>
          <cell r="E170" t="str">
            <v>GO Cuarto Central @ COM Cj AS</v>
          </cell>
          <cell r="F170" t="str">
            <v>Vara Gordo</v>
          </cell>
          <cell r="G170" t="str">
            <v>Vara Cuarto Central</v>
          </cell>
          <cell r="H170"/>
          <cell r="I170"/>
          <cell r="J170"/>
          <cell r="K170"/>
          <cell r="L170"/>
          <cell r="M170">
            <v>7122</v>
          </cell>
          <cell r="O170" t="str">
            <v>Agrosuper Shanghai1023368</v>
          </cell>
          <cell r="P170" t="str">
            <v>Cerdo</v>
          </cell>
          <cell r="Q170" t="str">
            <v>Agrosuper Shanghai</v>
          </cell>
          <cell r="R170" t="str">
            <v>1023368</v>
          </cell>
          <cell r="S170" t="str">
            <v>GO Cuarto Central @ COM Cj AS</v>
          </cell>
          <cell r="T170" t="str">
            <v>Vara Gordo</v>
          </cell>
          <cell r="U170" t="str">
            <v>Vara Cuarto Central</v>
          </cell>
          <cell r="V170"/>
          <cell r="W170"/>
          <cell r="X170"/>
          <cell r="Y170"/>
          <cell r="Z170"/>
          <cell r="AA170">
            <v>11754</v>
          </cell>
        </row>
        <row r="171">
          <cell r="A171" t="str">
            <v>Agrosuper Shanghai1023362</v>
          </cell>
          <cell r="B171" t="str">
            <v>Cerdo</v>
          </cell>
          <cell r="C171" t="str">
            <v>Agrosuper Shanghai</v>
          </cell>
          <cell r="D171" t="str">
            <v>1023362</v>
          </cell>
          <cell r="E171" t="str">
            <v>GO Cuarto Delant @ COM Cj AS</v>
          </cell>
          <cell r="F171" t="str">
            <v>Vara Gordo</v>
          </cell>
          <cell r="G171" t="str">
            <v>Vara Cuarto Delanter</v>
          </cell>
          <cell r="H171"/>
          <cell r="I171"/>
          <cell r="J171"/>
          <cell r="K171"/>
          <cell r="L171"/>
          <cell r="M171">
            <v>7761</v>
          </cell>
          <cell r="O171" t="str">
            <v>Agrosuper Shanghai1023362</v>
          </cell>
          <cell r="P171" t="str">
            <v>Cerdo</v>
          </cell>
          <cell r="Q171" t="str">
            <v>Agrosuper Shanghai</v>
          </cell>
          <cell r="R171" t="str">
            <v>1023362</v>
          </cell>
          <cell r="S171" t="str">
            <v>GO Cuarto Delant @ COM Cj AS</v>
          </cell>
          <cell r="T171" t="str">
            <v>Vara Gordo</v>
          </cell>
          <cell r="U171" t="str">
            <v>Vara Cuarto Delanter</v>
          </cell>
          <cell r="V171"/>
          <cell r="W171"/>
          <cell r="X171"/>
          <cell r="Y171"/>
          <cell r="Z171"/>
          <cell r="AA171">
            <v>12805</v>
          </cell>
        </row>
        <row r="172">
          <cell r="A172" t="str">
            <v>Agrosuper Shanghai1023363</v>
          </cell>
          <cell r="B172" t="str">
            <v>Cerdo</v>
          </cell>
          <cell r="C172" t="str">
            <v>Agrosuper Shanghai</v>
          </cell>
          <cell r="D172" t="str">
            <v>1023363</v>
          </cell>
          <cell r="E172" t="str">
            <v>GO Cuarto Trasero @ COM Cj AS</v>
          </cell>
          <cell r="F172" t="str">
            <v>Vara Gordo</v>
          </cell>
          <cell r="G172" t="str">
            <v>Vara Cuarto Trasero</v>
          </cell>
          <cell r="H172"/>
          <cell r="I172"/>
          <cell r="J172"/>
          <cell r="K172"/>
          <cell r="L172"/>
          <cell r="M172">
            <v>6843</v>
          </cell>
          <cell r="O172" t="str">
            <v>Agrosuper Shanghai1023363</v>
          </cell>
          <cell r="P172" t="str">
            <v>Cerdo</v>
          </cell>
          <cell r="Q172" t="str">
            <v>Agrosuper Shanghai</v>
          </cell>
          <cell r="R172" t="str">
            <v>1023363</v>
          </cell>
          <cell r="S172" t="str">
            <v>GO Cuarto Trasero @ COM Cj AS</v>
          </cell>
          <cell r="T172" t="str">
            <v>Vara Gordo</v>
          </cell>
          <cell r="U172" t="str">
            <v>Vara Cuarto Trasero</v>
          </cell>
          <cell r="V172"/>
          <cell r="W172"/>
          <cell r="X172"/>
          <cell r="Y172"/>
          <cell r="Z172"/>
          <cell r="AA172">
            <v>11302</v>
          </cell>
        </row>
        <row r="173">
          <cell r="A173" t="str">
            <v>Agrosuper Shanghai1023110</v>
          </cell>
          <cell r="B173" t="str">
            <v>Cerdo</v>
          </cell>
          <cell r="C173" t="str">
            <v>Agrosuper Shanghai</v>
          </cell>
          <cell r="D173" t="str">
            <v>1023110</v>
          </cell>
          <cell r="E173" t="str">
            <v>GO Pna Forro@ Bo Cj 20k AS</v>
          </cell>
          <cell r="F173" t="str">
            <v>Cueros</v>
          </cell>
          <cell r="G173" t="str">
            <v>Cuero Forro</v>
          </cell>
          <cell r="H173"/>
          <cell r="I173"/>
          <cell r="J173"/>
          <cell r="K173"/>
          <cell r="L173"/>
          <cell r="M173">
            <v>48000</v>
          </cell>
          <cell r="O173" t="str">
            <v>Agrosuper Shanghai1023110</v>
          </cell>
          <cell r="P173" t="str">
            <v>Cerdo</v>
          </cell>
          <cell r="Q173" t="str">
            <v>Agrosuper Shanghai</v>
          </cell>
          <cell r="R173" t="str">
            <v>1023110</v>
          </cell>
          <cell r="S173" t="str">
            <v>GO Pna Forro@ Bo Cj 20k AS</v>
          </cell>
          <cell r="T173" t="str">
            <v>Cueros</v>
          </cell>
          <cell r="U173" t="str">
            <v>Cuero Forro</v>
          </cell>
          <cell r="V173"/>
          <cell r="W173"/>
          <cell r="X173"/>
          <cell r="Y173"/>
          <cell r="Z173"/>
          <cell r="AA173">
            <v>36000</v>
          </cell>
        </row>
        <row r="174">
          <cell r="A174" t="str">
            <v>Agrosuper Shanghai1023365</v>
          </cell>
          <cell r="B174" t="str">
            <v>Cerdo</v>
          </cell>
          <cell r="C174" t="str">
            <v>Agrosuper Shanghai</v>
          </cell>
          <cell r="D174" t="str">
            <v>1023365</v>
          </cell>
          <cell r="E174" t="str">
            <v>GO Mantec @ COM Cj AS</v>
          </cell>
          <cell r="F174" t="str">
            <v>Grasas</v>
          </cell>
          <cell r="G174" t="str">
            <v>Grasa Interior</v>
          </cell>
          <cell r="H174"/>
          <cell r="I174"/>
          <cell r="J174"/>
          <cell r="K174"/>
          <cell r="L174"/>
          <cell r="M174">
            <v>313</v>
          </cell>
          <cell r="O174" t="str">
            <v>Agrosuper Shanghai1023365</v>
          </cell>
          <cell r="P174" t="str">
            <v>Cerdo</v>
          </cell>
          <cell r="Q174" t="str">
            <v>Agrosuper Shanghai</v>
          </cell>
          <cell r="R174" t="str">
            <v>1023365</v>
          </cell>
          <cell r="S174" t="str">
            <v>GO Mantec @ COM Cj AS</v>
          </cell>
          <cell r="T174" t="str">
            <v>Grasas</v>
          </cell>
          <cell r="U174" t="str">
            <v>Grasa Interior</v>
          </cell>
          <cell r="V174"/>
          <cell r="W174"/>
          <cell r="X174"/>
          <cell r="Y174"/>
          <cell r="Z174"/>
          <cell r="AA174">
            <v>282</v>
          </cell>
        </row>
        <row r="175">
          <cell r="A175" t="str">
            <v>Exportacion Directa1020105</v>
          </cell>
          <cell r="B175" t="str">
            <v>Cerdo</v>
          </cell>
          <cell r="C175" t="str">
            <v>Exportacion Directa</v>
          </cell>
          <cell r="D175" t="str">
            <v>1020105</v>
          </cell>
          <cell r="E175" t="str">
            <v>GO Lom Tecla@ Cj Lom Ctro JP</v>
          </cell>
          <cell r="F175" t="str">
            <v>Lomo</v>
          </cell>
          <cell r="G175" t="str">
            <v>Lomo Centro</v>
          </cell>
          <cell r="H175">
            <v>53000</v>
          </cell>
          <cell r="I175">
            <v>35000</v>
          </cell>
          <cell r="J175">
            <v>40000</v>
          </cell>
          <cell r="K175">
            <v>55000</v>
          </cell>
          <cell r="L175">
            <v>58500</v>
          </cell>
          <cell r="M175">
            <v>40113</v>
          </cell>
          <cell r="O175" t="str">
            <v>Exportacion Directa1020105</v>
          </cell>
          <cell r="P175" t="str">
            <v>Cerdo</v>
          </cell>
          <cell r="Q175" t="str">
            <v>Exportacion Directa</v>
          </cell>
          <cell r="R175" t="str">
            <v>1020105</v>
          </cell>
          <cell r="S175" t="str">
            <v>GO Lom Tecla@ Cj Lom Ctro JP</v>
          </cell>
          <cell r="T175" t="str">
            <v>Lomo</v>
          </cell>
          <cell r="U175" t="str">
            <v>Lomo Centro</v>
          </cell>
          <cell r="V175">
            <v>242802.9852</v>
          </cell>
          <cell r="W175">
            <v>150434</v>
          </cell>
          <cell r="X175">
            <v>172191</v>
          </cell>
          <cell r="Y175">
            <v>229340</v>
          </cell>
          <cell r="Z175">
            <v>240695</v>
          </cell>
          <cell r="AA175">
            <v>151021</v>
          </cell>
        </row>
        <row r="176">
          <cell r="A176" t="str">
            <v>Exportacion Directa1020110</v>
          </cell>
          <cell r="B176" t="str">
            <v>Cerdo</v>
          </cell>
          <cell r="C176" t="str">
            <v>Exportacion Directa</v>
          </cell>
          <cell r="D176" t="str">
            <v>1020110</v>
          </cell>
          <cell r="E176" t="str">
            <v>GO MM Loin L@ Cj 12k AP</v>
          </cell>
          <cell r="F176" t="str">
            <v>Lomo</v>
          </cell>
          <cell r="G176" t="str">
            <v>Lomo MM Loin</v>
          </cell>
          <cell r="H176">
            <v>412200</v>
          </cell>
          <cell r="I176">
            <v>240000</v>
          </cell>
          <cell r="J176">
            <v>400000</v>
          </cell>
          <cell r="K176">
            <v>460000</v>
          </cell>
          <cell r="L176">
            <v>600000</v>
          </cell>
          <cell r="M176">
            <v>690745</v>
          </cell>
          <cell r="O176" t="str">
            <v>Exportacion Directa1020110</v>
          </cell>
          <cell r="P176" t="str">
            <v>Cerdo</v>
          </cell>
          <cell r="Q176" t="str">
            <v>Exportacion Directa</v>
          </cell>
          <cell r="R176" t="str">
            <v>1020110</v>
          </cell>
          <cell r="S176" t="str">
            <v>GO MM Loin L@ Cj 12k AP</v>
          </cell>
          <cell r="T176" t="str">
            <v>Lomo</v>
          </cell>
          <cell r="U176" t="str">
            <v>Lomo MM Loin</v>
          </cell>
          <cell r="V176">
            <v>1698264</v>
          </cell>
          <cell r="W176">
            <v>924341</v>
          </cell>
          <cell r="X176">
            <v>1528601</v>
          </cell>
          <cell r="Y176">
            <v>1681228</v>
          </cell>
          <cell r="Z176">
            <v>2172336</v>
          </cell>
          <cell r="AA176">
            <v>2287445</v>
          </cell>
        </row>
        <row r="177">
          <cell r="A177" t="str">
            <v>Exportacion Directa1020284</v>
          </cell>
          <cell r="B177" t="str">
            <v>Cerdo</v>
          </cell>
          <cell r="C177" t="str">
            <v>Exportacion Directa</v>
          </cell>
          <cell r="D177" t="str">
            <v>1020284</v>
          </cell>
          <cell r="E177" t="str">
            <v>GO Posta Negra 3P T@ Va Cj t-f JP</v>
          </cell>
          <cell r="F177" t="str">
            <v>Pierna</v>
          </cell>
          <cell r="G177" t="str">
            <v>Pierna Pulpa Fina</v>
          </cell>
          <cell r="H177">
            <v>11750</v>
          </cell>
          <cell r="I177">
            <v>5750</v>
          </cell>
          <cell r="J177">
            <v>4000</v>
          </cell>
          <cell r="K177">
            <v>17000</v>
          </cell>
          <cell r="L177">
            <v>23200</v>
          </cell>
          <cell r="M177">
            <v>7667</v>
          </cell>
          <cell r="O177" t="str">
            <v>Exportacion Directa1020284</v>
          </cell>
          <cell r="P177" t="str">
            <v>Cerdo</v>
          </cell>
          <cell r="Q177" t="str">
            <v>Exportacion Directa</v>
          </cell>
          <cell r="R177" t="str">
            <v>1020284</v>
          </cell>
          <cell r="S177" t="str">
            <v>GO Posta Negra 3P T@ Va Cj t-f JP</v>
          </cell>
          <cell r="T177" t="str">
            <v>Pierna</v>
          </cell>
          <cell r="U177" t="str">
            <v>Pierna Pulpa Fina</v>
          </cell>
          <cell r="V177">
            <v>50760</v>
          </cell>
          <cell r="W177">
            <v>23396</v>
          </cell>
          <cell r="X177">
            <v>16318</v>
          </cell>
          <cell r="Y177">
            <v>67201</v>
          </cell>
          <cell r="Z177">
            <v>89295</v>
          </cell>
          <cell r="AA177">
            <v>27627</v>
          </cell>
        </row>
        <row r="178">
          <cell r="A178" t="str">
            <v>Exportacion Directa1020326</v>
          </cell>
          <cell r="B178" t="str">
            <v>Cerdo</v>
          </cell>
          <cell r="C178" t="str">
            <v>Exportacion Directa</v>
          </cell>
          <cell r="D178" t="str">
            <v>1020326</v>
          </cell>
          <cell r="E178" t="str">
            <v>GO PpPal Pim@ Cj AP</v>
          </cell>
          <cell r="F178" t="str">
            <v>Paleta</v>
          </cell>
          <cell r="G178" t="str">
            <v>Paleta Pulpa</v>
          </cell>
          <cell r="H178">
            <v>296000</v>
          </cell>
          <cell r="I178">
            <v>264000</v>
          </cell>
          <cell r="J178">
            <v>240000</v>
          </cell>
          <cell r="K178">
            <v>408000</v>
          </cell>
          <cell r="L178">
            <v>360000</v>
          </cell>
          <cell r="M178">
            <v>312000</v>
          </cell>
          <cell r="O178" t="str">
            <v>Exportacion Directa1020326</v>
          </cell>
          <cell r="P178" t="str">
            <v>Cerdo</v>
          </cell>
          <cell r="Q178" t="str">
            <v>Exportacion Directa</v>
          </cell>
          <cell r="R178" t="str">
            <v>1020326</v>
          </cell>
          <cell r="S178" t="str">
            <v>GO PpPal Pim@ Cj AP</v>
          </cell>
          <cell r="T178" t="str">
            <v>Paleta</v>
          </cell>
          <cell r="U178" t="str">
            <v>Paleta Pulpa</v>
          </cell>
          <cell r="V178">
            <v>858400</v>
          </cell>
          <cell r="W178">
            <v>679729</v>
          </cell>
          <cell r="X178">
            <v>615492</v>
          </cell>
          <cell r="Y178">
            <v>1018883</v>
          </cell>
          <cell r="Z178">
            <v>897600</v>
          </cell>
          <cell r="AA178">
            <v>740745</v>
          </cell>
        </row>
        <row r="179">
          <cell r="A179" t="str">
            <v>Exportacion Directa1020589</v>
          </cell>
          <cell r="B179" t="str">
            <v>Cerdo</v>
          </cell>
          <cell r="C179" t="str">
            <v>Exportacion Directa</v>
          </cell>
          <cell r="D179" t="str">
            <v>1020589</v>
          </cell>
          <cell r="E179" t="str">
            <v>GO MM Loin S@ Fi Cj 12k AP</v>
          </cell>
          <cell r="F179" t="str">
            <v>Lomo</v>
          </cell>
          <cell r="G179" t="str">
            <v>Lomo MM Loin</v>
          </cell>
          <cell r="H179">
            <v>64100</v>
          </cell>
          <cell r="I179">
            <v>43000</v>
          </cell>
          <cell r="J179">
            <v>100000</v>
          </cell>
          <cell r="K179">
            <v>110000</v>
          </cell>
          <cell r="L179">
            <v>144100</v>
          </cell>
          <cell r="M179">
            <v>156329</v>
          </cell>
          <cell r="O179" t="str">
            <v>Exportacion Directa1020589</v>
          </cell>
          <cell r="P179" t="str">
            <v>Cerdo</v>
          </cell>
          <cell r="Q179" t="str">
            <v>Exportacion Directa</v>
          </cell>
          <cell r="R179" t="str">
            <v>1020589</v>
          </cell>
          <cell r="S179" t="str">
            <v>GO MM Loin S@ Fi Cj 12k AP</v>
          </cell>
          <cell r="T179" t="str">
            <v>Lomo</v>
          </cell>
          <cell r="U179" t="str">
            <v>Lomo MM Loin</v>
          </cell>
          <cell r="V179">
            <v>282040</v>
          </cell>
          <cell r="W179">
            <v>174732</v>
          </cell>
          <cell r="X179">
            <v>416231</v>
          </cell>
          <cell r="Y179">
            <v>439164</v>
          </cell>
          <cell r="Z179">
            <v>561670</v>
          </cell>
          <cell r="AA179">
            <v>552525</v>
          </cell>
        </row>
        <row r="180">
          <cell r="A180" t="str">
            <v>Exportacion Directa1020592</v>
          </cell>
          <cell r="B180" t="str">
            <v>Cerdo</v>
          </cell>
          <cell r="C180" t="str">
            <v>Exportacion Directa</v>
          </cell>
          <cell r="D180" t="str">
            <v>1020592</v>
          </cell>
          <cell r="E180" t="str">
            <v>GO Lom Vet &gt;2.0@ Fi Cj Lom Vet AP</v>
          </cell>
          <cell r="F180" t="str">
            <v>Lomo</v>
          </cell>
          <cell r="G180" t="str">
            <v>Lomo Vetado</v>
          </cell>
          <cell r="H180"/>
          <cell r="I180">
            <v>90000</v>
          </cell>
          <cell r="J180">
            <v>280000</v>
          </cell>
          <cell r="K180">
            <v>280000</v>
          </cell>
          <cell r="L180">
            <v>270000</v>
          </cell>
          <cell r="M180">
            <v>282647</v>
          </cell>
          <cell r="O180" t="str">
            <v>Exportacion Directa1020592</v>
          </cell>
          <cell r="P180" t="str">
            <v>Cerdo</v>
          </cell>
          <cell r="Q180" t="str">
            <v>Exportacion Directa</v>
          </cell>
          <cell r="R180" t="str">
            <v>1020592</v>
          </cell>
          <cell r="S180" t="str">
            <v>GO Lom Vet &gt;2.0@ Fi Cj Lom Vet AP</v>
          </cell>
          <cell r="T180" t="str">
            <v>Lomo</v>
          </cell>
          <cell r="U180" t="str">
            <v>Lomo Vetado</v>
          </cell>
          <cell r="V180"/>
          <cell r="W180">
            <v>178762</v>
          </cell>
          <cell r="X180">
            <v>1095385</v>
          </cell>
          <cell r="Y180">
            <v>1052959</v>
          </cell>
          <cell r="Z180">
            <v>1004342</v>
          </cell>
          <cell r="AA180">
            <v>966406</v>
          </cell>
        </row>
        <row r="181">
          <cell r="A181" t="str">
            <v>Exportacion Directa1020620</v>
          </cell>
          <cell r="B181" t="str">
            <v>Cerdo</v>
          </cell>
          <cell r="C181" t="str">
            <v>Exportacion Directa</v>
          </cell>
          <cell r="D181" t="str">
            <v>1020620</v>
          </cell>
          <cell r="E181" t="str">
            <v>GO Lom Vet &lt;2.0@ Fi Cj AP</v>
          </cell>
          <cell r="F181" t="str">
            <v>Lomo</v>
          </cell>
          <cell r="G181" t="str">
            <v>Lomo Vetado</v>
          </cell>
          <cell r="H181">
            <v>17000</v>
          </cell>
          <cell r="I181">
            <v>3000</v>
          </cell>
          <cell r="J181">
            <v>16000</v>
          </cell>
          <cell r="K181">
            <v>30000</v>
          </cell>
          <cell r="L181">
            <v>40857</v>
          </cell>
          <cell r="M181">
            <v>48000</v>
          </cell>
          <cell r="O181" t="str">
            <v>Exportacion Directa1020620</v>
          </cell>
          <cell r="P181" t="str">
            <v>Cerdo</v>
          </cell>
          <cell r="Q181" t="str">
            <v>Exportacion Directa</v>
          </cell>
          <cell r="R181" t="str">
            <v>1020620</v>
          </cell>
          <cell r="S181" t="str">
            <v>GO Lom Vet &lt;2.0@ Fi Cj AP</v>
          </cell>
          <cell r="T181" t="str">
            <v>Lomo</v>
          </cell>
          <cell r="U181" t="str">
            <v>Lomo Vetado</v>
          </cell>
          <cell r="V181">
            <v>70380</v>
          </cell>
          <cell r="W181">
            <v>11767</v>
          </cell>
          <cell r="X181">
            <v>62416</v>
          </cell>
          <cell r="Y181">
            <v>112375</v>
          </cell>
          <cell r="Z181">
            <v>149276</v>
          </cell>
          <cell r="AA181">
            <v>164118</v>
          </cell>
        </row>
        <row r="182">
          <cell r="A182" t="str">
            <v>Exportacion Directa1020636</v>
          </cell>
          <cell r="B182" t="str">
            <v>Cerdo</v>
          </cell>
          <cell r="C182" t="str">
            <v>Exportacion Directa</v>
          </cell>
          <cell r="D182" t="str">
            <v>1020636</v>
          </cell>
          <cell r="E182" t="str">
            <v>GO File C/cab@ Va Cj 10k AP</v>
          </cell>
          <cell r="F182" t="str">
            <v>Filete</v>
          </cell>
          <cell r="G182" t="str">
            <v>Filete c/Cabeza</v>
          </cell>
          <cell r="H182">
            <v>14500</v>
          </cell>
          <cell r="I182">
            <v>14500</v>
          </cell>
          <cell r="J182">
            <v>15000</v>
          </cell>
          <cell r="K182">
            <v>18000</v>
          </cell>
          <cell r="L182">
            <v>20000</v>
          </cell>
          <cell r="M182">
            <v>30333</v>
          </cell>
          <cell r="O182" t="str">
            <v>Exportacion Directa1020636</v>
          </cell>
          <cell r="P182" t="str">
            <v>Cerdo</v>
          </cell>
          <cell r="Q182" t="str">
            <v>Exportacion Directa</v>
          </cell>
          <cell r="R182" t="str">
            <v>1020636</v>
          </cell>
          <cell r="S182" t="str">
            <v>GO File C/cab@ Va Cj 10k AP</v>
          </cell>
          <cell r="T182" t="str">
            <v>Filete</v>
          </cell>
          <cell r="U182" t="str">
            <v>Filete c/Cabeza</v>
          </cell>
          <cell r="V182">
            <v>73613.435800000007</v>
          </cell>
          <cell r="W182">
            <v>69303</v>
          </cell>
          <cell r="X182">
            <v>71866</v>
          </cell>
          <cell r="Y182">
            <v>83082</v>
          </cell>
          <cell r="Z182">
            <v>89555</v>
          </cell>
          <cell r="AA182">
            <v>127020</v>
          </cell>
        </row>
        <row r="183">
          <cell r="A183" t="str">
            <v>Exportacion Directa1020637</v>
          </cell>
          <cell r="B183" t="str">
            <v>Cerdo</v>
          </cell>
          <cell r="C183" t="str">
            <v>Exportacion Directa</v>
          </cell>
          <cell r="D183" t="str">
            <v>1020637</v>
          </cell>
          <cell r="E183" t="str">
            <v>GO Panc Tec S/cue@ Fi Cj ch AP</v>
          </cell>
          <cell r="F183" t="str">
            <v>Panceta</v>
          </cell>
          <cell r="G183" t="str">
            <v>Panceta s/Cuero</v>
          </cell>
          <cell r="H183">
            <v>193900</v>
          </cell>
          <cell r="I183">
            <v>170000</v>
          </cell>
          <cell r="J183">
            <v>190000</v>
          </cell>
          <cell r="K183">
            <v>270000</v>
          </cell>
          <cell r="L183">
            <v>253474</v>
          </cell>
          <cell r="M183">
            <v>227600</v>
          </cell>
          <cell r="O183" t="str">
            <v>Exportacion Directa1020637</v>
          </cell>
          <cell r="P183" t="str">
            <v>Cerdo</v>
          </cell>
          <cell r="Q183" t="str">
            <v>Exportacion Directa</v>
          </cell>
          <cell r="R183" t="str">
            <v>1020637</v>
          </cell>
          <cell r="S183" t="str">
            <v>GO Panc Tec S/cue@ Fi Cj ch AP</v>
          </cell>
          <cell r="T183" t="str">
            <v>Panceta</v>
          </cell>
          <cell r="U183" t="str">
            <v>Panceta s/Cuero</v>
          </cell>
          <cell r="V183">
            <v>942354</v>
          </cell>
          <cell r="W183">
            <v>841715</v>
          </cell>
          <cell r="X183">
            <v>947734</v>
          </cell>
          <cell r="Y183">
            <v>1311648</v>
          </cell>
          <cell r="Z183">
            <v>1212707</v>
          </cell>
          <cell r="AA183">
            <v>1012527</v>
          </cell>
        </row>
        <row r="184">
          <cell r="A184" t="str">
            <v>Exportacion Directa1020662</v>
          </cell>
          <cell r="B184" t="str">
            <v>Cerdo</v>
          </cell>
          <cell r="C184" t="str">
            <v>Exportacion Directa</v>
          </cell>
          <cell r="D184" t="str">
            <v>1020662</v>
          </cell>
          <cell r="E184" t="str">
            <v>GO Ganso C/asto 3P@ Va Cj t-f AP</v>
          </cell>
          <cell r="F184" t="str">
            <v>Pierna</v>
          </cell>
          <cell r="G184" t="str">
            <v>Pierna Pulpa Fina</v>
          </cell>
          <cell r="H184">
            <v>30000</v>
          </cell>
          <cell r="I184">
            <v>5000</v>
          </cell>
          <cell r="J184">
            <v>4000</v>
          </cell>
          <cell r="K184">
            <v>20000</v>
          </cell>
          <cell r="L184">
            <v>22000</v>
          </cell>
          <cell r="M184">
            <v>31500</v>
          </cell>
          <cell r="O184" t="str">
            <v>Exportacion Directa1020662</v>
          </cell>
          <cell r="P184" t="str">
            <v>Cerdo</v>
          </cell>
          <cell r="Q184" t="str">
            <v>Exportacion Directa</v>
          </cell>
          <cell r="R184" t="str">
            <v>1020662</v>
          </cell>
          <cell r="S184" t="str">
            <v>GO Ganso C/asto 3P@ Va Cj t-f AP</v>
          </cell>
          <cell r="T184" t="str">
            <v>Pierna</v>
          </cell>
          <cell r="U184" t="str">
            <v>Pierna Pulpa Fina</v>
          </cell>
          <cell r="V184">
            <v>139120.984</v>
          </cell>
          <cell r="W184">
            <v>20587</v>
          </cell>
          <cell r="X184">
            <v>16511</v>
          </cell>
          <cell r="Y184">
            <v>79963</v>
          </cell>
          <cell r="Z184">
            <v>84292</v>
          </cell>
          <cell r="AA184">
            <v>114721</v>
          </cell>
        </row>
        <row r="185">
          <cell r="A185" t="str">
            <v>Exportacion Directa1020664</v>
          </cell>
          <cell r="B185" t="str">
            <v>Cerdo</v>
          </cell>
          <cell r="C185" t="str">
            <v>Exportacion Directa</v>
          </cell>
          <cell r="D185" t="str">
            <v>1020664</v>
          </cell>
          <cell r="E185" t="str">
            <v>GO Ganso C/asto C/abas S/g@ Va Cj JP</v>
          </cell>
          <cell r="F185" t="str">
            <v>Pierna</v>
          </cell>
          <cell r="G185" t="str">
            <v>Pierna Pulpa Fina</v>
          </cell>
          <cell r="H185"/>
          <cell r="I185">
            <v>3000</v>
          </cell>
          <cell r="J185">
            <v>3000</v>
          </cell>
          <cell r="K185">
            <v>3000</v>
          </cell>
          <cell r="L185"/>
          <cell r="M185">
            <v>3000</v>
          </cell>
          <cell r="O185" t="str">
            <v>Exportacion Directa1020664</v>
          </cell>
          <cell r="P185" t="str">
            <v>Cerdo</v>
          </cell>
          <cell r="Q185" t="str">
            <v>Exportacion Directa</v>
          </cell>
          <cell r="R185" t="str">
            <v>1020664</v>
          </cell>
          <cell r="S185" t="str">
            <v>GO Ganso C/asto C/abas S/g@ Va Cj JP</v>
          </cell>
          <cell r="T185" t="str">
            <v>Pierna</v>
          </cell>
          <cell r="U185" t="str">
            <v>Pierna Pulpa Fina</v>
          </cell>
          <cell r="V185"/>
          <cell r="W185">
            <v>12115</v>
          </cell>
          <cell r="X185">
            <v>12506</v>
          </cell>
          <cell r="Y185">
            <v>12074</v>
          </cell>
          <cell r="Z185"/>
          <cell r="AA185">
            <v>10926</v>
          </cell>
        </row>
        <row r="186">
          <cell r="A186" t="str">
            <v>Exportacion Directa1020665</v>
          </cell>
          <cell r="B186" t="str">
            <v>Cerdo</v>
          </cell>
          <cell r="C186" t="str">
            <v>Exportacion Directa</v>
          </cell>
          <cell r="D186" t="str">
            <v>1020665</v>
          </cell>
          <cell r="E186" t="str">
            <v>GO Posta Rosada 3P@ Va Cj t-f AP</v>
          </cell>
          <cell r="F186" t="str">
            <v>Pierna</v>
          </cell>
          <cell r="G186" t="str">
            <v>Pierna Pulpa Fina</v>
          </cell>
          <cell r="H186">
            <v>11750</v>
          </cell>
          <cell r="I186">
            <v>4750</v>
          </cell>
          <cell r="J186">
            <v>5000</v>
          </cell>
          <cell r="K186">
            <v>15000</v>
          </cell>
          <cell r="L186">
            <v>17000</v>
          </cell>
          <cell r="M186">
            <v>9100</v>
          </cell>
          <cell r="O186" t="str">
            <v>Exportacion Directa1020665</v>
          </cell>
          <cell r="P186" t="str">
            <v>Cerdo</v>
          </cell>
          <cell r="Q186" t="str">
            <v>Exportacion Directa</v>
          </cell>
          <cell r="R186" t="str">
            <v>1020665</v>
          </cell>
          <cell r="S186" t="str">
            <v>GO Posta Rosada 3P@ Va Cj t-f AP</v>
          </cell>
          <cell r="T186" t="str">
            <v>Pierna</v>
          </cell>
          <cell r="U186" t="str">
            <v>Pierna Pulpa Fina</v>
          </cell>
          <cell r="V186">
            <v>50760</v>
          </cell>
          <cell r="W186">
            <v>19327</v>
          </cell>
          <cell r="X186">
            <v>20397</v>
          </cell>
          <cell r="Y186">
            <v>59295</v>
          </cell>
          <cell r="Z186">
            <v>65444</v>
          </cell>
          <cell r="AA186">
            <v>32792</v>
          </cell>
        </row>
        <row r="187">
          <cell r="A187" t="str">
            <v>Exportacion Directa1020678</v>
          </cell>
          <cell r="B187" t="str">
            <v>Cerdo</v>
          </cell>
          <cell r="C187" t="str">
            <v>Exportacion Directa</v>
          </cell>
          <cell r="D187" t="str">
            <v>1020678</v>
          </cell>
          <cell r="E187" t="str">
            <v>GO Lom Tec@ Va Cj Lom Ctro AP</v>
          </cell>
          <cell r="F187" t="str">
            <v>Lomo</v>
          </cell>
          <cell r="G187" t="str">
            <v>Lomo Centro</v>
          </cell>
          <cell r="H187"/>
          <cell r="I187">
            <v>500</v>
          </cell>
          <cell r="J187"/>
          <cell r="K187">
            <v>500</v>
          </cell>
          <cell r="L187">
            <v>500</v>
          </cell>
          <cell r="M187"/>
          <cell r="O187" t="str">
            <v>Exportacion Directa1020678</v>
          </cell>
          <cell r="P187" t="str">
            <v>Cerdo</v>
          </cell>
          <cell r="Q187" t="str">
            <v>Exportacion Directa</v>
          </cell>
          <cell r="R187" t="str">
            <v>1020678</v>
          </cell>
          <cell r="S187" t="str">
            <v>GO Lom Tec@ Va Cj Lom Ctro AP</v>
          </cell>
          <cell r="T187" t="str">
            <v>Lomo</v>
          </cell>
          <cell r="U187" t="str">
            <v>Lomo Centro</v>
          </cell>
          <cell r="V187"/>
          <cell r="W187">
            <v>2794</v>
          </cell>
          <cell r="X187"/>
          <cell r="Y187">
            <v>1255</v>
          </cell>
          <cell r="Z187">
            <v>2382</v>
          </cell>
          <cell r="AA187"/>
        </row>
        <row r="188">
          <cell r="A188" t="str">
            <v>Exportacion Directa1020681</v>
          </cell>
          <cell r="B188" t="str">
            <v>Cerdo</v>
          </cell>
          <cell r="C188" t="str">
            <v>Exportacion Directa</v>
          </cell>
          <cell r="D188" t="str">
            <v>1020681</v>
          </cell>
          <cell r="E188" t="str">
            <v>GO MM Loin D@ Fi Cj 12k AP</v>
          </cell>
          <cell r="F188" t="str">
            <v>Lomo</v>
          </cell>
          <cell r="G188" t="str">
            <v>Lomo MM Loin</v>
          </cell>
          <cell r="H188">
            <v>14250</v>
          </cell>
          <cell r="I188">
            <v>11250</v>
          </cell>
          <cell r="J188">
            <v>15000</v>
          </cell>
          <cell r="K188">
            <v>22000</v>
          </cell>
          <cell r="L188">
            <v>20545</v>
          </cell>
          <cell r="M188">
            <v>15000</v>
          </cell>
          <cell r="O188" t="str">
            <v>Exportacion Directa1020681</v>
          </cell>
          <cell r="P188" t="str">
            <v>Cerdo</v>
          </cell>
          <cell r="Q188" t="str">
            <v>Exportacion Directa</v>
          </cell>
          <cell r="R188" t="str">
            <v>1020681</v>
          </cell>
          <cell r="S188" t="str">
            <v>GO MM Loin D@ Fi Cj 12k AP</v>
          </cell>
          <cell r="T188" t="str">
            <v>Lomo</v>
          </cell>
          <cell r="U188" t="str">
            <v>Lomo MM Loin</v>
          </cell>
          <cell r="V188">
            <v>62607.7163</v>
          </cell>
          <cell r="W188">
            <v>48073</v>
          </cell>
          <cell r="X188">
            <v>63995</v>
          </cell>
          <cell r="Y188">
            <v>91022</v>
          </cell>
          <cell r="Z188">
            <v>82702</v>
          </cell>
          <cell r="AA188">
            <v>56473</v>
          </cell>
        </row>
        <row r="189">
          <cell r="A189" t="str">
            <v>Exportacion Directa1020704</v>
          </cell>
          <cell r="B189" t="str">
            <v>Cerdo</v>
          </cell>
          <cell r="C189" t="str">
            <v>Exportacion Directa</v>
          </cell>
          <cell r="D189" t="str">
            <v>1020704</v>
          </cell>
          <cell r="E189" t="str">
            <v>GO File N@ Va Cj File AP</v>
          </cell>
          <cell r="F189" t="str">
            <v>Filete</v>
          </cell>
          <cell r="G189" t="str">
            <v>Filete c/Cabeza</v>
          </cell>
          <cell r="H189"/>
          <cell r="I189">
            <v>500</v>
          </cell>
          <cell r="J189">
            <v>500</v>
          </cell>
          <cell r="K189">
            <v>1500</v>
          </cell>
          <cell r="L189">
            <v>1500</v>
          </cell>
          <cell r="M189">
            <v>2000</v>
          </cell>
          <cell r="O189" t="str">
            <v>Exportacion Directa1020704</v>
          </cell>
          <cell r="P189" t="str">
            <v>Cerdo</v>
          </cell>
          <cell r="Q189" t="str">
            <v>Exportacion Directa</v>
          </cell>
          <cell r="R189" t="str">
            <v>1020704</v>
          </cell>
          <cell r="S189" t="str">
            <v>GO File N@ Va Cj File AP</v>
          </cell>
          <cell r="T189" t="str">
            <v>Filete</v>
          </cell>
          <cell r="U189" t="str">
            <v>Filete c/Cabeza</v>
          </cell>
          <cell r="V189"/>
          <cell r="W189">
            <v>2544</v>
          </cell>
          <cell r="X189">
            <v>2594</v>
          </cell>
          <cell r="Y189">
            <v>7446</v>
          </cell>
          <cell r="Z189">
            <v>7399</v>
          </cell>
          <cell r="AA189">
            <v>8913</v>
          </cell>
        </row>
        <row r="190">
          <cell r="A190" t="str">
            <v>Exportacion Directa1020715</v>
          </cell>
          <cell r="B190" t="str">
            <v>Cerdo</v>
          </cell>
          <cell r="C190" t="str">
            <v>Exportacion Directa</v>
          </cell>
          <cell r="D190" t="str">
            <v>1020715</v>
          </cell>
          <cell r="E190" t="str">
            <v>GO Panc Tec C/cue@ Fi Cj Panc AP</v>
          </cell>
          <cell r="F190" t="str">
            <v>Panceta</v>
          </cell>
          <cell r="G190" t="str">
            <v>Panceta c/Cuero</v>
          </cell>
          <cell r="H190">
            <v>3000</v>
          </cell>
          <cell r="I190">
            <v>2000</v>
          </cell>
          <cell r="J190">
            <v>2000</v>
          </cell>
          <cell r="K190">
            <v>4000</v>
          </cell>
          <cell r="L190">
            <v>6000</v>
          </cell>
          <cell r="M190">
            <v>2000</v>
          </cell>
          <cell r="O190" t="str">
            <v>Exportacion Directa1020715</v>
          </cell>
          <cell r="P190" t="str">
            <v>Cerdo</v>
          </cell>
          <cell r="Q190" t="str">
            <v>Exportacion Directa</v>
          </cell>
          <cell r="R190" t="str">
            <v>1020715</v>
          </cell>
          <cell r="S190" t="str">
            <v>GO Panc Tec C/cue@ Fi Cj Panc AP</v>
          </cell>
          <cell r="T190" t="str">
            <v>Panceta</v>
          </cell>
          <cell r="U190" t="str">
            <v>Panceta c/Cuero</v>
          </cell>
          <cell r="V190">
            <v>14885.3922</v>
          </cell>
          <cell r="W190">
            <v>9329</v>
          </cell>
          <cell r="X190">
            <v>9271</v>
          </cell>
          <cell r="Y190">
            <v>18229</v>
          </cell>
          <cell r="Z190">
            <v>26806</v>
          </cell>
          <cell r="AA190">
            <v>8421</v>
          </cell>
        </row>
        <row r="191">
          <cell r="A191" t="str">
            <v>Exportacion Directa1020731</v>
          </cell>
          <cell r="B191" t="str">
            <v>Cerdo</v>
          </cell>
          <cell r="C191" t="str">
            <v>Exportacion Directa</v>
          </cell>
          <cell r="D191" t="str">
            <v>1020731</v>
          </cell>
          <cell r="E191" t="str">
            <v>GO Panc S/tec/cue I@ Fi Cj Panc 4s AP</v>
          </cell>
          <cell r="F191" t="str">
            <v>Panceta</v>
          </cell>
          <cell r="G191" t="str">
            <v>Panceta s/Cuero</v>
          </cell>
          <cell r="H191">
            <v>18000</v>
          </cell>
          <cell r="I191">
            <v>6000</v>
          </cell>
          <cell r="J191">
            <v>10000</v>
          </cell>
          <cell r="K191">
            <v>20000</v>
          </cell>
          <cell r="L191">
            <v>18000</v>
          </cell>
          <cell r="M191">
            <v>22000</v>
          </cell>
          <cell r="O191" t="str">
            <v>Exportacion Directa1020731</v>
          </cell>
          <cell r="P191" t="str">
            <v>Cerdo</v>
          </cell>
          <cell r="Q191" t="str">
            <v>Exportacion Directa</v>
          </cell>
          <cell r="R191" t="str">
            <v>1020731</v>
          </cell>
          <cell r="S191" t="str">
            <v>GO Panc S/tec/cue I@ Fi Cj Panc 4s AP</v>
          </cell>
          <cell r="T191" t="str">
            <v>Panceta</v>
          </cell>
          <cell r="U191" t="str">
            <v>Panceta s/Cuero</v>
          </cell>
          <cell r="V191">
            <v>99485.017300000007</v>
          </cell>
          <cell r="W191">
            <v>31124</v>
          </cell>
          <cell r="X191">
            <v>51494</v>
          </cell>
          <cell r="Y191">
            <v>100776</v>
          </cell>
          <cell r="Z191">
            <v>87382</v>
          </cell>
          <cell r="AA191">
            <v>101929</v>
          </cell>
        </row>
        <row r="192">
          <cell r="A192" t="str">
            <v>Exportacion Directa1020758</v>
          </cell>
          <cell r="B192" t="str">
            <v>Cerdo</v>
          </cell>
          <cell r="C192" t="str">
            <v>Exportacion Directa</v>
          </cell>
          <cell r="D192" t="str">
            <v>1020758</v>
          </cell>
          <cell r="E192" t="str">
            <v>GO Lom Vet S/g@ Va Cj ch AP</v>
          </cell>
          <cell r="F192" t="str">
            <v>Lomo</v>
          </cell>
          <cell r="G192" t="str">
            <v>Lomo Vetado</v>
          </cell>
          <cell r="H192">
            <v>8000</v>
          </cell>
          <cell r="I192">
            <v>5000</v>
          </cell>
          <cell r="J192">
            <v>8000</v>
          </cell>
          <cell r="K192">
            <v>12000</v>
          </cell>
          <cell r="L192">
            <v>6000</v>
          </cell>
          <cell r="M192">
            <v>3000</v>
          </cell>
          <cell r="O192" t="str">
            <v>Exportacion Directa1020758</v>
          </cell>
          <cell r="P192" t="str">
            <v>Cerdo</v>
          </cell>
          <cell r="Q192" t="str">
            <v>Exportacion Directa</v>
          </cell>
          <cell r="R192" t="str">
            <v>1020758</v>
          </cell>
          <cell r="S192" t="str">
            <v>GO Lom Vet S/g@ Va Cj ch AP</v>
          </cell>
          <cell r="T192" t="str">
            <v>Lomo</v>
          </cell>
          <cell r="U192" t="str">
            <v>Lomo Vetado</v>
          </cell>
          <cell r="V192">
            <v>35636.778700000003</v>
          </cell>
          <cell r="W192">
            <v>20917</v>
          </cell>
          <cell r="X192">
            <v>33318</v>
          </cell>
          <cell r="Y192">
            <v>48487</v>
          </cell>
          <cell r="Z192">
            <v>23733</v>
          </cell>
          <cell r="AA192">
            <v>11179</v>
          </cell>
        </row>
        <row r="193">
          <cell r="A193" t="str">
            <v>Exportacion Directa1020774</v>
          </cell>
          <cell r="B193" t="str">
            <v>Cerdo</v>
          </cell>
          <cell r="C193" t="str">
            <v>Exportacion Directa</v>
          </cell>
          <cell r="D193" t="str">
            <v>1020774</v>
          </cell>
          <cell r="E193" t="str">
            <v>GO Malaya Japon@ Va Cj JP</v>
          </cell>
          <cell r="F193" t="str">
            <v>Prolijado</v>
          </cell>
          <cell r="G193" t="str">
            <v>Prolijado Malaya</v>
          </cell>
          <cell r="H193">
            <v>6500</v>
          </cell>
          <cell r="I193">
            <v>9000</v>
          </cell>
          <cell r="J193">
            <v>7000</v>
          </cell>
          <cell r="K193">
            <v>7000</v>
          </cell>
          <cell r="L193">
            <v>12778</v>
          </cell>
          <cell r="M193">
            <v>13810</v>
          </cell>
          <cell r="O193" t="str">
            <v>Exportacion Directa1020774</v>
          </cell>
          <cell r="P193" t="str">
            <v>Cerdo</v>
          </cell>
          <cell r="Q193" t="str">
            <v>Exportacion Directa</v>
          </cell>
          <cell r="R193" t="str">
            <v>1020774</v>
          </cell>
          <cell r="S193" t="str">
            <v>GO Malaya Japon@ Va Cj JP</v>
          </cell>
          <cell r="T193" t="str">
            <v>Prolijado</v>
          </cell>
          <cell r="U193" t="str">
            <v>Prolijado Malaya</v>
          </cell>
          <cell r="V193">
            <v>39650</v>
          </cell>
          <cell r="W193">
            <v>55209</v>
          </cell>
          <cell r="X193">
            <v>42742</v>
          </cell>
          <cell r="Y193">
            <v>42209</v>
          </cell>
          <cell r="Z193">
            <v>76257</v>
          </cell>
          <cell r="AA193">
            <v>77987</v>
          </cell>
        </row>
        <row r="194">
          <cell r="A194" t="str">
            <v>Exportacion Directa1020802</v>
          </cell>
          <cell r="B194" t="str">
            <v>Cerdo</v>
          </cell>
          <cell r="C194" t="str">
            <v>Exportacion Directa</v>
          </cell>
          <cell r="D194" t="str">
            <v>1020802</v>
          </cell>
          <cell r="E194" t="str">
            <v>GO Panc S/tec N@ Fi Cj 20k AP</v>
          </cell>
          <cell r="F194" t="str">
            <v>Panceta</v>
          </cell>
          <cell r="G194" t="str">
            <v>Panceta s/Cuero</v>
          </cell>
          <cell r="H194">
            <v>103000</v>
          </cell>
          <cell r="I194">
            <v>47000</v>
          </cell>
          <cell r="J194">
            <v>95000</v>
          </cell>
          <cell r="K194">
            <v>130000</v>
          </cell>
          <cell r="L194">
            <v>92821</v>
          </cell>
          <cell r="M194">
            <v>95563</v>
          </cell>
          <cell r="O194" t="str">
            <v>Exportacion Directa1020802</v>
          </cell>
          <cell r="P194" t="str">
            <v>Cerdo</v>
          </cell>
          <cell r="Q194" t="str">
            <v>Exportacion Directa</v>
          </cell>
          <cell r="R194" t="str">
            <v>1020802</v>
          </cell>
          <cell r="S194" t="str">
            <v>GO Panc S/tec N@ Fi Cj 20k AP</v>
          </cell>
          <cell r="T194" t="str">
            <v>Panceta</v>
          </cell>
          <cell r="U194" t="str">
            <v>Panceta s/Cuero</v>
          </cell>
          <cell r="V194">
            <v>518029.43709999998</v>
          </cell>
          <cell r="W194">
            <v>220820</v>
          </cell>
          <cell r="X194">
            <v>445408</v>
          </cell>
          <cell r="Y194">
            <v>591029</v>
          </cell>
          <cell r="Z194">
            <v>410262</v>
          </cell>
          <cell r="AA194">
            <v>398697</v>
          </cell>
        </row>
        <row r="195">
          <cell r="A195" t="str">
            <v>Exportacion Directa1020810</v>
          </cell>
          <cell r="B195" t="str">
            <v>Cerdo</v>
          </cell>
          <cell r="C195" t="str">
            <v>Exportacion Directa</v>
          </cell>
          <cell r="D195" t="str">
            <v>1020810</v>
          </cell>
          <cell r="E195" t="str">
            <v>GO Recto@ Cj File AP</v>
          </cell>
          <cell r="F195" t="str">
            <v>Subprod</v>
          </cell>
          <cell r="G195" t="str">
            <v>Subprod Tripa</v>
          </cell>
          <cell r="H195">
            <v>5000</v>
          </cell>
          <cell r="I195">
            <v>6000</v>
          </cell>
          <cell r="J195">
            <v>2500</v>
          </cell>
          <cell r="K195"/>
          <cell r="L195">
            <v>6000</v>
          </cell>
          <cell r="M195">
            <v>1500</v>
          </cell>
          <cell r="O195" t="str">
            <v>Exportacion Directa1020810</v>
          </cell>
          <cell r="P195" t="str">
            <v>Cerdo</v>
          </cell>
          <cell r="Q195" t="str">
            <v>Exportacion Directa</v>
          </cell>
          <cell r="R195" t="str">
            <v>1020810</v>
          </cell>
          <cell r="S195" t="str">
            <v>GO Recto@ Cj File AP</v>
          </cell>
          <cell r="T195" t="str">
            <v>Subprod</v>
          </cell>
          <cell r="U195" t="str">
            <v>Subprod Tripa</v>
          </cell>
          <cell r="V195">
            <v>17987.201300000001</v>
          </cell>
          <cell r="W195">
            <v>21135</v>
          </cell>
          <cell r="X195">
            <v>8690</v>
          </cell>
          <cell r="Y195"/>
          <cell r="Z195">
            <v>20254</v>
          </cell>
          <cell r="AA195">
            <v>4841</v>
          </cell>
        </row>
        <row r="196">
          <cell r="A196" t="str">
            <v>Exportacion Directa1020914</v>
          </cell>
          <cell r="B196" t="str">
            <v>Cerdo</v>
          </cell>
          <cell r="C196" t="str">
            <v>Exportacion Directa</v>
          </cell>
          <cell r="D196" t="str">
            <v>1020914</v>
          </cell>
          <cell r="E196" t="str">
            <v>GO Panc Lam 2.5mm@ Cj ch AP</v>
          </cell>
          <cell r="F196" t="str">
            <v>Panceta</v>
          </cell>
          <cell r="G196" t="str">
            <v>Panceta c/Cuero</v>
          </cell>
          <cell r="H196">
            <v>3000</v>
          </cell>
          <cell r="I196">
            <v>0</v>
          </cell>
          <cell r="J196">
            <v>3000</v>
          </cell>
          <cell r="K196">
            <v>15000</v>
          </cell>
          <cell r="L196">
            <v>10000</v>
          </cell>
          <cell r="M196">
            <v>12786</v>
          </cell>
          <cell r="O196" t="str">
            <v>Exportacion Directa1020914</v>
          </cell>
          <cell r="P196" t="str">
            <v>Cerdo</v>
          </cell>
          <cell r="Q196" t="str">
            <v>Exportacion Directa</v>
          </cell>
          <cell r="R196" t="str">
            <v>1020914</v>
          </cell>
          <cell r="S196" t="str">
            <v>GO Panc Lam 2.5mm@ Cj ch AP</v>
          </cell>
          <cell r="T196" t="str">
            <v>Panceta</v>
          </cell>
          <cell r="U196" t="str">
            <v>Panceta c/Cuero</v>
          </cell>
          <cell r="V196">
            <v>17508.131799999999</v>
          </cell>
          <cell r="W196">
            <v>0</v>
          </cell>
          <cell r="X196">
            <v>17286</v>
          </cell>
          <cell r="Y196">
            <v>84027</v>
          </cell>
          <cell r="Z196">
            <v>55306</v>
          </cell>
          <cell r="AA196">
            <v>65820</v>
          </cell>
        </row>
        <row r="197">
          <cell r="A197" t="str">
            <v>Exportacion Directa1020990</v>
          </cell>
          <cell r="B197" t="str">
            <v>Cerdo</v>
          </cell>
          <cell r="C197" t="str">
            <v>Exportacion Directa</v>
          </cell>
          <cell r="D197" t="str">
            <v>1020990</v>
          </cell>
          <cell r="E197" t="str">
            <v>GO Ganso S/g S/abst DA@ Cj 12k AP</v>
          </cell>
          <cell r="F197" t="str">
            <v>Pierna</v>
          </cell>
          <cell r="G197" t="str">
            <v>Pierna Pulpa Fina</v>
          </cell>
          <cell r="H197">
            <v>8750</v>
          </cell>
          <cell r="I197">
            <v>4750</v>
          </cell>
          <cell r="J197">
            <v>7000</v>
          </cell>
          <cell r="K197">
            <v>13000</v>
          </cell>
          <cell r="L197">
            <v>13000</v>
          </cell>
          <cell r="M197">
            <v>8000</v>
          </cell>
          <cell r="O197" t="str">
            <v>Exportacion Directa1020990</v>
          </cell>
          <cell r="P197" t="str">
            <v>Cerdo</v>
          </cell>
          <cell r="Q197" t="str">
            <v>Exportacion Directa</v>
          </cell>
          <cell r="R197" t="str">
            <v>1020990</v>
          </cell>
          <cell r="S197" t="str">
            <v>GO Ganso S/g S/abst DA@ Cj 12k AP</v>
          </cell>
          <cell r="T197" t="str">
            <v>Pierna</v>
          </cell>
          <cell r="U197" t="str">
            <v>Pierna Pulpa Fina</v>
          </cell>
          <cell r="V197">
            <v>36645.971899999997</v>
          </cell>
          <cell r="W197">
            <v>19327</v>
          </cell>
          <cell r="X197">
            <v>28598</v>
          </cell>
          <cell r="Y197">
            <v>51483</v>
          </cell>
          <cell r="Z197">
            <v>50072</v>
          </cell>
          <cell r="AA197">
            <v>28828</v>
          </cell>
        </row>
        <row r="198">
          <cell r="A198" t="str">
            <v>Exportacion Directa1020991</v>
          </cell>
          <cell r="B198" t="str">
            <v>Cerdo</v>
          </cell>
          <cell r="C198" t="str">
            <v>Exportacion Directa</v>
          </cell>
          <cell r="D198" t="str">
            <v>1020991</v>
          </cell>
          <cell r="E198" t="str">
            <v>GO Asiento C/g DA@ Cj 12k JP</v>
          </cell>
          <cell r="F198" t="str">
            <v>Pierna</v>
          </cell>
          <cell r="G198" t="str">
            <v>Pierna Pulpa Fina</v>
          </cell>
          <cell r="H198">
            <v>1250</v>
          </cell>
          <cell r="I198">
            <v>5000</v>
          </cell>
          <cell r="J198">
            <v>5000</v>
          </cell>
          <cell r="K198">
            <v>60000</v>
          </cell>
          <cell r="L198">
            <v>10000</v>
          </cell>
          <cell r="M198">
            <v>10000</v>
          </cell>
          <cell r="O198" t="str">
            <v>Exportacion Directa1020991</v>
          </cell>
          <cell r="P198" t="str">
            <v>Cerdo</v>
          </cell>
          <cell r="Q198" t="str">
            <v>Exportacion Directa</v>
          </cell>
          <cell r="R198" t="str">
            <v>1020991</v>
          </cell>
          <cell r="S198" t="str">
            <v>GO Asiento C/g DA@ Cj 12k JP</v>
          </cell>
          <cell r="T198" t="str">
            <v>Pierna</v>
          </cell>
          <cell r="U198" t="str">
            <v>Pierna Pulpa Fina</v>
          </cell>
          <cell r="V198">
            <v>5233.6656000000003</v>
          </cell>
          <cell r="W198">
            <v>20319</v>
          </cell>
          <cell r="X198">
            <v>20402</v>
          </cell>
          <cell r="Y198">
            <v>237274</v>
          </cell>
          <cell r="Z198">
            <v>38437</v>
          </cell>
          <cell r="AA198">
            <v>36035</v>
          </cell>
        </row>
        <row r="199">
          <cell r="A199" t="str">
            <v>Exportacion Directa1021136</v>
          </cell>
          <cell r="B199" t="str">
            <v>Cerdo</v>
          </cell>
          <cell r="C199" t="str">
            <v>Exportacion Directa</v>
          </cell>
          <cell r="D199" t="str">
            <v>1021136</v>
          </cell>
          <cell r="E199" t="str">
            <v>GO Tráquea@ Cj Lom Ctro AP</v>
          </cell>
          <cell r="F199" t="str">
            <v>Subprod</v>
          </cell>
          <cell r="G199" t="str">
            <v>Subprod Visceras</v>
          </cell>
          <cell r="H199">
            <v>5000</v>
          </cell>
          <cell r="I199">
            <v>3000</v>
          </cell>
          <cell r="J199">
            <v>4000</v>
          </cell>
          <cell r="K199">
            <v>5000</v>
          </cell>
          <cell r="L199">
            <v>7200</v>
          </cell>
          <cell r="M199">
            <v>8000</v>
          </cell>
          <cell r="O199" t="str">
            <v>Exportacion Directa1021136</v>
          </cell>
          <cell r="P199" t="str">
            <v>Cerdo</v>
          </cell>
          <cell r="Q199" t="str">
            <v>Exportacion Directa</v>
          </cell>
          <cell r="R199" t="str">
            <v>1021136</v>
          </cell>
          <cell r="S199" t="str">
            <v>GO Tráquea@ Cj Lom Ctro AP</v>
          </cell>
          <cell r="T199" t="str">
            <v>Subprod</v>
          </cell>
          <cell r="U199" t="str">
            <v>Subprod Visceras</v>
          </cell>
          <cell r="V199">
            <v>14419.3794</v>
          </cell>
          <cell r="W199">
            <v>6405</v>
          </cell>
          <cell r="X199">
            <v>11558</v>
          </cell>
          <cell r="Y199">
            <v>13732</v>
          </cell>
          <cell r="Z199">
            <v>20064</v>
          </cell>
          <cell r="AA199">
            <v>19670</v>
          </cell>
        </row>
        <row r="200">
          <cell r="A200" t="str">
            <v>Exportacion Directa1021533</v>
          </cell>
          <cell r="B200" t="str">
            <v>Cerdo</v>
          </cell>
          <cell r="C200" t="str">
            <v>Exportacion Directa</v>
          </cell>
          <cell r="D200" t="str">
            <v>1021533</v>
          </cell>
          <cell r="E200" t="str">
            <v>GO Panc Mit@ Va Cj 20k AP</v>
          </cell>
          <cell r="F200" t="str">
            <v>Panceta</v>
          </cell>
          <cell r="G200" t="str">
            <v>Panceta s/Cuero</v>
          </cell>
          <cell r="H200">
            <v>2000</v>
          </cell>
          <cell r="I200">
            <v>18000</v>
          </cell>
          <cell r="J200">
            <v>15000</v>
          </cell>
          <cell r="K200">
            <v>10000</v>
          </cell>
          <cell r="L200">
            <v>15400</v>
          </cell>
          <cell r="M200">
            <v>3000</v>
          </cell>
          <cell r="O200" t="str">
            <v>Exportacion Directa1021533</v>
          </cell>
          <cell r="P200" t="str">
            <v>Cerdo</v>
          </cell>
          <cell r="Q200" t="str">
            <v>Exportacion Directa</v>
          </cell>
          <cell r="R200" t="str">
            <v>1021533</v>
          </cell>
          <cell r="S200" t="str">
            <v>GO Panc Mit@ Va Cj 20k AP</v>
          </cell>
          <cell r="T200" t="str">
            <v>Panceta</v>
          </cell>
          <cell r="U200" t="str">
            <v>Panceta s/Cuero</v>
          </cell>
          <cell r="V200">
            <v>10613.774600000001</v>
          </cell>
          <cell r="W200">
            <v>93240</v>
          </cell>
          <cell r="X200">
            <v>77606</v>
          </cell>
          <cell r="Y200">
            <v>49787</v>
          </cell>
          <cell r="Z200">
            <v>75485</v>
          </cell>
          <cell r="AA200">
            <v>14015</v>
          </cell>
        </row>
        <row r="201">
          <cell r="A201" t="str">
            <v>Exportacion Directa1021603</v>
          </cell>
          <cell r="B201" t="str">
            <v>Cerdo</v>
          </cell>
          <cell r="C201" t="str">
            <v>Exportacion Directa</v>
          </cell>
          <cell r="D201" t="str">
            <v>1021603</v>
          </cell>
          <cell r="E201" t="str">
            <v>GO MM Loin L (MC4-5)@ Fi Cj ch JP</v>
          </cell>
          <cell r="F201" t="str">
            <v>Lomo</v>
          </cell>
          <cell r="G201" t="str">
            <v>Lomo MM Loin</v>
          </cell>
          <cell r="H201">
            <v>5000</v>
          </cell>
          <cell r="I201">
            <v>3000</v>
          </cell>
          <cell r="J201">
            <v>4000</v>
          </cell>
          <cell r="K201">
            <v>5000</v>
          </cell>
          <cell r="L201">
            <v>7000</v>
          </cell>
          <cell r="M201">
            <v>5500</v>
          </cell>
          <cell r="O201" t="str">
            <v>Exportacion Directa1021603</v>
          </cell>
          <cell r="P201" t="str">
            <v>Cerdo</v>
          </cell>
          <cell r="Q201" t="str">
            <v>Exportacion Directa</v>
          </cell>
          <cell r="R201" t="str">
            <v>1021603</v>
          </cell>
          <cell r="S201" t="str">
            <v>GO MM Loin L (MC4-5)@ Fi Cj ch JP</v>
          </cell>
          <cell r="T201" t="str">
            <v>Lomo</v>
          </cell>
          <cell r="U201" t="str">
            <v>Lomo MM Loin</v>
          </cell>
          <cell r="V201">
            <v>22909.446899999999</v>
          </cell>
          <cell r="W201">
            <v>12940</v>
          </cell>
          <cell r="X201">
            <v>17412</v>
          </cell>
          <cell r="Y201">
            <v>20869</v>
          </cell>
          <cell r="Z201">
            <v>27713</v>
          </cell>
          <cell r="AA201">
            <v>20622</v>
          </cell>
        </row>
        <row r="202">
          <cell r="A202" t="str">
            <v>Exportacion Directa1021609</v>
          </cell>
          <cell r="B202" t="str">
            <v>Cerdo</v>
          </cell>
          <cell r="C202" t="str">
            <v>Exportacion Directa</v>
          </cell>
          <cell r="D202" t="str">
            <v>1021609</v>
          </cell>
          <cell r="E202" t="str">
            <v>GO File C/cab@ IWP Cj 10k SC</v>
          </cell>
          <cell r="F202" t="str">
            <v>Filete</v>
          </cell>
          <cell r="G202" t="str">
            <v>Filete c/Cabeza</v>
          </cell>
          <cell r="H202">
            <v>16500</v>
          </cell>
          <cell r="I202">
            <v>6500</v>
          </cell>
          <cell r="J202">
            <v>3000</v>
          </cell>
          <cell r="K202">
            <v>5000</v>
          </cell>
          <cell r="L202"/>
          <cell r="M202"/>
          <cell r="O202" t="str">
            <v>Exportacion Directa1021609</v>
          </cell>
          <cell r="P202" t="str">
            <v>Cerdo</v>
          </cell>
          <cell r="Q202" t="str">
            <v>Exportacion Directa</v>
          </cell>
          <cell r="R202" t="str">
            <v>1021609</v>
          </cell>
          <cell r="S202" t="str">
            <v>GO File C/cab@ IWP Cj 10k SC</v>
          </cell>
          <cell r="T202" t="str">
            <v>Filete</v>
          </cell>
          <cell r="U202" t="str">
            <v>Filete c/Cabeza</v>
          </cell>
          <cell r="V202">
            <v>84517.474000000002</v>
          </cell>
          <cell r="W202">
            <v>31345</v>
          </cell>
          <cell r="X202">
            <v>14512</v>
          </cell>
          <cell r="Y202">
            <v>24062</v>
          </cell>
          <cell r="Z202"/>
          <cell r="AA202"/>
        </row>
        <row r="203">
          <cell r="A203" t="str">
            <v>Exportacion Directa1022282</v>
          </cell>
          <cell r="B203" t="str">
            <v>Cerdo</v>
          </cell>
          <cell r="C203" t="str">
            <v>Exportacion Directa</v>
          </cell>
          <cell r="D203" t="str">
            <v>1022282</v>
          </cell>
          <cell r="E203" t="str">
            <v>GO Malaya Japon@ Vp Fi Cj 20k AP</v>
          </cell>
          <cell r="F203" t="str">
            <v>Prolijado</v>
          </cell>
          <cell r="G203" t="str">
            <v>Prolijado Malaya</v>
          </cell>
          <cell r="H203"/>
          <cell r="I203"/>
          <cell r="J203"/>
          <cell r="K203">
            <v>3000</v>
          </cell>
          <cell r="L203">
            <v>2000</v>
          </cell>
          <cell r="M203"/>
          <cell r="O203" t="str">
            <v>Exportacion Directa1022282</v>
          </cell>
          <cell r="P203" t="str">
            <v>Cerdo</v>
          </cell>
          <cell r="Q203" t="str">
            <v>Exportacion Directa</v>
          </cell>
          <cell r="R203" t="str">
            <v>1022282</v>
          </cell>
          <cell r="S203" t="str">
            <v>GO Malaya Japon@ Vp Fi Cj 20k AP</v>
          </cell>
          <cell r="T203" t="str">
            <v>Prolijado</v>
          </cell>
          <cell r="U203" t="str">
            <v>Prolijado Malaya</v>
          </cell>
          <cell r="V203"/>
          <cell r="W203"/>
          <cell r="X203"/>
          <cell r="Y203">
            <v>18786</v>
          </cell>
          <cell r="Z203">
            <v>12524</v>
          </cell>
          <cell r="AA203"/>
        </row>
        <row r="204">
          <cell r="A204" t="str">
            <v>Exportacion Directa1022313</v>
          </cell>
          <cell r="B204" t="str">
            <v>Cerdo</v>
          </cell>
          <cell r="C204" t="str">
            <v>Exportacion Directa</v>
          </cell>
          <cell r="D204" t="str">
            <v>1022313</v>
          </cell>
          <cell r="E204" t="str">
            <v>GO CC Loin T@ Fi Cj AP</v>
          </cell>
          <cell r="F204" t="str">
            <v>Lomo</v>
          </cell>
          <cell r="G204" t="str">
            <v>Lomo CC Loin</v>
          </cell>
          <cell r="H204">
            <v>17750</v>
          </cell>
          <cell r="I204">
            <v>9000</v>
          </cell>
          <cell r="J204">
            <v>8000</v>
          </cell>
          <cell r="K204">
            <v>7000</v>
          </cell>
          <cell r="L204">
            <v>7000</v>
          </cell>
          <cell r="M204">
            <v>10000</v>
          </cell>
          <cell r="O204" t="str">
            <v>Exportacion Directa1022313</v>
          </cell>
          <cell r="P204" t="str">
            <v>Cerdo</v>
          </cell>
          <cell r="Q204" t="str">
            <v>Exportacion Directa</v>
          </cell>
          <cell r="R204" t="str">
            <v>1022313</v>
          </cell>
          <cell r="S204" t="str">
            <v>GO CC Loin T@ Fi Cj AP</v>
          </cell>
          <cell r="T204" t="str">
            <v>Lomo</v>
          </cell>
          <cell r="U204" t="str">
            <v>Lomo CC Loin</v>
          </cell>
          <cell r="V204">
            <v>81701.657600000006</v>
          </cell>
          <cell r="W204">
            <v>39113</v>
          </cell>
          <cell r="X204">
            <v>34968</v>
          </cell>
          <cell r="Y204">
            <v>28931</v>
          </cell>
          <cell r="Z204">
            <v>26913</v>
          </cell>
          <cell r="AA204">
            <v>37649</v>
          </cell>
        </row>
        <row r="205">
          <cell r="A205" t="str">
            <v>Exportacion Directa1022326</v>
          </cell>
          <cell r="B205" t="str">
            <v>Cerdo</v>
          </cell>
          <cell r="C205" t="str">
            <v>Exportacion Directa</v>
          </cell>
          <cell r="D205" t="str">
            <v>1022326</v>
          </cell>
          <cell r="E205" t="str">
            <v>GO CC Loin L (S/T)@ Fi Cj AP</v>
          </cell>
          <cell r="F205" t="str">
            <v>Lomo</v>
          </cell>
          <cell r="G205" t="str">
            <v>Lomo CC Loin</v>
          </cell>
          <cell r="H205">
            <v>35000</v>
          </cell>
          <cell r="I205">
            <v>23000</v>
          </cell>
          <cell r="J205">
            <v>45000</v>
          </cell>
          <cell r="K205">
            <v>30000</v>
          </cell>
          <cell r="L205">
            <v>41343</v>
          </cell>
          <cell r="M205">
            <v>41667</v>
          </cell>
          <cell r="O205" t="str">
            <v>Exportacion Directa1022326</v>
          </cell>
          <cell r="P205" t="str">
            <v>Cerdo</v>
          </cell>
          <cell r="Q205" t="str">
            <v>Exportacion Directa</v>
          </cell>
          <cell r="R205" t="str">
            <v>1022326</v>
          </cell>
          <cell r="S205" t="str">
            <v>GO CC Loin L (S/T)@ Fi Cj AP</v>
          </cell>
          <cell r="T205" t="str">
            <v>Lomo</v>
          </cell>
          <cell r="U205" t="str">
            <v>Lomo CC Loin</v>
          </cell>
          <cell r="V205">
            <v>153650</v>
          </cell>
          <cell r="W205">
            <v>87386</v>
          </cell>
          <cell r="X205">
            <v>155377</v>
          </cell>
          <cell r="Y205">
            <v>103333</v>
          </cell>
          <cell r="Z205">
            <v>141388</v>
          </cell>
          <cell r="AA205">
            <v>134460</v>
          </cell>
        </row>
        <row r="206">
          <cell r="A206" t="str">
            <v>Exportacion Directa1022370</v>
          </cell>
          <cell r="B206" t="str">
            <v>Cerdo</v>
          </cell>
          <cell r="C206" t="str">
            <v>Exportacion Directa</v>
          </cell>
          <cell r="D206" t="str">
            <v>1022370</v>
          </cell>
          <cell r="E206" t="str">
            <v>GO MM Loin LL (29-32 VP)@ Bo Cj AP</v>
          </cell>
          <cell r="F206" t="str">
            <v>Lomo</v>
          </cell>
          <cell r="G206" t="str">
            <v>Lomo MM Loin</v>
          </cell>
          <cell r="H206">
            <v>30000</v>
          </cell>
          <cell r="I206">
            <v>13000</v>
          </cell>
          <cell r="J206">
            <v>18000</v>
          </cell>
          <cell r="K206">
            <v>35000</v>
          </cell>
          <cell r="L206">
            <v>30000</v>
          </cell>
          <cell r="M206">
            <v>42500</v>
          </cell>
          <cell r="O206" t="str">
            <v>Exportacion Directa1022370</v>
          </cell>
          <cell r="P206" t="str">
            <v>Cerdo</v>
          </cell>
          <cell r="Q206" t="str">
            <v>Exportacion Directa</v>
          </cell>
          <cell r="R206" t="str">
            <v>1022370</v>
          </cell>
          <cell r="S206" t="str">
            <v>GO MM Loin LL (29-32 VP)@ Bo Cj AP</v>
          </cell>
          <cell r="T206" t="str">
            <v>Lomo</v>
          </cell>
          <cell r="U206" t="str">
            <v>Lomo MM Loin</v>
          </cell>
          <cell r="V206">
            <v>126000</v>
          </cell>
          <cell r="W206">
            <v>52063</v>
          </cell>
          <cell r="X206">
            <v>72039</v>
          </cell>
          <cell r="Y206">
            <v>136267</v>
          </cell>
          <cell r="Z206">
            <v>110039</v>
          </cell>
          <cell r="AA206">
            <v>151844</v>
          </cell>
        </row>
        <row r="207">
          <cell r="A207" t="str">
            <v>Exportacion Directa1022371</v>
          </cell>
          <cell r="B207" t="str">
            <v>Cerdo</v>
          </cell>
          <cell r="C207" t="str">
            <v>Exportacion Directa</v>
          </cell>
          <cell r="D207" t="str">
            <v>1022371</v>
          </cell>
          <cell r="E207" t="str">
            <v>GO Panc S/tec SP@ Fi Cj AP</v>
          </cell>
          <cell r="F207" t="str">
            <v>Panceta</v>
          </cell>
          <cell r="G207" t="str">
            <v>Panceta s/Cuero</v>
          </cell>
          <cell r="H207">
            <v>15000</v>
          </cell>
          <cell r="I207">
            <v>30000</v>
          </cell>
          <cell r="J207">
            <v>25000</v>
          </cell>
          <cell r="K207">
            <v>22000</v>
          </cell>
          <cell r="L207">
            <v>12000</v>
          </cell>
          <cell r="M207">
            <v>24700</v>
          </cell>
          <cell r="O207" t="str">
            <v>Exportacion Directa1022371</v>
          </cell>
          <cell r="P207" t="str">
            <v>Cerdo</v>
          </cell>
          <cell r="Q207" t="str">
            <v>Exportacion Directa</v>
          </cell>
          <cell r="R207" t="str">
            <v>1022371</v>
          </cell>
          <cell r="S207" t="str">
            <v>GO Panc S/tec SP@ Fi Cj AP</v>
          </cell>
          <cell r="T207" t="str">
            <v>Panceta</v>
          </cell>
          <cell r="U207" t="str">
            <v>Panceta s/Cuero</v>
          </cell>
          <cell r="V207">
            <v>73701.857300000003</v>
          </cell>
          <cell r="W207">
            <v>106487</v>
          </cell>
          <cell r="X207">
            <v>116125</v>
          </cell>
          <cell r="Y207">
            <v>98645</v>
          </cell>
          <cell r="Z207">
            <v>53380</v>
          </cell>
          <cell r="AA207">
            <v>103051</v>
          </cell>
        </row>
        <row r="208">
          <cell r="A208" t="str">
            <v>Exportacion Directa1022472</v>
          </cell>
          <cell r="B208" t="str">
            <v>Cerdo</v>
          </cell>
          <cell r="C208" t="str">
            <v>Exportacion Directa</v>
          </cell>
          <cell r="D208" t="str">
            <v>1022472</v>
          </cell>
          <cell r="E208" t="str">
            <v>GO Lom Ctro S/Tecla(OY)Mit@ Cj Tf 20k AP</v>
          </cell>
          <cell r="F208" t="str">
            <v>Lomo</v>
          </cell>
          <cell r="G208" t="str">
            <v>Lomo Centro</v>
          </cell>
          <cell r="H208">
            <v>7000</v>
          </cell>
          <cell r="I208">
            <v>5000</v>
          </cell>
          <cell r="J208">
            <v>3000</v>
          </cell>
          <cell r="K208">
            <v>10000</v>
          </cell>
          <cell r="L208">
            <v>4333</v>
          </cell>
          <cell r="M208">
            <v>18000</v>
          </cell>
          <cell r="O208" t="str">
            <v>Exportacion Directa1022472</v>
          </cell>
          <cell r="P208" t="str">
            <v>Cerdo</v>
          </cell>
          <cell r="Q208" t="str">
            <v>Exportacion Directa</v>
          </cell>
          <cell r="R208" t="str">
            <v>1022472</v>
          </cell>
          <cell r="S208" t="str">
            <v>GO Lom Ctro S/Tecla(OY)Mit@ Cj Tf 20k AP</v>
          </cell>
          <cell r="T208" t="str">
            <v>Lomo</v>
          </cell>
          <cell r="U208" t="str">
            <v>Lomo Centro</v>
          </cell>
          <cell r="V208">
            <v>32709.190900000001</v>
          </cell>
          <cell r="W208">
            <v>21977</v>
          </cell>
          <cell r="X208">
            <v>13095</v>
          </cell>
          <cell r="Y208">
            <v>42120</v>
          </cell>
          <cell r="Z208">
            <v>17417</v>
          </cell>
          <cell r="AA208">
            <v>69842</v>
          </cell>
        </row>
        <row r="209">
          <cell r="A209" t="str">
            <v>Exportacion Directa1022499</v>
          </cell>
          <cell r="B209" t="str">
            <v>Cerdo</v>
          </cell>
          <cell r="C209" t="str">
            <v>Exportacion Directa</v>
          </cell>
          <cell r="D209" t="str">
            <v>1022499</v>
          </cell>
          <cell r="E209" t="str">
            <v>GO Lom Vet Mit@ 4 Bo Cj 10k AP</v>
          </cell>
          <cell r="F209" t="str">
            <v>Lomo</v>
          </cell>
          <cell r="G209" t="str">
            <v>Lomo Vetado</v>
          </cell>
          <cell r="H209">
            <v>16000</v>
          </cell>
          <cell r="I209">
            <v>3000</v>
          </cell>
          <cell r="J209">
            <v>5000</v>
          </cell>
          <cell r="K209">
            <v>20000</v>
          </cell>
          <cell r="L209">
            <v>15000</v>
          </cell>
          <cell r="M209">
            <v>23500</v>
          </cell>
          <cell r="O209" t="str">
            <v>Exportacion Directa1022499</v>
          </cell>
          <cell r="P209" t="str">
            <v>Cerdo</v>
          </cell>
          <cell r="Q209" t="str">
            <v>Exportacion Directa</v>
          </cell>
          <cell r="R209" t="str">
            <v>1022499</v>
          </cell>
          <cell r="S209" t="str">
            <v>GO Lom Vet Mit@ 4 Bo Cj 10k AP</v>
          </cell>
          <cell r="T209" t="str">
            <v>Lomo</v>
          </cell>
          <cell r="U209" t="str">
            <v>Lomo Vetado</v>
          </cell>
          <cell r="V209">
            <v>75542.537400000001</v>
          </cell>
          <cell r="W209">
            <v>13294</v>
          </cell>
          <cell r="X209">
            <v>22218</v>
          </cell>
          <cell r="Y209">
            <v>85842</v>
          </cell>
          <cell r="Z209">
            <v>61744</v>
          </cell>
          <cell r="AA209">
            <v>91183</v>
          </cell>
        </row>
        <row r="210">
          <cell r="A210" t="str">
            <v>Exportacion Directa1022587</v>
          </cell>
          <cell r="B210" t="str">
            <v>Cerdo</v>
          </cell>
          <cell r="C210" t="str">
            <v>Exportacion Directa</v>
          </cell>
          <cell r="D210" t="str">
            <v>1022587</v>
          </cell>
          <cell r="E210" t="str">
            <v>GO CC Loin L (S/T) 45@ Fi Cj AP</v>
          </cell>
          <cell r="F210" t="str">
            <v>Lomo</v>
          </cell>
          <cell r="G210" t="str">
            <v>Lomo CC Loin</v>
          </cell>
          <cell r="H210">
            <v>5000</v>
          </cell>
          <cell r="I210">
            <v>5000</v>
          </cell>
          <cell r="J210">
            <v>5000</v>
          </cell>
          <cell r="K210">
            <v>6000</v>
          </cell>
          <cell r="L210">
            <v>3000</v>
          </cell>
          <cell r="M210">
            <v>6000</v>
          </cell>
          <cell r="O210" t="str">
            <v>Exportacion Directa1022587</v>
          </cell>
          <cell r="P210" t="str">
            <v>Cerdo</v>
          </cell>
          <cell r="Q210" t="str">
            <v>Exportacion Directa</v>
          </cell>
          <cell r="R210" t="str">
            <v>1022587</v>
          </cell>
          <cell r="S210" t="str">
            <v>GO CC Loin L (S/T) 45@ Fi Cj AP</v>
          </cell>
          <cell r="T210" t="str">
            <v>Lomo</v>
          </cell>
          <cell r="U210" t="str">
            <v>Lomo CC Loin</v>
          </cell>
          <cell r="V210">
            <v>23140.260300000002</v>
          </cell>
          <cell r="W210">
            <v>21784</v>
          </cell>
          <cell r="X210">
            <v>21814</v>
          </cell>
          <cell r="Y210">
            <v>24491</v>
          </cell>
          <cell r="Z210">
            <v>11934</v>
          </cell>
          <cell r="AA210">
            <v>22820</v>
          </cell>
        </row>
        <row r="211">
          <cell r="A211" t="str">
            <v>Exportacion Directa1022600</v>
          </cell>
          <cell r="B211" t="str">
            <v>Cerdo</v>
          </cell>
          <cell r="C211" t="str">
            <v>Exportacion Directa</v>
          </cell>
          <cell r="D211" t="str">
            <v>1022600</v>
          </cell>
          <cell r="E211" t="str">
            <v>GO Lom Vet 2 a 2,3k@ Fi Verd Cj AP</v>
          </cell>
          <cell r="F211" t="str">
            <v>Lomo</v>
          </cell>
          <cell r="G211" t="str">
            <v>Lomo Vetado</v>
          </cell>
          <cell r="H211">
            <v>18000</v>
          </cell>
          <cell r="I211">
            <v>3000</v>
          </cell>
          <cell r="J211">
            <v>11000</v>
          </cell>
          <cell r="K211">
            <v>20000</v>
          </cell>
          <cell r="L211">
            <v>19625</v>
          </cell>
          <cell r="M211">
            <v>27333</v>
          </cell>
          <cell r="O211" t="str">
            <v>Exportacion Directa1022600</v>
          </cell>
          <cell r="P211" t="str">
            <v>Cerdo</v>
          </cell>
          <cell r="Q211" t="str">
            <v>Exportacion Directa</v>
          </cell>
          <cell r="R211" t="str">
            <v>1022600</v>
          </cell>
          <cell r="S211" t="str">
            <v>GO Lom Vet 2 a 2,3k@ Fi Verd Cj AP</v>
          </cell>
          <cell r="T211" t="str">
            <v>Lomo</v>
          </cell>
          <cell r="U211" t="str">
            <v>Lomo Vetado</v>
          </cell>
          <cell r="V211">
            <v>78722.423299999995</v>
          </cell>
          <cell r="W211">
            <v>12324</v>
          </cell>
          <cell r="X211">
            <v>44841</v>
          </cell>
          <cell r="Y211">
            <v>78794</v>
          </cell>
          <cell r="Z211">
            <v>75391</v>
          </cell>
          <cell r="AA211">
            <v>97657</v>
          </cell>
        </row>
        <row r="212">
          <cell r="A212" t="str">
            <v>Exportacion Directa1022664</v>
          </cell>
          <cell r="B212" t="str">
            <v>Cerdo</v>
          </cell>
          <cell r="C212" t="str">
            <v>Exportacion Directa</v>
          </cell>
          <cell r="D212" t="str">
            <v>1022664</v>
          </cell>
          <cell r="E212" t="str">
            <v>GO CC Loin L (S/T) (DF)@ Fi Cj AP</v>
          </cell>
          <cell r="F212" t="str">
            <v>Lomo</v>
          </cell>
          <cell r="G212" t="str">
            <v>Lomo CC Loin</v>
          </cell>
          <cell r="H212">
            <v>43000</v>
          </cell>
          <cell r="I212">
            <v>23700</v>
          </cell>
          <cell r="J212">
            <v>17000</v>
          </cell>
          <cell r="K212">
            <v>30000</v>
          </cell>
          <cell r="L212">
            <v>35000</v>
          </cell>
          <cell r="M212">
            <v>30667</v>
          </cell>
          <cell r="O212" t="str">
            <v>Exportacion Directa1022664</v>
          </cell>
          <cell r="P212" t="str">
            <v>Cerdo</v>
          </cell>
          <cell r="Q212" t="str">
            <v>Exportacion Directa</v>
          </cell>
          <cell r="R212" t="str">
            <v>1022664</v>
          </cell>
          <cell r="S212" t="str">
            <v>GO CC Loin L (S/T) (DF)@ Fi Cj AP</v>
          </cell>
          <cell r="T212" t="str">
            <v>Lomo</v>
          </cell>
          <cell r="U212" t="str">
            <v>Lomo CC Loin</v>
          </cell>
          <cell r="V212">
            <v>175870</v>
          </cell>
          <cell r="W212">
            <v>88630</v>
          </cell>
          <cell r="X212">
            <v>59165</v>
          </cell>
          <cell r="Y212">
            <v>105866</v>
          </cell>
          <cell r="Z212">
            <v>122382</v>
          </cell>
          <cell r="AA212">
            <v>103440</v>
          </cell>
        </row>
        <row r="213">
          <cell r="A213" t="str">
            <v>Exportacion Directa1022817</v>
          </cell>
          <cell r="B213" t="str">
            <v>Cerdo</v>
          </cell>
          <cell r="C213" t="str">
            <v>Exportacion Directa</v>
          </cell>
          <cell r="D213" t="str">
            <v>1022817</v>
          </cell>
          <cell r="E213" t="str">
            <v>GO Lom Vet L@ VP Cj Lom Vet Mad AP</v>
          </cell>
          <cell r="F213" t="str">
            <v>Muestra</v>
          </cell>
          <cell r="G213" t="str">
            <v>Muestra</v>
          </cell>
          <cell r="H213"/>
          <cell r="I213"/>
          <cell r="J213"/>
          <cell r="K213"/>
          <cell r="L213"/>
          <cell r="M213"/>
          <cell r="O213" t="str">
            <v>Exportacion Directa1022817</v>
          </cell>
          <cell r="P213" t="str">
            <v>Cerdo</v>
          </cell>
          <cell r="Q213" t="str">
            <v>Exportacion Directa</v>
          </cell>
          <cell r="R213" t="str">
            <v>1022817</v>
          </cell>
          <cell r="S213" t="str">
            <v>GO Lom Vet L@ VP Cj Lom Vet Mad AP</v>
          </cell>
          <cell r="T213" t="str">
            <v>Muestra</v>
          </cell>
          <cell r="U213" t="str">
            <v>Muestra</v>
          </cell>
          <cell r="V213"/>
          <cell r="W213"/>
          <cell r="X213"/>
          <cell r="Y213"/>
          <cell r="Z213"/>
          <cell r="AA213"/>
        </row>
        <row r="214">
          <cell r="A214" t="str">
            <v>Exportacion Directa1022869</v>
          </cell>
          <cell r="B214" t="str">
            <v>Cerdo</v>
          </cell>
          <cell r="C214" t="str">
            <v>Exportacion Directa</v>
          </cell>
          <cell r="D214" t="str">
            <v>1022869</v>
          </cell>
          <cell r="E214" t="str">
            <v>GO Hso Pecho@ Cj 10k AP</v>
          </cell>
          <cell r="F214" t="str">
            <v>Huesos</v>
          </cell>
          <cell r="G214" t="str">
            <v>Huesos Cuarto Centra</v>
          </cell>
          <cell r="H214">
            <v>500</v>
          </cell>
          <cell r="I214">
            <v>1300</v>
          </cell>
          <cell r="J214">
            <v>2400</v>
          </cell>
          <cell r="K214">
            <v>800</v>
          </cell>
          <cell r="L214">
            <v>800</v>
          </cell>
          <cell r="M214"/>
          <cell r="O214" t="str">
            <v>Exportacion Directa1022869</v>
          </cell>
          <cell r="P214" t="str">
            <v>Cerdo</v>
          </cell>
          <cell r="Q214" t="str">
            <v>Exportacion Directa</v>
          </cell>
          <cell r="R214" t="str">
            <v>1022869</v>
          </cell>
          <cell r="S214" t="str">
            <v>GO Hso Pecho@ Cj 10k AP</v>
          </cell>
          <cell r="T214" t="str">
            <v>Huesos</v>
          </cell>
          <cell r="U214" t="str">
            <v>Huesos Cuarto Centra</v>
          </cell>
          <cell r="V214">
            <v>1446.6365000000001</v>
          </cell>
          <cell r="W214">
            <v>3691</v>
          </cell>
          <cell r="X214">
            <v>6801</v>
          </cell>
          <cell r="Y214">
            <v>2158</v>
          </cell>
          <cell r="Z214">
            <v>2158</v>
          </cell>
          <cell r="AA214"/>
        </row>
        <row r="215">
          <cell r="A215" t="str">
            <v>Exportacion Directa1022901</v>
          </cell>
          <cell r="B215" t="str">
            <v>Cerdo</v>
          </cell>
          <cell r="C215" t="str">
            <v>Exportacion Directa</v>
          </cell>
          <cell r="D215" t="str">
            <v>1022901</v>
          </cell>
          <cell r="E215" t="str">
            <v>GO Panc Tec S/Cue L@ Fi CJ Ch AP</v>
          </cell>
          <cell r="F215" t="str">
            <v>Panceta</v>
          </cell>
          <cell r="G215" t="str">
            <v>Panceta s/Cuero</v>
          </cell>
          <cell r="H215">
            <v>15000</v>
          </cell>
          <cell r="I215">
            <v>12000</v>
          </cell>
          <cell r="J215">
            <v>13000</v>
          </cell>
          <cell r="K215">
            <v>18000</v>
          </cell>
          <cell r="L215">
            <v>18000</v>
          </cell>
          <cell r="M215">
            <v>13000</v>
          </cell>
          <cell r="O215" t="str">
            <v>Exportacion Directa1022901</v>
          </cell>
          <cell r="P215" t="str">
            <v>Cerdo</v>
          </cell>
          <cell r="Q215" t="str">
            <v>Exportacion Directa</v>
          </cell>
          <cell r="R215" t="str">
            <v>1022901</v>
          </cell>
          <cell r="S215" t="str">
            <v>GO Panc Tec S/Cue L@ Fi CJ Ch AP</v>
          </cell>
          <cell r="T215" t="str">
            <v>Panceta</v>
          </cell>
          <cell r="U215" t="str">
            <v>Panceta s/Cuero</v>
          </cell>
          <cell r="V215">
            <v>77324.533299999996</v>
          </cell>
          <cell r="W215">
            <v>59373</v>
          </cell>
          <cell r="X215">
            <v>64866</v>
          </cell>
          <cell r="Y215">
            <v>87127</v>
          </cell>
          <cell r="Z215">
            <v>85715</v>
          </cell>
          <cell r="AA215">
            <v>57833</v>
          </cell>
        </row>
        <row r="216">
          <cell r="A216" t="str">
            <v>Exportacion Directa1022919</v>
          </cell>
          <cell r="B216" t="str">
            <v>Cerdo</v>
          </cell>
          <cell r="C216" t="str">
            <v>Exportacion Directa</v>
          </cell>
          <cell r="D216" t="str">
            <v>1022919</v>
          </cell>
          <cell r="E216" t="str">
            <v>GO MM LOIN S VP@ Cj 10k AP</v>
          </cell>
          <cell r="F216" t="str">
            <v>Lomo</v>
          </cell>
          <cell r="G216" t="str">
            <v>Lomo MM Loin</v>
          </cell>
          <cell r="H216">
            <v>15000</v>
          </cell>
          <cell r="I216">
            <v>48000</v>
          </cell>
          <cell r="J216">
            <v>5000</v>
          </cell>
          <cell r="K216">
            <v>24000</v>
          </cell>
          <cell r="L216">
            <v>23000</v>
          </cell>
          <cell r="M216">
            <v>12000</v>
          </cell>
          <cell r="O216" t="str">
            <v>Exportacion Directa1022919</v>
          </cell>
          <cell r="P216" t="str">
            <v>Cerdo</v>
          </cell>
          <cell r="Q216" t="str">
            <v>Exportacion Directa</v>
          </cell>
          <cell r="R216" t="str">
            <v>1022919</v>
          </cell>
          <cell r="S216" t="str">
            <v>GO MM LOIN S VP@ Cj 10k AP</v>
          </cell>
          <cell r="T216" t="str">
            <v>Lomo</v>
          </cell>
          <cell r="U216" t="str">
            <v>Lomo MM Loin</v>
          </cell>
          <cell r="V216">
            <v>61076.933900000004</v>
          </cell>
          <cell r="W216">
            <v>200184</v>
          </cell>
          <cell r="X216">
            <v>20962</v>
          </cell>
          <cell r="Y216">
            <v>92261</v>
          </cell>
          <cell r="Z216">
            <v>84285</v>
          </cell>
          <cell r="AA216">
            <v>42413</v>
          </cell>
        </row>
        <row r="217">
          <cell r="A217" t="str">
            <v>Exportacion Directa1022931</v>
          </cell>
          <cell r="B217" t="str">
            <v>Cerdo</v>
          </cell>
          <cell r="C217" t="str">
            <v>Exportacion Directa</v>
          </cell>
          <cell r="D217" t="str">
            <v>1022931</v>
          </cell>
          <cell r="E217" t="str">
            <v>GO File C/cab 6x1@ VP Cj AP</v>
          </cell>
          <cell r="F217" t="str">
            <v>Filete</v>
          </cell>
          <cell r="G217" t="str">
            <v>Filete c/Cabeza</v>
          </cell>
          <cell r="H217"/>
          <cell r="I217"/>
          <cell r="J217"/>
          <cell r="K217">
            <v>20000</v>
          </cell>
          <cell r="L217">
            <v>20182</v>
          </cell>
          <cell r="M217">
            <v>24000</v>
          </cell>
          <cell r="O217" t="str">
            <v>Exportacion Directa1022931</v>
          </cell>
          <cell r="P217" t="str">
            <v>Cerdo</v>
          </cell>
          <cell r="Q217" t="str">
            <v>Exportacion Directa</v>
          </cell>
          <cell r="R217" t="str">
            <v>1022931</v>
          </cell>
          <cell r="S217" t="str">
            <v>GO File C/cab 6x1@ VP Cj AP</v>
          </cell>
          <cell r="T217" t="str">
            <v>Filete</v>
          </cell>
          <cell r="U217" t="str">
            <v>Filete c/Cabeza</v>
          </cell>
          <cell r="V217"/>
          <cell r="W217"/>
          <cell r="X217"/>
          <cell r="Y217">
            <v>45277</v>
          </cell>
          <cell r="Z217">
            <v>89258</v>
          </cell>
          <cell r="AA217">
            <v>101421</v>
          </cell>
        </row>
        <row r="218">
          <cell r="A218" t="str">
            <v>Exportacion Directa1022987</v>
          </cell>
          <cell r="B218" t="str">
            <v>Cerdo</v>
          </cell>
          <cell r="C218" t="str">
            <v>Exportacion Directa</v>
          </cell>
          <cell r="D218" t="str">
            <v>1022987</v>
          </cell>
          <cell r="E218" t="str">
            <v>GO Lom Tocino@ Bo Cj 20k AP</v>
          </cell>
          <cell r="F218" t="str">
            <v>Plancha</v>
          </cell>
          <cell r="G218" t="str">
            <v>Plancha s/Cuero</v>
          </cell>
          <cell r="H218"/>
          <cell r="I218">
            <v>30000</v>
          </cell>
          <cell r="J218">
            <v>24000</v>
          </cell>
          <cell r="K218">
            <v>48000</v>
          </cell>
          <cell r="L218">
            <v>24000</v>
          </cell>
          <cell r="M218">
            <v>24000</v>
          </cell>
          <cell r="O218" t="str">
            <v>Exportacion Directa1022987</v>
          </cell>
          <cell r="P218" t="str">
            <v>Cerdo</v>
          </cell>
          <cell r="Q218" t="str">
            <v>Exportacion Directa</v>
          </cell>
          <cell r="R218" t="str">
            <v>1022987</v>
          </cell>
          <cell r="S218" t="str">
            <v>GO Lom Tocino@ Bo Cj 20k AP</v>
          </cell>
          <cell r="T218" t="str">
            <v>Plancha</v>
          </cell>
          <cell r="U218" t="str">
            <v>Plancha s/Cuero</v>
          </cell>
          <cell r="V218"/>
          <cell r="W218">
            <v>39945</v>
          </cell>
          <cell r="X218">
            <v>32309</v>
          </cell>
          <cell r="Y218">
            <v>64234</v>
          </cell>
          <cell r="Z218">
            <v>31541</v>
          </cell>
          <cell r="AA218">
            <v>32086</v>
          </cell>
        </row>
        <row r="219">
          <cell r="A219" t="str">
            <v>Exportacion Directa1022990</v>
          </cell>
          <cell r="B219" t="str">
            <v>Cerdo</v>
          </cell>
          <cell r="C219" t="str">
            <v>Exportacion Directa</v>
          </cell>
          <cell r="D219" t="str">
            <v>1022990</v>
          </cell>
          <cell r="E219" t="str">
            <v>GO Panc Tec S/cue VP@ Cj ch AP</v>
          </cell>
          <cell r="F219" t="str">
            <v>Panceta</v>
          </cell>
          <cell r="G219" t="str">
            <v>Panceta s/Cuero</v>
          </cell>
          <cell r="H219">
            <v>10000</v>
          </cell>
          <cell r="I219">
            <v>20000</v>
          </cell>
          <cell r="J219">
            <v>13000</v>
          </cell>
          <cell r="K219"/>
          <cell r="L219"/>
          <cell r="M219"/>
          <cell r="O219" t="str">
            <v>Exportacion Directa1022990</v>
          </cell>
          <cell r="P219" t="str">
            <v>Cerdo</v>
          </cell>
          <cell r="Q219" t="str">
            <v>Exportacion Directa</v>
          </cell>
          <cell r="R219" t="str">
            <v>1022990</v>
          </cell>
          <cell r="S219" t="str">
            <v>GO Panc Tec S/cue VP@ Cj ch AP</v>
          </cell>
          <cell r="T219" t="str">
            <v>Panceta</v>
          </cell>
          <cell r="U219" t="str">
            <v>Panceta s/Cuero</v>
          </cell>
          <cell r="V219">
            <v>49521.519800000002</v>
          </cell>
          <cell r="W219">
            <v>99032</v>
          </cell>
          <cell r="X219">
            <v>64807</v>
          </cell>
          <cell r="Y219"/>
          <cell r="Z219"/>
          <cell r="AA219"/>
        </row>
        <row r="220">
          <cell r="A220" t="str">
            <v>Exportacion Directa1023051</v>
          </cell>
          <cell r="B220" t="str">
            <v>Cerdo</v>
          </cell>
          <cell r="C220" t="str">
            <v>Exportacion Directa</v>
          </cell>
          <cell r="D220" t="str">
            <v>1023051</v>
          </cell>
          <cell r="E220" t="str">
            <v>GO Lom Vet L@ Fi Cj Lom Vet AP</v>
          </cell>
          <cell r="F220" t="str">
            <v>Lomo</v>
          </cell>
          <cell r="G220" t="str">
            <v>Lomo Vetado</v>
          </cell>
          <cell r="H220"/>
          <cell r="I220"/>
          <cell r="J220"/>
          <cell r="K220">
            <v>3000</v>
          </cell>
          <cell r="L220">
            <v>2500</v>
          </cell>
          <cell r="M220"/>
          <cell r="O220" t="str">
            <v>Exportacion Directa1023051</v>
          </cell>
          <cell r="P220" t="str">
            <v>Cerdo</v>
          </cell>
          <cell r="Q220" t="str">
            <v>Exportacion Directa</v>
          </cell>
          <cell r="R220" t="str">
            <v>1023051</v>
          </cell>
          <cell r="S220" t="str">
            <v>GO Lom Vet L@ Fi Cj Lom Vet AP</v>
          </cell>
          <cell r="T220" t="str">
            <v>Lomo</v>
          </cell>
          <cell r="U220" t="str">
            <v>Lomo Vetado</v>
          </cell>
          <cell r="V220"/>
          <cell r="W220"/>
          <cell r="X220"/>
          <cell r="Y220">
            <v>11945</v>
          </cell>
          <cell r="Z220">
            <v>9324</v>
          </cell>
          <cell r="AA220"/>
        </row>
        <row r="221">
          <cell r="A221" t="str">
            <v>Exportacion Directa1023055</v>
          </cell>
          <cell r="B221" t="str">
            <v>Cerdo</v>
          </cell>
          <cell r="C221" t="str">
            <v>Exportacion Directa</v>
          </cell>
          <cell r="D221" t="str">
            <v>1023055</v>
          </cell>
          <cell r="E221" t="str">
            <v>GO Lom Vet M@ Fi Cj Lom Vet AP</v>
          </cell>
          <cell r="F221" t="str">
            <v>Lomo</v>
          </cell>
          <cell r="G221" t="str">
            <v>Lomo Vetado</v>
          </cell>
          <cell r="H221"/>
          <cell r="I221"/>
          <cell r="J221">
            <v>5000</v>
          </cell>
          <cell r="K221">
            <v>7000</v>
          </cell>
          <cell r="L221">
            <v>5000</v>
          </cell>
          <cell r="M221">
            <v>3500</v>
          </cell>
          <cell r="O221" t="str">
            <v>Exportacion Directa1023055</v>
          </cell>
          <cell r="P221" t="str">
            <v>Cerdo</v>
          </cell>
          <cell r="Q221" t="str">
            <v>Exportacion Directa</v>
          </cell>
          <cell r="R221" t="str">
            <v>1023055</v>
          </cell>
          <cell r="S221" t="str">
            <v>GO Lom Vet M@ Fi Cj Lom Vet AP</v>
          </cell>
          <cell r="T221" t="str">
            <v>Lomo</v>
          </cell>
          <cell r="U221" t="str">
            <v>Lomo Vetado</v>
          </cell>
          <cell r="V221"/>
          <cell r="W221"/>
          <cell r="X221">
            <v>9981</v>
          </cell>
          <cell r="Y221">
            <v>25759</v>
          </cell>
          <cell r="Z221">
            <v>17599</v>
          </cell>
          <cell r="AA221">
            <v>11967</v>
          </cell>
        </row>
        <row r="222">
          <cell r="A222" t="str">
            <v>Exportacion Directa1023163</v>
          </cell>
          <cell r="B222" t="str">
            <v>Cerdo</v>
          </cell>
          <cell r="C222" t="str">
            <v>Exportacion Directa</v>
          </cell>
          <cell r="D222" t="str">
            <v>1023163</v>
          </cell>
          <cell r="E222" t="str">
            <v>GO Lom Vet &gt;2.0@ Fi Cj 8k AP</v>
          </cell>
          <cell r="F222" t="str">
            <v>Lomo</v>
          </cell>
          <cell r="G222" t="str">
            <v>Lomo Vetado</v>
          </cell>
          <cell r="H222">
            <v>15000</v>
          </cell>
          <cell r="I222">
            <v>7000</v>
          </cell>
          <cell r="J222">
            <v>4000</v>
          </cell>
          <cell r="K222">
            <v>20000</v>
          </cell>
          <cell r="L222">
            <v>15000</v>
          </cell>
          <cell r="M222">
            <v>36000</v>
          </cell>
          <cell r="O222" t="str">
            <v>Exportacion Directa1023163</v>
          </cell>
          <cell r="P222" t="str">
            <v>Cerdo</v>
          </cell>
          <cell r="Q222" t="str">
            <v>Exportacion Directa</v>
          </cell>
          <cell r="R222" t="str">
            <v>1023163</v>
          </cell>
          <cell r="S222" t="str">
            <v>GO Lom Vet &gt;2.0@ Fi Cj 8k AP</v>
          </cell>
          <cell r="T222" t="str">
            <v>Lomo</v>
          </cell>
          <cell r="U222" t="str">
            <v>Lomo Vetado</v>
          </cell>
          <cell r="V222">
            <v>65452.199099999998</v>
          </cell>
          <cell r="W222">
            <v>28910</v>
          </cell>
          <cell r="X222">
            <v>15584</v>
          </cell>
          <cell r="Y222">
            <v>76644</v>
          </cell>
          <cell r="Z222">
            <v>56279</v>
          </cell>
          <cell r="AA222">
            <v>128621</v>
          </cell>
        </row>
        <row r="223">
          <cell r="A223" t="str">
            <v>Exportacion Directa1023166</v>
          </cell>
          <cell r="B223" t="str">
            <v>Cerdo</v>
          </cell>
          <cell r="C223" t="str">
            <v>Exportacion Directa</v>
          </cell>
          <cell r="D223" t="str">
            <v>1023166</v>
          </cell>
          <cell r="E223" t="str">
            <v>GO Pork Scruff Meat@ Cj 10 kg AS</v>
          </cell>
          <cell r="F223" t="str">
            <v>Panceta</v>
          </cell>
          <cell r="G223" t="str">
            <v>Panceta s/Cuero</v>
          </cell>
          <cell r="H223"/>
          <cell r="I223"/>
          <cell r="J223"/>
          <cell r="K223"/>
          <cell r="L223"/>
          <cell r="M223"/>
          <cell r="O223" t="str">
            <v>Exportacion Directa1023166</v>
          </cell>
          <cell r="P223" t="str">
            <v>Cerdo</v>
          </cell>
          <cell r="Q223" t="str">
            <v>Exportacion Directa</v>
          </cell>
          <cell r="R223" t="str">
            <v>1023166</v>
          </cell>
          <cell r="S223" t="str">
            <v>GO Pork Scruff Meat@ Cj 10 kg AS</v>
          </cell>
          <cell r="T223" t="str">
            <v>Panceta</v>
          </cell>
          <cell r="U223" t="str">
            <v>Panceta s/Cuero</v>
          </cell>
          <cell r="V223"/>
          <cell r="W223"/>
          <cell r="X223"/>
          <cell r="Y223"/>
          <cell r="Z223"/>
          <cell r="AA223"/>
        </row>
        <row r="224">
          <cell r="A224" t="str">
            <v>Exportacion Directa1023194</v>
          </cell>
          <cell r="B224" t="str">
            <v>Cerdo</v>
          </cell>
          <cell r="C224" t="str">
            <v>Exportacion Directa</v>
          </cell>
          <cell r="D224" t="str">
            <v>1023194</v>
          </cell>
          <cell r="E224" t="str">
            <v>GO Cne Falda Panc@ Bo Cj AP</v>
          </cell>
          <cell r="F224" t="str">
            <v>Panceta</v>
          </cell>
          <cell r="G224" t="str">
            <v>Panceta s/Cuero</v>
          </cell>
          <cell r="H224">
            <v>9000</v>
          </cell>
          <cell r="I224">
            <v>5000</v>
          </cell>
          <cell r="J224">
            <v>6000</v>
          </cell>
          <cell r="K224">
            <v>12000</v>
          </cell>
          <cell r="L224">
            <v>7000</v>
          </cell>
          <cell r="M224">
            <v>12000</v>
          </cell>
          <cell r="O224" t="str">
            <v>Exportacion Directa1023194</v>
          </cell>
          <cell r="P224" t="str">
            <v>Cerdo</v>
          </cell>
          <cell r="Q224" t="str">
            <v>Exportacion Directa</v>
          </cell>
          <cell r="R224" t="str">
            <v>1023194</v>
          </cell>
          <cell r="S224" t="str">
            <v>GO Cne Falda Panc@ Bo Cj AP</v>
          </cell>
          <cell r="T224" t="str">
            <v>Panceta</v>
          </cell>
          <cell r="U224" t="str">
            <v>Panceta s/Cuero</v>
          </cell>
          <cell r="V224">
            <v>31228.744600000002</v>
          </cell>
          <cell r="W224">
            <v>16284</v>
          </cell>
          <cell r="X224">
            <v>19454</v>
          </cell>
          <cell r="Y224">
            <v>38303</v>
          </cell>
          <cell r="Z224">
            <v>21812</v>
          </cell>
          <cell r="AA224">
            <v>35498</v>
          </cell>
        </row>
        <row r="225">
          <cell r="A225" t="str">
            <v>Exportacion Directa1023301</v>
          </cell>
          <cell r="B225" t="str">
            <v>Cerdo</v>
          </cell>
          <cell r="C225" t="str">
            <v>Exportacion Directa</v>
          </cell>
          <cell r="D225" t="str">
            <v>1023301</v>
          </cell>
          <cell r="E225" t="str">
            <v>GO CC Loin LL@ Bo Cj Lom Mad AP</v>
          </cell>
          <cell r="F225" t="str">
            <v>Lomo</v>
          </cell>
          <cell r="G225" t="str">
            <v>Lomo CC Loin</v>
          </cell>
          <cell r="H225">
            <v>60000</v>
          </cell>
          <cell r="I225">
            <v>70000</v>
          </cell>
          <cell r="J225">
            <v>35000</v>
          </cell>
          <cell r="K225">
            <v>23500</v>
          </cell>
          <cell r="L225">
            <v>23500</v>
          </cell>
          <cell r="M225">
            <v>30000</v>
          </cell>
          <cell r="O225" t="str">
            <v>Exportacion Directa1023301</v>
          </cell>
          <cell r="P225" t="str">
            <v>Cerdo</v>
          </cell>
          <cell r="Q225" t="str">
            <v>Exportacion Directa</v>
          </cell>
          <cell r="R225" t="str">
            <v>1023301</v>
          </cell>
          <cell r="S225" t="str">
            <v>GO CC Loin LL@ Bo Cj Lom Mad AP</v>
          </cell>
          <cell r="T225" t="str">
            <v>Lomo</v>
          </cell>
          <cell r="U225" t="str">
            <v>Lomo CC Loin</v>
          </cell>
          <cell r="V225">
            <v>249969.11989999999</v>
          </cell>
          <cell r="W225">
            <v>294283</v>
          </cell>
          <cell r="X225">
            <v>148549</v>
          </cell>
          <cell r="Y225">
            <v>96585</v>
          </cell>
          <cell r="Z225">
            <v>90551</v>
          </cell>
          <cell r="AA225">
            <v>111333</v>
          </cell>
        </row>
        <row r="226">
          <cell r="A226" t="str">
            <v>Exportacion Directa1023349</v>
          </cell>
          <cell r="B226" t="str">
            <v>Cerdo</v>
          </cell>
          <cell r="C226" t="str">
            <v>Exportacion Directa</v>
          </cell>
          <cell r="D226" t="str">
            <v>1023349</v>
          </cell>
          <cell r="E226" t="str">
            <v>GO Lom Tecla VP@ Cj Lom Ctro</v>
          </cell>
          <cell r="F226" t="str">
            <v>Lomo</v>
          </cell>
          <cell r="G226" t="str">
            <v>Lomo Centro</v>
          </cell>
          <cell r="H226"/>
          <cell r="I226"/>
          <cell r="J226">
            <v>2000</v>
          </cell>
          <cell r="K226">
            <v>5000</v>
          </cell>
          <cell r="L226">
            <v>7500</v>
          </cell>
          <cell r="M226">
            <v>12500</v>
          </cell>
          <cell r="O226" t="str">
            <v>Exportacion Directa1023349</v>
          </cell>
          <cell r="P226" t="str">
            <v>Cerdo</v>
          </cell>
          <cell r="Q226" t="str">
            <v>Exportacion Directa</v>
          </cell>
          <cell r="R226" t="str">
            <v>1023349</v>
          </cell>
          <cell r="S226" t="str">
            <v>GO Lom Tecla VP@ Cj Lom Ctro</v>
          </cell>
          <cell r="T226" t="str">
            <v>Lomo</v>
          </cell>
          <cell r="U226" t="str">
            <v>Lomo Centro</v>
          </cell>
          <cell r="V226"/>
          <cell r="W226"/>
          <cell r="X226">
            <v>8694</v>
          </cell>
          <cell r="Y226">
            <v>20882</v>
          </cell>
          <cell r="Z226">
            <v>30493</v>
          </cell>
          <cell r="AA226">
            <v>47061</v>
          </cell>
        </row>
        <row r="227">
          <cell r="A227" t="str">
            <v>Exportacion Directa1023350</v>
          </cell>
          <cell r="B227" t="str">
            <v>Cerdo</v>
          </cell>
          <cell r="C227" t="str">
            <v>Exportacion Directa</v>
          </cell>
          <cell r="D227" t="str">
            <v>1023350</v>
          </cell>
          <cell r="E227" t="str">
            <v>Lom Vet &gt;2.0@ VP Cj Lom Vet AP</v>
          </cell>
          <cell r="F227" t="str">
            <v>Lomo</v>
          </cell>
          <cell r="G227" t="str">
            <v>Lomo Vetado</v>
          </cell>
          <cell r="H227"/>
          <cell r="I227"/>
          <cell r="J227">
            <v>35000</v>
          </cell>
          <cell r="K227">
            <v>15000</v>
          </cell>
          <cell r="L227">
            <v>41143</v>
          </cell>
          <cell r="M227">
            <v>26000</v>
          </cell>
          <cell r="O227" t="str">
            <v>Exportacion Directa1023350</v>
          </cell>
          <cell r="P227" t="str">
            <v>Cerdo</v>
          </cell>
          <cell r="Q227" t="str">
            <v>Exportacion Directa</v>
          </cell>
          <cell r="R227" t="str">
            <v>1023350</v>
          </cell>
          <cell r="S227" t="str">
            <v>Lom Vet &gt;2.0@ VP Cj Lom Vet AP</v>
          </cell>
          <cell r="T227" t="str">
            <v>Lomo</v>
          </cell>
          <cell r="U227" t="str">
            <v>Lomo Vetado</v>
          </cell>
          <cell r="V227"/>
          <cell r="W227"/>
          <cell r="X227">
            <v>138326</v>
          </cell>
          <cell r="Y227">
            <v>56520</v>
          </cell>
          <cell r="Z227">
            <v>150241</v>
          </cell>
          <cell r="AA227">
            <v>88897</v>
          </cell>
        </row>
        <row r="228">
          <cell r="A228" t="str">
            <v>Exportacion Directa1023351</v>
          </cell>
          <cell r="B228" t="str">
            <v>Cerdo</v>
          </cell>
          <cell r="C228" t="str">
            <v>Exportacion Directa</v>
          </cell>
          <cell r="D228" t="str">
            <v>1023351</v>
          </cell>
          <cell r="E228" t="str">
            <v>GO Panc S/tec L @VP Cj AP</v>
          </cell>
          <cell r="F228" t="str">
            <v>Panceta</v>
          </cell>
          <cell r="G228" t="str">
            <v>Panceta s/Cuero</v>
          </cell>
          <cell r="H228"/>
          <cell r="I228"/>
          <cell r="J228">
            <v>3000</v>
          </cell>
          <cell r="K228">
            <v>8000</v>
          </cell>
          <cell r="L228">
            <v>8214</v>
          </cell>
          <cell r="M228">
            <v>5000</v>
          </cell>
          <cell r="O228" t="str">
            <v>Exportacion Directa1023351</v>
          </cell>
          <cell r="P228" t="str">
            <v>Cerdo</v>
          </cell>
          <cell r="Q228" t="str">
            <v>Exportacion Directa</v>
          </cell>
          <cell r="R228" t="str">
            <v>1023351</v>
          </cell>
          <cell r="S228" t="str">
            <v>GO Panc S/tec L @VP Cj AP</v>
          </cell>
          <cell r="T228" t="str">
            <v>Panceta</v>
          </cell>
          <cell r="U228" t="str">
            <v>Panceta s/Cuero</v>
          </cell>
          <cell r="V228"/>
          <cell r="W228"/>
          <cell r="X228">
            <v>7484</v>
          </cell>
          <cell r="Y228">
            <v>37402</v>
          </cell>
          <cell r="Z228">
            <v>36664</v>
          </cell>
          <cell r="AA228">
            <v>20861</v>
          </cell>
        </row>
        <row r="229">
          <cell r="A229" t="str">
            <v>Exportacion Directa1023352</v>
          </cell>
          <cell r="B229" t="str">
            <v>Cerdo</v>
          </cell>
          <cell r="C229" t="str">
            <v>Exportacion Directa</v>
          </cell>
          <cell r="D229" t="str">
            <v>1023352</v>
          </cell>
          <cell r="E229" t="str">
            <v>GO Panc Tec S/cue@ R VP Cj ch AP</v>
          </cell>
          <cell r="F229" t="str">
            <v>Panceta</v>
          </cell>
          <cell r="G229" t="str">
            <v>Panceta s/Cuero</v>
          </cell>
          <cell r="H229"/>
          <cell r="I229"/>
          <cell r="J229"/>
          <cell r="K229">
            <v>45000</v>
          </cell>
          <cell r="L229">
            <v>118342</v>
          </cell>
          <cell r="M229">
            <v>77647</v>
          </cell>
          <cell r="O229" t="str">
            <v>Exportacion Directa1023352</v>
          </cell>
          <cell r="P229" t="str">
            <v>Cerdo</v>
          </cell>
          <cell r="Q229" t="str">
            <v>Exportacion Directa</v>
          </cell>
          <cell r="R229" t="str">
            <v>1023352</v>
          </cell>
          <cell r="S229" t="str">
            <v>GO Panc Tec S/cue@ R VP Cj ch AP</v>
          </cell>
          <cell r="T229" t="str">
            <v>Panceta</v>
          </cell>
          <cell r="U229" t="str">
            <v>Panceta s/Cuero</v>
          </cell>
          <cell r="V229"/>
          <cell r="W229"/>
          <cell r="X229"/>
          <cell r="Y229">
            <v>217858</v>
          </cell>
          <cell r="Z229">
            <v>566146</v>
          </cell>
          <cell r="AA229">
            <v>344236</v>
          </cell>
        </row>
        <row r="230">
          <cell r="A230" t="str">
            <v>Agro Sudamerica1030224</v>
          </cell>
          <cell r="B230" t="str">
            <v>Pavo</v>
          </cell>
          <cell r="C230" t="str">
            <v>Agro Sudamerica</v>
          </cell>
          <cell r="D230" t="str">
            <v>1030224</v>
          </cell>
          <cell r="E230" t="str">
            <v>PV Tru Larg@ Bo Cj 15k AS</v>
          </cell>
          <cell r="F230" t="str">
            <v>Trutro</v>
          </cell>
          <cell r="G230" t="str">
            <v>Trutro Largo</v>
          </cell>
          <cell r="H230">
            <v>48000</v>
          </cell>
          <cell r="I230">
            <v>72000</v>
          </cell>
          <cell r="J230">
            <v>48000</v>
          </cell>
          <cell r="K230">
            <v>48000</v>
          </cell>
          <cell r="L230">
            <v>48000</v>
          </cell>
          <cell r="M230">
            <v>168009</v>
          </cell>
          <cell r="O230" t="str">
            <v>Agro Sudamerica1030224</v>
          </cell>
          <cell r="P230" t="str">
            <v>Pavo</v>
          </cell>
          <cell r="Q230" t="str">
            <v>Agro Sudamerica</v>
          </cell>
          <cell r="R230" t="str">
            <v>1030224</v>
          </cell>
          <cell r="S230" t="str">
            <v>PV Tru Larg@ Bo Cj 15k AS</v>
          </cell>
          <cell r="T230" t="str">
            <v>Trutro</v>
          </cell>
          <cell r="U230" t="str">
            <v>Trutro Largo</v>
          </cell>
          <cell r="V230">
            <v>96960</v>
          </cell>
          <cell r="W230">
            <v>151019</v>
          </cell>
          <cell r="X230">
            <v>91200</v>
          </cell>
          <cell r="Y230">
            <v>89040</v>
          </cell>
          <cell r="Z230">
            <v>96480</v>
          </cell>
          <cell r="AA230">
            <v>363684</v>
          </cell>
        </row>
        <row r="231">
          <cell r="A231" t="str">
            <v>Agro Sudamerica1030332</v>
          </cell>
          <cell r="B231" t="str">
            <v>Pavo</v>
          </cell>
          <cell r="C231" t="str">
            <v>Agro Sudamerica</v>
          </cell>
          <cell r="D231" t="str">
            <v>1030332</v>
          </cell>
          <cell r="E231" t="str">
            <v>PV Tru Ala@ Ex Bo Cj AS</v>
          </cell>
          <cell r="F231" t="str">
            <v>Ala</v>
          </cell>
          <cell r="G231" t="str">
            <v>Ala Trutro</v>
          </cell>
          <cell r="H231">
            <v>48000</v>
          </cell>
          <cell r="I231">
            <v>168000</v>
          </cell>
          <cell r="J231">
            <v>72000</v>
          </cell>
          <cell r="K231">
            <v>48000</v>
          </cell>
          <cell r="L231">
            <v>48000</v>
          </cell>
          <cell r="M231"/>
          <cell r="O231" t="str">
            <v>Agro Sudamerica1030332</v>
          </cell>
          <cell r="P231" t="str">
            <v>Pavo</v>
          </cell>
          <cell r="Q231" t="str">
            <v>Agro Sudamerica</v>
          </cell>
          <cell r="R231" t="str">
            <v>1030332</v>
          </cell>
          <cell r="S231" t="str">
            <v>PV Tru Ala@ Ex Bo Cj AS</v>
          </cell>
          <cell r="T231" t="str">
            <v>Ala</v>
          </cell>
          <cell r="U231" t="str">
            <v>Ala Trutro</v>
          </cell>
          <cell r="V231">
            <v>72000</v>
          </cell>
          <cell r="W231">
            <v>251769</v>
          </cell>
          <cell r="X231">
            <v>111840</v>
          </cell>
          <cell r="Y231">
            <v>64800</v>
          </cell>
          <cell r="Z231">
            <v>72000</v>
          </cell>
          <cell r="AA231"/>
        </row>
        <row r="232">
          <cell r="A232" t="str">
            <v>Agro Sudamerica1030498</v>
          </cell>
          <cell r="B232" t="str">
            <v>Pavo</v>
          </cell>
          <cell r="C232" t="str">
            <v>Agro Sudamerica</v>
          </cell>
          <cell r="D232" t="str">
            <v>1030498</v>
          </cell>
          <cell r="E232" t="str">
            <v>PV Contre@ Bo Cj 10k AS</v>
          </cell>
          <cell r="F232" t="str">
            <v>Menudencias</v>
          </cell>
          <cell r="G232" t="str">
            <v>Menudencias Contre</v>
          </cell>
          <cell r="H232"/>
          <cell r="I232"/>
          <cell r="J232"/>
          <cell r="K232"/>
          <cell r="L232"/>
          <cell r="M232"/>
          <cell r="O232" t="str">
            <v>Agro Sudamerica1030498</v>
          </cell>
          <cell r="P232" t="str">
            <v>Pavo</v>
          </cell>
          <cell r="Q232" t="str">
            <v>Agro Sudamerica</v>
          </cell>
          <cell r="R232" t="str">
            <v>1030498</v>
          </cell>
          <cell r="S232" t="str">
            <v>PV Contre@ Bo Cj 10k AS</v>
          </cell>
          <cell r="T232" t="str">
            <v>Menudencias</v>
          </cell>
          <cell r="U232" t="str">
            <v>Menudencias Contre</v>
          </cell>
          <cell r="V232"/>
          <cell r="W232"/>
          <cell r="X232"/>
          <cell r="Y232"/>
          <cell r="Z232"/>
          <cell r="AA232"/>
        </row>
        <row r="233">
          <cell r="A233" t="str">
            <v>Agro Sudamerica1030545</v>
          </cell>
          <cell r="B233" t="str">
            <v>Pavo</v>
          </cell>
          <cell r="C233" t="str">
            <v>Agro Sudamerica</v>
          </cell>
          <cell r="D233" t="str">
            <v>1030545</v>
          </cell>
          <cell r="E233" t="str">
            <v>PV TruDeh Cort S/h S/p@ Bo Cj AS</v>
          </cell>
          <cell r="F233" t="str">
            <v>Trutro Desh</v>
          </cell>
          <cell r="G233" t="str">
            <v>Trutro Desh Corto</v>
          </cell>
          <cell r="H233">
            <v>24000</v>
          </cell>
          <cell r="I233">
            <v>48000</v>
          </cell>
          <cell r="J233">
            <v>44000</v>
          </cell>
          <cell r="K233">
            <v>24000</v>
          </cell>
          <cell r="L233">
            <v>72000</v>
          </cell>
          <cell r="M233"/>
          <cell r="O233" t="str">
            <v>Agro Sudamerica1030545</v>
          </cell>
          <cell r="P233" t="str">
            <v>Pavo</v>
          </cell>
          <cell r="Q233" t="str">
            <v>Agro Sudamerica</v>
          </cell>
          <cell r="R233" t="str">
            <v>1030545</v>
          </cell>
          <cell r="S233" t="str">
            <v>PV TruDeh Cort S/h S/p@ Bo Cj AS</v>
          </cell>
          <cell r="T233" t="str">
            <v>Trutro Desh</v>
          </cell>
          <cell r="U233" t="str">
            <v>Trutro Desh Corto</v>
          </cell>
          <cell r="V233">
            <v>102960</v>
          </cell>
          <cell r="W233">
            <v>198670</v>
          </cell>
          <cell r="X233">
            <v>190200</v>
          </cell>
          <cell r="Y233">
            <v>104400</v>
          </cell>
          <cell r="Z233">
            <v>308400</v>
          </cell>
          <cell r="AA233"/>
        </row>
        <row r="234">
          <cell r="A234" t="str">
            <v>Agro Sudamerica1030670</v>
          </cell>
          <cell r="B234" t="str">
            <v>Pavo</v>
          </cell>
          <cell r="C234" t="str">
            <v>Agro Sudamerica</v>
          </cell>
          <cell r="D234" t="str">
            <v>1030670</v>
          </cell>
          <cell r="E234" t="str">
            <v>PV PchDeh S/p c/f MA@ Cj 15k AS</v>
          </cell>
          <cell r="F234" t="str">
            <v>Pech Desh</v>
          </cell>
          <cell r="G234" t="str">
            <v>Pech Desh s/Piel</v>
          </cell>
          <cell r="H234">
            <v>24000</v>
          </cell>
          <cell r="I234">
            <v>96000</v>
          </cell>
          <cell r="J234">
            <v>48000</v>
          </cell>
          <cell r="K234">
            <v>72000</v>
          </cell>
          <cell r="L234">
            <v>72000</v>
          </cell>
          <cell r="M234">
            <v>48000</v>
          </cell>
          <cell r="O234" t="str">
            <v>Agro Sudamerica1030670</v>
          </cell>
          <cell r="P234" t="str">
            <v>Pavo</v>
          </cell>
          <cell r="Q234" t="str">
            <v>Agro Sudamerica</v>
          </cell>
          <cell r="R234" t="str">
            <v>1030670</v>
          </cell>
          <cell r="S234" t="str">
            <v>PV PchDeh S/p c/f MA@ Cj 15k AS</v>
          </cell>
          <cell r="T234" t="str">
            <v>Pech Desh</v>
          </cell>
          <cell r="U234" t="str">
            <v>Pech Desh s/Piel</v>
          </cell>
          <cell r="V234">
            <v>170400</v>
          </cell>
          <cell r="W234">
            <v>703800</v>
          </cell>
          <cell r="X234">
            <v>393280</v>
          </cell>
          <cell r="Y234">
            <v>579360</v>
          </cell>
          <cell r="Z234">
            <v>752400</v>
          </cell>
          <cell r="AA234">
            <v>572402</v>
          </cell>
        </row>
        <row r="235">
          <cell r="A235" t="str">
            <v>Agro Sudamerica1030720</v>
          </cell>
          <cell r="B235" t="str">
            <v>Pavo</v>
          </cell>
          <cell r="C235" t="str">
            <v>Agro Sudamerica</v>
          </cell>
          <cell r="D235" t="str">
            <v>1030720</v>
          </cell>
          <cell r="E235" t="str">
            <v>PV Piel Tru@ Bo Cj AS</v>
          </cell>
          <cell r="F235" t="str">
            <v>Recortes</v>
          </cell>
          <cell r="G235" t="str">
            <v>Recortes Piel</v>
          </cell>
          <cell r="H235"/>
          <cell r="I235">
            <v>24000</v>
          </cell>
          <cell r="J235">
            <v>24000</v>
          </cell>
          <cell r="K235">
            <v>28001</v>
          </cell>
          <cell r="L235">
            <v>48000</v>
          </cell>
          <cell r="M235">
            <v>24000</v>
          </cell>
          <cell r="O235" t="str">
            <v>Agro Sudamerica1030720</v>
          </cell>
          <cell r="P235" t="str">
            <v>Pavo</v>
          </cell>
          <cell r="Q235" t="str">
            <v>Agro Sudamerica</v>
          </cell>
          <cell r="R235" t="str">
            <v>1030720</v>
          </cell>
          <cell r="S235" t="str">
            <v>PV Piel Tru@ Bo Cj AS</v>
          </cell>
          <cell r="T235" t="str">
            <v>Recortes</v>
          </cell>
          <cell r="U235" t="str">
            <v>Recortes Piel</v>
          </cell>
          <cell r="V235"/>
          <cell r="W235">
            <v>12000</v>
          </cell>
          <cell r="X235">
            <v>12469</v>
          </cell>
          <cell r="Y235">
            <v>12880</v>
          </cell>
          <cell r="Z235">
            <v>22427</v>
          </cell>
          <cell r="AA235">
            <v>12960</v>
          </cell>
        </row>
        <row r="236">
          <cell r="A236" t="str">
            <v>Agro Sudamerica1030732</v>
          </cell>
          <cell r="B236" t="str">
            <v>Pavo</v>
          </cell>
          <cell r="C236" t="str">
            <v>Agro Sudamerica</v>
          </cell>
          <cell r="D236" t="str">
            <v>1030732</v>
          </cell>
          <cell r="E236" t="str">
            <v>PV PchDeh Mrps C/piel@ Cj 18k AS</v>
          </cell>
          <cell r="F236" t="str">
            <v>Pech Desh</v>
          </cell>
          <cell r="G236" t="str">
            <v>Pech Desh c/Piel</v>
          </cell>
          <cell r="H236"/>
          <cell r="I236"/>
          <cell r="J236"/>
          <cell r="K236"/>
          <cell r="L236"/>
          <cell r="M236"/>
          <cell r="O236" t="str">
            <v>Agro Sudamerica1030732</v>
          </cell>
          <cell r="P236" t="str">
            <v>Pavo</v>
          </cell>
          <cell r="Q236" t="str">
            <v>Agro Sudamerica</v>
          </cell>
          <cell r="R236" t="str">
            <v>1030732</v>
          </cell>
          <cell r="S236" t="str">
            <v>PV PchDeh Mrps C/piel@ Cj 18k AS</v>
          </cell>
          <cell r="T236" t="str">
            <v>Pech Desh</v>
          </cell>
          <cell r="U236" t="str">
            <v>Pech Desh c/Piel</v>
          </cell>
          <cell r="V236"/>
          <cell r="W236"/>
          <cell r="X236"/>
          <cell r="Y236"/>
          <cell r="Z236"/>
          <cell r="AA236"/>
        </row>
        <row r="237">
          <cell r="A237" t="str">
            <v>Agro Sudamerica1030739</v>
          </cell>
          <cell r="B237" t="str">
            <v>Pavo</v>
          </cell>
          <cell r="C237" t="str">
            <v>Agro Sudamerica</v>
          </cell>
          <cell r="D237" t="str">
            <v>1030739</v>
          </cell>
          <cell r="E237" t="str">
            <v>PV MA Tru Ala@ Bo Cj 15k AS</v>
          </cell>
          <cell r="F237" t="str">
            <v>Ala</v>
          </cell>
          <cell r="G237" t="str">
            <v>Ala Trutro</v>
          </cell>
          <cell r="H237"/>
          <cell r="I237"/>
          <cell r="J237"/>
          <cell r="K237"/>
          <cell r="L237"/>
          <cell r="M237"/>
          <cell r="O237" t="str">
            <v>Agro Sudamerica1030739</v>
          </cell>
          <cell r="P237" t="str">
            <v>Pavo</v>
          </cell>
          <cell r="Q237" t="str">
            <v>Agro Sudamerica</v>
          </cell>
          <cell r="R237" t="str">
            <v>1030739</v>
          </cell>
          <cell r="S237" t="str">
            <v>PV MA Tru Ala@ Bo Cj 15k AS</v>
          </cell>
          <cell r="T237" t="str">
            <v>Ala</v>
          </cell>
          <cell r="U237" t="str">
            <v>Ala Trutro</v>
          </cell>
          <cell r="V237"/>
          <cell r="W237"/>
          <cell r="X237"/>
          <cell r="Y237"/>
          <cell r="Z237"/>
          <cell r="AA237"/>
        </row>
        <row r="238">
          <cell r="A238" t="str">
            <v>Agro Sudamerica1030780</v>
          </cell>
          <cell r="B238" t="str">
            <v>Pavo</v>
          </cell>
          <cell r="C238" t="str">
            <v>Agro Sudamerica</v>
          </cell>
          <cell r="D238" t="str">
            <v>1030780</v>
          </cell>
          <cell r="E238" t="str">
            <v>PV Pch Ent c/p s/m@ Bo Cj 20k AS</v>
          </cell>
          <cell r="F238" t="str">
            <v>Pech</v>
          </cell>
          <cell r="G238" t="str">
            <v>Pech Entera</v>
          </cell>
          <cell r="H238"/>
          <cell r="I238"/>
          <cell r="J238"/>
          <cell r="K238"/>
          <cell r="L238"/>
          <cell r="M238"/>
          <cell r="O238" t="str">
            <v>Agro Sudamerica1030780</v>
          </cell>
          <cell r="P238" t="str">
            <v>Pavo</v>
          </cell>
          <cell r="Q238" t="str">
            <v>Agro Sudamerica</v>
          </cell>
          <cell r="R238" t="str">
            <v>1030780</v>
          </cell>
          <cell r="S238" t="str">
            <v>PV Pch Ent c/p s/m@ Bo Cj 20k AS</v>
          </cell>
          <cell r="T238" t="str">
            <v>Pech</v>
          </cell>
          <cell r="U238" t="str">
            <v>Pech Entera</v>
          </cell>
          <cell r="V238"/>
          <cell r="W238"/>
          <cell r="X238"/>
          <cell r="Y238"/>
          <cell r="Z238"/>
          <cell r="AA238"/>
        </row>
        <row r="239">
          <cell r="A239" t="str">
            <v>Agrosuper Asia1030309</v>
          </cell>
          <cell r="B239" t="str">
            <v>Pavo</v>
          </cell>
          <cell r="C239" t="str">
            <v>Agrosuper Asia</v>
          </cell>
          <cell r="D239" t="str">
            <v>1030309</v>
          </cell>
          <cell r="E239" t="str">
            <v>PV Cog MA 15 kg@ Bo Cj 15k SO</v>
          </cell>
          <cell r="F239" t="str">
            <v>Menudencias</v>
          </cell>
          <cell r="G239" t="str">
            <v>Menudencias Cogote</v>
          </cell>
          <cell r="H239">
            <v>16000</v>
          </cell>
          <cell r="I239"/>
          <cell r="J239">
            <v>22000</v>
          </cell>
          <cell r="K239"/>
          <cell r="L239"/>
          <cell r="M239"/>
          <cell r="O239" t="str">
            <v>Agrosuper Asia1030309</v>
          </cell>
          <cell r="P239" t="str">
            <v>Pavo</v>
          </cell>
          <cell r="Q239" t="str">
            <v>Agrosuper Asia</v>
          </cell>
          <cell r="R239" t="str">
            <v>1030309</v>
          </cell>
          <cell r="S239" t="str">
            <v>PV Cog MA 15 kg@ Bo Cj 15k SO</v>
          </cell>
          <cell r="T239" t="str">
            <v>Menudencias</v>
          </cell>
          <cell r="U239" t="str">
            <v>Menudencias Cogote</v>
          </cell>
          <cell r="V239">
            <v>21120</v>
          </cell>
          <cell r="W239"/>
          <cell r="X239">
            <v>28600</v>
          </cell>
          <cell r="Y239"/>
          <cell r="Z239"/>
          <cell r="AA239"/>
        </row>
        <row r="240">
          <cell r="A240" t="str">
            <v>Agrosuper Asia1030535</v>
          </cell>
          <cell r="B240" t="str">
            <v>Pavo</v>
          </cell>
          <cell r="C240" t="str">
            <v>Agrosuper Asia</v>
          </cell>
          <cell r="D240" t="str">
            <v>1030535</v>
          </cell>
          <cell r="E240" t="str">
            <v>PV Tru Larg MA@ Bo Cj SO</v>
          </cell>
          <cell r="F240" t="str">
            <v>Trutro</v>
          </cell>
          <cell r="G240" t="str">
            <v>Trutro Largo</v>
          </cell>
          <cell r="H240">
            <v>6000</v>
          </cell>
          <cell r="I240"/>
          <cell r="J240">
            <v>28000</v>
          </cell>
          <cell r="K240">
            <v>44000</v>
          </cell>
          <cell r="L240">
            <v>43998</v>
          </cell>
          <cell r="M240">
            <v>22000</v>
          </cell>
          <cell r="O240" t="str">
            <v>Agrosuper Asia1030535</v>
          </cell>
          <cell r="P240" t="str">
            <v>Pavo</v>
          </cell>
          <cell r="Q240" t="str">
            <v>Agrosuper Asia</v>
          </cell>
          <cell r="R240" t="str">
            <v>1030535</v>
          </cell>
          <cell r="S240" t="str">
            <v>PV Tru Larg MA@ Bo Cj SO</v>
          </cell>
          <cell r="T240" t="str">
            <v>Trutro</v>
          </cell>
          <cell r="U240" t="str">
            <v>Trutro Largo</v>
          </cell>
          <cell r="V240">
            <v>12420</v>
          </cell>
          <cell r="W240"/>
          <cell r="X240">
            <v>58940</v>
          </cell>
          <cell r="Y240">
            <v>104751</v>
          </cell>
          <cell r="Z240">
            <v>49774</v>
          </cell>
          <cell r="AA240">
            <v>50891</v>
          </cell>
        </row>
        <row r="241">
          <cell r="A241" t="str">
            <v>Agrosuper Asia1030542</v>
          </cell>
          <cell r="B241" t="str">
            <v>Pavo</v>
          </cell>
          <cell r="C241" t="str">
            <v>Agrosuper Asia</v>
          </cell>
          <cell r="D241" t="str">
            <v>1030542</v>
          </cell>
          <cell r="E241" t="str">
            <v>PV PchDeh S/p S/f@ Bo Cj 15k SO</v>
          </cell>
          <cell r="F241" t="str">
            <v>Pech Desh</v>
          </cell>
          <cell r="G241" t="str">
            <v>Pech Desh s/Piel</v>
          </cell>
          <cell r="H241"/>
          <cell r="I241"/>
          <cell r="J241"/>
          <cell r="K241"/>
          <cell r="L241"/>
          <cell r="M241"/>
          <cell r="O241" t="str">
            <v>Agrosuper Asia1030542</v>
          </cell>
          <cell r="P241" t="str">
            <v>Pavo</v>
          </cell>
          <cell r="Q241" t="str">
            <v>Agrosuper Asia</v>
          </cell>
          <cell r="R241" t="str">
            <v>1030542</v>
          </cell>
          <cell r="S241" t="str">
            <v>PV PchDeh S/p S/f@ Bo Cj 15k SO</v>
          </cell>
          <cell r="T241" t="str">
            <v>Pech Desh</v>
          </cell>
          <cell r="U241" t="str">
            <v>Pech Desh s/Piel</v>
          </cell>
          <cell r="V241"/>
          <cell r="W241"/>
          <cell r="X241"/>
          <cell r="Y241"/>
          <cell r="Z241"/>
          <cell r="AA241"/>
        </row>
        <row r="242">
          <cell r="A242" t="str">
            <v>Agrosuper Asia1030576</v>
          </cell>
          <cell r="B242" t="str">
            <v>Pavo</v>
          </cell>
          <cell r="C242" t="str">
            <v>Agrosuper Asia</v>
          </cell>
          <cell r="D242" t="str">
            <v>1030576</v>
          </cell>
          <cell r="E242" t="str">
            <v>PV Muestra Piel Tru Cor@ Bo Cj 15k AS</v>
          </cell>
          <cell r="F242" t="str">
            <v>Muestras</v>
          </cell>
          <cell r="G242" t="str">
            <v>Muestras</v>
          </cell>
          <cell r="H242"/>
          <cell r="I242"/>
          <cell r="J242"/>
          <cell r="K242"/>
          <cell r="L242"/>
          <cell r="M242"/>
          <cell r="O242" t="str">
            <v>Agrosuper Asia1030576</v>
          </cell>
          <cell r="P242" t="str">
            <v>Pavo</v>
          </cell>
          <cell r="Q242" t="str">
            <v>Agrosuper Asia</v>
          </cell>
          <cell r="R242" t="str">
            <v>1030576</v>
          </cell>
          <cell r="S242" t="str">
            <v>PV Muestra Piel Tru Cor@ Bo Cj 15k AS</v>
          </cell>
          <cell r="T242" t="str">
            <v>Muestras</v>
          </cell>
          <cell r="U242" t="str">
            <v>Muestras</v>
          </cell>
          <cell r="V242"/>
          <cell r="W242"/>
          <cell r="X242"/>
          <cell r="Y242"/>
          <cell r="Z242"/>
          <cell r="AA242"/>
        </row>
        <row r="243">
          <cell r="A243" t="str">
            <v>Agro Mexico1012764</v>
          </cell>
          <cell r="B243" t="str">
            <v>Pollo</v>
          </cell>
          <cell r="C243" t="str">
            <v>Agro Mexico</v>
          </cell>
          <cell r="D243" t="str">
            <v>1012764</v>
          </cell>
          <cell r="E243" t="str">
            <v>PO Ppa Esp@ Bo Cj 20k AS</v>
          </cell>
          <cell r="F243" t="str">
            <v>Carne Recuperada</v>
          </cell>
          <cell r="G243" t="str">
            <v>Carne Recuperada ADM</v>
          </cell>
          <cell r="H243"/>
          <cell r="I243"/>
          <cell r="J243"/>
          <cell r="K243"/>
          <cell r="L243"/>
          <cell r="M243">
            <v>312001</v>
          </cell>
          <cell r="O243" t="str">
            <v>Agro Mexico1012764</v>
          </cell>
          <cell r="P243" t="str">
            <v>Pollo</v>
          </cell>
          <cell r="Q243" t="str">
            <v>Agro Mexico</v>
          </cell>
          <cell r="R243" t="str">
            <v>1012764</v>
          </cell>
          <cell r="S243" t="str">
            <v>PO Ppa Esp@ Bo Cj 20k AS</v>
          </cell>
          <cell r="T243" t="str">
            <v>Carne Recuperada</v>
          </cell>
          <cell r="U243" t="str">
            <v>Carne Recuperada ADM</v>
          </cell>
          <cell r="V243"/>
          <cell r="W243"/>
          <cell r="X243"/>
          <cell r="Y243"/>
          <cell r="Z243"/>
          <cell r="AA243">
            <v>303633.28684000002</v>
          </cell>
        </row>
        <row r="244">
          <cell r="A244" t="str">
            <v>Agro Sudamerica1010877</v>
          </cell>
          <cell r="B244" t="str">
            <v>Pollo</v>
          </cell>
          <cell r="C244" t="str">
            <v>Agro Sudamerica</v>
          </cell>
          <cell r="D244" t="str">
            <v>1010877</v>
          </cell>
          <cell r="E244" t="str">
            <v>PO Molleja Mrps@ Cj 10k AS</v>
          </cell>
          <cell r="F244" t="str">
            <v>Menudencias</v>
          </cell>
          <cell r="G244" t="str">
            <v>Menudencias Contre</v>
          </cell>
          <cell r="H244">
            <v>96000</v>
          </cell>
          <cell r="I244">
            <v>123000</v>
          </cell>
          <cell r="J244">
            <v>95960</v>
          </cell>
          <cell r="K244">
            <v>48000</v>
          </cell>
          <cell r="L244">
            <v>115000</v>
          </cell>
          <cell r="M244">
            <v>162334</v>
          </cell>
          <cell r="O244" t="str">
            <v>Agro Sudamerica1010877</v>
          </cell>
          <cell r="P244" t="str">
            <v>Pollo</v>
          </cell>
          <cell r="Q244" t="str">
            <v>Agro Sudamerica</v>
          </cell>
          <cell r="R244" t="str">
            <v>1010877</v>
          </cell>
          <cell r="S244" t="str">
            <v>PO Molleja Mrps@ Cj 10k AS</v>
          </cell>
          <cell r="T244" t="str">
            <v>Menudencias</v>
          </cell>
          <cell r="U244" t="str">
            <v>Menudencias Contre</v>
          </cell>
          <cell r="V244">
            <v>106278.39999999999</v>
          </cell>
          <cell r="W244">
            <v>135580</v>
          </cell>
          <cell r="X244">
            <v>95964</v>
          </cell>
          <cell r="Y244">
            <v>44149</v>
          </cell>
          <cell r="Z244">
            <v>123460</v>
          </cell>
          <cell r="AA244">
            <v>173356</v>
          </cell>
        </row>
        <row r="245">
          <cell r="A245" t="str">
            <v>Agro Sudamerica1011042</v>
          </cell>
          <cell r="B245" t="str">
            <v>Pollo</v>
          </cell>
          <cell r="C245" t="str">
            <v>Agro Sudamerica</v>
          </cell>
          <cell r="D245" t="str">
            <v>1011042</v>
          </cell>
          <cell r="E245" t="str">
            <v>PO Pta Espinaz@ Cj 10k AS</v>
          </cell>
          <cell r="F245" t="str">
            <v>Cazuela</v>
          </cell>
          <cell r="G245" t="str">
            <v>Cazuela Espinazo</v>
          </cell>
          <cell r="H245">
            <v>24000</v>
          </cell>
          <cell r="I245"/>
          <cell r="J245">
            <v>23960</v>
          </cell>
          <cell r="K245"/>
          <cell r="L245">
            <v>72000</v>
          </cell>
          <cell r="M245">
            <v>36000</v>
          </cell>
          <cell r="O245" t="str">
            <v>Agro Sudamerica1011042</v>
          </cell>
          <cell r="P245" t="str">
            <v>Pollo</v>
          </cell>
          <cell r="Q245" t="str">
            <v>Agro Sudamerica</v>
          </cell>
          <cell r="R245" t="str">
            <v>1011042</v>
          </cell>
          <cell r="S245" t="str">
            <v>PO Pta Espinaz@ Cj 10k AS</v>
          </cell>
          <cell r="T245" t="str">
            <v>Cazuela</v>
          </cell>
          <cell r="U245" t="str">
            <v>Cazuela Espinazo</v>
          </cell>
          <cell r="V245">
            <v>10800</v>
          </cell>
          <cell r="W245"/>
          <cell r="X245">
            <v>9584</v>
          </cell>
          <cell r="Y245"/>
          <cell r="Z245">
            <v>36177</v>
          </cell>
          <cell r="AA245">
            <v>20036</v>
          </cell>
        </row>
        <row r="246">
          <cell r="A246" t="str">
            <v>Agro Sudamerica1011047</v>
          </cell>
          <cell r="B246" t="str">
            <v>Pollo</v>
          </cell>
          <cell r="C246" t="str">
            <v>Agro Sudamerica</v>
          </cell>
          <cell r="D246" t="str">
            <v>1011047</v>
          </cell>
          <cell r="E246" t="str">
            <v>PO PchDeh &gt;170g NMr@ Cj 10k SP</v>
          </cell>
          <cell r="F246" t="str">
            <v>Pechuga Desh</v>
          </cell>
          <cell r="G246" t="str">
            <v>Pechuga Desh s/Piel</v>
          </cell>
          <cell r="H246"/>
          <cell r="I246"/>
          <cell r="J246"/>
          <cell r="K246"/>
          <cell r="L246"/>
          <cell r="M246"/>
          <cell r="O246" t="str">
            <v>Agro Sudamerica1011047</v>
          </cell>
          <cell r="P246" t="str">
            <v>Pollo</v>
          </cell>
          <cell r="Q246" t="str">
            <v>Agro Sudamerica</v>
          </cell>
          <cell r="R246" t="str">
            <v>1011047</v>
          </cell>
          <cell r="S246" t="str">
            <v>PO PchDeh &gt;170g NMr@ Cj 10k SP</v>
          </cell>
          <cell r="T246" t="str">
            <v>Pechuga Desh</v>
          </cell>
          <cell r="U246" t="str">
            <v>Pechuga Desh s/Piel</v>
          </cell>
          <cell r="V246"/>
          <cell r="W246"/>
          <cell r="X246"/>
          <cell r="Y246"/>
          <cell r="Z246"/>
          <cell r="AA246"/>
        </row>
        <row r="247">
          <cell r="A247" t="str">
            <v>Agro Sudamerica1011127</v>
          </cell>
          <cell r="B247" t="str">
            <v>Pollo</v>
          </cell>
          <cell r="C247" t="str">
            <v>Agro Sudamerica</v>
          </cell>
          <cell r="D247" t="str">
            <v>1011127</v>
          </cell>
          <cell r="E247" t="str">
            <v>PO PchDeh Random Mr Mex@ Cj 10k AS</v>
          </cell>
          <cell r="F247" t="str">
            <v>Pechuga Desh</v>
          </cell>
          <cell r="G247" t="str">
            <v>Pechuga Desh s/Piel</v>
          </cell>
          <cell r="H247"/>
          <cell r="I247"/>
          <cell r="J247">
            <v>47000</v>
          </cell>
          <cell r="K247">
            <v>24000</v>
          </cell>
          <cell r="L247"/>
          <cell r="M247"/>
          <cell r="O247" t="str">
            <v>Agro Sudamerica1011127</v>
          </cell>
          <cell r="P247" t="str">
            <v>Pollo</v>
          </cell>
          <cell r="Q247" t="str">
            <v>Agro Sudamerica</v>
          </cell>
          <cell r="R247" t="str">
            <v>1011127</v>
          </cell>
          <cell r="S247" t="str">
            <v>PO PchDeh Random Mr Mex@ Cj 10k AS</v>
          </cell>
          <cell r="T247" t="str">
            <v>Pechuga Desh</v>
          </cell>
          <cell r="U247" t="str">
            <v>Pechuga Desh s/Piel</v>
          </cell>
          <cell r="V247"/>
          <cell r="W247"/>
          <cell r="X247">
            <v>170500</v>
          </cell>
          <cell r="Y247">
            <v>98880</v>
          </cell>
          <cell r="Z247"/>
          <cell r="AA247"/>
        </row>
        <row r="248">
          <cell r="A248" t="str">
            <v>Agro Sudamerica1011250</v>
          </cell>
          <cell r="B248" t="str">
            <v>Pollo</v>
          </cell>
          <cell r="C248" t="str">
            <v>Agro Sudamerica</v>
          </cell>
          <cell r="D248" t="str">
            <v>1011250</v>
          </cell>
          <cell r="E248" t="str">
            <v>PO PchDeh NMr s/cal 4x10@ Cj 20k Am AS</v>
          </cell>
          <cell r="F248" t="str">
            <v>Pechuga Desh</v>
          </cell>
          <cell r="G248" t="str">
            <v>Pechuga Desh s/Piel</v>
          </cell>
          <cell r="H248"/>
          <cell r="I248"/>
          <cell r="J248"/>
          <cell r="K248"/>
          <cell r="L248"/>
          <cell r="M248"/>
          <cell r="O248" t="str">
            <v>Agro Sudamerica1011250</v>
          </cell>
          <cell r="P248" t="str">
            <v>Pollo</v>
          </cell>
          <cell r="Q248" t="str">
            <v>Agro Sudamerica</v>
          </cell>
          <cell r="R248" t="str">
            <v>1011250</v>
          </cell>
          <cell r="S248" t="str">
            <v>PO PchDeh NMr s/cal 4x10@ Cj 20k Am AS</v>
          </cell>
          <cell r="T248" t="str">
            <v>Pechuga Desh</v>
          </cell>
          <cell r="U248" t="str">
            <v>Pechuga Desh s/Piel</v>
          </cell>
          <cell r="V248"/>
          <cell r="W248"/>
          <cell r="X248"/>
          <cell r="Y248"/>
          <cell r="Z248"/>
          <cell r="AA248"/>
        </row>
        <row r="249">
          <cell r="A249" t="str">
            <v>Agro Sudamerica1011290</v>
          </cell>
          <cell r="B249" t="str">
            <v>Pollo</v>
          </cell>
          <cell r="C249" t="str">
            <v>Agro Sudamerica</v>
          </cell>
          <cell r="D249" t="str">
            <v>1011290</v>
          </cell>
          <cell r="E249" t="str">
            <v>PO Pch Piel@ Cj 20k AS</v>
          </cell>
          <cell r="F249" t="str">
            <v>Subprod</v>
          </cell>
          <cell r="G249" t="str">
            <v>Subprod Piel</v>
          </cell>
          <cell r="H249">
            <v>24000</v>
          </cell>
          <cell r="I249">
            <v>23700</v>
          </cell>
          <cell r="J249"/>
          <cell r="K249">
            <v>24000</v>
          </cell>
          <cell r="L249"/>
          <cell r="M249">
            <v>8000</v>
          </cell>
          <cell r="O249" t="str">
            <v>Agro Sudamerica1011290</v>
          </cell>
          <cell r="P249" t="str">
            <v>Pollo</v>
          </cell>
          <cell r="Q249" t="str">
            <v>Agro Sudamerica</v>
          </cell>
          <cell r="R249" t="str">
            <v>1011290</v>
          </cell>
          <cell r="S249" t="str">
            <v>PO Pch Piel@ Cj 20k AS</v>
          </cell>
          <cell r="T249" t="str">
            <v>Subprod</v>
          </cell>
          <cell r="U249" t="str">
            <v>Subprod Piel</v>
          </cell>
          <cell r="V249">
            <v>14800</v>
          </cell>
          <cell r="W249">
            <v>14615</v>
          </cell>
          <cell r="X249"/>
          <cell r="Y249">
            <v>12000</v>
          </cell>
          <cell r="Z249"/>
          <cell r="AA249">
            <v>3942</v>
          </cell>
        </row>
        <row r="250">
          <cell r="A250" t="str">
            <v>Agro Sudamerica1011421</v>
          </cell>
          <cell r="B250" t="str">
            <v>Pollo</v>
          </cell>
          <cell r="C250" t="str">
            <v>Agro Sudamerica</v>
          </cell>
          <cell r="D250" t="str">
            <v>1011421</v>
          </cell>
          <cell r="E250" t="str">
            <v>PO Ppa Esp 50 Pim@ Cj 20k AS</v>
          </cell>
          <cell r="F250" t="str">
            <v>Carne Recuperada</v>
          </cell>
          <cell r="G250" t="str">
            <v>Carne Recuperada Pul</v>
          </cell>
          <cell r="H250">
            <v>620000</v>
          </cell>
          <cell r="I250">
            <v>696000</v>
          </cell>
          <cell r="J250">
            <v>840000</v>
          </cell>
          <cell r="K250">
            <v>720000</v>
          </cell>
          <cell r="L250">
            <v>888000</v>
          </cell>
          <cell r="M250">
            <v>647996</v>
          </cell>
          <cell r="O250" t="str">
            <v>Agro Sudamerica1011421</v>
          </cell>
          <cell r="P250" t="str">
            <v>Pollo</v>
          </cell>
          <cell r="Q250" t="str">
            <v>Agro Sudamerica</v>
          </cell>
          <cell r="R250" t="str">
            <v>1011421</v>
          </cell>
          <cell r="S250" t="str">
            <v>PO Ppa Esp 50 Pim@ Cj 20k AS</v>
          </cell>
          <cell r="T250" t="str">
            <v>Carne Recuperada</v>
          </cell>
          <cell r="U250" t="str">
            <v>Carne Recuperada Pul</v>
          </cell>
          <cell r="V250">
            <v>527000</v>
          </cell>
          <cell r="W250">
            <v>487200</v>
          </cell>
          <cell r="X250">
            <v>630000</v>
          </cell>
          <cell r="Y250">
            <v>562800</v>
          </cell>
          <cell r="Z250">
            <v>700080</v>
          </cell>
          <cell r="AA250">
            <v>639293</v>
          </cell>
        </row>
        <row r="251">
          <cell r="A251" t="str">
            <v>Agro Sudamerica1011422</v>
          </cell>
          <cell r="B251" t="str">
            <v>Pollo</v>
          </cell>
          <cell r="C251" t="str">
            <v>Agro Sudamerica</v>
          </cell>
          <cell r="D251" t="str">
            <v>1011422</v>
          </cell>
          <cell r="E251" t="str">
            <v>PO Pch Piel Pim 50 ppm@ Cj 14 AS</v>
          </cell>
          <cell r="F251" t="str">
            <v>Subprod</v>
          </cell>
          <cell r="G251" t="str">
            <v>Subprod Piel</v>
          </cell>
          <cell r="H251"/>
          <cell r="I251"/>
          <cell r="J251">
            <v>24000</v>
          </cell>
          <cell r="K251"/>
          <cell r="L251"/>
          <cell r="M251"/>
          <cell r="O251" t="str">
            <v>Agro Sudamerica1011422</v>
          </cell>
          <cell r="P251" t="str">
            <v>Pollo</v>
          </cell>
          <cell r="Q251" t="str">
            <v>Agro Sudamerica</v>
          </cell>
          <cell r="R251" t="str">
            <v>1011422</v>
          </cell>
          <cell r="S251" t="str">
            <v>PO Pch Piel Pim 50 ppm@ Cj 14 AS</v>
          </cell>
          <cell r="T251" t="str">
            <v>Subprod</v>
          </cell>
          <cell r="U251" t="str">
            <v>Subprod Piel</v>
          </cell>
          <cell r="V251"/>
          <cell r="W251"/>
          <cell r="X251">
            <v>12000</v>
          </cell>
          <cell r="Y251"/>
          <cell r="Z251"/>
          <cell r="AA251"/>
        </row>
        <row r="252">
          <cell r="A252" t="str">
            <v>Agro Sudamerica1011558</v>
          </cell>
          <cell r="B252" t="str">
            <v>Pollo</v>
          </cell>
          <cell r="C252" t="str">
            <v>Agro Sudamerica</v>
          </cell>
          <cell r="D252" t="str">
            <v>1011558</v>
          </cell>
          <cell r="E252" t="str">
            <v>PO Ppa Esp@ 2 blo x 10k Cj AS</v>
          </cell>
          <cell r="F252" t="str">
            <v>Carne Recuperada</v>
          </cell>
          <cell r="G252" t="str">
            <v>Carne Recuperada Pul</v>
          </cell>
          <cell r="H252">
            <v>192000</v>
          </cell>
          <cell r="I252">
            <v>408000</v>
          </cell>
          <cell r="J252">
            <v>288000</v>
          </cell>
          <cell r="K252">
            <v>264000</v>
          </cell>
          <cell r="L252">
            <v>168000</v>
          </cell>
          <cell r="M252">
            <v>119997</v>
          </cell>
          <cell r="O252" t="str">
            <v>Agro Sudamerica1011558</v>
          </cell>
          <cell r="P252" t="str">
            <v>Pollo</v>
          </cell>
          <cell r="Q252" t="str">
            <v>Agro Sudamerica</v>
          </cell>
          <cell r="R252" t="str">
            <v>1011558</v>
          </cell>
          <cell r="S252" t="str">
            <v>PO Ppa Esp@ 2 blo x 10k Cj AS</v>
          </cell>
          <cell r="T252" t="str">
            <v>Carne Recuperada</v>
          </cell>
          <cell r="U252" t="str">
            <v>Carne Recuperada Pul</v>
          </cell>
          <cell r="V252">
            <v>172800</v>
          </cell>
          <cell r="W252">
            <v>399280</v>
          </cell>
          <cell r="X252">
            <v>225819</v>
          </cell>
          <cell r="Y252">
            <v>212400</v>
          </cell>
          <cell r="Z252">
            <v>115440</v>
          </cell>
          <cell r="AA252">
            <v>138381</v>
          </cell>
        </row>
        <row r="253">
          <cell r="A253" t="str">
            <v>Agro Sudamerica1011582</v>
          </cell>
          <cell r="B253" t="str">
            <v>Pollo</v>
          </cell>
          <cell r="C253" t="str">
            <v>Agro Sudamerica</v>
          </cell>
          <cell r="D253" t="str">
            <v>1011582</v>
          </cell>
          <cell r="E253" t="str">
            <v>GA S/m@ Gr Cj bca AS</v>
          </cell>
          <cell r="F253" t="str">
            <v>Reproductor</v>
          </cell>
          <cell r="G253" t="str">
            <v>Reproductor Gallina</v>
          </cell>
          <cell r="H253">
            <v>24000</v>
          </cell>
          <cell r="I253">
            <v>82000</v>
          </cell>
          <cell r="J253">
            <v>60000</v>
          </cell>
          <cell r="K253">
            <v>24000</v>
          </cell>
          <cell r="L253">
            <v>46500</v>
          </cell>
          <cell r="M253"/>
          <cell r="O253" t="str">
            <v>Agro Sudamerica1011582</v>
          </cell>
          <cell r="P253" t="str">
            <v>Pollo</v>
          </cell>
          <cell r="Q253" t="str">
            <v>Agro Sudamerica</v>
          </cell>
          <cell r="R253" t="str">
            <v>1011582</v>
          </cell>
          <cell r="S253" t="str">
            <v>GA S/m@ Gr Cj bca AS</v>
          </cell>
          <cell r="T253" t="str">
            <v>Reproductor</v>
          </cell>
          <cell r="U253" t="str">
            <v>Reproductor Gallina</v>
          </cell>
          <cell r="V253">
            <v>22240</v>
          </cell>
          <cell r="W253">
            <v>79107</v>
          </cell>
          <cell r="X253">
            <v>58200</v>
          </cell>
          <cell r="Y253">
            <v>19680</v>
          </cell>
          <cell r="Z253">
            <v>45105</v>
          </cell>
          <cell r="AA253"/>
        </row>
        <row r="254">
          <cell r="A254" t="str">
            <v>Agro Sudamerica1011888</v>
          </cell>
          <cell r="B254" t="str">
            <v>Pollo</v>
          </cell>
          <cell r="C254" t="str">
            <v>Agro Sudamerica</v>
          </cell>
          <cell r="D254" t="str">
            <v>1011888</v>
          </cell>
          <cell r="E254" t="str">
            <v>PO Piel de pollo@ CJ As</v>
          </cell>
          <cell r="F254" t="str">
            <v>Subprod</v>
          </cell>
          <cell r="G254" t="str">
            <v>Subprod Piel</v>
          </cell>
          <cell r="H254"/>
          <cell r="I254"/>
          <cell r="J254"/>
          <cell r="K254"/>
          <cell r="L254"/>
          <cell r="M254"/>
          <cell r="O254" t="str">
            <v>Agro Sudamerica1011888</v>
          </cell>
          <cell r="P254" t="str">
            <v>Pollo</v>
          </cell>
          <cell r="Q254" t="str">
            <v>Agro Sudamerica</v>
          </cell>
          <cell r="R254" t="str">
            <v>1011888</v>
          </cell>
          <cell r="S254" t="str">
            <v>PO Piel de pollo@ CJ As</v>
          </cell>
          <cell r="T254" t="str">
            <v>Subprod</v>
          </cell>
          <cell r="U254" t="str">
            <v>Subprod Piel</v>
          </cell>
          <cell r="V254"/>
          <cell r="W254"/>
          <cell r="X254"/>
          <cell r="Y254"/>
          <cell r="Z254"/>
          <cell r="AA254"/>
        </row>
        <row r="255">
          <cell r="A255" t="str">
            <v>Agro Sudamerica1011939</v>
          </cell>
          <cell r="B255" t="str">
            <v>Pollo</v>
          </cell>
          <cell r="C255" t="str">
            <v>Agro Sudamerica</v>
          </cell>
          <cell r="D255" t="str">
            <v>1011939</v>
          </cell>
          <cell r="E255" t="str">
            <v>PO Tru Larg@ NNII Cj 15k</v>
          </cell>
          <cell r="F255" t="str">
            <v>Trutro</v>
          </cell>
          <cell r="G255" t="str">
            <v>Trutro Largo</v>
          </cell>
          <cell r="H255"/>
          <cell r="I255"/>
          <cell r="J255"/>
          <cell r="K255"/>
          <cell r="L255"/>
          <cell r="M255"/>
          <cell r="O255" t="str">
            <v>Agro Sudamerica1011939</v>
          </cell>
          <cell r="P255" t="str">
            <v>Pollo</v>
          </cell>
          <cell r="Q255" t="str">
            <v>Agro Sudamerica</v>
          </cell>
          <cell r="R255" t="str">
            <v>1011939</v>
          </cell>
          <cell r="S255" t="str">
            <v>PO Tru Larg@ NNII Cj 15k</v>
          </cell>
          <cell r="T255" t="str">
            <v>Trutro</v>
          </cell>
          <cell r="U255" t="str">
            <v>Trutro Largo</v>
          </cell>
          <cell r="V255"/>
          <cell r="W255"/>
          <cell r="X255"/>
          <cell r="Y255"/>
          <cell r="Z255"/>
          <cell r="AA255"/>
        </row>
        <row r="256">
          <cell r="A256" t="str">
            <v>Agro Sudamerica1012207</v>
          </cell>
          <cell r="B256" t="str">
            <v>Pollo</v>
          </cell>
          <cell r="C256" t="str">
            <v>Agro Sudamerica</v>
          </cell>
          <cell r="D256" t="str">
            <v>1012207</v>
          </cell>
          <cell r="E256" t="str">
            <v>PO Ctre Mrps@ Bo 12x1k Cj AS</v>
          </cell>
          <cell r="F256" t="str">
            <v>Menudencias</v>
          </cell>
          <cell r="G256" t="str">
            <v>Menudencias Contre</v>
          </cell>
          <cell r="H256">
            <v>24000</v>
          </cell>
          <cell r="I256">
            <v>60000</v>
          </cell>
          <cell r="J256">
            <v>55476</v>
          </cell>
          <cell r="K256">
            <v>24000</v>
          </cell>
          <cell r="L256">
            <v>48000</v>
          </cell>
          <cell r="M256">
            <v>72000</v>
          </cell>
          <cell r="O256" t="str">
            <v>Agro Sudamerica1012207</v>
          </cell>
          <cell r="P256" t="str">
            <v>Pollo</v>
          </cell>
          <cell r="Q256" t="str">
            <v>Agro Sudamerica</v>
          </cell>
          <cell r="R256" t="str">
            <v>1012207</v>
          </cell>
          <cell r="S256" t="str">
            <v>PO Ctre Mrps@ Bo 12x1k Cj AS</v>
          </cell>
          <cell r="T256" t="str">
            <v>Menudencias</v>
          </cell>
          <cell r="U256" t="str">
            <v>Menudencias Contre</v>
          </cell>
          <cell r="V256">
            <v>31254.7673</v>
          </cell>
          <cell r="W256">
            <v>73760</v>
          </cell>
          <cell r="X256">
            <v>63571</v>
          </cell>
          <cell r="Y256">
            <v>22080</v>
          </cell>
          <cell r="Z256">
            <v>58667</v>
          </cell>
          <cell r="AA256">
            <v>90939</v>
          </cell>
        </row>
        <row r="257">
          <cell r="A257" t="str">
            <v>Agro Sudamerica1012208</v>
          </cell>
          <cell r="B257" t="str">
            <v>Pollo</v>
          </cell>
          <cell r="C257" t="str">
            <v>Agro Sudamerica</v>
          </cell>
          <cell r="D257" t="str">
            <v>1012208</v>
          </cell>
          <cell r="E257" t="str">
            <v>GA S/m@ Bo Cj AS</v>
          </cell>
          <cell r="F257" t="str">
            <v>Reproductor</v>
          </cell>
          <cell r="G257" t="str">
            <v>Reproductor Gallina</v>
          </cell>
          <cell r="H257">
            <v>24000</v>
          </cell>
          <cell r="I257">
            <v>120000</v>
          </cell>
          <cell r="J257">
            <v>72000</v>
          </cell>
          <cell r="K257"/>
          <cell r="L257">
            <v>24000</v>
          </cell>
          <cell r="M257">
            <v>24000</v>
          </cell>
          <cell r="O257" t="str">
            <v>Agro Sudamerica1012208</v>
          </cell>
          <cell r="P257" t="str">
            <v>Pollo</v>
          </cell>
          <cell r="Q257" t="str">
            <v>Agro Sudamerica</v>
          </cell>
          <cell r="R257" t="str">
            <v>1012208</v>
          </cell>
          <cell r="S257" t="str">
            <v>GA S/m@ Bo Cj AS</v>
          </cell>
          <cell r="T257" t="str">
            <v>Reproductor</v>
          </cell>
          <cell r="U257" t="str">
            <v>Reproductor Gallina</v>
          </cell>
          <cell r="V257">
            <v>34374.025999999998</v>
          </cell>
          <cell r="W257">
            <v>172320</v>
          </cell>
          <cell r="X257">
            <v>105840</v>
          </cell>
          <cell r="Y257"/>
          <cell r="Z257">
            <v>34080</v>
          </cell>
          <cell r="AA257">
            <v>36052</v>
          </cell>
        </row>
        <row r="258">
          <cell r="A258" t="str">
            <v>Agro Sudamerica1012283</v>
          </cell>
          <cell r="B258" t="str">
            <v>Pollo</v>
          </cell>
          <cell r="C258" t="str">
            <v>Agro Sudamerica</v>
          </cell>
          <cell r="D258" t="str">
            <v>1012283</v>
          </cell>
          <cell r="E258" t="str">
            <v>PO Pana S/Corazón@ Cj 20k AS</v>
          </cell>
          <cell r="F258" t="str">
            <v>Menudencias</v>
          </cell>
          <cell r="G258" t="str">
            <v>Menudencias Pana</v>
          </cell>
          <cell r="H258">
            <v>72000</v>
          </cell>
          <cell r="I258">
            <v>48000</v>
          </cell>
          <cell r="J258">
            <v>60779</v>
          </cell>
          <cell r="K258">
            <v>48000</v>
          </cell>
          <cell r="L258">
            <v>48000</v>
          </cell>
          <cell r="M258">
            <v>48000</v>
          </cell>
          <cell r="O258" t="str">
            <v>Agro Sudamerica1012283</v>
          </cell>
          <cell r="P258" t="str">
            <v>Pollo</v>
          </cell>
          <cell r="Q258" t="str">
            <v>Agro Sudamerica</v>
          </cell>
          <cell r="R258" t="str">
            <v>1012283</v>
          </cell>
          <cell r="S258" t="str">
            <v>PO Pana S/Corazón@ Cj 20k AS</v>
          </cell>
          <cell r="T258" t="str">
            <v>Menudencias</v>
          </cell>
          <cell r="U258" t="str">
            <v>Menudencias Pana</v>
          </cell>
          <cell r="V258">
            <v>50924.302000000003</v>
          </cell>
          <cell r="W258">
            <v>34400</v>
          </cell>
          <cell r="X258">
            <v>42545</v>
          </cell>
          <cell r="Y258">
            <v>36960</v>
          </cell>
          <cell r="Z258">
            <v>38133</v>
          </cell>
          <cell r="AA258">
            <v>38287</v>
          </cell>
        </row>
        <row r="259">
          <cell r="A259" t="str">
            <v>Agro Sudamerica1012362</v>
          </cell>
          <cell r="B259" t="str">
            <v>Pollo</v>
          </cell>
          <cell r="C259" t="str">
            <v>Agro Sudamerica</v>
          </cell>
          <cell r="D259" t="str">
            <v>1012362</v>
          </cell>
          <cell r="E259" t="str">
            <v>PO Corazon@ Cj 18k AS</v>
          </cell>
          <cell r="F259" t="str">
            <v>Menudencias</v>
          </cell>
          <cell r="G259" t="str">
            <v>Menudencias Corazón</v>
          </cell>
          <cell r="H259"/>
          <cell r="I259">
            <v>3000</v>
          </cell>
          <cell r="J259"/>
          <cell r="K259"/>
          <cell r="L259">
            <v>13000</v>
          </cell>
          <cell r="M259">
            <v>10000</v>
          </cell>
          <cell r="O259" t="str">
            <v>Agro Sudamerica1012362</v>
          </cell>
          <cell r="P259" t="str">
            <v>Pollo</v>
          </cell>
          <cell r="Q259" t="str">
            <v>Agro Sudamerica</v>
          </cell>
          <cell r="R259" t="str">
            <v>1012362</v>
          </cell>
          <cell r="S259" t="str">
            <v>PO Corazon@ Cj 18k AS</v>
          </cell>
          <cell r="T259" t="str">
            <v>Menudencias</v>
          </cell>
          <cell r="U259" t="str">
            <v>Menudencias Corazón</v>
          </cell>
          <cell r="V259"/>
          <cell r="W259">
            <v>1790</v>
          </cell>
          <cell r="X259"/>
          <cell r="Y259"/>
          <cell r="Z259">
            <v>10310</v>
          </cell>
          <cell r="AA259">
            <v>7859</v>
          </cell>
        </row>
        <row r="260">
          <cell r="A260" t="str">
            <v>Agro Sudamerica1012552</v>
          </cell>
          <cell r="B260" t="str">
            <v>Pollo</v>
          </cell>
          <cell r="C260" t="str">
            <v>Agro Sudamerica</v>
          </cell>
          <cell r="D260" t="str">
            <v>1012552</v>
          </cell>
          <cell r="E260" t="str">
            <v>PO PchDeh Random@ Cj 10k AS</v>
          </cell>
          <cell r="F260" t="str">
            <v>Pechuga Desh</v>
          </cell>
          <cell r="G260" t="str">
            <v>Pechuga Desh s/Piel</v>
          </cell>
          <cell r="H260">
            <v>48000</v>
          </cell>
          <cell r="I260">
            <v>48000</v>
          </cell>
          <cell r="J260">
            <v>48000</v>
          </cell>
          <cell r="K260">
            <v>24000</v>
          </cell>
          <cell r="L260">
            <v>72000</v>
          </cell>
          <cell r="M260">
            <v>46000</v>
          </cell>
          <cell r="O260" t="str">
            <v>Agro Sudamerica1012552</v>
          </cell>
          <cell r="P260" t="str">
            <v>Pollo</v>
          </cell>
          <cell r="Q260" t="str">
            <v>Agro Sudamerica</v>
          </cell>
          <cell r="R260" t="str">
            <v>1012552</v>
          </cell>
          <cell r="S260" t="str">
            <v>PO PchDeh Random@ Cj 10k AS</v>
          </cell>
          <cell r="T260" t="str">
            <v>Pechuga Desh</v>
          </cell>
          <cell r="U260" t="str">
            <v>Pechuga Desh s/Piel</v>
          </cell>
          <cell r="V260">
            <v>168000</v>
          </cell>
          <cell r="W260">
            <v>176400</v>
          </cell>
          <cell r="X260">
            <v>194629</v>
          </cell>
          <cell r="Y260">
            <v>94080</v>
          </cell>
          <cell r="Z260">
            <v>321014</v>
          </cell>
          <cell r="AA260">
            <v>207000</v>
          </cell>
        </row>
        <row r="261">
          <cell r="A261" t="str">
            <v>Agro Sudamerica1012556</v>
          </cell>
          <cell r="B261" t="str">
            <v>Pollo</v>
          </cell>
          <cell r="C261" t="str">
            <v>Agro Sudamerica</v>
          </cell>
          <cell r="D261" t="str">
            <v>1012556</v>
          </cell>
          <cell r="E261" t="str">
            <v>PO CDM 14% proteina@ Cj 20k AS</v>
          </cell>
          <cell r="F261" t="str">
            <v>Carne Recuperada</v>
          </cell>
          <cell r="G261" t="str">
            <v>Carne Recuperada ADM</v>
          </cell>
          <cell r="H261"/>
          <cell r="I261"/>
          <cell r="J261">
            <v>24000</v>
          </cell>
          <cell r="K261">
            <v>72000</v>
          </cell>
          <cell r="L261">
            <v>48000</v>
          </cell>
          <cell r="M261"/>
          <cell r="O261" t="str">
            <v>Agro Sudamerica1012556</v>
          </cell>
          <cell r="P261" t="str">
            <v>Pollo</v>
          </cell>
          <cell r="Q261" t="str">
            <v>Agro Sudamerica</v>
          </cell>
          <cell r="R261" t="str">
            <v>1012556</v>
          </cell>
          <cell r="S261" t="str">
            <v>PO CDM 14% proteina@ Cj 20k AS</v>
          </cell>
          <cell r="T261" t="str">
            <v>Carne Recuperada</v>
          </cell>
          <cell r="U261" t="str">
            <v>Carne Recuperada ADM</v>
          </cell>
          <cell r="V261"/>
          <cell r="W261"/>
          <cell r="X261">
            <v>18950</v>
          </cell>
          <cell r="Y261">
            <v>57600</v>
          </cell>
          <cell r="Z261">
            <v>38400</v>
          </cell>
          <cell r="AA261"/>
        </row>
        <row r="262">
          <cell r="A262" t="str">
            <v>Agro Sudamerica1012602</v>
          </cell>
          <cell r="B262" t="str">
            <v>Pollo</v>
          </cell>
          <cell r="C262" t="str">
            <v>Agro Sudamerica</v>
          </cell>
          <cell r="D262" t="str">
            <v>1012602</v>
          </cell>
          <cell r="E262" t="str">
            <v>PO Ala Ctro NMr IQF@ Cj 20k AS</v>
          </cell>
          <cell r="F262" t="str">
            <v>Ala</v>
          </cell>
          <cell r="G262" t="str">
            <v>Ala Centro</v>
          </cell>
          <cell r="H262"/>
          <cell r="I262"/>
          <cell r="J262"/>
          <cell r="K262"/>
          <cell r="L262"/>
          <cell r="M262"/>
          <cell r="O262" t="str">
            <v>Agro Sudamerica1012602</v>
          </cell>
          <cell r="P262" t="str">
            <v>Pollo</v>
          </cell>
          <cell r="Q262" t="str">
            <v>Agro Sudamerica</v>
          </cell>
          <cell r="R262" t="str">
            <v>1012602</v>
          </cell>
          <cell r="S262" t="str">
            <v>PO Ala Ctro NMr IQF@ Cj 20k AS</v>
          </cell>
          <cell r="T262" t="str">
            <v>Ala</v>
          </cell>
          <cell r="U262" t="str">
            <v>Ala Centro</v>
          </cell>
          <cell r="V262"/>
          <cell r="W262"/>
          <cell r="X262"/>
          <cell r="Y262"/>
          <cell r="Z262"/>
          <cell r="AA262"/>
        </row>
        <row r="263">
          <cell r="A263" t="str">
            <v>Agro Sudamerica1012612</v>
          </cell>
          <cell r="B263" t="str">
            <v>Pollo</v>
          </cell>
          <cell r="C263" t="str">
            <v>Agro Sudamerica</v>
          </cell>
          <cell r="D263" t="str">
            <v>1012612</v>
          </cell>
          <cell r="E263" t="str">
            <v>PO Ppa Esp Blo@ Bo Cj 20k AS</v>
          </cell>
          <cell r="F263" t="str">
            <v>Carne Recuperada</v>
          </cell>
          <cell r="G263" t="str">
            <v>Carne Recuperada Pul</v>
          </cell>
          <cell r="H263"/>
          <cell r="I263"/>
          <cell r="J263"/>
          <cell r="K263"/>
          <cell r="L263"/>
          <cell r="M263"/>
          <cell r="O263" t="str">
            <v>Agro Sudamerica1012612</v>
          </cell>
          <cell r="P263" t="str">
            <v>Pollo</v>
          </cell>
          <cell r="Q263" t="str">
            <v>Agro Sudamerica</v>
          </cell>
          <cell r="R263" t="str">
            <v>1012612</v>
          </cell>
          <cell r="S263" t="str">
            <v>PO Ppa Esp Blo@ Bo Cj 20k AS</v>
          </cell>
          <cell r="T263" t="str">
            <v>Carne Recuperada</v>
          </cell>
          <cell r="U263" t="str">
            <v>Carne Recuperada Pul</v>
          </cell>
          <cell r="V263"/>
          <cell r="W263"/>
          <cell r="X263"/>
          <cell r="Y263"/>
          <cell r="Z263"/>
          <cell r="AA263"/>
        </row>
        <row r="264">
          <cell r="A264" t="str">
            <v>Agro Sudamerica1012698</v>
          </cell>
          <cell r="B264" t="str">
            <v>Pollo</v>
          </cell>
          <cell r="C264" t="str">
            <v>Agro Sudamerica</v>
          </cell>
          <cell r="D264" t="str">
            <v>1012698</v>
          </cell>
          <cell r="E264" t="str">
            <v>PO File 4x10 NMr SD@ CJ AS</v>
          </cell>
          <cell r="F264" t="str">
            <v>Filete</v>
          </cell>
          <cell r="G264" t="str">
            <v>Filete</v>
          </cell>
          <cell r="H264"/>
          <cell r="I264"/>
          <cell r="J264">
            <v>80</v>
          </cell>
          <cell r="K264"/>
          <cell r="L264"/>
          <cell r="M264"/>
          <cell r="O264" t="str">
            <v>Agro Sudamerica1012698</v>
          </cell>
          <cell r="P264" t="str">
            <v>Pollo</v>
          </cell>
          <cell r="Q264" t="str">
            <v>Agro Sudamerica</v>
          </cell>
          <cell r="R264" t="str">
            <v>1012698</v>
          </cell>
          <cell r="S264" t="str">
            <v>PO File 4x10 NMr SD@ CJ AS</v>
          </cell>
          <cell r="T264" t="str">
            <v>Filete</v>
          </cell>
          <cell r="U264" t="str">
            <v>Filete</v>
          </cell>
          <cell r="V264"/>
          <cell r="W264"/>
          <cell r="X264">
            <v>480</v>
          </cell>
          <cell r="Y264"/>
          <cell r="Z264"/>
          <cell r="AA264"/>
        </row>
        <row r="265">
          <cell r="A265" t="str">
            <v>Agro Sudamerica1012699</v>
          </cell>
          <cell r="B265" t="str">
            <v>Pollo</v>
          </cell>
          <cell r="C265" t="str">
            <v>Agro Sudamerica</v>
          </cell>
          <cell r="D265" t="str">
            <v>1012699</v>
          </cell>
          <cell r="E265" t="str">
            <v>PO Tru- Ctro Ala 4x10NMr@Bo Cj 20k SD</v>
          </cell>
          <cell r="F265" t="str">
            <v>Ala</v>
          </cell>
          <cell r="G265" t="str">
            <v>Ala Trutro</v>
          </cell>
          <cell r="H265"/>
          <cell r="I265"/>
          <cell r="J265">
            <v>80</v>
          </cell>
          <cell r="K265"/>
          <cell r="L265"/>
          <cell r="M265"/>
          <cell r="O265" t="str">
            <v>Agro Sudamerica1012699</v>
          </cell>
          <cell r="P265" t="str">
            <v>Pollo</v>
          </cell>
          <cell r="Q265" t="str">
            <v>Agro Sudamerica</v>
          </cell>
          <cell r="R265" t="str">
            <v>1012699</v>
          </cell>
          <cell r="S265" t="str">
            <v>PO Tru- Ctro Ala 4x10NMr@Bo Cj 20k SD</v>
          </cell>
          <cell r="T265" t="str">
            <v>Ala</v>
          </cell>
          <cell r="U265" t="str">
            <v>Ala Trutro</v>
          </cell>
          <cell r="V265"/>
          <cell r="W265"/>
          <cell r="X265">
            <v>520</v>
          </cell>
          <cell r="Y265"/>
          <cell r="Z265"/>
          <cell r="AA265"/>
        </row>
        <row r="266">
          <cell r="A266" t="str">
            <v>Agro Sudamerica1012719</v>
          </cell>
          <cell r="B266" t="str">
            <v>Pollo</v>
          </cell>
          <cell r="C266" t="str">
            <v>Agro Sudamerica</v>
          </cell>
          <cell r="D266" t="str">
            <v>1012719</v>
          </cell>
          <cell r="E266" t="str">
            <v>PO Ppa Esp@ 2 Blox10kg CJ AS SD</v>
          </cell>
          <cell r="F266" t="str">
            <v>Carne Recuperada</v>
          </cell>
          <cell r="G266" t="str">
            <v>Carne Recuperada ADM</v>
          </cell>
          <cell r="H266">
            <v>192000</v>
          </cell>
          <cell r="I266">
            <v>423600</v>
          </cell>
          <cell r="J266">
            <v>357200</v>
          </cell>
          <cell r="K266">
            <v>144000</v>
          </cell>
          <cell r="L266">
            <v>358600</v>
          </cell>
          <cell r="M266">
            <v>24000</v>
          </cell>
          <cell r="O266" t="str">
            <v>Agro Sudamerica1012719</v>
          </cell>
          <cell r="P266" t="str">
            <v>Pollo</v>
          </cell>
          <cell r="Q266" t="str">
            <v>Agro Sudamerica</v>
          </cell>
          <cell r="R266" t="str">
            <v>1012719</v>
          </cell>
          <cell r="S266" t="str">
            <v>PO Ppa Esp@ 2 Blox10kg CJ AS SD</v>
          </cell>
          <cell r="T266" t="str">
            <v>Carne Recuperada</v>
          </cell>
          <cell r="U266" t="str">
            <v>Carne Recuperada ADM</v>
          </cell>
          <cell r="V266">
            <v>134400</v>
          </cell>
          <cell r="W266">
            <v>285844</v>
          </cell>
          <cell r="X266">
            <v>241660</v>
          </cell>
          <cell r="Y266">
            <v>80640</v>
          </cell>
          <cell r="Z266">
            <v>251432</v>
          </cell>
          <cell r="AA266">
            <v>16965</v>
          </cell>
        </row>
        <row r="267">
          <cell r="A267" t="str">
            <v>Agro Sudamerica1012744</v>
          </cell>
          <cell r="B267" t="str">
            <v>Pollo</v>
          </cell>
          <cell r="C267" t="str">
            <v>Agro Sudamerica</v>
          </cell>
          <cell r="D267" t="str">
            <v>1012744</v>
          </cell>
          <cell r="E267" t="str">
            <v>PO Pch Deh NMr@SD Cj 20kg AS</v>
          </cell>
          <cell r="F267" t="str">
            <v>Pechuga Desh</v>
          </cell>
          <cell r="G267" t="str">
            <v>Pechuga Desh s/Piel</v>
          </cell>
          <cell r="H267"/>
          <cell r="I267">
            <v>143000</v>
          </cell>
          <cell r="J267">
            <v>72000</v>
          </cell>
          <cell r="K267">
            <v>24000</v>
          </cell>
          <cell r="L267">
            <v>24000</v>
          </cell>
          <cell r="M267"/>
          <cell r="O267" t="str">
            <v>Agro Sudamerica1012744</v>
          </cell>
          <cell r="P267" t="str">
            <v>Pollo</v>
          </cell>
          <cell r="Q267" t="str">
            <v>Agro Sudamerica</v>
          </cell>
          <cell r="R267" t="str">
            <v>1012744</v>
          </cell>
          <cell r="S267" t="str">
            <v>PO Pch Deh NMr@SD Cj 20kg AS</v>
          </cell>
          <cell r="T267" t="str">
            <v>Pechuga Desh</v>
          </cell>
          <cell r="U267" t="str">
            <v>Pechuga Desh s/Piel</v>
          </cell>
          <cell r="V267"/>
          <cell r="W267">
            <v>487469</v>
          </cell>
          <cell r="X267">
            <v>249600</v>
          </cell>
          <cell r="Y267">
            <v>78000</v>
          </cell>
          <cell r="Z267">
            <v>81600</v>
          </cell>
          <cell r="AA267"/>
        </row>
        <row r="268">
          <cell r="A268" t="str">
            <v>Agro Sudamerica1012763</v>
          </cell>
          <cell r="B268" t="str">
            <v>Pollo</v>
          </cell>
          <cell r="C268" t="str">
            <v>Agro Sudamerica</v>
          </cell>
          <cell r="D268" t="str">
            <v>1012763</v>
          </cell>
          <cell r="E268" t="str">
            <v>PO Pana S/cora blo@Cj 20kg AS</v>
          </cell>
          <cell r="F268" t="str">
            <v>Menudencias</v>
          </cell>
          <cell r="G268" t="str">
            <v>Menudencias Pana</v>
          </cell>
          <cell r="H268"/>
          <cell r="I268"/>
          <cell r="J268">
            <v>48000</v>
          </cell>
          <cell r="K268">
            <v>48000</v>
          </cell>
          <cell r="L268">
            <v>48000</v>
          </cell>
          <cell r="M268">
            <v>48000</v>
          </cell>
          <cell r="O268" t="str">
            <v>Agro Sudamerica1012763</v>
          </cell>
          <cell r="P268" t="str">
            <v>Pollo</v>
          </cell>
          <cell r="Q268" t="str">
            <v>Agro Sudamerica</v>
          </cell>
          <cell r="R268" t="str">
            <v>1012763</v>
          </cell>
          <cell r="S268" t="str">
            <v>PO Pana S/cora blo@Cj 20kg AS</v>
          </cell>
          <cell r="T268" t="str">
            <v>Menudencias</v>
          </cell>
          <cell r="U268" t="str">
            <v>Menudencias Pana</v>
          </cell>
          <cell r="V268"/>
          <cell r="W268"/>
          <cell r="X268">
            <v>33600</v>
          </cell>
          <cell r="Y268">
            <v>35760</v>
          </cell>
          <cell r="Z268">
            <v>33334</v>
          </cell>
          <cell r="AA268">
            <v>33539</v>
          </cell>
        </row>
        <row r="269">
          <cell r="A269" t="str">
            <v>Agro Sudamerica1012778</v>
          </cell>
          <cell r="B269" t="str">
            <v>Pollo</v>
          </cell>
          <cell r="C269" t="str">
            <v>Agro Sudamerica</v>
          </cell>
          <cell r="D269" t="str">
            <v>1012778</v>
          </cell>
          <cell r="E269" t="str">
            <v>PO Corazón@ Placa Cj 19kg SD</v>
          </cell>
          <cell r="F269" t="str">
            <v>Menudencias</v>
          </cell>
          <cell r="G269" t="str">
            <v>Menudencias Corazón</v>
          </cell>
          <cell r="H269"/>
          <cell r="I269"/>
          <cell r="J269"/>
          <cell r="K269"/>
          <cell r="L269">
            <v>24000</v>
          </cell>
          <cell r="M269">
            <v>24000</v>
          </cell>
          <cell r="O269" t="str">
            <v>Agro Sudamerica1012778</v>
          </cell>
          <cell r="P269" t="str">
            <v>Pollo</v>
          </cell>
          <cell r="Q269" t="str">
            <v>Agro Sudamerica</v>
          </cell>
          <cell r="R269" t="str">
            <v>1012778</v>
          </cell>
          <cell r="S269" t="str">
            <v>PO Corazón@ Placa Cj 19kg SD</v>
          </cell>
          <cell r="T269" t="str">
            <v>Menudencias</v>
          </cell>
          <cell r="U269" t="str">
            <v>Menudencias Corazón</v>
          </cell>
          <cell r="V269"/>
          <cell r="W269"/>
          <cell r="X269"/>
          <cell r="Y269"/>
          <cell r="Z269">
            <v>12000</v>
          </cell>
          <cell r="AA269">
            <v>16800</v>
          </cell>
        </row>
        <row r="270">
          <cell r="A270" t="str">
            <v>Agro Sudamerica1011566</v>
          </cell>
          <cell r="B270" t="str">
            <v>Pollo</v>
          </cell>
          <cell r="C270" t="str">
            <v>Agro Sudamerica</v>
          </cell>
          <cell r="D270" t="str">
            <v>1011566</v>
          </cell>
          <cell r="E270" t="str">
            <v>PO Garra Lag@Cj 20 kg Muestra</v>
          </cell>
          <cell r="F270" t="str">
            <v>Muestra</v>
          </cell>
          <cell r="G270" t="str">
            <v>Muestra</v>
          </cell>
          <cell r="H270"/>
          <cell r="I270"/>
          <cell r="J270"/>
          <cell r="K270"/>
          <cell r="L270"/>
          <cell r="M270"/>
          <cell r="O270" t="str">
            <v>Agro Sudamerica1011566</v>
          </cell>
          <cell r="P270" t="str">
            <v>Pollo</v>
          </cell>
          <cell r="Q270" t="str">
            <v>Agro Sudamerica</v>
          </cell>
          <cell r="R270" t="str">
            <v>1011566</v>
          </cell>
          <cell r="S270" t="str">
            <v>PO Garra Lag@Cj 20 kg Muestra</v>
          </cell>
          <cell r="T270" t="str">
            <v>Muestra</v>
          </cell>
          <cell r="U270" t="str">
            <v>Muestra</v>
          </cell>
          <cell r="V270"/>
          <cell r="W270"/>
          <cell r="X270"/>
          <cell r="Y270"/>
          <cell r="Z270"/>
          <cell r="AA270"/>
        </row>
        <row r="271">
          <cell r="A271" t="str">
            <v>Agro Sudamerica1012782</v>
          </cell>
          <cell r="B271" t="str">
            <v>Pollo</v>
          </cell>
          <cell r="C271" t="str">
            <v>Agro Sudamerica</v>
          </cell>
          <cell r="D271" t="str">
            <v>1012782</v>
          </cell>
          <cell r="E271" t="str">
            <v>PO Pch Piel@CF Cj 18 k</v>
          </cell>
          <cell r="F271" t="str">
            <v>Subprod</v>
          </cell>
          <cell r="G271" t="str">
            <v>Subprod Piel</v>
          </cell>
          <cell r="H271"/>
          <cell r="I271"/>
          <cell r="J271"/>
          <cell r="K271"/>
          <cell r="L271"/>
          <cell r="M271"/>
          <cell r="O271" t="str">
            <v>Agro Sudamerica1012782</v>
          </cell>
          <cell r="P271" t="str">
            <v>Pollo</v>
          </cell>
          <cell r="Q271" t="str">
            <v>Agro Sudamerica</v>
          </cell>
          <cell r="R271" t="str">
            <v>1012782</v>
          </cell>
          <cell r="S271" t="str">
            <v>PO Pch Piel@CF Cj 18 k</v>
          </cell>
          <cell r="T271" t="str">
            <v>Subprod</v>
          </cell>
          <cell r="U271" t="str">
            <v>Subprod Piel</v>
          </cell>
          <cell r="V271"/>
          <cell r="W271"/>
          <cell r="X271"/>
          <cell r="Y271"/>
          <cell r="Z271"/>
          <cell r="AA271"/>
        </row>
        <row r="272">
          <cell r="A272" t="str">
            <v>Agrosuper Asia1012012</v>
          </cell>
          <cell r="B272" t="str">
            <v>Pollo</v>
          </cell>
          <cell r="C272" t="str">
            <v>Agrosuper Asia</v>
          </cell>
          <cell r="D272" t="str">
            <v>1012012</v>
          </cell>
          <cell r="E272" t="str">
            <v>PO Ala Ctro Mr@ Fi Cj 18k AS</v>
          </cell>
          <cell r="F272" t="str">
            <v>Ala</v>
          </cell>
          <cell r="G272" t="str">
            <v>Ala Centro</v>
          </cell>
          <cell r="H272">
            <v>108000</v>
          </cell>
          <cell r="I272">
            <v>88000</v>
          </cell>
          <cell r="J272"/>
          <cell r="K272"/>
          <cell r="L272"/>
          <cell r="M272">
            <v>19958</v>
          </cell>
          <cell r="O272" t="str">
            <v>Agrosuper Asia1012012</v>
          </cell>
          <cell r="P272" t="str">
            <v>Pollo</v>
          </cell>
          <cell r="Q272" t="str">
            <v>Agrosuper Asia</v>
          </cell>
          <cell r="R272" t="str">
            <v>1012012</v>
          </cell>
          <cell r="S272" t="str">
            <v>PO Ala Ctro Mr@ Fi Cj 18k AS</v>
          </cell>
          <cell r="T272" t="str">
            <v>Ala</v>
          </cell>
          <cell r="U272" t="str">
            <v>Ala Centro</v>
          </cell>
          <cell r="V272">
            <v>851564.46669999999</v>
          </cell>
          <cell r="W272">
            <v>445280</v>
          </cell>
          <cell r="X272"/>
          <cell r="Y272"/>
          <cell r="Z272"/>
          <cell r="AA272">
            <v>146960</v>
          </cell>
        </row>
        <row r="273">
          <cell r="A273" t="str">
            <v>Agrosuper Asia1012612</v>
          </cell>
          <cell r="B273" t="str">
            <v>Pollo</v>
          </cell>
          <cell r="C273" t="str">
            <v>Agrosuper Asia</v>
          </cell>
          <cell r="D273" t="str">
            <v>1012612</v>
          </cell>
          <cell r="E273" t="str">
            <v>PO Ppa Esp Blo@ Bo Cj 20k AS</v>
          </cell>
          <cell r="F273" t="str">
            <v>Carne Recuperada</v>
          </cell>
          <cell r="G273" t="str">
            <v>Carne Recuperada Pul</v>
          </cell>
          <cell r="H273">
            <v>625000</v>
          </cell>
          <cell r="I273">
            <v>625000</v>
          </cell>
          <cell r="J273">
            <v>950000</v>
          </cell>
          <cell r="K273">
            <v>1100000</v>
          </cell>
          <cell r="L273">
            <v>1291866</v>
          </cell>
          <cell r="M273">
            <v>1074071</v>
          </cell>
          <cell r="O273" t="str">
            <v>Agrosuper Asia1012612</v>
          </cell>
          <cell r="P273" t="str">
            <v>Pollo</v>
          </cell>
          <cell r="Q273" t="str">
            <v>Agrosuper Asia</v>
          </cell>
          <cell r="R273" t="str">
            <v>1012612</v>
          </cell>
          <cell r="S273" t="str">
            <v>PO Ppa Esp Blo@ Bo Cj 20k AS</v>
          </cell>
          <cell r="T273" t="str">
            <v>Carne Recuperada</v>
          </cell>
          <cell r="U273" t="str">
            <v>Carne Recuperada Pul</v>
          </cell>
          <cell r="V273">
            <v>354215.07679999998</v>
          </cell>
          <cell r="W273">
            <v>420938</v>
          </cell>
          <cell r="X273">
            <v>695083</v>
          </cell>
          <cell r="Y273">
            <v>1039305</v>
          </cell>
          <cell r="Z273">
            <v>1122892</v>
          </cell>
          <cell r="AA273">
            <v>1235238</v>
          </cell>
        </row>
        <row r="274">
          <cell r="A274" t="str">
            <v>Agrosuper Brasil1011560</v>
          </cell>
          <cell r="B274" t="str">
            <v>Pollo</v>
          </cell>
          <cell r="C274" t="str">
            <v>Agrosuper Brasil</v>
          </cell>
          <cell r="D274" t="str">
            <v>1011560</v>
          </cell>
          <cell r="E274" t="str">
            <v>PO Corazón@ Bo Cj 18k AS</v>
          </cell>
          <cell r="F274" t="str">
            <v>Menudencias</v>
          </cell>
          <cell r="G274" t="str">
            <v>Menudencias Corazón</v>
          </cell>
          <cell r="H274"/>
          <cell r="I274">
            <v>24000</v>
          </cell>
          <cell r="J274"/>
          <cell r="K274"/>
          <cell r="L274">
            <v>24000</v>
          </cell>
          <cell r="M274">
            <v>24000</v>
          </cell>
          <cell r="O274" t="str">
            <v>Agrosuper Brasil1011560</v>
          </cell>
          <cell r="P274" t="str">
            <v>Pollo</v>
          </cell>
          <cell r="Q274" t="str">
            <v>Agrosuper Brasil</v>
          </cell>
          <cell r="R274" t="str">
            <v>1011560</v>
          </cell>
          <cell r="S274" t="str">
            <v>PO Corazón@ Bo Cj 18k AS</v>
          </cell>
          <cell r="T274" t="str">
            <v>Menudencias</v>
          </cell>
          <cell r="U274" t="str">
            <v>Menudencias Corazón</v>
          </cell>
          <cell r="V274"/>
          <cell r="W274">
            <v>60000</v>
          </cell>
          <cell r="X274"/>
          <cell r="Y274"/>
          <cell r="Z274">
            <v>60000</v>
          </cell>
          <cell r="AA274">
            <v>64134</v>
          </cell>
        </row>
        <row r="275">
          <cell r="A275" t="str">
            <v>Agrosuper Brasil1012362</v>
          </cell>
          <cell r="B275" t="str">
            <v>Pollo</v>
          </cell>
          <cell r="C275" t="str">
            <v>Agrosuper Brasil</v>
          </cell>
          <cell r="D275" t="str">
            <v>1012362</v>
          </cell>
          <cell r="E275" t="str">
            <v>PO Corazon@ Cj 18k AS</v>
          </cell>
          <cell r="F275" t="str">
            <v>Menudencias</v>
          </cell>
          <cell r="G275" t="str">
            <v>Menudencias Corazón</v>
          </cell>
          <cell r="H275">
            <v>24000</v>
          </cell>
          <cell r="I275">
            <v>24000</v>
          </cell>
          <cell r="J275">
            <v>47990</v>
          </cell>
          <cell r="K275">
            <v>23995</v>
          </cell>
          <cell r="L275">
            <v>24000</v>
          </cell>
          <cell r="M275">
            <v>24000</v>
          </cell>
          <cell r="O275" t="str">
            <v>Agrosuper Brasil1012362</v>
          </cell>
          <cell r="P275" t="str">
            <v>Pollo</v>
          </cell>
          <cell r="Q275" t="str">
            <v>Agrosuper Brasil</v>
          </cell>
          <cell r="R275" t="str">
            <v>1012362</v>
          </cell>
          <cell r="S275" t="str">
            <v>PO Corazon@ Cj 18k AS</v>
          </cell>
          <cell r="T275" t="str">
            <v>Menudencias</v>
          </cell>
          <cell r="U275" t="str">
            <v>Menudencias Corazón</v>
          </cell>
          <cell r="V275">
            <v>69600</v>
          </cell>
          <cell r="W275">
            <v>66400</v>
          </cell>
          <cell r="X275">
            <v>136772</v>
          </cell>
          <cell r="Y275">
            <v>70785</v>
          </cell>
          <cell r="Z275">
            <v>64800</v>
          </cell>
          <cell r="AA275">
            <v>64800</v>
          </cell>
        </row>
        <row r="276">
          <cell r="A276" t="str">
            <v>Agrosuper Brasil1012674</v>
          </cell>
          <cell r="B276" t="str">
            <v>Pollo</v>
          </cell>
          <cell r="C276" t="str">
            <v>Agrosuper Brasil</v>
          </cell>
          <cell r="D276" t="str">
            <v>1012674</v>
          </cell>
          <cell r="E276" t="str">
            <v>PO Corazon@Pla Cj 19k</v>
          </cell>
          <cell r="F276" t="str">
            <v>Menudencias</v>
          </cell>
          <cell r="G276" t="str">
            <v>Menudencias Corazón</v>
          </cell>
          <cell r="H276">
            <v>24000</v>
          </cell>
          <cell r="I276">
            <v>72000</v>
          </cell>
          <cell r="J276">
            <v>24000</v>
          </cell>
          <cell r="K276">
            <v>23995</v>
          </cell>
          <cell r="L276">
            <v>24000</v>
          </cell>
          <cell r="M276">
            <v>48000</v>
          </cell>
          <cell r="O276" t="str">
            <v>Agrosuper Brasil1012674</v>
          </cell>
          <cell r="P276" t="str">
            <v>Pollo</v>
          </cell>
          <cell r="Q276" t="str">
            <v>Agrosuper Brasil</v>
          </cell>
          <cell r="R276" t="str">
            <v>1012674</v>
          </cell>
          <cell r="S276" t="str">
            <v>PO Corazon@Pla Cj 19k</v>
          </cell>
          <cell r="T276" t="str">
            <v>Menudencias</v>
          </cell>
          <cell r="U276" t="str">
            <v>Menudencias Corazón</v>
          </cell>
          <cell r="V276">
            <v>64800</v>
          </cell>
          <cell r="W276">
            <v>184509</v>
          </cell>
          <cell r="X276">
            <v>64800</v>
          </cell>
          <cell r="Y276">
            <v>63587</v>
          </cell>
          <cell r="Z276">
            <v>60000</v>
          </cell>
          <cell r="AA276">
            <v>119200</v>
          </cell>
        </row>
        <row r="277">
          <cell r="A277" t="str">
            <v>Agrosuper Shanghai1011586</v>
          </cell>
          <cell r="B277" t="str">
            <v>Pollo</v>
          </cell>
          <cell r="C277" t="str">
            <v>Agrosuper Shanghai</v>
          </cell>
          <cell r="D277" t="str">
            <v>1011586</v>
          </cell>
          <cell r="E277" t="str">
            <v>PO Ala Media B 4x10@ Cj 20k AS</v>
          </cell>
          <cell r="F277" t="str">
            <v>Ala</v>
          </cell>
          <cell r="G277" t="str">
            <v>Ala Centro</v>
          </cell>
          <cell r="H277">
            <v>96000</v>
          </cell>
          <cell r="I277">
            <v>72000</v>
          </cell>
          <cell r="J277">
            <v>48000</v>
          </cell>
          <cell r="K277">
            <v>48000</v>
          </cell>
          <cell r="L277">
            <v>48000</v>
          </cell>
          <cell r="M277">
            <v>24000</v>
          </cell>
          <cell r="O277" t="str">
            <v>Agrosuper Shanghai1011586</v>
          </cell>
          <cell r="P277" t="str">
            <v>Pollo</v>
          </cell>
          <cell r="Q277" t="str">
            <v>Agrosuper Shanghai</v>
          </cell>
          <cell r="R277" t="str">
            <v>1011586</v>
          </cell>
          <cell r="S277" t="str">
            <v>PO Ala Media B 4x10@ Cj 20k AS</v>
          </cell>
          <cell r="T277" t="str">
            <v>Ala</v>
          </cell>
          <cell r="U277" t="str">
            <v>Ala Centro</v>
          </cell>
          <cell r="V277">
            <v>231360</v>
          </cell>
          <cell r="W277">
            <v>185400</v>
          </cell>
          <cell r="X277">
            <v>112800</v>
          </cell>
          <cell r="Y277">
            <v>130080</v>
          </cell>
          <cell r="Z277">
            <v>145830</v>
          </cell>
          <cell r="AA277">
            <v>86400</v>
          </cell>
        </row>
        <row r="278">
          <cell r="A278" t="str">
            <v>Agrosuper Shanghai1011968</v>
          </cell>
          <cell r="B278" t="str">
            <v>Pollo</v>
          </cell>
          <cell r="C278" t="str">
            <v>Agrosuper Shanghai</v>
          </cell>
          <cell r="D278" t="str">
            <v>1011968</v>
          </cell>
          <cell r="E278" t="str">
            <v>PO Garra L A@ Bo Cj 20k AS</v>
          </cell>
          <cell r="F278" t="str">
            <v>Patas</v>
          </cell>
          <cell r="G278" t="str">
            <v>Patas Garras</v>
          </cell>
          <cell r="H278">
            <v>5660</v>
          </cell>
          <cell r="I278"/>
          <cell r="J278"/>
          <cell r="K278"/>
          <cell r="L278"/>
          <cell r="M278"/>
          <cell r="O278" t="str">
            <v>Agrosuper Shanghai1011968</v>
          </cell>
          <cell r="P278" t="str">
            <v>Pollo</v>
          </cell>
          <cell r="Q278" t="str">
            <v>Agrosuper Shanghai</v>
          </cell>
          <cell r="R278" t="str">
            <v>1011968</v>
          </cell>
          <cell r="S278" t="str">
            <v>PO Garra L A@ Bo Cj 20k AS</v>
          </cell>
          <cell r="T278" t="str">
            <v>Patas</v>
          </cell>
          <cell r="U278" t="str">
            <v>Patas Garras</v>
          </cell>
          <cell r="V278">
            <v>20942</v>
          </cell>
          <cell r="W278"/>
          <cell r="X278"/>
          <cell r="Y278"/>
          <cell r="Z278"/>
          <cell r="AA278"/>
        </row>
        <row r="279">
          <cell r="A279" t="str">
            <v>Agrosuper Shanghai1012312</v>
          </cell>
          <cell r="B279" t="str">
            <v>Pollo</v>
          </cell>
          <cell r="C279" t="str">
            <v>Agrosuper Shanghai</v>
          </cell>
          <cell r="D279" t="str">
            <v>1012312</v>
          </cell>
          <cell r="E279" t="str">
            <v>PO Piel @ Cj 20k AS MUESTRA SAG</v>
          </cell>
          <cell r="F279" t="str">
            <v>Muestra</v>
          </cell>
          <cell r="G279" t="str">
            <v>Muestra</v>
          </cell>
          <cell r="H279"/>
          <cell r="I279"/>
          <cell r="J279"/>
          <cell r="K279"/>
          <cell r="L279"/>
          <cell r="M279"/>
          <cell r="O279" t="str">
            <v>Agrosuper Shanghai1012312</v>
          </cell>
          <cell r="P279" t="str">
            <v>Pollo</v>
          </cell>
          <cell r="Q279" t="str">
            <v>Agrosuper Shanghai</v>
          </cell>
          <cell r="R279" t="str">
            <v>1012312</v>
          </cell>
          <cell r="S279" t="str">
            <v>PO Piel @ Cj 20k AS MUESTRA SAG</v>
          </cell>
          <cell r="T279" t="str">
            <v>Muestra</v>
          </cell>
          <cell r="U279" t="str">
            <v>Muestra</v>
          </cell>
          <cell r="V279"/>
          <cell r="W279"/>
          <cell r="X279"/>
          <cell r="Y279"/>
          <cell r="Z279"/>
          <cell r="AA279"/>
        </row>
        <row r="280">
          <cell r="A280" t="str">
            <v>Agrosuper Shanghai1012448</v>
          </cell>
          <cell r="B280" t="str">
            <v>Pollo</v>
          </cell>
          <cell r="C280" t="str">
            <v>Agrosuper Shanghai</v>
          </cell>
          <cell r="D280" t="str">
            <v>1012448</v>
          </cell>
          <cell r="E280" t="str">
            <v>PO Garra Economy@ Cj 20k AS</v>
          </cell>
          <cell r="F280" t="str">
            <v>Patas</v>
          </cell>
          <cell r="G280" t="str">
            <v>Patas Garras</v>
          </cell>
          <cell r="H280">
            <v>168000</v>
          </cell>
          <cell r="I280">
            <v>144000</v>
          </cell>
          <cell r="J280">
            <v>96000</v>
          </cell>
          <cell r="K280">
            <v>144000</v>
          </cell>
          <cell r="L280">
            <v>168000</v>
          </cell>
          <cell r="M280">
            <v>96000</v>
          </cell>
          <cell r="O280" t="str">
            <v>Agrosuper Shanghai1012448</v>
          </cell>
          <cell r="P280" t="str">
            <v>Pollo</v>
          </cell>
          <cell r="Q280" t="str">
            <v>Agrosuper Shanghai</v>
          </cell>
          <cell r="R280" t="str">
            <v>1012448</v>
          </cell>
          <cell r="S280" t="str">
            <v>PO Garra Economy@ Cj 20k AS</v>
          </cell>
          <cell r="T280" t="str">
            <v>Patas</v>
          </cell>
          <cell r="U280" t="str">
            <v>Patas Garras</v>
          </cell>
          <cell r="V280">
            <v>609560</v>
          </cell>
          <cell r="W280">
            <v>518400</v>
          </cell>
          <cell r="X280">
            <v>393600</v>
          </cell>
          <cell r="Y280">
            <v>661338</v>
          </cell>
          <cell r="Z280">
            <v>885718</v>
          </cell>
          <cell r="AA280">
            <v>532800</v>
          </cell>
        </row>
        <row r="281">
          <cell r="A281" t="str">
            <v>Agrosuper Shanghai1012452</v>
          </cell>
          <cell r="B281" t="str">
            <v>Pollo</v>
          </cell>
          <cell r="C281" t="str">
            <v>Agrosuper Shanghai</v>
          </cell>
          <cell r="D281" t="str">
            <v>1012452</v>
          </cell>
          <cell r="E281" t="str">
            <v>PO Ala Media Grado B@ Cj AS</v>
          </cell>
          <cell r="F281" t="str">
            <v>Ala</v>
          </cell>
          <cell r="G281" t="str">
            <v>Ala Centro</v>
          </cell>
          <cell r="H281">
            <v>24000</v>
          </cell>
          <cell r="I281">
            <v>72000</v>
          </cell>
          <cell r="J281">
            <v>37721</v>
          </cell>
          <cell r="K281"/>
          <cell r="L281">
            <v>24000</v>
          </cell>
          <cell r="M281">
            <v>24000</v>
          </cell>
          <cell r="O281" t="str">
            <v>Agrosuper Shanghai1012452</v>
          </cell>
          <cell r="P281" t="str">
            <v>Pollo</v>
          </cell>
          <cell r="Q281" t="str">
            <v>Agrosuper Shanghai</v>
          </cell>
          <cell r="R281" t="str">
            <v>1012452</v>
          </cell>
          <cell r="S281" t="str">
            <v>PO Ala Media Grado B@ Cj AS</v>
          </cell>
          <cell r="T281" t="str">
            <v>Ala</v>
          </cell>
          <cell r="U281" t="str">
            <v>Ala Centro</v>
          </cell>
          <cell r="V281">
            <v>59280</v>
          </cell>
          <cell r="W281">
            <v>186120</v>
          </cell>
          <cell r="X281">
            <v>99961</v>
          </cell>
          <cell r="Y281"/>
          <cell r="Z281">
            <v>47293</v>
          </cell>
          <cell r="AA281">
            <v>63258</v>
          </cell>
        </row>
        <row r="282">
          <cell r="A282" t="str">
            <v>Agrosuper Shanghai1012455</v>
          </cell>
          <cell r="B282" t="str">
            <v>Pollo</v>
          </cell>
          <cell r="C282" t="str">
            <v>Agrosuper Shanghai</v>
          </cell>
          <cell r="D282" t="str">
            <v>1012455</v>
          </cell>
          <cell r="E282" t="str">
            <v>PO Ctro Pta Ala Choice@ Cj 20k AS</v>
          </cell>
          <cell r="F282" t="str">
            <v>Ala</v>
          </cell>
          <cell r="G282" t="str">
            <v>Ala Centro-Punta</v>
          </cell>
          <cell r="H282">
            <v>144000</v>
          </cell>
          <cell r="I282">
            <v>48000</v>
          </cell>
          <cell r="J282">
            <v>48000</v>
          </cell>
          <cell r="K282">
            <v>120000</v>
          </cell>
          <cell r="L282">
            <v>120000</v>
          </cell>
          <cell r="M282">
            <v>192000</v>
          </cell>
          <cell r="O282" t="str">
            <v>Agrosuper Shanghai1012455</v>
          </cell>
          <cell r="P282" t="str">
            <v>Pollo</v>
          </cell>
          <cell r="Q282" t="str">
            <v>Agrosuper Shanghai</v>
          </cell>
          <cell r="R282" t="str">
            <v>1012455</v>
          </cell>
          <cell r="S282" t="str">
            <v>PO Ctro Pta Ala Choice@ Cj 20k AS</v>
          </cell>
          <cell r="T282" t="str">
            <v>Ala</v>
          </cell>
          <cell r="U282" t="str">
            <v>Ala Centro-Punta</v>
          </cell>
          <cell r="V282">
            <v>312480</v>
          </cell>
          <cell r="W282">
            <v>106800</v>
          </cell>
          <cell r="X282">
            <v>115200</v>
          </cell>
          <cell r="Y282">
            <v>289800</v>
          </cell>
          <cell r="Z282">
            <v>323225</v>
          </cell>
          <cell r="AA282">
            <v>541042</v>
          </cell>
        </row>
        <row r="283">
          <cell r="A283" t="str">
            <v>Agrosuper Shanghai1012502</v>
          </cell>
          <cell r="B283" t="str">
            <v>Pollo</v>
          </cell>
          <cell r="C283" t="str">
            <v>Agrosuper Shanghai</v>
          </cell>
          <cell r="D283" t="str">
            <v>1012502</v>
          </cell>
          <cell r="E283" t="str">
            <v>PO Garra Large B@ Cj 20k AS</v>
          </cell>
          <cell r="F283" t="str">
            <v>Patas</v>
          </cell>
          <cell r="G283" t="str">
            <v>Patas Garras</v>
          </cell>
          <cell r="H283"/>
          <cell r="I283"/>
          <cell r="J283"/>
          <cell r="K283"/>
          <cell r="L283">
            <v>12000</v>
          </cell>
          <cell r="M283"/>
          <cell r="O283" t="str">
            <v>Agrosuper Shanghai1012502</v>
          </cell>
          <cell r="P283" t="str">
            <v>Pollo</v>
          </cell>
          <cell r="Q283" t="str">
            <v>Agrosuper Shanghai</v>
          </cell>
          <cell r="R283" t="str">
            <v>1012502</v>
          </cell>
          <cell r="S283" t="str">
            <v>PO Garra Large B@ Cj 20k AS</v>
          </cell>
          <cell r="T283" t="str">
            <v>Patas</v>
          </cell>
          <cell r="U283" t="str">
            <v>Patas Garras</v>
          </cell>
          <cell r="V283"/>
          <cell r="W283"/>
          <cell r="X283"/>
          <cell r="Y283"/>
          <cell r="Z283">
            <v>52600</v>
          </cell>
          <cell r="AA283"/>
        </row>
        <row r="284">
          <cell r="A284" t="str">
            <v>Agrosuper Shanghai1012503</v>
          </cell>
          <cell r="B284" t="str">
            <v>Pollo</v>
          </cell>
          <cell r="C284" t="str">
            <v>Agrosuper Shanghai</v>
          </cell>
          <cell r="D284" t="str">
            <v>1012503</v>
          </cell>
          <cell r="E284" t="str">
            <v>PO Garra M B@ Cj 20k AS</v>
          </cell>
          <cell r="F284" t="str">
            <v>Patas</v>
          </cell>
          <cell r="G284" t="str">
            <v>Patas Garras</v>
          </cell>
          <cell r="H284">
            <v>14000</v>
          </cell>
          <cell r="I284"/>
          <cell r="J284"/>
          <cell r="K284"/>
          <cell r="L284">
            <v>12000</v>
          </cell>
          <cell r="M284">
            <v>12000</v>
          </cell>
          <cell r="O284" t="str">
            <v>Agrosuper Shanghai1012503</v>
          </cell>
          <cell r="P284" t="str">
            <v>Pollo</v>
          </cell>
          <cell r="Q284" t="str">
            <v>Agrosuper Shanghai</v>
          </cell>
          <cell r="R284" t="str">
            <v>1012503</v>
          </cell>
          <cell r="S284" t="str">
            <v>PO Garra M B@ Cj 20k AS</v>
          </cell>
          <cell r="T284" t="str">
            <v>Patas</v>
          </cell>
          <cell r="U284" t="str">
            <v>Patas Garras</v>
          </cell>
          <cell r="V284">
            <v>46900</v>
          </cell>
          <cell r="W284"/>
          <cell r="X284"/>
          <cell r="Y284"/>
          <cell r="Z284">
            <v>64578</v>
          </cell>
          <cell r="AA284">
            <v>56400</v>
          </cell>
        </row>
        <row r="285">
          <cell r="A285" t="str">
            <v>Agrosuper Shanghai1012504</v>
          </cell>
          <cell r="B285" t="str">
            <v>Pollo</v>
          </cell>
          <cell r="C285" t="str">
            <v>Agrosuper Shanghai</v>
          </cell>
          <cell r="D285" t="str">
            <v>1012504</v>
          </cell>
          <cell r="E285" t="str">
            <v>PO Garra Economy@ Cj 20k AS</v>
          </cell>
          <cell r="F285" t="str">
            <v>Patas</v>
          </cell>
          <cell r="G285" t="str">
            <v>Patas Garras</v>
          </cell>
          <cell r="H285">
            <v>48000</v>
          </cell>
          <cell r="I285">
            <v>72000</v>
          </cell>
          <cell r="J285">
            <v>24000</v>
          </cell>
          <cell r="K285">
            <v>24000</v>
          </cell>
          <cell r="L285">
            <v>72000</v>
          </cell>
          <cell r="M285">
            <v>48000</v>
          </cell>
          <cell r="O285" t="str">
            <v>Agrosuper Shanghai1012504</v>
          </cell>
          <cell r="P285" t="str">
            <v>Pollo</v>
          </cell>
          <cell r="Q285" t="str">
            <v>Agrosuper Shanghai</v>
          </cell>
          <cell r="R285" t="str">
            <v>1012504</v>
          </cell>
          <cell r="S285" t="str">
            <v>PO Garra Economy@ Cj 20k AS</v>
          </cell>
          <cell r="T285" t="str">
            <v>Patas</v>
          </cell>
          <cell r="U285" t="str">
            <v>Patas Garras</v>
          </cell>
          <cell r="V285">
            <v>168720</v>
          </cell>
          <cell r="W285">
            <v>254520</v>
          </cell>
          <cell r="X285">
            <v>90000</v>
          </cell>
          <cell r="Y285">
            <v>51375</v>
          </cell>
          <cell r="Z285">
            <v>373545</v>
          </cell>
          <cell r="AA285">
            <v>176000</v>
          </cell>
        </row>
        <row r="286">
          <cell r="A286" t="str">
            <v>Agrosuper Shanghai1012598</v>
          </cell>
          <cell r="B286" t="str">
            <v>Pollo</v>
          </cell>
          <cell r="C286" t="str">
            <v>Agrosuper Shanghai</v>
          </cell>
          <cell r="D286" t="str">
            <v>1012598</v>
          </cell>
          <cell r="E286" t="str">
            <v>GA Garra G Large B@ Cj 20k AS</v>
          </cell>
          <cell r="F286" t="str">
            <v>Patas</v>
          </cell>
          <cell r="G286" t="str">
            <v>Patas Garras</v>
          </cell>
          <cell r="H286">
            <v>4340</v>
          </cell>
          <cell r="I286"/>
          <cell r="J286">
            <v>10660</v>
          </cell>
          <cell r="K286"/>
          <cell r="L286"/>
          <cell r="M286"/>
          <cell r="O286" t="str">
            <v>Agrosuper Shanghai1012598</v>
          </cell>
          <cell r="P286" t="str">
            <v>Pollo</v>
          </cell>
          <cell r="Q286" t="str">
            <v>Agrosuper Shanghai</v>
          </cell>
          <cell r="R286" t="str">
            <v>1012598</v>
          </cell>
          <cell r="S286" t="str">
            <v>GA Garra G Large B@ Cj 20k AS</v>
          </cell>
          <cell r="T286" t="str">
            <v>Patas</v>
          </cell>
          <cell r="U286" t="str">
            <v>Patas Garras</v>
          </cell>
          <cell r="V286">
            <v>3906</v>
          </cell>
          <cell r="W286"/>
          <cell r="X286">
            <v>10660</v>
          </cell>
          <cell r="Y286"/>
          <cell r="Z286"/>
          <cell r="AA286"/>
        </row>
        <row r="287">
          <cell r="A287" t="str">
            <v>Agro Sudamerica1100407</v>
          </cell>
          <cell r="B287" t="str">
            <v>Elaborado</v>
          </cell>
          <cell r="C287" t="str">
            <v>Agro Sudamerica</v>
          </cell>
          <cell r="D287" t="str">
            <v>1100407</v>
          </cell>
          <cell r="E287" t="str">
            <v>Nugg Pollo Uru@ Bo Cj 1k SH</v>
          </cell>
          <cell r="F287" t="str">
            <v>Empanizado</v>
          </cell>
          <cell r="G287" t="str">
            <v>Empanizados Nuggets</v>
          </cell>
          <cell r="H287">
            <v>11000</v>
          </cell>
          <cell r="I287"/>
          <cell r="J287">
            <v>9000</v>
          </cell>
          <cell r="K287"/>
          <cell r="L287"/>
          <cell r="M287"/>
          <cell r="O287" t="str">
            <v>Agro Sudamerica1100407</v>
          </cell>
          <cell r="P287" t="str">
            <v>Elaborado</v>
          </cell>
          <cell r="Q287" t="str">
            <v>Agro Sudamerica</v>
          </cell>
          <cell r="R287" t="str">
            <v>1100407</v>
          </cell>
          <cell r="S287" t="str">
            <v>Nugg Pollo Uru@ Bo Cj 1k SH</v>
          </cell>
          <cell r="T287" t="str">
            <v>Empanizado</v>
          </cell>
          <cell r="U287" t="str">
            <v>Empanizados Nuggets</v>
          </cell>
          <cell r="V287">
            <v>34512.5</v>
          </cell>
          <cell r="W287"/>
          <cell r="X287">
            <v>26100</v>
          </cell>
          <cell r="Y287"/>
          <cell r="Z287"/>
          <cell r="AA287"/>
        </row>
        <row r="288">
          <cell r="A288" t="str">
            <v>Agro Sudamerica1100408</v>
          </cell>
          <cell r="B288" t="str">
            <v>Elaborado</v>
          </cell>
          <cell r="C288" t="str">
            <v>Agro Sudamerica</v>
          </cell>
          <cell r="D288" t="str">
            <v>1100408</v>
          </cell>
          <cell r="E288" t="str">
            <v>Nugg Pollo Uru@ Film 2.5k SH</v>
          </cell>
          <cell r="F288" t="str">
            <v>Empanizado</v>
          </cell>
          <cell r="G288" t="str">
            <v>Empanizados Nuggets</v>
          </cell>
          <cell r="H288">
            <v>7000</v>
          </cell>
          <cell r="I288"/>
          <cell r="J288">
            <v>9000</v>
          </cell>
          <cell r="K288"/>
          <cell r="L288"/>
          <cell r="M288">
            <v>6000</v>
          </cell>
          <cell r="O288" t="str">
            <v>Agro Sudamerica1100408</v>
          </cell>
          <cell r="P288" t="str">
            <v>Elaborado</v>
          </cell>
          <cell r="Q288" t="str">
            <v>Agro Sudamerica</v>
          </cell>
          <cell r="R288" t="str">
            <v>1100408</v>
          </cell>
          <cell r="S288" t="str">
            <v>Nugg Pollo Uru@ Film 2.5k SH</v>
          </cell>
          <cell r="T288" t="str">
            <v>Empanizado</v>
          </cell>
          <cell r="U288" t="str">
            <v>Empanizados Nuggets</v>
          </cell>
          <cell r="V288">
            <v>21962.5</v>
          </cell>
          <cell r="W288"/>
          <cell r="X288">
            <v>26100</v>
          </cell>
          <cell r="Y288"/>
          <cell r="Z288"/>
          <cell r="AA288">
            <v>23400</v>
          </cell>
        </row>
        <row r="289">
          <cell r="A289" t="str">
            <v>Agrosuper Asia1100492</v>
          </cell>
          <cell r="B289" t="str">
            <v>Elaborado</v>
          </cell>
          <cell r="C289" t="str">
            <v>Agrosuper Asia</v>
          </cell>
          <cell r="D289" t="str">
            <v>1100492</v>
          </cell>
          <cell r="E289" t="str">
            <v>Figuritas Pollo@ Bo Cj 1,5Lb AS</v>
          </cell>
          <cell r="F289" t="str">
            <v>Empanizado</v>
          </cell>
          <cell r="G289" t="str">
            <v>Empanizados Nuggets</v>
          </cell>
          <cell r="H289"/>
          <cell r="I289"/>
          <cell r="J289"/>
          <cell r="K289"/>
          <cell r="L289"/>
          <cell r="M289"/>
          <cell r="O289" t="str">
            <v>Agrosuper Asia1100492</v>
          </cell>
          <cell r="P289" t="str">
            <v>Elaborado</v>
          </cell>
          <cell r="Q289" t="str">
            <v>Agrosuper Asia</v>
          </cell>
          <cell r="R289" t="str">
            <v>1100492</v>
          </cell>
          <cell r="S289" t="str">
            <v>Figuritas Pollo@ Bo Cj 1,5Lb AS</v>
          </cell>
          <cell r="T289" t="str">
            <v>Empanizado</v>
          </cell>
          <cell r="U289" t="str">
            <v>Empanizados Nuggets</v>
          </cell>
          <cell r="V289"/>
          <cell r="W289"/>
          <cell r="X289"/>
          <cell r="Y289"/>
          <cell r="Z289"/>
          <cell r="AA289"/>
        </row>
        <row r="290">
          <cell r="A290" t="str">
            <v/>
          </cell>
          <cell r="B290" t="str">
            <v>Total general</v>
          </cell>
          <cell r="F290"/>
          <cell r="G290"/>
          <cell r="H290">
            <v>12663870</v>
          </cell>
          <cell r="I290">
            <v>12766935</v>
          </cell>
          <cell r="J290">
            <v>13431749</v>
          </cell>
          <cell r="K290">
            <v>13871571</v>
          </cell>
          <cell r="L290">
            <v>14929137</v>
          </cell>
          <cell r="M290">
            <v>13974898</v>
          </cell>
          <cell r="O290"/>
          <cell r="P290" t="str">
            <v>Total general</v>
          </cell>
          <cell r="T290"/>
          <cell r="U290"/>
          <cell r="V290">
            <v>34192572.475700006</v>
          </cell>
          <cell r="W290">
            <v>31150487</v>
          </cell>
          <cell r="X290">
            <v>31387255</v>
          </cell>
          <cell r="Y290">
            <v>34704534</v>
          </cell>
          <cell r="Z290">
            <v>36569467</v>
          </cell>
          <cell r="AA290">
            <v>34110481.286839999</v>
          </cell>
        </row>
        <row r="291">
          <cell r="F291"/>
          <cell r="G291"/>
          <cell r="M291"/>
          <cell r="O291"/>
          <cell r="T291"/>
          <cell r="U291"/>
          <cell r="AA291"/>
        </row>
        <row r="292">
          <cell r="F292"/>
          <cell r="G292"/>
          <cell r="M292"/>
          <cell r="O292"/>
          <cell r="T292"/>
          <cell r="U292"/>
          <cell r="AA292"/>
        </row>
        <row r="293">
          <cell r="F293"/>
          <cell r="G293"/>
          <cell r="M293"/>
          <cell r="O293"/>
          <cell r="T293"/>
          <cell r="U293"/>
          <cell r="AA293"/>
        </row>
        <row r="294">
          <cell r="F294"/>
          <cell r="G294"/>
          <cell r="M294"/>
          <cell r="O294"/>
          <cell r="T294"/>
          <cell r="U294"/>
          <cell r="AA294"/>
        </row>
        <row r="295">
          <cell r="F295"/>
          <cell r="G295"/>
          <cell r="M295"/>
          <cell r="O295"/>
          <cell r="T295"/>
          <cell r="U295"/>
          <cell r="AA295"/>
        </row>
        <row r="296">
          <cell r="F296"/>
          <cell r="G296"/>
          <cell r="M296"/>
          <cell r="O296"/>
          <cell r="T296"/>
          <cell r="U296"/>
          <cell r="AA296"/>
        </row>
        <row r="297">
          <cell r="F297"/>
          <cell r="G297"/>
          <cell r="M297"/>
          <cell r="O297"/>
          <cell r="T297"/>
          <cell r="U297"/>
          <cell r="AA297"/>
        </row>
        <row r="298">
          <cell r="F298"/>
          <cell r="G298"/>
          <cell r="M298"/>
          <cell r="O298"/>
          <cell r="T298"/>
          <cell r="U298"/>
          <cell r="AA298"/>
        </row>
        <row r="299">
          <cell r="F299"/>
          <cell r="G299"/>
          <cell r="M299"/>
          <cell r="O299"/>
          <cell r="T299"/>
          <cell r="U299"/>
          <cell r="AA299"/>
        </row>
        <row r="300">
          <cell r="F300"/>
          <cell r="G300"/>
          <cell r="M300"/>
          <cell r="O300"/>
          <cell r="T300"/>
          <cell r="U300"/>
          <cell r="AA300"/>
        </row>
        <row r="301">
          <cell r="F301"/>
          <cell r="G301"/>
          <cell r="M301"/>
          <cell r="O301"/>
          <cell r="T301"/>
          <cell r="U301"/>
          <cell r="AA301"/>
        </row>
        <row r="302">
          <cell r="F302"/>
          <cell r="G302"/>
          <cell r="M302"/>
          <cell r="O302"/>
          <cell r="T302"/>
          <cell r="U302"/>
          <cell r="AA302"/>
        </row>
        <row r="303">
          <cell r="F303"/>
          <cell r="G303"/>
          <cell r="M303"/>
          <cell r="O303"/>
          <cell r="T303"/>
          <cell r="U303"/>
          <cell r="AA303"/>
        </row>
        <row r="304">
          <cell r="F304"/>
          <cell r="G304"/>
          <cell r="M304"/>
          <cell r="O304"/>
          <cell r="T304"/>
          <cell r="U304"/>
          <cell r="AA304"/>
        </row>
        <row r="305">
          <cell r="H305"/>
          <cell r="I305"/>
          <cell r="J305"/>
          <cell r="K305"/>
          <cell r="L305"/>
          <cell r="V305"/>
          <cell r="W305"/>
          <cell r="X305"/>
          <cell r="Y305"/>
          <cell r="Z305"/>
        </row>
        <row r="306">
          <cell r="H306"/>
          <cell r="I306"/>
          <cell r="J306"/>
          <cell r="K306"/>
          <cell r="L306"/>
          <cell r="V306"/>
          <cell r="W306"/>
          <cell r="X306"/>
          <cell r="Y306"/>
          <cell r="Z306"/>
        </row>
        <row r="307">
          <cell r="H307"/>
          <cell r="I307"/>
          <cell r="J307"/>
          <cell r="K307"/>
          <cell r="L307"/>
          <cell r="V307"/>
          <cell r="W307"/>
          <cell r="X307"/>
          <cell r="Y307"/>
          <cell r="Z307"/>
        </row>
        <row r="308">
          <cell r="H308"/>
          <cell r="I308"/>
          <cell r="J308"/>
          <cell r="K308"/>
          <cell r="L308"/>
          <cell r="V308"/>
          <cell r="W308"/>
          <cell r="X308"/>
          <cell r="Y308"/>
          <cell r="Z308"/>
        </row>
        <row r="309">
          <cell r="H309"/>
          <cell r="I309"/>
          <cell r="J309"/>
          <cell r="K309"/>
          <cell r="L309"/>
          <cell r="V309"/>
          <cell r="W309"/>
          <cell r="X309"/>
          <cell r="Y309"/>
          <cell r="Z309"/>
        </row>
        <row r="310">
          <cell r="H310"/>
          <cell r="I310"/>
          <cell r="J310"/>
          <cell r="K310"/>
          <cell r="L310"/>
          <cell r="V310"/>
          <cell r="W310"/>
          <cell r="X310"/>
          <cell r="Y310"/>
          <cell r="Z310"/>
        </row>
        <row r="311">
          <cell r="H311"/>
          <cell r="I311"/>
          <cell r="J311"/>
          <cell r="K311"/>
          <cell r="L311"/>
          <cell r="V311"/>
          <cell r="W311"/>
          <cell r="X311"/>
          <cell r="Y311"/>
          <cell r="Z311"/>
        </row>
        <row r="312">
          <cell r="H312"/>
          <cell r="I312"/>
          <cell r="J312"/>
          <cell r="K312"/>
          <cell r="L312"/>
          <cell r="V312"/>
          <cell r="W312"/>
          <cell r="X312"/>
          <cell r="Y312"/>
          <cell r="Z312"/>
        </row>
        <row r="313">
          <cell r="H313"/>
          <cell r="I313"/>
          <cell r="J313"/>
          <cell r="K313"/>
          <cell r="L313"/>
          <cell r="V313"/>
          <cell r="W313"/>
          <cell r="X313"/>
          <cell r="Y313"/>
          <cell r="Z313"/>
        </row>
        <row r="314">
          <cell r="H314"/>
          <cell r="I314"/>
          <cell r="J314"/>
          <cell r="K314"/>
          <cell r="L314"/>
          <cell r="V314"/>
          <cell r="W314"/>
          <cell r="X314"/>
          <cell r="Y314"/>
          <cell r="Z314"/>
        </row>
        <row r="315">
          <cell r="H315"/>
          <cell r="I315"/>
          <cell r="J315"/>
          <cell r="K315"/>
          <cell r="L315"/>
          <cell r="V315"/>
          <cell r="W315"/>
          <cell r="X315"/>
          <cell r="Y315"/>
          <cell r="Z315"/>
        </row>
        <row r="316">
          <cell r="H316"/>
          <cell r="I316"/>
          <cell r="J316"/>
          <cell r="K316"/>
          <cell r="L316"/>
          <cell r="V316"/>
          <cell r="W316"/>
          <cell r="X316"/>
          <cell r="Y316"/>
          <cell r="Z316"/>
        </row>
        <row r="317">
          <cell r="H317"/>
          <cell r="I317"/>
          <cell r="J317"/>
          <cell r="K317"/>
          <cell r="L317"/>
          <cell r="V317"/>
          <cell r="W317"/>
          <cell r="X317"/>
          <cell r="Y317"/>
          <cell r="Z317"/>
        </row>
        <row r="318">
          <cell r="H318"/>
          <cell r="I318"/>
          <cell r="J318"/>
          <cell r="K318"/>
          <cell r="L318"/>
          <cell r="V318"/>
          <cell r="W318"/>
          <cell r="X318"/>
          <cell r="Y318"/>
          <cell r="Z318"/>
        </row>
        <row r="319">
          <cell r="H319"/>
          <cell r="I319"/>
          <cell r="J319"/>
          <cell r="K319"/>
          <cell r="L319"/>
          <cell r="V319"/>
          <cell r="W319"/>
          <cell r="X319"/>
          <cell r="Y319"/>
          <cell r="Z319"/>
        </row>
        <row r="320">
          <cell r="H320"/>
          <cell r="I320"/>
          <cell r="J320"/>
          <cell r="K320"/>
          <cell r="L320"/>
          <cell r="V320"/>
          <cell r="W320"/>
          <cell r="X320"/>
          <cell r="Y320"/>
          <cell r="Z320"/>
        </row>
        <row r="321">
          <cell r="H321"/>
          <cell r="I321"/>
          <cell r="J321"/>
          <cell r="K321"/>
          <cell r="L321"/>
          <cell r="V321"/>
          <cell r="W321"/>
          <cell r="X321"/>
          <cell r="Y321"/>
          <cell r="Z321"/>
        </row>
        <row r="322">
          <cell r="H322"/>
          <cell r="I322"/>
          <cell r="J322"/>
          <cell r="K322"/>
          <cell r="L322"/>
          <cell r="V322"/>
          <cell r="W322"/>
          <cell r="X322"/>
          <cell r="Y322"/>
          <cell r="Z322"/>
        </row>
        <row r="323">
          <cell r="H323"/>
          <cell r="I323"/>
          <cell r="J323"/>
          <cell r="K323"/>
          <cell r="L323"/>
          <cell r="V323"/>
          <cell r="W323"/>
          <cell r="X323"/>
          <cell r="Y323"/>
          <cell r="Z323"/>
        </row>
        <row r="324">
          <cell r="H324"/>
          <cell r="I324"/>
          <cell r="J324"/>
          <cell r="K324"/>
          <cell r="L324"/>
          <cell r="V324"/>
          <cell r="W324"/>
          <cell r="X324"/>
          <cell r="Y324"/>
          <cell r="Z324"/>
        </row>
        <row r="325">
          <cell r="H325"/>
          <cell r="I325"/>
          <cell r="J325"/>
          <cell r="K325"/>
          <cell r="L325"/>
          <cell r="V325"/>
          <cell r="W325"/>
          <cell r="X325"/>
          <cell r="Y325"/>
          <cell r="Z325"/>
        </row>
        <row r="326">
          <cell r="H326"/>
          <cell r="I326"/>
          <cell r="J326"/>
          <cell r="K326"/>
          <cell r="L326"/>
          <cell r="V326"/>
          <cell r="W326"/>
          <cell r="X326"/>
          <cell r="Y326"/>
          <cell r="Z326"/>
        </row>
        <row r="327">
          <cell r="H327"/>
          <cell r="I327"/>
          <cell r="J327"/>
          <cell r="K327"/>
          <cell r="L327"/>
          <cell r="V327"/>
          <cell r="W327"/>
          <cell r="X327"/>
          <cell r="Y327"/>
          <cell r="Z327"/>
        </row>
        <row r="328">
          <cell r="H328"/>
          <cell r="I328"/>
          <cell r="J328"/>
          <cell r="K328"/>
          <cell r="L328"/>
          <cell r="V328"/>
          <cell r="W328"/>
          <cell r="X328"/>
          <cell r="Y328"/>
          <cell r="Z328"/>
        </row>
        <row r="329">
          <cell r="H329"/>
          <cell r="I329"/>
          <cell r="J329"/>
          <cell r="K329"/>
          <cell r="L329"/>
          <cell r="V329"/>
          <cell r="W329"/>
          <cell r="X329"/>
          <cell r="Y329"/>
          <cell r="Z329"/>
        </row>
        <row r="330">
          <cell r="H330"/>
          <cell r="I330"/>
          <cell r="J330"/>
          <cell r="K330"/>
          <cell r="L330"/>
          <cell r="V330"/>
          <cell r="W330"/>
          <cell r="X330"/>
          <cell r="Y330"/>
          <cell r="Z330"/>
        </row>
        <row r="331">
          <cell r="H331"/>
          <cell r="I331"/>
          <cell r="J331"/>
          <cell r="K331"/>
          <cell r="L331"/>
          <cell r="V331"/>
          <cell r="W331"/>
          <cell r="X331"/>
          <cell r="Y331"/>
          <cell r="Z331"/>
        </row>
        <row r="332">
          <cell r="H332"/>
          <cell r="I332"/>
          <cell r="J332"/>
          <cell r="K332"/>
          <cell r="L332"/>
          <cell r="V332"/>
          <cell r="W332"/>
          <cell r="X332"/>
          <cell r="Y332"/>
          <cell r="Z332"/>
        </row>
        <row r="333">
          <cell r="H333"/>
          <cell r="I333"/>
          <cell r="J333"/>
          <cell r="K333"/>
          <cell r="L333"/>
          <cell r="V333"/>
          <cell r="W333"/>
          <cell r="X333"/>
          <cell r="Y333"/>
          <cell r="Z333"/>
        </row>
        <row r="334">
          <cell r="H334"/>
          <cell r="I334"/>
          <cell r="J334"/>
          <cell r="K334"/>
          <cell r="L334"/>
          <cell r="V334"/>
          <cell r="W334"/>
          <cell r="X334"/>
          <cell r="Y334"/>
          <cell r="Z334"/>
        </row>
        <row r="335">
          <cell r="H335"/>
          <cell r="I335"/>
          <cell r="J335"/>
          <cell r="K335"/>
          <cell r="L335"/>
          <cell r="V335"/>
          <cell r="W335"/>
          <cell r="X335"/>
          <cell r="Y335"/>
          <cell r="Z335"/>
        </row>
        <row r="336">
          <cell r="H336"/>
          <cell r="I336"/>
          <cell r="J336"/>
          <cell r="K336"/>
          <cell r="L336"/>
          <cell r="V336"/>
          <cell r="W336"/>
          <cell r="X336"/>
          <cell r="Y336"/>
          <cell r="Z336"/>
        </row>
        <row r="337">
          <cell r="H337"/>
          <cell r="I337"/>
          <cell r="J337"/>
          <cell r="K337"/>
          <cell r="L337"/>
          <cell r="V337"/>
          <cell r="W337"/>
          <cell r="X337"/>
          <cell r="Y337"/>
          <cell r="Z337"/>
        </row>
        <row r="338">
          <cell r="H338"/>
          <cell r="I338"/>
          <cell r="J338"/>
          <cell r="K338"/>
          <cell r="L338"/>
          <cell r="V338"/>
          <cell r="W338"/>
          <cell r="X338"/>
          <cell r="Y338"/>
          <cell r="Z338"/>
        </row>
        <row r="339">
          <cell r="H339"/>
          <cell r="I339"/>
          <cell r="J339"/>
          <cell r="K339"/>
          <cell r="L339"/>
          <cell r="V339"/>
          <cell r="W339"/>
          <cell r="X339"/>
          <cell r="Y339"/>
          <cell r="Z339"/>
        </row>
        <row r="340">
          <cell r="H340"/>
          <cell r="I340"/>
          <cell r="J340"/>
          <cell r="K340"/>
          <cell r="L340"/>
          <cell r="V340"/>
          <cell r="W340"/>
          <cell r="X340"/>
          <cell r="Y340"/>
          <cell r="Z340"/>
        </row>
        <row r="341">
          <cell r="H341"/>
          <cell r="I341"/>
          <cell r="J341"/>
          <cell r="K341"/>
          <cell r="L341"/>
          <cell r="V341"/>
          <cell r="W341"/>
          <cell r="X341"/>
          <cell r="Y341"/>
          <cell r="Z341"/>
        </row>
        <row r="342">
          <cell r="H342"/>
          <cell r="I342"/>
          <cell r="J342"/>
          <cell r="K342"/>
          <cell r="L342"/>
          <cell r="V342"/>
          <cell r="W342"/>
          <cell r="X342"/>
          <cell r="Y342"/>
          <cell r="Z342"/>
        </row>
        <row r="343">
          <cell r="H343"/>
          <cell r="I343"/>
          <cell r="J343"/>
          <cell r="K343"/>
          <cell r="L343"/>
          <cell r="V343"/>
          <cell r="W343"/>
          <cell r="X343"/>
          <cell r="Y343"/>
          <cell r="Z343"/>
        </row>
        <row r="344">
          <cell r="H344"/>
          <cell r="I344"/>
          <cell r="J344"/>
          <cell r="K344"/>
          <cell r="L344"/>
          <cell r="V344"/>
          <cell r="W344"/>
          <cell r="X344"/>
          <cell r="Y344"/>
          <cell r="Z344"/>
        </row>
        <row r="345">
          <cell r="H345"/>
          <cell r="I345"/>
          <cell r="J345"/>
          <cell r="K345"/>
          <cell r="L345"/>
          <cell r="V345"/>
          <cell r="W345"/>
          <cell r="X345"/>
          <cell r="Y345"/>
          <cell r="Z345"/>
        </row>
        <row r="346">
          <cell r="H346"/>
          <cell r="I346"/>
          <cell r="J346"/>
          <cell r="K346"/>
          <cell r="L346"/>
          <cell r="V346"/>
          <cell r="W346"/>
          <cell r="X346"/>
          <cell r="Y346"/>
          <cell r="Z346"/>
        </row>
        <row r="347">
          <cell r="H347"/>
          <cell r="I347"/>
          <cell r="J347"/>
          <cell r="K347"/>
          <cell r="L347"/>
          <cell r="V347"/>
          <cell r="W347"/>
          <cell r="X347"/>
          <cell r="Y347"/>
          <cell r="Z347"/>
        </row>
        <row r="348">
          <cell r="H348"/>
          <cell r="I348"/>
          <cell r="J348"/>
          <cell r="K348"/>
          <cell r="L348"/>
          <cell r="V348"/>
          <cell r="W348"/>
          <cell r="X348"/>
          <cell r="Y348"/>
          <cell r="Z348"/>
        </row>
        <row r="349">
          <cell r="H349"/>
          <cell r="I349"/>
          <cell r="J349"/>
          <cell r="K349"/>
          <cell r="L349"/>
          <cell r="V349"/>
          <cell r="W349"/>
          <cell r="X349"/>
          <cell r="Y349"/>
          <cell r="Z349"/>
        </row>
        <row r="350">
          <cell r="H350"/>
          <cell r="I350"/>
          <cell r="J350"/>
          <cell r="K350"/>
          <cell r="L350"/>
          <cell r="V350"/>
          <cell r="W350"/>
          <cell r="X350"/>
          <cell r="Y350"/>
          <cell r="Z350"/>
        </row>
        <row r="351">
          <cell r="H351"/>
          <cell r="I351"/>
          <cell r="J351"/>
          <cell r="K351"/>
          <cell r="L351"/>
          <cell r="V351"/>
          <cell r="W351"/>
          <cell r="X351"/>
          <cell r="Y351"/>
          <cell r="Z351"/>
        </row>
        <row r="352">
          <cell r="H352"/>
          <cell r="I352"/>
          <cell r="J352"/>
          <cell r="K352"/>
          <cell r="L352"/>
          <cell r="V352"/>
          <cell r="W352"/>
          <cell r="X352"/>
          <cell r="Y352"/>
          <cell r="Z352"/>
        </row>
        <row r="353">
          <cell r="H353"/>
          <cell r="I353"/>
          <cell r="J353"/>
          <cell r="K353"/>
          <cell r="L353"/>
          <cell r="V353"/>
          <cell r="W353"/>
          <cell r="X353"/>
          <cell r="Y353"/>
          <cell r="Z353"/>
        </row>
        <row r="354">
          <cell r="H354"/>
          <cell r="I354"/>
          <cell r="J354"/>
          <cell r="K354"/>
          <cell r="L354"/>
          <cell r="V354"/>
          <cell r="W354"/>
          <cell r="X354"/>
          <cell r="Y354"/>
          <cell r="Z354"/>
        </row>
        <row r="355">
          <cell r="H355"/>
          <cell r="I355"/>
          <cell r="J355"/>
          <cell r="K355"/>
          <cell r="L355"/>
          <cell r="V355"/>
          <cell r="W355"/>
          <cell r="X355"/>
          <cell r="Y355"/>
          <cell r="Z355"/>
        </row>
        <row r="356">
          <cell r="H356"/>
          <cell r="I356"/>
          <cell r="J356"/>
          <cell r="K356"/>
          <cell r="L356"/>
          <cell r="V356"/>
          <cell r="W356"/>
          <cell r="X356"/>
          <cell r="Y356"/>
          <cell r="Z356"/>
        </row>
        <row r="357">
          <cell r="H357"/>
          <cell r="I357"/>
          <cell r="J357"/>
          <cell r="K357"/>
          <cell r="L357"/>
          <cell r="V357"/>
          <cell r="W357"/>
          <cell r="X357"/>
          <cell r="Y357"/>
          <cell r="Z357"/>
        </row>
        <row r="358">
          <cell r="H358"/>
          <cell r="I358"/>
          <cell r="J358"/>
          <cell r="K358"/>
          <cell r="L358"/>
          <cell r="V358"/>
          <cell r="W358"/>
          <cell r="X358"/>
          <cell r="Y358"/>
          <cell r="Z358"/>
        </row>
        <row r="359">
          <cell r="H359"/>
          <cell r="I359"/>
          <cell r="J359"/>
          <cell r="K359"/>
          <cell r="L359"/>
          <cell r="V359"/>
          <cell r="W359"/>
          <cell r="X359"/>
          <cell r="Y359"/>
          <cell r="Z359"/>
        </row>
        <row r="360">
          <cell r="H360"/>
          <cell r="I360"/>
          <cell r="J360"/>
          <cell r="K360"/>
          <cell r="L360"/>
          <cell r="V360"/>
          <cell r="W360"/>
          <cell r="X360"/>
          <cell r="Y360"/>
          <cell r="Z360"/>
        </row>
        <row r="361">
          <cell r="H361"/>
          <cell r="I361"/>
          <cell r="J361"/>
          <cell r="K361"/>
          <cell r="L361"/>
          <cell r="V361"/>
          <cell r="W361"/>
          <cell r="X361"/>
          <cell r="Y361"/>
          <cell r="Z361"/>
        </row>
        <row r="362">
          <cell r="H362"/>
          <cell r="I362"/>
          <cell r="J362"/>
          <cell r="K362"/>
          <cell r="L362"/>
          <cell r="V362"/>
          <cell r="W362"/>
          <cell r="X362"/>
          <cell r="Y362"/>
          <cell r="Z362"/>
        </row>
        <row r="363">
          <cell r="H363"/>
          <cell r="I363"/>
          <cell r="J363"/>
          <cell r="K363"/>
          <cell r="L363"/>
          <cell r="V363"/>
          <cell r="W363"/>
          <cell r="X363"/>
          <cell r="Y363"/>
          <cell r="Z363"/>
        </row>
        <row r="364">
          <cell r="H364"/>
          <cell r="I364"/>
          <cell r="J364"/>
          <cell r="K364"/>
          <cell r="L364"/>
          <cell r="V364"/>
          <cell r="W364"/>
          <cell r="X364"/>
          <cell r="Y364"/>
          <cell r="Z364"/>
        </row>
        <row r="365">
          <cell r="H365"/>
          <cell r="I365"/>
          <cell r="J365"/>
          <cell r="K365"/>
          <cell r="L365"/>
          <cell r="V365"/>
          <cell r="W365"/>
          <cell r="X365"/>
          <cell r="Y365"/>
          <cell r="Z365"/>
        </row>
        <row r="366">
          <cell r="H366"/>
          <cell r="I366"/>
          <cell r="J366"/>
          <cell r="K366"/>
          <cell r="L366"/>
          <cell r="V366"/>
          <cell r="W366"/>
          <cell r="X366"/>
          <cell r="Y366"/>
          <cell r="Z366"/>
        </row>
        <row r="367">
          <cell r="H367"/>
          <cell r="I367"/>
          <cell r="J367"/>
          <cell r="K367"/>
          <cell r="L367"/>
          <cell r="V367"/>
          <cell r="W367"/>
          <cell r="X367"/>
          <cell r="Y367"/>
          <cell r="Z367"/>
        </row>
        <row r="368">
          <cell r="H368"/>
          <cell r="I368"/>
          <cell r="J368"/>
          <cell r="K368"/>
          <cell r="L368"/>
          <cell r="V368"/>
          <cell r="W368"/>
          <cell r="X368"/>
          <cell r="Y368"/>
          <cell r="Z368"/>
        </row>
        <row r="369">
          <cell r="H369"/>
          <cell r="I369"/>
          <cell r="J369"/>
          <cell r="K369"/>
          <cell r="L369"/>
          <cell r="V369"/>
          <cell r="W369"/>
          <cell r="X369"/>
          <cell r="Y369"/>
          <cell r="Z369"/>
        </row>
        <row r="370">
          <cell r="H370"/>
          <cell r="I370"/>
          <cell r="J370"/>
          <cell r="K370"/>
          <cell r="L370"/>
          <cell r="V370"/>
          <cell r="W370"/>
          <cell r="X370"/>
          <cell r="Y370"/>
          <cell r="Z370"/>
        </row>
        <row r="371">
          <cell r="H371"/>
          <cell r="I371"/>
          <cell r="J371"/>
          <cell r="K371"/>
          <cell r="L371"/>
          <cell r="V371"/>
          <cell r="W371"/>
          <cell r="X371"/>
          <cell r="Y371"/>
          <cell r="Z371"/>
        </row>
        <row r="372">
          <cell r="H372"/>
          <cell r="I372"/>
          <cell r="J372"/>
          <cell r="K372"/>
          <cell r="L372"/>
          <cell r="V372"/>
          <cell r="W372"/>
          <cell r="X372"/>
          <cell r="Y372"/>
          <cell r="Z372"/>
        </row>
        <row r="373">
          <cell r="H373"/>
          <cell r="I373"/>
          <cell r="J373"/>
          <cell r="K373"/>
          <cell r="L373"/>
          <cell r="V373"/>
          <cell r="W373"/>
          <cell r="X373"/>
          <cell r="Y373"/>
          <cell r="Z373"/>
        </row>
        <row r="374">
          <cell r="H374"/>
          <cell r="I374"/>
          <cell r="J374"/>
          <cell r="K374"/>
          <cell r="L374"/>
          <cell r="V374"/>
          <cell r="W374"/>
          <cell r="X374"/>
          <cell r="Y374"/>
          <cell r="Z374"/>
        </row>
        <row r="375">
          <cell r="H375"/>
          <cell r="I375"/>
          <cell r="J375"/>
          <cell r="K375"/>
          <cell r="L375"/>
          <cell r="V375"/>
          <cell r="W375"/>
          <cell r="X375"/>
          <cell r="Y375"/>
          <cell r="Z375"/>
        </row>
        <row r="376">
          <cell r="H376"/>
          <cell r="I376"/>
          <cell r="J376"/>
          <cell r="K376"/>
          <cell r="L376"/>
          <cell r="V376"/>
          <cell r="W376"/>
          <cell r="X376"/>
          <cell r="Y376"/>
          <cell r="Z376"/>
        </row>
        <row r="377">
          <cell r="H377"/>
          <cell r="I377"/>
          <cell r="J377"/>
          <cell r="K377"/>
          <cell r="L377"/>
          <cell r="V377"/>
          <cell r="W377"/>
          <cell r="X377"/>
          <cell r="Y377"/>
          <cell r="Z377"/>
        </row>
        <row r="378">
          <cell r="H378"/>
          <cell r="I378"/>
          <cell r="J378"/>
          <cell r="K378"/>
          <cell r="L378"/>
          <cell r="V378"/>
          <cell r="W378"/>
          <cell r="X378"/>
          <cell r="Y378"/>
          <cell r="Z378"/>
        </row>
        <row r="379">
          <cell r="H379"/>
          <cell r="I379"/>
          <cell r="J379"/>
          <cell r="K379"/>
          <cell r="L379"/>
          <cell r="V379"/>
          <cell r="W379"/>
          <cell r="X379"/>
          <cell r="Y379"/>
          <cell r="Z379"/>
        </row>
        <row r="380">
          <cell r="H380"/>
          <cell r="I380"/>
          <cell r="J380"/>
          <cell r="K380"/>
          <cell r="L380"/>
          <cell r="V380"/>
          <cell r="W380"/>
          <cell r="X380"/>
          <cell r="Y380"/>
          <cell r="Z380"/>
        </row>
        <row r="381">
          <cell r="H381"/>
          <cell r="I381"/>
          <cell r="J381"/>
          <cell r="K381"/>
          <cell r="L381"/>
          <cell r="V381"/>
          <cell r="W381"/>
          <cell r="X381"/>
          <cell r="Y381"/>
          <cell r="Z381"/>
        </row>
        <row r="382">
          <cell r="H382"/>
          <cell r="I382"/>
          <cell r="J382"/>
          <cell r="K382"/>
          <cell r="L382"/>
          <cell r="V382"/>
          <cell r="W382"/>
          <cell r="X382"/>
          <cell r="Y382"/>
          <cell r="Z382"/>
        </row>
        <row r="383">
          <cell r="H383"/>
          <cell r="I383"/>
          <cell r="J383"/>
          <cell r="K383"/>
          <cell r="L383"/>
          <cell r="V383"/>
          <cell r="W383"/>
          <cell r="X383"/>
          <cell r="Y383"/>
          <cell r="Z383"/>
        </row>
        <row r="384">
          <cell r="H384"/>
          <cell r="I384"/>
          <cell r="J384"/>
          <cell r="K384"/>
          <cell r="L384"/>
          <cell r="V384"/>
          <cell r="W384"/>
          <cell r="X384"/>
          <cell r="Y384"/>
          <cell r="Z384"/>
        </row>
        <row r="385">
          <cell r="H385"/>
          <cell r="I385"/>
          <cell r="J385"/>
          <cell r="K385"/>
          <cell r="L385"/>
          <cell r="V385"/>
          <cell r="W385"/>
          <cell r="X385"/>
          <cell r="Y385"/>
          <cell r="Z385"/>
        </row>
        <row r="386">
          <cell r="H386"/>
          <cell r="I386"/>
          <cell r="J386"/>
          <cell r="K386"/>
          <cell r="L386"/>
          <cell r="V386"/>
          <cell r="W386"/>
          <cell r="X386"/>
          <cell r="Y386"/>
          <cell r="Z386"/>
        </row>
        <row r="387">
          <cell r="H387"/>
          <cell r="I387"/>
          <cell r="J387"/>
          <cell r="K387"/>
          <cell r="L387"/>
          <cell r="V387"/>
          <cell r="W387"/>
          <cell r="X387"/>
          <cell r="Y387"/>
          <cell r="Z387"/>
        </row>
        <row r="388">
          <cell r="H388"/>
          <cell r="I388"/>
          <cell r="J388"/>
          <cell r="K388"/>
          <cell r="L388"/>
          <cell r="V388"/>
          <cell r="W388"/>
          <cell r="X388"/>
          <cell r="Y388"/>
          <cell r="Z388"/>
        </row>
        <row r="389">
          <cell r="H389"/>
          <cell r="I389"/>
          <cell r="J389"/>
          <cell r="K389"/>
          <cell r="L389"/>
          <cell r="V389"/>
          <cell r="W389"/>
          <cell r="X389"/>
          <cell r="Y389"/>
          <cell r="Z389"/>
        </row>
        <row r="390">
          <cell r="H390"/>
          <cell r="I390"/>
          <cell r="J390"/>
          <cell r="K390"/>
          <cell r="L390"/>
          <cell r="V390"/>
          <cell r="W390"/>
          <cell r="X390"/>
          <cell r="Y390"/>
          <cell r="Z390"/>
        </row>
        <row r="391">
          <cell r="H391"/>
          <cell r="I391"/>
          <cell r="J391"/>
          <cell r="K391"/>
          <cell r="L391"/>
          <cell r="V391"/>
          <cell r="W391"/>
          <cell r="X391"/>
          <cell r="Y391"/>
          <cell r="Z391"/>
        </row>
        <row r="392">
          <cell r="H392"/>
          <cell r="I392"/>
          <cell r="J392"/>
          <cell r="K392"/>
          <cell r="L392"/>
          <cell r="V392"/>
          <cell r="W392"/>
          <cell r="X392"/>
          <cell r="Y392"/>
          <cell r="Z392"/>
        </row>
        <row r="393">
          <cell r="H393"/>
          <cell r="I393"/>
          <cell r="J393"/>
          <cell r="K393"/>
          <cell r="L393"/>
          <cell r="V393"/>
          <cell r="W393"/>
          <cell r="X393"/>
          <cell r="Y393"/>
          <cell r="Z393"/>
        </row>
        <row r="394">
          <cell r="H394"/>
          <cell r="I394"/>
          <cell r="J394"/>
          <cell r="K394"/>
          <cell r="L394"/>
          <cell r="V394"/>
          <cell r="W394"/>
          <cell r="X394"/>
          <cell r="Y394"/>
          <cell r="Z394"/>
        </row>
        <row r="395">
          <cell r="H395"/>
          <cell r="I395"/>
          <cell r="J395"/>
          <cell r="K395"/>
          <cell r="L395"/>
          <cell r="V395"/>
          <cell r="W395"/>
          <cell r="X395"/>
          <cell r="Y395"/>
          <cell r="Z395"/>
        </row>
        <row r="396">
          <cell r="H396"/>
          <cell r="I396"/>
          <cell r="J396"/>
          <cell r="K396"/>
          <cell r="L396"/>
          <cell r="V396"/>
          <cell r="W396"/>
          <cell r="X396"/>
          <cell r="Y396"/>
          <cell r="Z396"/>
        </row>
        <row r="397">
          <cell r="H397"/>
          <cell r="I397"/>
          <cell r="J397"/>
          <cell r="K397"/>
          <cell r="L397"/>
          <cell r="V397"/>
          <cell r="W397"/>
          <cell r="X397"/>
          <cell r="Y397"/>
          <cell r="Z397"/>
        </row>
        <row r="398">
          <cell r="H398"/>
          <cell r="I398"/>
          <cell r="J398"/>
          <cell r="K398"/>
          <cell r="L398"/>
          <cell r="V398"/>
          <cell r="W398"/>
          <cell r="X398"/>
          <cell r="Y398"/>
          <cell r="Z398"/>
        </row>
        <row r="399">
          <cell r="H399"/>
          <cell r="I399"/>
          <cell r="J399"/>
          <cell r="K399"/>
          <cell r="L399"/>
          <cell r="V399"/>
          <cell r="W399"/>
          <cell r="X399"/>
          <cell r="Y399"/>
          <cell r="Z399"/>
        </row>
        <row r="400">
          <cell r="H400"/>
          <cell r="I400"/>
          <cell r="J400"/>
          <cell r="K400"/>
          <cell r="L400"/>
          <cell r="V400"/>
          <cell r="W400"/>
          <cell r="X400"/>
          <cell r="Y400"/>
          <cell r="Z400"/>
        </row>
        <row r="401">
          <cell r="H401"/>
          <cell r="I401"/>
          <cell r="J401"/>
          <cell r="K401"/>
          <cell r="L401"/>
          <cell r="V401"/>
          <cell r="W401"/>
          <cell r="X401"/>
          <cell r="Y401"/>
          <cell r="Z401"/>
        </row>
        <row r="402">
          <cell r="H402"/>
          <cell r="I402"/>
          <cell r="J402"/>
          <cell r="K402"/>
          <cell r="L402"/>
          <cell r="V402"/>
          <cell r="W402"/>
          <cell r="X402"/>
          <cell r="Y402"/>
          <cell r="Z402"/>
        </row>
        <row r="403">
          <cell r="H403"/>
          <cell r="I403"/>
          <cell r="J403"/>
          <cell r="K403"/>
          <cell r="L403"/>
          <cell r="V403"/>
          <cell r="W403"/>
          <cell r="X403"/>
          <cell r="Y403"/>
          <cell r="Z403"/>
        </row>
        <row r="404">
          <cell r="H404"/>
          <cell r="I404"/>
          <cell r="J404"/>
          <cell r="K404"/>
          <cell r="L404"/>
          <cell r="V404"/>
          <cell r="W404"/>
          <cell r="X404"/>
          <cell r="Y404"/>
          <cell r="Z404"/>
        </row>
        <row r="405">
          <cell r="H405"/>
          <cell r="I405"/>
          <cell r="J405"/>
          <cell r="K405"/>
          <cell r="L405"/>
          <cell r="V405"/>
          <cell r="W405"/>
          <cell r="X405"/>
          <cell r="Y405"/>
          <cell r="Z405"/>
        </row>
        <row r="406">
          <cell r="H406"/>
          <cell r="I406"/>
          <cell r="J406"/>
          <cell r="K406"/>
          <cell r="L406"/>
          <cell r="V406"/>
          <cell r="W406"/>
          <cell r="X406"/>
          <cell r="Y406"/>
          <cell r="Z406"/>
        </row>
        <row r="407">
          <cell r="H407"/>
          <cell r="I407"/>
          <cell r="J407"/>
          <cell r="K407"/>
          <cell r="L407"/>
          <cell r="V407"/>
          <cell r="W407"/>
          <cell r="X407"/>
          <cell r="Y407"/>
          <cell r="Z407"/>
        </row>
        <row r="408">
          <cell r="H408"/>
          <cell r="I408"/>
          <cell r="J408"/>
          <cell r="K408"/>
          <cell r="L408"/>
          <cell r="V408"/>
          <cell r="W408"/>
          <cell r="X408"/>
          <cell r="Y408"/>
          <cell r="Z408"/>
        </row>
        <row r="409">
          <cell r="H409"/>
          <cell r="I409"/>
          <cell r="J409"/>
          <cell r="K409"/>
          <cell r="L409"/>
          <cell r="V409"/>
          <cell r="W409"/>
          <cell r="X409"/>
          <cell r="Y409"/>
          <cell r="Z409"/>
        </row>
        <row r="410">
          <cell r="H410"/>
          <cell r="I410"/>
          <cell r="J410"/>
          <cell r="K410"/>
          <cell r="L410"/>
          <cell r="V410"/>
          <cell r="W410"/>
          <cell r="X410"/>
          <cell r="Y410"/>
          <cell r="Z410"/>
        </row>
        <row r="411">
          <cell r="H411"/>
          <cell r="I411"/>
          <cell r="J411"/>
          <cell r="K411"/>
          <cell r="L411"/>
          <cell r="V411"/>
          <cell r="W411"/>
          <cell r="X411"/>
          <cell r="Y411"/>
          <cell r="Z411"/>
        </row>
        <row r="412">
          <cell r="H412"/>
          <cell r="I412"/>
          <cell r="J412"/>
          <cell r="K412"/>
          <cell r="L412"/>
          <cell r="V412"/>
          <cell r="W412"/>
          <cell r="X412"/>
          <cell r="Y412"/>
          <cell r="Z412"/>
        </row>
        <row r="413">
          <cell r="H413"/>
          <cell r="I413"/>
          <cell r="J413"/>
          <cell r="K413"/>
          <cell r="L413"/>
          <cell r="V413"/>
          <cell r="W413"/>
          <cell r="X413"/>
          <cell r="Y413"/>
          <cell r="Z413"/>
        </row>
        <row r="414">
          <cell r="H414"/>
          <cell r="I414"/>
          <cell r="J414"/>
          <cell r="K414"/>
          <cell r="L414"/>
          <cell r="V414"/>
          <cell r="W414"/>
          <cell r="X414"/>
          <cell r="Y414"/>
          <cell r="Z414"/>
        </row>
        <row r="415">
          <cell r="H415"/>
          <cell r="I415"/>
          <cell r="J415"/>
          <cell r="K415"/>
          <cell r="L415"/>
          <cell r="V415"/>
          <cell r="W415"/>
          <cell r="X415"/>
          <cell r="Y415"/>
          <cell r="Z415"/>
        </row>
        <row r="416">
          <cell r="H416"/>
          <cell r="I416"/>
          <cell r="J416"/>
          <cell r="K416"/>
          <cell r="L416"/>
          <cell r="V416"/>
          <cell r="W416"/>
          <cell r="X416"/>
          <cell r="Y416"/>
          <cell r="Z416"/>
        </row>
        <row r="417">
          <cell r="H417"/>
          <cell r="I417"/>
          <cell r="J417"/>
          <cell r="K417"/>
          <cell r="L417"/>
          <cell r="V417"/>
          <cell r="W417"/>
          <cell r="X417"/>
          <cell r="Y417"/>
          <cell r="Z417"/>
        </row>
        <row r="418">
          <cell r="H418"/>
          <cell r="I418"/>
          <cell r="J418"/>
          <cell r="K418"/>
          <cell r="L418"/>
          <cell r="V418"/>
          <cell r="W418"/>
          <cell r="X418"/>
          <cell r="Y418"/>
          <cell r="Z418"/>
        </row>
        <row r="419">
          <cell r="H419"/>
          <cell r="I419"/>
          <cell r="J419"/>
          <cell r="K419"/>
          <cell r="L419"/>
          <cell r="V419"/>
          <cell r="W419"/>
          <cell r="X419"/>
          <cell r="Y419"/>
          <cell r="Z419"/>
        </row>
        <row r="420">
          <cell r="H420"/>
          <cell r="I420"/>
          <cell r="J420"/>
          <cell r="K420"/>
          <cell r="L420"/>
          <cell r="V420"/>
          <cell r="W420"/>
          <cell r="X420"/>
          <cell r="Y420"/>
          <cell r="Z420"/>
        </row>
        <row r="421">
          <cell r="H421"/>
          <cell r="I421"/>
          <cell r="J421"/>
          <cell r="K421"/>
          <cell r="L421"/>
          <cell r="V421"/>
          <cell r="W421"/>
          <cell r="X421"/>
          <cell r="Y421"/>
          <cell r="Z421"/>
        </row>
        <row r="422">
          <cell r="H422"/>
          <cell r="I422"/>
          <cell r="J422"/>
          <cell r="K422"/>
          <cell r="L422"/>
          <cell r="V422"/>
          <cell r="W422"/>
          <cell r="X422"/>
          <cell r="Y422"/>
          <cell r="Z422"/>
        </row>
        <row r="423">
          <cell r="H423"/>
          <cell r="I423"/>
          <cell r="J423"/>
          <cell r="K423"/>
          <cell r="L423"/>
          <cell r="V423"/>
          <cell r="W423"/>
          <cell r="X423"/>
          <cell r="Y423"/>
          <cell r="Z423"/>
        </row>
        <row r="424">
          <cell r="H424"/>
          <cell r="I424"/>
          <cell r="J424"/>
          <cell r="K424"/>
          <cell r="L424"/>
          <cell r="V424"/>
          <cell r="W424"/>
          <cell r="X424"/>
          <cell r="Y424"/>
          <cell r="Z424"/>
        </row>
        <row r="425">
          <cell r="H425"/>
          <cell r="I425"/>
          <cell r="J425"/>
          <cell r="K425"/>
          <cell r="L425"/>
          <cell r="V425"/>
          <cell r="W425"/>
          <cell r="X425"/>
          <cell r="Y425"/>
          <cell r="Z425"/>
        </row>
        <row r="426">
          <cell r="H426"/>
          <cell r="I426"/>
          <cell r="J426"/>
          <cell r="K426"/>
          <cell r="L426"/>
          <cell r="V426"/>
          <cell r="W426"/>
          <cell r="X426"/>
          <cell r="Y426"/>
          <cell r="Z426"/>
        </row>
        <row r="427">
          <cell r="H427"/>
          <cell r="I427"/>
          <cell r="J427"/>
          <cell r="K427"/>
          <cell r="L427"/>
          <cell r="V427"/>
          <cell r="W427"/>
          <cell r="X427"/>
          <cell r="Y427"/>
          <cell r="Z427"/>
        </row>
        <row r="428">
          <cell r="H428"/>
          <cell r="I428"/>
          <cell r="J428"/>
          <cell r="K428"/>
          <cell r="L428"/>
          <cell r="V428"/>
          <cell r="W428"/>
          <cell r="X428"/>
          <cell r="Y428"/>
          <cell r="Z428"/>
        </row>
        <row r="429">
          <cell r="H429"/>
          <cell r="I429"/>
          <cell r="J429"/>
          <cell r="K429"/>
          <cell r="L429"/>
          <cell r="V429"/>
          <cell r="W429"/>
          <cell r="X429"/>
          <cell r="Y429"/>
          <cell r="Z429"/>
        </row>
        <row r="430">
          <cell r="H430"/>
          <cell r="I430"/>
          <cell r="J430"/>
          <cell r="K430"/>
          <cell r="L430"/>
          <cell r="V430"/>
          <cell r="W430"/>
          <cell r="X430"/>
          <cell r="Y430"/>
          <cell r="Z430"/>
        </row>
        <row r="431">
          <cell r="H431"/>
          <cell r="I431"/>
          <cell r="J431"/>
          <cell r="K431"/>
          <cell r="L431"/>
          <cell r="V431"/>
          <cell r="W431"/>
          <cell r="X431"/>
          <cell r="Y431"/>
          <cell r="Z431"/>
        </row>
        <row r="432">
          <cell r="H432"/>
          <cell r="I432"/>
          <cell r="J432"/>
          <cell r="K432"/>
          <cell r="L432"/>
          <cell r="V432"/>
          <cell r="W432"/>
          <cell r="X432"/>
          <cell r="Y432"/>
          <cell r="Z432"/>
        </row>
        <row r="433">
          <cell r="H433"/>
          <cell r="I433"/>
          <cell r="J433"/>
          <cell r="K433"/>
          <cell r="L433"/>
          <cell r="V433"/>
          <cell r="W433"/>
          <cell r="X433"/>
          <cell r="Y433"/>
          <cell r="Z433"/>
        </row>
        <row r="434">
          <cell r="H434"/>
          <cell r="I434"/>
          <cell r="J434"/>
          <cell r="K434"/>
          <cell r="L434"/>
          <cell r="V434"/>
          <cell r="W434"/>
          <cell r="X434"/>
          <cell r="Y434"/>
          <cell r="Z434"/>
        </row>
        <row r="435">
          <cell r="H435"/>
          <cell r="I435"/>
          <cell r="J435"/>
          <cell r="K435"/>
          <cell r="L435"/>
          <cell r="V435"/>
          <cell r="W435"/>
          <cell r="X435"/>
          <cell r="Y435"/>
          <cell r="Z435"/>
        </row>
        <row r="436">
          <cell r="H436"/>
          <cell r="I436"/>
          <cell r="J436"/>
          <cell r="K436"/>
          <cell r="L436"/>
          <cell r="V436"/>
          <cell r="W436"/>
          <cell r="X436"/>
          <cell r="Y436"/>
          <cell r="Z436"/>
        </row>
        <row r="437">
          <cell r="H437"/>
          <cell r="I437"/>
          <cell r="J437"/>
          <cell r="K437"/>
          <cell r="L437"/>
          <cell r="V437"/>
          <cell r="W437"/>
          <cell r="X437"/>
          <cell r="Y437"/>
          <cell r="Z437"/>
        </row>
        <row r="438">
          <cell r="H438"/>
          <cell r="I438"/>
          <cell r="J438"/>
          <cell r="K438"/>
          <cell r="L438"/>
          <cell r="V438"/>
          <cell r="W438"/>
          <cell r="X438"/>
          <cell r="Y438"/>
          <cell r="Z438"/>
        </row>
        <row r="439">
          <cell r="H439"/>
          <cell r="I439"/>
          <cell r="J439"/>
          <cell r="K439"/>
          <cell r="L439"/>
          <cell r="V439"/>
          <cell r="W439"/>
          <cell r="X439"/>
          <cell r="Y439"/>
          <cell r="Z439"/>
        </row>
        <row r="440">
          <cell r="H440"/>
          <cell r="I440"/>
          <cell r="J440"/>
          <cell r="K440"/>
          <cell r="L440"/>
          <cell r="V440"/>
          <cell r="W440"/>
          <cell r="X440"/>
          <cell r="Y440"/>
          <cell r="Z440"/>
        </row>
        <row r="441">
          <cell r="H441"/>
          <cell r="I441"/>
          <cell r="J441"/>
          <cell r="K441"/>
          <cell r="L441"/>
          <cell r="V441"/>
          <cell r="W441"/>
          <cell r="X441"/>
          <cell r="Y441"/>
          <cell r="Z441"/>
        </row>
        <row r="442">
          <cell r="H442"/>
          <cell r="I442"/>
          <cell r="J442"/>
          <cell r="K442"/>
          <cell r="L442"/>
          <cell r="V442"/>
          <cell r="W442"/>
          <cell r="X442"/>
          <cell r="Y442"/>
          <cell r="Z442"/>
        </row>
        <row r="443">
          <cell r="H443"/>
          <cell r="I443"/>
          <cell r="J443"/>
          <cell r="K443"/>
          <cell r="L443"/>
          <cell r="V443"/>
          <cell r="W443"/>
          <cell r="X443"/>
          <cell r="Y443"/>
          <cell r="Z443"/>
        </row>
        <row r="444">
          <cell r="H444"/>
          <cell r="I444"/>
          <cell r="J444"/>
          <cell r="K444"/>
          <cell r="L444"/>
          <cell r="V444"/>
          <cell r="W444"/>
          <cell r="X444"/>
          <cell r="Y444"/>
          <cell r="Z444"/>
        </row>
        <row r="445">
          <cell r="H445"/>
          <cell r="I445"/>
          <cell r="J445"/>
          <cell r="K445"/>
          <cell r="L445"/>
          <cell r="V445"/>
          <cell r="W445"/>
          <cell r="X445"/>
          <cell r="Y445"/>
          <cell r="Z445"/>
        </row>
        <row r="446">
          <cell r="H446"/>
          <cell r="I446"/>
          <cell r="J446"/>
          <cell r="K446"/>
          <cell r="L446"/>
          <cell r="V446"/>
          <cell r="W446"/>
          <cell r="X446"/>
          <cell r="Y446"/>
          <cell r="Z446"/>
        </row>
        <row r="447">
          <cell r="H447"/>
          <cell r="I447"/>
          <cell r="J447"/>
          <cell r="K447"/>
          <cell r="L447"/>
          <cell r="V447"/>
          <cell r="W447"/>
          <cell r="X447"/>
          <cell r="Y447"/>
          <cell r="Z447"/>
        </row>
        <row r="448">
          <cell r="H448"/>
          <cell r="I448"/>
          <cell r="J448"/>
          <cell r="K448"/>
          <cell r="L448"/>
          <cell r="V448"/>
          <cell r="W448"/>
          <cell r="X448"/>
          <cell r="Y448"/>
          <cell r="Z448"/>
        </row>
        <row r="449">
          <cell r="H449"/>
          <cell r="I449"/>
          <cell r="J449"/>
          <cell r="K449"/>
          <cell r="L449"/>
          <cell r="V449"/>
          <cell r="W449"/>
          <cell r="X449"/>
          <cell r="Y449"/>
          <cell r="Z449"/>
        </row>
        <row r="450">
          <cell r="H450"/>
          <cell r="I450"/>
          <cell r="J450"/>
          <cell r="K450"/>
          <cell r="L450"/>
          <cell r="V450"/>
          <cell r="W450"/>
          <cell r="X450"/>
          <cell r="Y450"/>
          <cell r="Z450"/>
        </row>
        <row r="451">
          <cell r="H451"/>
          <cell r="I451"/>
          <cell r="J451"/>
          <cell r="K451"/>
          <cell r="L451"/>
          <cell r="V451"/>
          <cell r="W451"/>
          <cell r="X451"/>
          <cell r="Y451"/>
          <cell r="Z451"/>
        </row>
        <row r="452">
          <cell r="H452"/>
          <cell r="I452"/>
          <cell r="J452"/>
          <cell r="K452"/>
          <cell r="L452"/>
          <cell r="V452"/>
          <cell r="W452"/>
          <cell r="X452"/>
          <cell r="Y452"/>
          <cell r="Z452"/>
        </row>
        <row r="453">
          <cell r="H453"/>
          <cell r="I453"/>
          <cell r="J453"/>
          <cell r="K453"/>
          <cell r="L453"/>
          <cell r="V453"/>
          <cell r="W453"/>
          <cell r="X453"/>
          <cell r="Y453"/>
          <cell r="Z453"/>
        </row>
        <row r="454">
          <cell r="H454"/>
          <cell r="I454"/>
          <cell r="J454"/>
          <cell r="K454"/>
          <cell r="L454"/>
          <cell r="V454"/>
          <cell r="W454"/>
          <cell r="X454"/>
          <cell r="Y454"/>
          <cell r="Z454"/>
        </row>
        <row r="455">
          <cell r="H455"/>
          <cell r="I455"/>
          <cell r="J455"/>
          <cell r="K455"/>
          <cell r="L455"/>
          <cell r="V455"/>
          <cell r="W455"/>
          <cell r="X455"/>
          <cell r="Y455"/>
          <cell r="Z455"/>
        </row>
        <row r="456">
          <cell r="H456"/>
          <cell r="I456"/>
          <cell r="J456"/>
          <cell r="K456"/>
          <cell r="L456"/>
          <cell r="V456"/>
          <cell r="W456"/>
          <cell r="X456"/>
          <cell r="Y456"/>
          <cell r="Z456"/>
        </row>
        <row r="457">
          <cell r="H457"/>
          <cell r="I457"/>
          <cell r="J457"/>
          <cell r="K457"/>
          <cell r="L457"/>
          <cell r="V457"/>
          <cell r="W457"/>
          <cell r="X457"/>
          <cell r="Y457"/>
          <cell r="Z457"/>
        </row>
        <row r="458">
          <cell r="H458"/>
          <cell r="I458"/>
          <cell r="J458"/>
          <cell r="K458"/>
          <cell r="L458"/>
          <cell r="V458"/>
          <cell r="W458"/>
          <cell r="X458"/>
          <cell r="Y458"/>
          <cell r="Z458"/>
        </row>
        <row r="459">
          <cell r="H459"/>
          <cell r="I459"/>
          <cell r="J459"/>
          <cell r="K459"/>
          <cell r="L459"/>
          <cell r="V459"/>
          <cell r="W459"/>
          <cell r="X459"/>
          <cell r="Y459"/>
          <cell r="Z459"/>
        </row>
        <row r="460">
          <cell r="H460"/>
          <cell r="I460"/>
          <cell r="J460"/>
          <cell r="K460"/>
          <cell r="L460"/>
          <cell r="V460"/>
          <cell r="W460"/>
          <cell r="X460"/>
          <cell r="Y460"/>
          <cell r="Z460"/>
        </row>
        <row r="461">
          <cell r="H461"/>
          <cell r="I461"/>
          <cell r="J461"/>
          <cell r="K461"/>
          <cell r="L461"/>
          <cell r="V461"/>
          <cell r="W461"/>
          <cell r="X461"/>
          <cell r="Y461"/>
          <cell r="Z461"/>
        </row>
        <row r="462">
          <cell r="H462"/>
          <cell r="I462"/>
          <cell r="J462"/>
          <cell r="K462"/>
          <cell r="L462"/>
          <cell r="V462"/>
          <cell r="W462"/>
          <cell r="X462"/>
          <cell r="Y462"/>
          <cell r="Z462"/>
        </row>
        <row r="463">
          <cell r="H463"/>
          <cell r="I463"/>
          <cell r="J463"/>
          <cell r="K463"/>
          <cell r="L463"/>
          <cell r="V463"/>
          <cell r="W463"/>
          <cell r="X463"/>
          <cell r="Y463"/>
          <cell r="Z463"/>
        </row>
        <row r="464">
          <cell r="H464"/>
          <cell r="I464"/>
          <cell r="J464"/>
          <cell r="K464"/>
          <cell r="L464"/>
          <cell r="V464"/>
          <cell r="W464"/>
          <cell r="X464"/>
          <cell r="Y464"/>
          <cell r="Z464"/>
        </row>
        <row r="465">
          <cell r="H465"/>
          <cell r="I465"/>
          <cell r="J465"/>
          <cell r="K465"/>
          <cell r="L465"/>
          <cell r="V465"/>
          <cell r="W465"/>
          <cell r="X465"/>
          <cell r="Y465"/>
          <cell r="Z465"/>
        </row>
        <row r="466">
          <cell r="H466"/>
          <cell r="I466"/>
          <cell r="J466"/>
          <cell r="K466"/>
          <cell r="L466"/>
          <cell r="V466"/>
          <cell r="W466"/>
          <cell r="X466"/>
          <cell r="Y466"/>
          <cell r="Z466"/>
        </row>
        <row r="467">
          <cell r="H467"/>
          <cell r="I467"/>
          <cell r="J467"/>
          <cell r="K467"/>
          <cell r="L467"/>
          <cell r="V467"/>
          <cell r="W467"/>
          <cell r="X467"/>
          <cell r="Y467"/>
          <cell r="Z467"/>
        </row>
        <row r="468">
          <cell r="H468"/>
          <cell r="I468"/>
          <cell r="J468"/>
          <cell r="K468"/>
          <cell r="L468"/>
          <cell r="V468"/>
          <cell r="W468"/>
          <cell r="X468"/>
          <cell r="Y468"/>
          <cell r="Z468"/>
        </row>
        <row r="469">
          <cell r="H469"/>
          <cell r="I469"/>
          <cell r="J469"/>
          <cell r="K469"/>
          <cell r="L469"/>
          <cell r="V469"/>
          <cell r="W469"/>
          <cell r="X469"/>
          <cell r="Y469"/>
          <cell r="Z469"/>
        </row>
        <row r="470">
          <cell r="H470"/>
          <cell r="I470"/>
          <cell r="J470"/>
          <cell r="K470"/>
          <cell r="L470"/>
          <cell r="V470"/>
          <cell r="W470"/>
          <cell r="X470"/>
          <cell r="Y470"/>
          <cell r="Z470"/>
        </row>
        <row r="471">
          <cell r="H471"/>
          <cell r="I471"/>
          <cell r="J471"/>
          <cell r="K471"/>
          <cell r="L471"/>
          <cell r="V471"/>
          <cell r="W471"/>
          <cell r="X471"/>
          <cell r="Y471"/>
          <cell r="Z471"/>
        </row>
        <row r="472">
          <cell r="H472"/>
          <cell r="I472"/>
          <cell r="J472"/>
          <cell r="K472"/>
          <cell r="L472"/>
          <cell r="V472"/>
          <cell r="W472"/>
          <cell r="X472"/>
          <cell r="Y472"/>
          <cell r="Z472"/>
        </row>
        <row r="473">
          <cell r="H473"/>
          <cell r="I473"/>
          <cell r="J473"/>
          <cell r="K473"/>
          <cell r="L473"/>
          <cell r="V473"/>
          <cell r="W473"/>
          <cell r="X473"/>
          <cell r="Y473"/>
          <cell r="Z473"/>
        </row>
        <row r="474">
          <cell r="H474"/>
          <cell r="I474"/>
          <cell r="J474"/>
          <cell r="K474"/>
          <cell r="L474"/>
          <cell r="V474"/>
          <cell r="W474"/>
          <cell r="X474"/>
          <cell r="Y474"/>
          <cell r="Z474"/>
        </row>
        <row r="475">
          <cell r="H475"/>
          <cell r="I475"/>
          <cell r="J475"/>
          <cell r="K475"/>
          <cell r="L475"/>
          <cell r="V475"/>
          <cell r="W475"/>
          <cell r="X475"/>
          <cell r="Y475"/>
          <cell r="Z475"/>
        </row>
        <row r="476">
          <cell r="H476"/>
          <cell r="I476"/>
          <cell r="J476"/>
          <cell r="K476"/>
          <cell r="L476"/>
          <cell r="V476"/>
          <cell r="W476"/>
          <cell r="X476"/>
          <cell r="Y476"/>
          <cell r="Z476"/>
        </row>
        <row r="477">
          <cell r="H477"/>
          <cell r="I477"/>
          <cell r="J477"/>
          <cell r="K477"/>
          <cell r="L477"/>
          <cell r="V477"/>
          <cell r="W477"/>
          <cell r="X477"/>
          <cell r="Y477"/>
          <cell r="Z477"/>
        </row>
        <row r="478">
          <cell r="H478"/>
          <cell r="I478"/>
          <cell r="J478"/>
          <cell r="K478"/>
          <cell r="L478"/>
          <cell r="V478"/>
          <cell r="W478"/>
          <cell r="X478"/>
          <cell r="Y478"/>
          <cell r="Z478"/>
        </row>
        <row r="479">
          <cell r="H479"/>
          <cell r="I479"/>
          <cell r="J479"/>
          <cell r="K479"/>
          <cell r="L479"/>
          <cell r="V479"/>
          <cell r="W479"/>
          <cell r="X479"/>
          <cell r="Y479"/>
          <cell r="Z479"/>
        </row>
        <row r="480">
          <cell r="H480"/>
          <cell r="I480"/>
          <cell r="J480"/>
          <cell r="K480"/>
          <cell r="L480"/>
          <cell r="V480"/>
          <cell r="W480"/>
          <cell r="X480"/>
          <cell r="Y480"/>
          <cell r="Z480"/>
        </row>
        <row r="481">
          <cell r="H481"/>
          <cell r="I481"/>
          <cell r="J481"/>
          <cell r="K481"/>
          <cell r="L481"/>
          <cell r="V481"/>
          <cell r="W481"/>
          <cell r="X481"/>
          <cell r="Y481"/>
          <cell r="Z481"/>
        </row>
        <row r="482">
          <cell r="H482"/>
          <cell r="I482"/>
          <cell r="J482"/>
          <cell r="K482"/>
          <cell r="L482"/>
          <cell r="V482"/>
          <cell r="W482"/>
          <cell r="X482"/>
          <cell r="Y482"/>
          <cell r="Z482"/>
        </row>
        <row r="483">
          <cell r="H483"/>
          <cell r="I483"/>
          <cell r="J483"/>
          <cell r="K483"/>
          <cell r="L483"/>
          <cell r="V483"/>
          <cell r="W483"/>
          <cell r="X483"/>
          <cell r="Y483"/>
          <cell r="Z483"/>
        </row>
        <row r="484">
          <cell r="H484"/>
          <cell r="I484"/>
          <cell r="J484"/>
          <cell r="K484"/>
          <cell r="L484"/>
          <cell r="V484"/>
          <cell r="W484"/>
          <cell r="X484"/>
          <cell r="Y484"/>
          <cell r="Z484"/>
        </row>
        <row r="485">
          <cell r="H485"/>
          <cell r="I485"/>
          <cell r="J485"/>
          <cell r="K485"/>
          <cell r="L485"/>
          <cell r="V485"/>
          <cell r="W485"/>
          <cell r="X485"/>
          <cell r="Y485"/>
          <cell r="Z485"/>
        </row>
        <row r="486">
          <cell r="H486"/>
          <cell r="I486"/>
          <cell r="J486"/>
          <cell r="K486"/>
          <cell r="L486"/>
          <cell r="V486"/>
          <cell r="W486"/>
          <cell r="X486"/>
          <cell r="Y486"/>
          <cell r="Z486"/>
        </row>
        <row r="487">
          <cell r="H487"/>
          <cell r="I487"/>
          <cell r="J487"/>
          <cell r="K487"/>
          <cell r="L487"/>
          <cell r="V487"/>
          <cell r="W487"/>
          <cell r="X487"/>
          <cell r="Y487"/>
          <cell r="Z487"/>
        </row>
        <row r="488">
          <cell r="H488"/>
          <cell r="I488"/>
          <cell r="J488"/>
          <cell r="K488"/>
          <cell r="L488"/>
          <cell r="V488"/>
          <cell r="W488"/>
          <cell r="X488"/>
          <cell r="Y488"/>
          <cell r="Z488"/>
        </row>
        <row r="489">
          <cell r="H489"/>
          <cell r="I489"/>
          <cell r="J489"/>
          <cell r="K489"/>
          <cell r="L489"/>
          <cell r="V489"/>
          <cell r="W489"/>
          <cell r="X489"/>
          <cell r="Y489"/>
          <cell r="Z489"/>
        </row>
        <row r="490">
          <cell r="H490"/>
          <cell r="I490"/>
          <cell r="J490"/>
          <cell r="K490"/>
          <cell r="L490"/>
          <cell r="V490"/>
          <cell r="W490"/>
          <cell r="X490"/>
          <cell r="Y490"/>
          <cell r="Z490"/>
        </row>
        <row r="491">
          <cell r="H491"/>
          <cell r="I491"/>
          <cell r="J491"/>
          <cell r="K491"/>
          <cell r="L491"/>
          <cell r="V491"/>
          <cell r="W491"/>
          <cell r="X491"/>
          <cell r="Y491"/>
          <cell r="Z491"/>
        </row>
        <row r="492">
          <cell r="H492"/>
          <cell r="I492"/>
          <cell r="J492"/>
          <cell r="K492"/>
          <cell r="L492"/>
          <cell r="V492"/>
          <cell r="W492"/>
          <cell r="X492"/>
          <cell r="Y492"/>
          <cell r="Z492"/>
        </row>
        <row r="493">
          <cell r="H493"/>
          <cell r="I493"/>
          <cell r="J493"/>
          <cell r="K493"/>
          <cell r="L493"/>
          <cell r="V493"/>
          <cell r="W493"/>
          <cell r="X493"/>
          <cell r="Y493"/>
          <cell r="Z493"/>
        </row>
        <row r="494">
          <cell r="H494"/>
          <cell r="I494"/>
          <cell r="J494"/>
          <cell r="K494"/>
          <cell r="L494"/>
          <cell r="V494"/>
          <cell r="W494"/>
          <cell r="X494"/>
          <cell r="Y494"/>
          <cell r="Z494"/>
        </row>
        <row r="495">
          <cell r="H495"/>
          <cell r="I495"/>
          <cell r="J495"/>
          <cell r="K495"/>
          <cell r="L495"/>
          <cell r="V495"/>
          <cell r="W495"/>
          <cell r="X495"/>
          <cell r="Y495"/>
          <cell r="Z495"/>
        </row>
        <row r="496">
          <cell r="H496"/>
          <cell r="I496"/>
          <cell r="J496"/>
          <cell r="K496"/>
          <cell r="L496"/>
          <cell r="V496"/>
          <cell r="W496"/>
          <cell r="X496"/>
          <cell r="Y496"/>
          <cell r="Z496"/>
        </row>
        <row r="497">
          <cell r="H497"/>
          <cell r="I497"/>
          <cell r="J497"/>
          <cell r="K497"/>
          <cell r="L497"/>
          <cell r="V497"/>
          <cell r="W497"/>
          <cell r="X497"/>
          <cell r="Y497"/>
          <cell r="Z497"/>
        </row>
        <row r="498">
          <cell r="H498"/>
          <cell r="I498"/>
          <cell r="J498"/>
          <cell r="K498"/>
          <cell r="L498"/>
          <cell r="V498"/>
          <cell r="W498"/>
          <cell r="X498"/>
          <cell r="Y498"/>
          <cell r="Z498"/>
        </row>
        <row r="499">
          <cell r="H499"/>
          <cell r="I499"/>
          <cell r="J499"/>
          <cell r="K499"/>
          <cell r="L499"/>
          <cell r="V499"/>
          <cell r="W499"/>
          <cell r="X499"/>
          <cell r="Y499"/>
          <cell r="Z499"/>
        </row>
        <row r="500">
          <cell r="H500"/>
          <cell r="I500"/>
          <cell r="J500"/>
          <cell r="K500"/>
          <cell r="L500"/>
          <cell r="V500"/>
          <cell r="W500"/>
          <cell r="X500"/>
          <cell r="Y500"/>
          <cell r="Z500"/>
        </row>
        <row r="501">
          <cell r="H501"/>
          <cell r="I501"/>
          <cell r="J501"/>
          <cell r="K501"/>
          <cell r="L501"/>
          <cell r="V501"/>
          <cell r="W501"/>
          <cell r="X501"/>
          <cell r="Y501"/>
          <cell r="Z501"/>
        </row>
        <row r="502">
          <cell r="H502"/>
          <cell r="I502"/>
          <cell r="J502"/>
          <cell r="K502"/>
          <cell r="L502"/>
          <cell r="V502"/>
          <cell r="W502"/>
          <cell r="X502"/>
          <cell r="Y502"/>
          <cell r="Z502"/>
        </row>
        <row r="503">
          <cell r="H503"/>
          <cell r="I503"/>
          <cell r="J503"/>
          <cell r="K503"/>
          <cell r="L503"/>
          <cell r="V503"/>
          <cell r="W503"/>
          <cell r="X503"/>
          <cell r="Y503"/>
          <cell r="Z503"/>
        </row>
        <row r="504">
          <cell r="H504"/>
          <cell r="I504"/>
          <cell r="J504"/>
          <cell r="K504"/>
          <cell r="L504"/>
          <cell r="V504"/>
          <cell r="W504"/>
          <cell r="X504"/>
          <cell r="Y504"/>
          <cell r="Z504"/>
        </row>
        <row r="505">
          <cell r="H505"/>
          <cell r="I505"/>
          <cell r="J505"/>
          <cell r="K505"/>
          <cell r="L505"/>
          <cell r="V505"/>
          <cell r="W505"/>
          <cell r="X505"/>
          <cell r="Y505"/>
          <cell r="Z505"/>
        </row>
        <row r="506">
          <cell r="H506"/>
          <cell r="I506"/>
          <cell r="J506"/>
          <cell r="K506"/>
          <cell r="L506"/>
          <cell r="V506"/>
          <cell r="W506"/>
          <cell r="X506"/>
          <cell r="Y506"/>
          <cell r="Z506"/>
        </row>
        <row r="507">
          <cell r="H507"/>
          <cell r="I507"/>
          <cell r="J507"/>
          <cell r="K507"/>
          <cell r="L507"/>
          <cell r="V507"/>
          <cell r="W507"/>
          <cell r="X507"/>
          <cell r="Y507"/>
          <cell r="Z507"/>
        </row>
        <row r="508">
          <cell r="H508"/>
          <cell r="I508"/>
          <cell r="J508"/>
          <cell r="K508"/>
          <cell r="L508"/>
          <cell r="V508"/>
          <cell r="W508"/>
          <cell r="X508"/>
          <cell r="Y508"/>
          <cell r="Z508"/>
        </row>
        <row r="509">
          <cell r="H509"/>
          <cell r="I509"/>
          <cell r="J509"/>
          <cell r="K509"/>
          <cell r="L509"/>
          <cell r="V509"/>
          <cell r="W509"/>
          <cell r="X509"/>
          <cell r="Y509"/>
          <cell r="Z509"/>
        </row>
        <row r="510">
          <cell r="H510"/>
          <cell r="I510"/>
          <cell r="J510"/>
          <cell r="K510"/>
          <cell r="L510"/>
          <cell r="V510"/>
          <cell r="W510"/>
          <cell r="X510"/>
          <cell r="Y510"/>
          <cell r="Z510"/>
        </row>
        <row r="511">
          <cell r="H511"/>
          <cell r="I511"/>
          <cell r="J511"/>
          <cell r="K511"/>
          <cell r="L511"/>
          <cell r="V511"/>
          <cell r="W511"/>
          <cell r="X511"/>
          <cell r="Y511"/>
          <cell r="Z511"/>
        </row>
        <row r="512">
          <cell r="H512"/>
          <cell r="I512"/>
          <cell r="J512"/>
          <cell r="K512"/>
          <cell r="L512"/>
          <cell r="V512"/>
          <cell r="W512"/>
          <cell r="X512"/>
          <cell r="Y512"/>
          <cell r="Z512"/>
        </row>
        <row r="513">
          <cell r="H513"/>
          <cell r="I513"/>
          <cell r="J513"/>
          <cell r="K513"/>
          <cell r="L513"/>
          <cell r="V513"/>
          <cell r="W513"/>
          <cell r="X513"/>
          <cell r="Y513"/>
          <cell r="Z513"/>
        </row>
        <row r="514">
          <cell r="H514"/>
          <cell r="I514"/>
          <cell r="J514"/>
          <cell r="K514"/>
          <cell r="L514"/>
          <cell r="V514"/>
          <cell r="W514"/>
          <cell r="X514"/>
          <cell r="Y514"/>
          <cell r="Z514"/>
        </row>
        <row r="515">
          <cell r="H515"/>
          <cell r="I515"/>
          <cell r="J515"/>
          <cell r="K515"/>
          <cell r="L515"/>
          <cell r="V515"/>
          <cell r="W515"/>
          <cell r="X515"/>
          <cell r="Y515"/>
          <cell r="Z515"/>
        </row>
        <row r="516">
          <cell r="H516"/>
          <cell r="I516"/>
          <cell r="J516"/>
          <cell r="K516"/>
          <cell r="L516"/>
          <cell r="V516"/>
          <cell r="W516"/>
          <cell r="X516"/>
          <cell r="Y516"/>
          <cell r="Z516"/>
        </row>
        <row r="517">
          <cell r="H517"/>
          <cell r="I517"/>
          <cell r="J517"/>
          <cell r="K517"/>
          <cell r="L517"/>
          <cell r="V517"/>
          <cell r="W517"/>
          <cell r="X517"/>
          <cell r="Y517"/>
          <cell r="Z517"/>
        </row>
        <row r="518">
          <cell r="H518"/>
          <cell r="I518"/>
          <cell r="J518"/>
          <cell r="K518"/>
          <cell r="L518"/>
          <cell r="V518"/>
          <cell r="W518"/>
          <cell r="X518"/>
          <cell r="Y518"/>
          <cell r="Z518"/>
        </row>
        <row r="519">
          <cell r="H519"/>
          <cell r="I519"/>
          <cell r="J519"/>
          <cell r="K519"/>
          <cell r="L519"/>
          <cell r="V519"/>
          <cell r="W519"/>
          <cell r="X519"/>
          <cell r="Y519"/>
          <cell r="Z519"/>
        </row>
        <row r="520">
          <cell r="H520"/>
          <cell r="I520"/>
          <cell r="J520"/>
          <cell r="K520"/>
          <cell r="L520"/>
          <cell r="V520"/>
          <cell r="W520"/>
          <cell r="X520"/>
          <cell r="Y520"/>
          <cell r="Z520"/>
        </row>
        <row r="521">
          <cell r="H521"/>
          <cell r="I521"/>
          <cell r="J521"/>
          <cell r="K521"/>
          <cell r="L521"/>
          <cell r="V521"/>
          <cell r="W521"/>
          <cell r="X521"/>
          <cell r="Y521"/>
          <cell r="Z521"/>
        </row>
        <row r="522">
          <cell r="H522"/>
          <cell r="I522"/>
          <cell r="J522"/>
          <cell r="K522"/>
          <cell r="L522"/>
          <cell r="V522"/>
          <cell r="W522"/>
          <cell r="X522"/>
          <cell r="Y522"/>
          <cell r="Z522"/>
        </row>
        <row r="523">
          <cell r="H523"/>
          <cell r="I523"/>
          <cell r="J523"/>
          <cell r="K523"/>
          <cell r="L523"/>
          <cell r="V523"/>
          <cell r="W523"/>
          <cell r="X523"/>
          <cell r="Y523"/>
          <cell r="Z523"/>
        </row>
        <row r="524">
          <cell r="H524"/>
          <cell r="I524"/>
          <cell r="J524"/>
          <cell r="K524"/>
          <cell r="L524"/>
          <cell r="V524"/>
          <cell r="W524"/>
          <cell r="X524"/>
          <cell r="Y524"/>
          <cell r="Z524"/>
        </row>
        <row r="525">
          <cell r="H525"/>
          <cell r="I525"/>
          <cell r="J525"/>
          <cell r="K525"/>
          <cell r="L525"/>
          <cell r="V525"/>
          <cell r="W525"/>
          <cell r="X525"/>
          <cell r="Y525"/>
          <cell r="Z525"/>
        </row>
        <row r="526">
          <cell r="H526"/>
          <cell r="I526"/>
          <cell r="J526"/>
          <cell r="K526"/>
          <cell r="L526"/>
          <cell r="V526"/>
          <cell r="W526"/>
          <cell r="X526"/>
          <cell r="Y526"/>
          <cell r="Z526"/>
        </row>
        <row r="527">
          <cell r="H527"/>
          <cell r="I527"/>
          <cell r="J527"/>
          <cell r="K527"/>
          <cell r="L527"/>
          <cell r="V527"/>
          <cell r="W527"/>
          <cell r="X527"/>
          <cell r="Y527"/>
          <cell r="Z527"/>
        </row>
        <row r="528">
          <cell r="H528"/>
          <cell r="I528"/>
          <cell r="J528"/>
          <cell r="K528"/>
          <cell r="L528"/>
          <cell r="V528"/>
          <cell r="W528"/>
          <cell r="X528"/>
          <cell r="Y528"/>
          <cell r="Z528"/>
        </row>
        <row r="529">
          <cell r="H529"/>
          <cell r="I529"/>
          <cell r="J529"/>
          <cell r="K529"/>
          <cell r="L529"/>
          <cell r="V529"/>
          <cell r="W529"/>
          <cell r="X529"/>
          <cell r="Y529"/>
          <cell r="Z529"/>
        </row>
        <row r="530">
          <cell r="H530"/>
          <cell r="I530"/>
          <cell r="J530"/>
          <cell r="K530"/>
          <cell r="L530"/>
          <cell r="V530"/>
          <cell r="W530"/>
          <cell r="X530"/>
          <cell r="Y530"/>
          <cell r="Z530"/>
        </row>
        <row r="531">
          <cell r="H531"/>
          <cell r="I531"/>
          <cell r="J531"/>
          <cell r="K531"/>
          <cell r="L531"/>
          <cell r="V531"/>
          <cell r="W531"/>
          <cell r="X531"/>
          <cell r="Y531"/>
          <cell r="Z531"/>
        </row>
        <row r="532">
          <cell r="H532"/>
          <cell r="I532"/>
          <cell r="J532"/>
          <cell r="K532"/>
          <cell r="L532"/>
          <cell r="V532"/>
          <cell r="W532"/>
          <cell r="X532"/>
          <cell r="Y532"/>
          <cell r="Z532"/>
        </row>
        <row r="533">
          <cell r="H533"/>
          <cell r="I533"/>
          <cell r="J533"/>
          <cell r="K533"/>
          <cell r="L533"/>
          <cell r="V533"/>
          <cell r="W533"/>
          <cell r="X533"/>
          <cell r="Y533"/>
          <cell r="Z533"/>
        </row>
        <row r="534">
          <cell r="H534"/>
          <cell r="I534"/>
          <cell r="J534"/>
          <cell r="K534"/>
          <cell r="L534"/>
          <cell r="V534"/>
          <cell r="W534"/>
          <cell r="X534"/>
          <cell r="Y534"/>
          <cell r="Z534"/>
        </row>
        <row r="535">
          <cell r="H535"/>
          <cell r="I535"/>
          <cell r="J535"/>
          <cell r="K535"/>
          <cell r="L535"/>
          <cell r="V535"/>
          <cell r="W535"/>
          <cell r="X535"/>
          <cell r="Y535"/>
          <cell r="Z535"/>
        </row>
        <row r="536">
          <cell r="H536"/>
          <cell r="I536"/>
          <cell r="J536"/>
          <cell r="K536"/>
          <cell r="L536"/>
          <cell r="V536"/>
          <cell r="W536"/>
          <cell r="X536"/>
          <cell r="Y536"/>
          <cell r="Z536"/>
        </row>
        <row r="537">
          <cell r="H537"/>
          <cell r="I537"/>
          <cell r="J537"/>
          <cell r="K537"/>
          <cell r="L537"/>
          <cell r="V537"/>
          <cell r="W537"/>
          <cell r="X537"/>
          <cell r="Y537"/>
          <cell r="Z537"/>
        </row>
        <row r="538">
          <cell r="H538"/>
          <cell r="I538"/>
          <cell r="J538"/>
          <cell r="K538"/>
          <cell r="L538"/>
          <cell r="V538"/>
          <cell r="W538"/>
          <cell r="X538"/>
          <cell r="Y538"/>
          <cell r="Z538"/>
        </row>
        <row r="539">
          <cell r="H539"/>
          <cell r="I539"/>
          <cell r="J539"/>
          <cell r="K539"/>
          <cell r="L539"/>
          <cell r="V539"/>
          <cell r="W539"/>
          <cell r="X539"/>
          <cell r="Y539"/>
          <cell r="Z539"/>
        </row>
        <row r="540">
          <cell r="H540"/>
          <cell r="I540"/>
          <cell r="J540"/>
          <cell r="K540"/>
          <cell r="L540"/>
          <cell r="V540"/>
          <cell r="W540"/>
          <cell r="X540"/>
          <cell r="Y540"/>
          <cell r="Z540"/>
        </row>
        <row r="541">
          <cell r="H541"/>
          <cell r="I541"/>
          <cell r="J541"/>
          <cell r="K541"/>
          <cell r="L541"/>
          <cell r="V541"/>
          <cell r="W541"/>
          <cell r="X541"/>
          <cell r="Y541"/>
          <cell r="Z541"/>
        </row>
        <row r="542">
          <cell r="H542"/>
          <cell r="I542"/>
          <cell r="J542"/>
          <cell r="K542"/>
          <cell r="L542"/>
          <cell r="V542"/>
          <cell r="W542"/>
          <cell r="X542"/>
          <cell r="Y542"/>
          <cell r="Z542"/>
        </row>
        <row r="543">
          <cell r="H543"/>
          <cell r="I543"/>
          <cell r="J543"/>
          <cell r="K543"/>
          <cell r="L543"/>
          <cell r="V543"/>
          <cell r="W543"/>
          <cell r="X543"/>
          <cell r="Y543"/>
          <cell r="Z543"/>
        </row>
        <row r="544">
          <cell r="H544"/>
          <cell r="I544"/>
          <cell r="J544"/>
          <cell r="K544"/>
          <cell r="L544"/>
          <cell r="V544"/>
          <cell r="W544"/>
          <cell r="X544"/>
          <cell r="Y544"/>
          <cell r="Z544"/>
        </row>
        <row r="545">
          <cell r="F545"/>
          <cell r="G545"/>
          <cell r="M545"/>
          <cell r="O545"/>
          <cell r="T545"/>
          <cell r="U545"/>
          <cell r="AA545"/>
        </row>
        <row r="546">
          <cell r="F546"/>
          <cell r="G546"/>
          <cell r="M546"/>
          <cell r="O546"/>
          <cell r="T546"/>
          <cell r="U546"/>
          <cell r="AA546"/>
        </row>
        <row r="547">
          <cell r="F547"/>
          <cell r="G547"/>
          <cell r="M547"/>
          <cell r="O547"/>
          <cell r="T547"/>
          <cell r="U547"/>
          <cell r="AA547"/>
        </row>
        <row r="548">
          <cell r="F548"/>
          <cell r="G548"/>
          <cell r="M548"/>
          <cell r="O548"/>
          <cell r="T548"/>
          <cell r="U548"/>
          <cell r="AA548"/>
        </row>
        <row r="549">
          <cell r="F549"/>
          <cell r="G549"/>
          <cell r="M549"/>
          <cell r="O549"/>
          <cell r="T549"/>
          <cell r="U549"/>
          <cell r="AA549"/>
        </row>
        <row r="550">
          <cell r="F550"/>
          <cell r="G550"/>
          <cell r="M550"/>
          <cell r="O550"/>
          <cell r="T550"/>
          <cell r="U550"/>
          <cell r="AA550"/>
        </row>
        <row r="551">
          <cell r="F551"/>
          <cell r="G551"/>
          <cell r="M551"/>
          <cell r="O551"/>
          <cell r="T551"/>
          <cell r="U551"/>
          <cell r="AA551"/>
        </row>
        <row r="552">
          <cell r="F552"/>
          <cell r="G552"/>
          <cell r="M552"/>
          <cell r="O552"/>
          <cell r="T552"/>
          <cell r="U552"/>
          <cell r="AA552"/>
        </row>
        <row r="553">
          <cell r="F553"/>
          <cell r="G553"/>
          <cell r="M553"/>
          <cell r="O553"/>
          <cell r="T553"/>
          <cell r="U553"/>
          <cell r="AA553"/>
        </row>
        <row r="554">
          <cell r="F554"/>
          <cell r="G554"/>
          <cell r="M554"/>
          <cell r="O554"/>
          <cell r="T554"/>
          <cell r="U554"/>
          <cell r="AA554"/>
        </row>
        <row r="555">
          <cell r="F555"/>
          <cell r="G555"/>
          <cell r="M555"/>
          <cell r="O555"/>
          <cell r="T555"/>
          <cell r="U555"/>
          <cell r="AA555"/>
        </row>
        <row r="556">
          <cell r="F556"/>
          <cell r="G556"/>
          <cell r="M556"/>
          <cell r="O556"/>
          <cell r="T556"/>
          <cell r="U556"/>
          <cell r="AA556"/>
        </row>
        <row r="557">
          <cell r="F557"/>
          <cell r="G557"/>
          <cell r="M557"/>
          <cell r="O557"/>
          <cell r="T557"/>
          <cell r="U557"/>
          <cell r="AA557"/>
        </row>
        <row r="558">
          <cell r="F558"/>
          <cell r="G558"/>
          <cell r="T558"/>
          <cell r="U558"/>
        </row>
        <row r="559">
          <cell r="F559"/>
          <cell r="G559"/>
          <cell r="T559"/>
          <cell r="U559"/>
        </row>
        <row r="560">
          <cell r="F560"/>
          <cell r="G560"/>
          <cell r="T560"/>
          <cell r="U560"/>
        </row>
        <row r="561">
          <cell r="F561"/>
          <cell r="G561"/>
          <cell r="T561"/>
          <cell r="U561"/>
        </row>
        <row r="562">
          <cell r="F562"/>
          <cell r="G562"/>
          <cell r="T562"/>
          <cell r="U562"/>
        </row>
        <row r="563">
          <cell r="F563"/>
          <cell r="G563"/>
          <cell r="T563"/>
          <cell r="U563"/>
        </row>
        <row r="564">
          <cell r="F564"/>
          <cell r="G564"/>
          <cell r="T564"/>
          <cell r="U564"/>
        </row>
        <row r="565">
          <cell r="F565"/>
          <cell r="G565"/>
          <cell r="T565"/>
          <cell r="U565"/>
        </row>
        <row r="566">
          <cell r="F566"/>
          <cell r="G566"/>
          <cell r="T566"/>
          <cell r="U566"/>
        </row>
        <row r="567">
          <cell r="F567"/>
          <cell r="G567"/>
          <cell r="T567"/>
          <cell r="U567"/>
        </row>
        <row r="568">
          <cell r="F568"/>
          <cell r="G568"/>
          <cell r="T568"/>
          <cell r="U568"/>
        </row>
        <row r="569">
          <cell r="F569"/>
          <cell r="G569"/>
          <cell r="T569"/>
          <cell r="U569"/>
        </row>
        <row r="570">
          <cell r="F570"/>
          <cell r="G570"/>
          <cell r="T570"/>
          <cell r="U570"/>
        </row>
        <row r="571">
          <cell r="F571"/>
          <cell r="G571"/>
          <cell r="T571"/>
          <cell r="U571"/>
        </row>
        <row r="572">
          <cell r="F572"/>
          <cell r="G572"/>
          <cell r="T572"/>
          <cell r="U572"/>
        </row>
        <row r="573">
          <cell r="F573"/>
          <cell r="G573"/>
          <cell r="T573"/>
          <cell r="U573"/>
        </row>
        <row r="574">
          <cell r="F574"/>
          <cell r="G574"/>
          <cell r="T574"/>
          <cell r="U574"/>
        </row>
        <row r="575">
          <cell r="F575"/>
          <cell r="G575"/>
          <cell r="T575"/>
          <cell r="U575"/>
        </row>
        <row r="576">
          <cell r="F576"/>
          <cell r="G576"/>
          <cell r="T576"/>
          <cell r="U576"/>
        </row>
        <row r="577">
          <cell r="F577"/>
          <cell r="G577"/>
          <cell r="T577"/>
          <cell r="U577"/>
        </row>
        <row r="578">
          <cell r="F578"/>
          <cell r="G578"/>
          <cell r="T578"/>
          <cell r="U578"/>
        </row>
        <row r="579">
          <cell r="F579"/>
          <cell r="G579"/>
          <cell r="T579"/>
          <cell r="U579"/>
        </row>
        <row r="580">
          <cell r="F580"/>
          <cell r="G580"/>
          <cell r="T580"/>
          <cell r="U580"/>
        </row>
        <row r="581">
          <cell r="F581"/>
          <cell r="G581"/>
          <cell r="T581"/>
          <cell r="U581"/>
        </row>
        <row r="582">
          <cell r="F582"/>
          <cell r="G582"/>
          <cell r="T582"/>
          <cell r="U582"/>
        </row>
        <row r="583">
          <cell r="F583"/>
          <cell r="G583"/>
          <cell r="T583"/>
          <cell r="U583"/>
        </row>
        <row r="584">
          <cell r="F584"/>
          <cell r="G584"/>
          <cell r="T584"/>
          <cell r="U584"/>
        </row>
        <row r="585">
          <cell r="F585"/>
          <cell r="G585"/>
          <cell r="T585"/>
          <cell r="U585"/>
        </row>
        <row r="586">
          <cell r="F586"/>
          <cell r="G586"/>
          <cell r="T586"/>
          <cell r="U586"/>
        </row>
        <row r="587">
          <cell r="F587"/>
          <cell r="G587"/>
          <cell r="T587"/>
          <cell r="U587"/>
        </row>
        <row r="588">
          <cell r="F588"/>
          <cell r="G588"/>
          <cell r="T588"/>
          <cell r="U588"/>
        </row>
        <row r="589">
          <cell r="F589"/>
          <cell r="G589"/>
          <cell r="T589"/>
          <cell r="U589"/>
        </row>
        <row r="590">
          <cell r="F590"/>
          <cell r="G590"/>
          <cell r="T590"/>
          <cell r="U590"/>
        </row>
        <row r="591">
          <cell r="F591"/>
          <cell r="G591"/>
          <cell r="T591"/>
          <cell r="U591"/>
        </row>
        <row r="592">
          <cell r="F592"/>
          <cell r="G592"/>
          <cell r="T592"/>
          <cell r="U592"/>
        </row>
        <row r="593">
          <cell r="F593"/>
          <cell r="G593"/>
          <cell r="T593"/>
          <cell r="U593"/>
        </row>
        <row r="594">
          <cell r="F594"/>
          <cell r="G594"/>
          <cell r="T594"/>
          <cell r="U594"/>
        </row>
        <row r="595">
          <cell r="F595"/>
          <cell r="G595"/>
          <cell r="T595"/>
          <cell r="U595"/>
        </row>
        <row r="596">
          <cell r="F596"/>
          <cell r="G596"/>
          <cell r="T596"/>
          <cell r="U596"/>
        </row>
        <row r="597">
          <cell r="F597"/>
          <cell r="G597"/>
          <cell r="T597"/>
          <cell r="U597"/>
        </row>
        <row r="598">
          <cell r="F598"/>
          <cell r="G598"/>
          <cell r="T598"/>
          <cell r="U598"/>
        </row>
        <row r="599">
          <cell r="F599"/>
          <cell r="G599"/>
          <cell r="T599"/>
          <cell r="U599"/>
        </row>
        <row r="600">
          <cell r="F600"/>
          <cell r="G600"/>
          <cell r="T600"/>
          <cell r="U600"/>
        </row>
        <row r="601">
          <cell r="F601"/>
          <cell r="G601"/>
          <cell r="T601"/>
          <cell r="U601"/>
        </row>
        <row r="602">
          <cell r="F602"/>
          <cell r="G602"/>
          <cell r="T602"/>
          <cell r="U602"/>
        </row>
        <row r="603">
          <cell r="F603"/>
          <cell r="G603"/>
          <cell r="T603"/>
          <cell r="U603"/>
        </row>
        <row r="604">
          <cell r="F604"/>
          <cell r="G604"/>
          <cell r="T604"/>
          <cell r="U604"/>
        </row>
        <row r="605">
          <cell r="F605"/>
          <cell r="G605"/>
          <cell r="T605"/>
          <cell r="U605"/>
        </row>
        <row r="606">
          <cell r="F606"/>
          <cell r="G606"/>
          <cell r="T606"/>
          <cell r="U606"/>
        </row>
        <row r="607">
          <cell r="F607"/>
          <cell r="G607"/>
          <cell r="T607"/>
          <cell r="U607"/>
        </row>
        <row r="608">
          <cell r="F608"/>
          <cell r="G608"/>
          <cell r="T608"/>
          <cell r="U608"/>
        </row>
        <row r="609">
          <cell r="F609"/>
          <cell r="G609"/>
          <cell r="T609"/>
          <cell r="U609"/>
        </row>
        <row r="610">
          <cell r="F610"/>
          <cell r="G610"/>
          <cell r="T610"/>
          <cell r="U610"/>
        </row>
        <row r="611">
          <cell r="F611"/>
          <cell r="G611"/>
          <cell r="T611"/>
          <cell r="U611"/>
        </row>
        <row r="612">
          <cell r="F612"/>
          <cell r="G612"/>
          <cell r="T612"/>
          <cell r="U612"/>
        </row>
        <row r="613">
          <cell r="F613"/>
          <cell r="G613"/>
          <cell r="T613"/>
          <cell r="U613"/>
        </row>
        <row r="614">
          <cell r="F614"/>
          <cell r="G614"/>
          <cell r="T614"/>
          <cell r="U614"/>
        </row>
        <row r="615">
          <cell r="F615"/>
          <cell r="G615"/>
          <cell r="T615"/>
          <cell r="U615"/>
        </row>
        <row r="616">
          <cell r="F616"/>
          <cell r="G616"/>
          <cell r="T616"/>
          <cell r="U616"/>
        </row>
        <row r="617">
          <cell r="F617"/>
          <cell r="G617"/>
          <cell r="T617"/>
          <cell r="U617"/>
        </row>
        <row r="618">
          <cell r="F618"/>
          <cell r="G618"/>
          <cell r="T618"/>
          <cell r="U618"/>
        </row>
        <row r="619">
          <cell r="F619"/>
          <cell r="G619"/>
          <cell r="T619"/>
          <cell r="U619"/>
        </row>
        <row r="620">
          <cell r="F620"/>
          <cell r="G620"/>
          <cell r="T620"/>
          <cell r="U620"/>
        </row>
        <row r="621">
          <cell r="F621"/>
          <cell r="G621"/>
          <cell r="T621"/>
          <cell r="U621"/>
        </row>
        <row r="622">
          <cell r="F622"/>
          <cell r="G622"/>
          <cell r="T622"/>
          <cell r="U622"/>
        </row>
        <row r="623">
          <cell r="F623"/>
          <cell r="G623"/>
          <cell r="T623"/>
          <cell r="U623"/>
        </row>
        <row r="624">
          <cell r="F624"/>
          <cell r="G624"/>
          <cell r="T624"/>
          <cell r="U624"/>
        </row>
        <row r="625">
          <cell r="F625"/>
          <cell r="G625"/>
          <cell r="T625"/>
          <cell r="U625"/>
        </row>
        <row r="626">
          <cell r="F626"/>
          <cell r="G626"/>
          <cell r="T626"/>
          <cell r="U626"/>
        </row>
        <row r="627">
          <cell r="F627"/>
          <cell r="G627"/>
          <cell r="T627"/>
          <cell r="U627"/>
        </row>
        <row r="628">
          <cell r="F628"/>
          <cell r="G628"/>
          <cell r="T628"/>
          <cell r="U628"/>
        </row>
        <row r="629">
          <cell r="F629"/>
          <cell r="G629"/>
          <cell r="T629"/>
          <cell r="U629"/>
        </row>
        <row r="630">
          <cell r="F630"/>
          <cell r="G630"/>
          <cell r="T630"/>
          <cell r="U630"/>
        </row>
        <row r="631">
          <cell r="F631"/>
          <cell r="G631"/>
          <cell r="T631"/>
          <cell r="U631"/>
        </row>
        <row r="632">
          <cell r="F632"/>
          <cell r="G632"/>
          <cell r="T632"/>
          <cell r="U632"/>
        </row>
        <row r="633">
          <cell r="F633"/>
          <cell r="G633"/>
          <cell r="T633"/>
          <cell r="U633"/>
        </row>
        <row r="634">
          <cell r="F634"/>
          <cell r="G634"/>
          <cell r="T634"/>
          <cell r="U634"/>
        </row>
        <row r="635">
          <cell r="F635"/>
          <cell r="G635"/>
          <cell r="T635"/>
          <cell r="U635"/>
        </row>
        <row r="636">
          <cell r="F636"/>
          <cell r="G636"/>
          <cell r="T636"/>
          <cell r="U636"/>
        </row>
        <row r="637">
          <cell r="F637"/>
          <cell r="G637"/>
          <cell r="T637"/>
          <cell r="U637"/>
        </row>
        <row r="638">
          <cell r="F638"/>
          <cell r="G638"/>
          <cell r="T638"/>
          <cell r="U638"/>
        </row>
        <row r="639">
          <cell r="F639"/>
          <cell r="G639"/>
          <cell r="T639"/>
          <cell r="U639"/>
        </row>
        <row r="640">
          <cell r="F640"/>
          <cell r="G640"/>
          <cell r="T640"/>
          <cell r="U640"/>
        </row>
        <row r="641">
          <cell r="F641"/>
          <cell r="G641"/>
          <cell r="T641"/>
          <cell r="U641"/>
        </row>
        <row r="642">
          <cell r="F642"/>
          <cell r="G642"/>
          <cell r="T642"/>
          <cell r="U642"/>
        </row>
        <row r="643">
          <cell r="F643"/>
          <cell r="G643"/>
          <cell r="T643"/>
          <cell r="U643"/>
        </row>
        <row r="644">
          <cell r="F644"/>
          <cell r="G644"/>
          <cell r="T644"/>
          <cell r="U644"/>
        </row>
        <row r="645">
          <cell r="F645"/>
          <cell r="G645"/>
          <cell r="T645"/>
          <cell r="U645"/>
        </row>
        <row r="646">
          <cell r="F646"/>
          <cell r="G646"/>
          <cell r="T646"/>
          <cell r="U646"/>
        </row>
        <row r="647">
          <cell r="F647"/>
          <cell r="G647"/>
          <cell r="T647"/>
          <cell r="U647"/>
        </row>
        <row r="648">
          <cell r="F648"/>
          <cell r="G648"/>
          <cell r="T648"/>
          <cell r="U648"/>
        </row>
        <row r="649">
          <cell r="F649"/>
          <cell r="G649"/>
          <cell r="T649"/>
          <cell r="U649"/>
        </row>
        <row r="650">
          <cell r="F650"/>
          <cell r="G650"/>
          <cell r="T650"/>
          <cell r="U650"/>
        </row>
        <row r="651">
          <cell r="F651"/>
          <cell r="G651"/>
          <cell r="T651"/>
          <cell r="U651"/>
        </row>
        <row r="652">
          <cell r="F652"/>
          <cell r="G652"/>
          <cell r="T652"/>
          <cell r="U652"/>
        </row>
        <row r="653">
          <cell r="F653"/>
          <cell r="G653"/>
          <cell r="T653"/>
          <cell r="U653"/>
        </row>
        <row r="654">
          <cell r="F654"/>
          <cell r="G654"/>
          <cell r="T654"/>
          <cell r="U654"/>
        </row>
        <row r="655">
          <cell r="F655"/>
          <cell r="G655"/>
          <cell r="T655"/>
          <cell r="U655"/>
        </row>
        <row r="656">
          <cell r="F656"/>
          <cell r="G656"/>
          <cell r="T656"/>
          <cell r="U656"/>
        </row>
        <row r="657">
          <cell r="F657"/>
          <cell r="G657"/>
          <cell r="T657"/>
          <cell r="U657"/>
        </row>
        <row r="658">
          <cell r="F658"/>
          <cell r="G658"/>
          <cell r="T658"/>
          <cell r="U658"/>
        </row>
        <row r="659">
          <cell r="F659"/>
          <cell r="G659"/>
          <cell r="T659"/>
          <cell r="U659"/>
        </row>
        <row r="660">
          <cell r="F660"/>
          <cell r="G660"/>
          <cell r="T660"/>
          <cell r="U660"/>
        </row>
        <row r="661">
          <cell r="F661"/>
          <cell r="G661"/>
          <cell r="T661"/>
          <cell r="U661"/>
        </row>
        <row r="662">
          <cell r="F662"/>
          <cell r="G662"/>
          <cell r="T662"/>
          <cell r="U662"/>
        </row>
        <row r="663">
          <cell r="F663"/>
          <cell r="G663"/>
          <cell r="T663"/>
          <cell r="U663"/>
        </row>
        <row r="664">
          <cell r="F664"/>
          <cell r="G664"/>
          <cell r="T664"/>
          <cell r="U664"/>
        </row>
        <row r="665">
          <cell r="F665"/>
          <cell r="G665"/>
          <cell r="T665"/>
          <cell r="U665"/>
        </row>
        <row r="666">
          <cell r="F666"/>
          <cell r="G666"/>
          <cell r="T666"/>
          <cell r="U666"/>
        </row>
        <row r="667">
          <cell r="F667"/>
          <cell r="G667"/>
          <cell r="T667"/>
          <cell r="U667"/>
        </row>
        <row r="668">
          <cell r="F668"/>
          <cell r="G668"/>
          <cell r="T668"/>
          <cell r="U668"/>
        </row>
        <row r="669">
          <cell r="F669"/>
          <cell r="G669"/>
          <cell r="T669"/>
          <cell r="U669"/>
        </row>
        <row r="670">
          <cell r="F670"/>
          <cell r="G670"/>
          <cell r="T670"/>
          <cell r="U670"/>
        </row>
        <row r="671">
          <cell r="F671"/>
          <cell r="G671"/>
          <cell r="T671"/>
          <cell r="U671"/>
        </row>
        <row r="672">
          <cell r="F672"/>
          <cell r="G672"/>
          <cell r="T672"/>
          <cell r="U672"/>
        </row>
        <row r="673">
          <cell r="F673"/>
          <cell r="G673"/>
          <cell r="T673"/>
          <cell r="U673"/>
        </row>
        <row r="674">
          <cell r="F674"/>
          <cell r="G674"/>
          <cell r="T674"/>
          <cell r="U674"/>
        </row>
        <row r="675">
          <cell r="F675"/>
          <cell r="G675"/>
          <cell r="T675"/>
          <cell r="U675"/>
        </row>
        <row r="676">
          <cell r="F676"/>
          <cell r="G676"/>
          <cell r="T676"/>
          <cell r="U676"/>
        </row>
        <row r="677">
          <cell r="F677"/>
          <cell r="G677"/>
          <cell r="T677"/>
          <cell r="U677"/>
        </row>
        <row r="678">
          <cell r="F678"/>
          <cell r="G678"/>
          <cell r="T678"/>
          <cell r="U678"/>
        </row>
        <row r="679">
          <cell r="F679"/>
          <cell r="G679"/>
          <cell r="T679"/>
          <cell r="U679"/>
        </row>
        <row r="680">
          <cell r="F680"/>
          <cell r="G680"/>
          <cell r="T680"/>
          <cell r="U680"/>
        </row>
        <row r="681">
          <cell r="F681"/>
          <cell r="G681"/>
          <cell r="T681"/>
          <cell r="U681"/>
        </row>
        <row r="682">
          <cell r="F682"/>
          <cell r="G682"/>
          <cell r="T682"/>
          <cell r="U682"/>
        </row>
        <row r="683">
          <cell r="F683"/>
          <cell r="G683"/>
          <cell r="T683"/>
          <cell r="U683"/>
        </row>
        <row r="684">
          <cell r="F684"/>
          <cell r="G684"/>
          <cell r="T684"/>
          <cell r="U684"/>
        </row>
        <row r="685">
          <cell r="F685"/>
          <cell r="G685"/>
          <cell r="T685"/>
          <cell r="U685"/>
        </row>
        <row r="686">
          <cell r="F686"/>
          <cell r="G686"/>
          <cell r="T686"/>
          <cell r="U686"/>
        </row>
        <row r="687">
          <cell r="F687"/>
          <cell r="G687"/>
          <cell r="T687"/>
          <cell r="U687"/>
        </row>
        <row r="688">
          <cell r="F688"/>
          <cell r="G688"/>
          <cell r="T688"/>
          <cell r="U688"/>
        </row>
        <row r="689">
          <cell r="F689"/>
          <cell r="G689"/>
          <cell r="T689"/>
          <cell r="U689"/>
        </row>
        <row r="690">
          <cell r="F690"/>
          <cell r="G690"/>
          <cell r="T690"/>
          <cell r="U690"/>
        </row>
        <row r="691">
          <cell r="F691"/>
          <cell r="G691"/>
          <cell r="T691"/>
          <cell r="U691"/>
        </row>
        <row r="692">
          <cell r="F692"/>
          <cell r="G692"/>
          <cell r="T692"/>
          <cell r="U692"/>
        </row>
        <row r="693">
          <cell r="F693"/>
          <cell r="G693"/>
          <cell r="T693"/>
          <cell r="U693"/>
        </row>
        <row r="694">
          <cell r="F694"/>
          <cell r="G694"/>
          <cell r="T694"/>
          <cell r="U694"/>
        </row>
        <row r="695">
          <cell r="F695"/>
          <cell r="G695"/>
          <cell r="T695"/>
          <cell r="U695"/>
        </row>
        <row r="696">
          <cell r="F696"/>
          <cell r="G696"/>
          <cell r="T696"/>
          <cell r="U696"/>
        </row>
        <row r="697">
          <cell r="F697"/>
          <cell r="G697"/>
          <cell r="T697"/>
          <cell r="U697"/>
        </row>
        <row r="698">
          <cell r="F698"/>
          <cell r="G698"/>
          <cell r="T698"/>
          <cell r="U698"/>
        </row>
        <row r="699">
          <cell r="F699"/>
          <cell r="G699"/>
          <cell r="T699"/>
          <cell r="U699"/>
        </row>
        <row r="700">
          <cell r="F700"/>
          <cell r="G700"/>
          <cell r="T700"/>
          <cell r="U700"/>
        </row>
        <row r="701">
          <cell r="F701"/>
          <cell r="G701"/>
          <cell r="T701"/>
          <cell r="U701"/>
        </row>
        <row r="702">
          <cell r="F702"/>
          <cell r="G702"/>
          <cell r="T702"/>
          <cell r="U702"/>
        </row>
        <row r="703">
          <cell r="F703"/>
          <cell r="G703"/>
          <cell r="T703"/>
          <cell r="U703"/>
        </row>
        <row r="704">
          <cell r="F704"/>
          <cell r="G704"/>
          <cell r="T704"/>
          <cell r="U704"/>
        </row>
        <row r="705">
          <cell r="F705"/>
          <cell r="G705"/>
          <cell r="T705"/>
          <cell r="U705"/>
        </row>
        <row r="706">
          <cell r="F706"/>
          <cell r="G706"/>
          <cell r="T706"/>
          <cell r="U706"/>
        </row>
        <row r="707">
          <cell r="F707"/>
          <cell r="G707"/>
          <cell r="T707"/>
          <cell r="U707"/>
        </row>
        <row r="708">
          <cell r="F708"/>
          <cell r="G708"/>
          <cell r="T708"/>
          <cell r="U708"/>
        </row>
        <row r="709">
          <cell r="F709"/>
          <cell r="G709"/>
          <cell r="T709"/>
          <cell r="U709"/>
        </row>
        <row r="710">
          <cell r="F710"/>
          <cell r="G710"/>
          <cell r="T710"/>
          <cell r="U710"/>
        </row>
        <row r="711">
          <cell r="F711"/>
          <cell r="G711"/>
          <cell r="T711"/>
          <cell r="U711"/>
        </row>
        <row r="712">
          <cell r="F712"/>
          <cell r="G712"/>
          <cell r="T712"/>
          <cell r="U712"/>
        </row>
        <row r="713">
          <cell r="F713"/>
          <cell r="G713"/>
          <cell r="T713"/>
          <cell r="U713"/>
        </row>
        <row r="714">
          <cell r="F714"/>
          <cell r="G714"/>
          <cell r="T714"/>
          <cell r="U714"/>
        </row>
        <row r="715">
          <cell r="F715"/>
          <cell r="G715"/>
          <cell r="T715"/>
          <cell r="U715"/>
        </row>
        <row r="716">
          <cell r="F716"/>
          <cell r="G716"/>
          <cell r="T716"/>
          <cell r="U716"/>
        </row>
        <row r="717">
          <cell r="F717"/>
          <cell r="G717"/>
          <cell r="T717"/>
          <cell r="U717"/>
        </row>
        <row r="718">
          <cell r="F718"/>
          <cell r="G718"/>
          <cell r="T718"/>
          <cell r="U718"/>
        </row>
        <row r="719">
          <cell r="F719"/>
          <cell r="G719"/>
          <cell r="T719"/>
          <cell r="U719"/>
        </row>
        <row r="720">
          <cell r="F720"/>
          <cell r="G720"/>
          <cell r="T720"/>
          <cell r="U720"/>
        </row>
        <row r="721">
          <cell r="F721"/>
          <cell r="G721"/>
          <cell r="T721"/>
          <cell r="U721"/>
        </row>
        <row r="722">
          <cell r="F722"/>
          <cell r="G722"/>
          <cell r="T722"/>
          <cell r="U722"/>
        </row>
        <row r="723">
          <cell r="F723"/>
          <cell r="G723"/>
          <cell r="T723"/>
          <cell r="U723"/>
        </row>
        <row r="724">
          <cell r="F724"/>
          <cell r="G724"/>
          <cell r="T724"/>
          <cell r="U724"/>
        </row>
        <row r="725">
          <cell r="F725"/>
          <cell r="G725"/>
          <cell r="T725"/>
          <cell r="U725"/>
        </row>
        <row r="726">
          <cell r="F726"/>
          <cell r="G726"/>
          <cell r="T726"/>
          <cell r="U726"/>
        </row>
        <row r="727">
          <cell r="F727"/>
          <cell r="G727"/>
          <cell r="T727"/>
          <cell r="U727"/>
        </row>
        <row r="728">
          <cell r="F728"/>
          <cell r="G728"/>
          <cell r="T728"/>
          <cell r="U728"/>
        </row>
        <row r="729">
          <cell r="F729"/>
          <cell r="G729"/>
          <cell r="T729"/>
          <cell r="U729"/>
        </row>
        <row r="730">
          <cell r="F730"/>
          <cell r="G730"/>
          <cell r="T730"/>
          <cell r="U730"/>
        </row>
        <row r="731">
          <cell r="F731"/>
          <cell r="G731"/>
          <cell r="T731"/>
          <cell r="U731"/>
        </row>
        <row r="732">
          <cell r="F732"/>
          <cell r="G732"/>
          <cell r="T732"/>
          <cell r="U732"/>
        </row>
        <row r="733">
          <cell r="F733"/>
          <cell r="G733"/>
          <cell r="T733"/>
          <cell r="U733"/>
        </row>
        <row r="734">
          <cell r="F734"/>
          <cell r="G734"/>
          <cell r="T734"/>
          <cell r="U734"/>
        </row>
        <row r="735">
          <cell r="F735"/>
          <cell r="G735"/>
          <cell r="T735"/>
          <cell r="U735"/>
        </row>
        <row r="736">
          <cell r="F736"/>
          <cell r="G736"/>
          <cell r="T736"/>
          <cell r="U736"/>
        </row>
        <row r="737">
          <cell r="F737"/>
          <cell r="G737"/>
          <cell r="T737"/>
          <cell r="U737"/>
        </row>
        <row r="738">
          <cell r="F738"/>
          <cell r="G738"/>
          <cell r="T738"/>
          <cell r="U738"/>
        </row>
        <row r="739">
          <cell r="F739"/>
          <cell r="G739"/>
          <cell r="T739"/>
          <cell r="U739"/>
        </row>
        <row r="740">
          <cell r="F740"/>
          <cell r="G740"/>
          <cell r="T740"/>
          <cell r="U740"/>
        </row>
        <row r="741">
          <cell r="F741"/>
          <cell r="G741"/>
          <cell r="T741"/>
          <cell r="U741"/>
        </row>
        <row r="742">
          <cell r="F742"/>
          <cell r="G742"/>
          <cell r="T742"/>
          <cell r="U742"/>
        </row>
        <row r="743">
          <cell r="F743"/>
          <cell r="G743"/>
          <cell r="T743"/>
          <cell r="U743"/>
        </row>
        <row r="744">
          <cell r="F744"/>
          <cell r="G744"/>
          <cell r="T744"/>
          <cell r="U744"/>
        </row>
        <row r="745">
          <cell r="F745"/>
          <cell r="G745"/>
          <cell r="T745"/>
          <cell r="U745"/>
        </row>
        <row r="746">
          <cell r="F746"/>
          <cell r="G746"/>
          <cell r="T746"/>
          <cell r="U746"/>
        </row>
        <row r="747">
          <cell r="F747"/>
          <cell r="G747"/>
          <cell r="T747"/>
          <cell r="U747"/>
        </row>
        <row r="748">
          <cell r="F748"/>
          <cell r="G748"/>
          <cell r="T748"/>
          <cell r="U748"/>
        </row>
        <row r="749">
          <cell r="F749"/>
          <cell r="G749"/>
          <cell r="T749"/>
          <cell r="U749"/>
        </row>
        <row r="750">
          <cell r="F750"/>
          <cell r="G750"/>
          <cell r="T750"/>
          <cell r="U750"/>
        </row>
        <row r="751">
          <cell r="F751"/>
          <cell r="G751"/>
          <cell r="T751"/>
          <cell r="U751"/>
        </row>
        <row r="752">
          <cell r="F752"/>
          <cell r="G752"/>
          <cell r="T752"/>
          <cell r="U752"/>
        </row>
        <row r="753">
          <cell r="F753"/>
          <cell r="G753"/>
          <cell r="T753"/>
          <cell r="U753"/>
        </row>
        <row r="754">
          <cell r="F754"/>
          <cell r="G754"/>
          <cell r="T754"/>
          <cell r="U754"/>
        </row>
        <row r="755">
          <cell r="F755"/>
          <cell r="G755"/>
          <cell r="T755"/>
          <cell r="U755"/>
        </row>
        <row r="756">
          <cell r="F756"/>
          <cell r="G756"/>
          <cell r="T756"/>
          <cell r="U756"/>
        </row>
        <row r="757">
          <cell r="F757"/>
          <cell r="G757"/>
          <cell r="T757"/>
          <cell r="U757"/>
        </row>
        <row r="758">
          <cell r="F758"/>
          <cell r="G758"/>
          <cell r="T758"/>
          <cell r="U758"/>
        </row>
        <row r="759">
          <cell r="F759"/>
          <cell r="G759"/>
          <cell r="T759"/>
          <cell r="U759"/>
        </row>
        <row r="760">
          <cell r="F760"/>
          <cell r="G760"/>
          <cell r="T760"/>
          <cell r="U760"/>
        </row>
        <row r="761">
          <cell r="F761"/>
          <cell r="G761"/>
          <cell r="T761"/>
          <cell r="U761"/>
        </row>
        <row r="762">
          <cell r="F762"/>
          <cell r="G762"/>
          <cell r="T762"/>
          <cell r="U762"/>
        </row>
        <row r="763">
          <cell r="F763"/>
          <cell r="G763"/>
          <cell r="T763"/>
          <cell r="U763"/>
        </row>
        <row r="764">
          <cell r="F764"/>
          <cell r="G764"/>
          <cell r="T764"/>
          <cell r="U764"/>
        </row>
        <row r="765">
          <cell r="F765"/>
          <cell r="G765"/>
          <cell r="T765"/>
          <cell r="U765"/>
        </row>
        <row r="766">
          <cell r="F766"/>
          <cell r="G766"/>
          <cell r="T766"/>
          <cell r="U766"/>
        </row>
        <row r="767">
          <cell r="F767"/>
          <cell r="G767"/>
          <cell r="T767"/>
          <cell r="U767"/>
        </row>
        <row r="768">
          <cell r="F768"/>
          <cell r="G768"/>
          <cell r="T768"/>
          <cell r="U768"/>
        </row>
        <row r="769">
          <cell r="F769"/>
          <cell r="G769"/>
          <cell r="T769"/>
          <cell r="U769"/>
        </row>
        <row r="770">
          <cell r="F770"/>
          <cell r="G770"/>
          <cell r="T770"/>
          <cell r="U770"/>
        </row>
        <row r="771">
          <cell r="F771"/>
          <cell r="G771"/>
          <cell r="T771"/>
          <cell r="U771"/>
        </row>
        <row r="772">
          <cell r="F772"/>
          <cell r="G772"/>
          <cell r="T772"/>
          <cell r="U772"/>
        </row>
        <row r="773">
          <cell r="F773"/>
          <cell r="G773"/>
          <cell r="T773"/>
          <cell r="U773"/>
        </row>
        <row r="774">
          <cell r="F774"/>
          <cell r="G774"/>
          <cell r="T774"/>
          <cell r="U774"/>
        </row>
        <row r="775">
          <cell r="F775"/>
          <cell r="G775"/>
          <cell r="T775"/>
          <cell r="U775"/>
        </row>
        <row r="776">
          <cell r="F776"/>
          <cell r="G776"/>
          <cell r="T776"/>
          <cell r="U776"/>
        </row>
        <row r="777">
          <cell r="F777"/>
          <cell r="G777"/>
          <cell r="T777"/>
          <cell r="U777"/>
        </row>
        <row r="778">
          <cell r="F778"/>
          <cell r="G778"/>
          <cell r="T778"/>
          <cell r="U778"/>
        </row>
        <row r="779">
          <cell r="F779"/>
          <cell r="G779"/>
          <cell r="T779"/>
          <cell r="U779"/>
        </row>
        <row r="780">
          <cell r="F780"/>
          <cell r="G780"/>
          <cell r="T780"/>
          <cell r="U780"/>
        </row>
        <row r="781">
          <cell r="F781"/>
          <cell r="G781"/>
          <cell r="T781"/>
          <cell r="U781"/>
        </row>
        <row r="782">
          <cell r="F782"/>
          <cell r="G782"/>
          <cell r="T782"/>
          <cell r="U782"/>
        </row>
        <row r="783">
          <cell r="F783"/>
          <cell r="G783"/>
          <cell r="T783"/>
          <cell r="U783"/>
        </row>
        <row r="784">
          <cell r="F784"/>
          <cell r="G784"/>
          <cell r="T784"/>
          <cell r="U784"/>
        </row>
        <row r="785">
          <cell r="F785"/>
          <cell r="G785"/>
          <cell r="T785"/>
          <cell r="U785"/>
        </row>
        <row r="786">
          <cell r="F786"/>
          <cell r="G786"/>
          <cell r="T786"/>
          <cell r="U786"/>
        </row>
        <row r="787">
          <cell r="F787"/>
          <cell r="G787"/>
          <cell r="T787"/>
          <cell r="U787"/>
        </row>
        <row r="788">
          <cell r="F788"/>
          <cell r="G788"/>
          <cell r="T788"/>
          <cell r="U788"/>
        </row>
        <row r="789">
          <cell r="F789"/>
          <cell r="G789"/>
          <cell r="T789"/>
          <cell r="U789"/>
        </row>
        <row r="790">
          <cell r="F790"/>
          <cell r="G790"/>
          <cell r="T790"/>
          <cell r="U790"/>
        </row>
        <row r="791">
          <cell r="F791"/>
          <cell r="G791"/>
          <cell r="T791"/>
          <cell r="U791"/>
        </row>
        <row r="792">
          <cell r="F792"/>
          <cell r="G792"/>
          <cell r="T792"/>
          <cell r="U792"/>
        </row>
        <row r="793">
          <cell r="F793"/>
          <cell r="G793"/>
          <cell r="T793"/>
          <cell r="U793"/>
        </row>
        <row r="794">
          <cell r="F794"/>
          <cell r="G794"/>
          <cell r="T794"/>
          <cell r="U794"/>
        </row>
        <row r="795">
          <cell r="F795"/>
          <cell r="G795"/>
          <cell r="T795"/>
          <cell r="U795"/>
        </row>
        <row r="796">
          <cell r="F796"/>
          <cell r="G796"/>
          <cell r="T796"/>
          <cell r="U796"/>
        </row>
        <row r="797">
          <cell r="F797"/>
          <cell r="G797"/>
          <cell r="T797"/>
          <cell r="U797"/>
        </row>
        <row r="798">
          <cell r="F798"/>
          <cell r="G798"/>
          <cell r="T798"/>
          <cell r="U798"/>
        </row>
        <row r="799">
          <cell r="F799"/>
          <cell r="G799"/>
          <cell r="T799"/>
          <cell r="U799"/>
        </row>
        <row r="800">
          <cell r="F800"/>
          <cell r="G800"/>
          <cell r="T800"/>
          <cell r="U800"/>
        </row>
        <row r="801">
          <cell r="F801"/>
          <cell r="G801"/>
          <cell r="T801"/>
          <cell r="U801"/>
        </row>
        <row r="802">
          <cell r="F802"/>
          <cell r="G802"/>
          <cell r="T802"/>
          <cell r="U802"/>
        </row>
        <row r="803">
          <cell r="F803"/>
          <cell r="G803"/>
          <cell r="T803"/>
          <cell r="U803"/>
        </row>
        <row r="804">
          <cell r="F804"/>
          <cell r="G804"/>
          <cell r="T804"/>
          <cell r="U804"/>
        </row>
        <row r="805">
          <cell r="F805"/>
          <cell r="G805"/>
          <cell r="T805"/>
          <cell r="U805"/>
        </row>
        <row r="806">
          <cell r="F806"/>
          <cell r="G806"/>
          <cell r="T806"/>
          <cell r="U806"/>
        </row>
        <row r="807">
          <cell r="F807"/>
          <cell r="G807"/>
          <cell r="T807"/>
          <cell r="U807"/>
        </row>
        <row r="808">
          <cell r="F808"/>
          <cell r="G808"/>
          <cell r="T808"/>
          <cell r="U808"/>
        </row>
        <row r="809">
          <cell r="F809"/>
          <cell r="G809"/>
          <cell r="T809"/>
          <cell r="U809"/>
        </row>
        <row r="810">
          <cell r="F810"/>
          <cell r="G810"/>
          <cell r="T810"/>
          <cell r="U810"/>
        </row>
        <row r="811">
          <cell r="F811"/>
          <cell r="G811"/>
          <cell r="T811"/>
          <cell r="U811"/>
        </row>
        <row r="812">
          <cell r="F812"/>
          <cell r="G812"/>
          <cell r="T812"/>
          <cell r="U812"/>
        </row>
        <row r="813">
          <cell r="F813"/>
          <cell r="G813"/>
          <cell r="T813"/>
          <cell r="U813"/>
        </row>
        <row r="814">
          <cell r="F814"/>
          <cell r="G814"/>
          <cell r="T814"/>
          <cell r="U814"/>
        </row>
        <row r="815">
          <cell r="F815"/>
          <cell r="G815"/>
          <cell r="T815"/>
          <cell r="U815"/>
        </row>
        <row r="816">
          <cell r="F816"/>
          <cell r="G816"/>
          <cell r="T816"/>
          <cell r="U816"/>
        </row>
        <row r="817">
          <cell r="F817"/>
          <cell r="G817"/>
          <cell r="T817"/>
          <cell r="U817"/>
        </row>
        <row r="818">
          <cell r="F818"/>
          <cell r="G818"/>
          <cell r="T818"/>
          <cell r="U818"/>
        </row>
        <row r="819">
          <cell r="F819"/>
          <cell r="G819"/>
          <cell r="T819"/>
          <cell r="U819"/>
        </row>
        <row r="820">
          <cell r="F820"/>
          <cell r="G820"/>
          <cell r="T820"/>
          <cell r="U820"/>
        </row>
        <row r="821">
          <cell r="F821"/>
          <cell r="G821"/>
          <cell r="T821"/>
          <cell r="U821"/>
        </row>
        <row r="822">
          <cell r="F822"/>
          <cell r="G822"/>
          <cell r="T822"/>
          <cell r="U822"/>
        </row>
        <row r="823">
          <cell r="F823"/>
          <cell r="G823"/>
          <cell r="T823"/>
          <cell r="U823"/>
        </row>
        <row r="824">
          <cell r="F824"/>
          <cell r="G824"/>
          <cell r="T824"/>
          <cell r="U824"/>
        </row>
        <row r="825">
          <cell r="F825"/>
          <cell r="G825"/>
          <cell r="T825"/>
          <cell r="U825"/>
        </row>
        <row r="826">
          <cell r="F826"/>
          <cell r="G826"/>
          <cell r="T826"/>
          <cell r="U826"/>
        </row>
        <row r="827">
          <cell r="F827"/>
          <cell r="G827"/>
          <cell r="T827"/>
          <cell r="U827"/>
        </row>
        <row r="828">
          <cell r="F828"/>
          <cell r="G828"/>
          <cell r="T828"/>
          <cell r="U828"/>
        </row>
        <row r="829">
          <cell r="F829"/>
          <cell r="G829"/>
          <cell r="T829"/>
          <cell r="U829"/>
        </row>
        <row r="830">
          <cell r="F830"/>
          <cell r="G830"/>
          <cell r="T830"/>
          <cell r="U830"/>
        </row>
        <row r="831">
          <cell r="F831"/>
          <cell r="G831"/>
          <cell r="T831"/>
          <cell r="U831"/>
        </row>
        <row r="832">
          <cell r="F832"/>
          <cell r="G832"/>
          <cell r="T832"/>
          <cell r="U832"/>
        </row>
        <row r="833">
          <cell r="F833"/>
          <cell r="G833"/>
          <cell r="T833"/>
          <cell r="U833"/>
        </row>
        <row r="834">
          <cell r="F834"/>
          <cell r="G834"/>
          <cell r="T834"/>
          <cell r="U834"/>
        </row>
        <row r="835">
          <cell r="F835"/>
          <cell r="G835"/>
          <cell r="T835"/>
          <cell r="U835"/>
        </row>
        <row r="836">
          <cell r="F836"/>
          <cell r="G836"/>
          <cell r="T836"/>
          <cell r="U836"/>
        </row>
        <row r="837">
          <cell r="F837"/>
          <cell r="G837"/>
          <cell r="T837"/>
          <cell r="U837"/>
        </row>
        <row r="838">
          <cell r="F838"/>
          <cell r="G838"/>
          <cell r="T838"/>
          <cell r="U838"/>
        </row>
        <row r="839">
          <cell r="F839"/>
          <cell r="G839"/>
          <cell r="T839"/>
          <cell r="U839"/>
        </row>
        <row r="840">
          <cell r="F840"/>
          <cell r="G840"/>
          <cell r="T840"/>
          <cell r="U840"/>
        </row>
        <row r="841">
          <cell r="F841"/>
          <cell r="G841"/>
          <cell r="T841"/>
          <cell r="U841"/>
        </row>
        <row r="842">
          <cell r="F842"/>
          <cell r="G842"/>
          <cell r="T842"/>
          <cell r="U842"/>
        </row>
        <row r="843">
          <cell r="F843"/>
          <cell r="G843"/>
          <cell r="T843"/>
          <cell r="U843"/>
        </row>
        <row r="844">
          <cell r="F844"/>
          <cell r="G844"/>
          <cell r="T844"/>
          <cell r="U844"/>
        </row>
        <row r="845">
          <cell r="F845"/>
          <cell r="G845"/>
          <cell r="T845"/>
          <cell r="U845"/>
        </row>
        <row r="846">
          <cell r="F846"/>
          <cell r="G846"/>
          <cell r="T846"/>
          <cell r="U846"/>
        </row>
        <row r="847">
          <cell r="F847"/>
          <cell r="G847"/>
          <cell r="T847"/>
          <cell r="U847"/>
        </row>
        <row r="848">
          <cell r="F848"/>
          <cell r="G848"/>
          <cell r="T848"/>
          <cell r="U848"/>
        </row>
        <row r="849">
          <cell r="F849"/>
          <cell r="G849"/>
          <cell r="T849"/>
          <cell r="U849"/>
        </row>
        <row r="850">
          <cell r="F850"/>
          <cell r="G850"/>
          <cell r="T850"/>
          <cell r="U850"/>
        </row>
        <row r="851">
          <cell r="F851"/>
          <cell r="G851"/>
          <cell r="T851"/>
          <cell r="U851"/>
        </row>
        <row r="852">
          <cell r="F852"/>
          <cell r="G852"/>
          <cell r="T852"/>
          <cell r="U852"/>
        </row>
        <row r="853">
          <cell r="F853"/>
          <cell r="G853"/>
          <cell r="T853"/>
          <cell r="U853"/>
        </row>
        <row r="854">
          <cell r="F854"/>
          <cell r="G854"/>
          <cell r="T854"/>
          <cell r="U854"/>
        </row>
        <row r="855">
          <cell r="F855"/>
          <cell r="G855"/>
          <cell r="T855"/>
          <cell r="U855"/>
        </row>
        <row r="856">
          <cell r="F856"/>
          <cell r="G856"/>
          <cell r="T856"/>
          <cell r="U856"/>
        </row>
        <row r="857">
          <cell r="F857"/>
          <cell r="G857"/>
          <cell r="T857"/>
          <cell r="U857"/>
        </row>
        <row r="858">
          <cell r="F858"/>
          <cell r="G858"/>
          <cell r="T858"/>
          <cell r="U858"/>
        </row>
        <row r="859">
          <cell r="F859"/>
          <cell r="G859"/>
          <cell r="T859"/>
          <cell r="U859"/>
        </row>
        <row r="860">
          <cell r="F860"/>
          <cell r="G860"/>
          <cell r="T860"/>
          <cell r="U860"/>
        </row>
        <row r="861">
          <cell r="F861"/>
          <cell r="G861"/>
          <cell r="T861"/>
          <cell r="U861"/>
        </row>
        <row r="862">
          <cell r="F862"/>
          <cell r="G862"/>
          <cell r="T862"/>
          <cell r="U862"/>
        </row>
        <row r="863">
          <cell r="F863"/>
          <cell r="G863"/>
          <cell r="T863"/>
          <cell r="U863"/>
        </row>
        <row r="864">
          <cell r="F864"/>
          <cell r="G864"/>
          <cell r="T864"/>
          <cell r="U864"/>
        </row>
        <row r="865">
          <cell r="F865"/>
          <cell r="G865"/>
          <cell r="T865"/>
          <cell r="U865"/>
        </row>
        <row r="866">
          <cell r="F866"/>
          <cell r="G866"/>
          <cell r="T866"/>
          <cell r="U866"/>
        </row>
        <row r="867">
          <cell r="F867"/>
          <cell r="G867"/>
          <cell r="T867"/>
          <cell r="U867"/>
        </row>
        <row r="868">
          <cell r="F868"/>
          <cell r="G868"/>
          <cell r="T868"/>
          <cell r="U868"/>
        </row>
        <row r="869">
          <cell r="F869"/>
          <cell r="G869"/>
          <cell r="T869"/>
          <cell r="U869"/>
        </row>
        <row r="870">
          <cell r="F870"/>
          <cell r="G870"/>
          <cell r="T870"/>
          <cell r="U870"/>
        </row>
        <row r="871">
          <cell r="F871"/>
          <cell r="G871"/>
          <cell r="T871"/>
          <cell r="U871"/>
        </row>
        <row r="872">
          <cell r="F872"/>
          <cell r="G872"/>
          <cell r="T872"/>
          <cell r="U872"/>
        </row>
        <row r="873">
          <cell r="F873"/>
          <cell r="G873"/>
          <cell r="T873"/>
          <cell r="U873"/>
        </row>
        <row r="874">
          <cell r="F874"/>
          <cell r="G874"/>
          <cell r="T874"/>
          <cell r="U874"/>
        </row>
        <row r="875">
          <cell r="F875"/>
          <cell r="G875"/>
          <cell r="T875"/>
          <cell r="U875"/>
        </row>
        <row r="876">
          <cell r="F876"/>
          <cell r="G876"/>
          <cell r="T876"/>
          <cell r="U876"/>
        </row>
        <row r="877">
          <cell r="F877"/>
          <cell r="G877"/>
          <cell r="T877"/>
          <cell r="U877"/>
        </row>
        <row r="878">
          <cell r="F878"/>
          <cell r="G878"/>
          <cell r="T878"/>
          <cell r="U878"/>
        </row>
        <row r="879">
          <cell r="F879"/>
          <cell r="G879"/>
          <cell r="T879"/>
          <cell r="U879"/>
        </row>
        <row r="880">
          <cell r="F880"/>
          <cell r="G880"/>
          <cell r="T880"/>
          <cell r="U880"/>
        </row>
        <row r="881">
          <cell r="F881"/>
          <cell r="G881"/>
          <cell r="T881"/>
          <cell r="U881"/>
        </row>
        <row r="882">
          <cell r="F882"/>
          <cell r="G882"/>
          <cell r="T882"/>
          <cell r="U882"/>
        </row>
        <row r="883">
          <cell r="F883"/>
          <cell r="G883"/>
          <cell r="T883"/>
          <cell r="U883"/>
        </row>
        <row r="884">
          <cell r="F884"/>
          <cell r="G884"/>
          <cell r="T884"/>
          <cell r="U884"/>
        </row>
        <row r="885">
          <cell r="F885"/>
          <cell r="G885"/>
          <cell r="T885"/>
          <cell r="U885"/>
        </row>
        <row r="886">
          <cell r="F886"/>
          <cell r="G886"/>
          <cell r="T886"/>
          <cell r="U886"/>
        </row>
        <row r="887">
          <cell r="F887"/>
          <cell r="G887"/>
          <cell r="T887"/>
          <cell r="U887"/>
        </row>
        <row r="888">
          <cell r="F888"/>
          <cell r="G888"/>
          <cell r="T888"/>
          <cell r="U888"/>
        </row>
        <row r="889">
          <cell r="F889"/>
          <cell r="G889"/>
          <cell r="T889"/>
          <cell r="U889"/>
        </row>
        <row r="890">
          <cell r="F890"/>
          <cell r="G890"/>
          <cell r="T890"/>
          <cell r="U890"/>
        </row>
        <row r="891">
          <cell r="F891"/>
          <cell r="G891"/>
          <cell r="T891"/>
          <cell r="U891"/>
        </row>
        <row r="892">
          <cell r="F892"/>
          <cell r="G892"/>
          <cell r="T892"/>
          <cell r="U892"/>
        </row>
        <row r="893">
          <cell r="F893"/>
          <cell r="G893"/>
          <cell r="T893"/>
          <cell r="U893"/>
        </row>
        <row r="894">
          <cell r="F894"/>
          <cell r="G894"/>
          <cell r="T894"/>
          <cell r="U894"/>
        </row>
        <row r="895">
          <cell r="F895"/>
          <cell r="G895"/>
          <cell r="T895"/>
          <cell r="U895"/>
        </row>
        <row r="896">
          <cell r="F896"/>
          <cell r="G896"/>
          <cell r="T896"/>
          <cell r="U896"/>
        </row>
        <row r="897">
          <cell r="F897"/>
          <cell r="G897"/>
          <cell r="T897"/>
          <cell r="U897"/>
        </row>
        <row r="898">
          <cell r="F898"/>
          <cell r="G898"/>
          <cell r="T898"/>
          <cell r="U898"/>
        </row>
        <row r="899">
          <cell r="F899"/>
          <cell r="G899"/>
          <cell r="T899"/>
          <cell r="U899"/>
        </row>
        <row r="900">
          <cell r="F900"/>
          <cell r="G900"/>
          <cell r="T900"/>
          <cell r="U900"/>
        </row>
        <row r="901">
          <cell r="F901"/>
          <cell r="G901"/>
          <cell r="T901"/>
          <cell r="U901"/>
        </row>
        <row r="902">
          <cell r="F902"/>
          <cell r="G902"/>
          <cell r="T902"/>
          <cell r="U902"/>
        </row>
        <row r="903">
          <cell r="F903"/>
          <cell r="G903"/>
          <cell r="T903"/>
          <cell r="U903"/>
        </row>
        <row r="904">
          <cell r="F904"/>
          <cell r="G904"/>
          <cell r="T904"/>
          <cell r="U904"/>
        </row>
        <row r="905">
          <cell r="F905"/>
          <cell r="G905"/>
          <cell r="T905"/>
          <cell r="U905"/>
        </row>
        <row r="906">
          <cell r="F906"/>
          <cell r="G906"/>
          <cell r="T906"/>
          <cell r="U906"/>
        </row>
        <row r="907">
          <cell r="F907"/>
          <cell r="G907"/>
          <cell r="T907"/>
          <cell r="U907"/>
        </row>
        <row r="908">
          <cell r="F908"/>
          <cell r="G908"/>
          <cell r="T908"/>
          <cell r="U908"/>
        </row>
        <row r="909">
          <cell r="F909"/>
          <cell r="G909"/>
          <cell r="T909"/>
          <cell r="U909"/>
        </row>
        <row r="910">
          <cell r="F910"/>
          <cell r="G910"/>
          <cell r="T910"/>
          <cell r="U910"/>
        </row>
        <row r="911">
          <cell r="F911"/>
          <cell r="G911"/>
          <cell r="T911"/>
          <cell r="U911"/>
        </row>
        <row r="912">
          <cell r="F912"/>
          <cell r="G912"/>
          <cell r="T912"/>
          <cell r="U912"/>
        </row>
        <row r="913">
          <cell r="F913"/>
          <cell r="G913"/>
          <cell r="T913"/>
          <cell r="U913"/>
        </row>
        <row r="914">
          <cell r="F914"/>
          <cell r="G914"/>
          <cell r="T914"/>
          <cell r="U914"/>
        </row>
        <row r="915">
          <cell r="F915"/>
          <cell r="G915"/>
          <cell r="T915"/>
          <cell r="U915"/>
        </row>
        <row r="916">
          <cell r="F916"/>
          <cell r="G916"/>
          <cell r="T916"/>
          <cell r="U916"/>
        </row>
        <row r="917">
          <cell r="F917"/>
          <cell r="G917"/>
          <cell r="T917"/>
          <cell r="U917"/>
        </row>
        <row r="918">
          <cell r="F918"/>
          <cell r="G918"/>
          <cell r="T918"/>
          <cell r="U918"/>
        </row>
        <row r="919">
          <cell r="F919"/>
          <cell r="G919"/>
          <cell r="T919"/>
          <cell r="U919"/>
        </row>
        <row r="920">
          <cell r="F920"/>
          <cell r="G920"/>
          <cell r="T920"/>
          <cell r="U920"/>
        </row>
        <row r="921">
          <cell r="F921"/>
          <cell r="G921"/>
          <cell r="T921"/>
          <cell r="U921"/>
        </row>
        <row r="922">
          <cell r="F922"/>
          <cell r="G922"/>
          <cell r="T922"/>
          <cell r="U922"/>
        </row>
        <row r="923">
          <cell r="F923"/>
          <cell r="G923"/>
          <cell r="T923"/>
          <cell r="U923"/>
        </row>
        <row r="924">
          <cell r="F924"/>
          <cell r="G924"/>
          <cell r="T924"/>
          <cell r="U924"/>
        </row>
        <row r="925">
          <cell r="F925"/>
          <cell r="G925"/>
          <cell r="T925"/>
          <cell r="U925"/>
        </row>
        <row r="926">
          <cell r="F926"/>
          <cell r="G926"/>
          <cell r="T926"/>
          <cell r="U926"/>
        </row>
        <row r="927">
          <cell r="F927"/>
          <cell r="G927"/>
          <cell r="T927"/>
          <cell r="U927"/>
        </row>
        <row r="928">
          <cell r="F928"/>
          <cell r="G928"/>
          <cell r="T928"/>
          <cell r="U928"/>
        </row>
        <row r="929">
          <cell r="F929"/>
          <cell r="G929"/>
          <cell r="T929"/>
          <cell r="U929"/>
        </row>
        <row r="930">
          <cell r="F930"/>
          <cell r="G930"/>
          <cell r="T930"/>
          <cell r="U930"/>
        </row>
        <row r="931">
          <cell r="F931"/>
          <cell r="G931"/>
          <cell r="T931"/>
          <cell r="U931"/>
        </row>
        <row r="932">
          <cell r="F932"/>
          <cell r="G932"/>
          <cell r="T932"/>
          <cell r="U932"/>
        </row>
        <row r="933">
          <cell r="F933"/>
          <cell r="G933"/>
          <cell r="T933"/>
          <cell r="U933"/>
        </row>
        <row r="934">
          <cell r="F934"/>
          <cell r="G934"/>
          <cell r="T934"/>
          <cell r="U934"/>
        </row>
        <row r="935">
          <cell r="F935"/>
          <cell r="G935"/>
          <cell r="T935"/>
          <cell r="U935"/>
        </row>
        <row r="936">
          <cell r="F936"/>
          <cell r="G936"/>
          <cell r="T936"/>
          <cell r="U936"/>
        </row>
        <row r="937">
          <cell r="F937"/>
          <cell r="G937"/>
          <cell r="T937"/>
          <cell r="U937"/>
        </row>
        <row r="938">
          <cell r="F938"/>
          <cell r="G938"/>
          <cell r="T938"/>
          <cell r="U938"/>
        </row>
        <row r="939">
          <cell r="F939"/>
          <cell r="G939"/>
          <cell r="T939"/>
          <cell r="U939"/>
        </row>
        <row r="940">
          <cell r="F940"/>
          <cell r="G940"/>
          <cell r="T940"/>
          <cell r="U940"/>
        </row>
        <row r="941">
          <cell r="F941"/>
          <cell r="G941"/>
          <cell r="T941"/>
          <cell r="U941"/>
        </row>
        <row r="942">
          <cell r="F942"/>
          <cell r="G942"/>
          <cell r="T942"/>
          <cell r="U942"/>
        </row>
        <row r="943">
          <cell r="F943"/>
          <cell r="G943"/>
          <cell r="T943"/>
          <cell r="U943"/>
        </row>
        <row r="944">
          <cell r="F944"/>
          <cell r="G944"/>
          <cell r="T944"/>
          <cell r="U944"/>
        </row>
        <row r="945">
          <cell r="F945"/>
          <cell r="G945"/>
          <cell r="T945"/>
          <cell r="U945"/>
        </row>
        <row r="946">
          <cell r="F946"/>
          <cell r="G946"/>
          <cell r="T946"/>
          <cell r="U946"/>
        </row>
        <row r="947">
          <cell r="F947"/>
          <cell r="G947"/>
          <cell r="T947"/>
          <cell r="U947"/>
        </row>
        <row r="948">
          <cell r="F948"/>
          <cell r="G948"/>
          <cell r="T948"/>
          <cell r="U948"/>
        </row>
        <row r="949">
          <cell r="F949"/>
          <cell r="G949"/>
          <cell r="T949"/>
          <cell r="U949"/>
        </row>
        <row r="950">
          <cell r="F950"/>
          <cell r="G950"/>
          <cell r="T950"/>
          <cell r="U950"/>
        </row>
        <row r="951">
          <cell r="F951"/>
          <cell r="G951"/>
          <cell r="T951"/>
          <cell r="U951"/>
        </row>
        <row r="952">
          <cell r="F952"/>
          <cell r="G952"/>
          <cell r="T952"/>
          <cell r="U952"/>
        </row>
        <row r="953">
          <cell r="F953"/>
          <cell r="G953"/>
          <cell r="T953"/>
          <cell r="U953"/>
        </row>
        <row r="954">
          <cell r="F954"/>
          <cell r="G954"/>
          <cell r="T954"/>
          <cell r="U954"/>
        </row>
        <row r="955">
          <cell r="F955"/>
          <cell r="G955"/>
          <cell r="T955"/>
          <cell r="U955"/>
        </row>
        <row r="956">
          <cell r="F956"/>
          <cell r="G956"/>
          <cell r="T956"/>
          <cell r="U956"/>
        </row>
        <row r="957">
          <cell r="F957"/>
          <cell r="G957"/>
          <cell r="T957"/>
          <cell r="U957"/>
        </row>
        <row r="958">
          <cell r="F958"/>
          <cell r="G958"/>
          <cell r="T958"/>
          <cell r="U958"/>
        </row>
        <row r="959">
          <cell r="F959"/>
          <cell r="G959"/>
          <cell r="T959"/>
          <cell r="U959"/>
        </row>
        <row r="960">
          <cell r="F960"/>
          <cell r="G960"/>
          <cell r="T960"/>
          <cell r="U960"/>
        </row>
        <row r="961">
          <cell r="F961"/>
          <cell r="G961"/>
          <cell r="T961"/>
          <cell r="U961"/>
        </row>
        <row r="962">
          <cell r="F962"/>
          <cell r="G962"/>
          <cell r="T962"/>
          <cell r="U962"/>
        </row>
        <row r="963">
          <cell r="F963"/>
          <cell r="G963"/>
          <cell r="T963"/>
          <cell r="U963"/>
        </row>
        <row r="964">
          <cell r="F964"/>
          <cell r="G964"/>
          <cell r="T964"/>
          <cell r="U964"/>
        </row>
        <row r="965">
          <cell r="F965"/>
          <cell r="G965"/>
          <cell r="T965"/>
          <cell r="U965"/>
        </row>
        <row r="966">
          <cell r="F966"/>
          <cell r="G966"/>
          <cell r="T966"/>
          <cell r="U966"/>
        </row>
        <row r="967">
          <cell r="F967"/>
          <cell r="G967"/>
          <cell r="T967"/>
          <cell r="U967"/>
        </row>
        <row r="968">
          <cell r="F968"/>
          <cell r="G968"/>
          <cell r="T968"/>
          <cell r="U968"/>
        </row>
        <row r="969">
          <cell r="F969"/>
          <cell r="G969"/>
          <cell r="T969"/>
          <cell r="U969"/>
        </row>
        <row r="970">
          <cell r="F970"/>
          <cell r="G970"/>
          <cell r="T970"/>
          <cell r="U970"/>
        </row>
        <row r="971">
          <cell r="F971"/>
          <cell r="G971"/>
          <cell r="T971"/>
          <cell r="U971"/>
        </row>
        <row r="972">
          <cell r="F972"/>
          <cell r="G972"/>
          <cell r="T972"/>
          <cell r="U972"/>
        </row>
        <row r="973">
          <cell r="F973"/>
          <cell r="G973"/>
          <cell r="T973"/>
          <cell r="U973"/>
        </row>
        <row r="974">
          <cell r="F974"/>
          <cell r="G974"/>
          <cell r="T974"/>
          <cell r="U974"/>
        </row>
        <row r="975">
          <cell r="F975"/>
          <cell r="G975"/>
          <cell r="T975"/>
          <cell r="U975"/>
        </row>
        <row r="976">
          <cell r="F976"/>
          <cell r="G976"/>
          <cell r="T976"/>
          <cell r="U976"/>
        </row>
        <row r="977">
          <cell r="F977"/>
          <cell r="G977"/>
          <cell r="T977"/>
          <cell r="U977"/>
        </row>
        <row r="978">
          <cell r="F978"/>
          <cell r="G978"/>
          <cell r="T978"/>
          <cell r="U978"/>
        </row>
        <row r="979">
          <cell r="F979"/>
          <cell r="G979"/>
          <cell r="T979"/>
          <cell r="U979"/>
        </row>
        <row r="980">
          <cell r="F980"/>
          <cell r="G980"/>
          <cell r="T980"/>
          <cell r="U980"/>
        </row>
        <row r="981">
          <cell r="F981"/>
          <cell r="G981"/>
          <cell r="T981"/>
          <cell r="U981"/>
        </row>
        <row r="982">
          <cell r="F982"/>
          <cell r="G982"/>
          <cell r="T982"/>
          <cell r="U982"/>
        </row>
        <row r="983">
          <cell r="F983"/>
          <cell r="G983"/>
          <cell r="T983"/>
          <cell r="U983"/>
        </row>
        <row r="984">
          <cell r="F984"/>
          <cell r="G984"/>
          <cell r="T984"/>
          <cell r="U984"/>
        </row>
        <row r="985">
          <cell r="F985"/>
          <cell r="G985"/>
          <cell r="T985"/>
          <cell r="U985"/>
        </row>
        <row r="986">
          <cell r="F986"/>
          <cell r="G986"/>
          <cell r="T986"/>
          <cell r="U986"/>
        </row>
        <row r="987">
          <cell r="F987"/>
          <cell r="G987"/>
          <cell r="T987"/>
          <cell r="U987"/>
        </row>
        <row r="988">
          <cell r="F988"/>
          <cell r="G988"/>
          <cell r="T988"/>
          <cell r="U988"/>
        </row>
        <row r="989">
          <cell r="F989"/>
          <cell r="G989"/>
          <cell r="T989"/>
          <cell r="U989"/>
        </row>
        <row r="990">
          <cell r="F990"/>
          <cell r="G990"/>
          <cell r="T990"/>
          <cell r="U990"/>
        </row>
        <row r="991">
          <cell r="F991"/>
          <cell r="G991"/>
          <cell r="T991"/>
          <cell r="U991"/>
        </row>
        <row r="992">
          <cell r="F992"/>
          <cell r="G992"/>
          <cell r="T992"/>
          <cell r="U992"/>
        </row>
        <row r="993">
          <cell r="F993"/>
          <cell r="G993"/>
          <cell r="T993"/>
          <cell r="U993"/>
        </row>
        <row r="994">
          <cell r="F994"/>
          <cell r="G994"/>
          <cell r="T994"/>
          <cell r="U994"/>
        </row>
        <row r="995">
          <cell r="F995"/>
          <cell r="G995"/>
          <cell r="T995"/>
          <cell r="U995"/>
        </row>
        <row r="996">
          <cell r="F996"/>
          <cell r="G996"/>
          <cell r="T996"/>
          <cell r="U996"/>
        </row>
        <row r="997">
          <cell r="F997"/>
          <cell r="G997"/>
          <cell r="T997"/>
          <cell r="U997"/>
        </row>
        <row r="998">
          <cell r="F998"/>
          <cell r="G998"/>
          <cell r="T998"/>
          <cell r="U998"/>
        </row>
        <row r="999">
          <cell r="F999"/>
          <cell r="G999"/>
          <cell r="T999"/>
          <cell r="U999"/>
        </row>
        <row r="1000">
          <cell r="F1000"/>
          <cell r="G1000"/>
          <cell r="T1000"/>
          <cell r="U1000"/>
        </row>
        <row r="1001">
          <cell r="F1001"/>
          <cell r="G1001"/>
          <cell r="T1001"/>
          <cell r="U1001"/>
        </row>
        <row r="1002">
          <cell r="F1002"/>
          <cell r="G1002"/>
          <cell r="T1002"/>
          <cell r="U1002"/>
        </row>
        <row r="1003">
          <cell r="F1003"/>
          <cell r="G1003"/>
          <cell r="T1003"/>
          <cell r="U1003"/>
        </row>
        <row r="1004">
          <cell r="F1004"/>
          <cell r="G1004"/>
          <cell r="T1004"/>
          <cell r="U1004"/>
        </row>
        <row r="1005">
          <cell r="F1005"/>
          <cell r="G1005"/>
          <cell r="T1005"/>
          <cell r="U1005"/>
        </row>
        <row r="1006">
          <cell r="F1006"/>
          <cell r="G1006"/>
          <cell r="T1006"/>
          <cell r="U1006"/>
        </row>
        <row r="1007">
          <cell r="F1007"/>
          <cell r="G1007"/>
          <cell r="T1007"/>
          <cell r="U1007"/>
        </row>
      </sheetData>
      <sheetData sheetId="17"/>
      <sheetData sheetId="18"/>
      <sheetData sheetId="19"/>
      <sheetData sheetId="2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2"/>
      <sheetName val="Hoja1"/>
    </sheetNames>
    <sheetDataSet>
      <sheetData sheetId="0">
        <row r="3">
          <cell r="K3" t="str">
            <v>Tipo de Venta</v>
          </cell>
          <cell r="L3" t="str">
            <v>(Varios elementos)</v>
          </cell>
        </row>
        <row r="4">
          <cell r="K4" t="str">
            <v>Item</v>
          </cell>
          <cell r="L4" t="str">
            <v>Asignación</v>
          </cell>
        </row>
        <row r="6">
          <cell r="K6" t="str">
            <v>Suma de Volumen2</v>
          </cell>
          <cell r="M6" t="str">
            <v>Mes</v>
          </cell>
        </row>
        <row r="7">
          <cell r="K7" t="str">
            <v>Oficina</v>
          </cell>
          <cell r="L7" t="str">
            <v>Material</v>
          </cell>
          <cell r="M7" t="str">
            <v>Octubre</v>
          </cell>
          <cell r="N7" t="str">
            <v>Noviembre</v>
          </cell>
        </row>
        <row r="8">
          <cell r="J8" t="str">
            <v>AGRO MEXICO1012764</v>
          </cell>
          <cell r="K8" t="str">
            <v>AGRO MEXICO</v>
          </cell>
          <cell r="L8">
            <v>1012764</v>
          </cell>
          <cell r="M8">
            <v>162689.66</v>
          </cell>
          <cell r="N8">
            <v>216620.69</v>
          </cell>
        </row>
        <row r="9">
          <cell r="J9" t="str">
            <v>AGRO MEXICO1030802</v>
          </cell>
          <cell r="K9" t="str">
            <v>AGRO MEXICO</v>
          </cell>
          <cell r="L9">
            <v>1030802</v>
          </cell>
          <cell r="M9">
            <v>36898.277999999998</v>
          </cell>
          <cell r="N9">
            <v>100800</v>
          </cell>
        </row>
        <row r="10">
          <cell r="J10" t="str">
            <v>AGRO SUDAMERICA1010877</v>
          </cell>
          <cell r="K10" t="str">
            <v>AGRO SUDAMERICA</v>
          </cell>
          <cell r="L10">
            <v>1010877</v>
          </cell>
          <cell r="M10">
            <v>120000</v>
          </cell>
          <cell r="N10">
            <v>120000</v>
          </cell>
        </row>
        <row r="11">
          <cell r="J11" t="str">
            <v>AGRO SUDAMERICA1011042</v>
          </cell>
          <cell r="K11" t="str">
            <v>AGRO SUDAMERICA</v>
          </cell>
          <cell r="L11">
            <v>1011042</v>
          </cell>
          <cell r="M11">
            <v>0</v>
          </cell>
          <cell r="N11">
            <v>72000</v>
          </cell>
        </row>
        <row r="12">
          <cell r="J12" t="str">
            <v>AGRO SUDAMERICA1011290</v>
          </cell>
          <cell r="K12" t="str">
            <v>AGRO SUDAMERICA</v>
          </cell>
          <cell r="L12">
            <v>1011290</v>
          </cell>
          <cell r="M12">
            <v>0</v>
          </cell>
          <cell r="N12">
            <v>0</v>
          </cell>
        </row>
        <row r="13">
          <cell r="J13" t="str">
            <v>AGRO SUDAMERICA1011421</v>
          </cell>
          <cell r="K13" t="str">
            <v>AGRO SUDAMERICA</v>
          </cell>
          <cell r="L13">
            <v>1011421</v>
          </cell>
          <cell r="M13">
            <v>900000</v>
          </cell>
          <cell r="N13">
            <v>900000</v>
          </cell>
        </row>
        <row r="14">
          <cell r="J14" t="str">
            <v>AGRO SUDAMERICA1011422</v>
          </cell>
          <cell r="K14" t="str">
            <v>AGRO SUDAMERICA</v>
          </cell>
          <cell r="L14">
            <v>1011422</v>
          </cell>
          <cell r="M14">
            <v>0</v>
          </cell>
          <cell r="N14">
            <v>0</v>
          </cell>
        </row>
        <row r="15">
          <cell r="J15" t="str">
            <v>AGRO SUDAMERICA1011558</v>
          </cell>
          <cell r="K15" t="str">
            <v>AGRO SUDAMERICA</v>
          </cell>
          <cell r="L15">
            <v>1011558</v>
          </cell>
          <cell r="M15">
            <v>216000</v>
          </cell>
          <cell r="N15">
            <v>216000</v>
          </cell>
        </row>
        <row r="16">
          <cell r="J16" t="str">
            <v>AGRO SUDAMERICA1011582</v>
          </cell>
          <cell r="K16" t="str">
            <v>AGRO SUDAMERICA</v>
          </cell>
          <cell r="L16">
            <v>1011582</v>
          </cell>
          <cell r="M16">
            <v>24000</v>
          </cell>
          <cell r="N16">
            <v>24000</v>
          </cell>
        </row>
        <row r="17">
          <cell r="J17" t="str">
            <v>AGRO SUDAMERICA1012207</v>
          </cell>
          <cell r="K17" t="str">
            <v>AGRO SUDAMERICA</v>
          </cell>
          <cell r="L17">
            <v>1012207</v>
          </cell>
          <cell r="M17">
            <v>40500</v>
          </cell>
          <cell r="N17">
            <v>44000</v>
          </cell>
        </row>
        <row r="18">
          <cell r="J18" t="str">
            <v>AGRO SUDAMERICA1012208</v>
          </cell>
          <cell r="K18" t="str">
            <v>AGRO SUDAMERICA</v>
          </cell>
          <cell r="L18">
            <v>1012208</v>
          </cell>
          <cell r="M18">
            <v>72000</v>
          </cell>
          <cell r="N18">
            <v>72000</v>
          </cell>
        </row>
        <row r="19">
          <cell r="J19" t="str">
            <v>AGRO SUDAMERICA1012283</v>
          </cell>
          <cell r="K19" t="str">
            <v>AGRO SUDAMERICA</v>
          </cell>
          <cell r="L19">
            <v>1012283</v>
          </cell>
          <cell r="M19">
            <v>72000</v>
          </cell>
          <cell r="N19">
            <v>288000</v>
          </cell>
        </row>
        <row r="20">
          <cell r="J20" t="str">
            <v>AGRO SUDAMERICA1012375</v>
          </cell>
          <cell r="K20" t="str">
            <v>AGRO SUDAMERICA</v>
          </cell>
          <cell r="L20">
            <v>1012375</v>
          </cell>
          <cell r="M20">
            <v>24000</v>
          </cell>
          <cell r="N20">
            <v>24000</v>
          </cell>
        </row>
        <row r="21">
          <cell r="J21" t="str">
            <v>AGRO SUDAMERICA1012544</v>
          </cell>
          <cell r="K21" t="str">
            <v>AGRO SUDAMERICA</v>
          </cell>
          <cell r="L21">
            <v>1012544</v>
          </cell>
          <cell r="M21">
            <v>0</v>
          </cell>
          <cell r="N21">
            <v>0</v>
          </cell>
        </row>
        <row r="22">
          <cell r="J22" t="str">
            <v>AGRO SUDAMERICA1012552</v>
          </cell>
          <cell r="K22" t="str">
            <v>AGRO SUDAMERICA</v>
          </cell>
          <cell r="L22">
            <v>1012552</v>
          </cell>
          <cell r="M22">
            <v>0</v>
          </cell>
          <cell r="N22">
            <v>0</v>
          </cell>
        </row>
        <row r="23">
          <cell r="J23" t="str">
            <v>AGRO SUDAMERICA1012556</v>
          </cell>
          <cell r="K23" t="str">
            <v>AGRO SUDAMERICA</v>
          </cell>
          <cell r="L23">
            <v>1012556</v>
          </cell>
          <cell r="M23">
            <v>228000</v>
          </cell>
          <cell r="N23">
            <v>240000</v>
          </cell>
        </row>
        <row r="24">
          <cell r="J24" t="str">
            <v>AGRO SUDAMERICA1012655</v>
          </cell>
          <cell r="K24" t="str">
            <v>AGRO SUDAMERICA</v>
          </cell>
          <cell r="L24">
            <v>1012655</v>
          </cell>
          <cell r="M24">
            <v>0</v>
          </cell>
          <cell r="N24">
            <v>0</v>
          </cell>
        </row>
        <row r="25">
          <cell r="J25" t="str">
            <v>AGRO SUDAMERICA1012719</v>
          </cell>
          <cell r="K25" t="str">
            <v>AGRO SUDAMERICA</v>
          </cell>
          <cell r="L25">
            <v>1012719</v>
          </cell>
          <cell r="M25">
            <v>216000</v>
          </cell>
          <cell r="N25">
            <v>216000</v>
          </cell>
        </row>
        <row r="26">
          <cell r="J26" t="str">
            <v>AGRO SUDAMERICA1012763</v>
          </cell>
          <cell r="K26" t="str">
            <v>AGRO SUDAMERICA</v>
          </cell>
          <cell r="L26">
            <v>1012763</v>
          </cell>
          <cell r="M26">
            <v>48000</v>
          </cell>
          <cell r="N26">
            <v>48000</v>
          </cell>
        </row>
        <row r="27">
          <cell r="J27" t="str">
            <v>AGRO SUDAMERICA1012778</v>
          </cell>
          <cell r="K27" t="str">
            <v>AGRO SUDAMERICA</v>
          </cell>
          <cell r="L27">
            <v>1012778</v>
          </cell>
          <cell r="M27">
            <v>0</v>
          </cell>
          <cell r="N27">
            <v>0</v>
          </cell>
        </row>
        <row r="28">
          <cell r="J28" t="str">
            <v>AGRO SUDAMERICA1020017</v>
          </cell>
          <cell r="K28" t="str">
            <v>AGRO SUDAMERICA</v>
          </cell>
          <cell r="L28">
            <v>1020017</v>
          </cell>
          <cell r="M28">
            <v>192000</v>
          </cell>
          <cell r="N28">
            <v>192000.00074000002</v>
          </cell>
        </row>
        <row r="29">
          <cell r="J29" t="str">
            <v>AGRO SUDAMERICA1020086</v>
          </cell>
          <cell r="K29" t="str">
            <v>AGRO SUDAMERICA</v>
          </cell>
          <cell r="L29">
            <v>1020086</v>
          </cell>
          <cell r="M29">
            <v>168000</v>
          </cell>
          <cell r="N29">
            <v>168000</v>
          </cell>
        </row>
        <row r="30">
          <cell r="J30" t="str">
            <v>AGRO SUDAMERICA1020339</v>
          </cell>
          <cell r="K30" t="str">
            <v>AGRO SUDAMERICA</v>
          </cell>
          <cell r="L30">
            <v>1020339</v>
          </cell>
          <cell r="M30">
            <v>120000.00020000001</v>
          </cell>
          <cell r="N30">
            <v>123191.02119999999</v>
          </cell>
        </row>
        <row r="31">
          <cell r="J31" t="str">
            <v>AGRO SUDAMERICA1020349</v>
          </cell>
          <cell r="K31" t="str">
            <v>AGRO SUDAMERICA</v>
          </cell>
          <cell r="L31">
            <v>1020349</v>
          </cell>
          <cell r="M31">
            <v>0</v>
          </cell>
          <cell r="N31">
            <v>15088.592000000001</v>
          </cell>
        </row>
        <row r="32">
          <cell r="J32" t="str">
            <v>AGRO SUDAMERICA1020352</v>
          </cell>
          <cell r="K32" t="str">
            <v>AGRO SUDAMERICA</v>
          </cell>
          <cell r="L32">
            <v>1020352</v>
          </cell>
          <cell r="M32">
            <v>51893.341000000008</v>
          </cell>
          <cell r="N32">
            <v>71436.5</v>
          </cell>
        </row>
        <row r="33">
          <cell r="J33" t="str">
            <v>AGRO SUDAMERICA1020367</v>
          </cell>
          <cell r="K33" t="str">
            <v>AGRO SUDAMERICA</v>
          </cell>
          <cell r="L33">
            <v>1020367</v>
          </cell>
          <cell r="M33">
            <v>168000</v>
          </cell>
          <cell r="N33">
            <v>168000</v>
          </cell>
        </row>
        <row r="34">
          <cell r="J34" t="str">
            <v>AGRO SUDAMERICA1020412</v>
          </cell>
          <cell r="K34" t="str">
            <v>AGRO SUDAMERICA</v>
          </cell>
          <cell r="L34">
            <v>1020412</v>
          </cell>
          <cell r="M34">
            <v>0</v>
          </cell>
          <cell r="N34">
            <v>96000</v>
          </cell>
        </row>
        <row r="35">
          <cell r="J35" t="str">
            <v>AGRO SUDAMERICA1020848</v>
          </cell>
          <cell r="K35" t="str">
            <v>AGRO SUDAMERICA</v>
          </cell>
          <cell r="L35">
            <v>1020848</v>
          </cell>
          <cell r="M35">
            <v>192000</v>
          </cell>
          <cell r="N35">
            <v>192000</v>
          </cell>
        </row>
        <row r="36">
          <cell r="J36" t="str">
            <v>AGRO SUDAMERICA1020869</v>
          </cell>
          <cell r="K36" t="str">
            <v>AGRO SUDAMERICA</v>
          </cell>
          <cell r="L36">
            <v>1020869</v>
          </cell>
          <cell r="M36">
            <v>24000</v>
          </cell>
          <cell r="N36">
            <v>24000</v>
          </cell>
        </row>
        <row r="37">
          <cell r="J37" t="str">
            <v>AGRO SUDAMERICA1020886</v>
          </cell>
          <cell r="K37" t="str">
            <v>AGRO SUDAMERICA</v>
          </cell>
          <cell r="L37">
            <v>1020886</v>
          </cell>
          <cell r="M37">
            <v>24000</v>
          </cell>
          <cell r="N37">
            <v>0</v>
          </cell>
        </row>
        <row r="38">
          <cell r="J38" t="str">
            <v>AGRO SUDAMERICA1020915</v>
          </cell>
          <cell r="K38" t="str">
            <v>AGRO SUDAMERICA</v>
          </cell>
          <cell r="L38">
            <v>1020915</v>
          </cell>
          <cell r="M38">
            <v>0</v>
          </cell>
          <cell r="N38">
            <v>0</v>
          </cell>
        </row>
        <row r="39">
          <cell r="J39" t="str">
            <v>AGRO SUDAMERICA1020921</v>
          </cell>
          <cell r="K39" t="str">
            <v>AGRO SUDAMERICA</v>
          </cell>
          <cell r="L39">
            <v>1020921</v>
          </cell>
          <cell r="M39">
            <v>96000</v>
          </cell>
          <cell r="N39">
            <v>96000</v>
          </cell>
        </row>
        <row r="40">
          <cell r="J40" t="str">
            <v>AGRO SUDAMERICA1020925</v>
          </cell>
          <cell r="K40" t="str">
            <v>AGRO SUDAMERICA</v>
          </cell>
          <cell r="L40">
            <v>1020925</v>
          </cell>
          <cell r="M40">
            <v>0</v>
          </cell>
          <cell r="N40">
            <v>0</v>
          </cell>
        </row>
        <row r="41">
          <cell r="J41" t="str">
            <v>AGRO SUDAMERICA1020944</v>
          </cell>
          <cell r="K41" t="str">
            <v>AGRO SUDAMERICA</v>
          </cell>
          <cell r="L41">
            <v>1020944</v>
          </cell>
          <cell r="M41">
            <v>312000</v>
          </cell>
          <cell r="N41">
            <v>312000</v>
          </cell>
        </row>
        <row r="42">
          <cell r="J42" t="str">
            <v>AGRO SUDAMERICA1021023</v>
          </cell>
          <cell r="K42" t="str">
            <v>AGRO SUDAMERICA</v>
          </cell>
          <cell r="L42">
            <v>1021023</v>
          </cell>
          <cell r="M42">
            <v>157468.85600000003</v>
          </cell>
          <cell r="N42">
            <v>172910.098</v>
          </cell>
        </row>
        <row r="43">
          <cell r="J43" t="str">
            <v>AGRO SUDAMERICA1021039</v>
          </cell>
          <cell r="K43" t="str">
            <v>AGRO SUDAMERICA</v>
          </cell>
          <cell r="L43">
            <v>1021039</v>
          </cell>
          <cell r="M43">
            <v>48000</v>
          </cell>
          <cell r="N43">
            <v>48000</v>
          </cell>
        </row>
        <row r="44">
          <cell r="J44" t="str">
            <v>AGRO SUDAMERICA1021077</v>
          </cell>
          <cell r="K44" t="str">
            <v>AGRO SUDAMERICA</v>
          </cell>
          <cell r="L44">
            <v>1021077</v>
          </cell>
          <cell r="M44">
            <v>0</v>
          </cell>
          <cell r="N44">
            <v>0</v>
          </cell>
        </row>
        <row r="45">
          <cell r="J45" t="str">
            <v>AGRO SUDAMERICA1021078</v>
          </cell>
          <cell r="K45" t="str">
            <v>AGRO SUDAMERICA</v>
          </cell>
          <cell r="L45">
            <v>1021078</v>
          </cell>
          <cell r="M45">
            <v>90571.755999999994</v>
          </cell>
          <cell r="N45">
            <v>105028.55499999999</v>
          </cell>
        </row>
        <row r="46">
          <cell r="J46" t="str">
            <v>AGRO SUDAMERICA1021082</v>
          </cell>
          <cell r="K46" t="str">
            <v>AGRO SUDAMERICA</v>
          </cell>
          <cell r="L46">
            <v>1021082</v>
          </cell>
          <cell r="M46">
            <v>143999.99950000001</v>
          </cell>
          <cell r="N46">
            <v>144000</v>
          </cell>
        </row>
        <row r="47">
          <cell r="J47" t="str">
            <v>AGRO SUDAMERICA1021085</v>
          </cell>
          <cell r="K47" t="str">
            <v>AGRO SUDAMERICA</v>
          </cell>
          <cell r="L47">
            <v>1021085</v>
          </cell>
          <cell r="M47">
            <v>0</v>
          </cell>
          <cell r="N47">
            <v>0</v>
          </cell>
        </row>
        <row r="48">
          <cell r="J48" t="str">
            <v>AGRO SUDAMERICA1021092</v>
          </cell>
          <cell r="K48" t="str">
            <v>AGRO SUDAMERICA</v>
          </cell>
          <cell r="L48">
            <v>1021092</v>
          </cell>
          <cell r="M48">
            <v>84531.643100000001</v>
          </cell>
          <cell r="N48">
            <v>99624.283199999991</v>
          </cell>
        </row>
        <row r="49">
          <cell r="J49" t="str">
            <v>AGRO SUDAMERICA1021101</v>
          </cell>
          <cell r="K49" t="str">
            <v>AGRO SUDAMERICA</v>
          </cell>
          <cell r="L49">
            <v>1021101</v>
          </cell>
          <cell r="M49">
            <v>23999.999599999999</v>
          </cell>
          <cell r="N49">
            <v>24000.0003</v>
          </cell>
        </row>
        <row r="50">
          <cell r="J50" t="str">
            <v>AGRO SUDAMERICA1021105</v>
          </cell>
          <cell r="K50" t="str">
            <v>AGRO SUDAMERICA</v>
          </cell>
          <cell r="L50">
            <v>1021105</v>
          </cell>
          <cell r="M50">
            <v>50910.3753</v>
          </cell>
          <cell r="N50">
            <v>55902.597200000004</v>
          </cell>
        </row>
        <row r="51">
          <cell r="J51" t="str">
            <v>AGRO SUDAMERICA1021106</v>
          </cell>
          <cell r="K51" t="str">
            <v>AGRO SUDAMERICA</v>
          </cell>
          <cell r="L51">
            <v>1021106</v>
          </cell>
          <cell r="M51">
            <v>0</v>
          </cell>
          <cell r="N51">
            <v>0</v>
          </cell>
        </row>
        <row r="52">
          <cell r="J52" t="str">
            <v>AGRO SUDAMERICA1021111</v>
          </cell>
          <cell r="K52" t="str">
            <v>AGRO SUDAMERICA</v>
          </cell>
          <cell r="L52">
            <v>1021111</v>
          </cell>
          <cell r="M52">
            <v>0</v>
          </cell>
          <cell r="N52">
            <v>0</v>
          </cell>
        </row>
        <row r="53">
          <cell r="J53" t="str">
            <v>AGRO SUDAMERICA1021187</v>
          </cell>
          <cell r="K53" t="str">
            <v>AGRO SUDAMERICA</v>
          </cell>
          <cell r="L53">
            <v>1021187</v>
          </cell>
          <cell r="M53">
            <v>48232.195</v>
          </cell>
          <cell r="N53">
            <v>52961.796999999999</v>
          </cell>
        </row>
        <row r="54">
          <cell r="J54" t="str">
            <v>AGRO SUDAMERICA1021279</v>
          </cell>
          <cell r="K54" t="str">
            <v>AGRO SUDAMERICA</v>
          </cell>
          <cell r="L54">
            <v>1021279</v>
          </cell>
          <cell r="M54">
            <v>0</v>
          </cell>
          <cell r="N54">
            <v>0</v>
          </cell>
        </row>
        <row r="55">
          <cell r="J55" t="str">
            <v>AGRO SUDAMERICA1021385</v>
          </cell>
          <cell r="K55" t="str">
            <v>AGRO SUDAMERICA</v>
          </cell>
          <cell r="L55">
            <v>1021385</v>
          </cell>
          <cell r="M55">
            <v>144000</v>
          </cell>
          <cell r="N55">
            <v>144000.0001</v>
          </cell>
        </row>
        <row r="56">
          <cell r="J56" t="str">
            <v>AGRO SUDAMERICA1021622</v>
          </cell>
          <cell r="K56" t="str">
            <v>AGRO SUDAMERICA</v>
          </cell>
          <cell r="L56">
            <v>1021622</v>
          </cell>
          <cell r="M56">
            <v>18000</v>
          </cell>
          <cell r="N56">
            <v>0</v>
          </cell>
        </row>
        <row r="57">
          <cell r="J57" t="str">
            <v>AGRO SUDAMERICA1021868</v>
          </cell>
          <cell r="K57" t="str">
            <v>AGRO SUDAMERICA</v>
          </cell>
          <cell r="L57">
            <v>1021868</v>
          </cell>
          <cell r="M57">
            <v>48000</v>
          </cell>
          <cell r="N57">
            <v>53451.162199999999</v>
          </cell>
        </row>
        <row r="58">
          <cell r="J58" t="str">
            <v>AGRO SUDAMERICA1021976</v>
          </cell>
          <cell r="K58" t="str">
            <v>AGRO SUDAMERICA</v>
          </cell>
          <cell r="L58">
            <v>1021976</v>
          </cell>
          <cell r="M58">
            <v>120000</v>
          </cell>
          <cell r="N58">
            <v>192000</v>
          </cell>
        </row>
        <row r="59">
          <cell r="J59" t="str">
            <v>AGRO SUDAMERICA1021980</v>
          </cell>
          <cell r="K59" t="str">
            <v>AGRO SUDAMERICA</v>
          </cell>
          <cell r="L59">
            <v>1021980</v>
          </cell>
          <cell r="M59">
            <v>2843.9274</v>
          </cell>
          <cell r="N59">
            <v>0</v>
          </cell>
        </row>
        <row r="60">
          <cell r="J60" t="str">
            <v>AGRO SUDAMERICA1022047</v>
          </cell>
          <cell r="K60" t="str">
            <v>AGRO SUDAMERICA</v>
          </cell>
          <cell r="L60">
            <v>1022047</v>
          </cell>
          <cell r="M60">
            <v>0</v>
          </cell>
          <cell r="N60">
            <v>0</v>
          </cell>
        </row>
        <row r="61">
          <cell r="J61" t="str">
            <v>AGRO SUDAMERICA1022149</v>
          </cell>
          <cell r="K61" t="str">
            <v>AGRO SUDAMERICA</v>
          </cell>
          <cell r="L61">
            <v>1022149</v>
          </cell>
          <cell r="M61">
            <v>25764.1247</v>
          </cell>
          <cell r="N61">
            <v>65841.083499999993</v>
          </cell>
        </row>
        <row r="62">
          <cell r="J62" t="str">
            <v>AGRO SUDAMERICA1022150</v>
          </cell>
          <cell r="K62" t="str">
            <v>AGRO SUDAMERICA</v>
          </cell>
          <cell r="L62">
            <v>1022150</v>
          </cell>
          <cell r="M62">
            <v>144000</v>
          </cell>
          <cell r="N62">
            <v>144000</v>
          </cell>
        </row>
        <row r="63">
          <cell r="J63" t="str">
            <v>AGRO SUDAMERICA1022196</v>
          </cell>
          <cell r="K63" t="str">
            <v>AGRO SUDAMERICA</v>
          </cell>
          <cell r="L63">
            <v>1022196</v>
          </cell>
          <cell r="M63">
            <v>72000</v>
          </cell>
          <cell r="N63">
            <v>72000</v>
          </cell>
        </row>
        <row r="64">
          <cell r="J64" t="str">
            <v>AGRO SUDAMERICA1022409</v>
          </cell>
          <cell r="K64" t="str">
            <v>AGRO SUDAMERICA</v>
          </cell>
          <cell r="L64">
            <v>1022409</v>
          </cell>
          <cell r="M64">
            <v>29962.339800000002</v>
          </cell>
          <cell r="N64">
            <v>36193.715700000001</v>
          </cell>
        </row>
        <row r="65">
          <cell r="J65" t="str">
            <v>AGRO SUDAMERICA1022459</v>
          </cell>
          <cell r="K65" t="str">
            <v>AGRO SUDAMERICA</v>
          </cell>
          <cell r="L65">
            <v>1022459</v>
          </cell>
          <cell r="M65">
            <v>0</v>
          </cell>
          <cell r="N65">
            <v>0</v>
          </cell>
        </row>
        <row r="66">
          <cell r="J66" t="str">
            <v>AGRO SUDAMERICA1022460</v>
          </cell>
          <cell r="K66" t="str">
            <v>AGRO SUDAMERICA</v>
          </cell>
          <cell r="L66">
            <v>1022460</v>
          </cell>
          <cell r="M66">
            <v>0</v>
          </cell>
          <cell r="N66">
            <v>0</v>
          </cell>
        </row>
        <row r="67">
          <cell r="J67" t="str">
            <v>AGRO SUDAMERICA1022705</v>
          </cell>
          <cell r="K67" t="str">
            <v>AGRO SUDAMERICA</v>
          </cell>
          <cell r="L67">
            <v>1022705</v>
          </cell>
          <cell r="M67">
            <v>24000</v>
          </cell>
          <cell r="N67">
            <v>24000</v>
          </cell>
        </row>
        <row r="68">
          <cell r="J68" t="str">
            <v>AGRO SUDAMERICA1022709</v>
          </cell>
          <cell r="K68" t="str">
            <v>AGRO SUDAMERICA</v>
          </cell>
          <cell r="L68">
            <v>1022709</v>
          </cell>
          <cell r="M68">
            <v>168000</v>
          </cell>
          <cell r="N68">
            <v>222143.03</v>
          </cell>
        </row>
        <row r="69">
          <cell r="J69" t="str">
            <v>AGRO SUDAMERICA1022781</v>
          </cell>
          <cell r="K69" t="str">
            <v>AGRO SUDAMERICA</v>
          </cell>
          <cell r="L69">
            <v>1022781</v>
          </cell>
          <cell r="M69">
            <v>11866.166499999999</v>
          </cell>
          <cell r="N69">
            <v>8200</v>
          </cell>
        </row>
        <row r="70">
          <cell r="J70" t="str">
            <v>AGRO SUDAMERICA1022782</v>
          </cell>
          <cell r="K70" t="str">
            <v>AGRO SUDAMERICA</v>
          </cell>
          <cell r="L70">
            <v>1022782</v>
          </cell>
          <cell r="M70">
            <v>2794.3986</v>
          </cell>
          <cell r="N70">
            <v>1033.8815</v>
          </cell>
        </row>
        <row r="71">
          <cell r="J71" t="str">
            <v>AGRO SUDAMERICA1022784</v>
          </cell>
          <cell r="K71" t="str">
            <v>AGRO SUDAMERICA</v>
          </cell>
          <cell r="L71">
            <v>1022784</v>
          </cell>
          <cell r="M71">
            <v>0</v>
          </cell>
          <cell r="N71">
            <v>5895</v>
          </cell>
        </row>
        <row r="72">
          <cell r="J72" t="str">
            <v>AGRO SUDAMERICA1022786</v>
          </cell>
          <cell r="K72" t="str">
            <v>AGRO SUDAMERICA</v>
          </cell>
          <cell r="L72">
            <v>1022786</v>
          </cell>
          <cell r="M72">
            <v>3004</v>
          </cell>
          <cell r="N72">
            <v>300</v>
          </cell>
        </row>
        <row r="73">
          <cell r="J73" t="str">
            <v>AGRO SUDAMERICA1022842</v>
          </cell>
          <cell r="K73" t="str">
            <v>AGRO SUDAMERICA</v>
          </cell>
          <cell r="L73">
            <v>1022842</v>
          </cell>
          <cell r="M73">
            <v>48000</v>
          </cell>
          <cell r="N73">
            <v>48000.000100000005</v>
          </cell>
        </row>
        <row r="74">
          <cell r="J74" t="str">
            <v>AGRO SUDAMERICA1022844</v>
          </cell>
          <cell r="K74" t="str">
            <v>AGRO SUDAMERICA</v>
          </cell>
          <cell r="L74">
            <v>1022844</v>
          </cell>
          <cell r="M74">
            <v>0</v>
          </cell>
          <cell r="N74">
            <v>0</v>
          </cell>
        </row>
        <row r="75">
          <cell r="J75" t="str">
            <v>AGRO SUDAMERICA1022847</v>
          </cell>
          <cell r="K75" t="str">
            <v>AGRO SUDAMERICA</v>
          </cell>
          <cell r="L75">
            <v>1022847</v>
          </cell>
          <cell r="M75">
            <v>31728.300300000003</v>
          </cell>
          <cell r="N75">
            <v>35722.078099999999</v>
          </cell>
        </row>
        <row r="76">
          <cell r="J76" t="str">
            <v>AGRO SUDAMERICA1022855</v>
          </cell>
          <cell r="K76" t="str">
            <v>AGRO SUDAMERICA</v>
          </cell>
          <cell r="L76">
            <v>1022855</v>
          </cell>
          <cell r="M76">
            <v>15675.873899999999</v>
          </cell>
          <cell r="N76">
            <v>17213.034800000001</v>
          </cell>
        </row>
        <row r="77">
          <cell r="J77" t="str">
            <v>AGRO SUDAMERICA1022920</v>
          </cell>
          <cell r="K77" t="str">
            <v>AGRO SUDAMERICA</v>
          </cell>
          <cell r="L77">
            <v>1022920</v>
          </cell>
          <cell r="M77">
            <v>8665.4599999999991</v>
          </cell>
          <cell r="N77">
            <v>0</v>
          </cell>
        </row>
        <row r="78">
          <cell r="J78" t="str">
            <v>AGRO SUDAMERICA1022921</v>
          </cell>
          <cell r="K78" t="str">
            <v>AGRO SUDAMERICA</v>
          </cell>
          <cell r="L78">
            <v>1022921</v>
          </cell>
          <cell r="M78">
            <v>40728.299899999998</v>
          </cell>
          <cell r="N78">
            <v>44722.078100000006</v>
          </cell>
        </row>
        <row r="79">
          <cell r="J79" t="str">
            <v>AGRO SUDAMERICA1022922</v>
          </cell>
          <cell r="K79" t="str">
            <v>AGRO SUDAMERICA</v>
          </cell>
          <cell r="L79">
            <v>1022922</v>
          </cell>
          <cell r="M79">
            <v>0</v>
          </cell>
          <cell r="N79">
            <v>0</v>
          </cell>
        </row>
        <row r="80">
          <cell r="J80" t="str">
            <v>AGRO SUDAMERICA1022928</v>
          </cell>
          <cell r="K80" t="str">
            <v>AGRO SUDAMERICA</v>
          </cell>
          <cell r="L80">
            <v>1022928</v>
          </cell>
          <cell r="M80">
            <v>0</v>
          </cell>
          <cell r="N80">
            <v>0</v>
          </cell>
        </row>
        <row r="81">
          <cell r="J81" t="str">
            <v>AGRO SUDAMERICA1023295</v>
          </cell>
          <cell r="K81" t="str">
            <v>AGRO SUDAMERICA</v>
          </cell>
          <cell r="L81">
            <v>1023295</v>
          </cell>
          <cell r="M81">
            <v>1000</v>
          </cell>
          <cell r="N81">
            <v>1000</v>
          </cell>
        </row>
        <row r="82">
          <cell r="J82" t="str">
            <v>AGRO SUDAMERICA1023355</v>
          </cell>
          <cell r="K82" t="str">
            <v>AGRO SUDAMERICA</v>
          </cell>
          <cell r="L82">
            <v>1023355</v>
          </cell>
          <cell r="M82">
            <v>25455.187999999998</v>
          </cell>
          <cell r="N82">
            <v>27951.298000000003</v>
          </cell>
        </row>
        <row r="83">
          <cell r="J83" t="str">
            <v>AGRO SUDAMERICA1023420</v>
          </cell>
          <cell r="K83" t="str">
            <v>AGRO SUDAMERICA</v>
          </cell>
          <cell r="L83">
            <v>1023420</v>
          </cell>
          <cell r="M83">
            <v>48000</v>
          </cell>
          <cell r="N83">
            <v>48000</v>
          </cell>
        </row>
        <row r="84">
          <cell r="J84" t="str">
            <v>AGRO SUDAMERICA1023433</v>
          </cell>
          <cell r="K84" t="str">
            <v>AGRO SUDAMERICA</v>
          </cell>
          <cell r="L84">
            <v>1023433</v>
          </cell>
          <cell r="M84">
            <v>0</v>
          </cell>
          <cell r="N84">
            <v>0</v>
          </cell>
        </row>
        <row r="85">
          <cell r="J85" t="str">
            <v>AGRO SUDAMERICA1023436</v>
          </cell>
          <cell r="K85" t="str">
            <v>AGRO SUDAMERICA</v>
          </cell>
          <cell r="L85">
            <v>1023436</v>
          </cell>
          <cell r="M85">
            <v>0</v>
          </cell>
          <cell r="N85">
            <v>0</v>
          </cell>
        </row>
        <row r="86">
          <cell r="J86" t="str">
            <v>AGRO SUDAMERICA1030224</v>
          </cell>
          <cell r="K86" t="str">
            <v>AGRO SUDAMERICA</v>
          </cell>
          <cell r="L86">
            <v>1030224</v>
          </cell>
          <cell r="M86">
            <v>0</v>
          </cell>
          <cell r="N86">
            <v>0</v>
          </cell>
        </row>
        <row r="87">
          <cell r="J87" t="str">
            <v>AGRO SUDAMERICA1030230</v>
          </cell>
          <cell r="K87" t="str">
            <v>AGRO SUDAMERICA</v>
          </cell>
          <cell r="L87">
            <v>1030230</v>
          </cell>
          <cell r="M87">
            <v>0</v>
          </cell>
          <cell r="N87">
            <v>0</v>
          </cell>
        </row>
        <row r="88">
          <cell r="J88" t="str">
            <v>AGRO SUDAMERICA1030236</v>
          </cell>
          <cell r="K88" t="str">
            <v>AGRO SUDAMERICA</v>
          </cell>
          <cell r="L88">
            <v>1030236</v>
          </cell>
          <cell r="M88">
            <v>0</v>
          </cell>
          <cell r="N88">
            <v>0</v>
          </cell>
        </row>
        <row r="89">
          <cell r="J89" t="str">
            <v>AGRO SUDAMERICA1030332</v>
          </cell>
          <cell r="K89" t="str">
            <v>AGRO SUDAMERICA</v>
          </cell>
          <cell r="L89">
            <v>1030332</v>
          </cell>
          <cell r="M89">
            <v>0</v>
          </cell>
          <cell r="N89">
            <v>0</v>
          </cell>
        </row>
        <row r="90">
          <cell r="J90" t="str">
            <v>AGRO SUDAMERICA1030381</v>
          </cell>
          <cell r="K90" t="str">
            <v>AGRO SUDAMERICA</v>
          </cell>
          <cell r="L90">
            <v>1030381</v>
          </cell>
          <cell r="M90">
            <v>0</v>
          </cell>
          <cell r="N90">
            <v>0</v>
          </cell>
        </row>
        <row r="91">
          <cell r="J91" t="str">
            <v>AGRO SUDAMERICA1030498</v>
          </cell>
          <cell r="K91" t="str">
            <v>AGRO SUDAMERICA</v>
          </cell>
          <cell r="L91">
            <v>1030498</v>
          </cell>
          <cell r="M91">
            <v>9946.6808999999994</v>
          </cell>
          <cell r="N91">
            <v>12000</v>
          </cell>
        </row>
        <row r="92">
          <cell r="J92" t="str">
            <v>AGRO SUDAMERICA1030545</v>
          </cell>
          <cell r="K92" t="str">
            <v>AGRO SUDAMERICA</v>
          </cell>
          <cell r="L92">
            <v>1030545</v>
          </cell>
          <cell r="M92">
            <v>48000</v>
          </cell>
          <cell r="N92">
            <v>24000</v>
          </cell>
        </row>
        <row r="93">
          <cell r="J93" t="str">
            <v>AGRO SUDAMERICA1030652</v>
          </cell>
          <cell r="K93" t="str">
            <v>AGRO SUDAMERICA</v>
          </cell>
          <cell r="L93">
            <v>1030652</v>
          </cell>
          <cell r="M93">
            <v>0</v>
          </cell>
          <cell r="N93">
            <v>0</v>
          </cell>
        </row>
        <row r="94">
          <cell r="J94" t="str">
            <v>AGRO SUDAMERICA1030661</v>
          </cell>
          <cell r="K94" t="str">
            <v>AGRO SUDAMERICA</v>
          </cell>
          <cell r="L94">
            <v>1030661</v>
          </cell>
          <cell r="M94">
            <v>0</v>
          </cell>
          <cell r="N94">
            <v>0</v>
          </cell>
        </row>
        <row r="95">
          <cell r="J95" t="str">
            <v>AGRO SUDAMERICA1030670</v>
          </cell>
          <cell r="K95" t="str">
            <v>AGRO SUDAMERICA</v>
          </cell>
          <cell r="L95">
            <v>1030670</v>
          </cell>
          <cell r="M95">
            <v>24000</v>
          </cell>
          <cell r="N95">
            <v>0</v>
          </cell>
        </row>
        <row r="96">
          <cell r="J96" t="str">
            <v>AGRO SUDAMERICA1030671</v>
          </cell>
          <cell r="K96" t="str">
            <v>AGRO SUDAMERICA</v>
          </cell>
          <cell r="L96">
            <v>1030671</v>
          </cell>
          <cell r="M96">
            <v>0</v>
          </cell>
          <cell r="N96">
            <v>0</v>
          </cell>
        </row>
        <row r="97">
          <cell r="J97" t="str">
            <v>AGRO SUDAMERICA1030672</v>
          </cell>
          <cell r="K97" t="str">
            <v>AGRO SUDAMERICA</v>
          </cell>
          <cell r="L97">
            <v>1030672</v>
          </cell>
          <cell r="M97">
            <v>0</v>
          </cell>
          <cell r="N97">
            <v>0</v>
          </cell>
        </row>
        <row r="98">
          <cell r="J98" t="str">
            <v>AGRO SUDAMERICA1030720</v>
          </cell>
          <cell r="K98" t="str">
            <v>AGRO SUDAMERICA</v>
          </cell>
          <cell r="L98">
            <v>1030720</v>
          </cell>
          <cell r="M98">
            <v>0</v>
          </cell>
          <cell r="N98">
            <v>24000</v>
          </cell>
        </row>
        <row r="99">
          <cell r="J99" t="str">
            <v>AGRO SUDAMERICA1030732</v>
          </cell>
          <cell r="K99" t="str">
            <v>AGRO SUDAMERICA</v>
          </cell>
          <cell r="L99">
            <v>1030732</v>
          </cell>
          <cell r="M99">
            <v>0</v>
          </cell>
          <cell r="N99">
            <v>0</v>
          </cell>
        </row>
        <row r="100">
          <cell r="J100" t="str">
            <v>AGRO SUDAMERICA1030736</v>
          </cell>
          <cell r="K100" t="str">
            <v>AGRO SUDAMERICA</v>
          </cell>
          <cell r="L100">
            <v>1030736</v>
          </cell>
          <cell r="M100">
            <v>0</v>
          </cell>
          <cell r="N100">
            <v>0</v>
          </cell>
        </row>
        <row r="101">
          <cell r="J101" t="str">
            <v>AGRO SUDAMERICA1030753</v>
          </cell>
          <cell r="K101" t="str">
            <v>AGRO SUDAMERICA</v>
          </cell>
          <cell r="L101">
            <v>1030753</v>
          </cell>
          <cell r="M101">
            <v>0</v>
          </cell>
          <cell r="N101">
            <v>0</v>
          </cell>
        </row>
        <row r="102">
          <cell r="J102" t="str">
            <v>AGRO SUDAMERICA1030755</v>
          </cell>
          <cell r="K102" t="str">
            <v>AGRO SUDAMERICA</v>
          </cell>
          <cell r="L102">
            <v>1030755</v>
          </cell>
          <cell r="M102">
            <v>0</v>
          </cell>
          <cell r="N102">
            <v>0</v>
          </cell>
        </row>
        <row r="103">
          <cell r="J103" t="str">
            <v>AGRO SUDAMERICA1030780</v>
          </cell>
          <cell r="K103" t="str">
            <v>AGRO SUDAMERICA</v>
          </cell>
          <cell r="L103">
            <v>1030780</v>
          </cell>
          <cell r="M103">
            <v>0</v>
          </cell>
          <cell r="N103">
            <v>0</v>
          </cell>
        </row>
        <row r="104">
          <cell r="J104" t="str">
            <v>AGRO SUDAMERICA1030791</v>
          </cell>
          <cell r="K104" t="str">
            <v>AGRO SUDAMERICA</v>
          </cell>
          <cell r="L104">
            <v>1030791</v>
          </cell>
          <cell r="M104">
            <v>0</v>
          </cell>
          <cell r="N104">
            <v>0</v>
          </cell>
        </row>
        <row r="105">
          <cell r="J105" t="str">
            <v>AGRO SUDAMERICA1030812</v>
          </cell>
          <cell r="K105" t="str">
            <v>AGRO SUDAMERICA</v>
          </cell>
          <cell r="L105">
            <v>1030812</v>
          </cell>
          <cell r="M105">
            <v>0</v>
          </cell>
          <cell r="N105">
            <v>0</v>
          </cell>
        </row>
        <row r="106">
          <cell r="J106" t="str">
            <v>AGRO SUDAMERICA1030816</v>
          </cell>
          <cell r="K106" t="str">
            <v>AGRO SUDAMERICA</v>
          </cell>
          <cell r="L106">
            <v>1030816</v>
          </cell>
          <cell r="M106">
            <v>6261.1651000000002</v>
          </cell>
          <cell r="N106">
            <v>29072.936300000001</v>
          </cell>
        </row>
        <row r="107">
          <cell r="J107" t="str">
            <v>AGRO SUDAMERICA1030817</v>
          </cell>
          <cell r="K107" t="str">
            <v>AGRO SUDAMERICA</v>
          </cell>
          <cell r="L107">
            <v>1030817</v>
          </cell>
          <cell r="M107">
            <v>0</v>
          </cell>
          <cell r="N107">
            <v>0</v>
          </cell>
        </row>
        <row r="108">
          <cell r="J108" t="str">
            <v>AGRO SUDAMERICA1030821</v>
          </cell>
          <cell r="K108" t="str">
            <v>AGRO SUDAMERICA</v>
          </cell>
          <cell r="L108">
            <v>1030821</v>
          </cell>
          <cell r="M108">
            <v>0</v>
          </cell>
          <cell r="N108">
            <v>0</v>
          </cell>
        </row>
        <row r="109">
          <cell r="J109" t="str">
            <v>AGROSUPER ASIA1012012</v>
          </cell>
          <cell r="K109" t="str">
            <v>AGROSUPER ASIA</v>
          </cell>
          <cell r="L109">
            <v>1012012</v>
          </cell>
          <cell r="M109">
            <v>40000</v>
          </cell>
          <cell r="N109">
            <v>0</v>
          </cell>
        </row>
        <row r="110">
          <cell r="J110" t="str">
            <v>AGROSUPER ASIA1012469</v>
          </cell>
          <cell r="K110" t="str">
            <v>AGROSUPER ASIA</v>
          </cell>
          <cell r="L110">
            <v>1012469</v>
          </cell>
          <cell r="M110">
            <v>19000</v>
          </cell>
          <cell r="N110">
            <v>19000</v>
          </cell>
        </row>
        <row r="111">
          <cell r="J111" t="str">
            <v>AGROSUPER ASIA1012612</v>
          </cell>
          <cell r="K111" t="str">
            <v>AGROSUPER ASIA</v>
          </cell>
          <cell r="L111">
            <v>1012612</v>
          </cell>
          <cell r="M111">
            <v>592512.65</v>
          </cell>
          <cell r="N111">
            <v>1000000</v>
          </cell>
        </row>
        <row r="112">
          <cell r="J112" t="str">
            <v>AGROSUPER ASIA1012657</v>
          </cell>
          <cell r="K112" t="str">
            <v>AGROSUPER ASIA</v>
          </cell>
          <cell r="L112">
            <v>1012657</v>
          </cell>
          <cell r="M112">
            <v>0</v>
          </cell>
          <cell r="N112">
            <v>0</v>
          </cell>
        </row>
        <row r="113">
          <cell r="J113" t="str">
            <v>AGROSUPER ASIA1020660</v>
          </cell>
          <cell r="K113" t="str">
            <v>AGROSUPER ASIA</v>
          </cell>
          <cell r="L113">
            <v>1020660</v>
          </cell>
          <cell r="M113">
            <v>0</v>
          </cell>
          <cell r="N113">
            <v>0</v>
          </cell>
        </row>
        <row r="114">
          <cell r="J114" t="str">
            <v>AGROSUPER ASIA1020860</v>
          </cell>
          <cell r="K114" t="str">
            <v>AGROSUPER ASIA</v>
          </cell>
          <cell r="L114">
            <v>1020860</v>
          </cell>
          <cell r="M114">
            <v>0</v>
          </cell>
          <cell r="N114">
            <v>110000</v>
          </cell>
        </row>
        <row r="115">
          <cell r="J115" t="str">
            <v>AGROSUPER ASIA1020861</v>
          </cell>
          <cell r="K115" t="str">
            <v>AGROSUPER ASIA</v>
          </cell>
          <cell r="L115">
            <v>1020861</v>
          </cell>
          <cell r="M115">
            <v>110000</v>
          </cell>
          <cell r="N115">
            <v>109999.9951</v>
          </cell>
        </row>
        <row r="116">
          <cell r="J116" t="str">
            <v>AGROSUPER ASIA1020904</v>
          </cell>
          <cell r="K116" t="str">
            <v>AGROSUPER ASIA</v>
          </cell>
          <cell r="L116">
            <v>1020904</v>
          </cell>
          <cell r="M116">
            <v>0</v>
          </cell>
          <cell r="N116">
            <v>0</v>
          </cell>
        </row>
        <row r="117">
          <cell r="J117" t="str">
            <v>AGROSUPER ASIA1020905</v>
          </cell>
          <cell r="K117" t="str">
            <v>AGROSUPER ASIA</v>
          </cell>
          <cell r="L117">
            <v>1020905</v>
          </cell>
          <cell r="M117">
            <v>0</v>
          </cell>
          <cell r="N117">
            <v>0</v>
          </cell>
        </row>
        <row r="118">
          <cell r="J118" t="str">
            <v>AGROSUPER ASIA1021012</v>
          </cell>
          <cell r="K118" t="str">
            <v>AGROSUPER ASIA</v>
          </cell>
          <cell r="L118">
            <v>1021012</v>
          </cell>
          <cell r="M118">
            <v>193325.61800000002</v>
          </cell>
          <cell r="N118">
            <v>197999.997</v>
          </cell>
        </row>
        <row r="119">
          <cell r="J119" t="str">
            <v>AGROSUPER ASIA1021045</v>
          </cell>
          <cell r="K119" t="str">
            <v>AGROSUPER ASIA</v>
          </cell>
          <cell r="L119">
            <v>1021045</v>
          </cell>
          <cell r="M119">
            <v>77708.881999999983</v>
          </cell>
          <cell r="N119">
            <v>85328.938999999984</v>
          </cell>
        </row>
        <row r="120">
          <cell r="J120" t="str">
            <v>AGROSUPER ASIA1021046</v>
          </cell>
          <cell r="K120" t="str">
            <v>AGROSUPER ASIA</v>
          </cell>
          <cell r="L120">
            <v>1021046</v>
          </cell>
          <cell r="M120">
            <v>0</v>
          </cell>
          <cell r="N120">
            <v>0</v>
          </cell>
        </row>
        <row r="121">
          <cell r="J121" t="str">
            <v>AGROSUPER ASIA1021149</v>
          </cell>
          <cell r="K121" t="str">
            <v>AGROSUPER ASIA</v>
          </cell>
          <cell r="L121">
            <v>1021149</v>
          </cell>
          <cell r="M121">
            <v>154000</v>
          </cell>
          <cell r="N121">
            <v>154000</v>
          </cell>
        </row>
        <row r="122">
          <cell r="J122" t="str">
            <v>AGROSUPER ASIA1021150</v>
          </cell>
          <cell r="K122" t="str">
            <v>AGROSUPER ASIA</v>
          </cell>
          <cell r="L122">
            <v>1021150</v>
          </cell>
          <cell r="M122">
            <v>3134.1377000000002</v>
          </cell>
          <cell r="N122">
            <v>16560.666999999998</v>
          </cell>
        </row>
        <row r="123">
          <cell r="J123" t="str">
            <v>AGROSUPER ASIA1021151</v>
          </cell>
          <cell r="K123" t="str">
            <v>AGROSUPER ASIA</v>
          </cell>
          <cell r="L123">
            <v>1021151</v>
          </cell>
          <cell r="M123">
            <v>0</v>
          </cell>
          <cell r="N123">
            <v>0</v>
          </cell>
        </row>
        <row r="124">
          <cell r="J124" t="str">
            <v>AGROSUPER ASIA1021152</v>
          </cell>
          <cell r="K124" t="str">
            <v>AGROSUPER ASIA</v>
          </cell>
          <cell r="L124">
            <v>1021152</v>
          </cell>
          <cell r="M124">
            <v>20364.150099999999</v>
          </cell>
          <cell r="N124">
            <v>22361.038</v>
          </cell>
        </row>
        <row r="125">
          <cell r="J125" t="str">
            <v>AGROSUPER ASIA1021156</v>
          </cell>
          <cell r="K125" t="str">
            <v>AGROSUPER ASIA</v>
          </cell>
          <cell r="L125">
            <v>1021156</v>
          </cell>
          <cell r="M125">
            <v>48000</v>
          </cell>
          <cell r="N125">
            <v>48000</v>
          </cell>
        </row>
        <row r="126">
          <cell r="J126" t="str">
            <v>AGROSUPER ASIA1021204</v>
          </cell>
          <cell r="K126" t="str">
            <v>AGROSUPER ASIA</v>
          </cell>
          <cell r="L126">
            <v>1021204</v>
          </cell>
          <cell r="M126">
            <v>0</v>
          </cell>
          <cell r="N126">
            <v>0</v>
          </cell>
        </row>
        <row r="127">
          <cell r="J127" t="str">
            <v>AGROSUPER ASIA1021470</v>
          </cell>
          <cell r="K127" t="str">
            <v>AGROSUPER ASIA</v>
          </cell>
          <cell r="L127">
            <v>1021470</v>
          </cell>
          <cell r="M127">
            <v>44000</v>
          </cell>
          <cell r="N127">
            <v>44000</v>
          </cell>
        </row>
        <row r="128">
          <cell r="J128" t="str">
            <v>AGROSUPER ASIA1021649</v>
          </cell>
          <cell r="K128" t="str">
            <v>AGROSUPER ASIA</v>
          </cell>
          <cell r="L128">
            <v>1021649</v>
          </cell>
          <cell r="M128">
            <v>169000</v>
          </cell>
          <cell r="N128">
            <v>169000</v>
          </cell>
        </row>
        <row r="129">
          <cell r="J129" t="str">
            <v>AGROSUPER ASIA1021650</v>
          </cell>
          <cell r="K129" t="str">
            <v>AGROSUPER ASIA</v>
          </cell>
          <cell r="L129">
            <v>1021650</v>
          </cell>
          <cell r="M129">
            <v>31000</v>
          </cell>
          <cell r="N129">
            <v>31000</v>
          </cell>
        </row>
        <row r="130">
          <cell r="J130" t="str">
            <v>AGROSUPER ASIA1021664</v>
          </cell>
          <cell r="K130" t="str">
            <v>AGROSUPER ASIA</v>
          </cell>
          <cell r="L130">
            <v>1021664</v>
          </cell>
          <cell r="M130">
            <v>0</v>
          </cell>
          <cell r="N130">
            <v>0</v>
          </cell>
        </row>
        <row r="131">
          <cell r="J131" t="str">
            <v>AGROSUPER ASIA1021665</v>
          </cell>
          <cell r="K131" t="str">
            <v>AGROSUPER ASIA</v>
          </cell>
          <cell r="L131">
            <v>1021665</v>
          </cell>
          <cell r="M131">
            <v>0</v>
          </cell>
          <cell r="N131">
            <v>0</v>
          </cell>
        </row>
        <row r="132">
          <cell r="J132" t="str">
            <v>AGROSUPER ASIA1021666</v>
          </cell>
          <cell r="K132" t="str">
            <v>AGROSUPER ASIA</v>
          </cell>
          <cell r="L132">
            <v>1021666</v>
          </cell>
          <cell r="M132">
            <v>44000</v>
          </cell>
          <cell r="N132">
            <v>44000</v>
          </cell>
        </row>
        <row r="133">
          <cell r="J133" t="str">
            <v>AGROSUPER ASIA1021667</v>
          </cell>
          <cell r="K133" t="str">
            <v>AGROSUPER ASIA</v>
          </cell>
          <cell r="L133">
            <v>1021667</v>
          </cell>
          <cell r="M133">
            <v>22000.000099999997</v>
          </cell>
          <cell r="N133">
            <v>22000</v>
          </cell>
        </row>
        <row r="134">
          <cell r="J134" t="str">
            <v>AGROSUPER ASIA1022182</v>
          </cell>
          <cell r="K134" t="str">
            <v>AGROSUPER ASIA</v>
          </cell>
          <cell r="L134">
            <v>1022182</v>
          </cell>
          <cell r="M134">
            <v>0</v>
          </cell>
          <cell r="N134">
            <v>0</v>
          </cell>
        </row>
        <row r="135">
          <cell r="J135" t="str">
            <v>AGROSUPER ASIA1022283</v>
          </cell>
          <cell r="K135" t="str">
            <v>AGROSUPER ASIA</v>
          </cell>
          <cell r="L135">
            <v>1022283</v>
          </cell>
          <cell r="M135">
            <v>0</v>
          </cell>
          <cell r="N135">
            <v>0</v>
          </cell>
        </row>
        <row r="136">
          <cell r="J136" t="str">
            <v>AGROSUPER ASIA1022605</v>
          </cell>
          <cell r="K136" t="str">
            <v>AGROSUPER ASIA</v>
          </cell>
          <cell r="L136">
            <v>1022605</v>
          </cell>
          <cell r="M136">
            <v>0</v>
          </cell>
          <cell r="N136">
            <v>0</v>
          </cell>
        </row>
        <row r="137">
          <cell r="J137" t="str">
            <v>AGROSUPER ASIA1022607</v>
          </cell>
          <cell r="K137" t="str">
            <v>AGROSUPER ASIA</v>
          </cell>
          <cell r="L137">
            <v>1022607</v>
          </cell>
          <cell r="M137">
            <v>25368.355</v>
          </cell>
          <cell r="N137">
            <v>27804.937999999998</v>
          </cell>
        </row>
        <row r="138">
          <cell r="J138" t="str">
            <v>AGROSUPER ASIA1022885</v>
          </cell>
          <cell r="K138" t="str">
            <v>AGROSUPER ASIA</v>
          </cell>
          <cell r="L138">
            <v>1022885</v>
          </cell>
          <cell r="M138">
            <v>660000</v>
          </cell>
          <cell r="N138">
            <v>660000</v>
          </cell>
        </row>
        <row r="139">
          <cell r="J139" t="str">
            <v>AGROSUPER ASIA1022887</v>
          </cell>
          <cell r="K139" t="str">
            <v>AGROSUPER ASIA</v>
          </cell>
          <cell r="L139">
            <v>1022887</v>
          </cell>
          <cell r="M139">
            <v>0</v>
          </cell>
          <cell r="N139">
            <v>115037.52</v>
          </cell>
        </row>
        <row r="140">
          <cell r="J140" t="str">
            <v>AGROSUPER ASIA1022930</v>
          </cell>
          <cell r="K140" t="str">
            <v>AGROSUPER ASIA</v>
          </cell>
          <cell r="L140">
            <v>1022930</v>
          </cell>
          <cell r="M140">
            <v>209689.734</v>
          </cell>
          <cell r="N140">
            <v>220000</v>
          </cell>
        </row>
        <row r="141">
          <cell r="J141" t="str">
            <v>AGROSUPER ASIA1022985</v>
          </cell>
          <cell r="K141" t="str">
            <v>AGROSUPER ASIA</v>
          </cell>
          <cell r="L141">
            <v>1022985</v>
          </cell>
          <cell r="M141">
            <v>88.924075000000002</v>
          </cell>
          <cell r="N141">
            <v>0</v>
          </cell>
        </row>
        <row r="142">
          <cell r="J142" t="str">
            <v>AGROSUPER ASIA1022986</v>
          </cell>
          <cell r="K142" t="str">
            <v>AGROSUPER ASIA</v>
          </cell>
          <cell r="L142">
            <v>1022986</v>
          </cell>
          <cell r="M142">
            <v>10000</v>
          </cell>
          <cell r="N142">
            <v>10000</v>
          </cell>
        </row>
        <row r="143">
          <cell r="J143" t="str">
            <v>AGROSUPER ASIA1023037</v>
          </cell>
          <cell r="K143" t="str">
            <v>AGROSUPER ASIA</v>
          </cell>
          <cell r="L143">
            <v>1023037</v>
          </cell>
          <cell r="M143">
            <v>176000</v>
          </cell>
          <cell r="N143">
            <v>175999.99610000002</v>
          </cell>
        </row>
        <row r="144">
          <cell r="J144" t="str">
            <v>AGROSUPER ASIA1023038</v>
          </cell>
          <cell r="K144" t="str">
            <v>AGROSUPER ASIA</v>
          </cell>
          <cell r="L144">
            <v>1023038</v>
          </cell>
          <cell r="M144">
            <v>110000</v>
          </cell>
          <cell r="N144">
            <v>110000</v>
          </cell>
        </row>
        <row r="145">
          <cell r="J145" t="str">
            <v>AGROSUPER ASIA1023090</v>
          </cell>
          <cell r="K145" t="str">
            <v>AGROSUPER ASIA</v>
          </cell>
          <cell r="L145">
            <v>1023090</v>
          </cell>
          <cell r="M145">
            <v>44000</v>
          </cell>
          <cell r="N145">
            <v>44000</v>
          </cell>
        </row>
        <row r="146">
          <cell r="J146" t="str">
            <v>AGROSUPER ASIA1023144</v>
          </cell>
          <cell r="K146" t="str">
            <v>AGROSUPER ASIA</v>
          </cell>
          <cell r="L146">
            <v>1023144</v>
          </cell>
          <cell r="M146">
            <v>40728.299999999996</v>
          </cell>
          <cell r="N146">
            <v>44722.077900000004</v>
          </cell>
        </row>
        <row r="147">
          <cell r="J147" t="str">
            <v>AGROSUPER ASIA1023164</v>
          </cell>
          <cell r="K147" t="str">
            <v>AGROSUPER ASIA</v>
          </cell>
          <cell r="L147">
            <v>1023164</v>
          </cell>
          <cell r="M147">
            <v>14000</v>
          </cell>
          <cell r="N147">
            <v>14000</v>
          </cell>
        </row>
        <row r="148">
          <cell r="J148" t="str">
            <v>AGROSUPER ASIA1023165</v>
          </cell>
          <cell r="K148" t="str">
            <v>AGROSUPER ASIA</v>
          </cell>
          <cell r="L148">
            <v>1023165</v>
          </cell>
          <cell r="M148">
            <v>66000</v>
          </cell>
          <cell r="N148">
            <v>66000</v>
          </cell>
        </row>
        <row r="149">
          <cell r="J149" t="str">
            <v>AGROSUPER ASIA1023183</v>
          </cell>
          <cell r="K149" t="str">
            <v>AGROSUPER ASIA</v>
          </cell>
          <cell r="L149">
            <v>1023183</v>
          </cell>
          <cell r="M149">
            <v>0</v>
          </cell>
          <cell r="N149">
            <v>0</v>
          </cell>
        </row>
        <row r="150">
          <cell r="J150" t="str">
            <v>AGROSUPER ASIA1023283</v>
          </cell>
          <cell r="K150" t="str">
            <v>AGROSUPER ASIA</v>
          </cell>
          <cell r="L150">
            <v>1023283</v>
          </cell>
          <cell r="M150">
            <v>0</v>
          </cell>
          <cell r="N150">
            <v>0</v>
          </cell>
        </row>
        <row r="151">
          <cell r="J151" t="str">
            <v>AGROSUPER ASIA1023307</v>
          </cell>
          <cell r="K151" t="str">
            <v>AGROSUPER ASIA</v>
          </cell>
          <cell r="L151">
            <v>1023307</v>
          </cell>
          <cell r="M151">
            <v>0</v>
          </cell>
          <cell r="N151">
            <v>0</v>
          </cell>
        </row>
        <row r="152">
          <cell r="J152" t="str">
            <v>AGROSUPER ASIA1023326</v>
          </cell>
          <cell r="K152" t="str">
            <v>AGROSUPER ASIA</v>
          </cell>
          <cell r="L152">
            <v>1023326</v>
          </cell>
          <cell r="M152">
            <v>0</v>
          </cell>
          <cell r="N152">
            <v>0</v>
          </cell>
        </row>
        <row r="153">
          <cell r="J153" t="str">
            <v>AGROSUPER ASIA1023370</v>
          </cell>
          <cell r="K153" t="str">
            <v>AGROSUPER ASIA</v>
          </cell>
          <cell r="L153">
            <v>1023370</v>
          </cell>
          <cell r="M153">
            <v>0</v>
          </cell>
          <cell r="N153">
            <v>0</v>
          </cell>
        </row>
        <row r="154">
          <cell r="J154" t="str">
            <v>AGROSUPER ASIA1023371</v>
          </cell>
          <cell r="K154" t="str">
            <v>AGROSUPER ASIA</v>
          </cell>
          <cell r="L154">
            <v>1023371</v>
          </cell>
          <cell r="M154">
            <v>0</v>
          </cell>
          <cell r="N154">
            <v>0</v>
          </cell>
        </row>
        <row r="155">
          <cell r="J155" t="str">
            <v>AGROSUPER ASIA1023372</v>
          </cell>
          <cell r="K155" t="str">
            <v>AGROSUPER ASIA</v>
          </cell>
          <cell r="L155">
            <v>1023372</v>
          </cell>
          <cell r="M155">
            <v>48000</v>
          </cell>
          <cell r="N155">
            <v>48000</v>
          </cell>
        </row>
        <row r="156">
          <cell r="J156" t="str">
            <v>AGROSUPER ASIA1023397</v>
          </cell>
          <cell r="K156" t="str">
            <v>AGROSUPER ASIA</v>
          </cell>
          <cell r="L156">
            <v>1023397</v>
          </cell>
          <cell r="M156">
            <v>0</v>
          </cell>
          <cell r="N156">
            <v>0</v>
          </cell>
        </row>
        <row r="157">
          <cell r="J157" t="str">
            <v>AGROSUPER ASIA1023435</v>
          </cell>
          <cell r="K157" t="str">
            <v>AGROSUPER ASIA</v>
          </cell>
          <cell r="L157">
            <v>1023435</v>
          </cell>
          <cell r="M157">
            <v>0</v>
          </cell>
          <cell r="N157">
            <v>0</v>
          </cell>
        </row>
        <row r="158">
          <cell r="J158" t="str">
            <v>AGROSUPER ASIA1023438</v>
          </cell>
          <cell r="K158" t="str">
            <v>AGROSUPER ASIA</v>
          </cell>
          <cell r="L158">
            <v>1023438</v>
          </cell>
          <cell r="M158">
            <v>0</v>
          </cell>
          <cell r="N158">
            <v>0</v>
          </cell>
        </row>
        <row r="159">
          <cell r="J159" t="str">
            <v>AGROSUPER ASIA1023439</v>
          </cell>
          <cell r="K159" t="str">
            <v>AGROSUPER ASIA</v>
          </cell>
          <cell r="L159">
            <v>1023439</v>
          </cell>
          <cell r="M159">
            <v>0</v>
          </cell>
          <cell r="N159">
            <v>0</v>
          </cell>
        </row>
        <row r="160">
          <cell r="J160" t="str">
            <v>AGROSUPER ASIA1030309</v>
          </cell>
          <cell r="K160" t="str">
            <v>AGROSUPER ASIA</v>
          </cell>
          <cell r="L160">
            <v>1030309</v>
          </cell>
          <cell r="M160">
            <v>0</v>
          </cell>
          <cell r="N160">
            <v>0</v>
          </cell>
        </row>
        <row r="161">
          <cell r="J161" t="str">
            <v>AGROSUPER ASIA1030535</v>
          </cell>
          <cell r="K161" t="str">
            <v>AGROSUPER ASIA</v>
          </cell>
          <cell r="L161">
            <v>1030535</v>
          </cell>
          <cell r="M161">
            <v>0</v>
          </cell>
          <cell r="N161">
            <v>0</v>
          </cell>
        </row>
        <row r="162">
          <cell r="J162" t="str">
            <v>AGROSUPER ASIA1030542</v>
          </cell>
          <cell r="K162" t="str">
            <v>AGROSUPER ASIA</v>
          </cell>
          <cell r="L162">
            <v>1030542</v>
          </cell>
          <cell r="M162">
            <v>0</v>
          </cell>
          <cell r="N162">
            <v>0</v>
          </cell>
        </row>
        <row r="163">
          <cell r="J163" t="str">
            <v>AGROSUPER ASIA1030543</v>
          </cell>
          <cell r="K163" t="str">
            <v>AGROSUPER ASIA</v>
          </cell>
          <cell r="L163">
            <v>1030543</v>
          </cell>
          <cell r="M163">
            <v>0</v>
          </cell>
          <cell r="N163">
            <v>0</v>
          </cell>
        </row>
        <row r="164">
          <cell r="J164" t="str">
            <v>AGROSUPER ASIA1030706</v>
          </cell>
          <cell r="K164" t="str">
            <v>AGROSUPER ASIA</v>
          </cell>
          <cell r="L164">
            <v>1030706</v>
          </cell>
          <cell r="M164">
            <v>0</v>
          </cell>
          <cell r="N164">
            <v>0</v>
          </cell>
        </row>
        <row r="165">
          <cell r="J165" t="str">
            <v>AGROSUPER ASIA1030739</v>
          </cell>
          <cell r="K165" t="str">
            <v>AGROSUPER ASIA</v>
          </cell>
          <cell r="L165">
            <v>1030739</v>
          </cell>
          <cell r="M165">
            <v>0</v>
          </cell>
          <cell r="N165">
            <v>0</v>
          </cell>
        </row>
        <row r="166">
          <cell r="J166" t="str">
            <v>AGROSUPER BRASIL1011560</v>
          </cell>
          <cell r="K166" t="str">
            <v>AGROSUPER BRASIL</v>
          </cell>
          <cell r="L166">
            <v>1011560</v>
          </cell>
          <cell r="M166">
            <v>24487.197</v>
          </cell>
          <cell r="N166">
            <v>38637.864999999998</v>
          </cell>
        </row>
        <row r="167">
          <cell r="J167" t="str">
            <v>AGROSUPER BRASIL1012362</v>
          </cell>
          <cell r="K167" t="str">
            <v>AGROSUPER BRASIL</v>
          </cell>
          <cell r="L167">
            <v>1012362</v>
          </cell>
          <cell r="M167">
            <v>72000</v>
          </cell>
          <cell r="N167">
            <v>72000</v>
          </cell>
        </row>
        <row r="168">
          <cell r="J168" t="str">
            <v>AGROSUPER BRASIL1012674</v>
          </cell>
          <cell r="K168" t="str">
            <v>AGROSUPER BRASIL</v>
          </cell>
          <cell r="L168">
            <v>1012674</v>
          </cell>
          <cell r="M168">
            <v>49000</v>
          </cell>
          <cell r="N168">
            <v>53700</v>
          </cell>
        </row>
        <row r="169">
          <cell r="J169" t="str">
            <v>AGROSUPER BRASIL1021864</v>
          </cell>
          <cell r="K169" t="str">
            <v>AGROSUPER BRASIL</v>
          </cell>
          <cell r="L169">
            <v>1021864</v>
          </cell>
          <cell r="M169">
            <v>48000.000200000002</v>
          </cell>
          <cell r="N169">
            <v>47999.999600000003</v>
          </cell>
        </row>
        <row r="170">
          <cell r="J170" t="str">
            <v>AGROSUPER BRASIL1022217</v>
          </cell>
          <cell r="K170" t="str">
            <v>AGROSUPER BRASIL</v>
          </cell>
          <cell r="L170">
            <v>1022217</v>
          </cell>
          <cell r="M170">
            <v>321469.83600000001</v>
          </cell>
          <cell r="N170">
            <v>352985.36499999999</v>
          </cell>
        </row>
        <row r="171">
          <cell r="J171" t="str">
            <v>AGROSUPER BRASIL1022218</v>
          </cell>
          <cell r="K171" t="str">
            <v>AGROSUPER BRASIL</v>
          </cell>
          <cell r="L171">
            <v>1022218</v>
          </cell>
          <cell r="M171">
            <v>64475.914000000004</v>
          </cell>
          <cell r="N171">
            <v>70798.36</v>
          </cell>
        </row>
        <row r="172">
          <cell r="J172" t="str">
            <v>AGROSUPER BRASIL1022273</v>
          </cell>
          <cell r="K172" t="str">
            <v>AGROSUPER BRASIL</v>
          </cell>
          <cell r="L172">
            <v>1022273</v>
          </cell>
          <cell r="M172">
            <v>207650.32699999999</v>
          </cell>
          <cell r="N172">
            <v>228012.31899999999</v>
          </cell>
        </row>
        <row r="173">
          <cell r="J173" t="str">
            <v>AGROSUPER BRASIL1022782</v>
          </cell>
          <cell r="K173" t="str">
            <v>AGROSUPER BRASIL</v>
          </cell>
          <cell r="L173">
            <v>1022782</v>
          </cell>
          <cell r="M173">
            <v>0</v>
          </cell>
          <cell r="N173">
            <v>0</v>
          </cell>
        </row>
        <row r="174">
          <cell r="J174" t="str">
            <v>AGROSUPER BRASIL1022783</v>
          </cell>
          <cell r="K174" t="str">
            <v>AGROSUPER BRASIL</v>
          </cell>
          <cell r="L174">
            <v>1022783</v>
          </cell>
          <cell r="M174">
            <v>7740</v>
          </cell>
          <cell r="N174">
            <v>9468.2613000000001</v>
          </cell>
        </row>
        <row r="175">
          <cell r="J175" t="str">
            <v>AGROSUPER BRASIL1023329</v>
          </cell>
          <cell r="K175" t="str">
            <v>AGROSUPER BRASIL</v>
          </cell>
          <cell r="L175">
            <v>1023329</v>
          </cell>
          <cell r="M175">
            <v>10494.8343</v>
          </cell>
          <cell r="N175">
            <v>4720.3977000000004</v>
          </cell>
        </row>
        <row r="176">
          <cell r="J176" t="str">
            <v>AGROSUPER BRASIL1023334</v>
          </cell>
          <cell r="K176" t="str">
            <v>AGROSUPER BRASIL</v>
          </cell>
          <cell r="L176">
            <v>1023334</v>
          </cell>
          <cell r="M176">
            <v>239999.99799999999</v>
          </cell>
          <cell r="N176">
            <v>240000</v>
          </cell>
        </row>
        <row r="177">
          <cell r="J177" t="str">
            <v>AGROSUPER BRASIL1023336</v>
          </cell>
          <cell r="K177" t="str">
            <v>AGROSUPER BRASIL</v>
          </cell>
          <cell r="L177">
            <v>1023336</v>
          </cell>
          <cell r="M177">
            <v>48000</v>
          </cell>
          <cell r="N177">
            <v>48000</v>
          </cell>
        </row>
        <row r="178">
          <cell r="J178" t="str">
            <v>AGROSUPER BRASIL1030740</v>
          </cell>
          <cell r="K178" t="str">
            <v>AGROSUPER BRASIL</v>
          </cell>
          <cell r="L178">
            <v>1030740</v>
          </cell>
          <cell r="M178">
            <v>0</v>
          </cell>
          <cell r="N178">
            <v>0</v>
          </cell>
        </row>
        <row r="179">
          <cell r="J179" t="str">
            <v>AGROSUPER SHANGHAI1012451</v>
          </cell>
          <cell r="K179" t="str">
            <v>AGROSUPER SHANGHAI</v>
          </cell>
          <cell r="L179">
            <v>1012451</v>
          </cell>
          <cell r="M179">
            <v>0</v>
          </cell>
          <cell r="N179">
            <v>0</v>
          </cell>
        </row>
        <row r="180">
          <cell r="J180" t="str">
            <v>AGROSUPER SHANGHAI1021115</v>
          </cell>
          <cell r="K180" t="str">
            <v>AGROSUPER SHANGHAI</v>
          </cell>
          <cell r="L180">
            <v>1021115</v>
          </cell>
          <cell r="M180">
            <v>0</v>
          </cell>
          <cell r="N180">
            <v>0</v>
          </cell>
        </row>
        <row r="181">
          <cell r="J181" t="str">
            <v>AGROSUPER SHANGHAI1021733</v>
          </cell>
          <cell r="K181" t="str">
            <v>AGROSUPER SHANGHAI</v>
          </cell>
          <cell r="L181">
            <v>1021733</v>
          </cell>
          <cell r="M181">
            <v>0</v>
          </cell>
          <cell r="N181">
            <v>0</v>
          </cell>
        </row>
        <row r="182">
          <cell r="J182" t="str">
            <v>AGROSUPER SHANGHAI1021765</v>
          </cell>
          <cell r="K182" t="str">
            <v>AGROSUPER SHANGHAI</v>
          </cell>
          <cell r="L182">
            <v>1021765</v>
          </cell>
          <cell r="M182">
            <v>0</v>
          </cell>
          <cell r="N182">
            <v>0</v>
          </cell>
        </row>
        <row r="183">
          <cell r="J183" t="str">
            <v>AGROSUPER SHANGHAI1022416</v>
          </cell>
          <cell r="K183" t="str">
            <v>AGROSUPER SHANGHAI</v>
          </cell>
          <cell r="L183">
            <v>1022416</v>
          </cell>
          <cell r="M183">
            <v>0</v>
          </cell>
          <cell r="N183">
            <v>0</v>
          </cell>
        </row>
        <row r="184">
          <cell r="J184" t="str">
            <v>AGROSUPER SHANGHAI1022418</v>
          </cell>
          <cell r="K184" t="str">
            <v>AGROSUPER SHANGHAI</v>
          </cell>
          <cell r="L184">
            <v>1022418</v>
          </cell>
          <cell r="M184">
            <v>7226.9493999999995</v>
          </cell>
          <cell r="N184">
            <v>0</v>
          </cell>
        </row>
        <row r="185">
          <cell r="J185" t="str">
            <v>AGROSUPER SHANGHAI1022645</v>
          </cell>
          <cell r="K185" t="str">
            <v>AGROSUPER SHANGHAI</v>
          </cell>
          <cell r="L185">
            <v>1022645</v>
          </cell>
          <cell r="M185">
            <v>0</v>
          </cell>
          <cell r="N185">
            <v>0</v>
          </cell>
        </row>
        <row r="186">
          <cell r="J186" t="str">
            <v>AGROSUPER SHANGHAI1022851</v>
          </cell>
          <cell r="K186" t="str">
            <v>AGROSUPER SHANGHAI</v>
          </cell>
          <cell r="L186">
            <v>1022851</v>
          </cell>
          <cell r="M186">
            <v>0</v>
          </cell>
          <cell r="N186">
            <v>0</v>
          </cell>
        </row>
        <row r="187">
          <cell r="J187" t="str">
            <v>AGROSUPER SHANGHAI1022946</v>
          </cell>
          <cell r="K187" t="str">
            <v>AGROSUPER SHANGHAI</v>
          </cell>
          <cell r="L187">
            <v>1022946</v>
          </cell>
          <cell r="M187">
            <v>0</v>
          </cell>
          <cell r="N187">
            <v>0</v>
          </cell>
        </row>
        <row r="188">
          <cell r="J188" t="str">
            <v>AGROSUPER SHANGHAI1023019</v>
          </cell>
          <cell r="K188" t="str">
            <v>AGROSUPER SHANGHAI</v>
          </cell>
          <cell r="L188">
            <v>1023019</v>
          </cell>
          <cell r="M188">
            <v>0</v>
          </cell>
          <cell r="N188">
            <v>0</v>
          </cell>
        </row>
        <row r="189">
          <cell r="J189" t="str">
            <v>ANDES ASIA1030517</v>
          </cell>
          <cell r="K189" t="str">
            <v>ANDES ASIA</v>
          </cell>
          <cell r="L189">
            <v>1030517</v>
          </cell>
          <cell r="M189">
            <v>0</v>
          </cell>
          <cell r="N189">
            <v>0</v>
          </cell>
        </row>
        <row r="190">
          <cell r="J190" t="str">
            <v>ANDES ASIA1030727</v>
          </cell>
          <cell r="K190" t="str">
            <v>ANDES ASIA</v>
          </cell>
          <cell r="L190">
            <v>1030727</v>
          </cell>
          <cell r="M190">
            <v>0</v>
          </cell>
          <cell r="N190">
            <v>0</v>
          </cell>
        </row>
        <row r="191">
          <cell r="J191" t="str">
            <v>ANDES ASIA1030730</v>
          </cell>
          <cell r="K191" t="str">
            <v>ANDES ASIA</v>
          </cell>
          <cell r="L191">
            <v>1030730</v>
          </cell>
          <cell r="M191">
            <v>0</v>
          </cell>
          <cell r="N191">
            <v>0</v>
          </cell>
        </row>
        <row r="192">
          <cell r="J192" t="str">
            <v>ANDES ASIA1030731</v>
          </cell>
          <cell r="K192" t="str">
            <v>ANDES ASIA</v>
          </cell>
          <cell r="L192">
            <v>1030731</v>
          </cell>
          <cell r="M192">
            <v>0</v>
          </cell>
          <cell r="N192">
            <v>0</v>
          </cell>
        </row>
        <row r="193">
          <cell r="J193" t="str">
            <v>EXPORTACION DIRECTA1020105</v>
          </cell>
          <cell r="K193" t="str">
            <v>EXPORTACION DIRECTA</v>
          </cell>
          <cell r="L193">
            <v>1020105</v>
          </cell>
          <cell r="M193">
            <v>54000</v>
          </cell>
          <cell r="N193">
            <v>54000</v>
          </cell>
        </row>
        <row r="194">
          <cell r="J194" t="str">
            <v>EXPORTACION DIRECTA1020110</v>
          </cell>
          <cell r="K194" t="str">
            <v>EXPORTACION DIRECTA</v>
          </cell>
          <cell r="L194">
            <v>1020110</v>
          </cell>
          <cell r="M194">
            <v>360000</v>
          </cell>
          <cell r="N194">
            <v>360000</v>
          </cell>
        </row>
        <row r="195">
          <cell r="J195" t="str">
            <v>EXPORTACION DIRECTA1020284</v>
          </cell>
          <cell r="K195" t="str">
            <v>EXPORTACION DIRECTA</v>
          </cell>
          <cell r="L195">
            <v>1020284</v>
          </cell>
          <cell r="M195">
            <v>9000</v>
          </cell>
          <cell r="N195">
            <v>9000</v>
          </cell>
        </row>
        <row r="196">
          <cell r="J196" t="str">
            <v>EXPORTACION DIRECTA1020326</v>
          </cell>
          <cell r="K196" t="str">
            <v>EXPORTACION DIRECTA</v>
          </cell>
          <cell r="L196">
            <v>1020326</v>
          </cell>
          <cell r="M196">
            <v>259200</v>
          </cell>
          <cell r="N196">
            <v>259200</v>
          </cell>
        </row>
        <row r="197">
          <cell r="J197" t="str">
            <v>EXPORTACION DIRECTA1020589</v>
          </cell>
          <cell r="K197" t="str">
            <v>EXPORTACION DIRECTA</v>
          </cell>
          <cell r="L197">
            <v>1020589</v>
          </cell>
          <cell r="M197">
            <v>108000</v>
          </cell>
          <cell r="N197">
            <v>108000</v>
          </cell>
        </row>
        <row r="198">
          <cell r="J198" t="str">
            <v>EXPORTACION DIRECTA1020592</v>
          </cell>
          <cell r="K198" t="str">
            <v>EXPORTACION DIRECTA</v>
          </cell>
          <cell r="L198">
            <v>1020592</v>
          </cell>
          <cell r="M198">
            <v>206999.997</v>
          </cell>
          <cell r="N198">
            <v>207000</v>
          </cell>
        </row>
        <row r="199">
          <cell r="J199" t="str">
            <v>EXPORTACION DIRECTA1020620</v>
          </cell>
          <cell r="K199" t="str">
            <v>EXPORTACION DIRECTA</v>
          </cell>
          <cell r="L199">
            <v>1020620</v>
          </cell>
          <cell r="M199">
            <v>27000</v>
          </cell>
          <cell r="N199">
            <v>27000</v>
          </cell>
        </row>
        <row r="200">
          <cell r="J200" t="str">
            <v>EXPORTACION DIRECTA1020636</v>
          </cell>
          <cell r="K200" t="str">
            <v>EXPORTACION DIRECTA</v>
          </cell>
          <cell r="L200">
            <v>1020636</v>
          </cell>
          <cell r="M200">
            <v>13500</v>
          </cell>
          <cell r="N200">
            <v>13500</v>
          </cell>
        </row>
        <row r="201">
          <cell r="J201" t="str">
            <v>EXPORTACION DIRECTA1020637</v>
          </cell>
          <cell r="K201" t="str">
            <v>EXPORTACION DIRECTA</v>
          </cell>
          <cell r="L201">
            <v>1020637</v>
          </cell>
          <cell r="M201">
            <v>225000.00099999999</v>
          </cell>
          <cell r="N201">
            <v>224999.997</v>
          </cell>
        </row>
        <row r="202">
          <cell r="J202" t="str">
            <v>EXPORTACION DIRECTA1020662</v>
          </cell>
          <cell r="K202" t="str">
            <v>EXPORTACION DIRECTA</v>
          </cell>
          <cell r="L202">
            <v>1020662</v>
          </cell>
          <cell r="M202">
            <v>13500</v>
          </cell>
          <cell r="N202">
            <v>13500</v>
          </cell>
        </row>
        <row r="203">
          <cell r="J203" t="str">
            <v>EXPORTACION DIRECTA1020664</v>
          </cell>
          <cell r="K203" t="str">
            <v>EXPORTACION DIRECTA</v>
          </cell>
          <cell r="L203">
            <v>1020664</v>
          </cell>
          <cell r="M203">
            <v>4500</v>
          </cell>
          <cell r="N203">
            <v>4500</v>
          </cell>
        </row>
        <row r="204">
          <cell r="J204" t="str">
            <v>EXPORTACION DIRECTA1020665</v>
          </cell>
          <cell r="K204" t="str">
            <v>EXPORTACION DIRECTA</v>
          </cell>
          <cell r="L204">
            <v>1020665</v>
          </cell>
          <cell r="M204">
            <v>9000</v>
          </cell>
          <cell r="N204">
            <v>9000</v>
          </cell>
        </row>
        <row r="205">
          <cell r="J205" t="str">
            <v>EXPORTACION DIRECTA1020678</v>
          </cell>
          <cell r="K205" t="str">
            <v>EXPORTACION DIRECTA</v>
          </cell>
          <cell r="L205">
            <v>1020678</v>
          </cell>
          <cell r="M205">
            <v>900</v>
          </cell>
          <cell r="N205">
            <v>900</v>
          </cell>
        </row>
        <row r="206">
          <cell r="J206" t="str">
            <v>EXPORTACION DIRECTA1020681</v>
          </cell>
          <cell r="K206" t="str">
            <v>EXPORTACION DIRECTA</v>
          </cell>
          <cell r="L206">
            <v>1020681</v>
          </cell>
          <cell r="M206">
            <v>9000</v>
          </cell>
          <cell r="N206">
            <v>9000</v>
          </cell>
        </row>
        <row r="207">
          <cell r="J207" t="str">
            <v>EXPORTACION DIRECTA1020704</v>
          </cell>
          <cell r="K207" t="str">
            <v>EXPORTACION DIRECTA</v>
          </cell>
          <cell r="L207">
            <v>1020704</v>
          </cell>
          <cell r="M207">
            <v>900</v>
          </cell>
          <cell r="N207">
            <v>900</v>
          </cell>
        </row>
        <row r="208">
          <cell r="J208" t="str">
            <v>EXPORTACION DIRECTA1020715</v>
          </cell>
          <cell r="K208" t="str">
            <v>EXPORTACION DIRECTA</v>
          </cell>
          <cell r="L208">
            <v>1020715</v>
          </cell>
          <cell r="M208">
            <v>1800.0000400000001</v>
          </cell>
          <cell r="N208">
            <v>1800</v>
          </cell>
        </row>
        <row r="209">
          <cell r="J209" t="str">
            <v>EXPORTACION DIRECTA1020731</v>
          </cell>
          <cell r="K209" t="str">
            <v>EXPORTACION DIRECTA</v>
          </cell>
          <cell r="L209">
            <v>1020731</v>
          </cell>
          <cell r="M209">
            <v>18000</v>
          </cell>
          <cell r="N209">
            <v>18000</v>
          </cell>
        </row>
        <row r="210">
          <cell r="J210" t="str">
            <v>EXPORTACION DIRECTA1020758</v>
          </cell>
          <cell r="K210" t="str">
            <v>EXPORTACION DIRECTA</v>
          </cell>
          <cell r="L210">
            <v>1020758</v>
          </cell>
          <cell r="M210">
            <v>9000</v>
          </cell>
          <cell r="N210">
            <v>9000.0000400000008</v>
          </cell>
        </row>
        <row r="211">
          <cell r="J211" t="str">
            <v>EXPORTACION DIRECTA1020774</v>
          </cell>
          <cell r="K211" t="str">
            <v>EXPORTACION DIRECTA</v>
          </cell>
          <cell r="L211">
            <v>1020774</v>
          </cell>
          <cell r="M211">
            <v>9000</v>
          </cell>
          <cell r="N211">
            <v>9000</v>
          </cell>
        </row>
        <row r="212">
          <cell r="J212" t="str">
            <v>EXPORTACION DIRECTA1020802</v>
          </cell>
          <cell r="K212" t="str">
            <v>EXPORTACION DIRECTA</v>
          </cell>
          <cell r="L212">
            <v>1020802</v>
          </cell>
          <cell r="M212">
            <v>45000</v>
          </cell>
          <cell r="N212">
            <v>45000</v>
          </cell>
        </row>
        <row r="213">
          <cell r="J213" t="str">
            <v>EXPORTACION DIRECTA1020810</v>
          </cell>
          <cell r="K213" t="str">
            <v>EXPORTACION DIRECTA</v>
          </cell>
          <cell r="L213">
            <v>1020810</v>
          </cell>
          <cell r="M213">
            <v>7199.9999600000001</v>
          </cell>
          <cell r="N213">
            <v>7200.0000399999999</v>
          </cell>
        </row>
        <row r="214">
          <cell r="J214" t="str">
            <v>EXPORTACION DIRECTA1020914</v>
          </cell>
          <cell r="K214" t="str">
            <v>EXPORTACION DIRECTA</v>
          </cell>
          <cell r="L214">
            <v>1020914</v>
          </cell>
          <cell r="M214">
            <v>11657.5591</v>
          </cell>
          <cell r="N214">
            <v>6300</v>
          </cell>
        </row>
        <row r="215">
          <cell r="J215" t="str">
            <v>EXPORTACION DIRECTA1020990</v>
          </cell>
          <cell r="K215" t="str">
            <v>EXPORTACION DIRECTA</v>
          </cell>
          <cell r="L215">
            <v>1020990</v>
          </cell>
          <cell r="M215">
            <v>9000</v>
          </cell>
          <cell r="N215">
            <v>9000</v>
          </cell>
        </row>
        <row r="216">
          <cell r="J216" t="str">
            <v>EXPORTACION DIRECTA1020991</v>
          </cell>
          <cell r="K216" t="str">
            <v>EXPORTACION DIRECTA</v>
          </cell>
          <cell r="L216">
            <v>1020991</v>
          </cell>
          <cell r="M216">
            <v>9000</v>
          </cell>
          <cell r="N216">
            <v>9000</v>
          </cell>
        </row>
        <row r="217">
          <cell r="J217" t="str">
            <v>EXPORTACION DIRECTA1021136</v>
          </cell>
          <cell r="K217" t="str">
            <v>EXPORTACION DIRECTA</v>
          </cell>
          <cell r="L217">
            <v>1021136</v>
          </cell>
          <cell r="M217">
            <v>4500</v>
          </cell>
          <cell r="N217">
            <v>4500</v>
          </cell>
        </row>
        <row r="218">
          <cell r="J218" t="str">
            <v>EXPORTACION DIRECTA1021533</v>
          </cell>
          <cell r="K218" t="str">
            <v>EXPORTACION DIRECTA</v>
          </cell>
          <cell r="L218">
            <v>1021533</v>
          </cell>
          <cell r="M218">
            <v>0</v>
          </cell>
          <cell r="N218">
            <v>0</v>
          </cell>
        </row>
        <row r="219">
          <cell r="J219" t="str">
            <v>EXPORTACION DIRECTA1021603</v>
          </cell>
          <cell r="K219" t="str">
            <v>EXPORTACION DIRECTA</v>
          </cell>
          <cell r="L219">
            <v>1021603</v>
          </cell>
          <cell r="M219">
            <v>6300</v>
          </cell>
          <cell r="N219">
            <v>6300</v>
          </cell>
        </row>
        <row r="220">
          <cell r="J220" t="str">
            <v>EXPORTACION DIRECTA1021609</v>
          </cell>
          <cell r="K220" t="str">
            <v>EXPORTACION DIRECTA</v>
          </cell>
          <cell r="L220">
            <v>1021609</v>
          </cell>
          <cell r="M220">
            <v>18000</v>
          </cell>
          <cell r="N220">
            <v>18000</v>
          </cell>
        </row>
        <row r="221">
          <cell r="J221" t="str">
            <v>EXPORTACION DIRECTA1022313</v>
          </cell>
          <cell r="K221" t="str">
            <v>EXPORTACION DIRECTA</v>
          </cell>
          <cell r="L221">
            <v>1022313</v>
          </cell>
          <cell r="M221">
            <v>6671.5884699999997</v>
          </cell>
          <cell r="N221">
            <v>7325.7979999999998</v>
          </cell>
        </row>
        <row r="222">
          <cell r="J222" t="str">
            <v>EXPORTACION DIRECTA1022326</v>
          </cell>
          <cell r="K222" t="str">
            <v>EXPORTACION DIRECTA</v>
          </cell>
          <cell r="L222">
            <v>1022326</v>
          </cell>
          <cell r="M222">
            <v>17999.999599999999</v>
          </cell>
          <cell r="N222">
            <v>18000</v>
          </cell>
        </row>
        <row r="223">
          <cell r="J223" t="str">
            <v>EXPORTACION DIRECTA1022346</v>
          </cell>
          <cell r="K223" t="str">
            <v>EXPORTACION DIRECTA</v>
          </cell>
          <cell r="L223">
            <v>1022346</v>
          </cell>
          <cell r="M223">
            <v>9000</v>
          </cell>
          <cell r="N223">
            <v>9000</v>
          </cell>
        </row>
        <row r="224">
          <cell r="J224" t="str">
            <v>EXPORTACION DIRECTA1022370</v>
          </cell>
          <cell r="K224" t="str">
            <v>EXPORTACION DIRECTA</v>
          </cell>
          <cell r="L224">
            <v>1022370</v>
          </cell>
          <cell r="M224">
            <v>18000</v>
          </cell>
          <cell r="N224">
            <v>18000</v>
          </cell>
        </row>
        <row r="225">
          <cell r="J225" t="str">
            <v>EXPORTACION DIRECTA1022371</v>
          </cell>
          <cell r="K225" t="str">
            <v>EXPORTACION DIRECTA</v>
          </cell>
          <cell r="L225">
            <v>1022371</v>
          </cell>
          <cell r="M225">
            <v>21600.000325000001</v>
          </cell>
          <cell r="N225">
            <v>21600</v>
          </cell>
        </row>
        <row r="226">
          <cell r="J226" t="str">
            <v>EXPORTACION DIRECTA1022499</v>
          </cell>
          <cell r="K226" t="str">
            <v>EXPORTACION DIRECTA</v>
          </cell>
          <cell r="L226">
            <v>1022499</v>
          </cell>
          <cell r="M226">
            <v>22400.565999999999</v>
          </cell>
          <cell r="N226">
            <v>24597.142400000001</v>
          </cell>
        </row>
        <row r="227">
          <cell r="J227" t="str">
            <v>EXPORTACION DIRECTA1022587</v>
          </cell>
          <cell r="K227" t="str">
            <v>EXPORTACION DIRECTA</v>
          </cell>
          <cell r="L227">
            <v>1022587</v>
          </cell>
          <cell r="M227">
            <v>3600</v>
          </cell>
          <cell r="N227">
            <v>3600</v>
          </cell>
        </row>
        <row r="228">
          <cell r="J228" t="str">
            <v>EXPORTACION DIRECTA1022600</v>
          </cell>
          <cell r="K228" t="str">
            <v>EXPORTACION DIRECTA</v>
          </cell>
          <cell r="L228">
            <v>1022600</v>
          </cell>
          <cell r="M228">
            <v>11700</v>
          </cell>
          <cell r="N228">
            <v>11700</v>
          </cell>
        </row>
        <row r="229">
          <cell r="J229" t="str">
            <v>EXPORTACION DIRECTA1022664</v>
          </cell>
          <cell r="K229" t="str">
            <v>EXPORTACION DIRECTA</v>
          </cell>
          <cell r="L229">
            <v>1022664</v>
          </cell>
          <cell r="M229">
            <v>62395.756000000001</v>
          </cell>
          <cell r="N229">
            <v>68514.223000000013</v>
          </cell>
        </row>
        <row r="230">
          <cell r="J230" t="str">
            <v>EXPORTACION DIRECTA1022919</v>
          </cell>
          <cell r="K230" t="str">
            <v>EXPORTACION DIRECTA</v>
          </cell>
          <cell r="L230">
            <v>1022919</v>
          </cell>
          <cell r="M230">
            <v>21600</v>
          </cell>
          <cell r="N230">
            <v>21600</v>
          </cell>
        </row>
        <row r="231">
          <cell r="J231" t="str">
            <v>EXPORTACION DIRECTA1022931</v>
          </cell>
          <cell r="K231" t="str">
            <v>EXPORTACION DIRECTA</v>
          </cell>
          <cell r="L231">
            <v>1022931</v>
          </cell>
          <cell r="M231">
            <v>22500</v>
          </cell>
          <cell r="N231">
            <v>22500</v>
          </cell>
        </row>
        <row r="232">
          <cell r="J232" t="str">
            <v>EXPORTACION DIRECTA1022987</v>
          </cell>
          <cell r="K232" t="str">
            <v>EXPORTACION DIRECTA</v>
          </cell>
          <cell r="L232">
            <v>1022987</v>
          </cell>
          <cell r="M232">
            <v>43200</v>
          </cell>
          <cell r="N232">
            <v>43200</v>
          </cell>
        </row>
        <row r="233">
          <cell r="J233" t="str">
            <v>EXPORTACION DIRECTA1023055</v>
          </cell>
          <cell r="K233" t="str">
            <v>EXPORTACION DIRECTA</v>
          </cell>
          <cell r="L233">
            <v>1023055</v>
          </cell>
          <cell r="M233">
            <v>0</v>
          </cell>
          <cell r="N233">
            <v>0</v>
          </cell>
        </row>
        <row r="234">
          <cell r="J234" t="str">
            <v>EXPORTACION DIRECTA1023163</v>
          </cell>
          <cell r="K234" t="str">
            <v>EXPORTACION DIRECTA</v>
          </cell>
          <cell r="L234">
            <v>1023163</v>
          </cell>
          <cell r="M234">
            <v>26999.999699999997</v>
          </cell>
          <cell r="N234">
            <v>27000</v>
          </cell>
        </row>
        <row r="235">
          <cell r="J235" t="str">
            <v>EXPORTACION DIRECTA1023194</v>
          </cell>
          <cell r="K235" t="str">
            <v>EXPORTACION DIRECTA</v>
          </cell>
          <cell r="L235">
            <v>1023194</v>
          </cell>
          <cell r="M235">
            <v>9000</v>
          </cell>
          <cell r="N235">
            <v>9000</v>
          </cell>
        </row>
        <row r="236">
          <cell r="J236" t="str">
            <v>EXPORTACION DIRECTA1023301</v>
          </cell>
          <cell r="K236" t="str">
            <v>EXPORTACION DIRECTA</v>
          </cell>
          <cell r="L236">
            <v>1023301</v>
          </cell>
          <cell r="M236">
            <v>21150</v>
          </cell>
          <cell r="N236">
            <v>21150</v>
          </cell>
        </row>
        <row r="237">
          <cell r="J237" t="str">
            <v>EXPORTACION DIRECTA1023349</v>
          </cell>
          <cell r="K237" t="str">
            <v>EXPORTACION DIRECTA</v>
          </cell>
          <cell r="L237">
            <v>1023349</v>
          </cell>
          <cell r="M237">
            <v>4500</v>
          </cell>
          <cell r="N237">
            <v>4500</v>
          </cell>
        </row>
        <row r="238">
          <cell r="J238" t="str">
            <v>EXPORTACION DIRECTA1023350</v>
          </cell>
          <cell r="K238" t="str">
            <v>EXPORTACION DIRECTA</v>
          </cell>
          <cell r="L238">
            <v>1023350</v>
          </cell>
          <cell r="M238">
            <v>27000</v>
          </cell>
          <cell r="N238">
            <v>27000</v>
          </cell>
        </row>
        <row r="239">
          <cell r="J239" t="str">
            <v>EXPORTACION DIRECTA1023351</v>
          </cell>
          <cell r="K239" t="str">
            <v>EXPORTACION DIRECTA</v>
          </cell>
          <cell r="L239">
            <v>1023351</v>
          </cell>
          <cell r="M239">
            <v>4500</v>
          </cell>
          <cell r="N239">
            <v>4500</v>
          </cell>
        </row>
        <row r="240">
          <cell r="J240" t="str">
            <v>EXPORTACION DIRECTA1023352</v>
          </cell>
          <cell r="K240" t="str">
            <v>EXPORTACION DIRECTA</v>
          </cell>
          <cell r="L240">
            <v>1023352</v>
          </cell>
          <cell r="M240">
            <v>48873.96</v>
          </cell>
          <cell r="N240">
            <v>53666.493999999999</v>
          </cell>
        </row>
        <row r="241">
          <cell r="J241" t="str">
            <v>EXPORTACION DIRECTA1023419</v>
          </cell>
          <cell r="K241" t="str">
            <v>EXPORTACION DIRECTA</v>
          </cell>
          <cell r="L241">
            <v>1023419</v>
          </cell>
          <cell r="M241">
            <v>43200</v>
          </cell>
          <cell r="N241">
            <v>43200</v>
          </cell>
        </row>
        <row r="242">
          <cell r="J242" t="str">
            <v>Total general</v>
          </cell>
          <cell r="K242" t="str">
            <v>Total general</v>
          </cell>
          <cell r="M242">
            <v>11244707.262870003</v>
          </cell>
          <cell r="N242">
            <v>12700694.82322</v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/>
          </cell>
        </row>
        <row r="387">
          <cell r="J387" t="str">
            <v/>
          </cell>
        </row>
        <row r="388">
          <cell r="J388" t="str">
            <v/>
          </cell>
        </row>
        <row r="389">
          <cell r="J389" t="str">
            <v/>
          </cell>
        </row>
        <row r="390">
          <cell r="J390" t="str">
            <v/>
          </cell>
        </row>
        <row r="391">
          <cell r="J391" t="str">
            <v/>
          </cell>
        </row>
        <row r="392">
          <cell r="J392" t="str">
            <v/>
          </cell>
        </row>
        <row r="393">
          <cell r="J393" t="str">
            <v/>
          </cell>
        </row>
        <row r="394">
          <cell r="J394" t="str">
            <v/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/>
          </cell>
        </row>
        <row r="681">
          <cell r="J681" t="str">
            <v/>
          </cell>
        </row>
        <row r="682">
          <cell r="J682" t="str">
            <v/>
          </cell>
        </row>
        <row r="683">
          <cell r="J683" t="str">
            <v/>
          </cell>
        </row>
        <row r="684">
          <cell r="J684" t="str">
            <v/>
          </cell>
        </row>
        <row r="685">
          <cell r="J685" t="str">
            <v/>
          </cell>
        </row>
        <row r="686">
          <cell r="J686" t="str">
            <v/>
          </cell>
        </row>
        <row r="687">
          <cell r="J687" t="str">
            <v/>
          </cell>
        </row>
        <row r="688">
          <cell r="J688" t="str">
            <v/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</sheetData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ltima fecha de Zarpe "/>
      <sheetName val="Datos Faena y Días"/>
      <sheetName val="Ponderación"/>
    </sheetNames>
    <sheetDataSet>
      <sheetData sheetId="0"/>
      <sheetData sheetId="1"/>
      <sheetData sheetId="2">
        <row r="2">
          <cell r="B2" t="str">
            <v>Oficina</v>
          </cell>
          <cell r="C2" t="str">
            <v>Junio</v>
          </cell>
          <cell r="D2" t="str">
            <v>Julio</v>
          </cell>
          <cell r="E2" t="str">
            <v>Agosto</v>
          </cell>
        </row>
        <row r="3">
          <cell r="B3" t="str">
            <v>Agrosuper Asia</v>
          </cell>
          <cell r="C3">
            <v>0.55508221380240719</v>
          </cell>
          <cell r="D3">
            <v>0.3938052388111854</v>
          </cell>
          <cell r="E3">
            <v>0.45719439678473212</v>
          </cell>
        </row>
        <row r="4">
          <cell r="B4" t="str">
            <v>Agrosuper Shanghai</v>
          </cell>
          <cell r="C4">
            <v>0.46003038686094999</v>
          </cell>
          <cell r="D4">
            <v>0.3938052388111854</v>
          </cell>
          <cell r="E4">
            <v>0.45719439678473212</v>
          </cell>
        </row>
        <row r="5">
          <cell r="B5" t="str">
            <v>Agro Sudamerica</v>
          </cell>
          <cell r="C5">
            <v>0.50755630033167853</v>
          </cell>
          <cell r="D5">
            <v>0.5154724771671565</v>
          </cell>
          <cell r="E5">
            <v>0.45719439678473212</v>
          </cell>
        </row>
        <row r="6">
          <cell r="B6" t="str">
            <v>Exportacion Directa</v>
          </cell>
          <cell r="C6">
            <v>0.84127367677561793</v>
          </cell>
          <cell r="D6">
            <v>0.7577362385835783</v>
          </cell>
          <cell r="E6">
            <v>0.87158319035419651</v>
          </cell>
        </row>
        <row r="7">
          <cell r="B7" t="str">
            <v>Agrosuper Brasil</v>
          </cell>
          <cell r="C7">
            <v>0.79374776330488928</v>
          </cell>
          <cell r="D7">
            <v>0.74227818722130146</v>
          </cell>
          <cell r="E7">
            <v>0.81420840482290169</v>
          </cell>
        </row>
        <row r="8">
          <cell r="B8" t="str">
            <v>Africa</v>
          </cell>
          <cell r="C8">
            <v>0.65</v>
          </cell>
          <cell r="D8">
            <v>0.65</v>
          </cell>
          <cell r="E8">
            <v>0.65</v>
          </cell>
        </row>
        <row r="9">
          <cell r="B9" t="str">
            <v>Agro Mexico</v>
          </cell>
          <cell r="C9">
            <v>0.55508221380240719</v>
          </cell>
          <cell r="D9">
            <v>0.5154724771671565</v>
          </cell>
          <cell r="E9">
            <v>0.64298599196183037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"/>
      <sheetName val="Base"/>
      <sheetName val="TD Conf-AP"/>
      <sheetName val="Base Conf-AP"/>
      <sheetName val="Conf. Dist."/>
      <sheetName val="TD Terrestres"/>
      <sheetName val="Base Terrestres Programados"/>
      <sheetName val="TD Puerto"/>
      <sheetName val="Base Puerto"/>
      <sheetName val="Pedidos en Sistema"/>
      <sheetName val="Stock"/>
      <sheetName val="Produccion"/>
      <sheetName val="Plan de Ventas"/>
      <sheetName val="BAJAS"/>
      <sheetName val="Stat Pedido N-1 y Actual"/>
      <sheetName val="Proyeccion Semana N-1"/>
    </sheetNames>
    <sheetDataSet>
      <sheetData sheetId="0"/>
      <sheetData sheetId="1"/>
      <sheetData sheetId="2">
        <row r="1">
          <cell r="J1" t="str">
            <v>TERRESTRES Y NIPPON</v>
          </cell>
          <cell r="K1"/>
          <cell r="L1"/>
          <cell r="M1"/>
        </row>
        <row r="2">
          <cell r="I2"/>
          <cell r="J2" t="str">
            <v>Alcanza</v>
          </cell>
          <cell r="K2" t="str">
            <v>Considerado</v>
          </cell>
          <cell r="L2"/>
          <cell r="M2"/>
        </row>
        <row r="3">
          <cell r="I3"/>
          <cell r="J3" t="str">
            <v>Status</v>
          </cell>
          <cell r="K3" t="str">
            <v>(Todas)</v>
          </cell>
          <cell r="L3"/>
          <cell r="M3"/>
        </row>
        <row r="4">
          <cell r="J4" t="str">
            <v>Tipo venta</v>
          </cell>
          <cell r="K4" t="str">
            <v>(Todas)</v>
          </cell>
        </row>
        <row r="5">
          <cell r="J5" t="str">
            <v>Tipo</v>
          </cell>
          <cell r="K5" t="str">
            <v>Terrestre</v>
          </cell>
        </row>
        <row r="6">
          <cell r="J6" t="str">
            <v>Fecha Carga</v>
          </cell>
          <cell r="K6" t="str">
            <v>(Varios elementos)</v>
          </cell>
        </row>
        <row r="7">
          <cell r="J7" t="str">
            <v>Comentario Distribucion</v>
          </cell>
          <cell r="K7" t="str">
            <v>(Varios elementos)</v>
          </cell>
        </row>
        <row r="9">
          <cell r="J9" t="str">
            <v>Ofinica</v>
          </cell>
          <cell r="K9" t="str">
            <v>Material</v>
          </cell>
          <cell r="L9" t="str">
            <v>Suma de Total Kilos</v>
          </cell>
          <cell r="M9"/>
        </row>
        <row r="10">
          <cell r="I10" t="str">
            <v>AGROSUPER BRASIL1022273</v>
          </cell>
          <cell r="J10" t="str">
            <v>AGROSUPER BRASIL</v>
          </cell>
          <cell r="K10">
            <v>1022273</v>
          </cell>
          <cell r="L10">
            <v>48000</v>
          </cell>
          <cell r="M10"/>
        </row>
        <row r="11">
          <cell r="I11" t="str">
            <v>AGROSUPER BRASIL1022217</v>
          </cell>
          <cell r="J11" t="str">
            <v>AGROSUPER BRASIL</v>
          </cell>
          <cell r="K11">
            <v>1022217</v>
          </cell>
          <cell r="L11">
            <v>24000</v>
          </cell>
          <cell r="M11"/>
        </row>
        <row r="12">
          <cell r="I12" t="str">
            <v>EXPORTACION DIRECTA1020665</v>
          </cell>
          <cell r="J12" t="str">
            <v>EXPORTACION DIRECTA</v>
          </cell>
          <cell r="K12">
            <v>1020665</v>
          </cell>
          <cell r="L12">
            <v>6900</v>
          </cell>
          <cell r="M12"/>
        </row>
        <row r="13">
          <cell r="I13" t="str">
            <v>EXPORTACION DIRECTA1020681</v>
          </cell>
          <cell r="J13" t="str">
            <v>EXPORTACION DIRECTA</v>
          </cell>
          <cell r="K13">
            <v>1020681</v>
          </cell>
          <cell r="L13">
            <v>6000</v>
          </cell>
          <cell r="M13"/>
        </row>
        <row r="14">
          <cell r="I14" t="str">
            <v>EXPORTACION DIRECTA1020802</v>
          </cell>
          <cell r="J14" t="str">
            <v>EXPORTACION DIRECTA</v>
          </cell>
          <cell r="K14">
            <v>1020802</v>
          </cell>
          <cell r="L14">
            <v>30500</v>
          </cell>
          <cell r="M14"/>
        </row>
        <row r="15">
          <cell r="I15" t="str">
            <v>EXPORTACION DIRECTA1020991</v>
          </cell>
          <cell r="J15" t="str">
            <v>EXPORTACION DIRECTA</v>
          </cell>
          <cell r="K15">
            <v>1020991</v>
          </cell>
          <cell r="L15">
            <v>12600</v>
          </cell>
          <cell r="M15"/>
        </row>
        <row r="16">
          <cell r="I16" t="str">
            <v>EXPORTACION DIRECTA1022931</v>
          </cell>
          <cell r="J16" t="str">
            <v>EXPORTACION DIRECTA</v>
          </cell>
          <cell r="K16">
            <v>1022931</v>
          </cell>
          <cell r="L16">
            <v>4000</v>
          </cell>
          <cell r="M16"/>
        </row>
        <row r="17">
          <cell r="I17" t="str">
            <v>EXPORTACION DIRECTA1022370</v>
          </cell>
          <cell r="J17" t="str">
            <v>EXPORTACION DIRECTA</v>
          </cell>
          <cell r="K17">
            <v>1022370</v>
          </cell>
          <cell r="L17">
            <v>14000</v>
          </cell>
          <cell r="M17"/>
        </row>
        <row r="18">
          <cell r="I18" t="str">
            <v>EXPORTACION DIRECTA1022664</v>
          </cell>
          <cell r="J18" t="str">
            <v>EXPORTACION DIRECTA</v>
          </cell>
          <cell r="K18">
            <v>1022664</v>
          </cell>
          <cell r="L18">
            <v>18000</v>
          </cell>
          <cell r="M18"/>
        </row>
        <row r="19">
          <cell r="I19" t="str">
            <v>EXPORTACION DIRECTA1020110</v>
          </cell>
          <cell r="J19" t="str">
            <v>EXPORTACION DIRECTA</v>
          </cell>
          <cell r="K19">
            <v>1020110</v>
          </cell>
          <cell r="L19">
            <v>168620</v>
          </cell>
          <cell r="M19"/>
        </row>
        <row r="20">
          <cell r="I20" t="str">
            <v>EXPORTACION DIRECTA1020592</v>
          </cell>
          <cell r="J20" t="str">
            <v>EXPORTACION DIRECTA</v>
          </cell>
          <cell r="K20">
            <v>1020592</v>
          </cell>
          <cell r="L20">
            <v>58200</v>
          </cell>
          <cell r="M20"/>
        </row>
        <row r="21">
          <cell r="I21" t="str">
            <v>EXPORTACION DIRECTA1020637</v>
          </cell>
          <cell r="J21" t="str">
            <v>EXPORTACION DIRECTA</v>
          </cell>
          <cell r="K21">
            <v>1020637</v>
          </cell>
          <cell r="L21">
            <v>56330</v>
          </cell>
          <cell r="M21"/>
        </row>
        <row r="22">
          <cell r="I22" t="str">
            <v>EXPORTACION DIRECTA1022326</v>
          </cell>
          <cell r="J22" t="str">
            <v>EXPORTACION DIRECTA</v>
          </cell>
          <cell r="K22">
            <v>1022326</v>
          </cell>
          <cell r="L22">
            <v>20000</v>
          </cell>
          <cell r="M22"/>
        </row>
        <row r="23">
          <cell r="I23" t="str">
            <v>EXPORTACION DIRECTA1023349</v>
          </cell>
          <cell r="J23" t="str">
            <v>EXPORTACION DIRECTA</v>
          </cell>
          <cell r="K23">
            <v>1023349</v>
          </cell>
          <cell r="L23">
            <v>7500</v>
          </cell>
          <cell r="M23"/>
        </row>
        <row r="24">
          <cell r="I24" t="str">
            <v>EXPORTACION DIRECTA1023352</v>
          </cell>
          <cell r="J24" t="str">
            <v>EXPORTACION DIRECTA</v>
          </cell>
          <cell r="K24">
            <v>1023352</v>
          </cell>
          <cell r="L24">
            <v>12500</v>
          </cell>
          <cell r="M24"/>
        </row>
        <row r="25">
          <cell r="I25" t="str">
            <v>EXPORTACION DIRECTA1020636</v>
          </cell>
          <cell r="J25" t="str">
            <v>EXPORTACION DIRECTA</v>
          </cell>
          <cell r="K25">
            <v>1020636</v>
          </cell>
          <cell r="L25">
            <v>8250</v>
          </cell>
          <cell r="M25"/>
        </row>
        <row r="26">
          <cell r="I26" t="str">
            <v>EXPORTACION DIRECTA1022499</v>
          </cell>
          <cell r="J26" t="str">
            <v>EXPORTACION DIRECTA</v>
          </cell>
          <cell r="K26">
            <v>1022499</v>
          </cell>
          <cell r="L26">
            <v>12000</v>
          </cell>
          <cell r="M26"/>
        </row>
        <row r="27">
          <cell r="I27" t="str">
            <v>EXPORTACION DIRECTA1020589</v>
          </cell>
          <cell r="J27" t="str">
            <v>EXPORTACION DIRECTA</v>
          </cell>
          <cell r="K27">
            <v>1020589</v>
          </cell>
          <cell r="L27">
            <v>10000</v>
          </cell>
          <cell r="M27"/>
        </row>
        <row r="28">
          <cell r="I28" t="str">
            <v>EXPORTACION DIRECTA1020105</v>
          </cell>
          <cell r="J28" t="str">
            <v>EXPORTACION DIRECTA</v>
          </cell>
          <cell r="K28">
            <v>1020105</v>
          </cell>
          <cell r="L28">
            <v>7000</v>
          </cell>
          <cell r="M28"/>
        </row>
        <row r="29">
          <cell r="I29" t="str">
            <v>EXPORTACION DIRECTA1022600</v>
          </cell>
          <cell r="J29" t="str">
            <v>EXPORTACION DIRECTA</v>
          </cell>
          <cell r="K29">
            <v>1022600</v>
          </cell>
          <cell r="L29">
            <v>5500</v>
          </cell>
          <cell r="M29"/>
        </row>
        <row r="30">
          <cell r="I30" t="str">
            <v>EXPORTACION DIRECTA1023194</v>
          </cell>
          <cell r="J30" t="str">
            <v>EXPORTACION DIRECTA</v>
          </cell>
          <cell r="K30">
            <v>1023194</v>
          </cell>
          <cell r="L30">
            <v>4500</v>
          </cell>
          <cell r="M30"/>
        </row>
        <row r="31">
          <cell r="I31" t="str">
            <v>EXPORTACION DIRECTA1020326</v>
          </cell>
          <cell r="J31" t="str">
            <v>EXPORTACION DIRECTA</v>
          </cell>
          <cell r="K31">
            <v>1020326</v>
          </cell>
          <cell r="L31">
            <v>72000</v>
          </cell>
          <cell r="M31"/>
        </row>
        <row r="32">
          <cell r="I32" t="str">
            <v>EXPORTACION DIRECTA1020620</v>
          </cell>
          <cell r="J32" t="str">
            <v>EXPORTACION DIRECTA</v>
          </cell>
          <cell r="K32">
            <v>1020620</v>
          </cell>
          <cell r="L32">
            <v>6400</v>
          </cell>
          <cell r="M32"/>
        </row>
        <row r="33">
          <cell r="I33" t="str">
            <v>EXPORTACION DIRECTA1020914</v>
          </cell>
          <cell r="J33" t="str">
            <v>EXPORTACION DIRECTA</v>
          </cell>
          <cell r="K33">
            <v>1020914</v>
          </cell>
          <cell r="L33">
            <v>2000</v>
          </cell>
          <cell r="M33"/>
        </row>
        <row r="34">
          <cell r="I34" t="str">
            <v>EXPORTACION DIRECTA1021533</v>
          </cell>
          <cell r="J34" t="str">
            <v>EXPORTACION DIRECTA</v>
          </cell>
          <cell r="K34">
            <v>1021533</v>
          </cell>
          <cell r="L34">
            <v>5000</v>
          </cell>
          <cell r="M34"/>
        </row>
        <row r="35">
          <cell r="I35" t="str">
            <v>EXPORTACION DIRECTA1023350</v>
          </cell>
          <cell r="J35" t="str">
            <v>EXPORTACION DIRECTA</v>
          </cell>
          <cell r="K35">
            <v>1023350</v>
          </cell>
          <cell r="L35">
            <v>5000</v>
          </cell>
          <cell r="M35"/>
        </row>
        <row r="36">
          <cell r="J36" t="str">
            <v>Total general</v>
          </cell>
          <cell r="K36"/>
          <cell r="L36">
            <v>624800</v>
          </cell>
          <cell r="M36"/>
        </row>
        <row r="37">
          <cell r="J37"/>
          <cell r="K37"/>
          <cell r="L37"/>
          <cell r="M37"/>
        </row>
        <row r="38">
          <cell r="J38"/>
          <cell r="K38"/>
          <cell r="L38"/>
          <cell r="M38"/>
        </row>
        <row r="39">
          <cell r="J39"/>
          <cell r="K39"/>
          <cell r="L39"/>
          <cell r="M39"/>
        </row>
        <row r="40">
          <cell r="J40" t="str">
            <v>ETD</v>
          </cell>
          <cell r="K40" t="str">
            <v>(Varios elementos)</v>
          </cell>
          <cell r="L40"/>
          <cell r="M40"/>
        </row>
        <row r="41">
          <cell r="J41" t="str">
            <v>Status</v>
          </cell>
          <cell r="K41" t="str">
            <v>(Todas)</v>
          </cell>
          <cell r="L41"/>
          <cell r="M41"/>
        </row>
        <row r="42">
          <cell r="J42" t="str">
            <v>Alcanza</v>
          </cell>
          <cell r="K42" t="str">
            <v>Considerado</v>
          </cell>
        </row>
        <row r="43">
          <cell r="J43" t="str">
            <v>Tipo</v>
          </cell>
          <cell r="K43" t="str">
            <v>Maritimo</v>
          </cell>
        </row>
        <row r="44">
          <cell r="J44" t="str">
            <v>Comentario Distribucion</v>
          </cell>
          <cell r="K44" t="str">
            <v>(Varios elementos)</v>
          </cell>
        </row>
        <row r="45">
          <cell r="J45" t="str">
            <v>Tipo venta</v>
          </cell>
          <cell r="K45" t="str">
            <v>EX</v>
          </cell>
        </row>
        <row r="47">
          <cell r="J47" t="str">
            <v>Ofinica</v>
          </cell>
          <cell r="K47" t="str">
            <v>Material</v>
          </cell>
          <cell r="L47" t="str">
            <v>Suma de Total Kilos</v>
          </cell>
          <cell r="M47"/>
        </row>
        <row r="48">
          <cell r="I48" t="str">
            <v>AGROSUPER SHANGHAI1022851</v>
          </cell>
          <cell r="J48" t="str">
            <v>AGROSUPER SHANGHAI</v>
          </cell>
          <cell r="K48">
            <v>1022851</v>
          </cell>
          <cell r="L48">
            <v>24000</v>
          </cell>
          <cell r="M48"/>
        </row>
        <row r="49">
          <cell r="J49" t="str">
            <v>Total general</v>
          </cell>
          <cell r="K49"/>
          <cell r="L49">
            <v>24000</v>
          </cell>
          <cell r="M49"/>
        </row>
        <row r="50">
          <cell r="J50"/>
          <cell r="K50"/>
          <cell r="L50"/>
          <cell r="M50"/>
        </row>
        <row r="51">
          <cell r="J51"/>
          <cell r="K51"/>
          <cell r="L51"/>
          <cell r="M51"/>
        </row>
        <row r="52">
          <cell r="J52"/>
          <cell r="K52"/>
          <cell r="L52"/>
          <cell r="M52"/>
        </row>
        <row r="53">
          <cell r="J53"/>
          <cell r="K53"/>
          <cell r="L53"/>
          <cell r="M53"/>
        </row>
        <row r="54">
          <cell r="J54"/>
          <cell r="K54"/>
          <cell r="L54"/>
          <cell r="M54"/>
        </row>
        <row r="55">
          <cell r="J55"/>
          <cell r="K55"/>
          <cell r="L55"/>
          <cell r="M55"/>
        </row>
        <row r="56">
          <cell r="J56"/>
          <cell r="K56"/>
          <cell r="L56"/>
          <cell r="M56"/>
        </row>
        <row r="57">
          <cell r="J57"/>
          <cell r="K57"/>
          <cell r="L57"/>
          <cell r="M57"/>
        </row>
        <row r="58">
          <cell r="J58"/>
          <cell r="K58"/>
          <cell r="L58"/>
          <cell r="M58"/>
        </row>
        <row r="59">
          <cell r="J59"/>
          <cell r="K59"/>
          <cell r="L59"/>
          <cell r="M59"/>
        </row>
        <row r="60">
          <cell r="J60"/>
          <cell r="K60"/>
          <cell r="L60"/>
          <cell r="M60"/>
        </row>
        <row r="61">
          <cell r="J61"/>
          <cell r="K61"/>
          <cell r="L61"/>
          <cell r="M61"/>
        </row>
        <row r="62">
          <cell r="J62"/>
          <cell r="K62"/>
          <cell r="L62"/>
          <cell r="M62"/>
        </row>
        <row r="63">
          <cell r="J63"/>
          <cell r="K63"/>
          <cell r="L63"/>
          <cell r="M63"/>
        </row>
        <row r="64">
          <cell r="J64"/>
          <cell r="K64"/>
          <cell r="L64"/>
          <cell r="M64"/>
        </row>
        <row r="65">
          <cell r="J65"/>
          <cell r="K65"/>
          <cell r="L65"/>
          <cell r="M65"/>
        </row>
        <row r="66">
          <cell r="J66"/>
          <cell r="K66"/>
          <cell r="L66"/>
          <cell r="M66"/>
        </row>
        <row r="67">
          <cell r="J67"/>
          <cell r="K67"/>
          <cell r="L67"/>
          <cell r="M67"/>
        </row>
        <row r="68">
          <cell r="J68"/>
          <cell r="K68"/>
          <cell r="L68"/>
          <cell r="M68"/>
        </row>
        <row r="69">
          <cell r="J69"/>
          <cell r="K69"/>
          <cell r="L69"/>
          <cell r="M69"/>
        </row>
        <row r="70">
          <cell r="J70"/>
          <cell r="K70"/>
          <cell r="L70"/>
          <cell r="M70"/>
        </row>
        <row r="71">
          <cell r="J71"/>
          <cell r="K71"/>
          <cell r="L71"/>
          <cell r="M71"/>
        </row>
        <row r="72">
          <cell r="J72"/>
          <cell r="K72"/>
          <cell r="L72"/>
          <cell r="M72"/>
        </row>
        <row r="73">
          <cell r="J73"/>
          <cell r="K73"/>
          <cell r="L73"/>
          <cell r="M73"/>
        </row>
        <row r="74">
          <cell r="J74"/>
          <cell r="K74"/>
          <cell r="L74"/>
          <cell r="M74"/>
        </row>
        <row r="75">
          <cell r="J75"/>
          <cell r="K75"/>
          <cell r="L75"/>
          <cell r="M75"/>
        </row>
        <row r="76">
          <cell r="J76"/>
          <cell r="K76"/>
          <cell r="L76"/>
          <cell r="M76"/>
        </row>
        <row r="77">
          <cell r="J77"/>
          <cell r="K77"/>
          <cell r="L77"/>
          <cell r="M77"/>
        </row>
        <row r="78">
          <cell r="J78"/>
          <cell r="K78"/>
          <cell r="L78"/>
          <cell r="M78"/>
        </row>
        <row r="79">
          <cell r="J79"/>
          <cell r="K79"/>
          <cell r="L79"/>
          <cell r="M79"/>
        </row>
        <row r="80">
          <cell r="J80"/>
          <cell r="K80"/>
          <cell r="L80"/>
          <cell r="M80"/>
        </row>
        <row r="81">
          <cell r="J81"/>
          <cell r="K81"/>
          <cell r="L81"/>
          <cell r="M81"/>
        </row>
        <row r="82">
          <cell r="J82"/>
          <cell r="K82"/>
          <cell r="L82"/>
          <cell r="M82"/>
        </row>
        <row r="83">
          <cell r="J83"/>
          <cell r="K83"/>
          <cell r="L83"/>
          <cell r="M83"/>
        </row>
        <row r="84">
          <cell r="J84"/>
          <cell r="K84"/>
          <cell r="L84"/>
          <cell r="M84"/>
        </row>
        <row r="85">
          <cell r="J85"/>
          <cell r="K85"/>
          <cell r="L85"/>
          <cell r="M85"/>
        </row>
        <row r="86">
          <cell r="J86"/>
          <cell r="K86"/>
          <cell r="L86"/>
          <cell r="M86"/>
        </row>
        <row r="87">
          <cell r="J87"/>
          <cell r="K87"/>
          <cell r="L87"/>
          <cell r="M87"/>
        </row>
        <row r="88">
          <cell r="J88"/>
          <cell r="K88"/>
          <cell r="L88"/>
          <cell r="M88"/>
        </row>
        <row r="89">
          <cell r="J89"/>
          <cell r="K89"/>
          <cell r="L89"/>
          <cell r="M89"/>
        </row>
        <row r="90">
          <cell r="J90"/>
          <cell r="K90"/>
          <cell r="L90"/>
          <cell r="M90"/>
        </row>
        <row r="91">
          <cell r="J91"/>
          <cell r="K91"/>
          <cell r="L91"/>
          <cell r="M91"/>
        </row>
        <row r="92">
          <cell r="J92"/>
          <cell r="K92"/>
          <cell r="L92"/>
          <cell r="M92"/>
        </row>
        <row r="93">
          <cell r="J93"/>
          <cell r="K93"/>
          <cell r="L93"/>
          <cell r="M93"/>
        </row>
        <row r="94">
          <cell r="J94"/>
          <cell r="K94"/>
          <cell r="L94"/>
          <cell r="M94"/>
        </row>
        <row r="95">
          <cell r="J95"/>
          <cell r="K95"/>
          <cell r="L95"/>
          <cell r="M95"/>
        </row>
        <row r="96">
          <cell r="J96"/>
          <cell r="K96"/>
          <cell r="L96"/>
          <cell r="M96"/>
        </row>
        <row r="97">
          <cell r="J97"/>
          <cell r="K97"/>
          <cell r="L97"/>
          <cell r="M97"/>
        </row>
        <row r="98">
          <cell r="J98"/>
          <cell r="K98"/>
          <cell r="L98"/>
          <cell r="M98"/>
        </row>
        <row r="99">
          <cell r="J99"/>
          <cell r="K99"/>
          <cell r="L99"/>
          <cell r="M99"/>
        </row>
        <row r="100">
          <cell r="J100"/>
          <cell r="K100"/>
          <cell r="L100"/>
          <cell r="M100"/>
        </row>
        <row r="101">
          <cell r="J101"/>
          <cell r="K101"/>
          <cell r="L101"/>
          <cell r="M101"/>
        </row>
        <row r="102">
          <cell r="J102"/>
          <cell r="K102"/>
          <cell r="L102"/>
          <cell r="M102"/>
        </row>
        <row r="103">
          <cell r="J103"/>
          <cell r="K103"/>
          <cell r="L103"/>
          <cell r="M103"/>
        </row>
        <row r="104">
          <cell r="J104"/>
          <cell r="K104"/>
          <cell r="L104"/>
          <cell r="M104"/>
        </row>
        <row r="105">
          <cell r="J105"/>
          <cell r="K105"/>
          <cell r="L105"/>
          <cell r="M105"/>
        </row>
        <row r="106">
          <cell r="J106"/>
          <cell r="K106"/>
          <cell r="L106"/>
          <cell r="M106"/>
        </row>
        <row r="107">
          <cell r="J107"/>
          <cell r="K107"/>
          <cell r="L107"/>
          <cell r="M107"/>
        </row>
        <row r="108">
          <cell r="J108"/>
          <cell r="K108"/>
          <cell r="L108"/>
          <cell r="M108"/>
        </row>
        <row r="109">
          <cell r="J109"/>
          <cell r="K109"/>
          <cell r="L109"/>
          <cell r="M109"/>
        </row>
        <row r="110">
          <cell r="J110"/>
          <cell r="K110"/>
          <cell r="L110"/>
          <cell r="M110"/>
        </row>
        <row r="111">
          <cell r="J111"/>
          <cell r="K111"/>
          <cell r="L111"/>
          <cell r="M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J164"/>
          <cell r="K164"/>
        </row>
      </sheetData>
      <sheetData sheetId="3"/>
      <sheetData sheetId="4"/>
      <sheetData sheetId="5"/>
      <sheetData sheetId="6"/>
      <sheetData sheetId="7">
        <row r="1">
          <cell r="B1" t="str">
            <v>Sumar Puerto Agosto</v>
          </cell>
        </row>
        <row r="2">
          <cell r="A2" t="str">
            <v>Tipo de venta</v>
          </cell>
          <cell r="B2" t="str">
            <v>EX</v>
          </cell>
        </row>
        <row r="3">
          <cell r="A3" t="str">
            <v>ETD</v>
          </cell>
          <cell r="B3" t="str">
            <v>(Todas)</v>
          </cell>
        </row>
        <row r="4">
          <cell r="A4" t="str">
            <v>Mes Zarpe</v>
          </cell>
          <cell r="B4">
            <v>8</v>
          </cell>
        </row>
        <row r="5">
          <cell r="A5" t="str">
            <v>Oficina</v>
          </cell>
          <cell r="B5" t="str">
            <v>(Todas)</v>
          </cell>
        </row>
        <row r="6">
          <cell r="A6" t="str">
            <v>Considerar</v>
          </cell>
          <cell r="B6" t="str">
            <v>No Considerado</v>
          </cell>
        </row>
        <row r="8">
          <cell r="A8" t="str">
            <v>Suma de Kilos</v>
          </cell>
          <cell r="B8" t="str">
            <v>Ubicación (puerto / Planta)</v>
          </cell>
        </row>
        <row r="9">
          <cell r="A9" t="str">
            <v>Oficina Material</v>
          </cell>
          <cell r="B9" t="str">
            <v>Planta</v>
          </cell>
          <cell r="C9" t="str">
            <v>Puerto</v>
          </cell>
          <cell r="D9" t="str">
            <v>Total general</v>
          </cell>
        </row>
        <row r="10">
          <cell r="A10" t="str">
            <v>AGROSUPER ASIA1012612</v>
          </cell>
          <cell r="B10">
            <v>48773.36</v>
          </cell>
          <cell r="C10">
            <v>321551.14</v>
          </cell>
          <cell r="D10">
            <v>370324.5</v>
          </cell>
        </row>
        <row r="11">
          <cell r="A11" t="str">
            <v>AGROSUPER SHANGHAI1022417</v>
          </cell>
          <cell r="B11"/>
          <cell r="C11">
            <v>25000</v>
          </cell>
          <cell r="D11">
            <v>25000</v>
          </cell>
        </row>
        <row r="12">
          <cell r="A12" t="str">
            <v>AGROSUPER SHANGHAI1022945</v>
          </cell>
          <cell r="B12"/>
          <cell r="C12">
            <v>24080</v>
          </cell>
          <cell r="D12">
            <v>24080</v>
          </cell>
        </row>
        <row r="13">
          <cell r="A13" t="str">
            <v>AGROSUPER SHANGHAI1022856</v>
          </cell>
          <cell r="B13">
            <v>48000</v>
          </cell>
          <cell r="C13"/>
          <cell r="D13">
            <v>48000</v>
          </cell>
        </row>
        <row r="14">
          <cell r="A14" t="str">
            <v>AGROSUPER ASIA1022930</v>
          </cell>
          <cell r="B14"/>
          <cell r="C14">
            <v>44031.5</v>
          </cell>
          <cell r="D14">
            <v>44031.5</v>
          </cell>
        </row>
        <row r="15">
          <cell r="A15" t="str">
            <v>AGROSUPER ASIA1022885</v>
          </cell>
          <cell r="B15">
            <v>22000</v>
          </cell>
          <cell r="C15">
            <v>44004.15</v>
          </cell>
          <cell r="D15">
            <v>66004.149999999994</v>
          </cell>
        </row>
        <row r="16">
          <cell r="A16" t="str">
            <v>AGROSUPER ASIA1020861</v>
          </cell>
          <cell r="B16">
            <v>22000</v>
          </cell>
          <cell r="C16"/>
          <cell r="D16">
            <v>22000</v>
          </cell>
        </row>
        <row r="17">
          <cell r="A17" t="str">
            <v>AGROSUPER ASIA1023038</v>
          </cell>
          <cell r="B17"/>
          <cell r="C17">
            <v>22010.71</v>
          </cell>
          <cell r="D17">
            <v>22010.71</v>
          </cell>
        </row>
        <row r="18">
          <cell r="A18" t="str">
            <v>AGROSUPER SHANGHAI1022637</v>
          </cell>
          <cell r="B18"/>
          <cell r="C18">
            <v>21210</v>
          </cell>
          <cell r="D18">
            <v>21210</v>
          </cell>
        </row>
        <row r="25">
          <cell r="A25" t="str">
            <v>Oficina</v>
          </cell>
          <cell r="B25" t="str">
            <v>(Todas)</v>
          </cell>
          <cell r="C25"/>
          <cell r="D25"/>
        </row>
        <row r="26">
          <cell r="A26" t="str">
            <v>Meses</v>
          </cell>
          <cell r="B26" t="str">
            <v>(Todas)</v>
          </cell>
          <cell r="C26"/>
          <cell r="D26"/>
        </row>
        <row r="27">
          <cell r="A27" t="str">
            <v>Nave</v>
          </cell>
          <cell r="B27" t="str">
            <v>(Varios elementos)</v>
          </cell>
          <cell r="C27"/>
          <cell r="D27"/>
        </row>
        <row r="28">
          <cell r="A28" t="str">
            <v>ETD</v>
          </cell>
          <cell r="B28" t="str">
            <v>(Todas)</v>
          </cell>
          <cell r="C28"/>
          <cell r="D28"/>
        </row>
        <row r="29">
          <cell r="A29" t="str">
            <v>Tipo de venta</v>
          </cell>
          <cell r="B29" t="str">
            <v>EX</v>
          </cell>
          <cell r="C29"/>
          <cell r="D29"/>
        </row>
        <row r="30">
          <cell r="A30" t="str">
            <v>Mes Zarpe</v>
          </cell>
          <cell r="B30">
            <v>7</v>
          </cell>
          <cell r="C30"/>
          <cell r="D30"/>
        </row>
        <row r="31">
          <cell r="A31" t="str">
            <v>Considerar</v>
          </cell>
          <cell r="B31" t="str">
            <v>No Considerado</v>
          </cell>
          <cell r="C31"/>
          <cell r="D31"/>
        </row>
        <row r="33">
          <cell r="A33" t="str">
            <v>Suma de Kilos</v>
          </cell>
          <cell r="B33" t="str">
            <v>Ubicación (puerto / Planta)</v>
          </cell>
        </row>
        <row r="34">
          <cell r="A34" t="str">
            <v>Oficina Material</v>
          </cell>
          <cell r="B34" t="str">
            <v>Planta</v>
          </cell>
          <cell r="C34" t="str">
            <v>Puerto</v>
          </cell>
          <cell r="D34" t="str">
            <v>Total general</v>
          </cell>
        </row>
        <row r="35">
          <cell r="A35" t="str">
            <v>AGRO MEXICO1012764</v>
          </cell>
          <cell r="B35"/>
          <cell r="C35">
            <v>23989.05</v>
          </cell>
          <cell r="D35">
            <v>23989.05</v>
          </cell>
        </row>
        <row r="36">
          <cell r="A36" t="str">
            <v>AGRO SUDAMERICA1011421</v>
          </cell>
          <cell r="B36">
            <v>24000</v>
          </cell>
          <cell r="C36"/>
          <cell r="D36">
            <v>24000</v>
          </cell>
        </row>
        <row r="37">
          <cell r="A37" t="str">
            <v>AGRO SUDAMERICA1020352</v>
          </cell>
          <cell r="B37"/>
          <cell r="C37">
            <v>47966.82</v>
          </cell>
          <cell r="D37">
            <v>47966.82</v>
          </cell>
        </row>
        <row r="38">
          <cell r="A38" t="str">
            <v>AGRO SUDAMERICA1021039</v>
          </cell>
          <cell r="B38">
            <v>2039</v>
          </cell>
          <cell r="C38"/>
          <cell r="D38">
            <v>2039</v>
          </cell>
        </row>
        <row r="39">
          <cell r="A39" t="str">
            <v>AGRO SUDAMERICA1021864</v>
          </cell>
          <cell r="B39">
            <v>21961</v>
          </cell>
          <cell r="C39"/>
          <cell r="D39">
            <v>21961</v>
          </cell>
        </row>
        <row r="40">
          <cell r="A40" t="str">
            <v>AGRO SUDAMERICA1022150</v>
          </cell>
          <cell r="B40"/>
          <cell r="C40">
            <v>23989.89</v>
          </cell>
          <cell r="D40">
            <v>23989.89</v>
          </cell>
        </row>
        <row r="41">
          <cell r="A41" t="str">
            <v>AGRO SUDAMERICA1022709</v>
          </cell>
          <cell r="B41"/>
          <cell r="C41">
            <v>23991.64</v>
          </cell>
          <cell r="D41">
            <v>23991.64</v>
          </cell>
        </row>
        <row r="42">
          <cell r="A42" t="str">
            <v>AGRO SUDAMERICA1022781</v>
          </cell>
          <cell r="B42">
            <v>6120</v>
          </cell>
          <cell r="C42"/>
          <cell r="D42">
            <v>6120</v>
          </cell>
        </row>
        <row r="43">
          <cell r="A43" t="str">
            <v>AGROSUPER ASIA1023372</v>
          </cell>
          <cell r="B43">
            <v>24000</v>
          </cell>
          <cell r="C43"/>
          <cell r="D43">
            <v>24000</v>
          </cell>
        </row>
        <row r="47">
          <cell r="A47" t="str">
            <v>AGROSUPER ASIA1012612</v>
          </cell>
        </row>
        <row r="48">
          <cell r="A48" t="str">
            <v>AGROSUPER SHANGHAI1022417</v>
          </cell>
        </row>
        <row r="49">
          <cell r="A49" t="str">
            <v>AGROSUPER SHANGHAI1022945</v>
          </cell>
        </row>
        <row r="50">
          <cell r="A50" t="str">
            <v>AGROSUPER SHANGHAI1022856</v>
          </cell>
        </row>
        <row r="51">
          <cell r="A51" t="str">
            <v>AGROSUPER ASIA1022930</v>
          </cell>
        </row>
        <row r="52">
          <cell r="A52" t="str">
            <v>AGROSUPER ASIA1022885</v>
          </cell>
        </row>
        <row r="53">
          <cell r="A53" t="str">
            <v>AGROSUPER ASIA1020861</v>
          </cell>
        </row>
        <row r="54">
          <cell r="A54" t="str">
            <v>AGROSUPER ASIA1023038</v>
          </cell>
        </row>
        <row r="55">
          <cell r="A55" t="str">
            <v>AGROSUPER SHANGHAI1022637</v>
          </cell>
        </row>
      </sheetData>
      <sheetData sheetId="8"/>
      <sheetData sheetId="9"/>
      <sheetData sheetId="10">
        <row r="1">
          <cell r="G1" t="str">
            <v>Suma de KGS</v>
          </cell>
          <cell r="H1" t="str">
            <v>Etiquetas de columna</v>
          </cell>
        </row>
        <row r="2">
          <cell r="G2" t="str">
            <v>Etiquetas de fila</v>
          </cell>
          <cell r="H2" t="str">
            <v>LU</v>
          </cell>
          <cell r="I2" t="str">
            <v>Congelado</v>
          </cell>
          <cell r="J2" t="str">
            <v>(en blanco)</v>
          </cell>
          <cell r="K2" t="str">
            <v>Total general</v>
          </cell>
        </row>
        <row r="3">
          <cell r="G3">
            <v>1010002</v>
          </cell>
          <cell r="H3"/>
          <cell r="I3">
            <v>211</v>
          </cell>
          <cell r="J3"/>
          <cell r="K3">
            <v>211</v>
          </cell>
        </row>
        <row r="4">
          <cell r="G4">
            <v>1010048</v>
          </cell>
          <cell r="H4"/>
          <cell r="I4">
            <v>222</v>
          </cell>
          <cell r="J4"/>
          <cell r="K4">
            <v>222</v>
          </cell>
        </row>
        <row r="5">
          <cell r="G5">
            <v>1010078</v>
          </cell>
          <cell r="H5"/>
          <cell r="I5">
            <v>221</v>
          </cell>
          <cell r="J5"/>
          <cell r="K5">
            <v>221</v>
          </cell>
        </row>
        <row r="6">
          <cell r="G6">
            <v>1010143</v>
          </cell>
          <cell r="H6">
            <v>43950</v>
          </cell>
          <cell r="I6">
            <v>2500</v>
          </cell>
          <cell r="J6"/>
          <cell r="K6">
            <v>46450</v>
          </cell>
        </row>
        <row r="7">
          <cell r="G7">
            <v>1010176</v>
          </cell>
          <cell r="H7">
            <v>4864</v>
          </cell>
          <cell r="I7"/>
          <cell r="J7"/>
          <cell r="K7">
            <v>4864</v>
          </cell>
        </row>
        <row r="8">
          <cell r="G8">
            <v>1010204</v>
          </cell>
          <cell r="H8">
            <v>7671</v>
          </cell>
          <cell r="I8"/>
          <cell r="J8"/>
          <cell r="K8">
            <v>7671</v>
          </cell>
        </row>
        <row r="9">
          <cell r="G9">
            <v>1010291</v>
          </cell>
          <cell r="H9">
            <v>10575</v>
          </cell>
          <cell r="I9">
            <v>583</v>
          </cell>
          <cell r="J9"/>
          <cell r="K9">
            <v>11158</v>
          </cell>
        </row>
        <row r="10">
          <cell r="G10">
            <v>1010431</v>
          </cell>
          <cell r="H10">
            <v>58347</v>
          </cell>
          <cell r="I10"/>
          <cell r="J10"/>
          <cell r="K10">
            <v>58347</v>
          </cell>
        </row>
        <row r="11">
          <cell r="G11">
            <v>1010695</v>
          </cell>
          <cell r="H11"/>
          <cell r="I11">
            <v>1085</v>
          </cell>
          <cell r="J11"/>
          <cell r="K11">
            <v>1085</v>
          </cell>
        </row>
        <row r="12">
          <cell r="G12">
            <v>1010792</v>
          </cell>
          <cell r="H12">
            <v>15702</v>
          </cell>
          <cell r="I12"/>
          <cell r="J12"/>
          <cell r="K12">
            <v>15702</v>
          </cell>
        </row>
        <row r="13">
          <cell r="G13">
            <v>1010877</v>
          </cell>
          <cell r="H13">
            <v>32170</v>
          </cell>
          <cell r="I13"/>
          <cell r="J13"/>
          <cell r="K13">
            <v>32170</v>
          </cell>
        </row>
        <row r="14">
          <cell r="G14">
            <v>1010885</v>
          </cell>
          <cell r="H14">
            <v>172</v>
          </cell>
          <cell r="I14"/>
          <cell r="J14"/>
          <cell r="K14">
            <v>172</v>
          </cell>
        </row>
        <row r="15">
          <cell r="G15">
            <v>1010888</v>
          </cell>
          <cell r="H15">
            <v>771</v>
          </cell>
          <cell r="I15"/>
          <cell r="J15"/>
          <cell r="K15">
            <v>771</v>
          </cell>
        </row>
        <row r="16">
          <cell r="G16">
            <v>1011042</v>
          </cell>
          <cell r="H16">
            <v>68140</v>
          </cell>
          <cell r="I16">
            <v>20</v>
          </cell>
          <cell r="J16"/>
          <cell r="K16">
            <v>68160</v>
          </cell>
        </row>
        <row r="17">
          <cell r="G17">
            <v>1011047</v>
          </cell>
          <cell r="H17">
            <v>60</v>
          </cell>
          <cell r="I17"/>
          <cell r="J17"/>
          <cell r="K17">
            <v>60</v>
          </cell>
        </row>
        <row r="18">
          <cell r="G18">
            <v>1011105</v>
          </cell>
          <cell r="H18">
            <v>9868</v>
          </cell>
          <cell r="I18"/>
          <cell r="J18"/>
          <cell r="K18">
            <v>9868</v>
          </cell>
        </row>
        <row r="19">
          <cell r="G19">
            <v>1011127</v>
          </cell>
          <cell r="H19">
            <v>113940</v>
          </cell>
          <cell r="I19">
            <v>10</v>
          </cell>
          <cell r="J19"/>
          <cell r="K19">
            <v>113950</v>
          </cell>
        </row>
        <row r="20">
          <cell r="G20">
            <v>1011138</v>
          </cell>
          <cell r="H20">
            <v>3237</v>
          </cell>
          <cell r="I20"/>
          <cell r="J20"/>
          <cell r="K20">
            <v>3237</v>
          </cell>
        </row>
        <row r="21">
          <cell r="G21">
            <v>1011139</v>
          </cell>
          <cell r="H21">
            <v>45628</v>
          </cell>
          <cell r="I21"/>
          <cell r="J21"/>
          <cell r="K21">
            <v>45628</v>
          </cell>
        </row>
        <row r="22">
          <cell r="G22">
            <v>1011140</v>
          </cell>
          <cell r="H22">
            <v>25891</v>
          </cell>
          <cell r="I22"/>
          <cell r="J22"/>
          <cell r="K22">
            <v>25891</v>
          </cell>
        </row>
        <row r="23">
          <cell r="G23">
            <v>1011141</v>
          </cell>
          <cell r="H23">
            <v>7854</v>
          </cell>
          <cell r="I23"/>
          <cell r="J23"/>
          <cell r="K23">
            <v>7854</v>
          </cell>
        </row>
        <row r="24">
          <cell r="G24">
            <v>1011142</v>
          </cell>
          <cell r="H24">
            <v>27370</v>
          </cell>
          <cell r="I24"/>
          <cell r="J24"/>
          <cell r="K24">
            <v>27370</v>
          </cell>
        </row>
        <row r="25">
          <cell r="G25">
            <v>1011143</v>
          </cell>
          <cell r="H25">
            <v>310</v>
          </cell>
          <cell r="I25"/>
          <cell r="J25"/>
          <cell r="K25">
            <v>310</v>
          </cell>
        </row>
        <row r="26">
          <cell r="G26">
            <v>1011144</v>
          </cell>
          <cell r="H26">
            <v>27755</v>
          </cell>
          <cell r="I26"/>
          <cell r="J26"/>
          <cell r="K26">
            <v>27755</v>
          </cell>
        </row>
        <row r="27">
          <cell r="G27">
            <v>1011145</v>
          </cell>
          <cell r="H27">
            <v>3274</v>
          </cell>
          <cell r="I27"/>
          <cell r="J27"/>
          <cell r="K27">
            <v>3274</v>
          </cell>
        </row>
        <row r="28">
          <cell r="G28">
            <v>1011146</v>
          </cell>
          <cell r="H28">
            <v>25070</v>
          </cell>
          <cell r="I28"/>
          <cell r="J28"/>
          <cell r="K28">
            <v>25070</v>
          </cell>
        </row>
        <row r="29">
          <cell r="G29">
            <v>1011150</v>
          </cell>
          <cell r="H29">
            <v>17316</v>
          </cell>
          <cell r="I29"/>
          <cell r="J29"/>
          <cell r="K29">
            <v>17316</v>
          </cell>
        </row>
        <row r="30">
          <cell r="G30">
            <v>1011156</v>
          </cell>
          <cell r="H30">
            <v>583</v>
          </cell>
          <cell r="I30"/>
          <cell r="J30"/>
          <cell r="K30">
            <v>583</v>
          </cell>
        </row>
        <row r="31">
          <cell r="G31">
            <v>1011157</v>
          </cell>
          <cell r="H31">
            <v>902</v>
          </cell>
          <cell r="I31"/>
          <cell r="J31"/>
          <cell r="K31">
            <v>902</v>
          </cell>
        </row>
        <row r="32">
          <cell r="G32">
            <v>1011250</v>
          </cell>
          <cell r="H32">
            <v>1651</v>
          </cell>
          <cell r="I32"/>
          <cell r="J32"/>
          <cell r="K32">
            <v>1651</v>
          </cell>
        </row>
        <row r="33">
          <cell r="G33">
            <v>1011258</v>
          </cell>
          <cell r="H33">
            <v>2119</v>
          </cell>
          <cell r="I33"/>
          <cell r="J33"/>
          <cell r="K33">
            <v>2119</v>
          </cell>
        </row>
        <row r="34">
          <cell r="G34">
            <v>1011330</v>
          </cell>
          <cell r="H34">
            <v>13447</v>
          </cell>
          <cell r="I34"/>
          <cell r="J34"/>
          <cell r="K34">
            <v>13447</v>
          </cell>
        </row>
        <row r="35">
          <cell r="G35">
            <v>1011331</v>
          </cell>
          <cell r="H35">
            <v>13748</v>
          </cell>
          <cell r="I35"/>
          <cell r="J35"/>
          <cell r="K35">
            <v>13748</v>
          </cell>
        </row>
        <row r="36">
          <cell r="G36">
            <v>1011364</v>
          </cell>
          <cell r="H36">
            <v>894</v>
          </cell>
          <cell r="I36"/>
          <cell r="J36"/>
          <cell r="K36">
            <v>894</v>
          </cell>
        </row>
        <row r="37">
          <cell r="G37">
            <v>1011421</v>
          </cell>
          <cell r="H37">
            <v>219393</v>
          </cell>
          <cell r="I37"/>
          <cell r="J37"/>
          <cell r="K37">
            <v>219393</v>
          </cell>
        </row>
        <row r="38">
          <cell r="G38">
            <v>1011558</v>
          </cell>
          <cell r="H38">
            <v>363093</v>
          </cell>
          <cell r="I38">
            <v>18</v>
          </cell>
          <cell r="J38"/>
          <cell r="K38">
            <v>363111</v>
          </cell>
        </row>
        <row r="39">
          <cell r="G39">
            <v>1011560</v>
          </cell>
          <cell r="H39">
            <v>14328</v>
          </cell>
          <cell r="I39"/>
          <cell r="J39"/>
          <cell r="K39">
            <v>14328</v>
          </cell>
        </row>
        <row r="40">
          <cell r="G40">
            <v>1011564</v>
          </cell>
          <cell r="H40">
            <v>1008</v>
          </cell>
          <cell r="I40"/>
          <cell r="J40"/>
          <cell r="K40">
            <v>1008</v>
          </cell>
        </row>
        <row r="41">
          <cell r="G41">
            <v>1011565</v>
          </cell>
          <cell r="H41">
            <v>1080</v>
          </cell>
          <cell r="I41"/>
          <cell r="J41"/>
          <cell r="K41">
            <v>1080</v>
          </cell>
        </row>
        <row r="42">
          <cell r="G42">
            <v>1011582</v>
          </cell>
          <cell r="H42">
            <v>15</v>
          </cell>
          <cell r="I42"/>
          <cell r="J42"/>
          <cell r="K42">
            <v>15</v>
          </cell>
        </row>
        <row r="43">
          <cell r="G43">
            <v>1011586</v>
          </cell>
          <cell r="H43">
            <v>34412</v>
          </cell>
          <cell r="I43">
            <v>18</v>
          </cell>
          <cell r="J43"/>
          <cell r="K43">
            <v>34430</v>
          </cell>
        </row>
        <row r="44">
          <cell r="G44">
            <v>1011614</v>
          </cell>
          <cell r="H44">
            <v>18</v>
          </cell>
          <cell r="I44">
            <v>925</v>
          </cell>
          <cell r="J44"/>
          <cell r="K44">
            <v>943</v>
          </cell>
        </row>
        <row r="45">
          <cell r="G45">
            <v>1011626</v>
          </cell>
          <cell r="H45">
            <v>11894</v>
          </cell>
          <cell r="I45"/>
          <cell r="J45"/>
          <cell r="K45">
            <v>11894</v>
          </cell>
        </row>
        <row r="46">
          <cell r="G46">
            <v>1011627</v>
          </cell>
          <cell r="H46">
            <v>7002</v>
          </cell>
          <cell r="I46"/>
          <cell r="J46"/>
          <cell r="K46">
            <v>7002</v>
          </cell>
        </row>
        <row r="47">
          <cell r="G47">
            <v>1011629</v>
          </cell>
          <cell r="H47">
            <v>3878</v>
          </cell>
          <cell r="I47"/>
          <cell r="J47"/>
          <cell r="K47">
            <v>3878</v>
          </cell>
        </row>
        <row r="48">
          <cell r="G48">
            <v>1011632</v>
          </cell>
          <cell r="H48">
            <v>792</v>
          </cell>
          <cell r="I48"/>
          <cell r="J48"/>
          <cell r="K48">
            <v>792</v>
          </cell>
        </row>
        <row r="49">
          <cell r="G49">
            <v>1011638</v>
          </cell>
          <cell r="H49">
            <v>2362</v>
          </cell>
          <cell r="I49"/>
          <cell r="J49"/>
          <cell r="K49">
            <v>2362</v>
          </cell>
        </row>
        <row r="50">
          <cell r="G50">
            <v>1011672</v>
          </cell>
          <cell r="H50">
            <v>17008</v>
          </cell>
          <cell r="I50"/>
          <cell r="J50"/>
          <cell r="K50">
            <v>17008</v>
          </cell>
        </row>
        <row r="51">
          <cell r="G51">
            <v>1011678</v>
          </cell>
          <cell r="H51">
            <v>936</v>
          </cell>
          <cell r="I51"/>
          <cell r="J51"/>
          <cell r="K51">
            <v>936</v>
          </cell>
        </row>
        <row r="52">
          <cell r="G52">
            <v>1011680</v>
          </cell>
          <cell r="H52">
            <v>17334</v>
          </cell>
          <cell r="I52"/>
          <cell r="J52"/>
          <cell r="K52">
            <v>17334</v>
          </cell>
        </row>
        <row r="53">
          <cell r="G53">
            <v>1011697</v>
          </cell>
          <cell r="H53">
            <v>4018</v>
          </cell>
          <cell r="I53"/>
          <cell r="J53"/>
          <cell r="K53">
            <v>4018</v>
          </cell>
        </row>
        <row r="54">
          <cell r="G54">
            <v>1011700</v>
          </cell>
          <cell r="H54">
            <v>810</v>
          </cell>
          <cell r="I54"/>
          <cell r="J54"/>
          <cell r="K54">
            <v>810</v>
          </cell>
        </row>
        <row r="55">
          <cell r="G55">
            <v>1011701</v>
          </cell>
          <cell r="H55">
            <v>65</v>
          </cell>
          <cell r="I55"/>
          <cell r="J55"/>
          <cell r="K55">
            <v>65</v>
          </cell>
        </row>
        <row r="56">
          <cell r="G56">
            <v>1011748</v>
          </cell>
          <cell r="H56">
            <v>168530</v>
          </cell>
          <cell r="I56"/>
          <cell r="J56"/>
          <cell r="K56">
            <v>168530</v>
          </cell>
        </row>
        <row r="57">
          <cell r="G57">
            <v>1011770</v>
          </cell>
          <cell r="H57">
            <v>5087</v>
          </cell>
          <cell r="I57"/>
          <cell r="J57"/>
          <cell r="K57">
            <v>5087</v>
          </cell>
        </row>
        <row r="58">
          <cell r="G58">
            <v>1011897</v>
          </cell>
          <cell r="H58">
            <v>5164</v>
          </cell>
          <cell r="I58"/>
          <cell r="J58"/>
          <cell r="K58">
            <v>5164</v>
          </cell>
        </row>
        <row r="59">
          <cell r="G59">
            <v>1011967</v>
          </cell>
          <cell r="H59">
            <v>1520</v>
          </cell>
          <cell r="I59"/>
          <cell r="J59"/>
          <cell r="K59">
            <v>1520</v>
          </cell>
        </row>
        <row r="60">
          <cell r="G60">
            <v>1011968</v>
          </cell>
          <cell r="H60">
            <v>10320</v>
          </cell>
          <cell r="I60"/>
          <cell r="J60"/>
          <cell r="K60">
            <v>10320</v>
          </cell>
        </row>
        <row r="61">
          <cell r="G61">
            <v>1011969</v>
          </cell>
          <cell r="H61">
            <v>9000</v>
          </cell>
          <cell r="I61"/>
          <cell r="J61"/>
          <cell r="K61">
            <v>9000</v>
          </cell>
        </row>
        <row r="62">
          <cell r="G62">
            <v>1012005</v>
          </cell>
          <cell r="H62">
            <v>8168</v>
          </cell>
          <cell r="I62"/>
          <cell r="J62"/>
          <cell r="K62">
            <v>8168</v>
          </cell>
        </row>
        <row r="63">
          <cell r="G63">
            <v>1012012</v>
          </cell>
          <cell r="H63">
            <v>23554</v>
          </cell>
          <cell r="I63"/>
          <cell r="J63"/>
          <cell r="K63">
            <v>23554</v>
          </cell>
        </row>
        <row r="64">
          <cell r="G64">
            <v>1012014</v>
          </cell>
          <cell r="H64">
            <v>6690</v>
          </cell>
          <cell r="I64"/>
          <cell r="J64"/>
          <cell r="K64">
            <v>6690</v>
          </cell>
        </row>
        <row r="65">
          <cell r="G65">
            <v>1012017</v>
          </cell>
          <cell r="H65">
            <v>31928</v>
          </cell>
          <cell r="I65"/>
          <cell r="J65"/>
          <cell r="K65">
            <v>31928</v>
          </cell>
        </row>
        <row r="66">
          <cell r="G66">
            <v>1012018</v>
          </cell>
          <cell r="H66">
            <v>41441</v>
          </cell>
          <cell r="I66"/>
          <cell r="J66"/>
          <cell r="K66">
            <v>41441</v>
          </cell>
        </row>
        <row r="67">
          <cell r="G67">
            <v>1012038</v>
          </cell>
          <cell r="H67">
            <v>136</v>
          </cell>
          <cell r="I67"/>
          <cell r="J67"/>
          <cell r="K67">
            <v>136</v>
          </cell>
        </row>
        <row r="68">
          <cell r="G68">
            <v>1012058</v>
          </cell>
          <cell r="H68">
            <v>85</v>
          </cell>
          <cell r="I68"/>
          <cell r="J68"/>
          <cell r="K68">
            <v>85</v>
          </cell>
        </row>
        <row r="69">
          <cell r="G69">
            <v>1012059</v>
          </cell>
          <cell r="H69">
            <v>1206</v>
          </cell>
          <cell r="I69"/>
          <cell r="J69"/>
          <cell r="K69">
            <v>1206</v>
          </cell>
        </row>
        <row r="70">
          <cell r="G70">
            <v>1012107</v>
          </cell>
          <cell r="H70">
            <v>22136</v>
          </cell>
          <cell r="I70"/>
          <cell r="J70"/>
          <cell r="K70">
            <v>22136</v>
          </cell>
        </row>
        <row r="71">
          <cell r="G71">
            <v>1012108</v>
          </cell>
          <cell r="H71">
            <v>20049</v>
          </cell>
          <cell r="I71"/>
          <cell r="J71"/>
          <cell r="K71">
            <v>20049</v>
          </cell>
        </row>
        <row r="72">
          <cell r="G72">
            <v>1012109</v>
          </cell>
          <cell r="H72">
            <v>59313</v>
          </cell>
          <cell r="I72">
            <v>18</v>
          </cell>
          <cell r="J72"/>
          <cell r="K72">
            <v>59331</v>
          </cell>
        </row>
        <row r="73">
          <cell r="G73">
            <v>1012110</v>
          </cell>
          <cell r="H73">
            <v>16475</v>
          </cell>
          <cell r="I73"/>
          <cell r="J73"/>
          <cell r="K73">
            <v>16475</v>
          </cell>
        </row>
        <row r="74">
          <cell r="G74">
            <v>1012111</v>
          </cell>
          <cell r="H74">
            <v>236</v>
          </cell>
          <cell r="I74"/>
          <cell r="J74"/>
          <cell r="K74">
            <v>236</v>
          </cell>
        </row>
        <row r="75">
          <cell r="G75">
            <v>1012112</v>
          </cell>
          <cell r="H75">
            <v>3901</v>
          </cell>
          <cell r="I75"/>
          <cell r="J75"/>
          <cell r="K75">
            <v>3901</v>
          </cell>
        </row>
        <row r="76">
          <cell r="G76">
            <v>1012115</v>
          </cell>
          <cell r="H76">
            <v>281</v>
          </cell>
          <cell r="I76"/>
          <cell r="J76"/>
          <cell r="K76">
            <v>281</v>
          </cell>
        </row>
        <row r="77">
          <cell r="G77">
            <v>1012145</v>
          </cell>
          <cell r="H77">
            <v>20388</v>
          </cell>
          <cell r="I77"/>
          <cell r="J77"/>
          <cell r="K77">
            <v>20388</v>
          </cell>
        </row>
        <row r="78">
          <cell r="G78">
            <v>1012147</v>
          </cell>
          <cell r="H78">
            <v>26769</v>
          </cell>
          <cell r="I78"/>
          <cell r="J78"/>
          <cell r="K78">
            <v>26769</v>
          </cell>
        </row>
        <row r="79">
          <cell r="G79">
            <v>1012148</v>
          </cell>
          <cell r="H79">
            <v>24735</v>
          </cell>
          <cell r="I79"/>
          <cell r="J79"/>
          <cell r="K79">
            <v>24735</v>
          </cell>
        </row>
        <row r="80">
          <cell r="G80">
            <v>1012157</v>
          </cell>
          <cell r="H80">
            <v>19505</v>
          </cell>
          <cell r="I80"/>
          <cell r="J80"/>
          <cell r="K80">
            <v>19505</v>
          </cell>
        </row>
        <row r="81">
          <cell r="G81">
            <v>1012158</v>
          </cell>
          <cell r="H81">
            <v>24767</v>
          </cell>
          <cell r="I81"/>
          <cell r="J81"/>
          <cell r="K81">
            <v>24767</v>
          </cell>
        </row>
        <row r="82">
          <cell r="G82">
            <v>1012159</v>
          </cell>
          <cell r="H82">
            <v>102423</v>
          </cell>
          <cell r="I82"/>
          <cell r="J82"/>
          <cell r="K82">
            <v>102423</v>
          </cell>
        </row>
        <row r="83">
          <cell r="G83">
            <v>1012160</v>
          </cell>
          <cell r="H83">
            <v>2703</v>
          </cell>
          <cell r="I83"/>
          <cell r="J83"/>
          <cell r="K83">
            <v>2703</v>
          </cell>
        </row>
        <row r="84">
          <cell r="G84">
            <v>1012161</v>
          </cell>
          <cell r="H84">
            <v>34401</v>
          </cell>
          <cell r="I84"/>
          <cell r="J84"/>
          <cell r="K84">
            <v>34401</v>
          </cell>
        </row>
        <row r="85">
          <cell r="G85">
            <v>1012163</v>
          </cell>
          <cell r="H85">
            <v>11104</v>
          </cell>
          <cell r="I85">
            <v>18</v>
          </cell>
          <cell r="J85"/>
          <cell r="K85">
            <v>11122</v>
          </cell>
        </row>
        <row r="86">
          <cell r="G86">
            <v>1012164</v>
          </cell>
          <cell r="H86">
            <v>12447</v>
          </cell>
          <cell r="I86"/>
          <cell r="J86"/>
          <cell r="K86">
            <v>12447</v>
          </cell>
        </row>
        <row r="87">
          <cell r="G87">
            <v>1012165</v>
          </cell>
          <cell r="H87">
            <v>77384</v>
          </cell>
          <cell r="I87"/>
          <cell r="J87"/>
          <cell r="K87">
            <v>77384</v>
          </cell>
        </row>
        <row r="88">
          <cell r="G88">
            <v>1012166</v>
          </cell>
          <cell r="H88">
            <v>2105</v>
          </cell>
          <cell r="I88"/>
          <cell r="J88"/>
          <cell r="K88">
            <v>2105</v>
          </cell>
        </row>
        <row r="89">
          <cell r="G89">
            <v>1012167</v>
          </cell>
          <cell r="H89">
            <v>88706</v>
          </cell>
          <cell r="I89">
            <v>2758</v>
          </cell>
          <cell r="J89"/>
          <cell r="K89">
            <v>91464</v>
          </cell>
        </row>
        <row r="90">
          <cell r="G90">
            <v>1012193</v>
          </cell>
          <cell r="H90">
            <v>1384</v>
          </cell>
          <cell r="I90"/>
          <cell r="J90"/>
          <cell r="K90">
            <v>1384</v>
          </cell>
        </row>
        <row r="91">
          <cell r="G91">
            <v>1012207</v>
          </cell>
          <cell r="H91">
            <v>50436</v>
          </cell>
          <cell r="I91"/>
          <cell r="J91"/>
          <cell r="K91">
            <v>50436</v>
          </cell>
        </row>
        <row r="92">
          <cell r="G92">
            <v>1012208</v>
          </cell>
          <cell r="H92">
            <v>31602</v>
          </cell>
          <cell r="I92"/>
          <cell r="J92"/>
          <cell r="K92">
            <v>31602</v>
          </cell>
        </row>
        <row r="93">
          <cell r="G93">
            <v>1012218</v>
          </cell>
          <cell r="H93">
            <v>28650</v>
          </cell>
          <cell r="I93"/>
          <cell r="J93"/>
          <cell r="K93">
            <v>28650</v>
          </cell>
        </row>
        <row r="94">
          <cell r="G94">
            <v>1012275</v>
          </cell>
          <cell r="H94">
            <v>3888</v>
          </cell>
          <cell r="I94"/>
          <cell r="J94"/>
          <cell r="K94">
            <v>3888</v>
          </cell>
        </row>
        <row r="95">
          <cell r="G95">
            <v>1012278</v>
          </cell>
          <cell r="H95">
            <v>198</v>
          </cell>
          <cell r="I95"/>
          <cell r="J95"/>
          <cell r="K95">
            <v>198</v>
          </cell>
        </row>
        <row r="96">
          <cell r="G96">
            <v>1012283</v>
          </cell>
          <cell r="H96">
            <v>39188</v>
          </cell>
          <cell r="I96"/>
          <cell r="J96"/>
          <cell r="K96">
            <v>39188</v>
          </cell>
        </row>
        <row r="97">
          <cell r="G97">
            <v>1012300</v>
          </cell>
          <cell r="H97">
            <v>163</v>
          </cell>
          <cell r="I97"/>
          <cell r="J97"/>
          <cell r="K97">
            <v>163</v>
          </cell>
        </row>
        <row r="98">
          <cell r="G98">
            <v>1012315</v>
          </cell>
          <cell r="H98">
            <v>1080</v>
          </cell>
          <cell r="I98"/>
          <cell r="J98"/>
          <cell r="K98">
            <v>1080</v>
          </cell>
        </row>
        <row r="99">
          <cell r="G99">
            <v>1012326</v>
          </cell>
          <cell r="H99">
            <v>16044</v>
          </cell>
          <cell r="I99"/>
          <cell r="J99"/>
          <cell r="K99">
            <v>16044</v>
          </cell>
        </row>
        <row r="100">
          <cell r="G100">
            <v>1012330</v>
          </cell>
          <cell r="H100">
            <v>253</v>
          </cell>
          <cell r="I100"/>
          <cell r="J100"/>
          <cell r="K100">
            <v>253</v>
          </cell>
        </row>
        <row r="101">
          <cell r="G101">
            <v>1012362</v>
          </cell>
          <cell r="H101">
            <v>66024</v>
          </cell>
          <cell r="I101"/>
          <cell r="J101"/>
          <cell r="K101">
            <v>66024</v>
          </cell>
        </row>
        <row r="102">
          <cell r="G102">
            <v>1012387</v>
          </cell>
          <cell r="H102"/>
          <cell r="I102">
            <v>7200</v>
          </cell>
          <cell r="J102"/>
          <cell r="K102">
            <v>7200</v>
          </cell>
        </row>
        <row r="103">
          <cell r="G103">
            <v>1012399</v>
          </cell>
          <cell r="H103">
            <v>12281</v>
          </cell>
          <cell r="I103"/>
          <cell r="J103"/>
          <cell r="K103">
            <v>12281</v>
          </cell>
        </row>
        <row r="104">
          <cell r="G104">
            <v>1012400</v>
          </cell>
          <cell r="H104">
            <v>10349</v>
          </cell>
          <cell r="I104"/>
          <cell r="J104"/>
          <cell r="K104">
            <v>10349</v>
          </cell>
        </row>
        <row r="105">
          <cell r="G105">
            <v>1012401</v>
          </cell>
          <cell r="H105">
            <v>8770</v>
          </cell>
          <cell r="I105"/>
          <cell r="J105"/>
          <cell r="K105">
            <v>8770</v>
          </cell>
        </row>
        <row r="106">
          <cell r="G106">
            <v>1012434</v>
          </cell>
          <cell r="H106">
            <v>9660</v>
          </cell>
          <cell r="I106"/>
          <cell r="J106"/>
          <cell r="K106">
            <v>9660</v>
          </cell>
        </row>
        <row r="107">
          <cell r="G107">
            <v>1012448</v>
          </cell>
          <cell r="H107">
            <v>48840</v>
          </cell>
          <cell r="I107"/>
          <cell r="J107"/>
          <cell r="K107">
            <v>48840</v>
          </cell>
        </row>
        <row r="108">
          <cell r="G108">
            <v>1012451</v>
          </cell>
          <cell r="H108">
            <v>1635</v>
          </cell>
          <cell r="I108"/>
          <cell r="J108"/>
          <cell r="K108">
            <v>1635</v>
          </cell>
        </row>
        <row r="109">
          <cell r="G109">
            <v>1012452</v>
          </cell>
          <cell r="H109">
            <v>10079</v>
          </cell>
          <cell r="I109">
            <v>18</v>
          </cell>
          <cell r="J109"/>
          <cell r="K109">
            <v>10097</v>
          </cell>
        </row>
        <row r="110">
          <cell r="G110">
            <v>1012455</v>
          </cell>
          <cell r="H110">
            <v>61720</v>
          </cell>
          <cell r="I110">
            <v>5760</v>
          </cell>
          <cell r="J110"/>
          <cell r="K110">
            <v>67480</v>
          </cell>
        </row>
        <row r="111">
          <cell r="G111">
            <v>1012483</v>
          </cell>
          <cell r="H111">
            <v>20811</v>
          </cell>
          <cell r="I111"/>
          <cell r="J111"/>
          <cell r="K111">
            <v>20811</v>
          </cell>
        </row>
        <row r="112">
          <cell r="G112">
            <v>1012488</v>
          </cell>
          <cell r="H112">
            <v>23859</v>
          </cell>
          <cell r="I112"/>
          <cell r="J112"/>
          <cell r="K112">
            <v>23859</v>
          </cell>
        </row>
        <row r="113">
          <cell r="G113">
            <v>1012502</v>
          </cell>
          <cell r="H113">
            <v>6680</v>
          </cell>
          <cell r="I113">
            <v>260</v>
          </cell>
          <cell r="J113"/>
          <cell r="K113">
            <v>6940</v>
          </cell>
        </row>
        <row r="114">
          <cell r="G114">
            <v>1012503</v>
          </cell>
          <cell r="H114">
            <v>8260</v>
          </cell>
          <cell r="I114">
            <v>260</v>
          </cell>
          <cell r="J114"/>
          <cell r="K114">
            <v>8520</v>
          </cell>
        </row>
        <row r="115">
          <cell r="G115">
            <v>1012504</v>
          </cell>
          <cell r="H115">
            <v>52220</v>
          </cell>
          <cell r="I115">
            <v>26180</v>
          </cell>
          <cell r="J115"/>
          <cell r="K115">
            <v>78400</v>
          </cell>
        </row>
        <row r="116">
          <cell r="G116">
            <v>1012518</v>
          </cell>
          <cell r="H116">
            <v>58660</v>
          </cell>
          <cell r="I116"/>
          <cell r="J116"/>
          <cell r="K116">
            <v>58660</v>
          </cell>
        </row>
        <row r="117">
          <cell r="G117">
            <v>1012519</v>
          </cell>
          <cell r="H117">
            <v>10687</v>
          </cell>
          <cell r="I117"/>
          <cell r="J117"/>
          <cell r="K117">
            <v>10687</v>
          </cell>
        </row>
        <row r="118">
          <cell r="G118">
            <v>1012520</v>
          </cell>
          <cell r="H118">
            <v>19106</v>
          </cell>
          <cell r="I118"/>
          <cell r="J118"/>
          <cell r="K118">
            <v>19106</v>
          </cell>
        </row>
        <row r="119">
          <cell r="G119">
            <v>1012521</v>
          </cell>
          <cell r="H119">
            <v>26218</v>
          </cell>
          <cell r="I119"/>
          <cell r="J119"/>
          <cell r="K119">
            <v>26218</v>
          </cell>
        </row>
        <row r="120">
          <cell r="G120">
            <v>1012522</v>
          </cell>
          <cell r="H120">
            <v>14842</v>
          </cell>
          <cell r="I120"/>
          <cell r="J120"/>
          <cell r="K120">
            <v>14842</v>
          </cell>
        </row>
        <row r="121">
          <cell r="G121">
            <v>1012523</v>
          </cell>
          <cell r="H121">
            <v>6895</v>
          </cell>
          <cell r="I121"/>
          <cell r="J121"/>
          <cell r="K121">
            <v>6895</v>
          </cell>
        </row>
        <row r="122">
          <cell r="G122">
            <v>1012524</v>
          </cell>
          <cell r="H122">
            <v>3992</v>
          </cell>
          <cell r="I122"/>
          <cell r="J122"/>
          <cell r="K122">
            <v>3992</v>
          </cell>
        </row>
        <row r="123">
          <cell r="G123">
            <v>1012525</v>
          </cell>
          <cell r="H123">
            <v>18340</v>
          </cell>
          <cell r="I123">
            <v>260</v>
          </cell>
          <cell r="J123"/>
          <cell r="K123">
            <v>18600</v>
          </cell>
        </row>
        <row r="124">
          <cell r="G124">
            <v>1012526</v>
          </cell>
          <cell r="H124">
            <v>11300</v>
          </cell>
          <cell r="I124">
            <v>200</v>
          </cell>
          <cell r="J124"/>
          <cell r="K124">
            <v>11500</v>
          </cell>
        </row>
        <row r="125">
          <cell r="G125">
            <v>1012527</v>
          </cell>
          <cell r="H125">
            <v>10560</v>
          </cell>
          <cell r="I125">
            <v>180</v>
          </cell>
          <cell r="J125"/>
          <cell r="K125">
            <v>10740</v>
          </cell>
        </row>
        <row r="126">
          <cell r="G126">
            <v>1012532</v>
          </cell>
          <cell r="H126">
            <v>4191</v>
          </cell>
          <cell r="I126">
            <v>200</v>
          </cell>
          <cell r="J126"/>
          <cell r="K126">
            <v>4391</v>
          </cell>
        </row>
        <row r="127">
          <cell r="G127">
            <v>1012534</v>
          </cell>
          <cell r="H127">
            <v>10139</v>
          </cell>
          <cell r="I127"/>
          <cell r="J127"/>
          <cell r="K127">
            <v>10139</v>
          </cell>
        </row>
        <row r="128">
          <cell r="G128">
            <v>1012552</v>
          </cell>
          <cell r="H128">
            <v>41260</v>
          </cell>
          <cell r="I128"/>
          <cell r="J128"/>
          <cell r="K128">
            <v>41260</v>
          </cell>
        </row>
        <row r="129">
          <cell r="G129">
            <v>1012556</v>
          </cell>
          <cell r="H129">
            <v>31534</v>
          </cell>
          <cell r="I129"/>
          <cell r="J129"/>
          <cell r="K129">
            <v>31534</v>
          </cell>
        </row>
        <row r="130">
          <cell r="G130">
            <v>1012558</v>
          </cell>
          <cell r="H130">
            <v>1474</v>
          </cell>
          <cell r="I130"/>
          <cell r="J130"/>
          <cell r="K130">
            <v>1474</v>
          </cell>
        </row>
        <row r="131">
          <cell r="G131">
            <v>1012559</v>
          </cell>
          <cell r="H131">
            <v>731</v>
          </cell>
          <cell r="I131"/>
          <cell r="J131"/>
          <cell r="K131">
            <v>731</v>
          </cell>
        </row>
        <row r="132">
          <cell r="G132">
            <v>1012571</v>
          </cell>
          <cell r="H132">
            <v>27074</v>
          </cell>
          <cell r="I132"/>
          <cell r="J132"/>
          <cell r="K132">
            <v>27074</v>
          </cell>
        </row>
        <row r="133">
          <cell r="G133">
            <v>1012577</v>
          </cell>
          <cell r="H133">
            <v>2777</v>
          </cell>
          <cell r="I133"/>
          <cell r="J133"/>
          <cell r="K133">
            <v>2777</v>
          </cell>
        </row>
        <row r="134">
          <cell r="G134">
            <v>1012598</v>
          </cell>
          <cell r="H134">
            <v>9740</v>
          </cell>
          <cell r="I134">
            <v>120</v>
          </cell>
          <cell r="J134"/>
          <cell r="K134">
            <v>9860</v>
          </cell>
        </row>
        <row r="135">
          <cell r="G135">
            <v>1012601</v>
          </cell>
          <cell r="H135">
            <v>31407</v>
          </cell>
          <cell r="I135"/>
          <cell r="J135"/>
          <cell r="K135">
            <v>31407</v>
          </cell>
        </row>
        <row r="136">
          <cell r="G136">
            <v>1012608</v>
          </cell>
          <cell r="H136">
            <v>6318</v>
          </cell>
          <cell r="I136"/>
          <cell r="J136"/>
          <cell r="K136">
            <v>6318</v>
          </cell>
        </row>
        <row r="137">
          <cell r="G137">
            <v>1012612</v>
          </cell>
          <cell r="H137">
            <v>64632</v>
          </cell>
          <cell r="I137"/>
          <cell r="J137"/>
          <cell r="K137">
            <v>64632</v>
          </cell>
        </row>
        <row r="138">
          <cell r="G138">
            <v>1012623</v>
          </cell>
          <cell r="H138">
            <v>4554</v>
          </cell>
          <cell r="I138"/>
          <cell r="J138"/>
          <cell r="K138">
            <v>4554</v>
          </cell>
        </row>
        <row r="139">
          <cell r="G139">
            <v>1012629</v>
          </cell>
          <cell r="H139">
            <v>50</v>
          </cell>
          <cell r="I139"/>
          <cell r="J139"/>
          <cell r="K139">
            <v>50</v>
          </cell>
        </row>
        <row r="140">
          <cell r="G140">
            <v>1012646</v>
          </cell>
          <cell r="H140">
            <v>18463</v>
          </cell>
          <cell r="I140"/>
          <cell r="J140"/>
          <cell r="K140">
            <v>18463</v>
          </cell>
        </row>
        <row r="141">
          <cell r="G141">
            <v>1012654</v>
          </cell>
          <cell r="H141">
            <v>59994</v>
          </cell>
          <cell r="I141"/>
          <cell r="J141"/>
          <cell r="K141">
            <v>59994</v>
          </cell>
        </row>
        <row r="142">
          <cell r="G142">
            <v>1012655</v>
          </cell>
          <cell r="H142">
            <v>3880</v>
          </cell>
          <cell r="I142">
            <v>880</v>
          </cell>
          <cell r="J142"/>
          <cell r="K142">
            <v>4760</v>
          </cell>
        </row>
        <row r="143">
          <cell r="G143">
            <v>1012674</v>
          </cell>
          <cell r="H143">
            <v>48540</v>
          </cell>
          <cell r="I143"/>
          <cell r="J143"/>
          <cell r="K143">
            <v>48540</v>
          </cell>
        </row>
        <row r="144">
          <cell r="G144">
            <v>1012681</v>
          </cell>
          <cell r="H144">
            <v>32640</v>
          </cell>
          <cell r="I144"/>
          <cell r="J144"/>
          <cell r="K144">
            <v>32640</v>
          </cell>
        </row>
        <row r="145">
          <cell r="G145">
            <v>1012683</v>
          </cell>
          <cell r="H145"/>
          <cell r="I145">
            <v>317</v>
          </cell>
          <cell r="J145"/>
          <cell r="K145">
            <v>317</v>
          </cell>
        </row>
        <row r="146">
          <cell r="G146">
            <v>1012684</v>
          </cell>
          <cell r="H146"/>
          <cell r="I146">
            <v>293</v>
          </cell>
          <cell r="J146"/>
          <cell r="K146">
            <v>293</v>
          </cell>
        </row>
        <row r="147">
          <cell r="G147">
            <v>1012685</v>
          </cell>
          <cell r="H147"/>
          <cell r="I147">
            <v>1378</v>
          </cell>
          <cell r="J147"/>
          <cell r="K147">
            <v>1378</v>
          </cell>
        </row>
        <row r="148">
          <cell r="G148">
            <v>1012693</v>
          </cell>
          <cell r="H148">
            <v>12777</v>
          </cell>
          <cell r="I148">
            <v>403</v>
          </cell>
          <cell r="J148"/>
          <cell r="K148">
            <v>13180</v>
          </cell>
        </row>
        <row r="149">
          <cell r="G149">
            <v>1012694</v>
          </cell>
          <cell r="H149">
            <v>22353</v>
          </cell>
          <cell r="I149"/>
          <cell r="J149"/>
          <cell r="K149">
            <v>22353</v>
          </cell>
        </row>
        <row r="150">
          <cell r="G150">
            <v>1012695</v>
          </cell>
          <cell r="H150">
            <v>6870</v>
          </cell>
          <cell r="I150"/>
          <cell r="J150"/>
          <cell r="K150">
            <v>6870</v>
          </cell>
        </row>
        <row r="151">
          <cell r="G151">
            <v>1012719</v>
          </cell>
          <cell r="H151">
            <v>35516</v>
          </cell>
          <cell r="I151"/>
          <cell r="J151"/>
          <cell r="K151">
            <v>35516</v>
          </cell>
        </row>
        <row r="152">
          <cell r="G152">
            <v>1012724</v>
          </cell>
          <cell r="H152">
            <v>41114</v>
          </cell>
          <cell r="I152"/>
          <cell r="J152"/>
          <cell r="K152">
            <v>41114</v>
          </cell>
        </row>
        <row r="153">
          <cell r="G153">
            <v>1012725</v>
          </cell>
          <cell r="H153">
            <v>9399</v>
          </cell>
          <cell r="I153"/>
          <cell r="J153"/>
          <cell r="K153">
            <v>9399</v>
          </cell>
        </row>
        <row r="154">
          <cell r="G154">
            <v>1012730</v>
          </cell>
          <cell r="H154">
            <v>36326</v>
          </cell>
          <cell r="I154"/>
          <cell r="J154"/>
          <cell r="K154">
            <v>36326</v>
          </cell>
        </row>
        <row r="155">
          <cell r="G155">
            <v>1012745</v>
          </cell>
          <cell r="H155">
            <v>3084</v>
          </cell>
          <cell r="I155"/>
          <cell r="J155"/>
          <cell r="K155">
            <v>3084</v>
          </cell>
        </row>
        <row r="156">
          <cell r="G156">
            <v>1012752</v>
          </cell>
          <cell r="H156">
            <v>5569</v>
          </cell>
          <cell r="I156"/>
          <cell r="J156"/>
          <cell r="K156">
            <v>5569</v>
          </cell>
        </row>
        <row r="157">
          <cell r="G157">
            <v>1012753</v>
          </cell>
          <cell r="H157">
            <v>4009</v>
          </cell>
          <cell r="I157"/>
          <cell r="J157"/>
          <cell r="K157">
            <v>4009</v>
          </cell>
        </row>
        <row r="158">
          <cell r="G158">
            <v>1012754</v>
          </cell>
          <cell r="H158">
            <v>2068</v>
          </cell>
          <cell r="I158"/>
          <cell r="J158"/>
          <cell r="K158">
            <v>2068</v>
          </cell>
        </row>
        <row r="159">
          <cell r="G159">
            <v>1012756</v>
          </cell>
          <cell r="H159">
            <v>4372</v>
          </cell>
          <cell r="I159"/>
          <cell r="J159"/>
          <cell r="K159">
            <v>4372</v>
          </cell>
        </row>
        <row r="160">
          <cell r="G160">
            <v>1012757</v>
          </cell>
          <cell r="H160">
            <v>384</v>
          </cell>
          <cell r="I160"/>
          <cell r="J160"/>
          <cell r="K160">
            <v>384</v>
          </cell>
        </row>
        <row r="161">
          <cell r="G161">
            <v>1012761</v>
          </cell>
          <cell r="H161">
            <v>9564</v>
          </cell>
          <cell r="I161"/>
          <cell r="J161"/>
          <cell r="K161">
            <v>9564</v>
          </cell>
        </row>
        <row r="162">
          <cell r="G162">
            <v>1012763</v>
          </cell>
          <cell r="H162">
            <v>14409</v>
          </cell>
          <cell r="I162">
            <v>1486</v>
          </cell>
          <cell r="J162"/>
          <cell r="K162">
            <v>15895</v>
          </cell>
        </row>
        <row r="163">
          <cell r="G163">
            <v>1012764</v>
          </cell>
          <cell r="H163">
            <v>70143</v>
          </cell>
          <cell r="I163"/>
          <cell r="J163"/>
          <cell r="K163">
            <v>70143</v>
          </cell>
        </row>
        <row r="164">
          <cell r="G164">
            <v>1012773</v>
          </cell>
          <cell r="H164">
            <v>4170</v>
          </cell>
          <cell r="I164"/>
          <cell r="J164"/>
          <cell r="K164">
            <v>4170</v>
          </cell>
        </row>
        <row r="165">
          <cell r="G165">
            <v>1012774</v>
          </cell>
          <cell r="H165">
            <v>2322</v>
          </cell>
          <cell r="I165"/>
          <cell r="J165"/>
          <cell r="K165">
            <v>2322</v>
          </cell>
        </row>
        <row r="166">
          <cell r="G166">
            <v>1012778</v>
          </cell>
          <cell r="H166">
            <v>23250</v>
          </cell>
          <cell r="I166"/>
          <cell r="J166"/>
          <cell r="K166">
            <v>23250</v>
          </cell>
        </row>
        <row r="167">
          <cell r="G167">
            <v>1012788</v>
          </cell>
          <cell r="H167">
            <v>6832</v>
          </cell>
          <cell r="I167"/>
          <cell r="J167"/>
          <cell r="K167">
            <v>6832</v>
          </cell>
        </row>
        <row r="168">
          <cell r="G168">
            <v>1012796</v>
          </cell>
          <cell r="H168">
            <v>19566</v>
          </cell>
          <cell r="I168"/>
          <cell r="J168"/>
          <cell r="K168">
            <v>19566</v>
          </cell>
        </row>
        <row r="169">
          <cell r="G169">
            <v>1012799</v>
          </cell>
          <cell r="H169">
            <v>2397</v>
          </cell>
          <cell r="I169">
            <v>96</v>
          </cell>
          <cell r="J169"/>
          <cell r="K169">
            <v>2493</v>
          </cell>
        </row>
        <row r="170">
          <cell r="G170">
            <v>1020001</v>
          </cell>
          <cell r="H170">
            <v>4361</v>
          </cell>
          <cell r="I170">
            <v>600</v>
          </cell>
          <cell r="J170"/>
          <cell r="K170">
            <v>4961</v>
          </cell>
        </row>
        <row r="171">
          <cell r="G171">
            <v>1020003</v>
          </cell>
          <cell r="H171">
            <v>50</v>
          </cell>
          <cell r="I171"/>
          <cell r="J171"/>
          <cell r="K171">
            <v>50</v>
          </cell>
        </row>
        <row r="172">
          <cell r="G172">
            <v>1020010</v>
          </cell>
          <cell r="H172">
            <v>6281</v>
          </cell>
          <cell r="I172">
            <v>549</v>
          </cell>
          <cell r="J172"/>
          <cell r="K172">
            <v>6830</v>
          </cell>
        </row>
        <row r="173">
          <cell r="G173">
            <v>1020013</v>
          </cell>
          <cell r="H173">
            <v>23583</v>
          </cell>
          <cell r="I173">
            <v>1997</v>
          </cell>
          <cell r="J173"/>
          <cell r="K173">
            <v>25580</v>
          </cell>
        </row>
        <row r="174">
          <cell r="G174">
            <v>1020014</v>
          </cell>
          <cell r="H174">
            <v>23</v>
          </cell>
          <cell r="I174"/>
          <cell r="J174"/>
          <cell r="K174">
            <v>23</v>
          </cell>
        </row>
        <row r="175">
          <cell r="G175">
            <v>1020017</v>
          </cell>
          <cell r="H175">
            <v>3824</v>
          </cell>
          <cell r="I175"/>
          <cell r="J175"/>
          <cell r="K175">
            <v>3824</v>
          </cell>
        </row>
        <row r="176">
          <cell r="G176">
            <v>1020020</v>
          </cell>
          <cell r="H176">
            <v>26</v>
          </cell>
          <cell r="I176"/>
          <cell r="J176"/>
          <cell r="K176">
            <v>26</v>
          </cell>
        </row>
        <row r="177">
          <cell r="G177">
            <v>1020027</v>
          </cell>
          <cell r="H177">
            <v>14492</v>
          </cell>
          <cell r="I177">
            <v>422</v>
          </cell>
          <cell r="J177"/>
          <cell r="K177">
            <v>14914</v>
          </cell>
        </row>
        <row r="178">
          <cell r="G178">
            <v>1020028</v>
          </cell>
          <cell r="H178">
            <v>62</v>
          </cell>
          <cell r="I178"/>
          <cell r="J178"/>
          <cell r="K178">
            <v>62</v>
          </cell>
        </row>
        <row r="179">
          <cell r="G179">
            <v>1020039</v>
          </cell>
          <cell r="H179">
            <v>1508</v>
          </cell>
          <cell r="I179"/>
          <cell r="J179"/>
          <cell r="K179">
            <v>1508</v>
          </cell>
        </row>
        <row r="180">
          <cell r="G180">
            <v>1020067</v>
          </cell>
          <cell r="H180">
            <v>784</v>
          </cell>
          <cell r="I180"/>
          <cell r="J180"/>
          <cell r="K180">
            <v>784</v>
          </cell>
        </row>
        <row r="181">
          <cell r="G181">
            <v>1020077</v>
          </cell>
          <cell r="H181">
            <v>35</v>
          </cell>
          <cell r="I181"/>
          <cell r="J181"/>
          <cell r="K181">
            <v>35</v>
          </cell>
        </row>
        <row r="182">
          <cell r="G182">
            <v>1020085</v>
          </cell>
          <cell r="H182">
            <v>160</v>
          </cell>
          <cell r="I182"/>
          <cell r="J182"/>
          <cell r="K182">
            <v>160</v>
          </cell>
        </row>
        <row r="183">
          <cell r="G183">
            <v>1020089</v>
          </cell>
          <cell r="H183">
            <v>1982</v>
          </cell>
          <cell r="I183">
            <v>7351</v>
          </cell>
          <cell r="J183"/>
          <cell r="K183">
            <v>9333</v>
          </cell>
        </row>
        <row r="184">
          <cell r="G184">
            <v>1020090</v>
          </cell>
          <cell r="H184">
            <v>4753</v>
          </cell>
          <cell r="I184">
            <v>95</v>
          </cell>
          <cell r="J184"/>
          <cell r="K184">
            <v>4848</v>
          </cell>
        </row>
        <row r="185">
          <cell r="G185">
            <v>1020092</v>
          </cell>
          <cell r="H185">
            <v>4710</v>
          </cell>
          <cell r="I185">
            <v>2078</v>
          </cell>
          <cell r="J185"/>
          <cell r="K185">
            <v>6788</v>
          </cell>
        </row>
        <row r="186">
          <cell r="G186">
            <v>1020103</v>
          </cell>
          <cell r="H186">
            <v>923</v>
          </cell>
          <cell r="I186"/>
          <cell r="J186"/>
          <cell r="K186">
            <v>923</v>
          </cell>
        </row>
        <row r="187">
          <cell r="G187">
            <v>1020105</v>
          </cell>
          <cell r="H187">
            <v>54283</v>
          </cell>
          <cell r="I187">
            <v>836</v>
          </cell>
          <cell r="J187"/>
          <cell r="K187">
            <v>55119</v>
          </cell>
        </row>
        <row r="188">
          <cell r="G188">
            <v>1020110</v>
          </cell>
          <cell r="H188">
            <v>322957</v>
          </cell>
          <cell r="I188">
            <v>15713</v>
          </cell>
          <cell r="J188"/>
          <cell r="K188">
            <v>338670</v>
          </cell>
        </row>
        <row r="189">
          <cell r="G189">
            <v>1020136</v>
          </cell>
          <cell r="H189">
            <v>72</v>
          </cell>
          <cell r="I189"/>
          <cell r="J189"/>
          <cell r="K189">
            <v>72</v>
          </cell>
        </row>
        <row r="190">
          <cell r="G190">
            <v>1020158</v>
          </cell>
          <cell r="H190"/>
          <cell r="I190">
            <v>777</v>
          </cell>
          <cell r="J190"/>
          <cell r="K190">
            <v>777</v>
          </cell>
        </row>
        <row r="191">
          <cell r="G191">
            <v>1020177</v>
          </cell>
          <cell r="H191">
            <v>1949</v>
          </cell>
          <cell r="I191">
            <v>24</v>
          </cell>
          <cell r="J191"/>
          <cell r="K191">
            <v>1973</v>
          </cell>
        </row>
        <row r="192">
          <cell r="G192">
            <v>1020180</v>
          </cell>
          <cell r="H192">
            <v>2963</v>
          </cell>
          <cell r="I192">
            <v>15</v>
          </cell>
          <cell r="J192"/>
          <cell r="K192">
            <v>2978</v>
          </cell>
        </row>
        <row r="193">
          <cell r="G193">
            <v>1020181</v>
          </cell>
          <cell r="H193">
            <v>1712</v>
          </cell>
          <cell r="I193">
            <v>898</v>
          </cell>
          <cell r="J193"/>
          <cell r="K193">
            <v>2610</v>
          </cell>
        </row>
        <row r="194">
          <cell r="G194">
            <v>1020236</v>
          </cell>
          <cell r="H194">
            <v>11410</v>
          </cell>
          <cell r="I194">
            <v>730</v>
          </cell>
          <cell r="J194"/>
          <cell r="K194">
            <v>12140</v>
          </cell>
        </row>
        <row r="195">
          <cell r="G195">
            <v>1020244</v>
          </cell>
          <cell r="H195">
            <v>732</v>
          </cell>
          <cell r="I195"/>
          <cell r="J195"/>
          <cell r="K195">
            <v>732</v>
          </cell>
        </row>
        <row r="196">
          <cell r="G196">
            <v>1020245</v>
          </cell>
          <cell r="H196">
            <v>2507</v>
          </cell>
          <cell r="I196">
            <v>80</v>
          </cell>
          <cell r="J196"/>
          <cell r="K196">
            <v>2587</v>
          </cell>
        </row>
        <row r="197">
          <cell r="G197">
            <v>1020252</v>
          </cell>
          <cell r="H197">
            <v>1202</v>
          </cell>
          <cell r="I197"/>
          <cell r="J197"/>
          <cell r="K197">
            <v>1202</v>
          </cell>
        </row>
        <row r="198">
          <cell r="G198">
            <v>1020253</v>
          </cell>
          <cell r="H198">
            <v>12629</v>
          </cell>
          <cell r="I198">
            <v>394</v>
          </cell>
          <cell r="J198"/>
          <cell r="K198">
            <v>13023</v>
          </cell>
        </row>
        <row r="199">
          <cell r="G199">
            <v>1020265</v>
          </cell>
          <cell r="H199">
            <v>380</v>
          </cell>
          <cell r="I199"/>
          <cell r="J199"/>
          <cell r="K199">
            <v>380</v>
          </cell>
        </row>
        <row r="200">
          <cell r="G200">
            <v>1020284</v>
          </cell>
          <cell r="H200">
            <v>12841</v>
          </cell>
          <cell r="I200"/>
          <cell r="J200"/>
          <cell r="K200">
            <v>12841</v>
          </cell>
        </row>
        <row r="201">
          <cell r="G201">
            <v>1020298</v>
          </cell>
          <cell r="H201">
            <v>574</v>
          </cell>
          <cell r="I201">
            <v>38</v>
          </cell>
          <cell r="J201"/>
          <cell r="K201">
            <v>612</v>
          </cell>
        </row>
        <row r="202">
          <cell r="G202">
            <v>1020299</v>
          </cell>
          <cell r="H202">
            <v>10622</v>
          </cell>
          <cell r="I202">
            <v>21</v>
          </cell>
          <cell r="J202"/>
          <cell r="K202">
            <v>10643</v>
          </cell>
        </row>
        <row r="203">
          <cell r="G203">
            <v>1020316</v>
          </cell>
          <cell r="H203">
            <v>1142</v>
          </cell>
          <cell r="I203"/>
          <cell r="J203"/>
          <cell r="K203">
            <v>1142</v>
          </cell>
        </row>
        <row r="204">
          <cell r="G204">
            <v>1020326</v>
          </cell>
          <cell r="H204">
            <v>99640</v>
          </cell>
          <cell r="I204">
            <v>10763</v>
          </cell>
          <cell r="J204"/>
          <cell r="K204">
            <v>110403</v>
          </cell>
        </row>
        <row r="205">
          <cell r="G205">
            <v>1020332</v>
          </cell>
          <cell r="H205">
            <v>34075</v>
          </cell>
          <cell r="I205"/>
          <cell r="J205"/>
          <cell r="K205">
            <v>34075</v>
          </cell>
        </row>
        <row r="206">
          <cell r="G206">
            <v>1020339</v>
          </cell>
          <cell r="H206">
            <v>26006</v>
          </cell>
          <cell r="I206"/>
          <cell r="J206"/>
          <cell r="K206">
            <v>26006</v>
          </cell>
        </row>
        <row r="207">
          <cell r="G207">
            <v>1020340</v>
          </cell>
          <cell r="H207">
            <v>1011</v>
          </cell>
          <cell r="I207"/>
          <cell r="J207"/>
          <cell r="K207">
            <v>1011</v>
          </cell>
        </row>
        <row r="208">
          <cell r="G208">
            <v>1020349</v>
          </cell>
          <cell r="H208">
            <v>22789</v>
          </cell>
          <cell r="I208">
            <v>663</v>
          </cell>
          <cell r="J208"/>
          <cell r="K208">
            <v>23452</v>
          </cell>
        </row>
        <row r="209">
          <cell r="G209">
            <v>1020352</v>
          </cell>
          <cell r="H209">
            <v>21574</v>
          </cell>
          <cell r="I209">
            <v>2136</v>
          </cell>
          <cell r="J209"/>
          <cell r="K209">
            <v>23710</v>
          </cell>
        </row>
        <row r="210">
          <cell r="G210">
            <v>1020357</v>
          </cell>
          <cell r="H210">
            <v>1287</v>
          </cell>
          <cell r="I210"/>
          <cell r="J210"/>
          <cell r="K210">
            <v>1287</v>
          </cell>
        </row>
        <row r="211">
          <cell r="G211">
            <v>1020367</v>
          </cell>
          <cell r="H211">
            <v>69666</v>
          </cell>
          <cell r="I211">
            <v>10036</v>
          </cell>
          <cell r="J211"/>
          <cell r="K211">
            <v>79702</v>
          </cell>
        </row>
        <row r="212">
          <cell r="G212">
            <v>1020369</v>
          </cell>
          <cell r="H212">
            <v>306</v>
          </cell>
          <cell r="I212"/>
          <cell r="J212"/>
          <cell r="K212">
            <v>306</v>
          </cell>
        </row>
        <row r="213">
          <cell r="G213">
            <v>1020391</v>
          </cell>
          <cell r="H213">
            <v>3004</v>
          </cell>
          <cell r="I213">
            <v>2728</v>
          </cell>
          <cell r="J213"/>
          <cell r="K213">
            <v>5732</v>
          </cell>
        </row>
        <row r="214">
          <cell r="G214">
            <v>1020408</v>
          </cell>
          <cell r="H214">
            <v>6409</v>
          </cell>
          <cell r="I214"/>
          <cell r="J214"/>
          <cell r="K214">
            <v>6409</v>
          </cell>
        </row>
        <row r="215">
          <cell r="G215">
            <v>1020409</v>
          </cell>
          <cell r="H215">
            <v>1074</v>
          </cell>
          <cell r="I215"/>
          <cell r="J215"/>
          <cell r="K215">
            <v>1074</v>
          </cell>
        </row>
        <row r="216">
          <cell r="G216">
            <v>1020412</v>
          </cell>
          <cell r="H216">
            <v>74900</v>
          </cell>
          <cell r="I216">
            <v>5595</v>
          </cell>
          <cell r="J216"/>
          <cell r="K216">
            <v>80495</v>
          </cell>
        </row>
        <row r="217">
          <cell r="G217">
            <v>1020417</v>
          </cell>
          <cell r="H217">
            <v>1107</v>
          </cell>
          <cell r="I217"/>
          <cell r="J217"/>
          <cell r="K217">
            <v>1107</v>
          </cell>
        </row>
        <row r="218">
          <cell r="G218">
            <v>1020421</v>
          </cell>
          <cell r="H218">
            <v>48</v>
          </cell>
          <cell r="I218">
            <v>96</v>
          </cell>
          <cell r="J218"/>
          <cell r="K218">
            <v>144</v>
          </cell>
        </row>
        <row r="219">
          <cell r="G219">
            <v>1020422</v>
          </cell>
          <cell r="H219">
            <v>870</v>
          </cell>
          <cell r="I219"/>
          <cell r="J219"/>
          <cell r="K219">
            <v>870</v>
          </cell>
        </row>
        <row r="220">
          <cell r="G220">
            <v>1020439</v>
          </cell>
          <cell r="H220"/>
          <cell r="I220">
            <v>1353</v>
          </cell>
          <cell r="J220"/>
          <cell r="K220">
            <v>1353</v>
          </cell>
        </row>
        <row r="221">
          <cell r="G221">
            <v>1020440</v>
          </cell>
          <cell r="H221">
            <v>21697</v>
          </cell>
          <cell r="I221">
            <v>1995</v>
          </cell>
          <cell r="J221"/>
          <cell r="K221">
            <v>23692</v>
          </cell>
        </row>
        <row r="222">
          <cell r="G222">
            <v>1020441</v>
          </cell>
          <cell r="H222">
            <v>20</v>
          </cell>
          <cell r="I222"/>
          <cell r="J222"/>
          <cell r="K222">
            <v>20</v>
          </cell>
        </row>
        <row r="223">
          <cell r="G223">
            <v>1020442</v>
          </cell>
          <cell r="H223">
            <v>10997</v>
          </cell>
          <cell r="I223">
            <v>1062</v>
          </cell>
          <cell r="J223"/>
          <cell r="K223">
            <v>12059</v>
          </cell>
        </row>
        <row r="224">
          <cell r="G224">
            <v>1020446</v>
          </cell>
          <cell r="H224">
            <v>61</v>
          </cell>
          <cell r="I224"/>
          <cell r="J224"/>
          <cell r="K224">
            <v>61</v>
          </cell>
        </row>
        <row r="225">
          <cell r="G225">
            <v>1020447</v>
          </cell>
          <cell r="H225">
            <v>5775</v>
          </cell>
          <cell r="I225">
            <v>6039</v>
          </cell>
          <cell r="J225"/>
          <cell r="K225">
            <v>11814</v>
          </cell>
        </row>
        <row r="226">
          <cell r="G226">
            <v>1020479</v>
          </cell>
          <cell r="H226">
            <v>24</v>
          </cell>
          <cell r="I226"/>
          <cell r="J226"/>
          <cell r="K226">
            <v>24</v>
          </cell>
        </row>
        <row r="227">
          <cell r="G227">
            <v>1020589</v>
          </cell>
          <cell r="H227">
            <v>154128</v>
          </cell>
          <cell r="I227">
            <v>4108</v>
          </cell>
          <cell r="J227"/>
          <cell r="K227">
            <v>158236</v>
          </cell>
        </row>
        <row r="228">
          <cell r="G228">
            <v>1020592</v>
          </cell>
          <cell r="H228">
            <v>198465</v>
          </cell>
          <cell r="I228">
            <v>20985</v>
          </cell>
          <cell r="J228"/>
          <cell r="K228">
            <v>219450</v>
          </cell>
        </row>
        <row r="229">
          <cell r="G229">
            <v>1020599</v>
          </cell>
          <cell r="H229">
            <v>712</v>
          </cell>
          <cell r="I229"/>
          <cell r="J229"/>
          <cell r="K229">
            <v>712</v>
          </cell>
        </row>
        <row r="230">
          <cell r="G230">
            <v>1020611</v>
          </cell>
          <cell r="H230">
            <v>24767</v>
          </cell>
          <cell r="I230"/>
          <cell r="J230"/>
          <cell r="K230">
            <v>24767</v>
          </cell>
        </row>
        <row r="231">
          <cell r="G231">
            <v>1020620</v>
          </cell>
          <cell r="H231">
            <v>15900</v>
          </cell>
          <cell r="I231">
            <v>625</v>
          </cell>
          <cell r="J231"/>
          <cell r="K231">
            <v>16525</v>
          </cell>
        </row>
        <row r="232">
          <cell r="G232">
            <v>1020631</v>
          </cell>
          <cell r="H232">
            <v>1906</v>
          </cell>
          <cell r="I232">
            <v>1072</v>
          </cell>
          <cell r="J232"/>
          <cell r="K232">
            <v>2978</v>
          </cell>
        </row>
        <row r="233">
          <cell r="G233">
            <v>1020636</v>
          </cell>
          <cell r="H233">
            <v>22000</v>
          </cell>
          <cell r="I233">
            <v>2430</v>
          </cell>
          <cell r="J233"/>
          <cell r="K233">
            <v>24430</v>
          </cell>
        </row>
        <row r="234">
          <cell r="G234">
            <v>1020637</v>
          </cell>
          <cell r="H234">
            <v>139003</v>
          </cell>
          <cell r="I234">
            <v>27534</v>
          </cell>
          <cell r="J234"/>
          <cell r="K234">
            <v>166537</v>
          </cell>
        </row>
        <row r="235">
          <cell r="G235">
            <v>1020662</v>
          </cell>
          <cell r="H235">
            <v>33214</v>
          </cell>
          <cell r="I235">
            <v>571</v>
          </cell>
          <cell r="J235"/>
          <cell r="K235">
            <v>33785</v>
          </cell>
        </row>
        <row r="236">
          <cell r="G236">
            <v>1020664</v>
          </cell>
          <cell r="H236">
            <v>9461</v>
          </cell>
          <cell r="I236"/>
          <cell r="J236"/>
          <cell r="K236">
            <v>9461</v>
          </cell>
        </row>
        <row r="237">
          <cell r="G237">
            <v>1020665</v>
          </cell>
          <cell r="H237">
            <v>14573</v>
          </cell>
          <cell r="I237">
            <v>141</v>
          </cell>
          <cell r="J237"/>
          <cell r="K237">
            <v>14714</v>
          </cell>
        </row>
        <row r="238">
          <cell r="G238">
            <v>1020678</v>
          </cell>
          <cell r="H238">
            <v>1268</v>
          </cell>
          <cell r="I238"/>
          <cell r="J238"/>
          <cell r="K238">
            <v>1268</v>
          </cell>
        </row>
        <row r="239">
          <cell r="G239">
            <v>1020681</v>
          </cell>
          <cell r="H239">
            <v>18281</v>
          </cell>
          <cell r="I239">
            <v>117</v>
          </cell>
          <cell r="J239"/>
          <cell r="K239">
            <v>18398</v>
          </cell>
        </row>
        <row r="240">
          <cell r="G240">
            <v>1020704</v>
          </cell>
          <cell r="H240">
            <v>1280</v>
          </cell>
          <cell r="I240"/>
          <cell r="J240"/>
          <cell r="K240">
            <v>1280</v>
          </cell>
        </row>
        <row r="241">
          <cell r="G241">
            <v>1020715</v>
          </cell>
          <cell r="H241">
            <v>639</v>
          </cell>
          <cell r="I241">
            <v>763</v>
          </cell>
          <cell r="J241"/>
          <cell r="K241">
            <v>1402</v>
          </cell>
        </row>
        <row r="242">
          <cell r="G242">
            <v>1020731</v>
          </cell>
          <cell r="H242">
            <v>3316</v>
          </cell>
          <cell r="I242"/>
          <cell r="J242"/>
          <cell r="K242">
            <v>3316</v>
          </cell>
        </row>
        <row r="243">
          <cell r="G243">
            <v>1020758</v>
          </cell>
          <cell r="H243">
            <v>4467</v>
          </cell>
          <cell r="I243">
            <v>95</v>
          </cell>
          <cell r="J243"/>
          <cell r="K243">
            <v>4562</v>
          </cell>
        </row>
        <row r="244">
          <cell r="G244">
            <v>1020774</v>
          </cell>
          <cell r="H244">
            <v>3670</v>
          </cell>
          <cell r="I244">
            <v>10</v>
          </cell>
          <cell r="J244"/>
          <cell r="K244">
            <v>3680</v>
          </cell>
        </row>
        <row r="245">
          <cell r="G245">
            <v>1020802</v>
          </cell>
          <cell r="H245">
            <v>78509</v>
          </cell>
          <cell r="I245">
            <v>47</v>
          </cell>
          <cell r="J245"/>
          <cell r="K245">
            <v>78556</v>
          </cell>
        </row>
        <row r="246">
          <cell r="G246">
            <v>1020810</v>
          </cell>
          <cell r="H246">
            <v>1110</v>
          </cell>
          <cell r="I246"/>
          <cell r="J246"/>
          <cell r="K246">
            <v>1110</v>
          </cell>
        </row>
        <row r="247">
          <cell r="G247">
            <v>1020822</v>
          </cell>
          <cell r="H247">
            <v>15063</v>
          </cell>
          <cell r="I247"/>
          <cell r="J247"/>
          <cell r="K247">
            <v>15063</v>
          </cell>
        </row>
        <row r="248">
          <cell r="G248">
            <v>1020828</v>
          </cell>
          <cell r="H248">
            <v>15890</v>
          </cell>
          <cell r="I248">
            <v>420</v>
          </cell>
          <cell r="J248"/>
          <cell r="K248">
            <v>16310</v>
          </cell>
        </row>
        <row r="249">
          <cell r="G249">
            <v>1020848</v>
          </cell>
          <cell r="H249">
            <v>42066</v>
          </cell>
          <cell r="I249">
            <v>41065</v>
          </cell>
          <cell r="J249"/>
          <cell r="K249">
            <v>83131</v>
          </cell>
        </row>
        <row r="250">
          <cell r="G250">
            <v>1020853</v>
          </cell>
          <cell r="H250">
            <v>30470</v>
          </cell>
          <cell r="I250">
            <v>126</v>
          </cell>
          <cell r="J250"/>
          <cell r="K250">
            <v>30596</v>
          </cell>
        </row>
        <row r="251">
          <cell r="G251">
            <v>1020860</v>
          </cell>
          <cell r="H251">
            <v>36413</v>
          </cell>
          <cell r="I251">
            <v>692</v>
          </cell>
          <cell r="J251"/>
          <cell r="K251">
            <v>37105</v>
          </cell>
        </row>
        <row r="252">
          <cell r="G252">
            <v>1020861</v>
          </cell>
          <cell r="H252">
            <v>43240</v>
          </cell>
          <cell r="I252">
            <v>1088</v>
          </cell>
          <cell r="J252"/>
          <cell r="K252">
            <v>44328</v>
          </cell>
        </row>
        <row r="253">
          <cell r="G253">
            <v>1020869</v>
          </cell>
          <cell r="H253">
            <v>49866</v>
          </cell>
          <cell r="I253">
            <v>23928</v>
          </cell>
          <cell r="J253"/>
          <cell r="K253">
            <v>73794</v>
          </cell>
        </row>
        <row r="254">
          <cell r="G254">
            <v>1020878</v>
          </cell>
          <cell r="H254">
            <v>48273</v>
          </cell>
          <cell r="I254"/>
          <cell r="J254"/>
          <cell r="K254">
            <v>48273</v>
          </cell>
        </row>
        <row r="255">
          <cell r="G255">
            <v>1020886</v>
          </cell>
          <cell r="H255">
            <v>18727</v>
          </cell>
          <cell r="I255"/>
          <cell r="J255"/>
          <cell r="K255">
            <v>18727</v>
          </cell>
        </row>
        <row r="256">
          <cell r="G256">
            <v>1020904</v>
          </cell>
          <cell r="H256">
            <v>19542</v>
          </cell>
          <cell r="I256">
            <v>830</v>
          </cell>
          <cell r="J256"/>
          <cell r="K256">
            <v>20372</v>
          </cell>
        </row>
        <row r="257">
          <cell r="G257">
            <v>1020905</v>
          </cell>
          <cell r="H257">
            <v>9522</v>
          </cell>
          <cell r="I257">
            <v>504</v>
          </cell>
          <cell r="J257"/>
          <cell r="K257">
            <v>10026</v>
          </cell>
        </row>
        <row r="258">
          <cell r="G258">
            <v>1020914</v>
          </cell>
          <cell r="H258">
            <v>2105</v>
          </cell>
          <cell r="I258">
            <v>396</v>
          </cell>
          <cell r="J258"/>
          <cell r="K258">
            <v>2501</v>
          </cell>
        </row>
        <row r="259">
          <cell r="G259">
            <v>1020915</v>
          </cell>
          <cell r="H259">
            <v>58905</v>
          </cell>
          <cell r="I259">
            <v>144</v>
          </cell>
          <cell r="J259"/>
          <cell r="K259">
            <v>59049</v>
          </cell>
        </row>
        <row r="260">
          <cell r="G260">
            <v>1020925</v>
          </cell>
          <cell r="H260">
            <v>140777</v>
          </cell>
          <cell r="I260"/>
          <cell r="J260"/>
          <cell r="K260">
            <v>140777</v>
          </cell>
        </row>
        <row r="261">
          <cell r="G261">
            <v>1020944</v>
          </cell>
          <cell r="H261">
            <v>69481</v>
          </cell>
          <cell r="I261">
            <v>37418</v>
          </cell>
          <cell r="J261"/>
          <cell r="K261">
            <v>106899</v>
          </cell>
        </row>
        <row r="262">
          <cell r="G262">
            <v>1020990</v>
          </cell>
          <cell r="H262">
            <v>8319</v>
          </cell>
          <cell r="I262"/>
          <cell r="J262"/>
          <cell r="K262">
            <v>8319</v>
          </cell>
        </row>
        <row r="263">
          <cell r="G263">
            <v>1020991</v>
          </cell>
          <cell r="H263">
            <v>6751</v>
          </cell>
          <cell r="I263">
            <v>746</v>
          </cell>
          <cell r="J263"/>
          <cell r="K263">
            <v>7497</v>
          </cell>
        </row>
        <row r="264">
          <cell r="G264">
            <v>1021012</v>
          </cell>
          <cell r="H264">
            <v>51932</v>
          </cell>
          <cell r="I264">
            <v>3958</v>
          </cell>
          <cell r="J264"/>
          <cell r="K264">
            <v>55890</v>
          </cell>
        </row>
        <row r="265">
          <cell r="G265">
            <v>1021020</v>
          </cell>
          <cell r="H265">
            <v>23566</v>
          </cell>
          <cell r="I265">
            <v>2830</v>
          </cell>
          <cell r="J265"/>
          <cell r="K265">
            <v>26396</v>
          </cell>
        </row>
        <row r="266">
          <cell r="G266">
            <v>1021023</v>
          </cell>
          <cell r="H266">
            <v>33853</v>
          </cell>
          <cell r="I266">
            <v>2164</v>
          </cell>
          <cell r="J266"/>
          <cell r="K266">
            <v>36017</v>
          </cell>
        </row>
        <row r="267">
          <cell r="G267">
            <v>1021026</v>
          </cell>
          <cell r="H267">
            <v>3511</v>
          </cell>
          <cell r="I267"/>
          <cell r="J267"/>
          <cell r="K267">
            <v>3511</v>
          </cell>
        </row>
        <row r="268">
          <cell r="G268">
            <v>1021039</v>
          </cell>
          <cell r="H268">
            <v>22899</v>
          </cell>
          <cell r="I268">
            <v>2408</v>
          </cell>
          <cell r="J268"/>
          <cell r="K268">
            <v>25307</v>
          </cell>
        </row>
        <row r="269">
          <cell r="G269">
            <v>1021045</v>
          </cell>
          <cell r="H269">
            <v>17947</v>
          </cell>
          <cell r="I269"/>
          <cell r="J269"/>
          <cell r="K269">
            <v>17947</v>
          </cell>
        </row>
        <row r="270">
          <cell r="G270">
            <v>1021046</v>
          </cell>
          <cell r="H270">
            <v>7064</v>
          </cell>
          <cell r="I270"/>
          <cell r="J270"/>
          <cell r="K270">
            <v>7064</v>
          </cell>
        </row>
        <row r="271">
          <cell r="G271">
            <v>1021077</v>
          </cell>
          <cell r="H271">
            <v>45894</v>
          </cell>
          <cell r="I271"/>
          <cell r="J271"/>
          <cell r="K271">
            <v>45894</v>
          </cell>
        </row>
        <row r="272">
          <cell r="G272">
            <v>1021078</v>
          </cell>
          <cell r="H272">
            <v>72923</v>
          </cell>
          <cell r="I272">
            <v>11677</v>
          </cell>
          <cell r="J272"/>
          <cell r="K272">
            <v>84600</v>
          </cell>
        </row>
        <row r="273">
          <cell r="G273">
            <v>1021082</v>
          </cell>
          <cell r="H273">
            <v>27671</v>
          </cell>
          <cell r="I273"/>
          <cell r="J273"/>
          <cell r="K273">
            <v>27671</v>
          </cell>
        </row>
        <row r="274">
          <cell r="G274">
            <v>1021085</v>
          </cell>
          <cell r="H274">
            <v>21251</v>
          </cell>
          <cell r="I274">
            <v>61</v>
          </cell>
          <cell r="J274"/>
          <cell r="K274">
            <v>21312</v>
          </cell>
        </row>
        <row r="275">
          <cell r="G275">
            <v>1021092</v>
          </cell>
          <cell r="H275">
            <v>47563</v>
          </cell>
          <cell r="I275">
            <v>8117</v>
          </cell>
          <cell r="J275"/>
          <cell r="K275">
            <v>55680</v>
          </cell>
        </row>
        <row r="276">
          <cell r="G276">
            <v>1021101</v>
          </cell>
          <cell r="H276">
            <v>22235</v>
          </cell>
          <cell r="I276">
            <v>936</v>
          </cell>
          <cell r="J276"/>
          <cell r="K276">
            <v>23171</v>
          </cell>
        </row>
        <row r="277">
          <cell r="G277">
            <v>1021105</v>
          </cell>
          <cell r="H277">
            <v>33489</v>
          </cell>
          <cell r="I277">
            <v>3598</v>
          </cell>
          <cell r="J277"/>
          <cell r="K277">
            <v>37087</v>
          </cell>
        </row>
        <row r="278">
          <cell r="G278">
            <v>1021106</v>
          </cell>
          <cell r="H278">
            <v>24483</v>
          </cell>
          <cell r="I278">
            <v>504</v>
          </cell>
          <cell r="J278"/>
          <cell r="K278">
            <v>24987</v>
          </cell>
        </row>
        <row r="279">
          <cell r="G279">
            <v>1021111</v>
          </cell>
          <cell r="H279">
            <v>5811</v>
          </cell>
          <cell r="I279">
            <v>1263</v>
          </cell>
          <cell r="J279"/>
          <cell r="K279">
            <v>7074</v>
          </cell>
        </row>
        <row r="280">
          <cell r="G280">
            <v>1021115</v>
          </cell>
          <cell r="H280">
            <v>41760</v>
          </cell>
          <cell r="I280"/>
          <cell r="J280"/>
          <cell r="K280">
            <v>41760</v>
          </cell>
        </row>
        <row r="281">
          <cell r="G281">
            <v>1021136</v>
          </cell>
          <cell r="H281">
            <v>5960</v>
          </cell>
          <cell r="I281">
            <v>230</v>
          </cell>
          <cell r="J281"/>
          <cell r="K281">
            <v>6190</v>
          </cell>
        </row>
        <row r="282">
          <cell r="G282">
            <v>1021149</v>
          </cell>
          <cell r="H282">
            <v>16832</v>
          </cell>
          <cell r="I282"/>
          <cell r="J282"/>
          <cell r="K282">
            <v>16832</v>
          </cell>
        </row>
        <row r="283">
          <cell r="G283">
            <v>1021150</v>
          </cell>
          <cell r="H283">
            <v>20912</v>
          </cell>
          <cell r="I283"/>
          <cell r="J283"/>
          <cell r="K283">
            <v>20912</v>
          </cell>
        </row>
        <row r="284">
          <cell r="G284">
            <v>1021151</v>
          </cell>
          <cell r="H284">
            <v>2800</v>
          </cell>
          <cell r="I284"/>
          <cell r="J284"/>
          <cell r="K284">
            <v>2800</v>
          </cell>
        </row>
        <row r="285">
          <cell r="G285">
            <v>1021152</v>
          </cell>
          <cell r="H285">
            <v>21376</v>
          </cell>
          <cell r="I285"/>
          <cell r="J285"/>
          <cell r="K285">
            <v>21376</v>
          </cell>
        </row>
        <row r="286">
          <cell r="G286">
            <v>1021156</v>
          </cell>
          <cell r="H286">
            <v>44100</v>
          </cell>
          <cell r="I286">
            <v>1961</v>
          </cell>
          <cell r="J286"/>
          <cell r="K286">
            <v>46061</v>
          </cell>
        </row>
        <row r="287">
          <cell r="G287">
            <v>1021187</v>
          </cell>
          <cell r="H287">
            <v>15670</v>
          </cell>
          <cell r="I287">
            <v>22739</v>
          </cell>
          <cell r="J287"/>
          <cell r="K287">
            <v>38409</v>
          </cell>
        </row>
        <row r="288">
          <cell r="G288">
            <v>1021204</v>
          </cell>
          <cell r="H288">
            <v>45100</v>
          </cell>
          <cell r="I288"/>
          <cell r="J288"/>
          <cell r="K288">
            <v>45100</v>
          </cell>
        </row>
        <row r="289">
          <cell r="G289">
            <v>1021260</v>
          </cell>
          <cell r="H289">
            <v>23</v>
          </cell>
          <cell r="I289"/>
          <cell r="J289"/>
          <cell r="K289">
            <v>23</v>
          </cell>
        </row>
        <row r="290">
          <cell r="G290">
            <v>1021267</v>
          </cell>
          <cell r="H290">
            <v>10911</v>
          </cell>
          <cell r="I290">
            <v>24</v>
          </cell>
          <cell r="J290"/>
          <cell r="K290">
            <v>10935</v>
          </cell>
        </row>
        <row r="291">
          <cell r="G291">
            <v>1021270</v>
          </cell>
          <cell r="H291">
            <v>66445</v>
          </cell>
          <cell r="I291">
            <v>612</v>
          </cell>
          <cell r="J291"/>
          <cell r="K291">
            <v>67057</v>
          </cell>
        </row>
        <row r="292">
          <cell r="G292">
            <v>1021272</v>
          </cell>
          <cell r="H292">
            <v>28827</v>
          </cell>
          <cell r="I292">
            <v>34637</v>
          </cell>
          <cell r="J292"/>
          <cell r="K292">
            <v>63464</v>
          </cell>
        </row>
        <row r="293">
          <cell r="G293">
            <v>1021279</v>
          </cell>
          <cell r="H293">
            <v>10997</v>
          </cell>
          <cell r="I293">
            <v>1426</v>
          </cell>
          <cell r="J293"/>
          <cell r="K293">
            <v>12423</v>
          </cell>
        </row>
        <row r="294">
          <cell r="G294">
            <v>1021334</v>
          </cell>
          <cell r="H294">
            <v>2946</v>
          </cell>
          <cell r="I294">
            <v>117</v>
          </cell>
          <cell r="J294"/>
          <cell r="K294">
            <v>3063</v>
          </cell>
        </row>
        <row r="295">
          <cell r="G295">
            <v>1021385</v>
          </cell>
          <cell r="H295">
            <v>112163</v>
          </cell>
          <cell r="I295">
            <v>17940</v>
          </cell>
          <cell r="J295"/>
          <cell r="K295">
            <v>130103</v>
          </cell>
        </row>
        <row r="296">
          <cell r="G296">
            <v>1021394</v>
          </cell>
          <cell r="H296">
            <v>3276</v>
          </cell>
          <cell r="I296">
            <v>150</v>
          </cell>
          <cell r="J296"/>
          <cell r="K296">
            <v>3426</v>
          </cell>
        </row>
        <row r="297">
          <cell r="G297">
            <v>1021398</v>
          </cell>
          <cell r="H297">
            <v>16900</v>
          </cell>
          <cell r="I297">
            <v>230</v>
          </cell>
          <cell r="J297"/>
          <cell r="K297">
            <v>17130</v>
          </cell>
        </row>
        <row r="298">
          <cell r="G298">
            <v>1021433</v>
          </cell>
          <cell r="H298">
            <v>26258</v>
          </cell>
          <cell r="I298">
            <v>1197</v>
          </cell>
          <cell r="J298"/>
          <cell r="K298">
            <v>27455</v>
          </cell>
        </row>
        <row r="299">
          <cell r="G299">
            <v>1021470</v>
          </cell>
          <cell r="H299">
            <v>17172</v>
          </cell>
          <cell r="I299">
            <v>1399</v>
          </cell>
          <cell r="J299"/>
          <cell r="K299">
            <v>18571</v>
          </cell>
        </row>
        <row r="300">
          <cell r="G300">
            <v>1021477</v>
          </cell>
          <cell r="H300">
            <v>19488</v>
          </cell>
          <cell r="I300">
            <v>294</v>
          </cell>
          <cell r="J300"/>
          <cell r="K300">
            <v>19782</v>
          </cell>
        </row>
        <row r="301">
          <cell r="G301">
            <v>1021533</v>
          </cell>
          <cell r="H301">
            <v>3357</v>
          </cell>
          <cell r="I301">
            <v>387</v>
          </cell>
          <cell r="J301"/>
          <cell r="K301">
            <v>3744</v>
          </cell>
        </row>
        <row r="302">
          <cell r="G302">
            <v>1021538</v>
          </cell>
          <cell r="H302">
            <v>38535</v>
          </cell>
          <cell r="I302">
            <v>3984</v>
          </cell>
          <cell r="J302"/>
          <cell r="K302">
            <v>42519</v>
          </cell>
        </row>
        <row r="303">
          <cell r="G303">
            <v>1021555</v>
          </cell>
          <cell r="H303">
            <v>44048</v>
          </cell>
          <cell r="I303">
            <v>22185</v>
          </cell>
          <cell r="J303"/>
          <cell r="K303">
            <v>66233</v>
          </cell>
        </row>
        <row r="304">
          <cell r="G304">
            <v>1021588</v>
          </cell>
          <cell r="H304">
            <v>80016</v>
          </cell>
          <cell r="I304">
            <v>2533</v>
          </cell>
          <cell r="J304"/>
          <cell r="K304">
            <v>82549</v>
          </cell>
        </row>
        <row r="305">
          <cell r="G305">
            <v>1021596</v>
          </cell>
          <cell r="H305">
            <v>26608</v>
          </cell>
          <cell r="I305"/>
          <cell r="J305"/>
          <cell r="K305">
            <v>26608</v>
          </cell>
        </row>
        <row r="306">
          <cell r="G306">
            <v>1021603</v>
          </cell>
          <cell r="H306">
            <v>3043</v>
          </cell>
          <cell r="I306">
            <v>443</v>
          </cell>
          <cell r="J306"/>
          <cell r="K306">
            <v>3486</v>
          </cell>
        </row>
        <row r="307">
          <cell r="G307">
            <v>1021609</v>
          </cell>
          <cell r="H307">
            <v>12494</v>
          </cell>
          <cell r="I307">
            <v>1039</v>
          </cell>
          <cell r="J307"/>
          <cell r="K307">
            <v>13533</v>
          </cell>
        </row>
        <row r="308">
          <cell r="G308">
            <v>1021620</v>
          </cell>
          <cell r="H308">
            <v>20240</v>
          </cell>
          <cell r="I308">
            <v>4151</v>
          </cell>
          <cell r="J308"/>
          <cell r="K308">
            <v>24391</v>
          </cell>
        </row>
        <row r="309">
          <cell r="G309">
            <v>1021622</v>
          </cell>
          <cell r="H309">
            <v>14120</v>
          </cell>
          <cell r="I309">
            <v>1612</v>
          </cell>
          <cell r="J309"/>
          <cell r="K309">
            <v>15732</v>
          </cell>
        </row>
        <row r="310">
          <cell r="G310">
            <v>1021639</v>
          </cell>
          <cell r="H310">
            <v>320</v>
          </cell>
          <cell r="I310"/>
          <cell r="J310"/>
          <cell r="K310">
            <v>320</v>
          </cell>
        </row>
        <row r="311">
          <cell r="G311">
            <v>1021655</v>
          </cell>
          <cell r="H311">
            <v>8600</v>
          </cell>
          <cell r="I311">
            <v>1840</v>
          </cell>
          <cell r="J311"/>
          <cell r="K311">
            <v>10440</v>
          </cell>
        </row>
        <row r="312">
          <cell r="G312">
            <v>1021664</v>
          </cell>
          <cell r="H312">
            <v>26371</v>
          </cell>
          <cell r="I312">
            <v>116</v>
          </cell>
          <cell r="J312"/>
          <cell r="K312">
            <v>26487</v>
          </cell>
        </row>
        <row r="313">
          <cell r="G313">
            <v>1021665</v>
          </cell>
          <cell r="H313">
            <v>1774</v>
          </cell>
          <cell r="I313"/>
          <cell r="J313"/>
          <cell r="K313">
            <v>1774</v>
          </cell>
        </row>
        <row r="314">
          <cell r="G314">
            <v>1021731</v>
          </cell>
          <cell r="H314">
            <v>33500</v>
          </cell>
          <cell r="I314">
            <v>56285</v>
          </cell>
          <cell r="J314"/>
          <cell r="K314">
            <v>89785</v>
          </cell>
        </row>
        <row r="315">
          <cell r="G315">
            <v>1021732</v>
          </cell>
          <cell r="H315">
            <v>55820</v>
          </cell>
          <cell r="I315">
            <v>65360</v>
          </cell>
          <cell r="J315"/>
          <cell r="K315">
            <v>121180</v>
          </cell>
        </row>
        <row r="316">
          <cell r="G316">
            <v>1021733</v>
          </cell>
          <cell r="H316">
            <v>57540</v>
          </cell>
          <cell r="I316">
            <v>3778</v>
          </cell>
          <cell r="J316"/>
          <cell r="K316">
            <v>61318</v>
          </cell>
        </row>
        <row r="317">
          <cell r="G317">
            <v>1021735</v>
          </cell>
          <cell r="H317">
            <v>18620</v>
          </cell>
          <cell r="I317">
            <v>17980</v>
          </cell>
          <cell r="J317"/>
          <cell r="K317">
            <v>36600</v>
          </cell>
        </row>
        <row r="318">
          <cell r="G318">
            <v>1021737</v>
          </cell>
          <cell r="H318">
            <v>38400</v>
          </cell>
          <cell r="I318">
            <v>1960</v>
          </cell>
          <cell r="J318"/>
          <cell r="K318">
            <v>40360</v>
          </cell>
        </row>
        <row r="319">
          <cell r="G319">
            <v>1021738</v>
          </cell>
          <cell r="H319">
            <v>45080</v>
          </cell>
          <cell r="I319">
            <v>20001</v>
          </cell>
          <cell r="J319"/>
          <cell r="K319">
            <v>65081</v>
          </cell>
        </row>
        <row r="320">
          <cell r="G320">
            <v>1021739</v>
          </cell>
          <cell r="H320">
            <v>32051</v>
          </cell>
          <cell r="I320">
            <v>3350</v>
          </cell>
          <cell r="J320"/>
          <cell r="K320">
            <v>35401</v>
          </cell>
        </row>
        <row r="321">
          <cell r="G321">
            <v>1021740</v>
          </cell>
          <cell r="H321">
            <v>51916</v>
          </cell>
          <cell r="I321">
            <v>3834</v>
          </cell>
          <cell r="J321"/>
          <cell r="K321">
            <v>55750</v>
          </cell>
        </row>
        <row r="322">
          <cell r="G322">
            <v>1021766</v>
          </cell>
          <cell r="H322">
            <v>118332</v>
          </cell>
          <cell r="I322">
            <v>27595</v>
          </cell>
          <cell r="J322"/>
          <cell r="K322">
            <v>145927</v>
          </cell>
        </row>
        <row r="323">
          <cell r="G323">
            <v>1021767</v>
          </cell>
          <cell r="H323">
            <v>124308</v>
          </cell>
          <cell r="I323">
            <v>64691</v>
          </cell>
          <cell r="J323"/>
          <cell r="K323">
            <v>188999</v>
          </cell>
        </row>
        <row r="324">
          <cell r="G324">
            <v>1021771</v>
          </cell>
          <cell r="H324">
            <v>130</v>
          </cell>
          <cell r="I324"/>
          <cell r="J324"/>
          <cell r="K324">
            <v>130</v>
          </cell>
        </row>
        <row r="325">
          <cell r="G325">
            <v>1021772</v>
          </cell>
          <cell r="H325">
            <v>4761</v>
          </cell>
          <cell r="I325">
            <v>282</v>
          </cell>
          <cell r="J325"/>
          <cell r="K325">
            <v>5043</v>
          </cell>
        </row>
        <row r="326">
          <cell r="G326">
            <v>1021773</v>
          </cell>
          <cell r="H326">
            <v>6940</v>
          </cell>
          <cell r="I326"/>
          <cell r="J326"/>
          <cell r="K326">
            <v>6940</v>
          </cell>
        </row>
        <row r="327">
          <cell r="G327">
            <v>1021774</v>
          </cell>
          <cell r="H327">
            <v>38300</v>
          </cell>
          <cell r="I327">
            <v>13328</v>
          </cell>
          <cell r="J327"/>
          <cell r="K327">
            <v>51628</v>
          </cell>
        </row>
        <row r="328">
          <cell r="G328">
            <v>1021864</v>
          </cell>
          <cell r="H328">
            <v>38623</v>
          </cell>
          <cell r="I328">
            <v>9222</v>
          </cell>
          <cell r="J328"/>
          <cell r="K328">
            <v>47845</v>
          </cell>
        </row>
        <row r="329">
          <cell r="G329">
            <v>1021868</v>
          </cell>
          <cell r="H329">
            <v>51202</v>
          </cell>
          <cell r="I329">
            <v>47</v>
          </cell>
          <cell r="J329"/>
          <cell r="K329">
            <v>51249</v>
          </cell>
        </row>
        <row r="330">
          <cell r="G330">
            <v>1021874</v>
          </cell>
          <cell r="H330">
            <v>46996</v>
          </cell>
          <cell r="I330">
            <v>24669</v>
          </cell>
          <cell r="J330"/>
          <cell r="K330">
            <v>71665</v>
          </cell>
        </row>
        <row r="331">
          <cell r="G331">
            <v>1021905</v>
          </cell>
          <cell r="H331">
            <v>9089</v>
          </cell>
          <cell r="I331"/>
          <cell r="J331"/>
          <cell r="K331">
            <v>9089</v>
          </cell>
        </row>
        <row r="332">
          <cell r="G332">
            <v>1021921</v>
          </cell>
          <cell r="H332">
            <v>759</v>
          </cell>
          <cell r="I332"/>
          <cell r="J332"/>
          <cell r="K332">
            <v>759</v>
          </cell>
        </row>
        <row r="333">
          <cell r="G333">
            <v>1021922</v>
          </cell>
          <cell r="H333">
            <v>2270</v>
          </cell>
          <cell r="I333"/>
          <cell r="J333"/>
          <cell r="K333">
            <v>2270</v>
          </cell>
        </row>
        <row r="334">
          <cell r="G334">
            <v>1021924</v>
          </cell>
          <cell r="H334">
            <v>5138</v>
          </cell>
          <cell r="I334"/>
          <cell r="J334"/>
          <cell r="K334">
            <v>5138</v>
          </cell>
        </row>
        <row r="335">
          <cell r="G335">
            <v>1021925</v>
          </cell>
          <cell r="H335">
            <v>15971</v>
          </cell>
          <cell r="I335">
            <v>574</v>
          </cell>
          <cell r="J335"/>
          <cell r="K335">
            <v>16545</v>
          </cell>
        </row>
        <row r="336">
          <cell r="G336">
            <v>1021929</v>
          </cell>
          <cell r="H336">
            <v>450</v>
          </cell>
          <cell r="I336"/>
          <cell r="J336"/>
          <cell r="K336">
            <v>450</v>
          </cell>
        </row>
        <row r="337">
          <cell r="G337">
            <v>1021931</v>
          </cell>
          <cell r="H337">
            <v>30410</v>
          </cell>
          <cell r="I337">
            <v>385</v>
          </cell>
          <cell r="J337"/>
          <cell r="K337">
            <v>30795</v>
          </cell>
        </row>
        <row r="338">
          <cell r="G338">
            <v>1021936</v>
          </cell>
          <cell r="H338">
            <v>29340</v>
          </cell>
          <cell r="I338">
            <v>18459</v>
          </cell>
          <cell r="J338"/>
          <cell r="K338">
            <v>47799</v>
          </cell>
        </row>
        <row r="339">
          <cell r="G339">
            <v>1021944</v>
          </cell>
          <cell r="H339">
            <v>6000</v>
          </cell>
          <cell r="I339"/>
          <cell r="J339"/>
          <cell r="K339">
            <v>6000</v>
          </cell>
        </row>
        <row r="340">
          <cell r="G340">
            <v>1021945</v>
          </cell>
          <cell r="H340">
            <v>780</v>
          </cell>
          <cell r="I340">
            <v>771</v>
          </cell>
          <cell r="J340"/>
          <cell r="K340">
            <v>1551</v>
          </cell>
        </row>
        <row r="341">
          <cell r="G341">
            <v>1021952</v>
          </cell>
          <cell r="H341">
            <v>6360</v>
          </cell>
          <cell r="I341">
            <v>10</v>
          </cell>
          <cell r="J341"/>
          <cell r="K341">
            <v>6370</v>
          </cell>
        </row>
        <row r="342">
          <cell r="G342">
            <v>1021971</v>
          </cell>
          <cell r="H342">
            <v>4300</v>
          </cell>
          <cell r="I342">
            <v>6960</v>
          </cell>
          <cell r="J342"/>
          <cell r="K342">
            <v>11260</v>
          </cell>
        </row>
        <row r="343">
          <cell r="G343">
            <v>1021976</v>
          </cell>
          <cell r="H343">
            <v>98410</v>
          </cell>
          <cell r="I343">
            <v>15631</v>
          </cell>
          <cell r="J343"/>
          <cell r="K343">
            <v>114041</v>
          </cell>
        </row>
        <row r="344">
          <cell r="G344">
            <v>1021980</v>
          </cell>
          <cell r="H344">
            <v>6594</v>
          </cell>
          <cell r="I344">
            <v>393</v>
          </cell>
          <cell r="J344"/>
          <cell r="K344">
            <v>6987</v>
          </cell>
        </row>
        <row r="345">
          <cell r="G345">
            <v>1021987</v>
          </cell>
          <cell r="H345">
            <v>8170</v>
          </cell>
          <cell r="I345">
            <v>2350</v>
          </cell>
          <cell r="J345"/>
          <cell r="K345">
            <v>10520</v>
          </cell>
        </row>
        <row r="346">
          <cell r="G346">
            <v>1021992</v>
          </cell>
          <cell r="H346">
            <v>107800</v>
          </cell>
          <cell r="I346">
            <v>39234</v>
          </cell>
          <cell r="J346"/>
          <cell r="K346">
            <v>147034</v>
          </cell>
        </row>
        <row r="347">
          <cell r="G347">
            <v>1021997</v>
          </cell>
          <cell r="H347">
            <v>14680</v>
          </cell>
          <cell r="I347">
            <v>3942</v>
          </cell>
          <cell r="J347"/>
          <cell r="K347">
            <v>18622</v>
          </cell>
        </row>
        <row r="348">
          <cell r="G348">
            <v>1022033</v>
          </cell>
          <cell r="H348">
            <v>37830</v>
          </cell>
          <cell r="I348">
            <v>2100</v>
          </cell>
          <cell r="J348"/>
          <cell r="K348">
            <v>39930</v>
          </cell>
        </row>
        <row r="349">
          <cell r="G349">
            <v>1022047</v>
          </cell>
          <cell r="H349">
            <v>1626</v>
          </cell>
          <cell r="I349"/>
          <cell r="J349"/>
          <cell r="K349">
            <v>1626</v>
          </cell>
        </row>
        <row r="350">
          <cell r="G350">
            <v>1022073</v>
          </cell>
          <cell r="H350">
            <v>53927</v>
          </cell>
          <cell r="I350">
            <v>6594</v>
          </cell>
          <cell r="J350"/>
          <cell r="K350">
            <v>60521</v>
          </cell>
        </row>
        <row r="351">
          <cell r="G351">
            <v>1022080</v>
          </cell>
          <cell r="H351">
            <v>30490</v>
          </cell>
          <cell r="I351">
            <v>7140</v>
          </cell>
          <cell r="J351"/>
          <cell r="K351">
            <v>37630</v>
          </cell>
        </row>
        <row r="352">
          <cell r="G352">
            <v>1022083</v>
          </cell>
          <cell r="H352">
            <v>3697</v>
          </cell>
          <cell r="I352">
            <v>13</v>
          </cell>
          <cell r="J352"/>
          <cell r="K352">
            <v>3710</v>
          </cell>
        </row>
        <row r="353">
          <cell r="G353">
            <v>1022096</v>
          </cell>
          <cell r="H353">
            <v>111350</v>
          </cell>
          <cell r="I353">
            <v>28966</v>
          </cell>
          <cell r="J353"/>
          <cell r="K353">
            <v>140316</v>
          </cell>
        </row>
        <row r="354">
          <cell r="G354">
            <v>1022099</v>
          </cell>
          <cell r="H354">
            <v>64980</v>
          </cell>
          <cell r="I354">
            <v>62060</v>
          </cell>
          <cell r="J354"/>
          <cell r="K354">
            <v>127040</v>
          </cell>
        </row>
        <row r="355">
          <cell r="G355">
            <v>1022101</v>
          </cell>
          <cell r="H355">
            <v>3948</v>
          </cell>
          <cell r="I355"/>
          <cell r="J355"/>
          <cell r="K355">
            <v>3948</v>
          </cell>
        </row>
        <row r="356">
          <cell r="G356">
            <v>1022108</v>
          </cell>
          <cell r="H356"/>
          <cell r="I356">
            <v>759</v>
          </cell>
          <cell r="J356"/>
          <cell r="K356">
            <v>759</v>
          </cell>
        </row>
        <row r="357">
          <cell r="G357">
            <v>1022125</v>
          </cell>
          <cell r="H357">
            <v>40083</v>
          </cell>
          <cell r="I357">
            <v>67578</v>
          </cell>
          <cell r="J357"/>
          <cell r="K357">
            <v>107661</v>
          </cell>
        </row>
        <row r="358">
          <cell r="G358">
            <v>1022128</v>
          </cell>
          <cell r="H358">
            <v>16228</v>
          </cell>
          <cell r="I358">
            <v>157</v>
          </cell>
          <cell r="J358"/>
          <cell r="K358">
            <v>16385</v>
          </cell>
        </row>
        <row r="359">
          <cell r="G359">
            <v>1022141</v>
          </cell>
          <cell r="H359">
            <v>58196</v>
          </cell>
          <cell r="I359">
            <v>905</v>
          </cell>
          <cell r="J359"/>
          <cell r="K359">
            <v>59101</v>
          </cell>
        </row>
        <row r="360">
          <cell r="G360">
            <v>1022142</v>
          </cell>
          <cell r="H360">
            <v>40602</v>
          </cell>
          <cell r="I360">
            <v>20</v>
          </cell>
          <cell r="J360"/>
          <cell r="K360">
            <v>40622</v>
          </cell>
        </row>
        <row r="361">
          <cell r="G361">
            <v>1022145</v>
          </cell>
          <cell r="H361">
            <v>1511</v>
          </cell>
          <cell r="I361"/>
          <cell r="J361"/>
          <cell r="K361">
            <v>1511</v>
          </cell>
        </row>
        <row r="362">
          <cell r="G362">
            <v>1022148</v>
          </cell>
          <cell r="H362"/>
          <cell r="I362">
            <v>6</v>
          </cell>
          <cell r="J362"/>
          <cell r="K362">
            <v>6</v>
          </cell>
        </row>
        <row r="363">
          <cell r="G363">
            <v>1022149</v>
          </cell>
          <cell r="H363">
            <v>4304</v>
          </cell>
          <cell r="I363">
            <v>2611</v>
          </cell>
          <cell r="J363"/>
          <cell r="K363">
            <v>6915</v>
          </cell>
        </row>
        <row r="364">
          <cell r="G364">
            <v>1022150</v>
          </cell>
          <cell r="H364">
            <v>87128</v>
          </cell>
          <cell r="I364"/>
          <cell r="J364"/>
          <cell r="K364">
            <v>87128</v>
          </cell>
        </row>
        <row r="365">
          <cell r="G365">
            <v>1022169</v>
          </cell>
          <cell r="H365">
            <v>67940</v>
          </cell>
          <cell r="I365">
            <v>59493</v>
          </cell>
          <cell r="J365"/>
          <cell r="K365">
            <v>127433</v>
          </cell>
        </row>
        <row r="366">
          <cell r="G366">
            <v>1022182</v>
          </cell>
          <cell r="H366">
            <v>1150</v>
          </cell>
          <cell r="I366"/>
          <cell r="J366"/>
          <cell r="K366">
            <v>1150</v>
          </cell>
        </row>
        <row r="367">
          <cell r="G367">
            <v>1022183</v>
          </cell>
          <cell r="H367">
            <v>163509</v>
          </cell>
          <cell r="I367">
            <v>151386</v>
          </cell>
          <cell r="J367"/>
          <cell r="K367">
            <v>314895</v>
          </cell>
        </row>
        <row r="368">
          <cell r="G368">
            <v>1022186</v>
          </cell>
          <cell r="H368">
            <v>68400</v>
          </cell>
          <cell r="I368">
            <v>6687</v>
          </cell>
          <cell r="J368"/>
          <cell r="K368">
            <v>75087</v>
          </cell>
        </row>
        <row r="369">
          <cell r="G369">
            <v>1022193</v>
          </cell>
          <cell r="H369">
            <v>24579</v>
          </cell>
          <cell r="I369">
            <v>927</v>
          </cell>
          <cell r="J369"/>
          <cell r="K369">
            <v>25506</v>
          </cell>
        </row>
        <row r="370">
          <cell r="G370">
            <v>1022196</v>
          </cell>
          <cell r="H370">
            <v>16389</v>
          </cell>
          <cell r="I370">
            <v>25780</v>
          </cell>
          <cell r="J370"/>
          <cell r="K370">
            <v>42169</v>
          </cell>
        </row>
        <row r="371">
          <cell r="G371">
            <v>1022197</v>
          </cell>
          <cell r="H371">
            <v>14151</v>
          </cell>
          <cell r="I371"/>
          <cell r="J371"/>
          <cell r="K371">
            <v>14151</v>
          </cell>
        </row>
        <row r="372">
          <cell r="G372">
            <v>1022212</v>
          </cell>
          <cell r="H372">
            <v>147732</v>
          </cell>
          <cell r="I372">
            <v>48155</v>
          </cell>
          <cell r="J372"/>
          <cell r="K372">
            <v>195887</v>
          </cell>
        </row>
        <row r="373">
          <cell r="G373">
            <v>1022217</v>
          </cell>
          <cell r="H373">
            <v>125407</v>
          </cell>
          <cell r="I373">
            <v>35295</v>
          </cell>
          <cell r="J373"/>
          <cell r="K373">
            <v>160702</v>
          </cell>
        </row>
        <row r="374">
          <cell r="G374">
            <v>1022218</v>
          </cell>
          <cell r="H374">
            <v>41638</v>
          </cell>
          <cell r="I374">
            <v>10705</v>
          </cell>
          <cell r="J374"/>
          <cell r="K374">
            <v>52343</v>
          </cell>
        </row>
        <row r="375">
          <cell r="G375">
            <v>1022227</v>
          </cell>
          <cell r="H375">
            <v>4296</v>
          </cell>
          <cell r="I375"/>
          <cell r="J375"/>
          <cell r="K375">
            <v>4296</v>
          </cell>
        </row>
        <row r="376">
          <cell r="G376">
            <v>1022232</v>
          </cell>
          <cell r="H376">
            <v>13</v>
          </cell>
          <cell r="I376">
            <v>13</v>
          </cell>
          <cell r="J376"/>
          <cell r="K376">
            <v>26</v>
          </cell>
        </row>
        <row r="377">
          <cell r="G377">
            <v>1022273</v>
          </cell>
          <cell r="H377">
            <v>118036</v>
          </cell>
          <cell r="I377">
            <v>40106</v>
          </cell>
          <cell r="J377"/>
          <cell r="K377">
            <v>158142</v>
          </cell>
        </row>
        <row r="378">
          <cell r="G378">
            <v>1022283</v>
          </cell>
          <cell r="H378">
            <v>7740</v>
          </cell>
          <cell r="I378"/>
          <cell r="J378"/>
          <cell r="K378">
            <v>7740</v>
          </cell>
        </row>
        <row r="379">
          <cell r="G379">
            <v>1022290</v>
          </cell>
          <cell r="H379">
            <v>20298</v>
          </cell>
          <cell r="I379"/>
          <cell r="J379"/>
          <cell r="K379">
            <v>20298</v>
          </cell>
        </row>
        <row r="380">
          <cell r="G380">
            <v>1022291</v>
          </cell>
          <cell r="H380">
            <v>51857</v>
          </cell>
          <cell r="I380">
            <v>5967</v>
          </cell>
          <cell r="J380"/>
          <cell r="K380">
            <v>57824</v>
          </cell>
        </row>
        <row r="381">
          <cell r="G381">
            <v>1022293</v>
          </cell>
          <cell r="H381">
            <v>1025</v>
          </cell>
          <cell r="I381"/>
          <cell r="J381"/>
          <cell r="K381">
            <v>1025</v>
          </cell>
        </row>
        <row r="382">
          <cell r="G382">
            <v>1022301</v>
          </cell>
          <cell r="H382">
            <v>270</v>
          </cell>
          <cell r="I382"/>
          <cell r="J382"/>
          <cell r="K382">
            <v>270</v>
          </cell>
        </row>
        <row r="383">
          <cell r="G383">
            <v>1022304</v>
          </cell>
          <cell r="H383">
            <v>10686</v>
          </cell>
          <cell r="I383">
            <v>3700</v>
          </cell>
          <cell r="J383"/>
          <cell r="K383">
            <v>14386</v>
          </cell>
        </row>
        <row r="384">
          <cell r="G384">
            <v>1022313</v>
          </cell>
          <cell r="H384">
            <v>5067</v>
          </cell>
          <cell r="I384">
            <v>457</v>
          </cell>
          <cell r="J384"/>
          <cell r="K384">
            <v>5524</v>
          </cell>
        </row>
        <row r="385">
          <cell r="G385">
            <v>1022326</v>
          </cell>
          <cell r="H385">
            <v>19648</v>
          </cell>
          <cell r="I385">
            <v>590</v>
          </cell>
          <cell r="J385"/>
          <cell r="K385">
            <v>20238</v>
          </cell>
        </row>
        <row r="386">
          <cell r="G386">
            <v>1022329</v>
          </cell>
          <cell r="H386"/>
          <cell r="I386">
            <v>946</v>
          </cell>
          <cell r="J386"/>
          <cell r="K386">
            <v>946</v>
          </cell>
        </row>
        <row r="387">
          <cell r="G387">
            <v>1022330</v>
          </cell>
          <cell r="H387"/>
          <cell r="I387">
            <v>900</v>
          </cell>
          <cell r="J387"/>
          <cell r="K387">
            <v>900</v>
          </cell>
        </row>
        <row r="388">
          <cell r="G388">
            <v>1022344</v>
          </cell>
          <cell r="H388">
            <v>6789</v>
          </cell>
          <cell r="I388">
            <v>3467</v>
          </cell>
          <cell r="J388"/>
          <cell r="K388">
            <v>10256</v>
          </cell>
        </row>
        <row r="389">
          <cell r="G389">
            <v>1022345</v>
          </cell>
          <cell r="H389">
            <v>396</v>
          </cell>
          <cell r="I389">
            <v>12</v>
          </cell>
          <cell r="J389"/>
          <cell r="K389">
            <v>408</v>
          </cell>
        </row>
        <row r="390">
          <cell r="G390">
            <v>1022370</v>
          </cell>
          <cell r="H390">
            <v>43097</v>
          </cell>
          <cell r="I390">
            <v>780</v>
          </cell>
          <cell r="J390"/>
          <cell r="K390">
            <v>43877</v>
          </cell>
        </row>
        <row r="391">
          <cell r="G391">
            <v>1022371</v>
          </cell>
          <cell r="H391">
            <v>5483</v>
          </cell>
          <cell r="I391"/>
          <cell r="J391"/>
          <cell r="K391">
            <v>5483</v>
          </cell>
        </row>
        <row r="392">
          <cell r="G392">
            <v>1022373</v>
          </cell>
          <cell r="H392">
            <v>19901</v>
          </cell>
          <cell r="I392">
            <v>550</v>
          </cell>
          <cell r="J392"/>
          <cell r="K392">
            <v>20451</v>
          </cell>
        </row>
        <row r="393">
          <cell r="G393">
            <v>1022378</v>
          </cell>
          <cell r="H393">
            <v>86490</v>
          </cell>
          <cell r="I393">
            <v>12850</v>
          </cell>
          <cell r="J393"/>
          <cell r="K393">
            <v>99340</v>
          </cell>
        </row>
        <row r="394">
          <cell r="G394">
            <v>1022379</v>
          </cell>
          <cell r="H394">
            <v>79827</v>
          </cell>
          <cell r="I394">
            <v>76791</v>
          </cell>
          <cell r="J394"/>
          <cell r="K394">
            <v>156618</v>
          </cell>
        </row>
        <row r="395">
          <cell r="G395">
            <v>1022380</v>
          </cell>
          <cell r="H395">
            <v>3823</v>
          </cell>
          <cell r="I395">
            <v>91</v>
          </cell>
          <cell r="J395"/>
          <cell r="K395">
            <v>3914</v>
          </cell>
        </row>
        <row r="396">
          <cell r="G396">
            <v>1022381</v>
          </cell>
          <cell r="H396">
            <v>63040</v>
          </cell>
          <cell r="I396">
            <v>7951</v>
          </cell>
          <cell r="J396"/>
          <cell r="K396">
            <v>70991</v>
          </cell>
        </row>
        <row r="397">
          <cell r="G397">
            <v>1022388</v>
          </cell>
          <cell r="H397">
            <v>62360</v>
          </cell>
          <cell r="I397">
            <v>14496</v>
          </cell>
          <cell r="J397"/>
          <cell r="K397">
            <v>76856</v>
          </cell>
        </row>
        <row r="398">
          <cell r="G398">
            <v>1022389</v>
          </cell>
          <cell r="H398">
            <v>800</v>
          </cell>
          <cell r="I398">
            <v>7820</v>
          </cell>
          <cell r="J398"/>
          <cell r="K398">
            <v>8620</v>
          </cell>
        </row>
        <row r="399">
          <cell r="G399">
            <v>1022390</v>
          </cell>
          <cell r="H399">
            <v>64</v>
          </cell>
          <cell r="I399">
            <v>1767</v>
          </cell>
          <cell r="J399"/>
          <cell r="K399">
            <v>1831</v>
          </cell>
        </row>
        <row r="400">
          <cell r="G400">
            <v>1022391</v>
          </cell>
          <cell r="H400">
            <v>4358</v>
          </cell>
          <cell r="I400">
            <v>179</v>
          </cell>
          <cell r="J400"/>
          <cell r="K400">
            <v>4537</v>
          </cell>
        </row>
        <row r="401">
          <cell r="G401">
            <v>1022398</v>
          </cell>
          <cell r="H401">
            <v>34004</v>
          </cell>
          <cell r="I401">
            <v>1958</v>
          </cell>
          <cell r="J401"/>
          <cell r="K401">
            <v>35962</v>
          </cell>
        </row>
        <row r="402">
          <cell r="G402">
            <v>1022406</v>
          </cell>
          <cell r="H402">
            <v>1296</v>
          </cell>
          <cell r="I402">
            <v>7480</v>
          </cell>
          <cell r="J402"/>
          <cell r="K402">
            <v>8776</v>
          </cell>
        </row>
        <row r="403">
          <cell r="G403">
            <v>1022409</v>
          </cell>
          <cell r="H403">
            <v>18585</v>
          </cell>
          <cell r="I403"/>
          <cell r="J403"/>
          <cell r="K403">
            <v>18585</v>
          </cell>
        </row>
        <row r="404">
          <cell r="G404">
            <v>1022413</v>
          </cell>
          <cell r="H404">
            <v>24144</v>
          </cell>
          <cell r="I404">
            <v>528</v>
          </cell>
          <cell r="J404"/>
          <cell r="K404">
            <v>24672</v>
          </cell>
        </row>
        <row r="405">
          <cell r="G405">
            <v>1022414</v>
          </cell>
          <cell r="H405">
            <v>141260</v>
          </cell>
          <cell r="I405">
            <v>44680</v>
          </cell>
          <cell r="J405"/>
          <cell r="K405">
            <v>185940</v>
          </cell>
        </row>
        <row r="406">
          <cell r="G406">
            <v>1022417</v>
          </cell>
          <cell r="H406">
            <v>90620</v>
          </cell>
          <cell r="I406">
            <v>72229</v>
          </cell>
          <cell r="J406"/>
          <cell r="K406">
            <v>162849</v>
          </cell>
        </row>
        <row r="407">
          <cell r="G407">
            <v>1022418</v>
          </cell>
          <cell r="H407">
            <v>13860</v>
          </cell>
          <cell r="I407"/>
          <cell r="J407"/>
          <cell r="K407">
            <v>13860</v>
          </cell>
        </row>
        <row r="408">
          <cell r="G408">
            <v>1022472</v>
          </cell>
          <cell r="H408">
            <v>11424</v>
          </cell>
          <cell r="I408">
            <v>294</v>
          </cell>
          <cell r="J408"/>
          <cell r="K408">
            <v>11718</v>
          </cell>
        </row>
        <row r="409">
          <cell r="G409">
            <v>1022476</v>
          </cell>
          <cell r="H409">
            <v>3081</v>
          </cell>
          <cell r="I409"/>
          <cell r="J409"/>
          <cell r="K409">
            <v>3081</v>
          </cell>
        </row>
        <row r="410">
          <cell r="G410">
            <v>1022499</v>
          </cell>
          <cell r="H410">
            <v>7783</v>
          </cell>
          <cell r="I410">
            <v>193</v>
          </cell>
          <cell r="J410"/>
          <cell r="K410">
            <v>7976</v>
          </cell>
        </row>
        <row r="411">
          <cell r="G411">
            <v>1022515</v>
          </cell>
          <cell r="H411">
            <v>11034</v>
          </cell>
          <cell r="I411">
            <v>218</v>
          </cell>
          <cell r="J411"/>
          <cell r="K411">
            <v>11252</v>
          </cell>
        </row>
        <row r="412">
          <cell r="G412">
            <v>1022535</v>
          </cell>
          <cell r="H412">
            <v>2766</v>
          </cell>
          <cell r="I412"/>
          <cell r="J412"/>
          <cell r="K412">
            <v>2766</v>
          </cell>
        </row>
        <row r="413">
          <cell r="G413">
            <v>1022541</v>
          </cell>
          <cell r="H413">
            <v>97749</v>
          </cell>
          <cell r="I413">
            <v>21110</v>
          </cell>
          <cell r="J413"/>
          <cell r="K413">
            <v>118859</v>
          </cell>
        </row>
        <row r="414">
          <cell r="G414">
            <v>1022546</v>
          </cell>
          <cell r="H414">
            <v>936</v>
          </cell>
          <cell r="I414"/>
          <cell r="J414"/>
          <cell r="K414">
            <v>936</v>
          </cell>
        </row>
        <row r="415">
          <cell r="G415">
            <v>1022561</v>
          </cell>
          <cell r="H415">
            <v>2927</v>
          </cell>
          <cell r="I415"/>
          <cell r="J415"/>
          <cell r="K415">
            <v>2927</v>
          </cell>
        </row>
        <row r="416">
          <cell r="G416">
            <v>1022562</v>
          </cell>
          <cell r="H416"/>
          <cell r="I416">
            <v>10</v>
          </cell>
          <cell r="J416"/>
          <cell r="K416">
            <v>10</v>
          </cell>
        </row>
        <row r="417">
          <cell r="G417">
            <v>1022568</v>
          </cell>
          <cell r="H417">
            <v>220</v>
          </cell>
          <cell r="I417"/>
          <cell r="J417"/>
          <cell r="K417">
            <v>220</v>
          </cell>
        </row>
        <row r="418">
          <cell r="G418">
            <v>1022569</v>
          </cell>
          <cell r="H418">
            <v>90</v>
          </cell>
          <cell r="I418"/>
          <cell r="J418"/>
          <cell r="K418">
            <v>90</v>
          </cell>
        </row>
        <row r="419">
          <cell r="G419">
            <v>1022587</v>
          </cell>
          <cell r="H419">
            <v>2270</v>
          </cell>
          <cell r="I419">
            <v>447</v>
          </cell>
          <cell r="J419"/>
          <cell r="K419">
            <v>2717</v>
          </cell>
        </row>
        <row r="420">
          <cell r="G420">
            <v>1022600</v>
          </cell>
          <cell r="H420">
            <v>31623</v>
          </cell>
          <cell r="I420"/>
          <cell r="J420"/>
          <cell r="K420">
            <v>31623</v>
          </cell>
        </row>
        <row r="421">
          <cell r="G421">
            <v>1022607</v>
          </cell>
          <cell r="H421">
            <v>17315</v>
          </cell>
          <cell r="I421">
            <v>809</v>
          </cell>
          <cell r="J421"/>
          <cell r="K421">
            <v>18124</v>
          </cell>
        </row>
        <row r="422">
          <cell r="G422">
            <v>1022619</v>
          </cell>
          <cell r="H422">
            <v>2203</v>
          </cell>
          <cell r="I422">
            <v>3358</v>
          </cell>
          <cell r="J422"/>
          <cell r="K422">
            <v>5561</v>
          </cell>
        </row>
        <row r="423">
          <cell r="G423">
            <v>1022621</v>
          </cell>
          <cell r="H423">
            <v>16463</v>
          </cell>
          <cell r="I423">
            <v>388</v>
          </cell>
          <cell r="J423"/>
          <cell r="K423">
            <v>16851</v>
          </cell>
        </row>
        <row r="424">
          <cell r="G424">
            <v>1022636</v>
          </cell>
          <cell r="H424">
            <v>63360</v>
          </cell>
          <cell r="I424">
            <v>31668</v>
          </cell>
          <cell r="J424"/>
          <cell r="K424">
            <v>95028</v>
          </cell>
        </row>
        <row r="425">
          <cell r="G425">
            <v>1022637</v>
          </cell>
          <cell r="H425">
            <v>72000</v>
          </cell>
          <cell r="I425">
            <v>16381</v>
          </cell>
          <cell r="J425"/>
          <cell r="K425">
            <v>88381</v>
          </cell>
        </row>
        <row r="426">
          <cell r="G426">
            <v>1022638</v>
          </cell>
          <cell r="H426">
            <v>12661</v>
          </cell>
          <cell r="I426">
            <v>5746</v>
          </cell>
          <cell r="J426"/>
          <cell r="K426">
            <v>18407</v>
          </cell>
        </row>
        <row r="427">
          <cell r="G427">
            <v>1022639</v>
          </cell>
          <cell r="H427">
            <v>200049</v>
          </cell>
          <cell r="I427">
            <v>62741</v>
          </cell>
          <cell r="J427"/>
          <cell r="K427">
            <v>262790</v>
          </cell>
        </row>
        <row r="428">
          <cell r="G428">
            <v>1022640</v>
          </cell>
          <cell r="H428">
            <v>27669</v>
          </cell>
          <cell r="I428">
            <v>5056</v>
          </cell>
          <cell r="J428"/>
          <cell r="K428">
            <v>32725</v>
          </cell>
        </row>
        <row r="429">
          <cell r="G429">
            <v>1022643</v>
          </cell>
          <cell r="H429">
            <v>7966</v>
          </cell>
          <cell r="I429">
            <v>5967</v>
          </cell>
          <cell r="J429"/>
          <cell r="K429">
            <v>13933</v>
          </cell>
        </row>
        <row r="430">
          <cell r="G430">
            <v>1022645</v>
          </cell>
          <cell r="H430">
            <v>14954</v>
          </cell>
          <cell r="I430"/>
          <cell r="J430"/>
          <cell r="K430">
            <v>14954</v>
          </cell>
        </row>
        <row r="431">
          <cell r="G431">
            <v>1022646</v>
          </cell>
          <cell r="H431">
            <v>11877</v>
          </cell>
          <cell r="I431">
            <v>17</v>
          </cell>
          <cell r="J431"/>
          <cell r="K431">
            <v>11894</v>
          </cell>
        </row>
        <row r="432">
          <cell r="G432">
            <v>1022656</v>
          </cell>
          <cell r="H432">
            <v>9576</v>
          </cell>
          <cell r="I432">
            <v>2467</v>
          </cell>
          <cell r="J432"/>
          <cell r="K432">
            <v>12043</v>
          </cell>
        </row>
        <row r="433">
          <cell r="G433">
            <v>1022664</v>
          </cell>
          <cell r="H433">
            <v>8608</v>
          </cell>
          <cell r="I433">
            <v>1259</v>
          </cell>
          <cell r="J433"/>
          <cell r="K433">
            <v>9867</v>
          </cell>
        </row>
        <row r="434">
          <cell r="G434">
            <v>1022675</v>
          </cell>
          <cell r="H434">
            <v>13018</v>
          </cell>
          <cell r="I434"/>
          <cell r="J434"/>
          <cell r="K434">
            <v>13018</v>
          </cell>
        </row>
        <row r="435">
          <cell r="G435">
            <v>1022676</v>
          </cell>
          <cell r="H435">
            <v>7106</v>
          </cell>
          <cell r="I435"/>
          <cell r="J435"/>
          <cell r="K435">
            <v>7106</v>
          </cell>
        </row>
        <row r="436">
          <cell r="G436">
            <v>1022709</v>
          </cell>
          <cell r="H436">
            <v>49154</v>
          </cell>
          <cell r="I436">
            <v>23424</v>
          </cell>
          <cell r="J436"/>
          <cell r="K436">
            <v>72578</v>
          </cell>
        </row>
        <row r="437">
          <cell r="G437">
            <v>1022748</v>
          </cell>
          <cell r="H437">
            <v>78120</v>
          </cell>
          <cell r="I437">
            <v>31204</v>
          </cell>
          <cell r="J437"/>
          <cell r="K437">
            <v>109324</v>
          </cell>
        </row>
        <row r="438">
          <cell r="G438">
            <v>1022750</v>
          </cell>
          <cell r="H438">
            <v>1015</v>
          </cell>
          <cell r="I438"/>
          <cell r="J438"/>
          <cell r="K438">
            <v>1015</v>
          </cell>
        </row>
        <row r="439">
          <cell r="G439">
            <v>1022751</v>
          </cell>
          <cell r="H439">
            <v>47474</v>
          </cell>
          <cell r="I439"/>
          <cell r="J439"/>
          <cell r="K439">
            <v>47474</v>
          </cell>
        </row>
        <row r="440">
          <cell r="G440">
            <v>1022753</v>
          </cell>
          <cell r="H440">
            <v>67440</v>
          </cell>
          <cell r="I440">
            <v>10560</v>
          </cell>
          <cell r="J440"/>
          <cell r="K440">
            <v>78000</v>
          </cell>
        </row>
        <row r="441">
          <cell r="G441">
            <v>1022761</v>
          </cell>
          <cell r="H441">
            <v>592</v>
          </cell>
          <cell r="I441"/>
          <cell r="J441"/>
          <cell r="K441">
            <v>592</v>
          </cell>
        </row>
        <row r="442">
          <cell r="G442">
            <v>1022767</v>
          </cell>
          <cell r="H442">
            <v>1000</v>
          </cell>
          <cell r="I442"/>
          <cell r="J442"/>
          <cell r="K442">
            <v>1000</v>
          </cell>
        </row>
        <row r="443">
          <cell r="G443">
            <v>1022770</v>
          </cell>
          <cell r="H443">
            <v>2060</v>
          </cell>
          <cell r="I443">
            <v>144</v>
          </cell>
          <cell r="J443"/>
          <cell r="K443">
            <v>2204</v>
          </cell>
        </row>
        <row r="444">
          <cell r="G444">
            <v>1022792</v>
          </cell>
          <cell r="H444"/>
          <cell r="I444">
            <v>792</v>
          </cell>
          <cell r="J444"/>
          <cell r="K444">
            <v>792</v>
          </cell>
        </row>
        <row r="445">
          <cell r="G445">
            <v>1022794</v>
          </cell>
          <cell r="H445">
            <v>1</v>
          </cell>
          <cell r="I445"/>
          <cell r="J445"/>
          <cell r="K445">
            <v>1</v>
          </cell>
        </row>
        <row r="446">
          <cell r="G446">
            <v>1022814</v>
          </cell>
          <cell r="H446">
            <v>17</v>
          </cell>
          <cell r="I446"/>
          <cell r="J446"/>
          <cell r="K446">
            <v>17</v>
          </cell>
        </row>
        <row r="447">
          <cell r="G447">
            <v>1022815</v>
          </cell>
          <cell r="H447">
            <v>21</v>
          </cell>
          <cell r="I447"/>
          <cell r="J447"/>
          <cell r="K447">
            <v>21</v>
          </cell>
        </row>
        <row r="448">
          <cell r="G448">
            <v>1022816</v>
          </cell>
          <cell r="H448">
            <v>19</v>
          </cell>
          <cell r="I448"/>
          <cell r="J448"/>
          <cell r="K448">
            <v>19</v>
          </cell>
        </row>
        <row r="449">
          <cell r="G449">
            <v>1022817</v>
          </cell>
          <cell r="H449">
            <v>20</v>
          </cell>
          <cell r="I449"/>
          <cell r="J449"/>
          <cell r="K449">
            <v>20</v>
          </cell>
        </row>
        <row r="450">
          <cell r="G450">
            <v>1022822</v>
          </cell>
          <cell r="H450">
            <v>5</v>
          </cell>
          <cell r="I450"/>
          <cell r="J450"/>
          <cell r="K450">
            <v>5</v>
          </cell>
        </row>
        <row r="451">
          <cell r="G451">
            <v>1022833</v>
          </cell>
          <cell r="H451">
            <v>572</v>
          </cell>
          <cell r="I451"/>
          <cell r="J451"/>
          <cell r="K451">
            <v>572</v>
          </cell>
        </row>
        <row r="452">
          <cell r="G452">
            <v>1022842</v>
          </cell>
          <cell r="H452"/>
          <cell r="I452">
            <v>777</v>
          </cell>
          <cell r="J452"/>
          <cell r="K452">
            <v>777</v>
          </cell>
        </row>
        <row r="453">
          <cell r="G453">
            <v>1022844</v>
          </cell>
          <cell r="H453">
            <v>6156</v>
          </cell>
          <cell r="I453">
            <v>129</v>
          </cell>
          <cell r="J453"/>
          <cell r="K453">
            <v>6285</v>
          </cell>
        </row>
        <row r="454">
          <cell r="G454">
            <v>1022847</v>
          </cell>
          <cell r="H454">
            <v>31125</v>
          </cell>
          <cell r="I454">
            <v>508</v>
          </cell>
          <cell r="J454"/>
          <cell r="K454">
            <v>31633</v>
          </cell>
        </row>
        <row r="455">
          <cell r="G455">
            <v>1022851</v>
          </cell>
          <cell r="H455">
            <v>69637</v>
          </cell>
          <cell r="I455">
            <v>73355</v>
          </cell>
          <cell r="J455"/>
          <cell r="K455">
            <v>142992</v>
          </cell>
        </row>
        <row r="456">
          <cell r="G456">
            <v>1022853</v>
          </cell>
          <cell r="H456">
            <v>620</v>
          </cell>
          <cell r="I456"/>
          <cell r="J456"/>
          <cell r="K456">
            <v>620</v>
          </cell>
        </row>
        <row r="457">
          <cell r="G457">
            <v>1022854</v>
          </cell>
          <cell r="H457">
            <v>19936</v>
          </cell>
          <cell r="I457">
            <v>3945</v>
          </cell>
          <cell r="J457"/>
          <cell r="K457">
            <v>23881</v>
          </cell>
        </row>
        <row r="458">
          <cell r="G458">
            <v>1022855</v>
          </cell>
          <cell r="H458">
            <v>17463</v>
          </cell>
          <cell r="I458">
            <v>725</v>
          </cell>
          <cell r="J458"/>
          <cell r="K458">
            <v>18188</v>
          </cell>
        </row>
        <row r="459">
          <cell r="G459">
            <v>1022856</v>
          </cell>
          <cell r="H459">
            <v>60624</v>
          </cell>
          <cell r="I459">
            <v>289</v>
          </cell>
          <cell r="J459"/>
          <cell r="K459">
            <v>60913</v>
          </cell>
        </row>
        <row r="460">
          <cell r="G460">
            <v>1022857</v>
          </cell>
          <cell r="H460"/>
          <cell r="I460">
            <v>1446</v>
          </cell>
          <cell r="J460"/>
          <cell r="K460">
            <v>1446</v>
          </cell>
        </row>
        <row r="461">
          <cell r="G461">
            <v>1022858</v>
          </cell>
          <cell r="H461">
            <v>26692</v>
          </cell>
          <cell r="I461"/>
          <cell r="J461"/>
          <cell r="K461">
            <v>26692</v>
          </cell>
        </row>
        <row r="462">
          <cell r="G462">
            <v>1022863</v>
          </cell>
          <cell r="H462">
            <v>37043</v>
          </cell>
          <cell r="I462">
            <v>505</v>
          </cell>
          <cell r="J462"/>
          <cell r="K462">
            <v>37548</v>
          </cell>
        </row>
        <row r="463">
          <cell r="G463">
            <v>1022864</v>
          </cell>
          <cell r="H463">
            <v>72123</v>
          </cell>
          <cell r="I463">
            <v>716</v>
          </cell>
          <cell r="J463"/>
          <cell r="K463">
            <v>72839</v>
          </cell>
        </row>
        <row r="464">
          <cell r="G464">
            <v>1022865</v>
          </cell>
          <cell r="H464">
            <v>41019</v>
          </cell>
          <cell r="I464"/>
          <cell r="J464"/>
          <cell r="K464">
            <v>41019</v>
          </cell>
        </row>
        <row r="465">
          <cell r="G465">
            <v>1022866</v>
          </cell>
          <cell r="H465">
            <v>23606</v>
          </cell>
          <cell r="I465">
            <v>319</v>
          </cell>
          <cell r="J465"/>
          <cell r="K465">
            <v>23925</v>
          </cell>
        </row>
        <row r="466">
          <cell r="G466">
            <v>1022883</v>
          </cell>
          <cell r="H466">
            <v>23376</v>
          </cell>
          <cell r="I466">
            <v>3271</v>
          </cell>
          <cell r="J466"/>
          <cell r="K466">
            <v>26647</v>
          </cell>
        </row>
        <row r="467">
          <cell r="G467">
            <v>1022885</v>
          </cell>
          <cell r="H467">
            <v>64910</v>
          </cell>
          <cell r="I467">
            <v>18814</v>
          </cell>
          <cell r="J467"/>
          <cell r="K467">
            <v>83724</v>
          </cell>
        </row>
        <row r="468">
          <cell r="G468">
            <v>1022887</v>
          </cell>
          <cell r="H468">
            <v>47614</v>
          </cell>
          <cell r="I468">
            <v>1116</v>
          </cell>
          <cell r="J468"/>
          <cell r="K468">
            <v>48730</v>
          </cell>
        </row>
        <row r="469">
          <cell r="G469">
            <v>1022889</v>
          </cell>
          <cell r="H469">
            <v>182</v>
          </cell>
          <cell r="I469"/>
          <cell r="J469"/>
          <cell r="K469">
            <v>182</v>
          </cell>
        </row>
        <row r="470">
          <cell r="G470">
            <v>1022896</v>
          </cell>
          <cell r="H470">
            <v>130</v>
          </cell>
          <cell r="I470"/>
          <cell r="J470"/>
          <cell r="K470">
            <v>130</v>
          </cell>
        </row>
        <row r="471">
          <cell r="G471">
            <v>1022901</v>
          </cell>
          <cell r="H471">
            <v>4446</v>
          </cell>
          <cell r="I471">
            <v>851</v>
          </cell>
          <cell r="J471"/>
          <cell r="K471">
            <v>5297</v>
          </cell>
        </row>
        <row r="472">
          <cell r="G472">
            <v>1022907</v>
          </cell>
          <cell r="H472">
            <v>10647</v>
          </cell>
          <cell r="I472"/>
          <cell r="J472"/>
          <cell r="K472">
            <v>10647</v>
          </cell>
        </row>
        <row r="473">
          <cell r="G473">
            <v>1022914</v>
          </cell>
          <cell r="H473">
            <v>6440</v>
          </cell>
          <cell r="I473">
            <v>20</v>
          </cell>
          <cell r="J473"/>
          <cell r="K473">
            <v>6460</v>
          </cell>
        </row>
        <row r="474">
          <cell r="G474">
            <v>1022918</v>
          </cell>
          <cell r="H474">
            <v>29500</v>
          </cell>
          <cell r="I474">
            <v>2975</v>
          </cell>
          <cell r="J474"/>
          <cell r="K474">
            <v>32475</v>
          </cell>
        </row>
        <row r="475">
          <cell r="G475">
            <v>1022919</v>
          </cell>
          <cell r="H475">
            <v>16128</v>
          </cell>
          <cell r="I475">
            <v>104</v>
          </cell>
          <cell r="J475"/>
          <cell r="K475">
            <v>16232</v>
          </cell>
        </row>
        <row r="476">
          <cell r="G476">
            <v>1022920</v>
          </cell>
          <cell r="H476">
            <v>23208</v>
          </cell>
          <cell r="I476">
            <v>1470</v>
          </cell>
          <cell r="J476"/>
          <cell r="K476">
            <v>24678</v>
          </cell>
        </row>
        <row r="477">
          <cell r="G477">
            <v>1022921</v>
          </cell>
          <cell r="H477">
            <v>4298</v>
          </cell>
          <cell r="I477"/>
          <cell r="J477"/>
          <cell r="K477">
            <v>4298</v>
          </cell>
        </row>
        <row r="478">
          <cell r="G478">
            <v>1022922</v>
          </cell>
          <cell r="H478">
            <v>684</v>
          </cell>
          <cell r="I478"/>
          <cell r="J478"/>
          <cell r="K478">
            <v>684</v>
          </cell>
        </row>
        <row r="479">
          <cell r="G479">
            <v>1022928</v>
          </cell>
          <cell r="H479">
            <v>5804</v>
          </cell>
          <cell r="I479"/>
          <cell r="J479"/>
          <cell r="K479">
            <v>5804</v>
          </cell>
        </row>
        <row r="480">
          <cell r="G480">
            <v>1022930</v>
          </cell>
          <cell r="H480">
            <v>57124</v>
          </cell>
          <cell r="I480">
            <v>1070</v>
          </cell>
          <cell r="J480"/>
          <cell r="K480">
            <v>58194</v>
          </cell>
        </row>
        <row r="481">
          <cell r="G481">
            <v>1022931</v>
          </cell>
          <cell r="H481">
            <v>8182</v>
          </cell>
          <cell r="I481">
            <v>12</v>
          </cell>
          <cell r="J481"/>
          <cell r="K481">
            <v>8194</v>
          </cell>
        </row>
        <row r="482">
          <cell r="G482">
            <v>1022933</v>
          </cell>
          <cell r="H482">
            <v>1975</v>
          </cell>
          <cell r="I482">
            <v>855</v>
          </cell>
          <cell r="J482"/>
          <cell r="K482">
            <v>2830</v>
          </cell>
        </row>
        <row r="483">
          <cell r="G483">
            <v>1022935</v>
          </cell>
          <cell r="H483">
            <v>3190</v>
          </cell>
          <cell r="I483"/>
          <cell r="J483"/>
          <cell r="K483">
            <v>3190</v>
          </cell>
        </row>
        <row r="484">
          <cell r="G484">
            <v>1022936</v>
          </cell>
          <cell r="H484">
            <v>3980</v>
          </cell>
          <cell r="I484"/>
          <cell r="J484"/>
          <cell r="K484">
            <v>3980</v>
          </cell>
        </row>
        <row r="485">
          <cell r="G485">
            <v>1022939</v>
          </cell>
          <cell r="H485">
            <v>25120</v>
          </cell>
          <cell r="I485">
            <v>860</v>
          </cell>
          <cell r="J485"/>
          <cell r="K485">
            <v>25980</v>
          </cell>
        </row>
        <row r="486">
          <cell r="G486">
            <v>1022940</v>
          </cell>
          <cell r="H486">
            <v>29582</v>
          </cell>
          <cell r="I486">
            <v>5905</v>
          </cell>
          <cell r="J486"/>
          <cell r="K486">
            <v>35487</v>
          </cell>
        </row>
        <row r="487">
          <cell r="G487">
            <v>1022941</v>
          </cell>
          <cell r="H487">
            <v>23104</v>
          </cell>
          <cell r="I487">
            <v>14106</v>
          </cell>
          <cell r="J487"/>
          <cell r="K487">
            <v>37210</v>
          </cell>
        </row>
        <row r="488">
          <cell r="G488">
            <v>1022943</v>
          </cell>
          <cell r="H488">
            <v>40</v>
          </cell>
          <cell r="I488">
            <v>16</v>
          </cell>
          <cell r="J488"/>
          <cell r="K488">
            <v>56</v>
          </cell>
        </row>
        <row r="489">
          <cell r="G489">
            <v>1022945</v>
          </cell>
          <cell r="H489">
            <v>37060</v>
          </cell>
          <cell r="I489">
            <v>18660</v>
          </cell>
          <cell r="J489"/>
          <cell r="K489">
            <v>55720</v>
          </cell>
        </row>
        <row r="490">
          <cell r="G490">
            <v>1022947</v>
          </cell>
          <cell r="H490">
            <v>102</v>
          </cell>
          <cell r="I490"/>
          <cell r="J490"/>
          <cell r="K490">
            <v>102</v>
          </cell>
        </row>
        <row r="491">
          <cell r="G491">
            <v>1022985</v>
          </cell>
          <cell r="H491">
            <v>4195</v>
          </cell>
          <cell r="I491">
            <v>62</v>
          </cell>
          <cell r="J491"/>
          <cell r="K491">
            <v>4257</v>
          </cell>
        </row>
        <row r="492">
          <cell r="G492">
            <v>1022986</v>
          </cell>
          <cell r="H492">
            <v>39</v>
          </cell>
          <cell r="I492"/>
          <cell r="J492"/>
          <cell r="K492">
            <v>39</v>
          </cell>
        </row>
        <row r="493">
          <cell r="G493">
            <v>1022987</v>
          </cell>
          <cell r="H493">
            <v>11680</v>
          </cell>
          <cell r="I493">
            <v>580</v>
          </cell>
          <cell r="J493"/>
          <cell r="K493">
            <v>12260</v>
          </cell>
        </row>
        <row r="494">
          <cell r="G494">
            <v>1022989</v>
          </cell>
          <cell r="H494">
            <v>2462</v>
          </cell>
          <cell r="I494"/>
          <cell r="J494"/>
          <cell r="K494">
            <v>2462</v>
          </cell>
        </row>
        <row r="495">
          <cell r="G495">
            <v>1022995</v>
          </cell>
          <cell r="H495">
            <v>964</v>
          </cell>
          <cell r="I495"/>
          <cell r="J495"/>
          <cell r="K495">
            <v>964</v>
          </cell>
        </row>
        <row r="496">
          <cell r="G496">
            <v>1023019</v>
          </cell>
          <cell r="H496">
            <v>1934</v>
          </cell>
          <cell r="I496"/>
          <cell r="J496"/>
          <cell r="K496">
            <v>1934</v>
          </cell>
        </row>
        <row r="497">
          <cell r="G497">
            <v>1023034</v>
          </cell>
          <cell r="H497">
            <v>90740</v>
          </cell>
          <cell r="I497">
            <v>15406</v>
          </cell>
          <cell r="J497"/>
          <cell r="K497">
            <v>106146</v>
          </cell>
        </row>
        <row r="498">
          <cell r="G498">
            <v>1023035</v>
          </cell>
          <cell r="H498">
            <v>21206</v>
          </cell>
          <cell r="I498">
            <v>1072</v>
          </cell>
          <cell r="J498"/>
          <cell r="K498">
            <v>22278</v>
          </cell>
        </row>
        <row r="499">
          <cell r="G499">
            <v>1023037</v>
          </cell>
          <cell r="H499">
            <v>24380</v>
          </cell>
          <cell r="I499">
            <v>6019</v>
          </cell>
          <cell r="J499"/>
          <cell r="K499">
            <v>30399</v>
          </cell>
        </row>
        <row r="500">
          <cell r="G500">
            <v>1023038</v>
          </cell>
          <cell r="H500">
            <v>19035</v>
          </cell>
          <cell r="I500">
            <v>3011</v>
          </cell>
          <cell r="J500"/>
          <cell r="K500">
            <v>22046</v>
          </cell>
        </row>
        <row r="501">
          <cell r="G501">
            <v>1023050</v>
          </cell>
          <cell r="H501">
            <v>3070</v>
          </cell>
          <cell r="I501"/>
          <cell r="J501"/>
          <cell r="K501">
            <v>3070</v>
          </cell>
        </row>
        <row r="502">
          <cell r="G502">
            <v>1023051</v>
          </cell>
          <cell r="H502">
            <v>8454</v>
          </cell>
          <cell r="I502">
            <v>939</v>
          </cell>
          <cell r="J502"/>
          <cell r="K502">
            <v>9393</v>
          </cell>
        </row>
        <row r="503">
          <cell r="G503">
            <v>1023055</v>
          </cell>
          <cell r="H503">
            <v>3616</v>
          </cell>
          <cell r="I503"/>
          <cell r="J503"/>
          <cell r="K503">
            <v>3616</v>
          </cell>
        </row>
        <row r="504">
          <cell r="G504">
            <v>1023061</v>
          </cell>
          <cell r="H504">
            <v>125</v>
          </cell>
          <cell r="I504"/>
          <cell r="J504"/>
          <cell r="K504">
            <v>125</v>
          </cell>
        </row>
        <row r="505">
          <cell r="G505">
            <v>1023071</v>
          </cell>
          <cell r="H505">
            <v>939</v>
          </cell>
          <cell r="I505"/>
          <cell r="J505"/>
          <cell r="K505">
            <v>939</v>
          </cell>
        </row>
        <row r="506">
          <cell r="G506">
            <v>1023090</v>
          </cell>
          <cell r="H506">
            <v>7020</v>
          </cell>
          <cell r="I506">
            <v>593</v>
          </cell>
          <cell r="J506"/>
          <cell r="K506">
            <v>7613</v>
          </cell>
        </row>
        <row r="507">
          <cell r="G507">
            <v>1023092</v>
          </cell>
          <cell r="H507">
            <v>15095</v>
          </cell>
          <cell r="I507">
            <v>2963</v>
          </cell>
          <cell r="J507"/>
          <cell r="K507">
            <v>18058</v>
          </cell>
        </row>
        <row r="508">
          <cell r="G508">
            <v>1023093</v>
          </cell>
          <cell r="H508">
            <v>34220</v>
          </cell>
          <cell r="I508">
            <v>3931</v>
          </cell>
          <cell r="J508"/>
          <cell r="K508">
            <v>38151</v>
          </cell>
        </row>
        <row r="509">
          <cell r="G509">
            <v>1023102</v>
          </cell>
          <cell r="H509">
            <v>966</v>
          </cell>
          <cell r="I509"/>
          <cell r="J509"/>
          <cell r="K509">
            <v>966</v>
          </cell>
        </row>
        <row r="510">
          <cell r="G510">
            <v>1023108</v>
          </cell>
          <cell r="H510">
            <v>18664</v>
          </cell>
          <cell r="I510"/>
          <cell r="J510"/>
          <cell r="K510">
            <v>18664</v>
          </cell>
        </row>
        <row r="511">
          <cell r="G511">
            <v>1023109</v>
          </cell>
          <cell r="H511">
            <v>56309</v>
          </cell>
          <cell r="I511">
            <v>13135</v>
          </cell>
          <cell r="J511"/>
          <cell r="K511">
            <v>69444</v>
          </cell>
        </row>
        <row r="512">
          <cell r="G512">
            <v>1023110</v>
          </cell>
          <cell r="H512">
            <v>30776</v>
          </cell>
          <cell r="I512">
            <v>4920</v>
          </cell>
          <cell r="J512"/>
          <cell r="K512">
            <v>35696</v>
          </cell>
        </row>
        <row r="513">
          <cell r="G513">
            <v>1023111</v>
          </cell>
          <cell r="H513">
            <v>6350</v>
          </cell>
          <cell r="I513">
            <v>222</v>
          </cell>
          <cell r="J513"/>
          <cell r="K513">
            <v>6572</v>
          </cell>
        </row>
        <row r="514">
          <cell r="G514">
            <v>1023112</v>
          </cell>
          <cell r="H514">
            <v>6304</v>
          </cell>
          <cell r="I514"/>
          <cell r="J514"/>
          <cell r="K514">
            <v>6304</v>
          </cell>
        </row>
        <row r="515">
          <cell r="G515">
            <v>1023123</v>
          </cell>
          <cell r="H515">
            <v>3044</v>
          </cell>
          <cell r="I515">
            <v>62</v>
          </cell>
          <cell r="J515"/>
          <cell r="K515">
            <v>3106</v>
          </cell>
        </row>
        <row r="516">
          <cell r="G516">
            <v>1023124</v>
          </cell>
          <cell r="H516">
            <v>1668</v>
          </cell>
          <cell r="I516"/>
          <cell r="J516"/>
          <cell r="K516">
            <v>1668</v>
          </cell>
        </row>
        <row r="517">
          <cell r="G517">
            <v>1023126</v>
          </cell>
          <cell r="H517">
            <v>6160</v>
          </cell>
          <cell r="I517">
            <v>1840</v>
          </cell>
          <cell r="J517"/>
          <cell r="K517">
            <v>8000</v>
          </cell>
        </row>
        <row r="518">
          <cell r="G518">
            <v>1023134</v>
          </cell>
          <cell r="H518">
            <v>4581</v>
          </cell>
          <cell r="I518">
            <v>2612</v>
          </cell>
          <cell r="J518"/>
          <cell r="K518">
            <v>7193</v>
          </cell>
        </row>
        <row r="519">
          <cell r="G519">
            <v>1023143</v>
          </cell>
          <cell r="H519">
            <v>1520</v>
          </cell>
          <cell r="I519">
            <v>981</v>
          </cell>
          <cell r="J519"/>
          <cell r="K519">
            <v>2501</v>
          </cell>
        </row>
        <row r="520">
          <cell r="G520">
            <v>1023144</v>
          </cell>
          <cell r="H520">
            <v>6909</v>
          </cell>
          <cell r="I520">
            <v>42053</v>
          </cell>
          <cell r="J520"/>
          <cell r="K520">
            <v>48962</v>
          </cell>
        </row>
        <row r="521">
          <cell r="G521">
            <v>1023149</v>
          </cell>
          <cell r="H521">
            <v>102</v>
          </cell>
          <cell r="I521"/>
          <cell r="J521"/>
          <cell r="K521">
            <v>102</v>
          </cell>
        </row>
        <row r="522">
          <cell r="G522">
            <v>1023153</v>
          </cell>
          <cell r="H522">
            <v>1836</v>
          </cell>
          <cell r="I522"/>
          <cell r="J522"/>
          <cell r="K522">
            <v>1836</v>
          </cell>
        </row>
        <row r="523">
          <cell r="G523">
            <v>1023157</v>
          </cell>
          <cell r="H523">
            <v>27020</v>
          </cell>
          <cell r="I523"/>
          <cell r="J523"/>
          <cell r="K523">
            <v>27020</v>
          </cell>
        </row>
        <row r="524">
          <cell r="G524">
            <v>1023163</v>
          </cell>
          <cell r="H524">
            <v>23297</v>
          </cell>
          <cell r="I524">
            <v>130</v>
          </cell>
          <cell r="J524"/>
          <cell r="K524">
            <v>23427</v>
          </cell>
        </row>
        <row r="525">
          <cell r="G525">
            <v>1023166</v>
          </cell>
          <cell r="H525">
            <v>5</v>
          </cell>
          <cell r="I525"/>
          <cell r="J525"/>
          <cell r="K525">
            <v>5</v>
          </cell>
        </row>
        <row r="526">
          <cell r="G526">
            <v>1023169</v>
          </cell>
          <cell r="H526">
            <v>70</v>
          </cell>
          <cell r="I526"/>
          <cell r="J526"/>
          <cell r="K526">
            <v>70</v>
          </cell>
        </row>
        <row r="527">
          <cell r="G527">
            <v>1023183</v>
          </cell>
          <cell r="H527">
            <v>8426</v>
          </cell>
          <cell r="I527"/>
          <cell r="J527"/>
          <cell r="K527">
            <v>8426</v>
          </cell>
        </row>
        <row r="528">
          <cell r="G528">
            <v>1023184</v>
          </cell>
          <cell r="H528">
            <v>1128</v>
          </cell>
          <cell r="I528"/>
          <cell r="J528"/>
          <cell r="K528">
            <v>1128</v>
          </cell>
        </row>
        <row r="529">
          <cell r="G529">
            <v>1023190</v>
          </cell>
          <cell r="H529">
            <v>46667</v>
          </cell>
          <cell r="I529">
            <v>93045</v>
          </cell>
          <cell r="J529"/>
          <cell r="K529">
            <v>139712</v>
          </cell>
        </row>
        <row r="530">
          <cell r="G530">
            <v>1023194</v>
          </cell>
          <cell r="H530">
            <v>12183</v>
          </cell>
          <cell r="I530">
            <v>1124</v>
          </cell>
          <cell r="J530"/>
          <cell r="K530">
            <v>13307</v>
          </cell>
        </row>
        <row r="531">
          <cell r="G531">
            <v>1023195</v>
          </cell>
          <cell r="H531">
            <v>4080</v>
          </cell>
          <cell r="I531"/>
          <cell r="J531"/>
          <cell r="K531">
            <v>4080</v>
          </cell>
        </row>
        <row r="532">
          <cell r="G532">
            <v>1023218</v>
          </cell>
          <cell r="H532">
            <v>36580</v>
          </cell>
          <cell r="I532">
            <v>5042</v>
          </cell>
          <cell r="J532"/>
          <cell r="K532">
            <v>41622</v>
          </cell>
        </row>
        <row r="533">
          <cell r="G533">
            <v>1023229</v>
          </cell>
          <cell r="H533">
            <v>18</v>
          </cell>
          <cell r="I533"/>
          <cell r="J533"/>
          <cell r="K533">
            <v>18</v>
          </cell>
        </row>
        <row r="534">
          <cell r="G534">
            <v>1023236</v>
          </cell>
          <cell r="H534">
            <v>20</v>
          </cell>
          <cell r="I534"/>
          <cell r="J534"/>
          <cell r="K534">
            <v>20</v>
          </cell>
        </row>
        <row r="535">
          <cell r="G535">
            <v>1023247</v>
          </cell>
          <cell r="H535">
            <v>3610</v>
          </cell>
          <cell r="I535">
            <v>171</v>
          </cell>
          <cell r="J535"/>
          <cell r="K535">
            <v>3781</v>
          </cell>
        </row>
        <row r="536">
          <cell r="G536">
            <v>1023256</v>
          </cell>
          <cell r="H536">
            <v>730</v>
          </cell>
          <cell r="I536">
            <v>2110</v>
          </cell>
          <cell r="J536"/>
          <cell r="K536">
            <v>2840</v>
          </cell>
        </row>
        <row r="537">
          <cell r="G537">
            <v>1023257</v>
          </cell>
          <cell r="H537">
            <v>2390</v>
          </cell>
          <cell r="I537"/>
          <cell r="J537"/>
          <cell r="K537">
            <v>2390</v>
          </cell>
        </row>
        <row r="538">
          <cell r="G538">
            <v>1023258</v>
          </cell>
          <cell r="H538">
            <v>1645</v>
          </cell>
          <cell r="I538">
            <v>849</v>
          </cell>
          <cell r="J538"/>
          <cell r="K538">
            <v>2494</v>
          </cell>
        </row>
        <row r="539">
          <cell r="G539">
            <v>1023263</v>
          </cell>
          <cell r="H539">
            <v>389</v>
          </cell>
          <cell r="I539">
            <v>669</v>
          </cell>
          <cell r="J539"/>
          <cell r="K539">
            <v>1058</v>
          </cell>
        </row>
        <row r="540">
          <cell r="G540">
            <v>1023264</v>
          </cell>
          <cell r="H540">
            <v>19266</v>
          </cell>
          <cell r="I540"/>
          <cell r="J540"/>
          <cell r="K540">
            <v>19266</v>
          </cell>
        </row>
        <row r="541">
          <cell r="G541">
            <v>1023265</v>
          </cell>
          <cell r="H541">
            <v>11990</v>
          </cell>
          <cell r="I541">
            <v>473</v>
          </cell>
          <cell r="J541"/>
          <cell r="K541">
            <v>12463</v>
          </cell>
        </row>
        <row r="542">
          <cell r="G542">
            <v>1023267</v>
          </cell>
          <cell r="H542">
            <v>1133</v>
          </cell>
          <cell r="I542"/>
          <cell r="J542"/>
          <cell r="K542">
            <v>1133</v>
          </cell>
        </row>
        <row r="543">
          <cell r="G543">
            <v>1023268</v>
          </cell>
          <cell r="H543">
            <v>2711</v>
          </cell>
          <cell r="I543"/>
          <cell r="J543"/>
          <cell r="K543">
            <v>2711</v>
          </cell>
        </row>
        <row r="544">
          <cell r="G544">
            <v>1023273</v>
          </cell>
          <cell r="H544">
            <v>24909</v>
          </cell>
          <cell r="I544">
            <v>1739</v>
          </cell>
          <cell r="J544"/>
          <cell r="K544">
            <v>26648</v>
          </cell>
        </row>
        <row r="545">
          <cell r="G545">
            <v>1023274</v>
          </cell>
          <cell r="H545">
            <v>14505</v>
          </cell>
          <cell r="I545">
            <v>154</v>
          </cell>
          <cell r="J545"/>
          <cell r="K545">
            <v>14659</v>
          </cell>
        </row>
        <row r="546">
          <cell r="G546">
            <v>1023275</v>
          </cell>
          <cell r="H546">
            <v>34</v>
          </cell>
          <cell r="I546"/>
          <cell r="J546"/>
          <cell r="K546">
            <v>34</v>
          </cell>
        </row>
        <row r="547">
          <cell r="G547">
            <v>1023276</v>
          </cell>
          <cell r="H547">
            <v>6410</v>
          </cell>
          <cell r="I547">
            <v>559</v>
          </cell>
          <cell r="J547"/>
          <cell r="K547">
            <v>6969</v>
          </cell>
        </row>
        <row r="548">
          <cell r="G548">
            <v>1023277</v>
          </cell>
          <cell r="H548">
            <v>17452</v>
          </cell>
          <cell r="I548">
            <v>1951</v>
          </cell>
          <cell r="J548"/>
          <cell r="K548">
            <v>19403</v>
          </cell>
        </row>
        <row r="549">
          <cell r="G549">
            <v>1023283</v>
          </cell>
          <cell r="H549">
            <v>78908</v>
          </cell>
          <cell r="I549">
            <v>3867</v>
          </cell>
          <cell r="J549"/>
          <cell r="K549">
            <v>82775</v>
          </cell>
        </row>
        <row r="550">
          <cell r="G550">
            <v>1023284</v>
          </cell>
          <cell r="H550">
            <v>22664</v>
          </cell>
          <cell r="I550"/>
          <cell r="J550"/>
          <cell r="K550">
            <v>22664</v>
          </cell>
        </row>
        <row r="551">
          <cell r="G551">
            <v>1023285</v>
          </cell>
          <cell r="H551">
            <v>11248</v>
          </cell>
          <cell r="I551">
            <v>1180</v>
          </cell>
          <cell r="J551"/>
          <cell r="K551">
            <v>12428</v>
          </cell>
        </row>
        <row r="552">
          <cell r="G552">
            <v>1023286</v>
          </cell>
          <cell r="H552">
            <v>768</v>
          </cell>
          <cell r="I552"/>
          <cell r="J552"/>
          <cell r="K552">
            <v>768</v>
          </cell>
        </row>
        <row r="553">
          <cell r="G553">
            <v>1023290</v>
          </cell>
          <cell r="H553">
            <v>1420</v>
          </cell>
          <cell r="I553">
            <v>80</v>
          </cell>
          <cell r="J553"/>
          <cell r="K553">
            <v>1500</v>
          </cell>
        </row>
        <row r="554">
          <cell r="G554">
            <v>1023291</v>
          </cell>
          <cell r="H554">
            <v>24280</v>
          </cell>
          <cell r="I554">
            <v>1267</v>
          </cell>
          <cell r="J554"/>
          <cell r="K554">
            <v>25547</v>
          </cell>
        </row>
        <row r="555">
          <cell r="G555">
            <v>1023295</v>
          </cell>
          <cell r="H555">
            <v>2282</v>
          </cell>
          <cell r="I555"/>
          <cell r="J555"/>
          <cell r="K555">
            <v>2282</v>
          </cell>
        </row>
        <row r="556">
          <cell r="G556">
            <v>1023297</v>
          </cell>
          <cell r="H556">
            <v>2100</v>
          </cell>
          <cell r="I556">
            <v>20</v>
          </cell>
          <cell r="J556"/>
          <cell r="K556">
            <v>2120</v>
          </cell>
        </row>
        <row r="557">
          <cell r="G557">
            <v>1023298</v>
          </cell>
          <cell r="H557">
            <v>11474</v>
          </cell>
          <cell r="I557">
            <v>2416</v>
          </cell>
          <cell r="J557"/>
          <cell r="K557">
            <v>13890</v>
          </cell>
        </row>
        <row r="558">
          <cell r="G558">
            <v>1023299</v>
          </cell>
          <cell r="H558">
            <v>12751</v>
          </cell>
          <cell r="I558"/>
          <cell r="J558"/>
          <cell r="K558">
            <v>12751</v>
          </cell>
        </row>
        <row r="559">
          <cell r="G559">
            <v>1023301</v>
          </cell>
          <cell r="H559">
            <v>22366</v>
          </cell>
          <cell r="I559">
            <v>954</v>
          </cell>
          <cell r="J559"/>
          <cell r="K559">
            <v>23320</v>
          </cell>
        </row>
        <row r="560">
          <cell r="G560">
            <v>1023302</v>
          </cell>
          <cell r="H560">
            <v>13680</v>
          </cell>
          <cell r="I560"/>
          <cell r="J560"/>
          <cell r="K560">
            <v>13680</v>
          </cell>
        </row>
        <row r="561">
          <cell r="G561">
            <v>1023304</v>
          </cell>
          <cell r="H561">
            <v>8093</v>
          </cell>
          <cell r="I561">
            <v>11</v>
          </cell>
          <cell r="J561"/>
          <cell r="K561">
            <v>8104</v>
          </cell>
        </row>
        <row r="562">
          <cell r="G562">
            <v>1023306</v>
          </cell>
          <cell r="H562">
            <v>65940</v>
          </cell>
          <cell r="I562">
            <v>73120</v>
          </cell>
          <cell r="J562"/>
          <cell r="K562">
            <v>139060</v>
          </cell>
        </row>
        <row r="563">
          <cell r="G563">
            <v>1023307</v>
          </cell>
          <cell r="H563">
            <v>35199</v>
          </cell>
          <cell r="I563">
            <v>1966</v>
          </cell>
          <cell r="J563"/>
          <cell r="K563">
            <v>37165</v>
          </cell>
        </row>
        <row r="564">
          <cell r="G564">
            <v>1023308</v>
          </cell>
          <cell r="H564">
            <v>2117</v>
          </cell>
          <cell r="I564">
            <v>78</v>
          </cell>
          <cell r="J564"/>
          <cell r="K564">
            <v>2195</v>
          </cell>
        </row>
        <row r="565">
          <cell r="G565">
            <v>1023309</v>
          </cell>
          <cell r="H565">
            <v>990</v>
          </cell>
          <cell r="I565"/>
          <cell r="J565"/>
          <cell r="K565">
            <v>990</v>
          </cell>
        </row>
        <row r="566">
          <cell r="G566">
            <v>1023310</v>
          </cell>
          <cell r="H566">
            <v>882</v>
          </cell>
          <cell r="I566"/>
          <cell r="J566"/>
          <cell r="K566">
            <v>882</v>
          </cell>
        </row>
        <row r="567">
          <cell r="G567">
            <v>1023318</v>
          </cell>
          <cell r="H567">
            <v>15204</v>
          </cell>
          <cell r="I567"/>
          <cell r="J567"/>
          <cell r="K567">
            <v>15204</v>
          </cell>
        </row>
        <row r="568">
          <cell r="G568">
            <v>1023319</v>
          </cell>
          <cell r="H568">
            <v>13080</v>
          </cell>
          <cell r="I568">
            <v>3062</v>
          </cell>
          <cell r="J568"/>
          <cell r="K568">
            <v>16142</v>
          </cell>
        </row>
        <row r="569">
          <cell r="G569">
            <v>1023324</v>
          </cell>
          <cell r="H569">
            <v>70729</v>
          </cell>
          <cell r="I569">
            <v>834</v>
          </cell>
          <cell r="J569"/>
          <cell r="K569">
            <v>71563</v>
          </cell>
        </row>
        <row r="570">
          <cell r="G570">
            <v>1023326</v>
          </cell>
          <cell r="H570">
            <v>17097</v>
          </cell>
          <cell r="I570">
            <v>2233</v>
          </cell>
          <cell r="J570"/>
          <cell r="K570">
            <v>19330</v>
          </cell>
        </row>
        <row r="571">
          <cell r="G571">
            <v>1023329</v>
          </cell>
          <cell r="H571">
            <v>9972</v>
          </cell>
          <cell r="I571">
            <v>7006</v>
          </cell>
          <cell r="J571"/>
          <cell r="K571">
            <v>16978</v>
          </cell>
        </row>
        <row r="572">
          <cell r="G572">
            <v>1023331</v>
          </cell>
          <cell r="H572">
            <v>17815</v>
          </cell>
          <cell r="I572"/>
          <cell r="J572"/>
          <cell r="K572">
            <v>17815</v>
          </cell>
        </row>
        <row r="573">
          <cell r="G573">
            <v>1023334</v>
          </cell>
          <cell r="H573">
            <v>61542</v>
          </cell>
          <cell r="I573">
            <v>16452</v>
          </cell>
          <cell r="J573"/>
          <cell r="K573">
            <v>77994</v>
          </cell>
        </row>
        <row r="574">
          <cell r="G574">
            <v>1023336</v>
          </cell>
          <cell r="H574">
            <v>6753</v>
          </cell>
          <cell r="I574"/>
          <cell r="J574"/>
          <cell r="K574">
            <v>6753</v>
          </cell>
        </row>
        <row r="575">
          <cell r="G575">
            <v>1023338</v>
          </cell>
          <cell r="H575">
            <v>1328</v>
          </cell>
          <cell r="I575">
            <v>842</v>
          </cell>
          <cell r="J575"/>
          <cell r="K575">
            <v>2170</v>
          </cell>
        </row>
        <row r="576">
          <cell r="G576">
            <v>1023339</v>
          </cell>
          <cell r="H576">
            <v>10550</v>
          </cell>
          <cell r="I576">
            <v>15540</v>
          </cell>
          <cell r="J576"/>
          <cell r="K576">
            <v>26090</v>
          </cell>
        </row>
        <row r="577">
          <cell r="G577">
            <v>1023340</v>
          </cell>
          <cell r="H577"/>
          <cell r="I577">
            <v>16250</v>
          </cell>
          <cell r="J577"/>
          <cell r="K577">
            <v>16250</v>
          </cell>
        </row>
        <row r="578">
          <cell r="G578">
            <v>1023343</v>
          </cell>
          <cell r="H578">
            <v>19868</v>
          </cell>
          <cell r="I578"/>
          <cell r="J578"/>
          <cell r="K578">
            <v>19868</v>
          </cell>
        </row>
        <row r="579">
          <cell r="G579">
            <v>1023349</v>
          </cell>
          <cell r="H579">
            <v>8949</v>
          </cell>
          <cell r="I579">
            <v>222</v>
          </cell>
          <cell r="J579"/>
          <cell r="K579">
            <v>9171</v>
          </cell>
        </row>
        <row r="580">
          <cell r="G580">
            <v>1023350</v>
          </cell>
          <cell r="H580">
            <v>13771</v>
          </cell>
          <cell r="I580">
            <v>139</v>
          </cell>
          <cell r="J580"/>
          <cell r="K580">
            <v>13910</v>
          </cell>
        </row>
        <row r="581">
          <cell r="G581">
            <v>1023351</v>
          </cell>
          <cell r="H581">
            <v>1260</v>
          </cell>
          <cell r="I581"/>
          <cell r="J581"/>
          <cell r="K581">
            <v>1260</v>
          </cell>
        </row>
        <row r="582">
          <cell r="G582">
            <v>1023352</v>
          </cell>
          <cell r="H582">
            <v>14864</v>
          </cell>
          <cell r="I582">
            <v>742</v>
          </cell>
          <cell r="J582"/>
          <cell r="K582">
            <v>15606</v>
          </cell>
        </row>
        <row r="583">
          <cell r="G583">
            <v>1023353</v>
          </cell>
          <cell r="H583">
            <v>10019</v>
          </cell>
          <cell r="I583"/>
          <cell r="J583"/>
          <cell r="K583">
            <v>10019</v>
          </cell>
        </row>
        <row r="584">
          <cell r="G584">
            <v>1023354</v>
          </cell>
          <cell r="H584">
            <v>61380</v>
          </cell>
          <cell r="I584">
            <v>2315</v>
          </cell>
          <cell r="J584"/>
          <cell r="K584">
            <v>63695</v>
          </cell>
        </row>
        <row r="585">
          <cell r="G585">
            <v>1023355</v>
          </cell>
          <cell r="H585">
            <v>33968</v>
          </cell>
          <cell r="I585">
            <v>919</v>
          </cell>
          <cell r="J585"/>
          <cell r="K585">
            <v>34887</v>
          </cell>
        </row>
        <row r="586">
          <cell r="G586">
            <v>1023362</v>
          </cell>
          <cell r="H586">
            <v>19</v>
          </cell>
          <cell r="I586"/>
          <cell r="J586"/>
          <cell r="K586">
            <v>19</v>
          </cell>
        </row>
        <row r="587">
          <cell r="G587">
            <v>1023363</v>
          </cell>
          <cell r="H587">
            <v>30</v>
          </cell>
          <cell r="I587"/>
          <cell r="J587"/>
          <cell r="K587">
            <v>30</v>
          </cell>
        </row>
        <row r="588">
          <cell r="G588">
            <v>1023364</v>
          </cell>
          <cell r="H588">
            <v>436</v>
          </cell>
          <cell r="I588"/>
          <cell r="J588"/>
          <cell r="K588">
            <v>436</v>
          </cell>
        </row>
        <row r="589">
          <cell r="G589">
            <v>1023365</v>
          </cell>
          <cell r="H589">
            <v>499</v>
          </cell>
          <cell r="I589"/>
          <cell r="J589"/>
          <cell r="K589">
            <v>499</v>
          </cell>
        </row>
        <row r="590">
          <cell r="G590">
            <v>1023366</v>
          </cell>
          <cell r="H590">
            <v>370</v>
          </cell>
          <cell r="I590"/>
          <cell r="J590"/>
          <cell r="K590">
            <v>370</v>
          </cell>
        </row>
        <row r="591">
          <cell r="G591">
            <v>1023367</v>
          </cell>
          <cell r="H591">
            <v>2935</v>
          </cell>
          <cell r="I591"/>
          <cell r="J591"/>
          <cell r="K591">
            <v>2935</v>
          </cell>
        </row>
        <row r="592">
          <cell r="G592">
            <v>1023368</v>
          </cell>
          <cell r="H592">
            <v>551</v>
          </cell>
          <cell r="I592"/>
          <cell r="J592"/>
          <cell r="K592">
            <v>551</v>
          </cell>
        </row>
        <row r="593">
          <cell r="G593">
            <v>1023369</v>
          </cell>
          <cell r="H593">
            <v>651</v>
          </cell>
          <cell r="I593">
            <v>2367</v>
          </cell>
          <cell r="J593"/>
          <cell r="K593">
            <v>3018</v>
          </cell>
        </row>
        <row r="594">
          <cell r="G594">
            <v>1023372</v>
          </cell>
          <cell r="H594">
            <v>52111</v>
          </cell>
          <cell r="I594"/>
          <cell r="J594"/>
          <cell r="K594">
            <v>52111</v>
          </cell>
        </row>
        <row r="595">
          <cell r="G595">
            <v>1023375</v>
          </cell>
          <cell r="H595">
            <v>16932</v>
          </cell>
          <cell r="I595">
            <v>1476</v>
          </cell>
          <cell r="J595"/>
          <cell r="K595">
            <v>18408</v>
          </cell>
        </row>
        <row r="596">
          <cell r="G596">
            <v>1023383</v>
          </cell>
          <cell r="H596">
            <v>38472</v>
          </cell>
          <cell r="I596">
            <v>7055</v>
          </cell>
          <cell r="J596"/>
          <cell r="K596">
            <v>45527</v>
          </cell>
        </row>
        <row r="597">
          <cell r="G597">
            <v>1023389</v>
          </cell>
          <cell r="H597">
            <v>3594</v>
          </cell>
          <cell r="I597"/>
          <cell r="J597"/>
          <cell r="K597">
            <v>3594</v>
          </cell>
        </row>
        <row r="598">
          <cell r="G598">
            <v>1023391</v>
          </cell>
          <cell r="H598">
            <v>11140</v>
          </cell>
          <cell r="I598"/>
          <cell r="J598"/>
          <cell r="K598">
            <v>11140</v>
          </cell>
        </row>
        <row r="599">
          <cell r="G599">
            <v>1023397</v>
          </cell>
          <cell r="H599">
            <v>42540</v>
          </cell>
          <cell r="I599">
            <v>21780</v>
          </cell>
          <cell r="J599"/>
          <cell r="K599">
            <v>64320</v>
          </cell>
        </row>
        <row r="600">
          <cell r="G600">
            <v>1023400</v>
          </cell>
          <cell r="H600">
            <v>2800</v>
          </cell>
          <cell r="I600">
            <v>1093</v>
          </cell>
          <cell r="J600"/>
          <cell r="K600">
            <v>3893</v>
          </cell>
        </row>
        <row r="601">
          <cell r="G601">
            <v>1023409</v>
          </cell>
          <cell r="H601">
            <v>4660</v>
          </cell>
          <cell r="I601">
            <v>381</v>
          </cell>
          <cell r="J601"/>
          <cell r="K601">
            <v>5041</v>
          </cell>
        </row>
        <row r="602">
          <cell r="G602">
            <v>1023411</v>
          </cell>
          <cell r="H602">
            <v>27577</v>
          </cell>
          <cell r="I602">
            <v>4648</v>
          </cell>
          <cell r="J602"/>
          <cell r="K602">
            <v>32225</v>
          </cell>
        </row>
        <row r="603">
          <cell r="G603">
            <v>1023412</v>
          </cell>
          <cell r="H603">
            <v>40166</v>
          </cell>
          <cell r="I603">
            <v>20139</v>
          </cell>
          <cell r="J603"/>
          <cell r="K603">
            <v>60305</v>
          </cell>
        </row>
        <row r="604">
          <cell r="G604">
            <v>1023417</v>
          </cell>
          <cell r="H604">
            <v>33555</v>
          </cell>
          <cell r="I604">
            <v>2612</v>
          </cell>
          <cell r="J604"/>
          <cell r="K604">
            <v>36167</v>
          </cell>
        </row>
        <row r="605">
          <cell r="G605">
            <v>1023419</v>
          </cell>
          <cell r="H605">
            <v>3200</v>
          </cell>
          <cell r="I605">
            <v>60</v>
          </cell>
          <cell r="J605"/>
          <cell r="K605">
            <v>3260</v>
          </cell>
        </row>
        <row r="606">
          <cell r="G606">
            <v>1023421</v>
          </cell>
          <cell r="H606">
            <v>7120</v>
          </cell>
          <cell r="I606">
            <v>418</v>
          </cell>
          <cell r="J606"/>
          <cell r="K606">
            <v>7538</v>
          </cell>
        </row>
        <row r="607">
          <cell r="G607">
            <v>1023426</v>
          </cell>
          <cell r="H607">
            <v>1964</v>
          </cell>
          <cell r="I607">
            <v>1493</v>
          </cell>
          <cell r="J607"/>
          <cell r="K607">
            <v>3457</v>
          </cell>
        </row>
        <row r="608">
          <cell r="G608">
            <v>1030009</v>
          </cell>
          <cell r="H608">
            <v>1368</v>
          </cell>
          <cell r="I608"/>
          <cell r="J608"/>
          <cell r="K608">
            <v>1368</v>
          </cell>
        </row>
        <row r="609">
          <cell r="G609">
            <v>1030010</v>
          </cell>
          <cell r="H609">
            <v>745</v>
          </cell>
          <cell r="I609">
            <v>858</v>
          </cell>
          <cell r="J609"/>
          <cell r="K609">
            <v>1603</v>
          </cell>
        </row>
        <row r="610">
          <cell r="G610">
            <v>1030052</v>
          </cell>
          <cell r="H610"/>
          <cell r="I610">
            <v>219</v>
          </cell>
          <cell r="J610"/>
          <cell r="K610">
            <v>219</v>
          </cell>
        </row>
        <row r="611">
          <cell r="G611">
            <v>1030078</v>
          </cell>
          <cell r="H611">
            <v>8130</v>
          </cell>
          <cell r="I611">
            <v>1979</v>
          </cell>
          <cell r="J611"/>
          <cell r="K611">
            <v>10109</v>
          </cell>
        </row>
        <row r="612">
          <cell r="G612">
            <v>1030088</v>
          </cell>
          <cell r="H612"/>
          <cell r="I612">
            <v>10</v>
          </cell>
          <cell r="J612"/>
          <cell r="K612">
            <v>10</v>
          </cell>
        </row>
        <row r="613">
          <cell r="G613">
            <v>1030095</v>
          </cell>
          <cell r="H613">
            <v>3086</v>
          </cell>
          <cell r="I613">
            <v>4559</v>
          </cell>
          <cell r="J613"/>
          <cell r="K613">
            <v>7645</v>
          </cell>
        </row>
        <row r="614">
          <cell r="G614">
            <v>1030108</v>
          </cell>
          <cell r="H614">
            <v>1968</v>
          </cell>
          <cell r="I614">
            <v>2440</v>
          </cell>
          <cell r="J614"/>
          <cell r="K614">
            <v>4408</v>
          </cell>
        </row>
        <row r="615">
          <cell r="G615">
            <v>1030114</v>
          </cell>
          <cell r="H615">
            <v>538</v>
          </cell>
          <cell r="I615">
            <v>1097</v>
          </cell>
          <cell r="J615"/>
          <cell r="K615">
            <v>1635</v>
          </cell>
        </row>
        <row r="616">
          <cell r="G616">
            <v>1030198</v>
          </cell>
          <cell r="H616">
            <v>3817</v>
          </cell>
          <cell r="I616"/>
          <cell r="J616"/>
          <cell r="K616">
            <v>3817</v>
          </cell>
        </row>
        <row r="617">
          <cell r="G617">
            <v>1030224</v>
          </cell>
          <cell r="H617">
            <v>10525</v>
          </cell>
          <cell r="I617"/>
          <cell r="J617"/>
          <cell r="K617">
            <v>10525</v>
          </cell>
        </row>
        <row r="618">
          <cell r="G618">
            <v>1030239</v>
          </cell>
          <cell r="H618">
            <v>13801</v>
          </cell>
          <cell r="I618">
            <v>1905</v>
          </cell>
          <cell r="J618"/>
          <cell r="K618">
            <v>15706</v>
          </cell>
        </row>
        <row r="619">
          <cell r="G619">
            <v>1030255</v>
          </cell>
          <cell r="H619">
            <v>22895</v>
          </cell>
          <cell r="I619"/>
          <cell r="J619"/>
          <cell r="K619">
            <v>22895</v>
          </cell>
        </row>
        <row r="620">
          <cell r="G620">
            <v>1030265</v>
          </cell>
          <cell r="H620">
            <v>70200</v>
          </cell>
          <cell r="I620"/>
          <cell r="J620"/>
          <cell r="K620">
            <v>70200</v>
          </cell>
        </row>
        <row r="621">
          <cell r="G621">
            <v>1030279</v>
          </cell>
          <cell r="H621">
            <v>15000</v>
          </cell>
          <cell r="I621"/>
          <cell r="J621"/>
          <cell r="K621">
            <v>15000</v>
          </cell>
        </row>
        <row r="622">
          <cell r="G622">
            <v>1030319</v>
          </cell>
          <cell r="H622">
            <v>2373</v>
          </cell>
          <cell r="I622"/>
          <cell r="J622"/>
          <cell r="K622">
            <v>2373</v>
          </cell>
        </row>
        <row r="623">
          <cell r="G623">
            <v>1030321</v>
          </cell>
          <cell r="H623">
            <v>4501</v>
          </cell>
          <cell r="I623"/>
          <cell r="J623"/>
          <cell r="K623">
            <v>4501</v>
          </cell>
        </row>
        <row r="624">
          <cell r="G624">
            <v>1030327</v>
          </cell>
          <cell r="H624">
            <v>19419</v>
          </cell>
          <cell r="I624">
            <v>20</v>
          </cell>
          <cell r="J624"/>
          <cell r="K624">
            <v>19439</v>
          </cell>
        </row>
        <row r="625">
          <cell r="G625">
            <v>1030332</v>
          </cell>
          <cell r="H625">
            <v>40160</v>
          </cell>
          <cell r="I625"/>
          <cell r="J625"/>
          <cell r="K625">
            <v>40160</v>
          </cell>
        </row>
        <row r="626">
          <cell r="G626">
            <v>1030337</v>
          </cell>
          <cell r="H626">
            <v>34965</v>
          </cell>
          <cell r="I626"/>
          <cell r="J626"/>
          <cell r="K626">
            <v>34965</v>
          </cell>
        </row>
        <row r="627">
          <cell r="G627">
            <v>1030355</v>
          </cell>
          <cell r="H627">
            <v>7920</v>
          </cell>
          <cell r="I627">
            <v>5030</v>
          </cell>
          <cell r="J627"/>
          <cell r="K627">
            <v>12950</v>
          </cell>
        </row>
        <row r="628">
          <cell r="G628">
            <v>1030360</v>
          </cell>
          <cell r="H628">
            <v>3255</v>
          </cell>
          <cell r="I628"/>
          <cell r="J628"/>
          <cell r="K628">
            <v>3255</v>
          </cell>
        </row>
        <row r="629">
          <cell r="G629">
            <v>1030366</v>
          </cell>
          <cell r="H629">
            <v>471</v>
          </cell>
          <cell r="I629"/>
          <cell r="J629"/>
          <cell r="K629">
            <v>471</v>
          </cell>
        </row>
        <row r="630">
          <cell r="G630">
            <v>1030370</v>
          </cell>
          <cell r="H630">
            <v>6186</v>
          </cell>
          <cell r="I630"/>
          <cell r="J630"/>
          <cell r="K630">
            <v>6186</v>
          </cell>
        </row>
        <row r="631">
          <cell r="G631">
            <v>1030376</v>
          </cell>
          <cell r="H631">
            <v>8577</v>
          </cell>
          <cell r="I631"/>
          <cell r="J631"/>
          <cell r="K631">
            <v>8577</v>
          </cell>
        </row>
        <row r="632">
          <cell r="G632">
            <v>1030379</v>
          </cell>
          <cell r="H632">
            <v>59662</v>
          </cell>
          <cell r="I632">
            <v>54</v>
          </cell>
          <cell r="J632"/>
          <cell r="K632">
            <v>59716</v>
          </cell>
        </row>
        <row r="633">
          <cell r="G633">
            <v>1030388</v>
          </cell>
          <cell r="H633">
            <v>17595</v>
          </cell>
          <cell r="I633">
            <v>2910</v>
          </cell>
          <cell r="J633"/>
          <cell r="K633">
            <v>20505</v>
          </cell>
        </row>
        <row r="634">
          <cell r="G634">
            <v>1030419</v>
          </cell>
          <cell r="H634">
            <v>19950</v>
          </cell>
          <cell r="I634">
            <v>1410</v>
          </cell>
          <cell r="J634"/>
          <cell r="K634">
            <v>21360</v>
          </cell>
        </row>
        <row r="635">
          <cell r="G635">
            <v>1030424</v>
          </cell>
          <cell r="H635">
            <v>18894</v>
          </cell>
          <cell r="I635">
            <v>9116</v>
          </cell>
          <cell r="J635"/>
          <cell r="K635">
            <v>28010</v>
          </cell>
        </row>
        <row r="636">
          <cell r="G636">
            <v>1030425</v>
          </cell>
          <cell r="H636">
            <v>57302</v>
          </cell>
          <cell r="I636">
            <v>8069</v>
          </cell>
          <cell r="J636"/>
          <cell r="K636">
            <v>65371</v>
          </cell>
        </row>
        <row r="637">
          <cell r="G637">
            <v>1030444</v>
          </cell>
          <cell r="H637">
            <v>2634</v>
          </cell>
          <cell r="I637">
            <v>1488</v>
          </cell>
          <cell r="J637"/>
          <cell r="K637">
            <v>4122</v>
          </cell>
        </row>
        <row r="638">
          <cell r="G638">
            <v>1030445</v>
          </cell>
          <cell r="H638">
            <v>528</v>
          </cell>
          <cell r="I638">
            <v>678</v>
          </cell>
          <cell r="J638"/>
          <cell r="K638">
            <v>1206</v>
          </cell>
        </row>
        <row r="639">
          <cell r="G639">
            <v>1030452</v>
          </cell>
          <cell r="H639">
            <v>17576</v>
          </cell>
          <cell r="I639">
            <v>69</v>
          </cell>
          <cell r="J639"/>
          <cell r="K639">
            <v>17645</v>
          </cell>
        </row>
        <row r="640">
          <cell r="G640">
            <v>1030461</v>
          </cell>
          <cell r="H640">
            <v>567</v>
          </cell>
          <cell r="I640"/>
          <cell r="J640"/>
          <cell r="K640">
            <v>567</v>
          </cell>
        </row>
        <row r="641">
          <cell r="G641">
            <v>1030498</v>
          </cell>
          <cell r="H641">
            <v>23370</v>
          </cell>
          <cell r="I641">
            <v>690</v>
          </cell>
          <cell r="J641"/>
          <cell r="K641">
            <v>24060</v>
          </cell>
        </row>
        <row r="642">
          <cell r="G642">
            <v>1030506</v>
          </cell>
          <cell r="H642">
            <v>1360</v>
          </cell>
          <cell r="I642"/>
          <cell r="J642"/>
          <cell r="K642">
            <v>1360</v>
          </cell>
        </row>
        <row r="643">
          <cell r="G643">
            <v>1030525</v>
          </cell>
          <cell r="H643">
            <v>23100</v>
          </cell>
          <cell r="I643">
            <v>20265</v>
          </cell>
          <cell r="J643"/>
          <cell r="K643">
            <v>43365</v>
          </cell>
        </row>
        <row r="644">
          <cell r="G644">
            <v>1030535</v>
          </cell>
          <cell r="H644">
            <v>15062</v>
          </cell>
          <cell r="I644"/>
          <cell r="J644"/>
          <cell r="K644">
            <v>15062</v>
          </cell>
        </row>
        <row r="645">
          <cell r="G645">
            <v>1030542</v>
          </cell>
          <cell r="H645">
            <v>68910</v>
          </cell>
          <cell r="I645"/>
          <cell r="J645"/>
          <cell r="K645">
            <v>68910</v>
          </cell>
        </row>
        <row r="646">
          <cell r="G646">
            <v>1030545</v>
          </cell>
          <cell r="H646">
            <v>13920</v>
          </cell>
          <cell r="I646"/>
          <cell r="J646"/>
          <cell r="K646">
            <v>13920</v>
          </cell>
        </row>
        <row r="647">
          <cell r="G647">
            <v>1030555</v>
          </cell>
          <cell r="H647">
            <v>10300</v>
          </cell>
          <cell r="I647">
            <v>780</v>
          </cell>
          <cell r="J647"/>
          <cell r="K647">
            <v>11080</v>
          </cell>
        </row>
        <row r="648">
          <cell r="G648">
            <v>1030566</v>
          </cell>
          <cell r="H648">
            <v>9720</v>
          </cell>
          <cell r="I648">
            <v>225</v>
          </cell>
          <cell r="J648"/>
          <cell r="K648">
            <v>9945</v>
          </cell>
        </row>
        <row r="649">
          <cell r="G649">
            <v>1030635</v>
          </cell>
          <cell r="H649">
            <v>870</v>
          </cell>
          <cell r="I649"/>
          <cell r="J649"/>
          <cell r="K649">
            <v>870</v>
          </cell>
        </row>
        <row r="650">
          <cell r="G650">
            <v>1030658</v>
          </cell>
          <cell r="H650">
            <v>22530</v>
          </cell>
          <cell r="I650"/>
          <cell r="J650"/>
          <cell r="K650">
            <v>22530</v>
          </cell>
        </row>
        <row r="651">
          <cell r="G651">
            <v>1030670</v>
          </cell>
          <cell r="H651">
            <v>24600</v>
          </cell>
          <cell r="I651">
            <v>315</v>
          </cell>
          <cell r="J651"/>
          <cell r="K651">
            <v>24915</v>
          </cell>
        </row>
        <row r="652">
          <cell r="G652">
            <v>1030683</v>
          </cell>
          <cell r="H652">
            <v>93180</v>
          </cell>
          <cell r="I652">
            <v>44595</v>
          </cell>
          <cell r="J652"/>
          <cell r="K652">
            <v>137775</v>
          </cell>
        </row>
        <row r="653">
          <cell r="G653">
            <v>1030684</v>
          </cell>
          <cell r="H653">
            <v>14415</v>
          </cell>
          <cell r="I653">
            <v>480</v>
          </cell>
          <cell r="J653"/>
          <cell r="K653">
            <v>14895</v>
          </cell>
        </row>
        <row r="654">
          <cell r="G654">
            <v>1030685</v>
          </cell>
          <cell r="H654">
            <v>35895</v>
          </cell>
          <cell r="I654">
            <v>20310</v>
          </cell>
          <cell r="J654"/>
          <cell r="K654">
            <v>56205</v>
          </cell>
        </row>
        <row r="655">
          <cell r="G655">
            <v>1030686</v>
          </cell>
          <cell r="H655">
            <v>52605</v>
          </cell>
          <cell r="I655">
            <v>12060</v>
          </cell>
          <cell r="J655"/>
          <cell r="K655">
            <v>64665</v>
          </cell>
        </row>
        <row r="656">
          <cell r="G656">
            <v>1030710</v>
          </cell>
          <cell r="H656">
            <v>6825</v>
          </cell>
          <cell r="I656"/>
          <cell r="J656"/>
          <cell r="K656">
            <v>6825</v>
          </cell>
        </row>
        <row r="657">
          <cell r="G657">
            <v>1030711</v>
          </cell>
          <cell r="H657">
            <v>6300</v>
          </cell>
          <cell r="I657"/>
          <cell r="J657"/>
          <cell r="K657">
            <v>6300</v>
          </cell>
        </row>
        <row r="658">
          <cell r="G658">
            <v>1030720</v>
          </cell>
          <cell r="H658">
            <v>15056</v>
          </cell>
          <cell r="I658"/>
          <cell r="J658"/>
          <cell r="K658">
            <v>15056</v>
          </cell>
        </row>
        <row r="659">
          <cell r="G659">
            <v>1030722</v>
          </cell>
          <cell r="H659">
            <v>71</v>
          </cell>
          <cell r="I659"/>
          <cell r="J659"/>
          <cell r="K659">
            <v>71</v>
          </cell>
        </row>
        <row r="660">
          <cell r="G660">
            <v>1030726</v>
          </cell>
          <cell r="H660">
            <v>3</v>
          </cell>
          <cell r="I660"/>
          <cell r="J660"/>
          <cell r="K660">
            <v>3</v>
          </cell>
        </row>
        <row r="661">
          <cell r="G661">
            <v>1030735</v>
          </cell>
          <cell r="H661">
            <v>11376</v>
          </cell>
          <cell r="I661">
            <v>14</v>
          </cell>
          <cell r="J661"/>
          <cell r="K661">
            <v>11390</v>
          </cell>
        </row>
        <row r="662">
          <cell r="G662">
            <v>1030745</v>
          </cell>
          <cell r="H662">
            <v>1325</v>
          </cell>
          <cell r="I662"/>
          <cell r="J662"/>
          <cell r="K662">
            <v>1325</v>
          </cell>
        </row>
        <row r="663">
          <cell r="G663">
            <v>1030757</v>
          </cell>
          <cell r="H663">
            <v>3310</v>
          </cell>
          <cell r="I663">
            <v>8</v>
          </cell>
          <cell r="J663"/>
          <cell r="K663">
            <v>3318</v>
          </cell>
        </row>
        <row r="664">
          <cell r="G664">
            <v>1030760</v>
          </cell>
          <cell r="H664">
            <v>7</v>
          </cell>
          <cell r="I664">
            <v>1028</v>
          </cell>
          <cell r="J664"/>
          <cell r="K664">
            <v>1035</v>
          </cell>
        </row>
        <row r="665">
          <cell r="G665">
            <v>1030762</v>
          </cell>
          <cell r="H665">
            <v>2508</v>
          </cell>
          <cell r="I665"/>
          <cell r="J665"/>
          <cell r="K665">
            <v>2508</v>
          </cell>
        </row>
        <row r="666">
          <cell r="G666">
            <v>1030773</v>
          </cell>
          <cell r="H666">
            <v>11200</v>
          </cell>
          <cell r="I666"/>
          <cell r="J666"/>
          <cell r="K666">
            <v>11200</v>
          </cell>
        </row>
        <row r="667">
          <cell r="G667">
            <v>1030782</v>
          </cell>
          <cell r="H667">
            <v>13835</v>
          </cell>
          <cell r="I667"/>
          <cell r="J667"/>
          <cell r="K667">
            <v>13835</v>
          </cell>
        </row>
        <row r="668">
          <cell r="G668">
            <v>1030783</v>
          </cell>
          <cell r="H668">
            <v>2942</v>
          </cell>
          <cell r="I668"/>
          <cell r="J668"/>
          <cell r="K668">
            <v>2942</v>
          </cell>
        </row>
        <row r="669">
          <cell r="G669">
            <v>1030784</v>
          </cell>
          <cell r="H669">
            <v>6705</v>
          </cell>
          <cell r="I669"/>
          <cell r="J669"/>
          <cell r="K669">
            <v>6705</v>
          </cell>
        </row>
        <row r="670">
          <cell r="G670">
            <v>1030785</v>
          </cell>
          <cell r="H670">
            <v>1366</v>
          </cell>
          <cell r="I670"/>
          <cell r="J670"/>
          <cell r="K670">
            <v>1366</v>
          </cell>
        </row>
        <row r="671">
          <cell r="G671">
            <v>1030786</v>
          </cell>
          <cell r="H671">
            <v>4831</v>
          </cell>
          <cell r="I671"/>
          <cell r="J671"/>
          <cell r="K671">
            <v>4831</v>
          </cell>
        </row>
        <row r="672">
          <cell r="G672">
            <v>1030788</v>
          </cell>
          <cell r="H672">
            <v>2235</v>
          </cell>
          <cell r="I672"/>
          <cell r="J672"/>
          <cell r="K672">
            <v>2235</v>
          </cell>
        </row>
        <row r="673">
          <cell r="G673">
            <v>1030791</v>
          </cell>
          <cell r="H673">
            <v>7005</v>
          </cell>
          <cell r="I673"/>
          <cell r="J673"/>
          <cell r="K673">
            <v>7005</v>
          </cell>
        </row>
        <row r="674">
          <cell r="G674">
            <v>1030792</v>
          </cell>
          <cell r="H674">
            <v>24480</v>
          </cell>
          <cell r="I674"/>
          <cell r="J674"/>
          <cell r="K674">
            <v>24480</v>
          </cell>
        </row>
        <row r="675">
          <cell r="G675">
            <v>1030799</v>
          </cell>
          <cell r="H675">
            <v>11</v>
          </cell>
          <cell r="I675"/>
          <cell r="J675"/>
          <cell r="K675">
            <v>11</v>
          </cell>
        </row>
        <row r="676">
          <cell r="G676">
            <v>1030801</v>
          </cell>
          <cell r="H676">
            <v>1364</v>
          </cell>
          <cell r="I676">
            <v>562</v>
          </cell>
          <cell r="J676"/>
          <cell r="K676">
            <v>1926</v>
          </cell>
        </row>
        <row r="677">
          <cell r="G677">
            <v>1030802</v>
          </cell>
          <cell r="H677">
            <v>12152</v>
          </cell>
          <cell r="I677"/>
          <cell r="J677"/>
          <cell r="K677">
            <v>12152</v>
          </cell>
        </row>
        <row r="678">
          <cell r="G678">
            <v>1030803</v>
          </cell>
          <cell r="H678">
            <v>3126</v>
          </cell>
          <cell r="I678"/>
          <cell r="J678"/>
          <cell r="K678">
            <v>3126</v>
          </cell>
        </row>
        <row r="679">
          <cell r="G679">
            <v>1030804</v>
          </cell>
          <cell r="H679">
            <v>9669</v>
          </cell>
          <cell r="I679"/>
          <cell r="J679"/>
          <cell r="K679">
            <v>9669</v>
          </cell>
        </row>
        <row r="680">
          <cell r="G680">
            <v>1030817</v>
          </cell>
          <cell r="H680">
            <v>13528</v>
          </cell>
          <cell r="I680">
            <v>9179</v>
          </cell>
          <cell r="J680"/>
          <cell r="K680">
            <v>22707</v>
          </cell>
        </row>
        <row r="681">
          <cell r="G681">
            <v>1030818</v>
          </cell>
          <cell r="H681">
            <v>2630</v>
          </cell>
          <cell r="I681"/>
          <cell r="J681"/>
          <cell r="K681">
            <v>2630</v>
          </cell>
        </row>
        <row r="682">
          <cell r="G682">
            <v>1100007</v>
          </cell>
          <cell r="H682">
            <v>38558</v>
          </cell>
          <cell r="I682"/>
          <cell r="J682"/>
          <cell r="K682">
            <v>38558</v>
          </cell>
        </row>
        <row r="683">
          <cell r="G683">
            <v>1100039</v>
          </cell>
          <cell r="H683">
            <v>37440</v>
          </cell>
          <cell r="I683"/>
          <cell r="J683"/>
          <cell r="K683">
            <v>37440</v>
          </cell>
        </row>
        <row r="684">
          <cell r="G684">
            <v>1100041</v>
          </cell>
          <cell r="H684">
            <v>9220</v>
          </cell>
          <cell r="I684"/>
          <cell r="J684"/>
          <cell r="K684">
            <v>9220</v>
          </cell>
        </row>
        <row r="685">
          <cell r="G685">
            <v>1100193</v>
          </cell>
          <cell r="H685">
            <v>9189</v>
          </cell>
          <cell r="I685"/>
          <cell r="J685"/>
          <cell r="K685">
            <v>9189</v>
          </cell>
        </row>
        <row r="686">
          <cell r="G686">
            <v>1100266</v>
          </cell>
          <cell r="H686">
            <v>12485</v>
          </cell>
          <cell r="I686"/>
          <cell r="J686"/>
          <cell r="K686">
            <v>12485</v>
          </cell>
        </row>
        <row r="687">
          <cell r="G687">
            <v>1100267</v>
          </cell>
          <cell r="H687">
            <v>32464</v>
          </cell>
          <cell r="I687"/>
          <cell r="J687"/>
          <cell r="K687">
            <v>32464</v>
          </cell>
        </row>
        <row r="688">
          <cell r="G688">
            <v>1100334</v>
          </cell>
          <cell r="H688">
            <v>2114</v>
          </cell>
          <cell r="I688"/>
          <cell r="J688"/>
          <cell r="K688">
            <v>2114</v>
          </cell>
        </row>
        <row r="689">
          <cell r="G689">
            <v>1100339</v>
          </cell>
          <cell r="H689">
            <v>44616</v>
          </cell>
          <cell r="I689"/>
          <cell r="J689"/>
          <cell r="K689">
            <v>44616</v>
          </cell>
        </row>
        <row r="690">
          <cell r="G690">
            <v>1100343</v>
          </cell>
          <cell r="H690">
            <v>2363</v>
          </cell>
          <cell r="I690"/>
          <cell r="J690"/>
          <cell r="K690">
            <v>2363</v>
          </cell>
        </row>
        <row r="691">
          <cell r="G691">
            <v>1100346</v>
          </cell>
          <cell r="H691">
            <v>8868</v>
          </cell>
          <cell r="I691"/>
          <cell r="J691"/>
          <cell r="K691">
            <v>8868</v>
          </cell>
        </row>
        <row r="692">
          <cell r="G692">
            <v>1100350</v>
          </cell>
          <cell r="H692">
            <v>29680</v>
          </cell>
          <cell r="I692"/>
          <cell r="J692"/>
          <cell r="K692">
            <v>29680</v>
          </cell>
        </row>
        <row r="693">
          <cell r="G693">
            <v>1100364</v>
          </cell>
          <cell r="H693">
            <v>3762</v>
          </cell>
          <cell r="I693"/>
          <cell r="J693"/>
          <cell r="K693">
            <v>3762</v>
          </cell>
        </row>
        <row r="694">
          <cell r="G694">
            <v>1100365</v>
          </cell>
          <cell r="H694">
            <v>21336</v>
          </cell>
          <cell r="I694"/>
          <cell r="J694"/>
          <cell r="K694">
            <v>21336</v>
          </cell>
        </row>
        <row r="695">
          <cell r="G695">
            <v>1100372</v>
          </cell>
          <cell r="H695">
            <v>8014</v>
          </cell>
          <cell r="I695"/>
          <cell r="J695"/>
          <cell r="K695">
            <v>8014</v>
          </cell>
        </row>
        <row r="696">
          <cell r="G696">
            <v>1100373</v>
          </cell>
          <cell r="H696">
            <v>4233</v>
          </cell>
          <cell r="I696"/>
          <cell r="J696"/>
          <cell r="K696">
            <v>4233</v>
          </cell>
        </row>
        <row r="697">
          <cell r="G697">
            <v>1100393</v>
          </cell>
          <cell r="H697">
            <v>14794</v>
          </cell>
          <cell r="I697"/>
          <cell r="J697"/>
          <cell r="K697">
            <v>14794</v>
          </cell>
        </row>
        <row r="698">
          <cell r="G698">
            <v>1100394</v>
          </cell>
          <cell r="H698">
            <v>18802</v>
          </cell>
          <cell r="I698"/>
          <cell r="J698"/>
          <cell r="K698">
            <v>18802</v>
          </cell>
        </row>
        <row r="699">
          <cell r="G699">
            <v>1100396</v>
          </cell>
          <cell r="H699">
            <v>25356</v>
          </cell>
          <cell r="I699"/>
          <cell r="J699"/>
          <cell r="K699">
            <v>25356</v>
          </cell>
        </row>
        <row r="700">
          <cell r="G700">
            <v>1100397</v>
          </cell>
          <cell r="H700">
            <v>90</v>
          </cell>
          <cell r="I700"/>
          <cell r="J700"/>
          <cell r="K700">
            <v>90</v>
          </cell>
        </row>
        <row r="701">
          <cell r="G701">
            <v>1100399</v>
          </cell>
          <cell r="H701">
            <v>10584</v>
          </cell>
          <cell r="I701"/>
          <cell r="J701"/>
          <cell r="K701">
            <v>10584</v>
          </cell>
        </row>
        <row r="702">
          <cell r="G702">
            <v>1100402</v>
          </cell>
          <cell r="H702">
            <v>13932</v>
          </cell>
          <cell r="I702"/>
          <cell r="J702"/>
          <cell r="K702">
            <v>13932</v>
          </cell>
        </row>
        <row r="703">
          <cell r="G703">
            <v>1100407</v>
          </cell>
          <cell r="H703">
            <v>13776</v>
          </cell>
          <cell r="I703"/>
          <cell r="J703"/>
          <cell r="K703">
            <v>13776</v>
          </cell>
        </row>
        <row r="704">
          <cell r="G704">
            <v>1100408</v>
          </cell>
          <cell r="H704">
            <v>9210</v>
          </cell>
          <cell r="I704"/>
          <cell r="J704"/>
          <cell r="K704">
            <v>9210</v>
          </cell>
        </row>
        <row r="705">
          <cell r="G705">
            <v>1100411</v>
          </cell>
          <cell r="H705">
            <v>7167</v>
          </cell>
          <cell r="I705"/>
          <cell r="J705"/>
          <cell r="K705">
            <v>7167</v>
          </cell>
        </row>
        <row r="706">
          <cell r="G706">
            <v>1100412</v>
          </cell>
          <cell r="H706">
            <v>10762</v>
          </cell>
          <cell r="I706"/>
          <cell r="J706"/>
          <cell r="K706">
            <v>10762</v>
          </cell>
        </row>
        <row r="707">
          <cell r="G707">
            <v>1100418</v>
          </cell>
          <cell r="H707">
            <v>4014</v>
          </cell>
          <cell r="I707"/>
          <cell r="J707"/>
          <cell r="K707">
            <v>4014</v>
          </cell>
        </row>
        <row r="708">
          <cell r="G708">
            <v>1100419</v>
          </cell>
          <cell r="H708">
            <v>10075</v>
          </cell>
          <cell r="I708"/>
          <cell r="J708"/>
          <cell r="K708">
            <v>10075</v>
          </cell>
        </row>
        <row r="709">
          <cell r="G709">
            <v>1100423</v>
          </cell>
          <cell r="H709">
            <v>3750</v>
          </cell>
          <cell r="I709"/>
          <cell r="J709"/>
          <cell r="K709">
            <v>3750</v>
          </cell>
        </row>
        <row r="710">
          <cell r="G710">
            <v>1100439</v>
          </cell>
          <cell r="H710">
            <v>8137</v>
          </cell>
          <cell r="I710"/>
          <cell r="J710"/>
          <cell r="K710">
            <v>8137</v>
          </cell>
        </row>
        <row r="711">
          <cell r="G711">
            <v>1100440</v>
          </cell>
          <cell r="H711">
            <v>4906</v>
          </cell>
          <cell r="I711"/>
          <cell r="J711"/>
          <cell r="K711">
            <v>4906</v>
          </cell>
        </row>
        <row r="712">
          <cell r="G712">
            <v>1100442</v>
          </cell>
          <cell r="H712">
            <v>645</v>
          </cell>
          <cell r="I712"/>
          <cell r="J712"/>
          <cell r="K712">
            <v>645</v>
          </cell>
        </row>
        <row r="713">
          <cell r="G713">
            <v>1100444</v>
          </cell>
          <cell r="H713">
            <v>1372</v>
          </cell>
          <cell r="I713"/>
          <cell r="J713"/>
          <cell r="K713">
            <v>1372</v>
          </cell>
        </row>
        <row r="714">
          <cell r="G714">
            <v>1100447</v>
          </cell>
          <cell r="H714">
            <v>6530</v>
          </cell>
          <cell r="I714"/>
          <cell r="J714"/>
          <cell r="K714">
            <v>6530</v>
          </cell>
        </row>
        <row r="715">
          <cell r="G715">
            <v>1100448</v>
          </cell>
          <cell r="H715">
            <v>2022</v>
          </cell>
          <cell r="I715"/>
          <cell r="J715"/>
          <cell r="K715">
            <v>2022</v>
          </cell>
        </row>
        <row r="716">
          <cell r="G716">
            <v>1100449</v>
          </cell>
          <cell r="H716">
            <v>32704</v>
          </cell>
          <cell r="I716"/>
          <cell r="J716"/>
          <cell r="K716">
            <v>32704</v>
          </cell>
        </row>
        <row r="717">
          <cell r="G717">
            <v>1100479</v>
          </cell>
          <cell r="H717">
            <v>27392</v>
          </cell>
          <cell r="I717"/>
          <cell r="J717"/>
          <cell r="K717">
            <v>27392</v>
          </cell>
        </row>
        <row r="718">
          <cell r="G718">
            <v>1100490</v>
          </cell>
          <cell r="H718">
            <v>1637</v>
          </cell>
          <cell r="I718"/>
          <cell r="J718"/>
          <cell r="K718">
            <v>1637</v>
          </cell>
        </row>
        <row r="719">
          <cell r="G719">
            <v>1100494</v>
          </cell>
          <cell r="H719">
            <v>26168</v>
          </cell>
          <cell r="I719"/>
          <cell r="J719"/>
          <cell r="K719">
            <v>26168</v>
          </cell>
        </row>
        <row r="720">
          <cell r="G720">
            <v>1100521</v>
          </cell>
          <cell r="H720">
            <v>2466</v>
          </cell>
          <cell r="I720"/>
          <cell r="J720"/>
          <cell r="K720">
            <v>2466</v>
          </cell>
        </row>
        <row r="721">
          <cell r="G721">
            <v>1100522</v>
          </cell>
          <cell r="H721">
            <v>11</v>
          </cell>
          <cell r="I721"/>
          <cell r="J721"/>
          <cell r="K721">
            <v>11</v>
          </cell>
        </row>
        <row r="722">
          <cell r="G722">
            <v>1100523</v>
          </cell>
          <cell r="H722">
            <v>2800</v>
          </cell>
          <cell r="I722"/>
          <cell r="J722"/>
          <cell r="K722">
            <v>2800</v>
          </cell>
        </row>
        <row r="723">
          <cell r="G723">
            <v>1100524</v>
          </cell>
          <cell r="H723">
            <v>2528</v>
          </cell>
          <cell r="I723"/>
          <cell r="J723"/>
          <cell r="K723">
            <v>2528</v>
          </cell>
        </row>
        <row r="724">
          <cell r="G724">
            <v>1100533</v>
          </cell>
          <cell r="H724">
            <v>5321</v>
          </cell>
          <cell r="I724"/>
          <cell r="J724"/>
          <cell r="K724">
            <v>5321</v>
          </cell>
        </row>
        <row r="725">
          <cell r="G725">
            <v>1100534</v>
          </cell>
          <cell r="H725">
            <v>9410</v>
          </cell>
          <cell r="I725"/>
          <cell r="J725"/>
          <cell r="K725">
            <v>9410</v>
          </cell>
        </row>
        <row r="726">
          <cell r="G726">
            <v>1100535</v>
          </cell>
          <cell r="H726">
            <v>5710</v>
          </cell>
          <cell r="I726"/>
          <cell r="J726"/>
          <cell r="K726">
            <v>5710</v>
          </cell>
        </row>
        <row r="727">
          <cell r="G727">
            <v>1100536</v>
          </cell>
          <cell r="H727">
            <v>10750</v>
          </cell>
          <cell r="I727"/>
          <cell r="J727"/>
          <cell r="K727">
            <v>10750</v>
          </cell>
        </row>
        <row r="728">
          <cell r="G728">
            <v>1100539</v>
          </cell>
          <cell r="H728">
            <v>46069</v>
          </cell>
          <cell r="I728"/>
          <cell r="J728"/>
          <cell r="K728">
            <v>46069</v>
          </cell>
        </row>
        <row r="729">
          <cell r="G729">
            <v>1100545</v>
          </cell>
          <cell r="H729">
            <v>11902</v>
          </cell>
          <cell r="I729"/>
          <cell r="J729"/>
          <cell r="K729">
            <v>11902</v>
          </cell>
        </row>
        <row r="730">
          <cell r="G730">
            <v>1100547</v>
          </cell>
          <cell r="H730">
            <v>1265</v>
          </cell>
          <cell r="I730"/>
          <cell r="J730"/>
          <cell r="K730">
            <v>1265</v>
          </cell>
        </row>
        <row r="731">
          <cell r="G731">
            <v>1100554</v>
          </cell>
          <cell r="H731">
            <v>7240</v>
          </cell>
          <cell r="I731"/>
          <cell r="J731"/>
          <cell r="K731">
            <v>7240</v>
          </cell>
        </row>
        <row r="732">
          <cell r="G732">
            <v>1100558</v>
          </cell>
          <cell r="H732">
            <v>8106</v>
          </cell>
          <cell r="I732"/>
          <cell r="J732"/>
          <cell r="K732">
            <v>8106</v>
          </cell>
        </row>
        <row r="733">
          <cell r="G733">
            <v>1100559</v>
          </cell>
          <cell r="H733">
            <v>18438</v>
          </cell>
          <cell r="I733"/>
          <cell r="J733"/>
          <cell r="K733">
            <v>18438</v>
          </cell>
        </row>
        <row r="734">
          <cell r="G734">
            <v>1100570</v>
          </cell>
          <cell r="H734">
            <v>12301</v>
          </cell>
          <cell r="I734"/>
          <cell r="J734"/>
          <cell r="K734">
            <v>12301</v>
          </cell>
        </row>
        <row r="735">
          <cell r="G735">
            <v>1100572</v>
          </cell>
          <cell r="H735">
            <v>10380</v>
          </cell>
          <cell r="I735"/>
          <cell r="J735"/>
          <cell r="K735">
            <v>10380</v>
          </cell>
        </row>
        <row r="736">
          <cell r="G736">
            <v>1100573</v>
          </cell>
          <cell r="H736">
            <v>10588</v>
          </cell>
          <cell r="I736"/>
          <cell r="J736"/>
          <cell r="K736">
            <v>10588</v>
          </cell>
        </row>
        <row r="737">
          <cell r="G737">
            <v>1100574</v>
          </cell>
          <cell r="H737">
            <v>24688</v>
          </cell>
          <cell r="I737"/>
          <cell r="J737"/>
          <cell r="K737">
            <v>24688</v>
          </cell>
        </row>
        <row r="738">
          <cell r="G738">
            <v>1100575</v>
          </cell>
          <cell r="H738">
            <v>4665</v>
          </cell>
          <cell r="I738"/>
          <cell r="J738"/>
          <cell r="K738">
            <v>4665</v>
          </cell>
        </row>
        <row r="739">
          <cell r="G739">
            <v>1100580</v>
          </cell>
          <cell r="H739">
            <v>2725</v>
          </cell>
          <cell r="I739"/>
          <cell r="J739"/>
          <cell r="K739">
            <v>2725</v>
          </cell>
        </row>
        <row r="740">
          <cell r="G740">
            <v>1100581</v>
          </cell>
          <cell r="H740">
            <v>2318</v>
          </cell>
          <cell r="I740"/>
          <cell r="J740"/>
          <cell r="K740">
            <v>2318</v>
          </cell>
        </row>
        <row r="741">
          <cell r="G741">
            <v>1100582</v>
          </cell>
          <cell r="H741">
            <v>3227</v>
          </cell>
          <cell r="I741"/>
          <cell r="J741"/>
          <cell r="K741">
            <v>3227</v>
          </cell>
        </row>
        <row r="742">
          <cell r="G742">
            <v>1100585</v>
          </cell>
          <cell r="H742">
            <v>6672</v>
          </cell>
          <cell r="I742"/>
          <cell r="J742"/>
          <cell r="K742">
            <v>6672</v>
          </cell>
        </row>
        <row r="743">
          <cell r="G743">
            <v>1100586</v>
          </cell>
          <cell r="H743">
            <v>6</v>
          </cell>
          <cell r="I743"/>
          <cell r="J743"/>
          <cell r="K743">
            <v>6</v>
          </cell>
        </row>
        <row r="744">
          <cell r="G744">
            <v>1100587</v>
          </cell>
          <cell r="H744">
            <v>783</v>
          </cell>
          <cell r="I744"/>
          <cell r="J744"/>
          <cell r="K744">
            <v>783</v>
          </cell>
        </row>
        <row r="745">
          <cell r="G745">
            <v>1100588</v>
          </cell>
          <cell r="H745">
            <v>4850</v>
          </cell>
          <cell r="I745"/>
          <cell r="J745"/>
          <cell r="K745">
            <v>4850</v>
          </cell>
        </row>
        <row r="746">
          <cell r="G746">
            <v>1100590</v>
          </cell>
          <cell r="H746">
            <v>7976</v>
          </cell>
          <cell r="I746"/>
          <cell r="J746"/>
          <cell r="K746">
            <v>7976</v>
          </cell>
        </row>
        <row r="747">
          <cell r="G747">
            <v>1100592</v>
          </cell>
          <cell r="H747">
            <v>1793</v>
          </cell>
          <cell r="I747"/>
          <cell r="J747"/>
          <cell r="K747">
            <v>1793</v>
          </cell>
        </row>
        <row r="748">
          <cell r="G748">
            <v>1100593</v>
          </cell>
          <cell r="H748">
            <v>22367</v>
          </cell>
          <cell r="I748"/>
          <cell r="J748"/>
          <cell r="K748">
            <v>22367</v>
          </cell>
        </row>
        <row r="749">
          <cell r="G749">
            <v>1100598</v>
          </cell>
          <cell r="H749">
            <v>10069</v>
          </cell>
          <cell r="I749"/>
          <cell r="J749"/>
          <cell r="K749">
            <v>10069</v>
          </cell>
        </row>
        <row r="750">
          <cell r="G750">
            <v>1100600</v>
          </cell>
          <cell r="H750">
            <v>7442</v>
          </cell>
          <cell r="I750"/>
          <cell r="J750"/>
          <cell r="K750">
            <v>7442</v>
          </cell>
        </row>
        <row r="751">
          <cell r="G751">
            <v>1100601</v>
          </cell>
          <cell r="H751">
            <v>11228</v>
          </cell>
          <cell r="I751"/>
          <cell r="J751"/>
          <cell r="K751">
            <v>11228</v>
          </cell>
        </row>
        <row r="752">
          <cell r="G752">
            <v>1100602</v>
          </cell>
          <cell r="H752">
            <v>17785</v>
          </cell>
          <cell r="I752"/>
          <cell r="J752"/>
          <cell r="K752">
            <v>17785</v>
          </cell>
        </row>
        <row r="753">
          <cell r="G753">
            <v>1100609</v>
          </cell>
          <cell r="H753">
            <v>140</v>
          </cell>
          <cell r="I753"/>
          <cell r="J753"/>
          <cell r="K753">
            <v>140</v>
          </cell>
        </row>
        <row r="754">
          <cell r="G754">
            <v>1100621</v>
          </cell>
          <cell r="H754">
            <v>5054</v>
          </cell>
          <cell r="I754"/>
          <cell r="J754"/>
          <cell r="K754">
            <v>5054</v>
          </cell>
        </row>
        <row r="755">
          <cell r="G755">
            <v>1100635</v>
          </cell>
          <cell r="H755">
            <v>7544</v>
          </cell>
          <cell r="I755"/>
          <cell r="J755"/>
          <cell r="K755">
            <v>7544</v>
          </cell>
        </row>
        <row r="756">
          <cell r="G756">
            <v>1100639</v>
          </cell>
          <cell r="H756">
            <v>2657</v>
          </cell>
          <cell r="I756"/>
          <cell r="J756"/>
          <cell r="K756">
            <v>2657</v>
          </cell>
        </row>
        <row r="757">
          <cell r="G757">
            <v>1100640</v>
          </cell>
          <cell r="H757">
            <v>9384</v>
          </cell>
          <cell r="I757"/>
          <cell r="J757"/>
          <cell r="K757">
            <v>9384</v>
          </cell>
        </row>
        <row r="758">
          <cell r="G758">
            <v>1100646</v>
          </cell>
          <cell r="H758">
            <v>11640</v>
          </cell>
          <cell r="I758"/>
          <cell r="J758"/>
          <cell r="K758">
            <v>11640</v>
          </cell>
        </row>
        <row r="759">
          <cell r="G759">
            <v>1100647</v>
          </cell>
          <cell r="H759">
            <v>3696</v>
          </cell>
          <cell r="I759"/>
          <cell r="J759"/>
          <cell r="K759">
            <v>3696</v>
          </cell>
        </row>
        <row r="760">
          <cell r="G760">
            <v>1100649</v>
          </cell>
          <cell r="H760">
            <v>6001</v>
          </cell>
          <cell r="I760"/>
          <cell r="J760"/>
          <cell r="K760">
            <v>6001</v>
          </cell>
        </row>
        <row r="761">
          <cell r="G761">
            <v>1100650</v>
          </cell>
          <cell r="H761">
            <v>4306</v>
          </cell>
          <cell r="I761"/>
          <cell r="J761"/>
          <cell r="K761">
            <v>4306</v>
          </cell>
        </row>
        <row r="762">
          <cell r="G762">
            <v>1100651</v>
          </cell>
          <cell r="H762">
            <v>7804</v>
          </cell>
          <cell r="I762"/>
          <cell r="J762"/>
          <cell r="K762">
            <v>7804</v>
          </cell>
        </row>
        <row r="763">
          <cell r="G763">
            <v>1100652</v>
          </cell>
          <cell r="H763">
            <v>12760</v>
          </cell>
          <cell r="I763"/>
          <cell r="J763"/>
          <cell r="K763">
            <v>12760</v>
          </cell>
        </row>
        <row r="764">
          <cell r="G764">
            <v>1100655</v>
          </cell>
          <cell r="H764">
            <v>15946</v>
          </cell>
          <cell r="I764"/>
          <cell r="J764"/>
          <cell r="K764">
            <v>15946</v>
          </cell>
        </row>
        <row r="765">
          <cell r="G765">
            <v>1100658</v>
          </cell>
          <cell r="H765">
            <v>2580</v>
          </cell>
          <cell r="I765"/>
          <cell r="J765"/>
          <cell r="K765">
            <v>2580</v>
          </cell>
        </row>
        <row r="766">
          <cell r="G766">
            <v>1100659</v>
          </cell>
          <cell r="H766">
            <v>4160</v>
          </cell>
          <cell r="I766"/>
          <cell r="J766"/>
          <cell r="K766">
            <v>4160</v>
          </cell>
        </row>
        <row r="767">
          <cell r="G767">
            <v>1100661</v>
          </cell>
          <cell r="H767">
            <v>2750</v>
          </cell>
          <cell r="I767"/>
          <cell r="J767"/>
          <cell r="K767">
            <v>2750</v>
          </cell>
        </row>
        <row r="768">
          <cell r="G768">
            <v>1100666</v>
          </cell>
          <cell r="H768">
            <v>5010</v>
          </cell>
          <cell r="I768"/>
          <cell r="J768"/>
          <cell r="K768">
            <v>5010</v>
          </cell>
        </row>
        <row r="769">
          <cell r="G769">
            <v>1100667</v>
          </cell>
          <cell r="H769">
            <v>1910</v>
          </cell>
          <cell r="I769"/>
          <cell r="J769"/>
          <cell r="K769">
            <v>1910</v>
          </cell>
        </row>
        <row r="770">
          <cell r="G770">
            <v>1100675</v>
          </cell>
          <cell r="H770">
            <v>50</v>
          </cell>
          <cell r="I770"/>
          <cell r="J770"/>
          <cell r="K770">
            <v>50</v>
          </cell>
        </row>
        <row r="771">
          <cell r="G771">
            <v>1100676</v>
          </cell>
          <cell r="H771">
            <v>35</v>
          </cell>
          <cell r="I771"/>
          <cell r="J771"/>
          <cell r="K771">
            <v>35</v>
          </cell>
        </row>
        <row r="772">
          <cell r="G772">
            <v>1100677</v>
          </cell>
          <cell r="H772">
            <v>2355</v>
          </cell>
          <cell r="I772"/>
          <cell r="J772"/>
          <cell r="K772">
            <v>2355</v>
          </cell>
        </row>
        <row r="773">
          <cell r="G773">
            <v>1100680</v>
          </cell>
          <cell r="H773">
            <v>1470</v>
          </cell>
          <cell r="I773"/>
          <cell r="J773"/>
          <cell r="K773">
            <v>1470</v>
          </cell>
        </row>
        <row r="774">
          <cell r="G774">
            <v>1100681</v>
          </cell>
          <cell r="H774">
            <v>6425</v>
          </cell>
          <cell r="I774"/>
          <cell r="J774"/>
          <cell r="K774">
            <v>6425</v>
          </cell>
        </row>
        <row r="775">
          <cell r="G775">
            <v>1100682</v>
          </cell>
          <cell r="H775">
            <v>5785</v>
          </cell>
          <cell r="I775"/>
          <cell r="J775"/>
          <cell r="K775">
            <v>5785</v>
          </cell>
        </row>
        <row r="776">
          <cell r="G776">
            <v>1100683</v>
          </cell>
          <cell r="H776">
            <v>664</v>
          </cell>
          <cell r="I776"/>
          <cell r="J776"/>
          <cell r="K776">
            <v>664</v>
          </cell>
        </row>
        <row r="777">
          <cell r="G777">
            <v>1100684</v>
          </cell>
          <cell r="H777">
            <v>876</v>
          </cell>
          <cell r="I777"/>
          <cell r="J777"/>
          <cell r="K777">
            <v>876</v>
          </cell>
        </row>
        <row r="778">
          <cell r="G778">
            <v>1100691</v>
          </cell>
          <cell r="H778">
            <v>4539</v>
          </cell>
          <cell r="I778"/>
          <cell r="J778"/>
          <cell r="K778">
            <v>4539</v>
          </cell>
        </row>
        <row r="779">
          <cell r="G779">
            <v>1100692</v>
          </cell>
          <cell r="H779">
            <v>6250</v>
          </cell>
          <cell r="I779"/>
          <cell r="J779"/>
          <cell r="K779">
            <v>6250</v>
          </cell>
        </row>
        <row r="780">
          <cell r="G780">
            <v>1100693</v>
          </cell>
          <cell r="H780">
            <v>3610</v>
          </cell>
          <cell r="I780"/>
          <cell r="J780"/>
          <cell r="K780">
            <v>3610</v>
          </cell>
        </row>
        <row r="781">
          <cell r="G781">
            <v>1100694</v>
          </cell>
          <cell r="H781">
            <v>10601</v>
          </cell>
          <cell r="I781"/>
          <cell r="J781"/>
          <cell r="K781">
            <v>10601</v>
          </cell>
        </row>
        <row r="782">
          <cell r="G782">
            <v>1100700</v>
          </cell>
          <cell r="H782">
            <v>4057</v>
          </cell>
          <cell r="I782"/>
          <cell r="J782"/>
          <cell r="K782">
            <v>4057</v>
          </cell>
        </row>
        <row r="783">
          <cell r="G783">
            <v>1100701</v>
          </cell>
          <cell r="H783">
            <v>5</v>
          </cell>
          <cell r="I783"/>
          <cell r="J783"/>
          <cell r="K783">
            <v>5</v>
          </cell>
        </row>
        <row r="784">
          <cell r="G784">
            <v>1100702</v>
          </cell>
          <cell r="H784">
            <v>5983</v>
          </cell>
          <cell r="I784"/>
          <cell r="J784"/>
          <cell r="K784">
            <v>5983</v>
          </cell>
        </row>
        <row r="785">
          <cell r="G785">
            <v>1100703</v>
          </cell>
          <cell r="H785">
            <v>15</v>
          </cell>
          <cell r="I785"/>
          <cell r="J785"/>
          <cell r="K785">
            <v>15</v>
          </cell>
        </row>
        <row r="786">
          <cell r="G786">
            <v>1100704</v>
          </cell>
          <cell r="H786">
            <v>4095</v>
          </cell>
          <cell r="I786"/>
          <cell r="J786"/>
          <cell r="K786">
            <v>4095</v>
          </cell>
        </row>
        <row r="787">
          <cell r="G787">
            <v>1100709</v>
          </cell>
          <cell r="H787">
            <v>17830</v>
          </cell>
          <cell r="I787"/>
          <cell r="J787"/>
          <cell r="K787">
            <v>17830</v>
          </cell>
        </row>
        <row r="788">
          <cell r="G788">
            <v>1100722</v>
          </cell>
          <cell r="H788">
            <v>230</v>
          </cell>
          <cell r="I788"/>
          <cell r="J788"/>
          <cell r="K788">
            <v>230</v>
          </cell>
        </row>
        <row r="789">
          <cell r="G789">
            <v>1100723</v>
          </cell>
          <cell r="H789">
            <v>48</v>
          </cell>
          <cell r="I789"/>
          <cell r="J789"/>
          <cell r="K789">
            <v>48</v>
          </cell>
        </row>
        <row r="790">
          <cell r="G790">
            <v>1100732</v>
          </cell>
          <cell r="H790">
            <v>4024</v>
          </cell>
          <cell r="I790"/>
          <cell r="J790"/>
          <cell r="K790">
            <v>4024</v>
          </cell>
        </row>
        <row r="791">
          <cell r="G791">
            <v>1100733</v>
          </cell>
          <cell r="H791">
            <v>200</v>
          </cell>
          <cell r="I791"/>
          <cell r="J791"/>
          <cell r="K791">
            <v>200</v>
          </cell>
        </row>
        <row r="792">
          <cell r="G792" t="str">
            <v>(en blanco)</v>
          </cell>
          <cell r="H792"/>
          <cell r="I792"/>
          <cell r="J792"/>
          <cell r="K792"/>
        </row>
        <row r="793">
          <cell r="G793" t="str">
            <v>Total general</v>
          </cell>
          <cell r="H793">
            <v>15830013</v>
          </cell>
          <cell r="I793">
            <v>2631483</v>
          </cell>
          <cell r="J793"/>
          <cell r="K793">
            <v>18461496</v>
          </cell>
        </row>
      </sheetData>
      <sheetData sheetId="11">
        <row r="1">
          <cell r="M1" t="str">
            <v>Material</v>
          </cell>
          <cell r="N1" t="str">
            <v>Planificacion</v>
          </cell>
        </row>
        <row r="2">
          <cell r="M2" t="str">
            <v>(en blanco)</v>
          </cell>
          <cell r="N2"/>
        </row>
        <row r="3">
          <cell r="M3">
            <v>1010291</v>
          </cell>
          <cell r="N3">
            <v>6500</v>
          </cell>
        </row>
        <row r="4">
          <cell r="M4">
            <v>1010792</v>
          </cell>
          <cell r="N4">
            <v>26000</v>
          </cell>
        </row>
        <row r="5">
          <cell r="M5">
            <v>1010877</v>
          </cell>
          <cell r="N5">
            <v>6660</v>
          </cell>
        </row>
        <row r="6">
          <cell r="M6">
            <v>1011127</v>
          </cell>
          <cell r="N6">
            <v>380000</v>
          </cell>
        </row>
        <row r="7">
          <cell r="M7">
            <v>1011140</v>
          </cell>
          <cell r="N7">
            <v>67500</v>
          </cell>
        </row>
        <row r="8">
          <cell r="M8">
            <v>1011150</v>
          </cell>
          <cell r="N8">
            <v>16000</v>
          </cell>
        </row>
        <row r="9">
          <cell r="M9">
            <v>1011157</v>
          </cell>
          <cell r="N9">
            <v>1500</v>
          </cell>
        </row>
        <row r="10">
          <cell r="M10">
            <v>1011560</v>
          </cell>
          <cell r="N10">
            <v>11643.236615</v>
          </cell>
        </row>
        <row r="11">
          <cell r="M11">
            <v>1011586</v>
          </cell>
          <cell r="N11">
            <v>10000</v>
          </cell>
        </row>
        <row r="12">
          <cell r="M12">
            <v>1011672</v>
          </cell>
          <cell r="N12">
            <v>20000</v>
          </cell>
        </row>
        <row r="13">
          <cell r="M13">
            <v>1011967</v>
          </cell>
          <cell r="N13">
            <v>4900</v>
          </cell>
        </row>
        <row r="14">
          <cell r="M14">
            <v>1011968</v>
          </cell>
          <cell r="N14">
            <v>464</v>
          </cell>
        </row>
        <row r="15">
          <cell r="M15">
            <v>1011969</v>
          </cell>
          <cell r="N15">
            <v>17370</v>
          </cell>
        </row>
        <row r="16">
          <cell r="M16">
            <v>1012017</v>
          </cell>
          <cell r="N16">
            <v>25650</v>
          </cell>
        </row>
        <row r="17">
          <cell r="M17">
            <v>1012018</v>
          </cell>
          <cell r="N17">
            <v>21444</v>
          </cell>
        </row>
        <row r="18">
          <cell r="M18">
            <v>1012107</v>
          </cell>
          <cell r="N18">
            <v>21774</v>
          </cell>
        </row>
        <row r="19">
          <cell r="M19">
            <v>1012108</v>
          </cell>
          <cell r="N19">
            <v>47112</v>
          </cell>
        </row>
        <row r="20">
          <cell r="M20">
            <v>1012109</v>
          </cell>
          <cell r="N20">
            <v>38809</v>
          </cell>
        </row>
        <row r="21">
          <cell r="M21">
            <v>1012110</v>
          </cell>
          <cell r="N21">
            <v>39750</v>
          </cell>
        </row>
        <row r="22">
          <cell r="M22">
            <v>1012111</v>
          </cell>
          <cell r="N22">
            <v>22478</v>
          </cell>
        </row>
        <row r="23">
          <cell r="M23">
            <v>1012112</v>
          </cell>
          <cell r="N23">
            <v>2597</v>
          </cell>
        </row>
        <row r="24">
          <cell r="M24">
            <v>1012145</v>
          </cell>
          <cell r="N24">
            <v>74411</v>
          </cell>
        </row>
        <row r="25">
          <cell r="M25">
            <v>1012147</v>
          </cell>
          <cell r="N25">
            <v>53300</v>
          </cell>
        </row>
        <row r="26">
          <cell r="M26">
            <v>1012148</v>
          </cell>
          <cell r="N26">
            <v>37850</v>
          </cell>
        </row>
        <row r="27">
          <cell r="M27">
            <v>1012157</v>
          </cell>
          <cell r="N27">
            <v>16750</v>
          </cell>
        </row>
        <row r="28">
          <cell r="M28">
            <v>1012160</v>
          </cell>
          <cell r="N28">
            <v>39153</v>
          </cell>
        </row>
        <row r="29">
          <cell r="M29">
            <v>1012161</v>
          </cell>
          <cell r="N29">
            <v>56800</v>
          </cell>
        </row>
        <row r="30">
          <cell r="M30">
            <v>1012163</v>
          </cell>
          <cell r="N30">
            <v>100558</v>
          </cell>
        </row>
        <row r="31">
          <cell r="M31">
            <v>1012165</v>
          </cell>
          <cell r="N31">
            <v>188467</v>
          </cell>
        </row>
        <row r="32">
          <cell r="M32">
            <v>1012167</v>
          </cell>
          <cell r="N32">
            <v>159700</v>
          </cell>
        </row>
        <row r="33">
          <cell r="M33">
            <v>1012207</v>
          </cell>
          <cell r="N33">
            <v>31107</v>
          </cell>
        </row>
        <row r="34">
          <cell r="M34">
            <v>1012326</v>
          </cell>
          <cell r="N34">
            <v>2200</v>
          </cell>
        </row>
        <row r="35">
          <cell r="M35">
            <v>1012375</v>
          </cell>
          <cell r="N35">
            <v>8000</v>
          </cell>
        </row>
        <row r="36">
          <cell r="M36">
            <v>1012434</v>
          </cell>
          <cell r="N36">
            <v>25000</v>
          </cell>
        </row>
        <row r="37">
          <cell r="M37">
            <v>1012448</v>
          </cell>
          <cell r="N37">
            <v>94319</v>
          </cell>
        </row>
        <row r="38">
          <cell r="M38">
            <v>1012483</v>
          </cell>
          <cell r="N38">
            <v>73695</v>
          </cell>
        </row>
        <row r="39">
          <cell r="M39">
            <v>1012519</v>
          </cell>
          <cell r="N39">
            <v>11360</v>
          </cell>
        </row>
        <row r="40">
          <cell r="M40">
            <v>1012520</v>
          </cell>
          <cell r="N40">
            <v>26321</v>
          </cell>
        </row>
        <row r="41">
          <cell r="M41">
            <v>1012521</v>
          </cell>
          <cell r="N41">
            <v>83950</v>
          </cell>
        </row>
        <row r="42">
          <cell r="M42">
            <v>1012522</v>
          </cell>
          <cell r="N42">
            <v>46197</v>
          </cell>
        </row>
        <row r="43">
          <cell r="M43">
            <v>1012523</v>
          </cell>
          <cell r="N43">
            <v>39750</v>
          </cell>
        </row>
        <row r="44">
          <cell r="M44">
            <v>1012524</v>
          </cell>
          <cell r="N44">
            <v>3127</v>
          </cell>
        </row>
        <row r="45">
          <cell r="M45">
            <v>1012601</v>
          </cell>
          <cell r="N45">
            <v>71576</v>
          </cell>
        </row>
        <row r="46">
          <cell r="M46">
            <v>1012612</v>
          </cell>
          <cell r="N46">
            <v>440000</v>
          </cell>
        </row>
        <row r="47">
          <cell r="M47">
            <v>1012681</v>
          </cell>
          <cell r="N47">
            <v>9600</v>
          </cell>
        </row>
        <row r="48">
          <cell r="M48">
            <v>1012695</v>
          </cell>
          <cell r="N48">
            <v>6000</v>
          </cell>
        </row>
        <row r="49">
          <cell r="M49">
            <v>1012796</v>
          </cell>
          <cell r="N49">
            <v>14500</v>
          </cell>
        </row>
        <row r="50">
          <cell r="M50">
            <v>1011139</v>
          </cell>
          <cell r="N50">
            <v>78500</v>
          </cell>
        </row>
        <row r="51">
          <cell r="M51">
            <v>1011142</v>
          </cell>
          <cell r="N51">
            <v>16200</v>
          </cell>
        </row>
        <row r="52">
          <cell r="M52">
            <v>1011632</v>
          </cell>
          <cell r="N52">
            <v>2000</v>
          </cell>
        </row>
        <row r="53">
          <cell r="M53">
            <v>1011678</v>
          </cell>
          <cell r="N53">
            <v>4000</v>
          </cell>
        </row>
        <row r="54">
          <cell r="M54">
            <v>1011770</v>
          </cell>
          <cell r="N54">
            <v>35000</v>
          </cell>
        </row>
        <row r="55">
          <cell r="M55">
            <v>1012208</v>
          </cell>
          <cell r="N55">
            <v>4000</v>
          </cell>
        </row>
        <row r="56">
          <cell r="M56">
            <v>1012455</v>
          </cell>
          <cell r="N56">
            <v>50000</v>
          </cell>
        </row>
        <row r="57">
          <cell r="M57">
            <v>1012502</v>
          </cell>
          <cell r="N57">
            <v>1800</v>
          </cell>
        </row>
        <row r="58">
          <cell r="M58">
            <v>1012503</v>
          </cell>
          <cell r="N58">
            <v>64000</v>
          </cell>
        </row>
        <row r="59">
          <cell r="M59">
            <v>1012504</v>
          </cell>
          <cell r="N59">
            <v>11700</v>
          </cell>
        </row>
        <row r="60">
          <cell r="M60">
            <v>1012518</v>
          </cell>
          <cell r="N60">
            <v>35000</v>
          </cell>
        </row>
        <row r="61">
          <cell r="M61">
            <v>1012525</v>
          </cell>
          <cell r="N61">
            <v>800</v>
          </cell>
        </row>
        <row r="62">
          <cell r="M62">
            <v>1012526</v>
          </cell>
          <cell r="N62">
            <v>800</v>
          </cell>
        </row>
        <row r="63">
          <cell r="M63">
            <v>1012527</v>
          </cell>
          <cell r="N63">
            <v>1100</v>
          </cell>
        </row>
        <row r="64">
          <cell r="M64">
            <v>1012532</v>
          </cell>
          <cell r="N64">
            <v>514</v>
          </cell>
        </row>
        <row r="65">
          <cell r="M65">
            <v>1012558</v>
          </cell>
          <cell r="N65">
            <v>6000</v>
          </cell>
        </row>
        <row r="66">
          <cell r="M66">
            <v>1012559</v>
          </cell>
          <cell r="N66">
            <v>6000</v>
          </cell>
        </row>
        <row r="67">
          <cell r="M67">
            <v>1012571</v>
          </cell>
          <cell r="N67">
            <v>14000</v>
          </cell>
        </row>
        <row r="68">
          <cell r="M68">
            <v>1012598</v>
          </cell>
          <cell r="N68">
            <v>1000</v>
          </cell>
        </row>
        <row r="69">
          <cell r="M69">
            <v>1012674</v>
          </cell>
          <cell r="N69">
            <v>15000</v>
          </cell>
        </row>
        <row r="70">
          <cell r="M70">
            <v>1012693</v>
          </cell>
          <cell r="N70">
            <v>12000</v>
          </cell>
        </row>
        <row r="71">
          <cell r="M71">
            <v>1012763</v>
          </cell>
          <cell r="N71">
            <v>15000</v>
          </cell>
        </row>
        <row r="72">
          <cell r="M72">
            <v>1012764</v>
          </cell>
          <cell r="N72">
            <v>66900</v>
          </cell>
        </row>
        <row r="73">
          <cell r="M73">
            <v>1012799</v>
          </cell>
          <cell r="N73">
            <v>500</v>
          </cell>
        </row>
        <row r="74">
          <cell r="M74">
            <v>1030319</v>
          </cell>
          <cell r="N74">
            <v>9000</v>
          </cell>
        </row>
        <row r="75">
          <cell r="M75">
            <v>1030095</v>
          </cell>
          <cell r="N75">
            <v>6000</v>
          </cell>
        </row>
        <row r="76">
          <cell r="M76">
            <v>1030444</v>
          </cell>
          <cell r="N76">
            <v>4400</v>
          </cell>
        </row>
        <row r="77">
          <cell r="M77">
            <v>1030023</v>
          </cell>
          <cell r="N77">
            <v>30704.05789005835</v>
          </cell>
        </row>
        <row r="78">
          <cell r="M78">
            <v>1030024</v>
          </cell>
          <cell r="N78">
            <v>6467.0859999999993</v>
          </cell>
        </row>
        <row r="79">
          <cell r="M79">
            <v>1030026</v>
          </cell>
          <cell r="N79">
            <v>26824.872709874064</v>
          </cell>
        </row>
        <row r="80">
          <cell r="M80">
            <v>1030028</v>
          </cell>
          <cell r="N80">
            <v>500</v>
          </cell>
        </row>
        <row r="81">
          <cell r="M81">
            <v>1030525</v>
          </cell>
          <cell r="N81">
            <v>20632.494135661931</v>
          </cell>
        </row>
        <row r="82">
          <cell r="M82">
            <v>1030685</v>
          </cell>
          <cell r="N82">
            <v>32248.550806204636</v>
          </cell>
        </row>
        <row r="83">
          <cell r="M83">
            <v>1030722</v>
          </cell>
          <cell r="N83">
            <v>5000</v>
          </cell>
        </row>
        <row r="84">
          <cell r="M84">
            <v>1030124</v>
          </cell>
          <cell r="N84">
            <v>143000</v>
          </cell>
        </row>
        <row r="85">
          <cell r="M85">
            <v>1030041</v>
          </cell>
          <cell r="N85">
            <v>1720</v>
          </cell>
        </row>
        <row r="86">
          <cell r="M86">
            <v>1030419</v>
          </cell>
          <cell r="N86">
            <v>4000</v>
          </cell>
        </row>
        <row r="87">
          <cell r="M87">
            <v>1030498</v>
          </cell>
          <cell r="N87">
            <v>4630.0856103238402</v>
          </cell>
        </row>
        <row r="88">
          <cell r="M88">
            <v>1030686</v>
          </cell>
          <cell r="N88">
            <v>22742.205611811842</v>
          </cell>
        </row>
        <row r="89">
          <cell r="M89">
            <v>1030684</v>
          </cell>
          <cell r="N89">
            <v>2638.1413157559873</v>
          </cell>
        </row>
        <row r="90">
          <cell r="M90">
            <v>1030366</v>
          </cell>
          <cell r="N90">
            <v>588</v>
          </cell>
        </row>
        <row r="91">
          <cell r="M91">
            <v>1030010</v>
          </cell>
          <cell r="N91">
            <v>1600</v>
          </cell>
        </row>
        <row r="92">
          <cell r="M92">
            <v>1030052</v>
          </cell>
          <cell r="N92">
            <v>1972.8</v>
          </cell>
        </row>
        <row r="93">
          <cell r="M93">
            <v>1030069</v>
          </cell>
          <cell r="N93">
            <v>17600</v>
          </cell>
        </row>
        <row r="94">
          <cell r="M94">
            <v>1030182</v>
          </cell>
          <cell r="N94">
            <v>5970.4000000000015</v>
          </cell>
        </row>
        <row r="95">
          <cell r="M95">
            <v>1030201</v>
          </cell>
          <cell r="N95">
            <v>1839.6</v>
          </cell>
        </row>
        <row r="96">
          <cell r="M96">
            <v>1030203</v>
          </cell>
          <cell r="N96">
            <v>2239.6</v>
          </cell>
        </row>
        <row r="97">
          <cell r="M97">
            <v>1030210</v>
          </cell>
          <cell r="N97">
            <v>4094.6400000000003</v>
          </cell>
        </row>
        <row r="98">
          <cell r="M98">
            <v>1030327</v>
          </cell>
          <cell r="N98">
            <v>8000</v>
          </cell>
        </row>
        <row r="99">
          <cell r="M99">
            <v>1030337</v>
          </cell>
          <cell r="N99">
            <v>74000</v>
          </cell>
        </row>
        <row r="100">
          <cell r="M100">
            <v>1030379</v>
          </cell>
          <cell r="N100">
            <v>116267.45781593351</v>
          </cell>
        </row>
        <row r="101">
          <cell r="M101">
            <v>1030424</v>
          </cell>
          <cell r="N101">
            <v>15000</v>
          </cell>
        </row>
        <row r="102">
          <cell r="M102">
            <v>1030425</v>
          </cell>
          <cell r="N102">
            <v>24000</v>
          </cell>
        </row>
        <row r="103">
          <cell r="M103">
            <v>1030452</v>
          </cell>
          <cell r="N103">
            <v>7175</v>
          </cell>
        </row>
        <row r="104">
          <cell r="M104">
            <v>1030461</v>
          </cell>
          <cell r="N104">
            <v>5250</v>
          </cell>
        </row>
        <row r="105">
          <cell r="M105">
            <v>1030592</v>
          </cell>
          <cell r="N105">
            <v>1308</v>
          </cell>
        </row>
        <row r="106">
          <cell r="M106">
            <v>1030593</v>
          </cell>
          <cell r="N106">
            <v>457.6</v>
          </cell>
        </row>
        <row r="107">
          <cell r="M107">
            <v>1030117</v>
          </cell>
          <cell r="N107">
            <v>20000</v>
          </cell>
        </row>
        <row r="108">
          <cell r="M108">
            <v>1030370</v>
          </cell>
          <cell r="N108">
            <v>3200</v>
          </cell>
        </row>
        <row r="109">
          <cell r="M109">
            <v>1030720</v>
          </cell>
          <cell r="N109">
            <v>6000</v>
          </cell>
        </row>
        <row r="110">
          <cell r="M110">
            <v>1030014</v>
          </cell>
          <cell r="N110">
            <v>4620</v>
          </cell>
        </row>
        <row r="111">
          <cell r="M111">
            <v>1030017</v>
          </cell>
          <cell r="N111">
            <v>1960</v>
          </cell>
        </row>
        <row r="112">
          <cell r="M112">
            <v>1030018</v>
          </cell>
          <cell r="N112">
            <v>15746.399999999998</v>
          </cell>
        </row>
        <row r="113">
          <cell r="M113">
            <v>1030085</v>
          </cell>
          <cell r="N113">
            <v>13717.000000000002</v>
          </cell>
        </row>
        <row r="114">
          <cell r="M114">
            <v>1030088</v>
          </cell>
          <cell r="N114">
            <v>3328.4</v>
          </cell>
        </row>
        <row r="115">
          <cell r="M115">
            <v>1030683</v>
          </cell>
          <cell r="N115">
            <v>92414.280735042281</v>
          </cell>
        </row>
        <row r="116">
          <cell r="M116">
            <v>1030020</v>
          </cell>
          <cell r="N116">
            <v>23563.000000000011</v>
          </cell>
        </row>
        <row r="117">
          <cell r="M117">
            <v>1030099</v>
          </cell>
          <cell r="N117">
            <v>15200</v>
          </cell>
        </row>
        <row r="118">
          <cell r="M118">
            <v>1030211</v>
          </cell>
          <cell r="N118">
            <v>3699.84</v>
          </cell>
        </row>
        <row r="119">
          <cell r="M119">
            <v>1030275</v>
          </cell>
          <cell r="N119">
            <v>1548.1799999999998</v>
          </cell>
        </row>
        <row r="120">
          <cell r="M120">
            <v>1030568</v>
          </cell>
          <cell r="N120">
            <v>1548.1799999999998</v>
          </cell>
        </row>
        <row r="121">
          <cell r="M121">
            <v>1030658</v>
          </cell>
          <cell r="N121">
            <v>60588.287506558394</v>
          </cell>
        </row>
        <row r="122">
          <cell r="M122">
            <v>1030665</v>
          </cell>
          <cell r="N122">
            <v>4266</v>
          </cell>
        </row>
        <row r="123">
          <cell r="M123">
            <v>1030679</v>
          </cell>
          <cell r="N123">
            <v>1080</v>
          </cell>
        </row>
        <row r="124">
          <cell r="M124">
            <v>1030680</v>
          </cell>
          <cell r="N124">
            <v>1371.6</v>
          </cell>
        </row>
        <row r="125">
          <cell r="M125">
            <v>1030682</v>
          </cell>
          <cell r="N125">
            <v>5564.4</v>
          </cell>
        </row>
        <row r="126">
          <cell r="M126">
            <v>1030355</v>
          </cell>
          <cell r="N126">
            <v>10318.889116776239</v>
          </cell>
        </row>
        <row r="127">
          <cell r="M127">
            <v>1030321</v>
          </cell>
          <cell r="N127">
            <v>1428</v>
          </cell>
        </row>
        <row r="128">
          <cell r="M128">
            <v>1030376</v>
          </cell>
          <cell r="N128">
            <v>756</v>
          </cell>
        </row>
        <row r="129">
          <cell r="M129">
            <v>1030566</v>
          </cell>
          <cell r="N129">
            <v>4000</v>
          </cell>
        </row>
        <row r="130">
          <cell r="M130">
            <v>1030388</v>
          </cell>
          <cell r="N130">
            <v>5055.0896200000007</v>
          </cell>
        </row>
        <row r="131">
          <cell r="M131">
            <v>1030760</v>
          </cell>
          <cell r="N131">
            <v>2000</v>
          </cell>
        </row>
        <row r="132">
          <cell r="M132">
            <v>1030762</v>
          </cell>
          <cell r="N132">
            <v>800</v>
          </cell>
        </row>
        <row r="133">
          <cell r="M133">
            <v>1030555</v>
          </cell>
          <cell r="N133">
            <v>3175.0428051619201</v>
          </cell>
        </row>
        <row r="134">
          <cell r="M134">
            <v>1030786</v>
          </cell>
          <cell r="N134">
            <v>6000</v>
          </cell>
        </row>
        <row r="135">
          <cell r="M135">
            <v>1030446</v>
          </cell>
          <cell r="N135">
            <v>6400</v>
          </cell>
        </row>
        <row r="136">
          <cell r="M136">
            <v>1030782</v>
          </cell>
          <cell r="N136">
            <v>5075</v>
          </cell>
        </row>
        <row r="137">
          <cell r="M137">
            <v>1030783</v>
          </cell>
          <cell r="N137">
            <v>28</v>
          </cell>
        </row>
        <row r="138">
          <cell r="M138">
            <v>1030792</v>
          </cell>
          <cell r="N138">
            <v>7437.6494068680322</v>
          </cell>
        </row>
        <row r="139">
          <cell r="M139">
            <v>1030791</v>
          </cell>
          <cell r="N139">
            <v>400</v>
          </cell>
        </row>
        <row r="140">
          <cell r="M140">
            <v>1030802</v>
          </cell>
          <cell r="N140">
            <v>21000</v>
          </cell>
        </row>
        <row r="141">
          <cell r="M141">
            <v>1030801</v>
          </cell>
          <cell r="N141">
            <v>400</v>
          </cell>
        </row>
        <row r="142">
          <cell r="M142">
            <v>1030788</v>
          </cell>
          <cell r="N142">
            <v>800</v>
          </cell>
        </row>
        <row r="143">
          <cell r="M143">
            <v>1030803</v>
          </cell>
          <cell r="N143">
            <v>1000</v>
          </cell>
        </row>
        <row r="144">
          <cell r="M144">
            <v>1020265</v>
          </cell>
          <cell r="N144">
            <v>13269.187497459196</v>
          </cell>
        </row>
        <row r="145">
          <cell r="M145">
            <v>1022883</v>
          </cell>
          <cell r="N145">
            <v>3185</v>
          </cell>
        </row>
        <row r="146">
          <cell r="M146">
            <v>1021622</v>
          </cell>
          <cell r="N146">
            <v>15961</v>
          </cell>
        </row>
        <row r="147">
          <cell r="M147">
            <v>1021620</v>
          </cell>
          <cell r="N147">
            <v>11832</v>
          </cell>
        </row>
        <row r="148">
          <cell r="M148">
            <v>1022853</v>
          </cell>
          <cell r="N148">
            <v>8946.9580000000005</v>
          </cell>
        </row>
        <row r="149">
          <cell r="M149">
            <v>1021739</v>
          </cell>
          <cell r="N149">
            <v>780</v>
          </cell>
        </row>
        <row r="150">
          <cell r="M150">
            <v>1022639</v>
          </cell>
          <cell r="N150">
            <v>208737.25121871682</v>
          </cell>
        </row>
        <row r="151">
          <cell r="M151">
            <v>1022640</v>
          </cell>
          <cell r="N151">
            <v>39097.860752781518</v>
          </cell>
        </row>
        <row r="152">
          <cell r="M152">
            <v>1022889</v>
          </cell>
          <cell r="N152">
            <v>2915.5889720238642</v>
          </cell>
        </row>
        <row r="153">
          <cell r="M153">
            <v>1023194</v>
          </cell>
          <cell r="N153">
            <v>5345</v>
          </cell>
        </row>
        <row r="154">
          <cell r="M154">
            <v>1020417</v>
          </cell>
          <cell r="N154">
            <v>166521</v>
          </cell>
        </row>
        <row r="155">
          <cell r="M155">
            <v>1022169</v>
          </cell>
          <cell r="N155">
            <v>51521</v>
          </cell>
        </row>
        <row r="156">
          <cell r="M156">
            <v>1022414</v>
          </cell>
          <cell r="N156">
            <v>45307</v>
          </cell>
        </row>
        <row r="157">
          <cell r="M157">
            <v>1020042</v>
          </cell>
          <cell r="N157">
            <v>40644</v>
          </cell>
        </row>
        <row r="158">
          <cell r="M158">
            <v>1020001</v>
          </cell>
          <cell r="N158">
            <v>41498.820137461516</v>
          </cell>
        </row>
        <row r="159">
          <cell r="M159">
            <v>1020021</v>
          </cell>
          <cell r="N159">
            <v>116</v>
          </cell>
        </row>
        <row r="160">
          <cell r="M160">
            <v>1022390</v>
          </cell>
          <cell r="N160">
            <v>60670.92</v>
          </cell>
        </row>
        <row r="161">
          <cell r="M161">
            <v>1020105</v>
          </cell>
          <cell r="N161">
            <v>21201.674294425084</v>
          </cell>
        </row>
        <row r="162">
          <cell r="M162">
            <v>1020110</v>
          </cell>
          <cell r="N162">
            <v>187309.35999298067</v>
          </cell>
        </row>
        <row r="163">
          <cell r="M163">
            <v>1020589</v>
          </cell>
          <cell r="N163">
            <v>50365.716106776556</v>
          </cell>
        </row>
        <row r="164">
          <cell r="M164">
            <v>1020848</v>
          </cell>
          <cell r="N164">
            <v>11770.379223671147</v>
          </cell>
        </row>
        <row r="165">
          <cell r="M165">
            <v>1022326</v>
          </cell>
          <cell r="N165">
            <v>5884.8749020828336</v>
          </cell>
        </row>
        <row r="166">
          <cell r="M166">
            <v>1022370</v>
          </cell>
          <cell r="N166">
            <v>17214.218854131188</v>
          </cell>
        </row>
        <row r="167">
          <cell r="M167">
            <v>1022664</v>
          </cell>
          <cell r="N167">
            <v>11769.943747240315</v>
          </cell>
        </row>
        <row r="168">
          <cell r="M168">
            <v>1020085</v>
          </cell>
          <cell r="N168">
            <v>1619.1408898635084</v>
          </cell>
        </row>
        <row r="169">
          <cell r="M169">
            <v>1020089</v>
          </cell>
          <cell r="N169">
            <v>1704.4090909090908</v>
          </cell>
        </row>
        <row r="170">
          <cell r="M170">
            <v>1020090</v>
          </cell>
          <cell r="N170">
            <v>7093.5004743189529</v>
          </cell>
        </row>
        <row r="171">
          <cell r="M171">
            <v>1022080</v>
          </cell>
          <cell r="N171">
            <v>21477</v>
          </cell>
        </row>
        <row r="172">
          <cell r="M172">
            <v>1020447</v>
          </cell>
          <cell r="N172">
            <v>2679</v>
          </cell>
        </row>
        <row r="173">
          <cell r="M173">
            <v>1020003</v>
          </cell>
          <cell r="N173">
            <v>29459.239381759027</v>
          </cell>
        </row>
        <row r="174">
          <cell r="M174">
            <v>1022083</v>
          </cell>
          <cell r="N174">
            <v>34661.599999999999</v>
          </cell>
        </row>
        <row r="175">
          <cell r="M175">
            <v>1022227</v>
          </cell>
          <cell r="N175">
            <v>36119</v>
          </cell>
        </row>
        <row r="176">
          <cell r="M176">
            <v>1022301</v>
          </cell>
          <cell r="N176">
            <v>3366.6862683413347</v>
          </cell>
        </row>
        <row r="177">
          <cell r="M177">
            <v>1022638</v>
          </cell>
          <cell r="N177">
            <v>23610.2</v>
          </cell>
        </row>
        <row r="178">
          <cell r="M178">
            <v>1022887</v>
          </cell>
          <cell r="N178">
            <v>66161</v>
          </cell>
        </row>
        <row r="179">
          <cell r="M179">
            <v>1022930</v>
          </cell>
          <cell r="N179">
            <v>68023.349837159374</v>
          </cell>
        </row>
        <row r="180">
          <cell r="M180">
            <v>1020914</v>
          </cell>
          <cell r="N180">
            <v>2893</v>
          </cell>
        </row>
        <row r="181">
          <cell r="M181">
            <v>1020180</v>
          </cell>
          <cell r="N181">
            <v>14271.127410002609</v>
          </cell>
        </row>
        <row r="182">
          <cell r="M182">
            <v>1021187</v>
          </cell>
          <cell r="N182">
            <v>12759</v>
          </cell>
        </row>
        <row r="183">
          <cell r="M183">
            <v>1020352</v>
          </cell>
          <cell r="N183">
            <v>15285</v>
          </cell>
        </row>
        <row r="184">
          <cell r="M184">
            <v>1022417</v>
          </cell>
          <cell r="N184">
            <v>120561</v>
          </cell>
        </row>
        <row r="185">
          <cell r="M185">
            <v>1020357</v>
          </cell>
          <cell r="N185">
            <v>17485</v>
          </cell>
        </row>
        <row r="186">
          <cell r="M186">
            <v>1021039</v>
          </cell>
          <cell r="N186">
            <v>16726</v>
          </cell>
        </row>
        <row r="187">
          <cell r="M187">
            <v>1022466</v>
          </cell>
          <cell r="N187">
            <v>43282</v>
          </cell>
        </row>
        <row r="188">
          <cell r="M188">
            <v>1020332</v>
          </cell>
          <cell r="N188">
            <v>125029</v>
          </cell>
        </row>
        <row r="189">
          <cell r="M189">
            <v>1021588</v>
          </cell>
          <cell r="N189">
            <v>11490</v>
          </cell>
        </row>
        <row r="190">
          <cell r="M190">
            <v>1021111</v>
          </cell>
          <cell r="N190">
            <v>1057</v>
          </cell>
        </row>
        <row r="191">
          <cell r="M191">
            <v>1020853</v>
          </cell>
          <cell r="N191">
            <v>50442.619554406032</v>
          </cell>
        </row>
        <row r="192">
          <cell r="M192">
            <v>1020103</v>
          </cell>
          <cell r="N192">
            <v>2950.1079440361063</v>
          </cell>
        </row>
        <row r="193">
          <cell r="M193">
            <v>1022196</v>
          </cell>
          <cell r="N193">
            <v>59009</v>
          </cell>
        </row>
        <row r="194">
          <cell r="M194">
            <v>1022855</v>
          </cell>
          <cell r="N194">
            <v>5709</v>
          </cell>
        </row>
        <row r="195">
          <cell r="M195">
            <v>1021272</v>
          </cell>
          <cell r="N195">
            <v>24777</v>
          </cell>
        </row>
        <row r="196">
          <cell r="M196">
            <v>1021267</v>
          </cell>
          <cell r="N196">
            <v>158006</v>
          </cell>
        </row>
        <row r="197">
          <cell r="M197">
            <v>1021874</v>
          </cell>
          <cell r="N197">
            <v>132024</v>
          </cell>
        </row>
        <row r="198">
          <cell r="M198">
            <v>1020421</v>
          </cell>
          <cell r="N198">
            <v>207472</v>
          </cell>
        </row>
        <row r="199">
          <cell r="M199">
            <v>1020408</v>
          </cell>
          <cell r="N199">
            <v>23602</v>
          </cell>
        </row>
        <row r="200">
          <cell r="M200">
            <v>1020409</v>
          </cell>
          <cell r="N200">
            <v>21255</v>
          </cell>
        </row>
        <row r="201">
          <cell r="M201">
            <v>1022381</v>
          </cell>
          <cell r="N201">
            <v>31745</v>
          </cell>
        </row>
        <row r="202">
          <cell r="M202">
            <v>1020367</v>
          </cell>
          <cell r="N202">
            <v>30806</v>
          </cell>
        </row>
        <row r="203">
          <cell r="M203">
            <v>1020369</v>
          </cell>
          <cell r="N203">
            <v>2800</v>
          </cell>
        </row>
        <row r="204">
          <cell r="M204">
            <v>1022920</v>
          </cell>
          <cell r="N204">
            <v>5345</v>
          </cell>
        </row>
        <row r="205">
          <cell r="M205">
            <v>1021023</v>
          </cell>
          <cell r="N205">
            <v>45048</v>
          </cell>
        </row>
        <row r="206">
          <cell r="M206">
            <v>1021555</v>
          </cell>
          <cell r="N206">
            <v>42023</v>
          </cell>
        </row>
        <row r="207">
          <cell r="M207">
            <v>1022218</v>
          </cell>
          <cell r="N207">
            <v>10801</v>
          </cell>
        </row>
        <row r="208">
          <cell r="M208">
            <v>1022096</v>
          </cell>
          <cell r="N208">
            <v>56950</v>
          </cell>
        </row>
        <row r="209">
          <cell r="M209">
            <v>1021766</v>
          </cell>
          <cell r="N209">
            <v>87772</v>
          </cell>
        </row>
        <row r="210">
          <cell r="M210">
            <v>1022099</v>
          </cell>
          <cell r="N210">
            <v>45069</v>
          </cell>
        </row>
        <row r="211">
          <cell r="M211">
            <v>1022388</v>
          </cell>
          <cell r="N211">
            <v>34142</v>
          </cell>
        </row>
        <row r="212">
          <cell r="M212">
            <v>1022636</v>
          </cell>
          <cell r="N212">
            <v>41255</v>
          </cell>
        </row>
        <row r="213">
          <cell r="M213">
            <v>1022637</v>
          </cell>
          <cell r="N213">
            <v>29764</v>
          </cell>
        </row>
        <row r="214">
          <cell r="M214">
            <v>1021732</v>
          </cell>
          <cell r="N214">
            <v>87367</v>
          </cell>
        </row>
        <row r="215">
          <cell r="M215">
            <v>1021774</v>
          </cell>
          <cell r="N215">
            <v>22208</v>
          </cell>
        </row>
        <row r="216">
          <cell r="M216">
            <v>1021279</v>
          </cell>
          <cell r="N216">
            <v>7726</v>
          </cell>
        </row>
        <row r="217">
          <cell r="M217">
            <v>1021945</v>
          </cell>
          <cell r="N217">
            <v>1200</v>
          </cell>
        </row>
        <row r="218">
          <cell r="M218">
            <v>1022033</v>
          </cell>
          <cell r="N218">
            <v>8921</v>
          </cell>
        </row>
        <row r="219">
          <cell r="M219">
            <v>1020391</v>
          </cell>
          <cell r="N219">
            <v>1420</v>
          </cell>
        </row>
        <row r="220">
          <cell r="M220">
            <v>1020339</v>
          </cell>
          <cell r="N220">
            <v>10911</v>
          </cell>
        </row>
        <row r="221">
          <cell r="M221">
            <v>1021992</v>
          </cell>
          <cell r="N221">
            <v>74378</v>
          </cell>
        </row>
        <row r="222">
          <cell r="M222">
            <v>1022217</v>
          </cell>
          <cell r="N222">
            <v>10362</v>
          </cell>
        </row>
        <row r="223">
          <cell r="M223">
            <v>1022918</v>
          </cell>
          <cell r="N223">
            <v>32051</v>
          </cell>
        </row>
        <row r="224">
          <cell r="M224">
            <v>1020340</v>
          </cell>
          <cell r="N224">
            <v>12040</v>
          </cell>
        </row>
        <row r="225">
          <cell r="M225">
            <v>1021737</v>
          </cell>
          <cell r="N225">
            <v>4273.26</v>
          </cell>
        </row>
        <row r="226">
          <cell r="M226">
            <v>1022748</v>
          </cell>
          <cell r="N226">
            <v>66347.78</v>
          </cell>
        </row>
        <row r="227">
          <cell r="M227">
            <v>1022945</v>
          </cell>
          <cell r="N227">
            <v>33984</v>
          </cell>
        </row>
        <row r="228">
          <cell r="M228">
            <v>1020442</v>
          </cell>
          <cell r="N228">
            <v>45059</v>
          </cell>
        </row>
        <row r="229">
          <cell r="M229">
            <v>1022933</v>
          </cell>
          <cell r="N229">
            <v>320</v>
          </cell>
        </row>
        <row r="230">
          <cell r="M230">
            <v>1020326</v>
          </cell>
          <cell r="N230">
            <v>77155.199999999997</v>
          </cell>
        </row>
        <row r="231">
          <cell r="M231">
            <v>1022379</v>
          </cell>
          <cell r="N231">
            <v>107143.35167548108</v>
          </cell>
        </row>
        <row r="232">
          <cell r="M232">
            <v>1020013</v>
          </cell>
          <cell r="N232">
            <v>252505.27355949246</v>
          </cell>
        </row>
        <row r="233">
          <cell r="M233">
            <v>1020298</v>
          </cell>
          <cell r="N233">
            <v>67953.730460940671</v>
          </cell>
        </row>
        <row r="234">
          <cell r="M234">
            <v>1021334</v>
          </cell>
          <cell r="N234">
            <v>120415.18399999999</v>
          </cell>
        </row>
        <row r="235">
          <cell r="M235">
            <v>1021740</v>
          </cell>
          <cell r="N235">
            <v>94730</v>
          </cell>
        </row>
        <row r="236">
          <cell r="M236">
            <v>1022304</v>
          </cell>
          <cell r="N236">
            <v>3697</v>
          </cell>
        </row>
        <row r="237">
          <cell r="M237">
            <v>1021012</v>
          </cell>
          <cell r="N237">
            <v>54977</v>
          </cell>
        </row>
        <row r="238">
          <cell r="M238">
            <v>1021735</v>
          </cell>
          <cell r="N238">
            <v>46045.799999999996</v>
          </cell>
        </row>
        <row r="239">
          <cell r="M239">
            <v>1021738</v>
          </cell>
          <cell r="N239">
            <v>23536.395</v>
          </cell>
        </row>
        <row r="240">
          <cell r="M240">
            <v>1021731</v>
          </cell>
          <cell r="N240">
            <v>50576.52</v>
          </cell>
        </row>
        <row r="241">
          <cell r="M241">
            <v>1022125</v>
          </cell>
          <cell r="N241">
            <v>105670.05200000001</v>
          </cell>
        </row>
        <row r="242">
          <cell r="M242">
            <v>1022291</v>
          </cell>
          <cell r="N242">
            <v>6866.16</v>
          </cell>
        </row>
        <row r="243">
          <cell r="M243">
            <v>1022183</v>
          </cell>
          <cell r="N243">
            <v>200010.16199999998</v>
          </cell>
        </row>
        <row r="244">
          <cell r="M244">
            <v>1021733</v>
          </cell>
          <cell r="N244">
            <v>36246</v>
          </cell>
        </row>
        <row r="245">
          <cell r="M245">
            <v>1022141</v>
          </cell>
          <cell r="N245">
            <v>9481.3429999999989</v>
          </cell>
        </row>
        <row r="246">
          <cell r="M246">
            <v>1022142</v>
          </cell>
          <cell r="N246">
            <v>5454.2479999999996</v>
          </cell>
        </row>
        <row r="247">
          <cell r="M247">
            <v>1020010</v>
          </cell>
          <cell r="N247">
            <v>219977.58549008705</v>
          </cell>
        </row>
        <row r="248">
          <cell r="M248">
            <v>1020236</v>
          </cell>
          <cell r="N248">
            <v>150826.83731957327</v>
          </cell>
        </row>
        <row r="249">
          <cell r="M249">
            <v>1020245</v>
          </cell>
          <cell r="N249">
            <v>62403.822973953473</v>
          </cell>
        </row>
        <row r="250">
          <cell r="M250">
            <v>1020252</v>
          </cell>
          <cell r="N250">
            <v>38515.968474687121</v>
          </cell>
        </row>
        <row r="251">
          <cell r="M251">
            <v>1020253</v>
          </cell>
          <cell r="N251">
            <v>192451.69234209435</v>
          </cell>
        </row>
        <row r="252">
          <cell r="M252">
            <v>1020611</v>
          </cell>
          <cell r="N252">
            <v>72778.086760150662</v>
          </cell>
        </row>
        <row r="253">
          <cell r="M253">
            <v>1020631</v>
          </cell>
          <cell r="N253">
            <v>177763.3855717243</v>
          </cell>
        </row>
        <row r="254">
          <cell r="M254">
            <v>1022232</v>
          </cell>
          <cell r="N254">
            <v>26872.797999999999</v>
          </cell>
        </row>
        <row r="255">
          <cell r="M255">
            <v>1023092</v>
          </cell>
          <cell r="N255">
            <v>3817.8</v>
          </cell>
        </row>
        <row r="256">
          <cell r="M256">
            <v>1023263</v>
          </cell>
          <cell r="N256">
            <v>3406.2</v>
          </cell>
        </row>
        <row r="257">
          <cell r="M257">
            <v>1020316</v>
          </cell>
          <cell r="N257">
            <v>5600.3220000000001</v>
          </cell>
        </row>
        <row r="258">
          <cell r="M258">
            <v>1022857</v>
          </cell>
          <cell r="N258">
            <v>10866.449999999999</v>
          </cell>
        </row>
        <row r="259">
          <cell r="M259">
            <v>1022345</v>
          </cell>
          <cell r="N259">
            <v>14959.214</v>
          </cell>
        </row>
        <row r="260">
          <cell r="M260">
            <v>1021105</v>
          </cell>
          <cell r="N260">
            <v>7500</v>
          </cell>
        </row>
        <row r="261">
          <cell r="M261">
            <v>1021931</v>
          </cell>
          <cell r="N261">
            <v>4603</v>
          </cell>
        </row>
        <row r="262">
          <cell r="M262">
            <v>1023265</v>
          </cell>
          <cell r="N262">
            <v>1585</v>
          </cell>
        </row>
        <row r="263">
          <cell r="M263">
            <v>1020158</v>
          </cell>
          <cell r="N263">
            <v>17718</v>
          </cell>
        </row>
        <row r="264">
          <cell r="M264">
            <v>1020067</v>
          </cell>
          <cell r="N264">
            <v>51926</v>
          </cell>
        </row>
        <row r="265">
          <cell r="M265">
            <v>1020177</v>
          </cell>
          <cell r="N265">
            <v>43707</v>
          </cell>
        </row>
        <row r="266">
          <cell r="M266">
            <v>1022186</v>
          </cell>
          <cell r="N266">
            <v>16353</v>
          </cell>
        </row>
        <row r="267">
          <cell r="M267">
            <v>1022378</v>
          </cell>
          <cell r="N267">
            <v>26134</v>
          </cell>
        </row>
        <row r="268">
          <cell r="M268">
            <v>1021767</v>
          </cell>
          <cell r="N268">
            <v>141529</v>
          </cell>
        </row>
        <row r="269">
          <cell r="M269">
            <v>1020038</v>
          </cell>
          <cell r="N269">
            <v>1463</v>
          </cell>
        </row>
        <row r="270">
          <cell r="M270">
            <v>1021136</v>
          </cell>
          <cell r="N270">
            <v>2456</v>
          </cell>
        </row>
        <row r="271">
          <cell r="M271">
            <v>1022413</v>
          </cell>
          <cell r="N271">
            <v>3317</v>
          </cell>
        </row>
        <row r="272">
          <cell r="M272">
            <v>1021078</v>
          </cell>
          <cell r="N272">
            <v>33635</v>
          </cell>
        </row>
        <row r="273">
          <cell r="M273">
            <v>1021092</v>
          </cell>
          <cell r="N273">
            <v>34154</v>
          </cell>
        </row>
        <row r="274">
          <cell r="M274">
            <v>1022842</v>
          </cell>
          <cell r="N274">
            <v>400</v>
          </cell>
        </row>
        <row r="275">
          <cell r="M275">
            <v>1020433</v>
          </cell>
          <cell r="N275">
            <v>5534</v>
          </cell>
        </row>
        <row r="276">
          <cell r="M276">
            <v>1022418</v>
          </cell>
          <cell r="N276">
            <v>7134</v>
          </cell>
        </row>
        <row r="277">
          <cell r="M277">
            <v>1020810</v>
          </cell>
          <cell r="N277">
            <v>3500</v>
          </cell>
        </row>
        <row r="278">
          <cell r="M278">
            <v>1023195</v>
          </cell>
          <cell r="N278">
            <v>4800</v>
          </cell>
        </row>
        <row r="279">
          <cell r="M279">
            <v>1020027</v>
          </cell>
          <cell r="N279">
            <v>79720.427267844221</v>
          </cell>
        </row>
        <row r="280">
          <cell r="M280">
            <v>1020028</v>
          </cell>
          <cell r="N280">
            <v>1335</v>
          </cell>
        </row>
        <row r="281">
          <cell r="M281">
            <v>1020029</v>
          </cell>
          <cell r="N281">
            <v>502.64531066030031</v>
          </cell>
        </row>
        <row r="282">
          <cell r="M282">
            <v>1022391</v>
          </cell>
          <cell r="N282">
            <v>136071.52499999999</v>
          </cell>
        </row>
        <row r="283">
          <cell r="M283">
            <v>1022863</v>
          </cell>
          <cell r="N283">
            <v>18725</v>
          </cell>
        </row>
        <row r="284">
          <cell r="M284">
            <v>1022864</v>
          </cell>
          <cell r="N284">
            <v>53979.374272842309</v>
          </cell>
        </row>
        <row r="285">
          <cell r="M285">
            <v>1021394</v>
          </cell>
          <cell r="N285">
            <v>3555</v>
          </cell>
        </row>
        <row r="286">
          <cell r="M286">
            <v>1023071</v>
          </cell>
          <cell r="N286">
            <v>37906</v>
          </cell>
        </row>
        <row r="287">
          <cell r="M287">
            <v>1023038</v>
          </cell>
          <cell r="N287">
            <v>26559</v>
          </cell>
        </row>
        <row r="288">
          <cell r="M288">
            <v>1022128</v>
          </cell>
          <cell r="N288">
            <v>3874.9000000000005</v>
          </cell>
        </row>
        <row r="289">
          <cell r="M289">
            <v>1023093</v>
          </cell>
          <cell r="N289">
            <v>16028</v>
          </cell>
        </row>
        <row r="290">
          <cell r="M290">
            <v>1022619</v>
          </cell>
          <cell r="N290">
            <v>3676</v>
          </cell>
        </row>
        <row r="291">
          <cell r="M291">
            <v>1023144</v>
          </cell>
          <cell r="N291">
            <v>10684</v>
          </cell>
        </row>
        <row r="292">
          <cell r="M292">
            <v>1023286</v>
          </cell>
          <cell r="N292">
            <v>4848</v>
          </cell>
        </row>
        <row r="293">
          <cell r="M293">
            <v>1023298</v>
          </cell>
          <cell r="N293">
            <v>5438.5615856193663</v>
          </cell>
        </row>
        <row r="294">
          <cell r="M294">
            <v>1023283</v>
          </cell>
          <cell r="N294">
            <v>21440</v>
          </cell>
        </row>
        <row r="295">
          <cell r="M295">
            <v>1023319</v>
          </cell>
          <cell r="N295">
            <v>7432</v>
          </cell>
        </row>
        <row r="296">
          <cell r="M296">
            <v>1023326</v>
          </cell>
          <cell r="N296">
            <v>10805</v>
          </cell>
        </row>
        <row r="297">
          <cell r="M297">
            <v>1023308</v>
          </cell>
          <cell r="N297">
            <v>9920</v>
          </cell>
        </row>
        <row r="298">
          <cell r="M298">
            <v>1023310</v>
          </cell>
          <cell r="N298">
            <v>2880</v>
          </cell>
        </row>
        <row r="299">
          <cell r="M299">
            <v>1023343</v>
          </cell>
          <cell r="N299">
            <v>52100</v>
          </cell>
        </row>
        <row r="300">
          <cell r="M300">
            <v>1023339</v>
          </cell>
          <cell r="N300">
            <v>55351</v>
          </cell>
        </row>
        <row r="301">
          <cell r="M301">
            <v>1023291</v>
          </cell>
          <cell r="N301">
            <v>8550</v>
          </cell>
        </row>
        <row r="302">
          <cell r="M302">
            <v>1023383</v>
          </cell>
          <cell r="N302">
            <v>20272</v>
          </cell>
        </row>
        <row r="303">
          <cell r="M303">
            <v>1023375</v>
          </cell>
          <cell r="N303">
            <v>1849</v>
          </cell>
        </row>
        <row r="304">
          <cell r="M304">
            <v>1023354</v>
          </cell>
          <cell r="N304">
            <v>20734.400000000001</v>
          </cell>
        </row>
        <row r="305">
          <cell r="M305">
            <v>1023218</v>
          </cell>
          <cell r="N305">
            <v>19888</v>
          </cell>
        </row>
        <row r="306">
          <cell r="M306">
            <v>1021278</v>
          </cell>
          <cell r="N306">
            <v>5440.7581538461545</v>
          </cell>
        </row>
        <row r="307">
          <cell r="M307">
            <v>1023409</v>
          </cell>
          <cell r="N307">
            <v>5477</v>
          </cell>
        </row>
        <row r="308">
          <cell r="M308">
            <v>1023124</v>
          </cell>
          <cell r="N308">
            <v>8545.2987013095208</v>
          </cell>
        </row>
        <row r="309">
          <cell r="M309">
            <v>3020246</v>
          </cell>
          <cell r="N309">
            <v>1692</v>
          </cell>
        </row>
        <row r="310">
          <cell r="M310">
            <v>2020207</v>
          </cell>
          <cell r="N310">
            <v>39265</v>
          </cell>
        </row>
        <row r="311">
          <cell r="M311">
            <v>3020019</v>
          </cell>
          <cell r="N311">
            <v>19899</v>
          </cell>
        </row>
        <row r="312">
          <cell r="M312">
            <v>3020025</v>
          </cell>
          <cell r="N312">
            <v>6718</v>
          </cell>
        </row>
        <row r="313">
          <cell r="M313">
            <v>3020011</v>
          </cell>
          <cell r="N313">
            <v>556</v>
          </cell>
        </row>
        <row r="314">
          <cell r="M314">
            <v>3020258</v>
          </cell>
          <cell r="N314">
            <v>7998</v>
          </cell>
        </row>
        <row r="315">
          <cell r="M315">
            <v>3020255</v>
          </cell>
          <cell r="N315">
            <v>20514</v>
          </cell>
        </row>
        <row r="316">
          <cell r="M316">
            <v>3020278</v>
          </cell>
          <cell r="N316">
            <v>127170.8470836849</v>
          </cell>
        </row>
        <row r="317">
          <cell r="M317">
            <v>2020533</v>
          </cell>
          <cell r="N317">
            <v>10690</v>
          </cell>
        </row>
        <row r="318">
          <cell r="M318">
            <v>1021980</v>
          </cell>
          <cell r="N318">
            <v>610</v>
          </cell>
        </row>
        <row r="319">
          <cell r="M319">
            <v>1023285</v>
          </cell>
          <cell r="N319">
            <v>7649</v>
          </cell>
        </row>
        <row r="320">
          <cell r="M320">
            <v>1022212</v>
          </cell>
          <cell r="N320">
            <v>179234.27729446118</v>
          </cell>
        </row>
        <row r="321">
          <cell r="M321">
            <v>1020005</v>
          </cell>
          <cell r="N321">
            <v>3290.8450000000003</v>
          </cell>
        </row>
        <row r="322">
          <cell r="M322">
            <v>4022390</v>
          </cell>
          <cell r="N322">
            <v>15580</v>
          </cell>
        </row>
        <row r="323">
          <cell r="M323">
            <v>1022528</v>
          </cell>
          <cell r="N323">
            <v>12681.130000000001</v>
          </cell>
        </row>
        <row r="324">
          <cell r="M324">
            <v>1022530</v>
          </cell>
          <cell r="N324">
            <v>21340.319000000003</v>
          </cell>
        </row>
        <row r="325">
          <cell r="M325">
            <v>1022380</v>
          </cell>
          <cell r="N325">
            <v>8027.12</v>
          </cell>
        </row>
        <row r="326">
          <cell r="M326">
            <v>1021687</v>
          </cell>
          <cell r="N326">
            <v>7226.0079999999998</v>
          </cell>
        </row>
        <row r="327">
          <cell r="M327">
            <v>1022562</v>
          </cell>
          <cell r="N327">
            <v>14856.569</v>
          </cell>
        </row>
        <row r="328">
          <cell r="M328">
            <v>1020446</v>
          </cell>
          <cell r="N328">
            <v>9555</v>
          </cell>
        </row>
        <row r="329">
          <cell r="M329">
            <v>1021538</v>
          </cell>
          <cell r="N329">
            <v>39864.398774641435</v>
          </cell>
        </row>
        <row r="330">
          <cell r="M330">
            <v>1020126</v>
          </cell>
          <cell r="N330">
            <v>663.58778609195008</v>
          </cell>
        </row>
        <row r="331">
          <cell r="M331">
            <v>1021560</v>
          </cell>
          <cell r="N331">
            <v>49719.086000000003</v>
          </cell>
        </row>
        <row r="332">
          <cell r="M332">
            <v>1022148</v>
          </cell>
          <cell r="N332">
            <v>25522.600000000002</v>
          </cell>
        </row>
        <row r="333">
          <cell r="M333">
            <v>1020637</v>
          </cell>
          <cell r="N333">
            <v>73871.120460083199</v>
          </cell>
        </row>
        <row r="334">
          <cell r="M334">
            <v>1020731</v>
          </cell>
          <cell r="N334">
            <v>5430.3878089216096</v>
          </cell>
        </row>
        <row r="335">
          <cell r="M335">
            <v>1020181</v>
          </cell>
          <cell r="N335">
            <v>1124.3853399786065</v>
          </cell>
        </row>
        <row r="336">
          <cell r="M336">
            <v>1022874</v>
          </cell>
          <cell r="N336">
            <v>224</v>
          </cell>
        </row>
        <row r="337">
          <cell r="M337">
            <v>1020353</v>
          </cell>
          <cell r="N337">
            <v>10406</v>
          </cell>
        </row>
        <row r="338">
          <cell r="M338">
            <v>1023306</v>
          </cell>
          <cell r="N338">
            <v>94458</v>
          </cell>
        </row>
        <row r="339">
          <cell r="M339">
            <v>1022330</v>
          </cell>
          <cell r="N339">
            <v>129935</v>
          </cell>
        </row>
        <row r="340">
          <cell r="M340">
            <v>1021655</v>
          </cell>
          <cell r="N340">
            <v>10000</v>
          </cell>
        </row>
        <row r="341">
          <cell r="M341">
            <v>1020118</v>
          </cell>
          <cell r="N341">
            <v>4717.0220000000008</v>
          </cell>
        </row>
        <row r="342">
          <cell r="M342">
            <v>1022329</v>
          </cell>
          <cell r="N342">
            <v>100011</v>
          </cell>
        </row>
        <row r="343">
          <cell r="M343">
            <v>1022273</v>
          </cell>
          <cell r="N343">
            <v>51627</v>
          </cell>
        </row>
        <row r="344">
          <cell r="M344">
            <v>1022854</v>
          </cell>
          <cell r="N344">
            <v>9187</v>
          </cell>
        </row>
        <row r="345">
          <cell r="M345">
            <v>1022987</v>
          </cell>
          <cell r="N345">
            <v>13358</v>
          </cell>
        </row>
        <row r="346">
          <cell r="M346">
            <v>1022073</v>
          </cell>
          <cell r="N346">
            <v>47566</v>
          </cell>
        </row>
        <row r="347">
          <cell r="M347">
            <v>1022851</v>
          </cell>
          <cell r="N347">
            <v>59631.846092371845</v>
          </cell>
        </row>
        <row r="348">
          <cell r="M348">
            <v>1020325</v>
          </cell>
          <cell r="N348">
            <v>4722</v>
          </cell>
        </row>
        <row r="349">
          <cell r="M349">
            <v>1020614</v>
          </cell>
          <cell r="N349">
            <v>7024.8514629028623</v>
          </cell>
        </row>
        <row r="350">
          <cell r="M350">
            <v>1022603</v>
          </cell>
          <cell r="N350">
            <v>2160</v>
          </cell>
        </row>
        <row r="351">
          <cell r="M351">
            <v>1020439</v>
          </cell>
          <cell r="N351">
            <v>22774</v>
          </cell>
        </row>
        <row r="352">
          <cell r="M352">
            <v>1020440</v>
          </cell>
          <cell r="N352">
            <v>1766</v>
          </cell>
        </row>
        <row r="353">
          <cell r="M353">
            <v>1020350</v>
          </cell>
          <cell r="N353">
            <v>14934</v>
          </cell>
        </row>
        <row r="354">
          <cell r="M354">
            <v>1020774</v>
          </cell>
          <cell r="N354">
            <v>3207</v>
          </cell>
        </row>
        <row r="355">
          <cell r="M355">
            <v>1020014</v>
          </cell>
          <cell r="N355">
            <v>16315.785</v>
          </cell>
        </row>
        <row r="356">
          <cell r="M356">
            <v>1022940</v>
          </cell>
          <cell r="N356">
            <v>2777.6</v>
          </cell>
        </row>
        <row r="357">
          <cell r="M357">
            <v>1020991</v>
          </cell>
          <cell r="N357">
            <v>3438.93</v>
          </cell>
        </row>
        <row r="358">
          <cell r="M358">
            <v>1021510</v>
          </cell>
          <cell r="N358">
            <v>42588</v>
          </cell>
        </row>
        <row r="359">
          <cell r="M359">
            <v>1020261</v>
          </cell>
          <cell r="N359">
            <v>3257.5488199028141</v>
          </cell>
        </row>
        <row r="360">
          <cell r="M360">
            <v>1020269</v>
          </cell>
          <cell r="N360">
            <v>3865.8159999999998</v>
          </cell>
        </row>
        <row r="361">
          <cell r="M361">
            <v>1020270</v>
          </cell>
          <cell r="N361">
            <v>4374.3969999999999</v>
          </cell>
        </row>
        <row r="362">
          <cell r="M362">
            <v>1020271</v>
          </cell>
          <cell r="N362">
            <v>4074.6779999999999</v>
          </cell>
        </row>
        <row r="363">
          <cell r="M363">
            <v>1021683</v>
          </cell>
          <cell r="N363">
            <v>37217.116000000002</v>
          </cell>
        </row>
        <row r="364">
          <cell r="M364">
            <v>1022235</v>
          </cell>
          <cell r="N364">
            <v>30829.149000000001</v>
          </cell>
        </row>
        <row r="365">
          <cell r="M365">
            <v>1022673</v>
          </cell>
          <cell r="N365">
            <v>2236.1999999999998</v>
          </cell>
        </row>
        <row r="366">
          <cell r="M366">
            <v>1023273</v>
          </cell>
          <cell r="N366">
            <v>12908.56</v>
          </cell>
        </row>
        <row r="367">
          <cell r="M367">
            <v>1023276</v>
          </cell>
          <cell r="N367">
            <v>6626.7</v>
          </cell>
        </row>
        <row r="368">
          <cell r="M368">
            <v>1023274</v>
          </cell>
          <cell r="N368">
            <v>3241.85</v>
          </cell>
        </row>
        <row r="369">
          <cell r="M369">
            <v>1022084</v>
          </cell>
          <cell r="N369">
            <v>27539.532999999999</v>
          </cell>
        </row>
        <row r="370">
          <cell r="M370">
            <v>1022607</v>
          </cell>
          <cell r="N370">
            <v>6809</v>
          </cell>
        </row>
        <row r="371">
          <cell r="M371">
            <v>1022517</v>
          </cell>
          <cell r="N371">
            <v>556</v>
          </cell>
        </row>
        <row r="372">
          <cell r="M372">
            <v>1022277</v>
          </cell>
          <cell r="N372">
            <v>25028.34</v>
          </cell>
        </row>
        <row r="373">
          <cell r="M373">
            <v>1020426</v>
          </cell>
          <cell r="N373">
            <v>12045</v>
          </cell>
        </row>
        <row r="374">
          <cell r="M374">
            <v>1022344</v>
          </cell>
          <cell r="N374">
            <v>9841</v>
          </cell>
        </row>
        <row r="375">
          <cell r="M375">
            <v>1022792</v>
          </cell>
          <cell r="N375">
            <v>10441</v>
          </cell>
        </row>
        <row r="376">
          <cell r="M376">
            <v>1021987</v>
          </cell>
          <cell r="N376">
            <v>1946.4</v>
          </cell>
        </row>
        <row r="377">
          <cell r="M377">
            <v>1021477</v>
          </cell>
          <cell r="N377">
            <v>19819.900000000001</v>
          </cell>
        </row>
        <row r="378">
          <cell r="M378">
            <v>1022474</v>
          </cell>
          <cell r="N378">
            <v>3977.5929999999998</v>
          </cell>
        </row>
        <row r="379">
          <cell r="M379">
            <v>1023035</v>
          </cell>
          <cell r="N379">
            <v>2468</v>
          </cell>
        </row>
        <row r="380">
          <cell r="M380">
            <v>1023162</v>
          </cell>
          <cell r="N380">
            <v>457.59999999999997</v>
          </cell>
        </row>
        <row r="381">
          <cell r="M381">
            <v>1023256</v>
          </cell>
          <cell r="N381">
            <v>5665</v>
          </cell>
        </row>
        <row r="382">
          <cell r="M382">
            <v>1023275</v>
          </cell>
          <cell r="N382">
            <v>1568</v>
          </cell>
        </row>
        <row r="383">
          <cell r="M383">
            <v>1023133</v>
          </cell>
          <cell r="N383">
            <v>150</v>
          </cell>
        </row>
        <row r="384">
          <cell r="M384">
            <v>1023329</v>
          </cell>
          <cell r="N384">
            <v>11876</v>
          </cell>
        </row>
        <row r="385">
          <cell r="M385">
            <v>1023314</v>
          </cell>
          <cell r="N385">
            <v>8232</v>
          </cell>
        </row>
        <row r="386">
          <cell r="M386">
            <v>1023352</v>
          </cell>
          <cell r="N386">
            <v>34321.68572210722</v>
          </cell>
        </row>
        <row r="387">
          <cell r="M387">
            <v>1023340</v>
          </cell>
          <cell r="N387">
            <v>14961</v>
          </cell>
        </row>
        <row r="388">
          <cell r="M388">
            <v>1023369</v>
          </cell>
          <cell r="N388">
            <v>2400</v>
          </cell>
        </row>
        <row r="389">
          <cell r="M389">
            <v>1023355</v>
          </cell>
          <cell r="N389">
            <v>8160</v>
          </cell>
        </row>
        <row r="390">
          <cell r="M390">
            <v>1023400</v>
          </cell>
          <cell r="N390">
            <v>3349.5131753738538</v>
          </cell>
        </row>
        <row r="391">
          <cell r="M391">
            <v>1023417</v>
          </cell>
          <cell r="N391">
            <v>16159.252333329829</v>
          </cell>
        </row>
        <row r="392">
          <cell r="M392">
            <v>1023134</v>
          </cell>
          <cell r="N392">
            <v>5692.2339422844379</v>
          </cell>
        </row>
        <row r="393">
          <cell r="M393">
            <v>1022770</v>
          </cell>
          <cell r="N393">
            <v>1752.6570570784772</v>
          </cell>
        </row>
        <row r="394">
          <cell r="M394">
            <v>1022958</v>
          </cell>
          <cell r="N394">
            <v>21295.07892017598</v>
          </cell>
        </row>
        <row r="395">
          <cell r="M395">
            <v>1022959</v>
          </cell>
          <cell r="N395">
            <v>40993.2452308469</v>
          </cell>
        </row>
        <row r="396">
          <cell r="M396">
            <v>2020855</v>
          </cell>
          <cell r="N396">
            <v>8857</v>
          </cell>
        </row>
        <row r="397">
          <cell r="M397">
            <v>2020093</v>
          </cell>
          <cell r="N397">
            <v>10492</v>
          </cell>
        </row>
        <row r="398">
          <cell r="M398">
            <v>2020025</v>
          </cell>
          <cell r="N398">
            <v>4157.7975079367179</v>
          </cell>
        </row>
        <row r="399">
          <cell r="M399">
            <v>3020008</v>
          </cell>
          <cell r="N399">
            <v>19801</v>
          </cell>
        </row>
        <row r="400">
          <cell r="M400">
            <v>2020798</v>
          </cell>
          <cell r="N400">
            <v>2400</v>
          </cell>
        </row>
        <row r="401">
          <cell r="M401">
            <v>3020092</v>
          </cell>
          <cell r="N401">
            <v>19782</v>
          </cell>
        </row>
        <row r="402">
          <cell r="M402">
            <v>2020160</v>
          </cell>
          <cell r="N402">
            <v>3942</v>
          </cell>
        </row>
        <row r="403">
          <cell r="M403">
            <v>2020164</v>
          </cell>
          <cell r="N403">
            <v>5351</v>
          </cell>
        </row>
        <row r="404">
          <cell r="M404">
            <v>2020186</v>
          </cell>
          <cell r="N404">
            <v>17616.754607079536</v>
          </cell>
        </row>
        <row r="405">
          <cell r="M405">
            <v>2020187</v>
          </cell>
          <cell r="N405">
            <v>15734.477933914482</v>
          </cell>
        </row>
        <row r="406">
          <cell r="M406">
            <v>2020458</v>
          </cell>
          <cell r="N406">
            <v>17052.237067421316</v>
          </cell>
        </row>
        <row r="407">
          <cell r="M407">
            <v>3020250</v>
          </cell>
          <cell r="N407">
            <v>272</v>
          </cell>
        </row>
        <row r="408">
          <cell r="M408">
            <v>2020337</v>
          </cell>
          <cell r="N408">
            <v>61948</v>
          </cell>
        </row>
        <row r="409">
          <cell r="M409">
            <v>2020857</v>
          </cell>
          <cell r="N409">
            <v>1260</v>
          </cell>
        </row>
        <row r="410">
          <cell r="M410">
            <v>2020276</v>
          </cell>
          <cell r="N410">
            <v>16462</v>
          </cell>
        </row>
        <row r="411">
          <cell r="M411">
            <v>2020310</v>
          </cell>
          <cell r="N411">
            <v>3481</v>
          </cell>
        </row>
        <row r="412">
          <cell r="M412">
            <v>2020440</v>
          </cell>
          <cell r="N412">
            <v>1960</v>
          </cell>
        </row>
        <row r="413">
          <cell r="M413">
            <v>1011105</v>
          </cell>
          <cell r="N413">
            <v>5000</v>
          </cell>
        </row>
        <row r="414">
          <cell r="M414">
            <v>1011145</v>
          </cell>
          <cell r="N414">
            <v>3500</v>
          </cell>
        </row>
        <row r="415">
          <cell r="M415">
            <v>1011156</v>
          </cell>
          <cell r="N415">
            <v>3000</v>
          </cell>
        </row>
        <row r="416">
          <cell r="M416">
            <v>1012158</v>
          </cell>
          <cell r="N416">
            <v>22650</v>
          </cell>
        </row>
        <row r="417">
          <cell r="M417">
            <v>1012488</v>
          </cell>
          <cell r="N417">
            <v>29000</v>
          </cell>
        </row>
        <row r="418">
          <cell r="M418">
            <v>1012534</v>
          </cell>
          <cell r="N418">
            <v>66000</v>
          </cell>
        </row>
        <row r="419">
          <cell r="M419">
            <v>1010143</v>
          </cell>
          <cell r="N419">
            <v>12000</v>
          </cell>
        </row>
        <row r="420">
          <cell r="M420">
            <v>1010176</v>
          </cell>
          <cell r="N420">
            <v>4000</v>
          </cell>
        </row>
        <row r="421">
          <cell r="M421">
            <v>1011141</v>
          </cell>
          <cell r="N421">
            <v>12300</v>
          </cell>
        </row>
        <row r="422">
          <cell r="M422">
            <v>1011638</v>
          </cell>
          <cell r="N422">
            <v>2000</v>
          </cell>
        </row>
        <row r="423">
          <cell r="M423">
            <v>1012452</v>
          </cell>
          <cell r="N423">
            <v>8000</v>
          </cell>
        </row>
        <row r="424">
          <cell r="M424">
            <v>1012556</v>
          </cell>
          <cell r="N424">
            <v>30000</v>
          </cell>
        </row>
        <row r="425">
          <cell r="M425">
            <v>1012654</v>
          </cell>
          <cell r="N425">
            <v>30000</v>
          </cell>
        </row>
        <row r="426">
          <cell r="M426">
            <v>1030198</v>
          </cell>
          <cell r="N426">
            <v>399.45600000000195</v>
          </cell>
        </row>
        <row r="427">
          <cell r="M427">
            <v>1030077</v>
          </cell>
          <cell r="N427">
            <v>1000</v>
          </cell>
        </row>
        <row r="428">
          <cell r="M428">
            <v>1030255</v>
          </cell>
          <cell r="N428">
            <v>399.45600000000002</v>
          </cell>
        </row>
        <row r="429">
          <cell r="M429">
            <v>1030078</v>
          </cell>
          <cell r="N429">
            <v>3000</v>
          </cell>
        </row>
        <row r="430">
          <cell r="M430">
            <v>1030445</v>
          </cell>
          <cell r="N430">
            <v>2100</v>
          </cell>
        </row>
        <row r="431">
          <cell r="M431">
            <v>1030761</v>
          </cell>
          <cell r="N431">
            <v>228</v>
          </cell>
        </row>
        <row r="432">
          <cell r="M432">
            <v>1030773</v>
          </cell>
          <cell r="N432">
            <v>6000</v>
          </cell>
        </row>
        <row r="433">
          <cell r="M433">
            <v>1020092</v>
          </cell>
          <cell r="N433">
            <v>4605.010338890972</v>
          </cell>
        </row>
        <row r="434">
          <cell r="M434">
            <v>1020136</v>
          </cell>
          <cell r="N434">
            <v>561.60318061851831</v>
          </cell>
        </row>
        <row r="435">
          <cell r="M435">
            <v>1022885</v>
          </cell>
          <cell r="N435">
            <v>135172.75213819137</v>
          </cell>
        </row>
        <row r="436">
          <cell r="M436">
            <v>1023110</v>
          </cell>
          <cell r="N436">
            <v>49909</v>
          </cell>
        </row>
        <row r="437">
          <cell r="M437">
            <v>1022856</v>
          </cell>
          <cell r="N437">
            <v>47647</v>
          </cell>
        </row>
        <row r="438">
          <cell r="M438">
            <v>1021936</v>
          </cell>
          <cell r="N438">
            <v>104340</v>
          </cell>
        </row>
        <row r="439">
          <cell r="M439">
            <v>1020944</v>
          </cell>
          <cell r="N439">
            <v>90006.482900192263</v>
          </cell>
        </row>
        <row r="440">
          <cell r="M440">
            <v>1020592</v>
          </cell>
          <cell r="N440">
            <v>14940.170520464697</v>
          </cell>
        </row>
        <row r="441">
          <cell r="M441">
            <v>1020861</v>
          </cell>
          <cell r="N441">
            <v>57019.324670239352</v>
          </cell>
        </row>
        <row r="442">
          <cell r="M442">
            <v>1023301</v>
          </cell>
          <cell r="N442">
            <v>5094.9000000000005</v>
          </cell>
        </row>
        <row r="443">
          <cell r="M443">
            <v>1023309</v>
          </cell>
          <cell r="N443">
            <v>5166</v>
          </cell>
        </row>
        <row r="444">
          <cell r="M444">
            <v>1023412</v>
          </cell>
          <cell r="N444">
            <v>21507.834662836769</v>
          </cell>
        </row>
        <row r="445">
          <cell r="M445">
            <v>1022621</v>
          </cell>
          <cell r="N445">
            <v>12426.373325453715</v>
          </cell>
        </row>
        <row r="446">
          <cell r="M446">
            <v>1020186</v>
          </cell>
          <cell r="N446">
            <v>1211.2237097108853</v>
          </cell>
        </row>
        <row r="447">
          <cell r="M447">
            <v>1022985</v>
          </cell>
          <cell r="N447">
            <v>5750.5109687184604</v>
          </cell>
        </row>
        <row r="448">
          <cell r="M448">
            <v>1023108</v>
          </cell>
          <cell r="N448">
            <v>12409.32929068932</v>
          </cell>
        </row>
        <row r="449">
          <cell r="M449">
            <v>1023266</v>
          </cell>
          <cell r="N449">
            <v>16996.53254882713</v>
          </cell>
        </row>
        <row r="450">
          <cell r="M450">
            <v>1011421</v>
          </cell>
          <cell r="N450">
            <v>108000</v>
          </cell>
        </row>
        <row r="451">
          <cell r="M451">
            <v>1011700</v>
          </cell>
          <cell r="N451">
            <v>5000</v>
          </cell>
        </row>
        <row r="452">
          <cell r="M452">
            <v>1010204</v>
          </cell>
          <cell r="N452">
            <v>4000</v>
          </cell>
        </row>
        <row r="453">
          <cell r="M453">
            <v>1012719</v>
          </cell>
          <cell r="N453">
            <v>78450</v>
          </cell>
        </row>
        <row r="454">
          <cell r="M454">
            <v>1030360</v>
          </cell>
          <cell r="N454">
            <v>1288</v>
          </cell>
        </row>
        <row r="455">
          <cell r="M455">
            <v>1030784</v>
          </cell>
          <cell r="N455">
            <v>840</v>
          </cell>
        </row>
        <row r="456">
          <cell r="M456">
            <v>1030785</v>
          </cell>
          <cell r="N456">
            <v>252</v>
          </cell>
        </row>
        <row r="457">
          <cell r="M457">
            <v>1020681</v>
          </cell>
          <cell r="N457">
            <v>2943.4221121450109</v>
          </cell>
        </row>
        <row r="458">
          <cell r="M458">
            <v>1022646</v>
          </cell>
          <cell r="N458">
            <v>4943.3286714544147</v>
          </cell>
        </row>
        <row r="459">
          <cell r="M459">
            <v>1022398</v>
          </cell>
          <cell r="N459">
            <v>7183.634</v>
          </cell>
        </row>
        <row r="460">
          <cell r="M460">
            <v>1022709</v>
          </cell>
          <cell r="N460">
            <v>21643.382856457469</v>
          </cell>
        </row>
        <row r="461">
          <cell r="M461">
            <v>1023307</v>
          </cell>
          <cell r="N461">
            <v>5700</v>
          </cell>
        </row>
        <row r="462">
          <cell r="M462">
            <v>1023411</v>
          </cell>
          <cell r="N462">
            <v>16497.406288552014</v>
          </cell>
        </row>
        <row r="463">
          <cell r="M463">
            <v>1020662</v>
          </cell>
          <cell r="N463">
            <v>7037.3200000000006</v>
          </cell>
        </row>
        <row r="464">
          <cell r="M464">
            <v>1020665</v>
          </cell>
          <cell r="N464">
            <v>5477.4000000000005</v>
          </cell>
        </row>
        <row r="465">
          <cell r="M465">
            <v>1023297</v>
          </cell>
          <cell r="N465">
            <v>499</v>
          </cell>
        </row>
        <row r="466">
          <cell r="M466">
            <v>1011331</v>
          </cell>
          <cell r="N466">
            <v>7000</v>
          </cell>
        </row>
        <row r="467">
          <cell r="M467">
            <v>1012362</v>
          </cell>
          <cell r="N467">
            <v>9020</v>
          </cell>
        </row>
        <row r="468">
          <cell r="M468">
            <v>1010431</v>
          </cell>
          <cell r="N468">
            <v>10000</v>
          </cell>
        </row>
        <row r="469">
          <cell r="M469">
            <v>1030735</v>
          </cell>
          <cell r="N469">
            <v>7420.7010372264003</v>
          </cell>
        </row>
        <row r="470">
          <cell r="M470">
            <v>1030816</v>
          </cell>
          <cell r="N470">
            <v>7255.1496791533682</v>
          </cell>
        </row>
        <row r="471">
          <cell r="M471">
            <v>1021929</v>
          </cell>
          <cell r="N471">
            <v>805</v>
          </cell>
        </row>
        <row r="472">
          <cell r="M472">
            <v>1021609</v>
          </cell>
          <cell r="N472">
            <v>11056.291695533571</v>
          </cell>
        </row>
        <row r="473">
          <cell r="M473">
            <v>1023034</v>
          </cell>
          <cell r="N473">
            <v>20540</v>
          </cell>
        </row>
        <row r="474">
          <cell r="M474">
            <v>1023090</v>
          </cell>
          <cell r="N474">
            <v>10842.823014839933</v>
          </cell>
        </row>
        <row r="475">
          <cell r="M475">
            <v>1023350</v>
          </cell>
          <cell r="N475">
            <v>12451.553339192336</v>
          </cell>
        </row>
        <row r="476">
          <cell r="M476">
            <v>1022931</v>
          </cell>
          <cell r="N476">
            <v>6029.5318717303862</v>
          </cell>
        </row>
        <row r="477">
          <cell r="M477">
            <v>1020620</v>
          </cell>
          <cell r="N477">
            <v>6606.7658037771944</v>
          </cell>
        </row>
        <row r="478">
          <cell r="M478">
            <v>1023163</v>
          </cell>
          <cell r="N478">
            <v>5162.4898641656464</v>
          </cell>
        </row>
        <row r="479">
          <cell r="M479">
            <v>1011330</v>
          </cell>
          <cell r="N479">
            <v>7356</v>
          </cell>
        </row>
        <row r="480">
          <cell r="M480">
            <v>1020828</v>
          </cell>
          <cell r="N480">
            <v>3468</v>
          </cell>
        </row>
        <row r="481">
          <cell r="M481">
            <v>1020412</v>
          </cell>
          <cell r="N481">
            <v>4593</v>
          </cell>
        </row>
        <row r="482">
          <cell r="M482">
            <v>1022373</v>
          </cell>
          <cell r="N482">
            <v>12338</v>
          </cell>
        </row>
        <row r="483">
          <cell r="M483">
            <v>1021603</v>
          </cell>
          <cell r="N483">
            <v>620.03558269568566</v>
          </cell>
        </row>
        <row r="484">
          <cell r="M484">
            <v>1022313</v>
          </cell>
          <cell r="N484">
            <v>258.67273955010967</v>
          </cell>
        </row>
        <row r="485">
          <cell r="M485">
            <v>1021944</v>
          </cell>
          <cell r="N485">
            <v>244</v>
          </cell>
        </row>
        <row r="486">
          <cell r="M486">
            <v>1020636</v>
          </cell>
          <cell r="N486">
            <v>638.30331061601851</v>
          </cell>
        </row>
        <row r="487">
          <cell r="M487">
            <v>1022150</v>
          </cell>
          <cell r="N487">
            <v>11644</v>
          </cell>
        </row>
        <row r="488">
          <cell r="M488">
            <v>1022541</v>
          </cell>
          <cell r="N488">
            <v>30848</v>
          </cell>
        </row>
        <row r="489">
          <cell r="M489">
            <v>1023258</v>
          </cell>
          <cell r="N489">
            <v>510</v>
          </cell>
        </row>
        <row r="490">
          <cell r="M490">
            <v>1021156</v>
          </cell>
          <cell r="N490">
            <v>454</v>
          </cell>
        </row>
        <row r="491">
          <cell r="M491">
            <v>1021976</v>
          </cell>
          <cell r="N491">
            <v>22217.200131800517</v>
          </cell>
        </row>
        <row r="492">
          <cell r="M492">
            <v>1020299</v>
          </cell>
          <cell r="N492">
            <v>24.584057625144823</v>
          </cell>
        </row>
        <row r="493">
          <cell r="M493">
            <v>1023190</v>
          </cell>
          <cell r="N493">
            <v>3921</v>
          </cell>
        </row>
        <row r="494">
          <cell r="M494">
            <v>1020349</v>
          </cell>
          <cell r="N494">
            <v>413</v>
          </cell>
        </row>
        <row r="495">
          <cell r="M495">
            <v>1022753</v>
          </cell>
          <cell r="N495">
            <v>9400.1999999999989</v>
          </cell>
        </row>
        <row r="496">
          <cell r="M496">
            <v>1022941</v>
          </cell>
          <cell r="N496">
            <v>6328.4499999999989</v>
          </cell>
        </row>
        <row r="497">
          <cell r="M497">
            <v>1021997</v>
          </cell>
          <cell r="N497">
            <v>1025.856</v>
          </cell>
        </row>
        <row r="498">
          <cell r="M498">
            <v>1022643</v>
          </cell>
          <cell r="N498">
            <v>3732.3750000000005</v>
          </cell>
        </row>
        <row r="499">
          <cell r="M499">
            <v>1022654</v>
          </cell>
          <cell r="N499">
            <v>4</v>
          </cell>
        </row>
        <row r="500">
          <cell r="M500">
            <v>1020860</v>
          </cell>
          <cell r="N500">
            <v>18677.83240762608</v>
          </cell>
        </row>
        <row r="501">
          <cell r="M501">
            <v>1023147</v>
          </cell>
          <cell r="N501">
            <v>729</v>
          </cell>
        </row>
        <row r="502">
          <cell r="M502">
            <v>1023299</v>
          </cell>
          <cell r="N502">
            <v>2595.6195466465115</v>
          </cell>
        </row>
        <row r="503">
          <cell r="M503">
            <v>1023277</v>
          </cell>
          <cell r="N503">
            <v>486</v>
          </cell>
        </row>
        <row r="504">
          <cell r="M504">
            <v>1023304</v>
          </cell>
          <cell r="N504">
            <v>249</v>
          </cell>
        </row>
        <row r="505">
          <cell r="M505">
            <v>1023324</v>
          </cell>
          <cell r="N505">
            <v>6961.431734300988</v>
          </cell>
        </row>
        <row r="506">
          <cell r="M506">
            <v>1023349</v>
          </cell>
          <cell r="N506">
            <v>611.17269231705757</v>
          </cell>
        </row>
        <row r="507">
          <cell r="M507">
            <v>1023421</v>
          </cell>
          <cell r="N507">
            <v>1837.2893498123999</v>
          </cell>
        </row>
        <row r="508">
          <cell r="M508">
            <v>3020280</v>
          </cell>
          <cell r="N508">
            <v>248.2476738068265</v>
          </cell>
        </row>
        <row r="509">
          <cell r="M509">
            <v>3020013</v>
          </cell>
          <cell r="N509">
            <v>92</v>
          </cell>
        </row>
        <row r="510">
          <cell r="M510">
            <v>3020244</v>
          </cell>
          <cell r="N510">
            <v>358</v>
          </cell>
        </row>
        <row r="511">
          <cell r="M511">
            <v>1020715</v>
          </cell>
          <cell r="N511">
            <v>266.05994556795434</v>
          </cell>
        </row>
        <row r="512">
          <cell r="M512">
            <v>1020802</v>
          </cell>
          <cell r="N512">
            <v>3692.4089590727685</v>
          </cell>
        </row>
        <row r="513">
          <cell r="M513">
            <v>1020905</v>
          </cell>
          <cell r="N513">
            <v>6988.8375759485771</v>
          </cell>
        </row>
        <row r="514">
          <cell r="M514">
            <v>1022371</v>
          </cell>
          <cell r="N514">
            <v>1052.4868171434778</v>
          </cell>
        </row>
        <row r="515">
          <cell r="M515">
            <v>1022570</v>
          </cell>
          <cell r="N515">
            <v>119.62236893065244</v>
          </cell>
        </row>
        <row r="516">
          <cell r="M516">
            <v>1022866</v>
          </cell>
          <cell r="N516">
            <v>6160.2624025748</v>
          </cell>
        </row>
        <row r="517">
          <cell r="M517">
            <v>1022901</v>
          </cell>
          <cell r="N517">
            <v>698.6609890098099</v>
          </cell>
        </row>
        <row r="518">
          <cell r="M518">
            <v>1020925</v>
          </cell>
          <cell r="N518">
            <v>3152</v>
          </cell>
        </row>
        <row r="519">
          <cell r="M519">
            <v>1020398</v>
          </cell>
          <cell r="N519">
            <v>22.259999999999998</v>
          </cell>
        </row>
        <row r="520">
          <cell r="M520">
            <v>1022108</v>
          </cell>
          <cell r="N520">
            <v>212.37299999999999</v>
          </cell>
        </row>
        <row r="521">
          <cell r="M521">
            <v>1022149</v>
          </cell>
          <cell r="N521">
            <v>1339</v>
          </cell>
        </row>
        <row r="522">
          <cell r="M522">
            <v>1020335</v>
          </cell>
          <cell r="N522">
            <v>2</v>
          </cell>
        </row>
        <row r="523">
          <cell r="M523">
            <v>1023109</v>
          </cell>
          <cell r="N523">
            <v>819</v>
          </cell>
        </row>
        <row r="524">
          <cell r="M524">
            <v>1023143</v>
          </cell>
          <cell r="N524">
            <v>132.30000000000001</v>
          </cell>
        </row>
        <row r="525">
          <cell r="M525">
            <v>1023112</v>
          </cell>
          <cell r="N525">
            <v>1181.846593392421</v>
          </cell>
        </row>
        <row r="526">
          <cell r="M526">
            <v>1023123</v>
          </cell>
          <cell r="N526">
            <v>398.16396587692606</v>
          </cell>
        </row>
        <row r="527">
          <cell r="M527">
            <v>1023338</v>
          </cell>
          <cell r="N527">
            <v>19.194245546237902</v>
          </cell>
        </row>
        <row r="528">
          <cell r="M528">
            <v>1023351</v>
          </cell>
          <cell r="N528">
            <v>11.868219998063868</v>
          </cell>
        </row>
        <row r="529">
          <cell r="M529">
            <v>3020010</v>
          </cell>
          <cell r="N529">
            <v>1970</v>
          </cell>
        </row>
        <row r="530">
          <cell r="M530">
            <v>3020082</v>
          </cell>
          <cell r="N530">
            <v>21</v>
          </cell>
        </row>
        <row r="531">
          <cell r="M531">
            <v>2020886</v>
          </cell>
          <cell r="N531">
            <v>800</v>
          </cell>
        </row>
        <row r="532">
          <cell r="M532">
            <v>1012005</v>
          </cell>
          <cell r="N532">
            <v>2000</v>
          </cell>
        </row>
        <row r="533">
          <cell r="M533" t="str">
            <v>Total general</v>
          </cell>
          <cell r="N533">
            <v>13850281.121391393</v>
          </cell>
        </row>
      </sheetData>
      <sheetData sheetId="12"/>
      <sheetData sheetId="13"/>
      <sheetData sheetId="14"/>
      <sheetData sheetId="1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didos"/>
      <sheetName val="DELAY"/>
      <sheetName val="TD Stock"/>
      <sheetName val="Calendario ciclo"/>
    </sheetNames>
    <sheetDataSet>
      <sheetData sheetId="0"/>
      <sheetData sheetId="1">
        <row r="9">
          <cell r="Q9" t="str">
            <v>Revisar</v>
          </cell>
          <cell r="R9"/>
          <cell r="S9"/>
          <cell r="T9"/>
          <cell r="U9"/>
          <cell r="V9"/>
          <cell r="W9"/>
        </row>
        <row r="10">
          <cell r="B10" t="str">
            <v>Pedidos ya cponsiderados</v>
          </cell>
          <cell r="C10">
            <v>0</v>
          </cell>
          <cell r="D10">
            <v>12050777</v>
          </cell>
          <cell r="I10" t="str">
            <v>Pedidos ya cponsiderados</v>
          </cell>
          <cell r="J10">
            <v>0</v>
          </cell>
        </row>
        <row r="11">
          <cell r="B11" t="str">
            <v>Tipo Venta</v>
          </cell>
          <cell r="C11" t="str">
            <v>EX</v>
          </cell>
          <cell r="D11">
            <v>11380177</v>
          </cell>
          <cell r="I11" t="str">
            <v>Tipo Venta</v>
          </cell>
          <cell r="J11" t="str">
            <v>EX</v>
          </cell>
          <cell r="Q11" t="str">
            <v>Promedio</v>
          </cell>
          <cell r="R11"/>
          <cell r="S11"/>
          <cell r="T11"/>
          <cell r="U11"/>
          <cell r="V11"/>
          <cell r="W11"/>
        </row>
        <row r="13">
          <cell r="B13" t="str">
            <v>Oficina</v>
          </cell>
          <cell r="C13" t="str">
            <v>Codigo Material</v>
          </cell>
          <cell r="D13" t="str">
            <v>Suma de Cantidad Pedida</v>
          </cell>
          <cell r="I13" t="str">
            <v>Suma de Cantidad Pedida</v>
          </cell>
          <cell r="K13" t="str">
            <v>Mes Ciclo</v>
          </cell>
          <cell r="V13" t="str">
            <v>Ponderar este precio</v>
          </cell>
          <cell r="W13"/>
        </row>
        <row r="14">
          <cell r="A14" t="str">
            <v>AGRO MEXICO1012764</v>
          </cell>
          <cell r="B14" t="str">
            <v>AGRO MEXICO</v>
          </cell>
          <cell r="C14">
            <v>1012764</v>
          </cell>
          <cell r="D14">
            <v>72000</v>
          </cell>
          <cell r="I14" t="str">
            <v>Oficina</v>
          </cell>
          <cell r="J14" t="str">
            <v>Codigo Material</v>
          </cell>
          <cell r="K14" t="str">
            <v>Marzo</v>
          </cell>
          <cell r="L14" t="str">
            <v>Abril</v>
          </cell>
          <cell r="M14" t="str">
            <v>Mayo</v>
          </cell>
          <cell r="N14" t="str">
            <v>Junio</v>
          </cell>
          <cell r="O14" t="str">
            <v>Julio</v>
          </cell>
          <cell r="P14" t="str">
            <v>Total general</v>
          </cell>
          <cell r="Q14" t="str">
            <v>Marzo</v>
          </cell>
          <cell r="R14" t="str">
            <v>Abril</v>
          </cell>
          <cell r="S14" t="str">
            <v>Mayo</v>
          </cell>
          <cell r="T14" t="str">
            <v>Junio</v>
          </cell>
          <cell r="U14" t="str">
            <v>Julio</v>
          </cell>
          <cell r="V14" t="str">
            <v>Promedio</v>
          </cell>
          <cell r="W14" t="str">
            <v>Precio onderado</v>
          </cell>
        </row>
        <row r="15">
          <cell r="A15" t="str">
            <v>AGRO MEXICO1030802</v>
          </cell>
          <cell r="B15" t="str">
            <v>AGRO MEXICO</v>
          </cell>
          <cell r="C15">
            <v>1030802</v>
          </cell>
          <cell r="D15">
            <v>48000</v>
          </cell>
          <cell r="H15" t="str">
            <v>AGRO MEXICO1012764</v>
          </cell>
          <cell r="I15" t="str">
            <v>AGRO MEXICO</v>
          </cell>
          <cell r="J15">
            <v>1012764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72000</v>
          </cell>
          <cell r="P15">
            <v>72000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0.793366666666667</v>
          </cell>
          <cell r="V15">
            <v>0.15867333333333339</v>
          </cell>
          <cell r="W15">
            <v>0.793366666666667</v>
          </cell>
        </row>
        <row r="16">
          <cell r="A16" t="str">
            <v>AGRO SUDAMERICA1010877</v>
          </cell>
          <cell r="B16" t="str">
            <v>AGRO SUDAMERICA</v>
          </cell>
          <cell r="C16">
            <v>1010877</v>
          </cell>
          <cell r="D16">
            <v>52590</v>
          </cell>
          <cell r="H16" t="str">
            <v>AGRO MEXICO1030802</v>
          </cell>
          <cell r="I16" t="str">
            <v>AGRO MEXICO</v>
          </cell>
          <cell r="J16">
            <v>1030802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48000</v>
          </cell>
          <cell r="P16">
            <v>48000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1.34315875</v>
          </cell>
          <cell r="V16">
            <v>0.26863175</v>
          </cell>
          <cell r="W16">
            <v>1.34315875</v>
          </cell>
        </row>
        <row r="17">
          <cell r="A17" t="str">
            <v>AGRO SUDAMERICA1011421</v>
          </cell>
          <cell r="B17" t="str">
            <v>AGRO SUDAMERICA</v>
          </cell>
          <cell r="C17">
            <v>1011421</v>
          </cell>
          <cell r="D17">
            <v>596000</v>
          </cell>
          <cell r="H17" t="str">
            <v>AGRO SUDAMERICA1010877</v>
          </cell>
          <cell r="I17" t="str">
            <v>AGRO SUDAMERICA</v>
          </cell>
          <cell r="J17">
            <v>1010877</v>
          </cell>
          <cell r="K17">
            <v>0</v>
          </cell>
          <cell r="L17">
            <v>0</v>
          </cell>
          <cell r="M17">
            <v>0</v>
          </cell>
          <cell r="N17">
            <v>12000</v>
          </cell>
          <cell r="O17">
            <v>40590</v>
          </cell>
          <cell r="P17">
            <v>52590</v>
          </cell>
          <cell r="Q17">
            <v>0</v>
          </cell>
          <cell r="R17">
            <v>0</v>
          </cell>
          <cell r="S17">
            <v>0</v>
          </cell>
          <cell r="T17">
            <v>1.02646579848485</v>
          </cell>
          <cell r="U17">
            <v>1.1044099531904401</v>
          </cell>
          <cell r="V17">
            <v>0.42617515033505804</v>
          </cell>
          <cell r="W17">
            <v>1.0866246355166032</v>
          </cell>
        </row>
        <row r="18">
          <cell r="A18" t="str">
            <v>AGRO SUDAMERICA1011558</v>
          </cell>
          <cell r="B18" t="str">
            <v>AGRO SUDAMERICA</v>
          </cell>
          <cell r="C18">
            <v>1011558</v>
          </cell>
          <cell r="D18">
            <v>55000</v>
          </cell>
          <cell r="H18" t="str">
            <v>AGRO SUDAMERICA1011421</v>
          </cell>
          <cell r="I18" t="str">
            <v>AGRO SUDAMERICA</v>
          </cell>
          <cell r="J18">
            <v>1011421</v>
          </cell>
          <cell r="K18">
            <v>0</v>
          </cell>
          <cell r="L18">
            <v>0</v>
          </cell>
          <cell r="M18">
            <v>0</v>
          </cell>
          <cell r="N18">
            <v>144000</v>
          </cell>
          <cell r="O18">
            <v>452000</v>
          </cell>
          <cell r="P18">
            <v>596000</v>
          </cell>
          <cell r="Q18">
            <v>0</v>
          </cell>
          <cell r="R18">
            <v>0</v>
          </cell>
          <cell r="S18">
            <v>0</v>
          </cell>
          <cell r="T18">
            <v>1.04766554054054</v>
          </cell>
          <cell r="U18">
            <v>1.0741982219895301</v>
          </cell>
          <cell r="V18">
            <v>0.42437275250601403</v>
          </cell>
          <cell r="W18">
            <v>1.067787641236754</v>
          </cell>
        </row>
        <row r="19">
          <cell r="A19" t="str">
            <v>AGRO SUDAMERICA1011560</v>
          </cell>
          <cell r="B19" t="str">
            <v>AGRO SUDAMERICA</v>
          </cell>
          <cell r="C19">
            <v>1011560</v>
          </cell>
          <cell r="D19">
            <v>15000</v>
          </cell>
          <cell r="H19" t="str">
            <v>AGRO SUDAMERICA1011558</v>
          </cell>
          <cell r="I19" t="str">
            <v>AGRO SUDAMERICA</v>
          </cell>
          <cell r="J19">
            <v>1011558</v>
          </cell>
          <cell r="K19">
            <v>0</v>
          </cell>
          <cell r="L19">
            <v>0</v>
          </cell>
          <cell r="M19">
            <v>0</v>
          </cell>
          <cell r="N19">
            <v>6000</v>
          </cell>
          <cell r="O19">
            <v>49000</v>
          </cell>
          <cell r="P19">
            <v>55000</v>
          </cell>
          <cell r="Q19">
            <v>0</v>
          </cell>
          <cell r="R19">
            <v>0</v>
          </cell>
          <cell r="S19">
            <v>0</v>
          </cell>
          <cell r="T19">
            <v>0.92295346923076904</v>
          </cell>
          <cell r="U19">
            <v>0.96847169811320799</v>
          </cell>
          <cell r="V19">
            <v>0.37828503346879538</v>
          </cell>
          <cell r="W19">
            <v>0.96350607314421466</v>
          </cell>
        </row>
        <row r="20">
          <cell r="A20" t="str">
            <v>AGRO SUDAMERICA1012207</v>
          </cell>
          <cell r="B20" t="str">
            <v>AGRO SUDAMERICA</v>
          </cell>
          <cell r="C20">
            <v>1012207</v>
          </cell>
          <cell r="D20">
            <v>24000</v>
          </cell>
          <cell r="H20" t="str">
            <v>AGRO SUDAMERICA1011560</v>
          </cell>
          <cell r="I20" t="str">
            <v>AGRO SUDAMERICA</v>
          </cell>
          <cell r="J20">
            <v>1011560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15000</v>
          </cell>
          <cell r="P20">
            <v>15000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0.75766666666666704</v>
          </cell>
          <cell r="V20">
            <v>0.15153333333333341</v>
          </cell>
          <cell r="W20">
            <v>0.75766666666666704</v>
          </cell>
        </row>
        <row r="21">
          <cell r="A21" t="str">
            <v>AGRO SUDAMERICA1012208</v>
          </cell>
          <cell r="B21" t="str">
            <v>AGRO SUDAMERICA</v>
          </cell>
          <cell r="C21">
            <v>1012208</v>
          </cell>
          <cell r="D21">
            <v>48000</v>
          </cell>
          <cell r="H21" t="str">
            <v>AGRO SUDAMERICA1012207</v>
          </cell>
          <cell r="I21" t="str">
            <v>AGRO SUDAMERICA</v>
          </cell>
          <cell r="J21">
            <v>1012207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24000</v>
          </cell>
          <cell r="P21">
            <v>24000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1.20729166666667</v>
          </cell>
          <cell r="V21">
            <v>0.241458333333334</v>
          </cell>
          <cell r="W21">
            <v>1.20729166666667</v>
          </cell>
        </row>
        <row r="22">
          <cell r="A22" t="str">
            <v>AGRO SUDAMERICA1012283</v>
          </cell>
          <cell r="B22" t="str">
            <v>AGRO SUDAMERICA</v>
          </cell>
          <cell r="C22">
            <v>1012283</v>
          </cell>
          <cell r="D22">
            <v>23000</v>
          </cell>
          <cell r="H22" t="str">
            <v>AGRO SUDAMERICA1012208</v>
          </cell>
          <cell r="I22" t="str">
            <v>AGRO SUDAMERICA</v>
          </cell>
          <cell r="J22">
            <v>1012208</v>
          </cell>
          <cell r="K22">
            <v>0</v>
          </cell>
          <cell r="L22">
            <v>0</v>
          </cell>
          <cell r="M22">
            <v>24000</v>
          </cell>
          <cell r="N22">
            <v>0</v>
          </cell>
          <cell r="O22">
            <v>24000</v>
          </cell>
          <cell r="P22">
            <v>48000</v>
          </cell>
          <cell r="Q22">
            <v>0</v>
          </cell>
          <cell r="R22">
            <v>0</v>
          </cell>
          <cell r="S22">
            <v>1.51216666666667</v>
          </cell>
          <cell r="T22">
            <v>0</v>
          </cell>
          <cell r="U22">
            <v>1.5</v>
          </cell>
          <cell r="V22">
            <v>0.60243333333333404</v>
          </cell>
          <cell r="W22">
            <v>1.5060833333333352</v>
          </cell>
        </row>
        <row r="23">
          <cell r="A23" t="str">
            <v>AGRO SUDAMERICA1012362</v>
          </cell>
          <cell r="B23" t="str">
            <v>AGRO SUDAMERICA</v>
          </cell>
          <cell r="C23">
            <v>1012362</v>
          </cell>
          <cell r="D23">
            <v>29000</v>
          </cell>
          <cell r="H23" t="str">
            <v>AGRO SUDAMERICA1012283</v>
          </cell>
          <cell r="I23" t="str">
            <v>AGRO SUDAMERICA</v>
          </cell>
          <cell r="J23">
            <v>1012283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23000</v>
          </cell>
          <cell r="P23">
            <v>23000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0.852281437125749</v>
          </cell>
          <cell r="V23">
            <v>0.17045628742514979</v>
          </cell>
          <cell r="W23">
            <v>0.852281437125749</v>
          </cell>
        </row>
        <row r="24">
          <cell r="A24" t="str">
            <v>AGRO SUDAMERICA1012552</v>
          </cell>
          <cell r="B24" t="str">
            <v>AGRO SUDAMERICA</v>
          </cell>
          <cell r="C24">
            <v>1012552</v>
          </cell>
          <cell r="D24">
            <v>47000</v>
          </cell>
          <cell r="H24" t="str">
            <v>AGRO SUDAMERICA1012362</v>
          </cell>
          <cell r="I24" t="str">
            <v>AGRO SUDAMERICA</v>
          </cell>
          <cell r="J24">
            <v>1012362</v>
          </cell>
          <cell r="K24">
            <v>0</v>
          </cell>
          <cell r="L24">
            <v>0</v>
          </cell>
          <cell r="M24">
            <v>0</v>
          </cell>
          <cell r="N24">
            <v>29000</v>
          </cell>
          <cell r="O24">
            <v>0</v>
          </cell>
          <cell r="P24">
            <v>29000</v>
          </cell>
          <cell r="Q24">
            <v>0</v>
          </cell>
          <cell r="R24">
            <v>0</v>
          </cell>
          <cell r="S24">
            <v>0</v>
          </cell>
          <cell r="T24">
            <v>0.81251149310344795</v>
          </cell>
          <cell r="U24">
            <v>0</v>
          </cell>
          <cell r="V24">
            <v>0.1625022986206896</v>
          </cell>
          <cell r="W24">
            <v>0.81251149310344795</v>
          </cell>
        </row>
        <row r="25">
          <cell r="A25" t="str">
            <v>AGRO SUDAMERICA1012719</v>
          </cell>
          <cell r="B25" t="str">
            <v>AGRO SUDAMERICA</v>
          </cell>
          <cell r="C25">
            <v>1012719</v>
          </cell>
          <cell r="D25">
            <v>45880</v>
          </cell>
          <cell r="H25" t="str">
            <v>AGRO SUDAMERICA1012552</v>
          </cell>
          <cell r="I25" t="str">
            <v>AGRO SUDAMERICA</v>
          </cell>
          <cell r="J25">
            <v>1012552</v>
          </cell>
          <cell r="K25">
            <v>0</v>
          </cell>
          <cell r="L25">
            <v>0</v>
          </cell>
          <cell r="M25">
            <v>23000</v>
          </cell>
          <cell r="N25">
            <v>0</v>
          </cell>
          <cell r="O25">
            <v>24000</v>
          </cell>
          <cell r="P25">
            <v>47000</v>
          </cell>
          <cell r="Q25">
            <v>0</v>
          </cell>
          <cell r="R25">
            <v>0</v>
          </cell>
          <cell r="S25">
            <v>4.3499999999999996</v>
          </cell>
          <cell r="T25">
            <v>0</v>
          </cell>
          <cell r="U25">
            <v>4.2</v>
          </cell>
          <cell r="V25">
            <v>1.7100000000000002</v>
          </cell>
          <cell r="W25">
            <v>4.2734042553191491</v>
          </cell>
        </row>
        <row r="26">
          <cell r="A26" t="str">
            <v>AGRO SUDAMERICA1012763</v>
          </cell>
          <cell r="B26" t="str">
            <v>AGRO SUDAMERICA</v>
          </cell>
          <cell r="C26">
            <v>1012763</v>
          </cell>
          <cell r="D26">
            <v>48000</v>
          </cell>
          <cell r="H26" t="str">
            <v>AGRO SUDAMERICA1012719</v>
          </cell>
          <cell r="I26" t="str">
            <v>AGRO SUDAMERICA</v>
          </cell>
          <cell r="J26">
            <v>1012719</v>
          </cell>
          <cell r="K26">
            <v>0</v>
          </cell>
          <cell r="L26">
            <v>0</v>
          </cell>
          <cell r="M26">
            <v>0</v>
          </cell>
          <cell r="N26">
            <v>21880</v>
          </cell>
          <cell r="O26">
            <v>24000</v>
          </cell>
          <cell r="P26">
            <v>45880</v>
          </cell>
          <cell r="Q26">
            <v>0</v>
          </cell>
          <cell r="R26">
            <v>0</v>
          </cell>
          <cell r="S26">
            <v>0</v>
          </cell>
          <cell r="T26">
            <v>0.57994247976139801</v>
          </cell>
          <cell r="U26">
            <v>0.63714880952381003</v>
          </cell>
          <cell r="V26">
            <v>0.24341825785704163</v>
          </cell>
          <cell r="W26">
            <v>0.60986732532150889</v>
          </cell>
        </row>
        <row r="27">
          <cell r="A27" t="str">
            <v>AGRO SUDAMERICA1020017</v>
          </cell>
          <cell r="B27" t="str">
            <v>AGRO SUDAMERICA</v>
          </cell>
          <cell r="C27">
            <v>1020017</v>
          </cell>
          <cell r="D27">
            <v>8000</v>
          </cell>
          <cell r="H27" t="str">
            <v>AGRO SUDAMERICA1012763</v>
          </cell>
          <cell r="I27" t="str">
            <v>AGRO SUDAMERICA</v>
          </cell>
          <cell r="J27">
            <v>1012763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48000</v>
          </cell>
          <cell r="P27">
            <v>48000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0.92248611111111101</v>
          </cell>
          <cell r="V27">
            <v>0.1844972222222222</v>
          </cell>
          <cell r="W27">
            <v>0.92248611111111101</v>
          </cell>
        </row>
        <row r="28">
          <cell r="A28" t="str">
            <v>AGRO SUDAMERICA1020339</v>
          </cell>
          <cell r="B28" t="str">
            <v>AGRO SUDAMERICA</v>
          </cell>
          <cell r="C28">
            <v>1020339</v>
          </cell>
          <cell r="D28">
            <v>202500</v>
          </cell>
          <cell r="H28" t="str">
            <v>AGRO SUDAMERICA1020017</v>
          </cell>
          <cell r="I28" t="str">
            <v>AGRO SUDAMERICA</v>
          </cell>
          <cell r="J28">
            <v>1020017</v>
          </cell>
          <cell r="K28">
            <v>4000</v>
          </cell>
          <cell r="L28">
            <v>4000</v>
          </cell>
          <cell r="M28">
            <v>0</v>
          </cell>
          <cell r="N28">
            <v>0</v>
          </cell>
          <cell r="O28">
            <v>0</v>
          </cell>
          <cell r="P28">
            <v>8000</v>
          </cell>
          <cell r="Q28">
            <v>2.8117158761467902</v>
          </cell>
          <cell r="R28">
            <v>2.7</v>
          </cell>
          <cell r="S28">
            <v>0</v>
          </cell>
          <cell r="T28">
            <v>0</v>
          </cell>
          <cell r="U28">
            <v>0</v>
          </cell>
          <cell r="V28">
            <v>1.102343175229358</v>
          </cell>
          <cell r="W28">
            <v>2.7558579380733956</v>
          </cell>
        </row>
        <row r="29">
          <cell r="A29" t="str">
            <v>AGRO SUDAMERICA1020349</v>
          </cell>
          <cell r="B29" t="str">
            <v>AGRO SUDAMERICA</v>
          </cell>
          <cell r="C29">
            <v>1020349</v>
          </cell>
          <cell r="D29">
            <v>48000</v>
          </cell>
          <cell r="H29" t="str">
            <v>AGRO SUDAMERICA1020339</v>
          </cell>
          <cell r="I29" t="str">
            <v>AGRO SUDAMERICA</v>
          </cell>
          <cell r="J29">
            <v>1020339</v>
          </cell>
          <cell r="K29">
            <v>2500</v>
          </cell>
          <cell r="L29">
            <v>24000</v>
          </cell>
          <cell r="M29">
            <v>57000</v>
          </cell>
          <cell r="N29">
            <v>72000</v>
          </cell>
          <cell r="O29">
            <v>47000</v>
          </cell>
          <cell r="P29">
            <v>202500</v>
          </cell>
          <cell r="Q29">
            <v>1.42051810872483</v>
          </cell>
          <cell r="R29">
            <v>1.4108971290851899</v>
          </cell>
          <cell r="S29">
            <v>1.6108235666666699</v>
          </cell>
          <cell r="T29">
            <v>1.63316666666667</v>
          </cell>
          <cell r="U29">
            <v>1.6124063829787201</v>
          </cell>
          <cell r="V29">
            <v>1.5375623708244157</v>
          </cell>
          <cell r="W29">
            <v>1.5930907144190465</v>
          </cell>
        </row>
        <row r="30">
          <cell r="A30" t="str">
            <v>AGRO SUDAMERICA1020352</v>
          </cell>
          <cell r="B30" t="str">
            <v>AGRO SUDAMERICA</v>
          </cell>
          <cell r="C30">
            <v>1020352</v>
          </cell>
          <cell r="D30">
            <v>48000</v>
          </cell>
          <cell r="H30" t="str">
            <v>AGRO SUDAMERICA1020349</v>
          </cell>
          <cell r="I30" t="str">
            <v>AGRO SUDAMERICA</v>
          </cell>
          <cell r="J30">
            <v>1020349</v>
          </cell>
          <cell r="K30">
            <v>0</v>
          </cell>
          <cell r="L30">
            <v>24000</v>
          </cell>
          <cell r="M30">
            <v>0</v>
          </cell>
          <cell r="N30">
            <v>0</v>
          </cell>
          <cell r="O30">
            <v>24000</v>
          </cell>
          <cell r="P30">
            <v>48000</v>
          </cell>
          <cell r="Q30">
            <v>0</v>
          </cell>
          <cell r="R30">
            <v>1.7577499999999999</v>
          </cell>
          <cell r="S30">
            <v>0</v>
          </cell>
          <cell r="T30">
            <v>0</v>
          </cell>
          <cell r="U30">
            <v>1.74729166666667</v>
          </cell>
          <cell r="V30">
            <v>0.7010083333333339</v>
          </cell>
          <cell r="W30">
            <v>1.7525208333333351</v>
          </cell>
        </row>
        <row r="31">
          <cell r="A31" t="str">
            <v>AGRO SUDAMERICA1020367</v>
          </cell>
          <cell r="B31" t="str">
            <v>AGRO SUDAMERICA</v>
          </cell>
          <cell r="C31">
            <v>1020367</v>
          </cell>
          <cell r="D31">
            <v>94000</v>
          </cell>
          <cell r="H31" t="str">
            <v>AGRO SUDAMERICA1020352</v>
          </cell>
          <cell r="I31" t="str">
            <v>AGRO SUDAMERICA</v>
          </cell>
          <cell r="J31">
            <v>1020352</v>
          </cell>
          <cell r="K31">
            <v>0</v>
          </cell>
          <cell r="L31">
            <v>0</v>
          </cell>
          <cell r="M31">
            <v>0</v>
          </cell>
          <cell r="N31">
            <v>24000</v>
          </cell>
          <cell r="O31">
            <v>24000</v>
          </cell>
          <cell r="P31">
            <v>48000</v>
          </cell>
          <cell r="Q31">
            <v>0</v>
          </cell>
          <cell r="R31">
            <v>0</v>
          </cell>
          <cell r="S31">
            <v>0</v>
          </cell>
          <cell r="T31">
            <v>1.2802083333333301</v>
          </cell>
          <cell r="U31">
            <v>1.4215625000000001</v>
          </cell>
          <cell r="V31">
            <v>0.54035416666666602</v>
          </cell>
          <cell r="W31">
            <v>1.3508854166666651</v>
          </cell>
        </row>
        <row r="32">
          <cell r="A32" t="str">
            <v>AGRO SUDAMERICA1020412</v>
          </cell>
          <cell r="B32" t="str">
            <v>AGRO SUDAMERICA</v>
          </cell>
          <cell r="C32">
            <v>1020412</v>
          </cell>
          <cell r="D32">
            <v>48000</v>
          </cell>
          <cell r="H32" t="str">
            <v>AGRO SUDAMERICA1020367</v>
          </cell>
          <cell r="I32" t="str">
            <v>AGRO SUDAMERICA</v>
          </cell>
          <cell r="J32">
            <v>1020367</v>
          </cell>
          <cell r="K32">
            <v>0</v>
          </cell>
          <cell r="L32">
            <v>29000</v>
          </cell>
          <cell r="M32">
            <v>0</v>
          </cell>
          <cell r="N32">
            <v>0</v>
          </cell>
          <cell r="O32">
            <v>65000</v>
          </cell>
          <cell r="P32">
            <v>94000</v>
          </cell>
          <cell r="Q32">
            <v>0</v>
          </cell>
          <cell r="R32">
            <v>0.98524343263157899</v>
          </cell>
          <cell r="S32">
            <v>0</v>
          </cell>
          <cell r="T32">
            <v>0</v>
          </cell>
          <cell r="U32">
            <v>1.31251685393258</v>
          </cell>
          <cell r="V32">
            <v>0.45955205731283177</v>
          </cell>
          <cell r="W32">
            <v>1.2115495218290797</v>
          </cell>
        </row>
        <row r="33">
          <cell r="A33" t="str">
            <v>AGRO SUDAMERICA1020848</v>
          </cell>
          <cell r="B33" t="str">
            <v>AGRO SUDAMERICA</v>
          </cell>
          <cell r="C33">
            <v>1020848</v>
          </cell>
          <cell r="D33">
            <v>96000</v>
          </cell>
          <cell r="H33" t="str">
            <v>AGRO SUDAMERICA1020412</v>
          </cell>
          <cell r="I33" t="str">
            <v>AGRO SUDAMERICA</v>
          </cell>
          <cell r="J33">
            <v>1020412</v>
          </cell>
          <cell r="K33">
            <v>0</v>
          </cell>
          <cell r="L33">
            <v>0</v>
          </cell>
          <cell r="M33">
            <v>0</v>
          </cell>
          <cell r="N33">
            <v>24000</v>
          </cell>
          <cell r="O33">
            <v>24000</v>
          </cell>
          <cell r="P33">
            <v>48000</v>
          </cell>
          <cell r="Q33">
            <v>0</v>
          </cell>
          <cell r="R33">
            <v>0</v>
          </cell>
          <cell r="S33">
            <v>0</v>
          </cell>
          <cell r="T33">
            <v>1.86222265064103</v>
          </cell>
          <cell r="U33">
            <v>1.910825</v>
          </cell>
          <cell r="V33">
            <v>0.75460953012820597</v>
          </cell>
          <cell r="W33">
            <v>1.8865238253205152</v>
          </cell>
        </row>
        <row r="34">
          <cell r="A34" t="str">
            <v>AGRO SUDAMERICA1020869</v>
          </cell>
          <cell r="B34" t="str">
            <v>AGRO SUDAMERICA</v>
          </cell>
          <cell r="C34">
            <v>1020869</v>
          </cell>
          <cell r="D34">
            <v>43000</v>
          </cell>
          <cell r="H34" t="str">
            <v>AGRO SUDAMERICA1020848</v>
          </cell>
          <cell r="I34" t="str">
            <v>AGRO SUDAMERICA</v>
          </cell>
          <cell r="J34">
            <v>1020848</v>
          </cell>
          <cell r="K34">
            <v>0</v>
          </cell>
          <cell r="L34">
            <v>0</v>
          </cell>
          <cell r="M34">
            <v>0</v>
          </cell>
          <cell r="N34">
            <v>24000</v>
          </cell>
          <cell r="O34">
            <v>72000</v>
          </cell>
          <cell r="P34">
            <v>96000</v>
          </cell>
          <cell r="Q34">
            <v>0</v>
          </cell>
          <cell r="R34">
            <v>0</v>
          </cell>
          <cell r="S34">
            <v>0</v>
          </cell>
          <cell r="T34">
            <v>3.31289583333333</v>
          </cell>
          <cell r="U34">
            <v>3.2761805555555599</v>
          </cell>
          <cell r="V34">
            <v>1.3178152777777778</v>
          </cell>
          <cell r="W34">
            <v>3.2853593750000023</v>
          </cell>
        </row>
        <row r="35">
          <cell r="A35" t="str">
            <v>AGRO SUDAMERICA1020915</v>
          </cell>
          <cell r="B35" t="str">
            <v>AGRO SUDAMERICA</v>
          </cell>
          <cell r="C35">
            <v>1020915</v>
          </cell>
          <cell r="D35">
            <v>28000</v>
          </cell>
          <cell r="H35" t="str">
            <v>AGRO SUDAMERICA1020869</v>
          </cell>
          <cell r="I35" t="str">
            <v>AGRO SUDAMERICA</v>
          </cell>
          <cell r="J35">
            <v>1020869</v>
          </cell>
          <cell r="K35">
            <v>0</v>
          </cell>
          <cell r="L35">
            <v>9000</v>
          </cell>
          <cell r="M35">
            <v>0</v>
          </cell>
          <cell r="N35">
            <v>0</v>
          </cell>
          <cell r="O35">
            <v>34000</v>
          </cell>
          <cell r="P35">
            <v>43000</v>
          </cell>
          <cell r="Q35">
            <v>0</v>
          </cell>
          <cell r="R35">
            <v>4.4000000000000004</v>
          </cell>
          <cell r="S35">
            <v>0</v>
          </cell>
          <cell r="T35">
            <v>0</v>
          </cell>
          <cell r="U35">
            <v>5.0101416916666697</v>
          </cell>
          <cell r="V35">
            <v>1.882028338333334</v>
          </cell>
          <cell r="W35">
            <v>4.8824376166666692</v>
          </cell>
        </row>
        <row r="36">
          <cell r="A36" t="str">
            <v>AGRO SUDAMERICA1020925</v>
          </cell>
          <cell r="B36" t="str">
            <v>AGRO SUDAMERICA</v>
          </cell>
          <cell r="C36">
            <v>1020925</v>
          </cell>
          <cell r="D36">
            <v>156000</v>
          </cell>
          <cell r="H36" t="str">
            <v>AGRO SUDAMERICA1020915</v>
          </cell>
          <cell r="I36" t="str">
            <v>AGRO SUDAMERICA</v>
          </cell>
          <cell r="J36">
            <v>1020915</v>
          </cell>
          <cell r="K36">
            <v>0</v>
          </cell>
          <cell r="L36">
            <v>4000</v>
          </cell>
          <cell r="M36">
            <v>0</v>
          </cell>
          <cell r="N36">
            <v>24000</v>
          </cell>
          <cell r="O36">
            <v>0</v>
          </cell>
          <cell r="P36">
            <v>28000</v>
          </cell>
          <cell r="Q36">
            <v>0</v>
          </cell>
          <cell r="R36">
            <v>2.15</v>
          </cell>
          <cell r="S36">
            <v>0</v>
          </cell>
          <cell r="T36">
            <v>2.366625</v>
          </cell>
          <cell r="U36">
            <v>0</v>
          </cell>
          <cell r="V36">
            <v>0.90332499999999993</v>
          </cell>
          <cell r="W36">
            <v>2.3356785714285713</v>
          </cell>
        </row>
        <row r="37">
          <cell r="A37" t="str">
            <v>AGRO SUDAMERICA1020944</v>
          </cell>
          <cell r="B37" t="str">
            <v>AGRO SUDAMERICA</v>
          </cell>
          <cell r="C37">
            <v>1020944</v>
          </cell>
          <cell r="D37">
            <v>238000</v>
          </cell>
          <cell r="H37" t="str">
            <v>AGRO SUDAMERICA1020925</v>
          </cell>
          <cell r="I37" t="str">
            <v>AGRO SUDAMERICA</v>
          </cell>
          <cell r="J37">
            <v>1020925</v>
          </cell>
          <cell r="K37">
            <v>0</v>
          </cell>
          <cell r="L37">
            <v>0</v>
          </cell>
          <cell r="M37">
            <v>24000</v>
          </cell>
          <cell r="N37">
            <v>48000</v>
          </cell>
          <cell r="O37">
            <v>84000</v>
          </cell>
          <cell r="P37">
            <v>156000</v>
          </cell>
          <cell r="Q37">
            <v>0</v>
          </cell>
          <cell r="R37">
            <v>0</v>
          </cell>
          <cell r="S37">
            <v>1.4463333333333299</v>
          </cell>
          <cell r="T37">
            <v>1.40916666666667</v>
          </cell>
          <cell r="U37">
            <v>1.55714285714286</v>
          </cell>
          <cell r="V37">
            <v>0.882528571428572</v>
          </cell>
          <cell r="W37">
            <v>1.4945641025641048</v>
          </cell>
        </row>
        <row r="38">
          <cell r="A38" t="str">
            <v>AGRO SUDAMERICA1020993</v>
          </cell>
          <cell r="B38" t="str">
            <v>AGRO SUDAMERICA</v>
          </cell>
          <cell r="C38">
            <v>1020993</v>
          </cell>
          <cell r="D38">
            <v>8100</v>
          </cell>
          <cell r="H38" t="str">
            <v>AGRO SUDAMERICA1020944</v>
          </cell>
          <cell r="I38" t="str">
            <v>AGRO SUDAMERICA</v>
          </cell>
          <cell r="J38">
            <v>1020944</v>
          </cell>
          <cell r="K38">
            <v>0</v>
          </cell>
          <cell r="L38">
            <v>0</v>
          </cell>
          <cell r="M38">
            <v>24000</v>
          </cell>
          <cell r="N38">
            <v>34000</v>
          </cell>
          <cell r="O38">
            <v>180000</v>
          </cell>
          <cell r="P38">
            <v>238000</v>
          </cell>
          <cell r="Q38">
            <v>0</v>
          </cell>
          <cell r="R38">
            <v>0</v>
          </cell>
          <cell r="S38">
            <v>2.6683723958333299</v>
          </cell>
          <cell r="T38">
            <v>2.7626769911504399</v>
          </cell>
          <cell r="U38">
            <v>2.8565777777777801</v>
          </cell>
          <cell r="V38">
            <v>1.6575254329523097</v>
          </cell>
          <cell r="W38">
            <v>2.8241846857105681</v>
          </cell>
        </row>
        <row r="39">
          <cell r="A39" t="str">
            <v>AGRO SUDAMERICA1021005</v>
          </cell>
          <cell r="B39" t="str">
            <v>AGRO SUDAMERICA</v>
          </cell>
          <cell r="C39">
            <v>1021005</v>
          </cell>
          <cell r="D39">
            <v>10000</v>
          </cell>
          <cell r="H39" t="str">
            <v>AGRO SUDAMERICA1020993</v>
          </cell>
          <cell r="I39" t="str">
            <v>AGRO SUDAMERICA</v>
          </cell>
          <cell r="J39">
            <v>1020993</v>
          </cell>
          <cell r="K39">
            <v>0</v>
          </cell>
          <cell r="L39">
            <v>1000</v>
          </cell>
          <cell r="M39">
            <v>7100</v>
          </cell>
          <cell r="N39">
            <v>0</v>
          </cell>
          <cell r="O39">
            <v>0</v>
          </cell>
          <cell r="P39">
            <v>8100</v>
          </cell>
          <cell r="Q39">
            <v>0</v>
          </cell>
          <cell r="R39">
            <v>1.5</v>
          </cell>
          <cell r="S39">
            <v>1.3792701830985901</v>
          </cell>
          <cell r="T39">
            <v>0</v>
          </cell>
          <cell r="U39">
            <v>0</v>
          </cell>
          <cell r="V39">
            <v>0.57585403661971801</v>
          </cell>
          <cell r="W39">
            <v>1.3941750987654309</v>
          </cell>
        </row>
        <row r="40">
          <cell r="A40" t="str">
            <v>AGRO SUDAMERICA1021023</v>
          </cell>
          <cell r="B40" t="str">
            <v>AGRO SUDAMERICA</v>
          </cell>
          <cell r="C40">
            <v>1021023</v>
          </cell>
          <cell r="D40">
            <v>23000</v>
          </cell>
          <cell r="H40" t="str">
            <v>AGRO SUDAMERICA1021005</v>
          </cell>
          <cell r="I40" t="str">
            <v>AGRO SUDAMERICA</v>
          </cell>
          <cell r="J40">
            <v>1021005</v>
          </cell>
          <cell r="K40">
            <v>10000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10000</v>
          </cell>
          <cell r="Q40">
            <v>1.9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0.38</v>
          </cell>
          <cell r="W40">
            <v>1.9</v>
          </cell>
        </row>
        <row r="41">
          <cell r="A41" t="str">
            <v>AGRO SUDAMERICA1021039</v>
          </cell>
          <cell r="B41" t="str">
            <v>AGRO SUDAMERICA</v>
          </cell>
          <cell r="C41">
            <v>1021039</v>
          </cell>
          <cell r="D41">
            <v>146039</v>
          </cell>
          <cell r="H41" t="str">
            <v>AGRO SUDAMERICA1021023</v>
          </cell>
          <cell r="I41" t="str">
            <v>AGRO SUDAMERICA</v>
          </cell>
          <cell r="J41">
            <v>1021023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23000</v>
          </cell>
          <cell r="P41">
            <v>23000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1.13041666638655</v>
          </cell>
          <cell r="V41">
            <v>0.22608333327731001</v>
          </cell>
          <cell r="W41">
            <v>1.13041666638655</v>
          </cell>
        </row>
        <row r="42">
          <cell r="A42" t="str">
            <v>AGRO SUDAMERICA1021077</v>
          </cell>
          <cell r="B42" t="str">
            <v>AGRO SUDAMERICA</v>
          </cell>
          <cell r="C42">
            <v>1021077</v>
          </cell>
          <cell r="D42">
            <v>53000</v>
          </cell>
          <cell r="H42" t="str">
            <v>AGRO SUDAMERICA1021039</v>
          </cell>
          <cell r="I42" t="str">
            <v>AGRO SUDAMERICA</v>
          </cell>
          <cell r="J42">
            <v>1021039</v>
          </cell>
          <cell r="K42">
            <v>0</v>
          </cell>
          <cell r="L42">
            <v>0</v>
          </cell>
          <cell r="M42">
            <v>24000</v>
          </cell>
          <cell r="N42">
            <v>24000</v>
          </cell>
          <cell r="O42">
            <v>98039</v>
          </cell>
          <cell r="P42">
            <v>146039</v>
          </cell>
          <cell r="Q42">
            <v>0</v>
          </cell>
          <cell r="R42">
            <v>0</v>
          </cell>
          <cell r="S42">
            <v>0.60903125000000002</v>
          </cell>
          <cell r="T42">
            <v>0.64566666666666706</v>
          </cell>
          <cell r="U42">
            <v>0.68331884046144897</v>
          </cell>
          <cell r="V42">
            <v>0.38760335142562324</v>
          </cell>
          <cell r="W42">
            <v>0.66492269736166365</v>
          </cell>
        </row>
        <row r="43">
          <cell r="A43" t="str">
            <v>AGRO SUDAMERICA1021078</v>
          </cell>
          <cell r="B43" t="str">
            <v>AGRO SUDAMERICA</v>
          </cell>
          <cell r="C43">
            <v>1021078</v>
          </cell>
          <cell r="D43">
            <v>144000</v>
          </cell>
          <cell r="H43" t="str">
            <v>AGRO SUDAMERICA1021077</v>
          </cell>
          <cell r="I43" t="str">
            <v>AGRO SUDAMERICA</v>
          </cell>
          <cell r="J43">
            <v>1021077</v>
          </cell>
          <cell r="K43">
            <v>0</v>
          </cell>
          <cell r="L43">
            <v>5000</v>
          </cell>
          <cell r="M43">
            <v>24000</v>
          </cell>
          <cell r="N43">
            <v>0</v>
          </cell>
          <cell r="O43">
            <v>24000</v>
          </cell>
          <cell r="P43">
            <v>53000</v>
          </cell>
          <cell r="Q43">
            <v>0</v>
          </cell>
          <cell r="R43">
            <v>0.83889324545454602</v>
          </cell>
          <cell r="S43">
            <v>1.4141027837209299</v>
          </cell>
          <cell r="T43">
            <v>0</v>
          </cell>
          <cell r="U43">
            <v>1.1372916666666699</v>
          </cell>
          <cell r="V43">
            <v>0.67805753916842915</v>
          </cell>
          <cell r="W43">
            <v>1.234489302576889</v>
          </cell>
        </row>
        <row r="44">
          <cell r="A44" t="str">
            <v>AGRO SUDAMERICA1021082</v>
          </cell>
          <cell r="B44" t="str">
            <v>AGRO SUDAMERICA</v>
          </cell>
          <cell r="C44">
            <v>1021082</v>
          </cell>
          <cell r="D44">
            <v>49500</v>
          </cell>
          <cell r="H44" t="str">
            <v>AGRO SUDAMERICA1021078</v>
          </cell>
          <cell r="I44" t="str">
            <v>AGRO SUDAMERICA</v>
          </cell>
          <cell r="J44">
            <v>1021078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144000</v>
          </cell>
          <cell r="P44">
            <v>144000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2.266</v>
          </cell>
          <cell r="V44">
            <v>0.45319999999999999</v>
          </cell>
          <cell r="W44">
            <v>2.266</v>
          </cell>
        </row>
        <row r="45">
          <cell r="A45" t="str">
            <v>AGRO SUDAMERICA1021085</v>
          </cell>
          <cell r="B45" t="str">
            <v>AGRO SUDAMERICA</v>
          </cell>
          <cell r="C45">
            <v>1021085</v>
          </cell>
          <cell r="D45">
            <v>21300</v>
          </cell>
          <cell r="H45" t="str">
            <v>AGRO SUDAMERICA1021082</v>
          </cell>
          <cell r="I45" t="str">
            <v>AGRO SUDAMERICA</v>
          </cell>
          <cell r="J45">
            <v>1021082</v>
          </cell>
          <cell r="K45">
            <v>2500</v>
          </cell>
          <cell r="L45">
            <v>0</v>
          </cell>
          <cell r="M45">
            <v>24000</v>
          </cell>
          <cell r="N45">
            <v>23000</v>
          </cell>
          <cell r="O45">
            <v>0</v>
          </cell>
          <cell r="P45">
            <v>49500</v>
          </cell>
          <cell r="Q45">
            <v>2.0668390400000001</v>
          </cell>
          <cell r="R45">
            <v>0</v>
          </cell>
          <cell r="S45">
            <v>1.7790732446808499</v>
          </cell>
          <cell r="T45">
            <v>1.3</v>
          </cell>
          <cell r="U45">
            <v>0</v>
          </cell>
          <cell r="V45">
            <v>1.0291824569361698</v>
          </cell>
          <cell r="W45">
            <v>1.571007181259402</v>
          </cell>
        </row>
        <row r="46">
          <cell r="A46" t="str">
            <v>AGRO SUDAMERICA1021092</v>
          </cell>
          <cell r="B46" t="str">
            <v>AGRO SUDAMERICA</v>
          </cell>
          <cell r="C46">
            <v>1021092</v>
          </cell>
          <cell r="D46">
            <v>122000</v>
          </cell>
          <cell r="H46" t="str">
            <v>AGRO SUDAMERICA1021085</v>
          </cell>
          <cell r="I46" t="str">
            <v>AGRO SUDAMERICA</v>
          </cell>
          <cell r="J46">
            <v>1021085</v>
          </cell>
          <cell r="K46">
            <v>0</v>
          </cell>
          <cell r="L46">
            <v>0</v>
          </cell>
          <cell r="M46">
            <v>21300</v>
          </cell>
          <cell r="N46">
            <v>0</v>
          </cell>
          <cell r="O46">
            <v>0</v>
          </cell>
          <cell r="P46">
            <v>21300</v>
          </cell>
          <cell r="Q46">
            <v>0</v>
          </cell>
          <cell r="R46">
            <v>0</v>
          </cell>
          <cell r="S46">
            <v>1</v>
          </cell>
          <cell r="T46">
            <v>0</v>
          </cell>
          <cell r="U46">
            <v>0</v>
          </cell>
          <cell r="V46">
            <v>0.2</v>
          </cell>
          <cell r="W46">
            <v>1</v>
          </cell>
        </row>
        <row r="47">
          <cell r="A47" t="str">
            <v>AGRO SUDAMERICA1021101</v>
          </cell>
          <cell r="B47" t="str">
            <v>AGRO SUDAMERICA</v>
          </cell>
          <cell r="C47">
            <v>1021101</v>
          </cell>
          <cell r="D47">
            <v>33000</v>
          </cell>
          <cell r="H47" t="str">
            <v>AGRO SUDAMERICA1021092</v>
          </cell>
          <cell r="I47" t="str">
            <v>AGRO SUDAMERICA</v>
          </cell>
          <cell r="J47">
            <v>1021092</v>
          </cell>
          <cell r="K47">
            <v>0</v>
          </cell>
          <cell r="L47">
            <v>26000</v>
          </cell>
          <cell r="M47">
            <v>0</v>
          </cell>
          <cell r="N47">
            <v>24000</v>
          </cell>
          <cell r="O47">
            <v>72000</v>
          </cell>
          <cell r="P47">
            <v>122000</v>
          </cell>
          <cell r="Q47">
            <v>0</v>
          </cell>
          <cell r="R47">
            <v>2.1330644830780101</v>
          </cell>
          <cell r="S47">
            <v>0</v>
          </cell>
          <cell r="T47">
            <v>2.4334513888888898</v>
          </cell>
          <cell r="U47">
            <v>2.4686778116666699</v>
          </cell>
          <cell r="V47">
            <v>1.4070387367267139</v>
          </cell>
          <cell r="W47">
            <v>2.3902238715849329</v>
          </cell>
        </row>
        <row r="48">
          <cell r="A48" t="str">
            <v>AGRO SUDAMERICA1021156</v>
          </cell>
          <cell r="B48" t="str">
            <v>AGRO SUDAMERICA</v>
          </cell>
          <cell r="C48">
            <v>1021156</v>
          </cell>
          <cell r="D48">
            <v>24000</v>
          </cell>
          <cell r="H48" t="str">
            <v>AGRO SUDAMERICA1021101</v>
          </cell>
          <cell r="I48" t="str">
            <v>AGRO SUDAMERICA</v>
          </cell>
          <cell r="J48">
            <v>1021101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33000</v>
          </cell>
          <cell r="P48">
            <v>33000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1.23833333333333</v>
          </cell>
          <cell r="V48">
            <v>0.24766666666666598</v>
          </cell>
          <cell r="W48">
            <v>1.23833333333333</v>
          </cell>
        </row>
        <row r="49">
          <cell r="A49" t="str">
            <v>AGRO SUDAMERICA1021187</v>
          </cell>
          <cell r="B49" t="str">
            <v>AGRO SUDAMERICA</v>
          </cell>
          <cell r="C49">
            <v>1021187</v>
          </cell>
          <cell r="D49">
            <v>72000</v>
          </cell>
          <cell r="H49" t="str">
            <v>AGRO SUDAMERICA1021156</v>
          </cell>
          <cell r="I49" t="str">
            <v>AGRO SUDAMERICA</v>
          </cell>
          <cell r="J49">
            <v>1021156</v>
          </cell>
          <cell r="K49">
            <v>0</v>
          </cell>
          <cell r="L49">
            <v>0</v>
          </cell>
          <cell r="M49">
            <v>24000</v>
          </cell>
          <cell r="N49">
            <v>0</v>
          </cell>
          <cell r="O49">
            <v>0</v>
          </cell>
          <cell r="P49">
            <v>24000</v>
          </cell>
          <cell r="Q49">
            <v>0</v>
          </cell>
          <cell r="R49">
            <v>0</v>
          </cell>
          <cell r="S49">
            <v>1.6827441482758601</v>
          </cell>
          <cell r="T49">
            <v>0</v>
          </cell>
          <cell r="U49">
            <v>0</v>
          </cell>
          <cell r="V49">
            <v>0.33654882965517202</v>
          </cell>
          <cell r="W49">
            <v>1.6827441482758601</v>
          </cell>
        </row>
        <row r="50">
          <cell r="A50" t="str">
            <v>AGRO SUDAMERICA1021385</v>
          </cell>
          <cell r="B50" t="str">
            <v>AGRO SUDAMERICA</v>
          </cell>
          <cell r="C50">
            <v>1021385</v>
          </cell>
          <cell r="D50">
            <v>150400</v>
          </cell>
          <cell r="H50" t="str">
            <v>AGRO SUDAMERICA1021187</v>
          </cell>
          <cell r="I50" t="str">
            <v>AGRO SUDAMERICA</v>
          </cell>
          <cell r="J50">
            <v>1021187</v>
          </cell>
          <cell r="K50">
            <v>0</v>
          </cell>
          <cell r="L50">
            <v>0</v>
          </cell>
          <cell r="M50">
            <v>0</v>
          </cell>
          <cell r="N50">
            <v>48000</v>
          </cell>
          <cell r="O50">
            <v>24000</v>
          </cell>
          <cell r="P50">
            <v>72000</v>
          </cell>
          <cell r="Q50">
            <v>0</v>
          </cell>
          <cell r="R50">
            <v>0</v>
          </cell>
          <cell r="S50">
            <v>0</v>
          </cell>
          <cell r="T50">
            <v>2.05833333333333</v>
          </cell>
          <cell r="U50">
            <v>2.1800000000000002</v>
          </cell>
          <cell r="V50">
            <v>0.8476666666666659</v>
          </cell>
          <cell r="W50">
            <v>2.098888888888887</v>
          </cell>
        </row>
        <row r="51">
          <cell r="A51" t="str">
            <v>AGRO SUDAMERICA1021550</v>
          </cell>
          <cell r="B51" t="str">
            <v>AGRO SUDAMERICA</v>
          </cell>
          <cell r="C51">
            <v>1021550</v>
          </cell>
          <cell r="D51">
            <v>1160</v>
          </cell>
          <cell r="H51" t="str">
            <v>AGRO SUDAMERICA1021385</v>
          </cell>
          <cell r="I51" t="str">
            <v>AGRO SUDAMERICA</v>
          </cell>
          <cell r="J51">
            <v>1021385</v>
          </cell>
          <cell r="K51">
            <v>0</v>
          </cell>
          <cell r="L51">
            <v>0</v>
          </cell>
          <cell r="M51">
            <v>30200</v>
          </cell>
          <cell r="N51">
            <v>72000</v>
          </cell>
          <cell r="O51">
            <v>48200</v>
          </cell>
          <cell r="P51">
            <v>150400</v>
          </cell>
          <cell r="Q51">
            <v>0</v>
          </cell>
          <cell r="R51">
            <v>0</v>
          </cell>
          <cell r="S51">
            <v>1.0582833957553099</v>
          </cell>
          <cell r="T51">
            <v>1.0370520833333301</v>
          </cell>
          <cell r="U51">
            <v>0.88404326123128096</v>
          </cell>
          <cell r="V51">
            <v>0.59587574806398425</v>
          </cell>
          <cell r="W51">
            <v>0.99227921371780503</v>
          </cell>
        </row>
        <row r="52">
          <cell r="A52" t="str">
            <v>AGRO SUDAMERICA1021639</v>
          </cell>
          <cell r="B52" t="str">
            <v>AGRO SUDAMERICA</v>
          </cell>
          <cell r="C52">
            <v>1021639</v>
          </cell>
          <cell r="D52">
            <v>1000</v>
          </cell>
          <cell r="H52" t="str">
            <v>AGRO SUDAMERICA1021550</v>
          </cell>
          <cell r="I52" t="str">
            <v>AGRO SUDAMERICA</v>
          </cell>
          <cell r="J52">
            <v>1021550</v>
          </cell>
          <cell r="K52">
            <v>1160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1160</v>
          </cell>
          <cell r="Q52">
            <v>1.84708289747358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0.36941657949471601</v>
          </cell>
          <cell r="W52">
            <v>1.8470828974735802</v>
          </cell>
        </row>
        <row r="53">
          <cell r="A53" t="str">
            <v>AGRO SUDAMERICA1021819</v>
          </cell>
          <cell r="B53" t="str">
            <v>AGRO SUDAMERICA</v>
          </cell>
          <cell r="C53">
            <v>1021819</v>
          </cell>
          <cell r="D53">
            <v>72000</v>
          </cell>
          <cell r="H53" t="str">
            <v>AGRO SUDAMERICA1021639</v>
          </cell>
          <cell r="I53" t="str">
            <v>AGRO SUDAMERICA</v>
          </cell>
          <cell r="J53">
            <v>1021639</v>
          </cell>
          <cell r="K53">
            <v>0</v>
          </cell>
          <cell r="L53">
            <v>1000</v>
          </cell>
          <cell r="M53">
            <v>0</v>
          </cell>
          <cell r="N53">
            <v>0</v>
          </cell>
          <cell r="O53">
            <v>0</v>
          </cell>
          <cell r="P53">
            <v>1000</v>
          </cell>
          <cell r="Q53">
            <v>0</v>
          </cell>
          <cell r="R53">
            <v>2.8</v>
          </cell>
          <cell r="S53">
            <v>0</v>
          </cell>
          <cell r="T53">
            <v>0</v>
          </cell>
          <cell r="U53">
            <v>0</v>
          </cell>
          <cell r="V53">
            <v>0.55999999999999994</v>
          </cell>
          <cell r="W53">
            <v>2.8</v>
          </cell>
        </row>
        <row r="54">
          <cell r="A54" t="str">
            <v>AGRO SUDAMERICA1021820</v>
          </cell>
          <cell r="B54" t="str">
            <v>AGRO SUDAMERICA</v>
          </cell>
          <cell r="C54">
            <v>1021820</v>
          </cell>
          <cell r="D54">
            <v>14000</v>
          </cell>
          <cell r="H54" t="str">
            <v>AGRO SUDAMERICA1021819</v>
          </cell>
          <cell r="I54" t="str">
            <v>AGRO SUDAMERICA</v>
          </cell>
          <cell r="J54">
            <v>1021819</v>
          </cell>
          <cell r="K54">
            <v>72000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72000</v>
          </cell>
          <cell r="Q54">
            <v>1.8496250000000001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0.369925</v>
          </cell>
          <cell r="W54">
            <v>1.8496250000000001</v>
          </cell>
        </row>
        <row r="55">
          <cell r="A55" t="str">
            <v>AGRO SUDAMERICA1021868</v>
          </cell>
          <cell r="B55" t="str">
            <v>AGRO SUDAMERICA</v>
          </cell>
          <cell r="C55">
            <v>1021868</v>
          </cell>
          <cell r="D55">
            <v>49000</v>
          </cell>
          <cell r="H55" t="str">
            <v>AGRO SUDAMERICA1021820</v>
          </cell>
          <cell r="I55" t="str">
            <v>AGRO SUDAMERICA</v>
          </cell>
          <cell r="J55">
            <v>1021820</v>
          </cell>
          <cell r="K55">
            <v>14000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14000</v>
          </cell>
          <cell r="Q55">
            <v>2.1654552374999998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0.43309104749999994</v>
          </cell>
          <cell r="W55">
            <v>2.1654552374999998</v>
          </cell>
        </row>
        <row r="56">
          <cell r="A56" t="str">
            <v>AGRO SUDAMERICA1021976</v>
          </cell>
          <cell r="B56" t="str">
            <v>AGRO SUDAMERICA</v>
          </cell>
          <cell r="C56">
            <v>1021976</v>
          </cell>
          <cell r="D56">
            <v>219000</v>
          </cell>
          <cell r="H56" t="str">
            <v>AGRO SUDAMERICA1021868</v>
          </cell>
          <cell r="I56" t="str">
            <v>AGRO SUDAMERICA</v>
          </cell>
          <cell r="J56">
            <v>1021868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49000</v>
          </cell>
          <cell r="P56">
            <v>49000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2.9712448979591799</v>
          </cell>
          <cell r="V56">
            <v>0.59424897959183598</v>
          </cell>
          <cell r="W56">
            <v>2.9712448979591799</v>
          </cell>
        </row>
        <row r="57">
          <cell r="A57" t="str">
            <v>AGRO SUDAMERICA1022149</v>
          </cell>
          <cell r="B57" t="str">
            <v>AGRO SUDAMERICA</v>
          </cell>
          <cell r="C57">
            <v>1022149</v>
          </cell>
          <cell r="D57">
            <v>24000</v>
          </cell>
          <cell r="H57" t="str">
            <v>AGRO SUDAMERICA1021976</v>
          </cell>
          <cell r="I57" t="str">
            <v>AGRO SUDAMERICA</v>
          </cell>
          <cell r="J57">
            <v>1021976</v>
          </cell>
          <cell r="K57">
            <v>4000</v>
          </cell>
          <cell r="L57">
            <v>0</v>
          </cell>
          <cell r="M57">
            <v>0</v>
          </cell>
          <cell r="N57">
            <v>72000</v>
          </cell>
          <cell r="O57">
            <v>143000</v>
          </cell>
          <cell r="P57">
            <v>219000</v>
          </cell>
          <cell r="Q57">
            <v>2.1762626269938701</v>
          </cell>
          <cell r="R57">
            <v>0</v>
          </cell>
          <cell r="S57">
            <v>0</v>
          </cell>
          <cell r="T57">
            <v>2.4039791666666699</v>
          </cell>
          <cell r="U57">
            <v>2.5422408376963399</v>
          </cell>
          <cell r="V57">
            <v>1.4244965262713758</v>
          </cell>
          <cell r="W57">
            <v>2.4901004123221568</v>
          </cell>
        </row>
        <row r="58">
          <cell r="A58" t="str">
            <v>AGRO SUDAMERICA1022150</v>
          </cell>
          <cell r="B58" t="str">
            <v>AGRO SUDAMERICA</v>
          </cell>
          <cell r="C58">
            <v>1022150</v>
          </cell>
          <cell r="D58">
            <v>168000</v>
          </cell>
          <cell r="H58" t="str">
            <v>AGRO SUDAMERICA1022149</v>
          </cell>
          <cell r="I58" t="str">
            <v>AGRO SUDAMERICA</v>
          </cell>
          <cell r="J58">
            <v>1022149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24000</v>
          </cell>
          <cell r="P58">
            <v>24000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2.4</v>
          </cell>
          <cell r="V58">
            <v>0.48</v>
          </cell>
          <cell r="W58">
            <v>2.4</v>
          </cell>
        </row>
        <row r="59">
          <cell r="A59" t="str">
            <v>AGRO SUDAMERICA1022196</v>
          </cell>
          <cell r="B59" t="str">
            <v>AGRO SUDAMERICA</v>
          </cell>
          <cell r="C59">
            <v>1022196</v>
          </cell>
          <cell r="D59">
            <v>143800</v>
          </cell>
          <cell r="H59" t="str">
            <v>AGRO SUDAMERICA1022150</v>
          </cell>
          <cell r="I59" t="str">
            <v>AGRO SUDAMERICA</v>
          </cell>
          <cell r="J59">
            <v>1022150</v>
          </cell>
          <cell r="K59">
            <v>0</v>
          </cell>
          <cell r="L59">
            <v>0</v>
          </cell>
          <cell r="M59">
            <v>0</v>
          </cell>
          <cell r="N59">
            <v>120000</v>
          </cell>
          <cell r="O59">
            <v>48000</v>
          </cell>
          <cell r="P59">
            <v>168000</v>
          </cell>
          <cell r="Q59">
            <v>0</v>
          </cell>
          <cell r="R59">
            <v>0</v>
          </cell>
          <cell r="S59">
            <v>0</v>
          </cell>
          <cell r="T59">
            <v>1.34454527837838</v>
          </cell>
          <cell r="U59">
            <v>1.3518333333333299</v>
          </cell>
          <cell r="V59">
            <v>0.539275722342342</v>
          </cell>
          <cell r="W59">
            <v>1.3466275797940799</v>
          </cell>
        </row>
        <row r="60">
          <cell r="A60" t="str">
            <v>AGRO SUDAMERICA1022406</v>
          </cell>
          <cell r="B60" t="str">
            <v>AGRO SUDAMERICA</v>
          </cell>
          <cell r="C60">
            <v>1022406</v>
          </cell>
          <cell r="D60">
            <v>8000</v>
          </cell>
          <cell r="H60" t="str">
            <v>AGRO SUDAMERICA1022196</v>
          </cell>
          <cell r="I60" t="str">
            <v>AGRO SUDAMERICA</v>
          </cell>
          <cell r="J60">
            <v>1022196</v>
          </cell>
          <cell r="K60">
            <v>0</v>
          </cell>
          <cell r="L60">
            <v>0</v>
          </cell>
          <cell r="M60">
            <v>0</v>
          </cell>
          <cell r="N60">
            <v>48000</v>
          </cell>
          <cell r="O60">
            <v>95800</v>
          </cell>
          <cell r="P60">
            <v>143800</v>
          </cell>
          <cell r="Q60">
            <v>0</v>
          </cell>
          <cell r="R60">
            <v>0</v>
          </cell>
          <cell r="S60">
            <v>0</v>
          </cell>
          <cell r="T60">
            <v>1.2041666666666699</v>
          </cell>
          <cell r="U60">
            <v>1.0195198329853901</v>
          </cell>
          <cell r="V60">
            <v>0.444737299930412</v>
          </cell>
          <cell r="W60">
            <v>1.0811543810848436</v>
          </cell>
        </row>
        <row r="61">
          <cell r="A61" t="str">
            <v>AGRO SUDAMERICA1022409</v>
          </cell>
          <cell r="B61" t="str">
            <v>AGRO SUDAMERICA</v>
          </cell>
          <cell r="C61">
            <v>1022409</v>
          </cell>
          <cell r="D61">
            <v>27360</v>
          </cell>
          <cell r="H61" t="str">
            <v>AGRO SUDAMERICA1022406</v>
          </cell>
          <cell r="I61" t="str">
            <v>AGRO SUDAMERICA</v>
          </cell>
          <cell r="J61">
            <v>1022406</v>
          </cell>
          <cell r="K61">
            <v>0</v>
          </cell>
          <cell r="L61">
            <v>8000</v>
          </cell>
          <cell r="M61">
            <v>0</v>
          </cell>
          <cell r="N61">
            <v>0</v>
          </cell>
          <cell r="O61">
            <v>0</v>
          </cell>
          <cell r="P61">
            <v>8000</v>
          </cell>
          <cell r="Q61">
            <v>0</v>
          </cell>
          <cell r="R61">
            <v>3.85</v>
          </cell>
          <cell r="S61">
            <v>0</v>
          </cell>
          <cell r="T61">
            <v>0</v>
          </cell>
          <cell r="U61">
            <v>0</v>
          </cell>
          <cell r="V61">
            <v>0.77</v>
          </cell>
          <cell r="W61">
            <v>3.85</v>
          </cell>
        </row>
        <row r="62">
          <cell r="A62" t="str">
            <v>AGRO SUDAMERICA1022654</v>
          </cell>
          <cell r="B62" t="str">
            <v>AGRO SUDAMERICA</v>
          </cell>
          <cell r="C62">
            <v>1022654</v>
          </cell>
          <cell r="D62">
            <v>46840</v>
          </cell>
          <cell r="H62" t="str">
            <v>AGRO SUDAMERICA1022409</v>
          </cell>
          <cell r="I62" t="str">
            <v>AGRO SUDAMERICA</v>
          </cell>
          <cell r="J62">
            <v>1022409</v>
          </cell>
          <cell r="K62">
            <v>0</v>
          </cell>
          <cell r="L62">
            <v>0</v>
          </cell>
          <cell r="M62">
            <v>0</v>
          </cell>
          <cell r="N62">
            <v>13680</v>
          </cell>
          <cell r="O62">
            <v>13680</v>
          </cell>
          <cell r="P62">
            <v>27360</v>
          </cell>
          <cell r="Q62">
            <v>0</v>
          </cell>
          <cell r="R62">
            <v>0</v>
          </cell>
          <cell r="S62">
            <v>0</v>
          </cell>
          <cell r="T62">
            <v>4.8161549707602296</v>
          </cell>
          <cell r="U62">
            <v>4.9142857142857101</v>
          </cell>
          <cell r="V62">
            <v>1.946088137009188</v>
          </cell>
          <cell r="W62">
            <v>4.8652203425229699</v>
          </cell>
        </row>
        <row r="63">
          <cell r="A63" t="str">
            <v>AGRO SUDAMERICA1022709</v>
          </cell>
          <cell r="B63" t="str">
            <v>AGRO SUDAMERICA</v>
          </cell>
          <cell r="C63">
            <v>1022709</v>
          </cell>
          <cell r="D63">
            <v>60000</v>
          </cell>
          <cell r="H63" t="str">
            <v>AGRO SUDAMERICA1022654</v>
          </cell>
          <cell r="I63" t="str">
            <v>AGRO SUDAMERICA</v>
          </cell>
          <cell r="J63">
            <v>1022654</v>
          </cell>
          <cell r="K63">
            <v>46840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46840</v>
          </cell>
          <cell r="Q63">
            <v>1.81078633005978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0.36215726601195597</v>
          </cell>
          <cell r="W63">
            <v>1.81078633005978</v>
          </cell>
        </row>
        <row r="64">
          <cell r="A64" t="str">
            <v>AGRO SUDAMERICA1022781</v>
          </cell>
          <cell r="B64" t="str">
            <v>AGRO SUDAMERICA</v>
          </cell>
          <cell r="C64">
            <v>1022781</v>
          </cell>
          <cell r="D64">
            <v>15555</v>
          </cell>
          <cell r="H64" t="str">
            <v>AGRO SUDAMERICA1022709</v>
          </cell>
          <cell r="I64" t="str">
            <v>AGRO SUDAMERICA</v>
          </cell>
          <cell r="J64">
            <v>1022709</v>
          </cell>
          <cell r="K64">
            <v>11000</v>
          </cell>
          <cell r="L64">
            <v>0</v>
          </cell>
          <cell r="M64">
            <v>0</v>
          </cell>
          <cell r="N64">
            <v>24000</v>
          </cell>
          <cell r="O64">
            <v>25000</v>
          </cell>
          <cell r="P64">
            <v>60000</v>
          </cell>
          <cell r="Q64">
            <v>2.5746592458015298</v>
          </cell>
          <cell r="R64">
            <v>0</v>
          </cell>
          <cell r="S64">
            <v>0</v>
          </cell>
          <cell r="T64">
            <v>2.8473385416666699</v>
          </cell>
          <cell r="U64">
            <v>2.8934011627906999</v>
          </cell>
          <cell r="V64">
            <v>1.6630797900517797</v>
          </cell>
          <cell r="W64">
            <v>2.8165400962264062</v>
          </cell>
        </row>
        <row r="65">
          <cell r="A65" t="str">
            <v>AGRO SUDAMERICA1022782</v>
          </cell>
          <cell r="B65" t="str">
            <v>AGRO SUDAMERICA</v>
          </cell>
          <cell r="C65">
            <v>1022782</v>
          </cell>
          <cell r="D65">
            <v>15600</v>
          </cell>
          <cell r="H65" t="str">
            <v>AGRO SUDAMERICA1022781</v>
          </cell>
          <cell r="I65" t="str">
            <v>AGRO SUDAMERICA</v>
          </cell>
          <cell r="J65">
            <v>1022781</v>
          </cell>
          <cell r="K65">
            <v>0</v>
          </cell>
          <cell r="L65">
            <v>1275</v>
          </cell>
          <cell r="M65">
            <v>0</v>
          </cell>
          <cell r="N65">
            <v>9180</v>
          </cell>
          <cell r="O65">
            <v>5100</v>
          </cell>
          <cell r="P65">
            <v>15555</v>
          </cell>
          <cell r="Q65">
            <v>0</v>
          </cell>
          <cell r="R65">
            <v>10.1282354579259</v>
          </cell>
          <cell r="S65">
            <v>0</v>
          </cell>
          <cell r="T65">
            <v>10.649900888750601</v>
          </cell>
          <cell r="U65">
            <v>10.5555555555556</v>
          </cell>
          <cell r="V65">
            <v>6.2667383804464203</v>
          </cell>
          <cell r="W65">
            <v>10.576208531078084</v>
          </cell>
        </row>
        <row r="66">
          <cell r="A66" t="str">
            <v>AGRO SUDAMERICA1022783</v>
          </cell>
          <cell r="B66" t="str">
            <v>AGRO SUDAMERICA</v>
          </cell>
          <cell r="C66">
            <v>1022783</v>
          </cell>
          <cell r="D66">
            <v>7200</v>
          </cell>
          <cell r="H66" t="str">
            <v>AGRO SUDAMERICA1022782</v>
          </cell>
          <cell r="I66" t="str">
            <v>AGRO SUDAMERICA</v>
          </cell>
          <cell r="J66">
            <v>1022782</v>
          </cell>
          <cell r="K66">
            <v>0</v>
          </cell>
          <cell r="L66">
            <v>9600</v>
          </cell>
          <cell r="M66">
            <v>0</v>
          </cell>
          <cell r="N66">
            <v>0</v>
          </cell>
          <cell r="O66">
            <v>6000</v>
          </cell>
          <cell r="P66">
            <v>15600</v>
          </cell>
          <cell r="Q66">
            <v>0</v>
          </cell>
          <cell r="R66">
            <v>8.0738946093276809</v>
          </cell>
          <cell r="S66">
            <v>0</v>
          </cell>
          <cell r="T66">
            <v>0</v>
          </cell>
          <cell r="U66">
            <v>7.8740157480314998</v>
          </cell>
          <cell r="V66">
            <v>3.1895820714718361</v>
          </cell>
          <cell r="W66">
            <v>7.9970181242137652</v>
          </cell>
        </row>
        <row r="67">
          <cell r="A67" t="str">
            <v>AGRO SUDAMERICA1022786</v>
          </cell>
          <cell r="B67" t="str">
            <v>AGRO SUDAMERICA</v>
          </cell>
          <cell r="C67">
            <v>1022786</v>
          </cell>
          <cell r="D67">
            <v>1200</v>
          </cell>
          <cell r="H67" t="str">
            <v>AGRO SUDAMERICA1022783</v>
          </cell>
          <cell r="I67" t="str">
            <v>AGRO SUDAMERICA</v>
          </cell>
          <cell r="J67">
            <v>1022783</v>
          </cell>
          <cell r="K67">
            <v>0</v>
          </cell>
          <cell r="L67">
            <v>7200</v>
          </cell>
          <cell r="M67">
            <v>0</v>
          </cell>
          <cell r="N67">
            <v>0</v>
          </cell>
          <cell r="O67">
            <v>0</v>
          </cell>
          <cell r="P67">
            <v>7200</v>
          </cell>
          <cell r="Q67">
            <v>0</v>
          </cell>
          <cell r="R67">
            <v>7.8294573643410796</v>
          </cell>
          <cell r="S67">
            <v>0</v>
          </cell>
          <cell r="T67">
            <v>0</v>
          </cell>
          <cell r="U67">
            <v>0</v>
          </cell>
          <cell r="V67">
            <v>1.5658914728682158</v>
          </cell>
          <cell r="W67">
            <v>7.8294573643410796</v>
          </cell>
        </row>
        <row r="68">
          <cell r="A68" t="str">
            <v>AGRO SUDAMERICA1022847</v>
          </cell>
          <cell r="B68" t="str">
            <v>AGRO SUDAMERICA</v>
          </cell>
          <cell r="C68">
            <v>1022847</v>
          </cell>
          <cell r="D68">
            <v>48000</v>
          </cell>
          <cell r="H68" t="str">
            <v>AGRO SUDAMERICA1022786</v>
          </cell>
          <cell r="I68" t="str">
            <v>AGRO SUDAMERICA</v>
          </cell>
          <cell r="J68">
            <v>1022786</v>
          </cell>
          <cell r="K68">
            <v>0</v>
          </cell>
          <cell r="L68">
            <v>1200</v>
          </cell>
          <cell r="M68">
            <v>0</v>
          </cell>
          <cell r="N68">
            <v>0</v>
          </cell>
          <cell r="O68">
            <v>0</v>
          </cell>
          <cell r="P68">
            <v>1200</v>
          </cell>
          <cell r="Q68">
            <v>0</v>
          </cell>
          <cell r="R68">
            <v>13.964497041420101</v>
          </cell>
          <cell r="S68">
            <v>0</v>
          </cell>
          <cell r="T68">
            <v>0</v>
          </cell>
          <cell r="U68">
            <v>0</v>
          </cell>
          <cell r="V68">
            <v>2.7928994082840202</v>
          </cell>
          <cell r="W68">
            <v>13.964497041420099</v>
          </cell>
        </row>
        <row r="69">
          <cell r="A69" t="str">
            <v>AGRO SUDAMERICA1022855</v>
          </cell>
          <cell r="B69" t="str">
            <v>AGRO SUDAMERICA</v>
          </cell>
          <cell r="C69">
            <v>1022855</v>
          </cell>
          <cell r="D69">
            <v>24000</v>
          </cell>
          <cell r="H69" t="str">
            <v>AGRO SUDAMERICA1022847</v>
          </cell>
          <cell r="I69" t="str">
            <v>AGRO SUDAMERICA</v>
          </cell>
          <cell r="J69">
            <v>1022847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48000</v>
          </cell>
          <cell r="P69">
            <v>48000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1.58960416666667</v>
          </cell>
          <cell r="V69">
            <v>0.31792083333333399</v>
          </cell>
          <cell r="W69">
            <v>1.58960416666667</v>
          </cell>
        </row>
        <row r="70">
          <cell r="A70" t="str">
            <v>AGRO SUDAMERICA1022920</v>
          </cell>
          <cell r="B70" t="str">
            <v>AGRO SUDAMERICA</v>
          </cell>
          <cell r="C70">
            <v>1022920</v>
          </cell>
          <cell r="D70">
            <v>24000</v>
          </cell>
          <cell r="H70" t="str">
            <v>AGRO SUDAMERICA1022855</v>
          </cell>
          <cell r="I70" t="str">
            <v>AGRO SUDAMERICA</v>
          </cell>
          <cell r="J70">
            <v>1022855</v>
          </cell>
          <cell r="K70">
            <v>0</v>
          </cell>
          <cell r="L70">
            <v>0</v>
          </cell>
          <cell r="M70">
            <v>0</v>
          </cell>
          <cell r="N70">
            <v>24000</v>
          </cell>
          <cell r="O70">
            <v>0</v>
          </cell>
          <cell r="P70">
            <v>24000</v>
          </cell>
          <cell r="Q70">
            <v>0</v>
          </cell>
          <cell r="R70">
            <v>0</v>
          </cell>
          <cell r="S70">
            <v>0</v>
          </cell>
          <cell r="T70">
            <v>1.57</v>
          </cell>
          <cell r="U70">
            <v>0</v>
          </cell>
          <cell r="V70">
            <v>0.314</v>
          </cell>
          <cell r="W70">
            <v>1.57</v>
          </cell>
        </row>
        <row r="71">
          <cell r="A71" t="str">
            <v>AGRO SUDAMERICA1022921</v>
          </cell>
          <cell r="B71" t="str">
            <v>AGRO SUDAMERICA</v>
          </cell>
          <cell r="C71">
            <v>1022921</v>
          </cell>
          <cell r="D71">
            <v>27500</v>
          </cell>
          <cell r="H71" t="str">
            <v>AGRO SUDAMERICA1022920</v>
          </cell>
          <cell r="I71" t="str">
            <v>AGRO SUDAMERICA</v>
          </cell>
          <cell r="J71">
            <v>1022920</v>
          </cell>
          <cell r="K71">
            <v>0</v>
          </cell>
          <cell r="L71">
            <v>0</v>
          </cell>
          <cell r="M71">
            <v>24000</v>
          </cell>
          <cell r="N71">
            <v>0</v>
          </cell>
          <cell r="O71">
            <v>0</v>
          </cell>
          <cell r="P71">
            <v>24000</v>
          </cell>
          <cell r="Q71">
            <v>0</v>
          </cell>
          <cell r="R71">
            <v>0</v>
          </cell>
          <cell r="S71">
            <v>0.97040708333333403</v>
          </cell>
          <cell r="T71">
            <v>0</v>
          </cell>
          <cell r="U71">
            <v>0</v>
          </cell>
          <cell r="V71">
            <v>0.19408141666666681</v>
          </cell>
          <cell r="W71">
            <v>0.97040708333333392</v>
          </cell>
        </row>
        <row r="72">
          <cell r="A72" t="str">
            <v>AGRO SUDAMERICA1023295</v>
          </cell>
          <cell r="B72" t="str">
            <v>AGRO SUDAMERICA</v>
          </cell>
          <cell r="C72">
            <v>1023295</v>
          </cell>
          <cell r="D72">
            <v>450</v>
          </cell>
          <cell r="H72" t="str">
            <v>AGRO SUDAMERICA1022921</v>
          </cell>
          <cell r="I72" t="str">
            <v>AGRO SUDAMERICA</v>
          </cell>
          <cell r="J72">
            <v>1022921</v>
          </cell>
          <cell r="K72">
            <v>0</v>
          </cell>
          <cell r="L72">
            <v>0</v>
          </cell>
          <cell r="M72">
            <v>4500</v>
          </cell>
          <cell r="N72">
            <v>0</v>
          </cell>
          <cell r="O72">
            <v>23000</v>
          </cell>
          <cell r="P72">
            <v>27500</v>
          </cell>
          <cell r="Q72">
            <v>0</v>
          </cell>
          <cell r="R72">
            <v>0</v>
          </cell>
          <cell r="S72">
            <v>0.95018181818181802</v>
          </cell>
          <cell r="T72">
            <v>0</v>
          </cell>
          <cell r="U72">
            <v>1.4</v>
          </cell>
          <cell r="V72">
            <v>0.47003636363636359</v>
          </cell>
          <cell r="W72">
            <v>1.3263933884297519</v>
          </cell>
        </row>
        <row r="73">
          <cell r="A73" t="str">
            <v>AGRO SUDAMERICA1023331</v>
          </cell>
          <cell r="B73" t="str">
            <v>AGRO SUDAMERICA</v>
          </cell>
          <cell r="C73">
            <v>1023331</v>
          </cell>
          <cell r="D73">
            <v>6000</v>
          </cell>
          <cell r="H73" t="str">
            <v>AGRO SUDAMERICA1023295</v>
          </cell>
          <cell r="I73" t="str">
            <v>AGRO SUDAMERICA</v>
          </cell>
          <cell r="J73">
            <v>1023295</v>
          </cell>
          <cell r="K73">
            <v>0</v>
          </cell>
          <cell r="L73">
            <v>450</v>
          </cell>
          <cell r="M73">
            <v>0</v>
          </cell>
          <cell r="N73">
            <v>0</v>
          </cell>
          <cell r="O73">
            <v>0</v>
          </cell>
          <cell r="P73">
            <v>450</v>
          </cell>
          <cell r="Q73">
            <v>0</v>
          </cell>
          <cell r="R73">
            <v>14.556213017751499</v>
          </cell>
          <cell r="S73">
            <v>0</v>
          </cell>
          <cell r="T73">
            <v>0</v>
          </cell>
          <cell r="U73">
            <v>0</v>
          </cell>
          <cell r="V73">
            <v>2.9112426035503001</v>
          </cell>
          <cell r="W73">
            <v>14.556213017751501</v>
          </cell>
        </row>
        <row r="74">
          <cell r="A74" t="str">
            <v>AGRO SUDAMERICA1023355</v>
          </cell>
          <cell r="B74" t="str">
            <v>AGRO SUDAMERICA</v>
          </cell>
          <cell r="C74">
            <v>1023355</v>
          </cell>
          <cell r="D74">
            <v>22500</v>
          </cell>
          <cell r="H74" t="str">
            <v>AGRO SUDAMERICA1023331</v>
          </cell>
          <cell r="I74" t="str">
            <v>AGRO SUDAMERICA</v>
          </cell>
          <cell r="J74">
            <v>1023331</v>
          </cell>
          <cell r="K74">
            <v>0</v>
          </cell>
          <cell r="L74">
            <v>6000</v>
          </cell>
          <cell r="M74">
            <v>0</v>
          </cell>
          <cell r="N74">
            <v>0</v>
          </cell>
          <cell r="O74">
            <v>0</v>
          </cell>
          <cell r="P74">
            <v>6000</v>
          </cell>
          <cell r="Q74">
            <v>0</v>
          </cell>
          <cell r="R74">
            <v>2.8</v>
          </cell>
          <cell r="S74">
            <v>0</v>
          </cell>
          <cell r="T74">
            <v>0</v>
          </cell>
          <cell r="U74">
            <v>0</v>
          </cell>
          <cell r="V74">
            <v>0.55999999999999994</v>
          </cell>
          <cell r="W74">
            <v>2.8</v>
          </cell>
        </row>
        <row r="75">
          <cell r="A75" t="str">
            <v>AGRO SUDAMERICA1100407</v>
          </cell>
          <cell r="B75" t="str">
            <v>AGRO SUDAMERICA</v>
          </cell>
          <cell r="C75">
            <v>1100407</v>
          </cell>
          <cell r="D75">
            <v>12000</v>
          </cell>
          <cell r="H75" t="str">
            <v>AGRO SUDAMERICA1023355</v>
          </cell>
          <cell r="I75" t="str">
            <v>AGRO SUDAMERICA</v>
          </cell>
          <cell r="J75">
            <v>1023355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22500</v>
          </cell>
          <cell r="P75">
            <v>22500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0.76349999999999996</v>
          </cell>
          <cell r="V75">
            <v>0.1527</v>
          </cell>
          <cell r="W75">
            <v>0.76349999999999996</v>
          </cell>
        </row>
        <row r="76">
          <cell r="A76" t="str">
            <v>AGRO SUDAMERICA1100408</v>
          </cell>
          <cell r="B76" t="str">
            <v>AGRO SUDAMERICA</v>
          </cell>
          <cell r="C76">
            <v>1100408</v>
          </cell>
          <cell r="D76">
            <v>6000</v>
          </cell>
          <cell r="H76" t="str">
            <v>AGRO SUDAMERICA1100407</v>
          </cell>
          <cell r="I76" t="str">
            <v>AGRO SUDAMERICA</v>
          </cell>
          <cell r="J76">
            <v>1100407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12000</v>
          </cell>
          <cell r="P76">
            <v>12000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3.9</v>
          </cell>
          <cell r="V76">
            <v>0.78</v>
          </cell>
          <cell r="W76">
            <v>3.9</v>
          </cell>
        </row>
        <row r="77">
          <cell r="A77" t="str">
            <v>AGRO SUDAMERICA1023168</v>
          </cell>
          <cell r="B77" t="str">
            <v>AGRO SUDAMERICA</v>
          </cell>
          <cell r="C77">
            <v>1023168</v>
          </cell>
          <cell r="D77">
            <v>900</v>
          </cell>
          <cell r="H77" t="str">
            <v>AGRO SUDAMERICA1100408</v>
          </cell>
          <cell r="I77" t="str">
            <v>AGRO SUDAMERICA</v>
          </cell>
          <cell r="J77">
            <v>1100408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6000</v>
          </cell>
          <cell r="P77">
            <v>6000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3.9</v>
          </cell>
          <cell r="V77">
            <v>0.78</v>
          </cell>
          <cell r="W77">
            <v>3.9</v>
          </cell>
        </row>
        <row r="78">
          <cell r="A78" t="str">
            <v>AGRO SUDAMERICA1022824</v>
          </cell>
          <cell r="B78" t="str">
            <v>AGRO SUDAMERICA</v>
          </cell>
          <cell r="C78">
            <v>1022824</v>
          </cell>
          <cell r="D78">
            <v>900</v>
          </cell>
          <cell r="H78" t="str">
            <v>AGRO SUDAMERICA1023168</v>
          </cell>
          <cell r="I78" t="str">
            <v>AGRO SUDAMERICA</v>
          </cell>
          <cell r="J78">
            <v>1023168</v>
          </cell>
          <cell r="K78">
            <v>0</v>
          </cell>
          <cell r="L78">
            <v>0</v>
          </cell>
          <cell r="M78">
            <v>900</v>
          </cell>
          <cell r="N78">
            <v>0</v>
          </cell>
          <cell r="O78">
            <v>0</v>
          </cell>
          <cell r="P78">
            <v>900</v>
          </cell>
          <cell r="Q78">
            <v>0</v>
          </cell>
          <cell r="R78">
            <v>0</v>
          </cell>
          <cell r="S78">
            <v>0.9</v>
          </cell>
          <cell r="T78">
            <v>0</v>
          </cell>
          <cell r="U78">
            <v>0</v>
          </cell>
          <cell r="V78">
            <v>0.18</v>
          </cell>
          <cell r="W78">
            <v>0.9</v>
          </cell>
        </row>
        <row r="79">
          <cell r="A79" t="str">
            <v>AGRO SUDAMERICA1022813</v>
          </cell>
          <cell r="B79" t="str">
            <v>AGRO SUDAMERICA</v>
          </cell>
          <cell r="C79">
            <v>1022813</v>
          </cell>
          <cell r="D79">
            <v>900</v>
          </cell>
          <cell r="H79" t="str">
            <v>AGRO SUDAMERICA1022824</v>
          </cell>
          <cell r="I79" t="str">
            <v>AGRO SUDAMERICA</v>
          </cell>
          <cell r="J79">
            <v>1022824</v>
          </cell>
          <cell r="K79">
            <v>0</v>
          </cell>
          <cell r="L79">
            <v>0</v>
          </cell>
          <cell r="M79">
            <v>900</v>
          </cell>
          <cell r="N79">
            <v>0</v>
          </cell>
          <cell r="O79">
            <v>0</v>
          </cell>
          <cell r="P79">
            <v>900</v>
          </cell>
          <cell r="Q79">
            <v>0</v>
          </cell>
          <cell r="R79">
            <v>0</v>
          </cell>
          <cell r="S79">
            <v>0.9</v>
          </cell>
          <cell r="T79">
            <v>0</v>
          </cell>
          <cell r="U79">
            <v>0</v>
          </cell>
          <cell r="V79">
            <v>0.18</v>
          </cell>
          <cell r="W79">
            <v>0.9</v>
          </cell>
        </row>
        <row r="80">
          <cell r="A80" t="str">
            <v>AGRO SUDAMERICA1022996</v>
          </cell>
          <cell r="B80" t="str">
            <v>AGRO SUDAMERICA</v>
          </cell>
          <cell r="C80">
            <v>1022996</v>
          </cell>
          <cell r="D80">
            <v>6307</v>
          </cell>
          <cell r="H80" t="str">
            <v>AGRO SUDAMERICA1022813</v>
          </cell>
          <cell r="I80" t="str">
            <v>AGRO SUDAMERICA</v>
          </cell>
          <cell r="J80">
            <v>1022813</v>
          </cell>
          <cell r="K80">
            <v>0</v>
          </cell>
          <cell r="L80">
            <v>0</v>
          </cell>
          <cell r="M80">
            <v>900</v>
          </cell>
          <cell r="N80">
            <v>0</v>
          </cell>
          <cell r="O80">
            <v>0</v>
          </cell>
          <cell r="P80">
            <v>900</v>
          </cell>
          <cell r="Q80">
            <v>0</v>
          </cell>
          <cell r="R80">
            <v>0</v>
          </cell>
          <cell r="S80">
            <v>0.9</v>
          </cell>
          <cell r="T80">
            <v>0</v>
          </cell>
          <cell r="U80">
            <v>0</v>
          </cell>
          <cell r="V80">
            <v>0.18</v>
          </cell>
          <cell r="W80">
            <v>0.9</v>
          </cell>
        </row>
        <row r="81">
          <cell r="A81" t="str">
            <v>AGRO SUDAMERICA1021105</v>
          </cell>
          <cell r="B81" t="str">
            <v>AGRO SUDAMERICA</v>
          </cell>
          <cell r="C81">
            <v>1021105</v>
          </cell>
          <cell r="D81">
            <v>53211</v>
          </cell>
          <cell r="H81" t="str">
            <v>AGRO SUDAMERICA1022996</v>
          </cell>
          <cell r="I81" t="str">
            <v>AGRO SUDAMERICA</v>
          </cell>
          <cell r="J81">
            <v>1022996</v>
          </cell>
          <cell r="K81">
            <v>0</v>
          </cell>
          <cell r="L81">
            <v>0</v>
          </cell>
          <cell r="M81">
            <v>6307</v>
          </cell>
          <cell r="N81">
            <v>0</v>
          </cell>
          <cell r="O81">
            <v>0</v>
          </cell>
          <cell r="P81">
            <v>6307</v>
          </cell>
          <cell r="Q81">
            <v>0</v>
          </cell>
          <cell r="R81">
            <v>0</v>
          </cell>
          <cell r="S81">
            <v>0.97955335341683802</v>
          </cell>
          <cell r="T81">
            <v>0</v>
          </cell>
          <cell r="U81">
            <v>0</v>
          </cell>
          <cell r="V81">
            <v>0.19591067068336759</v>
          </cell>
          <cell r="W81">
            <v>0.97955335341683814</v>
          </cell>
        </row>
        <row r="82">
          <cell r="A82" t="str">
            <v>AGRO SUDAMERICA1022922</v>
          </cell>
          <cell r="B82" t="str">
            <v>AGRO SUDAMERICA</v>
          </cell>
          <cell r="C82">
            <v>1022922</v>
          </cell>
          <cell r="D82">
            <v>684</v>
          </cell>
          <cell r="H82" t="str">
            <v>AGRO SUDAMERICA1021105</v>
          </cell>
          <cell r="I82" t="str">
            <v>AGRO SUDAMERICA</v>
          </cell>
          <cell r="J82">
            <v>1021105</v>
          </cell>
          <cell r="K82">
            <v>0</v>
          </cell>
          <cell r="L82">
            <v>0</v>
          </cell>
          <cell r="M82">
            <v>5211</v>
          </cell>
          <cell r="N82">
            <v>24000</v>
          </cell>
          <cell r="O82">
            <v>24000</v>
          </cell>
          <cell r="P82">
            <v>53211</v>
          </cell>
          <cell r="Q82">
            <v>0</v>
          </cell>
          <cell r="R82">
            <v>0</v>
          </cell>
          <cell r="S82">
            <v>0.57983649971214701</v>
          </cell>
          <cell r="T82">
            <v>0.70254166666666695</v>
          </cell>
          <cell r="U82">
            <v>0.85</v>
          </cell>
          <cell r="V82">
            <v>0.42647563327576277</v>
          </cell>
          <cell r="W82">
            <v>0.75703384638514604</v>
          </cell>
        </row>
        <row r="83">
          <cell r="A83" t="str">
            <v>AGRO SUDAMERICA1022197</v>
          </cell>
          <cell r="B83" t="str">
            <v>AGRO SUDAMERICA</v>
          </cell>
          <cell r="C83">
            <v>1022197</v>
          </cell>
          <cell r="D83">
            <v>4698</v>
          </cell>
          <cell r="H83" t="str">
            <v>AGRO SUDAMERICA1022922</v>
          </cell>
          <cell r="I83" t="str">
            <v>AGRO SUDAMERICA</v>
          </cell>
          <cell r="J83">
            <v>1022922</v>
          </cell>
          <cell r="K83">
            <v>0</v>
          </cell>
          <cell r="L83">
            <v>0</v>
          </cell>
          <cell r="M83">
            <v>684</v>
          </cell>
          <cell r="N83">
            <v>0</v>
          </cell>
          <cell r="O83">
            <v>0</v>
          </cell>
          <cell r="P83">
            <v>684</v>
          </cell>
          <cell r="Q83">
            <v>0</v>
          </cell>
          <cell r="R83">
            <v>0</v>
          </cell>
          <cell r="S83">
            <v>1.4791994152046799</v>
          </cell>
          <cell r="T83">
            <v>0</v>
          </cell>
          <cell r="U83">
            <v>0</v>
          </cell>
          <cell r="V83">
            <v>0.295839883040936</v>
          </cell>
          <cell r="W83">
            <v>1.4791994152046799</v>
          </cell>
        </row>
        <row r="84">
          <cell r="A84" t="str">
            <v>AGRO SUDAMERICA1012556</v>
          </cell>
          <cell r="B84" t="str">
            <v>AGRO SUDAMERICA</v>
          </cell>
          <cell r="C84">
            <v>1012556</v>
          </cell>
          <cell r="D84">
            <v>148000</v>
          </cell>
          <cell r="H84" t="str">
            <v>AGRO SUDAMERICA1022197</v>
          </cell>
          <cell r="I84" t="str">
            <v>AGRO SUDAMERICA</v>
          </cell>
          <cell r="J84">
            <v>1022197</v>
          </cell>
          <cell r="K84">
            <v>0</v>
          </cell>
          <cell r="L84">
            <v>0</v>
          </cell>
          <cell r="M84">
            <v>4698</v>
          </cell>
          <cell r="N84">
            <v>0</v>
          </cell>
          <cell r="O84">
            <v>0</v>
          </cell>
          <cell r="P84">
            <v>4698</v>
          </cell>
          <cell r="Q84">
            <v>0</v>
          </cell>
          <cell r="R84">
            <v>0</v>
          </cell>
          <cell r="S84">
            <v>0.52987190293742004</v>
          </cell>
          <cell r="T84">
            <v>0</v>
          </cell>
          <cell r="U84">
            <v>0</v>
          </cell>
          <cell r="V84">
            <v>0.10597438058748401</v>
          </cell>
          <cell r="W84">
            <v>0.52987190293742004</v>
          </cell>
        </row>
        <row r="85">
          <cell r="A85" t="str">
            <v>AGRO SUDAMERICA1012778</v>
          </cell>
          <cell r="B85" t="str">
            <v>AGRO SUDAMERICA</v>
          </cell>
          <cell r="C85">
            <v>1012778</v>
          </cell>
          <cell r="D85">
            <v>17000</v>
          </cell>
          <cell r="H85" t="str">
            <v>AGRO SUDAMERICA1012556</v>
          </cell>
          <cell r="I85" t="str">
            <v>AGRO SUDAMERICA</v>
          </cell>
          <cell r="J85">
            <v>1012556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148000</v>
          </cell>
          <cell r="P85">
            <v>148000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1.1676406040816301</v>
          </cell>
          <cell r="V85">
            <v>0.23352812081632601</v>
          </cell>
          <cell r="W85">
            <v>1.1676406040816301</v>
          </cell>
        </row>
        <row r="86">
          <cell r="A86" t="str">
            <v>AGRO SUDAMERICA1022842</v>
          </cell>
          <cell r="B86" t="str">
            <v>AGRO SUDAMERICA</v>
          </cell>
          <cell r="C86">
            <v>1022842</v>
          </cell>
          <cell r="D86">
            <v>72000</v>
          </cell>
          <cell r="H86" t="str">
            <v>AGRO SUDAMERICA1012778</v>
          </cell>
          <cell r="I86" t="str">
            <v>AGRO SUDAMERICA</v>
          </cell>
          <cell r="J86">
            <v>1012778</v>
          </cell>
          <cell r="K86">
            <v>0</v>
          </cell>
          <cell r="L86">
            <v>0</v>
          </cell>
          <cell r="M86">
            <v>0</v>
          </cell>
          <cell r="N86">
            <v>17000</v>
          </cell>
          <cell r="O86">
            <v>0</v>
          </cell>
          <cell r="P86">
            <v>17000</v>
          </cell>
          <cell r="Q86">
            <v>0</v>
          </cell>
          <cell r="R86">
            <v>0</v>
          </cell>
          <cell r="S86">
            <v>0</v>
          </cell>
          <cell r="T86">
            <v>0.76630116829268302</v>
          </cell>
          <cell r="U86">
            <v>0</v>
          </cell>
          <cell r="V86">
            <v>0.15326023365853661</v>
          </cell>
          <cell r="W86">
            <v>0.76630116829268302</v>
          </cell>
        </row>
        <row r="87">
          <cell r="A87" t="str">
            <v>AGRO SUDAMERICA1022844</v>
          </cell>
          <cell r="B87" t="str">
            <v>AGRO SUDAMERICA</v>
          </cell>
          <cell r="C87">
            <v>1022844</v>
          </cell>
          <cell r="D87">
            <v>24000</v>
          </cell>
          <cell r="H87" t="str">
            <v>AGRO SUDAMERICA1022842</v>
          </cell>
          <cell r="I87" t="str">
            <v>AGRO SUDAMERICA</v>
          </cell>
          <cell r="J87">
            <v>1022842</v>
          </cell>
          <cell r="K87">
            <v>0</v>
          </cell>
          <cell r="L87">
            <v>0</v>
          </cell>
          <cell r="M87">
            <v>0</v>
          </cell>
          <cell r="N87">
            <v>24000</v>
          </cell>
          <cell r="O87">
            <v>48000</v>
          </cell>
          <cell r="P87">
            <v>72000</v>
          </cell>
          <cell r="Q87">
            <v>0</v>
          </cell>
          <cell r="R87">
            <v>0</v>
          </cell>
          <cell r="S87">
            <v>0</v>
          </cell>
          <cell r="T87">
            <v>2.5</v>
          </cell>
          <cell r="U87">
            <v>2.5750000000000002</v>
          </cell>
          <cell r="V87">
            <v>1.0150000000000001</v>
          </cell>
          <cell r="W87">
            <v>2.5499999999999998</v>
          </cell>
        </row>
        <row r="88">
          <cell r="A88" t="str">
            <v>AGRO SUDAMERICA1021111</v>
          </cell>
          <cell r="B88" t="str">
            <v>AGRO SUDAMERICA</v>
          </cell>
          <cell r="C88">
            <v>1021111</v>
          </cell>
          <cell r="D88">
            <v>9262</v>
          </cell>
          <cell r="H88" t="str">
            <v>AGRO SUDAMERICA1022844</v>
          </cell>
          <cell r="I88" t="str">
            <v>AGRO SUDAMERICA</v>
          </cell>
          <cell r="J88">
            <v>1022844</v>
          </cell>
          <cell r="K88">
            <v>0</v>
          </cell>
          <cell r="L88">
            <v>0</v>
          </cell>
          <cell r="M88">
            <v>0</v>
          </cell>
          <cell r="N88">
            <v>24000</v>
          </cell>
          <cell r="O88">
            <v>0</v>
          </cell>
          <cell r="P88">
            <v>24000</v>
          </cell>
          <cell r="Q88">
            <v>0</v>
          </cell>
          <cell r="R88">
            <v>0</v>
          </cell>
          <cell r="S88">
            <v>0</v>
          </cell>
          <cell r="T88">
            <v>1.9</v>
          </cell>
          <cell r="U88">
            <v>0</v>
          </cell>
          <cell r="V88">
            <v>0.38</v>
          </cell>
          <cell r="W88">
            <v>1.9</v>
          </cell>
        </row>
        <row r="89">
          <cell r="A89" t="str">
            <v>AGRO SUDAMERICA1021622</v>
          </cell>
          <cell r="B89" t="str">
            <v>AGRO SUDAMERICA</v>
          </cell>
          <cell r="C89">
            <v>1021622</v>
          </cell>
          <cell r="D89">
            <v>36000</v>
          </cell>
          <cell r="H89" t="str">
            <v>AGRO SUDAMERICA1021111</v>
          </cell>
          <cell r="I89" t="str">
            <v>AGRO SUDAMERICA</v>
          </cell>
          <cell r="J89">
            <v>1021111</v>
          </cell>
          <cell r="K89">
            <v>0</v>
          </cell>
          <cell r="L89">
            <v>0</v>
          </cell>
          <cell r="M89">
            <v>3262</v>
          </cell>
          <cell r="N89">
            <v>0</v>
          </cell>
          <cell r="O89">
            <v>6000</v>
          </cell>
          <cell r="P89">
            <v>9262</v>
          </cell>
          <cell r="Q89">
            <v>0</v>
          </cell>
          <cell r="R89">
            <v>0</v>
          </cell>
          <cell r="S89">
            <v>1.35</v>
          </cell>
          <cell r="T89">
            <v>0</v>
          </cell>
          <cell r="U89">
            <v>1.3</v>
          </cell>
          <cell r="V89">
            <v>0.53</v>
          </cell>
          <cell r="W89">
            <v>1.3176095875620817</v>
          </cell>
        </row>
        <row r="90">
          <cell r="A90" t="str">
            <v>AGRO SUDAMERICA1011105</v>
          </cell>
          <cell r="B90" t="str">
            <v>AGRO SUDAMERICA</v>
          </cell>
          <cell r="C90">
            <v>1011105</v>
          </cell>
          <cell r="D90">
            <v>20000</v>
          </cell>
          <cell r="H90" t="str">
            <v>AGRO SUDAMERICA1021622</v>
          </cell>
          <cell r="I90" t="str">
            <v>AGRO SUDAMERICA</v>
          </cell>
          <cell r="J90">
            <v>1021622</v>
          </cell>
          <cell r="K90">
            <v>0</v>
          </cell>
          <cell r="L90">
            <v>0</v>
          </cell>
          <cell r="M90">
            <v>0</v>
          </cell>
          <cell r="N90">
            <v>12000</v>
          </cell>
          <cell r="O90">
            <v>24000</v>
          </cell>
          <cell r="P90">
            <v>36000</v>
          </cell>
          <cell r="Q90">
            <v>0</v>
          </cell>
          <cell r="R90">
            <v>0</v>
          </cell>
          <cell r="S90">
            <v>0</v>
          </cell>
          <cell r="T90">
            <v>6.2136666666666702</v>
          </cell>
          <cell r="U90">
            <v>6.5</v>
          </cell>
          <cell r="V90">
            <v>2.542733333333334</v>
          </cell>
          <cell r="W90">
            <v>6.4045555555555573</v>
          </cell>
        </row>
        <row r="91">
          <cell r="A91" t="str">
            <v>AGRO SUDAMERICA1021864</v>
          </cell>
          <cell r="B91" t="str">
            <v>AGRO SUDAMERICA</v>
          </cell>
          <cell r="C91">
            <v>1021864</v>
          </cell>
          <cell r="D91">
            <v>21961</v>
          </cell>
          <cell r="H91" t="str">
            <v>AGRO SUDAMERICA1011105</v>
          </cell>
          <cell r="I91" t="str">
            <v>AGRO SUDAMERICA</v>
          </cell>
          <cell r="J91">
            <v>1011105</v>
          </cell>
          <cell r="K91">
            <v>0</v>
          </cell>
          <cell r="L91">
            <v>0</v>
          </cell>
          <cell r="M91">
            <v>0</v>
          </cell>
          <cell r="N91">
            <v>6000</v>
          </cell>
          <cell r="O91">
            <v>14000</v>
          </cell>
          <cell r="P91">
            <v>20000</v>
          </cell>
          <cell r="Q91">
            <v>0</v>
          </cell>
          <cell r="R91">
            <v>0</v>
          </cell>
          <cell r="S91">
            <v>0</v>
          </cell>
          <cell r="T91">
            <v>2.9161049000000001</v>
          </cell>
          <cell r="U91">
            <v>2.8</v>
          </cell>
          <cell r="V91">
            <v>1.1432209799999999</v>
          </cell>
          <cell r="W91">
            <v>2.8348314700000001</v>
          </cell>
        </row>
        <row r="92">
          <cell r="A92" t="str">
            <v>AGRO SUDAMERICA1011258</v>
          </cell>
          <cell r="B92" t="str">
            <v>AGRO SUDAMERICA</v>
          </cell>
          <cell r="C92">
            <v>1011258</v>
          </cell>
          <cell r="D92">
            <v>2120</v>
          </cell>
          <cell r="H92" t="str">
            <v>AGRO SUDAMERICA1021864</v>
          </cell>
          <cell r="I92" t="str">
            <v>AGRO SUDAMERICA</v>
          </cell>
          <cell r="J92">
            <v>1021864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21961</v>
          </cell>
          <cell r="P92">
            <v>21961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0.60416666818450904</v>
          </cell>
          <cell r="V92">
            <v>0.12083333363690181</v>
          </cell>
          <cell r="W92">
            <v>0.60416666818450904</v>
          </cell>
        </row>
        <row r="93">
          <cell r="A93" t="str">
            <v>AGRO SUDAMERICA1030817</v>
          </cell>
          <cell r="B93" t="str">
            <v>AGRO SUDAMERICA</v>
          </cell>
          <cell r="C93">
            <v>1030817</v>
          </cell>
          <cell r="D93">
            <v>86000</v>
          </cell>
          <cell r="H93" t="str">
            <v>AGRO SUDAMERICA1011258</v>
          </cell>
          <cell r="I93" t="str">
            <v>AGRO SUDAMERICA</v>
          </cell>
          <cell r="J93">
            <v>1011258</v>
          </cell>
          <cell r="K93">
            <v>0</v>
          </cell>
          <cell r="L93">
            <v>0</v>
          </cell>
          <cell r="M93">
            <v>0</v>
          </cell>
          <cell r="N93">
            <v>2120</v>
          </cell>
          <cell r="O93">
            <v>0</v>
          </cell>
          <cell r="P93">
            <v>2120</v>
          </cell>
          <cell r="Q93">
            <v>0</v>
          </cell>
          <cell r="R93">
            <v>0</v>
          </cell>
          <cell r="S93">
            <v>0</v>
          </cell>
          <cell r="T93">
            <v>0.65</v>
          </cell>
          <cell r="U93">
            <v>0</v>
          </cell>
          <cell r="V93">
            <v>0.13</v>
          </cell>
          <cell r="W93">
            <v>0.65</v>
          </cell>
        </row>
        <row r="94">
          <cell r="A94" t="str">
            <v>AGRO SUDAMERICA1030545</v>
          </cell>
          <cell r="B94" t="str">
            <v>AGRO SUDAMERICA</v>
          </cell>
          <cell r="C94">
            <v>1030545</v>
          </cell>
          <cell r="D94">
            <v>24000</v>
          </cell>
          <cell r="H94" t="str">
            <v>AGRO SUDAMERICA1030817</v>
          </cell>
          <cell r="I94" t="str">
            <v>AGRO SUDAMERICA</v>
          </cell>
          <cell r="J94">
            <v>1030817</v>
          </cell>
          <cell r="K94">
            <v>0</v>
          </cell>
          <cell r="L94">
            <v>0</v>
          </cell>
          <cell r="M94">
            <v>0</v>
          </cell>
          <cell r="N94">
            <v>38000</v>
          </cell>
          <cell r="O94">
            <v>48000</v>
          </cell>
          <cell r="P94">
            <v>86000</v>
          </cell>
          <cell r="Q94">
            <v>0</v>
          </cell>
          <cell r="R94">
            <v>0</v>
          </cell>
          <cell r="S94">
            <v>0</v>
          </cell>
          <cell r="T94">
            <v>2.2672364337209299</v>
          </cell>
          <cell r="U94">
            <v>2.2799999999999998</v>
          </cell>
          <cell r="V94">
            <v>0.90944728674418585</v>
          </cell>
          <cell r="W94">
            <v>2.2743602846673876</v>
          </cell>
        </row>
        <row r="95">
          <cell r="A95" t="str">
            <v>AGRO SUDAMERICA1021279</v>
          </cell>
          <cell r="B95" t="str">
            <v>AGRO SUDAMERICA</v>
          </cell>
          <cell r="C95">
            <v>1021279</v>
          </cell>
          <cell r="D95">
            <v>24000</v>
          </cell>
          <cell r="H95" t="str">
            <v>AGRO SUDAMERICA1030545</v>
          </cell>
          <cell r="I95" t="str">
            <v>AGRO SUDAMERICA</v>
          </cell>
          <cell r="J95">
            <v>1030545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24000</v>
          </cell>
          <cell r="P95">
            <v>24000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4.5999999999999996</v>
          </cell>
          <cell r="V95">
            <v>0.91999999999999993</v>
          </cell>
          <cell r="W95">
            <v>4.5999999999999996</v>
          </cell>
        </row>
        <row r="96">
          <cell r="A96" t="str">
            <v>AGRO SUDAMERICA1011042</v>
          </cell>
          <cell r="B96" t="str">
            <v>AGRO SUDAMERICA</v>
          </cell>
          <cell r="C96">
            <v>1011042</v>
          </cell>
          <cell r="D96">
            <v>55410</v>
          </cell>
          <cell r="H96" t="str">
            <v>AGRO SUDAMERICA1021279</v>
          </cell>
          <cell r="I96" t="str">
            <v>AGRO SUDAMERICA</v>
          </cell>
          <cell r="J96">
            <v>1021279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24000</v>
          </cell>
          <cell r="P96">
            <v>24000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1.8</v>
          </cell>
          <cell r="V96">
            <v>0.36</v>
          </cell>
          <cell r="W96">
            <v>1.8</v>
          </cell>
        </row>
        <row r="97">
          <cell r="A97" t="str">
            <v>AGRO SUDAMERICA1022883</v>
          </cell>
          <cell r="B97" t="str">
            <v>AGRO SUDAMERICA</v>
          </cell>
          <cell r="C97">
            <v>1022883</v>
          </cell>
          <cell r="D97">
            <v>10000</v>
          </cell>
          <cell r="H97" t="str">
            <v>AGRO SUDAMERICA1011042</v>
          </cell>
          <cell r="I97" t="str">
            <v>AGRO SUDAMERICA</v>
          </cell>
          <cell r="J97">
            <v>1011042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55410</v>
          </cell>
          <cell r="P97">
            <v>55410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0.68</v>
          </cell>
          <cell r="V97">
            <v>0.13600000000000001</v>
          </cell>
          <cell r="W97">
            <v>0.68</v>
          </cell>
        </row>
        <row r="98">
          <cell r="A98" t="str">
            <v>AGROSUPER ASIA1012012</v>
          </cell>
          <cell r="B98" t="str">
            <v>AGROSUPER ASIA</v>
          </cell>
          <cell r="C98">
            <v>1012012</v>
          </cell>
          <cell r="D98">
            <v>37000</v>
          </cell>
          <cell r="H98" t="str">
            <v>AGRO SUDAMERICA1022883</v>
          </cell>
          <cell r="I98" t="str">
            <v>AGRO SUDAMERICA</v>
          </cell>
          <cell r="J98">
            <v>1022883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10000</v>
          </cell>
          <cell r="P98">
            <v>10000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6.5</v>
          </cell>
          <cell r="V98">
            <v>1.3</v>
          </cell>
          <cell r="W98">
            <v>6.5</v>
          </cell>
        </row>
        <row r="99">
          <cell r="A99" t="str">
            <v>AGROSUPER ASIA1012612</v>
          </cell>
          <cell r="B99" t="str">
            <v>AGROSUPER ASIA</v>
          </cell>
          <cell r="C99">
            <v>1012612</v>
          </cell>
          <cell r="D99">
            <v>1100000</v>
          </cell>
          <cell r="H99" t="str">
            <v>AGROSUPER ASIA1012012</v>
          </cell>
          <cell r="I99" t="str">
            <v>AGROSUPER ASIA</v>
          </cell>
          <cell r="J99">
            <v>1012012</v>
          </cell>
          <cell r="K99">
            <v>0</v>
          </cell>
          <cell r="L99">
            <v>0</v>
          </cell>
          <cell r="M99">
            <v>0</v>
          </cell>
          <cell r="N99">
            <v>17000</v>
          </cell>
          <cell r="O99">
            <v>20000</v>
          </cell>
          <cell r="P99">
            <v>37000</v>
          </cell>
          <cell r="Q99">
            <v>0</v>
          </cell>
          <cell r="R99">
            <v>0</v>
          </cell>
          <cell r="S99">
            <v>0</v>
          </cell>
          <cell r="T99">
            <v>6.6</v>
          </cell>
          <cell r="U99">
            <v>6.45</v>
          </cell>
          <cell r="V99">
            <v>2.6100000000000003</v>
          </cell>
          <cell r="W99">
            <v>6.5189189189189189</v>
          </cell>
        </row>
        <row r="100">
          <cell r="A100" t="str">
            <v>AGROSUPER ASIA1020860</v>
          </cell>
          <cell r="B100" t="str">
            <v>AGROSUPER ASIA</v>
          </cell>
          <cell r="C100">
            <v>1020860</v>
          </cell>
          <cell r="D100">
            <v>66000</v>
          </cell>
          <cell r="H100" t="str">
            <v>AGROSUPER ASIA1012612</v>
          </cell>
          <cell r="I100" t="str">
            <v>AGROSUPER ASIA</v>
          </cell>
          <cell r="J100">
            <v>1012612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1100000</v>
          </cell>
          <cell r="P100">
            <v>1100000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1.2275710285714301</v>
          </cell>
          <cell r="V100">
            <v>0.245514205714286</v>
          </cell>
          <cell r="W100">
            <v>1.2275710285714301</v>
          </cell>
        </row>
        <row r="101">
          <cell r="A101" t="str">
            <v>AGROSUPER ASIA1020861</v>
          </cell>
          <cell r="B101" t="str">
            <v>AGROSUPER ASIA</v>
          </cell>
          <cell r="C101">
            <v>1020861</v>
          </cell>
          <cell r="D101">
            <v>100000</v>
          </cell>
          <cell r="H101" t="str">
            <v>AGROSUPER ASIA1020860</v>
          </cell>
          <cell r="I101" t="str">
            <v>AGROSUPER ASIA</v>
          </cell>
          <cell r="J101">
            <v>1020860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66000</v>
          </cell>
          <cell r="P101">
            <v>66000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4.1875</v>
          </cell>
          <cell r="V101">
            <v>0.83750000000000002</v>
          </cell>
          <cell r="W101">
            <v>4.1875</v>
          </cell>
        </row>
        <row r="102">
          <cell r="A102" t="str">
            <v>AGROSUPER ASIA1020904</v>
          </cell>
          <cell r="B102" t="str">
            <v>AGROSUPER ASIA</v>
          </cell>
          <cell r="C102">
            <v>1020904</v>
          </cell>
          <cell r="D102">
            <v>66000</v>
          </cell>
          <cell r="H102" t="str">
            <v>AGROSUPER ASIA1020861</v>
          </cell>
          <cell r="I102" t="str">
            <v>AGROSUPER ASIA</v>
          </cell>
          <cell r="J102">
            <v>1020861</v>
          </cell>
          <cell r="K102">
            <v>0</v>
          </cell>
          <cell r="L102">
            <v>0</v>
          </cell>
          <cell r="M102">
            <v>0</v>
          </cell>
          <cell r="N102">
            <v>12000</v>
          </cell>
          <cell r="O102">
            <v>88000</v>
          </cell>
          <cell r="P102">
            <v>100000</v>
          </cell>
          <cell r="Q102">
            <v>0</v>
          </cell>
          <cell r="R102">
            <v>0</v>
          </cell>
          <cell r="S102">
            <v>0</v>
          </cell>
          <cell r="T102">
            <v>4.2079216867469897</v>
          </cell>
          <cell r="U102">
            <v>4.1875</v>
          </cell>
          <cell r="V102">
            <v>1.6790843373493978</v>
          </cell>
          <cell r="W102">
            <v>4.1899506024096391</v>
          </cell>
        </row>
        <row r="103">
          <cell r="A103" t="str">
            <v>AGROSUPER ASIA1020905</v>
          </cell>
          <cell r="B103" t="str">
            <v>AGROSUPER ASIA</v>
          </cell>
          <cell r="C103">
            <v>1020905</v>
          </cell>
          <cell r="D103">
            <v>22000</v>
          </cell>
          <cell r="H103" t="str">
            <v>AGROSUPER ASIA1020904</v>
          </cell>
          <cell r="I103" t="str">
            <v>AGROSUPER ASIA</v>
          </cell>
          <cell r="J103">
            <v>1020904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66000</v>
          </cell>
          <cell r="P103">
            <v>66000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6</v>
          </cell>
          <cell r="V103">
            <v>1.2</v>
          </cell>
          <cell r="W103">
            <v>6</v>
          </cell>
        </row>
        <row r="104">
          <cell r="A104" t="str">
            <v>AGROSUPER ASIA1021149</v>
          </cell>
          <cell r="B104" t="str">
            <v>AGROSUPER ASIA</v>
          </cell>
          <cell r="C104">
            <v>1021149</v>
          </cell>
          <cell r="D104">
            <v>22000</v>
          </cell>
          <cell r="H104" t="str">
            <v>AGROSUPER ASIA1020905</v>
          </cell>
          <cell r="I104" t="str">
            <v>AGROSUPER ASIA</v>
          </cell>
          <cell r="J104">
            <v>1020905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22000</v>
          </cell>
          <cell r="P104">
            <v>22000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6</v>
          </cell>
          <cell r="V104">
            <v>1.2</v>
          </cell>
          <cell r="W104">
            <v>6</v>
          </cell>
        </row>
        <row r="105">
          <cell r="A105" t="str">
            <v>AGROSUPER ASIA1021150</v>
          </cell>
          <cell r="B105" t="str">
            <v>AGROSUPER ASIA</v>
          </cell>
          <cell r="C105">
            <v>1021150</v>
          </cell>
          <cell r="D105">
            <v>66000</v>
          </cell>
          <cell r="H105" t="str">
            <v>AGROSUPER ASIA1021149</v>
          </cell>
          <cell r="I105" t="str">
            <v>AGROSUPER ASIA</v>
          </cell>
          <cell r="J105">
            <v>1021149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22000</v>
          </cell>
          <cell r="P105">
            <v>22000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0.77812499999999996</v>
          </cell>
          <cell r="V105">
            <v>0.15562499999999999</v>
          </cell>
          <cell r="W105">
            <v>0.77812499999999996</v>
          </cell>
        </row>
        <row r="106">
          <cell r="A106" t="str">
            <v>AGROSUPER ASIA1021156</v>
          </cell>
          <cell r="B106" t="str">
            <v>AGROSUPER ASIA</v>
          </cell>
          <cell r="C106">
            <v>1021156</v>
          </cell>
          <cell r="D106">
            <v>24000</v>
          </cell>
          <cell r="H106" t="str">
            <v>AGROSUPER ASIA1021150</v>
          </cell>
          <cell r="I106" t="str">
            <v>AGROSUPER ASIA</v>
          </cell>
          <cell r="J106">
            <v>1021150</v>
          </cell>
          <cell r="K106">
            <v>0</v>
          </cell>
          <cell r="L106">
            <v>0</v>
          </cell>
          <cell r="M106">
            <v>0</v>
          </cell>
          <cell r="N106">
            <v>22000</v>
          </cell>
          <cell r="O106">
            <v>44000</v>
          </cell>
          <cell r="P106">
            <v>66000</v>
          </cell>
          <cell r="Q106">
            <v>0</v>
          </cell>
          <cell r="R106">
            <v>0</v>
          </cell>
          <cell r="S106">
            <v>0</v>
          </cell>
          <cell r="T106">
            <v>0.75059090909090898</v>
          </cell>
          <cell r="U106">
            <v>0.9</v>
          </cell>
          <cell r="V106">
            <v>0.33011818181818181</v>
          </cell>
          <cell r="W106">
            <v>0.85019696969696967</v>
          </cell>
        </row>
        <row r="107">
          <cell r="A107" t="str">
            <v>AGROSUPER ASIA1021655</v>
          </cell>
          <cell r="B107" t="str">
            <v>AGROSUPER ASIA</v>
          </cell>
          <cell r="C107">
            <v>1021655</v>
          </cell>
          <cell r="D107">
            <v>24000</v>
          </cell>
          <cell r="H107" t="str">
            <v>AGROSUPER ASIA1021156</v>
          </cell>
          <cell r="I107" t="str">
            <v>AGROSUPER ASIA</v>
          </cell>
          <cell r="J107">
            <v>1021156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24000</v>
          </cell>
          <cell r="P107">
            <v>24000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2.9</v>
          </cell>
          <cell r="V107">
            <v>0.57999999999999996</v>
          </cell>
          <cell r="W107">
            <v>2.9</v>
          </cell>
        </row>
        <row r="108">
          <cell r="A108" t="str">
            <v>AGROSUPER ASIA1021664</v>
          </cell>
          <cell r="B108" t="str">
            <v>AGROSUPER ASIA</v>
          </cell>
          <cell r="C108">
            <v>1021664</v>
          </cell>
          <cell r="D108">
            <v>39000</v>
          </cell>
          <cell r="H108" t="str">
            <v>AGROSUPER ASIA1021655</v>
          </cell>
          <cell r="I108" t="str">
            <v>AGROSUPER ASIA</v>
          </cell>
          <cell r="J108">
            <v>1021655</v>
          </cell>
          <cell r="K108">
            <v>0</v>
          </cell>
          <cell r="L108">
            <v>24000</v>
          </cell>
          <cell r="M108">
            <v>0</v>
          </cell>
          <cell r="N108">
            <v>0</v>
          </cell>
          <cell r="O108">
            <v>0</v>
          </cell>
          <cell r="P108">
            <v>24000</v>
          </cell>
          <cell r="Q108">
            <v>0</v>
          </cell>
          <cell r="R108">
            <v>1.86455041666667</v>
          </cell>
          <cell r="S108">
            <v>0</v>
          </cell>
          <cell r="T108">
            <v>0</v>
          </cell>
          <cell r="U108">
            <v>0</v>
          </cell>
          <cell r="V108">
            <v>0.37291008333333397</v>
          </cell>
          <cell r="W108">
            <v>1.86455041666667</v>
          </cell>
        </row>
        <row r="109">
          <cell r="A109" t="str">
            <v>AGROSUPER ASIA1022283</v>
          </cell>
          <cell r="B109" t="str">
            <v>AGROSUPER ASIA</v>
          </cell>
          <cell r="C109">
            <v>1022283</v>
          </cell>
          <cell r="D109">
            <v>5000</v>
          </cell>
          <cell r="H109" t="str">
            <v>AGROSUPER ASIA1021664</v>
          </cell>
          <cell r="I109" t="str">
            <v>AGROSUPER ASIA</v>
          </cell>
          <cell r="J109">
            <v>1021664</v>
          </cell>
          <cell r="K109">
            <v>0</v>
          </cell>
          <cell r="L109">
            <v>0</v>
          </cell>
          <cell r="M109">
            <v>0</v>
          </cell>
          <cell r="N109">
            <v>39000</v>
          </cell>
          <cell r="O109">
            <v>0</v>
          </cell>
          <cell r="P109">
            <v>39000</v>
          </cell>
          <cell r="Q109">
            <v>0</v>
          </cell>
          <cell r="R109">
            <v>0</v>
          </cell>
          <cell r="S109">
            <v>0</v>
          </cell>
          <cell r="T109">
            <v>5.7157179487179501</v>
          </cell>
          <cell r="U109">
            <v>0</v>
          </cell>
          <cell r="V109">
            <v>1.14314358974359</v>
          </cell>
          <cell r="W109">
            <v>5.7157179487179501</v>
          </cell>
        </row>
        <row r="110">
          <cell r="A110" t="str">
            <v>AGROSUPER ASIA1022607</v>
          </cell>
          <cell r="B110" t="str">
            <v>AGROSUPER ASIA</v>
          </cell>
          <cell r="C110">
            <v>1022607</v>
          </cell>
          <cell r="D110">
            <v>22000</v>
          </cell>
          <cell r="H110" t="str">
            <v>AGROSUPER ASIA1022283</v>
          </cell>
          <cell r="I110" t="str">
            <v>AGROSUPER ASIA</v>
          </cell>
          <cell r="J110">
            <v>1022283</v>
          </cell>
          <cell r="K110">
            <v>0</v>
          </cell>
          <cell r="L110">
            <v>0</v>
          </cell>
          <cell r="M110">
            <v>0</v>
          </cell>
          <cell r="N110">
            <v>5000</v>
          </cell>
          <cell r="O110">
            <v>0</v>
          </cell>
          <cell r="P110">
            <v>5000</v>
          </cell>
          <cell r="Q110">
            <v>0</v>
          </cell>
          <cell r="R110">
            <v>0</v>
          </cell>
          <cell r="S110">
            <v>0</v>
          </cell>
          <cell r="T110">
            <v>6.5</v>
          </cell>
          <cell r="U110">
            <v>0</v>
          </cell>
          <cell r="V110">
            <v>1.3</v>
          </cell>
          <cell r="W110">
            <v>6.5</v>
          </cell>
        </row>
        <row r="111">
          <cell r="A111" t="str">
            <v>AGROSUPER ASIA1022885</v>
          </cell>
          <cell r="B111" t="str">
            <v>AGROSUPER ASIA</v>
          </cell>
          <cell r="C111">
            <v>1022885</v>
          </cell>
          <cell r="D111">
            <v>154000</v>
          </cell>
          <cell r="H111" t="str">
            <v>AGROSUPER ASIA1022607</v>
          </cell>
          <cell r="I111" t="str">
            <v>AGROSUPER ASIA</v>
          </cell>
          <cell r="J111">
            <v>1022607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22000</v>
          </cell>
          <cell r="P111">
            <v>22000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5.5</v>
          </cell>
          <cell r="V111">
            <v>1.1000000000000001</v>
          </cell>
          <cell r="W111">
            <v>5.5</v>
          </cell>
        </row>
        <row r="112">
          <cell r="A112" t="str">
            <v>AGROSUPER ASIA1022887</v>
          </cell>
          <cell r="B112" t="str">
            <v>AGROSUPER ASIA</v>
          </cell>
          <cell r="C112">
            <v>1022887</v>
          </cell>
          <cell r="D112">
            <v>110000</v>
          </cell>
          <cell r="H112" t="str">
            <v>AGROSUPER ASIA1022885</v>
          </cell>
          <cell r="I112" t="str">
            <v>AGROSUPER ASIA</v>
          </cell>
          <cell r="J112">
            <v>1022885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154000</v>
          </cell>
          <cell r="P112">
            <v>154000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6.0501548672566399</v>
          </cell>
          <cell r="V112">
            <v>1.2100309734513279</v>
          </cell>
          <cell r="W112">
            <v>6.0501548672566399</v>
          </cell>
        </row>
        <row r="113">
          <cell r="A113" t="str">
            <v>AGROSUPER ASIA1022930</v>
          </cell>
          <cell r="B113" t="str">
            <v>AGROSUPER ASIA</v>
          </cell>
          <cell r="C113">
            <v>1022930</v>
          </cell>
          <cell r="D113">
            <v>176000</v>
          </cell>
          <cell r="H113" t="str">
            <v>AGROSUPER ASIA1022887</v>
          </cell>
          <cell r="I113" t="str">
            <v>AGROSUPER ASIA</v>
          </cell>
          <cell r="J113">
            <v>1022887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110000</v>
          </cell>
          <cell r="P113">
            <v>110000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6.05104166666667</v>
          </cell>
          <cell r="V113">
            <v>1.210208333333334</v>
          </cell>
          <cell r="W113">
            <v>6.05104166666667</v>
          </cell>
        </row>
        <row r="114">
          <cell r="A114" t="str">
            <v>AGROSUPER ASIA1022985</v>
          </cell>
          <cell r="B114" t="str">
            <v>AGROSUPER ASIA</v>
          </cell>
          <cell r="C114">
            <v>1022985</v>
          </cell>
          <cell r="D114">
            <v>5000</v>
          </cell>
          <cell r="H114" t="str">
            <v>AGROSUPER ASIA1022930</v>
          </cell>
          <cell r="I114" t="str">
            <v>AGROSUPER ASIA</v>
          </cell>
          <cell r="J114">
            <v>1022930</v>
          </cell>
          <cell r="K114">
            <v>0</v>
          </cell>
          <cell r="L114">
            <v>0</v>
          </cell>
          <cell r="M114">
            <v>0</v>
          </cell>
          <cell r="N114">
            <v>44000</v>
          </cell>
          <cell r="O114">
            <v>132000</v>
          </cell>
          <cell r="P114">
            <v>176000</v>
          </cell>
          <cell r="Q114">
            <v>0</v>
          </cell>
          <cell r="R114">
            <v>0</v>
          </cell>
          <cell r="S114">
            <v>0</v>
          </cell>
          <cell r="T114">
            <v>6.2374999999999998</v>
          </cell>
          <cell r="U114">
            <v>6.3303571428571397</v>
          </cell>
          <cell r="V114">
            <v>2.5135714285714279</v>
          </cell>
          <cell r="W114">
            <v>6.3071428571428552</v>
          </cell>
        </row>
        <row r="115">
          <cell r="A115" t="str">
            <v>AGROSUPER ASIA1022986</v>
          </cell>
          <cell r="B115" t="str">
            <v>AGROSUPER ASIA</v>
          </cell>
          <cell r="C115">
            <v>1022986</v>
          </cell>
          <cell r="D115">
            <v>5000</v>
          </cell>
          <cell r="H115" t="str">
            <v>AGROSUPER ASIA1022985</v>
          </cell>
          <cell r="I115" t="str">
            <v>AGROSUPER ASIA</v>
          </cell>
          <cell r="J115">
            <v>1022985</v>
          </cell>
          <cell r="K115">
            <v>0</v>
          </cell>
          <cell r="L115">
            <v>0</v>
          </cell>
          <cell r="M115">
            <v>0</v>
          </cell>
          <cell r="N115">
            <v>5000</v>
          </cell>
          <cell r="O115">
            <v>0</v>
          </cell>
          <cell r="P115">
            <v>5000</v>
          </cell>
          <cell r="Q115">
            <v>0</v>
          </cell>
          <cell r="R115">
            <v>0</v>
          </cell>
          <cell r="S115">
            <v>0</v>
          </cell>
          <cell r="T115">
            <v>4.3499999999999996</v>
          </cell>
          <cell r="U115">
            <v>0</v>
          </cell>
          <cell r="V115">
            <v>0.86999999999999988</v>
          </cell>
          <cell r="W115">
            <v>4.3499999999999996</v>
          </cell>
        </row>
        <row r="116">
          <cell r="A116" t="str">
            <v>AGROSUPER ASIA1023037</v>
          </cell>
          <cell r="B116" t="str">
            <v>AGROSUPER ASIA</v>
          </cell>
          <cell r="C116">
            <v>1023037</v>
          </cell>
          <cell r="D116">
            <v>11000</v>
          </cell>
          <cell r="H116" t="str">
            <v>AGROSUPER ASIA1022986</v>
          </cell>
          <cell r="I116" t="str">
            <v>AGROSUPER ASIA</v>
          </cell>
          <cell r="J116">
            <v>1022986</v>
          </cell>
          <cell r="K116">
            <v>0</v>
          </cell>
          <cell r="L116">
            <v>0</v>
          </cell>
          <cell r="M116">
            <v>0</v>
          </cell>
          <cell r="N116">
            <v>5000</v>
          </cell>
          <cell r="O116">
            <v>0</v>
          </cell>
          <cell r="P116">
            <v>5000</v>
          </cell>
          <cell r="Q116">
            <v>0</v>
          </cell>
          <cell r="R116">
            <v>0</v>
          </cell>
          <cell r="S116">
            <v>0</v>
          </cell>
          <cell r="T116">
            <v>6.2</v>
          </cell>
          <cell r="U116">
            <v>0</v>
          </cell>
          <cell r="V116">
            <v>1.24</v>
          </cell>
          <cell r="W116">
            <v>6.2</v>
          </cell>
        </row>
        <row r="117">
          <cell r="A117" t="str">
            <v>AGROSUPER ASIA1023038</v>
          </cell>
          <cell r="B117" t="str">
            <v>AGROSUPER ASIA</v>
          </cell>
          <cell r="C117">
            <v>1023038</v>
          </cell>
          <cell r="D117">
            <v>55000</v>
          </cell>
          <cell r="H117" t="str">
            <v>AGROSUPER ASIA1023037</v>
          </cell>
          <cell r="I117" t="str">
            <v>AGROSUPER ASIA</v>
          </cell>
          <cell r="J117">
            <v>1023037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11000</v>
          </cell>
          <cell r="P117">
            <v>11000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6.2682692307692296</v>
          </cell>
          <cell r="V117">
            <v>1.253653846153846</v>
          </cell>
          <cell r="W117">
            <v>6.2682692307692305</v>
          </cell>
        </row>
        <row r="118">
          <cell r="A118" t="str">
            <v>AGROSUPER ASIA1023090</v>
          </cell>
          <cell r="B118" t="str">
            <v>AGROSUPER ASIA</v>
          </cell>
          <cell r="C118">
            <v>1023090</v>
          </cell>
          <cell r="D118">
            <v>22000</v>
          </cell>
          <cell r="H118" t="str">
            <v>AGROSUPER ASIA1023038</v>
          </cell>
          <cell r="I118" t="str">
            <v>AGROSUPER ASIA</v>
          </cell>
          <cell r="J118">
            <v>1023038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55000</v>
          </cell>
          <cell r="P118">
            <v>55000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4.4443181818181801</v>
          </cell>
          <cell r="V118">
            <v>0.88886363636363597</v>
          </cell>
          <cell r="W118">
            <v>4.4443181818181801</v>
          </cell>
        </row>
        <row r="119">
          <cell r="A119" t="str">
            <v>AGROSUPER ASIA1023144</v>
          </cell>
          <cell r="B119" t="str">
            <v>AGROSUPER ASIA</v>
          </cell>
          <cell r="C119">
            <v>1023144</v>
          </cell>
          <cell r="D119">
            <v>96000</v>
          </cell>
          <cell r="H119" t="str">
            <v>AGROSUPER ASIA1023090</v>
          </cell>
          <cell r="I119" t="str">
            <v>AGROSUPER ASIA</v>
          </cell>
          <cell r="J119">
            <v>1023090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22000</v>
          </cell>
          <cell r="P119">
            <v>22000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6.5</v>
          </cell>
          <cell r="V119">
            <v>1.3</v>
          </cell>
          <cell r="W119">
            <v>6.5</v>
          </cell>
        </row>
        <row r="120">
          <cell r="A120" t="str">
            <v>AGROSUPER ASIA1023283</v>
          </cell>
          <cell r="B120" t="str">
            <v>AGROSUPER ASIA</v>
          </cell>
          <cell r="C120">
            <v>1023283</v>
          </cell>
          <cell r="D120">
            <v>96000</v>
          </cell>
          <cell r="H120" t="str">
            <v>AGROSUPER ASIA1023144</v>
          </cell>
          <cell r="I120" t="str">
            <v>AGROSUPER ASIA</v>
          </cell>
          <cell r="J120">
            <v>1023144</v>
          </cell>
          <cell r="K120">
            <v>0</v>
          </cell>
          <cell r="L120">
            <v>0</v>
          </cell>
          <cell r="M120">
            <v>24000</v>
          </cell>
          <cell r="N120">
            <v>24000</v>
          </cell>
          <cell r="O120">
            <v>48000</v>
          </cell>
          <cell r="P120">
            <v>96000</v>
          </cell>
          <cell r="Q120">
            <v>0</v>
          </cell>
          <cell r="R120">
            <v>0</v>
          </cell>
          <cell r="S120">
            <v>2.0696433333333299</v>
          </cell>
          <cell r="T120">
            <v>2.0946433333333299</v>
          </cell>
          <cell r="U120">
            <v>2.2999999999999998</v>
          </cell>
          <cell r="V120">
            <v>1.292857333333332</v>
          </cell>
          <cell r="W120">
            <v>2.191071666666665</v>
          </cell>
        </row>
        <row r="121">
          <cell r="A121" t="str">
            <v>AGROSUPER ASIA1023307</v>
          </cell>
          <cell r="B121" t="str">
            <v>AGROSUPER ASIA</v>
          </cell>
          <cell r="C121">
            <v>1023307</v>
          </cell>
          <cell r="D121">
            <v>48000</v>
          </cell>
          <cell r="H121" t="str">
            <v>AGROSUPER ASIA1023283</v>
          </cell>
          <cell r="I121" t="str">
            <v>AGROSUPER ASIA</v>
          </cell>
          <cell r="J121">
            <v>1023283</v>
          </cell>
          <cell r="K121">
            <v>0</v>
          </cell>
          <cell r="L121">
            <v>0</v>
          </cell>
          <cell r="M121">
            <v>0</v>
          </cell>
          <cell r="N121">
            <v>24000</v>
          </cell>
          <cell r="O121">
            <v>72000</v>
          </cell>
          <cell r="P121">
            <v>96000</v>
          </cell>
          <cell r="Q121">
            <v>0</v>
          </cell>
          <cell r="R121">
            <v>0</v>
          </cell>
          <cell r="S121">
            <v>0</v>
          </cell>
          <cell r="T121">
            <v>0.95986020833333296</v>
          </cell>
          <cell r="U121">
            <v>1.1000000000000001</v>
          </cell>
          <cell r="V121">
            <v>0.41197204166666668</v>
          </cell>
          <cell r="W121">
            <v>1.0649650520833331</v>
          </cell>
        </row>
        <row r="122">
          <cell r="A122" t="str">
            <v>AGROSUPER ASIA1023326</v>
          </cell>
          <cell r="B122" t="str">
            <v>AGROSUPER ASIA</v>
          </cell>
          <cell r="C122">
            <v>1023326</v>
          </cell>
          <cell r="D122">
            <v>48000</v>
          </cell>
          <cell r="H122" t="str">
            <v>AGROSUPER ASIA1023307</v>
          </cell>
          <cell r="I122" t="str">
            <v>AGROSUPER ASIA</v>
          </cell>
          <cell r="J122">
            <v>1023307</v>
          </cell>
          <cell r="K122">
            <v>0</v>
          </cell>
          <cell r="L122">
            <v>0</v>
          </cell>
          <cell r="M122">
            <v>0</v>
          </cell>
          <cell r="N122">
            <v>48000</v>
          </cell>
          <cell r="O122">
            <v>0</v>
          </cell>
          <cell r="P122">
            <v>48000</v>
          </cell>
          <cell r="Q122">
            <v>0</v>
          </cell>
          <cell r="R122">
            <v>0</v>
          </cell>
          <cell r="S122">
            <v>0</v>
          </cell>
          <cell r="T122">
            <v>0.76571666666666705</v>
          </cell>
          <cell r="U122">
            <v>0</v>
          </cell>
          <cell r="V122">
            <v>0.15314333333333341</v>
          </cell>
          <cell r="W122">
            <v>0.76571666666666705</v>
          </cell>
        </row>
        <row r="123">
          <cell r="A123" t="str">
            <v>AGROSUPER ASIA1023372</v>
          </cell>
          <cell r="B123" t="str">
            <v>AGROSUPER ASIA</v>
          </cell>
          <cell r="C123">
            <v>1023372</v>
          </cell>
          <cell r="D123">
            <v>48000</v>
          </cell>
          <cell r="H123" t="str">
            <v>AGROSUPER ASIA1023326</v>
          </cell>
          <cell r="I123" t="str">
            <v>AGROSUPER ASIA</v>
          </cell>
          <cell r="J123">
            <v>1023326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48000</v>
          </cell>
          <cell r="P123">
            <v>48000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0.95</v>
          </cell>
          <cell r="V123">
            <v>0.19</v>
          </cell>
          <cell r="W123">
            <v>0.95</v>
          </cell>
        </row>
        <row r="124">
          <cell r="A124" t="str">
            <v>AGROSUPER ASIA1023397</v>
          </cell>
          <cell r="B124" t="str">
            <v>AGROSUPER ASIA</v>
          </cell>
          <cell r="C124">
            <v>1023397</v>
          </cell>
          <cell r="D124">
            <v>96000</v>
          </cell>
          <cell r="H124" t="str">
            <v>AGROSUPER ASIA1023372</v>
          </cell>
          <cell r="I124" t="str">
            <v>AGROSUPER ASIA</v>
          </cell>
          <cell r="J124">
            <v>1023372</v>
          </cell>
          <cell r="K124">
            <v>0</v>
          </cell>
          <cell r="L124">
            <v>24000</v>
          </cell>
          <cell r="M124">
            <v>0</v>
          </cell>
          <cell r="N124">
            <v>0</v>
          </cell>
          <cell r="O124">
            <v>24000</v>
          </cell>
          <cell r="P124">
            <v>48000</v>
          </cell>
          <cell r="Q124">
            <v>0</v>
          </cell>
          <cell r="R124">
            <v>2.6</v>
          </cell>
          <cell r="S124">
            <v>0</v>
          </cell>
          <cell r="T124">
            <v>0</v>
          </cell>
          <cell r="U124">
            <v>3</v>
          </cell>
          <cell r="V124">
            <v>1.1199999999999999</v>
          </cell>
          <cell r="W124">
            <v>2.8</v>
          </cell>
        </row>
        <row r="125">
          <cell r="A125" t="str">
            <v>AGROSUPER ASIA1030535</v>
          </cell>
          <cell r="B125" t="str">
            <v>AGROSUPER ASIA</v>
          </cell>
          <cell r="C125">
            <v>1030535</v>
          </cell>
          <cell r="D125">
            <v>19500</v>
          </cell>
          <cell r="H125" t="str">
            <v>AGROSUPER ASIA1023397</v>
          </cell>
          <cell r="I125" t="str">
            <v>AGROSUPER ASIA</v>
          </cell>
          <cell r="J125">
            <v>1023397</v>
          </cell>
          <cell r="K125">
            <v>0</v>
          </cell>
          <cell r="L125">
            <v>0</v>
          </cell>
          <cell r="M125">
            <v>24000</v>
          </cell>
          <cell r="N125">
            <v>48000</v>
          </cell>
          <cell r="O125">
            <v>24000</v>
          </cell>
          <cell r="P125">
            <v>96000</v>
          </cell>
          <cell r="Q125">
            <v>0</v>
          </cell>
          <cell r="R125">
            <v>0</v>
          </cell>
          <cell r="S125">
            <v>1.0698379166666701</v>
          </cell>
          <cell r="T125">
            <v>1.1465462500000001</v>
          </cell>
          <cell r="U125">
            <v>1.25</v>
          </cell>
          <cell r="V125">
            <v>0.69327683333333412</v>
          </cell>
          <cell r="W125">
            <v>1.1532326041666674</v>
          </cell>
        </row>
        <row r="126">
          <cell r="A126" t="str">
            <v>AGROSUPER ASIA1100492</v>
          </cell>
          <cell r="B126" t="str">
            <v>AGROSUPER ASIA</v>
          </cell>
          <cell r="C126">
            <v>1100492</v>
          </cell>
          <cell r="D126">
            <v>3000</v>
          </cell>
          <cell r="H126" t="str">
            <v>AGROSUPER ASIA1030535</v>
          </cell>
          <cell r="I126" t="str">
            <v>AGROSUPER ASIA</v>
          </cell>
          <cell r="J126">
            <v>1030535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19500</v>
          </cell>
          <cell r="P126">
            <v>19500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2.6</v>
          </cell>
          <cell r="V126">
            <v>0.52</v>
          </cell>
          <cell r="W126">
            <v>2.6</v>
          </cell>
        </row>
        <row r="127">
          <cell r="A127" t="str">
            <v>AGROSUPER ASIA1021045</v>
          </cell>
          <cell r="B127" t="str">
            <v>AGROSUPER ASIA</v>
          </cell>
          <cell r="C127">
            <v>1021045</v>
          </cell>
          <cell r="D127">
            <v>66000</v>
          </cell>
          <cell r="H127" t="str">
            <v>AGROSUPER ASIA1100492</v>
          </cell>
          <cell r="I127" t="str">
            <v>AGROSUPER ASIA</v>
          </cell>
          <cell r="J127">
            <v>1100492</v>
          </cell>
          <cell r="K127">
            <v>0</v>
          </cell>
          <cell r="L127">
            <v>0</v>
          </cell>
          <cell r="M127">
            <v>0</v>
          </cell>
          <cell r="N127">
            <v>3000</v>
          </cell>
          <cell r="O127">
            <v>0</v>
          </cell>
          <cell r="P127">
            <v>3000</v>
          </cell>
          <cell r="Q127">
            <v>0</v>
          </cell>
          <cell r="R127">
            <v>0</v>
          </cell>
          <cell r="S127">
            <v>0</v>
          </cell>
          <cell r="T127">
            <v>2.5</v>
          </cell>
          <cell r="U127">
            <v>0</v>
          </cell>
          <cell r="V127">
            <v>0.5</v>
          </cell>
          <cell r="W127">
            <v>2.5</v>
          </cell>
        </row>
        <row r="128">
          <cell r="A128" t="str">
            <v>AGROSUPER ASIA1021151</v>
          </cell>
          <cell r="B128" t="str">
            <v>AGROSUPER ASIA</v>
          </cell>
          <cell r="C128">
            <v>1021151</v>
          </cell>
          <cell r="D128">
            <v>44000</v>
          </cell>
          <cell r="H128" t="str">
            <v>AGROSUPER ASIA1021045</v>
          </cell>
          <cell r="I128" t="str">
            <v>AGROSUPER ASIA</v>
          </cell>
          <cell r="J128">
            <v>1021045</v>
          </cell>
          <cell r="K128">
            <v>0</v>
          </cell>
          <cell r="L128">
            <v>0</v>
          </cell>
          <cell r="M128">
            <v>0</v>
          </cell>
          <cell r="N128">
            <v>22000</v>
          </cell>
          <cell r="O128">
            <v>44000</v>
          </cell>
          <cell r="P128">
            <v>66000</v>
          </cell>
          <cell r="Q128">
            <v>0</v>
          </cell>
          <cell r="R128">
            <v>0</v>
          </cell>
          <cell r="S128">
            <v>0</v>
          </cell>
          <cell r="T128">
            <v>2.00059090909091</v>
          </cell>
          <cell r="U128">
            <v>2.2000000000000002</v>
          </cell>
          <cell r="V128">
            <v>0.84011818181818199</v>
          </cell>
          <cell r="W128">
            <v>2.1335303030303034</v>
          </cell>
        </row>
        <row r="129">
          <cell r="A129" t="str">
            <v>AGROSUPER ASIA1030542</v>
          </cell>
          <cell r="B129" t="str">
            <v>AGROSUPER ASIA</v>
          </cell>
          <cell r="C129">
            <v>1030542</v>
          </cell>
          <cell r="D129">
            <v>2500</v>
          </cell>
          <cell r="H129" t="str">
            <v>AGROSUPER ASIA1021151</v>
          </cell>
          <cell r="I129" t="str">
            <v>AGROSUPER ASIA</v>
          </cell>
          <cell r="J129">
            <v>1021151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44000</v>
          </cell>
          <cell r="P129">
            <v>44000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1.3</v>
          </cell>
          <cell r="V129">
            <v>0.26</v>
          </cell>
          <cell r="W129">
            <v>1.3</v>
          </cell>
        </row>
        <row r="130">
          <cell r="A130" t="str">
            <v>AGROSUPER ASIA1021470</v>
          </cell>
          <cell r="B130" t="str">
            <v>AGROSUPER ASIA</v>
          </cell>
          <cell r="C130">
            <v>1021470</v>
          </cell>
          <cell r="D130">
            <v>22000</v>
          </cell>
          <cell r="H130" t="str">
            <v>AGROSUPER ASIA1030542</v>
          </cell>
          <cell r="I130" t="str">
            <v>AGROSUPER ASIA</v>
          </cell>
          <cell r="J130">
            <v>1030542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2500</v>
          </cell>
          <cell r="P130">
            <v>2500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12.580466530612201</v>
          </cell>
          <cell r="V130">
            <v>2.51609330612244</v>
          </cell>
          <cell r="W130">
            <v>12.580466530612201</v>
          </cell>
        </row>
        <row r="131">
          <cell r="A131" t="str">
            <v>AGROSUPER ASIA1021152</v>
          </cell>
          <cell r="B131" t="str">
            <v>AGROSUPER ASIA</v>
          </cell>
          <cell r="C131">
            <v>1021152</v>
          </cell>
          <cell r="D131">
            <v>22000</v>
          </cell>
          <cell r="H131" t="str">
            <v>AGROSUPER ASIA1021470</v>
          </cell>
          <cell r="I131" t="str">
            <v>AGROSUPER ASIA</v>
          </cell>
          <cell r="J131">
            <v>1021470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22000</v>
          </cell>
          <cell r="P131">
            <v>22000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1.6</v>
          </cell>
          <cell r="V131">
            <v>0.32</v>
          </cell>
          <cell r="W131">
            <v>1.6</v>
          </cell>
        </row>
        <row r="132">
          <cell r="A132" t="str">
            <v>AGROSUPER ASIA1021204</v>
          </cell>
          <cell r="B132" t="str">
            <v>AGROSUPER ASIA</v>
          </cell>
          <cell r="C132">
            <v>1021204</v>
          </cell>
          <cell r="D132">
            <v>24000</v>
          </cell>
          <cell r="H132" t="str">
            <v>AGROSUPER ASIA1021152</v>
          </cell>
          <cell r="I132" t="str">
            <v>AGROSUPER ASIA</v>
          </cell>
          <cell r="J132">
            <v>1021152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22000</v>
          </cell>
          <cell r="P132">
            <v>22000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1.3</v>
          </cell>
          <cell r="V132">
            <v>0.26</v>
          </cell>
          <cell r="W132">
            <v>1.3</v>
          </cell>
        </row>
        <row r="133">
          <cell r="A133" t="str">
            <v>AGROSUPER BRASIL1011560</v>
          </cell>
          <cell r="B133" t="str">
            <v>AGROSUPER BRASIL</v>
          </cell>
          <cell r="C133">
            <v>1011560</v>
          </cell>
          <cell r="D133">
            <v>48000</v>
          </cell>
          <cell r="H133" t="str">
            <v>AGROSUPER ASIA1021204</v>
          </cell>
          <cell r="I133" t="str">
            <v>AGROSUPER ASIA</v>
          </cell>
          <cell r="J133">
            <v>1021204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24000</v>
          </cell>
          <cell r="P133">
            <v>24000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1.4274512500000001</v>
          </cell>
          <cell r="V133">
            <v>0.28549025</v>
          </cell>
          <cell r="W133">
            <v>1.4274512500000001</v>
          </cell>
        </row>
        <row r="134">
          <cell r="A134" t="str">
            <v>AGROSUPER BRASIL1012362</v>
          </cell>
          <cell r="B134" t="str">
            <v>AGROSUPER BRASIL</v>
          </cell>
          <cell r="C134">
            <v>1012362</v>
          </cell>
          <cell r="D134">
            <v>71990</v>
          </cell>
          <cell r="H134" t="str">
            <v>AGROSUPER BRASIL1011560</v>
          </cell>
          <cell r="I134" t="str">
            <v>AGROSUPER BRASIL</v>
          </cell>
          <cell r="J134">
            <v>1011560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48000</v>
          </cell>
          <cell r="P134">
            <v>48000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2.8</v>
          </cell>
          <cell r="V134">
            <v>0.55999999999999994</v>
          </cell>
          <cell r="W134">
            <v>2.8</v>
          </cell>
        </row>
        <row r="135">
          <cell r="A135" t="str">
            <v>AGROSUPER BRASIL1012674</v>
          </cell>
          <cell r="B135" t="str">
            <v>AGROSUPER BRASIL</v>
          </cell>
          <cell r="C135">
            <v>1012674</v>
          </cell>
          <cell r="D135">
            <v>119980</v>
          </cell>
          <cell r="H135" t="str">
            <v>AGROSUPER BRASIL1012362</v>
          </cell>
          <cell r="I135" t="str">
            <v>AGROSUPER BRASIL</v>
          </cell>
          <cell r="J135">
            <v>1012362</v>
          </cell>
          <cell r="K135">
            <v>0</v>
          </cell>
          <cell r="L135">
            <v>23995</v>
          </cell>
          <cell r="M135">
            <v>0</v>
          </cell>
          <cell r="N135">
            <v>23995</v>
          </cell>
          <cell r="O135">
            <v>24000</v>
          </cell>
          <cell r="P135">
            <v>71990</v>
          </cell>
          <cell r="Q135">
            <v>0</v>
          </cell>
          <cell r="R135">
            <v>2.7</v>
          </cell>
          <cell r="S135">
            <v>0</v>
          </cell>
          <cell r="T135">
            <v>2.7</v>
          </cell>
          <cell r="U135">
            <v>2.7</v>
          </cell>
          <cell r="V135">
            <v>1.6200000000000003</v>
          </cell>
          <cell r="W135">
            <v>2.7000000000000006</v>
          </cell>
        </row>
        <row r="136">
          <cell r="A136" t="str">
            <v>AGROSUPER BRASIL1022217</v>
          </cell>
          <cell r="B136" t="str">
            <v>AGROSUPER BRASIL</v>
          </cell>
          <cell r="C136">
            <v>1022217</v>
          </cell>
          <cell r="D136">
            <v>144000</v>
          </cell>
          <cell r="H136" t="str">
            <v>AGROSUPER BRASIL1012674</v>
          </cell>
          <cell r="I136" t="str">
            <v>AGROSUPER BRASIL</v>
          </cell>
          <cell r="J136">
            <v>1012674</v>
          </cell>
          <cell r="K136">
            <v>0</v>
          </cell>
          <cell r="L136">
            <v>95985</v>
          </cell>
          <cell r="M136">
            <v>0</v>
          </cell>
          <cell r="N136">
            <v>0</v>
          </cell>
          <cell r="O136">
            <v>23995</v>
          </cell>
          <cell r="P136">
            <v>119980</v>
          </cell>
          <cell r="Q136">
            <v>0</v>
          </cell>
          <cell r="R136">
            <v>2.5</v>
          </cell>
          <cell r="S136">
            <v>0</v>
          </cell>
          <cell r="T136">
            <v>0</v>
          </cell>
          <cell r="U136">
            <v>2.4</v>
          </cell>
          <cell r="V136">
            <v>0.98000000000000009</v>
          </cell>
          <cell r="W136">
            <v>2.4800008334722454</v>
          </cell>
        </row>
        <row r="137">
          <cell r="A137" t="str">
            <v>AGROSUPER BRASIL1022218</v>
          </cell>
          <cell r="B137" t="str">
            <v>AGROSUPER BRASIL</v>
          </cell>
          <cell r="C137">
            <v>1022218</v>
          </cell>
          <cell r="D137">
            <v>96000</v>
          </cell>
          <cell r="H137" t="str">
            <v>AGROSUPER BRASIL1022217</v>
          </cell>
          <cell r="I137" t="str">
            <v>AGROSUPER BRASIL</v>
          </cell>
          <cell r="J137">
            <v>1022217</v>
          </cell>
          <cell r="K137">
            <v>0</v>
          </cell>
          <cell r="L137">
            <v>0</v>
          </cell>
          <cell r="M137">
            <v>0</v>
          </cell>
          <cell r="N137">
            <v>144000</v>
          </cell>
          <cell r="O137">
            <v>0</v>
          </cell>
          <cell r="P137">
            <v>144000</v>
          </cell>
          <cell r="Q137">
            <v>0</v>
          </cell>
          <cell r="R137">
            <v>0</v>
          </cell>
          <cell r="S137">
            <v>0</v>
          </cell>
          <cell r="T137">
            <v>1.6190464173611101</v>
          </cell>
          <cell r="U137">
            <v>0</v>
          </cell>
          <cell r="V137">
            <v>0.32380928347222204</v>
          </cell>
          <cell r="W137">
            <v>1.6190464173611101</v>
          </cell>
        </row>
        <row r="138">
          <cell r="A138" t="str">
            <v>AGROSUPER BRASIL1022273</v>
          </cell>
          <cell r="B138" t="str">
            <v>AGROSUPER BRASIL</v>
          </cell>
          <cell r="C138">
            <v>1022273</v>
          </cell>
          <cell r="D138">
            <v>142000</v>
          </cell>
          <cell r="H138" t="str">
            <v>AGROSUPER BRASIL1022218</v>
          </cell>
          <cell r="I138" t="str">
            <v>AGROSUPER BRASIL</v>
          </cell>
          <cell r="J138">
            <v>1022218</v>
          </cell>
          <cell r="K138">
            <v>72000</v>
          </cell>
          <cell r="L138">
            <v>24000</v>
          </cell>
          <cell r="M138">
            <v>0</v>
          </cell>
          <cell r="N138">
            <v>0</v>
          </cell>
          <cell r="O138">
            <v>0</v>
          </cell>
          <cell r="P138">
            <v>96000</v>
          </cell>
          <cell r="Q138">
            <v>1.5249999999999999</v>
          </cell>
          <cell r="R138">
            <v>1.5</v>
          </cell>
          <cell r="S138">
            <v>0</v>
          </cell>
          <cell r="T138">
            <v>0</v>
          </cell>
          <cell r="U138">
            <v>0</v>
          </cell>
          <cell r="V138">
            <v>0.60499999999999998</v>
          </cell>
          <cell r="W138">
            <v>1.51875</v>
          </cell>
        </row>
        <row r="139">
          <cell r="A139" t="str">
            <v>AGROSUPER BRASIL1023329</v>
          </cell>
          <cell r="B139" t="str">
            <v>AGROSUPER BRASIL</v>
          </cell>
          <cell r="C139">
            <v>1023329</v>
          </cell>
          <cell r="D139">
            <v>48000</v>
          </cell>
          <cell r="H139" t="str">
            <v>AGROSUPER BRASIL1022273</v>
          </cell>
          <cell r="I139" t="str">
            <v>AGROSUPER BRASIL</v>
          </cell>
          <cell r="J139">
            <v>1022273</v>
          </cell>
          <cell r="K139">
            <v>0</v>
          </cell>
          <cell r="L139">
            <v>0</v>
          </cell>
          <cell r="M139">
            <v>46000</v>
          </cell>
          <cell r="N139">
            <v>48000</v>
          </cell>
          <cell r="O139">
            <v>48000</v>
          </cell>
          <cell r="P139">
            <v>142000</v>
          </cell>
          <cell r="Q139">
            <v>0</v>
          </cell>
          <cell r="R139">
            <v>0</v>
          </cell>
          <cell r="S139">
            <v>1.55</v>
          </cell>
          <cell r="T139">
            <v>1.4307934895833301</v>
          </cell>
          <cell r="U139">
            <v>1.52435125</v>
          </cell>
          <cell r="V139">
            <v>0.90102894791666599</v>
          </cell>
          <cell r="W139">
            <v>1.5010348415492947</v>
          </cell>
        </row>
        <row r="140">
          <cell r="A140" t="str">
            <v>AGROSUPER BRASIL1023334</v>
          </cell>
          <cell r="B140" t="str">
            <v>AGROSUPER BRASIL</v>
          </cell>
          <cell r="C140">
            <v>1023334</v>
          </cell>
          <cell r="D140">
            <v>120000</v>
          </cell>
          <cell r="H140" t="str">
            <v>AGROSUPER BRASIL1023329</v>
          </cell>
          <cell r="I140" t="str">
            <v>AGROSUPER BRASIL</v>
          </cell>
          <cell r="J140">
            <v>1023329</v>
          </cell>
          <cell r="K140">
            <v>0</v>
          </cell>
          <cell r="L140">
            <v>0</v>
          </cell>
          <cell r="M140">
            <v>48000</v>
          </cell>
          <cell r="N140">
            <v>0</v>
          </cell>
          <cell r="O140">
            <v>0</v>
          </cell>
          <cell r="P140">
            <v>48000</v>
          </cell>
          <cell r="Q140">
            <v>0</v>
          </cell>
          <cell r="R140">
            <v>0</v>
          </cell>
          <cell r="S140">
            <v>0.55000000000000004</v>
          </cell>
          <cell r="T140">
            <v>0</v>
          </cell>
          <cell r="U140">
            <v>0</v>
          </cell>
          <cell r="V140">
            <v>0.11000000000000001</v>
          </cell>
          <cell r="W140">
            <v>0.55000000000000004</v>
          </cell>
        </row>
        <row r="141">
          <cell r="A141" t="str">
            <v>AGROSUPER BRASIL1021864</v>
          </cell>
          <cell r="B141" t="str">
            <v>AGROSUPER BRASIL</v>
          </cell>
          <cell r="C141">
            <v>1021864</v>
          </cell>
          <cell r="D141">
            <v>72000</v>
          </cell>
          <cell r="H141" t="str">
            <v>AGROSUPER BRASIL1023334</v>
          </cell>
          <cell r="I141" t="str">
            <v>AGROSUPER BRASIL</v>
          </cell>
          <cell r="J141">
            <v>1023334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120000</v>
          </cell>
          <cell r="P141">
            <v>120000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0.65</v>
          </cell>
          <cell r="V141">
            <v>0.13</v>
          </cell>
          <cell r="W141">
            <v>0.65</v>
          </cell>
        </row>
        <row r="142">
          <cell r="A142" t="str">
            <v>AGROSUPER BRASIL1023399</v>
          </cell>
          <cell r="B142" t="str">
            <v>AGROSUPER BRASIL</v>
          </cell>
          <cell r="C142">
            <v>1023399</v>
          </cell>
          <cell r="D142">
            <v>1000</v>
          </cell>
          <cell r="H142" t="str">
            <v>AGROSUPER BRASIL1021864</v>
          </cell>
          <cell r="I142" t="str">
            <v>AGROSUPER BRASIL</v>
          </cell>
          <cell r="J142">
            <v>1021864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72000</v>
          </cell>
          <cell r="P142">
            <v>72000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0.55000000000000004</v>
          </cell>
          <cell r="V142">
            <v>0.11000000000000001</v>
          </cell>
          <cell r="W142">
            <v>0.55000000000000004</v>
          </cell>
        </row>
        <row r="143">
          <cell r="A143" t="str">
            <v>AGROSUPER BRASIL1023398</v>
          </cell>
          <cell r="B143" t="str">
            <v>AGROSUPER BRASIL</v>
          </cell>
          <cell r="C143">
            <v>1023398</v>
          </cell>
          <cell r="D143">
            <v>1000</v>
          </cell>
          <cell r="H143" t="str">
            <v>AGROSUPER BRASIL1023399</v>
          </cell>
          <cell r="I143" t="str">
            <v>AGROSUPER BRASIL</v>
          </cell>
          <cell r="J143">
            <v>1023399</v>
          </cell>
          <cell r="K143">
            <v>0</v>
          </cell>
          <cell r="L143">
            <v>0</v>
          </cell>
          <cell r="M143">
            <v>1000</v>
          </cell>
          <cell r="N143">
            <v>0</v>
          </cell>
          <cell r="O143">
            <v>0</v>
          </cell>
          <cell r="P143">
            <v>1000</v>
          </cell>
          <cell r="Q143">
            <v>0</v>
          </cell>
          <cell r="R143">
            <v>0</v>
          </cell>
          <cell r="S143">
            <v>1.45</v>
          </cell>
          <cell r="T143">
            <v>0</v>
          </cell>
          <cell r="U143">
            <v>0</v>
          </cell>
          <cell r="V143">
            <v>0.28999999999999998</v>
          </cell>
          <cell r="W143">
            <v>1.45</v>
          </cell>
        </row>
        <row r="144">
          <cell r="A144" t="str">
            <v>AGROSUPER SHANGHAI1012503</v>
          </cell>
          <cell r="B144" t="str">
            <v>AGROSUPER SHANGHAI</v>
          </cell>
          <cell r="C144">
            <v>1012503</v>
          </cell>
          <cell r="D144">
            <v>16500</v>
          </cell>
          <cell r="H144" t="str">
            <v>AGROSUPER BRASIL1023398</v>
          </cell>
          <cell r="I144" t="str">
            <v>AGROSUPER BRASIL</v>
          </cell>
          <cell r="J144">
            <v>1023398</v>
          </cell>
          <cell r="K144">
            <v>0</v>
          </cell>
          <cell r="L144">
            <v>0</v>
          </cell>
          <cell r="M144">
            <v>1000</v>
          </cell>
          <cell r="N144">
            <v>0</v>
          </cell>
          <cell r="O144">
            <v>0</v>
          </cell>
          <cell r="P144">
            <v>1000</v>
          </cell>
          <cell r="Q144">
            <v>0</v>
          </cell>
          <cell r="R144">
            <v>0</v>
          </cell>
          <cell r="S144">
            <v>1.47</v>
          </cell>
          <cell r="T144">
            <v>0</v>
          </cell>
          <cell r="U144">
            <v>0</v>
          </cell>
          <cell r="V144">
            <v>0.29399999999999998</v>
          </cell>
          <cell r="W144">
            <v>1.47</v>
          </cell>
        </row>
        <row r="145">
          <cell r="A145" t="str">
            <v>AGROSUPER SHANGHAI1012598</v>
          </cell>
          <cell r="B145" t="str">
            <v>AGROSUPER SHANGHAI</v>
          </cell>
          <cell r="C145">
            <v>1012598</v>
          </cell>
          <cell r="D145">
            <v>7500</v>
          </cell>
          <cell r="H145" t="str">
            <v>AGROSUPER SHANGHAI1012503</v>
          </cell>
          <cell r="I145" t="str">
            <v>AGROSUPER SHANGHAI</v>
          </cell>
          <cell r="J145">
            <v>1012503</v>
          </cell>
          <cell r="K145">
            <v>0</v>
          </cell>
          <cell r="L145">
            <v>16500</v>
          </cell>
          <cell r="M145">
            <v>0</v>
          </cell>
          <cell r="N145">
            <v>0</v>
          </cell>
          <cell r="O145">
            <v>0</v>
          </cell>
          <cell r="P145">
            <v>16500</v>
          </cell>
          <cell r="Q145">
            <v>0</v>
          </cell>
          <cell r="R145">
            <v>4.3833333333333302</v>
          </cell>
          <cell r="S145">
            <v>0</v>
          </cell>
          <cell r="T145">
            <v>0</v>
          </cell>
          <cell r="U145">
            <v>0</v>
          </cell>
          <cell r="V145">
            <v>0.87666666666666604</v>
          </cell>
          <cell r="W145">
            <v>4.3833333333333302</v>
          </cell>
        </row>
        <row r="146">
          <cell r="A146" t="str">
            <v>AGROSUPER SHANGHAI1022379</v>
          </cell>
          <cell r="B146" t="str">
            <v>AGROSUPER SHANGHAI</v>
          </cell>
          <cell r="C146">
            <v>1022379</v>
          </cell>
          <cell r="D146">
            <v>48000</v>
          </cell>
          <cell r="H146" t="str">
            <v>AGROSUPER SHANGHAI1012598</v>
          </cell>
          <cell r="I146" t="str">
            <v>AGROSUPER SHANGHAI</v>
          </cell>
          <cell r="J146">
            <v>1012598</v>
          </cell>
          <cell r="K146">
            <v>0</v>
          </cell>
          <cell r="L146">
            <v>7500</v>
          </cell>
          <cell r="M146">
            <v>0</v>
          </cell>
          <cell r="N146">
            <v>0</v>
          </cell>
          <cell r="O146">
            <v>0</v>
          </cell>
          <cell r="P146">
            <v>7500</v>
          </cell>
          <cell r="Q146">
            <v>0</v>
          </cell>
          <cell r="R146">
            <v>1.38333333333333</v>
          </cell>
          <cell r="S146">
            <v>0</v>
          </cell>
          <cell r="T146">
            <v>0</v>
          </cell>
          <cell r="U146">
            <v>0</v>
          </cell>
          <cell r="V146">
            <v>0.27666666666666601</v>
          </cell>
          <cell r="W146">
            <v>1.38333333333333</v>
          </cell>
        </row>
        <row r="147">
          <cell r="A147" t="str">
            <v>AGROSUPER SHANGHAI1022381</v>
          </cell>
          <cell r="B147" t="str">
            <v>AGROSUPER SHANGHAI</v>
          </cell>
          <cell r="C147">
            <v>1022381</v>
          </cell>
          <cell r="D147">
            <v>96000</v>
          </cell>
          <cell r="H147" t="str">
            <v>AGROSUPER SHANGHAI1022379</v>
          </cell>
          <cell r="I147" t="str">
            <v>AGROSUPER SHANGHAI</v>
          </cell>
          <cell r="J147">
            <v>1022379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48000</v>
          </cell>
          <cell r="P147">
            <v>48000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2.4993472222222199</v>
          </cell>
          <cell r="V147">
            <v>0.49986944444444398</v>
          </cell>
          <cell r="W147">
            <v>2.4993472222222199</v>
          </cell>
        </row>
        <row r="148">
          <cell r="A148" t="str">
            <v>AGROSUPER SHANGHAI1022414</v>
          </cell>
          <cell r="B148" t="str">
            <v>AGROSUPER SHANGHAI</v>
          </cell>
          <cell r="C148">
            <v>1022414</v>
          </cell>
          <cell r="D148">
            <v>24000</v>
          </cell>
          <cell r="H148" t="str">
            <v>AGROSUPER SHANGHAI1022381</v>
          </cell>
          <cell r="I148" t="str">
            <v>AGROSUPER SHANGHAI</v>
          </cell>
          <cell r="J148">
            <v>1022381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96000</v>
          </cell>
          <cell r="P148">
            <v>96000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1.3325</v>
          </cell>
          <cell r="V148">
            <v>0.26650000000000001</v>
          </cell>
          <cell r="W148">
            <v>1.3325</v>
          </cell>
        </row>
        <row r="149">
          <cell r="A149" t="str">
            <v>AGROSUPER SHANGHAI1022417</v>
          </cell>
          <cell r="B149" t="str">
            <v>AGROSUPER SHANGHAI</v>
          </cell>
          <cell r="C149">
            <v>1022417</v>
          </cell>
          <cell r="D149">
            <v>72000</v>
          </cell>
          <cell r="H149" t="str">
            <v>AGROSUPER SHANGHAI1022414</v>
          </cell>
          <cell r="I149" t="str">
            <v>AGROSUPER SHANGHAI</v>
          </cell>
          <cell r="J149">
            <v>1022414</v>
          </cell>
          <cell r="K149">
            <v>0</v>
          </cell>
          <cell r="L149">
            <v>0</v>
          </cell>
          <cell r="M149">
            <v>0</v>
          </cell>
          <cell r="N149">
            <v>24000</v>
          </cell>
          <cell r="O149">
            <v>0</v>
          </cell>
          <cell r="P149">
            <v>24000</v>
          </cell>
          <cell r="Q149">
            <v>0</v>
          </cell>
          <cell r="R149">
            <v>0</v>
          </cell>
          <cell r="S149">
            <v>0</v>
          </cell>
          <cell r="T149">
            <v>1.1083333333333301</v>
          </cell>
          <cell r="U149">
            <v>0</v>
          </cell>
          <cell r="V149">
            <v>0.22166666666666601</v>
          </cell>
          <cell r="W149">
            <v>1.1083333333333301</v>
          </cell>
        </row>
        <row r="150">
          <cell r="A150" t="str">
            <v>AGROSUPER SHANGHAI1022856</v>
          </cell>
          <cell r="B150" t="str">
            <v>AGROSUPER SHANGHAI</v>
          </cell>
          <cell r="C150">
            <v>1022856</v>
          </cell>
          <cell r="D150">
            <v>72000</v>
          </cell>
          <cell r="H150" t="str">
            <v>AGROSUPER SHANGHAI1022417</v>
          </cell>
          <cell r="I150" t="str">
            <v>AGROSUPER SHANGHAI</v>
          </cell>
          <cell r="J150">
            <v>1022417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72000</v>
          </cell>
          <cell r="P150">
            <v>72000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0.79995833333333299</v>
          </cell>
          <cell r="V150">
            <v>0.15999166666666659</v>
          </cell>
          <cell r="W150">
            <v>0.79995833333333299</v>
          </cell>
        </row>
        <row r="151">
          <cell r="A151" t="str">
            <v>AGROSUPER SHANGHAI1023034</v>
          </cell>
          <cell r="B151" t="str">
            <v>AGROSUPER SHANGHAI</v>
          </cell>
          <cell r="C151">
            <v>1023034</v>
          </cell>
          <cell r="D151">
            <v>48000</v>
          </cell>
          <cell r="H151" t="str">
            <v>AGROSUPER SHANGHAI1022856</v>
          </cell>
          <cell r="I151" t="str">
            <v>AGROSUPER SHANGHAI</v>
          </cell>
          <cell r="J151">
            <v>1022856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72000</v>
          </cell>
          <cell r="P151">
            <v>72000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1.25833333333333</v>
          </cell>
          <cell r="V151">
            <v>0.25166666666666598</v>
          </cell>
          <cell r="W151">
            <v>1.25833333333333</v>
          </cell>
        </row>
        <row r="152">
          <cell r="A152" t="str">
            <v>AGROSUPER SHANGHAI1023035</v>
          </cell>
          <cell r="B152" t="str">
            <v>AGROSUPER SHANGHAI</v>
          </cell>
          <cell r="C152">
            <v>1023035</v>
          </cell>
          <cell r="D152">
            <v>24000</v>
          </cell>
          <cell r="H152" t="str">
            <v>AGROSUPER SHANGHAI1023034</v>
          </cell>
          <cell r="I152" t="str">
            <v>AGROSUPER SHANGHAI</v>
          </cell>
          <cell r="J152">
            <v>1023034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48000</v>
          </cell>
          <cell r="P152">
            <v>48000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0.73333333333333295</v>
          </cell>
          <cell r="V152">
            <v>0.14666666666666658</v>
          </cell>
          <cell r="W152">
            <v>0.73333333333333284</v>
          </cell>
        </row>
        <row r="153">
          <cell r="A153" t="str">
            <v>AGROSUPER SHANGHAI1023306</v>
          </cell>
          <cell r="B153" t="str">
            <v>AGROSUPER SHANGHAI</v>
          </cell>
          <cell r="C153">
            <v>1023306</v>
          </cell>
          <cell r="D153">
            <v>96000</v>
          </cell>
          <cell r="H153" t="str">
            <v>AGROSUPER SHANGHAI1023035</v>
          </cell>
          <cell r="I153" t="str">
            <v>AGROSUPER SHANGHAI</v>
          </cell>
          <cell r="J153">
            <v>1023035</v>
          </cell>
          <cell r="K153">
            <v>24000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24000</v>
          </cell>
          <cell r="Q153">
            <v>0.93333333333333302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0.18666666666666659</v>
          </cell>
          <cell r="W153">
            <v>0.93333333333333302</v>
          </cell>
        </row>
        <row r="154">
          <cell r="A154" t="str">
            <v>AGROSUPER SHANGHAI1023362</v>
          </cell>
          <cell r="B154" t="str">
            <v>AGROSUPER SHANGHAI</v>
          </cell>
          <cell r="C154">
            <v>1023362</v>
          </cell>
          <cell r="D154">
            <v>6949</v>
          </cell>
          <cell r="H154" t="str">
            <v>AGROSUPER SHANGHAI1023306</v>
          </cell>
          <cell r="I154" t="str">
            <v>AGROSUPER SHANGHAI</v>
          </cell>
          <cell r="J154">
            <v>1023306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96000</v>
          </cell>
          <cell r="P154">
            <v>96000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1.00484611969389</v>
          </cell>
          <cell r="V154">
            <v>0.200969223938778</v>
          </cell>
          <cell r="W154">
            <v>1.00484611969389</v>
          </cell>
        </row>
        <row r="155">
          <cell r="A155" t="str">
            <v>AGROSUPER SHANGHAI1023363</v>
          </cell>
          <cell r="B155" t="str">
            <v>AGROSUPER SHANGHAI</v>
          </cell>
          <cell r="C155">
            <v>1023363</v>
          </cell>
          <cell r="D155">
            <v>6127</v>
          </cell>
          <cell r="H155" t="str">
            <v>AGROSUPER SHANGHAI1023362</v>
          </cell>
          <cell r="I155" t="str">
            <v>AGROSUPER SHANGHAI</v>
          </cell>
          <cell r="J155">
            <v>1023362</v>
          </cell>
          <cell r="K155">
            <v>0</v>
          </cell>
          <cell r="L155">
            <v>6949</v>
          </cell>
          <cell r="M155">
            <v>0</v>
          </cell>
          <cell r="N155">
            <v>0</v>
          </cell>
          <cell r="O155">
            <v>0</v>
          </cell>
          <cell r="P155">
            <v>6949</v>
          </cell>
          <cell r="Q155">
            <v>0</v>
          </cell>
          <cell r="R155">
            <v>1.6671556537924599</v>
          </cell>
          <cell r="S155">
            <v>0</v>
          </cell>
          <cell r="T155">
            <v>0</v>
          </cell>
          <cell r="U155">
            <v>0</v>
          </cell>
          <cell r="V155">
            <v>0.33343113075849196</v>
          </cell>
          <cell r="W155">
            <v>1.6671556537924599</v>
          </cell>
        </row>
        <row r="156">
          <cell r="A156" t="str">
            <v>AGROSUPER SHANGHAI1023364</v>
          </cell>
          <cell r="B156" t="str">
            <v>AGROSUPER SHANGHAI</v>
          </cell>
          <cell r="C156">
            <v>1023364</v>
          </cell>
          <cell r="D156">
            <v>500</v>
          </cell>
          <cell r="H156" t="str">
            <v>AGROSUPER SHANGHAI1023363</v>
          </cell>
          <cell r="I156" t="str">
            <v>AGROSUPER SHANGHAI</v>
          </cell>
          <cell r="J156">
            <v>1023363</v>
          </cell>
          <cell r="K156">
            <v>0</v>
          </cell>
          <cell r="L156">
            <v>6127</v>
          </cell>
          <cell r="M156">
            <v>0</v>
          </cell>
          <cell r="N156">
            <v>0</v>
          </cell>
          <cell r="O156">
            <v>0</v>
          </cell>
          <cell r="P156">
            <v>6127</v>
          </cell>
          <cell r="Q156">
            <v>0</v>
          </cell>
          <cell r="R156">
            <v>1.6651828334916501</v>
          </cell>
          <cell r="S156">
            <v>0</v>
          </cell>
          <cell r="T156">
            <v>0</v>
          </cell>
          <cell r="U156">
            <v>0</v>
          </cell>
          <cell r="V156">
            <v>0.33303656669833004</v>
          </cell>
          <cell r="W156">
            <v>1.6651828334916503</v>
          </cell>
        </row>
        <row r="157">
          <cell r="A157" t="str">
            <v>AGROSUPER SHANGHAI1023365</v>
          </cell>
          <cell r="B157" t="str">
            <v>AGROSUPER SHANGHAI</v>
          </cell>
          <cell r="C157">
            <v>1023365</v>
          </cell>
          <cell r="D157">
            <v>313</v>
          </cell>
          <cell r="H157" t="str">
            <v>AGROSUPER SHANGHAI1023364</v>
          </cell>
          <cell r="I157" t="str">
            <v>AGROSUPER SHANGHAI</v>
          </cell>
          <cell r="J157">
            <v>1023364</v>
          </cell>
          <cell r="K157">
            <v>0</v>
          </cell>
          <cell r="L157">
            <v>500</v>
          </cell>
          <cell r="M157">
            <v>0</v>
          </cell>
          <cell r="N157">
            <v>0</v>
          </cell>
          <cell r="O157">
            <v>0</v>
          </cell>
          <cell r="P157">
            <v>500</v>
          </cell>
          <cell r="Q157">
            <v>0</v>
          </cell>
          <cell r="R157">
            <v>4.75</v>
          </cell>
          <cell r="S157">
            <v>0</v>
          </cell>
          <cell r="T157">
            <v>0</v>
          </cell>
          <cell r="U157">
            <v>0</v>
          </cell>
          <cell r="V157">
            <v>0.95</v>
          </cell>
          <cell r="W157">
            <v>4.75</v>
          </cell>
        </row>
        <row r="158">
          <cell r="A158" t="str">
            <v>AGROSUPER SHANGHAI1023366</v>
          </cell>
          <cell r="B158" t="str">
            <v>AGROSUPER SHANGHAI</v>
          </cell>
          <cell r="C158">
            <v>1023366</v>
          </cell>
          <cell r="D158">
            <v>557</v>
          </cell>
          <cell r="H158" t="str">
            <v>AGROSUPER SHANGHAI1023365</v>
          </cell>
          <cell r="I158" t="str">
            <v>AGROSUPER SHANGHAI</v>
          </cell>
          <cell r="J158">
            <v>1023365</v>
          </cell>
          <cell r="K158">
            <v>0</v>
          </cell>
          <cell r="L158">
            <v>313</v>
          </cell>
          <cell r="M158">
            <v>0</v>
          </cell>
          <cell r="N158">
            <v>0</v>
          </cell>
          <cell r="O158">
            <v>0</v>
          </cell>
          <cell r="P158">
            <v>313</v>
          </cell>
          <cell r="Q158">
            <v>0</v>
          </cell>
          <cell r="R158">
            <v>0.9</v>
          </cell>
          <cell r="S158">
            <v>0</v>
          </cell>
          <cell r="T158">
            <v>0</v>
          </cell>
          <cell r="U158">
            <v>0</v>
          </cell>
          <cell r="V158">
            <v>0.18</v>
          </cell>
          <cell r="W158">
            <v>0.89999999999999991</v>
          </cell>
        </row>
        <row r="159">
          <cell r="A159" t="str">
            <v>AGROSUPER SHANGHAI1023367</v>
          </cell>
          <cell r="B159" t="str">
            <v>AGROSUPER SHANGHAI</v>
          </cell>
          <cell r="C159">
            <v>1023367</v>
          </cell>
          <cell r="D159">
            <v>3177</v>
          </cell>
          <cell r="H159" t="str">
            <v>AGROSUPER SHANGHAI1023366</v>
          </cell>
          <cell r="I159" t="str">
            <v>AGROSUPER SHANGHAI</v>
          </cell>
          <cell r="J159">
            <v>1023366</v>
          </cell>
          <cell r="K159">
            <v>0</v>
          </cell>
          <cell r="L159">
            <v>557</v>
          </cell>
          <cell r="M159">
            <v>0</v>
          </cell>
          <cell r="N159">
            <v>0</v>
          </cell>
          <cell r="O159">
            <v>0</v>
          </cell>
          <cell r="P159">
            <v>557</v>
          </cell>
          <cell r="Q159">
            <v>0</v>
          </cell>
          <cell r="R159">
            <v>4.5</v>
          </cell>
          <cell r="S159">
            <v>0</v>
          </cell>
          <cell r="T159">
            <v>0</v>
          </cell>
          <cell r="U159">
            <v>0</v>
          </cell>
          <cell r="V159">
            <v>0.9</v>
          </cell>
          <cell r="W159">
            <v>4.5</v>
          </cell>
        </row>
        <row r="160">
          <cell r="A160" t="str">
            <v>AGROSUPER SHANGHAI1023368</v>
          </cell>
          <cell r="B160" t="str">
            <v>AGROSUPER SHANGHAI</v>
          </cell>
          <cell r="C160">
            <v>1023368</v>
          </cell>
          <cell r="D160">
            <v>6377</v>
          </cell>
          <cell r="H160" t="str">
            <v>AGROSUPER SHANGHAI1023367</v>
          </cell>
          <cell r="I160" t="str">
            <v>AGROSUPER SHANGHAI</v>
          </cell>
          <cell r="J160">
            <v>1023367</v>
          </cell>
          <cell r="K160">
            <v>0</v>
          </cell>
          <cell r="L160">
            <v>3177</v>
          </cell>
          <cell r="M160">
            <v>0</v>
          </cell>
          <cell r="N160">
            <v>0</v>
          </cell>
          <cell r="O160">
            <v>0</v>
          </cell>
          <cell r="P160">
            <v>3177</v>
          </cell>
          <cell r="Q160">
            <v>0</v>
          </cell>
          <cell r="R160">
            <v>1.55</v>
          </cell>
          <cell r="S160">
            <v>0</v>
          </cell>
          <cell r="T160">
            <v>0</v>
          </cell>
          <cell r="U160">
            <v>0</v>
          </cell>
          <cell r="V160">
            <v>0.31</v>
          </cell>
          <cell r="W160">
            <v>1.55</v>
          </cell>
        </row>
        <row r="161">
          <cell r="A161" t="str">
            <v>AGROSUPER SHANGHAI1030419</v>
          </cell>
          <cell r="B161" t="str">
            <v>AGROSUPER SHANGHAI</v>
          </cell>
          <cell r="C161">
            <v>1030419</v>
          </cell>
          <cell r="D161">
            <v>48000</v>
          </cell>
          <cell r="H161" t="str">
            <v>AGROSUPER SHANGHAI1023368</v>
          </cell>
          <cell r="I161" t="str">
            <v>AGROSUPER SHANGHAI</v>
          </cell>
          <cell r="J161">
            <v>1023368</v>
          </cell>
          <cell r="K161">
            <v>0</v>
          </cell>
          <cell r="L161">
            <v>6377</v>
          </cell>
          <cell r="M161">
            <v>0</v>
          </cell>
          <cell r="N161">
            <v>0</v>
          </cell>
          <cell r="O161">
            <v>0</v>
          </cell>
          <cell r="P161">
            <v>6377</v>
          </cell>
          <cell r="Q161">
            <v>0</v>
          </cell>
          <cell r="R161">
            <v>1.6675858256324101</v>
          </cell>
          <cell r="S161">
            <v>0</v>
          </cell>
          <cell r="T161">
            <v>0</v>
          </cell>
          <cell r="U161">
            <v>0</v>
          </cell>
          <cell r="V161">
            <v>0.333517165126482</v>
          </cell>
          <cell r="W161">
            <v>1.6675858256324101</v>
          </cell>
        </row>
        <row r="162">
          <cell r="A162" t="str">
            <v>AGROSUPER SHANGHAI1021992</v>
          </cell>
          <cell r="B162" t="str">
            <v>AGROSUPER SHANGHAI</v>
          </cell>
          <cell r="C162">
            <v>1021992</v>
          </cell>
          <cell r="D162">
            <v>48000</v>
          </cell>
          <cell r="H162" t="str">
            <v>AGROSUPER SHANGHAI1030419</v>
          </cell>
          <cell r="I162" t="str">
            <v>AGROSUPER SHANGHAI</v>
          </cell>
          <cell r="J162">
            <v>1030419</v>
          </cell>
          <cell r="K162">
            <v>0</v>
          </cell>
          <cell r="L162">
            <v>0</v>
          </cell>
          <cell r="M162">
            <v>24000</v>
          </cell>
          <cell r="N162">
            <v>24000</v>
          </cell>
          <cell r="O162">
            <v>0</v>
          </cell>
          <cell r="P162">
            <v>48000</v>
          </cell>
          <cell r="Q162">
            <v>0</v>
          </cell>
          <cell r="R162">
            <v>0</v>
          </cell>
          <cell r="S162">
            <v>1.9</v>
          </cell>
          <cell r="T162">
            <v>1.9</v>
          </cell>
          <cell r="U162">
            <v>0</v>
          </cell>
          <cell r="V162">
            <v>0.76</v>
          </cell>
          <cell r="W162">
            <v>1.9</v>
          </cell>
        </row>
        <row r="163">
          <cell r="A163" t="str">
            <v>AGROSUPER SHANGHAI1021733</v>
          </cell>
          <cell r="B163" t="str">
            <v>AGROSUPER SHANGHAI</v>
          </cell>
          <cell r="C163">
            <v>1021733</v>
          </cell>
          <cell r="D163">
            <v>72000</v>
          </cell>
          <cell r="H163" t="str">
            <v>AGROSUPER SHANGHAI1021992</v>
          </cell>
          <cell r="I163" t="str">
            <v>AGROSUPER SHANGHAI</v>
          </cell>
          <cell r="J163">
            <v>1021992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48000</v>
          </cell>
          <cell r="P163">
            <v>48000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1.6387662656249999</v>
          </cell>
          <cell r="V163">
            <v>0.32775325312499998</v>
          </cell>
          <cell r="W163">
            <v>1.6387662656249997</v>
          </cell>
        </row>
        <row r="164">
          <cell r="A164" t="str">
            <v>AGROSUPER SHANGHAI1022418</v>
          </cell>
          <cell r="B164" t="str">
            <v>AGROSUPER SHANGHAI</v>
          </cell>
          <cell r="C164">
            <v>1022418</v>
          </cell>
          <cell r="D164">
            <v>136800</v>
          </cell>
          <cell r="H164" t="str">
            <v>AGROSUPER SHANGHAI1021733</v>
          </cell>
          <cell r="I164" t="str">
            <v>AGROSUPER SHANGHAI</v>
          </cell>
          <cell r="J164">
            <v>1021733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72000</v>
          </cell>
          <cell r="P164">
            <v>72000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2.8455833333333298</v>
          </cell>
          <cell r="V164">
            <v>0.56911666666666594</v>
          </cell>
          <cell r="W164">
            <v>2.8455833333333298</v>
          </cell>
        </row>
        <row r="165">
          <cell r="A165" t="str">
            <v>AGROSUPER SHANGHAI1022851</v>
          </cell>
          <cell r="B165" t="str">
            <v>AGROSUPER SHANGHAI</v>
          </cell>
          <cell r="C165">
            <v>1022851</v>
          </cell>
          <cell r="D165">
            <v>96000</v>
          </cell>
          <cell r="H165" t="str">
            <v>AGROSUPER SHANGHAI1022418</v>
          </cell>
          <cell r="I165" t="str">
            <v>AGROSUPER SHANGHAI</v>
          </cell>
          <cell r="J165">
            <v>1022418</v>
          </cell>
          <cell r="K165">
            <v>0</v>
          </cell>
          <cell r="L165">
            <v>0</v>
          </cell>
          <cell r="M165">
            <v>0</v>
          </cell>
          <cell r="N165">
            <v>136800</v>
          </cell>
          <cell r="O165">
            <v>0</v>
          </cell>
          <cell r="P165">
            <v>136800</v>
          </cell>
          <cell r="Q165">
            <v>0</v>
          </cell>
          <cell r="R165">
            <v>0</v>
          </cell>
          <cell r="S165">
            <v>0</v>
          </cell>
          <cell r="T165">
            <v>5.4285714285714297</v>
          </cell>
          <cell r="U165">
            <v>0</v>
          </cell>
          <cell r="V165">
            <v>1.0857142857142859</v>
          </cell>
          <cell r="W165">
            <v>5.4285714285714297</v>
          </cell>
        </row>
        <row r="166">
          <cell r="A166" t="str">
            <v>AGROSUPER SHANGHAI1022373</v>
          </cell>
          <cell r="B166" t="str">
            <v>AGROSUPER SHANGHAI</v>
          </cell>
          <cell r="C166">
            <v>1022373</v>
          </cell>
          <cell r="D166">
            <v>24000</v>
          </cell>
          <cell r="H166" t="str">
            <v>AGROSUPER SHANGHAI1022851</v>
          </cell>
          <cell r="I166" t="str">
            <v>AGROSUPER SHANGHAI</v>
          </cell>
          <cell r="J166">
            <v>1022851</v>
          </cell>
          <cell r="K166">
            <v>0</v>
          </cell>
          <cell r="L166">
            <v>0</v>
          </cell>
          <cell r="M166">
            <v>0</v>
          </cell>
          <cell r="N166">
            <v>24000</v>
          </cell>
          <cell r="O166">
            <v>72000</v>
          </cell>
          <cell r="P166">
            <v>96000</v>
          </cell>
          <cell r="Q166">
            <v>0</v>
          </cell>
          <cell r="R166">
            <v>0</v>
          </cell>
          <cell r="S166">
            <v>0</v>
          </cell>
          <cell r="T166">
            <v>1.7829583333333301</v>
          </cell>
          <cell r="U166">
            <v>1.77305</v>
          </cell>
          <cell r="V166">
            <v>0.71120166666666607</v>
          </cell>
          <cell r="W166">
            <v>1.7755270833333325</v>
          </cell>
        </row>
        <row r="167">
          <cell r="A167" t="str">
            <v>AGROSUPER SHANGHAI1021740</v>
          </cell>
          <cell r="B167" t="str">
            <v>AGROSUPER SHANGHAI</v>
          </cell>
          <cell r="C167">
            <v>1021740</v>
          </cell>
          <cell r="D167">
            <v>33000</v>
          </cell>
          <cell r="H167" t="str">
            <v>AGROSUPER SHANGHAI1022373</v>
          </cell>
          <cell r="I167" t="str">
            <v>AGROSUPER SHANGHAI</v>
          </cell>
          <cell r="J167">
            <v>1022373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24000</v>
          </cell>
          <cell r="P167">
            <v>24000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1.4497916666666699</v>
          </cell>
          <cell r="V167">
            <v>0.28995833333333398</v>
          </cell>
          <cell r="W167">
            <v>1.4497916666666699</v>
          </cell>
        </row>
        <row r="168">
          <cell r="A168" t="str">
            <v>EXPORTACION DIRECTA1020105</v>
          </cell>
          <cell r="B168" t="str">
            <v>EXPORTACION DIRECTA</v>
          </cell>
          <cell r="C168">
            <v>1020105</v>
          </cell>
          <cell r="D168">
            <v>75500</v>
          </cell>
          <cell r="H168" t="str">
            <v>AGROSUPER SHANGHAI1021740</v>
          </cell>
          <cell r="I168" t="str">
            <v>AGROSUPER SHANGHAI</v>
          </cell>
          <cell r="J168">
            <v>1021740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33000</v>
          </cell>
          <cell r="P168">
            <v>33000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0.41875000000000001</v>
          </cell>
          <cell r="V168">
            <v>8.3750000000000005E-2</v>
          </cell>
          <cell r="W168">
            <v>0.41875000000000001</v>
          </cell>
        </row>
        <row r="169">
          <cell r="A169" t="str">
            <v>EXPORTACION DIRECTA1020110</v>
          </cell>
          <cell r="B169" t="str">
            <v>EXPORTACION DIRECTA</v>
          </cell>
          <cell r="C169">
            <v>1020110</v>
          </cell>
          <cell r="D169">
            <v>546330</v>
          </cell>
          <cell r="H169" t="str">
            <v>EXPORTACION DIRECTA1020105</v>
          </cell>
          <cell r="I169" t="str">
            <v>EXPORTACION DIRECTA</v>
          </cell>
          <cell r="J169">
            <v>1020105</v>
          </cell>
          <cell r="K169">
            <v>0</v>
          </cell>
          <cell r="L169">
            <v>2000</v>
          </cell>
          <cell r="M169">
            <v>2000</v>
          </cell>
          <cell r="N169">
            <v>14500</v>
          </cell>
          <cell r="O169">
            <v>57000</v>
          </cell>
          <cell r="P169">
            <v>75500</v>
          </cell>
          <cell r="Q169">
            <v>0</v>
          </cell>
          <cell r="R169">
            <v>3.8968734500000002</v>
          </cell>
          <cell r="S169">
            <v>3.7574249150000001</v>
          </cell>
          <cell r="T169">
            <v>3.743419045</v>
          </cell>
          <cell r="U169">
            <v>3.9239579849999999</v>
          </cell>
          <cell r="V169">
            <v>3.0643350790000001</v>
          </cell>
          <cell r="W169">
            <v>3.8841560003642388</v>
          </cell>
        </row>
        <row r="170">
          <cell r="A170" t="str">
            <v>EXPORTACION DIRECTA1020284</v>
          </cell>
          <cell r="B170" t="str">
            <v>EXPORTACION DIRECTA</v>
          </cell>
          <cell r="C170">
            <v>1020284</v>
          </cell>
          <cell r="D170">
            <v>7000</v>
          </cell>
          <cell r="H170" t="str">
            <v>EXPORTACION DIRECTA1020110</v>
          </cell>
          <cell r="I170" t="str">
            <v>EXPORTACION DIRECTA</v>
          </cell>
          <cell r="J170">
            <v>1020110</v>
          </cell>
          <cell r="K170">
            <v>0</v>
          </cell>
          <cell r="L170">
            <v>10720</v>
          </cell>
          <cell r="M170">
            <v>6570</v>
          </cell>
          <cell r="N170">
            <v>185220</v>
          </cell>
          <cell r="O170">
            <v>343820</v>
          </cell>
          <cell r="P170">
            <v>546330</v>
          </cell>
          <cell r="Q170">
            <v>0</v>
          </cell>
          <cell r="R170">
            <v>3.44315859691473</v>
          </cell>
          <cell r="S170">
            <v>3.2928808328575498</v>
          </cell>
          <cell r="T170">
            <v>3.2948678754910801</v>
          </cell>
          <cell r="U170">
            <v>3.5297247766666699</v>
          </cell>
          <cell r="V170">
            <v>2.7121264163860062</v>
          </cell>
          <cell r="W170">
            <v>3.4455554112766871</v>
          </cell>
        </row>
        <row r="171">
          <cell r="A171" t="str">
            <v>EXPORTACION DIRECTA1020326</v>
          </cell>
          <cell r="B171" t="str">
            <v>EXPORTACION DIRECTA</v>
          </cell>
          <cell r="C171">
            <v>1020326</v>
          </cell>
          <cell r="D171">
            <v>96000</v>
          </cell>
          <cell r="H171" t="str">
            <v>EXPORTACION DIRECTA1020284</v>
          </cell>
          <cell r="I171" t="str">
            <v>EXPORTACION DIRECTA</v>
          </cell>
          <cell r="J171">
            <v>1020284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7000</v>
          </cell>
          <cell r="P171">
            <v>7000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3.6973310142857101</v>
          </cell>
          <cell r="V171">
            <v>0.73946620285714204</v>
          </cell>
          <cell r="W171">
            <v>3.6973310142857101</v>
          </cell>
        </row>
        <row r="172">
          <cell r="A172" t="str">
            <v>EXPORTACION DIRECTA1020589</v>
          </cell>
          <cell r="B172" t="str">
            <v>EXPORTACION DIRECTA</v>
          </cell>
          <cell r="C172">
            <v>1020589</v>
          </cell>
          <cell r="D172">
            <v>140200</v>
          </cell>
          <cell r="H172" t="str">
            <v>EXPORTACION DIRECTA1020326</v>
          </cell>
          <cell r="I172" t="str">
            <v>EXPORTACION DIRECTA</v>
          </cell>
          <cell r="J172">
            <v>1020326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96000</v>
          </cell>
          <cell r="P172">
            <v>96000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2.6569215234848498</v>
          </cell>
          <cell r="V172">
            <v>0.53138430469696996</v>
          </cell>
          <cell r="W172">
            <v>2.6569215234848498</v>
          </cell>
        </row>
        <row r="173">
          <cell r="A173" t="str">
            <v>EXPORTACION DIRECTA1020592</v>
          </cell>
          <cell r="B173" t="str">
            <v>EXPORTACION DIRECTA</v>
          </cell>
          <cell r="C173">
            <v>1020592</v>
          </cell>
          <cell r="D173">
            <v>219380</v>
          </cell>
          <cell r="H173" t="str">
            <v>EXPORTACION DIRECTA1020589</v>
          </cell>
          <cell r="I173" t="str">
            <v>EXPORTACION DIRECTA</v>
          </cell>
          <cell r="J173">
            <v>1020589</v>
          </cell>
          <cell r="K173">
            <v>0</v>
          </cell>
          <cell r="L173">
            <v>0</v>
          </cell>
          <cell r="M173">
            <v>8200</v>
          </cell>
          <cell r="N173">
            <v>12000</v>
          </cell>
          <cell r="O173">
            <v>120000</v>
          </cell>
          <cell r="P173">
            <v>140200</v>
          </cell>
          <cell r="Q173">
            <v>0</v>
          </cell>
          <cell r="R173">
            <v>0</v>
          </cell>
          <cell r="S173">
            <v>3.5177676808333298</v>
          </cell>
          <cell r="T173">
            <v>3.4993277541666701</v>
          </cell>
          <cell r="U173">
            <v>3.6419096246153799</v>
          </cell>
          <cell r="V173">
            <v>2.1318010119230761</v>
          </cell>
          <cell r="W173">
            <v>3.6224449571089794</v>
          </cell>
        </row>
        <row r="174">
          <cell r="A174" t="str">
            <v>EXPORTACION DIRECTA1020620</v>
          </cell>
          <cell r="B174" t="str">
            <v>EXPORTACION DIRECTA</v>
          </cell>
          <cell r="C174">
            <v>1020620</v>
          </cell>
          <cell r="D174">
            <v>45000</v>
          </cell>
          <cell r="H174" t="str">
            <v>EXPORTACION DIRECTA1020592</v>
          </cell>
          <cell r="I174" t="str">
            <v>EXPORTACION DIRECTA</v>
          </cell>
          <cell r="J174">
            <v>1020592</v>
          </cell>
          <cell r="K174">
            <v>0</v>
          </cell>
          <cell r="L174">
            <v>3780</v>
          </cell>
          <cell r="M174">
            <v>3280</v>
          </cell>
          <cell r="N174">
            <v>37720</v>
          </cell>
          <cell r="O174">
            <v>174600</v>
          </cell>
          <cell r="P174">
            <v>219380</v>
          </cell>
          <cell r="Q174">
            <v>0</v>
          </cell>
          <cell r="R174">
            <v>3.5487232300613498</v>
          </cell>
          <cell r="S174">
            <v>3.40922452269939</v>
          </cell>
          <cell r="T174">
            <v>3.3934222870120299</v>
          </cell>
          <cell r="U174">
            <v>3.6085779435643599</v>
          </cell>
          <cell r="V174">
            <v>2.7919895966674257</v>
          </cell>
          <cell r="W174">
            <v>3.5675723760439277</v>
          </cell>
        </row>
        <row r="175">
          <cell r="A175" t="str">
            <v>EXPORTACION DIRECTA1020636</v>
          </cell>
          <cell r="B175" t="str">
            <v>EXPORTACION DIRECTA</v>
          </cell>
          <cell r="C175">
            <v>1020636</v>
          </cell>
          <cell r="D175">
            <v>21250</v>
          </cell>
          <cell r="H175" t="str">
            <v>EXPORTACION DIRECTA1020620</v>
          </cell>
          <cell r="I175" t="str">
            <v>EXPORTACION DIRECTA</v>
          </cell>
          <cell r="J175">
            <v>1020620</v>
          </cell>
          <cell r="K175">
            <v>0</v>
          </cell>
          <cell r="L175">
            <v>0</v>
          </cell>
          <cell r="M175">
            <v>2000</v>
          </cell>
          <cell r="N175">
            <v>8000</v>
          </cell>
          <cell r="O175">
            <v>35000</v>
          </cell>
          <cell r="P175">
            <v>45000</v>
          </cell>
          <cell r="Q175">
            <v>0</v>
          </cell>
          <cell r="R175">
            <v>0</v>
          </cell>
          <cell r="S175">
            <v>3.4051867866666701</v>
          </cell>
          <cell r="T175">
            <v>3.3883423266666699</v>
          </cell>
          <cell r="U175">
            <v>3.5553699028571399</v>
          </cell>
          <cell r="V175">
            <v>2.0697798032380961</v>
          </cell>
          <cell r="W175">
            <v>3.5190013063703689</v>
          </cell>
        </row>
        <row r="176">
          <cell r="A176" t="str">
            <v>EXPORTACION DIRECTA1020637</v>
          </cell>
          <cell r="B176" t="str">
            <v>EXPORTACION DIRECTA</v>
          </cell>
          <cell r="C176">
            <v>1020637</v>
          </cell>
          <cell r="D176">
            <v>220290</v>
          </cell>
          <cell r="H176" t="str">
            <v>EXPORTACION DIRECTA1020636</v>
          </cell>
          <cell r="I176" t="str">
            <v>EXPORTACION DIRECTA</v>
          </cell>
          <cell r="J176">
            <v>1020636</v>
          </cell>
          <cell r="K176">
            <v>0</v>
          </cell>
          <cell r="L176">
            <v>2000</v>
          </cell>
          <cell r="M176">
            <v>2750</v>
          </cell>
          <cell r="N176">
            <v>6000</v>
          </cell>
          <cell r="O176">
            <v>10500</v>
          </cell>
          <cell r="P176">
            <v>21250</v>
          </cell>
          <cell r="Q176">
            <v>0</v>
          </cell>
          <cell r="R176">
            <v>4.3222481153846202</v>
          </cell>
          <cell r="S176">
            <v>4.1984155076923102</v>
          </cell>
          <cell r="T176">
            <v>4.0734989285714303</v>
          </cell>
          <cell r="U176">
            <v>4.35555716923077</v>
          </cell>
          <cell r="V176">
            <v>3.3899439441758261</v>
          </cell>
          <cell r="W176">
            <v>4.2524462458952828</v>
          </cell>
        </row>
        <row r="177">
          <cell r="A177" t="str">
            <v>EXPORTACION DIRECTA1020662</v>
          </cell>
          <cell r="B177" t="str">
            <v>EXPORTACION DIRECTA</v>
          </cell>
          <cell r="C177">
            <v>1020662</v>
          </cell>
          <cell r="D177">
            <v>13000</v>
          </cell>
          <cell r="H177" t="str">
            <v>EXPORTACION DIRECTA1020637</v>
          </cell>
          <cell r="I177" t="str">
            <v>EXPORTACION DIRECTA</v>
          </cell>
          <cell r="J177">
            <v>1020637</v>
          </cell>
          <cell r="K177">
            <v>0</v>
          </cell>
          <cell r="L177">
            <v>0</v>
          </cell>
          <cell r="M177">
            <v>0</v>
          </cell>
          <cell r="N177">
            <v>46460</v>
          </cell>
          <cell r="O177">
            <v>173830</v>
          </cell>
          <cell r="P177">
            <v>220290</v>
          </cell>
          <cell r="Q177">
            <v>0</v>
          </cell>
          <cell r="R177">
            <v>0</v>
          </cell>
          <cell r="S177">
            <v>0</v>
          </cell>
          <cell r="T177">
            <v>4.4271998714524203</v>
          </cell>
          <cell r="U177">
            <v>5.0324010661904799</v>
          </cell>
          <cell r="V177">
            <v>1.89192018752858</v>
          </cell>
          <cell r="W177">
            <v>4.9047618292413215</v>
          </cell>
        </row>
        <row r="178">
          <cell r="A178" t="str">
            <v>EXPORTACION DIRECTA1020664</v>
          </cell>
          <cell r="B178" t="str">
            <v>EXPORTACION DIRECTA</v>
          </cell>
          <cell r="C178">
            <v>1020664</v>
          </cell>
          <cell r="D178">
            <v>11000</v>
          </cell>
          <cell r="H178" t="str">
            <v>EXPORTACION DIRECTA1020662</v>
          </cell>
          <cell r="I178" t="str">
            <v>EXPORTACION DIRECTA</v>
          </cell>
          <cell r="J178">
            <v>1020662</v>
          </cell>
          <cell r="K178">
            <v>0</v>
          </cell>
          <cell r="L178">
            <v>0</v>
          </cell>
          <cell r="M178">
            <v>0</v>
          </cell>
          <cell r="N178">
            <v>3000</v>
          </cell>
          <cell r="O178">
            <v>10000</v>
          </cell>
          <cell r="P178">
            <v>13000</v>
          </cell>
          <cell r="Q178">
            <v>0</v>
          </cell>
          <cell r="R178">
            <v>0</v>
          </cell>
          <cell r="S178">
            <v>0</v>
          </cell>
          <cell r="T178">
            <v>3.5758476400000001</v>
          </cell>
          <cell r="U178">
            <v>3.8807300599999999</v>
          </cell>
          <cell r="V178">
            <v>1.49131554</v>
          </cell>
          <cell r="W178">
            <v>3.8103725784615388</v>
          </cell>
        </row>
        <row r="179">
          <cell r="A179" t="str">
            <v>EXPORTACION DIRECTA1020665</v>
          </cell>
          <cell r="B179" t="str">
            <v>EXPORTACION DIRECTA</v>
          </cell>
          <cell r="C179">
            <v>1020665</v>
          </cell>
          <cell r="D179">
            <v>13500</v>
          </cell>
          <cell r="H179" t="str">
            <v>EXPORTACION DIRECTA1020664</v>
          </cell>
          <cell r="I179" t="str">
            <v>EXPORTACION DIRECTA</v>
          </cell>
          <cell r="J179">
            <v>1020664</v>
          </cell>
          <cell r="K179">
            <v>0</v>
          </cell>
          <cell r="L179">
            <v>0</v>
          </cell>
          <cell r="M179">
            <v>0</v>
          </cell>
          <cell r="N179">
            <v>3000</v>
          </cell>
          <cell r="O179">
            <v>8000</v>
          </cell>
          <cell r="P179">
            <v>11000</v>
          </cell>
          <cell r="Q179">
            <v>0</v>
          </cell>
          <cell r="R179">
            <v>0</v>
          </cell>
          <cell r="S179">
            <v>0</v>
          </cell>
          <cell r="T179">
            <v>3.8296839999999999</v>
          </cell>
          <cell r="U179">
            <v>3.666855075</v>
          </cell>
          <cell r="V179">
            <v>1.4993078149999999</v>
          </cell>
          <cell r="W179">
            <v>3.7112629636363637</v>
          </cell>
        </row>
        <row r="180">
          <cell r="A180" t="str">
            <v>EXPORTACION DIRECTA1020678</v>
          </cell>
          <cell r="B180" t="str">
            <v>EXPORTACION DIRECTA</v>
          </cell>
          <cell r="C180">
            <v>1020678</v>
          </cell>
          <cell r="D180">
            <v>500</v>
          </cell>
          <cell r="H180" t="str">
            <v>EXPORTACION DIRECTA1020665</v>
          </cell>
          <cell r="I180" t="str">
            <v>EXPORTACION DIRECTA</v>
          </cell>
          <cell r="J180">
            <v>1020665</v>
          </cell>
          <cell r="K180">
            <v>0</v>
          </cell>
          <cell r="L180">
            <v>0</v>
          </cell>
          <cell r="M180">
            <v>0</v>
          </cell>
          <cell r="N180">
            <v>2500</v>
          </cell>
          <cell r="O180">
            <v>11000</v>
          </cell>
          <cell r="P180">
            <v>13500</v>
          </cell>
          <cell r="Q180">
            <v>0</v>
          </cell>
          <cell r="R180">
            <v>0</v>
          </cell>
          <cell r="S180">
            <v>0</v>
          </cell>
          <cell r="T180">
            <v>3.5324801199999998</v>
          </cell>
          <cell r="U180">
            <v>3.6146030909090898</v>
          </cell>
          <cell r="V180">
            <v>1.429416642181818</v>
          </cell>
          <cell r="W180">
            <v>3.5993951333333323</v>
          </cell>
        </row>
        <row r="181">
          <cell r="A181" t="str">
            <v>EXPORTACION DIRECTA1020681</v>
          </cell>
          <cell r="B181" t="str">
            <v>EXPORTACION DIRECTA</v>
          </cell>
          <cell r="C181">
            <v>1020681</v>
          </cell>
          <cell r="D181">
            <v>14000</v>
          </cell>
          <cell r="H181" t="str">
            <v>EXPORTACION DIRECTA1020678</v>
          </cell>
          <cell r="I181" t="str">
            <v>EXPORTACION DIRECTA</v>
          </cell>
          <cell r="J181">
            <v>1020678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500</v>
          </cell>
          <cell r="P181">
            <v>500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4.7351428000000002</v>
          </cell>
          <cell r="V181">
            <v>0.94702856000000002</v>
          </cell>
          <cell r="W181">
            <v>4.7351428000000002</v>
          </cell>
        </row>
        <row r="182">
          <cell r="A182" t="str">
            <v>EXPORTACION DIRECTA1020704</v>
          </cell>
          <cell r="B182" t="str">
            <v>EXPORTACION DIRECTA</v>
          </cell>
          <cell r="C182">
            <v>1020704</v>
          </cell>
          <cell r="D182">
            <v>1000</v>
          </cell>
          <cell r="H182" t="str">
            <v>EXPORTACION DIRECTA1020681</v>
          </cell>
          <cell r="I182" t="str">
            <v>EXPORTACION DIRECTA</v>
          </cell>
          <cell r="J182">
            <v>1020681</v>
          </cell>
          <cell r="K182">
            <v>0</v>
          </cell>
          <cell r="L182">
            <v>0</v>
          </cell>
          <cell r="M182">
            <v>0</v>
          </cell>
          <cell r="N182">
            <v>4000</v>
          </cell>
          <cell r="O182">
            <v>10000</v>
          </cell>
          <cell r="P182">
            <v>14000</v>
          </cell>
          <cell r="Q182">
            <v>0</v>
          </cell>
          <cell r="R182">
            <v>0</v>
          </cell>
          <cell r="S182">
            <v>0</v>
          </cell>
          <cell r="T182">
            <v>3.7816461299999999</v>
          </cell>
          <cell r="U182">
            <v>3.969052</v>
          </cell>
          <cell r="V182">
            <v>1.550139626</v>
          </cell>
          <cell r="W182">
            <v>3.9155074657142852</v>
          </cell>
        </row>
        <row r="183">
          <cell r="A183" t="str">
            <v>EXPORTACION DIRECTA1020715</v>
          </cell>
          <cell r="B183" t="str">
            <v>EXPORTACION DIRECTA</v>
          </cell>
          <cell r="C183">
            <v>1020715</v>
          </cell>
          <cell r="D183">
            <v>4000</v>
          </cell>
          <cell r="H183" t="str">
            <v>EXPORTACION DIRECTA1020704</v>
          </cell>
          <cell r="I183" t="str">
            <v>EXPORTACION DIRECTA</v>
          </cell>
          <cell r="J183">
            <v>1020704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1000</v>
          </cell>
          <cell r="P183">
            <v>1000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4.5916537000000002</v>
          </cell>
          <cell r="V183">
            <v>0.91833074000000003</v>
          </cell>
          <cell r="W183">
            <v>4.5916537000000002</v>
          </cell>
        </row>
        <row r="184">
          <cell r="A184" t="str">
            <v>EXPORTACION DIRECTA1020731</v>
          </cell>
          <cell r="B184" t="str">
            <v>EXPORTACION DIRECTA</v>
          </cell>
          <cell r="C184">
            <v>1020731</v>
          </cell>
          <cell r="D184">
            <v>30900</v>
          </cell>
          <cell r="H184" t="str">
            <v>EXPORTACION DIRECTA1020715</v>
          </cell>
          <cell r="I184" t="str">
            <v>EXPORTACION DIRECTA</v>
          </cell>
          <cell r="J184">
            <v>1020715</v>
          </cell>
          <cell r="K184">
            <v>0</v>
          </cell>
          <cell r="L184">
            <v>0</v>
          </cell>
          <cell r="M184">
            <v>0</v>
          </cell>
          <cell r="N184">
            <v>2000</v>
          </cell>
          <cell r="O184">
            <v>2000</v>
          </cell>
          <cell r="P184">
            <v>4000</v>
          </cell>
          <cell r="Q184">
            <v>0</v>
          </cell>
          <cell r="R184">
            <v>0</v>
          </cell>
          <cell r="S184">
            <v>0</v>
          </cell>
          <cell r="T184">
            <v>4.1281009500000003</v>
          </cell>
          <cell r="U184">
            <v>5.0199471500000001</v>
          </cell>
          <cell r="V184">
            <v>1.82960962</v>
          </cell>
          <cell r="W184">
            <v>4.5740240500000002</v>
          </cell>
        </row>
        <row r="185">
          <cell r="A185" t="str">
            <v>EXPORTACION DIRECTA1020758</v>
          </cell>
          <cell r="B185" t="str">
            <v>EXPORTACION DIRECTA</v>
          </cell>
          <cell r="C185">
            <v>1020758</v>
          </cell>
          <cell r="D185">
            <v>9000</v>
          </cell>
          <cell r="H185" t="str">
            <v>EXPORTACION DIRECTA1020731</v>
          </cell>
          <cell r="I185" t="str">
            <v>EXPORTACION DIRECTA</v>
          </cell>
          <cell r="J185">
            <v>1020731</v>
          </cell>
          <cell r="K185">
            <v>0</v>
          </cell>
          <cell r="L185">
            <v>0</v>
          </cell>
          <cell r="M185">
            <v>0</v>
          </cell>
          <cell r="N185">
            <v>5900</v>
          </cell>
          <cell r="O185">
            <v>25000</v>
          </cell>
          <cell r="P185">
            <v>30900</v>
          </cell>
          <cell r="Q185">
            <v>0</v>
          </cell>
          <cell r="R185">
            <v>0</v>
          </cell>
          <cell r="S185">
            <v>0</v>
          </cell>
          <cell r="T185">
            <v>4.5955237450000004</v>
          </cell>
          <cell r="U185">
            <v>5.2836194040000004</v>
          </cell>
          <cell r="V185">
            <v>1.9758286298000001</v>
          </cell>
          <cell r="W185">
            <v>5.1522354432200652</v>
          </cell>
        </row>
        <row r="186">
          <cell r="A186" t="str">
            <v>EXPORTACION DIRECTA1020774</v>
          </cell>
          <cell r="B186" t="str">
            <v>EXPORTACION DIRECTA</v>
          </cell>
          <cell r="C186">
            <v>1020774</v>
          </cell>
          <cell r="D186">
            <v>10000</v>
          </cell>
          <cell r="H186" t="str">
            <v>EXPORTACION DIRECTA1020758</v>
          </cell>
          <cell r="I186" t="str">
            <v>EXPORTACION DIRECTA</v>
          </cell>
          <cell r="J186">
            <v>1020758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9000</v>
          </cell>
          <cell r="P186">
            <v>9000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3.9300091777777801</v>
          </cell>
          <cell r="V186">
            <v>0.78600183555555603</v>
          </cell>
          <cell r="W186">
            <v>3.9300091777777806</v>
          </cell>
        </row>
        <row r="187">
          <cell r="A187" t="str">
            <v>EXPORTACION DIRECTA1020802</v>
          </cell>
          <cell r="B187" t="str">
            <v>EXPORTACION DIRECTA</v>
          </cell>
          <cell r="C187">
            <v>1020802</v>
          </cell>
          <cell r="D187">
            <v>38900</v>
          </cell>
          <cell r="H187" t="str">
            <v>EXPORTACION DIRECTA1020774</v>
          </cell>
          <cell r="I187" t="str">
            <v>EXPORTACION DIRECTA</v>
          </cell>
          <cell r="J187">
            <v>1020774</v>
          </cell>
          <cell r="K187">
            <v>0</v>
          </cell>
          <cell r="L187">
            <v>0</v>
          </cell>
          <cell r="M187">
            <v>0</v>
          </cell>
          <cell r="N187">
            <v>1000</v>
          </cell>
          <cell r="O187">
            <v>9000</v>
          </cell>
          <cell r="P187">
            <v>10000</v>
          </cell>
          <cell r="Q187">
            <v>0</v>
          </cell>
          <cell r="R187">
            <v>0</v>
          </cell>
          <cell r="S187">
            <v>0</v>
          </cell>
          <cell r="T187">
            <v>5.7528658874999996</v>
          </cell>
          <cell r="U187">
            <v>6.0188154444444404</v>
          </cell>
          <cell r="V187">
            <v>2.3543362663888878</v>
          </cell>
          <cell r="W187">
            <v>5.9922204887499957</v>
          </cell>
        </row>
        <row r="188">
          <cell r="A188" t="str">
            <v>EXPORTACION DIRECTA1020810</v>
          </cell>
          <cell r="B188" t="str">
            <v>EXPORTACION DIRECTA</v>
          </cell>
          <cell r="C188">
            <v>1020810</v>
          </cell>
          <cell r="D188">
            <v>4330</v>
          </cell>
          <cell r="H188" t="str">
            <v>EXPORTACION DIRECTA1020802</v>
          </cell>
          <cell r="I188" t="str">
            <v>EXPORTACION DIRECTA</v>
          </cell>
          <cell r="J188">
            <v>1020802</v>
          </cell>
          <cell r="K188">
            <v>0</v>
          </cell>
          <cell r="L188">
            <v>0</v>
          </cell>
          <cell r="M188">
            <v>0</v>
          </cell>
          <cell r="N188">
            <v>16900</v>
          </cell>
          <cell r="O188">
            <v>22000</v>
          </cell>
          <cell r="P188">
            <v>38900</v>
          </cell>
          <cell r="Q188">
            <v>0</v>
          </cell>
          <cell r="R188">
            <v>0</v>
          </cell>
          <cell r="S188">
            <v>0</v>
          </cell>
          <cell r="T188">
            <v>4.1957719602564101</v>
          </cell>
          <cell r="U188">
            <v>4.88242344634146</v>
          </cell>
          <cell r="V188">
            <v>1.8156390813195742</v>
          </cell>
          <cell r="W188">
            <v>4.584109561641271</v>
          </cell>
        </row>
        <row r="189">
          <cell r="A189" t="str">
            <v>EXPORTACION DIRECTA1020914</v>
          </cell>
          <cell r="B189" t="str">
            <v>EXPORTACION DIRECTA</v>
          </cell>
          <cell r="C189">
            <v>1020914</v>
          </cell>
          <cell r="D189">
            <v>17000</v>
          </cell>
          <cell r="H189" t="str">
            <v>EXPORTACION DIRECTA1020810</v>
          </cell>
          <cell r="I189" t="str">
            <v>EXPORTACION DIRECTA</v>
          </cell>
          <cell r="J189">
            <v>1020810</v>
          </cell>
          <cell r="K189">
            <v>0</v>
          </cell>
          <cell r="L189">
            <v>0</v>
          </cell>
          <cell r="M189">
            <v>1000</v>
          </cell>
          <cell r="N189">
            <v>1330</v>
          </cell>
          <cell r="O189">
            <v>2000</v>
          </cell>
          <cell r="P189">
            <v>4330</v>
          </cell>
          <cell r="Q189">
            <v>0</v>
          </cell>
          <cell r="R189">
            <v>0</v>
          </cell>
          <cell r="S189">
            <v>3.16961045</v>
          </cell>
          <cell r="T189">
            <v>3.2945764806866999</v>
          </cell>
          <cell r="U189">
            <v>3.9763894999999998</v>
          </cell>
          <cell r="V189">
            <v>2.0881152861373402</v>
          </cell>
          <cell r="W189">
            <v>3.5806411476474156</v>
          </cell>
        </row>
        <row r="190">
          <cell r="A190" t="str">
            <v>EXPORTACION DIRECTA1020990</v>
          </cell>
          <cell r="B190" t="str">
            <v>EXPORTACION DIRECTA</v>
          </cell>
          <cell r="C190">
            <v>1020990</v>
          </cell>
          <cell r="D190">
            <v>5000</v>
          </cell>
          <cell r="H190" t="str">
            <v>EXPORTACION DIRECTA1020914</v>
          </cell>
          <cell r="I190" t="str">
            <v>EXPORTACION DIRECTA</v>
          </cell>
          <cell r="J190">
            <v>1020914</v>
          </cell>
          <cell r="K190">
            <v>0</v>
          </cell>
          <cell r="L190">
            <v>2000</v>
          </cell>
          <cell r="M190">
            <v>2000</v>
          </cell>
          <cell r="N190">
            <v>4000</v>
          </cell>
          <cell r="O190">
            <v>9000</v>
          </cell>
          <cell r="P190">
            <v>17000</v>
          </cell>
          <cell r="Q190">
            <v>0</v>
          </cell>
          <cell r="R190">
            <v>5.3417806111111101</v>
          </cell>
          <cell r="S190">
            <v>5.1845853142857097</v>
          </cell>
          <cell r="T190">
            <v>5.0075817222222199</v>
          </cell>
          <cell r="U190">
            <v>5.6981388777777804</v>
          </cell>
          <cell r="V190">
            <v>4.2464173050793637</v>
          </cell>
          <cell r="W190">
            <v>5.4333122729225023</v>
          </cell>
        </row>
        <row r="191">
          <cell r="A191" t="str">
            <v>EXPORTACION DIRECTA1020991</v>
          </cell>
          <cell r="B191" t="str">
            <v>EXPORTACION DIRECTA</v>
          </cell>
          <cell r="C191">
            <v>1020991</v>
          </cell>
          <cell r="D191">
            <v>16500</v>
          </cell>
          <cell r="H191" t="str">
            <v>EXPORTACION DIRECTA1020990</v>
          </cell>
          <cell r="I191" t="str">
            <v>EXPORTACION DIRECTA</v>
          </cell>
          <cell r="J191">
            <v>1020990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5000</v>
          </cell>
          <cell r="P191">
            <v>5000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3.4698292199999998</v>
          </cell>
          <cell r="V191">
            <v>0.69396584399999994</v>
          </cell>
          <cell r="W191">
            <v>3.4698292199999998</v>
          </cell>
        </row>
        <row r="192">
          <cell r="A192" t="str">
            <v>EXPORTACION DIRECTA1021136</v>
          </cell>
          <cell r="B192" t="str">
            <v>EXPORTACION DIRECTA</v>
          </cell>
          <cell r="C192">
            <v>1021136</v>
          </cell>
          <cell r="D192">
            <v>2000</v>
          </cell>
          <cell r="H192" t="str">
            <v>EXPORTACION DIRECTA1020991</v>
          </cell>
          <cell r="I192" t="str">
            <v>EXPORTACION DIRECTA</v>
          </cell>
          <cell r="J192">
            <v>1020991</v>
          </cell>
          <cell r="K192">
            <v>0</v>
          </cell>
          <cell r="L192">
            <v>0</v>
          </cell>
          <cell r="M192">
            <v>0</v>
          </cell>
          <cell r="N192">
            <v>7500</v>
          </cell>
          <cell r="O192">
            <v>9000</v>
          </cell>
          <cell r="P192">
            <v>16500</v>
          </cell>
          <cell r="Q192">
            <v>0</v>
          </cell>
          <cell r="R192">
            <v>0</v>
          </cell>
          <cell r="S192">
            <v>0</v>
          </cell>
          <cell r="T192">
            <v>3.5244738266666702</v>
          </cell>
          <cell r="U192">
            <v>3.68216422222222</v>
          </cell>
          <cell r="V192">
            <v>1.4413276097777781</v>
          </cell>
          <cell r="W192">
            <v>3.61048676969697</v>
          </cell>
        </row>
        <row r="193">
          <cell r="A193" t="str">
            <v>EXPORTACION DIRECTA1021533</v>
          </cell>
          <cell r="B193" t="str">
            <v>EXPORTACION DIRECTA</v>
          </cell>
          <cell r="C193">
            <v>1021533</v>
          </cell>
          <cell r="D193">
            <v>5000</v>
          </cell>
          <cell r="H193" t="str">
            <v>EXPORTACION DIRECTA1021136</v>
          </cell>
          <cell r="I193" t="str">
            <v>EXPORTACION DIRECTA</v>
          </cell>
          <cell r="J193">
            <v>1021136</v>
          </cell>
          <cell r="K193">
            <v>0</v>
          </cell>
          <cell r="L193">
            <v>0</v>
          </cell>
          <cell r="M193">
            <v>2000</v>
          </cell>
          <cell r="N193">
            <v>0</v>
          </cell>
          <cell r="O193">
            <v>0</v>
          </cell>
          <cell r="P193">
            <v>2000</v>
          </cell>
          <cell r="Q193">
            <v>0</v>
          </cell>
          <cell r="R193">
            <v>0</v>
          </cell>
          <cell r="S193">
            <v>2.4264629499999999</v>
          </cell>
          <cell r="T193">
            <v>0</v>
          </cell>
          <cell r="U193">
            <v>0</v>
          </cell>
          <cell r="V193">
            <v>0.48529258999999997</v>
          </cell>
          <cell r="W193">
            <v>2.4264629499999999</v>
          </cell>
        </row>
        <row r="194">
          <cell r="A194" t="str">
            <v>EXPORTACION DIRECTA1021603</v>
          </cell>
          <cell r="B194" t="str">
            <v>EXPORTACION DIRECTA</v>
          </cell>
          <cell r="C194">
            <v>1021603</v>
          </cell>
          <cell r="D194">
            <v>10500</v>
          </cell>
          <cell r="H194" t="str">
            <v>EXPORTACION DIRECTA1021533</v>
          </cell>
          <cell r="I194" t="str">
            <v>EXPORTACION DIRECTA</v>
          </cell>
          <cell r="J194">
            <v>1021533</v>
          </cell>
          <cell r="K194">
            <v>0</v>
          </cell>
          <cell r="L194">
            <v>0</v>
          </cell>
          <cell r="M194">
            <v>0</v>
          </cell>
          <cell r="N194">
            <v>5000</v>
          </cell>
          <cell r="O194">
            <v>0</v>
          </cell>
          <cell r="P194">
            <v>5000</v>
          </cell>
          <cell r="Q194">
            <v>0</v>
          </cell>
          <cell r="R194">
            <v>0</v>
          </cell>
          <cell r="S194">
            <v>0</v>
          </cell>
          <cell r="T194">
            <v>4.5563170949999998</v>
          </cell>
          <cell r="U194">
            <v>0</v>
          </cell>
          <cell r="V194">
            <v>0.91126341899999996</v>
          </cell>
          <cell r="W194">
            <v>4.5563170949999998</v>
          </cell>
        </row>
        <row r="195">
          <cell r="A195" t="str">
            <v>EXPORTACION DIRECTA1021609</v>
          </cell>
          <cell r="B195" t="str">
            <v>EXPORTACION DIRECTA</v>
          </cell>
          <cell r="C195">
            <v>1021609</v>
          </cell>
          <cell r="D195">
            <v>60000</v>
          </cell>
          <cell r="H195" t="str">
            <v>EXPORTACION DIRECTA1021603</v>
          </cell>
          <cell r="I195" t="str">
            <v>EXPORTACION DIRECTA</v>
          </cell>
          <cell r="J195">
            <v>1021603</v>
          </cell>
          <cell r="K195">
            <v>0</v>
          </cell>
          <cell r="L195">
            <v>0</v>
          </cell>
          <cell r="M195">
            <v>0</v>
          </cell>
          <cell r="N195">
            <v>3500</v>
          </cell>
          <cell r="O195">
            <v>7000</v>
          </cell>
          <cell r="P195">
            <v>10500</v>
          </cell>
          <cell r="Q195">
            <v>0</v>
          </cell>
          <cell r="R195">
            <v>0</v>
          </cell>
          <cell r="S195">
            <v>0</v>
          </cell>
          <cell r="T195">
            <v>3.8418147714285702</v>
          </cell>
          <cell r="U195">
            <v>3.7948539571428599</v>
          </cell>
          <cell r="V195">
            <v>1.5273337457142859</v>
          </cell>
          <cell r="W195">
            <v>3.8105075619047635</v>
          </cell>
        </row>
        <row r="196">
          <cell r="A196" t="str">
            <v>EXPORTACION DIRECTA1022326</v>
          </cell>
          <cell r="B196" t="str">
            <v>EXPORTACION DIRECTA</v>
          </cell>
          <cell r="C196">
            <v>1022326</v>
          </cell>
          <cell r="D196">
            <v>10000</v>
          </cell>
          <cell r="H196" t="str">
            <v>EXPORTACION DIRECTA1021609</v>
          </cell>
          <cell r="I196" t="str">
            <v>EXPORTACION DIRECTA</v>
          </cell>
          <cell r="J196">
            <v>1021609</v>
          </cell>
          <cell r="K196">
            <v>0</v>
          </cell>
          <cell r="L196">
            <v>0</v>
          </cell>
          <cell r="M196">
            <v>10000</v>
          </cell>
          <cell r="N196">
            <v>30000</v>
          </cell>
          <cell r="O196">
            <v>20000</v>
          </cell>
          <cell r="P196">
            <v>60000</v>
          </cell>
          <cell r="Q196">
            <v>0</v>
          </cell>
          <cell r="R196">
            <v>0</v>
          </cell>
          <cell r="S196">
            <v>4.5315454666666701</v>
          </cell>
          <cell r="T196">
            <v>4.6068619711111101</v>
          </cell>
          <cell r="U196">
            <v>4.33728654</v>
          </cell>
          <cell r="V196">
            <v>2.6951387955555561</v>
          </cell>
          <cell r="W196">
            <v>4.5044507433333338</v>
          </cell>
        </row>
        <row r="197">
          <cell r="A197" t="str">
            <v>EXPORTACION DIRECTA1022370</v>
          </cell>
          <cell r="B197" t="str">
            <v>EXPORTACION DIRECTA</v>
          </cell>
          <cell r="C197">
            <v>1022370</v>
          </cell>
          <cell r="D197">
            <v>60000</v>
          </cell>
          <cell r="H197" t="str">
            <v>EXPORTACION DIRECTA1022326</v>
          </cell>
          <cell r="I197" t="str">
            <v>EXPORTACION DIRECTA</v>
          </cell>
          <cell r="J197">
            <v>1022326</v>
          </cell>
          <cell r="K197">
            <v>0</v>
          </cell>
          <cell r="L197">
            <v>0</v>
          </cell>
          <cell r="M197">
            <v>0</v>
          </cell>
          <cell r="N197">
            <v>5000</v>
          </cell>
          <cell r="O197">
            <v>5000</v>
          </cell>
          <cell r="P197">
            <v>10000</v>
          </cell>
          <cell r="Q197">
            <v>0</v>
          </cell>
          <cell r="R197">
            <v>0</v>
          </cell>
          <cell r="S197">
            <v>0</v>
          </cell>
          <cell r="T197">
            <v>3.1508461240000001</v>
          </cell>
          <cell r="U197">
            <v>3.5057015200000001</v>
          </cell>
          <cell r="V197">
            <v>1.3313095287999999</v>
          </cell>
          <cell r="W197">
            <v>3.3282738219999999</v>
          </cell>
        </row>
        <row r="198">
          <cell r="A198" t="str">
            <v>EXPORTACION DIRECTA1022371</v>
          </cell>
          <cell r="B198" t="str">
            <v>EXPORTACION DIRECTA</v>
          </cell>
          <cell r="C198">
            <v>1022371</v>
          </cell>
          <cell r="D198">
            <v>28000</v>
          </cell>
          <cell r="H198" t="str">
            <v>EXPORTACION DIRECTA1022370</v>
          </cell>
          <cell r="I198" t="str">
            <v>EXPORTACION DIRECTA</v>
          </cell>
          <cell r="J198">
            <v>1022370</v>
          </cell>
          <cell r="K198">
            <v>0</v>
          </cell>
          <cell r="L198">
            <v>0</v>
          </cell>
          <cell r="M198">
            <v>0</v>
          </cell>
          <cell r="N198">
            <v>20000</v>
          </cell>
          <cell r="O198">
            <v>40000</v>
          </cell>
          <cell r="P198">
            <v>60000</v>
          </cell>
          <cell r="Q198">
            <v>0</v>
          </cell>
          <cell r="R198">
            <v>0</v>
          </cell>
          <cell r="S198">
            <v>0</v>
          </cell>
          <cell r="T198">
            <v>3.580851585</v>
          </cell>
          <cell r="U198">
            <v>3.7801789299999999</v>
          </cell>
          <cell r="V198">
            <v>1.472206103</v>
          </cell>
          <cell r="W198">
            <v>3.7137364816666669</v>
          </cell>
        </row>
        <row r="199">
          <cell r="A199" t="str">
            <v>EXPORTACION DIRECTA1022499</v>
          </cell>
          <cell r="B199" t="str">
            <v>EXPORTACION DIRECTA</v>
          </cell>
          <cell r="C199">
            <v>1022499</v>
          </cell>
          <cell r="D199">
            <v>30000</v>
          </cell>
          <cell r="H199" t="str">
            <v>EXPORTACION DIRECTA1022371</v>
          </cell>
          <cell r="I199" t="str">
            <v>EXPORTACION DIRECTA</v>
          </cell>
          <cell r="J199">
            <v>1022371</v>
          </cell>
          <cell r="K199">
            <v>0</v>
          </cell>
          <cell r="L199">
            <v>0</v>
          </cell>
          <cell r="M199">
            <v>0</v>
          </cell>
          <cell r="N199">
            <v>9000</v>
          </cell>
          <cell r="O199">
            <v>19000</v>
          </cell>
          <cell r="P199">
            <v>28000</v>
          </cell>
          <cell r="Q199">
            <v>0</v>
          </cell>
          <cell r="R199">
            <v>0</v>
          </cell>
          <cell r="S199">
            <v>0</v>
          </cell>
          <cell r="T199">
            <v>4.1002001611111103</v>
          </cell>
          <cell r="U199">
            <v>4.8578638999999999</v>
          </cell>
          <cell r="V199">
            <v>1.7916128122222219</v>
          </cell>
          <cell r="W199">
            <v>4.6143291267857141</v>
          </cell>
        </row>
        <row r="200">
          <cell r="A200" t="str">
            <v>EXPORTACION DIRECTA1022587</v>
          </cell>
          <cell r="B200" t="str">
            <v>EXPORTACION DIRECTA</v>
          </cell>
          <cell r="C200">
            <v>1022587</v>
          </cell>
          <cell r="D200">
            <v>3000</v>
          </cell>
          <cell r="H200" t="str">
            <v>EXPORTACION DIRECTA1022499</v>
          </cell>
          <cell r="I200" t="str">
            <v>EXPORTACION DIRECTA</v>
          </cell>
          <cell r="J200">
            <v>1022499</v>
          </cell>
          <cell r="K200">
            <v>0</v>
          </cell>
          <cell r="L200">
            <v>0</v>
          </cell>
          <cell r="M200">
            <v>0</v>
          </cell>
          <cell r="N200">
            <v>3000</v>
          </cell>
          <cell r="O200">
            <v>27000</v>
          </cell>
          <cell r="P200">
            <v>30000</v>
          </cell>
          <cell r="Q200">
            <v>0</v>
          </cell>
          <cell r="R200">
            <v>0</v>
          </cell>
          <cell r="S200">
            <v>0</v>
          </cell>
          <cell r="T200">
            <v>3.7927037761904798</v>
          </cell>
          <cell r="U200">
            <v>4.0713242703703703</v>
          </cell>
          <cell r="V200">
            <v>1.5728056093121701</v>
          </cell>
          <cell r="W200">
            <v>4.0434622209523807</v>
          </cell>
        </row>
        <row r="201">
          <cell r="A201" t="str">
            <v>EXPORTACION DIRECTA1022600</v>
          </cell>
          <cell r="B201" t="str">
            <v>EXPORTACION DIRECTA</v>
          </cell>
          <cell r="C201">
            <v>1022600</v>
          </cell>
          <cell r="D201">
            <v>22500</v>
          </cell>
          <cell r="H201" t="str">
            <v>EXPORTACION DIRECTA1022587</v>
          </cell>
          <cell r="I201" t="str">
            <v>EXPORTACION DIRECTA</v>
          </cell>
          <cell r="J201">
            <v>1022587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3000</v>
          </cell>
          <cell r="P201">
            <v>3000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4.2024936666666699</v>
          </cell>
          <cell r="V201">
            <v>0.84049873333333402</v>
          </cell>
          <cell r="W201">
            <v>4.2024936666666699</v>
          </cell>
        </row>
        <row r="202">
          <cell r="A202" t="str">
            <v>EXPORTACION DIRECTA1022664</v>
          </cell>
          <cell r="B202" t="str">
            <v>EXPORTACION DIRECTA</v>
          </cell>
          <cell r="C202">
            <v>1022664</v>
          </cell>
          <cell r="D202">
            <v>92000</v>
          </cell>
          <cell r="H202" t="str">
            <v>EXPORTACION DIRECTA1022600</v>
          </cell>
          <cell r="I202" t="str">
            <v>EXPORTACION DIRECTA</v>
          </cell>
          <cell r="J202">
            <v>1022600</v>
          </cell>
          <cell r="K202">
            <v>0</v>
          </cell>
          <cell r="L202">
            <v>0</v>
          </cell>
          <cell r="M202">
            <v>3000</v>
          </cell>
          <cell r="N202">
            <v>12000</v>
          </cell>
          <cell r="O202">
            <v>7500</v>
          </cell>
          <cell r="P202">
            <v>22500</v>
          </cell>
          <cell r="Q202">
            <v>0</v>
          </cell>
          <cell r="R202">
            <v>0</v>
          </cell>
          <cell r="S202">
            <v>3.56802966666667</v>
          </cell>
          <cell r="T202">
            <v>3.53563414</v>
          </cell>
          <cell r="U202">
            <v>3.79104931</v>
          </cell>
          <cell r="V202">
            <v>2.178942623333334</v>
          </cell>
          <cell r="W202">
            <v>3.6250919335555563</v>
          </cell>
        </row>
        <row r="203">
          <cell r="A203" t="str">
            <v>EXPORTACION DIRECTA1022901</v>
          </cell>
          <cell r="B203" t="str">
            <v>EXPORTACION DIRECTA</v>
          </cell>
          <cell r="C203">
            <v>1022901</v>
          </cell>
          <cell r="D203">
            <v>1000</v>
          </cell>
          <cell r="H203" t="str">
            <v>EXPORTACION DIRECTA1022664</v>
          </cell>
          <cell r="I203" t="str">
            <v>EXPORTACION DIRECTA</v>
          </cell>
          <cell r="J203">
            <v>1022664</v>
          </cell>
          <cell r="K203">
            <v>0</v>
          </cell>
          <cell r="L203">
            <v>0</v>
          </cell>
          <cell r="M203">
            <v>0</v>
          </cell>
          <cell r="N203">
            <v>35000</v>
          </cell>
          <cell r="O203">
            <v>57000</v>
          </cell>
          <cell r="P203">
            <v>92000</v>
          </cell>
          <cell r="Q203">
            <v>0</v>
          </cell>
          <cell r="R203">
            <v>0</v>
          </cell>
          <cell r="S203">
            <v>0</v>
          </cell>
          <cell r="T203">
            <v>3.3787832828571398</v>
          </cell>
          <cell r="U203">
            <v>3.8150118578947398</v>
          </cell>
          <cell r="V203">
            <v>1.4387590281503759</v>
          </cell>
          <cell r="W203">
            <v>3.6490553347826093</v>
          </cell>
        </row>
        <row r="204">
          <cell r="A204" t="str">
            <v>EXPORTACION DIRECTA1022931</v>
          </cell>
          <cell r="B204" t="str">
            <v>EXPORTACION DIRECTA</v>
          </cell>
          <cell r="C204">
            <v>1022931</v>
          </cell>
          <cell r="D204">
            <v>28000</v>
          </cell>
          <cell r="H204" t="str">
            <v>EXPORTACION DIRECTA1022901</v>
          </cell>
          <cell r="I204" t="str">
            <v>EXPORTACION DIRECTA</v>
          </cell>
          <cell r="J204">
            <v>1022901</v>
          </cell>
          <cell r="K204">
            <v>0</v>
          </cell>
          <cell r="L204">
            <v>0</v>
          </cell>
          <cell r="M204">
            <v>0</v>
          </cell>
          <cell r="N204">
            <v>1000</v>
          </cell>
          <cell r="O204">
            <v>0</v>
          </cell>
          <cell r="P204">
            <v>1000</v>
          </cell>
          <cell r="Q204">
            <v>0</v>
          </cell>
          <cell r="R204">
            <v>0</v>
          </cell>
          <cell r="S204">
            <v>0</v>
          </cell>
          <cell r="T204">
            <v>4.4589070199999998</v>
          </cell>
          <cell r="U204">
            <v>0</v>
          </cell>
          <cell r="V204">
            <v>0.89178140399999994</v>
          </cell>
          <cell r="W204">
            <v>4.4589070199999998</v>
          </cell>
        </row>
        <row r="205">
          <cell r="A205" t="str">
            <v>EXPORTACION DIRECTA1022987</v>
          </cell>
          <cell r="B205" t="str">
            <v>EXPORTACION DIRECTA</v>
          </cell>
          <cell r="C205">
            <v>1022987</v>
          </cell>
          <cell r="D205">
            <v>48000</v>
          </cell>
          <cell r="H205" t="str">
            <v>EXPORTACION DIRECTA1022931</v>
          </cell>
          <cell r="I205" t="str">
            <v>EXPORTACION DIRECTA</v>
          </cell>
          <cell r="J205">
            <v>1022931</v>
          </cell>
          <cell r="K205">
            <v>0</v>
          </cell>
          <cell r="L205">
            <v>0</v>
          </cell>
          <cell r="M205">
            <v>0</v>
          </cell>
          <cell r="N205">
            <v>8000</v>
          </cell>
          <cell r="O205">
            <v>20000</v>
          </cell>
          <cell r="P205">
            <v>28000</v>
          </cell>
          <cell r="Q205">
            <v>0</v>
          </cell>
          <cell r="R205">
            <v>0</v>
          </cell>
          <cell r="S205">
            <v>0</v>
          </cell>
          <cell r="T205">
            <v>4.2233274714285702</v>
          </cell>
          <cell r="U205">
            <v>4.434848305</v>
          </cell>
          <cell r="V205">
            <v>1.7316351552857143</v>
          </cell>
          <cell r="W205">
            <v>4.3744137811224491</v>
          </cell>
        </row>
        <row r="206">
          <cell r="A206" t="str">
            <v>EXPORTACION DIRECTA1023051</v>
          </cell>
          <cell r="B206" t="str">
            <v>EXPORTACION DIRECTA</v>
          </cell>
          <cell r="C206">
            <v>1023051</v>
          </cell>
          <cell r="D206">
            <v>5000</v>
          </cell>
          <cell r="H206" t="str">
            <v>EXPORTACION DIRECTA1022987</v>
          </cell>
          <cell r="I206" t="str">
            <v>EXPORTACION DIRECTA</v>
          </cell>
          <cell r="J206">
            <v>1022987</v>
          </cell>
          <cell r="K206">
            <v>0</v>
          </cell>
          <cell r="L206">
            <v>0</v>
          </cell>
          <cell r="M206">
            <v>0</v>
          </cell>
          <cell r="N206">
            <v>24000</v>
          </cell>
          <cell r="O206">
            <v>24000</v>
          </cell>
          <cell r="P206">
            <v>48000</v>
          </cell>
          <cell r="Q206">
            <v>0</v>
          </cell>
          <cell r="R206">
            <v>0</v>
          </cell>
          <cell r="S206">
            <v>0</v>
          </cell>
          <cell r="T206">
            <v>1.294353125</v>
          </cell>
          <cell r="U206">
            <v>1.9458002249999999</v>
          </cell>
          <cell r="V206">
            <v>0.64803067000000003</v>
          </cell>
          <cell r="W206">
            <v>1.620076675</v>
          </cell>
        </row>
        <row r="207">
          <cell r="A207" t="str">
            <v>EXPORTACION DIRECTA1023055</v>
          </cell>
          <cell r="B207" t="str">
            <v>EXPORTACION DIRECTA</v>
          </cell>
          <cell r="C207">
            <v>1023055</v>
          </cell>
          <cell r="D207">
            <v>10000</v>
          </cell>
          <cell r="H207" t="str">
            <v>EXPORTACION DIRECTA1023051</v>
          </cell>
          <cell r="I207" t="str">
            <v>EXPORTACION DIRECTA</v>
          </cell>
          <cell r="J207">
            <v>1023051</v>
          </cell>
          <cell r="K207">
            <v>0</v>
          </cell>
          <cell r="L207">
            <v>0</v>
          </cell>
          <cell r="M207">
            <v>0</v>
          </cell>
          <cell r="N207">
            <v>2000</v>
          </cell>
          <cell r="O207">
            <v>3000</v>
          </cell>
          <cell r="P207">
            <v>5000</v>
          </cell>
          <cell r="Q207">
            <v>0</v>
          </cell>
          <cell r="R207">
            <v>0</v>
          </cell>
          <cell r="S207">
            <v>0</v>
          </cell>
          <cell r="T207">
            <v>3.5033663000000002</v>
          </cell>
          <cell r="U207">
            <v>3.4698292333333298</v>
          </cell>
          <cell r="V207">
            <v>1.3946391066666659</v>
          </cell>
          <cell r="W207">
            <v>3.4832440599999979</v>
          </cell>
        </row>
        <row r="208">
          <cell r="A208" t="str">
            <v>EXPORTACION DIRECTA1023163</v>
          </cell>
          <cell r="B208" t="str">
            <v>EXPORTACION DIRECTA</v>
          </cell>
          <cell r="C208">
            <v>1023163</v>
          </cell>
          <cell r="D208">
            <v>30000</v>
          </cell>
          <cell r="H208" t="str">
            <v>EXPORTACION DIRECTA1023055</v>
          </cell>
          <cell r="I208" t="str">
            <v>EXPORTACION DIRECTA</v>
          </cell>
          <cell r="J208">
            <v>1023055</v>
          </cell>
          <cell r="K208">
            <v>0</v>
          </cell>
          <cell r="L208">
            <v>0</v>
          </cell>
          <cell r="M208">
            <v>0</v>
          </cell>
          <cell r="N208">
            <v>5000</v>
          </cell>
          <cell r="O208">
            <v>5000</v>
          </cell>
          <cell r="P208">
            <v>10000</v>
          </cell>
          <cell r="Q208">
            <v>0</v>
          </cell>
          <cell r="R208">
            <v>0</v>
          </cell>
          <cell r="S208">
            <v>0</v>
          </cell>
          <cell r="T208">
            <v>3.5033662799999998</v>
          </cell>
          <cell r="U208">
            <v>3.4698292199999998</v>
          </cell>
          <cell r="V208">
            <v>1.3946390999999998</v>
          </cell>
          <cell r="W208">
            <v>3.4865977499999992</v>
          </cell>
        </row>
        <row r="209">
          <cell r="A209" t="str">
            <v>EXPORTACION DIRECTA1023194</v>
          </cell>
          <cell r="B209" t="str">
            <v>EXPORTACION DIRECTA</v>
          </cell>
          <cell r="C209">
            <v>1023194</v>
          </cell>
          <cell r="D209">
            <v>13500</v>
          </cell>
          <cell r="H209" t="str">
            <v>EXPORTACION DIRECTA1023163</v>
          </cell>
          <cell r="I209" t="str">
            <v>EXPORTACION DIRECTA</v>
          </cell>
          <cell r="J209">
            <v>1023163</v>
          </cell>
          <cell r="K209">
            <v>0</v>
          </cell>
          <cell r="L209">
            <v>0</v>
          </cell>
          <cell r="M209">
            <v>0</v>
          </cell>
          <cell r="N209">
            <v>5000</v>
          </cell>
          <cell r="O209">
            <v>25000</v>
          </cell>
          <cell r="P209">
            <v>30000</v>
          </cell>
          <cell r="Q209">
            <v>0</v>
          </cell>
          <cell r="R209">
            <v>0</v>
          </cell>
          <cell r="S209">
            <v>0</v>
          </cell>
          <cell r="T209">
            <v>3.604779524</v>
          </cell>
          <cell r="U209">
            <v>3.8224647599999999</v>
          </cell>
          <cell r="V209">
            <v>1.4854488568000002</v>
          </cell>
          <cell r="W209">
            <v>3.7861838873333333</v>
          </cell>
        </row>
        <row r="210">
          <cell r="A210" t="str">
            <v>EXPORTACION DIRECTA1023301</v>
          </cell>
          <cell r="B210" t="str">
            <v>EXPORTACION DIRECTA</v>
          </cell>
          <cell r="C210">
            <v>1023301</v>
          </cell>
          <cell r="D210">
            <v>23500</v>
          </cell>
          <cell r="H210" t="str">
            <v>EXPORTACION DIRECTA1023194</v>
          </cell>
          <cell r="I210" t="str">
            <v>EXPORTACION DIRECTA</v>
          </cell>
          <cell r="J210">
            <v>1023194</v>
          </cell>
          <cell r="K210">
            <v>0</v>
          </cell>
          <cell r="L210">
            <v>0</v>
          </cell>
          <cell r="M210">
            <v>2000</v>
          </cell>
          <cell r="N210">
            <v>4000</v>
          </cell>
          <cell r="O210">
            <v>7500</v>
          </cell>
          <cell r="P210">
            <v>13500</v>
          </cell>
          <cell r="Q210">
            <v>0</v>
          </cell>
          <cell r="R210">
            <v>0</v>
          </cell>
          <cell r="S210">
            <v>2.9806551333333302</v>
          </cell>
          <cell r="T210">
            <v>2.87539678333333</v>
          </cell>
          <cell r="U210">
            <v>3.03283945</v>
          </cell>
          <cell r="V210">
            <v>1.7777782733333318</v>
          </cell>
          <cell r="W210">
            <v>2.97845876111111</v>
          </cell>
        </row>
        <row r="211">
          <cell r="A211" t="str">
            <v>EXPORTACION DIRECTA1023349</v>
          </cell>
          <cell r="B211" t="str">
            <v>EXPORTACION DIRECTA</v>
          </cell>
          <cell r="C211">
            <v>1023349</v>
          </cell>
          <cell r="D211">
            <v>5000</v>
          </cell>
          <cell r="H211" t="str">
            <v>EXPORTACION DIRECTA1023301</v>
          </cell>
          <cell r="I211" t="str">
            <v>EXPORTACION DIRECTA</v>
          </cell>
          <cell r="J211">
            <v>1023301</v>
          </cell>
          <cell r="K211">
            <v>0</v>
          </cell>
          <cell r="L211">
            <v>0</v>
          </cell>
          <cell r="M211">
            <v>0</v>
          </cell>
          <cell r="N211">
            <v>23500</v>
          </cell>
          <cell r="O211">
            <v>0</v>
          </cell>
          <cell r="P211">
            <v>23500</v>
          </cell>
          <cell r="Q211">
            <v>0</v>
          </cell>
          <cell r="R211">
            <v>0</v>
          </cell>
          <cell r="S211">
            <v>0</v>
          </cell>
          <cell r="T211">
            <v>3.6380178340425502</v>
          </cell>
          <cell r="U211">
            <v>0</v>
          </cell>
          <cell r="V211">
            <v>0.72760356680851002</v>
          </cell>
          <cell r="W211">
            <v>3.6380178340425502</v>
          </cell>
        </row>
        <row r="212">
          <cell r="A212" t="str">
            <v>EXPORTACION DIRECTA1023350</v>
          </cell>
          <cell r="B212" t="str">
            <v>EXPORTACION DIRECTA</v>
          </cell>
          <cell r="C212">
            <v>1023350</v>
          </cell>
          <cell r="D212">
            <v>20000</v>
          </cell>
          <cell r="H212" t="str">
            <v>EXPORTACION DIRECTA1023349</v>
          </cell>
          <cell r="I212" t="str">
            <v>EXPORTACION DIRECTA</v>
          </cell>
          <cell r="J212">
            <v>1023349</v>
          </cell>
          <cell r="K212">
            <v>0</v>
          </cell>
          <cell r="L212">
            <v>0</v>
          </cell>
          <cell r="M212">
            <v>0</v>
          </cell>
          <cell r="N212">
            <v>2500</v>
          </cell>
          <cell r="O212">
            <v>2500</v>
          </cell>
          <cell r="P212">
            <v>5000</v>
          </cell>
          <cell r="Q212">
            <v>0</v>
          </cell>
          <cell r="R212">
            <v>0</v>
          </cell>
          <cell r="S212">
            <v>0</v>
          </cell>
          <cell r="T212">
            <v>3.6440831999999999</v>
          </cell>
          <cell r="U212">
            <v>3.7589816800000002</v>
          </cell>
          <cell r="V212">
            <v>1.4806129760000002</v>
          </cell>
          <cell r="W212">
            <v>3.7015324399999998</v>
          </cell>
        </row>
        <row r="213">
          <cell r="A213" t="str">
            <v>EXPORTACION DIRECTA1023351</v>
          </cell>
          <cell r="B213" t="str">
            <v>EXPORTACION DIRECTA</v>
          </cell>
          <cell r="C213">
            <v>1023351</v>
          </cell>
          <cell r="D213">
            <v>5000</v>
          </cell>
          <cell r="H213" t="str">
            <v>EXPORTACION DIRECTA1023350</v>
          </cell>
          <cell r="I213" t="str">
            <v>EXPORTACION DIRECTA</v>
          </cell>
          <cell r="J213">
            <v>1023350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20000</v>
          </cell>
          <cell r="P213">
            <v>20000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3.5535312499999998</v>
          </cell>
          <cell r="V213">
            <v>0.71070624999999998</v>
          </cell>
          <cell r="W213">
            <v>3.5535312499999998</v>
          </cell>
        </row>
        <row r="214">
          <cell r="A214" t="str">
            <v>EXPORTACION DIRECTA1023352</v>
          </cell>
          <cell r="B214" t="str">
            <v>EXPORTACION DIRECTA</v>
          </cell>
          <cell r="C214">
            <v>1023352</v>
          </cell>
          <cell r="D214">
            <v>28000</v>
          </cell>
          <cell r="H214" t="str">
            <v>EXPORTACION DIRECTA1023351</v>
          </cell>
          <cell r="I214" t="str">
            <v>EXPORTACION DIRECTA</v>
          </cell>
          <cell r="J214">
            <v>1023351</v>
          </cell>
          <cell r="K214">
            <v>0</v>
          </cell>
          <cell r="L214">
            <v>0</v>
          </cell>
          <cell r="M214">
            <v>0</v>
          </cell>
          <cell r="N214">
            <v>5000</v>
          </cell>
          <cell r="O214">
            <v>0</v>
          </cell>
          <cell r="P214">
            <v>5000</v>
          </cell>
          <cell r="Q214">
            <v>0</v>
          </cell>
          <cell r="R214">
            <v>0</v>
          </cell>
          <cell r="S214">
            <v>0</v>
          </cell>
          <cell r="T214">
            <v>4.2384909400000002</v>
          </cell>
          <cell r="U214">
            <v>0</v>
          </cell>
          <cell r="V214">
            <v>0.84769818800000007</v>
          </cell>
          <cell r="W214">
            <v>4.2384909400000002</v>
          </cell>
        </row>
        <row r="215">
          <cell r="A215" t="str">
            <v>EXPORTACION DIRECTA1022919</v>
          </cell>
          <cell r="B215" t="str">
            <v>EXPORTACION DIRECTA</v>
          </cell>
          <cell r="C215">
            <v>1022919</v>
          </cell>
          <cell r="D215">
            <v>24000</v>
          </cell>
          <cell r="H215" t="str">
            <v>EXPORTACION DIRECTA1023352</v>
          </cell>
          <cell r="I215" t="str">
            <v>EXPORTACION DIRECTA</v>
          </cell>
          <cell r="J215">
            <v>1023352</v>
          </cell>
          <cell r="K215">
            <v>0</v>
          </cell>
          <cell r="L215">
            <v>3500</v>
          </cell>
          <cell r="M215">
            <v>3000</v>
          </cell>
          <cell r="N215">
            <v>21500</v>
          </cell>
          <cell r="O215">
            <v>0</v>
          </cell>
          <cell r="P215">
            <v>28000</v>
          </cell>
          <cell r="Q215">
            <v>0</v>
          </cell>
          <cell r="R215">
            <v>4.6216998737499999</v>
          </cell>
          <cell r="S215">
            <v>4.4222028274999996</v>
          </cell>
          <cell r="T215">
            <v>4.3826802924999999</v>
          </cell>
          <cell r="U215">
            <v>0</v>
          </cell>
          <cell r="V215">
            <v>2.6853165987500001</v>
          </cell>
          <cell r="W215">
            <v>4.4167922974776781</v>
          </cell>
        </row>
        <row r="216">
          <cell r="A216" t="str">
            <v>EXPORTACION DIRECTA1022313</v>
          </cell>
          <cell r="B216" t="str">
            <v>EXPORTACION DIRECTA</v>
          </cell>
          <cell r="C216">
            <v>1022313</v>
          </cell>
          <cell r="D216">
            <v>10000</v>
          </cell>
          <cell r="H216" t="str">
            <v>EXPORTACION DIRECTA1022919</v>
          </cell>
          <cell r="I216" t="str">
            <v>EXPORTACION DIRECTA</v>
          </cell>
          <cell r="J216">
            <v>1022919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24000</v>
          </cell>
          <cell r="P216">
            <v>24000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4.0470470583333302</v>
          </cell>
          <cell r="V216">
            <v>0.80940941166666602</v>
          </cell>
          <cell r="W216">
            <v>4.0470470583333302</v>
          </cell>
        </row>
        <row r="217">
          <cell r="A217" t="str">
            <v/>
          </cell>
          <cell r="H217" t="str">
            <v>EXPORTACION DIRECTA1022313</v>
          </cell>
          <cell r="I217" t="str">
            <v>EXPORTACION DIRECTA</v>
          </cell>
          <cell r="J217">
            <v>1022313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10000</v>
          </cell>
          <cell r="P217">
            <v>10000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3.8676856000000002</v>
          </cell>
          <cell r="V217">
            <v>0.77353712000000008</v>
          </cell>
          <cell r="W217">
            <v>3.8676856000000002</v>
          </cell>
        </row>
        <row r="218">
          <cell r="A218" t="str">
            <v/>
          </cell>
          <cell r="H218" t="str">
            <v/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 t="e">
            <v>#DIV/0!</v>
          </cell>
        </row>
        <row r="219">
          <cell r="A219" t="str">
            <v/>
          </cell>
          <cell r="H219" t="str">
            <v/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 t="e">
            <v>#DIV/0!</v>
          </cell>
        </row>
        <row r="220">
          <cell r="A220" t="str">
            <v/>
          </cell>
          <cell r="H220" t="str">
            <v/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 t="e">
            <v>#DIV/0!</v>
          </cell>
        </row>
        <row r="221">
          <cell r="A221" t="str">
            <v/>
          </cell>
          <cell r="H221" t="str">
            <v/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 t="e">
            <v>#DIV/0!</v>
          </cell>
        </row>
        <row r="222">
          <cell r="A222" t="str">
            <v/>
          </cell>
          <cell r="H222" t="str">
            <v/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 t="e">
            <v>#DIV/0!</v>
          </cell>
        </row>
        <row r="223">
          <cell r="A223" t="str">
            <v/>
          </cell>
        </row>
        <row r="224">
          <cell r="A224" t="str">
            <v/>
          </cell>
        </row>
        <row r="225">
          <cell r="A225" t="str">
            <v/>
          </cell>
        </row>
        <row r="226">
          <cell r="A226" t="str">
            <v/>
          </cell>
        </row>
        <row r="227">
          <cell r="A227" t="str">
            <v/>
          </cell>
        </row>
        <row r="228">
          <cell r="A228" t="str">
            <v/>
          </cell>
        </row>
        <row r="229">
          <cell r="A229" t="str">
            <v/>
          </cell>
        </row>
        <row r="230">
          <cell r="A230" t="str">
            <v/>
          </cell>
        </row>
        <row r="231">
          <cell r="A231" t="str">
            <v/>
          </cell>
        </row>
        <row r="232">
          <cell r="A232" t="str">
            <v/>
          </cell>
        </row>
        <row r="233">
          <cell r="A233" t="str">
            <v/>
          </cell>
        </row>
        <row r="234">
          <cell r="A234" t="str">
            <v/>
          </cell>
        </row>
        <row r="235">
          <cell r="A235" t="str">
            <v/>
          </cell>
        </row>
        <row r="236">
          <cell r="A236" t="str">
            <v/>
          </cell>
        </row>
        <row r="237">
          <cell r="A237" t="str">
            <v/>
          </cell>
        </row>
        <row r="238">
          <cell r="A238" t="str">
            <v/>
          </cell>
        </row>
        <row r="239">
          <cell r="A239" t="str">
            <v/>
          </cell>
        </row>
        <row r="240">
          <cell r="A240" t="str">
            <v/>
          </cell>
        </row>
        <row r="241">
          <cell r="A241" t="str">
            <v/>
          </cell>
        </row>
        <row r="242">
          <cell r="A242" t="str">
            <v/>
          </cell>
        </row>
        <row r="243">
          <cell r="A243" t="str">
            <v/>
          </cell>
        </row>
        <row r="244">
          <cell r="A244" t="str">
            <v/>
          </cell>
        </row>
        <row r="245">
          <cell r="A245" t="str">
            <v/>
          </cell>
        </row>
        <row r="246">
          <cell r="A246" t="str">
            <v/>
          </cell>
        </row>
        <row r="247">
          <cell r="A247" t="str">
            <v/>
          </cell>
        </row>
        <row r="248">
          <cell r="A248" t="str">
            <v/>
          </cell>
        </row>
        <row r="249">
          <cell r="A249" t="str">
            <v/>
          </cell>
        </row>
        <row r="250">
          <cell r="A250" t="str">
            <v/>
          </cell>
        </row>
        <row r="251">
          <cell r="A251" t="str">
            <v/>
          </cell>
        </row>
        <row r="252">
          <cell r="A252" t="str">
            <v/>
          </cell>
        </row>
        <row r="253">
          <cell r="A253" t="str">
            <v/>
          </cell>
        </row>
        <row r="254">
          <cell r="A254" t="str">
            <v/>
          </cell>
        </row>
        <row r="255">
          <cell r="A255" t="str">
            <v/>
          </cell>
        </row>
        <row r="256">
          <cell r="A256" t="str">
            <v/>
          </cell>
        </row>
        <row r="257">
          <cell r="A257" t="str">
            <v/>
          </cell>
        </row>
        <row r="258">
          <cell r="A258" t="str">
            <v/>
          </cell>
        </row>
        <row r="259">
          <cell r="A259" t="str">
            <v/>
          </cell>
        </row>
        <row r="260">
          <cell r="A260" t="str">
            <v/>
          </cell>
        </row>
        <row r="261">
          <cell r="A261" t="str">
            <v/>
          </cell>
        </row>
        <row r="262">
          <cell r="A262" t="str">
            <v/>
          </cell>
        </row>
        <row r="263">
          <cell r="A263" t="str">
            <v/>
          </cell>
        </row>
        <row r="264">
          <cell r="A264" t="str">
            <v/>
          </cell>
        </row>
        <row r="265">
          <cell r="A265" t="str">
            <v/>
          </cell>
        </row>
        <row r="266">
          <cell r="A266" t="str">
            <v/>
          </cell>
        </row>
        <row r="267">
          <cell r="A267" t="str">
            <v/>
          </cell>
        </row>
        <row r="268">
          <cell r="A268" t="str">
            <v/>
          </cell>
        </row>
        <row r="269">
          <cell r="A269" t="str">
            <v/>
          </cell>
        </row>
        <row r="270">
          <cell r="A270" t="str">
            <v/>
          </cell>
        </row>
        <row r="271">
          <cell r="A271" t="str">
            <v/>
          </cell>
        </row>
        <row r="272">
          <cell r="A272" t="str">
            <v/>
          </cell>
        </row>
        <row r="273">
          <cell r="A273" t="str">
            <v/>
          </cell>
        </row>
        <row r="274">
          <cell r="A274" t="str">
            <v/>
          </cell>
        </row>
        <row r="275">
          <cell r="A275" t="str">
            <v/>
          </cell>
        </row>
        <row r="276">
          <cell r="A276" t="str">
            <v/>
          </cell>
        </row>
        <row r="277">
          <cell r="A277" t="str">
            <v/>
          </cell>
        </row>
        <row r="278">
          <cell r="A278" t="str">
            <v/>
          </cell>
        </row>
        <row r="279">
          <cell r="A279" t="str">
            <v/>
          </cell>
        </row>
        <row r="280">
          <cell r="A280" t="str">
            <v/>
          </cell>
        </row>
        <row r="281">
          <cell r="A281" t="str">
            <v/>
          </cell>
        </row>
        <row r="282">
          <cell r="A282" t="str">
            <v/>
          </cell>
        </row>
        <row r="283">
          <cell r="A283" t="str">
            <v/>
          </cell>
        </row>
        <row r="284">
          <cell r="A284" t="str">
            <v/>
          </cell>
        </row>
        <row r="285">
          <cell r="A285" t="str">
            <v/>
          </cell>
        </row>
        <row r="286">
          <cell r="A286" t="str">
            <v/>
          </cell>
        </row>
        <row r="287">
          <cell r="A287" t="str">
            <v/>
          </cell>
        </row>
        <row r="288">
          <cell r="A288" t="str">
            <v/>
          </cell>
        </row>
        <row r="289">
          <cell r="A289" t="str">
            <v/>
          </cell>
        </row>
        <row r="290">
          <cell r="A290" t="str">
            <v/>
          </cell>
        </row>
        <row r="291">
          <cell r="A291" t="str">
            <v/>
          </cell>
        </row>
        <row r="292">
          <cell r="A292" t="str">
            <v/>
          </cell>
        </row>
        <row r="293">
          <cell r="A293" t="str">
            <v/>
          </cell>
        </row>
        <row r="294">
          <cell r="A294" t="str">
            <v/>
          </cell>
        </row>
        <row r="295">
          <cell r="A295" t="str">
            <v/>
          </cell>
        </row>
        <row r="296">
          <cell r="A296" t="str">
            <v/>
          </cell>
        </row>
        <row r="297">
          <cell r="A297" t="str">
            <v/>
          </cell>
        </row>
        <row r="298">
          <cell r="A298" t="str">
            <v/>
          </cell>
        </row>
        <row r="299">
          <cell r="A299" t="str">
            <v/>
          </cell>
        </row>
        <row r="300">
          <cell r="A300" t="str">
            <v/>
          </cell>
        </row>
        <row r="301">
          <cell r="A301" t="str">
            <v/>
          </cell>
        </row>
        <row r="302">
          <cell r="A302" t="str">
            <v/>
          </cell>
        </row>
        <row r="303">
          <cell r="A303" t="str">
            <v/>
          </cell>
        </row>
        <row r="304">
          <cell r="A304" t="str">
            <v/>
          </cell>
        </row>
        <row r="305">
          <cell r="A305" t="str">
            <v/>
          </cell>
        </row>
        <row r="306">
          <cell r="A306" t="str">
            <v/>
          </cell>
        </row>
        <row r="307">
          <cell r="A307" t="str">
            <v/>
          </cell>
        </row>
        <row r="308">
          <cell r="A308" t="str">
            <v/>
          </cell>
        </row>
        <row r="309">
          <cell r="A309" t="str">
            <v/>
          </cell>
        </row>
        <row r="310">
          <cell r="A310" t="str">
            <v/>
          </cell>
        </row>
        <row r="311">
          <cell r="A311" t="str">
            <v/>
          </cell>
        </row>
        <row r="312">
          <cell r="A312" t="str">
            <v/>
          </cell>
        </row>
        <row r="313">
          <cell r="A313" t="str">
            <v/>
          </cell>
        </row>
        <row r="314">
          <cell r="A314" t="str">
            <v/>
          </cell>
        </row>
        <row r="315">
          <cell r="A315" t="str">
            <v/>
          </cell>
        </row>
        <row r="316">
          <cell r="A316" t="str">
            <v/>
          </cell>
        </row>
        <row r="317">
          <cell r="A317" t="str">
            <v/>
          </cell>
        </row>
        <row r="318">
          <cell r="A318" t="str">
            <v/>
          </cell>
        </row>
        <row r="319">
          <cell r="A319" t="str">
            <v/>
          </cell>
        </row>
        <row r="320">
          <cell r="A320" t="str">
            <v/>
          </cell>
        </row>
        <row r="321">
          <cell r="A321" t="str">
            <v/>
          </cell>
        </row>
        <row r="322">
          <cell r="A322" t="str">
            <v/>
          </cell>
        </row>
        <row r="323">
          <cell r="A323" t="str">
            <v/>
          </cell>
        </row>
        <row r="324">
          <cell r="A324" t="str">
            <v/>
          </cell>
        </row>
        <row r="325">
          <cell r="A325" t="str">
            <v/>
          </cell>
        </row>
        <row r="326">
          <cell r="A326" t="str">
            <v/>
          </cell>
        </row>
        <row r="327">
          <cell r="A327" t="str">
            <v/>
          </cell>
        </row>
        <row r="328">
          <cell r="A328" t="str">
            <v/>
          </cell>
        </row>
        <row r="329">
          <cell r="A329" t="str">
            <v/>
          </cell>
        </row>
        <row r="330">
          <cell r="A330" t="str">
            <v/>
          </cell>
        </row>
        <row r="331">
          <cell r="A331" t="str">
            <v/>
          </cell>
        </row>
        <row r="332">
          <cell r="A332" t="str">
            <v/>
          </cell>
        </row>
        <row r="333">
          <cell r="A333" t="str">
            <v/>
          </cell>
        </row>
        <row r="334">
          <cell r="A334" t="str">
            <v/>
          </cell>
        </row>
        <row r="335">
          <cell r="A335" t="str">
            <v/>
          </cell>
        </row>
        <row r="336">
          <cell r="A336" t="str">
            <v/>
          </cell>
        </row>
        <row r="337">
          <cell r="A337" t="str">
            <v/>
          </cell>
        </row>
        <row r="338">
          <cell r="A338" t="str">
            <v/>
          </cell>
        </row>
        <row r="339">
          <cell r="A339" t="str">
            <v/>
          </cell>
        </row>
        <row r="340">
          <cell r="A340" t="str">
            <v/>
          </cell>
        </row>
        <row r="341">
          <cell r="A341" t="str">
            <v/>
          </cell>
        </row>
        <row r="342">
          <cell r="A342" t="str">
            <v/>
          </cell>
        </row>
        <row r="343">
          <cell r="A343" t="str">
            <v/>
          </cell>
        </row>
        <row r="344">
          <cell r="A344" t="str">
            <v/>
          </cell>
        </row>
        <row r="345">
          <cell r="A345" t="str">
            <v/>
          </cell>
        </row>
        <row r="346">
          <cell r="A346" t="str">
            <v/>
          </cell>
        </row>
        <row r="347">
          <cell r="A347" t="str">
            <v/>
          </cell>
        </row>
        <row r="348">
          <cell r="A348" t="str">
            <v/>
          </cell>
        </row>
        <row r="349">
          <cell r="A349" t="str">
            <v/>
          </cell>
        </row>
        <row r="350">
          <cell r="A350" t="str">
            <v/>
          </cell>
        </row>
        <row r="351">
          <cell r="A351" t="str">
            <v/>
          </cell>
        </row>
        <row r="352">
          <cell r="A352" t="str">
            <v/>
          </cell>
        </row>
        <row r="353">
          <cell r="A353" t="str">
            <v/>
          </cell>
        </row>
        <row r="354">
          <cell r="A354" t="str">
            <v/>
          </cell>
        </row>
        <row r="355">
          <cell r="A355" t="str">
            <v/>
          </cell>
        </row>
        <row r="356">
          <cell r="A356" t="str">
            <v/>
          </cell>
        </row>
        <row r="357">
          <cell r="A357" t="str">
            <v/>
          </cell>
        </row>
        <row r="358">
          <cell r="A358" t="str">
            <v/>
          </cell>
        </row>
        <row r="359">
          <cell r="A359" t="str">
            <v/>
          </cell>
        </row>
        <row r="360">
          <cell r="A360" t="str">
            <v/>
          </cell>
        </row>
        <row r="361">
          <cell r="A361" t="str">
            <v/>
          </cell>
        </row>
        <row r="362">
          <cell r="A362" t="str">
            <v/>
          </cell>
        </row>
        <row r="363">
          <cell r="A363" t="str">
            <v/>
          </cell>
        </row>
        <row r="364">
          <cell r="A364" t="str">
            <v/>
          </cell>
        </row>
        <row r="365">
          <cell r="A365" t="str">
            <v/>
          </cell>
        </row>
        <row r="366">
          <cell r="A366" t="str">
            <v/>
          </cell>
        </row>
        <row r="367">
          <cell r="A367" t="str">
            <v/>
          </cell>
        </row>
        <row r="368">
          <cell r="A368" t="str">
            <v/>
          </cell>
        </row>
        <row r="369">
          <cell r="A369" t="str">
            <v/>
          </cell>
        </row>
        <row r="370">
          <cell r="A370" t="str">
            <v/>
          </cell>
        </row>
        <row r="371">
          <cell r="A371" t="str">
            <v/>
          </cell>
        </row>
        <row r="372">
          <cell r="A372" t="str">
            <v/>
          </cell>
        </row>
        <row r="373">
          <cell r="A373" t="str">
            <v/>
          </cell>
        </row>
        <row r="374">
          <cell r="A374" t="str">
            <v/>
          </cell>
        </row>
        <row r="375">
          <cell r="A375" t="str">
            <v/>
          </cell>
        </row>
        <row r="376">
          <cell r="A376" t="str">
            <v/>
          </cell>
        </row>
        <row r="377">
          <cell r="A377" t="str">
            <v/>
          </cell>
        </row>
        <row r="378">
          <cell r="A378" t="str">
            <v/>
          </cell>
        </row>
        <row r="379">
          <cell r="A379" t="str">
            <v/>
          </cell>
        </row>
        <row r="380">
          <cell r="A380" t="str">
            <v/>
          </cell>
        </row>
        <row r="381">
          <cell r="A381" t="str">
            <v/>
          </cell>
        </row>
        <row r="382">
          <cell r="A382" t="str">
            <v/>
          </cell>
        </row>
        <row r="383">
          <cell r="A383" t="str">
            <v/>
          </cell>
        </row>
        <row r="384">
          <cell r="A384" t="str">
            <v/>
          </cell>
        </row>
        <row r="385">
          <cell r="A385" t="str">
            <v/>
          </cell>
        </row>
        <row r="386">
          <cell r="A386" t="str">
            <v/>
          </cell>
        </row>
        <row r="387">
          <cell r="A387" t="str">
            <v/>
          </cell>
        </row>
        <row r="388">
          <cell r="A388" t="str">
            <v/>
          </cell>
        </row>
        <row r="389">
          <cell r="A389" t="str">
            <v/>
          </cell>
        </row>
        <row r="390">
          <cell r="A390" t="str">
            <v/>
          </cell>
        </row>
        <row r="391">
          <cell r="A391" t="str">
            <v/>
          </cell>
        </row>
        <row r="392">
          <cell r="A392" t="str">
            <v/>
          </cell>
        </row>
        <row r="393">
          <cell r="A393" t="str">
            <v/>
          </cell>
        </row>
        <row r="394">
          <cell r="A394" t="str">
            <v/>
          </cell>
        </row>
        <row r="395">
          <cell r="A395" t="str">
            <v/>
          </cell>
        </row>
        <row r="396">
          <cell r="A396" t="str">
            <v/>
          </cell>
        </row>
        <row r="397">
          <cell r="A397" t="str">
            <v/>
          </cell>
        </row>
        <row r="398">
          <cell r="A398" t="str">
            <v/>
          </cell>
        </row>
        <row r="399">
          <cell r="A399" t="str">
            <v/>
          </cell>
        </row>
        <row r="400">
          <cell r="A400" t="str">
            <v/>
          </cell>
        </row>
        <row r="401">
          <cell r="A401" t="str">
            <v/>
          </cell>
        </row>
        <row r="402">
          <cell r="A402" t="str">
            <v/>
          </cell>
        </row>
        <row r="403">
          <cell r="A403" t="str">
            <v/>
          </cell>
        </row>
        <row r="404">
          <cell r="A404" t="str">
            <v/>
          </cell>
        </row>
        <row r="405">
          <cell r="A405" t="str">
            <v/>
          </cell>
        </row>
        <row r="406">
          <cell r="A406" t="str">
            <v/>
          </cell>
        </row>
        <row r="407">
          <cell r="A407" t="str">
            <v/>
          </cell>
        </row>
        <row r="408">
          <cell r="A408" t="str">
            <v/>
          </cell>
        </row>
        <row r="409">
          <cell r="A409" t="str">
            <v/>
          </cell>
        </row>
        <row r="410">
          <cell r="A410" t="str">
            <v/>
          </cell>
        </row>
        <row r="411">
          <cell r="A411" t="str">
            <v/>
          </cell>
        </row>
        <row r="412">
          <cell r="A412" t="str">
            <v/>
          </cell>
        </row>
        <row r="413">
          <cell r="A413" t="str">
            <v/>
          </cell>
        </row>
        <row r="414">
          <cell r="A414" t="str">
            <v/>
          </cell>
        </row>
        <row r="415">
          <cell r="A415" t="str">
            <v/>
          </cell>
        </row>
        <row r="416">
          <cell r="A416" t="str">
            <v/>
          </cell>
        </row>
        <row r="417">
          <cell r="A417" t="str">
            <v/>
          </cell>
        </row>
        <row r="418">
          <cell r="A418" t="str">
            <v/>
          </cell>
        </row>
        <row r="419">
          <cell r="A419" t="str">
            <v/>
          </cell>
        </row>
        <row r="420">
          <cell r="A420" t="str">
            <v/>
          </cell>
        </row>
        <row r="421">
          <cell r="A421" t="str">
            <v/>
          </cell>
        </row>
        <row r="422">
          <cell r="A422" t="str">
            <v/>
          </cell>
        </row>
        <row r="423">
          <cell r="A423" t="str">
            <v/>
          </cell>
        </row>
        <row r="424">
          <cell r="A424" t="str">
            <v/>
          </cell>
        </row>
        <row r="425">
          <cell r="A425" t="str">
            <v/>
          </cell>
        </row>
        <row r="426">
          <cell r="A426" t="str">
            <v/>
          </cell>
        </row>
        <row r="427">
          <cell r="A427" t="str">
            <v/>
          </cell>
        </row>
        <row r="428">
          <cell r="A428" t="str">
            <v/>
          </cell>
        </row>
        <row r="429">
          <cell r="A429" t="str">
            <v/>
          </cell>
        </row>
        <row r="430">
          <cell r="A430" t="str">
            <v/>
          </cell>
        </row>
        <row r="431">
          <cell r="A431" t="str">
            <v/>
          </cell>
        </row>
        <row r="432">
          <cell r="A432" t="str">
            <v/>
          </cell>
        </row>
        <row r="433">
          <cell r="A433" t="str">
            <v/>
          </cell>
        </row>
        <row r="434">
          <cell r="A434" t="str">
            <v/>
          </cell>
        </row>
        <row r="435">
          <cell r="A435" t="str">
            <v/>
          </cell>
        </row>
        <row r="436">
          <cell r="A436" t="str">
            <v/>
          </cell>
        </row>
      </sheetData>
      <sheetData sheetId="2">
        <row r="2">
          <cell r="I2"/>
        </row>
        <row r="3">
          <cell r="G3" t="str">
            <v>Agrosuper Shanghai</v>
          </cell>
          <cell r="H3"/>
        </row>
        <row r="4">
          <cell r="F4">
            <v>17329495.189000003</v>
          </cell>
          <cell r="H4">
            <v>27.67403185249438</v>
          </cell>
          <cell r="I4">
            <v>14049533.987280706</v>
          </cell>
        </row>
        <row r="5">
          <cell r="E5" t="str">
            <v>SKU</v>
          </cell>
          <cell r="F5" t="str">
            <v>SKU</v>
          </cell>
          <cell r="G5" t="str">
            <v>Oficina</v>
          </cell>
          <cell r="H5" t="str">
            <v>% VD</v>
          </cell>
          <cell r="I5" t="str">
            <v>Volumen Final</v>
          </cell>
        </row>
        <row r="6">
          <cell r="E6">
            <v>1010078</v>
          </cell>
          <cell r="F6">
            <v>662.38</v>
          </cell>
          <cell r="G6" t="str">
            <v/>
          </cell>
          <cell r="H6" t="str">
            <v/>
          </cell>
          <cell r="I6">
            <v>662.38</v>
          </cell>
        </row>
        <row r="7">
          <cell r="E7">
            <v>1010143</v>
          </cell>
          <cell r="F7">
            <v>23780.839000000004</v>
          </cell>
          <cell r="G7" t="str">
            <v/>
          </cell>
          <cell r="H7" t="str">
            <v/>
          </cell>
          <cell r="I7">
            <v>23780.839000000004</v>
          </cell>
        </row>
        <row r="8">
          <cell r="E8">
            <v>1010176</v>
          </cell>
          <cell r="F8">
            <v>6526.5970000000007</v>
          </cell>
          <cell r="G8" t="str">
            <v/>
          </cell>
          <cell r="H8" t="str">
            <v/>
          </cell>
          <cell r="I8">
            <v>6526.5970000000007</v>
          </cell>
        </row>
        <row r="9">
          <cell r="E9">
            <v>1010204</v>
          </cell>
          <cell r="F9">
            <v>5427.625</v>
          </cell>
          <cell r="G9" t="str">
            <v/>
          </cell>
          <cell r="H9" t="str">
            <v/>
          </cell>
          <cell r="I9">
            <v>5427.625</v>
          </cell>
        </row>
        <row r="10">
          <cell r="E10">
            <v>1010291</v>
          </cell>
          <cell r="F10">
            <v>8041.52</v>
          </cell>
          <cell r="G10" t="str">
            <v/>
          </cell>
          <cell r="H10" t="str">
            <v/>
          </cell>
          <cell r="I10">
            <v>8041.52</v>
          </cell>
        </row>
        <row r="11">
          <cell r="E11">
            <v>1010431</v>
          </cell>
          <cell r="F11">
            <v>9354</v>
          </cell>
          <cell r="G11" t="str">
            <v/>
          </cell>
          <cell r="H11" t="str">
            <v/>
          </cell>
          <cell r="I11">
            <v>9354</v>
          </cell>
        </row>
        <row r="12">
          <cell r="E12">
            <v>1010792</v>
          </cell>
          <cell r="F12">
            <v>35772.799999999996</v>
          </cell>
          <cell r="G12" t="str">
            <v/>
          </cell>
          <cell r="H12" t="str">
            <v/>
          </cell>
          <cell r="I12">
            <v>35772.799999999996</v>
          </cell>
        </row>
        <row r="13">
          <cell r="E13">
            <v>1010877</v>
          </cell>
          <cell r="F13">
            <v>107870</v>
          </cell>
          <cell r="G13" t="str">
            <v>Agro Sudamerica</v>
          </cell>
          <cell r="H13" t="str">
            <v/>
          </cell>
          <cell r="I13">
            <v>107870</v>
          </cell>
        </row>
        <row r="14">
          <cell r="E14">
            <v>1010885</v>
          </cell>
          <cell r="F14">
            <v>18.14</v>
          </cell>
          <cell r="G14" t="str">
            <v>Agro America</v>
          </cell>
          <cell r="H14" t="str">
            <v/>
          </cell>
          <cell r="I14">
            <v>18.14</v>
          </cell>
        </row>
        <row r="15">
          <cell r="E15">
            <v>1011042</v>
          </cell>
          <cell r="F15">
            <v>35030</v>
          </cell>
          <cell r="G15" t="str">
            <v>Africa</v>
          </cell>
          <cell r="H15" t="str">
            <v/>
          </cell>
          <cell r="I15">
            <v>35030</v>
          </cell>
        </row>
        <row r="16">
          <cell r="E16">
            <v>1011127</v>
          </cell>
          <cell r="F16">
            <v>123910</v>
          </cell>
          <cell r="G16" t="str">
            <v>Agro Mexico</v>
          </cell>
          <cell r="H16" t="str">
            <v/>
          </cell>
          <cell r="I16">
            <v>123910</v>
          </cell>
        </row>
        <row r="17">
          <cell r="E17">
            <v>1011138</v>
          </cell>
          <cell r="F17">
            <v>2461.817</v>
          </cell>
          <cell r="G17" t="str">
            <v/>
          </cell>
          <cell r="H17" t="str">
            <v/>
          </cell>
          <cell r="I17">
            <v>2461.817</v>
          </cell>
        </row>
        <row r="18">
          <cell r="E18">
            <v>1011139</v>
          </cell>
          <cell r="F18">
            <v>40887.522000000012</v>
          </cell>
          <cell r="G18" t="str">
            <v/>
          </cell>
          <cell r="H18" t="str">
            <v/>
          </cell>
          <cell r="I18">
            <v>40887.522000000012</v>
          </cell>
        </row>
        <row r="19">
          <cell r="E19">
            <v>1011140</v>
          </cell>
          <cell r="F19">
            <v>25590.134000000002</v>
          </cell>
          <cell r="G19" t="str">
            <v/>
          </cell>
          <cell r="H19" t="str">
            <v/>
          </cell>
          <cell r="I19">
            <v>25590.134000000002</v>
          </cell>
        </row>
        <row r="20">
          <cell r="E20">
            <v>1011141</v>
          </cell>
          <cell r="F20">
            <v>24759.747999999992</v>
          </cell>
          <cell r="G20" t="str">
            <v/>
          </cell>
          <cell r="H20" t="str">
            <v/>
          </cell>
          <cell r="I20">
            <v>24759.747999999992</v>
          </cell>
        </row>
        <row r="21">
          <cell r="E21">
            <v>1011142</v>
          </cell>
          <cell r="F21">
            <v>39056.837</v>
          </cell>
          <cell r="G21" t="str">
            <v/>
          </cell>
          <cell r="H21" t="str">
            <v/>
          </cell>
          <cell r="I21">
            <v>39056.837</v>
          </cell>
        </row>
        <row r="22">
          <cell r="E22">
            <v>1011143</v>
          </cell>
          <cell r="F22">
            <v>11481.426000000001</v>
          </cell>
          <cell r="G22" t="str">
            <v/>
          </cell>
          <cell r="H22" t="str">
            <v/>
          </cell>
          <cell r="I22">
            <v>11481.426000000001</v>
          </cell>
        </row>
        <row r="23">
          <cell r="E23">
            <v>1011144</v>
          </cell>
          <cell r="F23">
            <v>29733.277000000002</v>
          </cell>
          <cell r="G23" t="str">
            <v/>
          </cell>
          <cell r="H23" t="str">
            <v/>
          </cell>
          <cell r="I23">
            <v>29733.277000000002</v>
          </cell>
        </row>
        <row r="24">
          <cell r="E24">
            <v>1011145</v>
          </cell>
          <cell r="F24">
            <v>11657.866999999998</v>
          </cell>
          <cell r="G24" t="str">
            <v/>
          </cell>
          <cell r="H24" t="str">
            <v/>
          </cell>
          <cell r="I24">
            <v>11657.866999999998</v>
          </cell>
        </row>
        <row r="25">
          <cell r="E25">
            <v>1011146</v>
          </cell>
          <cell r="F25">
            <v>8132.6669999999995</v>
          </cell>
          <cell r="G25" t="str">
            <v/>
          </cell>
          <cell r="H25" t="str">
            <v/>
          </cell>
          <cell r="I25">
            <v>8132.6669999999995</v>
          </cell>
        </row>
        <row r="26">
          <cell r="E26">
            <v>1011156</v>
          </cell>
          <cell r="F26">
            <v>5659.8340000000007</v>
          </cell>
          <cell r="G26" t="str">
            <v/>
          </cell>
          <cell r="H26" t="str">
            <v/>
          </cell>
          <cell r="I26">
            <v>5659.8340000000007</v>
          </cell>
        </row>
        <row r="27">
          <cell r="E27">
            <v>1011157</v>
          </cell>
          <cell r="F27">
            <v>2248.366</v>
          </cell>
          <cell r="G27" t="str">
            <v/>
          </cell>
          <cell r="H27" t="str">
            <v/>
          </cell>
          <cell r="I27">
            <v>2248.366</v>
          </cell>
        </row>
        <row r="28">
          <cell r="E28">
            <v>1011250</v>
          </cell>
          <cell r="F28">
            <v>11591.46</v>
          </cell>
          <cell r="G28" t="str">
            <v>Agro America</v>
          </cell>
          <cell r="H28" t="str">
            <v/>
          </cell>
          <cell r="I28">
            <v>11591.46</v>
          </cell>
        </row>
        <row r="29">
          <cell r="E29">
            <v>1011290</v>
          </cell>
          <cell r="F29">
            <v>499.31</v>
          </cell>
          <cell r="G29" t="str">
            <v>Agro Sudamerica</v>
          </cell>
          <cell r="H29" t="str">
            <v/>
          </cell>
          <cell r="I29">
            <v>499.31</v>
          </cell>
        </row>
        <row r="30">
          <cell r="E30">
            <v>1011330</v>
          </cell>
          <cell r="F30">
            <v>54026</v>
          </cell>
          <cell r="G30" t="str">
            <v/>
          </cell>
          <cell r="H30" t="str">
            <v/>
          </cell>
          <cell r="I30">
            <v>54026</v>
          </cell>
        </row>
        <row r="31">
          <cell r="E31">
            <v>1011331</v>
          </cell>
          <cell r="F31">
            <v>20104</v>
          </cell>
          <cell r="G31" t="str">
            <v/>
          </cell>
          <cell r="H31" t="str">
            <v/>
          </cell>
          <cell r="I31">
            <v>20104</v>
          </cell>
        </row>
        <row r="32">
          <cell r="E32">
            <v>1011421</v>
          </cell>
          <cell r="F32">
            <v>70233.347999999969</v>
          </cell>
          <cell r="G32" t="str">
            <v>Agro Sudamerica</v>
          </cell>
          <cell r="H32" t="str">
            <v/>
          </cell>
          <cell r="I32">
            <v>70233.347999999969</v>
          </cell>
        </row>
        <row r="33">
          <cell r="E33">
            <v>1011422</v>
          </cell>
          <cell r="F33">
            <v>1251.9760000000001</v>
          </cell>
          <cell r="G33" t="str">
            <v>Agro Sudamerica</v>
          </cell>
          <cell r="H33" t="str">
            <v/>
          </cell>
          <cell r="I33">
            <v>1251.9760000000001</v>
          </cell>
        </row>
        <row r="34">
          <cell r="E34">
            <v>1011558</v>
          </cell>
          <cell r="F34">
            <v>30349.744999999995</v>
          </cell>
          <cell r="G34" t="str">
            <v>Agro Sudamerica</v>
          </cell>
          <cell r="H34" t="str">
            <v/>
          </cell>
          <cell r="I34">
            <v>30349.744999999995</v>
          </cell>
        </row>
        <row r="35">
          <cell r="E35">
            <v>1011560</v>
          </cell>
          <cell r="F35">
            <v>17856</v>
          </cell>
          <cell r="G35" t="str">
            <v>Agrosuper Brasil</v>
          </cell>
          <cell r="H35" t="str">
            <v/>
          </cell>
          <cell r="I35">
            <v>17856</v>
          </cell>
        </row>
        <row r="36">
          <cell r="E36">
            <v>1011586</v>
          </cell>
          <cell r="F36">
            <v>12915.679999999998</v>
          </cell>
          <cell r="G36" t="str">
            <v>Agrosuper Shanghai</v>
          </cell>
          <cell r="H36">
            <v>0.6</v>
          </cell>
          <cell r="I36">
            <v>7749.4079999999985</v>
          </cell>
        </row>
        <row r="37">
          <cell r="E37">
            <v>1011614</v>
          </cell>
          <cell r="F37">
            <v>1795.8600000000001</v>
          </cell>
          <cell r="G37" t="str">
            <v>Agro Mexico</v>
          </cell>
          <cell r="H37" t="str">
            <v/>
          </cell>
          <cell r="I37">
            <v>1795.8600000000001</v>
          </cell>
        </row>
        <row r="38">
          <cell r="E38">
            <v>1011626</v>
          </cell>
          <cell r="F38">
            <v>5486.4000000000005</v>
          </cell>
          <cell r="G38" t="str">
            <v/>
          </cell>
          <cell r="H38" t="str">
            <v/>
          </cell>
          <cell r="I38">
            <v>5486.4000000000005</v>
          </cell>
        </row>
        <row r="39">
          <cell r="E39">
            <v>1011627</v>
          </cell>
          <cell r="F39">
            <v>24767.999999999996</v>
          </cell>
          <cell r="G39" t="str">
            <v/>
          </cell>
          <cell r="H39" t="str">
            <v/>
          </cell>
          <cell r="I39">
            <v>24767.999999999996</v>
          </cell>
        </row>
        <row r="40">
          <cell r="E40">
            <v>1011629</v>
          </cell>
          <cell r="F40">
            <v>25318.400000000001</v>
          </cell>
          <cell r="G40" t="str">
            <v/>
          </cell>
          <cell r="H40" t="str">
            <v/>
          </cell>
          <cell r="I40">
            <v>25318.400000000001</v>
          </cell>
        </row>
        <row r="41">
          <cell r="E41">
            <v>1011632</v>
          </cell>
          <cell r="F41">
            <v>2232</v>
          </cell>
          <cell r="G41" t="str">
            <v/>
          </cell>
          <cell r="H41" t="str">
            <v/>
          </cell>
          <cell r="I41">
            <v>2232</v>
          </cell>
        </row>
        <row r="42">
          <cell r="E42">
            <v>1011672</v>
          </cell>
          <cell r="F42">
            <v>34929.400000000031</v>
          </cell>
          <cell r="G42" t="str">
            <v/>
          </cell>
          <cell r="H42" t="str">
            <v/>
          </cell>
          <cell r="I42">
            <v>34929.400000000031</v>
          </cell>
        </row>
        <row r="43">
          <cell r="E43">
            <v>1011678</v>
          </cell>
          <cell r="F43">
            <v>12636</v>
          </cell>
          <cell r="G43" t="str">
            <v/>
          </cell>
          <cell r="H43" t="str">
            <v/>
          </cell>
          <cell r="I43">
            <v>12636</v>
          </cell>
        </row>
        <row r="44">
          <cell r="E44">
            <v>1011680</v>
          </cell>
          <cell r="F44">
            <v>23220</v>
          </cell>
          <cell r="G44" t="str">
            <v/>
          </cell>
          <cell r="H44" t="str">
            <v/>
          </cell>
          <cell r="I44">
            <v>23220</v>
          </cell>
        </row>
        <row r="45">
          <cell r="E45">
            <v>1011700</v>
          </cell>
          <cell r="F45">
            <v>27036</v>
          </cell>
          <cell r="G45" t="str">
            <v/>
          </cell>
          <cell r="H45" t="str">
            <v/>
          </cell>
          <cell r="I45">
            <v>27036</v>
          </cell>
        </row>
        <row r="46">
          <cell r="E46">
            <v>1011701</v>
          </cell>
          <cell r="F46">
            <v>57734.005999999994</v>
          </cell>
          <cell r="G46" t="str">
            <v>Agro America</v>
          </cell>
          <cell r="H46" t="str">
            <v/>
          </cell>
          <cell r="I46">
            <v>57734.005999999994</v>
          </cell>
        </row>
        <row r="47">
          <cell r="E47">
            <v>1011770</v>
          </cell>
          <cell r="F47">
            <v>39594.020000000033</v>
          </cell>
          <cell r="G47" t="str">
            <v/>
          </cell>
          <cell r="H47" t="str">
            <v/>
          </cell>
          <cell r="I47">
            <v>39594.020000000033</v>
          </cell>
        </row>
        <row r="48">
          <cell r="E48">
            <v>1011967</v>
          </cell>
          <cell r="F48">
            <v>6940</v>
          </cell>
          <cell r="G48" t="str">
            <v>Agrosuper Shanghai</v>
          </cell>
          <cell r="H48">
            <v>0</v>
          </cell>
          <cell r="I48">
            <v>0</v>
          </cell>
        </row>
        <row r="49">
          <cell r="E49">
            <v>1011968</v>
          </cell>
          <cell r="F49">
            <v>8540</v>
          </cell>
          <cell r="G49" t="str">
            <v>Agrosuper Shanghai</v>
          </cell>
          <cell r="H49">
            <v>0</v>
          </cell>
          <cell r="I49">
            <v>0</v>
          </cell>
        </row>
        <row r="50">
          <cell r="E50">
            <v>1011969</v>
          </cell>
          <cell r="F50">
            <v>1900</v>
          </cell>
          <cell r="G50" t="str">
            <v>Agrosuper Shanghai</v>
          </cell>
          <cell r="H50">
            <v>0</v>
          </cell>
          <cell r="I50">
            <v>0</v>
          </cell>
        </row>
        <row r="51">
          <cell r="E51">
            <v>1012005</v>
          </cell>
          <cell r="F51">
            <v>8936</v>
          </cell>
          <cell r="G51" t="str">
            <v>Agrosuper Shanghai</v>
          </cell>
          <cell r="H51">
            <v>0.2</v>
          </cell>
          <cell r="I51">
            <v>1787.2</v>
          </cell>
        </row>
        <row r="52">
          <cell r="E52">
            <v>1012012</v>
          </cell>
          <cell r="F52">
            <v>22627.360000000001</v>
          </cell>
          <cell r="G52" t="str">
            <v>Agrosuper Asia</v>
          </cell>
          <cell r="H52" t="str">
            <v/>
          </cell>
          <cell r="I52">
            <v>22627.360000000001</v>
          </cell>
        </row>
        <row r="53">
          <cell r="E53">
            <v>1012017</v>
          </cell>
          <cell r="F53">
            <v>97234.2</v>
          </cell>
          <cell r="G53" t="str">
            <v/>
          </cell>
          <cell r="H53" t="str">
            <v/>
          </cell>
          <cell r="I53">
            <v>97234.2</v>
          </cell>
        </row>
        <row r="54">
          <cell r="E54">
            <v>1012018</v>
          </cell>
          <cell r="F54">
            <v>79821</v>
          </cell>
          <cell r="G54" t="str">
            <v/>
          </cell>
          <cell r="H54" t="str">
            <v/>
          </cell>
          <cell r="I54">
            <v>79821</v>
          </cell>
        </row>
        <row r="55">
          <cell r="E55">
            <v>1012107</v>
          </cell>
          <cell r="F55">
            <v>26925.696000000011</v>
          </cell>
          <cell r="G55" t="str">
            <v>Agro America</v>
          </cell>
          <cell r="H55" t="str">
            <v/>
          </cell>
          <cell r="I55">
            <v>26925.696000000011</v>
          </cell>
        </row>
        <row r="56">
          <cell r="E56">
            <v>1012108</v>
          </cell>
          <cell r="F56">
            <v>55847.23199999996</v>
          </cell>
          <cell r="G56" t="str">
            <v>Agro America</v>
          </cell>
          <cell r="H56" t="str">
            <v/>
          </cell>
          <cell r="I56">
            <v>55847.23199999996</v>
          </cell>
        </row>
        <row r="57">
          <cell r="E57">
            <v>1012109</v>
          </cell>
          <cell r="F57">
            <v>88089.119999999893</v>
          </cell>
          <cell r="G57" t="str">
            <v>Agro America</v>
          </cell>
          <cell r="H57" t="str">
            <v/>
          </cell>
          <cell r="I57">
            <v>88089.119999999893</v>
          </cell>
        </row>
        <row r="58">
          <cell r="E58">
            <v>1012110</v>
          </cell>
          <cell r="F58">
            <v>18216.576000000005</v>
          </cell>
          <cell r="G58" t="str">
            <v>Agro America</v>
          </cell>
          <cell r="H58" t="str">
            <v/>
          </cell>
          <cell r="I58">
            <v>18216.576000000005</v>
          </cell>
        </row>
        <row r="59">
          <cell r="E59">
            <v>1012111</v>
          </cell>
          <cell r="F59">
            <v>17853.696000000004</v>
          </cell>
          <cell r="G59" t="str">
            <v>Agro America</v>
          </cell>
          <cell r="H59" t="str">
            <v/>
          </cell>
          <cell r="I59">
            <v>17853.696000000004</v>
          </cell>
        </row>
        <row r="60">
          <cell r="E60">
            <v>1012112</v>
          </cell>
          <cell r="F60">
            <v>4027.967999999998</v>
          </cell>
          <cell r="G60" t="str">
            <v>Agro America</v>
          </cell>
          <cell r="H60" t="str">
            <v/>
          </cell>
          <cell r="I60">
            <v>4027.967999999998</v>
          </cell>
        </row>
        <row r="61">
          <cell r="E61">
            <v>1012145</v>
          </cell>
          <cell r="F61">
            <v>26657.092000000008</v>
          </cell>
          <cell r="G61" t="str">
            <v>Agro America</v>
          </cell>
          <cell r="H61" t="str">
            <v/>
          </cell>
          <cell r="I61">
            <v>26657.092000000008</v>
          </cell>
        </row>
        <row r="62">
          <cell r="E62">
            <v>1012147</v>
          </cell>
          <cell r="F62">
            <v>34318.172000000013</v>
          </cell>
          <cell r="G62" t="str">
            <v>Agro America</v>
          </cell>
          <cell r="H62" t="str">
            <v/>
          </cell>
          <cell r="I62">
            <v>34318.172000000013</v>
          </cell>
        </row>
        <row r="63">
          <cell r="E63">
            <v>1012148</v>
          </cell>
          <cell r="F63">
            <v>31435.250000000015</v>
          </cell>
          <cell r="G63" t="str">
            <v>Agro America</v>
          </cell>
          <cell r="H63" t="str">
            <v/>
          </cell>
          <cell r="I63">
            <v>31435.250000000015</v>
          </cell>
        </row>
        <row r="64">
          <cell r="E64">
            <v>1012157</v>
          </cell>
          <cell r="F64">
            <v>13807.584000000001</v>
          </cell>
          <cell r="G64" t="str">
            <v>Agro America</v>
          </cell>
          <cell r="H64" t="str">
            <v/>
          </cell>
          <cell r="I64">
            <v>13807.584000000001</v>
          </cell>
        </row>
        <row r="65">
          <cell r="E65">
            <v>1012158</v>
          </cell>
          <cell r="F65">
            <v>69672.960000000021</v>
          </cell>
          <cell r="G65" t="str">
            <v>Agro America</v>
          </cell>
          <cell r="H65" t="str">
            <v/>
          </cell>
          <cell r="I65">
            <v>69672.960000000021</v>
          </cell>
        </row>
        <row r="66">
          <cell r="E66">
            <v>1012159</v>
          </cell>
          <cell r="F66">
            <v>60328.800000000003</v>
          </cell>
          <cell r="G66" t="str">
            <v>Agro America</v>
          </cell>
          <cell r="H66" t="str">
            <v/>
          </cell>
          <cell r="I66">
            <v>60328.800000000003</v>
          </cell>
        </row>
        <row r="67">
          <cell r="E67">
            <v>1012160</v>
          </cell>
          <cell r="F67">
            <v>1469.6640000000002</v>
          </cell>
          <cell r="G67" t="str">
            <v>Agro America</v>
          </cell>
          <cell r="H67" t="str">
            <v/>
          </cell>
          <cell r="I67">
            <v>1469.6640000000002</v>
          </cell>
        </row>
        <row r="68">
          <cell r="E68">
            <v>1012161</v>
          </cell>
          <cell r="F68">
            <v>48952.511999999995</v>
          </cell>
          <cell r="G68" t="str">
            <v>Agro America</v>
          </cell>
          <cell r="H68" t="str">
            <v/>
          </cell>
          <cell r="I68">
            <v>48952.511999999995</v>
          </cell>
        </row>
        <row r="69">
          <cell r="E69">
            <v>1012163</v>
          </cell>
          <cell r="F69">
            <v>12029.472000000002</v>
          </cell>
          <cell r="G69" t="str">
            <v>Agro America</v>
          </cell>
          <cell r="H69" t="str">
            <v/>
          </cell>
          <cell r="I69">
            <v>12029.472000000002</v>
          </cell>
        </row>
        <row r="70">
          <cell r="E70">
            <v>1012164</v>
          </cell>
          <cell r="F70">
            <v>25546.752000000011</v>
          </cell>
          <cell r="G70" t="str">
            <v>Agro America</v>
          </cell>
          <cell r="H70" t="str">
            <v/>
          </cell>
          <cell r="I70">
            <v>25546.752000000011</v>
          </cell>
        </row>
        <row r="71">
          <cell r="E71">
            <v>1012165</v>
          </cell>
          <cell r="F71">
            <v>97233.695999999894</v>
          </cell>
          <cell r="G71" t="str">
            <v>Agro America</v>
          </cell>
          <cell r="H71" t="str">
            <v/>
          </cell>
          <cell r="I71">
            <v>97233.695999999894</v>
          </cell>
        </row>
        <row r="72">
          <cell r="E72">
            <v>1012167</v>
          </cell>
          <cell r="F72">
            <v>101878.55999999985</v>
          </cell>
          <cell r="G72" t="str">
            <v>Agro America</v>
          </cell>
          <cell r="H72" t="str">
            <v/>
          </cell>
          <cell r="I72">
            <v>101878.55999999985</v>
          </cell>
        </row>
        <row r="73">
          <cell r="E73">
            <v>1012207</v>
          </cell>
          <cell r="F73">
            <v>7152</v>
          </cell>
          <cell r="G73" t="str">
            <v>Agro Sudamerica</v>
          </cell>
          <cell r="H73" t="str">
            <v/>
          </cell>
          <cell r="I73">
            <v>7152</v>
          </cell>
        </row>
        <row r="74">
          <cell r="E74">
            <v>1012208</v>
          </cell>
          <cell r="F74">
            <v>17467.392999999996</v>
          </cell>
          <cell r="G74" t="str">
            <v>Agro Sudamerica</v>
          </cell>
          <cell r="H74" t="str">
            <v/>
          </cell>
          <cell r="I74">
            <v>17467.392999999996</v>
          </cell>
        </row>
        <row r="75">
          <cell r="E75">
            <v>1012326</v>
          </cell>
          <cell r="F75">
            <v>9768</v>
          </cell>
          <cell r="G75" t="str">
            <v>Andes Asia</v>
          </cell>
          <cell r="H75" t="str">
            <v/>
          </cell>
          <cell r="I75">
            <v>9768</v>
          </cell>
        </row>
        <row r="76">
          <cell r="E76">
            <v>1012330</v>
          </cell>
          <cell r="F76">
            <v>4406.16</v>
          </cell>
          <cell r="G76" t="str">
            <v/>
          </cell>
          <cell r="H76" t="str">
            <v/>
          </cell>
          <cell r="I76">
            <v>4406.16</v>
          </cell>
        </row>
        <row r="77">
          <cell r="E77">
            <v>1012362</v>
          </cell>
          <cell r="F77">
            <v>36936</v>
          </cell>
          <cell r="G77" t="str">
            <v>Agrosuper Brasil</v>
          </cell>
          <cell r="H77" t="str">
            <v/>
          </cell>
          <cell r="I77">
            <v>36936</v>
          </cell>
        </row>
        <row r="78">
          <cell r="E78">
            <v>1012387</v>
          </cell>
          <cell r="F78">
            <v>7200</v>
          </cell>
          <cell r="G78" t="str">
            <v/>
          </cell>
          <cell r="H78" t="str">
            <v/>
          </cell>
          <cell r="I78">
            <v>7200</v>
          </cell>
        </row>
        <row r="79">
          <cell r="E79">
            <v>1012434</v>
          </cell>
          <cell r="F79">
            <v>14500</v>
          </cell>
          <cell r="G79" t="str">
            <v>Agrosuper Shanghai</v>
          </cell>
          <cell r="H79">
            <v>0</v>
          </cell>
          <cell r="I79">
            <v>0</v>
          </cell>
        </row>
        <row r="80">
          <cell r="E80">
            <v>1012448</v>
          </cell>
          <cell r="F80">
            <v>39940</v>
          </cell>
          <cell r="G80" t="str">
            <v>Agrosuper Shanghai</v>
          </cell>
          <cell r="H80">
            <v>0.50956634690118496</v>
          </cell>
          <cell r="I80">
            <v>20352.079895233328</v>
          </cell>
        </row>
        <row r="81">
          <cell r="E81">
            <v>1012452</v>
          </cell>
          <cell r="F81">
            <v>22754.479999999989</v>
          </cell>
          <cell r="G81" t="str">
            <v>Agrosuper Shanghai</v>
          </cell>
          <cell r="H81">
            <v>1</v>
          </cell>
          <cell r="I81">
            <v>22754.479999999989</v>
          </cell>
        </row>
        <row r="82">
          <cell r="E82">
            <v>1012455</v>
          </cell>
          <cell r="F82">
            <v>53980</v>
          </cell>
          <cell r="G82" t="str">
            <v>Agrosuper Shanghai</v>
          </cell>
          <cell r="H82">
            <v>0.69185337356358734</v>
          </cell>
          <cell r="I82">
            <v>37346.245104962443</v>
          </cell>
        </row>
        <row r="83">
          <cell r="E83">
            <v>1012483</v>
          </cell>
          <cell r="F83">
            <v>19813.248000000007</v>
          </cell>
          <cell r="G83" t="str">
            <v>Agro America</v>
          </cell>
          <cell r="H83" t="str">
            <v/>
          </cell>
          <cell r="I83">
            <v>19813.248000000007</v>
          </cell>
        </row>
        <row r="84">
          <cell r="E84">
            <v>1012502</v>
          </cell>
          <cell r="F84">
            <v>19380</v>
          </cell>
          <cell r="G84" t="str">
            <v>Agrosuper Shanghai</v>
          </cell>
          <cell r="H84">
            <v>0.49958298582151794</v>
          </cell>
          <cell r="I84">
            <v>9681.9182652210184</v>
          </cell>
        </row>
        <row r="85">
          <cell r="E85">
            <v>1012503</v>
          </cell>
          <cell r="F85">
            <v>89480</v>
          </cell>
          <cell r="G85" t="str">
            <v>Agrosuper Shanghai</v>
          </cell>
          <cell r="H85">
            <v>0</v>
          </cell>
          <cell r="I85">
            <v>0</v>
          </cell>
        </row>
        <row r="86">
          <cell r="E86">
            <v>1012504</v>
          </cell>
          <cell r="F86">
            <v>12460</v>
          </cell>
          <cell r="G86" t="str">
            <v>Agrosuper Shanghai</v>
          </cell>
          <cell r="H86">
            <v>0.49755757152826241</v>
          </cell>
          <cell r="I86">
            <v>6199.5673412421493</v>
          </cell>
        </row>
        <row r="87">
          <cell r="E87">
            <v>1012518</v>
          </cell>
          <cell r="F87">
            <v>35979.552000000018</v>
          </cell>
          <cell r="G87" t="str">
            <v>Agro America</v>
          </cell>
          <cell r="H87" t="str">
            <v/>
          </cell>
          <cell r="I87">
            <v>35979.552000000018</v>
          </cell>
        </row>
        <row r="88">
          <cell r="E88">
            <v>1012519</v>
          </cell>
          <cell r="F88">
            <v>8255.52</v>
          </cell>
          <cell r="G88" t="str">
            <v>Agro America</v>
          </cell>
          <cell r="H88" t="str">
            <v/>
          </cell>
          <cell r="I88">
            <v>8255.52</v>
          </cell>
        </row>
        <row r="89">
          <cell r="E89">
            <v>1012520</v>
          </cell>
          <cell r="F89">
            <v>45886.175999999999</v>
          </cell>
          <cell r="G89" t="str">
            <v>Agro America</v>
          </cell>
          <cell r="H89" t="str">
            <v/>
          </cell>
          <cell r="I89">
            <v>45886.175999999999</v>
          </cell>
        </row>
        <row r="90">
          <cell r="E90">
            <v>1012521</v>
          </cell>
          <cell r="F90">
            <v>17127.935999999998</v>
          </cell>
          <cell r="G90" t="str">
            <v>Agro America</v>
          </cell>
          <cell r="H90" t="str">
            <v/>
          </cell>
          <cell r="I90">
            <v>17127.935999999998</v>
          </cell>
        </row>
        <row r="91">
          <cell r="E91">
            <v>1012522</v>
          </cell>
          <cell r="F91">
            <v>3846.5279999999998</v>
          </cell>
          <cell r="G91" t="str">
            <v>Agro America</v>
          </cell>
          <cell r="H91" t="str">
            <v/>
          </cell>
          <cell r="I91">
            <v>3846.5279999999998</v>
          </cell>
        </row>
        <row r="92">
          <cell r="E92">
            <v>1012523</v>
          </cell>
          <cell r="F92">
            <v>3846.5280000000002</v>
          </cell>
          <cell r="G92" t="str">
            <v>Agro America</v>
          </cell>
          <cell r="H92" t="str">
            <v/>
          </cell>
          <cell r="I92">
            <v>3846.5280000000002</v>
          </cell>
        </row>
        <row r="93">
          <cell r="E93">
            <v>1012524</v>
          </cell>
          <cell r="F93">
            <v>10523.519999999997</v>
          </cell>
          <cell r="G93" t="str">
            <v>Agro America</v>
          </cell>
          <cell r="H93" t="str">
            <v/>
          </cell>
          <cell r="I93">
            <v>10523.519999999997</v>
          </cell>
        </row>
        <row r="94">
          <cell r="E94">
            <v>1012525</v>
          </cell>
          <cell r="F94">
            <v>13640</v>
          </cell>
          <cell r="G94" t="str">
            <v>Agrosuper Shanghai</v>
          </cell>
          <cell r="H94">
            <v>0</v>
          </cell>
          <cell r="I94">
            <v>0</v>
          </cell>
        </row>
        <row r="95">
          <cell r="E95">
            <v>1012526</v>
          </cell>
          <cell r="F95">
            <v>7280</v>
          </cell>
          <cell r="G95" t="str">
            <v>Agrosuper Shanghai</v>
          </cell>
          <cell r="H95">
            <v>0</v>
          </cell>
          <cell r="I95">
            <v>0</v>
          </cell>
        </row>
        <row r="96">
          <cell r="E96">
            <v>1012527</v>
          </cell>
          <cell r="F96">
            <v>5120</v>
          </cell>
          <cell r="G96" t="str">
            <v>Agrosuper Shanghai</v>
          </cell>
          <cell r="H96">
            <v>0.2</v>
          </cell>
          <cell r="I96">
            <v>1024</v>
          </cell>
        </row>
        <row r="97">
          <cell r="E97">
            <v>1012532</v>
          </cell>
          <cell r="F97">
            <v>11702.88</v>
          </cell>
          <cell r="G97" t="str">
            <v>Agro America</v>
          </cell>
          <cell r="H97" t="str">
            <v/>
          </cell>
          <cell r="I97">
            <v>11702.88</v>
          </cell>
        </row>
        <row r="98">
          <cell r="E98">
            <v>1012534</v>
          </cell>
          <cell r="F98">
            <v>71106.767999999982</v>
          </cell>
          <cell r="G98" t="str">
            <v>Agro Mexico</v>
          </cell>
          <cell r="H98" t="str">
            <v/>
          </cell>
          <cell r="I98">
            <v>71106.767999999982</v>
          </cell>
        </row>
        <row r="99">
          <cell r="E99">
            <v>1012552</v>
          </cell>
          <cell r="F99">
            <v>45820</v>
          </cell>
          <cell r="G99" t="str">
            <v>Agro Sudamerica</v>
          </cell>
          <cell r="H99" t="str">
            <v/>
          </cell>
          <cell r="I99">
            <v>45820</v>
          </cell>
        </row>
        <row r="100">
          <cell r="E100">
            <v>1012558</v>
          </cell>
          <cell r="F100">
            <v>5254.2</v>
          </cell>
          <cell r="G100" t="str">
            <v/>
          </cell>
          <cell r="H100" t="str">
            <v/>
          </cell>
          <cell r="I100">
            <v>5254.2</v>
          </cell>
        </row>
        <row r="101">
          <cell r="E101">
            <v>1012559</v>
          </cell>
          <cell r="F101">
            <v>6463.7999999999993</v>
          </cell>
          <cell r="G101" t="str">
            <v/>
          </cell>
          <cell r="H101" t="str">
            <v/>
          </cell>
          <cell r="I101">
            <v>6463.7999999999993</v>
          </cell>
        </row>
        <row r="102">
          <cell r="E102">
            <v>1012598</v>
          </cell>
          <cell r="F102">
            <v>4000</v>
          </cell>
          <cell r="G102" t="str">
            <v>Agrosuper Shanghai</v>
          </cell>
          <cell r="H102">
            <v>0.2</v>
          </cell>
          <cell r="I102">
            <v>800</v>
          </cell>
        </row>
        <row r="103">
          <cell r="E103">
            <v>1012601</v>
          </cell>
          <cell r="F103">
            <v>62324.639999999985</v>
          </cell>
          <cell r="G103" t="str">
            <v>Agro America</v>
          </cell>
          <cell r="H103" t="str">
            <v/>
          </cell>
          <cell r="I103">
            <v>62324.639999999985</v>
          </cell>
        </row>
        <row r="104">
          <cell r="E104">
            <v>1012608</v>
          </cell>
          <cell r="F104">
            <v>18747</v>
          </cell>
          <cell r="G104" t="str">
            <v/>
          </cell>
          <cell r="H104" t="str">
            <v/>
          </cell>
          <cell r="I104">
            <v>18747</v>
          </cell>
        </row>
        <row r="105">
          <cell r="E105">
            <v>1012612</v>
          </cell>
          <cell r="F105">
            <v>135355.07999999999</v>
          </cell>
          <cell r="G105" t="str">
            <v>Agrosuper Asia</v>
          </cell>
          <cell r="H105" t="str">
            <v/>
          </cell>
          <cell r="I105">
            <v>135355.07999999999</v>
          </cell>
        </row>
        <row r="106">
          <cell r="E106">
            <v>1012646</v>
          </cell>
          <cell r="F106">
            <v>19288.8</v>
          </cell>
          <cell r="G106" t="str">
            <v/>
          </cell>
          <cell r="H106" t="str">
            <v/>
          </cell>
          <cell r="I106">
            <v>19288.8</v>
          </cell>
        </row>
        <row r="107">
          <cell r="E107">
            <v>1012654</v>
          </cell>
          <cell r="F107">
            <v>21685</v>
          </cell>
          <cell r="G107" t="str">
            <v/>
          </cell>
          <cell r="H107" t="str">
            <v/>
          </cell>
          <cell r="I107">
            <v>21685</v>
          </cell>
        </row>
        <row r="108">
          <cell r="E108">
            <v>1012674</v>
          </cell>
          <cell r="F108">
            <v>24418.751</v>
          </cell>
          <cell r="G108" t="str">
            <v>Agrosuper Brasil</v>
          </cell>
          <cell r="H108" t="str">
            <v/>
          </cell>
          <cell r="I108">
            <v>24418.751</v>
          </cell>
        </row>
        <row r="109">
          <cell r="E109">
            <v>1012681</v>
          </cell>
          <cell r="F109">
            <v>15640</v>
          </cell>
          <cell r="G109" t="str">
            <v>Agrosuper Shanghai</v>
          </cell>
          <cell r="H109">
            <v>0.2</v>
          </cell>
          <cell r="I109">
            <v>3128</v>
          </cell>
        </row>
        <row r="110">
          <cell r="E110">
            <v>1020017</v>
          </cell>
          <cell r="F110">
            <v>4940.8119999999999</v>
          </cell>
          <cell r="G110" t="str">
            <v>Agro Sudamerica</v>
          </cell>
          <cell r="H110" t="str">
            <v/>
          </cell>
          <cell r="I110">
            <v>4940.8119999999999</v>
          </cell>
        </row>
        <row r="111">
          <cell r="E111">
            <v>1020020</v>
          </cell>
          <cell r="F111">
            <v>161.40100000000001</v>
          </cell>
          <cell r="G111" t="str">
            <v/>
          </cell>
          <cell r="H111" t="str">
            <v/>
          </cell>
          <cell r="I111">
            <v>161.40100000000001</v>
          </cell>
        </row>
        <row r="112">
          <cell r="E112">
            <v>1020028</v>
          </cell>
          <cell r="F112">
            <v>2217.9730000000004</v>
          </cell>
          <cell r="G112" t="str">
            <v/>
          </cell>
          <cell r="H112" t="str">
            <v/>
          </cell>
          <cell r="I112">
            <v>2217.9730000000004</v>
          </cell>
        </row>
        <row r="113">
          <cell r="E113">
            <v>1020077</v>
          </cell>
          <cell r="F113">
            <v>2717.5839999999994</v>
          </cell>
          <cell r="G113" t="str">
            <v/>
          </cell>
          <cell r="H113" t="str">
            <v/>
          </cell>
          <cell r="I113">
            <v>2717.5839999999994</v>
          </cell>
        </row>
        <row r="114">
          <cell r="E114">
            <v>1020089</v>
          </cell>
          <cell r="F114">
            <v>7869.4719999999998</v>
          </cell>
          <cell r="G114" t="str">
            <v/>
          </cell>
          <cell r="H114" t="str">
            <v/>
          </cell>
          <cell r="I114">
            <v>7869.4719999999998</v>
          </cell>
        </row>
        <row r="115">
          <cell r="E115">
            <v>1020092</v>
          </cell>
          <cell r="F115">
            <v>5062.7569999999996</v>
          </cell>
          <cell r="G115" t="str">
            <v/>
          </cell>
          <cell r="H115" t="str">
            <v/>
          </cell>
          <cell r="I115">
            <v>5062.7569999999996</v>
          </cell>
        </row>
        <row r="116">
          <cell r="E116">
            <v>1020105</v>
          </cell>
          <cell r="F116">
            <v>46134.966000000022</v>
          </cell>
          <cell r="G116" t="str">
            <v>Exportacion Directa</v>
          </cell>
          <cell r="H116" t="str">
            <v/>
          </cell>
          <cell r="I116">
            <v>46134.966000000022</v>
          </cell>
        </row>
        <row r="117">
          <cell r="E117">
            <v>1020110</v>
          </cell>
          <cell r="F117">
            <v>276000.68599999993</v>
          </cell>
          <cell r="G117" t="str">
            <v>Exportacion Directa</v>
          </cell>
          <cell r="H117" t="str">
            <v/>
          </cell>
          <cell r="I117">
            <v>276000.68599999993</v>
          </cell>
        </row>
        <row r="118">
          <cell r="E118">
            <v>1020181</v>
          </cell>
          <cell r="F118">
            <v>7158.0200000000023</v>
          </cell>
          <cell r="G118" t="str">
            <v/>
          </cell>
          <cell r="H118" t="str">
            <v/>
          </cell>
          <cell r="I118">
            <v>7158.0200000000023</v>
          </cell>
        </row>
        <row r="119">
          <cell r="E119">
            <v>1020187</v>
          </cell>
          <cell r="F119">
            <v>13.02</v>
          </cell>
          <cell r="G119" t="str">
            <v/>
          </cell>
          <cell r="H119" t="str">
            <v/>
          </cell>
          <cell r="I119">
            <v>13.02</v>
          </cell>
        </row>
        <row r="120">
          <cell r="E120">
            <v>1020284</v>
          </cell>
          <cell r="F120">
            <v>16116.352999999997</v>
          </cell>
          <cell r="G120" t="str">
            <v>Exportacion Directa</v>
          </cell>
          <cell r="H120" t="str">
            <v/>
          </cell>
          <cell r="I120">
            <v>16116.352999999997</v>
          </cell>
        </row>
        <row r="121">
          <cell r="E121">
            <v>1020299</v>
          </cell>
          <cell r="F121">
            <v>14235.223000000002</v>
          </cell>
          <cell r="G121" t="str">
            <v/>
          </cell>
          <cell r="H121" t="str">
            <v/>
          </cell>
          <cell r="I121">
            <v>14235.223000000002</v>
          </cell>
        </row>
        <row r="122">
          <cell r="E122">
            <v>1020326</v>
          </cell>
          <cell r="F122">
            <v>57625.84</v>
          </cell>
          <cell r="G122" t="str">
            <v>Exportacion Directa</v>
          </cell>
          <cell r="H122" t="str">
            <v/>
          </cell>
          <cell r="I122">
            <v>57625.84</v>
          </cell>
        </row>
        <row r="123">
          <cell r="E123">
            <v>1020339</v>
          </cell>
          <cell r="F123">
            <v>156604.47999999992</v>
          </cell>
          <cell r="G123" t="str">
            <v>Agro Sudamerica</v>
          </cell>
          <cell r="H123" t="str">
            <v/>
          </cell>
          <cell r="I123">
            <v>156604.47999999992</v>
          </cell>
        </row>
        <row r="124">
          <cell r="E124">
            <v>1020349</v>
          </cell>
          <cell r="F124">
            <v>44608.501999999986</v>
          </cell>
          <cell r="G124" t="str">
            <v>Agro Sudamerica</v>
          </cell>
          <cell r="H124" t="str">
            <v/>
          </cell>
          <cell r="I124">
            <v>44608.501999999986</v>
          </cell>
        </row>
        <row r="125">
          <cell r="E125">
            <v>1020352</v>
          </cell>
          <cell r="F125">
            <v>48365.996000000021</v>
          </cell>
          <cell r="G125" t="str">
            <v>Agro Sudamerica</v>
          </cell>
          <cell r="H125" t="str">
            <v/>
          </cell>
          <cell r="I125">
            <v>48365.996000000021</v>
          </cell>
        </row>
        <row r="126">
          <cell r="E126">
            <v>1020367</v>
          </cell>
          <cell r="F126">
            <v>85697.507000000041</v>
          </cell>
          <cell r="G126" t="str">
            <v>Agro Sudamerica</v>
          </cell>
          <cell r="H126" t="str">
            <v/>
          </cell>
          <cell r="I126">
            <v>85697.507000000041</v>
          </cell>
        </row>
        <row r="127">
          <cell r="E127">
            <v>1020391</v>
          </cell>
          <cell r="F127">
            <v>465.06000000000006</v>
          </cell>
          <cell r="G127" t="str">
            <v/>
          </cell>
          <cell r="H127" t="str">
            <v/>
          </cell>
          <cell r="I127">
            <v>465.06000000000006</v>
          </cell>
        </row>
        <row r="128">
          <cell r="E128">
            <v>1020412</v>
          </cell>
          <cell r="F128">
            <v>20968.184000000008</v>
          </cell>
          <cell r="G128" t="str">
            <v>Agro Sudamerica</v>
          </cell>
          <cell r="H128" t="str">
            <v/>
          </cell>
          <cell r="I128">
            <v>20968.184000000008</v>
          </cell>
        </row>
        <row r="129">
          <cell r="E129">
            <v>1020440</v>
          </cell>
          <cell r="F129">
            <v>13897.433000000001</v>
          </cell>
          <cell r="G129" t="str">
            <v/>
          </cell>
          <cell r="H129" t="str">
            <v/>
          </cell>
          <cell r="I129">
            <v>13897.433000000001</v>
          </cell>
        </row>
        <row r="130">
          <cell r="E130">
            <v>1020589</v>
          </cell>
          <cell r="F130">
            <v>91438.850000000035</v>
          </cell>
          <cell r="G130" t="str">
            <v>Exportacion Directa</v>
          </cell>
          <cell r="H130" t="str">
            <v/>
          </cell>
          <cell r="I130">
            <v>91438.850000000035</v>
          </cell>
        </row>
        <row r="131">
          <cell r="E131">
            <v>1020592</v>
          </cell>
          <cell r="F131">
            <v>212087.21599999996</v>
          </cell>
          <cell r="G131" t="str">
            <v>Exportacion Directa</v>
          </cell>
          <cell r="H131" t="str">
            <v/>
          </cell>
          <cell r="I131">
            <v>212087.21599999996</v>
          </cell>
        </row>
        <row r="132">
          <cell r="E132">
            <v>1020620</v>
          </cell>
          <cell r="F132">
            <v>24215.04700000001</v>
          </cell>
          <cell r="G132" t="str">
            <v>Exportacion Directa</v>
          </cell>
          <cell r="H132" t="str">
            <v/>
          </cell>
          <cell r="I132">
            <v>24215.04700000001</v>
          </cell>
        </row>
        <row r="133">
          <cell r="E133">
            <v>1020636</v>
          </cell>
          <cell r="F133">
            <v>15850</v>
          </cell>
          <cell r="G133" t="str">
            <v>Exportacion Directa</v>
          </cell>
          <cell r="H133" t="str">
            <v/>
          </cell>
          <cell r="I133">
            <v>15850</v>
          </cell>
        </row>
        <row r="134">
          <cell r="E134">
            <v>1020637</v>
          </cell>
          <cell r="F134">
            <v>83307.762000000017</v>
          </cell>
          <cell r="G134" t="str">
            <v>Exportacion Directa</v>
          </cell>
          <cell r="H134" t="str">
            <v/>
          </cell>
          <cell r="I134">
            <v>83307.762000000017</v>
          </cell>
        </row>
        <row r="135">
          <cell r="E135">
            <v>1020662</v>
          </cell>
          <cell r="F135">
            <v>12619.973</v>
          </cell>
          <cell r="G135" t="str">
            <v>Exportacion Directa</v>
          </cell>
          <cell r="H135" t="str">
            <v/>
          </cell>
          <cell r="I135">
            <v>12619.973</v>
          </cell>
        </row>
        <row r="136">
          <cell r="E136">
            <v>1020665</v>
          </cell>
          <cell r="F136">
            <v>9790.9099999999962</v>
          </cell>
          <cell r="G136" t="str">
            <v>Exportacion Directa</v>
          </cell>
          <cell r="H136" t="str">
            <v/>
          </cell>
          <cell r="I136">
            <v>9790.9099999999962</v>
          </cell>
        </row>
        <row r="137">
          <cell r="E137">
            <v>1020681</v>
          </cell>
          <cell r="F137">
            <v>14161.431000000004</v>
          </cell>
          <cell r="G137" t="str">
            <v>Exportacion Directa</v>
          </cell>
          <cell r="H137" t="str">
            <v/>
          </cell>
          <cell r="I137">
            <v>14161.431000000004</v>
          </cell>
        </row>
        <row r="138">
          <cell r="E138">
            <v>1020704</v>
          </cell>
          <cell r="F138">
            <v>1200</v>
          </cell>
          <cell r="G138" t="str">
            <v>Exportacion Directa</v>
          </cell>
          <cell r="H138" t="str">
            <v/>
          </cell>
          <cell r="I138">
            <v>1200</v>
          </cell>
        </row>
        <row r="139">
          <cell r="E139">
            <v>1020715</v>
          </cell>
          <cell r="F139">
            <v>2149.701</v>
          </cell>
          <cell r="G139" t="str">
            <v>Exportacion Directa</v>
          </cell>
          <cell r="H139" t="str">
            <v/>
          </cell>
          <cell r="I139">
            <v>2149.701</v>
          </cell>
        </row>
        <row r="140">
          <cell r="E140">
            <v>1020731</v>
          </cell>
          <cell r="F140">
            <v>6286.2269999999999</v>
          </cell>
          <cell r="G140" t="str">
            <v>Exportacion Directa</v>
          </cell>
          <cell r="H140" t="str">
            <v/>
          </cell>
          <cell r="I140">
            <v>6286.2269999999999</v>
          </cell>
        </row>
        <row r="141">
          <cell r="E141">
            <v>1020758</v>
          </cell>
          <cell r="F141">
            <v>605.85599999999999</v>
          </cell>
          <cell r="G141" t="str">
            <v>Exportacion Directa</v>
          </cell>
          <cell r="H141" t="str">
            <v/>
          </cell>
          <cell r="I141">
            <v>605.85599999999999</v>
          </cell>
        </row>
        <row r="142">
          <cell r="E142">
            <v>1020774</v>
          </cell>
          <cell r="F142">
            <v>4205</v>
          </cell>
          <cell r="G142" t="str">
            <v>Exportacion Directa</v>
          </cell>
          <cell r="H142" t="str">
            <v/>
          </cell>
          <cell r="I142">
            <v>4205</v>
          </cell>
        </row>
        <row r="143">
          <cell r="E143">
            <v>1020802</v>
          </cell>
          <cell r="F143">
            <v>45186.582999999991</v>
          </cell>
          <cell r="G143" t="str">
            <v>Exportacion Directa</v>
          </cell>
          <cell r="H143" t="str">
            <v/>
          </cell>
          <cell r="I143">
            <v>45186.582999999991</v>
          </cell>
        </row>
        <row r="144">
          <cell r="E144">
            <v>1020810</v>
          </cell>
          <cell r="F144">
            <v>950.17</v>
          </cell>
          <cell r="G144" t="str">
            <v>Exportacion Directa</v>
          </cell>
          <cell r="H144" t="str">
            <v/>
          </cell>
          <cell r="I144">
            <v>950.17</v>
          </cell>
        </row>
        <row r="145">
          <cell r="E145">
            <v>1020822</v>
          </cell>
          <cell r="F145">
            <v>21806.27</v>
          </cell>
          <cell r="G145" t="str">
            <v>Agro America</v>
          </cell>
          <cell r="H145" t="str">
            <v/>
          </cell>
          <cell r="I145">
            <v>21806.27</v>
          </cell>
        </row>
        <row r="146">
          <cell r="E146">
            <v>1020828</v>
          </cell>
          <cell r="F146">
            <v>32302.799999999999</v>
          </cell>
          <cell r="G146" t="str">
            <v>Agro America</v>
          </cell>
          <cell r="H146" t="str">
            <v/>
          </cell>
          <cell r="I146">
            <v>32302.799999999999</v>
          </cell>
        </row>
        <row r="147">
          <cell r="E147">
            <v>1020853</v>
          </cell>
          <cell r="F147">
            <v>47359.22</v>
          </cell>
          <cell r="G147" t="str">
            <v>Agro Europa</v>
          </cell>
          <cell r="H147" t="str">
            <v/>
          </cell>
          <cell r="I147">
            <v>47359.22</v>
          </cell>
        </row>
        <row r="148">
          <cell r="E148">
            <v>1020860</v>
          </cell>
          <cell r="F148">
            <v>100678.59900000003</v>
          </cell>
          <cell r="G148" t="str">
            <v>Agrosuper Asia</v>
          </cell>
          <cell r="H148" t="str">
            <v/>
          </cell>
          <cell r="I148">
            <v>100678.59900000003</v>
          </cell>
        </row>
        <row r="149">
          <cell r="E149">
            <v>1020861</v>
          </cell>
          <cell r="F149">
            <v>71523.474999999962</v>
          </cell>
          <cell r="G149" t="str">
            <v>Agrosuper Asia</v>
          </cell>
          <cell r="H149" t="str">
            <v/>
          </cell>
          <cell r="I149">
            <v>71523.474999999962</v>
          </cell>
        </row>
        <row r="150">
          <cell r="E150">
            <v>1020869</v>
          </cell>
          <cell r="F150">
            <v>23528.966000000004</v>
          </cell>
          <cell r="G150" t="str">
            <v>Agro Sudamerica</v>
          </cell>
          <cell r="H150" t="str">
            <v/>
          </cell>
          <cell r="I150">
            <v>23528.966000000004</v>
          </cell>
        </row>
        <row r="151">
          <cell r="E151">
            <v>1020886</v>
          </cell>
          <cell r="F151">
            <v>1441.788</v>
          </cell>
          <cell r="G151" t="str">
            <v>Agro Sudamerica</v>
          </cell>
          <cell r="H151" t="str">
            <v/>
          </cell>
          <cell r="I151">
            <v>1441.788</v>
          </cell>
        </row>
        <row r="152">
          <cell r="E152">
            <v>1020904</v>
          </cell>
          <cell r="F152">
            <v>6607.1390000000001</v>
          </cell>
          <cell r="G152" t="str">
            <v>Agrosuper Asia</v>
          </cell>
          <cell r="H152" t="str">
            <v/>
          </cell>
          <cell r="I152">
            <v>6607.1390000000001</v>
          </cell>
        </row>
        <row r="153">
          <cell r="E153">
            <v>1020914</v>
          </cell>
          <cell r="F153">
            <v>1720</v>
          </cell>
          <cell r="G153" t="str">
            <v>Exportacion Directa</v>
          </cell>
          <cell r="H153" t="str">
            <v/>
          </cell>
          <cell r="I153">
            <v>1720</v>
          </cell>
        </row>
        <row r="154">
          <cell r="E154">
            <v>1020925</v>
          </cell>
          <cell r="F154">
            <v>60605.939999999995</v>
          </cell>
          <cell r="G154" t="str">
            <v>Agro Sudamerica</v>
          </cell>
          <cell r="H154" t="str">
            <v/>
          </cell>
          <cell r="I154">
            <v>60605.939999999995</v>
          </cell>
        </row>
        <row r="155">
          <cell r="E155">
            <v>1020944</v>
          </cell>
          <cell r="F155">
            <v>140694.019</v>
          </cell>
          <cell r="G155" t="str">
            <v>Agro Sudamerica</v>
          </cell>
          <cell r="H155" t="str">
            <v/>
          </cell>
          <cell r="I155">
            <v>140694.019</v>
          </cell>
        </row>
        <row r="156">
          <cell r="E156">
            <v>1020990</v>
          </cell>
          <cell r="F156">
            <v>15808.163999999999</v>
          </cell>
          <cell r="G156" t="str">
            <v>Exportacion Directa</v>
          </cell>
          <cell r="H156" t="str">
            <v/>
          </cell>
          <cell r="I156">
            <v>15808.163999999999</v>
          </cell>
        </row>
        <row r="157">
          <cell r="E157">
            <v>1020991</v>
          </cell>
          <cell r="F157">
            <v>7361.6999999999989</v>
          </cell>
          <cell r="G157" t="str">
            <v>Exportacion Directa</v>
          </cell>
          <cell r="H157" t="str">
            <v/>
          </cell>
          <cell r="I157">
            <v>7361.6999999999989</v>
          </cell>
        </row>
        <row r="158">
          <cell r="E158">
            <v>1021012</v>
          </cell>
          <cell r="F158">
            <v>87998.944000000018</v>
          </cell>
          <cell r="G158" t="str">
            <v>Agrosuper Asia</v>
          </cell>
          <cell r="H158" t="str">
            <v/>
          </cell>
          <cell r="I158">
            <v>87998.944000000018</v>
          </cell>
        </row>
        <row r="159">
          <cell r="E159">
            <v>1021023</v>
          </cell>
          <cell r="F159">
            <v>85078.995999999956</v>
          </cell>
          <cell r="G159" t="str">
            <v>Agro Sudamerica</v>
          </cell>
          <cell r="H159" t="str">
            <v/>
          </cell>
          <cell r="I159">
            <v>85078.995999999956</v>
          </cell>
        </row>
        <row r="160">
          <cell r="E160">
            <v>1021026</v>
          </cell>
          <cell r="F160">
            <v>3511.4209999999994</v>
          </cell>
          <cell r="G160" t="str">
            <v>Agro Mexico</v>
          </cell>
          <cell r="H160" t="str">
            <v/>
          </cell>
          <cell r="I160">
            <v>3511.4209999999994</v>
          </cell>
        </row>
        <row r="161">
          <cell r="E161">
            <v>1021039</v>
          </cell>
          <cell r="F161">
            <v>33578.494000000013</v>
          </cell>
          <cell r="G161" t="str">
            <v>Agro Sudamerica</v>
          </cell>
          <cell r="H161" t="str">
            <v/>
          </cell>
          <cell r="I161">
            <v>33578.494000000013</v>
          </cell>
        </row>
        <row r="162">
          <cell r="E162">
            <v>1021045</v>
          </cell>
          <cell r="F162">
            <v>23438.233999999997</v>
          </cell>
          <cell r="G162" t="str">
            <v>Agrosuper Asia</v>
          </cell>
          <cell r="H162" t="str">
            <v/>
          </cell>
          <cell r="I162">
            <v>23438.233999999997</v>
          </cell>
        </row>
        <row r="163">
          <cell r="E163">
            <v>1021046</v>
          </cell>
          <cell r="F163">
            <v>2069.3720000000003</v>
          </cell>
          <cell r="G163" t="str">
            <v>Agrosuper Asia</v>
          </cell>
          <cell r="H163" t="str">
            <v/>
          </cell>
          <cell r="I163">
            <v>2069.3720000000003</v>
          </cell>
        </row>
        <row r="164">
          <cell r="E164">
            <v>1021078</v>
          </cell>
          <cell r="F164">
            <v>93896.372000000076</v>
          </cell>
          <cell r="G164" t="str">
            <v>Agro Sudamerica</v>
          </cell>
          <cell r="H164" t="str">
            <v/>
          </cell>
          <cell r="I164">
            <v>93896.372000000076</v>
          </cell>
        </row>
        <row r="165">
          <cell r="E165">
            <v>1021082</v>
          </cell>
          <cell r="F165">
            <v>28340.631999999991</v>
          </cell>
          <cell r="G165" t="str">
            <v>Agro Sudamerica</v>
          </cell>
          <cell r="H165" t="str">
            <v/>
          </cell>
          <cell r="I165">
            <v>28340.631999999991</v>
          </cell>
        </row>
        <row r="166">
          <cell r="E166">
            <v>1021105</v>
          </cell>
          <cell r="F166">
            <v>11187.452000000001</v>
          </cell>
          <cell r="G166" t="str">
            <v>Agro Sudamerica</v>
          </cell>
          <cell r="H166" t="str">
            <v/>
          </cell>
          <cell r="I166">
            <v>11187.452000000001</v>
          </cell>
        </row>
        <row r="167">
          <cell r="E167">
            <v>1021106</v>
          </cell>
          <cell r="F167">
            <v>100886.14799999999</v>
          </cell>
          <cell r="G167" t="str">
            <v>Agro Sudamerica</v>
          </cell>
          <cell r="H167" t="str">
            <v/>
          </cell>
          <cell r="I167">
            <v>100886.14799999999</v>
          </cell>
        </row>
        <row r="168">
          <cell r="E168">
            <v>1021111</v>
          </cell>
          <cell r="F168">
            <v>2854.5570000000002</v>
          </cell>
          <cell r="G168" t="str">
            <v>Agro Sudamerica</v>
          </cell>
          <cell r="H168" t="str">
            <v/>
          </cell>
          <cell r="I168">
            <v>2854.5570000000002</v>
          </cell>
        </row>
        <row r="169">
          <cell r="E169">
            <v>1021115</v>
          </cell>
          <cell r="F169">
            <v>34320</v>
          </cell>
          <cell r="G169" t="str">
            <v>Agrosuper Shanghai</v>
          </cell>
          <cell r="H169">
            <v>1</v>
          </cell>
          <cell r="I169">
            <v>34320</v>
          </cell>
        </row>
        <row r="170">
          <cell r="E170">
            <v>1021136</v>
          </cell>
          <cell r="F170">
            <v>5970.04</v>
          </cell>
          <cell r="G170" t="str">
            <v>Exportacion Directa</v>
          </cell>
          <cell r="H170" t="str">
            <v/>
          </cell>
          <cell r="I170">
            <v>5970.04</v>
          </cell>
        </row>
        <row r="171">
          <cell r="E171">
            <v>1021149</v>
          </cell>
          <cell r="F171">
            <v>41728.19</v>
          </cell>
          <cell r="G171" t="str">
            <v>Agrosuper Asia</v>
          </cell>
          <cell r="H171" t="str">
            <v/>
          </cell>
          <cell r="I171">
            <v>41728.19</v>
          </cell>
        </row>
        <row r="172">
          <cell r="E172">
            <v>1021150</v>
          </cell>
          <cell r="F172">
            <v>7440</v>
          </cell>
          <cell r="G172" t="str">
            <v>Agrosuper Asia</v>
          </cell>
          <cell r="H172" t="str">
            <v/>
          </cell>
          <cell r="I172">
            <v>7440</v>
          </cell>
        </row>
        <row r="173">
          <cell r="E173">
            <v>1021151</v>
          </cell>
          <cell r="F173">
            <v>30507.43</v>
          </cell>
          <cell r="G173" t="str">
            <v>Agrosuper Asia</v>
          </cell>
          <cell r="H173" t="str">
            <v/>
          </cell>
          <cell r="I173">
            <v>30507.43</v>
          </cell>
        </row>
        <row r="174">
          <cell r="E174">
            <v>1021152</v>
          </cell>
          <cell r="F174">
            <v>4256</v>
          </cell>
          <cell r="G174" t="str">
            <v>Agrosuper Asia</v>
          </cell>
          <cell r="H174" t="str">
            <v/>
          </cell>
          <cell r="I174">
            <v>4256</v>
          </cell>
        </row>
        <row r="175">
          <cell r="E175">
            <v>1021156</v>
          </cell>
          <cell r="F175">
            <v>19999.97</v>
          </cell>
          <cell r="G175" t="str">
            <v>Agrosuper Asia</v>
          </cell>
          <cell r="H175" t="str">
            <v/>
          </cell>
          <cell r="I175">
            <v>19999.97</v>
          </cell>
        </row>
        <row r="176">
          <cell r="E176">
            <v>1021187</v>
          </cell>
          <cell r="F176">
            <v>45175.617000000006</v>
          </cell>
          <cell r="G176" t="str">
            <v>Agro Sudamerica</v>
          </cell>
          <cell r="H176" t="str">
            <v/>
          </cell>
          <cell r="I176">
            <v>45175.617000000006</v>
          </cell>
        </row>
        <row r="177">
          <cell r="E177">
            <v>1021270</v>
          </cell>
          <cell r="F177">
            <v>70446.646000000037</v>
          </cell>
          <cell r="G177" t="str">
            <v>Agro Mexico</v>
          </cell>
          <cell r="H177" t="str">
            <v/>
          </cell>
          <cell r="I177">
            <v>70446.646000000037</v>
          </cell>
        </row>
        <row r="178">
          <cell r="E178">
            <v>1021272</v>
          </cell>
          <cell r="F178">
            <v>148213.91299999988</v>
          </cell>
          <cell r="G178" t="str">
            <v>Agro Mexico</v>
          </cell>
          <cell r="H178" t="str">
            <v/>
          </cell>
          <cell r="I178">
            <v>148213.91299999988</v>
          </cell>
        </row>
        <row r="179">
          <cell r="E179">
            <v>1021385</v>
          </cell>
          <cell r="F179">
            <v>299611.9150000001</v>
          </cell>
          <cell r="G179" t="str">
            <v>Agro Sudamerica</v>
          </cell>
          <cell r="H179" t="str">
            <v/>
          </cell>
          <cell r="I179">
            <v>299611.9150000001</v>
          </cell>
        </row>
        <row r="180">
          <cell r="E180">
            <v>1021394</v>
          </cell>
          <cell r="F180">
            <v>4213.55</v>
          </cell>
          <cell r="G180" t="str">
            <v/>
          </cell>
          <cell r="H180" t="str">
            <v/>
          </cell>
          <cell r="I180">
            <v>4213.55</v>
          </cell>
        </row>
        <row r="181">
          <cell r="E181">
            <v>1021435</v>
          </cell>
          <cell r="F181">
            <v>1183.153</v>
          </cell>
          <cell r="G181" t="str">
            <v>Agro Europa</v>
          </cell>
          <cell r="H181" t="str">
            <v/>
          </cell>
          <cell r="I181">
            <v>1183.153</v>
          </cell>
        </row>
        <row r="182">
          <cell r="E182">
            <v>1021470</v>
          </cell>
          <cell r="F182">
            <v>171.31099999999998</v>
          </cell>
          <cell r="G182" t="str">
            <v>Agrosuper Asia</v>
          </cell>
          <cell r="H182" t="str">
            <v/>
          </cell>
          <cell r="I182">
            <v>171.31099999999998</v>
          </cell>
        </row>
        <row r="183">
          <cell r="E183">
            <v>1021477</v>
          </cell>
          <cell r="F183">
            <v>35906.866000000002</v>
          </cell>
          <cell r="G183" t="str">
            <v/>
          </cell>
          <cell r="H183" t="str">
            <v/>
          </cell>
          <cell r="I183">
            <v>35906.866000000002</v>
          </cell>
        </row>
        <row r="184">
          <cell r="E184">
            <v>1021533</v>
          </cell>
          <cell r="F184">
            <v>8474.2780000000002</v>
          </cell>
          <cell r="G184" t="str">
            <v>Exportacion Directa</v>
          </cell>
          <cell r="H184" t="str">
            <v/>
          </cell>
          <cell r="I184">
            <v>8474.2780000000002</v>
          </cell>
        </row>
        <row r="185">
          <cell r="E185">
            <v>1021538</v>
          </cell>
          <cell r="F185">
            <v>58361.936000000009</v>
          </cell>
          <cell r="G185" t="str">
            <v>Agro America</v>
          </cell>
          <cell r="H185" t="str">
            <v/>
          </cell>
          <cell r="I185">
            <v>58361.936000000009</v>
          </cell>
        </row>
        <row r="186">
          <cell r="E186">
            <v>1021539</v>
          </cell>
          <cell r="F186">
            <v>7441.2150000000001</v>
          </cell>
          <cell r="G186" t="str">
            <v>Agro America</v>
          </cell>
          <cell r="H186" t="str">
            <v/>
          </cell>
          <cell r="I186">
            <v>7441.2150000000001</v>
          </cell>
        </row>
        <row r="187">
          <cell r="E187">
            <v>1021550</v>
          </cell>
          <cell r="F187">
            <v>700</v>
          </cell>
          <cell r="G187" t="str">
            <v>Agro Sudamerica</v>
          </cell>
          <cell r="H187" t="str">
            <v/>
          </cell>
          <cell r="I187">
            <v>700</v>
          </cell>
        </row>
        <row r="188">
          <cell r="E188">
            <v>1021555</v>
          </cell>
          <cell r="F188">
            <v>83199.717000000062</v>
          </cell>
          <cell r="G188" t="str">
            <v>Agro Mexico</v>
          </cell>
          <cell r="H188" t="str">
            <v/>
          </cell>
          <cell r="I188">
            <v>83199.717000000062</v>
          </cell>
        </row>
        <row r="189">
          <cell r="E189">
            <v>1021588</v>
          </cell>
          <cell r="F189">
            <v>69077.219999999928</v>
          </cell>
          <cell r="G189" t="str">
            <v/>
          </cell>
          <cell r="H189" t="str">
            <v/>
          </cell>
          <cell r="I189">
            <v>69077.219999999928</v>
          </cell>
        </row>
        <row r="190">
          <cell r="E190">
            <v>1021603</v>
          </cell>
          <cell r="F190">
            <v>5009.6920000000009</v>
          </cell>
          <cell r="G190" t="str">
            <v>Exportacion Directa</v>
          </cell>
          <cell r="H190" t="str">
            <v/>
          </cell>
          <cell r="I190">
            <v>5009.6920000000009</v>
          </cell>
        </row>
        <row r="191">
          <cell r="E191">
            <v>1021609</v>
          </cell>
          <cell r="F191">
            <v>3625.7219999999993</v>
          </cell>
          <cell r="G191" t="str">
            <v>Exportacion Directa</v>
          </cell>
          <cell r="H191" t="str">
            <v/>
          </cell>
          <cell r="I191">
            <v>3625.7219999999993</v>
          </cell>
        </row>
        <row r="192">
          <cell r="E192">
            <v>1021620</v>
          </cell>
          <cell r="F192">
            <v>33580</v>
          </cell>
          <cell r="G192" t="str">
            <v/>
          </cell>
          <cell r="H192" t="str">
            <v/>
          </cell>
          <cell r="I192">
            <v>33580</v>
          </cell>
        </row>
        <row r="193">
          <cell r="E193">
            <v>1021622</v>
          </cell>
          <cell r="F193">
            <v>10870</v>
          </cell>
          <cell r="G193" t="str">
            <v>Agro Sudamerica</v>
          </cell>
          <cell r="H193" t="str">
            <v/>
          </cell>
          <cell r="I193">
            <v>10870</v>
          </cell>
        </row>
        <row r="194">
          <cell r="E194">
            <v>1021655</v>
          </cell>
          <cell r="F194">
            <v>25800.35</v>
          </cell>
          <cell r="G194" t="str">
            <v>Agrosuper Asia</v>
          </cell>
          <cell r="H194" t="str">
            <v/>
          </cell>
          <cell r="I194">
            <v>25800.35</v>
          </cell>
        </row>
        <row r="195">
          <cell r="E195">
            <v>1021664</v>
          </cell>
          <cell r="F195">
            <v>24334.135999999999</v>
          </cell>
          <cell r="G195" t="str">
            <v>Agrosuper Asia</v>
          </cell>
          <cell r="H195" t="str">
            <v/>
          </cell>
          <cell r="I195">
            <v>24334.135999999999</v>
          </cell>
        </row>
        <row r="196">
          <cell r="E196">
            <v>1021665</v>
          </cell>
          <cell r="F196">
            <v>2430.1260000000002</v>
          </cell>
          <cell r="G196" t="str">
            <v>Agrosuper Asia</v>
          </cell>
          <cell r="H196" t="str">
            <v/>
          </cell>
          <cell r="I196">
            <v>2430.1260000000002</v>
          </cell>
        </row>
        <row r="197">
          <cell r="E197">
            <v>1021731</v>
          </cell>
          <cell r="F197">
            <v>113061.15</v>
          </cell>
          <cell r="G197" t="str">
            <v>Agrosuper Shanghai</v>
          </cell>
          <cell r="H197">
            <v>0.66662207905226667</v>
          </cell>
          <cell r="I197">
            <v>75369.05887304018</v>
          </cell>
        </row>
        <row r="198">
          <cell r="E198">
            <v>1021732</v>
          </cell>
          <cell r="F198">
            <v>120482.59</v>
          </cell>
          <cell r="G198" t="str">
            <v>Agrosuper Shanghai</v>
          </cell>
          <cell r="H198">
            <v>0</v>
          </cell>
          <cell r="I198">
            <v>0</v>
          </cell>
        </row>
        <row r="199">
          <cell r="E199">
            <v>1021733</v>
          </cell>
          <cell r="F199">
            <v>3816.6660000000002</v>
          </cell>
          <cell r="G199" t="str">
            <v>Agrosuper Shanghai</v>
          </cell>
          <cell r="H199">
            <v>1</v>
          </cell>
          <cell r="I199">
            <v>3816.6660000000002</v>
          </cell>
        </row>
        <row r="200">
          <cell r="E200">
            <v>1021735</v>
          </cell>
          <cell r="F200">
            <v>82261.790000000008</v>
          </cell>
          <cell r="G200" t="str">
            <v>Agrosuper Shanghai</v>
          </cell>
          <cell r="H200">
            <v>0.36605899767286398</v>
          </cell>
          <cell r="I200">
            <v>30112.668394175627</v>
          </cell>
        </row>
        <row r="201">
          <cell r="E201">
            <v>1021737</v>
          </cell>
          <cell r="F201">
            <v>32920.43</v>
          </cell>
          <cell r="G201" t="str">
            <v>Agrosuper Shanghai</v>
          </cell>
          <cell r="H201">
            <v>0</v>
          </cell>
          <cell r="I201">
            <v>0</v>
          </cell>
        </row>
        <row r="202">
          <cell r="E202">
            <v>1021738</v>
          </cell>
          <cell r="F202">
            <v>75482.67</v>
          </cell>
          <cell r="G202" t="str">
            <v>Agrosuper Shanghai</v>
          </cell>
          <cell r="H202">
            <v>0</v>
          </cell>
          <cell r="I202">
            <v>0</v>
          </cell>
        </row>
        <row r="203">
          <cell r="E203">
            <v>1021739</v>
          </cell>
          <cell r="F203">
            <v>50784.273000000001</v>
          </cell>
          <cell r="G203" t="str">
            <v>Agrosuper Shanghai</v>
          </cell>
          <cell r="H203">
            <v>0</v>
          </cell>
          <cell r="I203">
            <v>0</v>
          </cell>
        </row>
        <row r="204">
          <cell r="E204">
            <v>1021766</v>
          </cell>
          <cell r="F204">
            <v>124275.52</v>
          </cell>
          <cell r="G204" t="str">
            <v>Agrosuper Shanghai</v>
          </cell>
          <cell r="H204">
            <v>0</v>
          </cell>
          <cell r="I204">
            <v>0</v>
          </cell>
        </row>
        <row r="205">
          <cell r="E205">
            <v>1021767</v>
          </cell>
          <cell r="F205">
            <v>196583.22</v>
          </cell>
          <cell r="G205" t="str">
            <v>Agrosuper Shanghai</v>
          </cell>
          <cell r="H205">
            <v>0</v>
          </cell>
          <cell r="I205">
            <v>0</v>
          </cell>
        </row>
        <row r="206">
          <cell r="E206">
            <v>1021771</v>
          </cell>
          <cell r="F206">
            <v>5910</v>
          </cell>
          <cell r="G206" t="str">
            <v/>
          </cell>
          <cell r="H206" t="str">
            <v/>
          </cell>
          <cell r="I206">
            <v>5910</v>
          </cell>
        </row>
        <row r="207">
          <cell r="E207">
            <v>1021772</v>
          </cell>
          <cell r="F207">
            <v>4224.094000000001</v>
          </cell>
          <cell r="G207" t="str">
            <v/>
          </cell>
          <cell r="H207" t="str">
            <v/>
          </cell>
          <cell r="I207">
            <v>4224.094000000001</v>
          </cell>
        </row>
        <row r="208">
          <cell r="E208">
            <v>1021773</v>
          </cell>
          <cell r="F208">
            <v>12673.93</v>
          </cell>
          <cell r="G208" t="str">
            <v/>
          </cell>
          <cell r="H208" t="str">
            <v/>
          </cell>
          <cell r="I208">
            <v>12673.93</v>
          </cell>
        </row>
        <row r="209">
          <cell r="E209">
            <v>1021774</v>
          </cell>
          <cell r="F209">
            <v>67101.87</v>
          </cell>
          <cell r="G209" t="str">
            <v>Agrosuper Shanghai</v>
          </cell>
          <cell r="H209">
            <v>0</v>
          </cell>
          <cell r="I209">
            <v>0</v>
          </cell>
        </row>
        <row r="210">
          <cell r="E210">
            <v>1021819</v>
          </cell>
          <cell r="F210">
            <v>41.9</v>
          </cell>
          <cell r="G210" t="str">
            <v>Agro Europa</v>
          </cell>
          <cell r="H210" t="str">
            <v/>
          </cell>
          <cell r="I210">
            <v>41.9</v>
          </cell>
        </row>
        <row r="211">
          <cell r="E211">
            <v>1021864</v>
          </cell>
          <cell r="F211">
            <v>20426.214999999993</v>
          </cell>
          <cell r="G211" t="str">
            <v>Agrosuper Brasil</v>
          </cell>
          <cell r="H211" t="str">
            <v/>
          </cell>
          <cell r="I211">
            <v>20426.214999999993</v>
          </cell>
        </row>
        <row r="212">
          <cell r="E212">
            <v>1021905</v>
          </cell>
          <cell r="F212">
            <v>10244.625999999998</v>
          </cell>
          <cell r="G212" t="str">
            <v>Agrosuper Shanghai</v>
          </cell>
          <cell r="H212">
            <v>1</v>
          </cell>
          <cell r="I212">
            <v>10244.625999999998</v>
          </cell>
        </row>
        <row r="213">
          <cell r="E213">
            <v>1021921</v>
          </cell>
          <cell r="F213">
            <v>2747.4799999999996</v>
          </cell>
          <cell r="G213" t="str">
            <v>Andes Asia</v>
          </cell>
          <cell r="H213" t="str">
            <v/>
          </cell>
          <cell r="I213">
            <v>2747.4799999999996</v>
          </cell>
        </row>
        <row r="214">
          <cell r="E214">
            <v>1021924</v>
          </cell>
          <cell r="F214">
            <v>34620.172000000006</v>
          </cell>
          <cell r="G214" t="str">
            <v>Andes Asia</v>
          </cell>
          <cell r="H214" t="str">
            <v/>
          </cell>
          <cell r="I214">
            <v>34620.172000000006</v>
          </cell>
        </row>
        <row r="215">
          <cell r="E215">
            <v>1021925</v>
          </cell>
          <cell r="F215">
            <v>25682.923999999992</v>
          </cell>
          <cell r="G215" t="str">
            <v>Andes Asia</v>
          </cell>
          <cell r="H215" t="str">
            <v/>
          </cell>
          <cell r="I215">
            <v>25682.923999999992</v>
          </cell>
        </row>
        <row r="216">
          <cell r="E216">
            <v>1021929</v>
          </cell>
          <cell r="F216">
            <v>1610</v>
          </cell>
          <cell r="G216" t="str">
            <v>Andes Asia</v>
          </cell>
          <cell r="H216" t="str">
            <v/>
          </cell>
          <cell r="I216">
            <v>1610</v>
          </cell>
        </row>
        <row r="217">
          <cell r="E217">
            <v>1021931</v>
          </cell>
          <cell r="F217">
            <v>26640.351999999995</v>
          </cell>
          <cell r="G217" t="str">
            <v>Andes Asia</v>
          </cell>
          <cell r="H217" t="str">
            <v/>
          </cell>
          <cell r="I217">
            <v>26640.351999999995</v>
          </cell>
        </row>
        <row r="218">
          <cell r="E218">
            <v>1021936</v>
          </cell>
          <cell r="F218">
            <v>70031.920000000013</v>
          </cell>
          <cell r="G218" t="str">
            <v>Andes Asia</v>
          </cell>
          <cell r="H218" t="str">
            <v/>
          </cell>
          <cell r="I218">
            <v>70031.920000000013</v>
          </cell>
        </row>
        <row r="219">
          <cell r="E219">
            <v>1021952</v>
          </cell>
          <cell r="F219">
            <v>1740</v>
          </cell>
          <cell r="G219" t="str">
            <v>Andes Asia</v>
          </cell>
          <cell r="H219" t="str">
            <v/>
          </cell>
          <cell r="I219">
            <v>1740</v>
          </cell>
        </row>
        <row r="220">
          <cell r="E220">
            <v>1021971</v>
          </cell>
          <cell r="F220">
            <v>15835.46</v>
          </cell>
          <cell r="G220" t="str">
            <v>Agrosuper Shanghai</v>
          </cell>
          <cell r="H220">
            <v>0</v>
          </cell>
          <cell r="I220">
            <v>0</v>
          </cell>
        </row>
        <row r="221">
          <cell r="E221">
            <v>1021987</v>
          </cell>
          <cell r="F221">
            <v>6720.28</v>
          </cell>
          <cell r="G221" t="str">
            <v>Andes Asia</v>
          </cell>
          <cell r="H221" t="str">
            <v/>
          </cell>
          <cell r="I221">
            <v>6720.28</v>
          </cell>
        </row>
        <row r="222">
          <cell r="E222">
            <v>1021992</v>
          </cell>
          <cell r="F222">
            <v>4840</v>
          </cell>
          <cell r="G222" t="str">
            <v>Agrosuper Shanghai</v>
          </cell>
          <cell r="H222">
            <v>0</v>
          </cell>
          <cell r="I222">
            <v>0</v>
          </cell>
        </row>
        <row r="223">
          <cell r="E223">
            <v>1021997</v>
          </cell>
          <cell r="F223">
            <v>12191.476000000001</v>
          </cell>
          <cell r="G223" t="str">
            <v/>
          </cell>
          <cell r="H223" t="str">
            <v/>
          </cell>
          <cell r="I223">
            <v>12191.476000000001</v>
          </cell>
        </row>
        <row r="224">
          <cell r="E224">
            <v>1022033</v>
          </cell>
          <cell r="F224">
            <v>33041.300000000003</v>
          </cell>
          <cell r="G224" t="str">
            <v>Agrosuper Shanghai</v>
          </cell>
          <cell r="H224">
            <v>0</v>
          </cell>
          <cell r="I224">
            <v>0</v>
          </cell>
        </row>
        <row r="225">
          <cell r="E225">
            <v>1022073</v>
          </cell>
          <cell r="F225">
            <v>21079.132999999998</v>
          </cell>
          <cell r="G225" t="str">
            <v>Agrosuper Shanghai</v>
          </cell>
          <cell r="H225">
            <v>0.33316306228799625</v>
          </cell>
          <cell r="I225">
            <v>7022.7885006559563</v>
          </cell>
        </row>
        <row r="226">
          <cell r="E226">
            <v>1022080</v>
          </cell>
          <cell r="F226">
            <v>63620.46</v>
          </cell>
          <cell r="G226" t="str">
            <v>Agrosuper Shanghai</v>
          </cell>
          <cell r="H226">
            <v>0</v>
          </cell>
          <cell r="I226">
            <v>0</v>
          </cell>
        </row>
        <row r="227">
          <cell r="E227">
            <v>1022096</v>
          </cell>
          <cell r="F227">
            <v>121794.5</v>
          </cell>
          <cell r="G227" t="str">
            <v>Agrosuper Shanghai</v>
          </cell>
          <cell r="H227">
            <v>0.49991667708203141</v>
          </cell>
          <cell r="I227">
            <v>60887.101726867477</v>
          </cell>
        </row>
        <row r="228">
          <cell r="E228">
            <v>1022099</v>
          </cell>
          <cell r="F228">
            <v>123031.61</v>
          </cell>
          <cell r="G228" t="str">
            <v>Agrosuper Shanghai</v>
          </cell>
          <cell r="H228">
            <v>0</v>
          </cell>
          <cell r="I228">
            <v>0</v>
          </cell>
        </row>
        <row r="229">
          <cell r="E229">
            <v>1022101</v>
          </cell>
          <cell r="F229">
            <v>1423.5960000000002</v>
          </cell>
          <cell r="G229" t="str">
            <v>Andes Asia</v>
          </cell>
          <cell r="H229" t="str">
            <v/>
          </cell>
          <cell r="I229">
            <v>1423.5960000000002</v>
          </cell>
        </row>
        <row r="230">
          <cell r="E230">
            <v>1022108</v>
          </cell>
          <cell r="F230">
            <v>121.43</v>
          </cell>
          <cell r="G230" t="str">
            <v/>
          </cell>
          <cell r="H230" t="str">
            <v/>
          </cell>
          <cell r="I230">
            <v>121.43</v>
          </cell>
        </row>
        <row r="231">
          <cell r="E231">
            <v>1022125</v>
          </cell>
          <cell r="F231">
            <v>38227.421999999999</v>
          </cell>
          <cell r="G231" t="str">
            <v>Agrosuper Shanghai</v>
          </cell>
          <cell r="H231">
            <v>0.42809368501578798</v>
          </cell>
          <cell r="I231">
            <v>16364.917952633603</v>
          </cell>
        </row>
        <row r="232">
          <cell r="E232">
            <v>1022128</v>
          </cell>
          <cell r="F232">
            <v>17402.550999999996</v>
          </cell>
          <cell r="G232" t="str">
            <v>Andes Asia</v>
          </cell>
          <cell r="H232" t="str">
            <v/>
          </cell>
          <cell r="I232">
            <v>17402.550999999996</v>
          </cell>
        </row>
        <row r="233">
          <cell r="E233">
            <v>1022141</v>
          </cell>
          <cell r="F233">
            <v>42522.497999999992</v>
          </cell>
          <cell r="G233" t="str">
            <v>Andes Asia</v>
          </cell>
          <cell r="H233" t="str">
            <v/>
          </cell>
          <cell r="I233">
            <v>42522.497999999992</v>
          </cell>
        </row>
        <row r="234">
          <cell r="E234">
            <v>1022142</v>
          </cell>
          <cell r="F234">
            <v>42149.762999999992</v>
          </cell>
          <cell r="G234" t="str">
            <v>Andes Asia</v>
          </cell>
          <cell r="H234" t="str">
            <v/>
          </cell>
          <cell r="I234">
            <v>42149.762999999992</v>
          </cell>
        </row>
        <row r="235">
          <cell r="E235">
            <v>1022145</v>
          </cell>
          <cell r="F235">
            <v>17391.581000000006</v>
          </cell>
          <cell r="G235" t="str">
            <v>Agro Europa</v>
          </cell>
          <cell r="H235" t="str">
            <v/>
          </cell>
          <cell r="I235">
            <v>17391.581000000006</v>
          </cell>
        </row>
        <row r="236">
          <cell r="E236">
            <v>1022149</v>
          </cell>
          <cell r="F236">
            <v>1020.921</v>
          </cell>
          <cell r="G236" t="str">
            <v>Agro Sudamerica</v>
          </cell>
          <cell r="H236" t="str">
            <v/>
          </cell>
          <cell r="I236">
            <v>1020.921</v>
          </cell>
        </row>
        <row r="237">
          <cell r="E237">
            <v>1022150</v>
          </cell>
          <cell r="F237">
            <v>36386.845999999983</v>
          </cell>
          <cell r="G237" t="str">
            <v>Agro Sudamerica</v>
          </cell>
          <cell r="H237" t="str">
            <v/>
          </cell>
          <cell r="I237">
            <v>36386.845999999983</v>
          </cell>
        </row>
        <row r="238">
          <cell r="E238">
            <v>1022169</v>
          </cell>
          <cell r="F238">
            <v>107501.2</v>
          </cell>
          <cell r="G238" t="str">
            <v>Agrosuper Shanghai</v>
          </cell>
          <cell r="H238">
            <v>0</v>
          </cell>
          <cell r="I238">
            <v>0</v>
          </cell>
        </row>
        <row r="239">
          <cell r="E239">
            <v>1022183</v>
          </cell>
          <cell r="F239">
            <v>246956.78399999975</v>
          </cell>
          <cell r="G239" t="str">
            <v>Agrosuper Shanghai</v>
          </cell>
          <cell r="H239">
            <v>0.46375319351354155</v>
          </cell>
          <cell r="I239">
            <v>114526.99723983377</v>
          </cell>
        </row>
        <row r="240">
          <cell r="E240">
            <v>1022186</v>
          </cell>
          <cell r="F240">
            <v>26387.83</v>
          </cell>
          <cell r="G240" t="str">
            <v>Agrosuper Shanghai</v>
          </cell>
          <cell r="H240">
            <v>0.49500090892564991</v>
          </cell>
          <cell r="I240">
            <v>13061.999834575534</v>
          </cell>
        </row>
        <row r="241">
          <cell r="E241">
            <v>1022193</v>
          </cell>
          <cell r="F241">
            <v>7497.6240000000007</v>
          </cell>
          <cell r="G241" t="str">
            <v>Agrosuper Shanghai</v>
          </cell>
          <cell r="H241">
            <v>0</v>
          </cell>
          <cell r="I241">
            <v>0</v>
          </cell>
        </row>
        <row r="242">
          <cell r="E242">
            <v>1022196</v>
          </cell>
          <cell r="F242">
            <v>37334.689999999995</v>
          </cell>
          <cell r="G242" t="str">
            <v>Agro Sudamerica</v>
          </cell>
          <cell r="H242" t="str">
            <v/>
          </cell>
          <cell r="I242">
            <v>37334.689999999995</v>
          </cell>
        </row>
        <row r="243">
          <cell r="E243">
            <v>1022197</v>
          </cell>
          <cell r="F243">
            <v>13297.205000000002</v>
          </cell>
          <cell r="G243" t="str">
            <v>Agro Sudamerica</v>
          </cell>
          <cell r="H243" t="str">
            <v/>
          </cell>
          <cell r="I243">
            <v>13297.205000000002</v>
          </cell>
        </row>
        <row r="244">
          <cell r="E244">
            <v>1022212</v>
          </cell>
          <cell r="F244">
            <v>146769.69199999992</v>
          </cell>
          <cell r="G244" t="str">
            <v>Agrosuper Shanghai</v>
          </cell>
          <cell r="H244">
            <v>0</v>
          </cell>
          <cell r="I244">
            <v>0</v>
          </cell>
        </row>
        <row r="245">
          <cell r="E245">
            <v>1022217</v>
          </cell>
          <cell r="F245">
            <v>98668.527000000016</v>
          </cell>
          <cell r="G245" t="str">
            <v>Agrosuper Brasil</v>
          </cell>
          <cell r="H245" t="str">
            <v/>
          </cell>
          <cell r="I245">
            <v>98668.527000000016</v>
          </cell>
        </row>
        <row r="246">
          <cell r="E246">
            <v>1022218</v>
          </cell>
          <cell r="F246">
            <v>8377.7629999999972</v>
          </cell>
          <cell r="G246" t="str">
            <v>Agrosuper Brasil</v>
          </cell>
          <cell r="H246" t="str">
            <v/>
          </cell>
          <cell r="I246">
            <v>8377.7629999999972</v>
          </cell>
        </row>
        <row r="247">
          <cell r="E247">
            <v>1022273</v>
          </cell>
          <cell r="F247">
            <v>72889.000000000044</v>
          </cell>
          <cell r="G247" t="str">
            <v>Agrosuper Brasil</v>
          </cell>
          <cell r="H247" t="str">
            <v/>
          </cell>
          <cell r="I247">
            <v>72889.000000000044</v>
          </cell>
        </row>
        <row r="248">
          <cell r="E248">
            <v>1022283</v>
          </cell>
          <cell r="F248">
            <v>8015.243999999997</v>
          </cell>
          <cell r="G248" t="str">
            <v>Agrosuper Asia</v>
          </cell>
          <cell r="H248" t="str">
            <v/>
          </cell>
          <cell r="I248">
            <v>8015.243999999997</v>
          </cell>
        </row>
        <row r="249">
          <cell r="E249">
            <v>1022291</v>
          </cell>
          <cell r="F249">
            <v>55326.181000000055</v>
          </cell>
          <cell r="G249" t="str">
            <v>Agrosuper Shanghai</v>
          </cell>
          <cell r="H249">
            <v>0.75021303997719824</v>
          </cell>
          <cell r="I249">
            <v>41506.422438338748</v>
          </cell>
        </row>
        <row r="250">
          <cell r="E250">
            <v>1022293</v>
          </cell>
          <cell r="F250">
            <v>4325</v>
          </cell>
          <cell r="G250" t="str">
            <v>Andes Asia</v>
          </cell>
          <cell r="H250" t="str">
            <v/>
          </cell>
          <cell r="I250">
            <v>4325</v>
          </cell>
        </row>
        <row r="251">
          <cell r="E251">
            <v>1022304</v>
          </cell>
          <cell r="F251">
            <v>15696.56499999999</v>
          </cell>
          <cell r="G251" t="str">
            <v>Agro Europa</v>
          </cell>
          <cell r="H251" t="str">
            <v/>
          </cell>
          <cell r="I251">
            <v>15696.56499999999</v>
          </cell>
        </row>
        <row r="252">
          <cell r="E252">
            <v>1022313</v>
          </cell>
          <cell r="F252">
            <v>5324.0709999999999</v>
          </cell>
          <cell r="G252" t="str">
            <v>Exportacion Directa</v>
          </cell>
          <cell r="H252" t="str">
            <v/>
          </cell>
          <cell r="I252">
            <v>5324.0709999999999</v>
          </cell>
        </row>
        <row r="253">
          <cell r="E253">
            <v>1022326</v>
          </cell>
          <cell r="F253">
            <v>26930.624000000003</v>
          </cell>
          <cell r="G253" t="str">
            <v>Exportacion Directa</v>
          </cell>
          <cell r="H253" t="str">
            <v/>
          </cell>
          <cell r="I253">
            <v>26930.624000000003</v>
          </cell>
        </row>
        <row r="254">
          <cell r="E254">
            <v>1022330</v>
          </cell>
          <cell r="F254">
            <v>900</v>
          </cell>
          <cell r="G254" t="str">
            <v/>
          </cell>
          <cell r="H254" t="str">
            <v/>
          </cell>
          <cell r="I254">
            <v>900</v>
          </cell>
        </row>
        <row r="255">
          <cell r="E255">
            <v>1022340</v>
          </cell>
          <cell r="F255">
            <v>3790</v>
          </cell>
          <cell r="G255" t="str">
            <v>Agrosuper Shanghai</v>
          </cell>
          <cell r="H255">
            <v>0.2</v>
          </cell>
          <cell r="I255">
            <v>758</v>
          </cell>
        </row>
        <row r="256">
          <cell r="E256">
            <v>1022344</v>
          </cell>
          <cell r="F256">
            <v>9712.0730000000003</v>
          </cell>
          <cell r="G256" t="str">
            <v/>
          </cell>
          <cell r="H256" t="str">
            <v/>
          </cell>
          <cell r="I256">
            <v>9712.0730000000003</v>
          </cell>
        </row>
        <row r="257">
          <cell r="E257">
            <v>1022370</v>
          </cell>
          <cell r="F257">
            <v>28902.286999999993</v>
          </cell>
          <cell r="G257" t="str">
            <v>Exportacion Directa</v>
          </cell>
          <cell r="H257">
            <v>0</v>
          </cell>
          <cell r="I257">
            <v>28902.286999999993</v>
          </cell>
        </row>
        <row r="258">
          <cell r="E258">
            <v>1022371</v>
          </cell>
          <cell r="F258">
            <v>11577.777</v>
          </cell>
          <cell r="G258" t="str">
            <v>Exportacion Directa</v>
          </cell>
          <cell r="H258" t="str">
            <v/>
          </cell>
          <cell r="I258">
            <v>11577.777</v>
          </cell>
        </row>
        <row r="259">
          <cell r="E259">
            <v>1022373</v>
          </cell>
          <cell r="F259">
            <v>51637.260999999999</v>
          </cell>
          <cell r="G259" t="str">
            <v>Agrosuper Shanghai</v>
          </cell>
          <cell r="H259">
            <v>0.38080547783431007</v>
          </cell>
          <cell r="I259">
            <v>19663.751849159984</v>
          </cell>
        </row>
        <row r="260">
          <cell r="E260">
            <v>1022378</v>
          </cell>
          <cell r="F260">
            <v>40806.82</v>
          </cell>
          <cell r="G260" t="str">
            <v>Agrosuper Shanghai</v>
          </cell>
          <cell r="H260">
            <v>0.59956871526913824</v>
          </cell>
          <cell r="I260">
            <v>24466.492641618977</v>
          </cell>
        </row>
        <row r="261">
          <cell r="E261">
            <v>1022379</v>
          </cell>
          <cell r="F261">
            <v>15688.927999999998</v>
          </cell>
          <cell r="G261" t="str">
            <v>Agrosuper Shanghai</v>
          </cell>
          <cell r="H261">
            <v>0.49737471873471045</v>
          </cell>
          <cell r="I261">
            <v>7803.2761512491224</v>
          </cell>
        </row>
        <row r="262">
          <cell r="E262">
            <v>1022381</v>
          </cell>
          <cell r="F262">
            <v>49547.54</v>
          </cell>
          <cell r="G262" t="str">
            <v>Agrosuper Shanghai</v>
          </cell>
          <cell r="H262">
            <v>0.71375906766559638</v>
          </cell>
          <cell r="I262">
            <v>35365.00595552384</v>
          </cell>
        </row>
        <row r="263">
          <cell r="E263">
            <v>1022388</v>
          </cell>
          <cell r="F263">
            <v>103121.84</v>
          </cell>
          <cell r="G263" t="str">
            <v>Agrosuper Shanghai</v>
          </cell>
          <cell r="H263">
            <v>0</v>
          </cell>
          <cell r="I263">
            <v>0</v>
          </cell>
        </row>
        <row r="264">
          <cell r="E264">
            <v>1022398</v>
          </cell>
          <cell r="F264">
            <v>48291.59600000002</v>
          </cell>
          <cell r="G264" t="str">
            <v>Andes Asia</v>
          </cell>
          <cell r="H264" t="str">
            <v/>
          </cell>
          <cell r="I264">
            <v>48291.59600000002</v>
          </cell>
        </row>
        <row r="265">
          <cell r="E265">
            <v>1022413</v>
          </cell>
          <cell r="F265">
            <v>12688.17</v>
          </cell>
          <cell r="G265" t="str">
            <v>Andes Asia</v>
          </cell>
          <cell r="H265" t="str">
            <v/>
          </cell>
          <cell r="I265">
            <v>12688.17</v>
          </cell>
        </row>
        <row r="266">
          <cell r="E266">
            <v>1022414</v>
          </cell>
          <cell r="F266">
            <v>129011.03</v>
          </cell>
          <cell r="G266" t="str">
            <v>Agrosuper Shanghai</v>
          </cell>
          <cell r="H266">
            <v>0.4615703930772424</v>
          </cell>
          <cell r="I266">
            <v>59547.671828399914</v>
          </cell>
        </row>
        <row r="267">
          <cell r="E267">
            <v>1022415</v>
          </cell>
          <cell r="F267">
            <v>220</v>
          </cell>
          <cell r="G267" t="str">
            <v>Agrosuper Shanghai</v>
          </cell>
          <cell r="H267">
            <v>0.2</v>
          </cell>
          <cell r="I267">
            <v>44</v>
          </cell>
        </row>
        <row r="268">
          <cell r="E268">
            <v>1022416</v>
          </cell>
          <cell r="F268">
            <v>1073.4199999999998</v>
          </cell>
          <cell r="G268" t="str">
            <v>Agrosuper Shanghai</v>
          </cell>
          <cell r="H268">
            <v>0.2</v>
          </cell>
          <cell r="I268">
            <v>214.68399999999997</v>
          </cell>
        </row>
        <row r="269">
          <cell r="E269">
            <v>1022417</v>
          </cell>
          <cell r="F269">
            <v>6722.82</v>
          </cell>
          <cell r="G269" t="str">
            <v>Agrosuper Shanghai</v>
          </cell>
          <cell r="H269">
            <v>0.15600624024960999</v>
          </cell>
          <cell r="I269">
            <v>1048.801872074883</v>
          </cell>
        </row>
        <row r="270">
          <cell r="E270">
            <v>1022472</v>
          </cell>
          <cell r="F270">
            <v>20160.351999999995</v>
          </cell>
          <cell r="G270" t="str">
            <v>Exportacion Directa</v>
          </cell>
          <cell r="H270" t="str">
            <v/>
          </cell>
          <cell r="I270">
            <v>20160.351999999995</v>
          </cell>
        </row>
        <row r="271">
          <cell r="E271">
            <v>1022476</v>
          </cell>
          <cell r="F271">
            <v>246</v>
          </cell>
          <cell r="G271" t="str">
            <v/>
          </cell>
          <cell r="H271" t="str">
            <v/>
          </cell>
          <cell r="I271">
            <v>246</v>
          </cell>
        </row>
        <row r="272">
          <cell r="E272">
            <v>1022499</v>
          </cell>
          <cell r="F272">
            <v>6206.4009999999998</v>
          </cell>
          <cell r="G272" t="str">
            <v>Exportacion Directa</v>
          </cell>
          <cell r="H272" t="str">
            <v/>
          </cell>
          <cell r="I272">
            <v>6206.4009999999998</v>
          </cell>
        </row>
        <row r="273">
          <cell r="E273">
            <v>1022515</v>
          </cell>
          <cell r="F273">
            <v>1237.7249999999999</v>
          </cell>
          <cell r="G273" t="str">
            <v>Andes Asia</v>
          </cell>
          <cell r="H273" t="str">
            <v/>
          </cell>
          <cell r="I273">
            <v>1237.7249999999999</v>
          </cell>
        </row>
        <row r="274">
          <cell r="E274">
            <v>1022541</v>
          </cell>
          <cell r="F274">
            <v>135191.614</v>
          </cell>
          <cell r="G274" t="str">
            <v>Agrosuper Shanghai</v>
          </cell>
          <cell r="H274">
            <v>1</v>
          </cell>
          <cell r="I274">
            <v>135191.614</v>
          </cell>
        </row>
        <row r="275">
          <cell r="E275">
            <v>1022546</v>
          </cell>
          <cell r="F275">
            <v>4506</v>
          </cell>
          <cell r="G275" t="str">
            <v/>
          </cell>
          <cell r="H275" t="str">
            <v/>
          </cell>
          <cell r="I275">
            <v>4506</v>
          </cell>
        </row>
        <row r="276">
          <cell r="E276">
            <v>1022561</v>
          </cell>
          <cell r="F276">
            <v>1987.1219999999998</v>
          </cell>
          <cell r="G276" t="str">
            <v>Andes Asia</v>
          </cell>
          <cell r="H276" t="str">
            <v/>
          </cell>
          <cell r="I276">
            <v>1987.1219999999998</v>
          </cell>
        </row>
        <row r="277">
          <cell r="E277">
            <v>1022587</v>
          </cell>
          <cell r="F277">
            <v>2974.8369999999995</v>
          </cell>
          <cell r="G277" t="str">
            <v>Exportacion Directa</v>
          </cell>
          <cell r="H277" t="str">
            <v/>
          </cell>
          <cell r="I277">
            <v>2974.8369999999995</v>
          </cell>
        </row>
        <row r="278">
          <cell r="E278">
            <v>1022600</v>
          </cell>
          <cell r="F278">
            <v>17708.169999999998</v>
          </cell>
          <cell r="G278" t="str">
            <v>Exportacion Directa</v>
          </cell>
          <cell r="H278" t="str">
            <v/>
          </cell>
          <cell r="I278">
            <v>17708.169999999998</v>
          </cell>
        </row>
        <row r="279">
          <cell r="E279">
            <v>1022607</v>
          </cell>
          <cell r="F279">
            <v>15860.777000000004</v>
          </cell>
          <cell r="G279" t="str">
            <v>Agrosuper Asia</v>
          </cell>
          <cell r="H279" t="str">
            <v/>
          </cell>
          <cell r="I279">
            <v>15860.777000000004</v>
          </cell>
        </row>
        <row r="280">
          <cell r="E280">
            <v>1022619</v>
          </cell>
          <cell r="F280">
            <v>9408.9189999999999</v>
          </cell>
          <cell r="G280" t="str">
            <v>Agro America</v>
          </cell>
          <cell r="H280" t="str">
            <v/>
          </cell>
          <cell r="I280">
            <v>9408.9189999999999</v>
          </cell>
        </row>
        <row r="281">
          <cell r="E281">
            <v>1022621</v>
          </cell>
          <cell r="F281">
            <v>32699.079999999994</v>
          </cell>
          <cell r="G281" t="str">
            <v>Andes Asia</v>
          </cell>
          <cell r="H281" t="str">
            <v/>
          </cell>
          <cell r="I281">
            <v>32699.079999999994</v>
          </cell>
        </row>
        <row r="282">
          <cell r="E282">
            <v>1022636</v>
          </cell>
          <cell r="F282">
            <v>88546.67</v>
          </cell>
          <cell r="G282" t="str">
            <v>Agrosuper Shanghai</v>
          </cell>
          <cell r="H282">
            <v>0</v>
          </cell>
          <cell r="I282">
            <v>0</v>
          </cell>
        </row>
        <row r="283">
          <cell r="E283">
            <v>1022637</v>
          </cell>
          <cell r="F283">
            <v>98116.47</v>
          </cell>
          <cell r="G283" t="str">
            <v>Agrosuper Shanghai</v>
          </cell>
          <cell r="H283">
            <v>0.62574952886756896</v>
          </cell>
          <cell r="I283">
            <v>61396.334876648965</v>
          </cell>
        </row>
        <row r="284">
          <cell r="E284">
            <v>1022638</v>
          </cell>
          <cell r="F284">
            <v>24981.134999999998</v>
          </cell>
          <cell r="G284" t="str">
            <v/>
          </cell>
          <cell r="H284" t="str">
            <v/>
          </cell>
          <cell r="I284">
            <v>24981.134999999998</v>
          </cell>
        </row>
        <row r="285">
          <cell r="E285">
            <v>1022639</v>
          </cell>
          <cell r="F285">
            <v>258533.65699999992</v>
          </cell>
          <cell r="G285" t="str">
            <v>Agrosuper Shanghai</v>
          </cell>
          <cell r="H285">
            <v>0</v>
          </cell>
          <cell r="I285">
            <v>0</v>
          </cell>
        </row>
        <row r="286">
          <cell r="E286">
            <v>1022640</v>
          </cell>
          <cell r="F286">
            <v>29214.572000000004</v>
          </cell>
          <cell r="G286" t="str">
            <v>Agrosuper Shanghai</v>
          </cell>
          <cell r="H286">
            <v>0</v>
          </cell>
          <cell r="I286">
            <v>0</v>
          </cell>
        </row>
        <row r="287">
          <cell r="E287">
            <v>1022643</v>
          </cell>
          <cell r="F287">
            <v>6618.2620000000006</v>
          </cell>
          <cell r="G287" t="str">
            <v/>
          </cell>
          <cell r="H287" t="str">
            <v/>
          </cell>
          <cell r="I287">
            <v>6618.2620000000006</v>
          </cell>
        </row>
        <row r="288">
          <cell r="E288">
            <v>1022645</v>
          </cell>
          <cell r="F288">
            <v>21694.375000000004</v>
          </cell>
          <cell r="G288" t="str">
            <v>Agrosuper Shanghai</v>
          </cell>
          <cell r="H288">
            <v>0</v>
          </cell>
          <cell r="I288">
            <v>0</v>
          </cell>
        </row>
        <row r="289">
          <cell r="E289">
            <v>1022646</v>
          </cell>
          <cell r="F289">
            <v>9340.0869999999995</v>
          </cell>
          <cell r="G289" t="str">
            <v>Agrosuper Shanghai</v>
          </cell>
          <cell r="H289">
            <v>0</v>
          </cell>
          <cell r="I289">
            <v>0</v>
          </cell>
        </row>
        <row r="290">
          <cell r="E290">
            <v>1022654</v>
          </cell>
          <cell r="F290">
            <v>120</v>
          </cell>
          <cell r="G290" t="str">
            <v>Agro Europa</v>
          </cell>
          <cell r="H290" t="str">
            <v/>
          </cell>
          <cell r="I290">
            <v>120</v>
          </cell>
        </row>
        <row r="291">
          <cell r="E291">
            <v>1022656</v>
          </cell>
          <cell r="F291">
            <v>2998.3629999999994</v>
          </cell>
          <cell r="G291" t="str">
            <v/>
          </cell>
          <cell r="H291" t="str">
            <v/>
          </cell>
          <cell r="I291">
            <v>2998.3629999999994</v>
          </cell>
        </row>
        <row r="292">
          <cell r="E292">
            <v>1022664</v>
          </cell>
          <cell r="F292">
            <v>30324.214999999986</v>
          </cell>
          <cell r="G292" t="str">
            <v>Exportacion Directa</v>
          </cell>
          <cell r="H292" t="str">
            <v/>
          </cell>
          <cell r="I292">
            <v>30324.214999999986</v>
          </cell>
        </row>
        <row r="293">
          <cell r="E293">
            <v>1022748</v>
          </cell>
          <cell r="F293">
            <v>96514.39</v>
          </cell>
          <cell r="G293" t="str">
            <v>Agrosuper Shanghai</v>
          </cell>
          <cell r="H293">
            <v>0.41612232779097386</v>
          </cell>
          <cell r="I293">
            <v>40161.792632125886</v>
          </cell>
        </row>
        <row r="294">
          <cell r="E294">
            <v>1022750</v>
          </cell>
          <cell r="F294">
            <v>7332.5</v>
          </cell>
          <cell r="G294" t="str">
            <v>Andes Asia</v>
          </cell>
          <cell r="H294" t="str">
            <v/>
          </cell>
          <cell r="I294">
            <v>7332.5</v>
          </cell>
        </row>
        <row r="295">
          <cell r="E295">
            <v>1022751</v>
          </cell>
          <cell r="F295">
            <v>33544</v>
          </cell>
          <cell r="G295" t="str">
            <v>Andes Asia</v>
          </cell>
          <cell r="H295" t="str">
            <v/>
          </cell>
          <cell r="I295">
            <v>33544</v>
          </cell>
        </row>
        <row r="296">
          <cell r="E296">
            <v>1022753</v>
          </cell>
          <cell r="F296">
            <v>82144.929999999993</v>
          </cell>
          <cell r="G296" t="str">
            <v>Agrosuper Shanghai</v>
          </cell>
          <cell r="H296">
            <v>0</v>
          </cell>
          <cell r="I296">
            <v>0</v>
          </cell>
        </row>
        <row r="297">
          <cell r="E297">
            <v>1022761</v>
          </cell>
          <cell r="F297">
            <v>591.55600000000004</v>
          </cell>
          <cell r="G297" t="str">
            <v/>
          </cell>
          <cell r="H297" t="str">
            <v/>
          </cell>
          <cell r="I297">
            <v>591.55600000000004</v>
          </cell>
        </row>
        <row r="298">
          <cell r="E298">
            <v>1022847</v>
          </cell>
          <cell r="F298">
            <v>29150.314000000009</v>
          </cell>
          <cell r="G298" t="str">
            <v>Agro Sudamerica</v>
          </cell>
          <cell r="H298" t="str">
            <v/>
          </cell>
          <cell r="I298">
            <v>29150.314000000009</v>
          </cell>
        </row>
        <row r="299">
          <cell r="E299">
            <v>1022854</v>
          </cell>
          <cell r="F299">
            <v>6509.8790000000008</v>
          </cell>
          <cell r="G299" t="str">
            <v>Agro Mexico</v>
          </cell>
          <cell r="H299" t="str">
            <v/>
          </cell>
          <cell r="I299">
            <v>6509.8790000000008</v>
          </cell>
        </row>
        <row r="300">
          <cell r="E300">
            <v>1022855</v>
          </cell>
          <cell r="F300">
            <v>23796.738000000001</v>
          </cell>
          <cell r="G300" t="str">
            <v>Agro Sudamerica</v>
          </cell>
          <cell r="H300" t="str">
            <v/>
          </cell>
          <cell r="I300">
            <v>23796.738000000001</v>
          </cell>
        </row>
        <row r="301">
          <cell r="E301">
            <v>1022856</v>
          </cell>
          <cell r="F301">
            <v>33142.440999999999</v>
          </cell>
          <cell r="G301" t="str">
            <v>Agrosuper Shanghai</v>
          </cell>
          <cell r="H301">
            <v>0.62608749799796615</v>
          </cell>
          <cell r="I301">
            <v>20750.067963235211</v>
          </cell>
        </row>
        <row r="302">
          <cell r="E302">
            <v>1022863</v>
          </cell>
          <cell r="F302">
            <v>87900.794000000038</v>
          </cell>
          <cell r="G302" t="str">
            <v>Andes Asia</v>
          </cell>
          <cell r="H302" t="str">
            <v/>
          </cell>
          <cell r="I302">
            <v>87900.794000000038</v>
          </cell>
        </row>
        <row r="303">
          <cell r="E303">
            <v>1022864</v>
          </cell>
          <cell r="F303">
            <v>82848.936000000045</v>
          </cell>
          <cell r="G303" t="str">
            <v>Andes Asia</v>
          </cell>
          <cell r="H303" t="str">
            <v/>
          </cell>
          <cell r="I303">
            <v>82848.936000000045</v>
          </cell>
        </row>
        <row r="304">
          <cell r="E304">
            <v>1022865</v>
          </cell>
          <cell r="F304">
            <v>55077.460000000021</v>
          </cell>
          <cell r="G304" t="str">
            <v>Andes Asia</v>
          </cell>
          <cell r="H304" t="str">
            <v/>
          </cell>
          <cell r="I304">
            <v>55077.460000000021</v>
          </cell>
        </row>
        <row r="305">
          <cell r="E305">
            <v>1022866</v>
          </cell>
          <cell r="F305">
            <v>50248.679000000011</v>
          </cell>
          <cell r="G305" t="str">
            <v>Andes Asia</v>
          </cell>
          <cell r="H305" t="str">
            <v/>
          </cell>
          <cell r="I305">
            <v>50248.679000000011</v>
          </cell>
        </row>
        <row r="306">
          <cell r="E306">
            <v>1022883</v>
          </cell>
          <cell r="F306">
            <v>5836.96</v>
          </cell>
          <cell r="G306" t="str">
            <v>Agro America</v>
          </cell>
          <cell r="H306" t="str">
            <v/>
          </cell>
          <cell r="I306">
            <v>5836.96</v>
          </cell>
        </row>
        <row r="307">
          <cell r="E307">
            <v>1022885</v>
          </cell>
          <cell r="F307">
            <v>138801.05900000004</v>
          </cell>
          <cell r="G307" t="str">
            <v>Agrosuper Asia</v>
          </cell>
          <cell r="H307" t="str">
            <v/>
          </cell>
          <cell r="I307">
            <v>138801.05900000004</v>
          </cell>
        </row>
        <row r="308">
          <cell r="E308">
            <v>1022887</v>
          </cell>
          <cell r="F308">
            <v>7519.4009999999998</v>
          </cell>
          <cell r="G308" t="str">
            <v>Agrosuper Asia</v>
          </cell>
          <cell r="H308" t="str">
            <v/>
          </cell>
          <cell r="I308">
            <v>7519.4009999999998</v>
          </cell>
        </row>
        <row r="309">
          <cell r="E309">
            <v>1022914</v>
          </cell>
          <cell r="F309">
            <v>24200</v>
          </cell>
          <cell r="G309" t="str">
            <v>Andes Asia</v>
          </cell>
          <cell r="H309" t="str">
            <v/>
          </cell>
          <cell r="I309">
            <v>24200</v>
          </cell>
        </row>
        <row r="310">
          <cell r="E310">
            <v>1022918</v>
          </cell>
          <cell r="F310">
            <v>45800.78</v>
          </cell>
          <cell r="G310" t="str">
            <v>Andes Asia</v>
          </cell>
          <cell r="H310" t="str">
            <v/>
          </cell>
          <cell r="I310">
            <v>45800.78</v>
          </cell>
        </row>
        <row r="311">
          <cell r="E311">
            <v>1022919</v>
          </cell>
          <cell r="F311">
            <v>3766.3409999999994</v>
          </cell>
          <cell r="G311" t="str">
            <v>Exportacion Directa</v>
          </cell>
          <cell r="H311" t="str">
            <v/>
          </cell>
          <cell r="I311">
            <v>3766.3409999999994</v>
          </cell>
        </row>
        <row r="312">
          <cell r="E312">
            <v>1022921</v>
          </cell>
          <cell r="F312">
            <v>3760.7809999999999</v>
          </cell>
          <cell r="G312" t="str">
            <v>Agro Sudamerica</v>
          </cell>
          <cell r="H312" t="str">
            <v/>
          </cell>
          <cell r="I312">
            <v>3760.7809999999999</v>
          </cell>
        </row>
        <row r="313">
          <cell r="E313">
            <v>1022922</v>
          </cell>
          <cell r="F313">
            <v>683.71799999999996</v>
          </cell>
          <cell r="G313" t="str">
            <v>Agro Sudamerica</v>
          </cell>
          <cell r="H313" t="str">
            <v/>
          </cell>
          <cell r="I313">
            <v>683.71799999999996</v>
          </cell>
        </row>
        <row r="314">
          <cell r="E314">
            <v>1022928</v>
          </cell>
          <cell r="F314">
            <v>3386.2580000000003</v>
          </cell>
          <cell r="G314" t="str">
            <v>Agro Sudamerica</v>
          </cell>
          <cell r="H314" t="str">
            <v/>
          </cell>
          <cell r="I314">
            <v>3386.2580000000003</v>
          </cell>
        </row>
        <row r="315">
          <cell r="E315">
            <v>1022930</v>
          </cell>
          <cell r="F315">
            <v>20885.060999999998</v>
          </cell>
          <cell r="G315" t="str">
            <v>Agrosuper Asia</v>
          </cell>
          <cell r="H315" t="str">
            <v/>
          </cell>
          <cell r="I315">
            <v>20885.060999999998</v>
          </cell>
        </row>
        <row r="316">
          <cell r="E316">
            <v>1022931</v>
          </cell>
          <cell r="F316">
            <v>41516.490999999995</v>
          </cell>
          <cell r="G316" t="str">
            <v>Exportacion Directa</v>
          </cell>
          <cell r="H316" t="str">
            <v/>
          </cell>
          <cell r="I316">
            <v>41516.490999999995</v>
          </cell>
        </row>
        <row r="317">
          <cell r="E317">
            <v>1022933</v>
          </cell>
          <cell r="F317">
            <v>2999.8320000000003</v>
          </cell>
          <cell r="G317" t="str">
            <v/>
          </cell>
          <cell r="H317" t="str">
            <v/>
          </cell>
          <cell r="I317">
            <v>2999.8320000000003</v>
          </cell>
        </row>
        <row r="318">
          <cell r="E318">
            <v>1022935</v>
          </cell>
          <cell r="F318">
            <v>22456.799999999999</v>
          </cell>
          <cell r="G318" t="str">
            <v/>
          </cell>
          <cell r="H318" t="str">
            <v/>
          </cell>
          <cell r="I318">
            <v>22456.799999999999</v>
          </cell>
        </row>
        <row r="319">
          <cell r="E319">
            <v>1022936</v>
          </cell>
          <cell r="F319">
            <v>3980</v>
          </cell>
          <cell r="G319" t="str">
            <v>Agrosuper Shanghai</v>
          </cell>
          <cell r="H319">
            <v>0</v>
          </cell>
          <cell r="I319">
            <v>0</v>
          </cell>
        </row>
        <row r="320">
          <cell r="E320">
            <v>1022939</v>
          </cell>
          <cell r="F320">
            <v>5140</v>
          </cell>
          <cell r="G320" t="str">
            <v>Agrosuper Shanghai</v>
          </cell>
          <cell r="H320">
            <v>0.2</v>
          </cell>
          <cell r="I320">
            <v>1028</v>
          </cell>
        </row>
        <row r="321">
          <cell r="E321">
            <v>1022940</v>
          </cell>
          <cell r="F321">
            <v>40754</v>
          </cell>
          <cell r="G321" t="str">
            <v>Agrosuper Shanghai</v>
          </cell>
          <cell r="H321">
            <v>0</v>
          </cell>
          <cell r="I321">
            <v>0</v>
          </cell>
        </row>
        <row r="322">
          <cell r="E322">
            <v>1022941</v>
          </cell>
          <cell r="F322">
            <v>89257</v>
          </cell>
          <cell r="G322" t="str">
            <v>Agrosuper Shanghai</v>
          </cell>
          <cell r="H322">
            <v>0</v>
          </cell>
          <cell r="I322">
            <v>0</v>
          </cell>
        </row>
        <row r="323">
          <cell r="E323">
            <v>1022943</v>
          </cell>
          <cell r="F323">
            <v>35.926000000000002</v>
          </cell>
          <cell r="G323" t="str">
            <v>Agrosuper Shanghai</v>
          </cell>
          <cell r="H323">
            <v>0</v>
          </cell>
          <cell r="I323">
            <v>0</v>
          </cell>
        </row>
        <row r="324">
          <cell r="E324">
            <v>1022945</v>
          </cell>
          <cell r="F324">
            <v>63463.69</v>
          </cell>
          <cell r="G324" t="str">
            <v>Agrosuper Shanghai</v>
          </cell>
          <cell r="H324">
            <v>0.49968860286485367</v>
          </cell>
          <cell r="I324">
            <v>31712.082588748188</v>
          </cell>
        </row>
        <row r="325">
          <cell r="E325">
            <v>1022985</v>
          </cell>
          <cell r="F325">
            <v>4951.9970000000003</v>
          </cell>
          <cell r="G325" t="str">
            <v>Agrosuper Asia</v>
          </cell>
          <cell r="H325" t="str">
            <v/>
          </cell>
          <cell r="I325">
            <v>4951.9970000000003</v>
          </cell>
        </row>
        <row r="326">
          <cell r="E326">
            <v>1022986</v>
          </cell>
          <cell r="F326">
            <v>6028.639000000001</v>
          </cell>
          <cell r="G326" t="str">
            <v>Agrosuper Asia</v>
          </cell>
          <cell r="H326" t="str">
            <v/>
          </cell>
          <cell r="I326">
            <v>6028.639000000001</v>
          </cell>
        </row>
        <row r="327">
          <cell r="E327">
            <v>1022987</v>
          </cell>
          <cell r="F327">
            <v>2660</v>
          </cell>
          <cell r="G327" t="str">
            <v>Exportacion Directa</v>
          </cell>
          <cell r="H327" t="str">
            <v/>
          </cell>
          <cell r="I327">
            <v>2660</v>
          </cell>
        </row>
        <row r="328">
          <cell r="E328">
            <v>1022989</v>
          </cell>
          <cell r="F328">
            <v>76008.396999999997</v>
          </cell>
          <cell r="G328" t="str">
            <v>Andes Asia</v>
          </cell>
          <cell r="H328" t="str">
            <v/>
          </cell>
          <cell r="I328">
            <v>76008.396999999997</v>
          </cell>
        </row>
        <row r="329">
          <cell r="E329">
            <v>1022990</v>
          </cell>
          <cell r="F329">
            <v>25041.455000000005</v>
          </cell>
          <cell r="G329" t="str">
            <v>Exportacion Directa</v>
          </cell>
          <cell r="H329" t="str">
            <v/>
          </cell>
          <cell r="I329">
            <v>25041.455000000005</v>
          </cell>
        </row>
        <row r="330">
          <cell r="E330">
            <v>1022996</v>
          </cell>
          <cell r="F330">
            <v>6307.3410000000003</v>
          </cell>
          <cell r="G330" t="str">
            <v>Agro Sudamerica</v>
          </cell>
          <cell r="H330" t="str">
            <v/>
          </cell>
          <cell r="I330">
            <v>6307.3410000000003</v>
          </cell>
        </row>
        <row r="331">
          <cell r="E331">
            <v>1023034</v>
          </cell>
          <cell r="F331">
            <v>78088.149999999994</v>
          </cell>
          <cell r="G331" t="str">
            <v>Agrosuper Shanghai</v>
          </cell>
          <cell r="H331">
            <v>0.28116416340365846</v>
          </cell>
          <cell r="I331">
            <v>21955.589366489392</v>
          </cell>
        </row>
        <row r="332">
          <cell r="E332">
            <v>1023035</v>
          </cell>
          <cell r="F332">
            <v>17276.989999999994</v>
          </cell>
          <cell r="G332" t="str">
            <v>Agrosuper Shanghai</v>
          </cell>
          <cell r="H332">
            <v>0.2</v>
          </cell>
          <cell r="I332">
            <v>3455.3979999999992</v>
          </cell>
        </row>
        <row r="333">
          <cell r="E333">
            <v>1023037</v>
          </cell>
          <cell r="F333">
            <v>44946.490999999995</v>
          </cell>
          <cell r="G333" t="str">
            <v>Agrosuper Asia</v>
          </cell>
          <cell r="H333" t="str">
            <v/>
          </cell>
          <cell r="I333">
            <v>44946.490999999995</v>
          </cell>
        </row>
        <row r="334">
          <cell r="E334">
            <v>1023038</v>
          </cell>
          <cell r="F334">
            <v>46170.541999999979</v>
          </cell>
          <cell r="G334" t="str">
            <v>Agrosuper Asia</v>
          </cell>
          <cell r="H334" t="str">
            <v/>
          </cell>
          <cell r="I334">
            <v>46170.541999999979</v>
          </cell>
        </row>
        <row r="335">
          <cell r="E335">
            <v>1023051</v>
          </cell>
          <cell r="F335">
            <v>752.61300000000006</v>
          </cell>
          <cell r="G335" t="str">
            <v>Exportacion Directa</v>
          </cell>
          <cell r="H335" t="str">
            <v/>
          </cell>
          <cell r="I335">
            <v>752.61300000000006</v>
          </cell>
        </row>
        <row r="336">
          <cell r="E336">
            <v>1023055</v>
          </cell>
          <cell r="F336">
            <v>724.0920000000001</v>
          </cell>
          <cell r="G336" t="str">
            <v>Exportacion Directa</v>
          </cell>
          <cell r="H336" t="str">
            <v/>
          </cell>
          <cell r="I336">
            <v>724.0920000000001</v>
          </cell>
        </row>
        <row r="337">
          <cell r="E337">
            <v>1023093</v>
          </cell>
          <cell r="F337">
            <v>31798.22</v>
          </cell>
          <cell r="G337" t="str">
            <v>Agrosuper Shanghai</v>
          </cell>
          <cell r="H337">
            <v>0.2</v>
          </cell>
          <cell r="I337">
            <v>6359.6440000000002</v>
          </cell>
        </row>
        <row r="338">
          <cell r="E338">
            <v>1023102</v>
          </cell>
          <cell r="F338">
            <v>10166.434999999998</v>
          </cell>
          <cell r="G338" t="str">
            <v>Andes Asia</v>
          </cell>
          <cell r="H338" t="str">
            <v/>
          </cell>
          <cell r="I338">
            <v>10166.434999999998</v>
          </cell>
        </row>
        <row r="339">
          <cell r="E339">
            <v>1023108</v>
          </cell>
          <cell r="F339">
            <v>15148</v>
          </cell>
          <cell r="G339" t="str">
            <v/>
          </cell>
          <cell r="H339" t="str">
            <v/>
          </cell>
          <cell r="I339">
            <v>15148</v>
          </cell>
        </row>
        <row r="340">
          <cell r="E340">
            <v>1023110</v>
          </cell>
          <cell r="F340">
            <v>10248.483</v>
          </cell>
          <cell r="G340" t="str">
            <v>Agrosuper Shanghai</v>
          </cell>
          <cell r="H340">
            <v>1</v>
          </cell>
          <cell r="I340">
            <v>10248.483</v>
          </cell>
        </row>
        <row r="341">
          <cell r="E341">
            <v>1023111</v>
          </cell>
          <cell r="F341">
            <v>3144.5260000000003</v>
          </cell>
          <cell r="G341" t="str">
            <v>Agrosuper Shanghai</v>
          </cell>
          <cell r="H341">
            <v>0.54137081099014439</v>
          </cell>
          <cell r="I341">
            <v>1702.3545907995949</v>
          </cell>
        </row>
        <row r="342">
          <cell r="E342">
            <v>1023112</v>
          </cell>
          <cell r="F342">
            <v>3768</v>
          </cell>
          <cell r="G342" t="str">
            <v/>
          </cell>
          <cell r="H342" t="str">
            <v/>
          </cell>
          <cell r="I342">
            <v>3768</v>
          </cell>
        </row>
        <row r="343">
          <cell r="E343">
            <v>1023123</v>
          </cell>
          <cell r="F343">
            <v>4026.4900000000002</v>
          </cell>
          <cell r="G343" t="str">
            <v>Andes Asia</v>
          </cell>
          <cell r="H343" t="str">
            <v/>
          </cell>
          <cell r="I343">
            <v>4026.4900000000002</v>
          </cell>
        </row>
        <row r="344">
          <cell r="E344">
            <v>1023126</v>
          </cell>
          <cell r="F344">
            <v>2480</v>
          </cell>
          <cell r="G344" t="str">
            <v>Agrosuper Shanghai</v>
          </cell>
          <cell r="H344">
            <v>0.2</v>
          </cell>
          <cell r="I344">
            <v>496</v>
          </cell>
        </row>
        <row r="345">
          <cell r="E345">
            <v>1023132</v>
          </cell>
          <cell r="F345">
            <v>1538.578</v>
          </cell>
          <cell r="G345" t="str">
            <v>Agrosuper Shanghai</v>
          </cell>
          <cell r="H345">
            <v>0.2</v>
          </cell>
          <cell r="I345">
            <v>307.71559999999999</v>
          </cell>
        </row>
        <row r="346">
          <cell r="E346">
            <v>1023134</v>
          </cell>
          <cell r="F346">
            <v>5700.6589999999997</v>
          </cell>
          <cell r="G346" t="str">
            <v/>
          </cell>
          <cell r="H346" t="str">
            <v/>
          </cell>
          <cell r="I346">
            <v>5700.6589999999997</v>
          </cell>
        </row>
        <row r="347">
          <cell r="E347">
            <v>1023144</v>
          </cell>
          <cell r="F347">
            <v>26811.575999999997</v>
          </cell>
          <cell r="G347" t="str">
            <v>Agrosuper Asia</v>
          </cell>
          <cell r="H347" t="str">
            <v/>
          </cell>
          <cell r="I347">
            <v>26811.575999999997</v>
          </cell>
        </row>
        <row r="348">
          <cell r="E348">
            <v>1023153</v>
          </cell>
          <cell r="F348">
            <v>576</v>
          </cell>
          <cell r="G348" t="str">
            <v/>
          </cell>
          <cell r="H348" t="str">
            <v/>
          </cell>
          <cell r="I348">
            <v>576</v>
          </cell>
        </row>
        <row r="349">
          <cell r="E349">
            <v>1023157</v>
          </cell>
          <cell r="F349">
            <v>3040</v>
          </cell>
          <cell r="G349" t="str">
            <v>Agrosuper Shanghai</v>
          </cell>
          <cell r="H349">
            <v>0.2</v>
          </cell>
          <cell r="I349">
            <v>608</v>
          </cell>
        </row>
        <row r="350">
          <cell r="E350">
            <v>1023163</v>
          </cell>
          <cell r="F350">
            <v>17589.546000000006</v>
          </cell>
          <cell r="G350" t="str">
            <v>Exportacion Directa</v>
          </cell>
          <cell r="H350" t="str">
            <v/>
          </cell>
          <cell r="I350">
            <v>17589.546000000006</v>
          </cell>
        </row>
        <row r="351">
          <cell r="E351">
            <v>1023181</v>
          </cell>
          <cell r="F351">
            <v>30</v>
          </cell>
          <cell r="G351" t="str">
            <v/>
          </cell>
          <cell r="H351" t="str">
            <v/>
          </cell>
          <cell r="I351">
            <v>30</v>
          </cell>
        </row>
        <row r="352">
          <cell r="E352">
            <v>1023183</v>
          </cell>
          <cell r="F352">
            <v>44177.251000000018</v>
          </cell>
          <cell r="G352" t="str">
            <v>Agrosuper Asia</v>
          </cell>
          <cell r="H352" t="str">
            <v/>
          </cell>
          <cell r="I352">
            <v>44177.251000000018</v>
          </cell>
        </row>
        <row r="353">
          <cell r="E353">
            <v>1023184</v>
          </cell>
          <cell r="F353">
            <v>2152.3730000000005</v>
          </cell>
          <cell r="G353" t="str">
            <v>Andes Asia</v>
          </cell>
          <cell r="H353" t="str">
            <v/>
          </cell>
          <cell r="I353">
            <v>2152.3730000000005</v>
          </cell>
        </row>
        <row r="354">
          <cell r="E354">
            <v>1023190</v>
          </cell>
          <cell r="F354">
            <v>44544.494000000006</v>
          </cell>
          <cell r="G354" t="str">
            <v>Agro America</v>
          </cell>
          <cell r="H354" t="str">
            <v/>
          </cell>
          <cell r="I354">
            <v>44544.494000000006</v>
          </cell>
        </row>
        <row r="355">
          <cell r="E355">
            <v>1023194</v>
          </cell>
          <cell r="F355">
            <v>6705.5779999999995</v>
          </cell>
          <cell r="G355" t="str">
            <v>Exportacion Directa</v>
          </cell>
          <cell r="H355" t="str">
            <v/>
          </cell>
          <cell r="I355">
            <v>6705.5779999999995</v>
          </cell>
        </row>
        <row r="356">
          <cell r="E356">
            <v>1023256</v>
          </cell>
          <cell r="F356">
            <v>8455</v>
          </cell>
          <cell r="G356" t="str">
            <v/>
          </cell>
          <cell r="H356" t="str">
            <v/>
          </cell>
          <cell r="I356">
            <v>8455</v>
          </cell>
        </row>
        <row r="357">
          <cell r="E357">
            <v>1023257</v>
          </cell>
          <cell r="F357">
            <v>7026.7890000000016</v>
          </cell>
          <cell r="G357" t="str">
            <v>Agro Mexico</v>
          </cell>
          <cell r="H357" t="str">
            <v/>
          </cell>
          <cell r="I357">
            <v>7026.7890000000016</v>
          </cell>
        </row>
        <row r="358">
          <cell r="E358">
            <v>1030009</v>
          </cell>
          <cell r="F358">
            <v>156</v>
          </cell>
          <cell r="G358" t="str">
            <v/>
          </cell>
          <cell r="H358" t="str">
            <v/>
          </cell>
          <cell r="I358">
            <v>156</v>
          </cell>
        </row>
        <row r="359">
          <cell r="E359">
            <v>1030078</v>
          </cell>
          <cell r="F359">
            <v>34.616</v>
          </cell>
          <cell r="G359" t="str">
            <v/>
          </cell>
          <cell r="H359" t="str">
            <v/>
          </cell>
          <cell r="I359">
            <v>34.616</v>
          </cell>
        </row>
        <row r="360">
          <cell r="E360">
            <v>1030095</v>
          </cell>
          <cell r="F360">
            <v>29505.205999999991</v>
          </cell>
          <cell r="G360" t="str">
            <v/>
          </cell>
          <cell r="H360" t="str">
            <v/>
          </cell>
          <cell r="I360">
            <v>29505.205999999991</v>
          </cell>
        </row>
        <row r="361">
          <cell r="E361">
            <v>1030108</v>
          </cell>
          <cell r="F361">
            <v>5653.4509999999991</v>
          </cell>
          <cell r="G361" t="str">
            <v/>
          </cell>
          <cell r="H361" t="str">
            <v/>
          </cell>
          <cell r="I361">
            <v>5653.4509999999991</v>
          </cell>
        </row>
        <row r="362">
          <cell r="E362">
            <v>1030114</v>
          </cell>
          <cell r="F362">
            <v>5756.0840000000007</v>
          </cell>
          <cell r="G362" t="str">
            <v/>
          </cell>
          <cell r="H362" t="str">
            <v/>
          </cell>
          <cell r="I362">
            <v>5756.0840000000007</v>
          </cell>
        </row>
        <row r="363">
          <cell r="E363">
            <v>1030224</v>
          </cell>
          <cell r="F363">
            <v>76971.372000000003</v>
          </cell>
          <cell r="G363" t="str">
            <v>Agro Sudamerica</v>
          </cell>
          <cell r="H363" t="str">
            <v/>
          </cell>
          <cell r="I363">
            <v>76971.372000000003</v>
          </cell>
        </row>
        <row r="364">
          <cell r="E364">
            <v>1030239</v>
          </cell>
          <cell r="F364">
            <v>4327.9799999999996</v>
          </cell>
          <cell r="G364" t="str">
            <v>Agro America</v>
          </cell>
          <cell r="H364" t="str">
            <v/>
          </cell>
          <cell r="I364">
            <v>4327.9799999999996</v>
          </cell>
        </row>
        <row r="365">
          <cell r="E365">
            <v>1030255</v>
          </cell>
          <cell r="F365">
            <v>16285.600000000006</v>
          </cell>
          <cell r="G365" t="str">
            <v/>
          </cell>
          <cell r="H365" t="str">
            <v/>
          </cell>
          <cell r="I365">
            <v>16285.600000000006</v>
          </cell>
        </row>
        <row r="366">
          <cell r="E366">
            <v>1030265</v>
          </cell>
          <cell r="F366">
            <v>6000</v>
          </cell>
          <cell r="G366" t="str">
            <v>Agro Europa</v>
          </cell>
          <cell r="H366" t="str">
            <v/>
          </cell>
          <cell r="I366">
            <v>6000</v>
          </cell>
        </row>
        <row r="367">
          <cell r="E367">
            <v>1030319</v>
          </cell>
          <cell r="F367">
            <v>5264</v>
          </cell>
          <cell r="G367" t="str">
            <v/>
          </cell>
          <cell r="H367" t="str">
            <v/>
          </cell>
          <cell r="I367">
            <v>5264</v>
          </cell>
        </row>
        <row r="368">
          <cell r="E368">
            <v>1030332</v>
          </cell>
          <cell r="F368">
            <v>44680</v>
          </cell>
          <cell r="G368" t="str">
            <v>Agro Sudamerica</v>
          </cell>
          <cell r="H368" t="str">
            <v/>
          </cell>
          <cell r="I368">
            <v>44680</v>
          </cell>
        </row>
        <row r="369">
          <cell r="E369">
            <v>1030337</v>
          </cell>
          <cell r="F369">
            <v>51135</v>
          </cell>
          <cell r="G369" t="str">
            <v>Agro Mexico</v>
          </cell>
          <cell r="H369" t="str">
            <v/>
          </cell>
          <cell r="I369">
            <v>51135</v>
          </cell>
        </row>
        <row r="370">
          <cell r="E370">
            <v>1030355</v>
          </cell>
          <cell r="F370">
            <v>27020</v>
          </cell>
          <cell r="G370" t="str">
            <v>Africa</v>
          </cell>
          <cell r="H370" t="str">
            <v/>
          </cell>
          <cell r="I370">
            <v>27020</v>
          </cell>
        </row>
        <row r="371">
          <cell r="E371">
            <v>1030370</v>
          </cell>
          <cell r="F371">
            <v>13278.480000000001</v>
          </cell>
          <cell r="G371" t="str">
            <v>Agro America</v>
          </cell>
          <cell r="H371" t="str">
            <v/>
          </cell>
          <cell r="I371">
            <v>13278.480000000001</v>
          </cell>
        </row>
        <row r="372">
          <cell r="E372">
            <v>1030378</v>
          </cell>
          <cell r="F372">
            <v>970</v>
          </cell>
          <cell r="G372" t="str">
            <v>Africa</v>
          </cell>
          <cell r="H372" t="str">
            <v/>
          </cell>
          <cell r="I372">
            <v>970</v>
          </cell>
        </row>
        <row r="373">
          <cell r="E373">
            <v>1030379</v>
          </cell>
          <cell r="F373">
            <v>135233.6999999999</v>
          </cell>
          <cell r="G373" t="str">
            <v>Agro America</v>
          </cell>
          <cell r="H373" t="str">
            <v/>
          </cell>
          <cell r="I373">
            <v>135233.6999999999</v>
          </cell>
        </row>
        <row r="374">
          <cell r="E374">
            <v>1030388</v>
          </cell>
          <cell r="F374">
            <v>19530</v>
          </cell>
          <cell r="G374" t="str">
            <v>Agrosuper Shanghai</v>
          </cell>
          <cell r="H374">
            <v>0.2</v>
          </cell>
          <cell r="I374">
            <v>3906</v>
          </cell>
        </row>
        <row r="375">
          <cell r="E375">
            <v>1030419</v>
          </cell>
          <cell r="F375">
            <v>6225</v>
          </cell>
          <cell r="G375" t="str">
            <v>Agrosuper Shanghai</v>
          </cell>
          <cell r="H375">
            <v>0.2</v>
          </cell>
          <cell r="I375">
            <v>1245</v>
          </cell>
        </row>
        <row r="376">
          <cell r="E376">
            <v>1030424</v>
          </cell>
          <cell r="F376">
            <v>31440.395999999993</v>
          </cell>
          <cell r="G376" t="str">
            <v>Agro America</v>
          </cell>
          <cell r="H376" t="str">
            <v/>
          </cell>
          <cell r="I376">
            <v>31440.395999999993</v>
          </cell>
        </row>
        <row r="377">
          <cell r="E377">
            <v>1030425</v>
          </cell>
          <cell r="F377">
            <v>43818.854999999996</v>
          </cell>
          <cell r="G377" t="str">
            <v/>
          </cell>
          <cell r="H377" t="str">
            <v/>
          </cell>
          <cell r="I377">
            <v>43818.854999999996</v>
          </cell>
        </row>
        <row r="378">
          <cell r="E378">
            <v>1030444</v>
          </cell>
          <cell r="F378">
            <v>2748</v>
          </cell>
          <cell r="G378" t="str">
            <v/>
          </cell>
          <cell r="H378" t="str">
            <v/>
          </cell>
          <cell r="I378">
            <v>2748</v>
          </cell>
        </row>
        <row r="379">
          <cell r="E379">
            <v>1030445</v>
          </cell>
          <cell r="F379">
            <v>3444</v>
          </cell>
          <cell r="G379" t="str">
            <v/>
          </cell>
          <cell r="H379" t="str">
            <v/>
          </cell>
          <cell r="I379">
            <v>3444</v>
          </cell>
        </row>
        <row r="380">
          <cell r="E380">
            <v>1030498</v>
          </cell>
          <cell r="F380">
            <v>15690</v>
          </cell>
          <cell r="G380" t="str">
            <v>Agro Sudamerica</v>
          </cell>
          <cell r="H380" t="str">
            <v/>
          </cell>
          <cell r="I380">
            <v>15690</v>
          </cell>
        </row>
        <row r="381">
          <cell r="E381">
            <v>1030535</v>
          </cell>
          <cell r="F381">
            <v>150.96600000000001</v>
          </cell>
          <cell r="G381" t="str">
            <v>Agrosuper Asia</v>
          </cell>
          <cell r="H381" t="str">
            <v/>
          </cell>
          <cell r="I381">
            <v>150.96600000000001</v>
          </cell>
        </row>
        <row r="382">
          <cell r="E382">
            <v>1030545</v>
          </cell>
          <cell r="F382">
            <v>11550</v>
          </cell>
          <cell r="G382" t="str">
            <v>Agro Sudamerica</v>
          </cell>
          <cell r="H382" t="str">
            <v/>
          </cell>
          <cell r="I382">
            <v>11550</v>
          </cell>
        </row>
        <row r="383">
          <cell r="E383">
            <v>1030566</v>
          </cell>
          <cell r="F383">
            <v>15645</v>
          </cell>
          <cell r="G383" t="str">
            <v>Agrosuper Shanghai</v>
          </cell>
          <cell r="H383">
            <v>0.2</v>
          </cell>
          <cell r="I383">
            <v>3129</v>
          </cell>
        </row>
        <row r="384">
          <cell r="E384">
            <v>1030635</v>
          </cell>
          <cell r="F384">
            <v>2500</v>
          </cell>
          <cell r="G384" t="str">
            <v>Africa</v>
          </cell>
          <cell r="H384" t="str">
            <v/>
          </cell>
          <cell r="I384">
            <v>2500</v>
          </cell>
        </row>
        <row r="385">
          <cell r="E385">
            <v>1030658</v>
          </cell>
          <cell r="F385">
            <v>52751.119999999966</v>
          </cell>
          <cell r="G385" t="str">
            <v>Agro Mexico</v>
          </cell>
          <cell r="H385" t="str">
            <v/>
          </cell>
          <cell r="I385">
            <v>52751.119999999966</v>
          </cell>
        </row>
        <row r="386">
          <cell r="E386">
            <v>1030670</v>
          </cell>
          <cell r="F386">
            <v>51045</v>
          </cell>
          <cell r="G386" t="str">
            <v>Agro Sudamerica</v>
          </cell>
          <cell r="H386" t="str">
            <v/>
          </cell>
          <cell r="I386">
            <v>51045</v>
          </cell>
        </row>
        <row r="387">
          <cell r="E387">
            <v>1030683</v>
          </cell>
          <cell r="F387">
            <v>135600</v>
          </cell>
          <cell r="G387" t="str">
            <v>Agrosuper Shanghai</v>
          </cell>
          <cell r="H387">
            <v>0</v>
          </cell>
          <cell r="I387">
            <v>0</v>
          </cell>
        </row>
        <row r="388">
          <cell r="E388">
            <v>1030684</v>
          </cell>
          <cell r="F388">
            <v>25815</v>
          </cell>
          <cell r="G388" t="str">
            <v>Agrosuper Shanghai</v>
          </cell>
          <cell r="H388">
            <v>0</v>
          </cell>
          <cell r="I388">
            <v>0</v>
          </cell>
        </row>
        <row r="389">
          <cell r="E389">
            <v>1030685</v>
          </cell>
          <cell r="F389">
            <v>47295</v>
          </cell>
          <cell r="G389" t="str">
            <v>Agrosuper Shanghai</v>
          </cell>
          <cell r="H389">
            <v>0</v>
          </cell>
          <cell r="I389">
            <v>0</v>
          </cell>
        </row>
        <row r="390">
          <cell r="E390">
            <v>1030686</v>
          </cell>
          <cell r="F390">
            <v>25365</v>
          </cell>
          <cell r="G390" t="str">
            <v>Agrosuper Shanghai</v>
          </cell>
          <cell r="H390">
            <v>0</v>
          </cell>
          <cell r="I390">
            <v>0</v>
          </cell>
        </row>
        <row r="391">
          <cell r="E391">
            <v>1030720</v>
          </cell>
          <cell r="F391">
            <v>19812.350000000002</v>
          </cell>
          <cell r="G391" t="str">
            <v>Agro Sudamerica</v>
          </cell>
          <cell r="H391" t="str">
            <v/>
          </cell>
          <cell r="I391">
            <v>19812.350000000002</v>
          </cell>
        </row>
        <row r="392">
          <cell r="E392">
            <v>1030744</v>
          </cell>
          <cell r="F392">
            <v>10380</v>
          </cell>
          <cell r="G392" t="str">
            <v>Africa</v>
          </cell>
          <cell r="H392" t="str">
            <v/>
          </cell>
          <cell r="I392">
            <v>10380</v>
          </cell>
        </row>
        <row r="393">
          <cell r="E393">
            <v>1030760</v>
          </cell>
          <cell r="F393">
            <v>5694.7469999999994</v>
          </cell>
          <cell r="G393" t="str">
            <v/>
          </cell>
          <cell r="H393" t="str">
            <v/>
          </cell>
          <cell r="I393">
            <v>5694.7469999999994</v>
          </cell>
        </row>
        <row r="394">
          <cell r="E394">
            <v>1030762</v>
          </cell>
          <cell r="F394">
            <v>3102</v>
          </cell>
          <cell r="G394" t="str">
            <v/>
          </cell>
          <cell r="H394" t="str">
            <v/>
          </cell>
          <cell r="I394">
            <v>3102</v>
          </cell>
        </row>
        <row r="395">
          <cell r="E395">
            <v>1022380</v>
          </cell>
          <cell r="F395">
            <v>2566.482</v>
          </cell>
          <cell r="G395" t="str">
            <v/>
          </cell>
          <cell r="H395" t="str">
            <v/>
          </cell>
          <cell r="I395">
            <v>2566.482</v>
          </cell>
        </row>
        <row r="396">
          <cell r="E396">
            <v>1022823</v>
          </cell>
          <cell r="F396">
            <v>45.1</v>
          </cell>
          <cell r="G396" t="str">
            <v/>
          </cell>
          <cell r="H396" t="str">
            <v/>
          </cell>
          <cell r="I396">
            <v>45.1</v>
          </cell>
        </row>
        <row r="397">
          <cell r="E397">
            <v>1023247</v>
          </cell>
          <cell r="F397">
            <v>1100</v>
          </cell>
          <cell r="G397" t="str">
            <v>Andes Asia</v>
          </cell>
          <cell r="H397" t="str">
            <v/>
          </cell>
          <cell r="I397">
            <v>1100</v>
          </cell>
        </row>
        <row r="398">
          <cell r="E398">
            <v>1020905</v>
          </cell>
          <cell r="F398">
            <v>15046.431999999999</v>
          </cell>
          <cell r="G398" t="str">
            <v>Agrosuper Asia</v>
          </cell>
          <cell r="H398" t="str">
            <v/>
          </cell>
          <cell r="I398">
            <v>15046.431999999999</v>
          </cell>
        </row>
        <row r="399">
          <cell r="E399">
            <v>1030657</v>
          </cell>
          <cell r="F399">
            <v>15</v>
          </cell>
          <cell r="G399" t="str">
            <v/>
          </cell>
          <cell r="H399" t="str">
            <v/>
          </cell>
          <cell r="I399">
            <v>15</v>
          </cell>
        </row>
        <row r="400">
          <cell r="E400">
            <v>1022767</v>
          </cell>
          <cell r="F400">
            <v>5340</v>
          </cell>
          <cell r="G400" t="str">
            <v>Andes Asia</v>
          </cell>
          <cell r="H400" t="str">
            <v/>
          </cell>
          <cell r="I400">
            <v>5340</v>
          </cell>
        </row>
        <row r="401">
          <cell r="E401">
            <v>1023090</v>
          </cell>
          <cell r="F401">
            <v>1151.895</v>
          </cell>
          <cell r="G401" t="str">
            <v>Agrosuper Asia</v>
          </cell>
          <cell r="H401" t="str">
            <v/>
          </cell>
          <cell r="I401">
            <v>1151.895</v>
          </cell>
        </row>
        <row r="402">
          <cell r="E402">
            <v>1021092</v>
          </cell>
          <cell r="F402">
            <v>71424.009000000005</v>
          </cell>
          <cell r="G402" t="str">
            <v>Agro Sudamerica</v>
          </cell>
          <cell r="H402" t="str">
            <v/>
          </cell>
          <cell r="I402">
            <v>71424.009000000005</v>
          </cell>
        </row>
        <row r="403">
          <cell r="E403">
            <v>1021976</v>
          </cell>
          <cell r="F403">
            <v>188151.79899999988</v>
          </cell>
          <cell r="G403" t="str">
            <v>Agro Sudamerica</v>
          </cell>
          <cell r="H403" t="str">
            <v/>
          </cell>
          <cell r="I403">
            <v>188151.79899999988</v>
          </cell>
        </row>
        <row r="404">
          <cell r="E404">
            <v>1012283</v>
          </cell>
          <cell r="F404">
            <v>34541.485000000008</v>
          </cell>
          <cell r="G404" t="str">
            <v>Agro Sudamerica</v>
          </cell>
          <cell r="H404" t="str">
            <v/>
          </cell>
          <cell r="I404">
            <v>34541.485000000008</v>
          </cell>
        </row>
        <row r="405">
          <cell r="E405">
            <v>1021085</v>
          </cell>
          <cell r="F405">
            <v>18853.066999999992</v>
          </cell>
          <cell r="G405" t="str">
            <v>Agro Sudamerica</v>
          </cell>
          <cell r="H405" t="str">
            <v/>
          </cell>
          <cell r="I405">
            <v>18853.066999999992</v>
          </cell>
        </row>
        <row r="406">
          <cell r="E406">
            <v>1022896</v>
          </cell>
          <cell r="F406">
            <v>130</v>
          </cell>
          <cell r="G406" t="str">
            <v>Exportacion Directa</v>
          </cell>
          <cell r="H406" t="str">
            <v/>
          </cell>
          <cell r="I406">
            <v>130</v>
          </cell>
        </row>
        <row r="407">
          <cell r="E407">
            <v>1020848</v>
          </cell>
          <cell r="F407">
            <v>45103.120999999999</v>
          </cell>
          <cell r="G407" t="str">
            <v>Agro Sudamerica</v>
          </cell>
          <cell r="H407" t="str">
            <v/>
          </cell>
          <cell r="I407">
            <v>45103.120999999999</v>
          </cell>
        </row>
        <row r="408">
          <cell r="E408">
            <v>1021433</v>
          </cell>
          <cell r="F408">
            <v>42638.508999999998</v>
          </cell>
          <cell r="G408" t="str">
            <v>Agro Europa</v>
          </cell>
          <cell r="H408" t="str">
            <v/>
          </cell>
          <cell r="I408">
            <v>42638.508999999998</v>
          </cell>
        </row>
        <row r="409">
          <cell r="E409">
            <v>1030188</v>
          </cell>
          <cell r="F409">
            <v>18</v>
          </cell>
          <cell r="G409" t="str">
            <v/>
          </cell>
          <cell r="H409" t="str">
            <v/>
          </cell>
          <cell r="I409">
            <v>18</v>
          </cell>
        </row>
        <row r="410">
          <cell r="E410">
            <v>1023265</v>
          </cell>
          <cell r="F410">
            <v>9677.2259999999987</v>
          </cell>
          <cell r="G410" t="str">
            <v>Andes Asia</v>
          </cell>
          <cell r="H410" t="str">
            <v/>
          </cell>
          <cell r="I410">
            <v>9677.2259999999987</v>
          </cell>
        </row>
        <row r="411">
          <cell r="E411">
            <v>1030555</v>
          </cell>
          <cell r="F411">
            <v>4920</v>
          </cell>
          <cell r="G411" t="str">
            <v>Agro America</v>
          </cell>
          <cell r="H411" t="str">
            <v/>
          </cell>
          <cell r="I411">
            <v>4920</v>
          </cell>
        </row>
        <row r="412">
          <cell r="E412">
            <v>1020845</v>
          </cell>
          <cell r="F412">
            <v>950.4</v>
          </cell>
          <cell r="G412" t="str">
            <v>Agro Mexico</v>
          </cell>
          <cell r="H412" t="str">
            <v/>
          </cell>
          <cell r="I412">
            <v>950.4</v>
          </cell>
        </row>
        <row r="413">
          <cell r="E413">
            <v>1012695</v>
          </cell>
          <cell r="F413">
            <v>18690</v>
          </cell>
          <cell r="G413" t="str">
            <v/>
          </cell>
          <cell r="H413" t="str">
            <v/>
          </cell>
          <cell r="I413">
            <v>18690</v>
          </cell>
        </row>
        <row r="414">
          <cell r="E414">
            <v>1030221</v>
          </cell>
          <cell r="F414">
            <v>45.070999999999998</v>
          </cell>
          <cell r="G414" t="str">
            <v/>
          </cell>
          <cell r="H414" t="str">
            <v/>
          </cell>
          <cell r="I414">
            <v>45.070999999999998</v>
          </cell>
        </row>
        <row r="415">
          <cell r="E415">
            <v>1022770</v>
          </cell>
          <cell r="F415">
            <v>1569.702</v>
          </cell>
          <cell r="G415" t="str">
            <v/>
          </cell>
          <cell r="H415" t="str">
            <v/>
          </cell>
          <cell r="I415">
            <v>1569.702</v>
          </cell>
        </row>
        <row r="416">
          <cell r="E416">
            <v>1012166</v>
          </cell>
          <cell r="F416">
            <v>2213.5680000000002</v>
          </cell>
          <cell r="G416" t="str">
            <v>Agro America</v>
          </cell>
          <cell r="H416" t="str">
            <v/>
          </cell>
          <cell r="I416">
            <v>2213.5680000000002</v>
          </cell>
        </row>
        <row r="417">
          <cell r="E417">
            <v>1030757</v>
          </cell>
          <cell r="F417">
            <v>6377.7529999999988</v>
          </cell>
          <cell r="G417" t="str">
            <v/>
          </cell>
          <cell r="H417" t="str">
            <v/>
          </cell>
          <cell r="I417">
            <v>6377.7529999999988</v>
          </cell>
        </row>
        <row r="418">
          <cell r="E418">
            <v>1022570</v>
          </cell>
          <cell r="F418">
            <v>1147.894</v>
          </cell>
          <cell r="G418" t="str">
            <v>Andes Asia</v>
          </cell>
          <cell r="H418" t="str">
            <v/>
          </cell>
          <cell r="I418">
            <v>1147.894</v>
          </cell>
        </row>
        <row r="419">
          <cell r="E419">
            <v>1022901</v>
          </cell>
          <cell r="F419">
            <v>7281.8429999999989</v>
          </cell>
          <cell r="G419" t="str">
            <v>Exportacion Directa</v>
          </cell>
          <cell r="H419" t="str">
            <v/>
          </cell>
          <cell r="I419">
            <v>7281.8429999999989</v>
          </cell>
        </row>
        <row r="420">
          <cell r="E420">
            <v>1023274</v>
          </cell>
          <cell r="F420">
            <v>16536.156999999996</v>
          </cell>
          <cell r="G420" t="str">
            <v>Agro America</v>
          </cell>
          <cell r="H420" t="str">
            <v/>
          </cell>
          <cell r="I420">
            <v>16536.156999999996</v>
          </cell>
        </row>
        <row r="421">
          <cell r="E421">
            <v>1022535</v>
          </cell>
          <cell r="F421">
            <v>4938</v>
          </cell>
          <cell r="G421" t="str">
            <v/>
          </cell>
          <cell r="H421" t="str">
            <v/>
          </cell>
          <cell r="I421">
            <v>4938</v>
          </cell>
        </row>
        <row r="422">
          <cell r="E422">
            <v>1023273</v>
          </cell>
          <cell r="F422">
            <v>8810.9670000000024</v>
          </cell>
          <cell r="G422" t="str">
            <v>Agro America</v>
          </cell>
          <cell r="H422" t="str">
            <v/>
          </cell>
          <cell r="I422">
            <v>8810.9670000000024</v>
          </cell>
        </row>
        <row r="423">
          <cell r="E423">
            <v>1021260</v>
          </cell>
          <cell r="F423">
            <v>22.984999999999999</v>
          </cell>
          <cell r="G423" t="str">
            <v>Agro America</v>
          </cell>
          <cell r="H423" t="str">
            <v/>
          </cell>
          <cell r="I423">
            <v>22.984999999999999</v>
          </cell>
        </row>
        <row r="424">
          <cell r="E424">
            <v>1011697</v>
          </cell>
          <cell r="F424">
            <v>4017.9410000000003</v>
          </cell>
          <cell r="G424" t="str">
            <v/>
          </cell>
          <cell r="H424" t="str">
            <v/>
          </cell>
          <cell r="I424">
            <v>4017.9410000000003</v>
          </cell>
        </row>
        <row r="425">
          <cell r="E425">
            <v>1030735</v>
          </cell>
          <cell r="F425">
            <v>39068.568000000014</v>
          </cell>
          <cell r="G425" t="str">
            <v>Agro America</v>
          </cell>
          <cell r="H425" t="str">
            <v/>
          </cell>
          <cell r="I425">
            <v>39068.568000000014</v>
          </cell>
        </row>
        <row r="426">
          <cell r="E426">
            <v>1020010</v>
          </cell>
          <cell r="F426">
            <v>20558.478999999999</v>
          </cell>
          <cell r="G426" t="str">
            <v/>
          </cell>
          <cell r="H426" t="str">
            <v/>
          </cell>
          <cell r="I426">
            <v>20558.478999999999</v>
          </cell>
        </row>
        <row r="427">
          <cell r="E427">
            <v>1030083</v>
          </cell>
          <cell r="F427">
            <v>22088.516999999989</v>
          </cell>
          <cell r="G427" t="str">
            <v/>
          </cell>
          <cell r="H427" t="str">
            <v/>
          </cell>
          <cell r="I427">
            <v>22088.516999999989</v>
          </cell>
        </row>
        <row r="428">
          <cell r="E428">
            <v>1011638</v>
          </cell>
          <cell r="F428">
            <v>3139.2000000000003</v>
          </cell>
          <cell r="G428" t="str">
            <v/>
          </cell>
          <cell r="H428" t="str">
            <v/>
          </cell>
          <cell r="I428">
            <v>3139.2000000000003</v>
          </cell>
        </row>
        <row r="429">
          <cell r="E429">
            <v>1022558</v>
          </cell>
          <cell r="F429">
            <v>817.61599999999999</v>
          </cell>
          <cell r="G429" t="str">
            <v/>
          </cell>
          <cell r="H429" t="str">
            <v/>
          </cell>
          <cell r="I429">
            <v>817.61599999999999</v>
          </cell>
        </row>
        <row r="430">
          <cell r="E430">
            <v>1012693</v>
          </cell>
          <cell r="F430">
            <v>10762</v>
          </cell>
          <cell r="G430" t="str">
            <v/>
          </cell>
          <cell r="H430" t="str">
            <v/>
          </cell>
          <cell r="I430">
            <v>10762</v>
          </cell>
        </row>
        <row r="431">
          <cell r="E431">
            <v>1020003</v>
          </cell>
          <cell r="F431">
            <v>5752.4800000000005</v>
          </cell>
          <cell r="G431" t="str">
            <v/>
          </cell>
          <cell r="H431" t="str">
            <v/>
          </cell>
          <cell r="I431">
            <v>5752.4800000000005</v>
          </cell>
        </row>
        <row r="432">
          <cell r="E432">
            <v>1020027</v>
          </cell>
          <cell r="F432">
            <v>9992.0829999999969</v>
          </cell>
          <cell r="G432" t="str">
            <v/>
          </cell>
          <cell r="H432" t="str">
            <v/>
          </cell>
          <cell r="I432">
            <v>9992.0829999999969</v>
          </cell>
        </row>
        <row r="433">
          <cell r="E433">
            <v>1030722</v>
          </cell>
          <cell r="F433">
            <v>14023.241000000002</v>
          </cell>
          <cell r="G433" t="str">
            <v/>
          </cell>
          <cell r="H433" t="str">
            <v/>
          </cell>
          <cell r="I433">
            <v>14023.241000000002</v>
          </cell>
        </row>
        <row r="434">
          <cell r="E434">
            <v>1020039</v>
          </cell>
          <cell r="F434">
            <v>1696.4</v>
          </cell>
          <cell r="G434" t="str">
            <v/>
          </cell>
          <cell r="H434" t="str">
            <v/>
          </cell>
          <cell r="I434">
            <v>1696.4</v>
          </cell>
        </row>
        <row r="435">
          <cell r="E435">
            <v>1012719</v>
          </cell>
          <cell r="F435">
            <v>39995.399999999987</v>
          </cell>
          <cell r="G435" t="str">
            <v>Agro Sudamerica</v>
          </cell>
          <cell r="H435" t="str">
            <v/>
          </cell>
          <cell r="I435">
            <v>39995.399999999987</v>
          </cell>
        </row>
        <row r="436">
          <cell r="E436">
            <v>1020332</v>
          </cell>
          <cell r="F436">
            <v>5870</v>
          </cell>
          <cell r="G436" t="str">
            <v/>
          </cell>
          <cell r="H436" t="str">
            <v/>
          </cell>
          <cell r="I436">
            <v>5870</v>
          </cell>
        </row>
        <row r="437">
          <cell r="E437">
            <v>1022115</v>
          </cell>
          <cell r="F437">
            <v>6421.8589999999986</v>
          </cell>
          <cell r="G437" t="str">
            <v>Agro Mexico</v>
          </cell>
          <cell r="H437" t="str">
            <v/>
          </cell>
          <cell r="I437">
            <v>6421.8589999999986</v>
          </cell>
        </row>
        <row r="438">
          <cell r="E438">
            <v>1020878</v>
          </cell>
          <cell r="F438">
            <v>46527.520000000004</v>
          </cell>
          <cell r="G438" t="str">
            <v>Agro America</v>
          </cell>
          <cell r="H438" t="str">
            <v/>
          </cell>
          <cell r="I438">
            <v>46527.520000000004</v>
          </cell>
        </row>
        <row r="439">
          <cell r="E439">
            <v>1023268</v>
          </cell>
          <cell r="F439">
            <v>16561.547999999999</v>
          </cell>
          <cell r="G439" t="str">
            <v/>
          </cell>
          <cell r="H439" t="str">
            <v/>
          </cell>
          <cell r="I439">
            <v>16561.547999999999</v>
          </cell>
        </row>
        <row r="440">
          <cell r="E440">
            <v>1021101</v>
          </cell>
          <cell r="F440">
            <v>22169.49700000001</v>
          </cell>
          <cell r="G440" t="str">
            <v>Agro Sudamerica</v>
          </cell>
          <cell r="H440" t="str">
            <v/>
          </cell>
          <cell r="I440">
            <v>22169.49700000001</v>
          </cell>
        </row>
        <row r="441">
          <cell r="E441">
            <v>1022083</v>
          </cell>
          <cell r="F441">
            <v>1116.3209999999999</v>
          </cell>
          <cell r="G441" t="str">
            <v/>
          </cell>
          <cell r="H441" t="str">
            <v/>
          </cell>
          <cell r="I441">
            <v>1116.3209999999999</v>
          </cell>
        </row>
        <row r="442">
          <cell r="E442">
            <v>1023267</v>
          </cell>
          <cell r="F442">
            <v>1759.008</v>
          </cell>
          <cell r="G442" t="str">
            <v/>
          </cell>
          <cell r="H442" t="str">
            <v/>
          </cell>
          <cell r="I442">
            <v>1759.008</v>
          </cell>
        </row>
        <row r="443">
          <cell r="E443">
            <v>1021398</v>
          </cell>
          <cell r="F443">
            <v>9265</v>
          </cell>
          <cell r="G443" t="str">
            <v>Agro America</v>
          </cell>
          <cell r="H443" t="str">
            <v/>
          </cell>
          <cell r="I443">
            <v>9265</v>
          </cell>
        </row>
        <row r="444">
          <cell r="E444">
            <v>1021639</v>
          </cell>
          <cell r="F444">
            <v>1775</v>
          </cell>
          <cell r="G444" t="str">
            <v>Agro Sudamerica</v>
          </cell>
          <cell r="H444" t="str">
            <v/>
          </cell>
          <cell r="I444">
            <v>1775</v>
          </cell>
        </row>
        <row r="445">
          <cell r="E445">
            <v>1030702</v>
          </cell>
          <cell r="F445">
            <v>23583.750000000011</v>
          </cell>
          <cell r="G445" t="str">
            <v/>
          </cell>
          <cell r="H445" t="str">
            <v/>
          </cell>
          <cell r="I445">
            <v>23583.750000000011</v>
          </cell>
        </row>
        <row r="446">
          <cell r="E446">
            <v>1020447</v>
          </cell>
          <cell r="F446">
            <v>2022.6259999999997</v>
          </cell>
          <cell r="G446" t="str">
            <v/>
          </cell>
          <cell r="H446" t="str">
            <v/>
          </cell>
          <cell r="I446">
            <v>2022.6259999999997</v>
          </cell>
        </row>
        <row r="447">
          <cell r="E447">
            <v>1022705</v>
          </cell>
          <cell r="F447">
            <v>40.08</v>
          </cell>
          <cell r="G447" t="str">
            <v>Agro Sudamerica</v>
          </cell>
          <cell r="H447" t="str">
            <v/>
          </cell>
          <cell r="I447">
            <v>40.08</v>
          </cell>
        </row>
        <row r="448">
          <cell r="E448">
            <v>1012038</v>
          </cell>
          <cell r="F448">
            <v>2721.6</v>
          </cell>
          <cell r="G448" t="str">
            <v>Agro America</v>
          </cell>
          <cell r="H448" t="str">
            <v/>
          </cell>
          <cell r="I448">
            <v>2721.6</v>
          </cell>
        </row>
        <row r="449">
          <cell r="E449">
            <v>1012694</v>
          </cell>
          <cell r="F449">
            <v>10668.672000000002</v>
          </cell>
          <cell r="G449" t="str">
            <v>Agro America</v>
          </cell>
          <cell r="H449" t="str">
            <v/>
          </cell>
          <cell r="I449">
            <v>10668.672000000002</v>
          </cell>
        </row>
        <row r="450">
          <cell r="E450">
            <v>1100397</v>
          </cell>
          <cell r="F450">
            <v>15444.799999999992</v>
          </cell>
          <cell r="G450" t="str">
            <v/>
          </cell>
          <cell r="H450" t="str">
            <v/>
          </cell>
          <cell r="I450">
            <v>15444.799999999992</v>
          </cell>
        </row>
        <row r="451">
          <cell r="E451">
            <v>1100444</v>
          </cell>
          <cell r="F451">
            <v>10203.199999999997</v>
          </cell>
          <cell r="G451" t="str">
            <v/>
          </cell>
          <cell r="H451" t="str">
            <v/>
          </cell>
          <cell r="I451">
            <v>10203.199999999997</v>
          </cell>
        </row>
        <row r="452">
          <cell r="E452">
            <v>1100572</v>
          </cell>
          <cell r="F452">
            <v>85.68</v>
          </cell>
          <cell r="G452" t="str">
            <v/>
          </cell>
          <cell r="H452" t="str">
            <v/>
          </cell>
          <cell r="I452">
            <v>85.68</v>
          </cell>
        </row>
        <row r="453">
          <cell r="E453">
            <v>1100602</v>
          </cell>
          <cell r="F453">
            <v>14418.72</v>
          </cell>
          <cell r="G453" t="str">
            <v/>
          </cell>
          <cell r="H453" t="str">
            <v/>
          </cell>
          <cell r="I453">
            <v>14418.72</v>
          </cell>
        </row>
        <row r="454">
          <cell r="E454">
            <v>1011047</v>
          </cell>
          <cell r="F454">
            <v>120</v>
          </cell>
          <cell r="G454" t="str">
            <v>Agro Mexico</v>
          </cell>
          <cell r="H454" t="str">
            <v/>
          </cell>
          <cell r="I454">
            <v>120</v>
          </cell>
        </row>
        <row r="455">
          <cell r="E455">
            <v>1100007</v>
          </cell>
          <cell r="F455">
            <v>43382.399999999965</v>
          </cell>
          <cell r="G455" t="str">
            <v/>
          </cell>
          <cell r="H455" t="str">
            <v/>
          </cell>
          <cell r="I455">
            <v>43382.399999999965</v>
          </cell>
        </row>
        <row r="456">
          <cell r="E456">
            <v>1100039</v>
          </cell>
          <cell r="F456">
            <v>51300</v>
          </cell>
          <cell r="G456" t="str">
            <v/>
          </cell>
          <cell r="H456" t="str">
            <v/>
          </cell>
          <cell r="I456">
            <v>51300</v>
          </cell>
        </row>
        <row r="457">
          <cell r="E457">
            <v>1100041</v>
          </cell>
          <cell r="F457">
            <v>10460</v>
          </cell>
          <cell r="G457" t="str">
            <v/>
          </cell>
          <cell r="H457" t="str">
            <v/>
          </cell>
          <cell r="I457">
            <v>10460</v>
          </cell>
        </row>
        <row r="458">
          <cell r="E458">
            <v>1100193</v>
          </cell>
          <cell r="F458">
            <v>12417</v>
          </cell>
          <cell r="G458" t="str">
            <v/>
          </cell>
          <cell r="H458" t="str">
            <v/>
          </cell>
          <cell r="I458">
            <v>12417</v>
          </cell>
        </row>
        <row r="459">
          <cell r="E459">
            <v>1100266</v>
          </cell>
          <cell r="F459">
            <v>12665</v>
          </cell>
          <cell r="G459" t="str">
            <v/>
          </cell>
          <cell r="H459" t="str">
            <v/>
          </cell>
          <cell r="I459">
            <v>12665</v>
          </cell>
        </row>
        <row r="460">
          <cell r="E460">
            <v>1100267</v>
          </cell>
          <cell r="F460">
            <v>76523.39999999998</v>
          </cell>
          <cell r="G460" t="str">
            <v/>
          </cell>
          <cell r="H460" t="str">
            <v/>
          </cell>
          <cell r="I460">
            <v>76523.39999999998</v>
          </cell>
        </row>
        <row r="461">
          <cell r="E461">
            <v>1100334</v>
          </cell>
          <cell r="F461">
            <v>1335.6</v>
          </cell>
          <cell r="G461" t="str">
            <v/>
          </cell>
          <cell r="H461" t="str">
            <v/>
          </cell>
          <cell r="I461">
            <v>1335.6</v>
          </cell>
        </row>
        <row r="462">
          <cell r="E462">
            <v>1100339</v>
          </cell>
          <cell r="F462">
            <v>33288</v>
          </cell>
          <cell r="G462" t="str">
            <v/>
          </cell>
          <cell r="H462" t="str">
            <v/>
          </cell>
          <cell r="I462">
            <v>33288</v>
          </cell>
        </row>
        <row r="463">
          <cell r="E463">
            <v>1100343</v>
          </cell>
          <cell r="F463">
            <v>40569.200000000026</v>
          </cell>
          <cell r="G463" t="str">
            <v/>
          </cell>
          <cell r="H463" t="str">
            <v/>
          </cell>
          <cell r="I463">
            <v>40569.200000000026</v>
          </cell>
        </row>
        <row r="464">
          <cell r="E464">
            <v>1100346</v>
          </cell>
          <cell r="F464">
            <v>8346</v>
          </cell>
          <cell r="G464" t="str">
            <v/>
          </cell>
          <cell r="H464" t="str">
            <v/>
          </cell>
          <cell r="I464">
            <v>8346</v>
          </cell>
        </row>
        <row r="465">
          <cell r="E465">
            <v>1100350</v>
          </cell>
          <cell r="F465">
            <v>13036.800000000007</v>
          </cell>
          <cell r="G465" t="str">
            <v/>
          </cell>
          <cell r="H465" t="str">
            <v/>
          </cell>
          <cell r="I465">
            <v>13036.800000000007</v>
          </cell>
        </row>
        <row r="466">
          <cell r="E466">
            <v>1100364</v>
          </cell>
          <cell r="F466">
            <v>11327.85</v>
          </cell>
          <cell r="G466" t="str">
            <v/>
          </cell>
          <cell r="H466" t="str">
            <v/>
          </cell>
          <cell r="I466">
            <v>11327.85</v>
          </cell>
        </row>
        <row r="467">
          <cell r="E467">
            <v>1100365</v>
          </cell>
          <cell r="F467">
            <v>19190.5</v>
          </cell>
          <cell r="G467" t="str">
            <v/>
          </cell>
          <cell r="H467" t="str">
            <v/>
          </cell>
          <cell r="I467">
            <v>19190.5</v>
          </cell>
        </row>
        <row r="468">
          <cell r="E468">
            <v>1100372</v>
          </cell>
          <cell r="F468">
            <v>28904.39999999998</v>
          </cell>
          <cell r="G468" t="str">
            <v/>
          </cell>
          <cell r="H468" t="str">
            <v/>
          </cell>
          <cell r="I468">
            <v>28904.39999999998</v>
          </cell>
        </row>
        <row r="469">
          <cell r="E469">
            <v>1100373</v>
          </cell>
          <cell r="F469">
            <v>11277.600000000004</v>
          </cell>
          <cell r="G469" t="str">
            <v/>
          </cell>
          <cell r="H469" t="str">
            <v/>
          </cell>
          <cell r="I469">
            <v>11277.600000000004</v>
          </cell>
        </row>
        <row r="470">
          <cell r="E470">
            <v>1100393</v>
          </cell>
          <cell r="F470">
            <v>29553.600000000035</v>
          </cell>
          <cell r="G470" t="str">
            <v/>
          </cell>
          <cell r="H470" t="str">
            <v/>
          </cell>
          <cell r="I470">
            <v>29553.600000000035</v>
          </cell>
        </row>
        <row r="471">
          <cell r="E471">
            <v>1100394</v>
          </cell>
          <cell r="F471">
            <v>7555.199999999998</v>
          </cell>
          <cell r="G471" t="str">
            <v/>
          </cell>
          <cell r="H471" t="str">
            <v/>
          </cell>
          <cell r="I471">
            <v>7555.199999999998</v>
          </cell>
        </row>
        <row r="472">
          <cell r="E472">
            <v>1100396</v>
          </cell>
          <cell r="F472">
            <v>54456</v>
          </cell>
          <cell r="G472" t="str">
            <v/>
          </cell>
          <cell r="H472" t="str">
            <v/>
          </cell>
          <cell r="I472">
            <v>54456</v>
          </cell>
        </row>
        <row r="473">
          <cell r="E473">
            <v>1100399</v>
          </cell>
          <cell r="F473">
            <v>24978</v>
          </cell>
          <cell r="G473" t="str">
            <v/>
          </cell>
          <cell r="H473" t="str">
            <v/>
          </cell>
          <cell r="I473">
            <v>24978</v>
          </cell>
        </row>
        <row r="474">
          <cell r="E474">
            <v>1100402</v>
          </cell>
          <cell r="F474">
            <v>14058</v>
          </cell>
          <cell r="G474" t="str">
            <v/>
          </cell>
          <cell r="H474" t="str">
            <v/>
          </cell>
          <cell r="I474">
            <v>14058</v>
          </cell>
        </row>
        <row r="475">
          <cell r="E475">
            <v>1100411</v>
          </cell>
          <cell r="F475">
            <v>16143.119999999997</v>
          </cell>
          <cell r="G475" t="str">
            <v/>
          </cell>
          <cell r="H475" t="str">
            <v/>
          </cell>
          <cell r="I475">
            <v>16143.119999999997</v>
          </cell>
        </row>
        <row r="476">
          <cell r="E476">
            <v>1100412</v>
          </cell>
          <cell r="F476">
            <v>8188.7999999999975</v>
          </cell>
          <cell r="G476" t="str">
            <v/>
          </cell>
          <cell r="H476" t="str">
            <v/>
          </cell>
          <cell r="I476">
            <v>8188.7999999999975</v>
          </cell>
        </row>
        <row r="477">
          <cell r="E477">
            <v>1100418</v>
          </cell>
          <cell r="F477">
            <v>2419.1999999999998</v>
          </cell>
          <cell r="G477" t="str">
            <v/>
          </cell>
          <cell r="H477" t="str">
            <v/>
          </cell>
          <cell r="I477">
            <v>2419.1999999999998</v>
          </cell>
        </row>
        <row r="478">
          <cell r="E478">
            <v>1100419</v>
          </cell>
          <cell r="F478">
            <v>5038.88</v>
          </cell>
          <cell r="G478" t="str">
            <v/>
          </cell>
          <cell r="H478" t="str">
            <v/>
          </cell>
          <cell r="I478">
            <v>5038.88</v>
          </cell>
        </row>
        <row r="479">
          <cell r="E479">
            <v>1100423</v>
          </cell>
          <cell r="F479">
            <v>6544.12</v>
          </cell>
          <cell r="G479" t="str">
            <v/>
          </cell>
          <cell r="H479" t="str">
            <v/>
          </cell>
          <cell r="I479">
            <v>6544.12</v>
          </cell>
        </row>
        <row r="480">
          <cell r="E480">
            <v>1100439</v>
          </cell>
          <cell r="F480">
            <v>10712.799999999997</v>
          </cell>
          <cell r="G480" t="str">
            <v/>
          </cell>
          <cell r="H480" t="str">
            <v/>
          </cell>
          <cell r="I480">
            <v>10712.799999999997</v>
          </cell>
        </row>
        <row r="481">
          <cell r="E481">
            <v>1100440</v>
          </cell>
          <cell r="F481">
            <v>5728.7999999999993</v>
          </cell>
          <cell r="G481" t="str">
            <v/>
          </cell>
          <cell r="H481" t="str">
            <v/>
          </cell>
          <cell r="I481">
            <v>5728.7999999999993</v>
          </cell>
        </row>
        <row r="482">
          <cell r="E482">
            <v>1100442</v>
          </cell>
          <cell r="F482">
            <v>19227.600000000006</v>
          </cell>
          <cell r="G482" t="str">
            <v/>
          </cell>
          <cell r="H482" t="str">
            <v/>
          </cell>
          <cell r="I482">
            <v>19227.600000000006</v>
          </cell>
        </row>
        <row r="483">
          <cell r="E483">
            <v>1100447</v>
          </cell>
          <cell r="F483">
            <v>9155.9999999999982</v>
          </cell>
          <cell r="G483" t="str">
            <v/>
          </cell>
          <cell r="H483" t="str">
            <v/>
          </cell>
          <cell r="I483">
            <v>9155.9999999999982</v>
          </cell>
        </row>
        <row r="484">
          <cell r="E484">
            <v>1100448</v>
          </cell>
          <cell r="F484">
            <v>7459.199999999998</v>
          </cell>
          <cell r="G484" t="str">
            <v/>
          </cell>
          <cell r="H484" t="str">
            <v/>
          </cell>
          <cell r="I484">
            <v>7459.199999999998</v>
          </cell>
        </row>
        <row r="485">
          <cell r="E485">
            <v>1100449</v>
          </cell>
          <cell r="F485">
            <v>186944.79999999891</v>
          </cell>
          <cell r="G485" t="str">
            <v/>
          </cell>
          <cell r="H485" t="str">
            <v/>
          </cell>
          <cell r="I485">
            <v>186944.79999999891</v>
          </cell>
        </row>
        <row r="486">
          <cell r="E486">
            <v>1100479</v>
          </cell>
          <cell r="F486">
            <v>22848.000000000015</v>
          </cell>
          <cell r="G486" t="str">
            <v/>
          </cell>
          <cell r="H486" t="str">
            <v/>
          </cell>
          <cell r="I486">
            <v>22848.000000000015</v>
          </cell>
        </row>
        <row r="487">
          <cell r="E487">
            <v>1100490</v>
          </cell>
          <cell r="F487">
            <v>2851.2000000000003</v>
          </cell>
          <cell r="G487" t="str">
            <v/>
          </cell>
          <cell r="H487" t="str">
            <v/>
          </cell>
          <cell r="I487">
            <v>2851.2000000000003</v>
          </cell>
        </row>
        <row r="488">
          <cell r="E488">
            <v>1100494</v>
          </cell>
          <cell r="F488">
            <v>34570.239999999991</v>
          </cell>
          <cell r="G488" t="str">
            <v/>
          </cell>
          <cell r="H488" t="str">
            <v/>
          </cell>
          <cell r="I488">
            <v>34570.239999999991</v>
          </cell>
        </row>
        <row r="489">
          <cell r="E489">
            <v>1100521</v>
          </cell>
          <cell r="F489">
            <v>1637.6000000000001</v>
          </cell>
          <cell r="G489" t="str">
            <v/>
          </cell>
          <cell r="H489" t="str">
            <v/>
          </cell>
          <cell r="I489">
            <v>1637.6000000000001</v>
          </cell>
        </row>
        <row r="490">
          <cell r="E490">
            <v>1100522</v>
          </cell>
          <cell r="F490">
            <v>691.84</v>
          </cell>
          <cell r="G490" t="str">
            <v/>
          </cell>
          <cell r="H490" t="str">
            <v/>
          </cell>
          <cell r="I490">
            <v>691.84</v>
          </cell>
        </row>
        <row r="491">
          <cell r="E491">
            <v>1100523</v>
          </cell>
          <cell r="F491">
            <v>2042.4</v>
          </cell>
          <cell r="G491" t="str">
            <v/>
          </cell>
          <cell r="H491" t="str">
            <v/>
          </cell>
          <cell r="I491">
            <v>2042.4</v>
          </cell>
        </row>
        <row r="492">
          <cell r="E492">
            <v>1100524</v>
          </cell>
          <cell r="F492">
            <v>986.24</v>
          </cell>
          <cell r="G492" t="str">
            <v/>
          </cell>
          <cell r="H492" t="str">
            <v/>
          </cell>
          <cell r="I492">
            <v>986.24</v>
          </cell>
        </row>
        <row r="493">
          <cell r="E493">
            <v>1100533</v>
          </cell>
          <cell r="F493">
            <v>9331.2000000000007</v>
          </cell>
          <cell r="G493" t="str">
            <v/>
          </cell>
          <cell r="H493" t="str">
            <v/>
          </cell>
          <cell r="I493">
            <v>9331.2000000000007</v>
          </cell>
        </row>
        <row r="494">
          <cell r="E494">
            <v>1100534</v>
          </cell>
          <cell r="F494">
            <v>20613.599999999991</v>
          </cell>
          <cell r="G494" t="str">
            <v/>
          </cell>
          <cell r="H494" t="str">
            <v/>
          </cell>
          <cell r="I494">
            <v>20613.599999999991</v>
          </cell>
        </row>
        <row r="495">
          <cell r="E495">
            <v>1100535</v>
          </cell>
          <cell r="F495">
            <v>7603.2000000000007</v>
          </cell>
          <cell r="G495" t="str">
            <v/>
          </cell>
          <cell r="H495" t="str">
            <v/>
          </cell>
          <cell r="I495">
            <v>7603.2000000000007</v>
          </cell>
        </row>
        <row r="496">
          <cell r="E496">
            <v>1100536</v>
          </cell>
          <cell r="F496">
            <v>4540</v>
          </cell>
          <cell r="G496" t="str">
            <v/>
          </cell>
          <cell r="H496" t="str">
            <v/>
          </cell>
          <cell r="I496">
            <v>4540</v>
          </cell>
        </row>
        <row r="497">
          <cell r="E497">
            <v>1100539</v>
          </cell>
          <cell r="F497">
            <v>28101.060000000009</v>
          </cell>
          <cell r="G497" t="str">
            <v/>
          </cell>
          <cell r="H497" t="str">
            <v/>
          </cell>
          <cell r="I497">
            <v>28101.060000000009</v>
          </cell>
        </row>
        <row r="498">
          <cell r="E498">
            <v>1100545</v>
          </cell>
          <cell r="F498">
            <v>7234.1100000000006</v>
          </cell>
          <cell r="G498" t="str">
            <v/>
          </cell>
          <cell r="H498" t="str">
            <v/>
          </cell>
          <cell r="I498">
            <v>7234.1100000000006</v>
          </cell>
        </row>
        <row r="499">
          <cell r="E499">
            <v>1100547</v>
          </cell>
          <cell r="F499">
            <v>31.5</v>
          </cell>
          <cell r="G499" t="str">
            <v/>
          </cell>
          <cell r="H499" t="str">
            <v/>
          </cell>
          <cell r="I499">
            <v>31.5</v>
          </cell>
        </row>
        <row r="500">
          <cell r="E500">
            <v>1100554</v>
          </cell>
          <cell r="F500">
            <v>2728.8</v>
          </cell>
          <cell r="G500" t="str">
            <v/>
          </cell>
          <cell r="H500" t="str">
            <v/>
          </cell>
          <cell r="I500">
            <v>2728.8</v>
          </cell>
        </row>
        <row r="501">
          <cell r="E501">
            <v>1100558</v>
          </cell>
          <cell r="F501">
            <v>1402.8000000000009</v>
          </cell>
          <cell r="G501" t="str">
            <v/>
          </cell>
          <cell r="H501" t="str">
            <v/>
          </cell>
          <cell r="I501">
            <v>1402.8000000000009</v>
          </cell>
        </row>
        <row r="502">
          <cell r="E502">
            <v>1100559</v>
          </cell>
          <cell r="F502">
            <v>848.39999999999986</v>
          </cell>
          <cell r="G502" t="str">
            <v/>
          </cell>
          <cell r="H502" t="str">
            <v/>
          </cell>
          <cell r="I502">
            <v>848.39999999999986</v>
          </cell>
        </row>
        <row r="503">
          <cell r="E503">
            <v>1100575</v>
          </cell>
          <cell r="F503">
            <v>11130</v>
          </cell>
          <cell r="G503" t="str">
            <v/>
          </cell>
          <cell r="H503" t="str">
            <v/>
          </cell>
          <cell r="I503">
            <v>11130</v>
          </cell>
        </row>
        <row r="504">
          <cell r="E504">
            <v>1100580</v>
          </cell>
          <cell r="F504">
            <v>4202.28</v>
          </cell>
          <cell r="G504" t="str">
            <v/>
          </cell>
          <cell r="H504" t="str">
            <v/>
          </cell>
          <cell r="I504">
            <v>4202.28</v>
          </cell>
        </row>
        <row r="505">
          <cell r="E505">
            <v>1100581</v>
          </cell>
          <cell r="F505">
            <v>22836.239999999987</v>
          </cell>
          <cell r="G505" t="str">
            <v/>
          </cell>
          <cell r="H505" t="str">
            <v/>
          </cell>
          <cell r="I505">
            <v>22836.239999999987</v>
          </cell>
        </row>
        <row r="506">
          <cell r="E506">
            <v>1100582</v>
          </cell>
          <cell r="F506">
            <v>805.5</v>
          </cell>
          <cell r="G506" t="str">
            <v/>
          </cell>
          <cell r="H506" t="str">
            <v/>
          </cell>
          <cell r="I506">
            <v>805.5</v>
          </cell>
        </row>
        <row r="507">
          <cell r="E507">
            <v>1100585</v>
          </cell>
          <cell r="F507">
            <v>4020</v>
          </cell>
          <cell r="G507" t="str">
            <v/>
          </cell>
          <cell r="H507" t="str">
            <v/>
          </cell>
          <cell r="I507">
            <v>4020</v>
          </cell>
        </row>
        <row r="508">
          <cell r="E508">
            <v>1100586</v>
          </cell>
          <cell r="F508">
            <v>2.88</v>
          </cell>
          <cell r="G508" t="str">
            <v/>
          </cell>
          <cell r="H508" t="str">
            <v/>
          </cell>
          <cell r="I508">
            <v>2.88</v>
          </cell>
        </row>
        <row r="509">
          <cell r="E509">
            <v>1100587</v>
          </cell>
          <cell r="F509">
            <v>18311.400000000001</v>
          </cell>
          <cell r="G509" t="str">
            <v/>
          </cell>
          <cell r="H509" t="str">
            <v/>
          </cell>
          <cell r="I509">
            <v>18311.400000000001</v>
          </cell>
        </row>
        <row r="510">
          <cell r="E510">
            <v>1100588</v>
          </cell>
          <cell r="F510">
            <v>4308.4800000000005</v>
          </cell>
          <cell r="G510" t="str">
            <v/>
          </cell>
          <cell r="H510" t="str">
            <v/>
          </cell>
          <cell r="I510">
            <v>4308.4800000000005</v>
          </cell>
        </row>
        <row r="511">
          <cell r="E511">
            <v>1100590</v>
          </cell>
          <cell r="F511">
            <v>12625.200000000006</v>
          </cell>
          <cell r="G511" t="str">
            <v/>
          </cell>
          <cell r="H511" t="str">
            <v/>
          </cell>
          <cell r="I511">
            <v>12625.200000000006</v>
          </cell>
        </row>
        <row r="512">
          <cell r="E512">
            <v>1100592</v>
          </cell>
          <cell r="F512">
            <v>6010.2000000000016</v>
          </cell>
          <cell r="G512" t="str">
            <v/>
          </cell>
          <cell r="H512" t="str">
            <v/>
          </cell>
          <cell r="I512">
            <v>6010.2000000000016</v>
          </cell>
        </row>
        <row r="513">
          <cell r="E513">
            <v>1100593</v>
          </cell>
          <cell r="F513">
            <v>13213.800000000007</v>
          </cell>
          <cell r="G513" t="str">
            <v/>
          </cell>
          <cell r="H513" t="str">
            <v/>
          </cell>
          <cell r="I513">
            <v>13213.800000000007</v>
          </cell>
        </row>
        <row r="514">
          <cell r="E514">
            <v>1100598</v>
          </cell>
          <cell r="F514">
            <v>3836.0000000000005</v>
          </cell>
          <cell r="G514" t="str">
            <v/>
          </cell>
          <cell r="H514" t="str">
            <v/>
          </cell>
          <cell r="I514">
            <v>3836.0000000000005</v>
          </cell>
        </row>
        <row r="515">
          <cell r="E515">
            <v>1100600</v>
          </cell>
          <cell r="F515">
            <v>4418.4000000000005</v>
          </cell>
          <cell r="G515" t="str">
            <v/>
          </cell>
          <cell r="H515" t="str">
            <v/>
          </cell>
          <cell r="I515">
            <v>4418.4000000000005</v>
          </cell>
        </row>
        <row r="516">
          <cell r="E516">
            <v>1100601</v>
          </cell>
          <cell r="F516">
            <v>5392.7999999999993</v>
          </cell>
          <cell r="G516" t="str">
            <v/>
          </cell>
          <cell r="H516" t="str">
            <v/>
          </cell>
          <cell r="I516">
            <v>5392.7999999999993</v>
          </cell>
        </row>
        <row r="517">
          <cell r="E517">
            <v>1100609</v>
          </cell>
          <cell r="F517">
            <v>3092.46</v>
          </cell>
          <cell r="G517" t="str">
            <v/>
          </cell>
          <cell r="H517" t="str">
            <v/>
          </cell>
          <cell r="I517">
            <v>3092.46</v>
          </cell>
        </row>
        <row r="518">
          <cell r="E518">
            <v>1100621</v>
          </cell>
          <cell r="F518">
            <v>2692.8</v>
          </cell>
          <cell r="G518" t="str">
            <v/>
          </cell>
          <cell r="H518" t="str">
            <v/>
          </cell>
          <cell r="I518">
            <v>2692.8</v>
          </cell>
        </row>
        <row r="519">
          <cell r="E519">
            <v>1100635</v>
          </cell>
          <cell r="F519">
            <v>1128</v>
          </cell>
          <cell r="G519" t="str">
            <v/>
          </cell>
          <cell r="H519" t="str">
            <v/>
          </cell>
          <cell r="I519">
            <v>1128</v>
          </cell>
        </row>
        <row r="520">
          <cell r="E520">
            <v>1100639</v>
          </cell>
          <cell r="F520">
            <v>2894.4</v>
          </cell>
          <cell r="G520" t="str">
            <v/>
          </cell>
          <cell r="H520" t="str">
            <v/>
          </cell>
          <cell r="I520">
            <v>2894.4</v>
          </cell>
        </row>
        <row r="521">
          <cell r="E521">
            <v>1100640</v>
          </cell>
          <cell r="F521">
            <v>7608</v>
          </cell>
          <cell r="G521" t="str">
            <v/>
          </cell>
          <cell r="H521" t="str">
            <v/>
          </cell>
          <cell r="I521">
            <v>7608</v>
          </cell>
        </row>
        <row r="522">
          <cell r="E522">
            <v>1100646</v>
          </cell>
          <cell r="F522">
            <v>410</v>
          </cell>
          <cell r="G522" t="str">
            <v/>
          </cell>
          <cell r="H522" t="str">
            <v/>
          </cell>
          <cell r="I522">
            <v>410</v>
          </cell>
        </row>
        <row r="523">
          <cell r="E523">
            <v>1100647</v>
          </cell>
          <cell r="F523">
            <v>7311.5800000000008</v>
          </cell>
          <cell r="G523" t="str">
            <v/>
          </cell>
          <cell r="H523" t="str">
            <v/>
          </cell>
          <cell r="I523">
            <v>7311.5800000000008</v>
          </cell>
        </row>
        <row r="524">
          <cell r="E524">
            <v>1100649</v>
          </cell>
          <cell r="F524">
            <v>13259.999999999996</v>
          </cell>
          <cell r="G524" t="str">
            <v/>
          </cell>
          <cell r="H524" t="str">
            <v/>
          </cell>
          <cell r="I524">
            <v>13259.999999999996</v>
          </cell>
        </row>
        <row r="525">
          <cell r="E525">
            <v>1100650</v>
          </cell>
          <cell r="F525">
            <v>5953.9999999999991</v>
          </cell>
          <cell r="G525" t="str">
            <v/>
          </cell>
          <cell r="H525" t="str">
            <v/>
          </cell>
          <cell r="I525">
            <v>5953.9999999999991</v>
          </cell>
        </row>
        <row r="526">
          <cell r="E526">
            <v>1100651</v>
          </cell>
          <cell r="F526">
            <v>2548</v>
          </cell>
          <cell r="G526" t="str">
            <v/>
          </cell>
          <cell r="H526" t="str">
            <v/>
          </cell>
          <cell r="I526">
            <v>2548</v>
          </cell>
        </row>
        <row r="527">
          <cell r="E527">
            <v>1100652</v>
          </cell>
          <cell r="F527">
            <v>1215</v>
          </cell>
          <cell r="G527" t="str">
            <v/>
          </cell>
          <cell r="H527" t="str">
            <v/>
          </cell>
          <cell r="I527">
            <v>1215</v>
          </cell>
        </row>
        <row r="528">
          <cell r="E528">
            <v>1100655</v>
          </cell>
          <cell r="F528">
            <v>20077.2</v>
          </cell>
          <cell r="G528" t="str">
            <v/>
          </cell>
          <cell r="H528" t="str">
            <v/>
          </cell>
          <cell r="I528">
            <v>20077.2</v>
          </cell>
        </row>
        <row r="529">
          <cell r="E529">
            <v>1100658</v>
          </cell>
          <cell r="F529">
            <v>460</v>
          </cell>
          <cell r="G529" t="str">
            <v/>
          </cell>
          <cell r="H529" t="str">
            <v/>
          </cell>
          <cell r="I529">
            <v>460</v>
          </cell>
        </row>
        <row r="530">
          <cell r="E530">
            <v>1100659</v>
          </cell>
          <cell r="F530">
            <v>2300</v>
          </cell>
          <cell r="G530" t="str">
            <v/>
          </cell>
          <cell r="H530" t="str">
            <v/>
          </cell>
          <cell r="I530">
            <v>2300</v>
          </cell>
        </row>
        <row r="531">
          <cell r="E531">
            <v>1100661</v>
          </cell>
          <cell r="F531">
            <v>4690</v>
          </cell>
          <cell r="G531" t="str">
            <v/>
          </cell>
          <cell r="H531" t="str">
            <v/>
          </cell>
          <cell r="I531">
            <v>4690</v>
          </cell>
        </row>
        <row r="532">
          <cell r="E532">
            <v>1100666</v>
          </cell>
          <cell r="F532">
            <v>1605</v>
          </cell>
          <cell r="G532" t="str">
            <v/>
          </cell>
          <cell r="H532" t="str">
            <v/>
          </cell>
          <cell r="I532">
            <v>1605</v>
          </cell>
        </row>
        <row r="533">
          <cell r="E533">
            <v>1100667</v>
          </cell>
          <cell r="F533">
            <v>5475</v>
          </cell>
          <cell r="G533" t="str">
            <v/>
          </cell>
          <cell r="H533" t="str">
            <v/>
          </cell>
          <cell r="I533">
            <v>5475</v>
          </cell>
        </row>
        <row r="534">
          <cell r="E534">
            <v>1100681</v>
          </cell>
          <cell r="F534">
            <v>7120</v>
          </cell>
          <cell r="G534" t="str">
            <v/>
          </cell>
          <cell r="H534" t="str">
            <v/>
          </cell>
          <cell r="I534">
            <v>7120</v>
          </cell>
        </row>
        <row r="535">
          <cell r="E535">
            <v>1100682</v>
          </cell>
          <cell r="F535">
            <v>9710.3999999999978</v>
          </cell>
          <cell r="G535" t="str">
            <v/>
          </cell>
          <cell r="H535" t="str">
            <v/>
          </cell>
          <cell r="I535">
            <v>9710.3999999999978</v>
          </cell>
        </row>
        <row r="536">
          <cell r="E536">
            <v>1100683</v>
          </cell>
          <cell r="F536">
            <v>2220</v>
          </cell>
          <cell r="G536" t="str">
            <v/>
          </cell>
          <cell r="H536" t="str">
            <v/>
          </cell>
          <cell r="I536">
            <v>2220</v>
          </cell>
        </row>
        <row r="537">
          <cell r="E537">
            <v>1100684</v>
          </cell>
          <cell r="F537">
            <v>59.5</v>
          </cell>
          <cell r="G537" t="str">
            <v/>
          </cell>
          <cell r="H537" t="str">
            <v/>
          </cell>
          <cell r="I537">
            <v>59.5</v>
          </cell>
        </row>
        <row r="538">
          <cell r="E538">
            <v>1100691</v>
          </cell>
          <cell r="F538">
            <v>9052.3999999999978</v>
          </cell>
          <cell r="G538" t="str">
            <v/>
          </cell>
          <cell r="H538" t="str">
            <v/>
          </cell>
          <cell r="I538">
            <v>9052.3999999999978</v>
          </cell>
        </row>
        <row r="539">
          <cell r="E539">
            <v>1100692</v>
          </cell>
          <cell r="F539">
            <v>8119.9999999999973</v>
          </cell>
          <cell r="G539" t="str">
            <v/>
          </cell>
          <cell r="H539" t="str">
            <v/>
          </cell>
          <cell r="I539">
            <v>8119.9999999999973</v>
          </cell>
        </row>
        <row r="540">
          <cell r="E540">
            <v>1100693</v>
          </cell>
          <cell r="F540">
            <v>6065</v>
          </cell>
          <cell r="G540" t="str">
            <v/>
          </cell>
          <cell r="H540" t="str">
            <v/>
          </cell>
          <cell r="I540">
            <v>6065</v>
          </cell>
        </row>
        <row r="541">
          <cell r="E541">
            <v>1100694</v>
          </cell>
          <cell r="F541">
            <v>7680.9600000000009</v>
          </cell>
          <cell r="G541" t="str">
            <v/>
          </cell>
          <cell r="H541" t="str">
            <v/>
          </cell>
          <cell r="I541">
            <v>7680.9600000000009</v>
          </cell>
        </row>
        <row r="542">
          <cell r="E542">
            <v>1100709</v>
          </cell>
          <cell r="F542">
            <v>448.8</v>
          </cell>
          <cell r="G542" t="str">
            <v/>
          </cell>
          <cell r="H542" t="str">
            <v/>
          </cell>
          <cell r="I542">
            <v>448.8</v>
          </cell>
        </row>
        <row r="543">
          <cell r="E543">
            <v>1012250</v>
          </cell>
          <cell r="F543">
            <v>177.68299999999999</v>
          </cell>
          <cell r="G543" t="str">
            <v/>
          </cell>
          <cell r="H543" t="str">
            <v/>
          </cell>
          <cell r="I543">
            <v>177.68299999999999</v>
          </cell>
        </row>
        <row r="544">
          <cell r="E544">
            <v>1012623</v>
          </cell>
          <cell r="F544">
            <v>2503.8720000000003</v>
          </cell>
          <cell r="G544" t="str">
            <v/>
          </cell>
          <cell r="H544" t="str">
            <v/>
          </cell>
          <cell r="I544">
            <v>2503.8720000000003</v>
          </cell>
        </row>
        <row r="545">
          <cell r="E545">
            <v>1100680</v>
          </cell>
          <cell r="F545">
            <v>125</v>
          </cell>
          <cell r="G545" t="str">
            <v/>
          </cell>
          <cell r="H545" t="str">
            <v/>
          </cell>
          <cell r="I545">
            <v>125</v>
          </cell>
        </row>
        <row r="546">
          <cell r="E546">
            <v>1100407</v>
          </cell>
          <cell r="F546">
            <v>2796</v>
          </cell>
          <cell r="G546" t="str">
            <v/>
          </cell>
          <cell r="H546" t="str">
            <v/>
          </cell>
          <cell r="I546">
            <v>2796</v>
          </cell>
        </row>
        <row r="547">
          <cell r="E547">
            <v>1012313</v>
          </cell>
          <cell r="F547">
            <v>72.56</v>
          </cell>
          <cell r="G547" t="str">
            <v>Agro America</v>
          </cell>
          <cell r="H547" t="str">
            <v/>
          </cell>
          <cell r="I547">
            <v>72.56</v>
          </cell>
        </row>
        <row r="548">
          <cell r="E548">
            <v>1011748</v>
          </cell>
          <cell r="F548">
            <v>20170</v>
          </cell>
          <cell r="G548" t="str">
            <v>Agro Europa</v>
          </cell>
          <cell r="H548" t="str">
            <v/>
          </cell>
          <cell r="I548">
            <v>20170</v>
          </cell>
        </row>
        <row r="549">
          <cell r="E549">
            <v>1100408</v>
          </cell>
          <cell r="F549">
            <v>23810</v>
          </cell>
          <cell r="G549" t="str">
            <v/>
          </cell>
          <cell r="H549" t="str">
            <v/>
          </cell>
          <cell r="I549">
            <v>23810</v>
          </cell>
        </row>
        <row r="550">
          <cell r="E550">
            <v>1100570</v>
          </cell>
          <cell r="F550">
            <v>624.24</v>
          </cell>
          <cell r="G550" t="str">
            <v/>
          </cell>
          <cell r="H550" t="str">
            <v/>
          </cell>
          <cell r="I550">
            <v>624.24</v>
          </cell>
        </row>
        <row r="551">
          <cell r="E551">
            <v>1100574</v>
          </cell>
          <cell r="F551">
            <v>4320.72</v>
          </cell>
          <cell r="G551" t="str">
            <v/>
          </cell>
          <cell r="H551" t="str">
            <v/>
          </cell>
          <cell r="I551">
            <v>4320.72</v>
          </cell>
        </row>
        <row r="552">
          <cell r="E552">
            <v>1012488</v>
          </cell>
          <cell r="F552">
            <v>13970.880000000001</v>
          </cell>
          <cell r="G552" t="str">
            <v>Agro America</v>
          </cell>
          <cell r="H552" t="str">
            <v/>
          </cell>
          <cell r="I552">
            <v>13970.880000000001</v>
          </cell>
        </row>
        <row r="553">
          <cell r="E553">
            <v>1100573</v>
          </cell>
          <cell r="F553">
            <v>2545.92</v>
          </cell>
          <cell r="G553" t="str">
            <v/>
          </cell>
          <cell r="H553" t="str">
            <v/>
          </cell>
          <cell r="I553">
            <v>2545.92</v>
          </cell>
        </row>
        <row r="554">
          <cell r="E554">
            <v>1022794</v>
          </cell>
          <cell r="F554">
            <v>0.4</v>
          </cell>
          <cell r="G554" t="str">
            <v>Andes Asia</v>
          </cell>
          <cell r="H554" t="str">
            <v/>
          </cell>
          <cell r="I554">
            <v>0.4</v>
          </cell>
        </row>
        <row r="555">
          <cell r="E555">
            <v>1022853</v>
          </cell>
          <cell r="F555">
            <v>1091.193</v>
          </cell>
          <cell r="G555" t="str">
            <v/>
          </cell>
          <cell r="H555" t="str">
            <v/>
          </cell>
          <cell r="I555">
            <v>1091.193</v>
          </cell>
        </row>
        <row r="556">
          <cell r="E556">
            <v>1020001</v>
          </cell>
          <cell r="F556">
            <v>1351.1029999999998</v>
          </cell>
          <cell r="G556" t="str">
            <v/>
          </cell>
          <cell r="H556" t="str">
            <v/>
          </cell>
          <cell r="I556">
            <v>1351.1029999999998</v>
          </cell>
        </row>
        <row r="557">
          <cell r="E557">
            <v>1022568</v>
          </cell>
          <cell r="F557">
            <v>16589.96</v>
          </cell>
          <cell r="G557" t="str">
            <v>Agrosuper Shanghai</v>
          </cell>
          <cell r="H557">
            <v>0</v>
          </cell>
          <cell r="I557">
            <v>0</v>
          </cell>
        </row>
        <row r="558">
          <cell r="E558">
            <v>1010048</v>
          </cell>
          <cell r="F558">
            <v>667.64</v>
          </cell>
          <cell r="G558" t="str">
            <v/>
          </cell>
          <cell r="H558" t="str">
            <v/>
          </cell>
          <cell r="I558">
            <v>667.64</v>
          </cell>
        </row>
        <row r="559">
          <cell r="E559">
            <v>1010695</v>
          </cell>
          <cell r="F559">
            <v>132</v>
          </cell>
          <cell r="G559" t="str">
            <v/>
          </cell>
          <cell r="H559" t="str">
            <v/>
          </cell>
          <cell r="I559">
            <v>132</v>
          </cell>
        </row>
        <row r="560">
          <cell r="E560">
            <v>1023050</v>
          </cell>
          <cell r="F560">
            <v>2470.1200000000003</v>
          </cell>
          <cell r="G560" t="str">
            <v>Agro America</v>
          </cell>
          <cell r="H560" t="str">
            <v/>
          </cell>
          <cell r="I560">
            <v>2470.1200000000003</v>
          </cell>
        </row>
        <row r="561">
          <cell r="E561">
            <v>1012577</v>
          </cell>
          <cell r="F561">
            <v>8463.6590000000015</v>
          </cell>
          <cell r="G561" t="str">
            <v/>
          </cell>
          <cell r="H561" t="str">
            <v/>
          </cell>
          <cell r="I561">
            <v>8463.6590000000015</v>
          </cell>
        </row>
        <row r="562">
          <cell r="E562">
            <v>1022409</v>
          </cell>
          <cell r="F562">
            <v>4095</v>
          </cell>
          <cell r="G562" t="str">
            <v>Agro Sudamerica</v>
          </cell>
          <cell r="H562" t="str">
            <v/>
          </cell>
          <cell r="I562">
            <v>4095</v>
          </cell>
        </row>
        <row r="563">
          <cell r="E563">
            <v>1022889</v>
          </cell>
          <cell r="F563">
            <v>146</v>
          </cell>
          <cell r="G563" t="str">
            <v/>
          </cell>
          <cell r="H563" t="str">
            <v/>
          </cell>
          <cell r="I563">
            <v>146</v>
          </cell>
        </row>
        <row r="564">
          <cell r="E564">
            <v>1020067</v>
          </cell>
          <cell r="F564">
            <v>2978.1660000000002</v>
          </cell>
          <cell r="G564" t="str">
            <v/>
          </cell>
          <cell r="H564" t="str">
            <v/>
          </cell>
          <cell r="I564">
            <v>2978.1660000000002</v>
          </cell>
        </row>
        <row r="565">
          <cell r="E565">
            <v>1020417</v>
          </cell>
          <cell r="F565">
            <v>8995.0809999999983</v>
          </cell>
          <cell r="G565" t="str">
            <v/>
          </cell>
          <cell r="H565" t="str">
            <v/>
          </cell>
          <cell r="I565">
            <v>8995.0809999999983</v>
          </cell>
        </row>
        <row r="566">
          <cell r="E566">
            <v>1020252</v>
          </cell>
          <cell r="F566">
            <v>765.15099999999995</v>
          </cell>
          <cell r="G566" t="str">
            <v/>
          </cell>
          <cell r="H566" t="str">
            <v/>
          </cell>
          <cell r="I566">
            <v>765.15099999999995</v>
          </cell>
        </row>
        <row r="567">
          <cell r="E567">
            <v>1030010</v>
          </cell>
          <cell r="F567">
            <v>1735.2930000000001</v>
          </cell>
          <cell r="G567" t="str">
            <v/>
          </cell>
          <cell r="H567" t="str">
            <v/>
          </cell>
          <cell r="I567">
            <v>1735.2930000000001</v>
          </cell>
        </row>
        <row r="568">
          <cell r="E568">
            <v>1022550</v>
          </cell>
          <cell r="F568">
            <v>25780</v>
          </cell>
          <cell r="G568" t="str">
            <v>Andes Asia</v>
          </cell>
          <cell r="H568" t="str">
            <v/>
          </cell>
          <cell r="I568">
            <v>25780</v>
          </cell>
        </row>
        <row r="569">
          <cell r="E569">
            <v>1022675</v>
          </cell>
          <cell r="F569">
            <v>5140.7999999999993</v>
          </cell>
          <cell r="G569" t="str">
            <v/>
          </cell>
          <cell r="H569" t="str">
            <v/>
          </cell>
          <cell r="I569">
            <v>5140.7999999999993</v>
          </cell>
        </row>
        <row r="570">
          <cell r="E570">
            <v>1022676</v>
          </cell>
          <cell r="F570">
            <v>4284</v>
          </cell>
          <cell r="G570" t="str">
            <v/>
          </cell>
          <cell r="H570" t="str">
            <v/>
          </cell>
          <cell r="I570">
            <v>4284</v>
          </cell>
        </row>
        <row r="571">
          <cell r="E571">
            <v>1021334</v>
          </cell>
          <cell r="F571">
            <v>8626.6659999999993</v>
          </cell>
          <cell r="G571" t="str">
            <v/>
          </cell>
          <cell r="H571" t="str">
            <v/>
          </cell>
          <cell r="I571">
            <v>8626.6659999999993</v>
          </cell>
        </row>
        <row r="572">
          <cell r="E572">
            <v>1022390</v>
          </cell>
          <cell r="F572">
            <v>4646.6040000000003</v>
          </cell>
          <cell r="G572" t="str">
            <v/>
          </cell>
          <cell r="H572" t="str">
            <v/>
          </cell>
          <cell r="I572">
            <v>4646.6040000000003</v>
          </cell>
        </row>
        <row r="573">
          <cell r="E573">
            <v>1022391</v>
          </cell>
          <cell r="F573">
            <v>8021.607</v>
          </cell>
          <cell r="G573" t="str">
            <v/>
          </cell>
          <cell r="H573" t="str">
            <v/>
          </cell>
          <cell r="I573">
            <v>8021.607</v>
          </cell>
        </row>
        <row r="574">
          <cell r="E574">
            <v>1023195</v>
          </cell>
          <cell r="F574">
            <v>3373.7999999999993</v>
          </cell>
          <cell r="G574" t="str">
            <v/>
          </cell>
          <cell r="H574" t="str">
            <v/>
          </cell>
          <cell r="I574">
            <v>3373.7999999999993</v>
          </cell>
        </row>
        <row r="575">
          <cell r="E575">
            <v>1010130</v>
          </cell>
          <cell r="F575">
            <v>88.11</v>
          </cell>
          <cell r="G575" t="str">
            <v/>
          </cell>
          <cell r="H575" t="str">
            <v/>
          </cell>
          <cell r="I575">
            <v>88.11</v>
          </cell>
        </row>
        <row r="576">
          <cell r="E576">
            <v>1012684</v>
          </cell>
          <cell r="F576">
            <v>83</v>
          </cell>
          <cell r="G576" t="str">
            <v/>
          </cell>
          <cell r="H576" t="str">
            <v/>
          </cell>
          <cell r="I576">
            <v>83</v>
          </cell>
        </row>
        <row r="577">
          <cell r="E577">
            <v>1020253</v>
          </cell>
          <cell r="F577">
            <v>9929.8870000000006</v>
          </cell>
          <cell r="G577" t="str">
            <v/>
          </cell>
          <cell r="H577" t="str">
            <v/>
          </cell>
          <cell r="I577">
            <v>9929.8870000000006</v>
          </cell>
        </row>
        <row r="578">
          <cell r="E578">
            <v>1023277</v>
          </cell>
          <cell r="F578">
            <v>55573.24</v>
          </cell>
          <cell r="G578" t="str">
            <v/>
          </cell>
          <cell r="H578" t="str">
            <v/>
          </cell>
          <cell r="I578">
            <v>55573.24</v>
          </cell>
        </row>
        <row r="579">
          <cell r="E579">
            <v>1020408</v>
          </cell>
          <cell r="F579">
            <v>937.4</v>
          </cell>
          <cell r="G579" t="str">
            <v/>
          </cell>
          <cell r="H579" t="str">
            <v/>
          </cell>
          <cell r="I579">
            <v>937.4</v>
          </cell>
        </row>
        <row r="580">
          <cell r="E580">
            <v>1020013</v>
          </cell>
          <cell r="F580">
            <v>24535.001000000007</v>
          </cell>
          <cell r="G580" t="str">
            <v/>
          </cell>
          <cell r="H580" t="str">
            <v/>
          </cell>
          <cell r="I580">
            <v>24535.001000000007</v>
          </cell>
        </row>
        <row r="581">
          <cell r="E581">
            <v>1020421</v>
          </cell>
          <cell r="F581">
            <v>1032.25</v>
          </cell>
          <cell r="G581" t="str">
            <v/>
          </cell>
          <cell r="H581" t="str">
            <v/>
          </cell>
          <cell r="I581">
            <v>1032.25</v>
          </cell>
        </row>
        <row r="582">
          <cell r="E582">
            <v>1012683</v>
          </cell>
          <cell r="F582">
            <v>105.15</v>
          </cell>
          <cell r="G582" t="str">
            <v/>
          </cell>
          <cell r="H582" t="str">
            <v/>
          </cell>
          <cell r="I582">
            <v>105.15</v>
          </cell>
        </row>
        <row r="583">
          <cell r="E583">
            <v>1012685</v>
          </cell>
          <cell r="F583">
            <v>251.9</v>
          </cell>
          <cell r="G583" t="str">
            <v/>
          </cell>
          <cell r="H583" t="str">
            <v/>
          </cell>
          <cell r="I583">
            <v>251.9</v>
          </cell>
        </row>
        <row r="584">
          <cell r="E584">
            <v>1023297</v>
          </cell>
          <cell r="F584">
            <v>11190</v>
          </cell>
          <cell r="G584" t="str">
            <v/>
          </cell>
          <cell r="H584" t="str">
            <v/>
          </cell>
          <cell r="I584">
            <v>11190</v>
          </cell>
        </row>
        <row r="585">
          <cell r="E585">
            <v>1020014</v>
          </cell>
          <cell r="F585">
            <v>20.427</v>
          </cell>
          <cell r="G585" t="str">
            <v/>
          </cell>
          <cell r="H585" t="str">
            <v/>
          </cell>
          <cell r="I585">
            <v>20.427</v>
          </cell>
        </row>
        <row r="586">
          <cell r="E586">
            <v>1020021</v>
          </cell>
          <cell r="F586">
            <v>19.837</v>
          </cell>
          <cell r="G586" t="str">
            <v/>
          </cell>
          <cell r="H586" t="str">
            <v/>
          </cell>
          <cell r="I586">
            <v>19.837</v>
          </cell>
        </row>
        <row r="587">
          <cell r="E587">
            <v>1020042</v>
          </cell>
          <cell r="F587">
            <v>864.89899999999989</v>
          </cell>
          <cell r="G587" t="str">
            <v/>
          </cell>
          <cell r="H587" t="str">
            <v/>
          </cell>
          <cell r="I587">
            <v>864.89899999999989</v>
          </cell>
        </row>
        <row r="588">
          <cell r="E588">
            <v>1020090</v>
          </cell>
          <cell r="F588">
            <v>660.36099999999999</v>
          </cell>
          <cell r="G588" t="str">
            <v/>
          </cell>
          <cell r="H588" t="str">
            <v/>
          </cell>
          <cell r="I588">
            <v>660.36099999999999</v>
          </cell>
        </row>
        <row r="589">
          <cell r="E589">
            <v>1020103</v>
          </cell>
          <cell r="F589">
            <v>541.375</v>
          </cell>
          <cell r="G589" t="str">
            <v/>
          </cell>
          <cell r="H589" t="str">
            <v/>
          </cell>
          <cell r="I589">
            <v>541.375</v>
          </cell>
        </row>
        <row r="590">
          <cell r="E590">
            <v>1020236</v>
          </cell>
          <cell r="F590">
            <v>13314.600000000002</v>
          </cell>
          <cell r="G590" t="str">
            <v/>
          </cell>
          <cell r="H590" t="str">
            <v/>
          </cell>
          <cell r="I590">
            <v>13314.600000000002</v>
          </cell>
        </row>
        <row r="591">
          <cell r="E591">
            <v>1020265</v>
          </cell>
          <cell r="F591">
            <v>756.88299999999992</v>
          </cell>
          <cell r="G591" t="str">
            <v/>
          </cell>
          <cell r="H591" t="str">
            <v/>
          </cell>
          <cell r="I591">
            <v>756.88299999999992</v>
          </cell>
        </row>
        <row r="592">
          <cell r="E592">
            <v>1020316</v>
          </cell>
          <cell r="F592">
            <v>962.84899999999993</v>
          </cell>
          <cell r="G592" t="str">
            <v/>
          </cell>
          <cell r="H592" t="str">
            <v/>
          </cell>
          <cell r="I592">
            <v>962.84899999999993</v>
          </cell>
        </row>
        <row r="593">
          <cell r="E593">
            <v>1020350</v>
          </cell>
          <cell r="F593">
            <v>154.10499999999999</v>
          </cell>
          <cell r="G593" t="str">
            <v/>
          </cell>
          <cell r="H593" t="str">
            <v/>
          </cell>
          <cell r="I593">
            <v>154.10499999999999</v>
          </cell>
        </row>
        <row r="594">
          <cell r="E594">
            <v>1020409</v>
          </cell>
          <cell r="F594">
            <v>1241.52</v>
          </cell>
          <cell r="G594" t="str">
            <v/>
          </cell>
          <cell r="H594" t="str">
            <v/>
          </cell>
          <cell r="I594">
            <v>1241.52</v>
          </cell>
        </row>
        <row r="595">
          <cell r="E595">
            <v>1020426</v>
          </cell>
          <cell r="F595">
            <v>261.42599999999999</v>
          </cell>
          <cell r="G595" t="str">
            <v/>
          </cell>
          <cell r="H595" t="str">
            <v/>
          </cell>
          <cell r="I595">
            <v>261.42599999999999</v>
          </cell>
        </row>
        <row r="596">
          <cell r="E596">
            <v>1020611</v>
          </cell>
          <cell r="F596">
            <v>3153</v>
          </cell>
          <cell r="G596" t="str">
            <v/>
          </cell>
          <cell r="H596" t="str">
            <v/>
          </cell>
          <cell r="I596">
            <v>3153</v>
          </cell>
        </row>
        <row r="597">
          <cell r="E597">
            <v>1020631</v>
          </cell>
          <cell r="F597">
            <v>1951</v>
          </cell>
          <cell r="G597" t="str">
            <v/>
          </cell>
          <cell r="H597" t="str">
            <v/>
          </cell>
          <cell r="I597">
            <v>1951</v>
          </cell>
        </row>
        <row r="598">
          <cell r="E598">
            <v>1021267</v>
          </cell>
          <cell r="F598">
            <v>15371.811</v>
          </cell>
          <cell r="G598" t="str">
            <v/>
          </cell>
          <cell r="H598" t="str">
            <v/>
          </cell>
          <cell r="I598">
            <v>15371.811</v>
          </cell>
        </row>
        <row r="599">
          <cell r="E599">
            <v>1022227</v>
          </cell>
          <cell r="F599">
            <v>6182.5650000000005</v>
          </cell>
          <cell r="G599" t="str">
            <v/>
          </cell>
          <cell r="H599" t="str">
            <v/>
          </cell>
          <cell r="I599">
            <v>6182.5650000000005</v>
          </cell>
        </row>
        <row r="600">
          <cell r="E600">
            <v>1022232</v>
          </cell>
          <cell r="F600">
            <v>1474.1999999999998</v>
          </cell>
          <cell r="G600" t="str">
            <v/>
          </cell>
          <cell r="H600" t="str">
            <v/>
          </cell>
          <cell r="I600">
            <v>1474.1999999999998</v>
          </cell>
        </row>
        <row r="601">
          <cell r="E601">
            <v>1022301</v>
          </cell>
          <cell r="F601">
            <v>843.92200000000014</v>
          </cell>
          <cell r="G601" t="str">
            <v/>
          </cell>
          <cell r="H601" t="str">
            <v/>
          </cell>
          <cell r="I601">
            <v>843.92200000000014</v>
          </cell>
        </row>
        <row r="602">
          <cell r="E602">
            <v>1022345</v>
          </cell>
          <cell r="F602">
            <v>1056</v>
          </cell>
          <cell r="G602" t="str">
            <v/>
          </cell>
          <cell r="H602" t="str">
            <v/>
          </cell>
          <cell r="I602">
            <v>1056</v>
          </cell>
        </row>
        <row r="603">
          <cell r="E603">
            <v>1023071</v>
          </cell>
          <cell r="F603">
            <v>237.608</v>
          </cell>
          <cell r="G603" t="str">
            <v/>
          </cell>
          <cell r="H603" t="str">
            <v/>
          </cell>
          <cell r="I603">
            <v>237.608</v>
          </cell>
        </row>
        <row r="604">
          <cell r="E604">
            <v>1023264</v>
          </cell>
          <cell r="F604">
            <v>13689</v>
          </cell>
          <cell r="G604" t="str">
            <v>Agro Europa</v>
          </cell>
          <cell r="H604" t="str">
            <v/>
          </cell>
          <cell r="I604">
            <v>13689</v>
          </cell>
        </row>
        <row r="605">
          <cell r="E605">
            <v>1020245</v>
          </cell>
          <cell r="F605">
            <v>2346.5790000000002</v>
          </cell>
          <cell r="G605" t="str">
            <v/>
          </cell>
          <cell r="H605" t="str">
            <v/>
          </cell>
          <cell r="I605">
            <v>2346.5790000000002</v>
          </cell>
        </row>
        <row r="606">
          <cell r="E606">
            <v>1023145</v>
          </cell>
          <cell r="F606">
            <v>69.337000000000003</v>
          </cell>
          <cell r="G606" t="str">
            <v/>
          </cell>
          <cell r="H606" t="str">
            <v/>
          </cell>
          <cell r="I606">
            <v>69.337000000000003</v>
          </cell>
        </row>
        <row r="607">
          <cell r="E607">
            <v>1023092</v>
          </cell>
          <cell r="F607">
            <v>2570.3999999999996</v>
          </cell>
          <cell r="G607" t="str">
            <v/>
          </cell>
          <cell r="H607" t="str">
            <v/>
          </cell>
          <cell r="I607">
            <v>2570.3999999999996</v>
          </cell>
        </row>
        <row r="608">
          <cell r="E608">
            <v>1020433</v>
          </cell>
          <cell r="F608">
            <v>47.78</v>
          </cell>
          <cell r="G608" t="str">
            <v/>
          </cell>
          <cell r="H608" t="str">
            <v/>
          </cell>
          <cell r="I608">
            <v>47.78</v>
          </cell>
        </row>
        <row r="609">
          <cell r="E609">
            <v>1023298</v>
          </cell>
          <cell r="F609">
            <v>9720.4339999999975</v>
          </cell>
          <cell r="G609" t="str">
            <v/>
          </cell>
          <cell r="H609" t="str">
            <v/>
          </cell>
          <cell r="I609">
            <v>9720.4339999999975</v>
          </cell>
        </row>
        <row r="610">
          <cell r="E610">
            <v>1100238</v>
          </cell>
          <cell r="F610">
            <v>255</v>
          </cell>
          <cell r="G610" t="str">
            <v/>
          </cell>
          <cell r="H610" t="str">
            <v/>
          </cell>
          <cell r="I610">
            <v>255</v>
          </cell>
        </row>
        <row r="611">
          <cell r="E611">
            <v>1023285</v>
          </cell>
          <cell r="F611">
            <v>8178.4660000000013</v>
          </cell>
          <cell r="G611" t="str">
            <v/>
          </cell>
          <cell r="H611" t="str">
            <v/>
          </cell>
          <cell r="I611">
            <v>8178.4660000000013</v>
          </cell>
        </row>
        <row r="612">
          <cell r="E612">
            <v>1100702</v>
          </cell>
          <cell r="F612">
            <v>8056.800000000002</v>
          </cell>
          <cell r="G612" t="str">
            <v/>
          </cell>
          <cell r="H612" t="str">
            <v/>
          </cell>
          <cell r="I612">
            <v>8056.800000000002</v>
          </cell>
        </row>
        <row r="613">
          <cell r="E613">
            <v>1020298</v>
          </cell>
          <cell r="F613">
            <v>1134.7570000000001</v>
          </cell>
          <cell r="G613" t="str">
            <v/>
          </cell>
          <cell r="H613" t="str">
            <v/>
          </cell>
          <cell r="I613">
            <v>1134.7570000000001</v>
          </cell>
        </row>
        <row r="614">
          <cell r="E614">
            <v>1020439</v>
          </cell>
          <cell r="F614">
            <v>630.26800000000003</v>
          </cell>
          <cell r="G614" t="str">
            <v/>
          </cell>
          <cell r="H614" t="str">
            <v/>
          </cell>
          <cell r="I614">
            <v>630.26800000000003</v>
          </cell>
        </row>
        <row r="615">
          <cell r="E615">
            <v>1021204</v>
          </cell>
          <cell r="F615">
            <v>49961.05</v>
          </cell>
          <cell r="G615" t="str">
            <v>Agrosuper Asia</v>
          </cell>
          <cell r="H615" t="str">
            <v/>
          </cell>
          <cell r="I615">
            <v>49961.05</v>
          </cell>
        </row>
        <row r="616">
          <cell r="E616">
            <v>1100677</v>
          </cell>
          <cell r="F616">
            <v>185</v>
          </cell>
          <cell r="G616" t="str">
            <v/>
          </cell>
          <cell r="H616" t="str">
            <v/>
          </cell>
          <cell r="I616">
            <v>185</v>
          </cell>
        </row>
        <row r="617">
          <cell r="E617">
            <v>1023169</v>
          </cell>
          <cell r="F617">
            <v>70</v>
          </cell>
          <cell r="G617" t="str">
            <v/>
          </cell>
          <cell r="H617" t="str">
            <v/>
          </cell>
          <cell r="I617">
            <v>70</v>
          </cell>
        </row>
        <row r="618">
          <cell r="E618">
            <v>1021874</v>
          </cell>
          <cell r="F618">
            <v>88172.209999999992</v>
          </cell>
          <cell r="G618" t="str">
            <v>Agro Mexico</v>
          </cell>
          <cell r="H618" t="str">
            <v/>
          </cell>
          <cell r="I618">
            <v>88172.209999999992</v>
          </cell>
        </row>
        <row r="619">
          <cell r="E619">
            <v>1100700</v>
          </cell>
          <cell r="F619">
            <v>2287.6</v>
          </cell>
          <cell r="G619" t="str">
            <v/>
          </cell>
          <cell r="H619" t="str">
            <v/>
          </cell>
          <cell r="I619">
            <v>2287.6</v>
          </cell>
        </row>
        <row r="620">
          <cell r="E620">
            <v>1100701</v>
          </cell>
          <cell r="F620">
            <v>97.2</v>
          </cell>
          <cell r="G620" t="str">
            <v/>
          </cell>
          <cell r="H620" t="str">
            <v/>
          </cell>
          <cell r="I620">
            <v>97.2</v>
          </cell>
        </row>
        <row r="621">
          <cell r="E621">
            <v>1012724</v>
          </cell>
          <cell r="F621">
            <v>17355.077999999998</v>
          </cell>
          <cell r="G621" t="str">
            <v>Agro Europa</v>
          </cell>
          <cell r="H621" t="str">
            <v/>
          </cell>
          <cell r="I621">
            <v>17355.077999999998</v>
          </cell>
        </row>
        <row r="622">
          <cell r="E622">
            <v>1020340</v>
          </cell>
          <cell r="F622">
            <v>943.673</v>
          </cell>
          <cell r="G622" t="str">
            <v/>
          </cell>
          <cell r="H622" t="str">
            <v/>
          </cell>
          <cell r="I622">
            <v>943.673</v>
          </cell>
        </row>
        <row r="623">
          <cell r="E623">
            <v>1030773</v>
          </cell>
          <cell r="F623">
            <v>6734</v>
          </cell>
          <cell r="G623" t="str">
            <v>Agro America</v>
          </cell>
          <cell r="H623" t="str">
            <v/>
          </cell>
          <cell r="I623">
            <v>6734</v>
          </cell>
        </row>
        <row r="624">
          <cell r="E624">
            <v>1023302</v>
          </cell>
          <cell r="F624">
            <v>33900</v>
          </cell>
          <cell r="G624" t="str">
            <v>Agro Mexico</v>
          </cell>
          <cell r="H624" t="str">
            <v/>
          </cell>
          <cell r="I624">
            <v>33900</v>
          </cell>
        </row>
        <row r="625">
          <cell r="E625">
            <v>1023299</v>
          </cell>
          <cell r="F625">
            <v>17967.52</v>
          </cell>
          <cell r="G625" t="str">
            <v/>
          </cell>
          <cell r="H625" t="str">
            <v/>
          </cell>
          <cell r="I625">
            <v>17967.52</v>
          </cell>
        </row>
        <row r="626">
          <cell r="E626">
            <v>1023301</v>
          </cell>
          <cell r="F626">
            <v>32737.43199999999</v>
          </cell>
          <cell r="G626" t="str">
            <v>Exportacion Directa</v>
          </cell>
          <cell r="H626" t="str">
            <v/>
          </cell>
          <cell r="I626">
            <v>32737.43199999999</v>
          </cell>
        </row>
        <row r="627">
          <cell r="E627">
            <v>1023304</v>
          </cell>
          <cell r="F627">
            <v>3908.5160000000005</v>
          </cell>
          <cell r="G627" t="str">
            <v/>
          </cell>
          <cell r="H627" t="str">
            <v/>
          </cell>
          <cell r="I627">
            <v>3908.5160000000005</v>
          </cell>
        </row>
        <row r="628">
          <cell r="E628">
            <v>1012400</v>
          </cell>
          <cell r="F628">
            <v>10365.6</v>
          </cell>
          <cell r="G628" t="str">
            <v>Agro America</v>
          </cell>
          <cell r="H628" t="str">
            <v/>
          </cell>
          <cell r="I628">
            <v>10365.6</v>
          </cell>
        </row>
        <row r="629">
          <cell r="E629">
            <v>1012730</v>
          </cell>
          <cell r="F629">
            <v>33720.898000000008</v>
          </cell>
          <cell r="G629" t="str">
            <v>Agro Europa</v>
          </cell>
          <cell r="H629" t="str">
            <v/>
          </cell>
          <cell r="I629">
            <v>33720.898000000008</v>
          </cell>
        </row>
        <row r="630">
          <cell r="E630">
            <v>1012399</v>
          </cell>
          <cell r="F630">
            <v>12280.800000000001</v>
          </cell>
          <cell r="G630" t="str">
            <v>Agro America</v>
          </cell>
          <cell r="H630" t="str">
            <v/>
          </cell>
          <cell r="I630">
            <v>12280.800000000001</v>
          </cell>
        </row>
        <row r="631">
          <cell r="E631">
            <v>1030428</v>
          </cell>
          <cell r="F631">
            <v>198.08200000000002</v>
          </cell>
          <cell r="G631" t="str">
            <v/>
          </cell>
          <cell r="H631" t="str">
            <v/>
          </cell>
          <cell r="I631">
            <v>198.08200000000002</v>
          </cell>
        </row>
        <row r="632">
          <cell r="E632">
            <v>1022389</v>
          </cell>
          <cell r="F632">
            <v>1580</v>
          </cell>
          <cell r="G632" t="str">
            <v>Agrosuper Shanghai</v>
          </cell>
          <cell r="H632">
            <v>0.2</v>
          </cell>
          <cell r="I632">
            <v>316</v>
          </cell>
        </row>
        <row r="633">
          <cell r="E633">
            <v>1012059</v>
          </cell>
          <cell r="F633">
            <v>547.41999999999996</v>
          </cell>
          <cell r="G633" t="str">
            <v/>
          </cell>
          <cell r="H633" t="str">
            <v/>
          </cell>
          <cell r="I633">
            <v>547.41999999999996</v>
          </cell>
        </row>
        <row r="634">
          <cell r="E634">
            <v>1030052</v>
          </cell>
          <cell r="F634">
            <v>806.96500000000003</v>
          </cell>
          <cell r="G634" t="str">
            <v/>
          </cell>
          <cell r="H634" t="str">
            <v/>
          </cell>
          <cell r="I634">
            <v>806.96500000000003</v>
          </cell>
        </row>
        <row r="635">
          <cell r="E635">
            <v>1012571</v>
          </cell>
          <cell r="F635">
            <v>15754.5</v>
          </cell>
          <cell r="G635" t="str">
            <v/>
          </cell>
          <cell r="H635" t="str">
            <v/>
          </cell>
          <cell r="I635">
            <v>15754.5</v>
          </cell>
        </row>
        <row r="636">
          <cell r="E636">
            <v>1011150</v>
          </cell>
          <cell r="F636">
            <v>4761</v>
          </cell>
          <cell r="G636" t="str">
            <v>Agro Mexico</v>
          </cell>
          <cell r="H636" t="str">
            <v/>
          </cell>
          <cell r="I636">
            <v>4761</v>
          </cell>
        </row>
        <row r="637">
          <cell r="E637">
            <v>1012278</v>
          </cell>
          <cell r="F637">
            <v>774</v>
          </cell>
          <cell r="G637" t="str">
            <v>Agro Mexico</v>
          </cell>
          <cell r="H637" t="str">
            <v/>
          </cell>
          <cell r="I637">
            <v>774</v>
          </cell>
        </row>
        <row r="638">
          <cell r="E638">
            <v>1020136</v>
          </cell>
          <cell r="F638">
            <v>18.77</v>
          </cell>
          <cell r="G638" t="str">
            <v/>
          </cell>
          <cell r="H638" t="str">
            <v/>
          </cell>
          <cell r="I638">
            <v>18.77</v>
          </cell>
        </row>
        <row r="639">
          <cell r="E639">
            <v>1020177</v>
          </cell>
          <cell r="F639">
            <v>1810.818</v>
          </cell>
          <cell r="G639" t="str">
            <v/>
          </cell>
          <cell r="H639" t="str">
            <v/>
          </cell>
          <cell r="I639">
            <v>1810.818</v>
          </cell>
        </row>
        <row r="640">
          <cell r="E640">
            <v>1020446</v>
          </cell>
          <cell r="F640">
            <v>1177.0129999999999</v>
          </cell>
          <cell r="G640" t="str">
            <v/>
          </cell>
          <cell r="H640" t="str">
            <v/>
          </cell>
          <cell r="I640">
            <v>1177.0129999999999</v>
          </cell>
        </row>
        <row r="641">
          <cell r="E641">
            <v>1023286</v>
          </cell>
          <cell r="F641">
            <v>1462.26</v>
          </cell>
          <cell r="G641" t="str">
            <v/>
          </cell>
          <cell r="H641" t="str">
            <v/>
          </cell>
          <cell r="I641">
            <v>1462.26</v>
          </cell>
        </row>
        <row r="642">
          <cell r="E642">
            <v>1023283</v>
          </cell>
          <cell r="F642">
            <v>35764.856000000007</v>
          </cell>
          <cell r="G642" t="str">
            <v>Agrosuper Asia</v>
          </cell>
          <cell r="H642" t="str">
            <v/>
          </cell>
          <cell r="I642">
            <v>35764.856000000007</v>
          </cell>
        </row>
        <row r="643">
          <cell r="E643">
            <v>1020158</v>
          </cell>
          <cell r="F643">
            <v>47.16</v>
          </cell>
          <cell r="G643" t="str">
            <v/>
          </cell>
          <cell r="H643" t="str">
            <v/>
          </cell>
          <cell r="I643">
            <v>47.16</v>
          </cell>
        </row>
        <row r="644">
          <cell r="E644">
            <v>1022857</v>
          </cell>
          <cell r="F644">
            <v>728</v>
          </cell>
          <cell r="G644" t="str">
            <v/>
          </cell>
          <cell r="H644" t="str">
            <v/>
          </cell>
          <cell r="I644">
            <v>728</v>
          </cell>
        </row>
        <row r="645">
          <cell r="E645">
            <v>1021140</v>
          </cell>
          <cell r="F645">
            <v>2557.1529999999998</v>
          </cell>
          <cell r="G645" t="str">
            <v>Agro America</v>
          </cell>
          <cell r="H645" t="str">
            <v/>
          </cell>
          <cell r="I645">
            <v>2557.1529999999998</v>
          </cell>
        </row>
        <row r="646">
          <cell r="E646">
            <v>1021980</v>
          </cell>
          <cell r="F646">
            <v>6952.536000000001</v>
          </cell>
          <cell r="G646" t="str">
            <v>Agro Mexico</v>
          </cell>
          <cell r="H646" t="str">
            <v/>
          </cell>
          <cell r="I646">
            <v>6952.536000000001</v>
          </cell>
        </row>
        <row r="647">
          <cell r="E647">
            <v>1020664</v>
          </cell>
          <cell r="F647">
            <v>1040.576</v>
          </cell>
          <cell r="G647" t="str">
            <v>Exportacion Directa</v>
          </cell>
          <cell r="H647" t="str">
            <v/>
          </cell>
          <cell r="I647">
            <v>1040.576</v>
          </cell>
        </row>
        <row r="648">
          <cell r="E648">
            <v>1023019</v>
          </cell>
          <cell r="F648">
            <v>2250.2650000000003</v>
          </cell>
          <cell r="G648" t="str">
            <v>Agrosuper Shanghai</v>
          </cell>
          <cell r="H648">
            <v>0.2</v>
          </cell>
          <cell r="I648">
            <v>450.05300000000011</v>
          </cell>
        </row>
        <row r="649">
          <cell r="E649">
            <v>1011582</v>
          </cell>
          <cell r="F649">
            <v>1545.6689999999999</v>
          </cell>
          <cell r="G649" t="str">
            <v>Agro Sudamerica</v>
          </cell>
          <cell r="H649" t="str">
            <v/>
          </cell>
          <cell r="I649">
            <v>1545.6689999999999</v>
          </cell>
        </row>
        <row r="650">
          <cell r="E650">
            <v>1012745</v>
          </cell>
          <cell r="F650">
            <v>9658.7150000000001</v>
          </cell>
          <cell r="G650" t="str">
            <v>Agro Europa</v>
          </cell>
          <cell r="H650" t="str">
            <v/>
          </cell>
          <cell r="I650">
            <v>9658.7150000000001</v>
          </cell>
        </row>
        <row r="651">
          <cell r="E651">
            <v>1023275</v>
          </cell>
          <cell r="F651">
            <v>560</v>
          </cell>
          <cell r="G651" t="str">
            <v/>
          </cell>
          <cell r="H651" t="str">
            <v/>
          </cell>
          <cell r="I651">
            <v>560</v>
          </cell>
        </row>
        <row r="652">
          <cell r="E652">
            <v>1030327</v>
          </cell>
          <cell r="F652">
            <v>13527.422</v>
          </cell>
          <cell r="G652" t="str">
            <v>Agro Mexico</v>
          </cell>
          <cell r="H652" t="str">
            <v/>
          </cell>
          <cell r="I652">
            <v>13527.422</v>
          </cell>
        </row>
        <row r="653">
          <cell r="E653">
            <v>1022084</v>
          </cell>
          <cell r="F653">
            <v>12</v>
          </cell>
          <cell r="G653" t="str">
            <v/>
          </cell>
          <cell r="H653" t="str">
            <v/>
          </cell>
          <cell r="I653">
            <v>12</v>
          </cell>
        </row>
        <row r="654">
          <cell r="E654">
            <v>1021596</v>
          </cell>
          <cell r="F654">
            <v>64600.477999999988</v>
          </cell>
          <cell r="G654" t="str">
            <v>Agro Mexico</v>
          </cell>
          <cell r="H654" t="str">
            <v/>
          </cell>
          <cell r="I654">
            <v>64600.477999999988</v>
          </cell>
        </row>
        <row r="655">
          <cell r="E655">
            <v>1020261</v>
          </cell>
          <cell r="F655">
            <v>367.60300000000001</v>
          </cell>
          <cell r="G655" t="str">
            <v/>
          </cell>
          <cell r="H655" t="str">
            <v/>
          </cell>
          <cell r="I655">
            <v>367.60300000000001</v>
          </cell>
        </row>
        <row r="656">
          <cell r="E656">
            <v>1021077</v>
          </cell>
          <cell r="F656">
            <v>76502.83</v>
          </cell>
          <cell r="G656" t="str">
            <v>Agro Sudamerica</v>
          </cell>
          <cell r="H656" t="str">
            <v/>
          </cell>
          <cell r="I656">
            <v>76502.83</v>
          </cell>
        </row>
        <row r="657">
          <cell r="E657">
            <v>1030198</v>
          </cell>
          <cell r="F657">
            <v>1844.52</v>
          </cell>
          <cell r="G657" t="str">
            <v/>
          </cell>
          <cell r="H657" t="str">
            <v/>
          </cell>
          <cell r="I657">
            <v>1844.52</v>
          </cell>
        </row>
        <row r="658">
          <cell r="E658">
            <v>1023290</v>
          </cell>
          <cell r="F658">
            <v>5100</v>
          </cell>
          <cell r="G658" t="str">
            <v>Agrosuper Shanghai</v>
          </cell>
          <cell r="H658">
            <v>0.2</v>
          </cell>
          <cell r="I658">
            <v>1020</v>
          </cell>
        </row>
        <row r="659">
          <cell r="E659">
            <v>1022813</v>
          </cell>
          <cell r="F659">
            <v>20.847999999999999</v>
          </cell>
          <cell r="G659" t="str">
            <v>Agrosuper Shanghai</v>
          </cell>
          <cell r="H659">
            <v>0.2</v>
          </cell>
          <cell r="I659">
            <v>4.1696</v>
          </cell>
        </row>
        <row r="660">
          <cell r="E660">
            <v>1023307</v>
          </cell>
          <cell r="F660">
            <v>7160.3789999999999</v>
          </cell>
          <cell r="G660" t="str">
            <v>Agrosuper Asia</v>
          </cell>
          <cell r="H660" t="str">
            <v/>
          </cell>
          <cell r="I660">
            <v>7160.3789999999999</v>
          </cell>
        </row>
        <row r="661">
          <cell r="E661">
            <v>1021868</v>
          </cell>
          <cell r="F661">
            <v>121044.33800000002</v>
          </cell>
          <cell r="G661" t="str">
            <v>Agro Sudamerica</v>
          </cell>
          <cell r="H661" t="str">
            <v/>
          </cell>
          <cell r="I661">
            <v>121044.33800000002</v>
          </cell>
        </row>
        <row r="662">
          <cell r="E662">
            <v>1023306</v>
          </cell>
          <cell r="F662">
            <v>55480</v>
          </cell>
          <cell r="G662" t="str">
            <v>Agrosuper Shanghai</v>
          </cell>
          <cell r="H662">
            <v>0.27338238640673596</v>
          </cell>
          <cell r="I662">
            <v>15167.254797845711</v>
          </cell>
        </row>
        <row r="663">
          <cell r="E663">
            <v>1021495</v>
          </cell>
          <cell r="F663">
            <v>1733.38</v>
          </cell>
          <cell r="G663" t="str">
            <v/>
          </cell>
          <cell r="H663" t="str">
            <v/>
          </cell>
          <cell r="I663">
            <v>1733.38</v>
          </cell>
        </row>
        <row r="664">
          <cell r="E664">
            <v>1030542</v>
          </cell>
          <cell r="F664">
            <v>1050</v>
          </cell>
          <cell r="G664" t="str">
            <v>Agrosuper Asia</v>
          </cell>
          <cell r="H664" t="str">
            <v/>
          </cell>
          <cell r="I664">
            <v>1050</v>
          </cell>
        </row>
        <row r="665">
          <cell r="E665">
            <v>1022760</v>
          </cell>
          <cell r="F665">
            <v>1050.556</v>
          </cell>
          <cell r="G665" t="str">
            <v>Agro America</v>
          </cell>
          <cell r="H665" t="str">
            <v/>
          </cell>
          <cell r="I665">
            <v>1050.556</v>
          </cell>
        </row>
        <row r="666">
          <cell r="E666">
            <v>1030018</v>
          </cell>
          <cell r="F666">
            <v>24.195</v>
          </cell>
          <cell r="G666" t="str">
            <v/>
          </cell>
          <cell r="H666" t="str">
            <v/>
          </cell>
          <cell r="I666">
            <v>24.195</v>
          </cell>
        </row>
        <row r="667">
          <cell r="E667">
            <v>1023338</v>
          </cell>
          <cell r="F667">
            <v>7725.7689999999984</v>
          </cell>
          <cell r="G667" t="str">
            <v/>
          </cell>
          <cell r="H667" t="str">
            <v/>
          </cell>
          <cell r="I667">
            <v>7725.7689999999984</v>
          </cell>
        </row>
        <row r="668">
          <cell r="E668">
            <v>1023329</v>
          </cell>
          <cell r="F668">
            <v>25178.467000000004</v>
          </cell>
          <cell r="G668" t="str">
            <v>Agrosuper Brasil</v>
          </cell>
          <cell r="H668" t="str">
            <v/>
          </cell>
          <cell r="I668">
            <v>25178.467000000004</v>
          </cell>
        </row>
        <row r="669">
          <cell r="E669">
            <v>1023312</v>
          </cell>
          <cell r="F669">
            <v>11367.695</v>
          </cell>
          <cell r="G669" t="str">
            <v>Agro Sudamerica</v>
          </cell>
          <cell r="H669" t="str">
            <v/>
          </cell>
          <cell r="I669">
            <v>11367.695</v>
          </cell>
        </row>
        <row r="670">
          <cell r="E670">
            <v>1023319</v>
          </cell>
          <cell r="F670">
            <v>31980</v>
          </cell>
          <cell r="G670" t="str">
            <v>Agro Mexico</v>
          </cell>
          <cell r="H670" t="str">
            <v/>
          </cell>
          <cell r="I670">
            <v>31980</v>
          </cell>
        </row>
        <row r="671">
          <cell r="E671">
            <v>1023331</v>
          </cell>
          <cell r="F671">
            <v>6060.3810000000012</v>
          </cell>
          <cell r="G671" t="str">
            <v>Agro Sudamerica</v>
          </cell>
          <cell r="H671" t="str">
            <v/>
          </cell>
          <cell r="I671">
            <v>6060.3810000000012</v>
          </cell>
        </row>
        <row r="672">
          <cell r="E672">
            <v>1022709</v>
          </cell>
          <cell r="F672">
            <v>151479.97300000003</v>
          </cell>
          <cell r="G672" t="str">
            <v>Agro Sudamerica</v>
          </cell>
          <cell r="H672" t="str">
            <v/>
          </cell>
          <cell r="I672">
            <v>151479.97300000003</v>
          </cell>
        </row>
        <row r="673">
          <cell r="E673">
            <v>1023336</v>
          </cell>
          <cell r="F673">
            <v>43980.885000000002</v>
          </cell>
          <cell r="G673" t="str">
            <v>Agrosuper Brasil</v>
          </cell>
          <cell r="H673" t="str">
            <v/>
          </cell>
          <cell r="I673">
            <v>43980.885000000002</v>
          </cell>
        </row>
        <row r="674">
          <cell r="E674">
            <v>1022907</v>
          </cell>
          <cell r="F674">
            <v>3004.0299999999993</v>
          </cell>
          <cell r="G674" t="str">
            <v>Agro Mexico</v>
          </cell>
          <cell r="H674" t="str">
            <v/>
          </cell>
          <cell r="I674">
            <v>3004.0299999999993</v>
          </cell>
        </row>
        <row r="675">
          <cell r="E675">
            <v>1012757</v>
          </cell>
          <cell r="F675">
            <v>384</v>
          </cell>
          <cell r="G675" t="str">
            <v/>
          </cell>
          <cell r="H675" t="str">
            <v/>
          </cell>
          <cell r="I675">
            <v>384</v>
          </cell>
        </row>
        <row r="676">
          <cell r="E676">
            <v>1012424</v>
          </cell>
          <cell r="F676">
            <v>2120</v>
          </cell>
          <cell r="G676" t="str">
            <v>Agrosuper Shanghai</v>
          </cell>
          <cell r="H676">
            <v>0.2</v>
          </cell>
          <cell r="I676">
            <v>424</v>
          </cell>
        </row>
        <row r="677">
          <cell r="E677">
            <v>1010887</v>
          </cell>
          <cell r="F677">
            <v>127.008</v>
          </cell>
          <cell r="G677" t="str">
            <v>Agro America</v>
          </cell>
          <cell r="H677" t="str">
            <v/>
          </cell>
          <cell r="I677">
            <v>127.008</v>
          </cell>
        </row>
        <row r="678">
          <cell r="E678">
            <v>1010888</v>
          </cell>
          <cell r="F678">
            <v>852.76800000000003</v>
          </cell>
          <cell r="G678" t="str">
            <v>Agro America</v>
          </cell>
          <cell r="H678" t="str">
            <v/>
          </cell>
          <cell r="I678">
            <v>852.76800000000003</v>
          </cell>
        </row>
        <row r="679">
          <cell r="E679">
            <v>1022406</v>
          </cell>
          <cell r="F679">
            <v>7865.3429999999971</v>
          </cell>
          <cell r="G679" t="str">
            <v>Agro Sudamerica</v>
          </cell>
          <cell r="H679" t="str">
            <v/>
          </cell>
          <cell r="I679">
            <v>7865.3429999999971</v>
          </cell>
        </row>
        <row r="680">
          <cell r="E680">
            <v>1023318</v>
          </cell>
          <cell r="F680">
            <v>7274.74</v>
          </cell>
          <cell r="G680" t="str">
            <v>Agro Mexico</v>
          </cell>
          <cell r="H680" t="str">
            <v/>
          </cell>
          <cell r="I680">
            <v>7274.74</v>
          </cell>
        </row>
        <row r="681">
          <cell r="E681">
            <v>1023334</v>
          </cell>
          <cell r="F681">
            <v>34630.538999999997</v>
          </cell>
          <cell r="G681" t="str">
            <v>Agrosuper Brasil</v>
          </cell>
          <cell r="H681" t="str">
            <v/>
          </cell>
          <cell r="I681">
            <v>34630.538999999997</v>
          </cell>
        </row>
        <row r="682">
          <cell r="E682">
            <v>1023326</v>
          </cell>
          <cell r="F682">
            <v>30107.131000000016</v>
          </cell>
          <cell r="G682" t="str">
            <v>Agrosuper Asia</v>
          </cell>
          <cell r="H682" t="str">
            <v/>
          </cell>
          <cell r="I682">
            <v>30107.131000000016</v>
          </cell>
        </row>
        <row r="683">
          <cell r="E683">
            <v>1022569</v>
          </cell>
          <cell r="F683">
            <v>5110</v>
          </cell>
          <cell r="G683" t="str">
            <v>Agro Sudamerica</v>
          </cell>
          <cell r="H683" t="str">
            <v/>
          </cell>
          <cell r="I683">
            <v>5110</v>
          </cell>
        </row>
        <row r="684">
          <cell r="E684">
            <v>1023324</v>
          </cell>
          <cell r="F684">
            <v>35977.310999999994</v>
          </cell>
          <cell r="G684" t="str">
            <v>Agro Mexico</v>
          </cell>
          <cell r="H684" t="str">
            <v/>
          </cell>
          <cell r="I684">
            <v>35977.310999999994</v>
          </cell>
        </row>
        <row r="685">
          <cell r="E685">
            <v>1030710</v>
          </cell>
          <cell r="F685">
            <v>7875</v>
          </cell>
          <cell r="G685" t="str">
            <v>Agro Europa</v>
          </cell>
          <cell r="H685" t="str">
            <v/>
          </cell>
          <cell r="I685">
            <v>7875</v>
          </cell>
        </row>
        <row r="686">
          <cell r="E686">
            <v>1030711</v>
          </cell>
          <cell r="F686">
            <v>6825</v>
          </cell>
          <cell r="G686" t="str">
            <v>Agro Europa</v>
          </cell>
          <cell r="H686" t="str">
            <v/>
          </cell>
          <cell r="I686">
            <v>6825</v>
          </cell>
        </row>
        <row r="687">
          <cell r="E687">
            <v>1030360</v>
          </cell>
          <cell r="F687">
            <v>2552.3280000000004</v>
          </cell>
          <cell r="G687" t="str">
            <v>Agro America</v>
          </cell>
          <cell r="H687" t="str">
            <v/>
          </cell>
          <cell r="I687">
            <v>2552.3280000000004</v>
          </cell>
        </row>
        <row r="688">
          <cell r="E688">
            <v>1030376</v>
          </cell>
          <cell r="F688">
            <v>8175.4620000000004</v>
          </cell>
          <cell r="G688" t="str">
            <v>Agro America</v>
          </cell>
          <cell r="H688" t="str">
            <v/>
          </cell>
          <cell r="I688">
            <v>8175.4620000000004</v>
          </cell>
        </row>
        <row r="689">
          <cell r="E689">
            <v>1030784</v>
          </cell>
          <cell r="F689">
            <v>7836.9740000000002</v>
          </cell>
          <cell r="G689" t="str">
            <v>Agro America</v>
          </cell>
          <cell r="H689" t="str">
            <v/>
          </cell>
          <cell r="I689">
            <v>7836.9740000000002</v>
          </cell>
        </row>
        <row r="690">
          <cell r="E690">
            <v>1030506</v>
          </cell>
          <cell r="F690">
            <v>1380</v>
          </cell>
          <cell r="G690" t="str">
            <v>Agrosuper Shanghai</v>
          </cell>
          <cell r="H690">
            <v>0.2</v>
          </cell>
          <cell r="I690">
            <v>276</v>
          </cell>
        </row>
        <row r="691">
          <cell r="E691">
            <v>1030785</v>
          </cell>
          <cell r="F691">
            <v>1809.3309999999999</v>
          </cell>
          <cell r="G691" t="str">
            <v>Agro America</v>
          </cell>
          <cell r="H691" t="str">
            <v/>
          </cell>
          <cell r="I691">
            <v>1809.3309999999999</v>
          </cell>
        </row>
        <row r="692">
          <cell r="E692">
            <v>1030783</v>
          </cell>
          <cell r="F692">
            <v>1247.288</v>
          </cell>
          <cell r="G692" t="str">
            <v>Agro America</v>
          </cell>
          <cell r="H692" t="str">
            <v/>
          </cell>
          <cell r="I692">
            <v>1247.288</v>
          </cell>
        </row>
        <row r="693">
          <cell r="E693">
            <v>1030321</v>
          </cell>
          <cell r="F693">
            <v>7063.777</v>
          </cell>
          <cell r="G693" t="str">
            <v>Agro America</v>
          </cell>
          <cell r="H693" t="str">
            <v/>
          </cell>
          <cell r="I693">
            <v>7063.777</v>
          </cell>
        </row>
        <row r="694">
          <cell r="E694">
            <v>1030461</v>
          </cell>
          <cell r="F694">
            <v>2311.7730000000006</v>
          </cell>
          <cell r="G694" t="str">
            <v>Agro America</v>
          </cell>
          <cell r="H694" t="str">
            <v/>
          </cell>
          <cell r="I694">
            <v>2311.7730000000006</v>
          </cell>
        </row>
        <row r="695">
          <cell r="E695">
            <v>1030452</v>
          </cell>
          <cell r="F695">
            <v>54330.208000000021</v>
          </cell>
          <cell r="G695" t="str">
            <v>Agro America</v>
          </cell>
          <cell r="H695" t="str">
            <v/>
          </cell>
          <cell r="I695">
            <v>54330.208000000021</v>
          </cell>
        </row>
        <row r="696">
          <cell r="E696">
            <v>1030782</v>
          </cell>
          <cell r="F696">
            <v>21104.08700000001</v>
          </cell>
          <cell r="G696" t="str">
            <v>Agro America</v>
          </cell>
          <cell r="H696" t="str">
            <v/>
          </cell>
          <cell r="I696">
            <v>21104.08700000001</v>
          </cell>
        </row>
        <row r="697">
          <cell r="E697">
            <v>1023295</v>
          </cell>
          <cell r="F697">
            <v>50.7</v>
          </cell>
          <cell r="G697" t="str">
            <v>Agro Sudamerica</v>
          </cell>
          <cell r="H697" t="str">
            <v/>
          </cell>
          <cell r="I697">
            <v>50.7</v>
          </cell>
        </row>
        <row r="698">
          <cell r="E698">
            <v>1012358</v>
          </cell>
          <cell r="F698">
            <v>9905.7000000000007</v>
          </cell>
          <cell r="G698" t="str">
            <v/>
          </cell>
          <cell r="H698" t="str">
            <v/>
          </cell>
          <cell r="I698">
            <v>9905.7000000000007</v>
          </cell>
        </row>
        <row r="699">
          <cell r="E699">
            <v>1030117</v>
          </cell>
          <cell r="F699">
            <v>848.48</v>
          </cell>
          <cell r="G699" t="str">
            <v/>
          </cell>
          <cell r="H699" t="str">
            <v/>
          </cell>
          <cell r="I699">
            <v>848.48</v>
          </cell>
        </row>
        <row r="700">
          <cell r="E700">
            <v>1012451</v>
          </cell>
          <cell r="F700">
            <v>21585</v>
          </cell>
          <cell r="G700" t="str">
            <v>Agrosuper Shanghai</v>
          </cell>
          <cell r="H700">
            <v>0</v>
          </cell>
          <cell r="I700">
            <v>0</v>
          </cell>
        </row>
        <row r="701">
          <cell r="E701">
            <v>1012763</v>
          </cell>
          <cell r="F701">
            <v>12761.287</v>
          </cell>
          <cell r="G701" t="str">
            <v>Agro Sudamerica</v>
          </cell>
          <cell r="H701" t="str">
            <v/>
          </cell>
          <cell r="I701">
            <v>12761.287</v>
          </cell>
        </row>
        <row r="702">
          <cell r="E702">
            <v>1012764</v>
          </cell>
          <cell r="F702">
            <v>62544.360999999997</v>
          </cell>
          <cell r="G702" t="str">
            <v>Agro Mexico</v>
          </cell>
          <cell r="H702" t="str">
            <v/>
          </cell>
          <cell r="I702">
            <v>62544.360999999997</v>
          </cell>
        </row>
        <row r="703">
          <cell r="E703">
            <v>1022182</v>
          </cell>
          <cell r="F703">
            <v>370</v>
          </cell>
          <cell r="G703" t="str">
            <v>Agrosuper Asia</v>
          </cell>
          <cell r="H703" t="str">
            <v/>
          </cell>
          <cell r="I703">
            <v>370</v>
          </cell>
        </row>
        <row r="704">
          <cell r="E704">
            <v>1012193</v>
          </cell>
          <cell r="F704">
            <v>1383.98</v>
          </cell>
          <cell r="G704" t="str">
            <v/>
          </cell>
          <cell r="H704" t="str">
            <v/>
          </cell>
          <cell r="I704">
            <v>1383.98</v>
          </cell>
        </row>
        <row r="705">
          <cell r="E705">
            <v>1012774</v>
          </cell>
          <cell r="F705">
            <v>9828.3889999999992</v>
          </cell>
          <cell r="G705" t="str">
            <v/>
          </cell>
          <cell r="H705" t="str">
            <v/>
          </cell>
          <cell r="I705">
            <v>9828.3889999999992</v>
          </cell>
        </row>
        <row r="706">
          <cell r="E706">
            <v>1012300</v>
          </cell>
          <cell r="F706">
            <v>108.84</v>
          </cell>
          <cell r="G706" t="str">
            <v>Agro America</v>
          </cell>
          <cell r="H706" t="str">
            <v/>
          </cell>
          <cell r="I706">
            <v>108.84</v>
          </cell>
        </row>
        <row r="707">
          <cell r="E707">
            <v>1100733</v>
          </cell>
          <cell r="F707">
            <v>199.8</v>
          </cell>
          <cell r="G707" t="str">
            <v/>
          </cell>
          <cell r="H707" t="str">
            <v/>
          </cell>
          <cell r="I707">
            <v>199.8</v>
          </cell>
        </row>
        <row r="708">
          <cell r="E708">
            <v>1011897</v>
          </cell>
          <cell r="F708">
            <v>3139.8940000000002</v>
          </cell>
          <cell r="G708" t="str">
            <v/>
          </cell>
          <cell r="H708" t="str">
            <v/>
          </cell>
          <cell r="I708">
            <v>3139.8940000000002</v>
          </cell>
        </row>
        <row r="709">
          <cell r="E709">
            <v>1012401</v>
          </cell>
          <cell r="F709">
            <v>8769.5999999999985</v>
          </cell>
          <cell r="G709" t="str">
            <v>Agro America</v>
          </cell>
          <cell r="H709" t="str">
            <v/>
          </cell>
          <cell r="I709">
            <v>8769.5999999999985</v>
          </cell>
        </row>
        <row r="710">
          <cell r="E710">
            <v>1020346</v>
          </cell>
          <cell r="F710">
            <v>1277.26</v>
          </cell>
          <cell r="G710" t="str">
            <v/>
          </cell>
          <cell r="H710" t="str">
            <v/>
          </cell>
          <cell r="I710">
            <v>1277.26</v>
          </cell>
        </row>
        <row r="711">
          <cell r="E711">
            <v>1020441</v>
          </cell>
          <cell r="F711">
            <v>19.192</v>
          </cell>
          <cell r="G711" t="str">
            <v/>
          </cell>
          <cell r="H711" t="str">
            <v/>
          </cell>
          <cell r="I711">
            <v>19.192</v>
          </cell>
        </row>
        <row r="712">
          <cell r="E712">
            <v>1023263</v>
          </cell>
          <cell r="F712">
            <v>835.20000000000016</v>
          </cell>
          <cell r="G712" t="str">
            <v/>
          </cell>
          <cell r="H712" t="str">
            <v/>
          </cell>
          <cell r="I712">
            <v>835.20000000000016</v>
          </cell>
        </row>
        <row r="713">
          <cell r="E713">
            <v>1023309</v>
          </cell>
          <cell r="F713">
            <v>792</v>
          </cell>
          <cell r="G713" t="str">
            <v/>
          </cell>
          <cell r="H713" t="str">
            <v/>
          </cell>
          <cell r="I713">
            <v>792</v>
          </cell>
        </row>
        <row r="714">
          <cell r="E714">
            <v>1023310</v>
          </cell>
          <cell r="F714">
            <v>810</v>
          </cell>
          <cell r="G714" t="str">
            <v/>
          </cell>
          <cell r="H714" t="str">
            <v/>
          </cell>
          <cell r="I714">
            <v>810</v>
          </cell>
        </row>
        <row r="715">
          <cell r="E715">
            <v>1023343</v>
          </cell>
          <cell r="F715">
            <v>69351.971000000005</v>
          </cell>
          <cell r="G715" t="str">
            <v>Agro Mexico</v>
          </cell>
          <cell r="H715" t="str">
            <v/>
          </cell>
          <cell r="I715">
            <v>69351.971000000005</v>
          </cell>
        </row>
        <row r="716">
          <cell r="E716">
            <v>1023291</v>
          </cell>
          <cell r="F716">
            <v>36590.86</v>
          </cell>
          <cell r="G716" t="str">
            <v>Agrosuper Shanghai</v>
          </cell>
          <cell r="H716">
            <v>0.2</v>
          </cell>
          <cell r="I716">
            <v>7318.1720000000005</v>
          </cell>
        </row>
        <row r="717">
          <cell r="E717">
            <v>1023350</v>
          </cell>
          <cell r="F717">
            <v>19054.394999999997</v>
          </cell>
          <cell r="G717" t="str">
            <v>Exportacion Directa</v>
          </cell>
          <cell r="H717" t="str">
            <v/>
          </cell>
          <cell r="I717">
            <v>19054.394999999997</v>
          </cell>
        </row>
        <row r="718">
          <cell r="E718">
            <v>1023349</v>
          </cell>
          <cell r="F718">
            <v>6264.6100000000006</v>
          </cell>
          <cell r="G718" t="str">
            <v>Exportacion Directa</v>
          </cell>
          <cell r="H718" t="str">
            <v/>
          </cell>
          <cell r="I718">
            <v>6264.6100000000006</v>
          </cell>
        </row>
        <row r="719">
          <cell r="E719">
            <v>1030791</v>
          </cell>
          <cell r="F719">
            <v>2880</v>
          </cell>
          <cell r="G719" t="str">
            <v>Agrosuper Shanghai</v>
          </cell>
          <cell r="H719">
            <v>0.2</v>
          </cell>
          <cell r="I719">
            <v>576</v>
          </cell>
        </row>
        <row r="720">
          <cell r="E720">
            <v>1030792</v>
          </cell>
          <cell r="F720">
            <v>3390</v>
          </cell>
          <cell r="G720" t="str">
            <v>Agro Mexico</v>
          </cell>
          <cell r="H720" t="str">
            <v/>
          </cell>
          <cell r="I720">
            <v>3390</v>
          </cell>
        </row>
        <row r="721">
          <cell r="E721">
            <v>1030786</v>
          </cell>
          <cell r="F721">
            <v>1980.4</v>
          </cell>
          <cell r="G721" t="str">
            <v/>
          </cell>
          <cell r="H721" t="str">
            <v/>
          </cell>
          <cell r="I721">
            <v>1980.4</v>
          </cell>
        </row>
        <row r="722">
          <cell r="E722">
            <v>1030726</v>
          </cell>
          <cell r="F722">
            <v>3</v>
          </cell>
          <cell r="G722" t="str">
            <v/>
          </cell>
          <cell r="H722" t="str">
            <v/>
          </cell>
          <cell r="I722">
            <v>3</v>
          </cell>
        </row>
        <row r="723">
          <cell r="E723">
            <v>1023314</v>
          </cell>
          <cell r="F723">
            <v>1305.3599999999999</v>
          </cell>
          <cell r="G723" t="str">
            <v/>
          </cell>
          <cell r="H723" t="str">
            <v/>
          </cell>
          <cell r="I723">
            <v>1305.3599999999999</v>
          </cell>
        </row>
        <row r="724">
          <cell r="E724">
            <v>1023339</v>
          </cell>
          <cell r="F724">
            <v>4530</v>
          </cell>
          <cell r="G724" t="str">
            <v/>
          </cell>
          <cell r="H724" t="str">
            <v/>
          </cell>
          <cell r="I724">
            <v>4530</v>
          </cell>
        </row>
        <row r="725">
          <cell r="E725">
            <v>1023353</v>
          </cell>
          <cell r="F725">
            <v>46862.431999999993</v>
          </cell>
          <cell r="G725" t="str">
            <v>Agro Europa</v>
          </cell>
          <cell r="H725" t="str">
            <v/>
          </cell>
          <cell r="I725">
            <v>46862.431999999993</v>
          </cell>
        </row>
        <row r="726">
          <cell r="E726">
            <v>1023351</v>
          </cell>
          <cell r="F726">
            <v>2433.4389999999999</v>
          </cell>
          <cell r="G726" t="str">
            <v>Exportacion Directa</v>
          </cell>
          <cell r="H726" t="str">
            <v/>
          </cell>
          <cell r="I726">
            <v>2433.4389999999999</v>
          </cell>
        </row>
        <row r="727">
          <cell r="E727">
            <v>1023355</v>
          </cell>
          <cell r="F727">
            <v>9335.1060000000034</v>
          </cell>
          <cell r="G727" t="str">
            <v>Agro Sudamerica</v>
          </cell>
          <cell r="H727" t="str">
            <v/>
          </cell>
          <cell r="I727">
            <v>9335.1060000000034</v>
          </cell>
        </row>
        <row r="728">
          <cell r="E728">
            <v>1023352</v>
          </cell>
          <cell r="F728">
            <v>35045.349999999984</v>
          </cell>
          <cell r="G728" t="str">
            <v>Exportacion Directa</v>
          </cell>
          <cell r="H728" t="str">
            <v/>
          </cell>
          <cell r="I728">
            <v>35045.349999999984</v>
          </cell>
        </row>
        <row r="729">
          <cell r="E729">
            <v>1023383</v>
          </cell>
          <cell r="F729">
            <v>27477.058999999997</v>
          </cell>
          <cell r="G729" t="str">
            <v>Agro Mexico</v>
          </cell>
          <cell r="H729" t="str">
            <v/>
          </cell>
          <cell r="I729">
            <v>27477.058999999997</v>
          </cell>
        </row>
        <row r="730">
          <cell r="E730">
            <v>1023276</v>
          </cell>
          <cell r="F730">
            <v>1144.549</v>
          </cell>
          <cell r="G730" t="str">
            <v>Agro America</v>
          </cell>
          <cell r="H730" t="str">
            <v/>
          </cell>
          <cell r="I730">
            <v>1144.549</v>
          </cell>
        </row>
        <row r="731">
          <cell r="E731">
            <v>1012778</v>
          </cell>
          <cell r="F731">
            <v>32712.170000000009</v>
          </cell>
          <cell r="G731" t="str">
            <v>Agro Sudamerica</v>
          </cell>
          <cell r="H731" t="str">
            <v/>
          </cell>
          <cell r="I731">
            <v>32712.170000000009</v>
          </cell>
        </row>
        <row r="732">
          <cell r="E732">
            <v>1012629</v>
          </cell>
          <cell r="F732">
            <v>50</v>
          </cell>
          <cell r="G732" t="str">
            <v/>
          </cell>
          <cell r="H732" t="str">
            <v/>
          </cell>
          <cell r="I732">
            <v>50</v>
          </cell>
        </row>
        <row r="733">
          <cell r="E733">
            <v>1012725</v>
          </cell>
          <cell r="F733">
            <v>20176.128000000004</v>
          </cell>
          <cell r="G733" t="str">
            <v>Agro Mexico</v>
          </cell>
          <cell r="H733" t="str">
            <v/>
          </cell>
          <cell r="I733">
            <v>20176.128000000004</v>
          </cell>
        </row>
        <row r="734">
          <cell r="E734">
            <v>1012761</v>
          </cell>
          <cell r="F734">
            <v>24364</v>
          </cell>
          <cell r="G734" t="str">
            <v/>
          </cell>
          <cell r="H734" t="str">
            <v/>
          </cell>
          <cell r="I734">
            <v>24364</v>
          </cell>
        </row>
        <row r="735">
          <cell r="E735">
            <v>1023308</v>
          </cell>
          <cell r="F735">
            <v>540.96399999999994</v>
          </cell>
          <cell r="G735" t="str">
            <v/>
          </cell>
          <cell r="H735" t="str">
            <v/>
          </cell>
          <cell r="I735">
            <v>540.96399999999994</v>
          </cell>
        </row>
        <row r="736">
          <cell r="E736">
            <v>1021944</v>
          </cell>
          <cell r="F736">
            <v>12336</v>
          </cell>
          <cell r="G736" t="str">
            <v>Andes Asia</v>
          </cell>
          <cell r="H736" t="str">
            <v/>
          </cell>
          <cell r="I736">
            <v>12336</v>
          </cell>
        </row>
        <row r="737">
          <cell r="E737">
            <v>1021635</v>
          </cell>
          <cell r="F737">
            <v>87.5</v>
          </cell>
          <cell r="G737" t="str">
            <v/>
          </cell>
          <cell r="H737" t="str">
            <v/>
          </cell>
          <cell r="I737">
            <v>87.5</v>
          </cell>
        </row>
        <row r="738">
          <cell r="E738">
            <v>1030788</v>
          </cell>
          <cell r="F738">
            <v>2355</v>
          </cell>
          <cell r="G738" t="str">
            <v>Africa</v>
          </cell>
          <cell r="H738" t="str">
            <v/>
          </cell>
          <cell r="I738">
            <v>2355</v>
          </cell>
        </row>
        <row r="739">
          <cell r="E739">
            <v>1030801</v>
          </cell>
          <cell r="F739">
            <v>601.90299999999991</v>
          </cell>
          <cell r="G739" t="str">
            <v/>
          </cell>
          <cell r="H739" t="str">
            <v/>
          </cell>
          <cell r="I739">
            <v>601.90299999999991</v>
          </cell>
        </row>
        <row r="740">
          <cell r="E740">
            <v>1023375</v>
          </cell>
          <cell r="F740">
            <v>4242.1030000000001</v>
          </cell>
          <cell r="G740" t="str">
            <v>Agro Mexico</v>
          </cell>
          <cell r="H740" t="str">
            <v/>
          </cell>
          <cell r="I740">
            <v>4242.1030000000001</v>
          </cell>
        </row>
        <row r="741">
          <cell r="E741">
            <v>1012373</v>
          </cell>
          <cell r="F741">
            <v>3736</v>
          </cell>
          <cell r="G741" t="str">
            <v/>
          </cell>
          <cell r="H741" t="str">
            <v/>
          </cell>
          <cell r="I741">
            <v>3736</v>
          </cell>
        </row>
        <row r="742">
          <cell r="E742">
            <v>1022858</v>
          </cell>
          <cell r="F742">
            <v>41950.536999999989</v>
          </cell>
          <cell r="G742" t="str">
            <v>Agro Europa</v>
          </cell>
          <cell r="H742" t="str">
            <v/>
          </cell>
          <cell r="I742">
            <v>41950.536999999989</v>
          </cell>
        </row>
        <row r="743">
          <cell r="E743">
            <v>1020118</v>
          </cell>
          <cell r="F743">
            <v>806.4</v>
          </cell>
          <cell r="G743" t="str">
            <v/>
          </cell>
          <cell r="H743" t="str">
            <v/>
          </cell>
          <cell r="I743">
            <v>806.4</v>
          </cell>
        </row>
        <row r="744">
          <cell r="E744">
            <v>1022657</v>
          </cell>
          <cell r="F744">
            <v>8750.2999999999993</v>
          </cell>
          <cell r="G744" t="str">
            <v>Agro Mexico</v>
          </cell>
          <cell r="H744" t="str">
            <v/>
          </cell>
          <cell r="I744">
            <v>8750.2999999999993</v>
          </cell>
        </row>
        <row r="745">
          <cell r="E745">
            <v>1023362</v>
          </cell>
          <cell r="F745">
            <v>8116.5509999999995</v>
          </cell>
          <cell r="G745" t="str">
            <v>Agrosuper Shanghai</v>
          </cell>
          <cell r="H745">
            <v>1</v>
          </cell>
          <cell r="I745">
            <v>8116.5509999999995</v>
          </cell>
        </row>
        <row r="746">
          <cell r="E746">
            <v>1023363</v>
          </cell>
          <cell r="F746">
            <v>8420.9369999999999</v>
          </cell>
          <cell r="G746" t="str">
            <v>Agrosuper Shanghai</v>
          </cell>
          <cell r="H746">
            <v>1</v>
          </cell>
          <cell r="I746">
            <v>8420.9369999999999</v>
          </cell>
        </row>
        <row r="747">
          <cell r="E747">
            <v>1023364</v>
          </cell>
          <cell r="F747">
            <v>305.07600000000002</v>
          </cell>
          <cell r="G747" t="str">
            <v>Agrosuper Shanghai</v>
          </cell>
          <cell r="H747">
            <v>0.2</v>
          </cell>
          <cell r="I747">
            <v>61.015200000000007</v>
          </cell>
        </row>
        <row r="748">
          <cell r="E748">
            <v>1023365</v>
          </cell>
          <cell r="F748">
            <v>293.93299999999999</v>
          </cell>
          <cell r="G748" t="str">
            <v>Agrosuper Shanghai</v>
          </cell>
          <cell r="H748">
            <v>0.2</v>
          </cell>
          <cell r="I748">
            <v>58.7866</v>
          </cell>
        </row>
        <row r="749">
          <cell r="E749">
            <v>1023366</v>
          </cell>
          <cell r="F749">
            <v>319.7</v>
          </cell>
          <cell r="G749" t="str">
            <v>Agrosuper Shanghai</v>
          </cell>
          <cell r="H749">
            <v>0.2</v>
          </cell>
          <cell r="I749">
            <v>63.94</v>
          </cell>
        </row>
        <row r="750">
          <cell r="E750">
            <v>1023367</v>
          </cell>
          <cell r="F750">
            <v>2830.723</v>
          </cell>
          <cell r="G750" t="str">
            <v>Agrosuper Shanghai</v>
          </cell>
          <cell r="H750">
            <v>0.2</v>
          </cell>
          <cell r="I750">
            <v>566.14459999999997</v>
          </cell>
        </row>
        <row r="751">
          <cell r="E751">
            <v>1023368</v>
          </cell>
          <cell r="F751">
            <v>7181.1750000000011</v>
          </cell>
          <cell r="G751" t="str">
            <v>Agrosuper Shanghai</v>
          </cell>
          <cell r="H751">
            <v>1</v>
          </cell>
          <cell r="I751">
            <v>7181.1750000000011</v>
          </cell>
        </row>
        <row r="752">
          <cell r="E752">
            <v>1030446</v>
          </cell>
          <cell r="F752">
            <v>2302.6000000000004</v>
          </cell>
          <cell r="G752" t="str">
            <v/>
          </cell>
          <cell r="H752" t="str">
            <v/>
          </cell>
          <cell r="I752">
            <v>2302.6000000000004</v>
          </cell>
        </row>
        <row r="753">
          <cell r="E753">
            <v>1010243</v>
          </cell>
          <cell r="F753">
            <v>767.5</v>
          </cell>
          <cell r="G753" t="str">
            <v/>
          </cell>
          <cell r="H753" t="str">
            <v/>
          </cell>
          <cell r="I753">
            <v>767.5</v>
          </cell>
        </row>
        <row r="754">
          <cell r="E754">
            <v>1022047</v>
          </cell>
          <cell r="F754">
            <v>14521.869999999997</v>
          </cell>
          <cell r="G754" t="str">
            <v>Agro Sudamerica</v>
          </cell>
          <cell r="H754" t="str">
            <v/>
          </cell>
          <cell r="I754">
            <v>14521.869999999997</v>
          </cell>
        </row>
        <row r="755">
          <cell r="E755">
            <v>1021945</v>
          </cell>
          <cell r="F755">
            <v>1030.8499999999999</v>
          </cell>
          <cell r="G755" t="str">
            <v>Andes Asia</v>
          </cell>
          <cell r="H755" t="str">
            <v/>
          </cell>
          <cell r="I755">
            <v>1030.8499999999999</v>
          </cell>
        </row>
        <row r="756">
          <cell r="E756">
            <v>1023175</v>
          </cell>
          <cell r="F756">
            <v>16.48</v>
          </cell>
          <cell r="G756" t="str">
            <v>Agro America</v>
          </cell>
          <cell r="H756" t="str">
            <v/>
          </cell>
          <cell r="I756">
            <v>16.48</v>
          </cell>
        </row>
        <row r="757">
          <cell r="E757">
            <v>1011364</v>
          </cell>
          <cell r="F757">
            <v>893.75</v>
          </cell>
          <cell r="G757" t="str">
            <v/>
          </cell>
          <cell r="H757" t="str">
            <v/>
          </cell>
          <cell r="I757">
            <v>893.75</v>
          </cell>
        </row>
        <row r="758">
          <cell r="E758">
            <v>1012115</v>
          </cell>
          <cell r="F758">
            <v>13979.952000000007</v>
          </cell>
          <cell r="G758" t="str">
            <v>Agro America</v>
          </cell>
          <cell r="H758" t="str">
            <v/>
          </cell>
          <cell r="I758">
            <v>13979.952000000007</v>
          </cell>
        </row>
        <row r="759">
          <cell r="E759">
            <v>1023397</v>
          </cell>
          <cell r="F759">
            <v>39779.025999999998</v>
          </cell>
          <cell r="G759" t="str">
            <v>Agrosuper Asia</v>
          </cell>
          <cell r="H759" t="str">
            <v/>
          </cell>
          <cell r="I759">
            <v>39779.025999999998</v>
          </cell>
        </row>
        <row r="760">
          <cell r="E760">
            <v>1023391</v>
          </cell>
          <cell r="F760">
            <v>6868.72</v>
          </cell>
          <cell r="G760" t="str">
            <v>Agro Europa</v>
          </cell>
          <cell r="H760" t="str">
            <v/>
          </cell>
          <cell r="I760">
            <v>6868.72</v>
          </cell>
        </row>
        <row r="761">
          <cell r="E761">
            <v>1012752</v>
          </cell>
          <cell r="F761">
            <v>2485.1799999999998</v>
          </cell>
          <cell r="G761" t="str">
            <v/>
          </cell>
          <cell r="H761" t="str">
            <v/>
          </cell>
          <cell r="I761">
            <v>2485.1799999999998</v>
          </cell>
        </row>
        <row r="762">
          <cell r="E762">
            <v>1012756</v>
          </cell>
          <cell r="F762">
            <v>2594.02</v>
          </cell>
          <cell r="G762" t="str">
            <v/>
          </cell>
          <cell r="H762" t="str">
            <v/>
          </cell>
          <cell r="I762">
            <v>2594.02</v>
          </cell>
        </row>
        <row r="763">
          <cell r="E763">
            <v>1012788</v>
          </cell>
          <cell r="F763">
            <v>6831.6000000000013</v>
          </cell>
          <cell r="G763" t="str">
            <v>Agro Mexico</v>
          </cell>
          <cell r="H763" t="str">
            <v/>
          </cell>
          <cell r="I763">
            <v>6831.6000000000013</v>
          </cell>
        </row>
        <row r="764">
          <cell r="E764">
            <v>1030799</v>
          </cell>
          <cell r="F764">
            <v>11.355</v>
          </cell>
          <cell r="G764" t="str">
            <v/>
          </cell>
          <cell r="H764" t="str">
            <v/>
          </cell>
          <cell r="I764">
            <v>11.355</v>
          </cell>
        </row>
        <row r="765">
          <cell r="E765">
            <v>1030525</v>
          </cell>
          <cell r="F765">
            <v>33795</v>
          </cell>
          <cell r="G765" t="str">
            <v>Agrosuper Shanghai</v>
          </cell>
          <cell r="H765">
            <v>0.2</v>
          </cell>
          <cell r="I765">
            <v>6759</v>
          </cell>
        </row>
        <row r="766">
          <cell r="E766">
            <v>1012782</v>
          </cell>
          <cell r="F766">
            <v>2627.569</v>
          </cell>
          <cell r="G766" t="str">
            <v>Agro Sudamerica</v>
          </cell>
          <cell r="H766" t="str">
            <v/>
          </cell>
          <cell r="I766">
            <v>2627.569</v>
          </cell>
        </row>
        <row r="767">
          <cell r="E767">
            <v>1012773</v>
          </cell>
          <cell r="F767">
            <v>23699.65</v>
          </cell>
          <cell r="G767" t="str">
            <v>Agro Europa</v>
          </cell>
          <cell r="H767" t="str">
            <v/>
          </cell>
          <cell r="I767">
            <v>23699.65</v>
          </cell>
        </row>
        <row r="768">
          <cell r="E768">
            <v>1022100</v>
          </cell>
          <cell r="F768">
            <v>10</v>
          </cell>
          <cell r="G768" t="str">
            <v/>
          </cell>
          <cell r="H768" t="str">
            <v/>
          </cell>
          <cell r="I768">
            <v>10</v>
          </cell>
        </row>
        <row r="769">
          <cell r="E769">
            <v>1023217</v>
          </cell>
          <cell r="F769">
            <v>10</v>
          </cell>
          <cell r="G769" t="str">
            <v/>
          </cell>
          <cell r="H769" t="str">
            <v/>
          </cell>
          <cell r="I769">
            <v>10</v>
          </cell>
        </row>
        <row r="770">
          <cell r="E770">
            <v>1023233</v>
          </cell>
          <cell r="F770">
            <v>30</v>
          </cell>
          <cell r="G770" t="str">
            <v/>
          </cell>
          <cell r="H770" t="str">
            <v/>
          </cell>
          <cell r="I770">
            <v>30</v>
          </cell>
        </row>
        <row r="771">
          <cell r="E771">
            <v>1100732</v>
          </cell>
          <cell r="F771">
            <v>4188</v>
          </cell>
          <cell r="G771" t="str">
            <v/>
          </cell>
          <cell r="H771" t="str">
            <v/>
          </cell>
          <cell r="I771">
            <v>4188</v>
          </cell>
        </row>
        <row r="772">
          <cell r="E772">
            <v>1030804</v>
          </cell>
          <cell r="F772">
            <v>3017.9</v>
          </cell>
          <cell r="G772" t="str">
            <v>Agro Europa</v>
          </cell>
          <cell r="H772" t="str">
            <v/>
          </cell>
          <cell r="I772">
            <v>3017.9</v>
          </cell>
        </row>
        <row r="773">
          <cell r="E773">
            <v>1030803</v>
          </cell>
          <cell r="F773">
            <v>1584</v>
          </cell>
          <cell r="G773" t="str">
            <v/>
          </cell>
          <cell r="H773" t="str">
            <v/>
          </cell>
          <cell r="I773">
            <v>1584</v>
          </cell>
        </row>
        <row r="774">
          <cell r="E774">
            <v>1030809</v>
          </cell>
          <cell r="F774">
            <v>45</v>
          </cell>
          <cell r="G774" t="str">
            <v>Agro Mexico</v>
          </cell>
          <cell r="H774" t="str">
            <v/>
          </cell>
          <cell r="I774">
            <v>45</v>
          </cell>
        </row>
        <row r="775">
          <cell r="E775">
            <v>1030810</v>
          </cell>
          <cell r="F775">
            <v>45</v>
          </cell>
          <cell r="G775" t="str">
            <v>Agro Mexico</v>
          </cell>
          <cell r="H775" t="str">
            <v/>
          </cell>
          <cell r="I775">
            <v>45</v>
          </cell>
        </row>
        <row r="776">
          <cell r="E776">
            <v>1030366</v>
          </cell>
          <cell r="F776">
            <v>197.39500000000001</v>
          </cell>
          <cell r="G776" t="str">
            <v>Agro America</v>
          </cell>
          <cell r="H776" t="str">
            <v/>
          </cell>
          <cell r="I776">
            <v>197.39500000000001</v>
          </cell>
        </row>
        <row r="777">
          <cell r="E777">
            <v>1023409</v>
          </cell>
          <cell r="F777">
            <v>10.23</v>
          </cell>
        </row>
        <row r="778">
          <cell r="E778">
            <v>1023218</v>
          </cell>
          <cell r="F778">
            <v>20.260000000000002</v>
          </cell>
        </row>
        <row r="779">
          <cell r="E779">
            <v>1023371</v>
          </cell>
          <cell r="F779">
            <v>18.13</v>
          </cell>
        </row>
        <row r="780">
          <cell r="E780">
            <v>1023370</v>
          </cell>
          <cell r="F780">
            <v>22.16</v>
          </cell>
        </row>
        <row r="781">
          <cell r="E781">
            <v>1022844</v>
          </cell>
          <cell r="F781">
            <v>20.91</v>
          </cell>
        </row>
      </sheetData>
      <sheetData sheetId="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PLAN MES N"/>
      <sheetName val="Resumen"/>
      <sheetName val="Motivos Ajustes"/>
    </sheetNames>
    <sheetDataSet>
      <sheetData sheetId="0"/>
      <sheetData sheetId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ltima fecha de Zarpe "/>
      <sheetName val="Datos Faena y Días"/>
      <sheetName val="Ponderación"/>
    </sheetNames>
    <sheetDataSet>
      <sheetData sheetId="0"/>
      <sheetData sheetId="1"/>
      <sheetData sheetId="2">
        <row r="14">
          <cell r="B14" t="str">
            <v>Oficina</v>
          </cell>
        </row>
        <row r="15">
          <cell r="B15" t="str">
            <v>Agrosuper Asia</v>
          </cell>
          <cell r="E15">
            <v>44786</v>
          </cell>
        </row>
        <row r="16">
          <cell r="B16" t="str">
            <v>Agrosuper Shanghai</v>
          </cell>
          <cell r="E16">
            <v>44786</v>
          </cell>
        </row>
        <row r="17">
          <cell r="B17" t="str">
            <v>Agro Sudamerica</v>
          </cell>
          <cell r="E17">
            <v>44789</v>
          </cell>
        </row>
        <row r="18">
          <cell r="B18" t="str">
            <v>Exportacion Directa</v>
          </cell>
          <cell r="E18">
            <v>44800</v>
          </cell>
        </row>
        <row r="19">
          <cell r="B19" t="str">
            <v>Agrosuper Brasil</v>
          </cell>
          <cell r="E19">
            <v>44798</v>
          </cell>
        </row>
        <row r="20">
          <cell r="B20" t="str">
            <v>Africa</v>
          </cell>
          <cell r="E20"/>
        </row>
        <row r="21">
          <cell r="B21" t="str">
            <v>Agro Mexico</v>
          </cell>
          <cell r="E21">
            <v>44793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om.sap.ip.bi.xl.hiddensheet"/>
      <sheetName val="Hoja2"/>
      <sheetName val="Shangai (Tomas)"/>
      <sheetName val="Base RV Volumen"/>
      <sheetName val="RV de venta"/>
      <sheetName val="RV Producción"/>
      <sheetName val="Base RV precios"/>
      <sheetName val="RV plan de ventas"/>
      <sheetName val="Precios atrasos"/>
      <sheetName val="CHINA"/>
    </sheetNames>
    <sheetDataSet>
      <sheetData sheetId="0"/>
      <sheetData sheetId="1"/>
      <sheetData sheetId="2">
        <row r="4">
          <cell r="C4" t="str">
            <v>Material SAP</v>
          </cell>
          <cell r="D4" t="str">
            <v>Descripcion ENG</v>
          </cell>
          <cell r="E4" t="str">
            <v>FCL</v>
          </cell>
          <cell r="F4" t="str">
            <v>Kilos</v>
          </cell>
          <cell r="G4" t="str">
            <v>Precio USD CFR</v>
          </cell>
          <cell r="H4" t="str">
            <v>FOB</v>
          </cell>
        </row>
        <row r="5">
          <cell r="A5" t="str">
            <v>Agrosuper Shanghai1021733</v>
          </cell>
          <cell r="B5" t="str">
            <v>Agrosuper Shanghai</v>
          </cell>
          <cell r="C5">
            <v>1021733</v>
          </cell>
          <cell r="D5" t="str">
            <v>Frozen Pork leg boneless and skinless</v>
          </cell>
          <cell r="E5">
            <v>1</v>
          </cell>
          <cell r="F5">
            <v>24000</v>
          </cell>
          <cell r="G5">
            <v>2.9</v>
          </cell>
          <cell r="H5">
            <v>2.8</v>
          </cell>
        </row>
        <row r="6">
          <cell r="A6" t="str">
            <v>Agrosuper Shanghai1021992</v>
          </cell>
          <cell r="B6" t="str">
            <v>Agrosuper Shanghai</v>
          </cell>
          <cell r="C6">
            <v>1021992</v>
          </cell>
          <cell r="D6" t="str">
            <v>Frozen Pork back fat</v>
          </cell>
          <cell r="E6">
            <v>1</v>
          </cell>
          <cell r="F6">
            <v>24000</v>
          </cell>
          <cell r="G6">
            <v>1.83</v>
          </cell>
          <cell r="H6">
            <v>1.73</v>
          </cell>
        </row>
        <row r="7">
          <cell r="A7" t="str">
            <v>Agrosuper Shanghai1022073</v>
          </cell>
          <cell r="B7" t="str">
            <v>Agrosuper Shanghai</v>
          </cell>
          <cell r="C7">
            <v>1022073</v>
          </cell>
          <cell r="D7" t="str">
            <v>Frozen Pork Leaf Lard</v>
          </cell>
          <cell r="E7">
            <v>2</v>
          </cell>
          <cell r="F7">
            <v>48000</v>
          </cell>
          <cell r="G7">
            <v>1.45</v>
          </cell>
          <cell r="H7">
            <v>1.3499999999999999</v>
          </cell>
        </row>
        <row r="8">
          <cell r="A8" t="str">
            <v>Agrosuper Shanghai1022373</v>
          </cell>
          <cell r="B8" t="str">
            <v>Agrosuper Shanghai</v>
          </cell>
          <cell r="C8">
            <v>1022373</v>
          </cell>
          <cell r="D8" t="str">
            <v>Frozen Pork Trimming 60/40</v>
          </cell>
          <cell r="E8">
            <v>2</v>
          </cell>
          <cell r="F8">
            <v>48000</v>
          </cell>
          <cell r="G8">
            <v>1.6</v>
          </cell>
          <cell r="H8">
            <v>1.5</v>
          </cell>
        </row>
        <row r="9">
          <cell r="A9" t="str">
            <v>Agrosuper Shanghai1022379</v>
          </cell>
          <cell r="B9" t="str">
            <v>Agrosuper Shanghai</v>
          </cell>
          <cell r="C9">
            <v>1022379</v>
          </cell>
          <cell r="D9" t="str">
            <v>Frozen Pork Boneless shoulder</v>
          </cell>
          <cell r="E9">
            <v>3</v>
          </cell>
          <cell r="F9">
            <v>72000</v>
          </cell>
          <cell r="G9">
            <v>2.6</v>
          </cell>
          <cell r="H9">
            <v>2.5</v>
          </cell>
        </row>
        <row r="10">
          <cell r="A10" t="str">
            <v>Agrosuper Shanghai1022381</v>
          </cell>
          <cell r="B10" t="str">
            <v>Agrosuper Shanghai</v>
          </cell>
          <cell r="C10">
            <v>1022381</v>
          </cell>
          <cell r="D10" t="str">
            <v>Frozen Pork cutting fat (Gord Especial)</v>
          </cell>
          <cell r="E10">
            <v>4</v>
          </cell>
          <cell r="F10">
            <v>96000</v>
          </cell>
          <cell r="G10">
            <v>1.42</v>
          </cell>
          <cell r="H10">
            <v>1.3199999999999998</v>
          </cell>
        </row>
        <row r="11">
          <cell r="A11" t="str">
            <v>Agrosuper Shanghai1022417</v>
          </cell>
          <cell r="B11" t="str">
            <v>Agrosuper Shanghai</v>
          </cell>
          <cell r="C11">
            <v>1022417</v>
          </cell>
          <cell r="D11" t="str">
            <v>Frozen Pork mix skin RS</v>
          </cell>
          <cell r="E11">
            <v>5</v>
          </cell>
          <cell r="F11">
            <v>120000</v>
          </cell>
          <cell r="G11">
            <v>0.9</v>
          </cell>
          <cell r="H11">
            <v>0.8</v>
          </cell>
        </row>
        <row r="12">
          <cell r="A12" t="str">
            <v>Agrosuper Shanghai1022541</v>
          </cell>
          <cell r="B12" t="str">
            <v>Agrosuper Shanghai</v>
          </cell>
          <cell r="C12">
            <v>1022541</v>
          </cell>
          <cell r="D12" t="str">
            <v>Frozen Pork Trimming 20/80 (Cutting Fat)</v>
          </cell>
          <cell r="E12">
            <v>6</v>
          </cell>
          <cell r="F12">
            <v>144000</v>
          </cell>
          <cell r="G12">
            <v>1.42</v>
          </cell>
          <cell r="H12">
            <v>1.3199999999999998</v>
          </cell>
        </row>
        <row r="13">
          <cell r="A13" t="str">
            <v>Agrosuper Shanghai1022851</v>
          </cell>
          <cell r="B13" t="str">
            <v>Agrosuper Shanghai</v>
          </cell>
          <cell r="C13">
            <v>1022851</v>
          </cell>
          <cell r="D13" t="str">
            <v>Frozen Pork Whole shoulder</v>
          </cell>
          <cell r="E13">
            <v>4</v>
          </cell>
          <cell r="F13">
            <v>96000</v>
          </cell>
          <cell r="G13">
            <v>1.85</v>
          </cell>
          <cell r="H13">
            <v>1.75</v>
          </cell>
        </row>
        <row r="14">
          <cell r="A14" t="str">
            <v>Agrosuper Shanghai1022856</v>
          </cell>
          <cell r="B14" t="str">
            <v>Agrosuper Shanghai</v>
          </cell>
          <cell r="C14">
            <v>1022856</v>
          </cell>
          <cell r="D14" t="str">
            <v>Frozen Pork Cutting fat H (Pork Trimming)</v>
          </cell>
          <cell r="E14">
            <v>4</v>
          </cell>
          <cell r="F14">
            <v>96000</v>
          </cell>
          <cell r="G14">
            <v>1.36</v>
          </cell>
          <cell r="H14">
            <v>1.26</v>
          </cell>
        </row>
        <row r="15">
          <cell r="A15" t="str">
            <v>Agrosuper Shanghai1022945</v>
          </cell>
          <cell r="B15" t="str">
            <v>Agrosuper Shanghai</v>
          </cell>
          <cell r="C15">
            <v>1022945</v>
          </cell>
          <cell r="D15" t="str">
            <v>Frozen Pork Leaf Lard 20kg</v>
          </cell>
          <cell r="E15">
            <v>2</v>
          </cell>
          <cell r="F15">
            <v>48000</v>
          </cell>
          <cell r="G15">
            <v>1.41</v>
          </cell>
          <cell r="H15">
            <v>1.3099999999999998</v>
          </cell>
        </row>
        <row r="16">
          <cell r="A16" t="str">
            <v>Agrosuper Shanghai1023034</v>
          </cell>
          <cell r="B16" t="str">
            <v>Agrosuper Shanghai</v>
          </cell>
          <cell r="C16">
            <v>1023034</v>
          </cell>
          <cell r="D16" t="str">
            <v>Frozen Pork Shoulder skin</v>
          </cell>
          <cell r="E16">
            <v>2</v>
          </cell>
          <cell r="F16">
            <v>48000</v>
          </cell>
          <cell r="G16">
            <v>0.85</v>
          </cell>
          <cell r="H16">
            <v>0.75</v>
          </cell>
        </row>
        <row r="17">
          <cell r="A17" t="str">
            <v>Agrosuper Shanghai1023306</v>
          </cell>
          <cell r="B17" t="str">
            <v>Agrosuper Shanghai</v>
          </cell>
          <cell r="C17">
            <v>1023306</v>
          </cell>
          <cell r="D17" t="str">
            <v>Frozen Pork mix skin LM</v>
          </cell>
          <cell r="E17">
            <v>7</v>
          </cell>
          <cell r="F17">
            <v>168000</v>
          </cell>
          <cell r="G17">
            <v>1.1000000000000001</v>
          </cell>
          <cell r="H17">
            <v>1</v>
          </cell>
        </row>
        <row r="18">
          <cell r="C18" t="str">
            <v>Total general</v>
          </cell>
          <cell r="E18">
            <v>43</v>
          </cell>
          <cell r="F18">
            <v>1032000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NA"/>
      <sheetName val="Aux NA"/>
      <sheetName val="Base 2 NA"/>
      <sheetName val="IDA NA"/>
      <sheetName val="Hoja5"/>
      <sheetName val="RV n+2 y n+3"/>
      <sheetName val="Nippon"/>
      <sheetName val="Base INT"/>
      <sheetName val="Aux INT"/>
      <sheetName val="Base 2 INT"/>
      <sheetName val="IDA INT"/>
      <sheetName val="Top asignación"/>
      <sheetName val="Asignación por oficina"/>
      <sheetName val="PPT asignación"/>
      <sheetName val="Resumen precio"/>
      <sheetName val="Asignación centros"/>
      <sheetName val="Detalle asignación"/>
      <sheetName val="Hoja12"/>
      <sheetName val="Hoja9"/>
      <sheetName val="Hoja3"/>
      <sheetName val="Hoja1"/>
      <sheetName val="Hoja2"/>
    </sheetNames>
    <sheetDataSet>
      <sheetData sheetId="0"/>
      <sheetData sheetId="1"/>
      <sheetData sheetId="2"/>
      <sheetData sheetId="3"/>
      <sheetData sheetId="4"/>
      <sheetData sheetId="5">
        <row r="4">
          <cell r="C4" t="str">
            <v>Tipo de Venta</v>
          </cell>
          <cell r="D4" t="str">
            <v>(Varios elementos)</v>
          </cell>
        </row>
        <row r="5">
          <cell r="C5" t="str">
            <v>TIPO</v>
          </cell>
          <cell r="D5" t="str">
            <v>RV VENTA</v>
          </cell>
        </row>
        <row r="7">
          <cell r="C7" t="str">
            <v>Suma de KG</v>
          </cell>
          <cell r="D7"/>
          <cell r="E7" t="str">
            <v>Mes/Año natural</v>
          </cell>
          <cell r="F7"/>
        </row>
        <row r="8">
          <cell r="C8" t="str">
            <v>Oficina</v>
          </cell>
          <cell r="D8" t="str">
            <v>Material</v>
          </cell>
          <cell r="E8" t="str">
            <v>Septiembre</v>
          </cell>
          <cell r="F8" t="str">
            <v>Octubre</v>
          </cell>
        </row>
        <row r="9">
          <cell r="B9" t="str">
            <v>Agro Mexico1012764</v>
          </cell>
          <cell r="C9" t="str">
            <v>Agro Mexico</v>
          </cell>
          <cell r="D9">
            <v>1012764</v>
          </cell>
          <cell r="E9">
            <v>0</v>
          </cell>
          <cell r="F9">
            <v>378689.66</v>
          </cell>
        </row>
        <row r="10">
          <cell r="B10" t="str">
            <v>Agro Sudamerica1020017</v>
          </cell>
          <cell r="C10" t="str">
            <v>Agro Sudamerica</v>
          </cell>
          <cell r="D10">
            <v>1020017</v>
          </cell>
          <cell r="E10">
            <v>144000</v>
          </cell>
          <cell r="F10">
            <v>112393.92</v>
          </cell>
        </row>
        <row r="11">
          <cell r="B11" t="str">
            <v>Agro Sudamerica1020339</v>
          </cell>
          <cell r="C11" t="str">
            <v>Agro Sudamerica</v>
          </cell>
          <cell r="D11">
            <v>1020339</v>
          </cell>
          <cell r="E11">
            <v>0</v>
          </cell>
          <cell r="F11">
            <v>0</v>
          </cell>
        </row>
        <row r="12">
          <cell r="B12" t="str">
            <v>Agro Sudamerica1020349</v>
          </cell>
          <cell r="C12" t="str">
            <v>Agro Sudamerica</v>
          </cell>
          <cell r="D12">
            <v>1020349</v>
          </cell>
          <cell r="E12">
            <v>196000.00499999998</v>
          </cell>
          <cell r="F12">
            <v>161097.95200000002</v>
          </cell>
        </row>
        <row r="13">
          <cell r="B13" t="str">
            <v>Agro Sudamerica1020352</v>
          </cell>
          <cell r="C13" t="str">
            <v>Agro Sudamerica</v>
          </cell>
          <cell r="D13">
            <v>1020352</v>
          </cell>
          <cell r="E13">
            <v>68463.434999999998</v>
          </cell>
          <cell r="F13">
            <v>59362.133000000002</v>
          </cell>
        </row>
        <row r="14">
          <cell r="B14" t="str">
            <v>Agro Sudamerica1020367</v>
          </cell>
          <cell r="C14" t="str">
            <v>Agro Sudamerica</v>
          </cell>
          <cell r="D14">
            <v>1020367</v>
          </cell>
          <cell r="E14">
            <v>168000</v>
          </cell>
          <cell r="F14">
            <v>0</v>
          </cell>
        </row>
        <row r="15">
          <cell r="B15" t="str">
            <v>Agro Sudamerica1020412</v>
          </cell>
          <cell r="C15" t="str">
            <v>Agro Sudamerica</v>
          </cell>
          <cell r="D15">
            <v>1020412</v>
          </cell>
          <cell r="E15">
            <v>64202.826900000007</v>
          </cell>
          <cell r="F15">
            <v>18102.082999999999</v>
          </cell>
        </row>
        <row r="16">
          <cell r="B16" t="str">
            <v>Agro Sudamerica1020848</v>
          </cell>
          <cell r="C16" t="str">
            <v>Agro Sudamerica</v>
          </cell>
          <cell r="D16">
            <v>1020848</v>
          </cell>
          <cell r="E16">
            <v>72000</v>
          </cell>
          <cell r="F16">
            <v>129563.696</v>
          </cell>
        </row>
        <row r="17">
          <cell r="B17" t="str">
            <v>Agro Sudamerica1020869</v>
          </cell>
          <cell r="C17" t="str">
            <v>Agro Sudamerica</v>
          </cell>
          <cell r="D17">
            <v>1020869</v>
          </cell>
          <cell r="E17">
            <v>34000</v>
          </cell>
          <cell r="F17">
            <v>61258.672000000006</v>
          </cell>
        </row>
        <row r="18">
          <cell r="B18" t="str">
            <v>Agro Sudamerica1020886</v>
          </cell>
          <cell r="C18" t="str">
            <v>Agro Sudamerica</v>
          </cell>
          <cell r="D18">
            <v>1020886</v>
          </cell>
          <cell r="E18">
            <v>11671.242</v>
          </cell>
          <cell r="F18">
            <v>0</v>
          </cell>
        </row>
        <row r="19">
          <cell r="B19" t="str">
            <v>Agro Sudamerica1020915</v>
          </cell>
          <cell r="C19" t="str">
            <v>Agro Sudamerica</v>
          </cell>
          <cell r="D19">
            <v>1020915</v>
          </cell>
          <cell r="E19">
            <v>0</v>
          </cell>
          <cell r="F19">
            <v>0</v>
          </cell>
        </row>
        <row r="20">
          <cell r="B20" t="str">
            <v>Agro Sudamerica1020925</v>
          </cell>
          <cell r="C20" t="str">
            <v>Agro Sudamerica</v>
          </cell>
          <cell r="D20">
            <v>1020925</v>
          </cell>
          <cell r="E20">
            <v>72000</v>
          </cell>
          <cell r="F20">
            <v>0</v>
          </cell>
        </row>
        <row r="21">
          <cell r="B21" t="str">
            <v>Agro Sudamerica1020944</v>
          </cell>
          <cell r="C21" t="str">
            <v>Agro Sudamerica</v>
          </cell>
          <cell r="D21">
            <v>1020944</v>
          </cell>
          <cell r="E21">
            <v>240000</v>
          </cell>
          <cell r="F21">
            <v>110930.23</v>
          </cell>
        </row>
        <row r="22">
          <cell r="B22" t="str">
            <v>Agro Sudamerica1021023</v>
          </cell>
          <cell r="C22" t="str">
            <v>Agro Sudamerica</v>
          </cell>
          <cell r="D22">
            <v>1021023</v>
          </cell>
          <cell r="E22">
            <v>192000</v>
          </cell>
          <cell r="F22">
            <v>127710.26299999999</v>
          </cell>
        </row>
        <row r="23">
          <cell r="B23" t="str">
            <v>Agro Sudamerica1021039</v>
          </cell>
          <cell r="C23" t="str">
            <v>Agro Sudamerica</v>
          </cell>
          <cell r="D23">
            <v>1021039</v>
          </cell>
          <cell r="E23">
            <v>27448.616999999998</v>
          </cell>
          <cell r="F23">
            <v>0</v>
          </cell>
        </row>
        <row r="24">
          <cell r="B24" t="str">
            <v>Agro Sudamerica1021078</v>
          </cell>
          <cell r="C24" t="str">
            <v>Agro Sudamerica</v>
          </cell>
          <cell r="D24">
            <v>1021078</v>
          </cell>
          <cell r="E24">
            <v>64690.871999999996</v>
          </cell>
          <cell r="F24">
            <v>53744.320999999996</v>
          </cell>
        </row>
        <row r="25">
          <cell r="B25" t="str">
            <v>Agro Sudamerica1021082</v>
          </cell>
          <cell r="C25" t="str">
            <v>Agro Sudamerica</v>
          </cell>
          <cell r="D25">
            <v>1021082</v>
          </cell>
          <cell r="E25">
            <v>144000</v>
          </cell>
          <cell r="F25">
            <v>67436.351999999999</v>
          </cell>
        </row>
        <row r="26">
          <cell r="B26" t="str">
            <v>Agro Sudamerica1021085</v>
          </cell>
          <cell r="C26" t="str">
            <v>Agro Sudamerica</v>
          </cell>
          <cell r="D26">
            <v>1021085</v>
          </cell>
          <cell r="E26">
            <v>0</v>
          </cell>
          <cell r="F26">
            <v>0</v>
          </cell>
        </row>
        <row r="27">
          <cell r="B27" t="str">
            <v>Agro Sudamerica1021092</v>
          </cell>
          <cell r="C27" t="str">
            <v>Agro Sudamerica</v>
          </cell>
          <cell r="D27">
            <v>1021092</v>
          </cell>
          <cell r="E27">
            <v>80958.201700000005</v>
          </cell>
          <cell r="F27">
            <v>74790.704400000002</v>
          </cell>
        </row>
        <row r="28">
          <cell r="B28" t="str">
            <v>Agro Sudamerica1021105</v>
          </cell>
          <cell r="C28" t="str">
            <v>Agro Sudamerica</v>
          </cell>
          <cell r="D28">
            <v>1021105</v>
          </cell>
          <cell r="E28">
            <v>48000</v>
          </cell>
          <cell r="F28">
            <v>25348.416000000001</v>
          </cell>
        </row>
        <row r="29">
          <cell r="B29" t="str">
            <v>Agro Sudamerica1021106</v>
          </cell>
          <cell r="C29" t="str">
            <v>Agro Sudamerica</v>
          </cell>
          <cell r="D29">
            <v>1021106</v>
          </cell>
          <cell r="E29">
            <v>96000</v>
          </cell>
          <cell r="F29">
            <v>8384.7880000000005</v>
          </cell>
        </row>
        <row r="30">
          <cell r="B30" t="str">
            <v>Agro Sudamerica1021111</v>
          </cell>
          <cell r="C30" t="str">
            <v>Agro Sudamerica</v>
          </cell>
          <cell r="D30">
            <v>1021111</v>
          </cell>
          <cell r="E30">
            <v>0</v>
          </cell>
          <cell r="F30">
            <v>0</v>
          </cell>
        </row>
        <row r="31">
          <cell r="B31" t="str">
            <v>Agro Sudamerica1021187</v>
          </cell>
          <cell r="C31" t="str">
            <v>Agro Sudamerica</v>
          </cell>
          <cell r="D31">
            <v>1021187</v>
          </cell>
          <cell r="E31">
            <v>96000</v>
          </cell>
          <cell r="F31">
            <v>106776.6</v>
          </cell>
        </row>
        <row r="32">
          <cell r="B32" t="str">
            <v>Agro Sudamerica1021279</v>
          </cell>
          <cell r="C32" t="str">
            <v>Agro Sudamerica</v>
          </cell>
          <cell r="D32">
            <v>1021279</v>
          </cell>
          <cell r="E32">
            <v>5907.6527999999998</v>
          </cell>
          <cell r="F32">
            <v>0</v>
          </cell>
        </row>
        <row r="33">
          <cell r="B33" t="str">
            <v>Agro Sudamerica1021385</v>
          </cell>
          <cell r="C33" t="str">
            <v>Agro Sudamerica</v>
          </cell>
          <cell r="D33">
            <v>1021385</v>
          </cell>
          <cell r="E33">
            <v>48000</v>
          </cell>
          <cell r="F33">
            <v>67436.351999999999</v>
          </cell>
        </row>
        <row r="34">
          <cell r="B34" t="str">
            <v>Agro Sudamerica1021622</v>
          </cell>
          <cell r="C34" t="str">
            <v>Agro Sudamerica</v>
          </cell>
          <cell r="D34">
            <v>1021622</v>
          </cell>
          <cell r="E34">
            <v>0</v>
          </cell>
          <cell r="F34">
            <v>0</v>
          </cell>
        </row>
        <row r="35">
          <cell r="B35" t="str">
            <v>Agro Sudamerica1021976</v>
          </cell>
          <cell r="C35" t="str">
            <v>Agro Sudamerica</v>
          </cell>
          <cell r="D35">
            <v>1021976</v>
          </cell>
          <cell r="E35">
            <v>252686.13</v>
          </cell>
          <cell r="F35">
            <v>251101.22699999998</v>
          </cell>
        </row>
        <row r="36">
          <cell r="B36" t="str">
            <v>Agro Sudamerica1021980</v>
          </cell>
          <cell r="C36" t="str">
            <v>Agro Sudamerica</v>
          </cell>
          <cell r="D36">
            <v>1021980</v>
          </cell>
          <cell r="E36">
            <v>0</v>
          </cell>
          <cell r="F36">
            <v>2854.19893</v>
          </cell>
        </row>
        <row r="37">
          <cell r="B37" t="str">
            <v>Agro Sudamerica1022149</v>
          </cell>
          <cell r="C37" t="str">
            <v>Agro Sudamerica</v>
          </cell>
          <cell r="D37">
            <v>1022149</v>
          </cell>
          <cell r="E37">
            <v>103647.39599999999</v>
          </cell>
          <cell r="F37">
            <v>64482.563000000002</v>
          </cell>
        </row>
        <row r="38">
          <cell r="B38" t="str">
            <v>Agro Sudamerica1022150</v>
          </cell>
          <cell r="C38" t="str">
            <v>Agro Sudamerica</v>
          </cell>
          <cell r="D38">
            <v>1022150</v>
          </cell>
          <cell r="E38">
            <v>119999.9996</v>
          </cell>
          <cell r="F38">
            <v>51084.105000000003</v>
          </cell>
        </row>
        <row r="39">
          <cell r="B39" t="str">
            <v>Agro Sudamerica1022569</v>
          </cell>
          <cell r="C39" t="str">
            <v>Agro Sudamerica</v>
          </cell>
          <cell r="D39">
            <v>1022569</v>
          </cell>
          <cell r="E39">
            <v>0</v>
          </cell>
          <cell r="F39">
            <v>110</v>
          </cell>
        </row>
        <row r="40">
          <cell r="B40" t="str">
            <v>Agro Sudamerica1022709</v>
          </cell>
          <cell r="C40" t="str">
            <v>Agro Sudamerica</v>
          </cell>
          <cell r="D40">
            <v>1022709</v>
          </cell>
          <cell r="E40">
            <v>284151.45189999999</v>
          </cell>
          <cell r="F40">
            <v>0</v>
          </cell>
        </row>
        <row r="41">
          <cell r="B41" t="str">
            <v>Agro Sudamerica1022781</v>
          </cell>
          <cell r="C41" t="str">
            <v>Agro Sudamerica</v>
          </cell>
          <cell r="D41">
            <v>1022781</v>
          </cell>
          <cell r="E41">
            <v>8200</v>
          </cell>
          <cell r="F41">
            <v>5411.1871999999994</v>
          </cell>
        </row>
        <row r="42">
          <cell r="B42" t="str">
            <v>Agro Sudamerica1022782</v>
          </cell>
          <cell r="C42" t="str">
            <v>Agro Sudamerica</v>
          </cell>
          <cell r="D42">
            <v>1022782</v>
          </cell>
          <cell r="E42">
            <v>0</v>
          </cell>
          <cell r="F42">
            <v>0</v>
          </cell>
        </row>
        <row r="43">
          <cell r="B43" t="str">
            <v>Agro Sudamerica1022783</v>
          </cell>
          <cell r="C43" t="str">
            <v>Agro Sudamerica</v>
          </cell>
          <cell r="D43">
            <v>1022783</v>
          </cell>
          <cell r="E43">
            <v>1532.3462999999999</v>
          </cell>
          <cell r="F43">
            <v>16989.378400000001</v>
          </cell>
        </row>
        <row r="44">
          <cell r="B44" t="str">
            <v>Agro Sudamerica1022847</v>
          </cell>
          <cell r="C44" t="str">
            <v>Agro Sudamerica</v>
          </cell>
          <cell r="D44">
            <v>1022847</v>
          </cell>
          <cell r="E44">
            <v>44086.894599999992</v>
          </cell>
          <cell r="F44">
            <v>40728.299899999998</v>
          </cell>
        </row>
        <row r="45">
          <cell r="B45" t="str">
            <v>Agro Sudamerica1022855</v>
          </cell>
          <cell r="C45" t="str">
            <v>Agro Sudamerica</v>
          </cell>
          <cell r="D45">
            <v>1022855</v>
          </cell>
          <cell r="E45">
            <v>18316.026099999999</v>
          </cell>
          <cell r="F45">
            <v>16920.688300000002</v>
          </cell>
        </row>
        <row r="46">
          <cell r="B46" t="str">
            <v>Agro Sudamerica1022921</v>
          </cell>
          <cell r="C46" t="str">
            <v>Agro Sudamerica</v>
          </cell>
          <cell r="D46">
            <v>1022921</v>
          </cell>
          <cell r="E46">
            <v>44086.894999999997</v>
          </cell>
          <cell r="F46">
            <v>0</v>
          </cell>
        </row>
        <row r="47">
          <cell r="B47" t="str">
            <v>Agro Sudamerica1023295</v>
          </cell>
          <cell r="C47" t="str">
            <v>Agro Sudamerica</v>
          </cell>
          <cell r="D47">
            <v>1023295</v>
          </cell>
          <cell r="E47">
            <v>1000</v>
          </cell>
          <cell r="F47">
            <v>1040.6128999999999</v>
          </cell>
        </row>
        <row r="48">
          <cell r="B48" t="str">
            <v>Agro Sudamerica1023331</v>
          </cell>
          <cell r="C48" t="str">
            <v>Agro Sudamerica</v>
          </cell>
          <cell r="D48">
            <v>1023331</v>
          </cell>
          <cell r="E48">
            <v>0</v>
          </cell>
          <cell r="F48">
            <v>0</v>
          </cell>
        </row>
        <row r="49">
          <cell r="B49" t="str">
            <v>Agro Sudamerica1022920</v>
          </cell>
          <cell r="C49" t="str">
            <v>Agro Sudamerica</v>
          </cell>
          <cell r="D49">
            <v>1022920</v>
          </cell>
          <cell r="E49">
            <v>22043.447999999997</v>
          </cell>
          <cell r="F49">
            <v>0</v>
          </cell>
        </row>
        <row r="50">
          <cell r="B50" t="str">
            <v>Agro Sudamerica1020086</v>
          </cell>
          <cell r="C50" t="str">
            <v>Agro Sudamerica</v>
          </cell>
          <cell r="D50">
            <v>1020086</v>
          </cell>
          <cell r="E50">
            <v>96000</v>
          </cell>
          <cell r="F50">
            <v>0</v>
          </cell>
        </row>
        <row r="51">
          <cell r="B51" t="str">
            <v>Agro Sudamerica1021868</v>
          </cell>
          <cell r="C51" t="str">
            <v>Agro Sudamerica</v>
          </cell>
          <cell r="D51">
            <v>1021868</v>
          </cell>
          <cell r="E51">
            <v>24000</v>
          </cell>
          <cell r="F51">
            <v>0</v>
          </cell>
        </row>
        <row r="52">
          <cell r="B52" t="str">
            <v>Agro Sudamerica1022047</v>
          </cell>
          <cell r="C52" t="str">
            <v>Agro Sudamerica</v>
          </cell>
          <cell r="D52">
            <v>1022047</v>
          </cell>
          <cell r="E52">
            <v>0</v>
          </cell>
          <cell r="F52">
            <v>0</v>
          </cell>
        </row>
        <row r="53">
          <cell r="B53" t="str">
            <v>Agro Sudamerica1022922</v>
          </cell>
          <cell r="C53" t="str">
            <v>Agro Sudamerica</v>
          </cell>
          <cell r="D53">
            <v>1022922</v>
          </cell>
          <cell r="E53">
            <v>0</v>
          </cell>
          <cell r="F53">
            <v>0</v>
          </cell>
        </row>
        <row r="54">
          <cell r="B54" t="str">
            <v>Agro Sudamerica1021101</v>
          </cell>
          <cell r="C54" t="str">
            <v>Agro Sudamerica</v>
          </cell>
          <cell r="D54">
            <v>1021101</v>
          </cell>
          <cell r="E54">
            <v>0</v>
          </cell>
          <cell r="F54">
            <v>25348.4156</v>
          </cell>
        </row>
        <row r="55">
          <cell r="B55" t="str">
            <v>Agro Sudamerica1022786</v>
          </cell>
          <cell r="C55" t="str">
            <v>Agro Sudamerica</v>
          </cell>
          <cell r="D55">
            <v>1022786</v>
          </cell>
          <cell r="E55">
            <v>300</v>
          </cell>
          <cell r="F55">
            <v>312.18388000000004</v>
          </cell>
        </row>
        <row r="56">
          <cell r="B56" t="str">
            <v>Agro Sudamerica1022844</v>
          </cell>
          <cell r="C56" t="str">
            <v>Agro Sudamerica</v>
          </cell>
          <cell r="D56">
            <v>1022844</v>
          </cell>
          <cell r="E56">
            <v>24000</v>
          </cell>
          <cell r="F56">
            <v>44957.567999999999</v>
          </cell>
        </row>
        <row r="57">
          <cell r="B57" t="str">
            <v>Agro Sudamerica1022842</v>
          </cell>
          <cell r="C57" t="str">
            <v>Agro Sudamerica</v>
          </cell>
          <cell r="D57">
            <v>1022842</v>
          </cell>
          <cell r="E57">
            <v>24000</v>
          </cell>
          <cell r="F57">
            <v>24000</v>
          </cell>
        </row>
        <row r="58">
          <cell r="B58" t="str">
            <v>Agro Sudamerica1022928</v>
          </cell>
          <cell r="C58" t="str">
            <v>Agro Sudamerica</v>
          </cell>
          <cell r="D58">
            <v>1022928</v>
          </cell>
          <cell r="E58">
            <v>0</v>
          </cell>
          <cell r="F58">
            <v>9366.16</v>
          </cell>
        </row>
        <row r="59">
          <cell r="B59" t="str">
            <v>Agro Sudamerica1022196</v>
          </cell>
          <cell r="C59" t="str">
            <v>Agro Sudamerica</v>
          </cell>
          <cell r="D59">
            <v>1022196</v>
          </cell>
          <cell r="E59">
            <v>96000</v>
          </cell>
          <cell r="F59">
            <v>25348.416000000001</v>
          </cell>
        </row>
        <row r="60">
          <cell r="B60" t="str">
            <v>Agro Sudamerica1021077</v>
          </cell>
          <cell r="C60" t="str">
            <v>Agro Sudamerica</v>
          </cell>
          <cell r="D60">
            <v>1021077</v>
          </cell>
          <cell r="E60">
            <v>0</v>
          </cell>
          <cell r="F60">
            <v>0</v>
          </cell>
        </row>
        <row r="61">
          <cell r="B61" t="str">
            <v>Agro Sudamerica1022996</v>
          </cell>
          <cell r="C61" t="str">
            <v>Agro Sudamerica</v>
          </cell>
          <cell r="D61">
            <v>1022996</v>
          </cell>
          <cell r="E61">
            <v>0</v>
          </cell>
          <cell r="F61">
            <v>0</v>
          </cell>
        </row>
        <row r="62">
          <cell r="B62" t="str">
            <v>Agro Sudamerica1020993</v>
          </cell>
          <cell r="C62" t="str">
            <v>Agro Sudamerica</v>
          </cell>
          <cell r="D62">
            <v>1020993</v>
          </cell>
          <cell r="E62">
            <v>0</v>
          </cell>
          <cell r="F62">
            <v>0</v>
          </cell>
        </row>
        <row r="63">
          <cell r="B63" t="str">
            <v>Agro Sudamerica1022290</v>
          </cell>
          <cell r="C63" t="str">
            <v>Agro Sudamerica</v>
          </cell>
          <cell r="D63">
            <v>1022290</v>
          </cell>
          <cell r="E63">
            <v>0</v>
          </cell>
          <cell r="F63">
            <v>0</v>
          </cell>
        </row>
        <row r="64">
          <cell r="B64" t="str">
            <v>Agro Sudamerica1011105</v>
          </cell>
          <cell r="C64" t="str">
            <v>Agro Sudamerica</v>
          </cell>
          <cell r="D64">
            <v>1011105</v>
          </cell>
          <cell r="E64">
            <v>6000</v>
          </cell>
          <cell r="F64">
            <v>6000</v>
          </cell>
        </row>
        <row r="65">
          <cell r="B65" t="str">
            <v>Agro Sudamerica1011421</v>
          </cell>
          <cell r="C65" t="str">
            <v>Agro Sudamerica</v>
          </cell>
          <cell r="D65">
            <v>1011421</v>
          </cell>
          <cell r="E65">
            <v>1000000</v>
          </cell>
          <cell r="F65">
            <v>900000</v>
          </cell>
        </row>
        <row r="66">
          <cell r="B66" t="str">
            <v>Agro Sudamerica1011558</v>
          </cell>
          <cell r="C66" t="str">
            <v>Agro Sudamerica</v>
          </cell>
          <cell r="D66">
            <v>1011558</v>
          </cell>
          <cell r="E66">
            <v>552000</v>
          </cell>
          <cell r="F66">
            <v>312000</v>
          </cell>
        </row>
        <row r="67">
          <cell r="B67" t="str">
            <v>Agro Sudamerica1012556</v>
          </cell>
          <cell r="C67" t="str">
            <v>Agro Sudamerica</v>
          </cell>
          <cell r="D67">
            <v>1012556</v>
          </cell>
          <cell r="E67">
            <v>252000</v>
          </cell>
          <cell r="F67">
            <v>228000</v>
          </cell>
        </row>
        <row r="68">
          <cell r="B68" t="str">
            <v>Agro Sudamerica1012719</v>
          </cell>
          <cell r="C68" t="str">
            <v>Agro Sudamerica</v>
          </cell>
          <cell r="D68">
            <v>1012719</v>
          </cell>
          <cell r="E68">
            <v>418551.72</v>
          </cell>
          <cell r="F68">
            <v>0</v>
          </cell>
        </row>
        <row r="69">
          <cell r="B69" t="str">
            <v>Agro Sudamerica1011042</v>
          </cell>
          <cell r="C69" t="str">
            <v>Agro Sudamerica</v>
          </cell>
          <cell r="D69">
            <v>1011042</v>
          </cell>
          <cell r="E69">
            <v>96000</v>
          </cell>
          <cell r="F69">
            <v>0</v>
          </cell>
        </row>
        <row r="70">
          <cell r="B70" t="str">
            <v>Agro Sudamerica1010877</v>
          </cell>
          <cell r="C70" t="str">
            <v>Agro Sudamerica</v>
          </cell>
          <cell r="D70">
            <v>1010877</v>
          </cell>
          <cell r="E70">
            <v>108250</v>
          </cell>
          <cell r="F70">
            <v>99350</v>
          </cell>
        </row>
        <row r="71">
          <cell r="B71" t="str">
            <v>Agro Sudamerica1012207</v>
          </cell>
          <cell r="C71" t="str">
            <v>Agro Sudamerica</v>
          </cell>
          <cell r="D71">
            <v>1012207</v>
          </cell>
          <cell r="E71">
            <v>44000</v>
          </cell>
          <cell r="F71">
            <v>40500</v>
          </cell>
        </row>
        <row r="72">
          <cell r="B72" t="str">
            <v>Agro Sudamerica1012778</v>
          </cell>
          <cell r="C72" t="str">
            <v>Agro Sudamerica</v>
          </cell>
          <cell r="D72">
            <v>1012778</v>
          </cell>
          <cell r="E72">
            <v>0</v>
          </cell>
          <cell r="F72">
            <v>0</v>
          </cell>
        </row>
        <row r="73">
          <cell r="B73" t="str">
            <v>Agro Sudamerica1012283</v>
          </cell>
          <cell r="C73" t="str">
            <v>Agro Sudamerica</v>
          </cell>
          <cell r="D73">
            <v>1012283</v>
          </cell>
          <cell r="E73">
            <v>42556</v>
          </cell>
          <cell r="F73">
            <v>32333</v>
          </cell>
        </row>
        <row r="74">
          <cell r="B74" t="str">
            <v>Agro Sudamerica1012763</v>
          </cell>
          <cell r="C74" t="str">
            <v>Agro Sudamerica</v>
          </cell>
          <cell r="D74">
            <v>1012763</v>
          </cell>
          <cell r="E74">
            <v>48000</v>
          </cell>
          <cell r="F74">
            <v>48000</v>
          </cell>
        </row>
        <row r="75">
          <cell r="B75" t="str">
            <v>Agro Sudamerica1012375</v>
          </cell>
          <cell r="C75" t="str">
            <v>Agro Sudamerica</v>
          </cell>
          <cell r="D75">
            <v>1012375</v>
          </cell>
          <cell r="E75">
            <v>0</v>
          </cell>
          <cell r="F75">
            <v>0</v>
          </cell>
        </row>
        <row r="76">
          <cell r="B76" t="str">
            <v>Agro Sudamerica1012552</v>
          </cell>
          <cell r="C76" t="str">
            <v>Agro Sudamerica</v>
          </cell>
          <cell r="D76">
            <v>1012552</v>
          </cell>
          <cell r="E76">
            <v>94000</v>
          </cell>
          <cell r="F76">
            <v>94000</v>
          </cell>
        </row>
        <row r="77">
          <cell r="B77" t="str">
            <v>Agro Sudamerica1011582</v>
          </cell>
          <cell r="C77" t="str">
            <v>Agro Sudamerica</v>
          </cell>
          <cell r="D77">
            <v>1011582</v>
          </cell>
          <cell r="E77">
            <v>0</v>
          </cell>
          <cell r="F77">
            <v>35829.241999999998</v>
          </cell>
        </row>
        <row r="78">
          <cell r="B78" t="str">
            <v>Agro Sudamerica1012208</v>
          </cell>
          <cell r="C78" t="str">
            <v>Agro Sudamerica</v>
          </cell>
          <cell r="D78">
            <v>1012208</v>
          </cell>
          <cell r="E78">
            <v>197523.37</v>
          </cell>
          <cell r="F78">
            <v>416000</v>
          </cell>
        </row>
        <row r="79">
          <cell r="B79" t="str">
            <v>Agro Sudamerica1012544</v>
          </cell>
          <cell r="C79" t="str">
            <v>Agro Sudamerica</v>
          </cell>
          <cell r="D79">
            <v>1012544</v>
          </cell>
          <cell r="E79">
            <v>0</v>
          </cell>
          <cell r="F79">
            <v>0</v>
          </cell>
        </row>
        <row r="80">
          <cell r="B80" t="str">
            <v>Agro Sudamerica1011422</v>
          </cell>
          <cell r="C80" t="str">
            <v>Agro Sudamerica</v>
          </cell>
          <cell r="D80">
            <v>1011422</v>
          </cell>
          <cell r="E80">
            <v>0</v>
          </cell>
          <cell r="F80">
            <v>24000</v>
          </cell>
        </row>
        <row r="81">
          <cell r="B81" t="str">
            <v>Agro Sudamerica1030332</v>
          </cell>
          <cell r="C81" t="str">
            <v>Agro Sudamerica</v>
          </cell>
          <cell r="D81">
            <v>1030332</v>
          </cell>
          <cell r="E81">
            <v>72000</v>
          </cell>
          <cell r="F81">
            <v>72000</v>
          </cell>
        </row>
        <row r="82">
          <cell r="B82" t="str">
            <v>Agro Sudamerica1030498</v>
          </cell>
          <cell r="C82" t="str">
            <v>Agro Sudamerica</v>
          </cell>
          <cell r="D82">
            <v>1030498</v>
          </cell>
          <cell r="E82">
            <v>12000</v>
          </cell>
          <cell r="F82">
            <v>12000</v>
          </cell>
        </row>
        <row r="83">
          <cell r="B83" t="str">
            <v>Agro Sudamerica1030652</v>
          </cell>
          <cell r="C83" t="str">
            <v>Agro Sudamerica</v>
          </cell>
          <cell r="D83">
            <v>1030652</v>
          </cell>
          <cell r="E83">
            <v>0</v>
          </cell>
          <cell r="F83">
            <v>0</v>
          </cell>
        </row>
        <row r="84">
          <cell r="B84" t="str">
            <v>Agro Sudamerica1030720</v>
          </cell>
          <cell r="C84" t="str">
            <v>Agro Sudamerica</v>
          </cell>
          <cell r="D84">
            <v>1030720</v>
          </cell>
          <cell r="E84">
            <v>48000</v>
          </cell>
          <cell r="F84">
            <v>24000</v>
          </cell>
        </row>
        <row r="85">
          <cell r="B85" t="str">
            <v>Agro Sudamerica1030224</v>
          </cell>
          <cell r="C85" t="str">
            <v>Agro Sudamerica</v>
          </cell>
          <cell r="D85">
            <v>1030224</v>
          </cell>
          <cell r="E85">
            <v>0</v>
          </cell>
          <cell r="F85">
            <v>0</v>
          </cell>
        </row>
        <row r="86">
          <cell r="B86" t="str">
            <v>Agro Sudamerica1030671</v>
          </cell>
          <cell r="C86" t="str">
            <v>Agro Sudamerica</v>
          </cell>
          <cell r="D86">
            <v>1030671</v>
          </cell>
          <cell r="E86">
            <v>0</v>
          </cell>
          <cell r="F86">
            <v>0</v>
          </cell>
        </row>
        <row r="87">
          <cell r="B87" t="str">
            <v>Agro Sudamerica1030672</v>
          </cell>
          <cell r="C87" t="str">
            <v>Agro Sudamerica</v>
          </cell>
          <cell r="D87">
            <v>1030672</v>
          </cell>
          <cell r="E87">
            <v>0</v>
          </cell>
          <cell r="F87">
            <v>0</v>
          </cell>
        </row>
        <row r="88">
          <cell r="B88" t="str">
            <v>Agro Sudamerica1030381</v>
          </cell>
          <cell r="C88" t="str">
            <v>Agro Sudamerica</v>
          </cell>
          <cell r="D88">
            <v>1030381</v>
          </cell>
          <cell r="E88">
            <v>0</v>
          </cell>
          <cell r="F88">
            <v>0</v>
          </cell>
        </row>
        <row r="89">
          <cell r="B89" t="str">
            <v>Agro Sudamerica1030816</v>
          </cell>
          <cell r="C89" t="str">
            <v>Agro Sudamerica</v>
          </cell>
          <cell r="D89">
            <v>1030816</v>
          </cell>
          <cell r="E89">
            <v>0</v>
          </cell>
          <cell r="F89">
            <v>0</v>
          </cell>
        </row>
        <row r="90">
          <cell r="B90" t="str">
            <v>Agro Sudamerica1030753</v>
          </cell>
          <cell r="C90" t="str">
            <v>Agro Sudamerica</v>
          </cell>
          <cell r="D90">
            <v>1030753</v>
          </cell>
          <cell r="E90">
            <v>0</v>
          </cell>
          <cell r="F90">
            <v>0</v>
          </cell>
        </row>
        <row r="91">
          <cell r="B91" t="str">
            <v>Agro Sudamerica1030780</v>
          </cell>
          <cell r="C91" t="str">
            <v>Agro Sudamerica</v>
          </cell>
          <cell r="D91">
            <v>1030780</v>
          </cell>
          <cell r="E91">
            <v>0</v>
          </cell>
          <cell r="F91">
            <v>0</v>
          </cell>
        </row>
        <row r="92">
          <cell r="B92" t="str">
            <v>Agro Sudamerica1030661</v>
          </cell>
          <cell r="C92" t="str">
            <v>Agro Sudamerica</v>
          </cell>
          <cell r="D92">
            <v>1030661</v>
          </cell>
          <cell r="E92">
            <v>0</v>
          </cell>
          <cell r="F92">
            <v>0</v>
          </cell>
        </row>
        <row r="93">
          <cell r="B93" t="str">
            <v>Agro Sudamerica1030732</v>
          </cell>
          <cell r="C93" t="str">
            <v>Agro Sudamerica</v>
          </cell>
          <cell r="D93">
            <v>1030732</v>
          </cell>
          <cell r="E93">
            <v>0</v>
          </cell>
          <cell r="F93">
            <v>0</v>
          </cell>
        </row>
        <row r="94">
          <cell r="B94" t="str">
            <v>Agro Sudamerica1030736</v>
          </cell>
          <cell r="C94" t="str">
            <v>Agro Sudamerica</v>
          </cell>
          <cell r="D94">
            <v>1030736</v>
          </cell>
          <cell r="E94">
            <v>0</v>
          </cell>
          <cell r="F94">
            <v>0</v>
          </cell>
        </row>
        <row r="95">
          <cell r="B95" t="str">
            <v>Agro Sudamerica1030236</v>
          </cell>
          <cell r="C95" t="str">
            <v>Agro Sudamerica</v>
          </cell>
          <cell r="D95">
            <v>1030236</v>
          </cell>
          <cell r="E95">
            <v>0</v>
          </cell>
          <cell r="F95">
            <v>0</v>
          </cell>
        </row>
        <row r="96">
          <cell r="B96" t="str">
            <v>Agro Sudamerica1030821</v>
          </cell>
          <cell r="C96" t="str">
            <v>Agro Sudamerica</v>
          </cell>
          <cell r="D96">
            <v>1030821</v>
          </cell>
          <cell r="E96">
            <v>23130</v>
          </cell>
          <cell r="F96">
            <v>24000</v>
          </cell>
        </row>
        <row r="97">
          <cell r="B97" t="str">
            <v>Agro Sudamerica1030230</v>
          </cell>
          <cell r="C97" t="str">
            <v>Agro Sudamerica</v>
          </cell>
          <cell r="D97">
            <v>1030230</v>
          </cell>
          <cell r="E97">
            <v>0</v>
          </cell>
          <cell r="F97">
            <v>0</v>
          </cell>
        </row>
        <row r="98">
          <cell r="B98" t="str">
            <v>Agro Sudamerica1030817</v>
          </cell>
          <cell r="C98" t="str">
            <v>Agro Sudamerica</v>
          </cell>
          <cell r="D98">
            <v>1030817</v>
          </cell>
          <cell r="E98">
            <v>0</v>
          </cell>
          <cell r="F98">
            <v>0</v>
          </cell>
        </row>
        <row r="99">
          <cell r="B99" t="str">
            <v>Agro Sudamerica1030755</v>
          </cell>
          <cell r="C99" t="str">
            <v>Agro Sudamerica</v>
          </cell>
          <cell r="D99">
            <v>1030755</v>
          </cell>
          <cell r="E99">
            <v>0</v>
          </cell>
          <cell r="F99">
            <v>0</v>
          </cell>
        </row>
        <row r="100">
          <cell r="B100" t="str">
            <v>Agro Sudamerica1030812</v>
          </cell>
          <cell r="C100" t="str">
            <v>Agro Sudamerica</v>
          </cell>
          <cell r="D100">
            <v>1030812</v>
          </cell>
          <cell r="E100">
            <v>0</v>
          </cell>
          <cell r="F100">
            <v>0</v>
          </cell>
        </row>
        <row r="101">
          <cell r="B101" t="str">
            <v>Agrosuper Asia1020860</v>
          </cell>
          <cell r="C101" t="str">
            <v>Agrosuper Asia</v>
          </cell>
          <cell r="D101">
            <v>1020860</v>
          </cell>
          <cell r="E101">
            <v>109999.9996</v>
          </cell>
          <cell r="F101">
            <v>110000</v>
          </cell>
        </row>
        <row r="102">
          <cell r="B102" t="str">
            <v>Agrosuper Asia1020861</v>
          </cell>
          <cell r="C102" t="str">
            <v>Agrosuper Asia</v>
          </cell>
          <cell r="D102">
            <v>1020861</v>
          </cell>
          <cell r="E102">
            <v>110000</v>
          </cell>
          <cell r="F102">
            <v>110000</v>
          </cell>
        </row>
        <row r="103">
          <cell r="B103" t="str">
            <v>Agrosuper Asia1020904</v>
          </cell>
          <cell r="C103" t="str">
            <v>Agrosuper Asia</v>
          </cell>
          <cell r="D103">
            <v>1020904</v>
          </cell>
          <cell r="E103">
            <v>0</v>
          </cell>
          <cell r="F103">
            <v>0</v>
          </cell>
        </row>
        <row r="104">
          <cell r="B104" t="str">
            <v>Agrosuper Asia1020905</v>
          </cell>
          <cell r="C104" t="str">
            <v>Agrosuper Asia</v>
          </cell>
          <cell r="D104">
            <v>1020905</v>
          </cell>
          <cell r="E104">
            <v>0</v>
          </cell>
          <cell r="F104">
            <v>0</v>
          </cell>
        </row>
        <row r="105">
          <cell r="B105" t="str">
            <v>Agrosuper Asia1021012</v>
          </cell>
          <cell r="C105" t="str">
            <v>Agrosuper Asia</v>
          </cell>
          <cell r="D105">
            <v>1021012</v>
          </cell>
          <cell r="E105">
            <v>11201.75</v>
          </cell>
          <cell r="F105">
            <v>28253.3547</v>
          </cell>
        </row>
        <row r="106">
          <cell r="B106" t="str">
            <v>Agrosuper Asia1021045</v>
          </cell>
          <cell r="C106" t="str">
            <v>Agrosuper Asia</v>
          </cell>
          <cell r="D106">
            <v>1021045</v>
          </cell>
          <cell r="E106">
            <v>0</v>
          </cell>
          <cell r="F106">
            <v>0</v>
          </cell>
        </row>
        <row r="107">
          <cell r="B107" t="str">
            <v>Agrosuper Asia1021046</v>
          </cell>
          <cell r="C107" t="str">
            <v>Agrosuper Asia</v>
          </cell>
          <cell r="D107">
            <v>1021046</v>
          </cell>
          <cell r="E107">
            <v>7064.2829999999994</v>
          </cell>
          <cell r="F107">
            <v>0</v>
          </cell>
        </row>
        <row r="108">
          <cell r="B108" t="str">
            <v>Agrosuper Asia1021149</v>
          </cell>
          <cell r="C108" t="str">
            <v>Agrosuper Asia</v>
          </cell>
          <cell r="D108">
            <v>1021149</v>
          </cell>
          <cell r="E108">
            <v>62165.822</v>
          </cell>
          <cell r="F108">
            <v>20557.614000000001</v>
          </cell>
        </row>
        <row r="109">
          <cell r="B109" t="str">
            <v>Agrosuper Asia1021150</v>
          </cell>
          <cell r="C109" t="str">
            <v>Agrosuper Asia</v>
          </cell>
          <cell r="D109">
            <v>1021150</v>
          </cell>
          <cell r="E109">
            <v>0</v>
          </cell>
          <cell r="F109">
            <v>0</v>
          </cell>
        </row>
        <row r="110">
          <cell r="B110" t="str">
            <v>Agrosuper Asia1021151</v>
          </cell>
          <cell r="C110" t="str">
            <v>Agrosuper Asia</v>
          </cell>
          <cell r="D110">
            <v>1021151</v>
          </cell>
          <cell r="E110">
            <v>0</v>
          </cell>
          <cell r="F110">
            <v>0</v>
          </cell>
        </row>
        <row r="111">
          <cell r="B111" t="str">
            <v>Agrosuper Asia1021152</v>
          </cell>
          <cell r="C111" t="str">
            <v>Agrosuper Asia</v>
          </cell>
          <cell r="D111">
            <v>1021152</v>
          </cell>
          <cell r="E111">
            <v>0</v>
          </cell>
          <cell r="F111">
            <v>0</v>
          </cell>
        </row>
        <row r="112">
          <cell r="B112" t="str">
            <v>Agrosuper Asia1021156</v>
          </cell>
          <cell r="C112" t="str">
            <v>Agrosuper Asia</v>
          </cell>
          <cell r="D112">
            <v>1021156</v>
          </cell>
          <cell r="E112">
            <v>48000</v>
          </cell>
          <cell r="F112">
            <v>1992.8752999999999</v>
          </cell>
        </row>
        <row r="113">
          <cell r="B113" t="str">
            <v>Agrosuper Asia1021204</v>
          </cell>
          <cell r="C113" t="str">
            <v>Agrosuper Asia</v>
          </cell>
          <cell r="D113">
            <v>1021204</v>
          </cell>
          <cell r="E113">
            <v>0</v>
          </cell>
          <cell r="F113">
            <v>0</v>
          </cell>
        </row>
        <row r="114">
          <cell r="B114" t="str">
            <v>Agrosuper Asia1021470</v>
          </cell>
          <cell r="C114" t="str">
            <v>Agrosuper Asia</v>
          </cell>
          <cell r="D114">
            <v>1021470</v>
          </cell>
          <cell r="E114">
            <v>0</v>
          </cell>
          <cell r="F114">
            <v>0</v>
          </cell>
        </row>
        <row r="115">
          <cell r="B115" t="str">
            <v>Agrosuper Asia1021664</v>
          </cell>
          <cell r="C115" t="str">
            <v>Agrosuper Asia</v>
          </cell>
          <cell r="D115">
            <v>1021664</v>
          </cell>
          <cell r="E115">
            <v>0</v>
          </cell>
          <cell r="F115">
            <v>0</v>
          </cell>
        </row>
        <row r="116">
          <cell r="B116" t="str">
            <v>Agrosuper Asia1021665</v>
          </cell>
          <cell r="C116" t="str">
            <v>Agrosuper Asia</v>
          </cell>
          <cell r="D116">
            <v>1021665</v>
          </cell>
          <cell r="E116">
            <v>1774.02</v>
          </cell>
          <cell r="F116">
            <v>0</v>
          </cell>
        </row>
        <row r="117">
          <cell r="B117" t="str">
            <v>Agrosuper Asia1022182</v>
          </cell>
          <cell r="C117" t="str">
            <v>Agrosuper Asia</v>
          </cell>
          <cell r="D117">
            <v>1022182</v>
          </cell>
          <cell r="E117">
            <v>1150</v>
          </cell>
          <cell r="F117">
            <v>0</v>
          </cell>
        </row>
        <row r="118">
          <cell r="B118" t="str">
            <v>Agrosuper Asia1022283</v>
          </cell>
          <cell r="C118" t="str">
            <v>Agrosuper Asia</v>
          </cell>
          <cell r="D118">
            <v>1022283</v>
          </cell>
          <cell r="E118">
            <v>3253.6640000000002</v>
          </cell>
          <cell r="F118">
            <v>0</v>
          </cell>
        </row>
        <row r="119">
          <cell r="B119" t="str">
            <v>Agrosuper Asia1022605</v>
          </cell>
          <cell r="C119" t="str">
            <v>Agrosuper Asia</v>
          </cell>
          <cell r="D119">
            <v>1022605</v>
          </cell>
          <cell r="E119">
            <v>0</v>
          </cell>
          <cell r="F119">
            <v>0</v>
          </cell>
        </row>
        <row r="120">
          <cell r="B120" t="str">
            <v>Agrosuper Asia1022607</v>
          </cell>
          <cell r="C120" t="str">
            <v>Agrosuper Asia</v>
          </cell>
          <cell r="D120">
            <v>1022607</v>
          </cell>
          <cell r="E120">
            <v>28082.458000000002</v>
          </cell>
          <cell r="F120">
            <v>25943.100999999999</v>
          </cell>
        </row>
        <row r="121">
          <cell r="B121" t="str">
            <v>Agrosuper Asia1022885</v>
          </cell>
          <cell r="C121" t="str">
            <v>Agrosuper Asia</v>
          </cell>
          <cell r="D121">
            <v>1022885</v>
          </cell>
          <cell r="E121">
            <v>637999.99800000002</v>
          </cell>
          <cell r="F121">
            <v>660000.00300000003</v>
          </cell>
        </row>
        <row r="122">
          <cell r="B122" t="str">
            <v>Agrosuper Asia1022887</v>
          </cell>
          <cell r="C122" t="str">
            <v>Agrosuper Asia</v>
          </cell>
          <cell r="D122">
            <v>1022887</v>
          </cell>
          <cell r="E122">
            <v>0</v>
          </cell>
          <cell r="F122">
            <v>0</v>
          </cell>
        </row>
        <row r="123">
          <cell r="B123" t="str">
            <v>Agrosuper Asia1022930</v>
          </cell>
          <cell r="C123" t="str">
            <v>Agrosuper Asia</v>
          </cell>
          <cell r="D123">
            <v>1022930</v>
          </cell>
          <cell r="E123">
            <v>120056.99</v>
          </cell>
          <cell r="F123">
            <v>197784.88999999998</v>
          </cell>
        </row>
        <row r="124">
          <cell r="B124" t="str">
            <v>Agrosuper Asia1022985</v>
          </cell>
          <cell r="C124" t="str">
            <v>Agrosuper Asia</v>
          </cell>
          <cell r="D124">
            <v>1022985</v>
          </cell>
          <cell r="E124">
            <v>4999.9999800000005</v>
          </cell>
          <cell r="F124">
            <v>0</v>
          </cell>
        </row>
        <row r="125">
          <cell r="B125" t="str">
            <v>Agrosuper Asia1022986</v>
          </cell>
          <cell r="C125" t="str">
            <v>Agrosuper Asia</v>
          </cell>
          <cell r="D125">
            <v>1022986</v>
          </cell>
          <cell r="E125">
            <v>10000</v>
          </cell>
          <cell r="F125">
            <v>10000</v>
          </cell>
        </row>
        <row r="126">
          <cell r="B126" t="str">
            <v>Agrosuper Asia1023037</v>
          </cell>
          <cell r="C126" t="str">
            <v>Agrosuper Asia</v>
          </cell>
          <cell r="D126">
            <v>1023037</v>
          </cell>
          <cell r="E126">
            <v>175999.99600000001</v>
          </cell>
          <cell r="F126">
            <v>176000</v>
          </cell>
        </row>
        <row r="127">
          <cell r="B127" t="str">
            <v>Agrosuper Asia1023038</v>
          </cell>
          <cell r="C127" t="str">
            <v>Agrosuper Asia</v>
          </cell>
          <cell r="D127">
            <v>1023038</v>
          </cell>
          <cell r="E127">
            <v>110000</v>
          </cell>
          <cell r="F127">
            <v>110000</v>
          </cell>
        </row>
        <row r="128">
          <cell r="B128" t="str">
            <v>Agrosuper Asia1023090</v>
          </cell>
          <cell r="C128" t="str">
            <v>Agrosuper Asia</v>
          </cell>
          <cell r="D128">
            <v>1023090</v>
          </cell>
          <cell r="E128">
            <v>44000</v>
          </cell>
          <cell r="F128">
            <v>44000</v>
          </cell>
        </row>
        <row r="129">
          <cell r="B129" t="str">
            <v>Agrosuper Asia1023144</v>
          </cell>
          <cell r="C129" t="str">
            <v>Agrosuper Asia</v>
          </cell>
          <cell r="D129">
            <v>1023144</v>
          </cell>
          <cell r="E129">
            <v>23361.3341</v>
          </cell>
          <cell r="F129">
            <v>28420.516399999997</v>
          </cell>
        </row>
        <row r="130">
          <cell r="B130" t="str">
            <v>Agrosuper Asia1023183</v>
          </cell>
          <cell r="C130" t="str">
            <v>Agrosuper Asia</v>
          </cell>
          <cell r="D130">
            <v>1023183</v>
          </cell>
          <cell r="E130">
            <v>8210.1419999999998</v>
          </cell>
          <cell r="F130">
            <v>0</v>
          </cell>
        </row>
        <row r="131">
          <cell r="B131" t="str">
            <v>Agrosuper Asia1023283</v>
          </cell>
          <cell r="C131" t="str">
            <v>Agrosuper Asia</v>
          </cell>
          <cell r="D131">
            <v>1023283</v>
          </cell>
          <cell r="E131">
            <v>0</v>
          </cell>
          <cell r="F131">
            <v>0</v>
          </cell>
        </row>
        <row r="132">
          <cell r="B132" t="str">
            <v>Agrosuper Asia1023307</v>
          </cell>
          <cell r="C132" t="str">
            <v>Agrosuper Asia</v>
          </cell>
          <cell r="D132">
            <v>1023307</v>
          </cell>
          <cell r="E132">
            <v>8689.0955000000013</v>
          </cell>
          <cell r="F132">
            <v>27022.032499999998</v>
          </cell>
        </row>
        <row r="133">
          <cell r="B133" t="str">
            <v>Agrosuper Asia1023326</v>
          </cell>
          <cell r="C133" t="str">
            <v>Agrosuper Asia</v>
          </cell>
          <cell r="D133">
            <v>1023326</v>
          </cell>
          <cell r="E133">
            <v>22495.654999999999</v>
          </cell>
          <cell r="F133">
            <v>0</v>
          </cell>
        </row>
        <row r="134">
          <cell r="B134" t="str">
            <v>Agrosuper Asia1023370</v>
          </cell>
          <cell r="C134" t="str">
            <v>Agrosuper Asia</v>
          </cell>
          <cell r="D134">
            <v>1023370</v>
          </cell>
          <cell r="E134">
            <v>0</v>
          </cell>
          <cell r="F134">
            <v>0</v>
          </cell>
        </row>
        <row r="135">
          <cell r="B135" t="str">
            <v>Agrosuper Asia1023371</v>
          </cell>
          <cell r="C135" t="str">
            <v>Agrosuper Asia</v>
          </cell>
          <cell r="D135">
            <v>1023371</v>
          </cell>
          <cell r="E135">
            <v>0</v>
          </cell>
          <cell r="F135">
            <v>0</v>
          </cell>
        </row>
        <row r="136">
          <cell r="B136" t="str">
            <v>Agrosuper Asia1023397</v>
          </cell>
          <cell r="C136" t="str">
            <v>Agrosuper Asia</v>
          </cell>
          <cell r="D136">
            <v>1023397</v>
          </cell>
          <cell r="E136">
            <v>5240.7560000000003</v>
          </cell>
          <cell r="F136">
            <v>28594.669400000002</v>
          </cell>
        </row>
        <row r="137">
          <cell r="B137" t="str">
            <v>Agrosuper Asia1023372</v>
          </cell>
          <cell r="C137" t="str">
            <v>Agrosuper Asia</v>
          </cell>
          <cell r="D137">
            <v>1023372</v>
          </cell>
          <cell r="E137">
            <v>40516.012000000002</v>
          </cell>
          <cell r="F137">
            <v>48000</v>
          </cell>
        </row>
        <row r="138">
          <cell r="B138" t="str">
            <v>Agrosuper Asia1021666</v>
          </cell>
          <cell r="C138" t="str">
            <v>Agrosuper Asia</v>
          </cell>
          <cell r="D138">
            <v>1021666</v>
          </cell>
          <cell r="E138">
            <v>44000</v>
          </cell>
          <cell r="F138">
            <v>43999.999899999995</v>
          </cell>
        </row>
        <row r="139">
          <cell r="B139" t="str">
            <v>Agrosuper Asia1021667</v>
          </cell>
          <cell r="C139" t="str">
            <v>Agrosuper Asia</v>
          </cell>
          <cell r="D139">
            <v>1021667</v>
          </cell>
          <cell r="E139">
            <v>22000</v>
          </cell>
          <cell r="F139">
            <v>22000</v>
          </cell>
        </row>
        <row r="140">
          <cell r="B140" t="str">
            <v>Agrosuper Asia1021650</v>
          </cell>
          <cell r="C140" t="str">
            <v>Agrosuper Asia</v>
          </cell>
          <cell r="D140">
            <v>1021650</v>
          </cell>
          <cell r="E140">
            <v>31000</v>
          </cell>
          <cell r="F140">
            <v>31000</v>
          </cell>
        </row>
        <row r="141">
          <cell r="B141" t="str">
            <v>Agrosuper Asia1023164</v>
          </cell>
          <cell r="C141" t="str">
            <v>Agrosuper Asia</v>
          </cell>
          <cell r="D141">
            <v>1023164</v>
          </cell>
          <cell r="E141">
            <v>14000</v>
          </cell>
          <cell r="F141">
            <v>14000</v>
          </cell>
        </row>
        <row r="142">
          <cell r="B142" t="str">
            <v>Agrosuper Asia1021649</v>
          </cell>
          <cell r="C142" t="str">
            <v>Agrosuper Asia</v>
          </cell>
          <cell r="D142">
            <v>1021649</v>
          </cell>
          <cell r="E142">
            <v>169000</v>
          </cell>
          <cell r="F142">
            <v>169000.00449999998</v>
          </cell>
        </row>
        <row r="143">
          <cell r="B143" t="str">
            <v>Agrosuper Asia1023165</v>
          </cell>
          <cell r="C143" t="str">
            <v>Agrosuper Asia</v>
          </cell>
          <cell r="D143">
            <v>1023165</v>
          </cell>
          <cell r="E143">
            <v>66000</v>
          </cell>
          <cell r="F143">
            <v>66000</v>
          </cell>
        </row>
        <row r="144">
          <cell r="B144" t="str">
            <v>Agrosuper Asia1022824</v>
          </cell>
          <cell r="C144" t="str">
            <v>Agrosuper Asia</v>
          </cell>
          <cell r="D144">
            <v>1022824</v>
          </cell>
          <cell r="E144">
            <v>0</v>
          </cell>
          <cell r="F144">
            <v>0</v>
          </cell>
        </row>
        <row r="145">
          <cell r="B145" t="str">
            <v>Agrosuper Asia1012012</v>
          </cell>
          <cell r="C145" t="str">
            <v>Agrosuper Asia</v>
          </cell>
          <cell r="D145">
            <v>1012012</v>
          </cell>
          <cell r="E145">
            <v>40000</v>
          </cell>
          <cell r="F145">
            <v>60000</v>
          </cell>
        </row>
        <row r="146">
          <cell r="B146" t="str">
            <v>Agrosuper Asia1012612</v>
          </cell>
          <cell r="C146" t="str">
            <v>Agrosuper Asia</v>
          </cell>
          <cell r="D146">
            <v>1012612</v>
          </cell>
          <cell r="E146">
            <v>850000</v>
          </cell>
          <cell r="F146">
            <v>971000</v>
          </cell>
        </row>
        <row r="147">
          <cell r="B147" t="str">
            <v>Agrosuper Asia1012657</v>
          </cell>
          <cell r="C147" t="str">
            <v>Agrosuper Asia</v>
          </cell>
          <cell r="D147">
            <v>1012657</v>
          </cell>
          <cell r="E147">
            <v>48000</v>
          </cell>
          <cell r="F147">
            <v>48000</v>
          </cell>
        </row>
        <row r="148">
          <cell r="B148" t="str">
            <v>Agrosuper Asia1030739</v>
          </cell>
          <cell r="C148" t="str">
            <v>Agrosuper Asia</v>
          </cell>
          <cell r="D148">
            <v>1030739</v>
          </cell>
          <cell r="E148">
            <v>0</v>
          </cell>
          <cell r="F148">
            <v>0</v>
          </cell>
        </row>
        <row r="149">
          <cell r="B149" t="str">
            <v>Agrosuper Asia1030309</v>
          </cell>
          <cell r="C149" t="str">
            <v>Agrosuper Asia</v>
          </cell>
          <cell r="D149">
            <v>1030309</v>
          </cell>
          <cell r="E149">
            <v>0</v>
          </cell>
          <cell r="F149">
            <v>0</v>
          </cell>
        </row>
        <row r="150">
          <cell r="B150" t="str">
            <v>Agrosuper Asia1030542</v>
          </cell>
          <cell r="C150" t="str">
            <v>Agrosuper Asia</v>
          </cell>
          <cell r="D150">
            <v>1030542</v>
          </cell>
          <cell r="E150">
            <v>88000</v>
          </cell>
          <cell r="F150">
            <v>88000</v>
          </cell>
        </row>
        <row r="151">
          <cell r="B151" t="str">
            <v>Agrosuper Asia1030535</v>
          </cell>
          <cell r="C151" t="str">
            <v>Agrosuper Asia</v>
          </cell>
          <cell r="D151">
            <v>1030535</v>
          </cell>
          <cell r="E151">
            <v>0</v>
          </cell>
          <cell r="F151">
            <v>0</v>
          </cell>
        </row>
        <row r="152">
          <cell r="B152" t="str">
            <v>Agrosuper Asia1030543</v>
          </cell>
          <cell r="C152" t="str">
            <v>Agrosuper Asia</v>
          </cell>
          <cell r="D152">
            <v>1030543</v>
          </cell>
          <cell r="E152">
            <v>0</v>
          </cell>
          <cell r="F152">
            <v>0</v>
          </cell>
        </row>
        <row r="153">
          <cell r="B153" t="str">
            <v>Agrosuper Brasil1021864</v>
          </cell>
          <cell r="C153" t="str">
            <v>Agrosuper Brasil</v>
          </cell>
          <cell r="D153">
            <v>1021864</v>
          </cell>
          <cell r="E153">
            <v>29161.499</v>
          </cell>
          <cell r="F153">
            <v>0</v>
          </cell>
        </row>
        <row r="154">
          <cell r="B154" t="str">
            <v>Agrosuper Brasil1022217</v>
          </cell>
          <cell r="C154" t="str">
            <v>Agrosuper Brasil</v>
          </cell>
          <cell r="D154">
            <v>1022217</v>
          </cell>
          <cell r="E154">
            <v>300000</v>
          </cell>
          <cell r="F154">
            <v>26462.627999999997</v>
          </cell>
        </row>
        <row r="155">
          <cell r="B155" t="str">
            <v>Agrosuper Brasil1022218</v>
          </cell>
          <cell r="C155" t="str">
            <v>Agrosuper Brasil</v>
          </cell>
          <cell r="D155">
            <v>1022218</v>
          </cell>
          <cell r="E155">
            <v>97633.576000000001</v>
          </cell>
          <cell r="F155">
            <v>90195.726999999999</v>
          </cell>
        </row>
        <row r="156">
          <cell r="B156" t="str">
            <v>Agrosuper Brasil1022273</v>
          </cell>
          <cell r="C156" t="str">
            <v>Agrosuper Brasil</v>
          </cell>
          <cell r="D156">
            <v>1022273</v>
          </cell>
          <cell r="E156">
            <v>82268.759489999997</v>
          </cell>
          <cell r="F156">
            <v>142516.37099999998</v>
          </cell>
        </row>
        <row r="157">
          <cell r="B157" t="str">
            <v>Agrosuper Brasil1022781</v>
          </cell>
          <cell r="C157" t="str">
            <v>Agrosuper Brasil</v>
          </cell>
          <cell r="D157">
            <v>1022781</v>
          </cell>
          <cell r="E157">
            <v>1200</v>
          </cell>
          <cell r="F157">
            <v>0</v>
          </cell>
        </row>
        <row r="158">
          <cell r="B158" t="str">
            <v>Agrosuper Brasil1022782</v>
          </cell>
          <cell r="C158" t="str">
            <v>Agrosuper Brasil</v>
          </cell>
          <cell r="D158">
            <v>1022782</v>
          </cell>
          <cell r="E158">
            <v>10336.284900000001</v>
          </cell>
          <cell r="F158">
            <v>0</v>
          </cell>
        </row>
        <row r="159">
          <cell r="B159" t="str">
            <v>Agrosuper Brasil1022783</v>
          </cell>
          <cell r="C159" t="str">
            <v>Agrosuper Brasil</v>
          </cell>
          <cell r="D159">
            <v>1022783</v>
          </cell>
          <cell r="E159">
            <v>2512.4488000000001</v>
          </cell>
          <cell r="F159">
            <v>0</v>
          </cell>
        </row>
        <row r="160">
          <cell r="B160" t="str">
            <v>Agrosuper Brasil1023295</v>
          </cell>
          <cell r="C160" t="str">
            <v>Agrosuper Brasil</v>
          </cell>
          <cell r="D160">
            <v>1023295</v>
          </cell>
          <cell r="E160">
            <v>1000.000002</v>
          </cell>
          <cell r="F160">
            <v>0</v>
          </cell>
        </row>
        <row r="161">
          <cell r="B161" t="str">
            <v>Agrosuper Brasil1023329</v>
          </cell>
          <cell r="C161" t="str">
            <v>Agrosuper Brasil</v>
          </cell>
          <cell r="D161">
            <v>1023329</v>
          </cell>
          <cell r="E161">
            <v>0</v>
          </cell>
          <cell r="F161">
            <v>0</v>
          </cell>
        </row>
        <row r="162">
          <cell r="B162" t="str">
            <v>Agrosuper Brasil1023334</v>
          </cell>
          <cell r="C162" t="str">
            <v>Agrosuper Brasil</v>
          </cell>
          <cell r="D162">
            <v>1023334</v>
          </cell>
          <cell r="E162">
            <v>0</v>
          </cell>
          <cell r="F162">
            <v>0</v>
          </cell>
        </row>
        <row r="163">
          <cell r="B163" t="str">
            <v>Agrosuper Brasil1011560</v>
          </cell>
          <cell r="C163" t="str">
            <v>Agrosuper Brasil</v>
          </cell>
          <cell r="D163">
            <v>1011560</v>
          </cell>
          <cell r="E163">
            <v>6700</v>
          </cell>
          <cell r="F163">
            <v>1000</v>
          </cell>
        </row>
        <row r="164">
          <cell r="B164" t="str">
            <v>Agrosuper Brasil1012362</v>
          </cell>
          <cell r="C164" t="str">
            <v>Agrosuper Brasil</v>
          </cell>
          <cell r="D164">
            <v>1012362</v>
          </cell>
          <cell r="E164">
            <v>72000</v>
          </cell>
          <cell r="F164">
            <v>72000</v>
          </cell>
        </row>
        <row r="165">
          <cell r="B165" t="str">
            <v>Agrosuper Brasil1012674</v>
          </cell>
          <cell r="C165" t="str">
            <v>Agrosuper Brasil</v>
          </cell>
          <cell r="D165">
            <v>1012674</v>
          </cell>
          <cell r="E165">
            <v>53700</v>
          </cell>
          <cell r="F165">
            <v>49000</v>
          </cell>
        </row>
        <row r="166">
          <cell r="B166" t="str">
            <v>Agrosuper Brasil1030740</v>
          </cell>
          <cell r="C166" t="str">
            <v>Agrosuper Brasil</v>
          </cell>
          <cell r="D166">
            <v>1030740</v>
          </cell>
          <cell r="E166">
            <v>0</v>
          </cell>
          <cell r="F166">
            <v>0</v>
          </cell>
        </row>
        <row r="167">
          <cell r="B167" t="str">
            <v>Agrosuper Shanghai1021115</v>
          </cell>
          <cell r="C167" t="str">
            <v>Agrosuper Shanghai</v>
          </cell>
          <cell r="D167">
            <v>1021115</v>
          </cell>
          <cell r="E167">
            <v>0</v>
          </cell>
          <cell r="F167">
            <v>0</v>
          </cell>
        </row>
        <row r="168">
          <cell r="B168" t="str">
            <v>Agrosuper Shanghai1021733</v>
          </cell>
          <cell r="C168" t="str">
            <v>Agrosuper Shanghai</v>
          </cell>
          <cell r="D168">
            <v>1021733</v>
          </cell>
          <cell r="E168">
            <v>0</v>
          </cell>
          <cell r="F168">
            <v>0</v>
          </cell>
        </row>
        <row r="169">
          <cell r="B169" t="str">
            <v>Agrosuper Shanghai1021740</v>
          </cell>
          <cell r="C169" t="str">
            <v>Agrosuper Shanghai</v>
          </cell>
          <cell r="D169">
            <v>1021740</v>
          </cell>
          <cell r="E169">
            <v>0</v>
          </cell>
          <cell r="F169">
            <v>0</v>
          </cell>
        </row>
        <row r="170">
          <cell r="B170" t="str">
            <v>Agrosuper Shanghai1021765</v>
          </cell>
          <cell r="C170" t="str">
            <v>Agrosuper Shanghai</v>
          </cell>
          <cell r="D170">
            <v>1021765</v>
          </cell>
          <cell r="E170">
            <v>96000</v>
          </cell>
          <cell r="F170">
            <v>96000</v>
          </cell>
        </row>
        <row r="171">
          <cell r="B171" t="str">
            <v>Agrosuper Shanghai1021905</v>
          </cell>
          <cell r="C171" t="str">
            <v>Agrosuper Shanghai</v>
          </cell>
          <cell r="D171">
            <v>1021905</v>
          </cell>
          <cell r="E171">
            <v>239999.99699999997</v>
          </cell>
          <cell r="F171">
            <v>240000</v>
          </cell>
        </row>
        <row r="172">
          <cell r="B172" t="str">
            <v>Agrosuper Shanghai1021971</v>
          </cell>
          <cell r="C172" t="str">
            <v>Agrosuper Shanghai</v>
          </cell>
          <cell r="D172">
            <v>1021971</v>
          </cell>
          <cell r="E172">
            <v>0</v>
          </cell>
          <cell r="F172">
            <v>0</v>
          </cell>
        </row>
        <row r="173">
          <cell r="B173" t="str">
            <v>Agrosuper Shanghai1021992</v>
          </cell>
          <cell r="C173" t="str">
            <v>Agrosuper Shanghai</v>
          </cell>
          <cell r="D173">
            <v>1021992</v>
          </cell>
          <cell r="E173">
            <v>0</v>
          </cell>
          <cell r="F173">
            <v>96000</v>
          </cell>
        </row>
        <row r="174">
          <cell r="B174" t="str">
            <v>Agrosuper Shanghai1022373</v>
          </cell>
          <cell r="C174" t="str">
            <v>Agrosuper Shanghai</v>
          </cell>
          <cell r="D174">
            <v>1022373</v>
          </cell>
          <cell r="E174">
            <v>173548.86</v>
          </cell>
          <cell r="F174">
            <v>153030.52000000002</v>
          </cell>
        </row>
        <row r="175">
          <cell r="B175" t="str">
            <v>Agrosuper Shanghai1022379</v>
          </cell>
          <cell r="C175" t="str">
            <v>Agrosuper Shanghai</v>
          </cell>
          <cell r="D175">
            <v>1022379</v>
          </cell>
          <cell r="E175">
            <v>0</v>
          </cell>
          <cell r="F175">
            <v>0</v>
          </cell>
        </row>
        <row r="176">
          <cell r="B176" t="str">
            <v>Agrosuper Shanghai1022381</v>
          </cell>
          <cell r="C176" t="str">
            <v>Agrosuper Shanghai</v>
          </cell>
          <cell r="D176">
            <v>1022381</v>
          </cell>
          <cell r="E176">
            <v>0</v>
          </cell>
          <cell r="F176">
            <v>0</v>
          </cell>
        </row>
        <row r="177">
          <cell r="B177" t="str">
            <v>Agrosuper Shanghai1022389</v>
          </cell>
          <cell r="C177" t="str">
            <v>Agrosuper Shanghai</v>
          </cell>
          <cell r="D177">
            <v>1022389</v>
          </cell>
          <cell r="E177">
            <v>0</v>
          </cell>
          <cell r="F177">
            <v>0</v>
          </cell>
        </row>
        <row r="178">
          <cell r="B178" t="str">
            <v>Agrosuper Shanghai1022416</v>
          </cell>
          <cell r="C178" t="str">
            <v>Agrosuper Shanghai</v>
          </cell>
          <cell r="D178">
            <v>1022416</v>
          </cell>
          <cell r="E178">
            <v>0</v>
          </cell>
          <cell r="F178">
            <v>0</v>
          </cell>
        </row>
        <row r="179">
          <cell r="B179" t="str">
            <v>Agrosuper Shanghai1022417</v>
          </cell>
          <cell r="C179" t="str">
            <v>Agrosuper Shanghai</v>
          </cell>
          <cell r="D179">
            <v>1022417</v>
          </cell>
          <cell r="E179">
            <v>85916.974000000002</v>
          </cell>
          <cell r="F179">
            <v>25742.795000000002</v>
          </cell>
        </row>
        <row r="180">
          <cell r="B180" t="str">
            <v>Agrosuper Shanghai1022418</v>
          </cell>
          <cell r="C180" t="str">
            <v>Agrosuper Shanghai</v>
          </cell>
          <cell r="D180">
            <v>1022418</v>
          </cell>
          <cell r="E180">
            <v>42589.826999999997</v>
          </cell>
          <cell r="F180">
            <v>39625.526599999997</v>
          </cell>
        </row>
        <row r="181">
          <cell r="B181" t="str">
            <v>Agrosuper Shanghai1022541</v>
          </cell>
          <cell r="C181" t="str">
            <v>Agrosuper Shanghai</v>
          </cell>
          <cell r="D181">
            <v>1022541</v>
          </cell>
          <cell r="E181">
            <v>425913.81</v>
          </cell>
          <cell r="F181">
            <v>389309.48</v>
          </cell>
        </row>
        <row r="182">
          <cell r="B182" t="str">
            <v>Agrosuper Shanghai1022851</v>
          </cell>
          <cell r="C182" t="str">
            <v>Agrosuper Shanghai</v>
          </cell>
          <cell r="D182">
            <v>1022851</v>
          </cell>
          <cell r="E182">
            <v>0</v>
          </cell>
          <cell r="F182">
            <v>0</v>
          </cell>
        </row>
        <row r="183">
          <cell r="B183" t="str">
            <v>Agrosuper Shanghai1022856</v>
          </cell>
          <cell r="C183" t="str">
            <v>Agrosuper Shanghai</v>
          </cell>
          <cell r="D183">
            <v>1022856</v>
          </cell>
          <cell r="E183">
            <v>148367.47899999999</v>
          </cell>
          <cell r="F183">
            <v>291656.76</v>
          </cell>
        </row>
        <row r="184">
          <cell r="B184" t="str">
            <v>Agrosuper Shanghai1022943</v>
          </cell>
          <cell r="C184" t="str">
            <v>Agrosuper Shanghai</v>
          </cell>
          <cell r="D184">
            <v>1022943</v>
          </cell>
          <cell r="E184">
            <v>0</v>
          </cell>
          <cell r="F184">
            <v>0</v>
          </cell>
        </row>
        <row r="185">
          <cell r="B185" t="str">
            <v>Agrosuper Shanghai1022946</v>
          </cell>
          <cell r="C185" t="str">
            <v>Agrosuper Shanghai</v>
          </cell>
          <cell r="D185">
            <v>1022946</v>
          </cell>
          <cell r="E185">
            <v>0</v>
          </cell>
          <cell r="F185">
            <v>0</v>
          </cell>
        </row>
        <row r="186">
          <cell r="B186" t="str">
            <v>Agrosuper Shanghai1023019</v>
          </cell>
          <cell r="C186" t="str">
            <v>Agrosuper Shanghai</v>
          </cell>
          <cell r="D186">
            <v>1023019</v>
          </cell>
          <cell r="E186">
            <v>0</v>
          </cell>
          <cell r="F186">
            <v>0</v>
          </cell>
        </row>
        <row r="187">
          <cell r="B187" t="str">
            <v>Agrosuper Shanghai1023035</v>
          </cell>
          <cell r="C187" t="str">
            <v>Agrosuper Shanghai</v>
          </cell>
          <cell r="D187">
            <v>1023035</v>
          </cell>
          <cell r="E187">
            <v>0</v>
          </cell>
          <cell r="F187">
            <v>0</v>
          </cell>
        </row>
        <row r="188">
          <cell r="B188" t="str">
            <v>Agrosuper Shanghai1023109</v>
          </cell>
          <cell r="C188" t="str">
            <v>Agrosuper Shanghai</v>
          </cell>
          <cell r="D188">
            <v>1023109</v>
          </cell>
          <cell r="E188">
            <v>610.09833000000003</v>
          </cell>
          <cell r="F188">
            <v>46837.546000000002</v>
          </cell>
        </row>
        <row r="189">
          <cell r="B189" t="str">
            <v>Agrosuper Shanghai1023110</v>
          </cell>
          <cell r="C189" t="str">
            <v>Agrosuper Shanghai</v>
          </cell>
          <cell r="D189">
            <v>1023110</v>
          </cell>
          <cell r="E189">
            <v>0</v>
          </cell>
          <cell r="F189">
            <v>0</v>
          </cell>
        </row>
        <row r="190">
          <cell r="B190" t="str">
            <v>Agrosuper Shanghai1023111</v>
          </cell>
          <cell r="C190" t="str">
            <v>Agrosuper Shanghai</v>
          </cell>
          <cell r="D190">
            <v>1023111</v>
          </cell>
          <cell r="E190">
            <v>0</v>
          </cell>
          <cell r="F190">
            <v>0</v>
          </cell>
        </row>
        <row r="191">
          <cell r="B191" t="str">
            <v>Agrosuper Shanghai1023306</v>
          </cell>
          <cell r="C191" t="str">
            <v>Agrosuper Shanghai</v>
          </cell>
          <cell r="D191">
            <v>1023306</v>
          </cell>
          <cell r="E191">
            <v>0</v>
          </cell>
          <cell r="F191">
            <v>0</v>
          </cell>
        </row>
        <row r="192">
          <cell r="B192" t="str">
            <v>Agrosuper Shanghai1030525</v>
          </cell>
          <cell r="C192" t="str">
            <v>Agrosuper Shanghai</v>
          </cell>
          <cell r="D192">
            <v>1030525</v>
          </cell>
          <cell r="E192">
            <v>65939.066999999995</v>
          </cell>
          <cell r="F192">
            <v>33984.358</v>
          </cell>
        </row>
        <row r="193">
          <cell r="B193" t="str">
            <v>Andes Asia1030727</v>
          </cell>
          <cell r="C193" t="str">
            <v>Andes Asia</v>
          </cell>
          <cell r="D193">
            <v>1030727</v>
          </cell>
          <cell r="E193">
            <v>0</v>
          </cell>
          <cell r="F193">
            <v>0</v>
          </cell>
        </row>
        <row r="194">
          <cell r="B194" t="str">
            <v>Andes Asia1030730</v>
          </cell>
          <cell r="C194" t="str">
            <v>Andes Asia</v>
          </cell>
          <cell r="D194">
            <v>1030730</v>
          </cell>
          <cell r="E194">
            <v>0</v>
          </cell>
          <cell r="F194">
            <v>0</v>
          </cell>
        </row>
        <row r="195">
          <cell r="B195" t="str">
            <v>Andes Asia1030731</v>
          </cell>
          <cell r="C195" t="str">
            <v>Andes Asia</v>
          </cell>
          <cell r="D195">
            <v>1030731</v>
          </cell>
          <cell r="E195">
            <v>0</v>
          </cell>
          <cell r="F195">
            <v>0</v>
          </cell>
        </row>
        <row r="196">
          <cell r="B196" t="str">
            <v>Andes Asia1030517</v>
          </cell>
          <cell r="C196" t="str">
            <v>Andes Asia</v>
          </cell>
          <cell r="D196">
            <v>1030517</v>
          </cell>
          <cell r="E196">
            <v>0</v>
          </cell>
          <cell r="F196">
            <v>0</v>
          </cell>
        </row>
        <row r="197">
          <cell r="B197" t="str">
            <v>Asia1030706</v>
          </cell>
          <cell r="C197" t="str">
            <v>Asia</v>
          </cell>
          <cell r="D197">
            <v>1030706</v>
          </cell>
          <cell r="E197">
            <v>0</v>
          </cell>
          <cell r="F197">
            <v>0</v>
          </cell>
        </row>
        <row r="198">
          <cell r="B198" t="str">
            <v>Exportacion Directa1020105</v>
          </cell>
          <cell r="C198" t="str">
            <v>Exportacion Directa</v>
          </cell>
          <cell r="D198">
            <v>1020105</v>
          </cell>
          <cell r="E198">
            <v>60000</v>
          </cell>
          <cell r="F198">
            <v>70000.000200000009</v>
          </cell>
        </row>
        <row r="199">
          <cell r="B199" t="str">
            <v>Exportacion Directa1020110</v>
          </cell>
          <cell r="C199" t="str">
            <v>Exportacion Directa</v>
          </cell>
          <cell r="D199">
            <v>1020110</v>
          </cell>
          <cell r="E199">
            <v>550000</v>
          </cell>
          <cell r="F199">
            <v>400000</v>
          </cell>
        </row>
        <row r="200">
          <cell r="B200" t="str">
            <v>Exportacion Directa1020284</v>
          </cell>
          <cell r="C200" t="str">
            <v>Exportacion Directa</v>
          </cell>
          <cell r="D200">
            <v>1020284</v>
          </cell>
          <cell r="E200">
            <v>10000</v>
          </cell>
          <cell r="F200">
            <v>16000</v>
          </cell>
        </row>
        <row r="201">
          <cell r="B201" t="str">
            <v>Exportacion Directa1020326</v>
          </cell>
          <cell r="C201" t="str">
            <v>Exportacion Directa</v>
          </cell>
          <cell r="D201">
            <v>1020326</v>
          </cell>
          <cell r="E201">
            <v>264000</v>
          </cell>
          <cell r="F201">
            <v>288000</v>
          </cell>
        </row>
        <row r="202">
          <cell r="B202" t="str">
            <v>Exportacion Directa1020589</v>
          </cell>
          <cell r="C202" t="str">
            <v>Exportacion Directa</v>
          </cell>
          <cell r="D202">
            <v>1020589</v>
          </cell>
          <cell r="E202">
            <v>120000</v>
          </cell>
          <cell r="F202">
            <v>120000</v>
          </cell>
        </row>
        <row r="203">
          <cell r="B203" t="str">
            <v>Exportacion Directa1020592</v>
          </cell>
          <cell r="C203" t="str">
            <v>Exportacion Directa</v>
          </cell>
          <cell r="D203">
            <v>1020592</v>
          </cell>
          <cell r="E203">
            <v>170000</v>
          </cell>
          <cell r="F203">
            <v>150000</v>
          </cell>
        </row>
        <row r="204">
          <cell r="B204" t="str">
            <v>Exportacion Directa1020620</v>
          </cell>
          <cell r="C204" t="str">
            <v>Exportacion Directa</v>
          </cell>
          <cell r="D204">
            <v>1020620</v>
          </cell>
          <cell r="E204">
            <v>30000</v>
          </cell>
          <cell r="F204">
            <v>50000.000400000004</v>
          </cell>
        </row>
        <row r="205">
          <cell r="B205" t="str">
            <v>Exportacion Directa1020636</v>
          </cell>
          <cell r="C205" t="str">
            <v>Exportacion Directa</v>
          </cell>
          <cell r="D205">
            <v>1020636</v>
          </cell>
          <cell r="E205">
            <v>10000</v>
          </cell>
          <cell r="F205">
            <v>15000</v>
          </cell>
        </row>
        <row r="206">
          <cell r="B206" t="str">
            <v>Exportacion Directa1020637</v>
          </cell>
          <cell r="C206" t="str">
            <v>Exportacion Directa</v>
          </cell>
          <cell r="D206">
            <v>1020637</v>
          </cell>
          <cell r="E206">
            <v>140000</v>
          </cell>
          <cell r="F206">
            <v>200000</v>
          </cell>
        </row>
        <row r="207">
          <cell r="B207" t="str">
            <v>Exportacion Directa1020662</v>
          </cell>
          <cell r="C207" t="str">
            <v>Exportacion Directa</v>
          </cell>
          <cell r="D207">
            <v>1020662</v>
          </cell>
          <cell r="E207">
            <v>20000</v>
          </cell>
          <cell r="F207">
            <v>20000.000400000001</v>
          </cell>
        </row>
        <row r="208">
          <cell r="B208" t="str">
            <v>Exportacion Directa1020664</v>
          </cell>
          <cell r="C208" t="str">
            <v>Exportacion Directa</v>
          </cell>
          <cell r="D208">
            <v>1020664</v>
          </cell>
          <cell r="E208">
            <v>3000</v>
          </cell>
          <cell r="F208">
            <v>5000</v>
          </cell>
        </row>
        <row r="209">
          <cell r="B209" t="str">
            <v>Exportacion Directa1020665</v>
          </cell>
          <cell r="C209" t="str">
            <v>Exportacion Directa</v>
          </cell>
          <cell r="D209">
            <v>1020665</v>
          </cell>
          <cell r="E209">
            <v>11000</v>
          </cell>
          <cell r="F209">
            <v>15000</v>
          </cell>
        </row>
        <row r="210">
          <cell r="B210" t="str">
            <v>Exportacion Directa1020681</v>
          </cell>
          <cell r="C210" t="str">
            <v>Exportacion Directa</v>
          </cell>
          <cell r="D210">
            <v>1020681</v>
          </cell>
          <cell r="E210">
            <v>15000.0005</v>
          </cell>
          <cell r="F210">
            <v>19999.9997</v>
          </cell>
        </row>
        <row r="211">
          <cell r="B211" t="str">
            <v>Exportacion Directa1020704</v>
          </cell>
          <cell r="C211" t="str">
            <v>Exportacion Directa</v>
          </cell>
          <cell r="D211">
            <v>1020704</v>
          </cell>
          <cell r="E211">
            <v>1000</v>
          </cell>
          <cell r="F211">
            <v>1000</v>
          </cell>
        </row>
        <row r="212">
          <cell r="B212" t="str">
            <v>Exportacion Directa1020715</v>
          </cell>
          <cell r="C212" t="str">
            <v>Exportacion Directa</v>
          </cell>
          <cell r="D212">
            <v>1020715</v>
          </cell>
          <cell r="E212">
            <v>2000</v>
          </cell>
          <cell r="F212">
            <v>2000</v>
          </cell>
        </row>
        <row r="213">
          <cell r="B213" t="str">
            <v>Exportacion Directa1020731</v>
          </cell>
          <cell r="C213" t="str">
            <v>Exportacion Directa</v>
          </cell>
          <cell r="D213">
            <v>1020731</v>
          </cell>
          <cell r="E213">
            <v>20000</v>
          </cell>
          <cell r="F213">
            <v>20000</v>
          </cell>
        </row>
        <row r="214">
          <cell r="B214" t="str">
            <v>Exportacion Directa1020758</v>
          </cell>
          <cell r="C214" t="str">
            <v>Exportacion Directa</v>
          </cell>
          <cell r="D214">
            <v>1020758</v>
          </cell>
          <cell r="E214">
            <v>3000</v>
          </cell>
          <cell r="F214">
            <v>5000</v>
          </cell>
        </row>
        <row r="215">
          <cell r="B215" t="str">
            <v>Exportacion Directa1020774</v>
          </cell>
          <cell r="C215" t="str">
            <v>Exportacion Directa</v>
          </cell>
          <cell r="D215">
            <v>1020774</v>
          </cell>
          <cell r="E215">
            <v>8000</v>
          </cell>
          <cell r="F215">
            <v>10000</v>
          </cell>
        </row>
        <row r="216">
          <cell r="B216" t="str">
            <v>Exportacion Directa1020802</v>
          </cell>
          <cell r="C216" t="str">
            <v>Exportacion Directa</v>
          </cell>
          <cell r="D216">
            <v>1020802</v>
          </cell>
          <cell r="E216">
            <v>60000</v>
          </cell>
          <cell r="F216">
            <v>50000</v>
          </cell>
        </row>
        <row r="217">
          <cell r="B217" t="str">
            <v>Exportacion Directa1020810</v>
          </cell>
          <cell r="C217" t="str">
            <v>Exportacion Directa</v>
          </cell>
          <cell r="D217">
            <v>1020810</v>
          </cell>
          <cell r="E217">
            <v>2000</v>
          </cell>
          <cell r="F217">
            <v>5000</v>
          </cell>
        </row>
        <row r="218">
          <cell r="B218" t="str">
            <v>Exportacion Directa1020914</v>
          </cell>
          <cell r="C218" t="str">
            <v>Exportacion Directa</v>
          </cell>
          <cell r="D218">
            <v>1020914</v>
          </cell>
          <cell r="E218">
            <v>10939.950800000001</v>
          </cell>
          <cell r="F218">
            <v>7000</v>
          </cell>
        </row>
        <row r="219">
          <cell r="B219" t="str">
            <v>Exportacion Directa1020990</v>
          </cell>
          <cell r="C219" t="str">
            <v>Exportacion Directa</v>
          </cell>
          <cell r="D219">
            <v>1020990</v>
          </cell>
          <cell r="E219">
            <v>5000</v>
          </cell>
          <cell r="F219">
            <v>10000</v>
          </cell>
        </row>
        <row r="220">
          <cell r="B220" t="str">
            <v>Exportacion Directa1020991</v>
          </cell>
          <cell r="C220" t="str">
            <v>Exportacion Directa</v>
          </cell>
          <cell r="D220">
            <v>1020991</v>
          </cell>
          <cell r="E220">
            <v>12399.94052</v>
          </cell>
          <cell r="F220">
            <v>10000</v>
          </cell>
        </row>
        <row r="221">
          <cell r="B221" t="str">
            <v>Exportacion Directa1021136</v>
          </cell>
          <cell r="C221" t="str">
            <v>Exportacion Directa</v>
          </cell>
          <cell r="D221">
            <v>1021136</v>
          </cell>
          <cell r="E221">
            <v>0</v>
          </cell>
          <cell r="F221">
            <v>5000</v>
          </cell>
        </row>
        <row r="222">
          <cell r="B222" t="str">
            <v>Exportacion Directa1021533</v>
          </cell>
          <cell r="C222" t="str">
            <v>Exportacion Directa</v>
          </cell>
          <cell r="D222">
            <v>1021533</v>
          </cell>
          <cell r="E222">
            <v>0</v>
          </cell>
          <cell r="F222">
            <v>0</v>
          </cell>
        </row>
        <row r="223">
          <cell r="B223" t="str">
            <v>Exportacion Directa1021603</v>
          </cell>
          <cell r="C223" t="str">
            <v>Exportacion Directa</v>
          </cell>
          <cell r="D223">
            <v>1021603</v>
          </cell>
          <cell r="E223">
            <v>7000</v>
          </cell>
          <cell r="F223">
            <v>5000</v>
          </cell>
        </row>
        <row r="224">
          <cell r="B224" t="str">
            <v>Exportacion Directa1022313</v>
          </cell>
          <cell r="C224" t="str">
            <v>Exportacion Directa</v>
          </cell>
          <cell r="D224">
            <v>1022313</v>
          </cell>
          <cell r="E224">
            <v>7221.7505499999997</v>
          </cell>
          <cell r="F224">
            <v>6671.5885000000007</v>
          </cell>
        </row>
        <row r="225">
          <cell r="B225" t="str">
            <v>Exportacion Directa1022326</v>
          </cell>
          <cell r="C225" t="str">
            <v>Exportacion Directa</v>
          </cell>
          <cell r="D225">
            <v>1022326</v>
          </cell>
          <cell r="E225">
            <v>25509.897580000001</v>
          </cell>
          <cell r="F225">
            <v>28072.926299999999</v>
          </cell>
        </row>
        <row r="226">
          <cell r="B226" t="str">
            <v>Exportacion Directa1022370</v>
          </cell>
          <cell r="C226" t="str">
            <v>Exportacion Directa</v>
          </cell>
          <cell r="D226">
            <v>1022370</v>
          </cell>
          <cell r="E226">
            <v>40000</v>
          </cell>
          <cell r="F226">
            <v>35000</v>
          </cell>
        </row>
        <row r="227">
          <cell r="B227" t="str">
            <v>Exportacion Directa1022371</v>
          </cell>
          <cell r="C227" t="str">
            <v>Exportacion Directa</v>
          </cell>
          <cell r="D227">
            <v>1022371</v>
          </cell>
          <cell r="E227">
            <v>8000</v>
          </cell>
          <cell r="F227">
            <v>24000.0003</v>
          </cell>
        </row>
        <row r="228">
          <cell r="B228" t="str">
            <v>Exportacion Directa1022472</v>
          </cell>
          <cell r="C228" t="str">
            <v>Exportacion Directa</v>
          </cell>
          <cell r="D228">
            <v>1022472</v>
          </cell>
          <cell r="E228">
            <v>15000.0003</v>
          </cell>
          <cell r="F228">
            <v>5000</v>
          </cell>
        </row>
        <row r="229">
          <cell r="B229" t="str">
            <v>Exportacion Directa1022499</v>
          </cell>
          <cell r="C229" t="str">
            <v>Exportacion Directa</v>
          </cell>
          <cell r="D229">
            <v>1022499</v>
          </cell>
          <cell r="E229">
            <v>20000</v>
          </cell>
          <cell r="F229">
            <v>20000</v>
          </cell>
        </row>
        <row r="230">
          <cell r="B230" t="str">
            <v>Exportacion Directa1022587</v>
          </cell>
          <cell r="C230" t="str">
            <v>Exportacion Directa</v>
          </cell>
          <cell r="D230">
            <v>1022587</v>
          </cell>
          <cell r="E230">
            <v>3000</v>
          </cell>
          <cell r="F230">
            <v>4000</v>
          </cell>
        </row>
        <row r="231">
          <cell r="B231" t="str">
            <v>Exportacion Directa1022600</v>
          </cell>
          <cell r="C231" t="str">
            <v>Exportacion Directa</v>
          </cell>
          <cell r="D231">
            <v>1022600</v>
          </cell>
          <cell r="E231">
            <v>15000</v>
          </cell>
          <cell r="F231">
            <v>13000</v>
          </cell>
        </row>
        <row r="232">
          <cell r="B232" t="str">
            <v>Exportacion Directa1022664</v>
          </cell>
          <cell r="C232" t="str">
            <v>Exportacion Directa</v>
          </cell>
          <cell r="D232">
            <v>1022664</v>
          </cell>
          <cell r="E232">
            <v>56628.7</v>
          </cell>
          <cell r="F232">
            <v>20000</v>
          </cell>
        </row>
        <row r="233">
          <cell r="B233" t="str">
            <v>Exportacion Directa1022901</v>
          </cell>
          <cell r="C233" t="str">
            <v>Exportacion Directa</v>
          </cell>
          <cell r="D233">
            <v>1022901</v>
          </cell>
          <cell r="E233">
            <v>10000</v>
          </cell>
          <cell r="F233">
            <v>10000</v>
          </cell>
        </row>
        <row r="234">
          <cell r="B234" t="str">
            <v>Exportacion Directa1022919</v>
          </cell>
          <cell r="C234" t="str">
            <v>Exportacion Directa</v>
          </cell>
          <cell r="D234">
            <v>1022919</v>
          </cell>
          <cell r="E234">
            <v>24000</v>
          </cell>
          <cell r="F234">
            <v>24000</v>
          </cell>
        </row>
        <row r="235">
          <cell r="B235" t="str">
            <v>Exportacion Directa1022987</v>
          </cell>
          <cell r="C235" t="str">
            <v>Exportacion Directa</v>
          </cell>
          <cell r="D235">
            <v>1022987</v>
          </cell>
          <cell r="E235">
            <v>24000</v>
          </cell>
          <cell r="F235">
            <v>48000</v>
          </cell>
        </row>
        <row r="236">
          <cell r="B236" t="str">
            <v>Exportacion Directa1023163</v>
          </cell>
          <cell r="C236" t="str">
            <v>Exportacion Directa</v>
          </cell>
          <cell r="D236">
            <v>1023163</v>
          </cell>
          <cell r="E236">
            <v>25000</v>
          </cell>
          <cell r="F236">
            <v>20000</v>
          </cell>
        </row>
        <row r="237">
          <cell r="B237" t="str">
            <v>Exportacion Directa1023194</v>
          </cell>
          <cell r="C237" t="str">
            <v>Exportacion Directa</v>
          </cell>
          <cell r="D237">
            <v>1023194</v>
          </cell>
          <cell r="E237">
            <v>10000</v>
          </cell>
          <cell r="F237">
            <v>10000</v>
          </cell>
        </row>
        <row r="238">
          <cell r="B238" t="str">
            <v>Exportacion Directa1023301</v>
          </cell>
          <cell r="C238" t="str">
            <v>Exportacion Directa</v>
          </cell>
          <cell r="D238">
            <v>1023301</v>
          </cell>
          <cell r="E238">
            <v>34999.999899999995</v>
          </cell>
          <cell r="F238">
            <v>52172.951999999997</v>
          </cell>
        </row>
        <row r="239">
          <cell r="B239" t="str">
            <v>Exportacion Directa1023350</v>
          </cell>
          <cell r="C239" t="str">
            <v>Exportacion Directa</v>
          </cell>
          <cell r="D239">
            <v>1023350</v>
          </cell>
          <cell r="E239">
            <v>20000</v>
          </cell>
          <cell r="F239">
            <v>30000</v>
          </cell>
        </row>
        <row r="240">
          <cell r="B240" t="str">
            <v>Exportacion Directa1023351</v>
          </cell>
          <cell r="C240" t="str">
            <v>Exportacion Directa</v>
          </cell>
          <cell r="D240">
            <v>1023351</v>
          </cell>
          <cell r="E240">
            <v>0</v>
          </cell>
          <cell r="F240">
            <v>0</v>
          </cell>
        </row>
        <row r="241">
          <cell r="B241" t="str">
            <v>Exportacion Directa1023352</v>
          </cell>
          <cell r="C241" t="str">
            <v>Exportacion Directa</v>
          </cell>
          <cell r="D241">
            <v>1023352</v>
          </cell>
          <cell r="E241">
            <v>0</v>
          </cell>
          <cell r="F241">
            <v>48873.96</v>
          </cell>
        </row>
        <row r="242">
          <cell r="B242" t="str">
            <v>Exportacion Directa1022931</v>
          </cell>
          <cell r="C242" t="str">
            <v>Exportacion Directa</v>
          </cell>
          <cell r="D242">
            <v>1022931</v>
          </cell>
          <cell r="E242">
            <v>20000</v>
          </cell>
          <cell r="F242">
            <v>25000</v>
          </cell>
        </row>
        <row r="243">
          <cell r="B243" t="str">
            <v>Exportacion Directa1023349</v>
          </cell>
          <cell r="C243" t="str">
            <v>Exportacion Directa</v>
          </cell>
          <cell r="D243">
            <v>1023349</v>
          </cell>
          <cell r="E243">
            <v>5000</v>
          </cell>
          <cell r="F243">
            <v>5000</v>
          </cell>
        </row>
        <row r="244">
          <cell r="B244" t="str">
            <v>Exportacion Directa1021609</v>
          </cell>
          <cell r="C244" t="str">
            <v>Exportacion Directa</v>
          </cell>
          <cell r="D244">
            <v>1021609</v>
          </cell>
          <cell r="E244">
            <v>20000</v>
          </cell>
          <cell r="F244">
            <v>20000</v>
          </cell>
        </row>
        <row r="245">
          <cell r="B245" t="str">
            <v>Exportacion Directa1020678</v>
          </cell>
          <cell r="C245" t="str">
            <v>Exportacion Directa</v>
          </cell>
          <cell r="D245">
            <v>1020678</v>
          </cell>
          <cell r="E245">
            <v>0</v>
          </cell>
          <cell r="F245">
            <v>1000</v>
          </cell>
        </row>
        <row r="246">
          <cell r="B246" t="str">
            <v>Exportacion Directa1023055</v>
          </cell>
          <cell r="C246" t="str">
            <v>Exportacion Directa</v>
          </cell>
          <cell r="D246">
            <v>1023055</v>
          </cell>
          <cell r="E246">
            <v>0</v>
          </cell>
          <cell r="F246">
            <v>0</v>
          </cell>
        </row>
        <row r="247">
          <cell r="B247" t="str">
            <v>Total general</v>
          </cell>
          <cell r="C247" t="str">
            <v>Total general</v>
          </cell>
          <cell r="D247"/>
          <cell r="E247">
            <v>12870765.425751993</v>
          </cell>
          <cell r="F247">
            <v>11392815.588609997</v>
          </cell>
        </row>
        <row r="248">
          <cell r="B248" t="str">
            <v/>
          </cell>
          <cell r="C248"/>
          <cell r="D248"/>
          <cell r="E248"/>
          <cell r="F248"/>
        </row>
        <row r="249">
          <cell r="B249" t="str">
            <v/>
          </cell>
          <cell r="C249"/>
          <cell r="D249"/>
          <cell r="E249"/>
          <cell r="F249"/>
        </row>
        <row r="250">
          <cell r="B250" t="str">
            <v/>
          </cell>
          <cell r="C250"/>
          <cell r="D250"/>
          <cell r="E250"/>
          <cell r="F250"/>
        </row>
        <row r="251">
          <cell r="B251" t="str">
            <v/>
          </cell>
          <cell r="C251"/>
          <cell r="D251"/>
          <cell r="E251"/>
          <cell r="F251"/>
        </row>
        <row r="252">
          <cell r="B252" t="str">
            <v/>
          </cell>
          <cell r="C252"/>
          <cell r="D252"/>
          <cell r="E252"/>
          <cell r="F252"/>
        </row>
        <row r="253">
          <cell r="B253" t="str">
            <v/>
          </cell>
          <cell r="C253"/>
          <cell r="D253"/>
          <cell r="E253"/>
          <cell r="F253"/>
        </row>
        <row r="254">
          <cell r="B254" t="str">
            <v/>
          </cell>
          <cell r="C254"/>
          <cell r="D254"/>
          <cell r="E254"/>
          <cell r="F254"/>
        </row>
        <row r="255">
          <cell r="B255" t="str">
            <v/>
          </cell>
          <cell r="C255"/>
          <cell r="D255"/>
          <cell r="E255"/>
          <cell r="F255"/>
        </row>
        <row r="256">
          <cell r="B256" t="str">
            <v/>
          </cell>
          <cell r="C256"/>
          <cell r="D256"/>
          <cell r="E256"/>
          <cell r="F256"/>
        </row>
        <row r="257">
          <cell r="B257" t="str">
            <v/>
          </cell>
          <cell r="C257"/>
          <cell r="D257"/>
          <cell r="E257"/>
          <cell r="F257"/>
        </row>
        <row r="258">
          <cell r="B258" t="str">
            <v/>
          </cell>
          <cell r="C258"/>
          <cell r="D258"/>
          <cell r="E258"/>
          <cell r="F258"/>
        </row>
        <row r="259">
          <cell r="B259" t="str">
            <v/>
          </cell>
          <cell r="C259"/>
          <cell r="D259"/>
          <cell r="E259"/>
          <cell r="F259"/>
        </row>
        <row r="260">
          <cell r="B260" t="str">
            <v/>
          </cell>
          <cell r="C260"/>
          <cell r="D260"/>
          <cell r="E260"/>
          <cell r="F260"/>
        </row>
        <row r="261">
          <cell r="B261" t="str">
            <v/>
          </cell>
          <cell r="C261"/>
          <cell r="D261"/>
          <cell r="E261"/>
          <cell r="F261"/>
        </row>
        <row r="262">
          <cell r="B262" t="str">
            <v/>
          </cell>
          <cell r="C262"/>
          <cell r="D262"/>
          <cell r="E262"/>
          <cell r="F262"/>
        </row>
        <row r="263">
          <cell r="B263" t="str">
            <v/>
          </cell>
          <cell r="C263"/>
          <cell r="D263"/>
          <cell r="E263"/>
          <cell r="F263"/>
        </row>
        <row r="264">
          <cell r="B264" t="str">
            <v/>
          </cell>
          <cell r="C264"/>
          <cell r="D264"/>
          <cell r="E264"/>
          <cell r="F264"/>
        </row>
        <row r="265">
          <cell r="B265" t="str">
            <v/>
          </cell>
          <cell r="C265"/>
          <cell r="D265"/>
          <cell r="E265"/>
          <cell r="F265"/>
        </row>
        <row r="266">
          <cell r="B266" t="str">
            <v/>
          </cell>
          <cell r="C266"/>
          <cell r="D266"/>
          <cell r="E266"/>
          <cell r="F266"/>
        </row>
        <row r="267">
          <cell r="B267" t="str">
            <v/>
          </cell>
          <cell r="C267"/>
          <cell r="D267"/>
          <cell r="E267"/>
          <cell r="F267"/>
        </row>
        <row r="268">
          <cell r="B268" t="str">
            <v/>
          </cell>
          <cell r="C268"/>
          <cell r="D268"/>
          <cell r="E268"/>
          <cell r="F268"/>
        </row>
        <row r="269">
          <cell r="B269" t="str">
            <v/>
          </cell>
          <cell r="C269"/>
          <cell r="D269"/>
          <cell r="E269"/>
          <cell r="F269"/>
        </row>
        <row r="270">
          <cell r="B270" t="str">
            <v/>
          </cell>
          <cell r="C270"/>
          <cell r="D270"/>
          <cell r="E270"/>
          <cell r="F270"/>
        </row>
        <row r="271">
          <cell r="B271" t="str">
            <v/>
          </cell>
          <cell r="C271"/>
          <cell r="D271"/>
          <cell r="E271"/>
          <cell r="F271"/>
        </row>
        <row r="272">
          <cell r="B272" t="str">
            <v/>
          </cell>
          <cell r="C272"/>
          <cell r="D272"/>
          <cell r="E272"/>
          <cell r="F272"/>
        </row>
        <row r="273">
          <cell r="B273" t="str">
            <v/>
          </cell>
          <cell r="C273"/>
          <cell r="D273"/>
          <cell r="E273"/>
          <cell r="F273"/>
        </row>
        <row r="274">
          <cell r="B274" t="str">
            <v/>
          </cell>
          <cell r="C274"/>
          <cell r="D274"/>
          <cell r="E274"/>
          <cell r="F274"/>
        </row>
        <row r="275">
          <cell r="B275" t="str">
            <v/>
          </cell>
          <cell r="C275"/>
          <cell r="D275"/>
          <cell r="E275"/>
          <cell r="F275"/>
        </row>
        <row r="276">
          <cell r="B276" t="str">
            <v/>
          </cell>
          <cell r="C276"/>
          <cell r="D276"/>
          <cell r="E276"/>
          <cell r="F276"/>
        </row>
        <row r="277">
          <cell r="B277" t="str">
            <v/>
          </cell>
          <cell r="C277"/>
          <cell r="D277"/>
          <cell r="E277"/>
          <cell r="F277"/>
        </row>
        <row r="278">
          <cell r="B278" t="str">
            <v/>
          </cell>
          <cell r="C278"/>
          <cell r="D278"/>
          <cell r="E278"/>
          <cell r="F278"/>
        </row>
        <row r="279">
          <cell r="B279" t="str">
            <v/>
          </cell>
          <cell r="C279"/>
          <cell r="D279"/>
          <cell r="E279"/>
          <cell r="F279"/>
        </row>
        <row r="280">
          <cell r="B280" t="str">
            <v/>
          </cell>
          <cell r="C280"/>
          <cell r="D280"/>
          <cell r="E280"/>
          <cell r="F280"/>
        </row>
        <row r="281">
          <cell r="B281" t="str">
            <v/>
          </cell>
          <cell r="C281"/>
          <cell r="D281"/>
          <cell r="E281"/>
          <cell r="F281"/>
        </row>
        <row r="282">
          <cell r="B282" t="str">
            <v/>
          </cell>
          <cell r="C282"/>
          <cell r="D282"/>
          <cell r="E282"/>
          <cell r="F282"/>
        </row>
        <row r="283">
          <cell r="B283" t="str">
            <v/>
          </cell>
          <cell r="C283"/>
          <cell r="D283"/>
          <cell r="E283"/>
          <cell r="F283"/>
        </row>
        <row r="284">
          <cell r="C284"/>
          <cell r="D284"/>
          <cell r="E284"/>
          <cell r="F284"/>
        </row>
        <row r="285">
          <cell r="C285"/>
          <cell r="D285"/>
          <cell r="E285"/>
          <cell r="F285"/>
        </row>
        <row r="286">
          <cell r="C286"/>
          <cell r="D286"/>
          <cell r="E286"/>
          <cell r="F286"/>
        </row>
        <row r="287">
          <cell r="C287"/>
          <cell r="D287"/>
          <cell r="E287"/>
          <cell r="F287"/>
        </row>
        <row r="288">
          <cell r="C288"/>
          <cell r="D288"/>
          <cell r="E288"/>
          <cell r="F288"/>
        </row>
        <row r="289">
          <cell r="C289"/>
          <cell r="D289"/>
          <cell r="E289"/>
          <cell r="F289"/>
        </row>
        <row r="290">
          <cell r="C290"/>
          <cell r="D290"/>
          <cell r="E290"/>
          <cell r="F290"/>
        </row>
        <row r="291">
          <cell r="C291"/>
          <cell r="D291"/>
          <cell r="E291"/>
          <cell r="F291"/>
        </row>
        <row r="292">
          <cell r="C292"/>
          <cell r="D292"/>
          <cell r="E292"/>
          <cell r="F292"/>
        </row>
        <row r="293">
          <cell r="C293"/>
          <cell r="D293"/>
          <cell r="E293"/>
          <cell r="F293"/>
        </row>
        <row r="294">
          <cell r="C294"/>
          <cell r="D294"/>
          <cell r="E294"/>
          <cell r="F294"/>
        </row>
        <row r="295">
          <cell r="C295"/>
          <cell r="D295"/>
          <cell r="E295"/>
          <cell r="F295"/>
        </row>
        <row r="296">
          <cell r="C296"/>
          <cell r="D296"/>
          <cell r="E296"/>
          <cell r="F296"/>
        </row>
        <row r="297">
          <cell r="C297"/>
          <cell r="D297"/>
          <cell r="E297"/>
          <cell r="F297"/>
        </row>
        <row r="298">
          <cell r="C298"/>
          <cell r="D298"/>
          <cell r="E298"/>
          <cell r="F298"/>
        </row>
        <row r="299">
          <cell r="C299"/>
          <cell r="D299"/>
          <cell r="E299"/>
          <cell r="F299"/>
        </row>
        <row r="300">
          <cell r="C300"/>
          <cell r="D300"/>
          <cell r="E300"/>
          <cell r="F300"/>
        </row>
        <row r="301">
          <cell r="C301"/>
          <cell r="D301"/>
          <cell r="E301"/>
          <cell r="F301"/>
        </row>
        <row r="302">
          <cell r="C302"/>
          <cell r="D302"/>
          <cell r="E302"/>
          <cell r="F302"/>
        </row>
        <row r="303">
          <cell r="C303"/>
          <cell r="D303"/>
          <cell r="E303"/>
          <cell r="F303"/>
        </row>
        <row r="304">
          <cell r="C304"/>
          <cell r="D304"/>
          <cell r="E304"/>
          <cell r="F304"/>
        </row>
        <row r="305">
          <cell r="C305"/>
          <cell r="D305"/>
          <cell r="E305"/>
          <cell r="F305"/>
        </row>
        <row r="306">
          <cell r="C306"/>
          <cell r="D306"/>
          <cell r="E306"/>
          <cell r="F306"/>
        </row>
        <row r="307">
          <cell r="C307"/>
          <cell r="D307"/>
          <cell r="E307"/>
          <cell r="F307"/>
        </row>
        <row r="308">
          <cell r="C308"/>
          <cell r="D308"/>
          <cell r="E308"/>
          <cell r="F308"/>
        </row>
        <row r="309">
          <cell r="C309"/>
          <cell r="D309"/>
          <cell r="E309"/>
          <cell r="F309"/>
        </row>
        <row r="310">
          <cell r="C310"/>
          <cell r="D310"/>
          <cell r="E310"/>
          <cell r="F310"/>
        </row>
        <row r="311">
          <cell r="C311"/>
          <cell r="D311"/>
          <cell r="E311"/>
          <cell r="F311"/>
        </row>
        <row r="312">
          <cell r="C312"/>
          <cell r="D312"/>
          <cell r="E312"/>
          <cell r="F312"/>
        </row>
        <row r="313">
          <cell r="C313"/>
          <cell r="D313"/>
          <cell r="E313"/>
          <cell r="F313"/>
        </row>
        <row r="314">
          <cell r="C314"/>
          <cell r="D314"/>
          <cell r="E314"/>
          <cell r="F314"/>
        </row>
        <row r="315">
          <cell r="C315"/>
          <cell r="D315"/>
          <cell r="E315"/>
          <cell r="F315"/>
        </row>
        <row r="316">
          <cell r="C316"/>
          <cell r="D316"/>
          <cell r="E316"/>
          <cell r="F316"/>
        </row>
        <row r="317">
          <cell r="C317"/>
          <cell r="D317"/>
          <cell r="E317"/>
          <cell r="F317"/>
        </row>
        <row r="318">
          <cell r="C318"/>
          <cell r="D318"/>
          <cell r="E318"/>
          <cell r="F318"/>
        </row>
        <row r="319">
          <cell r="C319"/>
          <cell r="D319"/>
          <cell r="E319"/>
          <cell r="F319"/>
        </row>
        <row r="320">
          <cell r="C320"/>
          <cell r="D320"/>
          <cell r="E320"/>
          <cell r="F320"/>
        </row>
        <row r="321">
          <cell r="C321"/>
          <cell r="D321"/>
          <cell r="E321"/>
          <cell r="F321"/>
        </row>
        <row r="322">
          <cell r="C322"/>
          <cell r="D322"/>
          <cell r="E322"/>
          <cell r="F322"/>
        </row>
        <row r="323">
          <cell r="C323"/>
          <cell r="D323"/>
          <cell r="E323"/>
          <cell r="F323"/>
        </row>
        <row r="324">
          <cell r="C324"/>
          <cell r="D324"/>
          <cell r="E324"/>
          <cell r="F324"/>
        </row>
        <row r="325">
          <cell r="C325"/>
          <cell r="D325"/>
          <cell r="E325"/>
          <cell r="F325"/>
        </row>
        <row r="326">
          <cell r="C326"/>
          <cell r="D326"/>
          <cell r="E326"/>
          <cell r="F326"/>
        </row>
        <row r="327">
          <cell r="C327"/>
          <cell r="D327"/>
          <cell r="E327"/>
          <cell r="F327"/>
        </row>
        <row r="328">
          <cell r="C328"/>
          <cell r="D328"/>
          <cell r="E328"/>
          <cell r="F328"/>
        </row>
        <row r="329">
          <cell r="C329"/>
          <cell r="D329"/>
          <cell r="E329"/>
          <cell r="F329"/>
        </row>
        <row r="330">
          <cell r="C330"/>
          <cell r="D330"/>
          <cell r="E330"/>
          <cell r="F330"/>
        </row>
        <row r="331">
          <cell r="C331"/>
          <cell r="D331"/>
          <cell r="E331"/>
          <cell r="F331"/>
        </row>
        <row r="332">
          <cell r="C332"/>
          <cell r="D332"/>
          <cell r="E332"/>
          <cell r="F332"/>
        </row>
        <row r="333">
          <cell r="C333"/>
          <cell r="D333"/>
          <cell r="E333"/>
          <cell r="F333"/>
        </row>
        <row r="334">
          <cell r="C334"/>
          <cell r="D334"/>
          <cell r="E334"/>
          <cell r="F334"/>
        </row>
        <row r="335">
          <cell r="C335"/>
          <cell r="D335"/>
          <cell r="E335"/>
          <cell r="F335"/>
        </row>
        <row r="336">
          <cell r="C336"/>
          <cell r="D336"/>
          <cell r="E336"/>
          <cell r="F336"/>
        </row>
        <row r="337">
          <cell r="C337"/>
          <cell r="D337"/>
          <cell r="E337"/>
          <cell r="F337"/>
        </row>
        <row r="338">
          <cell r="C338"/>
          <cell r="D338"/>
          <cell r="E338"/>
          <cell r="F338"/>
        </row>
        <row r="339">
          <cell r="C339"/>
          <cell r="D339"/>
          <cell r="E339"/>
          <cell r="F339"/>
        </row>
        <row r="340">
          <cell r="C340"/>
          <cell r="D340"/>
          <cell r="E340"/>
          <cell r="F340"/>
        </row>
        <row r="341">
          <cell r="C341"/>
          <cell r="D341"/>
          <cell r="E341"/>
          <cell r="F341"/>
        </row>
        <row r="342">
          <cell r="C342"/>
          <cell r="D342"/>
          <cell r="E342"/>
          <cell r="F342"/>
        </row>
        <row r="343">
          <cell r="C343"/>
          <cell r="D343"/>
          <cell r="E343"/>
          <cell r="F343"/>
        </row>
        <row r="344">
          <cell r="C344"/>
          <cell r="D344"/>
          <cell r="E344"/>
          <cell r="F344"/>
        </row>
        <row r="345">
          <cell r="C345"/>
          <cell r="D345"/>
          <cell r="E345"/>
          <cell r="F345"/>
        </row>
        <row r="346">
          <cell r="C346"/>
          <cell r="D346"/>
          <cell r="E346"/>
          <cell r="F346"/>
        </row>
        <row r="347">
          <cell r="C347"/>
          <cell r="D347"/>
          <cell r="E347"/>
          <cell r="F347"/>
        </row>
        <row r="348">
          <cell r="C348"/>
          <cell r="D348"/>
          <cell r="E348"/>
          <cell r="F348"/>
        </row>
        <row r="349">
          <cell r="C349"/>
          <cell r="D349"/>
          <cell r="E349"/>
          <cell r="F349"/>
        </row>
        <row r="350">
          <cell r="C350"/>
          <cell r="D350"/>
          <cell r="E350"/>
          <cell r="F350"/>
        </row>
        <row r="351">
          <cell r="C351"/>
          <cell r="D351"/>
          <cell r="E351"/>
          <cell r="F351"/>
        </row>
        <row r="352">
          <cell r="C352"/>
          <cell r="D352"/>
          <cell r="E352"/>
          <cell r="F352"/>
        </row>
        <row r="353">
          <cell r="C353"/>
          <cell r="D353"/>
          <cell r="E353"/>
          <cell r="F353"/>
        </row>
        <row r="354">
          <cell r="C354"/>
          <cell r="D354"/>
          <cell r="E354"/>
          <cell r="F354"/>
        </row>
        <row r="355">
          <cell r="C355"/>
          <cell r="D355"/>
          <cell r="E355"/>
          <cell r="F355"/>
        </row>
        <row r="356">
          <cell r="C356"/>
          <cell r="D356"/>
          <cell r="E356"/>
          <cell r="F356"/>
        </row>
        <row r="357">
          <cell r="C357"/>
          <cell r="D357"/>
          <cell r="E357"/>
          <cell r="F357"/>
        </row>
        <row r="358">
          <cell r="C358"/>
          <cell r="D358"/>
          <cell r="E358"/>
          <cell r="F358"/>
        </row>
        <row r="359">
          <cell r="C359"/>
          <cell r="D359"/>
          <cell r="E359"/>
          <cell r="F359"/>
        </row>
        <row r="360">
          <cell r="C360"/>
          <cell r="D360"/>
          <cell r="E360"/>
          <cell r="F360"/>
        </row>
        <row r="361">
          <cell r="C361"/>
          <cell r="D361"/>
          <cell r="E361"/>
          <cell r="F361"/>
        </row>
        <row r="362">
          <cell r="C362"/>
          <cell r="D362"/>
          <cell r="E362"/>
          <cell r="F362"/>
        </row>
        <row r="363">
          <cell r="C363"/>
          <cell r="D363"/>
          <cell r="E363"/>
          <cell r="F363"/>
        </row>
        <row r="364">
          <cell r="C364"/>
          <cell r="D364"/>
          <cell r="E364"/>
          <cell r="F364"/>
        </row>
        <row r="365">
          <cell r="C365"/>
          <cell r="D365"/>
          <cell r="E365"/>
          <cell r="F365"/>
        </row>
        <row r="366">
          <cell r="C366"/>
          <cell r="D366"/>
          <cell r="E366"/>
          <cell r="F366"/>
        </row>
        <row r="367">
          <cell r="C367"/>
          <cell r="D367"/>
          <cell r="E367"/>
          <cell r="F367"/>
        </row>
        <row r="368">
          <cell r="C368"/>
          <cell r="D368"/>
          <cell r="E368"/>
          <cell r="F368"/>
        </row>
        <row r="369">
          <cell r="C369"/>
          <cell r="D369"/>
          <cell r="E369"/>
          <cell r="F369"/>
        </row>
        <row r="370">
          <cell r="C370"/>
          <cell r="D370"/>
          <cell r="E370"/>
          <cell r="F370"/>
        </row>
        <row r="371">
          <cell r="C371"/>
          <cell r="D371"/>
          <cell r="E371"/>
          <cell r="F371"/>
        </row>
        <row r="372">
          <cell r="C372"/>
          <cell r="D372"/>
          <cell r="E372"/>
          <cell r="F372"/>
        </row>
        <row r="373">
          <cell r="C373"/>
          <cell r="D373"/>
          <cell r="E373"/>
          <cell r="F373"/>
        </row>
        <row r="374">
          <cell r="C374"/>
          <cell r="D374"/>
          <cell r="E374"/>
          <cell r="F374"/>
        </row>
        <row r="375">
          <cell r="C375"/>
          <cell r="D375"/>
          <cell r="E375"/>
          <cell r="F375"/>
        </row>
        <row r="376">
          <cell r="C376"/>
          <cell r="D376"/>
          <cell r="E376"/>
          <cell r="F376"/>
        </row>
        <row r="377">
          <cell r="C377"/>
          <cell r="D377"/>
          <cell r="E377"/>
          <cell r="F377"/>
        </row>
        <row r="378">
          <cell r="C378"/>
          <cell r="D378"/>
          <cell r="E378"/>
          <cell r="F378"/>
        </row>
        <row r="379">
          <cell r="C379"/>
          <cell r="D379"/>
          <cell r="E379"/>
          <cell r="F379"/>
        </row>
        <row r="380">
          <cell r="C380"/>
          <cell r="D380"/>
          <cell r="E380"/>
          <cell r="F380"/>
        </row>
        <row r="381">
          <cell r="C381"/>
          <cell r="D381"/>
          <cell r="E381"/>
          <cell r="F381"/>
        </row>
        <row r="382">
          <cell r="C382"/>
          <cell r="D382"/>
          <cell r="E382"/>
          <cell r="F382"/>
        </row>
        <row r="383">
          <cell r="C383"/>
          <cell r="D383"/>
          <cell r="E383"/>
          <cell r="F383"/>
        </row>
        <row r="384">
          <cell r="C384"/>
          <cell r="D384"/>
          <cell r="E384"/>
          <cell r="F384"/>
        </row>
        <row r="385">
          <cell r="C385"/>
          <cell r="D385"/>
          <cell r="E385"/>
          <cell r="F385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ltima fecha de Zarpe "/>
      <sheetName val="Datos Faena y Días"/>
      <sheetName val="Ponderación"/>
    </sheetNames>
    <sheetDataSet>
      <sheetData sheetId="0"/>
      <sheetData sheetId="1"/>
      <sheetData sheetId="2">
        <row r="3">
          <cell r="B3" t="str">
            <v>Agrosuper Asia</v>
          </cell>
          <cell r="C3">
            <v>0.55508221380240719</v>
          </cell>
          <cell r="D3">
            <v>0.3938052388111854</v>
          </cell>
          <cell r="E3">
            <v>0.3938052388111854</v>
          </cell>
          <cell r="F3">
            <v>-0.16127697499122179</v>
          </cell>
          <cell r="G3">
            <v>44754</v>
          </cell>
        </row>
        <row r="4">
          <cell r="B4" t="str">
            <v>Agrosuper Shanghai</v>
          </cell>
          <cell r="C4">
            <v>0.46003038686094999</v>
          </cell>
          <cell r="D4">
            <v>0.3938052388111854</v>
          </cell>
          <cell r="E4">
            <v>0.3938052388111854</v>
          </cell>
          <cell r="F4">
            <v>-6.6225148049764593E-2</v>
          </cell>
          <cell r="G4">
            <v>44754</v>
          </cell>
        </row>
        <row r="5">
          <cell r="B5" t="str">
            <v>Agro Sudamerica</v>
          </cell>
          <cell r="C5">
            <v>0.50755630033167853</v>
          </cell>
          <cell r="D5">
            <v>0.5154724771671565</v>
          </cell>
          <cell r="E5">
            <v>0.5154724771671565</v>
          </cell>
          <cell r="F5">
            <v>7.9161768354779616E-3</v>
          </cell>
          <cell r="G5">
            <v>44757</v>
          </cell>
        </row>
        <row r="6">
          <cell r="B6" t="str">
            <v>Exportacion Directa</v>
          </cell>
          <cell r="C6">
            <v>0.84127367677561793</v>
          </cell>
          <cell r="D6">
            <v>0.7577362385835783</v>
          </cell>
          <cell r="E6">
            <v>0.7577362385835783</v>
          </cell>
          <cell r="F6">
            <v>-8.3537438192039626E-2</v>
          </cell>
          <cell r="G6">
            <v>44765</v>
          </cell>
        </row>
        <row r="7">
          <cell r="B7" t="str">
            <v>Agrosuper Brasil</v>
          </cell>
          <cell r="C7">
            <v>0.79374776330488928</v>
          </cell>
          <cell r="D7">
            <v>0.74227818722130146</v>
          </cell>
          <cell r="E7">
            <v>0.74227818722130146</v>
          </cell>
          <cell r="F7">
            <v>-5.146957608358782E-2</v>
          </cell>
          <cell r="G7">
            <v>44764</v>
          </cell>
        </row>
        <row r="8">
          <cell r="B8" t="str">
            <v>Africa</v>
          </cell>
          <cell r="C8">
            <v>0.65</v>
          </cell>
          <cell r="D8">
            <v>0.65</v>
          </cell>
          <cell r="E8">
            <v>0.65</v>
          </cell>
          <cell r="G8"/>
        </row>
        <row r="9">
          <cell r="B9" t="str">
            <v>Agro Mexico</v>
          </cell>
          <cell r="C9">
            <v>0.55508221380240719</v>
          </cell>
          <cell r="D9">
            <v>0.5154724771671565</v>
          </cell>
          <cell r="G9">
            <v>44757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grosuper.sharepoint.com/sites/PlanesdeventaVVII/Shared%20Documents/General/Colaboraci&#243;n%20PV%20-%20Proyecci&#243;n/Semana%2020%20(Plan%20de%20ventas)/Pedidos%20por%20despachar%20-%20Distribuci&#243;n%20Inter%20-%20Log&#237;stic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grosuper.sharepoint.com/sites/PlanesdeventaVVII/Shared%20Documents/General/Colaboraci&#243;n%20PV%20-%20Proyecci&#243;n/Semana%2020%20(Plan%20de%20ventas)/Pedidos%20por%20despachar%20-%20Distribuci&#243;n%20Inter%20-%20Log&#237;stica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grosuper.sharepoint.com/sites/PlanesdeventaVVII/Shared%20Documents/General/Colaboraci&#243;n%20PV%20-%20Proyecci&#243;n/Semana%2020%20(Plan%20de%20ventas)/Pedidos%20por%20despachar%20-%20Distribuci&#243;n%20Inter%20-%20Log&#237;stica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grosuper.sharepoint.com/sites/PlanesdeventaVVII/Shared%20Documents/General/Colaboraci&#243;n%20PV%20-%20Proyecci&#243;n/Semana%2021%20(Planes%20de%20venta%20Junio)/Stock%20-%20Inventarios%20-%20Distribuci&#243;n%20Inter.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700.971378009257" createdVersion="7" refreshedVersion="7" minRefreshableVersion="3" recordCount="1147" xr:uid="{58AC1552-0C68-432F-8E51-9D2E38984145}">
  <cacheSource type="worksheet">
    <worksheetSource name="Tabla2" r:id="rId2"/>
  </cacheSource>
  <cacheFields count="12">
    <cacheField name="Oficina Material" numFmtId="0">
      <sharedItems containsBlank="1"/>
    </cacheField>
    <cacheField name="Oficina" numFmtId="0">
      <sharedItems containsBlank="1" count="8">
        <s v="AGROSUPER ASIA"/>
        <s v="AGROSUPER SHANGHAI"/>
        <s v="AGRO SUDAMERICA"/>
        <s v="AGRO AMERICA"/>
        <s v="AGRO MEXICO"/>
        <s v="ANDES ASIA"/>
        <s v="AGRO EUROPA"/>
        <m/>
      </sharedItems>
    </cacheField>
    <cacheField name="Tipo de venta" numFmtId="0">
      <sharedItems containsBlank="1" count="3">
        <s v="VVDD"/>
        <s v="VVLL"/>
        <m/>
      </sharedItems>
    </cacheField>
    <cacheField name="Pedido" numFmtId="0">
      <sharedItems containsString="0" containsBlank="1" containsNumber="1" containsInteger="1" minValue="40296143" maxValue="40326075" count="470">
        <n v="40325085"/>
        <n v="40325084"/>
        <n v="40325083"/>
        <n v="40325075"/>
        <n v="40325071"/>
        <n v="40325067"/>
        <n v="40325066"/>
        <n v="40325028"/>
        <n v="40325005"/>
        <n v="40325004"/>
        <n v="40324987"/>
        <n v="40324974"/>
        <n v="40324483"/>
        <n v="40324482"/>
        <n v="40324192"/>
        <n v="40324077"/>
        <n v="40324068"/>
        <n v="40324064"/>
        <n v="40324061"/>
        <n v="40324052"/>
        <n v="40324049"/>
        <n v="40324039"/>
        <n v="40324033"/>
        <n v="40324031"/>
        <n v="40324026"/>
        <n v="40324023"/>
        <n v="40324020"/>
        <n v="40324016"/>
        <n v="40324004"/>
        <n v="40324001"/>
        <n v="40323998"/>
        <n v="40323992"/>
        <n v="40323989"/>
        <n v="40323987"/>
        <n v="40323986"/>
        <n v="40323985"/>
        <n v="40323969"/>
        <n v="40323965"/>
        <n v="40323953"/>
        <n v="40323950"/>
        <n v="40323947"/>
        <n v="40323944"/>
        <n v="40323940"/>
        <n v="40323937"/>
        <n v="40323934"/>
        <n v="40323931"/>
        <n v="40323928"/>
        <n v="40323925"/>
        <n v="40323922"/>
        <n v="40323919"/>
        <n v="40322776"/>
        <n v="40322754"/>
        <n v="40322742"/>
        <n v="40322737"/>
        <n v="40322730"/>
        <n v="40322724"/>
        <n v="40322312"/>
        <n v="40322298"/>
        <n v="40322240"/>
        <n v="40322239"/>
        <n v="40322170"/>
        <n v="40322058"/>
        <n v="40322054"/>
        <n v="40321430"/>
        <n v="40321429"/>
        <n v="40321409"/>
        <n v="40320656"/>
        <n v="40320171"/>
        <n v="40320170"/>
        <n v="40320169"/>
        <n v="40319004"/>
        <n v="40318534"/>
        <n v="40318316"/>
        <n v="40318306"/>
        <n v="40318304"/>
        <n v="40318303"/>
        <n v="40318296"/>
        <n v="40318089"/>
        <n v="40317439"/>
        <n v="40317063"/>
        <n v="40316577"/>
        <n v="40316576"/>
        <n v="40316559"/>
        <n v="40316533"/>
        <n v="40316475"/>
        <n v="40316437"/>
        <n v="40316368"/>
        <n v="40316352"/>
        <n v="40316341"/>
        <n v="40316265"/>
        <n v="40316261"/>
        <n v="40314203"/>
        <n v="40313446"/>
        <n v="40311943"/>
        <n v="40311562"/>
        <n v="40311561"/>
        <n v="40311560"/>
        <n v="40311557"/>
        <n v="40311556"/>
        <n v="40309980"/>
        <n v="40298018"/>
        <n v="40298017"/>
        <n v="40324411"/>
        <n v="40324053"/>
        <n v="40324034"/>
        <n v="40324013"/>
        <n v="40324007"/>
        <n v="40323997"/>
        <n v="40323996"/>
        <n v="40323990"/>
        <n v="40323970"/>
        <n v="40323962"/>
        <n v="40323959"/>
        <n v="40323956"/>
        <n v="40323941"/>
        <n v="40323938"/>
        <n v="40323935"/>
        <n v="40323929"/>
        <n v="40323926"/>
        <n v="40323923"/>
        <n v="40323920"/>
        <n v="40323917"/>
        <n v="40323914"/>
        <n v="40321414"/>
        <n v="40321413"/>
        <n v="40321412"/>
        <n v="40321411"/>
        <n v="40321410"/>
        <n v="40320172"/>
        <n v="40318311"/>
        <n v="40316328"/>
        <n v="40313283"/>
        <n v="40313282"/>
        <n v="40311570"/>
        <n v="40311569"/>
        <n v="40311568"/>
        <n v="40311567"/>
        <n v="40311566"/>
        <n v="40311565"/>
        <n v="40311426"/>
        <n v="40325070"/>
        <n v="40324556"/>
        <n v="40324555"/>
        <n v="40322779"/>
        <n v="40322778"/>
        <n v="40322765"/>
        <n v="40322750"/>
        <n v="40322749"/>
        <n v="40322744"/>
        <n v="40322278"/>
        <n v="40322235"/>
        <n v="40322201"/>
        <n v="40322199"/>
        <n v="40322198"/>
        <n v="40322145"/>
        <n v="40322138"/>
        <n v="40322135"/>
        <n v="40322123"/>
        <n v="40322091"/>
        <n v="40322069"/>
        <n v="40322025"/>
        <n v="40322006"/>
        <n v="40322005"/>
        <n v="40321997"/>
        <n v="40321992"/>
        <n v="40321973"/>
        <n v="40320655"/>
        <n v="40318513"/>
        <n v="40316609"/>
        <n v="40316564"/>
        <n v="40316517"/>
        <n v="40316501"/>
        <n v="40316485"/>
        <n v="40315831"/>
        <n v="40315086"/>
        <n v="40315084"/>
        <n v="40315083"/>
        <n v="40313076"/>
        <n v="40312143"/>
        <n v="40311206"/>
        <n v="40303828"/>
        <n v="40301797"/>
        <n v="40324057"/>
        <n v="40324042"/>
        <n v="40324036"/>
        <n v="40323988"/>
        <n v="40323968"/>
        <n v="40319683"/>
        <n v="40316303"/>
        <n v="40325151"/>
        <n v="40325090"/>
        <n v="40325081"/>
        <n v="40325069"/>
        <n v="40325068"/>
        <n v="40325011"/>
        <n v="40325010"/>
        <n v="40325008"/>
        <n v="40325007"/>
        <n v="40325006"/>
        <n v="40324985"/>
        <n v="40322775"/>
        <n v="40322747"/>
        <n v="40322746"/>
        <n v="40322741"/>
        <n v="40322740"/>
        <n v="40322729"/>
        <n v="40322728"/>
        <n v="40322248"/>
        <n v="40322247"/>
        <n v="40322246"/>
        <n v="40322245"/>
        <n v="40322244"/>
        <n v="40322243"/>
        <n v="40322242"/>
        <n v="40322241"/>
        <n v="40322224"/>
        <n v="40322186"/>
        <n v="40322146"/>
        <n v="40322055"/>
        <n v="40322053"/>
        <n v="40322052"/>
        <n v="40322047"/>
        <n v="40322037"/>
        <n v="40322010"/>
        <n v="40320430"/>
        <n v="40317082"/>
        <n v="40317061"/>
        <n v="40316605"/>
        <n v="40316578"/>
        <n v="40316570"/>
        <n v="40316556"/>
        <n v="40316469"/>
        <n v="40316468"/>
        <n v="40316369"/>
        <n v="40315665"/>
        <n v="40311926"/>
        <n v="40325884"/>
        <n v="40325883"/>
        <n v="40325043"/>
        <n v="40324183"/>
        <n v="40324182"/>
        <n v="40324181"/>
        <n v="40324149"/>
        <n v="40324133"/>
        <n v="40324132"/>
        <n v="40324124"/>
        <n v="40324123"/>
        <n v="40324121"/>
        <n v="40324101"/>
        <n v="40324100"/>
        <n v="40324099"/>
        <n v="40324093"/>
        <n v="40324089"/>
        <n v="40324088"/>
        <n v="40323897"/>
        <n v="40323896"/>
        <n v="40323883"/>
        <n v="40323882"/>
        <n v="40323347"/>
        <n v="40323346"/>
        <n v="40323194"/>
        <n v="40323145"/>
        <n v="40323143"/>
        <n v="40323136"/>
        <n v="40323104"/>
        <n v="40323099"/>
        <n v="40323094"/>
        <n v="40322894"/>
        <n v="40322892"/>
        <n v="40322882"/>
        <n v="40322868"/>
        <n v="40322855"/>
        <n v="40322854"/>
        <n v="40322850"/>
        <n v="40322841"/>
        <n v="40322822"/>
        <n v="40322821"/>
        <n v="40322820"/>
        <n v="40322819"/>
        <n v="40320422"/>
        <n v="40320421"/>
        <n v="40320414"/>
        <n v="40320408"/>
        <n v="40320183"/>
        <n v="40320182"/>
        <n v="40320181"/>
        <n v="40320180"/>
        <n v="40318293"/>
        <n v="40317523"/>
        <n v="40317271"/>
        <n v="40317185"/>
        <n v="40317122"/>
        <n v="40317113"/>
        <n v="40315889"/>
        <n v="40315869"/>
        <n v="40312251"/>
        <n v="40311030"/>
        <n v="40301624"/>
        <n v="40296143"/>
        <n v="40325887"/>
        <n v="40325432"/>
        <n v="40324487"/>
        <n v="40324211"/>
        <n v="40324208"/>
        <n v="40324203"/>
        <n v="40323994"/>
        <n v="40322895"/>
        <n v="40322891"/>
        <n v="40321170"/>
        <n v="40320663"/>
        <n v="40319005"/>
        <n v="40317538"/>
        <n v="40317117"/>
        <n v="40314651"/>
        <n v="40314649"/>
        <n v="40324072"/>
        <n v="40323889"/>
        <n v="40323886"/>
        <n v="40323877"/>
        <n v="40323771"/>
        <n v="40323770"/>
        <n v="40323186"/>
        <n v="40323134"/>
        <n v="40323133"/>
        <n v="40323132"/>
        <n v="40322887"/>
        <n v="40321435"/>
        <n v="40320409"/>
        <n v="40319002"/>
        <n v="40319001"/>
        <n v="40318800"/>
        <n v="40317485"/>
        <n v="40317450"/>
        <n v="40317193"/>
        <n v="40317190"/>
        <n v="40317168"/>
        <n v="40316759"/>
        <n v="40316722"/>
        <n v="40315838"/>
        <n v="40314202"/>
        <n v="40314079"/>
        <n v="40313455"/>
        <n v="40313378"/>
        <n v="40309503"/>
        <n v="40308889"/>
        <n v="40308879"/>
        <n v="40308878"/>
        <n v="40308877"/>
        <n v="40308874"/>
        <n v="40304857"/>
        <n v="40302774"/>
        <n v="40302766"/>
        <n v="40302114"/>
        <n v="40324571"/>
        <n v="40324570"/>
        <n v="40324569"/>
        <n v="40324568"/>
        <n v="40324566"/>
        <n v="40324395"/>
        <n v="40322768"/>
        <n v="40322760"/>
        <n v="40322757"/>
        <n v="40322745"/>
        <n v="40322738"/>
        <n v="40322735"/>
        <n v="40322734"/>
        <n v="40322732"/>
        <n v="40322731"/>
        <n v="40322303"/>
        <n v="40322289"/>
        <n v="40322203"/>
        <n v="40322202"/>
        <n v="40322157"/>
        <n v="40322124"/>
        <n v="40322090"/>
        <n v="40322073"/>
        <n v="40322072"/>
        <n v="40322071"/>
        <n v="40322070"/>
        <n v="40318082"/>
        <n v="40317928"/>
        <n v="40316887"/>
        <n v="40316397"/>
        <n v="40316389"/>
        <n v="40316010"/>
        <n v="40307554"/>
        <n v="40301334"/>
        <n v="40301136"/>
        <n v="40324491"/>
        <n v="40321166"/>
        <n v="40316755"/>
        <n v="40316172"/>
        <n v="40315839"/>
        <n v="40323139"/>
        <n v="40323138"/>
        <n v="40322851"/>
        <n v="40317855"/>
        <n v="40310987"/>
        <n v="40324185"/>
        <n v="40323348"/>
        <n v="40323135"/>
        <n v="40322852"/>
        <n v="40322848"/>
        <n v="40317540"/>
        <n v="40317536"/>
        <n v="40317507"/>
        <n v="40325094"/>
        <n v="40324216"/>
        <n v="40324215"/>
        <n v="40324084"/>
        <n v="40323339"/>
        <n v="40323137"/>
        <n v="40323120"/>
        <n v="40322898"/>
        <n v="40322897"/>
        <n v="40322873"/>
        <n v="40322842"/>
        <n v="40321171"/>
        <n v="40318074"/>
        <n v="40318073"/>
        <n v="40318070"/>
        <n v="40317521"/>
        <n v="40317195"/>
        <n v="40317194"/>
        <n v="40317176"/>
        <n v="40317115"/>
        <n v="40316730"/>
        <n v="40313102"/>
        <n v="40311634"/>
        <n v="40311154"/>
        <n v="40310589"/>
        <n v="40310641"/>
        <n v="40313447"/>
        <n v="40315840"/>
        <n v="40315841"/>
        <n v="40316474"/>
        <n v="40317301"/>
        <n v="40321157"/>
        <n v="40321436"/>
        <n v="40322011"/>
        <n v="40322118"/>
        <n v="40322189"/>
        <n v="40322294"/>
        <n v="40322748"/>
        <n v="40323188"/>
        <n v="40323343"/>
        <n v="40323757"/>
        <n v="40323881"/>
        <n v="40323884"/>
        <n v="40323915"/>
        <n v="40323945"/>
        <n v="40323948"/>
        <n v="40324014"/>
        <n v="40324062"/>
        <n v="40324071"/>
        <n v="40324200"/>
        <n v="40324212"/>
        <n v="40324484"/>
        <n v="40324489"/>
        <n v="40324549"/>
        <n v="40324550"/>
        <n v="40324551"/>
        <n v="40324552"/>
        <n v="40324553"/>
        <n v="40324981"/>
        <n v="40325012"/>
        <n v="40325013"/>
        <n v="40325152"/>
        <n v="40326075"/>
        <m/>
      </sharedItems>
    </cacheField>
    <cacheField name="Status del pedido" numFmtId="0">
      <sharedItems containsBlank="1" count="3">
        <s v="DESPACHADO"/>
        <s v="PROGRAMADO"/>
        <m/>
      </sharedItems>
    </cacheField>
    <cacheField name="Material" numFmtId="0">
      <sharedItems containsString="0" containsBlank="1" containsNumber="1" containsInteger="1" minValue="1010877" maxValue="1100574" count="197">
        <n v="1021012"/>
        <n v="1023037"/>
        <n v="1022887"/>
        <n v="1022930"/>
        <n v="1022885"/>
        <n v="1030686"/>
        <n v="1012763"/>
        <n v="1022619"/>
        <n v="1020828"/>
        <n v="1030658"/>
        <n v="1030337"/>
        <n v="1023343"/>
        <n v="1023302"/>
        <n v="1021874"/>
        <n v="1020412"/>
        <n v="1021555"/>
        <n v="1021272"/>
        <n v="1021270"/>
        <n v="1012788"/>
        <n v="1011150"/>
        <n v="1012278"/>
        <n v="1011127"/>
        <n v="1021735"/>
        <n v="1022541"/>
        <n v="1022637"/>
        <n v="1022748"/>
        <n v="1022856"/>
        <n v="1021905"/>
        <n v="1030683"/>
        <n v="1022639"/>
        <n v="1021766"/>
        <n v="1021732"/>
        <n v="1022914"/>
        <n v="1022767"/>
        <n v="1021936"/>
        <n v="1012764"/>
        <n v="1020944"/>
        <n v="1022142"/>
        <n v="1022398"/>
        <n v="1022515"/>
        <n v="1022751"/>
        <n v="1022863"/>
        <n v="1022864"/>
        <n v="1022865"/>
        <n v="1021925"/>
        <n v="1021924"/>
        <n v="1021921"/>
        <n v="1023265"/>
        <n v="1022621"/>
        <n v="1022918"/>
        <n v="1021731"/>
        <n v="1012518"/>
        <n v="1021664"/>
        <n v="1022169"/>
        <n v="1023034"/>
        <n v="1023306"/>
        <n v="1022941"/>
        <n v="1012534"/>
        <n v="1021976"/>
        <n v="1012326"/>
        <n v="1021931"/>
        <n v="1021952"/>
        <n v="1022866"/>
        <n v="1022561"/>
        <n v="1021987"/>
        <n v="1022413"/>
        <n v="1022570"/>
        <n v="1023123"/>
        <n v="1023184"/>
        <n v="1022141"/>
        <n v="1022907"/>
        <n v="1021596"/>
        <n v="1023102"/>
        <n v="1022989"/>
        <n v="1021026"/>
        <n v="1022101"/>
        <n v="1021260"/>
        <n v="1012612"/>
        <n v="1022183"/>
        <n v="1012455"/>
        <n v="1011586"/>
        <n v="1030685"/>
        <n v="1022212"/>
        <n v="1022417"/>
        <n v="1022388"/>
        <n v="1023093"/>
        <n v="1021774"/>
        <n v="1022099"/>
        <n v="1021767"/>
        <n v="1022940"/>
        <n v="1012503"/>
        <n v="1012448"/>
        <n v="1011969"/>
        <n v="1022096"/>
        <n v="1022125"/>
        <n v="1021738"/>
        <n v="1012451"/>
        <n v="1022291"/>
        <n v="1023291"/>
        <n v="1021115"/>
        <n v="1030792"/>
        <n v="1023324"/>
        <n v="1023038"/>
        <n v="1030535"/>
        <n v="1021150"/>
        <n v="1022414"/>
        <n v="1022381"/>
        <n v="1023111"/>
        <n v="1021149"/>
        <n v="1022640"/>
        <n v="1022080"/>
        <n v="1022753"/>
        <n v="1022607"/>
        <n v="1012163"/>
        <n v="1012164"/>
        <n v="1012161"/>
        <n v="1012159"/>
        <n v="1023190"/>
        <n v="1030773"/>
        <n v="1012147"/>
        <n v="1012167"/>
        <n v="1012145"/>
        <n v="1012109"/>
        <n v="1012108"/>
        <n v="1012601"/>
        <n v="1023353"/>
        <n v="1022858"/>
        <n v="1012483"/>
        <n v="1021023"/>
        <n v="1030379"/>
        <n v="1021538"/>
        <n v="1012158"/>
        <n v="1012165"/>
        <n v="1010885"/>
        <n v="1012110"/>
        <n v="1012522"/>
        <n v="1012521"/>
        <n v="1011701"/>
        <n v="1030224"/>
        <n v="1012207"/>
        <n v="1010877"/>
        <n v="1021398"/>
        <n v="1012488"/>
        <n v="1012724"/>
        <n v="1012730"/>
        <n v="1012532"/>
        <n v="1012107"/>
        <n v="1010888"/>
        <n v="1011748"/>
        <n v="1012112"/>
        <n v="1012524"/>
        <n v="1012745"/>
        <n v="1021092"/>
        <n v="1011421"/>
        <n v="1030670"/>
        <n v="1021385"/>
        <n v="1030355"/>
        <n v="1021433"/>
        <n v="1020853"/>
        <n v="1011558"/>
        <n v="1012719"/>
        <n v="1021263"/>
        <n v="1030265"/>
        <n v="1021622"/>
        <n v="1021623"/>
        <n v="1022384"/>
        <n v="1021639"/>
        <n v="1030424"/>
        <n v="1030388"/>
        <n v="1012527"/>
        <n v="1011967"/>
        <n v="1023283"/>
        <n v="1022945"/>
        <n v="1023307"/>
        <n v="1012778"/>
        <n v="1011582"/>
        <n v="1021187"/>
        <n v="1010886"/>
        <n v="1011250"/>
        <n v="1100574"/>
        <n v="1100573"/>
        <n v="1012038"/>
        <n v="1030239"/>
        <n v="1012523"/>
        <n v="1023276"/>
        <n v="1023274"/>
        <n v="1012115"/>
        <n v="1021105"/>
        <n v="1030784"/>
        <n v="1030360"/>
        <n v="1012556"/>
        <n v="1022636"/>
        <n v="1022709"/>
        <n v="1012283"/>
        <n v="1023110"/>
        <n v="1011105"/>
        <m/>
      </sharedItems>
    </cacheField>
    <cacheField name="Nave" numFmtId="0">
      <sharedItems containsBlank="1" count="20">
        <s v="MSC JEWEL"/>
        <s v="MSC ELISA"/>
        <s v="CISNES"/>
        <s v="SEASPAN OCEANIA"/>
        <s v="MAERSK SALINA"/>
        <s v="MSC AINO"/>
        <s v="CMA CGM ARKANSAS"/>
        <s v="COSCO SHIPPING VOLGA"/>
        <s v="EVER LEGEND"/>
        <s v="GSL ELEFTHERIA"/>
        <s v="MAERSK BRATAN"/>
        <s v="MAERSK BUTON"/>
        <s v="MAERSK LAUNCESTON"/>
        <s v="EVER LEGEND 0569-050W"/>
        <s v="MSC ELISA FA218R"/>
        <s v="CMA CGM ARKANSAS 2216N"/>
        <s v="MAERSK BRATAN 220N"/>
        <s v="CMA CGM ARKANSAS / 0WCBWN1MA"/>
        <s v="MSC ELISA FA212A"/>
        <m/>
      </sharedItems>
    </cacheField>
    <cacheField name="Pto Destino" numFmtId="0">
      <sharedItems containsBlank="1" containsMixedTypes="1" containsNumber="1" containsInteger="1" minValue="162" maxValue="162"/>
    </cacheField>
    <cacheField name="ETD" numFmtId="14">
      <sharedItems containsDate="1" containsBlank="1" containsMixedTypes="1" minDate="2022-05-20T00:00:00" maxDate="1900-01-08T23:50:04" count="20">
        <d v="2022-05-20T00:00:00"/>
        <m/>
        <d v="2022-05-29T00:00:00"/>
        <d v="2022-05-22T00:00:00"/>
        <d v="2022-05-25T00:00:00"/>
        <d v="2022-05-21T00:00:00"/>
        <d v="2022-05-27T00:00:00"/>
        <d v="2022-05-23T00:00:00"/>
        <s v="5-25-2022"/>
        <s v="5-29-2022"/>
        <s v="5-28-2022"/>
        <s v="5-27-2022"/>
        <s v="5-24-2022"/>
        <n v="44701" u="1"/>
        <n v="44710" u="1"/>
        <n v="44708" u="1"/>
        <n v="44706" u="1"/>
        <n v="44704" u="1"/>
        <n v="44702" u="1"/>
        <n v="44703" u="1"/>
      </sharedItems>
    </cacheField>
    <cacheField name="Naviera" numFmtId="0">
      <sharedItems containsBlank="1" count="10">
        <s v="HAPAG LLOYD"/>
        <s v="ONE"/>
        <s v="MSC"/>
        <s v="CMA CGM"/>
        <s v="COSCO"/>
        <s v="MAERSK"/>
        <s v="HAMBURG SUD"/>
        <s v="EVERGREEN"/>
        <s v="SEALAND"/>
        <m/>
      </sharedItems>
    </cacheField>
    <cacheField name="Kilos" numFmtId="165">
      <sharedItems containsString="0" containsBlank="1" containsNumber="1" minValue="0" maxValue="52943.85"/>
    </cacheField>
    <cacheField name="Ubicación (puerto / Planta)" numFmtId="0">
      <sharedItems containsBlank="1" count="3">
        <s v="Puerto"/>
        <s v="Plan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701.492066782404" createdVersion="7" refreshedVersion="7" minRefreshableVersion="3" recordCount="1700" xr:uid="{98A90BD0-7D94-4EA4-9419-6F7CC94914F4}">
  <cacheSource type="worksheet">
    <worksheetSource name="Tabla24" r:id="rId2"/>
  </cacheSource>
  <cacheFields count="16">
    <cacheField name="Oficina" numFmtId="0">
      <sharedItems containsBlank="1" count="6">
        <s v="AGROSUPER BRASIL"/>
        <s v="AGRO SUDAMERICA"/>
        <s v="EXPORTACION DIRECTA"/>
        <s v="AGROSUPER SHANGHAI"/>
        <s v="AGROSUPER ASIA"/>
        <m/>
      </sharedItems>
    </cacheField>
    <cacheField name="Sector" numFmtId="0">
      <sharedItems containsString="0" containsBlank="1" containsNumber="1" containsInteger="1" minValue="1" maxValue="3" count="4">
        <n v="2"/>
        <n v="1"/>
        <n v="3"/>
        <m/>
      </sharedItems>
    </cacheField>
    <cacheField name="Pedido" numFmtId="0">
      <sharedItems containsString="0" containsBlank="1" containsNumber="1" containsInteger="1" minValue="40302775" maxValue="40325909" count="396">
        <n v="40303932"/>
        <n v="40305195"/>
        <n v="40317552"/>
        <n v="40317553"/>
        <n v="40317554"/>
        <n v="40317555"/>
        <n v="40317556"/>
        <n v="40317897"/>
        <n v="40317898"/>
        <n v="40317899"/>
        <n v="40317900"/>
        <n v="40317901"/>
        <n v="40317902"/>
        <n v="40317904"/>
        <n v="40317908"/>
        <n v="40323652"/>
        <n v="40323653"/>
        <n v="40308880"/>
        <n v="40308881"/>
        <n v="40308891"/>
        <n v="40308892"/>
        <n v="40308893"/>
        <n v="40314068"/>
        <n v="40314076"/>
        <n v="40314078"/>
        <n v="40314080"/>
        <n v="40314081"/>
        <n v="40314082"/>
        <n v="40314084"/>
        <n v="40318181"/>
        <n v="40320628"/>
        <n v="40320910"/>
        <n v="40321157"/>
        <n v="40321158"/>
        <n v="40321159"/>
        <n v="40321160"/>
        <n v="40321172"/>
        <n v="40321173"/>
        <n v="40321454"/>
        <n v="40322319"/>
        <n v="40322320"/>
        <n v="40323641"/>
        <n v="40323661"/>
        <n v="40323662"/>
        <n v="40323757"/>
        <n v="40324085"/>
        <n v="40324478"/>
        <n v="40325056"/>
        <n v="40302775"/>
        <n v="40304735"/>
        <n v="40305532"/>
        <n v="40307456"/>
        <n v="40308766"/>
        <n v="40308782"/>
        <n v="40308783"/>
        <n v="40309591"/>
        <n v="40311323"/>
        <n v="40311433"/>
        <n v="40311446"/>
        <n v="40312529"/>
        <n v="40312852"/>
        <n v="40313092"/>
        <n v="40313093"/>
        <n v="40313444"/>
        <n v="40313445"/>
        <n v="40313448"/>
        <n v="40313457"/>
        <n v="40314168"/>
        <n v="40314169"/>
        <n v="40314170"/>
        <n v="40314171"/>
        <n v="40314196"/>
        <n v="40314653"/>
        <n v="40315352"/>
        <n v="40316170"/>
        <n v="40316721"/>
        <n v="40318366"/>
        <n v="40318371"/>
        <n v="40318386"/>
        <n v="40318539"/>
        <n v="40318801"/>
        <n v="40320629"/>
        <n v="40321175"/>
        <n v="40323177"/>
        <n v="40323185"/>
        <n v="40323190"/>
        <n v="40323192"/>
        <n v="40323193"/>
        <n v="40323200"/>
        <n v="40323659"/>
        <n v="40323665"/>
        <n v="40323756"/>
        <n v="40323761"/>
        <n v="40323762"/>
        <n v="40323763"/>
        <n v="40323764"/>
        <n v="40323765"/>
        <n v="40324199"/>
        <n v="40324200"/>
        <n v="40324201"/>
        <n v="40324204"/>
        <n v="40324205"/>
        <n v="40324206"/>
        <n v="40324207"/>
        <n v="40324209"/>
        <n v="40324210"/>
        <n v="40324212"/>
        <n v="40325113"/>
        <n v="40325115"/>
        <n v="40323181"/>
        <n v="40314137"/>
        <n v="40319247"/>
        <n v="40319250"/>
        <n v="40319256"/>
        <n v="40319257"/>
        <n v="40319262"/>
        <n v="40319263"/>
        <n v="40319268"/>
        <n v="40319269"/>
        <n v="40319270"/>
        <n v="40319271"/>
        <n v="40319275"/>
        <n v="40325154"/>
        <n v="40325162"/>
        <n v="40325163"/>
        <n v="40325577"/>
        <n v="40325593"/>
        <n v="40325604"/>
        <n v="40325606"/>
        <n v="40325609"/>
        <n v="40325613"/>
        <n v="40325618"/>
        <n v="40325622"/>
        <n v="40325626"/>
        <n v="40325627"/>
        <n v="40325628"/>
        <n v="40325636"/>
        <n v="40325639"/>
        <n v="40325647"/>
        <n v="40313077"/>
        <n v="40316390"/>
        <n v="40320653"/>
        <n v="40321977"/>
        <n v="40321979"/>
        <n v="40321988"/>
        <n v="40322000"/>
        <n v="40322001"/>
        <n v="40322002"/>
        <n v="40322003"/>
        <n v="40322304"/>
        <n v="40322305"/>
        <n v="40322766"/>
        <n v="40322767"/>
        <n v="40322786"/>
        <n v="40310641"/>
        <n v="40316367"/>
        <n v="40316460"/>
        <n v="40316470"/>
        <n v="40316471"/>
        <n v="40316476"/>
        <n v="40316502"/>
        <n v="40316521"/>
        <n v="40316566"/>
        <n v="40316569"/>
        <n v="40316573"/>
        <n v="40316580"/>
        <n v="40316674"/>
        <n v="40316675"/>
        <n v="40316883"/>
        <n v="40320646"/>
        <n v="40321149"/>
        <n v="40321974"/>
        <n v="40321975"/>
        <n v="40322007"/>
        <n v="40322012"/>
        <n v="40322013"/>
        <n v="40322014"/>
        <n v="40322015"/>
        <n v="40322016"/>
        <n v="40322017"/>
        <n v="40322018"/>
        <n v="40322019"/>
        <n v="40322029"/>
        <n v="40322031"/>
        <n v="40322032"/>
        <n v="40322033"/>
        <n v="40322042"/>
        <n v="40322048"/>
        <n v="40322050"/>
        <n v="40322051"/>
        <n v="40322056"/>
        <n v="40322057"/>
        <n v="40322059"/>
        <n v="40322060"/>
        <n v="40322061"/>
        <n v="40322062"/>
        <n v="40322063"/>
        <n v="40322064"/>
        <n v="40322066"/>
        <n v="40322074"/>
        <n v="40322079"/>
        <n v="40322080"/>
        <n v="40322082"/>
        <n v="40322084"/>
        <n v="40322085"/>
        <n v="40322086"/>
        <n v="40322087"/>
        <n v="40322088"/>
        <n v="40322089"/>
        <n v="40322092"/>
        <n v="40322094"/>
        <n v="40322096"/>
        <n v="40322099"/>
        <n v="40322101"/>
        <n v="40322102"/>
        <n v="40322103"/>
        <n v="40322104"/>
        <n v="40322105"/>
        <n v="40322106"/>
        <n v="40322107"/>
        <n v="40322108"/>
        <n v="40322109"/>
        <n v="40322110"/>
        <n v="40322111"/>
        <n v="40322116"/>
        <n v="40322118"/>
        <n v="40322119"/>
        <n v="40322120"/>
        <n v="40322121"/>
        <n v="40322125"/>
        <n v="40322126"/>
        <n v="40322129"/>
        <n v="40322130"/>
        <n v="40322131"/>
        <n v="40322132"/>
        <n v="40322133"/>
        <n v="40322136"/>
        <n v="40322139"/>
        <n v="40322140"/>
        <n v="40322141"/>
        <n v="40322142"/>
        <n v="40322147"/>
        <n v="40322148"/>
        <n v="40322149"/>
        <n v="40322153"/>
        <n v="40322156"/>
        <n v="40322158"/>
        <n v="40322159"/>
        <n v="40322160"/>
        <n v="40322161"/>
        <n v="40322162"/>
        <n v="40322163"/>
        <n v="40322164"/>
        <n v="40322172"/>
        <n v="40322173"/>
        <n v="40322176"/>
        <n v="40322179"/>
        <n v="40322183"/>
        <n v="40322184"/>
        <n v="40322188"/>
        <n v="40322189"/>
        <n v="40322190"/>
        <n v="40322191"/>
        <n v="40322192"/>
        <n v="40322194"/>
        <n v="40322195"/>
        <n v="40322196"/>
        <n v="40322197"/>
        <n v="40322204"/>
        <n v="40322205"/>
        <n v="40322206"/>
        <n v="40322207"/>
        <n v="40322208"/>
        <n v="40322209"/>
        <n v="40322210"/>
        <n v="40322211"/>
        <n v="40322212"/>
        <n v="40322214"/>
        <n v="40322225"/>
        <n v="40322226"/>
        <n v="40322227"/>
        <n v="40322249"/>
        <n v="40322250"/>
        <n v="40322251"/>
        <n v="40322252"/>
        <n v="40322253"/>
        <n v="40322254"/>
        <n v="40322255"/>
        <n v="40322256"/>
        <n v="40322257"/>
        <n v="40322258"/>
        <n v="40322259"/>
        <n v="40322260"/>
        <n v="40322261"/>
        <n v="40322262"/>
        <n v="40322263"/>
        <n v="40322264"/>
        <n v="40322265"/>
        <n v="40322267"/>
        <n v="40322275"/>
        <n v="40322723"/>
        <n v="40322725"/>
        <n v="40322726"/>
        <n v="40322727"/>
        <n v="40322736"/>
        <n v="40322739"/>
        <n v="40322752"/>
        <n v="40322753"/>
        <n v="40322756"/>
        <n v="40322758"/>
        <n v="40322759"/>
        <n v="40322762"/>
        <n v="40322763"/>
        <n v="40322764"/>
        <n v="40322771"/>
        <n v="40322772"/>
        <n v="40322773"/>
        <n v="40322774"/>
        <n v="40322780"/>
        <n v="40322781"/>
        <n v="40324390"/>
        <n v="40324391"/>
        <n v="40324392"/>
        <n v="40324404"/>
        <n v="40324405"/>
        <n v="40324406"/>
        <n v="40324975"/>
        <n v="40324980"/>
        <n v="40324982"/>
        <n v="40324983"/>
        <n v="40324984"/>
        <n v="40325909"/>
        <n v="40322291"/>
        <n v="40322292"/>
        <n v="40315085"/>
        <n v="40324526"/>
        <n v="40324527"/>
        <n v="40324528"/>
        <n v="40324529"/>
        <n v="40324530"/>
        <n v="40324531"/>
        <n v="40324532"/>
        <n v="40324533"/>
        <n v="40324535"/>
        <n v="40324538"/>
        <n v="40324539"/>
        <n v="40324540"/>
        <n v="40324541"/>
        <n v="40324542"/>
        <n v="40324549"/>
        <n v="40324550"/>
        <n v="40324551"/>
        <n v="40324552"/>
        <n v="40324553"/>
        <n v="40324554"/>
        <n v="40312153"/>
        <n v="40312154"/>
        <n v="40315654"/>
        <n v="40315664"/>
        <n v="40315669"/>
        <n v="40315818"/>
        <n v="40315828"/>
        <n v="40317060"/>
        <n v="40318994"/>
        <n v="40324544"/>
        <n v="40324574"/>
        <n v="40324576"/>
        <n v="40324989"/>
        <n v="40324993"/>
        <n v="40324996"/>
        <n v="40324997"/>
        <n v="40324998"/>
        <n v="40325009"/>
        <n v="40325014"/>
        <n v="40325015"/>
        <n v="40325016"/>
        <n v="40325017"/>
        <n v="40325018"/>
        <n v="40325019"/>
        <n v="40325020"/>
        <n v="40325021"/>
        <n v="40325022"/>
        <n v="40325065"/>
        <n v="40325077"/>
        <n v="40325078"/>
        <n v="40325079"/>
        <n v="40325080"/>
        <n v="40325148"/>
        <n v="40325149"/>
        <n v="40325150"/>
        <n v="40325152"/>
        <n v="40325377"/>
        <n v="40325378"/>
        <n v="40325379"/>
        <n v="40325380"/>
        <m/>
      </sharedItems>
    </cacheField>
    <cacheField name="Status" numFmtId="0">
      <sharedItems containsBlank="1" count="3">
        <s v="CONFIRMADO"/>
        <s v="A PROGRAMAR"/>
        <m/>
      </sharedItems>
    </cacheField>
    <cacheField name="Pto Destino" numFmtId="0">
      <sharedItems containsBlank="1" count="28">
        <s v="000322 SANTA CATARINA , TERRES"/>
        <s v="000314 ITÁ, TERRESTRE"/>
        <s v="000312 SÃO BORJA , TERRESTRE"/>
        <s v="000218 CARTAGENA, PUERTO"/>
        <s v="000059 CALLAO, PUERTO"/>
        <s v="000435 MANZANILLO, PANAMA"/>
        <s v="000074 MONTEVIDEO, TERRESTRE"/>
        <s v="000158 CAUCEDO, PUERTO"/>
        <s v="000027 GUAYAQUIL, PUERTO"/>
        <s v="000541 POSORJA, PUERTO"/>
        <s v="000206 CALDERA, PUERTO"/>
        <s v="000009 COMODORO RIVADAVIA, TER"/>
        <s v="000061 SAN JUAN, PUERTO MARÍTI"/>
        <s v="000023 BUENAVENTURA, PUERTO"/>
        <s v="4000 OSAKA(JAPÓN)"/>
        <s v="1000 TOKYO (ADUANA PRINCIPAL)J"/>
        <s v="6040 HAKATA(JAPÓN)"/>
        <s v="000020 YANTIAN, CHINA"/>
        <s v="000209 NANSHA, PUERTO"/>
        <s v="000302 TIANJIN XINGANG, CHINA"/>
        <s v="000021 SHANGHAI, CHINA"/>
        <s v="000087 QINGDAO, PUERTO"/>
        <s v="000382 NINGBO, PUERTO"/>
        <s v="000162 MANILA, PUERTO"/>
        <s v="000522 CEBU, PHILIPPINES"/>
        <s v="000045 BUSAN {PUSAN}, PUERTO"/>
        <s v="000205 SINGAPUR, PUERTO"/>
        <m/>
      </sharedItems>
    </cacheField>
    <cacheField name="Tipo venta" numFmtId="0">
      <sharedItems containsBlank="1" count="3">
        <s v="EX"/>
        <s v="NA"/>
        <m/>
      </sharedItems>
    </cacheField>
    <cacheField name="Material" numFmtId="0">
      <sharedItems containsString="0" containsBlank="1" containsNumber="1" containsInteger="1" minValue="1010877" maxValue="1030720" count="151">
        <n v="1022218"/>
        <n v="1023336"/>
        <n v="1023334"/>
        <n v="1022217"/>
        <n v="1022273"/>
        <n v="1011421"/>
        <n v="1011558"/>
        <n v="1012719"/>
        <n v="1011290"/>
        <n v="1012207"/>
        <n v="1010877"/>
        <n v="1012362"/>
        <n v="1011042"/>
        <n v="1012552"/>
        <n v="1021639"/>
        <n v="1022847"/>
        <n v="1021385"/>
        <n v="1022855"/>
        <n v="1023329"/>
        <n v="1021078"/>
        <n v="1020352"/>
        <n v="1021819"/>
        <n v="1020848"/>
        <n v="1021976"/>
        <n v="1021092"/>
        <n v="1020367"/>
        <n v="1020412"/>
        <n v="1021077"/>
        <n v="1020944"/>
        <n v="1020349"/>
        <n v="1022150"/>
        <n v="1021082"/>
        <n v="1021039"/>
        <n v="1021101"/>
        <n v="1022409"/>
        <n v="1022709"/>
        <n v="1023355"/>
        <n v="1021023"/>
        <n v="1030720"/>
        <n v="1020110"/>
        <n v="1020592"/>
        <n v="1020636"/>
        <n v="1020637"/>
        <n v="1020758"/>
        <n v="1020810"/>
        <n v="1022901"/>
        <n v="1023194"/>
        <n v="1023301"/>
        <n v="1020105"/>
        <n v="1020589"/>
        <n v="1023352"/>
        <n v="1022472"/>
        <n v="1021603"/>
        <n v="1022587"/>
        <n v="1022326"/>
        <n v="1023349"/>
        <n v="1020802"/>
        <n v="1023350"/>
        <n v="1020662"/>
        <n v="1020731"/>
        <n v="1020326"/>
        <n v="1022919"/>
        <n v="1021533"/>
        <n v="1020620"/>
        <n v="1022499"/>
        <n v="1020914"/>
        <n v="1023163"/>
        <n v="1020774"/>
        <n v="1020284"/>
        <n v="1020681"/>
        <n v="1020990"/>
        <n v="1022370"/>
        <n v="1022664"/>
        <n v="1022931"/>
        <n v="1020665"/>
        <n v="1020991"/>
        <n v="1022371"/>
        <n v="1022313"/>
        <n v="1012451"/>
        <n v="1011967"/>
        <n v="1011968"/>
        <n v="1012503"/>
        <n v="1011586"/>
        <n v="1012504"/>
        <n v="1011969"/>
        <n v="1012455"/>
        <n v="1022640"/>
        <n v="1022193"/>
        <n v="1023093"/>
        <n v="1021731"/>
        <n v="1022753"/>
        <n v="1021735"/>
        <n v="1022748"/>
        <n v="1022183"/>
        <n v="1022388"/>
        <n v="1022096"/>
        <n v="1022080"/>
        <n v="1022414"/>
        <n v="1022373"/>
        <n v="1022099"/>
        <n v="1022381"/>
        <n v="1022856"/>
        <n v="1021738"/>
        <n v="1021971"/>
        <n v="1022940"/>
        <n v="1023362"/>
        <n v="1023363"/>
        <n v="1023368"/>
        <n v="1022125"/>
        <n v="1021767"/>
        <n v="1022568"/>
        <n v="1022541"/>
        <n v="1021732"/>
        <n v="1021737"/>
        <n v="1022636"/>
        <n v="1021774"/>
        <n v="1022945"/>
        <n v="1022417"/>
        <n v="1023306"/>
        <n v="1021766"/>
        <n v="1022637"/>
        <n v="1022169"/>
        <n v="1022033"/>
        <n v="1022212"/>
        <n v="1022639"/>
        <n v="1022186"/>
        <n v="1022378"/>
        <n v="1022291"/>
        <n v="1023291"/>
        <n v="1023110"/>
        <n v="1030683"/>
        <n v="1012612"/>
        <n v="1023283"/>
        <n v="1021665"/>
        <n v="1021470"/>
        <n v="1020860"/>
        <n v="1023037"/>
        <n v="1023038"/>
        <n v="1023397"/>
        <n v="1021046"/>
        <n v="1021655"/>
        <n v="1023144"/>
        <n v="1023307"/>
        <n v="1023326"/>
        <n v="1023183"/>
        <n v="1020861"/>
        <n v="1021149"/>
        <n v="1022885"/>
        <n v="1022887"/>
        <n v="1021012"/>
        <m/>
      </sharedItems>
    </cacheField>
    <cacheField name="Descripción" numFmtId="0">
      <sharedItems containsBlank="1"/>
    </cacheField>
    <cacheField name="Nivel 2" numFmtId="0">
      <sharedItems containsBlank="1"/>
    </cacheField>
    <cacheField name="Fecha programa" numFmtId="0">
      <sharedItems containsNonDate="0" containsDate="1" containsString="0" containsBlank="1" minDate="2022-05-20T00:00:00" maxDate="2022-06-03T00:00:00" count="15">
        <d v="2022-06-01T00:00:00"/>
        <d v="2022-05-26T00:00:00"/>
        <d v="2022-05-21T00:00:00"/>
        <d v="2022-05-25T00:00:00"/>
        <d v="2022-05-27T00:00:00"/>
        <d v="2022-05-28T00:00:00"/>
        <d v="2022-05-20T00:00:00"/>
        <d v="2022-06-02T00:00:00"/>
        <d v="2022-05-24T00:00:00"/>
        <d v="2022-05-31T00:00:00"/>
        <d v="2022-05-22T00:00:00"/>
        <d v="2022-05-29T00:00:00"/>
        <d v="2022-05-30T00:00:00"/>
        <d v="2022-05-23T00:00:00"/>
        <m/>
      </sharedItems>
    </cacheField>
    <cacheField name="Cuantos centros " numFmtId="0">
      <sharedItems containsString="0" containsBlank="1" containsNumber="1" containsInteger="1" minValue="1" maxValue="6" count="7">
        <n v="1"/>
        <n v="2"/>
        <n v="3"/>
        <n v="4"/>
        <n v="5"/>
        <n v="6"/>
        <m/>
      </sharedItems>
    </cacheField>
    <cacheField name="Kilos stock" numFmtId="0">
      <sharedItems containsString="0" containsBlank="1" containsNumber="1" containsInteger="1" minValue="0" maxValue="25000"/>
    </cacheField>
    <cacheField name="Congelando" numFmtId="0">
      <sharedItems containsString="0" containsBlank="1" containsNumber="1" minValue="0" maxValue="24000" count="23">
        <n v="0"/>
        <n v="24000"/>
        <n v="23000"/>
        <n v="6000"/>
        <n v="11000"/>
        <n v="4000"/>
        <n v="3000"/>
        <n v="4850"/>
        <n v="2000"/>
        <n v="2150"/>
        <n v="5000"/>
        <n v="500"/>
        <n v="23500"/>
        <n v="11400"/>
        <n v="2200"/>
        <n v="17814.947"/>
        <n v="4100"/>
        <n v="3500"/>
        <n v="2500"/>
        <n v="13000"/>
        <n v="22509.142"/>
        <n v="22000"/>
        <m/>
      </sharedItems>
    </cacheField>
    <cacheField name="Kilos producción mes n" numFmtId="0">
      <sharedItems containsString="0" containsBlank="1" containsNumber="1" minValue="0" maxValue="25000"/>
    </cacheField>
    <cacheField name="Total Kilos" numFmtId="0">
      <sharedItems containsSemiMixedTypes="0" containsString="0" containsNumber="1" minValue="0" maxValue="25000"/>
    </cacheField>
    <cacheField name="ETD" numFmtId="0">
      <sharedItems containsDate="1" containsBlank="1" containsMixedTypes="1" minDate="2022-05-23T00:00:00" maxDate="2022-06-02T00:00:00" count="10">
        <m/>
        <d v="2022-05-23T00:00:00"/>
        <d v="2022-05-25T00:00:00"/>
        <d v="2022-05-26T00:00:00"/>
        <d v="2022-05-27T00:00:00"/>
        <d v="2022-05-30T00:00:00"/>
        <d v="2022-05-24T00:00:00"/>
        <s v="JUNIO"/>
        <d v="2022-05-29T00:00:00"/>
        <d v="2022-06-0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701.521274074075" createdVersion="7" refreshedVersion="7" minRefreshableVersion="3" recordCount="524" xr:uid="{580FDD2F-1838-475A-A06F-F6974E0A6613}">
  <cacheSource type="worksheet">
    <worksheetSource ref="A2:P526" sheet="CONF - AP (zarpe mes n y n+1) " r:id="rId2"/>
  </cacheSource>
  <cacheFields count="16">
    <cacheField name="Oficina" numFmtId="0">
      <sharedItems count="5">
        <s v="AGROSUPER BRASIL"/>
        <s v="AGRO SUDAMERICA"/>
        <s v="EXPORTACION DIRECTA"/>
        <s v="AGROSUPER SHANGHAI"/>
        <s v="AGROSUPER ASIA"/>
      </sharedItems>
    </cacheField>
    <cacheField name="Sector" numFmtId="0">
      <sharedItems containsSemiMixedTypes="0" containsString="0" containsNumber="1" containsInteger="1" minValue="1" maxValue="3" count="3">
        <n v="2"/>
        <n v="1"/>
        <n v="3"/>
      </sharedItems>
    </cacheField>
    <cacheField name="Pedido" numFmtId="0">
      <sharedItems containsSemiMixedTypes="0" containsString="0" containsNumber="1" containsInteger="1" minValue="40302775" maxValue="40325909"/>
    </cacheField>
    <cacheField name="Status" numFmtId="0">
      <sharedItems count="2">
        <s v="CONFIRMADO"/>
        <s v="A PROGRAMAR"/>
      </sharedItems>
    </cacheField>
    <cacheField name="Pto Destino" numFmtId="0">
      <sharedItems count="27">
        <s v="000322 SANTA CATARINA , TERRES"/>
        <s v="000314 ITÁ, TERRESTRE"/>
        <s v="000312 SÃO BORJA , TERRESTRE"/>
        <s v="000218 CARTAGENA, PUERTO"/>
        <s v="000059 CALLAO, PUERTO"/>
        <s v="000435 MANZANILLO, PANAMA"/>
        <s v="000074 MONTEVIDEO, TERRESTRE"/>
        <s v="000158 CAUCEDO, PUERTO"/>
        <s v="000027 GUAYAQUIL, PUERTO"/>
        <s v="000541 POSORJA, PUERTO"/>
        <s v="000206 CALDERA, PUERTO"/>
        <s v="000009 COMODORO RIVADAVIA, TER"/>
        <s v="000061 SAN JUAN, PUERTO MARÍTI"/>
        <s v="000023 BUENAVENTURA, PUERTO"/>
        <s v="4000 OSAKA(JAPÓN)"/>
        <s v="1000 TOKYO (ADUANA PRINCIPAL)J"/>
        <s v="6040 HAKATA(JAPÓN)"/>
        <s v="000020 YANTIAN, CHINA"/>
        <s v="000209 NANSHA, PUERTO"/>
        <s v="000302 TIANJIN XINGANG, CHINA"/>
        <s v="000021 SHANGHAI, CHINA"/>
        <s v="000087 QINGDAO, PUERTO"/>
        <s v="000382 NINGBO, PUERTO"/>
        <s v="000162 MANILA, PUERTO"/>
        <s v="000522 CEBU, PHILIPPINES"/>
        <s v="000045 BUSAN {PUSAN}, PUERTO"/>
        <s v="000205 SINGAPUR, PUERTO"/>
      </sharedItems>
    </cacheField>
    <cacheField name="Tipo venta" numFmtId="0">
      <sharedItems count="2">
        <s v="EX"/>
        <s v="NA"/>
      </sharedItems>
    </cacheField>
    <cacheField name="Material" numFmtId="0">
      <sharedItems containsSemiMixedTypes="0" containsString="0" containsNumber="1" containsInteger="1" minValue="1010877" maxValue="1030720" count="150">
        <n v="1022218"/>
        <n v="1023336"/>
        <n v="1023334"/>
        <n v="1022217"/>
        <n v="1022273"/>
        <n v="1011421"/>
        <n v="1011558"/>
        <n v="1012719"/>
        <n v="1011290"/>
        <n v="1012207"/>
        <n v="1010877"/>
        <n v="1012362"/>
        <n v="1011042"/>
        <n v="1012552"/>
        <n v="1021639"/>
        <n v="1022847"/>
        <n v="1021385"/>
        <n v="1022855"/>
        <n v="1023329"/>
        <n v="1021078"/>
        <n v="1020352"/>
        <n v="1021819"/>
        <n v="1020848"/>
        <n v="1021976"/>
        <n v="1021092"/>
        <n v="1020367"/>
        <n v="1020412"/>
        <n v="1021077"/>
        <n v="1020944"/>
        <n v="1020349"/>
        <n v="1022150"/>
        <n v="1021082"/>
        <n v="1021039"/>
        <n v="1021101"/>
        <n v="1022409"/>
        <n v="1022709"/>
        <n v="1023355"/>
        <n v="1021023"/>
        <n v="1030720"/>
        <n v="1020110"/>
        <n v="1020592"/>
        <n v="1020636"/>
        <n v="1020637"/>
        <n v="1020758"/>
        <n v="1020810"/>
        <n v="1022901"/>
        <n v="1023194"/>
        <n v="1023301"/>
        <n v="1020105"/>
        <n v="1020589"/>
        <n v="1023352"/>
        <n v="1022472"/>
        <n v="1021603"/>
        <n v="1022587"/>
        <n v="1022326"/>
        <n v="1023349"/>
        <n v="1020802"/>
        <n v="1023350"/>
        <n v="1020662"/>
        <n v="1020731"/>
        <n v="1020326"/>
        <n v="1022919"/>
        <n v="1021533"/>
        <n v="1020620"/>
        <n v="1022499"/>
        <n v="1020914"/>
        <n v="1023163"/>
        <n v="1020774"/>
        <n v="1020284"/>
        <n v="1020681"/>
        <n v="1020990"/>
        <n v="1022370"/>
        <n v="1022664"/>
        <n v="1022931"/>
        <n v="1020665"/>
        <n v="1020991"/>
        <n v="1022371"/>
        <n v="1022313"/>
        <n v="1012451"/>
        <n v="1011967"/>
        <n v="1011968"/>
        <n v="1012503"/>
        <n v="1011586"/>
        <n v="1012504"/>
        <n v="1011969"/>
        <n v="1012455"/>
        <n v="1022640"/>
        <n v="1022193"/>
        <n v="1023093"/>
        <n v="1021731"/>
        <n v="1022753"/>
        <n v="1021735"/>
        <n v="1022748"/>
        <n v="1022183"/>
        <n v="1022388"/>
        <n v="1022096"/>
        <n v="1022080"/>
        <n v="1022414"/>
        <n v="1022373"/>
        <n v="1022099"/>
        <n v="1022381"/>
        <n v="1022856"/>
        <n v="1021738"/>
        <n v="1021971"/>
        <n v="1022940"/>
        <n v="1023362"/>
        <n v="1023363"/>
        <n v="1023368"/>
        <n v="1022125"/>
        <n v="1021767"/>
        <n v="1022568"/>
        <n v="1022541"/>
        <n v="1021732"/>
        <n v="1021737"/>
        <n v="1022636"/>
        <n v="1021774"/>
        <n v="1022945"/>
        <n v="1022417"/>
        <n v="1023306"/>
        <n v="1021766"/>
        <n v="1022637"/>
        <n v="1022169"/>
        <n v="1022033"/>
        <n v="1022212"/>
        <n v="1022639"/>
        <n v="1022186"/>
        <n v="1022378"/>
        <n v="1022291"/>
        <n v="1023291"/>
        <n v="1023110"/>
        <n v="1030683"/>
        <n v="1012612"/>
        <n v="1023283"/>
        <n v="1021665"/>
        <n v="1021470"/>
        <n v="1020860"/>
        <n v="1023037"/>
        <n v="1023038"/>
        <n v="1023397"/>
        <n v="1021046"/>
        <n v="1021655"/>
        <n v="1023144"/>
        <n v="1023307"/>
        <n v="1023326"/>
        <n v="1023183"/>
        <n v="1020861"/>
        <n v="1021149"/>
        <n v="1022885"/>
        <n v="1022887"/>
        <n v="1021012"/>
      </sharedItems>
    </cacheField>
    <cacheField name="Descripción" numFmtId="0">
      <sharedItems/>
    </cacheField>
    <cacheField name="Nivel 2" numFmtId="0">
      <sharedItems/>
    </cacheField>
    <cacheField name="Fecha programa" numFmtId="14">
      <sharedItems containsSemiMixedTypes="0" containsNonDate="0" containsDate="1" containsString="0" minDate="2022-05-20T00:00:00" maxDate="2022-06-03T00:00:00" count="14">
        <d v="2022-06-01T00:00:00"/>
        <d v="2022-05-26T00:00:00"/>
        <d v="2022-05-21T00:00:00"/>
        <d v="2022-05-25T00:00:00"/>
        <d v="2022-05-27T00:00:00"/>
        <d v="2022-05-28T00:00:00"/>
        <d v="2022-05-20T00:00:00"/>
        <d v="2022-06-02T00:00:00"/>
        <d v="2022-05-24T00:00:00"/>
        <d v="2022-05-31T00:00:00"/>
        <d v="2022-05-22T00:00:00"/>
        <d v="2022-05-29T00:00:00"/>
        <d v="2022-05-30T00:00:00"/>
        <d v="2022-05-23T00:00:00"/>
      </sharedItems>
    </cacheField>
    <cacheField name="Cuantos centros 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Kilos stock" numFmtId="0">
      <sharedItems containsSemiMixedTypes="0" containsString="0" containsNumber="1" containsInteger="1" minValue="0" maxValue="25000"/>
    </cacheField>
    <cacheField name="Congelando" numFmtId="0">
      <sharedItems containsSemiMixedTypes="0" containsString="0" containsNumber="1" minValue="0" maxValue="24000" count="22">
        <n v="0"/>
        <n v="24000"/>
        <n v="23000"/>
        <n v="6000"/>
        <n v="11000"/>
        <n v="4000"/>
        <n v="3000"/>
        <n v="4850"/>
        <n v="2000"/>
        <n v="2150"/>
        <n v="5000"/>
        <n v="500"/>
        <n v="23500"/>
        <n v="11400"/>
        <n v="2200"/>
        <n v="17814.947"/>
        <n v="4100"/>
        <n v="3500"/>
        <n v="2500"/>
        <n v="13000"/>
        <n v="22509.142"/>
        <n v="22000"/>
      </sharedItems>
    </cacheField>
    <cacheField name="Kilos producción mes n" numFmtId="0">
      <sharedItems containsSemiMixedTypes="0" containsString="0" containsNumber="1" minValue="0" maxValue="25000"/>
    </cacheField>
    <cacheField name="Total Kilos" numFmtId="0">
      <sharedItems containsSemiMixedTypes="0" containsString="0" containsNumber="1" minValue="500" maxValue="25000"/>
    </cacheField>
    <cacheField name="ETD" numFmtId="14">
      <sharedItems containsDate="1" containsBlank="1" containsMixedTypes="1" minDate="2022-05-23T00:00:00" maxDate="2022-06-02T00:00:00" count="10">
        <m/>
        <d v="2022-05-23T00:00:00"/>
        <d v="2022-05-25T00:00:00"/>
        <d v="2022-05-26T00:00:00"/>
        <d v="2022-05-27T00:00:00"/>
        <d v="2022-05-30T00:00:00"/>
        <d v="2022-05-24T00:00:00"/>
        <s v="JUNIO"/>
        <d v="2022-05-29T00:00:00"/>
        <d v="2022-06-0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707.837318171296" createdVersion="7" refreshedVersion="7" minRefreshableVersion="3" recordCount="1200" xr:uid="{730D19DA-2475-4A09-8765-4E9A6A6E5496}">
  <cacheSource type="worksheet">
    <worksheetSource name="Tabla1" r:id="rId2"/>
  </cacheSource>
  <cacheFields count="5">
    <cacheField name="Sector" numFmtId="0">
      <sharedItems containsString="0" containsBlank="1" containsNumber="1" containsInteger="1" minValue="1" maxValue="10"/>
    </cacheField>
    <cacheField name="Oficina" numFmtId="0">
      <sharedItems containsBlank="1" count="20">
        <s v="Africa"/>
        <s v="Am. Del Norte"/>
        <s v="Am. Del Sur"/>
        <s v="Brasil"/>
        <s v="China"/>
        <s v="Europa"/>
        <s v="Japón AA CCEE"/>
        <s v="Korea"/>
        <s v="México"/>
        <s v="Nacional"/>
        <s v="Pendiente"/>
        <s v="Filipinas"/>
        <s v="Hong Kong"/>
        <s v="Japón AA Basico"/>
        <s v="Nippon Basico"/>
        <s v="Nippon CCEE"/>
        <s v="Rusia"/>
        <s v="Singapur"/>
        <s v="Uruguay"/>
        <m/>
      </sharedItems>
    </cacheField>
    <cacheField name="Material" numFmtId="0">
      <sharedItems containsString="0" containsBlank="1" containsNumber="1" containsInteger="1" minValue="1010048" maxValue="1100732" count="792">
        <n v="1011042"/>
        <n v="1011558"/>
        <n v="1012207"/>
        <n v="1010885"/>
        <n v="1011250"/>
        <n v="1011701"/>
        <n v="1012107"/>
        <n v="1012108"/>
        <n v="1012109"/>
        <n v="1012110"/>
        <n v="1012111"/>
        <n v="1012112"/>
        <n v="1012147"/>
        <n v="1012148"/>
        <n v="1012157"/>
        <n v="1012158"/>
        <n v="1012159"/>
        <n v="1012160"/>
        <n v="1012161"/>
        <n v="1012163"/>
        <n v="1012164"/>
        <n v="1012165"/>
        <n v="1012167"/>
        <n v="1012483"/>
        <n v="1012518"/>
        <n v="1012519"/>
        <n v="1012520"/>
        <n v="1012521"/>
        <n v="1012522"/>
        <n v="1012523"/>
        <n v="1012524"/>
        <n v="1012532"/>
        <n v="1012601"/>
        <n v="1012602"/>
        <n v="1012627"/>
        <n v="1012166"/>
        <n v="1012038"/>
        <n v="1012694"/>
        <n v="1012622"/>
        <n v="1012623"/>
        <n v="1012625"/>
        <n v="1012313"/>
        <n v="1012400"/>
        <n v="1012399"/>
        <n v="1010887"/>
        <n v="1010888"/>
        <n v="1012300"/>
        <n v="1011897"/>
        <n v="1012401"/>
        <n v="1012115"/>
        <n v="1010877"/>
        <n v="1011290"/>
        <n v="1011421"/>
        <n v="1011422"/>
        <n v="1012208"/>
        <n v="1012362"/>
        <n v="1012552"/>
        <n v="1012283"/>
        <n v="1012719"/>
        <n v="1012488"/>
        <n v="1011582"/>
        <n v="1012763"/>
        <n v="1011567"/>
        <n v="1011560"/>
        <n v="1012674"/>
        <n v="1011417"/>
        <n v="1011586"/>
        <n v="1011967"/>
        <n v="1011968"/>
        <n v="1011969"/>
        <n v="1012005"/>
        <n v="1012434"/>
        <n v="1012448"/>
        <n v="1012452"/>
        <n v="1012455"/>
        <n v="1012502"/>
        <n v="1012503"/>
        <n v="1012504"/>
        <n v="1012525"/>
        <n v="1012526"/>
        <n v="1012527"/>
        <n v="1012598"/>
        <n v="1012681"/>
        <n v="1012424"/>
        <n v="1012451"/>
        <n v="1011748"/>
        <n v="1012724"/>
        <n v="1012730"/>
        <n v="1012745"/>
        <n v="1012145"/>
        <n v="1012326"/>
        <n v="1011379"/>
        <n v="1012012"/>
        <n v="1011127"/>
        <n v="1011614"/>
        <n v="1012534"/>
        <n v="1011047"/>
        <n v="1011150"/>
        <n v="1012278"/>
        <n v="1012764"/>
        <n v="1012725"/>
        <n v="1010078"/>
        <n v="1010143"/>
        <n v="1010176"/>
        <n v="1010204"/>
        <n v="1010291"/>
        <n v="1010431"/>
        <n v="1010792"/>
        <n v="1011138"/>
        <n v="1011139"/>
        <n v="1011140"/>
        <n v="1011141"/>
        <n v="1011142"/>
        <n v="1011143"/>
        <n v="1011144"/>
        <n v="1011145"/>
        <n v="1011146"/>
        <n v="1011156"/>
        <n v="1011157"/>
        <n v="1011330"/>
        <n v="1011331"/>
        <n v="1011626"/>
        <n v="1011627"/>
        <n v="1011629"/>
        <n v="1011632"/>
        <n v="1011672"/>
        <n v="1011678"/>
        <n v="1011680"/>
        <n v="1011700"/>
        <n v="1011770"/>
        <n v="1012017"/>
        <n v="1012018"/>
        <n v="1012330"/>
        <n v="1012387"/>
        <n v="1012558"/>
        <n v="1012559"/>
        <n v="1012608"/>
        <n v="1012646"/>
        <n v="1012654"/>
        <n v="1012695"/>
        <n v="1011697"/>
        <n v="1011638"/>
        <n v="1012693"/>
        <n v="1012250"/>
        <n v="1010048"/>
        <n v="1010695"/>
        <n v="1012577"/>
        <n v="1011928"/>
        <n v="1010130"/>
        <n v="1012684"/>
        <n v="1012683"/>
        <n v="1012685"/>
        <n v="1010227"/>
        <n v="1012059"/>
        <n v="1012571"/>
        <n v="1010707"/>
        <n v="1012757"/>
        <n v="1012193"/>
        <n v="1012774"/>
        <n v="1012761"/>
        <n v="1010243"/>
        <n v="1012778"/>
        <n v="1012629"/>
        <n v="1012373"/>
        <n v="1011364"/>
        <n v="1012752"/>
        <n v="1012756"/>
        <n v="1012788"/>
        <n v="1012782"/>
        <n v="1012773"/>
        <n v="1012364"/>
        <n v="1012493"/>
        <n v="1012612"/>
        <n v="1020822"/>
        <n v="1020828"/>
        <n v="1021538"/>
        <n v="1021539"/>
        <n v="1022619"/>
        <n v="1022883"/>
        <n v="1023190"/>
        <n v="1023274"/>
        <n v="1023273"/>
        <n v="1021260"/>
        <n v="1020878"/>
        <n v="1021398"/>
        <n v="1023050"/>
        <n v="1021140"/>
        <n v="1022760"/>
        <n v="1020017"/>
        <n v="1020339"/>
        <n v="1020349"/>
        <n v="1020352"/>
        <n v="1020367"/>
        <n v="1020412"/>
        <n v="1020869"/>
        <n v="1020886"/>
        <n v="1020925"/>
        <n v="1020944"/>
        <n v="1021023"/>
        <n v="1021039"/>
        <n v="1021078"/>
        <n v="1021082"/>
        <n v="1021105"/>
        <n v="1021106"/>
        <n v="1021111"/>
        <n v="1021187"/>
        <n v="1021385"/>
        <n v="1021622"/>
        <n v="1022149"/>
        <n v="1022150"/>
        <n v="1022196"/>
        <n v="1022197"/>
        <n v="1022847"/>
        <n v="1022855"/>
        <n v="1022921"/>
        <n v="1022922"/>
        <n v="1022996"/>
        <n v="1021092"/>
        <n v="1022384"/>
        <n v="1021976"/>
        <n v="1021085"/>
        <n v="1020848"/>
        <n v="1021101"/>
        <n v="1021639"/>
        <n v="1022705"/>
        <n v="1022409"/>
        <n v="1021077"/>
        <n v="1021868"/>
        <n v="1023312"/>
        <n v="1023331"/>
        <n v="1022709"/>
        <n v="1022406"/>
        <n v="1022569"/>
        <n v="1020993"/>
        <n v="1023295"/>
        <n v="1023355"/>
        <n v="1022047"/>
        <n v="1021864"/>
        <n v="1022217"/>
        <n v="1022218"/>
        <n v="1022273"/>
        <n v="1023329"/>
        <n v="1023336"/>
        <n v="1023334"/>
        <n v="1021731"/>
        <n v="1021732"/>
        <n v="1021733"/>
        <n v="1021735"/>
        <n v="1021737"/>
        <n v="1021738"/>
        <n v="1021739"/>
        <n v="1021766"/>
        <n v="1021767"/>
        <n v="1021774"/>
        <n v="1021905"/>
        <n v="1021971"/>
        <n v="1021992"/>
        <n v="1022033"/>
        <n v="1022073"/>
        <n v="1022080"/>
        <n v="1022096"/>
        <n v="1022099"/>
        <n v="1022125"/>
        <n v="1022169"/>
        <n v="1022183"/>
        <n v="1022186"/>
        <n v="1022193"/>
        <n v="1022212"/>
        <n v="1022291"/>
        <n v="1022340"/>
        <n v="1022373"/>
        <n v="1022378"/>
        <n v="1022379"/>
        <n v="1022381"/>
        <n v="1022388"/>
        <n v="1022414"/>
        <n v="1022415"/>
        <n v="1022416"/>
        <n v="1022417"/>
        <n v="1022541"/>
        <n v="1022636"/>
        <n v="1022637"/>
        <n v="1022639"/>
        <n v="1022640"/>
        <n v="1022645"/>
        <n v="1022646"/>
        <n v="1022748"/>
        <n v="1022753"/>
        <n v="1022856"/>
        <n v="1022936"/>
        <n v="1022939"/>
        <n v="1022940"/>
        <n v="1022941"/>
        <n v="1022943"/>
        <n v="1022945"/>
        <n v="1023034"/>
        <n v="1023035"/>
        <n v="1023093"/>
        <n v="1023110"/>
        <n v="1023111"/>
        <n v="1023126"/>
        <n v="1023132"/>
        <n v="1023157"/>
        <n v="1022568"/>
        <n v="1022389"/>
        <n v="1023290"/>
        <n v="1022813"/>
        <n v="1023306"/>
        <n v="1023291"/>
        <n v="1022100"/>
        <n v="1020853"/>
        <n v="1022145"/>
        <n v="1022304"/>
        <n v="1021433"/>
        <n v="1023264"/>
        <n v="1022858"/>
        <n v="1021115"/>
        <n v="1023183"/>
        <n v="1021921"/>
        <n v="1021924"/>
        <n v="1021925"/>
        <n v="1022128"/>
        <n v="1022141"/>
        <n v="1022142"/>
        <n v="1022293"/>
        <n v="1022398"/>
        <n v="1022515"/>
        <n v="1022561"/>
        <n v="1022621"/>
        <n v="1022751"/>
        <n v="1022863"/>
        <n v="1022864"/>
        <n v="1022865"/>
        <n v="1022866"/>
        <n v="1023123"/>
        <n v="1023184"/>
        <n v="1022794"/>
        <n v="1021929"/>
        <n v="1021931"/>
        <n v="1021936"/>
        <n v="1021952"/>
        <n v="1021987"/>
        <n v="1022101"/>
        <n v="1022413"/>
        <n v="1022750"/>
        <n v="1022914"/>
        <n v="1022918"/>
        <n v="1022989"/>
        <n v="1023102"/>
        <n v="1023247"/>
        <n v="1022767"/>
        <n v="1023265"/>
        <n v="1022570"/>
        <n v="1022550"/>
        <n v="1023166"/>
        <n v="1021944"/>
        <n v="1021945"/>
        <n v="1020860"/>
        <n v="1020861"/>
        <n v="1020904"/>
        <n v="1021012"/>
        <n v="1021045"/>
        <n v="1021046"/>
        <n v="1021149"/>
        <n v="1021150"/>
        <n v="1021151"/>
        <n v="1021152"/>
        <n v="1021156"/>
        <n v="1021470"/>
        <n v="1021664"/>
        <n v="1021665"/>
        <n v="1022283"/>
        <n v="1022607"/>
        <n v="1022885"/>
        <n v="1022887"/>
        <n v="1022930"/>
        <n v="1022985"/>
        <n v="1022986"/>
        <n v="1023037"/>
        <n v="1023038"/>
        <n v="1023144"/>
        <n v="1020905"/>
        <n v="1023090"/>
        <n v="1023169"/>
        <n v="1023283"/>
        <n v="1022182"/>
        <n v="1021026"/>
        <n v="1021270"/>
        <n v="1021272"/>
        <n v="1021555"/>
        <n v="1022854"/>
        <n v="1023257"/>
        <n v="1020845"/>
        <n v="1022115"/>
        <n v="1021874"/>
        <n v="1023302"/>
        <n v="1021980"/>
        <n v="1021596"/>
        <n v="1023319"/>
        <n v="1022907"/>
        <n v="1023318"/>
        <n v="1023324"/>
        <n v="1023343"/>
        <n v="1023383"/>
        <n v="1023375"/>
        <n v="1022657"/>
        <n v="1020020"/>
        <n v="1020028"/>
        <n v="1020077"/>
        <n v="1020089"/>
        <n v="1020092"/>
        <n v="1020181"/>
        <n v="1020187"/>
        <n v="1020299"/>
        <n v="1020391"/>
        <n v="1020440"/>
        <n v="1020470"/>
        <n v="1021394"/>
        <n v="1021477"/>
        <n v="1021588"/>
        <n v="1021620"/>
        <n v="1021771"/>
        <n v="1021772"/>
        <n v="1021773"/>
        <n v="1021997"/>
        <n v="1022108"/>
        <n v="1022330"/>
        <n v="1022344"/>
        <n v="1022476"/>
        <n v="1022546"/>
        <n v="1022559"/>
        <n v="1022638"/>
        <n v="1022643"/>
        <n v="1022656"/>
        <n v="1022761"/>
        <n v="1022933"/>
        <n v="1022935"/>
        <n v="1023108"/>
        <n v="1023112"/>
        <n v="1023134"/>
        <n v="1023153"/>
        <n v="1023181"/>
        <n v="1023256"/>
        <n v="1022380"/>
        <n v="1022823"/>
        <n v="1022770"/>
        <n v="1022535"/>
        <n v="1020010"/>
        <n v="1022558"/>
        <n v="1020003"/>
        <n v="1020027"/>
        <n v="1023268"/>
        <n v="1022083"/>
        <n v="1023267"/>
        <n v="1020447"/>
        <n v="1022853"/>
        <n v="1020001"/>
        <n v="1022889"/>
        <n v="1020067"/>
        <n v="1020417"/>
        <n v="1020252"/>
        <n v="1022675"/>
        <n v="1022676"/>
        <n v="1022746"/>
        <n v="1021334"/>
        <n v="1022390"/>
        <n v="1022391"/>
        <n v="1020253"/>
        <n v="1023277"/>
        <n v="1020013"/>
        <n v="1020421"/>
        <n v="1023297"/>
        <n v="1020014"/>
        <n v="1020042"/>
        <n v="1020085"/>
        <n v="1020090"/>
        <n v="1020103"/>
        <n v="1020236"/>
        <n v="1020265"/>
        <n v="1020316"/>
        <n v="1020335"/>
        <n v="1020350"/>
        <n v="1020409"/>
        <n v="1020426"/>
        <n v="1020611"/>
        <n v="1020631"/>
        <n v="1021267"/>
        <n v="1022227"/>
        <n v="1022232"/>
        <n v="1022301"/>
        <n v="1022345"/>
        <n v="1023071"/>
        <n v="1020245"/>
        <n v="1020442"/>
        <n v="1023145"/>
        <n v="1023092"/>
        <n v="1020369"/>
        <n v="1020433"/>
        <n v="1023298"/>
        <n v="1022466"/>
        <n v="1023285"/>
        <n v="1020298"/>
        <n v="1020439"/>
        <n v="1020614"/>
        <n v="1020340"/>
        <n v="1023299"/>
        <n v="1023304"/>
        <n v="1020357"/>
        <n v="1020136"/>
        <n v="1020177"/>
        <n v="1020446"/>
        <n v="1020158"/>
        <n v="1022857"/>
        <n v="1022277"/>
        <n v="1023275"/>
        <n v="1022084"/>
        <n v="1021495"/>
        <n v="1023338"/>
        <n v="1020346"/>
        <n v="1023263"/>
        <n v="1023309"/>
        <n v="1023310"/>
        <n v="1022025"/>
        <n v="1023339"/>
        <n v="1023340"/>
        <n v="1020038"/>
        <n v="1020105"/>
        <n v="1020110"/>
        <n v="1020326"/>
        <n v="1020589"/>
        <n v="1020592"/>
        <n v="1020620"/>
        <n v="1020636"/>
        <n v="1020637"/>
        <n v="1022901"/>
        <n v="1020284"/>
        <n v="1020662"/>
        <n v="1020665"/>
        <n v="1020678"/>
        <n v="1020681"/>
        <n v="1020704"/>
        <n v="1020715"/>
        <n v="1020731"/>
        <n v="1020758"/>
        <n v="1020774"/>
        <n v="1020802"/>
        <n v="1020810"/>
        <n v="1020914"/>
        <n v="1020990"/>
        <n v="1020991"/>
        <n v="1021136"/>
        <n v="1021533"/>
        <n v="1021603"/>
        <n v="1021609"/>
        <n v="1022313"/>
        <n v="1022326"/>
        <n v="1022370"/>
        <n v="1022371"/>
        <n v="1022472"/>
        <n v="1022499"/>
        <n v="1022587"/>
        <n v="1022600"/>
        <n v="1022664"/>
        <n v="1022919"/>
        <n v="1022931"/>
        <n v="1022987"/>
        <n v="1022990"/>
        <n v="1023051"/>
        <n v="1023055"/>
        <n v="1023163"/>
        <n v="1023194"/>
        <n v="1022896"/>
        <n v="1023301"/>
        <n v="1020664"/>
        <n v="1022869"/>
        <n v="1023350"/>
        <n v="1023349"/>
        <n v="1023353"/>
        <n v="1023351"/>
        <n v="1023352"/>
        <n v="1021237"/>
        <n v="1021263"/>
        <n v="1021435"/>
        <n v="1021550"/>
        <n v="1021819"/>
        <n v="1022654"/>
        <n v="1022359"/>
        <n v="1021655"/>
        <n v="1022928"/>
        <n v="1023314"/>
        <n v="1023276"/>
        <n v="1023308"/>
        <n v="1021635"/>
        <n v="1023124"/>
        <n v="1023362"/>
        <n v="1023363"/>
        <n v="1023364"/>
        <n v="1023365"/>
        <n v="1023366"/>
        <n v="1023367"/>
        <n v="1023368"/>
        <n v="1022792"/>
        <n v="1023397"/>
        <n v="1023217"/>
        <n v="1023233"/>
        <n v="1023410"/>
        <n v="1023307"/>
        <n v="1023326"/>
        <n v="1030332"/>
        <n v="1030355"/>
        <n v="1030378"/>
        <n v="1030498"/>
        <n v="1030635"/>
        <n v="1030720"/>
        <n v="1030744"/>
        <n v="1030228"/>
        <n v="1030239"/>
        <n v="1030370"/>
        <n v="1030379"/>
        <n v="1030424"/>
        <n v="1030735"/>
        <n v="1030773"/>
        <n v="1030360"/>
        <n v="1030376"/>
        <n v="1030784"/>
        <n v="1030785"/>
        <n v="1030783"/>
        <n v="1030321"/>
        <n v="1030461"/>
        <n v="1030452"/>
        <n v="1030782"/>
        <n v="1030224"/>
        <n v="1030545"/>
        <n v="1030670"/>
        <n v="1030188"/>
        <n v="1030388"/>
        <n v="1030419"/>
        <n v="1030535"/>
        <n v="1030566"/>
        <n v="1030683"/>
        <n v="1030684"/>
        <n v="1030685"/>
        <n v="1030686"/>
        <n v="1030506"/>
        <n v="1030791"/>
        <n v="1030525"/>
        <n v="1030265"/>
        <n v="1030710"/>
        <n v="1030711"/>
        <n v="1030555"/>
        <n v="1030542"/>
        <n v="1030337"/>
        <n v="1030658"/>
        <n v="1030327"/>
        <n v="1030792"/>
        <n v="1030009"/>
        <n v="1030078"/>
        <n v="1030095"/>
        <n v="1030108"/>
        <n v="1030114"/>
        <n v="1030255"/>
        <n v="1030319"/>
        <n v="1030425"/>
        <n v="1030444"/>
        <n v="1030445"/>
        <n v="1030760"/>
        <n v="1030762"/>
        <n v="1030657"/>
        <n v="1030221"/>
        <n v="1030757"/>
        <n v="1030083"/>
        <n v="1030722"/>
        <n v="1030702"/>
        <n v="1030010"/>
        <n v="1030428"/>
        <n v="1030198"/>
        <n v="1030117"/>
        <n v="1030786"/>
        <n v="1030726"/>
        <n v="1030018"/>
        <n v="1030788"/>
        <n v="1030801"/>
        <n v="1030446"/>
        <n v="1030799"/>
        <n v="1030803"/>
        <n v="1030809"/>
        <n v="1030810"/>
        <n v="1100572"/>
        <n v="1100602"/>
        <n v="1100570"/>
        <n v="1100574"/>
        <n v="1100573"/>
        <n v="1100407"/>
        <n v="1100408"/>
        <n v="1100680"/>
        <n v="1100397"/>
        <n v="1100444"/>
        <n v="1100007"/>
        <n v="1100039"/>
        <n v="1100041"/>
        <n v="1100193"/>
        <n v="1100266"/>
        <n v="1100267"/>
        <n v="1100334"/>
        <n v="1100339"/>
        <n v="1100343"/>
        <n v="1100346"/>
        <n v="1100350"/>
        <n v="1100364"/>
        <n v="1100365"/>
        <n v="1100372"/>
        <n v="1100373"/>
        <n v="1100393"/>
        <n v="1100394"/>
        <n v="1100396"/>
        <n v="1100399"/>
        <n v="1100402"/>
        <n v="1100411"/>
        <n v="1100412"/>
        <n v="1100418"/>
        <n v="1100419"/>
        <n v="1100423"/>
        <n v="1100439"/>
        <n v="1100440"/>
        <n v="1100442"/>
        <n v="1100447"/>
        <n v="1100448"/>
        <n v="1100449"/>
        <n v="1100479"/>
        <n v="1100490"/>
        <n v="1100494"/>
        <n v="1100521"/>
        <n v="1100522"/>
        <n v="1100523"/>
        <n v="1100524"/>
        <n v="1100533"/>
        <n v="1100534"/>
        <n v="1100535"/>
        <n v="1100536"/>
        <n v="1100539"/>
        <n v="1100545"/>
        <n v="1100547"/>
        <n v="1100554"/>
        <n v="1100558"/>
        <n v="1100559"/>
        <n v="1100575"/>
        <n v="1100580"/>
        <n v="1100581"/>
        <n v="1100582"/>
        <n v="1100585"/>
        <n v="1100586"/>
        <n v="1100587"/>
        <n v="1100588"/>
        <n v="1100590"/>
        <n v="1100592"/>
        <n v="1100593"/>
        <n v="1100598"/>
        <n v="1100600"/>
        <n v="1100601"/>
        <n v="1100609"/>
        <n v="1100621"/>
        <n v="1100635"/>
        <n v="1100639"/>
        <n v="1100640"/>
        <n v="1100646"/>
        <n v="1100647"/>
        <n v="1100649"/>
        <n v="1100650"/>
        <n v="1100651"/>
        <n v="1100652"/>
        <n v="1100655"/>
        <n v="1100658"/>
        <n v="1100659"/>
        <n v="1100661"/>
        <n v="1100666"/>
        <n v="1100667"/>
        <n v="1100681"/>
        <n v="1100682"/>
        <n v="1100683"/>
        <n v="1100684"/>
        <n v="1100691"/>
        <n v="1100692"/>
        <n v="1100693"/>
        <n v="1100694"/>
        <n v="1100709"/>
        <n v="1100238"/>
        <n v="1100702"/>
        <n v="1100677"/>
        <n v="1100700"/>
        <n v="1100701"/>
        <n v="1100732"/>
        <m/>
      </sharedItems>
    </cacheField>
    <cacheField name="Ubicación del stock" numFmtId="0">
      <sharedItems containsBlank="1"/>
    </cacheField>
    <cacheField name="Kilos" numFmtId="0">
      <sharedItems containsString="0" containsBlank="1" containsNumber="1" containsInteger="1" minValue="0" maxValue="2169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742.111876273149" createdVersion="7" refreshedVersion="8" minRefreshableVersion="3" recordCount="299" xr:uid="{ABC89804-847B-4A46-BE9D-240574CD412E}">
  <cacheSource type="worksheet">
    <worksheetSource name="Tabla1"/>
  </cacheSource>
  <cacheFields count="55">
    <cacheField name="Llave" numFmtId="0">
      <sharedItems/>
    </cacheField>
    <cacheField name="Sector" numFmtId="0">
      <sharedItems count="4">
        <s v="Cerdo"/>
        <s v="Pavo"/>
        <s v="Pollo"/>
        <s v="Elaborado"/>
      </sharedItems>
    </cacheField>
    <cacheField name="Oficina" numFmtId="0">
      <sharedItems count="8">
        <s v="Agro Sudamerica"/>
        <s v="Agrosuper Asia"/>
        <s v="Agrosuper Brasil"/>
        <s v="Agrosuper Shanghai"/>
        <s v="Exportacion Directa"/>
        <s v="Agro Mexico"/>
        <s v="Agro Europa" u="1"/>
        <s v="Africa" u="1"/>
      </sharedItems>
    </cacheField>
    <cacheField name="Material" numFmtId="0">
      <sharedItems containsSemiMixedTypes="0" containsString="0" containsNumber="1" containsInteger="1" minValue="1010877" maxValue="1100408" count="305">
        <n v="1020017"/>
        <n v="1021279"/>
        <n v="1020339"/>
        <n v="1020349"/>
        <n v="1020352"/>
        <n v="1020367"/>
        <n v="1020412"/>
        <n v="1021980"/>
        <n v="1020848"/>
        <n v="1020869"/>
        <n v="1020886"/>
        <n v="1020915"/>
        <n v="1020925"/>
        <n v="1020944"/>
        <n v="1021023"/>
        <n v="1021039"/>
        <n v="1021077"/>
        <n v="1021078"/>
        <n v="1021082"/>
        <n v="1021085"/>
        <n v="1021092"/>
        <n v="1021101"/>
        <n v="1021105"/>
        <n v="1021106"/>
        <n v="1021111"/>
        <n v="1021187"/>
        <n v="1021237"/>
        <n v="1021263"/>
        <n v="1021287"/>
        <n v="1021385"/>
        <n v="1021435"/>
        <n v="1021550"/>
        <n v="1021622"/>
        <n v="1021623"/>
        <n v="1021639"/>
        <n v="1021819"/>
        <n v="1021820"/>
        <n v="1021868"/>
        <n v="1021903"/>
        <n v="1021976"/>
        <n v="1022047"/>
        <n v="1022149"/>
        <n v="1022150"/>
        <n v="1022196"/>
        <n v="1022197"/>
        <n v="1022247"/>
        <n v="1022384"/>
        <n v="1022406"/>
        <n v="1022409"/>
        <n v="1022569"/>
        <n v="1022654"/>
        <n v="1022705"/>
        <n v="1022709"/>
        <n v="1022847"/>
        <n v="1022855"/>
        <n v="1022920"/>
        <n v="1022921"/>
        <n v="1022922"/>
        <n v="1022928"/>
        <n v="1022996"/>
        <n v="1023312"/>
        <n v="1023331"/>
        <n v="1023355"/>
        <n v="1020860"/>
        <n v="1020861"/>
        <n v="1020904"/>
        <n v="1020905"/>
        <n v="1021012"/>
        <n v="1021045"/>
        <n v="1021046"/>
        <n v="1021149"/>
        <n v="1021150"/>
        <n v="1021151"/>
        <n v="1021152"/>
        <n v="1021156"/>
        <n v="1021204"/>
        <n v="1021470"/>
        <n v="1021655"/>
        <n v="1021664"/>
        <n v="1021665"/>
        <n v="1022182"/>
        <n v="1022283"/>
        <n v="1022607"/>
        <n v="1022885"/>
        <n v="1022887"/>
        <n v="1022930"/>
        <n v="1022985"/>
        <n v="1022986"/>
        <n v="1023037"/>
        <n v="1023038"/>
        <n v="1023090"/>
        <n v="1023144"/>
        <n v="1023183"/>
        <n v="1023283"/>
        <n v="1023305"/>
        <n v="1023307"/>
        <n v="1023326"/>
        <n v="1021864"/>
        <n v="1022217"/>
        <n v="1022218"/>
        <n v="1022273"/>
        <n v="1023329"/>
        <n v="1023334"/>
        <n v="1023336"/>
        <n v="1023109"/>
        <n v="1021115"/>
        <n v="1021731"/>
        <n v="1021733"/>
        <n v="1021735"/>
        <n v="1021738"/>
        <n v="1021765"/>
        <n v="1021992"/>
        <n v="1022073"/>
        <n v="1022096"/>
        <n v="1022125"/>
        <n v="1022183"/>
        <n v="1022186"/>
        <n v="1022291"/>
        <n v="1022373"/>
        <n v="1022378"/>
        <n v="1022379"/>
        <n v="1022381"/>
        <n v="1022389"/>
        <n v="1022414"/>
        <n v="1022415"/>
        <n v="1022417"/>
        <n v="1022541"/>
        <n v="1022637"/>
        <n v="1022748"/>
        <n v="1022851"/>
        <n v="1022856"/>
        <n v="1022945"/>
        <n v="1023034"/>
        <n v="1023093"/>
        <n v="1023111"/>
        <n v="1023131"/>
        <n v="1023306"/>
        <n v="1020105"/>
        <n v="1020110"/>
        <n v="1020284"/>
        <n v="1020326"/>
        <n v="1020589"/>
        <n v="1020592"/>
        <n v="1020620"/>
        <n v="1020636"/>
        <n v="1020637"/>
        <n v="1020662"/>
        <n v="1020664"/>
        <n v="1020665"/>
        <n v="1020678"/>
        <n v="1020681"/>
        <n v="1020704"/>
        <n v="1020715"/>
        <n v="1020731"/>
        <n v="1020758"/>
        <n v="1020774"/>
        <n v="1020802"/>
        <n v="1020810"/>
        <n v="1020914"/>
        <n v="1020990"/>
        <n v="1020991"/>
        <n v="1021136"/>
        <n v="1021533"/>
        <n v="1021603"/>
        <n v="1021609"/>
        <n v="1022282"/>
        <n v="1022313"/>
        <n v="1022326"/>
        <n v="1022370"/>
        <n v="1022371"/>
        <n v="1022472"/>
        <n v="1022499"/>
        <n v="1022587"/>
        <n v="1022600"/>
        <n v="1022664"/>
        <n v="1022817"/>
        <n v="1022869"/>
        <n v="1022901"/>
        <n v="1022919"/>
        <n v="1022931"/>
        <n v="1022987"/>
        <n v="1022990"/>
        <n v="1023051"/>
        <n v="1023055"/>
        <n v="1023163"/>
        <n v="1023194"/>
        <n v="1023301"/>
        <n v="1023349"/>
        <n v="1023350"/>
        <n v="1023351"/>
        <n v="1023352"/>
        <n v="1030224"/>
        <n v="1030332"/>
        <n v="1030498"/>
        <n v="1030545"/>
        <n v="1030670"/>
        <n v="1030720"/>
        <n v="1030732"/>
        <n v="1030739"/>
        <n v="1030780"/>
        <n v="1030309"/>
        <n v="1030535"/>
        <n v="1030542"/>
        <n v="1010877"/>
        <n v="1011042"/>
        <n v="1011047"/>
        <n v="1011250"/>
        <n v="1011290"/>
        <n v="1011421"/>
        <n v="1011422"/>
        <n v="1011558"/>
        <n v="1011582"/>
        <n v="1011888"/>
        <n v="1011939"/>
        <n v="1012207"/>
        <n v="1012208"/>
        <n v="1012283"/>
        <n v="1012362"/>
        <n v="1012552"/>
        <n v="1012556"/>
        <n v="1012602"/>
        <n v="1012698"/>
        <n v="1012699"/>
        <n v="1012719"/>
        <n v="1012744"/>
        <n v="1012763"/>
        <n v="1012778"/>
        <n v="1012012"/>
        <n v="1012612"/>
        <n v="1011560"/>
        <n v="1012674"/>
        <n v="1011586"/>
        <n v="1011968"/>
        <n v="1012312"/>
        <n v="1012448"/>
        <n v="1012452"/>
        <n v="1012455"/>
        <n v="1012502"/>
        <n v="1012503"/>
        <n v="1012504"/>
        <n v="1012598"/>
        <n v="1012764"/>
        <n v="1030525"/>
        <n v="1030230"/>
        <n v="1030672"/>
        <n v="1021905"/>
        <n v="1021971"/>
        <n v="1022418"/>
        <n v="1022605"/>
        <n v="1022842"/>
        <n v="1022844"/>
        <n v="1022943"/>
        <n v="1022995"/>
        <n v="1023110"/>
        <n v="1023370"/>
        <n v="1023371"/>
        <n v="1023372"/>
        <n v="1023397"/>
        <n v="1100407"/>
        <n v="1100408"/>
        <n v="1030419"/>
        <n v="1012424"/>
        <n v="1012454"/>
        <n v="1021005"/>
        <n v="1022102"/>
        <n v="1020993"/>
        <n v="1022767"/>
        <n v="1021740"/>
        <n v="1022388"/>
        <n v="1022646"/>
        <n v="1023035"/>
        <n v="1023362"/>
        <n v="1023363"/>
        <n v="1023364"/>
        <n v="1023365"/>
        <n v="1023366"/>
        <n v="1023367"/>
        <n v="1023368"/>
        <n v="1023166"/>
        <n v="1011105"/>
        <n v="1030661"/>
        <n v="1030736"/>
        <n v="1030755"/>
        <n v="1030576"/>
        <n v="1030740"/>
        <n v="1012342"/>
        <n v="1011431"/>
        <n v="1011566"/>
        <n v="1012423"/>
        <n v="1022781"/>
        <n v="1022782"/>
        <n v="1022783"/>
        <n v="1022784"/>
        <n v="1022786"/>
        <n v="1023295"/>
        <n v="1011127" u="1"/>
        <n v="1023270" u="1"/>
        <n v="1030355" u="1"/>
        <n v="1030378" u="1"/>
        <n v="1030635" u="1"/>
        <n v="1030744" u="1"/>
        <n v="1021710" u="1"/>
        <n v="1030788" u="1"/>
        <n v="1022780" u="1"/>
        <n v="1020828" u="1"/>
      </sharedItems>
    </cacheField>
    <cacheField name="Descripción" numFmtId="0">
      <sharedItems count="283">
        <s v="GO Chu Ctro@ Fi Cj 20k AS"/>
        <s v="GO Hso Pecho@ Cj 10k SC"/>
        <s v="GO Lom Tocino@ Cj 20k AS"/>
        <s v="GO Papda@ Cj t-f AS"/>
        <s v="GO Cue 20@ Cj 20k AS"/>
        <s v="GO Gord Lom Tocino@ Cj t-f AS"/>
        <s v="GO Cne Long@ Cj t-f AS"/>
        <s v="GO BB Ribs Grd B@ Fi Cj 20k AS"/>
        <s v="GO Lom Ctro 27@ Cj 20k AS"/>
        <s v="GO Cos 79@ Bo Cj 20k AS"/>
        <s v="GO Panc Tecl Nor@ Cj 20k AS"/>
        <s v="GO Pna Nor@ Bo Cj 20k AS"/>
        <s v="GO Grasa Forro Pna Limp@ Cj 20k AS"/>
        <s v="GO PpPna 59@ Fi Cj 20k AS"/>
        <s v="GO Gord rebaje@ Bo Cj 20k AS"/>
        <s v="GO Cue Papda CP@ Cj 20k bca AS"/>
        <s v="GO Gord chic@ Cj 20k AS"/>
        <s v="GO Triming 80/20@ Cj 20k AS"/>
        <s v="GO Triming 70/30@ Cj 20k AS"/>
        <s v="GO Gord Esp@ Cj 20k AS"/>
        <s v="GO Triming 85/15@ Cj t-f 20k AS"/>
        <s v="GO Corazón Partido@ Cj t-f 20k AS"/>
        <s v="GO Pulmon@ Cj 20k bca AS"/>
        <s v="GO Pana S/Corazón@ Cj 20k AS"/>
        <s v="GO Epiplón@ Cj 20k AS"/>
        <s v="GO Cue Back@ Cj 20k t-f AS"/>
        <s v="GO Triming 80/20@ Bo c/f Cj 20k AS"/>
        <s v="GO Lom Tocino@ Bo Cj AS"/>
        <s v="GO Cue granel Esp CC@ Cj 20k AS"/>
        <s v="GO Gord Lom Tocino@ Cj 20k AS"/>
        <s v="GO Triming 85/15@ Cj 20k AS"/>
        <s v="GO BB Ribs 20-24 Oz@ Cj 10k AS"/>
        <s v="GO BB Ribs 24 oz@ Cj 10k AS"/>
        <s v="GO File C/cab@ Cj 5k AS"/>
        <s v="GO Lom Ctro 27@ Fi Cj 20k AS"/>
        <s v="GO Lom Vet 44@ Fi Cj 20k AS"/>
        <s v="GO PpPna 54@ Cj 20k AS"/>
        <s v="GO Corazón Partido@ Cj 10k AS"/>
        <s v="GO PpPal 77@ Cj 20k AS"/>
        <s v="GO Triming Panc@ Cj 20k AS"/>
        <s v="GO Plancha Rebaje Ent@ Cj 20k AS"/>
        <s v="GO Forro Pal@ Cj 20k AS"/>
        <s v="GO Pna Forro@ Cj 20k AS"/>
        <s v="GO Triming 60/40@ Bo Cj AS"/>
        <s v="GO BB Ribs Grd B@ Fi Cj 10k AS"/>
        <s v="GO Patas B@ Bo Cj 20 k AS"/>
        <s v="GO Tripa s/Cal# Bidon AS"/>
        <s v="GO BB Ribs 24-28 Oz@ Cj 10k AS"/>
        <s v="GO Triming 90/10@ Cj 20k AS"/>
        <s v="GO Mantec@ Cj 20k AS"/>
        <s v="GO PpPna 57@ Bo Cj AS"/>
        <s v="GO Cne Falda Pan@ CJ 20k AS"/>
        <s v="GO Grasa Forro Pal@ Cj 20k AS"/>
        <s v="GO Gord rebaje@ Cj 20k AS"/>
        <s v="GO Cue Granel Esp CC@Cj 20k AS"/>
        <s v="GO Visual Triming@ Cj 20k AS"/>
        <s v="GO File C/cab@Cj 20k AS"/>
        <s v="GO Lom Vet 44@ Bo Cj 20k AS"/>
        <s v="GO Pulmon@ Cj 20k AS"/>
        <s v="GO Lom Vet@ Cj 12k AK"/>
        <s v="GO Lom Vet@ Cj 12k TJ"/>
        <s v="GO Panc C/cue@ Cj Panc 230 TJ"/>
        <s v="GO Panc C/cue@ Cj Panc 230 AK"/>
        <s v="GO Papda K@ Cj 20k AK"/>
        <s v="GO PernilM C/M@ Cj 15k AK"/>
        <s v="GO PernilM C/M@ Cj 15k TJ"/>
        <s v="GO Tira Hso Ctro@ Cj 20k TJ"/>
        <s v="GO Tira Hso Ctro@ Cj 20k AK"/>
        <s v="GO Hso Cogote@ Bo Cj 20k TJ"/>
        <s v="GO Hso Cogote@ Bo Cj 20k AK"/>
        <s v="GO Hso Pecho@ Cj Lom Vet TJ"/>
        <s v="GO PernilM@ Cj 20k AK"/>
        <s v="GO Estómago Pouch@ Bo Cj 10k AS"/>
        <s v="GO Pecho S/cue K@ Cj 20k TJ"/>
        <s v="GO Pecho S/cue K@ Cj 20k AK"/>
        <s v="GO Malaya 5-6mm@ Bo Cj 9k AS"/>
        <s v="GO Platead Lom TF@ Cj 10k AK (TS)"/>
        <s v="GO Panc S/cue@ Cj Panc TJ"/>
        <s v="GO Panc S/cue@ Cj Panc AK"/>
        <s v="GO Panc S/cue Hem@ Cj Panc TJ AS"/>
        <s v="GO Lom Vet Mad@ Cj 8,5k TJ"/>
        <s v="GO Panc S/cue Mad@ Cj 16,4k Panc TJ"/>
        <s v="GO Panc S/cue@ Cj Panc 16k AS"/>
        <s v="GO Lom Vet@ Cj 8k AS"/>
        <s v="GO Panc S/cue S/h@ Cj Panc 16k AS"/>
        <s v="GO Papda C/Cue granel@ Bo Cj AS"/>
        <s v="GO Pech S/Cue@ Vp Cj AS"/>
        <s v="GO Grasa Chaleco@ Cj 10k AS"/>
        <s v="GO Mucosa # Isotanque AS"/>
        <s v="GO Cue Papda CP@ Cj 20k AS"/>
        <s v="GO Lom Tocino@ Bo Cj 20k AS"/>
        <s v="GO Grasa Forro Pna Limp@ Bo Cj AS"/>
        <s v="Cue granel Esp CC@ Cj 20k AS"/>
        <s v="GO Reco 20/80 @ Cj 20k AS"/>
        <s v="GO Estómago Pouch@ 20k bca AS"/>
        <s v="GO PernilM@ Cj 20k AS"/>
        <s v="GO PpPna 59@ Cj 20k AS"/>
        <s v="GO Patas@ Cj 20k AS"/>
        <s v="GO Patas B@ Cj 20k AS"/>
        <s v="GO Sternum Bones@ Bo Cj 10k AS"/>
        <s v="GO PernilM C/M@ Cj 20k AS"/>
        <s v="GO PernilP@ Bo Cj 20k AS"/>
        <s v="GO Resto Tira Hso Ctro@ Bo Cj 20k AS"/>
        <s v="GO PernilM B@ Bo Cj 20k AS"/>
        <s v="GO Reco 60/40 @ Cj 20k AS"/>
        <s v="GO Resto Tira Hso@ Fi Cj 10k AS"/>
        <s v="GO PpPal 77@ Bo Cj AS"/>
        <s v="GO Gord Esp@ Bo Cj 10k AS"/>
        <s v="GO Cue 20@ Bo Cj 20k AS"/>
        <s v="GO Caz Ent@ Bo Cj 10k AS"/>
        <s v="GO Reco 85/15 @ Cj 20k AS"/>
        <s v="GO Cue granel@ Bo Cj 20k AS"/>
        <s v="GO Hso Escapula@ Cj 15kg AS"/>
        <s v="GO Manos@ Cj 10k AS"/>
        <s v="GO Pal Nor@ Cj 20k AS"/>
        <s v="GO Reco 10/90 @ Cj 20k AS"/>
        <s v="GO Forro Pal@ Bo Cj 20k AS"/>
        <s v="GO Cordon Lom@ Bo Cj 20k AS"/>
        <s v="GO Grasa Forro Pna Limp@ Bo Cj 20k AS"/>
        <s v="GO Pna S/Hso C/Cue@ Cj 20k AS"/>
        <s v="GO Lom Tecla@ Cj Lom Ctro JP"/>
        <s v="GO MM Loin L@ Cj 12k AP"/>
        <s v="GO Posta Negra 3P T@ Va Cj t-f JP"/>
        <s v="GO PpPal Pim@ Cj AP"/>
        <s v="GO MM Loin S@ Fi Cj 12k AP"/>
        <s v="GO Lom Vet &gt;2.0@ Fi Cj Lom Vet AP"/>
        <s v="GO Lom Vet &lt;2.0@ Fi Cj AP"/>
        <s v="GO File C/cab@ Va Cj 10k AP"/>
        <s v="GO Panc Tec S/cue@ Fi Cj ch AP"/>
        <s v="GO Ganso C/asto 3P@ Va Cj t-f AP"/>
        <s v="GO Ganso C/asto C/abas S/g@ Va Cj JP"/>
        <s v="GO Posta Rosada 3P@ Va Cj t-f AP"/>
        <s v="GO Lom Tec@ Va Cj Lom Ctro AP"/>
        <s v="GO MM Loin D@ Fi Cj 12k AP"/>
        <s v="GO File N@ Va Cj File AP"/>
        <s v="GO Panc Tec C/cue@ Fi Cj Panc AP"/>
        <s v="GO Panc S/tec/cue I@ Fi Cj Panc 4s AP"/>
        <s v="GO Lom Vet S/g@ Va Cj ch AP"/>
        <s v="GO Malaya Japon@ Va Cj JP"/>
        <s v="GO Panc S/tec N@ Fi Cj 20k AP"/>
        <s v="GO Recto@ Cj File AP"/>
        <s v="GO Panc Lam 2.5mm@ Cj ch AP"/>
        <s v="GO Ganso S/g S/abst DA@ Cj 12k AP"/>
        <s v="GO Asiento C/g DA@ Cj 12k JP"/>
        <s v="GO Tráquea@ Cj Lom Ctro AP"/>
        <s v="GO Panc Mit@ Va Cj 20k AP"/>
        <s v="GO MM Loin L (MC4-5)@ Fi Cj ch JP"/>
        <s v="GO File C/cab@ IWP Cj 10k SC"/>
        <s v="GO Malaya Japon@ Vp Fi Cj 20k AP"/>
        <s v="GO CC Loin T@ Fi Cj AP"/>
        <s v="GO CC Loin L (S/T)@ Fi Cj AP"/>
        <s v="GO MM Loin LL (29-32 VP)@ Bo Cj AP"/>
        <s v="GO Panc S/tec SP@ Fi Cj AP"/>
        <s v="GO Lom Ctro S/Tecla(OY)Mit@ Cj Tf 20k AP"/>
        <s v="GO Lom Vet Mit@ 4 Bo Cj 10k AP"/>
        <s v="GO CC Loin L (S/T) 45@ Fi Cj AP"/>
        <s v="GO Lom Vet 2 a 2,3k@ Fi Verd Cj AP"/>
        <s v="GO CC Loin L (S/T) (DF)@ Fi Cj AP"/>
        <s v="GO Lom Vet L@ VP Cj Lom Vet Mad AP"/>
        <s v="GO Hso Pecho@ Cj 10k AP"/>
        <s v="GO Panc Tec S/Cue L@ Fi CJ Ch AP"/>
        <s v="GO MM LOIN S VP@ Cj 10k AP"/>
        <s v="GO File C/cab 6x1@ VP Cj AP"/>
        <s v="GO Lom Tocino@ Bo Cj 20k AP"/>
        <s v="GO Panc Tec S/cue VP@ Cj ch AP"/>
        <s v="GO Lom Vet L@ Fi Cj Lom Vet AP"/>
        <s v="GO Lom Vet M@ Fi Cj Lom Vet AP"/>
        <s v="GO Lom Vet &gt;2.0@ Fi Cj 8k AP"/>
        <s v="GO Cne Falda Panc@ Bo Cj AP"/>
        <s v="GO CC Loin LL@ Bo Cj Lom Mad AP"/>
        <s v="GO Lom Tecla VP@ Cj Lom Ctro"/>
        <s v="Lom Vet &gt;2.0@ VP Cj Lom Vet AP"/>
        <s v="GO Panc S/tec L @VP Cj AP"/>
        <s v="GO Panc Tec S/cue@ R VP Cj ch AP"/>
        <s v="PV Tru Larg@ Bo Cj 15k AS"/>
        <s v="PV Tru Ala@ Ex Bo Cj AS"/>
        <s v="PV Contre@ Bo Cj 10k AS"/>
        <s v="PV TruDeh Cort S/h S/p@ Bo Cj AS"/>
        <s v="PV PchDeh S/p c/f MA@ Cj 15k AS"/>
        <s v="PV Piel Tru@ Bo Cj AS"/>
        <s v="PV PchDeh Mrps C/piel@ Cj 18k AS"/>
        <s v="PV MA Tru Ala@ Bo Cj 15k AS"/>
        <s v="PV Pch Ent c/p s/m@ Bo Cj 20k AS"/>
        <s v="PV Cog MA 15 kg@ Bo Cj 15k SO"/>
        <s v="PV Tru Larg MA@ Bo Cj SO"/>
        <s v="PV PchDeh S/p S/f@ Bo Cj 15k SO"/>
        <s v="PO Molleja Mrps@ Cj 10k AS"/>
        <s v="PO Pta Espinaz@ Cj 10k AS"/>
        <s v="PO PchDeh &gt;170g NMr@ Cj 10k SP"/>
        <s v="PO PchDeh NMr s/cal 4x10@ Cj 20k Am AS"/>
        <s v="PO Pch Piel@ Cj 20k AS"/>
        <s v="PO Ppa Esp 50 Pim@ Cj 20k AS"/>
        <s v="PO Pch Piel Pim 50 ppm@ Cj 14 AS"/>
        <s v="PO Ppa Esp@ 2 blo x 10k Cj AS"/>
        <s v="GA S/m@ Gr Cj bca AS"/>
        <s v="PO Piel de pollo@ CJ As"/>
        <s v="PO Tru Larg@ NNII Cj 15k"/>
        <s v="PO Ctre Mrps@ Bo 12x1k Cj AS"/>
        <s v="GA S/m@ Bo Cj AS"/>
        <s v="PO Pana S/Corazón@ Cj 20k AS"/>
        <s v="PO Corazon@ Cj 18k AS"/>
        <s v="PO PchDeh Random@ Cj 10k AS"/>
        <s v="PO CDM 14% proteina@ Cj 20k AS"/>
        <s v="PO Ala Ctro NMr IQF@ Cj 20k AS"/>
        <s v="PO File 4x10 NMr SD@ CJ AS"/>
        <s v="PO Tru- Ctro Ala 4x10NMr@Bo Cj 20k SD"/>
        <s v="PO Ppa Esp@ 2 Blox10kg CJ AS SD"/>
        <s v="PO Pch Deh NMr@SD Cj 20kg AS"/>
        <s v="PO Pana S/cora blo@Cj 20kg AS"/>
        <s v="PO Corazón@ Placa Cj 19kg SD"/>
        <s v="PO Ala Ctro Mr@ Fi Cj 18k AS"/>
        <s v="PO Ppa Esp Blo@ Bo Cj 20k AS"/>
        <s v="PO Corazón@ Bo Cj 18k AS"/>
        <s v="PO Corazon@Pla Cj 19k"/>
        <s v="PO Ala Media B 4x10@ Cj 20k AS"/>
        <s v="PO Garra L A@ Bo Cj 20k AS"/>
        <s v="PO Piel @ Cj 20k AS MUESTRA SAG"/>
        <s v="PO Garra Economy@ Cj 20k AS"/>
        <s v="PO Ala Media Grado B@ Cj AS"/>
        <s v="PO Ctro Pta Ala Choice@ Cj 20k AS"/>
        <s v="PO Garra Large B@ Cj 20k AS"/>
        <s v="PO Garra M B@ Cj 20k AS"/>
        <s v="GA Garra G Large B@ Cj 20k AS"/>
        <s v="PO Ppa Esp@ Bo Cj 20k AS"/>
        <s v="PV Tru Ala@ Ex blo Cj 15k SO"/>
        <s v="Pv Piel Tru@ Bo Cj So"/>
        <s v="PV Tru Larg He@ Ex Bo Cj 15K AS"/>
        <s v="GO Cue Back@ Cj 20k bca AS"/>
        <s v="GO Tripa s/Cal # Bidon AS"/>
        <s v="GO Recto Tubo Crud@ Cj 10k AS"/>
        <s v="GO Triming Lomo@ Cj 20k AS"/>
        <s v="GO Cordon Lom@ CJ 20k AS"/>
        <s v="GO Lom Ctro@ Cj 16k AS"/>
        <s v="GO Panc Tec /C cue S/H@ Cj 20k AS"/>
        <s v="GO Pna Forro@ Bo Cj 20k AS"/>
        <s v="GO Pna Nor@ Cj 20k AS"/>
        <s v="Nugg Pollo Uru@ Bo Cj 1k SH"/>
        <s v="Nugg Pollo Uru@ Film 2.5k SH"/>
        <s v="PV Hígad@ Bo Cj 15k SO"/>
        <s v="PO Ctro-Pta-Ala@ Cj 20k AS"/>
        <s v="PO Ctro Pta Ala@ Cj 20k AS"/>
        <s v="GO PpPal 77@ Bo Cj 20k AS"/>
        <s v="GO Pecho S/cue K@ Cj 20k AS"/>
        <s v="GO Gord Esp@ 20kg AA"/>
        <s v="GO Mixto Hso@ Bo Cj 10k AS"/>
        <s v="GO Pecho Belly S/p@ Vp Cj AS"/>
        <s v="GO Belly Strip@ Cj 20k AS"/>
        <s v="GO Cuarto Delant @ COM Cj AS"/>
        <s v="GO Cuarto Trasero @ COM Cj AS"/>
        <s v="GO Manos @ COM Cj 20k AS"/>
        <s v="GO Mantec @ COM Cj AS"/>
        <s v="GO Patas @ COM Cj 20k AS"/>
        <s v="GO Cab Ent @ COM Cj 20k AS"/>
        <s v="GO Cuarto Central @ COM Cj AS"/>
        <s v="PO Tru-Ctro Ala 60-80 4x10 NMr@ Cj20k AS"/>
        <s v="PV PchDeh S/p c/f MA@ Bo Cj 16k SO"/>
        <s v="PV PchDeh c/p@ Cj 17,5k AS"/>
        <s v="PV Osob@ Cj 14k AS"/>
        <s v="PV Muestra Piel Tru Cor@ Bo Cj 15k AS"/>
        <s v="PV PchDeh S/p S/ten C/f@ Cj 20k AS"/>
        <s v="PO Corazón@ Bo 20k Cj SP"/>
        <s v="PO Garra Lag@Cj 20 kg Muestra"/>
        <s v="PO Ctro-Pta-Ala Choice@ Cj 20k AS"/>
        <s v="GO TRIPA CALIB 32/35# BO BIDON AS"/>
        <s v="GO TRIPA CALIB 35/38# BO BIDON AS"/>
        <s v="GO TRIPA CALIB 38/40# BO BIDON AS"/>
        <s v="GO TRIPA CALIB 40/42# BO BIN AS"/>
        <s v="GO Trip Calib Tub 35/39 Azul# Bidon AS"/>
        <s v="GO Trip Calib Tub 37/40 Azul# Cj AS"/>
        <s v="GO Reco 70/30 @ Cj 20k AS" u="1"/>
        <s v="PV Rabadilla@ Bo Cj 10K AS" u="1"/>
        <s v="GO Trip Calib Tub -/35 Rojo# Cj AS" u="1"/>
        <s v="PV Cog MA@ Bo Cj 10k AS" u="1"/>
        <s v="PV Cab Ent MA@ Cj 15k AS" u="1"/>
        <s v="PV Pta Ala MA@ Bo Cj AS" u="1"/>
        <s v="GO Tripa Nat Sal Calib 35/39 A# Bidon Tubing AS" u="1"/>
        <s v="PV Tru Ala@ Ex Bo Cj SO" u="1"/>
        <s v="PO PchDeh Random Mr Mex@ Cj 10k AS" u="1"/>
        <s v="GO Tripa Calib 30/32# Bo Bidon AS" u="1"/>
        <s v="GO Tripa Sal Cal 38-40 Ex# Bidon AS" u="1"/>
        <s v="PV Rabadilla@ Bo Cj 10K SO" u="1"/>
        <s v="PV Contre@ Bo Cj 10k SO" u="1"/>
        <s v="PV Corazón@ Blo 10k Cj AS" u="1"/>
      </sharedItems>
    </cacheField>
    <cacheField name="Nivel Jer. 2" numFmtId="0">
      <sharedItems count="33">
        <s v="Chuleta"/>
        <s v="Huesos"/>
        <s v="Grasas"/>
        <s v="Plancha"/>
        <s v="Cueros"/>
        <s v="Recortes"/>
        <s v="Lomo"/>
        <s v="Cost-Pec"/>
        <s v="Panceta"/>
        <s v="Pierna"/>
        <s v="Subprod"/>
        <s v="Filete"/>
        <s v="Paleta"/>
        <s v="Pernil"/>
        <s v="Prolijado"/>
        <s v="Muestra"/>
        <s v="Trutro"/>
        <s v="Ala"/>
        <s v="Menudencias"/>
        <s v="Trutro Desh"/>
        <s v="Pech Desh"/>
        <s v="Pech"/>
        <s v="Cazuela"/>
        <s v="Pechuga Desh"/>
        <s v="Carne Recuperada"/>
        <s v="Reproductor"/>
        <s v="Patas"/>
        <s v="Centro"/>
        <s v="Empanizado"/>
        <s v="Vara Gordo"/>
        <s v="Cabeza"/>
        <s v="Muestras"/>
        <s v="Varios" u="1"/>
      </sharedItems>
    </cacheField>
    <cacheField name="Nivel Jer. 3" numFmtId="0">
      <sharedItems count="74">
        <s v="Chuleta Centro"/>
        <s v="Huesos Cuarto Centra"/>
        <s v="Grasa Lomo Tocino"/>
        <s v="Plancha s/Cuero"/>
        <s v="Cuero Panceta"/>
        <s v="Grasa Gordura"/>
        <s v="Recortes No Magro"/>
        <s v="Chuleta Huesos"/>
        <s v="Lomo Centro"/>
        <s v="Cost-Pec Entero"/>
        <s v="Panceta s/Cuero"/>
        <s v="Pierna Entera"/>
        <s v="Grasa Forro"/>
        <s v="Pierna Pulpa"/>
        <s v="Cuero Papada"/>
        <s v="Subprod Visceras"/>
        <s v="Grasa Interior"/>
        <s v="Cuero Back"/>
        <s v="Cuero Mixto"/>
        <s v="Filete c/Cabeza"/>
        <s v="Lomo Vetado"/>
        <s v="Pierna Pulpa Fina"/>
        <s v="Paleta Pulpa"/>
        <s v="Cuero Forro"/>
        <s v="Subprod Patas-Manos"/>
        <s v="Subprod Tripa"/>
        <s v="Panceta c/Cuero"/>
        <s v="Pernil Mano"/>
        <s v="Huesos Cuarto Delant"/>
        <s v="Prolijado Malaya"/>
        <s v="Prolijado Plateada"/>
        <s v="Plancha c/Cuero"/>
        <s v="Subprod Grasa"/>
        <s v="Subprod Proteína y O"/>
        <s v="Pernil Pierna"/>
        <s v="Chuleta Cazuela"/>
        <s v="Paleta Entera"/>
        <s v="Lomo MM Loin"/>
        <s v="Lomo CC Loin"/>
        <s v="Muestra"/>
        <s v="Trutro Largo"/>
        <s v="Ala Trutro"/>
        <s v="Menudencias Contre"/>
        <s v="Trutro Desh Corto"/>
        <s v="Pech Desh s/Piel"/>
        <s v="Recortes Piel"/>
        <s v="Pech Desh c/Piel"/>
        <s v="Pech Entera"/>
        <s v="Menudencias Cogote"/>
        <s v="Cazuela Espinazo"/>
        <s v="Pechuga Desh s/Piel"/>
        <s v="Subprod Piel"/>
        <s v="Carne Recuperada Pul"/>
        <s v="Reproductor Gallina"/>
        <s v="Menudencias Pana"/>
        <s v="Menudencias Corazón"/>
        <s v="Carne Recuperada ADM"/>
        <s v="Ala Centro"/>
        <s v="Filete"/>
        <s v="Patas Garras"/>
        <s v="Ala Centro-Punta"/>
        <s v="Carne Recuperada Pulpa"/>
        <s v="Recortes Magro"/>
        <s v="Empanizados Nuggets"/>
        <s v="Menudencias Hígado"/>
        <s v="Vara Cuarto Delanter"/>
        <s v="Vara Cuarto Trasero"/>
        <s v="Cabeza Entera"/>
        <s v="Vara Cuarto Central"/>
        <s v="Trutro Osobuco"/>
        <s v="Muestras"/>
        <s v="Ala Punta" u="1"/>
        <s v="Menudencias Cabeza" u="1"/>
        <s v="Varios Carcasa" u="1"/>
      </sharedItems>
    </cacheField>
    <cacheField name="Demanda" numFmtId="0">
      <sharedItems containsNonDate="0" containsString="0" containsBlank="1"/>
    </cacheField>
    <cacheField name=" RV Producción mes n+1" numFmtId="165">
      <sharedItems containsSemiMixedTypes="0" containsString="0" containsNumber="1" containsInteger="1" minValue="0" maxValue="1425349"/>
    </cacheField>
    <cacheField name=" RV  Venta mes n+1" numFmtId="165">
      <sharedItems containsSemiMixedTypes="0" containsString="0" containsNumber="1" containsInteger="1" minValue="0" maxValue="1400000"/>
    </cacheField>
    <cacheField name="% Uti. producción" numFmtId="9">
      <sharedItems containsSemiMixedTypes="0" containsString="0" containsNumber="1" minValue="0.3938052388111854" maxValue="0.7577362385835783"/>
    </cacheField>
    <cacheField name="Producción disponible" numFmtId="165">
      <sharedItems containsSemiMixedTypes="0" containsString="0" containsNumber="1" minValue="0" maxValue="633338.6802953122"/>
    </cacheField>
    <cacheField name="Stock al día" numFmtId="165">
      <sharedItems containsSemiMixedTypes="0" containsString="0" containsNumber="1" minValue="0" maxValue="258308.68499999991"/>
    </cacheField>
    <cacheField name="Por producir mes N" numFmtId="165">
      <sharedItems containsSemiMixedTypes="0" containsString="0" containsNumber="1" minValue="0" maxValue="182000"/>
    </cacheField>
    <cacheField name="Producción por despachar mes N" numFmtId="165">
      <sharedItems containsSemiMixedTypes="0" containsString="0" containsNumber="1" containsInteger="1" minValue="0" maxValue="24000"/>
    </cacheField>
    <cacheField name="Total disponible" numFmtId="165">
      <sharedItems containsSemiMixedTypes="0" containsString="0" containsNumber="1" minValue="0" maxValue="983418.58833428426"/>
    </cacheField>
    <cacheField name="Delay" numFmtId="165">
      <sharedItems containsSemiMixedTypes="0" containsString="0" containsNumber="1" containsInteger="1" minValue="0" maxValue="805840"/>
    </cacheField>
    <cacheField name="Vol. prom. Por contenedor" numFmtId="165">
      <sharedItems containsSemiMixedTypes="0" containsString="0" containsNumber="1" minValue="0" maxValue="25000"/>
    </cacheField>
    <cacheField name="Atraso a facturar" numFmtId="165">
      <sharedItems containsSemiMixedTypes="0" containsString="0" containsNumber="1" minValue="0" maxValue="805840"/>
    </cacheField>
    <cacheField name="Ajuste atraso" numFmtId="169">
      <sharedItems containsNonDate="0" containsString="0" containsBlank="1"/>
    </cacheField>
    <cacheField name="Facturación atraso" numFmtId="165">
      <sharedItems containsSemiMixedTypes="0" containsString="0" containsNumber="1" minValue="0" maxValue="805840"/>
    </cacheField>
    <cacheField name="Producción para venta nueva" numFmtId="165">
      <sharedItems containsSemiMixedTypes="0" containsString="0" containsNumber="1" minValue="0" maxValue="333418.58833428426"/>
    </cacheField>
    <cacheField name="Venta del mes" numFmtId="165">
      <sharedItems containsSemiMixedTypes="0" containsString="0" containsNumber="1" minValue="0" maxValue="325000"/>
    </cacheField>
    <cacheField name="Ajuste venta nueva" numFmtId="169">
      <sharedItems containsNonDate="0" containsString="0" containsBlank="1"/>
    </cacheField>
    <cacheField name="Facturación Venta nueva" numFmtId="165">
      <sharedItems containsSemiMixedTypes="0" containsString="0" containsNumber="1" minValue="0" maxValue="325000"/>
    </cacheField>
    <cacheField name="Saldo Volumen disponible" numFmtId="165">
      <sharedItems containsSemiMixedTypes="0" containsString="0" containsNumber="1" minValue="0" maxValue="166412.0813203362"/>
    </cacheField>
    <cacheField name="Disponible a facturar sin venta" numFmtId="0">
      <sharedItems containsSemiMixedTypes="0" containsString="0" containsNumber="1" minValue="0" maxValue="144000"/>
    </cacheField>
    <cacheField name="En puerto a facturar" numFmtId="165">
      <sharedItems containsSemiMixedTypes="0" containsString="0" containsNumber="1" containsInteger="1" minValue="0" maxValue="0"/>
    </cacheField>
    <cacheField name="Plan Irrestricto" numFmtId="165">
      <sharedItems containsSemiMixedTypes="0" containsString="0" containsNumber="1" minValue="0" maxValue="975000"/>
    </cacheField>
    <cacheField name="Plan Ajustado" numFmtId="165">
      <sharedItems containsSemiMixedTypes="0" containsString="0" containsNumber="1" minValue="0" maxValue="975000"/>
    </cacheField>
    <cacheField name="Motivo Ajuste" numFmtId="165">
      <sharedItems containsNonDate="0" containsString="0" containsBlank="1"/>
    </cacheField>
    <cacheField name="Precio venta nueva" numFmtId="166">
      <sharedItems containsSemiMixedTypes="0" containsString="0" containsNumber="1" minValue="0" maxValue="12.287000000000001"/>
    </cacheField>
    <cacheField name="Precio Atraso" numFmtId="0">
      <sharedItems containsSemiMixedTypes="0" containsString="0" containsNumber="1" minValue="0" maxValue="14.556213017751501"/>
    </cacheField>
    <cacheField name="Precio ponderado" numFmtId="166">
      <sharedItems containsSemiMixedTypes="0" containsString="0" containsNumber="1" minValue="0" maxValue="14.556213017751501"/>
    </cacheField>
    <cacheField name="Neto" numFmtId="165">
      <sharedItems containsSemiMixedTypes="0" containsString="0" containsNumber="1" minValue="0" maxValue="2861348.5833603693"/>
    </cacheField>
    <cacheField name="Precio Ultima facturación" numFmtId="0">
      <sharedItems containsSemiMixedTypes="0" containsString="0" containsNumber="1" minValue="0" maxValue="15.31"/>
    </cacheField>
    <cacheField name="Desv ABS Precio" numFmtId="9">
      <sharedItems containsMixedTypes="1" containsNumber="1" minValue="0" maxValue="0.88235294117647078"/>
    </cacheField>
    <cacheField name="Plan Enero" numFmtId="165">
      <sharedItems containsSemiMixedTypes="0" containsString="0" containsNumber="1" containsInteger="1" minValue="0" maxValue="660000"/>
    </cacheField>
    <cacheField name="Plan Febrero" numFmtId="165">
      <sharedItems containsSemiMixedTypes="0" containsString="0" containsNumber="1" containsInteger="1" minValue="0" maxValue="696000"/>
    </cacheField>
    <cacheField name="Plan Marzo" numFmtId="165">
      <sharedItems containsSemiMixedTypes="0" containsString="0" containsNumber="1" containsInteger="1" minValue="0" maxValue="950000"/>
    </cacheField>
    <cacheField name="Plan Abril" numFmtId="165">
      <sharedItems containsSemiMixedTypes="0" containsString="0" containsNumber="1" containsInteger="1" minValue="0" maxValue="1100000"/>
    </cacheField>
    <cacheField name="Plan Mayo" numFmtId="165">
      <sharedItems containsSemiMixedTypes="0" containsString="0" containsNumber="1" containsInteger="1" minValue="0" maxValue="1291866"/>
    </cacheField>
    <cacheField name="Plan Jun" numFmtId="165">
      <sharedItems containsSemiMixedTypes="0" containsString="0" containsNumber="1" containsInteger="1" minValue="0" maxValue="1074071"/>
    </cacheField>
    <cacheField name="Neto Ene" numFmtId="164">
      <sharedItems containsSemiMixedTypes="0" containsString="0" containsNumber="1" minValue="0" maxValue="4448231.7450000001"/>
    </cacheField>
    <cacheField name="Neto Feb" numFmtId="0">
      <sharedItems containsSemiMixedTypes="0" containsString="0" containsNumber="1" containsInteger="1" minValue="0" maxValue="3883485"/>
    </cacheField>
    <cacheField name="Neto Mar" numFmtId="0">
      <sharedItems containsSemiMixedTypes="0" containsString="0" containsNumber="1" containsInteger="1" minValue="0" maxValue="2975000"/>
    </cacheField>
    <cacheField name="Neto Abr" numFmtId="0">
      <sharedItems containsSemiMixedTypes="0" containsString="0" containsNumber="1" containsInteger="1" minValue="0" maxValue="4283678"/>
    </cacheField>
    <cacheField name="Neto May" numFmtId="0">
      <sharedItems containsSemiMixedTypes="0" containsString="0" containsNumber="1" containsInteger="1" minValue="0" maxValue="3723805"/>
    </cacheField>
    <cacheField name="Neto Jun" numFmtId="0">
      <sharedItems containsSemiMixedTypes="0" containsString="0" containsNumber="1" minValue="0" maxValue="2830975"/>
    </cacheField>
    <cacheField name="OBS" numFmtId="165">
      <sharedItems containsBlank="1"/>
    </cacheField>
    <cacheField name="Salidas anticipadas" numFmtId="165">
      <sharedItems containsSemiMixedTypes="0" containsString="0" containsNumber="1" containsInteger="1" minValue="0" maxValue="0"/>
    </cacheField>
    <cacheField name="venta nueva" numFmtId="165">
      <sharedItems/>
    </cacheField>
    <cacheField name="Producción nueva" numFmtId="165">
      <sharedItems/>
    </cacheField>
    <cacheField name="Dif. ultimos planes" numFmtId="0" formula="'Plan Irrestricto'-AVERAGE('Plan Mayo','Plan Abril','Plan Marzo')" databaseField="0"/>
    <cacheField name="Precio" numFmtId="0" formula="Neto/'Plan Ajustado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774.426144097219" createdVersion="8" refreshedVersion="8" minRefreshableVersion="3" recordCount="167" xr:uid="{821F396F-ADD9-4F36-8B3C-364212515409}">
  <cacheSource type="worksheet">
    <worksheetSource ref="C2:L1048576" sheet="Hoja2"/>
  </cacheSource>
  <cacheFields count="11">
    <cacheField name="Ratio" numFmtId="0">
      <sharedItems containsBlank="1"/>
    </cacheField>
    <cacheField name="Oficina de Ventas" numFmtId="0">
      <sharedItems containsBlank="1" count="7">
        <s v="Agro Sudamerica"/>
        <s v="Agrosuper Asia"/>
        <s v="Agrosuper Brasil"/>
        <s v="Agrosuper Shanghai"/>
        <s v="Exportacion Directa"/>
        <s v="Agro Mexico"/>
        <m/>
      </sharedItems>
    </cacheField>
    <cacheField name="Sector" numFmtId="0">
      <sharedItems containsBlank="1" count="5">
        <s v="Cerdo"/>
        <s v="Pavo"/>
        <s v="Pollo"/>
        <s v="Elaborado"/>
        <m/>
      </sharedItems>
    </cacheField>
    <cacheField name="Nivel 2" numFmtId="0">
      <sharedItems containsBlank="1"/>
    </cacheField>
    <cacheField name="Nivel 3" numFmtId="0">
      <sharedItems containsBlank="1"/>
    </cacheField>
    <cacheField name="SKU" numFmtId="0">
      <sharedItems containsString="0" containsBlank="1" containsNumber="1" containsInteger="1" minValue="1010877" maxValue="1100408"/>
    </cacheField>
    <cacheField name="Tipo de Venta" numFmtId="0">
      <sharedItems containsBlank="1"/>
    </cacheField>
    <cacheField name="Kilos " numFmtId="0">
      <sharedItems containsString="0" containsBlank="1" containsNumber="1" minValue="313" maxValue="1295324.5"/>
    </cacheField>
    <cacheField name="PP Moneda Origen" numFmtId="0">
      <sharedItems containsString="0" containsBlank="1" containsNumber="1" minValue="0.41875000000000001" maxValue="12.580466530612203"/>
    </cacheField>
    <cacheField name="Venta Moneda Origen" numFmtId="0">
      <sharedItems containsString="0" containsBlank="1" containsNumber="1" minValue="281.7" maxValue="3189145.0660000001"/>
    </cacheField>
    <cacheField name="precio" numFmtId="0" formula="'Venta Moneda Origen'/'Kilos 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777.013830439813" createdVersion="8" refreshedVersion="8" minRefreshableVersion="3" recordCount="310" xr:uid="{BE0546D0-8B24-407B-91A3-4AFFA8F475FC}">
  <cacheSource type="worksheet">
    <worksheetSource name="Tabla145"/>
  </cacheSource>
  <cacheFields count="80">
    <cacheField name="Llave" numFmtId="0">
      <sharedItems/>
    </cacheField>
    <cacheField name="Sector" numFmtId="0">
      <sharedItems count="4">
        <s v="Cerdo"/>
        <s v="Pavo"/>
        <s v="Pollo"/>
        <s v="Elaborado"/>
      </sharedItems>
    </cacheField>
    <cacheField name="Oficina" numFmtId="0">
      <sharedItems count="6">
        <s v="Agro Sudamerica"/>
        <s v="Agrosuper Asia"/>
        <s v="Agrosuper Brasil"/>
        <s v="Agrosuper Shanghai"/>
        <s v="Exportacion Directa"/>
        <s v="Agro Mexico"/>
      </sharedItems>
    </cacheField>
    <cacheField name="Material" numFmtId="0">
      <sharedItems containsSemiMixedTypes="0" containsString="0" containsNumber="1" containsInteger="1" minValue="1010877" maxValue="1100408"/>
    </cacheField>
    <cacheField name="Descripción" numFmtId="0">
      <sharedItems/>
    </cacheField>
    <cacheField name="Nivel Jer. 2" numFmtId="0">
      <sharedItems/>
    </cacheField>
    <cacheField name="Nivel Jer. 3" numFmtId="0">
      <sharedItems/>
    </cacheField>
    <cacheField name=" RV Producción mes n+1" numFmtId="165">
      <sharedItems containsSemiMixedTypes="0" containsString="0" containsNumber="1" containsInteger="1" minValue="0" maxValue="1503671"/>
    </cacheField>
    <cacheField name=" RV  Venta mes n+1" numFmtId="165">
      <sharedItems containsSemiMixedTypes="0" containsString="0" containsNumber="1" containsInteger="1" minValue="0" maxValue="1300000"/>
    </cacheField>
    <cacheField name="% Uti. producción" numFmtId="9">
      <sharedItems containsSemiMixedTypes="0" containsString="0" containsNumber="1" minValue="0.45719439678473212" maxValue="0.87158319035419651"/>
    </cacheField>
    <cacheField name="Producción disponible" numFmtId="165">
      <sharedItems containsSemiMixedTypes="0" containsString="0" containsNumber="1" minValue="0" maxValue="730114.4"/>
    </cacheField>
    <cacheField name="Stock al día" numFmtId="165">
      <sharedItems containsSemiMixedTypes="0" containsString="0" containsNumber="1" containsInteger="1" minValue="0" maxValue="363111"/>
    </cacheField>
    <cacheField name="Por producir mes N" numFmtId="165">
      <sharedItems containsSemiMixedTypes="0" containsString="0" containsNumber="1" minValue="0" maxValue="440000"/>
    </cacheField>
    <cacheField name="Producción por despachar mes N" numFmtId="165">
      <sharedItems containsSemiMixedTypes="0" containsString="0" containsNumber="1" containsInteger="1" minValue="0" maxValue="168620"/>
    </cacheField>
    <cacheField name="Total disponible" numFmtId="165">
      <sharedItems containsSemiMixedTypes="0" containsString="0" containsNumber="1" minValue="-1256" maxValue="1148101.9558076949"/>
    </cacheField>
    <cacheField name="Delay" numFmtId="165">
      <sharedItems containsSemiMixedTypes="0" containsString="0" containsNumber="1" containsInteger="1" minValue="0" maxValue="1100000"/>
    </cacheField>
    <cacheField name="Vol. prom. Por contenedor" numFmtId="165">
      <sharedItems containsString="0" containsBlank="1" containsNumber="1" minValue="0" maxValue="25000"/>
    </cacheField>
    <cacheField name="Atraso a facturar" numFmtId="165">
      <sharedItems containsSemiMixedTypes="0" containsString="0" containsNumber="1" minValue="0" maxValue="1100000"/>
    </cacheField>
    <cacheField name="Ajuste atraso" numFmtId="169">
      <sharedItems containsString="0" containsBlank="1" containsNumber="1" containsInteger="1" minValue="-600000" maxValue="0"/>
    </cacheField>
    <cacheField name="Facturación atraso" numFmtId="165">
      <sharedItems containsSemiMixedTypes="0" containsString="0" containsNumber="1" minValue="0" maxValue="596000"/>
    </cacheField>
    <cacheField name="Producción para venta nueva" numFmtId="165">
      <sharedItems containsSemiMixedTypes="0" containsString="0" containsNumber="1" minValue="-1256" maxValue="648101.95580769493"/>
    </cacheField>
    <cacheField name="Venta del mes" numFmtId="165">
      <sharedItems containsSemiMixedTypes="0" containsString="0" containsNumber="1" minValue="0" maxValue="625000"/>
    </cacheField>
    <cacheField name="Ajuste venta nueva" numFmtId="169">
      <sharedItems containsString="0" containsBlank="1" containsNumber="1" containsInteger="1" minValue="-264000" maxValue="144000"/>
    </cacheField>
    <cacheField name="Facturación Venta nueva" numFmtId="165">
      <sharedItems containsSemiMixedTypes="0" containsString="0" containsNumber="1" minValue="-216" maxValue="432000"/>
    </cacheField>
    <cacheField name="Saldo Volumen disponible" numFmtId="165">
      <sharedItems containsSemiMixedTypes="0" containsString="0" containsNumber="1" minValue="-128847" maxValue="494904.1458"/>
    </cacheField>
    <cacheField name="Disponible stock sin venta" numFmtId="0">
      <sharedItems containsSemiMixedTypes="0" containsString="0" containsNumber="1" minValue="0" maxValue="48000"/>
    </cacheField>
    <cacheField name="Ajuste stock sin venta" numFmtId="0">
      <sharedItems containsSemiMixedTypes="0" containsString="0" containsNumber="1" containsInteger="1" minValue="-30500" maxValue="0"/>
    </cacheField>
    <cacheField name="Facturación stock" numFmtId="0">
      <sharedItems containsSemiMixedTypes="0" containsString="0" containsNumber="1" minValue="0" maxValue="48000"/>
    </cacheField>
    <cacheField name="En puerto a facturar" numFmtId="165">
      <sharedItems containsSemiMixedTypes="0" containsString="0" containsNumber="1" minValue="0" maxValue="370324.5"/>
    </cacheField>
    <cacheField name="Plan Irrestricto Inicial" numFmtId="165">
      <sharedItems containsSemiMixedTypes="0" containsString="0" containsNumber="1" minValue="0" maxValue="1570324.5"/>
    </cacheField>
    <cacheField name="Plan Irrestricto" numFmtId="165">
      <sharedItems containsSemiMixedTypes="0" containsString="0" containsNumber="1" minValue="0" maxValue="2095324.5"/>
    </cacheField>
    <cacheField name="Puerto " numFmtId="165">
      <sharedItems containsSemiMixedTypes="0" containsString="0" containsNumber="1" minValue="0" maxValue="370324.5"/>
    </cacheField>
    <cacheField name="Atraso" numFmtId="165">
      <sharedItems containsSemiMixedTypes="0" containsString="0" containsNumber="1" minValue="0" maxValue="596000"/>
    </cacheField>
    <cacheField name="Venta nueva" numFmtId="165">
      <sharedItems containsSemiMixedTypes="0" containsString="0" containsNumber="1" minValue="0" maxValue="1225000"/>
    </cacheField>
    <cacheField name="Plan Ajustado" numFmtId="165">
      <sharedItems containsSemiMixedTypes="0" containsString="0" containsNumber="1" minValue="0" maxValue="1295324.5"/>
    </cacheField>
    <cacheField name=" Atraso ajustado" numFmtId="165">
      <sharedItems containsSemiMixedTypes="0" containsString="0" containsNumber="1" minValue="0" maxValue="596000"/>
    </cacheField>
    <cacheField name="Venta nueva Ajustado" numFmtId="165">
      <sharedItems containsSemiMixedTypes="0" containsString="0" containsNumber="1" minValue="-216" maxValue="432000"/>
    </cacheField>
    <cacheField name="Motivo Ajuste" numFmtId="0">
      <sharedItems containsBlank="1" containsMixedTypes="1" containsNumber="1" containsInteger="1" minValue="0" maxValue="0"/>
    </cacheField>
    <cacheField name="Ajustado por" numFmtId="0">
      <sharedItems containsBlank="1"/>
    </cacheField>
    <cacheField name="Usa produdicción o stock ¿?" numFmtId="165">
      <sharedItems/>
    </cacheField>
    <cacheField name="Necesidad" numFmtId="165">
      <sharedItems containsSemiMixedTypes="0" containsString="0" containsNumber="1" minValue="0" maxValue="1028000"/>
    </cacheField>
    <cacheField name="Stock Plan" numFmtId="165">
      <sharedItems containsSemiMixedTypes="0" containsString="0" containsNumber="1" minValue="0" maxValue="338670"/>
    </cacheField>
    <cacheField name="Producción nueva" numFmtId="165">
      <sharedItems containsSemiMixedTypes="0" containsString="0" containsNumber="1" minValue="0" maxValue="860368"/>
    </cacheField>
    <cacheField name="Fecha limite producción" numFmtId="14">
      <sharedItems containsSemiMixedTypes="0" containsNonDate="0" containsDate="1" containsString="0" minDate="2022-08-13T00:00:00" maxDate="2022-08-28T00:00:00"/>
    </cacheField>
    <cacheField name="Precio venta nueva" numFmtId="166">
      <sharedItems containsSemiMixedTypes="0" containsString="0" containsNumber="1" minValue="-0.1050591368323141" maxValue="13.401"/>
    </cacheField>
    <cacheField name="Precio Atraso" numFmtId="166">
      <sharedItems containsSemiMixedTypes="0" containsString="0" containsNumber="1" minValue="0" maxValue="14.556213017751501"/>
    </cacheField>
    <cacheField name="Precio ponderado" numFmtId="166">
      <sharedItems containsSemiMixedTypes="0" containsString="0" containsNumber="1" minValue="0" maxValue="14.556213017751501"/>
    </cacheField>
    <cacheField name="Neto" numFmtId="165">
      <sharedItems containsSemiMixedTypes="0" containsString="0" containsNumber="1" minValue="0" maxValue="3189145.0660000001"/>
    </cacheField>
    <cacheField name="Precio Ultima facturación" numFmtId="166">
      <sharedItems containsSemiMixedTypes="0" containsString="0" containsNumber="1" minValue="-0.1050591368323141" maxValue="17.372897435897436"/>
    </cacheField>
    <cacheField name="Desv ABS Precio" numFmtId="9">
      <sharedItems containsMixedTypes="1" containsNumber="1" minValue="0" maxValue="1.0212708488741156"/>
    </cacheField>
    <cacheField name="Ajuste precio IC" numFmtId="166">
      <sharedItems containsSemiMixedTypes="0" containsString="0" containsNumber="1" minValue="0" maxValue="12.580466530612203"/>
    </cacheField>
    <cacheField name="Precio Final" numFmtId="166">
      <sharedItems containsSemiMixedTypes="0" containsString="0" containsNumber="1" minValue="0" maxValue="14.556213017751501"/>
    </cacheField>
    <cacheField name="OB Ajuste precio" numFmtId="9">
      <sharedItems containsBlank="1"/>
    </cacheField>
    <cacheField name="Verificador precio 1" numFmtId="9">
      <sharedItems/>
    </cacheField>
    <cacheField name="Verificador precio 2 vta nueva" numFmtId="9">
      <sharedItems/>
    </cacheField>
    <cacheField name="Plan Enero" numFmtId="165">
      <sharedItems containsSemiMixedTypes="0" containsString="0" containsNumber="1" containsInteger="1" minValue="0" maxValue="660000"/>
    </cacheField>
    <cacheField name="Plan Febrero" numFmtId="165">
      <sharedItems containsSemiMixedTypes="0" containsString="0" containsNumber="1" containsInteger="1" minValue="0" maxValue="696000"/>
    </cacheField>
    <cacheField name="Plan Marzo" numFmtId="165">
      <sharedItems containsSemiMixedTypes="0" containsString="0" containsNumber="1" containsInteger="1" minValue="0" maxValue="950000"/>
    </cacheField>
    <cacheField name="Plan Abril" numFmtId="165">
      <sharedItems containsSemiMixedTypes="0" containsString="0" containsNumber="1" containsInteger="1" minValue="0" maxValue="1100000"/>
    </cacheField>
    <cacheField name="Plan Mayo" numFmtId="165">
      <sharedItems containsSemiMixedTypes="0" containsString="0" containsNumber="1" containsInteger="1" minValue="0" maxValue="1291866"/>
    </cacheField>
    <cacheField name="Plan Jun" numFmtId="165">
      <sharedItems containsSemiMixedTypes="0" containsString="0" containsNumber="1" containsInteger="1" minValue="0" maxValue="1074071"/>
    </cacheField>
    <cacheField name="Neto Ene" numFmtId="164">
      <sharedItems containsSemiMixedTypes="0" containsString="0" containsNumber="1" minValue="0" maxValue="4448231.7450000001"/>
    </cacheField>
    <cacheField name="Neto Feb" numFmtId="0">
      <sharedItems containsSemiMixedTypes="0" containsString="0" containsNumber="1" containsInteger="1" minValue="0" maxValue="3883485"/>
    </cacheField>
    <cacheField name="Neto Mar" numFmtId="0">
      <sharedItems containsSemiMixedTypes="0" containsString="0" containsNumber="1" containsInteger="1" minValue="0" maxValue="2975000"/>
    </cacheField>
    <cacheField name="Neto Abr" numFmtId="0">
      <sharedItems containsSemiMixedTypes="0" containsString="0" containsNumber="1" containsInteger="1" minValue="0" maxValue="4283678"/>
    </cacheField>
    <cacheField name="Neto May" numFmtId="0">
      <sharedItems containsSemiMixedTypes="0" containsString="0" containsNumber="1" containsInteger="1" minValue="0" maxValue="3723805"/>
    </cacheField>
    <cacheField name="Neto Jun" numFmtId="0">
      <sharedItems containsSemiMixedTypes="0" containsString="0" containsNumber="1" minValue="0" maxValue="2830975"/>
    </cacheField>
    <cacheField name="OBS" numFmtId="165">
      <sharedItems containsBlank="1"/>
    </cacheField>
    <cacheField name="Producción disponible mes n-1" numFmtId="165">
      <sharedItems containsSemiMixedTypes="0" containsString="0" containsNumber="1" minValue="0" maxValue="816201.04419230518"/>
    </cacheField>
    <cacheField name="Saldo mes n-1" numFmtId="165">
      <sharedItems containsSemiMixedTypes="0" containsString="0" containsNumber="1" minValue="-109647" maxValue="1039303.0000000001"/>
    </cacheField>
    <cacheField name="Asignación mes n+2" numFmtId="165">
      <sharedItems containsSemiMixedTypes="0" containsString="0" containsNumber="1" minValue="0" maxValue="1000000"/>
    </cacheField>
    <cacheField name="Ponderación mes n+2" numFmtId="165">
      <sharedItems containsSemiMixedTypes="0" containsString="0" containsNumber="1" minValue="0" maxValue="800000"/>
    </cacheField>
    <cacheField name="Irrstricto mes n+2" numFmtId="165">
      <sharedItems containsSemiMixedTypes="0" containsString="0" containsNumber="1" minValue="-109647" maxValue="1427918.2372670225"/>
    </cacheField>
    <cacheField name="Saldo mes n+2" numFmtId="165">
      <sharedItems containsSemiMixedTypes="0" containsString="0" containsNumber="1" minValue="0" maxValue="461384.76273297769"/>
    </cacheField>
    <cacheField name="Asignación mes n+3" numFmtId="165">
      <sharedItems containsSemiMixedTypes="0" containsString="0" containsNumber="1" minValue="0" maxValue="971000"/>
    </cacheField>
    <cacheField name="Ponderación mes n+3" numFmtId="165">
      <sharedItems containsSemiMixedTypes="0" containsString="0" containsNumber="1" minValue="0" maxValue="720000"/>
    </cacheField>
    <cacheField name="Irrstricto mes n+3" numFmtId="165">
      <sharedItems containsSemiMixedTypes="0" containsString="0" containsNumber="1" minValue="0" maxValue="920000"/>
    </cacheField>
    <cacheField name="Saldo mes n+3" numFmtId="165">
      <sharedItems containsSemiMixedTypes="0" containsString="0" containsNumber="1" minValue="0" maxValue="527064.24072202505"/>
    </cacheField>
    <cacheField name="Saldo mes n+4" numFmtId="165">
      <sharedItems containsSemiMixedTypes="0" containsString="0" containsNumber="1" minValue="0" maxValue="1503671"/>
    </cacheField>
    <cacheField name="Saldo mes n+5" numFmtId="165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802.466927199072" createdVersion="8" refreshedVersion="8" minRefreshableVersion="3" recordCount="310" xr:uid="{55915006-59DC-4EE6-BD51-084F2853CFB5}">
  <cacheSource type="worksheet">
    <worksheetSource ref="B9:BP319" sheet="BASE PLAN MES N inicial"/>
  </cacheSource>
  <cacheFields count="76">
    <cacheField name="Llave" numFmtId="0">
      <sharedItems/>
    </cacheField>
    <cacheField name="Sector" numFmtId="0">
      <sharedItems containsBlank="1" count="5">
        <s v="Cerdo"/>
        <s v="Pavo"/>
        <s v="Pollo"/>
        <s v="Elaborado"/>
        <m u="1"/>
      </sharedItems>
    </cacheField>
    <cacheField name="Oficina" numFmtId="0">
      <sharedItems count="7">
        <s v="Agro Sudamerica"/>
        <s v="Agrosuper Asia"/>
        <s v="Agrosuper Brasil"/>
        <s v="Agrosuper Shanghai"/>
        <s v="Exportacion Directa"/>
        <s v="Agro Mexico"/>
        <s v="Africa" u="1"/>
      </sharedItems>
    </cacheField>
    <cacheField name="Material" numFmtId="0">
      <sharedItems containsSemiMixedTypes="0" containsString="0" containsNumber="1" containsInteger="1" minValue="1010877" maxValue="1100408"/>
    </cacheField>
    <cacheField name="Descripción" numFmtId="0">
      <sharedItems/>
    </cacheField>
    <cacheField name="Nivel Jer. 2" numFmtId="0">
      <sharedItems containsBlank="1" count="34">
        <s v="Chuleta"/>
        <s v="Huesos"/>
        <s v="Grasas"/>
        <s v="Plancha"/>
        <s v="Cueros"/>
        <s v="Recortes"/>
        <s v="Lomo"/>
        <s v="Cost-Pec"/>
        <s v="Panceta"/>
        <s v="Pierna"/>
        <s v="Subprod"/>
        <s v="Filete"/>
        <s v="Paleta"/>
        <s v="Pernil"/>
        <s v="Prolijado"/>
        <s v="Muestra"/>
        <s v="Trutro"/>
        <s v="Ala"/>
        <s v="Menudencias"/>
        <s v="Trutro Desh"/>
        <s v="Pech Desh"/>
        <s v="Pech"/>
        <s v="Cazuela"/>
        <s v="Pechuga Desh"/>
        <s v="Carne Recuperada"/>
        <s v="Reproductor"/>
        <s v="Patas"/>
        <s v="Centro"/>
        <s v="Empanizado"/>
        <s v="Vara Gordo"/>
        <s v="Cabeza"/>
        <s v="Muestras"/>
        <m u="1"/>
        <s v="Varios" u="1"/>
      </sharedItems>
    </cacheField>
    <cacheField name="Nivel Jer. 3" numFmtId="0">
      <sharedItems count="75">
        <s v="Chuleta Centro"/>
        <s v="Huesos Cuarto Centra"/>
        <s v="Grasa Lomo Tocino"/>
        <s v="Plancha s/Cuero"/>
        <s v="Cuero Panceta"/>
        <s v="Grasa Gordura"/>
        <s v="Recortes No Magro"/>
        <s v="Chuleta Huesos"/>
        <s v="Lomo Centro"/>
        <s v="Cost-Pec Entero"/>
        <s v="Panceta s/Cuero"/>
        <s v="Pierna Entera"/>
        <s v="Grasa Forro"/>
        <s v="Pierna Pulpa"/>
        <s v="Cuero Papada"/>
        <s v="Subprod Visceras"/>
        <s v="Grasa Interior"/>
        <s v="Cuero Back"/>
        <s v="Cuero Mixto"/>
        <s v="Filete c/Cabeza"/>
        <s v="Lomo Vetado"/>
        <s v="Pierna Pulpa Fina"/>
        <s v="Paleta Pulpa"/>
        <s v="Cuero Forro"/>
        <s v="Subprod Patas-Manos"/>
        <s v="Subprod Tripa"/>
        <s v="Panceta c/Cuero"/>
        <s v="Pernil Mano"/>
        <s v="Huesos Cuarto Delant"/>
        <s v="Prolijado Malaya"/>
        <s v="Prolijado Plateada"/>
        <s v="Plancha c/Cuero"/>
        <s v="Subprod Grasa"/>
        <s v="Subprod Proteína y O"/>
        <s v="Pernil Pierna"/>
        <s v="Chuleta Cazuela"/>
        <s v="Paleta Entera"/>
        <s v="Lomo MM Loin"/>
        <s v="Lomo CC Loin"/>
        <s v="Muestra"/>
        <s v="Trutro Largo"/>
        <s v="Ala Trutro"/>
        <s v="Menudencias Contre"/>
        <s v="Trutro Desh Corto"/>
        <s v="Pech Desh s/Piel"/>
        <s v="Recortes Piel"/>
        <s v="Pech Desh c/Piel"/>
        <s v="Pech Entera"/>
        <s v="Menudencias Cogote"/>
        <s v="Cazuela Espinazo"/>
        <s v="Pechuga Desh s/Piel"/>
        <s v="Subprod Piel"/>
        <s v="Carne Recuperada Pul"/>
        <s v="Reproductor Gallina"/>
        <s v="Menudencias Pana"/>
        <s v="Menudencias Corazón"/>
        <s v="Carne Recuperada ADM"/>
        <s v="Ala Centro"/>
        <s v="Filete"/>
        <s v="Patas Garras"/>
        <s v="Ala Centro-Punta"/>
        <s v="Carne Recuperada Pulpa"/>
        <s v="Recortes Magro"/>
        <s v="Empanizados Nuggets"/>
        <s v="Menudencias Hígado"/>
        <s v="Vara Cuarto Delanter"/>
        <s v="Vara Cuarto Trasero"/>
        <s v="Cabeza Entera"/>
        <s v="Vara Cuarto Central"/>
        <s v="Trutro Osobuco"/>
        <s v="Muestras"/>
        <s v="Carne Recuperada"/>
        <s v="Ala Punta" u="1"/>
        <s v="Menudencias Cabeza" u="1"/>
        <s v="Varios Carcasa" u="1"/>
      </sharedItems>
    </cacheField>
    <cacheField name=" RV Producción mes n+1" numFmtId="165">
      <sharedItems containsSemiMixedTypes="0" containsString="0" containsNumber="1" containsInteger="1" minValue="0" maxValue="1503671"/>
    </cacheField>
    <cacheField name=" RV  Venta mes n+1" numFmtId="165">
      <sharedItems containsSemiMixedTypes="0" containsString="0" containsNumber="1" containsInteger="1" minValue="0" maxValue="1300000"/>
    </cacheField>
    <cacheField name="% Uti. producción" numFmtId="9">
      <sharedItems containsSemiMixedTypes="0" containsString="0" containsNumber="1" minValue="0.45719439678473212" maxValue="0.87158319035419651"/>
    </cacheField>
    <cacheField name="Producción disponible" numFmtId="165">
      <sharedItems containsSemiMixedTypes="0" containsString="0" containsNumber="1" minValue="0" maxValue="730114.4"/>
    </cacheField>
    <cacheField name="Stock al día" numFmtId="165">
      <sharedItems containsSemiMixedTypes="0" containsString="0" containsNumber="1" minValue="0" maxValue="310349.745"/>
    </cacheField>
    <cacheField name="Por producir mes N" numFmtId="165">
      <sharedItems containsSemiMixedTypes="0" containsString="0" containsNumber="1" minValue="0" maxValue="440000"/>
    </cacheField>
    <cacheField name="Producción por despachar mes N" numFmtId="165">
      <sharedItems containsSemiMixedTypes="0" containsString="0" containsNumber="1" containsInteger="1" minValue="0" maxValue="168620"/>
    </cacheField>
    <cacheField name="Total disponible" numFmtId="165">
      <sharedItems containsSemiMixedTypes="0" containsString="0" containsNumber="1" minValue="0" maxValue="1218825.0358076948"/>
    </cacheField>
    <cacheField name="Delay" numFmtId="165">
      <sharedItems containsSemiMixedTypes="0" containsString="0" containsNumber="1" containsInteger="1" minValue="0" maxValue="1100000"/>
    </cacheField>
    <cacheField name="Vol. prom. Por contenedor" numFmtId="165">
      <sharedItems containsString="0" containsBlank="1" containsNumber="1" minValue="0" maxValue="25000"/>
    </cacheField>
    <cacheField name="Atraso a facturar" numFmtId="165">
      <sharedItems containsSemiMixedTypes="0" containsString="0" containsNumber="1" minValue="0" maxValue="1100000"/>
    </cacheField>
    <cacheField name="Ajuste atraso" numFmtId="169">
      <sharedItems containsSemiMixedTypes="0" containsString="0" containsNumber="1" containsInteger="1" minValue="-600000" maxValue="86000"/>
    </cacheField>
    <cacheField name="Facturación atraso" numFmtId="165">
      <sharedItems containsSemiMixedTypes="0" containsString="0" containsNumber="1" minValue="0" maxValue="596000"/>
    </cacheField>
    <cacheField name="Producción para venta nueva" numFmtId="165">
      <sharedItems containsSemiMixedTypes="0" containsString="0" containsNumber="1" minValue="-85006.096716572269" maxValue="718825.03580769477"/>
    </cacheField>
    <cacheField name="Venta del mes" numFmtId="165">
      <sharedItems containsSemiMixedTypes="0" containsString="0" containsNumber="1" minValue="0" maxValue="700000"/>
    </cacheField>
    <cacheField name="Ajuste venta nueva" numFmtId="169">
      <sharedItems containsSemiMixedTypes="0" containsString="0" containsNumber="1" containsInteger="1" minValue="-200000" maxValue="144000"/>
    </cacheField>
    <cacheField name="Facturación Venta nueva" numFmtId="165">
      <sharedItems containsSemiMixedTypes="0" containsString="0" containsNumber="1" minValue="0" maxValue="500000"/>
    </cacheField>
    <cacheField name="Saldo Volumen disponible" numFmtId="165">
      <sharedItems containsSemiMixedTypes="0" containsString="0" containsNumber="1" minValue="-136445.639" maxValue="294536.14303983375"/>
    </cacheField>
    <cacheField name="Disponible stock sin venta" numFmtId="0">
      <sharedItems containsSemiMixedTypes="0" containsString="0" containsNumber="1" minValue="0" maxValue="96000"/>
    </cacheField>
    <cacheField name="Ajuste stock sin venta" numFmtId="0">
      <sharedItems containsString="0" containsBlank="1" containsNumber="1" containsInteger="1" minValue="-44000" maxValue="-44000"/>
    </cacheField>
    <cacheField name="Facturación stock" numFmtId="0">
      <sharedItems containsSemiMixedTypes="0" containsString="0" containsNumber="1" minValue="0" maxValue="96000"/>
    </cacheField>
    <cacheField name="En puerto a facturar" numFmtId="165">
      <sharedItems containsSemiMixedTypes="0" containsString="0" containsNumber="1" minValue="0" maxValue="370324.5"/>
    </cacheField>
    <cacheField name="Plan Irrestricto Inicial" numFmtId="165">
      <sharedItems containsSemiMixedTypes="0" containsString="0" containsNumber="1" minValue="0" maxValue="1570324.5"/>
    </cacheField>
    <cacheField name="Plan Irrestricto" numFmtId="165">
      <sharedItems containsSemiMixedTypes="0" containsString="0" containsNumber="1" minValue="0" maxValue="2170324.5"/>
    </cacheField>
    <cacheField name="Puerto " numFmtId="165">
      <sharedItems containsSemiMixedTypes="0" containsString="0" containsNumber="1" minValue="0" maxValue="370324.5"/>
    </cacheField>
    <cacheField name="Atraso" numFmtId="165">
      <sharedItems containsSemiMixedTypes="0" containsString="0" containsNumber="1" minValue="0" maxValue="596000"/>
    </cacheField>
    <cacheField name="Venta nueva" numFmtId="165">
      <sharedItems containsSemiMixedTypes="0" containsString="0" containsNumber="1" minValue="-86000" maxValue="1300000"/>
    </cacheField>
    <cacheField name="Plan Ajustado" numFmtId="165">
      <sharedItems containsSemiMixedTypes="0" containsString="0" containsNumber="1" minValue="0" maxValue="1370324.5"/>
    </cacheField>
    <cacheField name=" Atraso ajustado" numFmtId="165">
      <sharedItems containsSemiMixedTypes="0" containsString="0" containsNumber="1" minValue="0" maxValue="596000"/>
    </cacheField>
    <cacheField name="Venta nueva Ajustado" numFmtId="165">
      <sharedItems containsSemiMixedTypes="0" containsString="0" containsNumber="1" minValue="0" maxValue="500000"/>
    </cacheField>
    <cacheField name="Motivo Ajuste" numFmtId="165">
      <sharedItems containsBlank="1" containsMixedTypes="1" containsNumber="1" containsInteger="1" minValue="0" maxValue="0"/>
    </cacheField>
    <cacheField name="Usa produdicción o stock ¿?" numFmtId="165">
      <sharedItems/>
    </cacheField>
    <cacheField name="Necesidad" numFmtId="165">
      <sharedItems containsSemiMixedTypes="0" containsString="0" containsNumber="1" minValue="0" maxValue="1000000"/>
    </cacheField>
    <cacheField name="Stock Plan" numFmtId="165">
      <sharedItems containsSemiMixedTypes="0" containsString="0" containsNumber="1" minValue="0" maxValue="299611.9150000001"/>
    </cacheField>
    <cacheField name="Producción nueva" numFmtId="165">
      <sharedItems containsSemiMixedTypes="0" containsString="0" containsNumber="1" minValue="0" maxValue="864644.92"/>
    </cacheField>
    <cacheField name="Fecha limite producción" numFmtId="14">
      <sharedItems containsSemiMixedTypes="0" containsNonDate="0" containsDate="1" containsString="0" minDate="2022-07-12T00:00:00" maxDate="2022-07-24T00:00:00"/>
    </cacheField>
    <cacheField name="Precio venta nueva" numFmtId="166">
      <sharedItems containsSemiMixedTypes="0" containsString="0" containsNumber="1" minValue="-0.1050591368323141" maxValue="13.401"/>
    </cacheField>
    <cacheField name="Precio Atraso" numFmtId="166">
      <sharedItems containsSemiMixedTypes="0" containsString="0" containsNumber="1" minValue="0" maxValue="14.556213017751501"/>
    </cacheField>
    <cacheField name="Precio ponderado" numFmtId="166">
      <sharedItems containsSemiMixedTypes="0" containsString="0" containsNumber="1" minValue="0" maxValue="14.556213017751501"/>
    </cacheField>
    <cacheField name="Neto" numFmtId="165">
      <sharedItems containsSemiMixedTypes="0" containsString="0" containsNumber="1" minValue="0" maxValue="3489908.9577002213"/>
    </cacheField>
    <cacheField name="Precio Ultima facturación" numFmtId="166">
      <sharedItems containsSemiMixedTypes="0" containsString="0" containsNumber="1" minValue="-0.1050591368323141" maxValue="17.372897435897436"/>
    </cacheField>
    <cacheField name="Desv ABS Precio" numFmtId="9">
      <sharedItems containsMixedTypes="1" containsNumber="1" minValue="0" maxValue="1.0212708488741156"/>
    </cacheField>
    <cacheField name="Ajuste precio IC" numFmtId="166">
      <sharedItems containsString="0" containsBlank="1" containsNumber="1" minValue="4.7500000000000001E-2" maxValue="0.1056"/>
    </cacheField>
    <cacheField name="Precio Final" numFmtId="166">
      <sharedItems containsSemiMixedTypes="0" containsString="0" containsNumber="1" minValue="0" maxValue="14.556213017751501"/>
    </cacheField>
    <cacheField name="OB Ajuste precio" numFmtId="9">
      <sharedItems containsBlank="1"/>
    </cacheField>
    <cacheField name="Verificador precio 1" numFmtId="9">
      <sharedItems/>
    </cacheField>
    <cacheField name="Verificador precio 2 vta nueva" numFmtId="9">
      <sharedItems/>
    </cacheField>
    <cacheField name="Plan Enero" numFmtId="165">
      <sharedItems containsSemiMixedTypes="0" containsString="0" containsNumber="1" containsInteger="1" minValue="0" maxValue="660000"/>
    </cacheField>
    <cacheField name="Plan Febrero" numFmtId="165">
      <sharedItems containsSemiMixedTypes="0" containsString="0" containsNumber="1" containsInteger="1" minValue="0" maxValue="696000"/>
    </cacheField>
    <cacheField name="Plan Marzo" numFmtId="165">
      <sharedItems containsSemiMixedTypes="0" containsString="0" containsNumber="1" containsInteger="1" minValue="0" maxValue="950000"/>
    </cacheField>
    <cacheField name="Plan Abril" numFmtId="165">
      <sharedItems containsSemiMixedTypes="0" containsString="0" containsNumber="1" containsInteger="1" minValue="0" maxValue="1100000"/>
    </cacheField>
    <cacheField name="Plan Mayo" numFmtId="165">
      <sharedItems containsSemiMixedTypes="0" containsString="0" containsNumber="1" containsInteger="1" minValue="0" maxValue="1291866"/>
    </cacheField>
    <cacheField name="Plan Jun" numFmtId="165">
      <sharedItems containsSemiMixedTypes="0" containsString="0" containsNumber="1" containsInteger="1" minValue="0" maxValue="1074071"/>
    </cacheField>
    <cacheField name="Neto Ene" numFmtId="164">
      <sharedItems containsSemiMixedTypes="0" containsString="0" containsNumber="1" minValue="0" maxValue="4448231.7450000001"/>
    </cacheField>
    <cacheField name="Neto Feb" numFmtId="0">
      <sharedItems containsSemiMixedTypes="0" containsString="0" containsNumber="1" containsInteger="1" minValue="0" maxValue="3883485"/>
    </cacheField>
    <cacheField name="Neto Mar" numFmtId="0">
      <sharedItems containsSemiMixedTypes="0" containsString="0" containsNumber="1" containsInteger="1" minValue="0" maxValue="2975000"/>
    </cacheField>
    <cacheField name="Neto Abr" numFmtId="0">
      <sharedItems containsSemiMixedTypes="0" containsString="0" containsNumber="1" containsInteger="1" minValue="0" maxValue="4283678"/>
    </cacheField>
    <cacheField name="Neto May" numFmtId="0">
      <sharedItems containsSemiMixedTypes="0" containsString="0" containsNumber="1" containsInteger="1" minValue="0" maxValue="3723805"/>
    </cacheField>
    <cacheField name="Neto Jun" numFmtId="0">
      <sharedItems containsSemiMixedTypes="0" containsString="0" containsNumber="1" minValue="0" maxValue="2830975"/>
    </cacheField>
    <cacheField name="OBS" numFmtId="165">
      <sharedItems containsBlank="1"/>
    </cacheField>
    <cacheField name="Dif. ultimos planes" numFmtId="0" formula="'Plan Irrestricto'-AVERAGE('Plan Mayo','Plan Abril','Plan Marzo')" databaseField="0"/>
    <cacheField name="Precio" numFmtId="0" formula="Neto/'Plan Ajustado'" databaseField="0"/>
    <cacheField name="Precio a faturar atraso" numFmtId="0" formula=" ('Atraso a facturar'*'Precio Atraso')/'Atraso a facturar'" databaseField="0"/>
    <cacheField name="Nuevos pedios a facturar" numFmtId="0" formula="'Plan Ajustado'-'Atraso a facturar'-'En puerto a facturar'" databaseField="0"/>
    <cacheField name="Producción a utilizar" numFmtId="0" formula="'Plan Ajustado'-'Stock al día'" databaseField="0"/>
    <cacheField name="Precio Junio" numFmtId="0" formula="'Neto Jun'/'Plan Jun'" databaseField="0"/>
    <cacheField name="Precio Mayo" numFmtId="0" formula="'Neto May'/'Plan Mayo'" databaseField="0"/>
    <cacheField name="Precio Abril " numFmtId="0" formula="'Neto Abr'/'Plan Abril'" databaseField="0"/>
    <cacheField name="Ajuste Total" numFmtId="0" formula="'Plan Ajustado'-'Plan Irrestricto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806.105089236109" createdVersion="8" refreshedVersion="8" minRefreshableVersion="3" recordCount="318" xr:uid="{02CCD3DF-41EC-474D-8DC8-B02C80E233CF}">
  <cacheSource type="worksheet">
    <worksheetSource name="Tabla14"/>
  </cacheSource>
  <cacheFields count="90">
    <cacheField name="Llave" numFmtId="0">
      <sharedItems/>
    </cacheField>
    <cacheField name="Sector" numFmtId="0">
      <sharedItems count="4">
        <s v="Cerdo"/>
        <s v="Pavo"/>
        <s v="Pollo"/>
        <s v="Elaborado"/>
      </sharedItems>
    </cacheField>
    <cacheField name="Oficina" numFmtId="0">
      <sharedItems count="6">
        <s v="Agro Sudamerica"/>
        <s v="Agrosuper Asia"/>
        <s v="Agrosuper Brasil"/>
        <s v="Agrosuper Shanghai"/>
        <s v="Exportacion Directa"/>
        <s v="Agro Mexico"/>
      </sharedItems>
    </cacheField>
    <cacheField name="Material" numFmtId="0">
      <sharedItems containsSemiMixedTypes="0" containsString="0" containsNumber="1" containsInteger="1" minValue="1010877" maxValue="1100408"/>
    </cacheField>
    <cacheField name="Descripción" numFmtId="0">
      <sharedItems/>
    </cacheField>
    <cacheField name="Nivel Jer. 2" numFmtId="0">
      <sharedItems count="33">
        <s v="Chuleta"/>
        <s v="Huesos"/>
        <s v="Grasas"/>
        <s v="Plancha"/>
        <s v="Cueros"/>
        <s v="Recortes"/>
        <s v="Lomo"/>
        <s v="Cost-Pec"/>
        <s v="Panceta"/>
        <s v="Pierna"/>
        <s v="Subprod"/>
        <s v="Filete"/>
        <s v="Paleta"/>
        <s v="Pernil"/>
        <s v="Prolijado"/>
        <s v="Muestra"/>
        <s v="Trutro"/>
        <s v="Ala"/>
        <s v="Menudencias"/>
        <s v="Trutro Desh"/>
        <s v="Pech Desh"/>
        <s v="Pech"/>
        <s v="Cazuela"/>
        <s v="Pechuga Desh"/>
        <s v="Carne Recuperada"/>
        <s v="Reproductor"/>
        <s v="Patas"/>
        <s v="Centro"/>
        <s v="Empanizado"/>
        <s v="Vara Gordo"/>
        <s v="Cabeza"/>
        <s v="Muestras"/>
        <s v="Pechuga"/>
      </sharedItems>
    </cacheField>
    <cacheField name="Nivel Jer. 3" numFmtId="0">
      <sharedItems count="74">
        <s v="Chuleta Centro"/>
        <s v="Huesos Cuarto Centra"/>
        <s v="Grasa Lomo Tocino"/>
        <s v="Plancha s/Cuero"/>
        <s v="Cuero Panceta"/>
        <s v="Grasa Gordura"/>
        <s v="Recortes No Magro"/>
        <s v="Chuleta Huesos"/>
        <s v="Lomo Centro"/>
        <s v="Cost-Pec Entero"/>
        <s v="Panceta s/Cuero"/>
        <s v="Pierna Entera"/>
        <s v="Grasa Forro"/>
        <s v="Pierna Pulpa"/>
        <s v="Cuero Papada"/>
        <s v="Subprod Visceras"/>
        <s v="Grasa Interior"/>
        <s v="Cuero Back"/>
        <s v="Cuero Mixto"/>
        <s v="Filete c/Cabeza"/>
        <s v="Lomo Vetado"/>
        <s v="Pierna Pulpa Fina"/>
        <s v="Paleta Pulpa"/>
        <s v="Cuero Forro"/>
        <s v="Subprod Patas-Manos"/>
        <s v="Subprod Tripa"/>
        <s v="Panceta c/Cuero"/>
        <s v="Pernil Mano"/>
        <s v="Huesos Cuarto Delant"/>
        <s v="Prolijado Malaya"/>
        <s v="Prolijado Plateada"/>
        <s v="Plancha c/Cuero"/>
        <s v="Subprod Grasa"/>
        <s v="Subprod Proteína y O"/>
        <s v="Pernil Pierna"/>
        <s v="Chuleta Cazuela"/>
        <s v="Paleta Entera"/>
        <s v="Lomo MM Loin"/>
        <s v="Lomo CC Loin"/>
        <s v="Muestra"/>
        <s v="Trutro Largo"/>
        <s v="Ala Trutro"/>
        <s v="Menudencias Contre"/>
        <s v="Trutro Desh Corto"/>
        <s v="Pech Desh s/Piel"/>
        <s v="Recortes Piel"/>
        <s v="Pech Desh c/Piel"/>
        <s v="Pech Entera"/>
        <s v="Menudencias Cogote"/>
        <s v="Cazuela Espinazo"/>
        <s v="Pechuga Desh s/Piel"/>
        <s v="Subprod Piel"/>
        <s v="Carne Recuperada Pul"/>
        <s v="Reproductor Gallina"/>
        <s v="Menudencias Pana"/>
        <s v="Menudencias Corazón"/>
        <s v="Carne Recuperada ADM"/>
        <s v="Ala Centro"/>
        <s v="Filete"/>
        <s v="Patas Garras"/>
        <s v="Ala Centro-Punta"/>
        <s v="Carne Recuperada Pulpa"/>
        <s v="Recortes Magro"/>
        <s v="Empanizados Nuggets"/>
        <s v="Menudencias Hígado"/>
        <s v="Vara Cuarto Delanter"/>
        <s v="Vara Cuarto Trasero"/>
        <s v="Cabeza Entera"/>
        <s v="Vara Cuarto Central"/>
        <s v="Trutro Osobuco"/>
        <s v="Muestras"/>
        <s v="Carne Recuperada"/>
        <s v="Pechuga Entera"/>
        <s v="Huesos Cuarto Traser"/>
      </sharedItems>
    </cacheField>
    <cacheField name=" RV Producción mes n+1" numFmtId="165">
      <sharedItems containsSemiMixedTypes="0" containsString="0" containsNumber="1" containsInteger="1" minValue="0" maxValue="1107947"/>
    </cacheField>
    <cacheField name=" RV  Venta mes n+1" numFmtId="165">
      <sharedItems containsSemiMixedTypes="0" containsString="0" containsNumber="1" containsInteger="1" minValue="0" maxValue="689747"/>
    </cacheField>
    <cacheField name="% Uti. producción" numFmtId="9">
      <sharedItems containsSemiMixedTypes="0" containsString="0" containsNumber="1" minValue="0.3545854356400317" maxValue="0.81973286675080992"/>
    </cacheField>
    <cacheField name="Producción disponible" numFmtId="165">
      <sharedItems containsSemiMixedTypes="0" containsString="0" containsNumber="1" minValue="0" maxValue="528990.09988080768"/>
    </cacheField>
    <cacheField name="Stock al día" numFmtId="165">
      <sharedItems containsSemiMixedTypes="0" containsString="0" containsNumber="1" minValue="0" maxValue="246974.92399999991"/>
    </cacheField>
    <cacheField name="Por producir mes N" numFmtId="165">
      <sharedItems containsSemiMixedTypes="0" containsString="0" containsNumber="1" minValue="0" maxValue="409000"/>
    </cacheField>
    <cacheField name="Producción por despachar mes N" numFmtId="165">
      <sharedItems containsSemiMixedTypes="0" containsString="0" containsNumber="1" containsInteger="1" minValue="0" maxValue="48000"/>
    </cacheField>
    <cacheField name="Total disponible" numFmtId="165">
      <sharedItems containsSemiMixedTypes="0" containsString="0" containsNumber="1" minValue="0" maxValue="972745.68688080763"/>
    </cacheField>
    <cacheField name="Delay" numFmtId="165">
      <sharedItems containsSemiMixedTypes="0" containsString="0" containsNumber="1" minValue="0" maxValue="950000"/>
    </cacheField>
    <cacheField name="Vol. prom. Por contenedor" numFmtId="165">
      <sharedItems containsString="0" containsBlank="1" containsNumber="1" minValue="0" maxValue="23500"/>
    </cacheField>
    <cacheField name="Atraso a facturar" numFmtId="165">
      <sharedItems containsSemiMixedTypes="0" containsString="0" containsNumber="1" minValue="0" maxValue="950000"/>
    </cacheField>
    <cacheField name="Ajuste atraso" numFmtId="169">
      <sharedItems containsSemiMixedTypes="0" containsString="0" containsNumber="1" containsInteger="1" minValue="-240000" maxValue="8000"/>
    </cacheField>
    <cacheField name="Facturación atraso" numFmtId="165">
      <sharedItems containsSemiMixedTypes="0" containsString="0" containsNumber="1" minValue="0" maxValue="950000"/>
    </cacheField>
    <cacheField name="Producción para venta nueva" numFmtId="165">
      <sharedItems containsSemiMixedTypes="0" containsString="0" containsNumber="1" minValue="0" maxValue="459118.51138785598"/>
    </cacheField>
    <cacheField name="Venta del mes" numFmtId="165">
      <sharedItems containsSemiMixedTypes="0" containsString="0" containsNumber="1" minValue="0" maxValue="456035.29411764705"/>
    </cacheField>
    <cacheField name="Ajuste venta nueva" numFmtId="169">
      <sharedItems containsSemiMixedTypes="0" containsString="0" containsNumber="1" containsInteger="1" minValue="-250000" maxValue="12000"/>
    </cacheField>
    <cacheField name="Facturación Venta nueva" numFmtId="165">
      <sharedItems containsSemiMixedTypes="0" containsString="0" containsNumber="1" minValue="-1000" maxValue="220000"/>
    </cacheField>
    <cacheField name="Saldo Volumen disponible" numFmtId="165">
      <sharedItems containsSemiMixedTypes="0" containsString="0" containsNumber="1" minValue="-6746.279892301769" maxValue="424612.49739691138"/>
    </cacheField>
    <cacheField name="Disponible stock sin venta" numFmtId="0">
      <sharedItems containsSemiMixedTypes="0" containsString="0" containsNumber="1" minValue="0" maxValue="69000"/>
    </cacheField>
    <cacheField name="Ajuste stock sin venta" numFmtId="0">
      <sharedItems containsSemiMixedTypes="0" containsString="0" containsNumber="1" containsInteger="1" minValue="-46000" maxValue="0"/>
    </cacheField>
    <cacheField name="Facturación stock" numFmtId="0">
      <sharedItems containsSemiMixedTypes="0" containsString="0" containsNumber="1" minValue="0" maxValue="69000"/>
    </cacheField>
    <cacheField name="En puerto a facturar" numFmtId="165">
      <sharedItems containsSemiMixedTypes="0" containsString="0" containsNumber="1" minValue="0" maxValue="311848.69999999995"/>
    </cacheField>
    <cacheField name="Plan Irrestricto Inicial" numFmtId="165">
      <sharedItems containsMixedTypes="1" containsNumber="1" minValue="0" maxValue="1093866.24"/>
    </cacheField>
    <cacheField name="Plan Irrestricto (DATO)" numFmtId="165">
      <sharedItems containsMixedTypes="1" containsNumber="1" minValue="0" maxValue="1093866.24"/>
    </cacheField>
    <cacheField name="Puerto " numFmtId="165">
      <sharedItems containsSemiMixedTypes="0" containsString="0" containsNumber="1" minValue="0" maxValue="311848.69999999995"/>
    </cacheField>
    <cacheField name="Atraso" numFmtId="165">
      <sharedItems containsSemiMixedTypes="0" containsString="0" containsNumber="1" minValue="0" maxValue="950000"/>
    </cacheField>
    <cacheField name="Venta nueva" numFmtId="165">
      <sharedItems containsSemiMixedTypes="0" containsString="0" containsNumber="1" minValue="-1000" maxValue="456129.4117647059"/>
    </cacheField>
    <cacheField name="Plan Ajustado" numFmtId="165">
      <sharedItems containsSemiMixedTypes="0" containsString="0" containsNumber="1" minValue="0" maxValue="1295324.5" count="259">
        <n v="4001.22"/>
        <n v="23000"/>
        <n v="122518.32"/>
        <n v="24000"/>
        <n v="72000"/>
        <n v="142000"/>
        <n v="128000"/>
        <n v="0"/>
        <n v="153796.98000000001"/>
        <n v="46000"/>
        <n v="18700"/>
        <n v="12530"/>
        <n v="92000"/>
        <n v="180674.38"/>
        <n v="130997.03"/>
        <n v="33271"/>
        <n v="88000"/>
        <n v="2505.58"/>
        <n v="45300"/>
        <n v="96016.53"/>
        <n v="21000"/>
        <n v="127200"/>
        <n v="1"/>
        <n v="37000"/>
        <n v="142003.94"/>
        <n v="138000"/>
        <n v="175011.61"/>
        <n v="37575"/>
        <n v="23500.02"/>
        <n v="88009.75"/>
        <n v="122010.87"/>
        <n v="44012.3"/>
        <n v="22010.02"/>
        <n v="198222.06"/>
        <n v="44004.639999999999"/>
        <n v="110011.06"/>
        <n v="65000"/>
        <n v="110000"/>
        <n v="44000"/>
        <n v="48000"/>
        <n v="66011.66"/>
        <n v="17000"/>
        <n v="7000"/>
        <n v="22000"/>
        <n v="653027.80000000005"/>
        <n v="154011.20000000001"/>
        <n v="132016.21"/>
        <n v="10000"/>
        <n v="88009.959999999992"/>
        <n v="95976.12"/>
        <n v="264000"/>
        <n v="238000"/>
        <n v="120000"/>
        <n v="65161.290322580651"/>
        <n v="444695.29411764705"/>
        <n v="9833.3333333333339"/>
        <n v="244000"/>
        <n v="124489.79591836735"/>
        <n v="186726.57534246575"/>
        <n v="27428.571428571424"/>
        <n v="13466.666666666666"/>
        <n v="203160"/>
        <n v="5000"/>
        <n v="9000"/>
        <n v="11500"/>
        <n v="500"/>
        <n v="11499.666666666668"/>
        <n v="1000"/>
        <n v="2000"/>
        <n v="15000"/>
        <n v="10000.428571428572"/>
        <n v="25312.5"/>
        <n v="8999.8571428571449"/>
        <n v="10999.666666666668"/>
        <n v="5999.6666666666661"/>
        <n v="6000"/>
        <n v="41000"/>
        <n v="10000.333333333332"/>
        <n v="17500"/>
        <n v="40500"/>
        <n v="12666.666666666666"/>
        <n v="55000"/>
        <n v="33000"/>
        <n v="0.4285714285715585"/>
        <n v="25000"/>
        <n v="11000"/>
        <n v="25500"/>
        <n v="3000"/>
        <n v="51794.117647058825"/>
        <n v="69000"/>
        <n v="136000"/>
        <n v="758848.7"/>
        <n v="118000"/>
        <n v="71000"/>
        <n v="172002.51"/>
        <n v="115590.38"/>
        <n v="47982.75"/>
        <n v="35000"/>
        <n v="59000"/>
        <n v="1093866.24"/>
        <n v="16500"/>
        <n v="7640"/>
        <n v="304799.72000000003"/>
        <n v="70000"/>
        <n v="20000"/>
        <n v="2900"/>
        <n v="165008.182"/>
        <n v="96000"/>
        <n v="75000"/>
        <n v="32000"/>
        <n v="168000" u="1"/>
        <n v="7234.666666666667" u="1"/>
        <n v="334160" u="1"/>
        <n v="1295324.5" u="1"/>
        <n v="7333.333333333333" u="1"/>
        <n v="27460" u="1"/>
        <n v="49700" u="1"/>
        <n v="18950" u="1"/>
        <n v="25340" u="1"/>
        <n v="164518.32" u="1"/>
        <n v="8000" u="1"/>
        <n v="358000" u="1"/>
        <n v="27500" u="1"/>
        <n v="73500" u="1"/>
        <n v="146000" u="1"/>
        <n v="174400" u="1"/>
        <n v="198016.21" u="1"/>
        <n v="14000" u="1"/>
        <n v="99709.677419354848" u="1"/>
        <n v="32500" u="1"/>
        <n v="47000" u="1"/>
        <n v="23990" u="1"/>
        <n v="65500" u="1"/>
        <n v="17833.333333333332" u="1"/>
        <n v="78000" u="1"/>
        <n v="226000" u="1"/>
        <n v="1568" u="1"/>
        <n v="10901.333333333332" u="1"/>
        <n v="192000" u="1"/>
        <n v="679040.5882352941" u="1"/>
        <n v="29000" u="1"/>
        <n v="40000" u="1"/>
        <n v="115000" u="1"/>
        <n v="8852" u="1"/>
        <n v="117880" u="1"/>
        <n v="21210" u="1"/>
        <n v="22133.333333333332" u="1"/>
        <n v="161000" u="1"/>
        <n v="232000" u="1"/>
        <n v="528004.15" u="1"/>
        <n v="50000" u="1"/>
        <n v="71966.820000000007" u="1"/>
        <n v="7500" u="1"/>
        <n v="11666.666666666668" u="1"/>
        <n v="37262.352941176476" u="1"/>
        <n v="41500" u="1"/>
        <n v="4698" u="1"/>
        <n v="15333.333333333332" u="1"/>
        <n v="21240" u="1"/>
        <n v="24080" u="1"/>
        <n v="101000" u="1"/>
        <n v="471000" u="1"/>
        <n v="170510.20408163266" u="1"/>
        <n v="13000" u="1"/>
        <n v="66004.639999999999" u="1"/>
        <n v="67000" u="1"/>
        <n v="313" u="1"/>
        <n v="26666.666666666664" u="1"/>
        <n v="37714.28571428571" u="1"/>
        <n v="1052000" u="1"/>
        <n v="12300" u="1"/>
        <n v="15500" u="1"/>
        <n v="239740" u="1"/>
        <n v="21300" u="1"/>
        <n v="9262" u="1"/>
        <n v="12102" u="1"/>
        <n v="47340" u="1"/>
        <n v="241002.51" u="1"/>
        <n v="4000" u="1"/>
        <n v="4330" u="1"/>
        <n v="699082.3529411765" u="1"/>
        <n v="216000" u="1"/>
        <n v="76590" u="1"/>
        <n v="196200" u="1"/>
        <n v="1500" u="1"/>
        <n v="23500" u="1"/>
        <n v="53211" u="1"/>
        <n v="256000" u="1"/>
        <n v="13761.904761904763" u="1"/>
        <n v="51153.333333333336" u="1"/>
        <n v="6120" u="1"/>
        <n v="12000" u="1"/>
        <n v="132011.06" u="1"/>
        <n v="154000" u="1"/>
        <n v="35312.5" u="1"/>
        <n v="49000" u="1"/>
        <n v="242031.5" u="1"/>
        <n v="55410" u="1"/>
        <n v="105209.67741935485" u="1"/>
        <n v="359989.05" u="1"/>
        <n v="6969.333333333333" u="1"/>
        <n v="50500" u="1"/>
        <n v="398000" u="1"/>
        <n v="56271" u="1"/>
        <n v="119000" u="1"/>
        <n v="166000" u="1"/>
        <n v="10504.190476190477" u="1"/>
        <n v="13333.333333333332" u="1"/>
        <n v="38312.5" u="1"/>
        <n v="336000" u="1"/>
        <n v="52000" u="1"/>
        <n v="268000" u="1"/>
        <n v="121010.70999999999" u="1"/>
        <n v="18852" u="1"/>
        <n v="191989.89" u="1"/>
        <n v="694789.4117647059" u="1"/>
        <n v="17361.333333333336" u="1"/>
        <n v="47840" u="1"/>
        <n v="249000" u="1"/>
        <n v="144000" u="1"/>
        <n v="5901.333333333333" u="1"/>
        <n v="23071.333333333332" u="1"/>
        <n v="24633.333333333332" u="1"/>
        <n v="58246" u="1"/>
        <n v="70852.941176470587" u="1"/>
        <n v="323499.8630136986" u="1"/>
        <n v="3500" u="1"/>
        <n v="3571.4285714285716" u="1"/>
        <n v="830848.7" u="1"/>
        <n v="29617.142857142851" u="1"/>
        <n v="46500" u="1"/>
        <n v="28000" u="1"/>
        <n v="119976.12" u="1"/>
        <n v="179991.64" u="1"/>
        <n v="21833.333333333332" u="1"/>
        <n v="22142.857142857145" u="1"/>
        <n v="73852.941176470587" u="1"/>
        <n v="345020" u="1"/>
        <n v="19500" u="1"/>
        <n v="50039" u="1"/>
        <n v="77000" u="1"/>
        <n v="190000" u="1"/>
        <n v="32300" u="1"/>
        <n v="450" u="1"/>
        <n v="43922" u="1"/>
        <n v="97000" u="1"/>
        <n v="233415.89041095891" u="1"/>
        <n v="384000" u="1"/>
        <n v="15428.571428571429" u="1"/>
        <n v="80000" u="1"/>
        <n v="12500" u="1"/>
        <n v="49500" u="1"/>
        <n v="339299.8630136986" u="1"/>
        <n v="144016.53" u="1"/>
        <n v="165510.20408163266" u="1"/>
        <n v="80899.354838709682" u="1"/>
        <n v="16166.666666666668" u="1"/>
        <n v="170914.28571428571" u="1"/>
        <n v="66000" u="1"/>
      </sharedItems>
    </cacheField>
    <cacheField name=" Atraso ajustado" numFmtId="165">
      <sharedItems containsSemiMixedTypes="0" containsString="0" containsNumber="1" minValue="0" maxValue="950000"/>
    </cacheField>
    <cacheField name="Venta nueva Ajustado" numFmtId="165">
      <sharedItems containsSemiMixedTypes="0" containsString="0" containsNumber="1" minValue="-1000" maxValue="220000.00000000003"/>
    </cacheField>
    <cacheField name="Motivo Ajuste" numFmtId="0">
      <sharedItems containsMixedTypes="1" containsNumber="1" containsInteger="1" minValue="0" maxValue="0" count="14">
        <n v="0"/>
        <s v="PERMISO"/>
        <s v="TASA PRODUCTIVA"/>
        <s v="27  Espacios Adicionales"/>
        <s v="promedio historico ajuste"/>
        <s v="ajuste pedido"/>
        <s v="22 tn en puerto no en atraso // promedio historico ajuste"/>
        <s v="permiso ? "/>
        <s v="SKU de africa "/>
        <s v="revisar venta"/>
        <s v="240 TM capacidad productiva"/>
        <s v="Cambiar volumen x contenedor"/>
        <s v="analisis"/>
        <s v="pagos"/>
      </sharedItems>
    </cacheField>
    <cacheField name="Ajustado por" numFmtId="0">
      <sharedItems containsBlank="1" containsMixedTypes="1" containsNumber="1" containsInteger="1" minValue="0" maxValue="0" count="18">
        <s v="ok, ajustar RV al alza"/>
        <s v="ok"/>
        <s v="Venta nueva no cuadra con RV 96 ton"/>
        <e v="#REF!"/>
        <s v="Ecuador, duda con naves."/>
        <s v="Ecuador, venta nueva sin permiso"/>
        <s v="Bolivia, falta disponibilidad"/>
        <s v="Duda con tasa productiva, 20 ton/semana"/>
        <s v="Duda con tasa productiva, 32 ton/semana"/>
        <s v="duda con nave (Ecuador)"/>
        <s v="Venta nueva 0, produccion es para Brasil. (Sumar código de China 1023306) ; atraso 72000, a menos que nos confirmen mayor cantidad de naves (Ecuador)"/>
        <m/>
        <s v="los 2 de venta nueva considerar 0 para septiembre, por tiempos de Permiso"/>
        <s v="ajuste pedido por disponibilidad de permisos en primeras semanas por consiguiente transporte"/>
        <s v="Producto de Africa, no puede ser vendido en SA por el marinado."/>
        <s v="ajustar 3 cargas a la baja, por prioridad ADM Nacional"/>
        <s v="Revisar el dato, pq este mes hubo atraso"/>
        <n v="0" u="1"/>
      </sharedItems>
    </cacheField>
    <cacheField name="Usa produdicción o stock ¿?" numFmtId="165">
      <sharedItems/>
    </cacheField>
    <cacheField name="Necesidad" numFmtId="165">
      <sharedItems containsSemiMixedTypes="0" containsString="0" containsNumber="1" minValue="0" maxValue="950000"/>
    </cacheField>
    <cacheField name="Stock Plan" numFmtId="165">
      <sharedItems containsSemiMixedTypes="0" containsString="0" containsNumber="1" minValue="0" maxValue="238000"/>
    </cacheField>
    <cacheField name="Producción nueva" numFmtId="165">
      <sharedItems containsSemiMixedTypes="0" containsString="0" containsNumber="1" minValue="0" maxValue="874344.41299999994"/>
    </cacheField>
    <cacheField name="Fecha limite producción" numFmtId="14">
      <sharedItems containsSemiMixedTypes="0" containsNonDate="0" containsDate="1" containsString="0" minDate="2022-08-14T00:00:00" maxDate="2022-09-14T00:00:00"/>
    </cacheField>
    <cacheField name="Precio venta nueva" numFmtId="166">
      <sharedItems containsSemiMixedTypes="0" containsString="0" containsNumber="1" minValue="0" maxValue="12.287000000000001"/>
    </cacheField>
    <cacheField name="Precio Atraso" numFmtId="166">
      <sharedItems containsSemiMixedTypes="0" containsString="0" containsNumber="1" minValue="0" maxValue="17.1449704142012"/>
    </cacheField>
    <cacheField name="Precio ponderado" numFmtId="166">
      <sharedItems containsSemiMixedTypes="0" containsString="0" containsNumber="1" minValue="0" maxValue="6.473162342857143"/>
    </cacheField>
    <cacheField name="Neto" numFmtId="165">
      <sharedItems containsSemiMixedTypes="0" containsString="0" containsNumber="1" minValue="0" maxValue="3871494.5151518239"/>
    </cacheField>
    <cacheField name="Precio Ultima facturación" numFmtId="166">
      <sharedItems containsSemiMixedTypes="0" containsString="0" containsNumber="1" minValue="0" maxValue="17.385145364891518"/>
    </cacheField>
    <cacheField name="Desv ABS Precio" numFmtId="9">
      <sharedItems containsMixedTypes="1" containsNumber="1" minValue="0" maxValue="0.77559394683778871"/>
    </cacheField>
    <cacheField name="Ajuste precio IC" numFmtId="166">
      <sharedItems containsString="0" containsBlank="1" containsNumber="1" minValue="0" maxValue="12.580466530612203"/>
    </cacheField>
    <cacheField name="Precio Final" numFmtId="166">
      <sharedItems containsSemiMixedTypes="0" containsString="0" containsNumber="1" minValue="0" maxValue="10.199214861847922"/>
    </cacheField>
    <cacheField name="Market" numFmtId="166">
      <sharedItems containsSemiMixedTypes="0" containsString="0" containsNumber="1" minValue="0" maxValue="6.35"/>
    </cacheField>
    <cacheField name="Pecio plan" numFmtId="166">
      <sharedItems containsSemiMixedTypes="0" containsString="0" containsNumber="1" minValue="0" maxValue="10.199214861847922"/>
    </cacheField>
    <cacheField name="OB Ajuste precio" numFmtId="9">
      <sharedItems containsBlank="1"/>
    </cacheField>
    <cacheField name="Verificador precio 1" numFmtId="9">
      <sharedItems/>
    </cacheField>
    <cacheField name="Verificador precio 2 vta nueva" numFmtId="9">
      <sharedItems/>
    </cacheField>
    <cacheField name="Plan Enero" numFmtId="165">
      <sharedItems containsSemiMixedTypes="0" containsString="0" containsNumber="1" containsInteger="1" minValue="0" maxValue="660000"/>
    </cacheField>
    <cacheField name="Plan Febrero" numFmtId="165">
      <sharedItems containsSemiMixedTypes="0" containsString="0" containsNumber="1" containsInteger="1" minValue="0" maxValue="696000"/>
    </cacheField>
    <cacheField name="Plan Marzo" numFmtId="165">
      <sharedItems containsSemiMixedTypes="0" containsString="0" containsNumber="1" containsInteger="1" minValue="0" maxValue="950000"/>
    </cacheField>
    <cacheField name="Plan Abril" numFmtId="165">
      <sharedItems containsSemiMixedTypes="0" containsString="0" containsNumber="1" containsInteger="1" minValue="0" maxValue="1100000"/>
    </cacheField>
    <cacheField name="Plan Mayo" numFmtId="165">
      <sharedItems containsSemiMixedTypes="0" containsString="0" containsNumber="1" containsInteger="1" minValue="0" maxValue="1291866"/>
    </cacheField>
    <cacheField name="Plan Jun" numFmtId="165">
      <sharedItems containsSemiMixedTypes="0" containsString="0" containsNumber="1" containsInteger="1" minValue="0" maxValue="1074071"/>
    </cacheField>
    <cacheField name="Plan Julio" numFmtId="165">
      <sharedItems containsSemiMixedTypes="0" containsString="0" containsNumber="1" containsInteger="1" minValue="0" maxValue="1125000"/>
    </cacheField>
    <cacheField name="Plan Agosto" numFmtId="165">
      <sharedItems containsSemiMixedTypes="0" containsString="0" containsNumber="1" minValue="0" maxValue="1295324.5"/>
    </cacheField>
    <cacheField name="Neto Ene" numFmtId="164">
      <sharedItems containsSemiMixedTypes="0" containsString="0" containsNumber="1" minValue="0" maxValue="4448231.7450000001"/>
    </cacheField>
    <cacheField name="Neto Feb" numFmtId="0">
      <sharedItems containsSemiMixedTypes="0" containsString="0" containsNumber="1" containsInteger="1" minValue="0" maxValue="3883485"/>
    </cacheField>
    <cacheField name="Neto Mar" numFmtId="0">
      <sharedItems containsSemiMixedTypes="0" containsString="0" containsNumber="1" containsInteger="1" minValue="0" maxValue="2975000"/>
    </cacheField>
    <cacheField name="Neto Abr" numFmtId="0">
      <sharedItems containsSemiMixedTypes="0" containsString="0" containsNumber="1" containsInteger="1" minValue="0" maxValue="4283678"/>
    </cacheField>
    <cacheField name="Neto May" numFmtId="0">
      <sharedItems containsSemiMixedTypes="0" containsString="0" containsNumber="1" containsInteger="1" minValue="0" maxValue="3723805"/>
    </cacheField>
    <cacheField name="Neto Jun" numFmtId="0">
      <sharedItems containsSemiMixedTypes="0" containsString="0" containsNumber="1" minValue="0" maxValue="2830975"/>
    </cacheField>
    <cacheField name="OBS" numFmtId="165">
      <sharedItems containsBlank="1"/>
    </cacheField>
    <cacheField name="Saldo mes n-1" numFmtId="165">
      <sharedItems containsSemiMixedTypes="0" containsString="0" containsNumber="1" minValue="0" maxValue="578956.90011919232"/>
    </cacheField>
    <cacheField name="Asignación mes n+2" numFmtId="164">
      <sharedItems containsNonDate="0" containsString="0" containsBlank="1"/>
    </cacheField>
    <cacheField name="Ponderación mes n+2" numFmtId="164">
      <sharedItems containsNonDate="0" containsString="0" containsBlank="1"/>
    </cacheField>
    <cacheField name="Irrstricto mes n+2" numFmtId="164">
      <sharedItems containsNonDate="0" containsString="0" containsBlank="1"/>
    </cacheField>
    <cacheField name="Saldo mes n+2" numFmtId="164">
      <sharedItems containsNonDate="0" containsString="0" containsBlank="1"/>
    </cacheField>
    <cacheField name="Asignación mes n+3" numFmtId="164">
      <sharedItems containsNonDate="0" containsString="0" containsBlank="1"/>
    </cacheField>
    <cacheField name="Ponderación mes n+3" numFmtId="164">
      <sharedItems containsNonDate="0" containsString="0" containsBlank="1"/>
    </cacheField>
    <cacheField name="Irrstricto mes n+3" numFmtId="164">
      <sharedItems containsNonDate="0" containsString="0" containsBlank="1"/>
    </cacheField>
    <cacheField name="Saldo mes n+3" numFmtId="164">
      <sharedItems containsNonDate="0" containsString="0" containsBlank="1"/>
    </cacheField>
    <cacheField name="Dif. ultimos planes" numFmtId="0" formula="#NAME?-AVERAGE('Plan Mayo','Plan Abril','Plan Marzo')" databaseField="0"/>
    <cacheField name="Precio" numFmtId="0" formula="Neto/'Plan Ajustado'" databaseField="0"/>
    <cacheField name="Precio a faturar atraso" numFmtId="0" formula=" ('Atraso a facturar'*'Precio Atraso')/'Atraso a facturar'" databaseField="0"/>
    <cacheField name="Nuevos pedios a facturar" numFmtId="0" formula="'Plan Ajustado'-'Atraso a facturar'-'En puerto a facturar'" databaseField="0"/>
    <cacheField name="Producción a utilizar" numFmtId="0" formula="'Plan Ajustado'-'Stock al día'" databaseField="0"/>
    <cacheField name="Precio Junio" numFmtId="0" formula="'Neto Jun'/'Plan Jun'" databaseField="0"/>
    <cacheField name="Precio Mayo" numFmtId="0" formula="'Neto May'/'Plan Mayo'" databaseField="0"/>
    <cacheField name="Precio Abril " numFmtId="0" formula="'Neto Abr'/'Plan Abril'" databaseField="0"/>
    <cacheField name="Ajuste Total" numFmtId="0" formula="'Plan Ajustado'-'Plan Irrestricto (DATO)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7">
  <r>
    <s v="AGROSUPER ASIA 1021012"/>
    <x v="0"/>
    <x v="0"/>
    <x v="0"/>
    <x v="0"/>
    <x v="0"/>
    <x v="0"/>
    <s v="BUSAN {PUSAN}, PUERTO"/>
    <x v="0"/>
    <x v="0"/>
    <n v="22017.1"/>
    <x v="0"/>
  </r>
  <r>
    <s v="AGROSUPER ASIA 1021012"/>
    <x v="0"/>
    <x v="0"/>
    <x v="1"/>
    <x v="0"/>
    <x v="0"/>
    <x v="0"/>
    <s v="BUSAN {PUSAN}, PUERTO"/>
    <x v="0"/>
    <x v="0"/>
    <n v="22018.91"/>
    <x v="0"/>
  </r>
  <r>
    <s v="AGROSUPER ASIA 1021012"/>
    <x v="0"/>
    <x v="0"/>
    <x v="2"/>
    <x v="0"/>
    <x v="0"/>
    <x v="0"/>
    <s v="BUSAN {PUSAN}, PUERTO"/>
    <x v="0"/>
    <x v="0"/>
    <n v="22005.25"/>
    <x v="0"/>
  </r>
  <r>
    <s v="AGROSUPER ASIA 1023037"/>
    <x v="0"/>
    <x v="0"/>
    <x v="3"/>
    <x v="0"/>
    <x v="1"/>
    <x v="0"/>
    <s v="BUSAN {PUSAN}, PUERTO"/>
    <x v="0"/>
    <x v="1"/>
    <n v="22009.759999999998"/>
    <x v="0"/>
  </r>
  <r>
    <s v="AGROSUPER ASIA 1022887"/>
    <x v="0"/>
    <x v="0"/>
    <x v="4"/>
    <x v="0"/>
    <x v="2"/>
    <x v="0"/>
    <s v="BUSAN {PUSAN}, PUERTO"/>
    <x v="0"/>
    <x v="2"/>
    <n v="22000.78"/>
    <x v="0"/>
  </r>
  <r>
    <s v="AGROSUPER ASIA 1022887"/>
    <x v="0"/>
    <x v="0"/>
    <x v="5"/>
    <x v="0"/>
    <x v="2"/>
    <x v="0"/>
    <s v="BUSAN {PUSAN}, PUERTO"/>
    <x v="0"/>
    <x v="1"/>
    <n v="22012.19"/>
    <x v="0"/>
  </r>
  <r>
    <s v="AGROSUPER ASIA 1022887"/>
    <x v="0"/>
    <x v="0"/>
    <x v="6"/>
    <x v="0"/>
    <x v="2"/>
    <x v="0"/>
    <s v="BUSAN {PUSAN}, PUERTO"/>
    <x v="0"/>
    <x v="0"/>
    <n v="22004.48"/>
    <x v="0"/>
  </r>
  <r>
    <s v="AGROSUPER ASIA 1022930"/>
    <x v="0"/>
    <x v="0"/>
    <x v="7"/>
    <x v="0"/>
    <x v="3"/>
    <x v="0"/>
    <s v="BUSAN {PUSAN}, PUERTO"/>
    <x v="0"/>
    <x v="1"/>
    <n v="22018.2"/>
    <x v="0"/>
  </r>
  <r>
    <s v="AGROSUPER ASIA 1022885"/>
    <x v="0"/>
    <x v="0"/>
    <x v="8"/>
    <x v="0"/>
    <x v="4"/>
    <x v="0"/>
    <s v="BUSAN {PUSAN}, PUERTO"/>
    <x v="0"/>
    <x v="1"/>
    <n v="22015.53"/>
    <x v="0"/>
  </r>
  <r>
    <s v="AGROSUPER ASIA 1022885"/>
    <x v="0"/>
    <x v="0"/>
    <x v="9"/>
    <x v="0"/>
    <x v="4"/>
    <x v="0"/>
    <s v="BUSAN {PUSAN}, PUERTO"/>
    <x v="0"/>
    <x v="1"/>
    <n v="22018.2"/>
    <x v="0"/>
  </r>
  <r>
    <s v="AGROSUPER SHANGHAI 1030686"/>
    <x v="1"/>
    <x v="1"/>
    <x v="10"/>
    <x v="0"/>
    <x v="5"/>
    <x v="0"/>
    <s v="TIANJIN XINGANG, CHINA"/>
    <x v="0"/>
    <x v="2"/>
    <n v="24000"/>
    <x v="0"/>
  </r>
  <r>
    <s v="AGROSUPER ASIA 1023037"/>
    <x v="0"/>
    <x v="0"/>
    <x v="11"/>
    <x v="0"/>
    <x v="1"/>
    <x v="0"/>
    <s v="BUSAN {PUSAN}, PUERTO"/>
    <x v="0"/>
    <x v="0"/>
    <n v="22011.37"/>
    <x v="0"/>
  </r>
  <r>
    <s v="AGRO SUDAMERICA 1012763"/>
    <x v="2"/>
    <x v="0"/>
    <x v="12"/>
    <x v="0"/>
    <x v="6"/>
    <x v="0"/>
    <s v="CALLAO, PUERTO"/>
    <x v="1"/>
    <x v="2"/>
    <n v="23996.04"/>
    <x v="0"/>
  </r>
  <r>
    <s v="AGRO SUDAMERICA 1012763"/>
    <x v="2"/>
    <x v="0"/>
    <x v="13"/>
    <x v="0"/>
    <x v="6"/>
    <x v="0"/>
    <s v="CALLAO, PUERTO"/>
    <x v="1"/>
    <x v="2"/>
    <n v="23987.81"/>
    <x v="0"/>
  </r>
  <r>
    <s v="AGRO AMERICA 1022619"/>
    <x v="3"/>
    <x v="1"/>
    <x v="14"/>
    <x v="0"/>
    <x v="7"/>
    <x v="0"/>
    <s v="LONG BEACH, PUERTO"/>
    <x v="0"/>
    <x v="2"/>
    <n v="5013.5600000000004"/>
    <x v="0"/>
  </r>
  <r>
    <s v="AGRO AMERICA 1020828"/>
    <x v="3"/>
    <x v="1"/>
    <x v="14"/>
    <x v="0"/>
    <x v="8"/>
    <x v="0"/>
    <s v="LONG BEACH, PUERTO"/>
    <x v="0"/>
    <x v="2"/>
    <n v="44924"/>
    <x v="0"/>
  </r>
  <r>
    <s v="AGRO MEXICO 1030658"/>
    <x v="4"/>
    <x v="1"/>
    <x v="15"/>
    <x v="0"/>
    <x v="9"/>
    <x v="0"/>
    <s v="MANZANILLO, PUERTO"/>
    <x v="0"/>
    <x v="2"/>
    <n v="24017.360000000001"/>
    <x v="0"/>
  </r>
  <r>
    <s v="AGRO MEXICO 1030658"/>
    <x v="4"/>
    <x v="1"/>
    <x v="16"/>
    <x v="0"/>
    <x v="9"/>
    <x v="0"/>
    <s v="MANZANILLO, PUERTO"/>
    <x v="0"/>
    <x v="1"/>
    <n v="24017.360000000001"/>
    <x v="0"/>
  </r>
  <r>
    <s v="AGRO MEXICO 1030337"/>
    <x v="4"/>
    <x v="1"/>
    <x v="17"/>
    <x v="0"/>
    <x v="10"/>
    <x v="0"/>
    <s v="MANZANILLO, PUERTO"/>
    <x v="0"/>
    <x v="1"/>
    <n v="24000"/>
    <x v="0"/>
  </r>
  <r>
    <s v="AGRO MEXICO 1030337"/>
    <x v="4"/>
    <x v="1"/>
    <x v="18"/>
    <x v="0"/>
    <x v="10"/>
    <x v="0"/>
    <s v="MANZANILLO, PUERTO"/>
    <x v="0"/>
    <x v="1"/>
    <n v="24000"/>
    <x v="0"/>
  </r>
  <r>
    <s v="AGRO MEXICO 1023343"/>
    <x v="4"/>
    <x v="1"/>
    <x v="19"/>
    <x v="0"/>
    <x v="11"/>
    <x v="0"/>
    <s v="MANZANILLO, PUERTO"/>
    <x v="0"/>
    <x v="1"/>
    <n v="24001.45"/>
    <x v="0"/>
  </r>
  <r>
    <s v="AGRO MEXICO 1023343"/>
    <x v="4"/>
    <x v="1"/>
    <x v="20"/>
    <x v="0"/>
    <x v="11"/>
    <x v="0"/>
    <s v="MANZANILLO, PUERTO"/>
    <x v="0"/>
    <x v="1"/>
    <n v="24005.9"/>
    <x v="0"/>
  </r>
  <r>
    <s v="AGRO MEXICO 1023302"/>
    <x v="4"/>
    <x v="1"/>
    <x v="21"/>
    <x v="0"/>
    <x v="12"/>
    <x v="0"/>
    <s v="MANZANILLO, PUERTO"/>
    <x v="0"/>
    <x v="2"/>
    <n v="24000"/>
    <x v="0"/>
  </r>
  <r>
    <s v="AGRO MEXICO 1021874"/>
    <x v="4"/>
    <x v="1"/>
    <x v="22"/>
    <x v="0"/>
    <x v="13"/>
    <x v="0"/>
    <s v="MANZANILLO, PUERTO"/>
    <x v="0"/>
    <x v="1"/>
    <n v="24014.13"/>
    <x v="0"/>
  </r>
  <r>
    <s v="AGRO SUDAMERICA 1020412"/>
    <x v="2"/>
    <x v="0"/>
    <x v="23"/>
    <x v="0"/>
    <x v="14"/>
    <x v="0"/>
    <s v="CALLAO, PUERTO"/>
    <x v="1"/>
    <x v="2"/>
    <n v="24016.65"/>
    <x v="0"/>
  </r>
  <r>
    <s v="AGRO MEXICO 1021874"/>
    <x v="4"/>
    <x v="1"/>
    <x v="24"/>
    <x v="0"/>
    <x v="13"/>
    <x v="0"/>
    <s v="MANZANILLO, PUERTO"/>
    <x v="0"/>
    <x v="2"/>
    <n v="23901.45"/>
    <x v="0"/>
  </r>
  <r>
    <s v="AGRO MEXICO 1021874"/>
    <x v="4"/>
    <x v="1"/>
    <x v="25"/>
    <x v="0"/>
    <x v="13"/>
    <x v="0"/>
    <s v="MANZANILLO, PUERTO"/>
    <x v="0"/>
    <x v="1"/>
    <n v="24014.03"/>
    <x v="0"/>
  </r>
  <r>
    <s v="AGRO MEXICO 1021874"/>
    <x v="4"/>
    <x v="1"/>
    <x v="26"/>
    <x v="0"/>
    <x v="13"/>
    <x v="0"/>
    <s v="MANZANILLO, PUERTO"/>
    <x v="0"/>
    <x v="1"/>
    <n v="12633.37"/>
    <x v="0"/>
  </r>
  <r>
    <s v="AGRO MEXICO 1021874"/>
    <x v="4"/>
    <x v="1"/>
    <x v="26"/>
    <x v="0"/>
    <x v="13"/>
    <x v="0"/>
    <s v="MANZANILLO, PUERTO"/>
    <x v="0"/>
    <x v="1"/>
    <n v="12009.95"/>
    <x v="0"/>
  </r>
  <r>
    <s v="AGRO MEXICO 1021555"/>
    <x v="4"/>
    <x v="1"/>
    <x v="27"/>
    <x v="0"/>
    <x v="15"/>
    <x v="0"/>
    <s v="MAZATLAN, PUERTO"/>
    <x v="0"/>
    <x v="2"/>
    <n v="23928.28"/>
    <x v="0"/>
  </r>
  <r>
    <s v="AGRO MEXICO 1021272"/>
    <x v="4"/>
    <x v="1"/>
    <x v="28"/>
    <x v="0"/>
    <x v="16"/>
    <x v="0"/>
    <s v="MANZANILLO, PUERTO"/>
    <x v="0"/>
    <x v="1"/>
    <n v="24118.63"/>
    <x v="0"/>
  </r>
  <r>
    <s v="AGRO MEXICO 1021272"/>
    <x v="4"/>
    <x v="1"/>
    <x v="29"/>
    <x v="0"/>
    <x v="16"/>
    <x v="0"/>
    <s v="MANZANILLO, PUERTO"/>
    <x v="0"/>
    <x v="1"/>
    <n v="24032.639999999999"/>
    <x v="0"/>
  </r>
  <r>
    <s v="AGRO MEXICO 1021270"/>
    <x v="4"/>
    <x v="1"/>
    <x v="30"/>
    <x v="0"/>
    <x v="17"/>
    <x v="0"/>
    <s v="MANZANILLO, PUERTO"/>
    <x v="0"/>
    <x v="1"/>
    <n v="24099.31"/>
    <x v="0"/>
  </r>
  <r>
    <s v="AGRO MEXICO 1012788"/>
    <x v="4"/>
    <x v="1"/>
    <x v="31"/>
    <x v="0"/>
    <x v="18"/>
    <x v="0"/>
    <s v="MANZANILLO, PUERTO"/>
    <x v="0"/>
    <x v="1"/>
    <n v="19942.3"/>
    <x v="0"/>
  </r>
  <r>
    <s v="AGRO MEXICO 1012788"/>
    <x v="4"/>
    <x v="1"/>
    <x v="32"/>
    <x v="0"/>
    <x v="18"/>
    <x v="0"/>
    <s v="MANZANILLO, PUERTO"/>
    <x v="0"/>
    <x v="1"/>
    <n v="19956.45"/>
    <x v="0"/>
  </r>
  <r>
    <s v="AGRO MEXICO 1012788"/>
    <x v="4"/>
    <x v="1"/>
    <x v="33"/>
    <x v="0"/>
    <x v="18"/>
    <x v="0"/>
    <s v="MANZANILLO, PUERTO"/>
    <x v="0"/>
    <x v="1"/>
    <n v="19948.259999999998"/>
    <x v="0"/>
  </r>
  <r>
    <s v="AGRO MEXICO 1012788"/>
    <x v="4"/>
    <x v="1"/>
    <x v="34"/>
    <x v="0"/>
    <x v="18"/>
    <x v="0"/>
    <s v="MANZANILLO, PUERTO"/>
    <x v="0"/>
    <x v="1"/>
    <n v="19952.13"/>
    <x v="0"/>
  </r>
  <r>
    <s v="AGRO MEXICO 1012788"/>
    <x v="4"/>
    <x v="1"/>
    <x v="35"/>
    <x v="0"/>
    <x v="18"/>
    <x v="0"/>
    <s v="MANZANILLO, PUERTO"/>
    <x v="0"/>
    <x v="1"/>
    <n v="19941.66"/>
    <x v="0"/>
  </r>
  <r>
    <s v="AGRO MEXICO 1011150"/>
    <x v="4"/>
    <x v="1"/>
    <x v="36"/>
    <x v="0"/>
    <x v="19"/>
    <x v="0"/>
    <s v="MANZANILLO, PUERTO"/>
    <x v="0"/>
    <x v="1"/>
    <n v="20520"/>
    <x v="0"/>
  </r>
  <r>
    <s v="AGRO MEXICO 1012278"/>
    <x v="4"/>
    <x v="1"/>
    <x v="37"/>
    <x v="0"/>
    <x v="20"/>
    <x v="0"/>
    <s v="MANZANILLO, PUERTO"/>
    <x v="0"/>
    <x v="1"/>
    <n v="20196"/>
    <x v="0"/>
  </r>
  <r>
    <s v="AGRO MEXICO 1011127"/>
    <x v="4"/>
    <x v="1"/>
    <x v="38"/>
    <x v="0"/>
    <x v="21"/>
    <x v="0"/>
    <s v="MANZANILLO, PUERTO"/>
    <x v="0"/>
    <x v="2"/>
    <n v="22800"/>
    <x v="0"/>
  </r>
  <r>
    <s v="AGRO MEXICO 1011127"/>
    <x v="4"/>
    <x v="1"/>
    <x v="39"/>
    <x v="0"/>
    <x v="21"/>
    <x v="0"/>
    <s v="MANZANILLO, PUERTO"/>
    <x v="0"/>
    <x v="2"/>
    <n v="22800"/>
    <x v="0"/>
  </r>
  <r>
    <s v="AGRO MEXICO 1011127"/>
    <x v="4"/>
    <x v="1"/>
    <x v="40"/>
    <x v="0"/>
    <x v="21"/>
    <x v="0"/>
    <s v="MANZANILLO, PUERTO"/>
    <x v="0"/>
    <x v="2"/>
    <n v="22800"/>
    <x v="0"/>
  </r>
  <r>
    <s v="AGRO MEXICO 1011127"/>
    <x v="4"/>
    <x v="1"/>
    <x v="41"/>
    <x v="0"/>
    <x v="21"/>
    <x v="0"/>
    <s v="MANZANILLO, PUERTO"/>
    <x v="0"/>
    <x v="1"/>
    <n v="22800"/>
    <x v="0"/>
  </r>
  <r>
    <s v="AGRO MEXICO 1011127"/>
    <x v="4"/>
    <x v="1"/>
    <x v="42"/>
    <x v="0"/>
    <x v="21"/>
    <x v="0"/>
    <s v="MANZANILLO, PUERTO"/>
    <x v="0"/>
    <x v="1"/>
    <n v="22800"/>
    <x v="0"/>
  </r>
  <r>
    <s v="AGRO MEXICO 1011127"/>
    <x v="4"/>
    <x v="1"/>
    <x v="43"/>
    <x v="0"/>
    <x v="21"/>
    <x v="0"/>
    <s v="MANZANILLO, PUERTO"/>
    <x v="0"/>
    <x v="1"/>
    <n v="22800"/>
    <x v="0"/>
  </r>
  <r>
    <s v="AGRO MEXICO 1011127"/>
    <x v="4"/>
    <x v="1"/>
    <x v="44"/>
    <x v="0"/>
    <x v="21"/>
    <x v="0"/>
    <s v="MANZANILLO, PUERTO"/>
    <x v="0"/>
    <x v="1"/>
    <n v="22800"/>
    <x v="0"/>
  </r>
  <r>
    <s v="AGRO MEXICO 1011127"/>
    <x v="4"/>
    <x v="1"/>
    <x v="45"/>
    <x v="0"/>
    <x v="21"/>
    <x v="0"/>
    <s v="MANZANILLO, PUERTO"/>
    <x v="0"/>
    <x v="1"/>
    <n v="22800"/>
    <x v="0"/>
  </r>
  <r>
    <s v="AGRO MEXICO 1011127"/>
    <x v="4"/>
    <x v="1"/>
    <x v="46"/>
    <x v="0"/>
    <x v="21"/>
    <x v="0"/>
    <s v="MANZANILLO, PUERTO"/>
    <x v="0"/>
    <x v="1"/>
    <n v="22800"/>
    <x v="0"/>
  </r>
  <r>
    <s v="AGRO MEXICO 1011127"/>
    <x v="4"/>
    <x v="1"/>
    <x v="47"/>
    <x v="0"/>
    <x v="21"/>
    <x v="0"/>
    <s v="MANZANILLO, PUERTO"/>
    <x v="0"/>
    <x v="1"/>
    <n v="22800"/>
    <x v="0"/>
  </r>
  <r>
    <s v="AGRO MEXICO 1011127"/>
    <x v="4"/>
    <x v="1"/>
    <x v="48"/>
    <x v="0"/>
    <x v="21"/>
    <x v="0"/>
    <s v="MANZANILLO, PUERTO"/>
    <x v="0"/>
    <x v="1"/>
    <n v="22800"/>
    <x v="0"/>
  </r>
  <r>
    <s v="AGRO MEXICO 1011127"/>
    <x v="4"/>
    <x v="1"/>
    <x v="49"/>
    <x v="0"/>
    <x v="21"/>
    <x v="0"/>
    <s v="MANZANILLO, PUERTO"/>
    <x v="0"/>
    <x v="1"/>
    <n v="22800"/>
    <x v="0"/>
  </r>
  <r>
    <s v="AGROSUPER SHANGHAI 1021735"/>
    <x v="1"/>
    <x v="0"/>
    <x v="50"/>
    <x v="0"/>
    <x v="22"/>
    <x v="0"/>
    <s v="TIANJIN XINGANG, CHINA"/>
    <x v="0"/>
    <x v="1"/>
    <n v="24120"/>
    <x v="0"/>
  </r>
  <r>
    <s v="AGROSUPER SHANGHAI 1022541"/>
    <x v="1"/>
    <x v="0"/>
    <x v="51"/>
    <x v="0"/>
    <x v="23"/>
    <x v="0"/>
    <s v="TIANJIN XINGANG, CHINA"/>
    <x v="0"/>
    <x v="1"/>
    <n v="23889.05"/>
    <x v="0"/>
  </r>
  <r>
    <s v="AGROSUPER SHANGHAI 1022541"/>
    <x v="1"/>
    <x v="0"/>
    <x v="52"/>
    <x v="0"/>
    <x v="23"/>
    <x v="0"/>
    <s v="TIANJIN XINGANG, CHINA"/>
    <x v="0"/>
    <x v="2"/>
    <n v="24010.3"/>
    <x v="0"/>
  </r>
  <r>
    <s v="AGROSUPER SHANGHAI 1022637"/>
    <x v="1"/>
    <x v="0"/>
    <x v="53"/>
    <x v="0"/>
    <x v="24"/>
    <x v="0"/>
    <s v="QINGDAO, PUERTO"/>
    <x v="0"/>
    <x v="2"/>
    <n v="21585"/>
    <x v="0"/>
  </r>
  <r>
    <s v="AGROSUPER SHANGHAI 1022748"/>
    <x v="1"/>
    <x v="0"/>
    <x v="54"/>
    <x v="0"/>
    <x v="25"/>
    <x v="0"/>
    <s v="TIANJIN XINGANG, CHINA"/>
    <x v="0"/>
    <x v="1"/>
    <n v="23750"/>
    <x v="0"/>
  </r>
  <r>
    <s v="AGROSUPER SHANGHAI 1022856"/>
    <x v="1"/>
    <x v="0"/>
    <x v="55"/>
    <x v="0"/>
    <x v="26"/>
    <x v="0"/>
    <s v="TIANJIN XINGANG, CHINA"/>
    <x v="0"/>
    <x v="1"/>
    <n v="25006.94"/>
    <x v="0"/>
  </r>
  <r>
    <s v="AGROSUPER SHANGHAI 1021905"/>
    <x v="1"/>
    <x v="0"/>
    <x v="56"/>
    <x v="0"/>
    <x v="27"/>
    <x v="0"/>
    <s v="TIANJIN XINGANG, CHINA"/>
    <x v="0"/>
    <x v="1"/>
    <n v="24002.62"/>
    <x v="0"/>
  </r>
  <r>
    <s v="AGROSUPER SHANGHAI 1030683"/>
    <x v="1"/>
    <x v="1"/>
    <x v="57"/>
    <x v="0"/>
    <x v="28"/>
    <x v="0"/>
    <s v="QINGDAO, PUERTO"/>
    <x v="0"/>
    <x v="2"/>
    <n v="24000"/>
    <x v="0"/>
  </r>
  <r>
    <s v="AGROSUPER SHANGHAI 1022639"/>
    <x v="1"/>
    <x v="1"/>
    <x v="58"/>
    <x v="0"/>
    <x v="29"/>
    <x v="0"/>
    <s v="TIANJIN XINGANG, CHINA"/>
    <x v="0"/>
    <x v="1"/>
    <n v="22857.97"/>
    <x v="0"/>
  </r>
  <r>
    <s v="AGROSUPER SHANGHAI 1022639"/>
    <x v="1"/>
    <x v="1"/>
    <x v="59"/>
    <x v="0"/>
    <x v="29"/>
    <x v="0"/>
    <s v="TIANJIN XINGANG, CHINA"/>
    <x v="0"/>
    <x v="2"/>
    <n v="22876.86"/>
    <x v="0"/>
  </r>
  <r>
    <s v="AGROSUPER SHANGHAI 1021766"/>
    <x v="1"/>
    <x v="1"/>
    <x v="60"/>
    <x v="0"/>
    <x v="30"/>
    <x v="0"/>
    <s v="QINGDAO, PUERTO"/>
    <x v="0"/>
    <x v="2"/>
    <n v="23490"/>
    <x v="0"/>
  </r>
  <r>
    <s v="AGROSUPER SHANGHAI 1021732"/>
    <x v="1"/>
    <x v="1"/>
    <x v="61"/>
    <x v="0"/>
    <x v="31"/>
    <x v="0"/>
    <s v="TIANJIN XINGANG, CHINA"/>
    <x v="0"/>
    <x v="1"/>
    <n v="24000"/>
    <x v="0"/>
  </r>
  <r>
    <s v="AGROSUPER SHANGHAI 1021732"/>
    <x v="1"/>
    <x v="1"/>
    <x v="62"/>
    <x v="0"/>
    <x v="31"/>
    <x v="0"/>
    <s v="TIANJIN XINGANG, CHINA"/>
    <x v="0"/>
    <x v="1"/>
    <n v="24000"/>
    <x v="0"/>
  </r>
  <r>
    <s v="ANDES ASIA 1022914"/>
    <x v="5"/>
    <x v="1"/>
    <x v="63"/>
    <x v="0"/>
    <x v="32"/>
    <x v="0"/>
    <s v="YOKOHAMA (ADUANA PRINCIPAL)"/>
    <x v="0"/>
    <x v="1"/>
    <n v="24000"/>
    <x v="0"/>
  </r>
  <r>
    <s v="ANDES ASIA 1022767"/>
    <x v="5"/>
    <x v="1"/>
    <x v="64"/>
    <x v="0"/>
    <x v="33"/>
    <x v="0"/>
    <s v="YOKOHAMA (ADUANA PRINCIPAL)"/>
    <x v="0"/>
    <x v="1"/>
    <n v="24020"/>
    <x v="0"/>
  </r>
  <r>
    <s v="ANDES ASIA 1021936"/>
    <x v="5"/>
    <x v="1"/>
    <x v="65"/>
    <x v="0"/>
    <x v="34"/>
    <x v="0"/>
    <s v="YOKOHAMA (ADUANA PRINCIPAL)"/>
    <x v="0"/>
    <x v="1"/>
    <n v="24000"/>
    <x v="0"/>
  </r>
  <r>
    <s v="AGROSUPER SHANGHAI 1030683"/>
    <x v="1"/>
    <x v="1"/>
    <x v="66"/>
    <x v="0"/>
    <x v="28"/>
    <x v="0"/>
    <s v="QINGDAO, PUERTO"/>
    <x v="0"/>
    <x v="2"/>
    <n v="24000"/>
    <x v="0"/>
  </r>
  <r>
    <s v="AGRO MEXICO 1012764"/>
    <x v="4"/>
    <x v="0"/>
    <x v="67"/>
    <x v="0"/>
    <x v="35"/>
    <x v="0"/>
    <s v="MANZANILLO, PUERTO"/>
    <x v="0"/>
    <x v="1"/>
    <n v="24015.77"/>
    <x v="0"/>
  </r>
  <r>
    <s v="AGRO MEXICO 1012764"/>
    <x v="4"/>
    <x v="0"/>
    <x v="68"/>
    <x v="0"/>
    <x v="35"/>
    <x v="0"/>
    <s v="MANZANILLO, PUERTO"/>
    <x v="0"/>
    <x v="1"/>
    <n v="23998.89"/>
    <x v="0"/>
  </r>
  <r>
    <s v="AGRO MEXICO 1012764"/>
    <x v="4"/>
    <x v="0"/>
    <x v="69"/>
    <x v="0"/>
    <x v="35"/>
    <x v="0"/>
    <s v="MANZANILLO, PUERTO"/>
    <x v="0"/>
    <x v="1"/>
    <n v="24011.84"/>
    <x v="0"/>
  </r>
  <r>
    <s v="AGRO SUDAMERICA 1020944"/>
    <x v="2"/>
    <x v="0"/>
    <x v="70"/>
    <x v="0"/>
    <x v="36"/>
    <x v="0"/>
    <s v="CALLAO, PUERTO"/>
    <x v="1"/>
    <x v="2"/>
    <n v="23994.05"/>
    <x v="0"/>
  </r>
  <r>
    <s v="AGROSUPER SHANGHAI 1022748"/>
    <x v="1"/>
    <x v="1"/>
    <x v="71"/>
    <x v="0"/>
    <x v="25"/>
    <x v="0"/>
    <s v="TIANJIN XINGANG, CHINA"/>
    <x v="0"/>
    <x v="1"/>
    <n v="24020"/>
    <x v="0"/>
  </r>
  <r>
    <s v="ANDES ASIA 1022142"/>
    <x v="5"/>
    <x v="1"/>
    <x v="72"/>
    <x v="0"/>
    <x v="37"/>
    <x v="0"/>
    <s v="YOKOHAMA (ADUANA PRINCIPAL)"/>
    <x v="0"/>
    <x v="1"/>
    <n v="2011.23"/>
    <x v="0"/>
  </r>
  <r>
    <s v="ANDES ASIA 1022398"/>
    <x v="5"/>
    <x v="1"/>
    <x v="72"/>
    <x v="0"/>
    <x v="38"/>
    <x v="0"/>
    <s v="YOKOHAMA (ADUANA PRINCIPAL)"/>
    <x v="0"/>
    <x v="1"/>
    <n v="5012.5200000000004"/>
    <x v="0"/>
  </r>
  <r>
    <s v="ANDES ASIA 1022515"/>
    <x v="5"/>
    <x v="1"/>
    <x v="72"/>
    <x v="0"/>
    <x v="39"/>
    <x v="0"/>
    <s v="YOKOHAMA (ADUANA PRINCIPAL)"/>
    <x v="0"/>
    <x v="1"/>
    <n v="3036.63"/>
    <x v="0"/>
  </r>
  <r>
    <s v="ANDES ASIA 1022751"/>
    <x v="5"/>
    <x v="1"/>
    <x v="72"/>
    <x v="0"/>
    <x v="40"/>
    <x v="0"/>
    <s v="YOKOHAMA (ADUANA PRINCIPAL)"/>
    <x v="0"/>
    <x v="1"/>
    <n v="2002"/>
    <x v="0"/>
  </r>
  <r>
    <s v="ANDES ASIA 1022863"/>
    <x v="5"/>
    <x v="1"/>
    <x v="72"/>
    <x v="0"/>
    <x v="41"/>
    <x v="0"/>
    <s v="YOKOHAMA (ADUANA PRINCIPAL)"/>
    <x v="0"/>
    <x v="1"/>
    <n v="5007.29"/>
    <x v="0"/>
  </r>
  <r>
    <s v="ANDES ASIA 1022864"/>
    <x v="5"/>
    <x v="1"/>
    <x v="72"/>
    <x v="0"/>
    <x v="42"/>
    <x v="0"/>
    <s v="YOKOHAMA (ADUANA PRINCIPAL)"/>
    <x v="0"/>
    <x v="1"/>
    <n v="3008.3"/>
    <x v="0"/>
  </r>
  <r>
    <s v="ANDES ASIA 1022865"/>
    <x v="5"/>
    <x v="1"/>
    <x v="72"/>
    <x v="0"/>
    <x v="43"/>
    <x v="0"/>
    <s v="YOKOHAMA (ADUANA PRINCIPAL)"/>
    <x v="0"/>
    <x v="1"/>
    <n v="4011.28"/>
    <x v="0"/>
  </r>
  <r>
    <s v="ANDES ASIA 1022865"/>
    <x v="5"/>
    <x v="1"/>
    <x v="73"/>
    <x v="0"/>
    <x v="43"/>
    <x v="0"/>
    <s v="OSAKA, PUERTO"/>
    <x v="1"/>
    <x v="1"/>
    <n v="4007.32"/>
    <x v="0"/>
  </r>
  <r>
    <s v="ANDES ASIA 1022142"/>
    <x v="5"/>
    <x v="1"/>
    <x v="73"/>
    <x v="0"/>
    <x v="37"/>
    <x v="0"/>
    <s v="OSAKA, PUERTO"/>
    <x v="1"/>
    <x v="1"/>
    <n v="4010.49"/>
    <x v="0"/>
  </r>
  <r>
    <s v="ANDES ASIA 1021925"/>
    <x v="5"/>
    <x v="1"/>
    <x v="73"/>
    <x v="0"/>
    <x v="44"/>
    <x v="0"/>
    <s v="OSAKA, PUERTO"/>
    <x v="1"/>
    <x v="1"/>
    <n v="7008.6"/>
    <x v="0"/>
  </r>
  <r>
    <s v="ANDES ASIA 1021924"/>
    <x v="5"/>
    <x v="1"/>
    <x v="73"/>
    <x v="0"/>
    <x v="45"/>
    <x v="0"/>
    <s v="OSAKA, PUERTO"/>
    <x v="1"/>
    <x v="1"/>
    <n v="8005.62"/>
    <x v="0"/>
  </r>
  <r>
    <s v="ANDES ASIA 1021921"/>
    <x v="5"/>
    <x v="1"/>
    <x v="73"/>
    <x v="0"/>
    <x v="46"/>
    <x v="0"/>
    <s v="OSAKA, PUERTO"/>
    <x v="1"/>
    <x v="1"/>
    <n v="1004.73"/>
    <x v="0"/>
  </r>
  <r>
    <s v="ANDES ASIA 1023265"/>
    <x v="5"/>
    <x v="1"/>
    <x v="74"/>
    <x v="0"/>
    <x v="47"/>
    <x v="0"/>
    <s v="YOKOHAMA (ADUANA PRINCIPAL)"/>
    <x v="0"/>
    <x v="1"/>
    <n v="3000.48"/>
    <x v="0"/>
  </r>
  <r>
    <s v="ANDES ASIA 1022865"/>
    <x v="5"/>
    <x v="1"/>
    <x v="75"/>
    <x v="0"/>
    <x v="43"/>
    <x v="0"/>
    <s v="YOKOHAMA (ADUANA PRINCIPAL)"/>
    <x v="0"/>
    <x v="1"/>
    <n v="1998.78"/>
    <x v="0"/>
  </r>
  <r>
    <s v="ANDES ASIA 1022864"/>
    <x v="5"/>
    <x v="1"/>
    <x v="75"/>
    <x v="0"/>
    <x v="42"/>
    <x v="0"/>
    <s v="YOKOHAMA (ADUANA PRINCIPAL)"/>
    <x v="0"/>
    <x v="1"/>
    <n v="2998.66"/>
    <x v="0"/>
  </r>
  <r>
    <s v="ANDES ASIA 1022863"/>
    <x v="5"/>
    <x v="1"/>
    <x v="75"/>
    <x v="0"/>
    <x v="41"/>
    <x v="0"/>
    <s v="YOKOHAMA (ADUANA PRINCIPAL)"/>
    <x v="0"/>
    <x v="1"/>
    <n v="3009.54"/>
    <x v="0"/>
  </r>
  <r>
    <s v="ANDES ASIA 1022621"/>
    <x v="5"/>
    <x v="1"/>
    <x v="75"/>
    <x v="0"/>
    <x v="48"/>
    <x v="0"/>
    <s v="YOKOHAMA (ADUANA PRINCIPAL)"/>
    <x v="0"/>
    <x v="1"/>
    <n v="3002.1"/>
    <x v="0"/>
  </r>
  <r>
    <s v="ANDES ASIA 1022515"/>
    <x v="5"/>
    <x v="1"/>
    <x v="75"/>
    <x v="0"/>
    <x v="39"/>
    <x v="0"/>
    <s v="YOKOHAMA (ADUANA PRINCIPAL)"/>
    <x v="0"/>
    <x v="1"/>
    <n v="2999.69"/>
    <x v="0"/>
  </r>
  <r>
    <s v="ANDES ASIA 1022398"/>
    <x v="5"/>
    <x v="1"/>
    <x v="75"/>
    <x v="0"/>
    <x v="38"/>
    <x v="0"/>
    <s v="YOKOHAMA (ADUANA PRINCIPAL)"/>
    <x v="0"/>
    <x v="1"/>
    <n v="5010.45"/>
    <x v="0"/>
  </r>
  <r>
    <s v="ANDES ASIA 1022142"/>
    <x v="5"/>
    <x v="1"/>
    <x v="75"/>
    <x v="0"/>
    <x v="37"/>
    <x v="0"/>
    <s v="YOKOHAMA (ADUANA PRINCIPAL)"/>
    <x v="0"/>
    <x v="1"/>
    <n v="2001.41"/>
    <x v="0"/>
  </r>
  <r>
    <s v="ANDES ASIA 1022918"/>
    <x v="5"/>
    <x v="1"/>
    <x v="76"/>
    <x v="0"/>
    <x v="49"/>
    <x v="0"/>
    <s v="OSAKA, PUERTO"/>
    <x v="1"/>
    <x v="1"/>
    <n v="24000"/>
    <x v="0"/>
  </r>
  <r>
    <s v="AGROSUPER SHANGHAI 1021731"/>
    <x v="1"/>
    <x v="0"/>
    <x v="77"/>
    <x v="0"/>
    <x v="50"/>
    <x v="0"/>
    <s v="TIANJIN XINGANG, CHINA"/>
    <x v="0"/>
    <x v="1"/>
    <n v="24020"/>
    <x v="0"/>
  </r>
  <r>
    <s v="AGRO AMERICA 1012518"/>
    <x v="3"/>
    <x v="1"/>
    <x v="78"/>
    <x v="0"/>
    <x v="51"/>
    <x v="0"/>
    <s v="LONG BEACH, PUERTO"/>
    <x v="1"/>
    <x v="2"/>
    <n v="40000"/>
    <x v="0"/>
  </r>
  <r>
    <s v="AGROSUPER ASIA 1021664"/>
    <x v="0"/>
    <x v="0"/>
    <x v="79"/>
    <x v="0"/>
    <x v="52"/>
    <x v="0"/>
    <s v="BUSAN {PUSAN}, PUERTO"/>
    <x v="0"/>
    <x v="1"/>
    <n v="22018.31"/>
    <x v="0"/>
  </r>
  <r>
    <s v="AGROSUPER SHANGHAI 1022169"/>
    <x v="1"/>
    <x v="1"/>
    <x v="80"/>
    <x v="0"/>
    <x v="53"/>
    <x v="0"/>
    <s v="QINGDAO, PUERTO"/>
    <x v="0"/>
    <x v="2"/>
    <n v="24000"/>
    <x v="0"/>
  </r>
  <r>
    <s v="AGROSUPER SHANGHAI 1022169"/>
    <x v="1"/>
    <x v="1"/>
    <x v="81"/>
    <x v="0"/>
    <x v="53"/>
    <x v="0"/>
    <s v="QINGDAO, PUERTO"/>
    <x v="0"/>
    <x v="2"/>
    <n v="24400"/>
    <x v="0"/>
  </r>
  <r>
    <s v="AGROSUPER SHANGHAI 1023034"/>
    <x v="1"/>
    <x v="1"/>
    <x v="82"/>
    <x v="0"/>
    <x v="54"/>
    <x v="0"/>
    <s v="TIANJIN XINGANG, CHINA"/>
    <x v="0"/>
    <x v="1"/>
    <n v="24040"/>
    <x v="0"/>
  </r>
  <r>
    <s v="AGROSUPER SHANGHAI 1023306"/>
    <x v="1"/>
    <x v="1"/>
    <x v="83"/>
    <x v="0"/>
    <x v="55"/>
    <x v="0"/>
    <s v="QINGDAO, PUERTO"/>
    <x v="0"/>
    <x v="2"/>
    <n v="24040"/>
    <x v="0"/>
  </r>
  <r>
    <s v="AGROSUPER SHANGHAI 1022748"/>
    <x v="1"/>
    <x v="1"/>
    <x v="84"/>
    <x v="0"/>
    <x v="25"/>
    <x v="0"/>
    <s v="TIANJIN XINGANG, CHINA"/>
    <x v="0"/>
    <x v="1"/>
    <n v="24000"/>
    <x v="0"/>
  </r>
  <r>
    <s v="AGROSUPER SHANGHAI 1021732"/>
    <x v="1"/>
    <x v="1"/>
    <x v="85"/>
    <x v="0"/>
    <x v="31"/>
    <x v="0"/>
    <s v="TIANJIN XINGANG, CHINA"/>
    <x v="0"/>
    <x v="1"/>
    <n v="25000"/>
    <x v="0"/>
  </r>
  <r>
    <s v="AGROSUPER SHANGHAI 1022941"/>
    <x v="1"/>
    <x v="1"/>
    <x v="86"/>
    <x v="0"/>
    <x v="56"/>
    <x v="0"/>
    <s v="TIANJIN XINGANG, CHINA"/>
    <x v="0"/>
    <x v="1"/>
    <n v="24087.5"/>
    <x v="0"/>
  </r>
  <r>
    <s v="AGRO MEXICO 1021555"/>
    <x v="4"/>
    <x v="1"/>
    <x v="87"/>
    <x v="0"/>
    <x v="15"/>
    <x v="0"/>
    <s v="MAZATLAN, PUERTO"/>
    <x v="0"/>
    <x v="0"/>
    <n v="24019.33"/>
    <x v="0"/>
  </r>
  <r>
    <s v="AGRO MEXICO 1023302"/>
    <x v="4"/>
    <x v="1"/>
    <x v="88"/>
    <x v="0"/>
    <x v="12"/>
    <x v="0"/>
    <s v="MANZANILLO, PUERTO"/>
    <x v="0"/>
    <x v="1"/>
    <n v="24000"/>
    <x v="0"/>
  </r>
  <r>
    <s v="AGRO MEXICO 1012534"/>
    <x v="4"/>
    <x v="1"/>
    <x v="89"/>
    <x v="0"/>
    <x v="57"/>
    <x v="0"/>
    <s v="MANZANILLO, PUERTO"/>
    <x v="0"/>
    <x v="1"/>
    <n v="19982.87"/>
    <x v="0"/>
  </r>
  <r>
    <s v="AGRO MEXICO 1012534"/>
    <x v="4"/>
    <x v="1"/>
    <x v="90"/>
    <x v="0"/>
    <x v="57"/>
    <x v="0"/>
    <s v="MANZANILLO, PUERTO"/>
    <x v="0"/>
    <x v="2"/>
    <n v="19991.66"/>
    <x v="0"/>
  </r>
  <r>
    <s v="AGRO SUDAMERICA 1020944"/>
    <x v="2"/>
    <x v="0"/>
    <x v="91"/>
    <x v="0"/>
    <x v="36"/>
    <x v="0"/>
    <s v="CALLAO, PUERTO"/>
    <x v="1"/>
    <x v="2"/>
    <n v="23978.6"/>
    <x v="0"/>
  </r>
  <r>
    <s v="AGRO SUDAMERICA 1021976"/>
    <x v="2"/>
    <x v="0"/>
    <x v="92"/>
    <x v="0"/>
    <x v="58"/>
    <x v="0"/>
    <s v="CALDERA, PUERTO"/>
    <x v="0"/>
    <x v="0"/>
    <n v="24017.279999999999"/>
    <x v="0"/>
  </r>
  <r>
    <s v="AGROSUPER SHANGHAI 1022541"/>
    <x v="1"/>
    <x v="0"/>
    <x v="93"/>
    <x v="0"/>
    <x v="23"/>
    <x v="0"/>
    <s v="QINGDAO, PUERTO"/>
    <x v="0"/>
    <x v="2"/>
    <n v="25004.83"/>
    <x v="0"/>
  </r>
  <r>
    <s v="ANDES ASIA 1012326"/>
    <x v="5"/>
    <x v="1"/>
    <x v="94"/>
    <x v="0"/>
    <x v="59"/>
    <x v="0"/>
    <s v="YOKOHAMA (ADUANA PRINCIPAL)"/>
    <x v="0"/>
    <x v="1"/>
    <n v="2004"/>
    <x v="0"/>
  </r>
  <r>
    <s v="ANDES ASIA 1021931"/>
    <x v="5"/>
    <x v="1"/>
    <x v="95"/>
    <x v="0"/>
    <x v="60"/>
    <x v="0"/>
    <s v="YOKOHAMA (ADUANA PRINCIPAL)"/>
    <x v="0"/>
    <x v="1"/>
    <n v="3003.66"/>
    <x v="0"/>
  </r>
  <r>
    <s v="ANDES ASIA 1021952"/>
    <x v="5"/>
    <x v="1"/>
    <x v="96"/>
    <x v="0"/>
    <x v="61"/>
    <x v="0"/>
    <s v="YOKOHAMA (ADUANA PRINCIPAL)"/>
    <x v="0"/>
    <x v="1"/>
    <n v="1000"/>
    <x v="0"/>
  </r>
  <r>
    <s v="ANDES ASIA 1022751"/>
    <x v="5"/>
    <x v="1"/>
    <x v="96"/>
    <x v="0"/>
    <x v="40"/>
    <x v="0"/>
    <s v="YOKOHAMA (ADUANA PRINCIPAL)"/>
    <x v="0"/>
    <x v="1"/>
    <n v="2002"/>
    <x v="0"/>
  </r>
  <r>
    <s v="ANDES ASIA 1022863"/>
    <x v="5"/>
    <x v="1"/>
    <x v="96"/>
    <x v="0"/>
    <x v="41"/>
    <x v="0"/>
    <s v="YOKOHAMA (ADUANA PRINCIPAL)"/>
    <x v="0"/>
    <x v="1"/>
    <n v="4003.27"/>
    <x v="0"/>
  </r>
  <r>
    <s v="ANDES ASIA 1022864"/>
    <x v="5"/>
    <x v="1"/>
    <x v="96"/>
    <x v="0"/>
    <x v="42"/>
    <x v="0"/>
    <s v="YOKOHAMA (ADUANA PRINCIPAL)"/>
    <x v="0"/>
    <x v="1"/>
    <n v="5006.41"/>
    <x v="0"/>
  </r>
  <r>
    <s v="ANDES ASIA 1022865"/>
    <x v="5"/>
    <x v="1"/>
    <x v="96"/>
    <x v="0"/>
    <x v="43"/>
    <x v="0"/>
    <s v="YOKOHAMA (ADUANA PRINCIPAL)"/>
    <x v="0"/>
    <x v="1"/>
    <n v="3004.59"/>
    <x v="0"/>
  </r>
  <r>
    <s v="ANDES ASIA 1022866"/>
    <x v="5"/>
    <x v="1"/>
    <x v="96"/>
    <x v="0"/>
    <x v="62"/>
    <x v="0"/>
    <s v="YOKOHAMA (ADUANA PRINCIPAL)"/>
    <x v="0"/>
    <x v="1"/>
    <n v="4009.82"/>
    <x v="0"/>
  </r>
  <r>
    <s v="ANDES ASIA 1021931"/>
    <x v="5"/>
    <x v="1"/>
    <x v="97"/>
    <x v="0"/>
    <x v="60"/>
    <x v="0"/>
    <s v="YOKOHAMA (ADUANA PRINCIPAL)"/>
    <x v="0"/>
    <x v="1"/>
    <n v="2004.8"/>
    <x v="0"/>
  </r>
  <r>
    <s v="ANDES ASIA 1021924"/>
    <x v="5"/>
    <x v="1"/>
    <x v="98"/>
    <x v="0"/>
    <x v="45"/>
    <x v="0"/>
    <s v="YOKOHAMA (ADUANA PRINCIPAL)"/>
    <x v="0"/>
    <x v="1"/>
    <n v="3000.27"/>
    <x v="0"/>
  </r>
  <r>
    <s v="ANDES ASIA 1022561"/>
    <x v="5"/>
    <x v="1"/>
    <x v="98"/>
    <x v="0"/>
    <x v="63"/>
    <x v="0"/>
    <s v="YOKOHAMA (ADUANA PRINCIPAL)"/>
    <x v="0"/>
    <x v="1"/>
    <n v="2013.39"/>
    <x v="0"/>
  </r>
  <r>
    <s v="ANDES ASIA 1022621"/>
    <x v="5"/>
    <x v="1"/>
    <x v="98"/>
    <x v="0"/>
    <x v="48"/>
    <x v="0"/>
    <s v="YOKOHAMA (ADUANA PRINCIPAL)"/>
    <x v="0"/>
    <x v="1"/>
    <n v="2010.34"/>
    <x v="0"/>
  </r>
  <r>
    <s v="ANDES ASIA 1022751"/>
    <x v="5"/>
    <x v="1"/>
    <x v="98"/>
    <x v="0"/>
    <x v="40"/>
    <x v="0"/>
    <s v="YOKOHAMA (ADUANA PRINCIPAL)"/>
    <x v="0"/>
    <x v="1"/>
    <n v="3010"/>
    <x v="0"/>
  </r>
  <r>
    <s v="ANDES ASIA 1022863"/>
    <x v="5"/>
    <x v="1"/>
    <x v="98"/>
    <x v="0"/>
    <x v="41"/>
    <x v="0"/>
    <s v="YOKOHAMA (ADUANA PRINCIPAL)"/>
    <x v="0"/>
    <x v="1"/>
    <n v="4010.16"/>
    <x v="0"/>
  </r>
  <r>
    <s v="ANDES ASIA 1022864"/>
    <x v="5"/>
    <x v="1"/>
    <x v="98"/>
    <x v="0"/>
    <x v="42"/>
    <x v="0"/>
    <s v="YOKOHAMA (ADUANA PRINCIPAL)"/>
    <x v="0"/>
    <x v="1"/>
    <n v="3006.99"/>
    <x v="0"/>
  </r>
  <r>
    <s v="ANDES ASIA 1022865"/>
    <x v="5"/>
    <x v="1"/>
    <x v="98"/>
    <x v="0"/>
    <x v="43"/>
    <x v="0"/>
    <s v="YOKOHAMA (ADUANA PRINCIPAL)"/>
    <x v="0"/>
    <x v="1"/>
    <n v="5015.88"/>
    <x v="0"/>
  </r>
  <r>
    <s v="AGRO MEXICO 1021272"/>
    <x v="4"/>
    <x v="1"/>
    <x v="99"/>
    <x v="0"/>
    <x v="16"/>
    <x v="0"/>
    <s v="MAZATLAN, PUERTO"/>
    <x v="0"/>
    <x v="0"/>
    <n v="24215.08"/>
    <x v="0"/>
  </r>
  <r>
    <s v="ANDES ASIA 1021987"/>
    <x v="5"/>
    <x v="1"/>
    <x v="100"/>
    <x v="0"/>
    <x v="64"/>
    <x v="0"/>
    <s v="YOKOHAMA (ADUANA PRINCIPAL)"/>
    <x v="0"/>
    <x v="1"/>
    <n v="7000"/>
    <x v="0"/>
  </r>
  <r>
    <s v="ANDES ASIA 1022413"/>
    <x v="5"/>
    <x v="1"/>
    <x v="100"/>
    <x v="0"/>
    <x v="65"/>
    <x v="0"/>
    <s v="YOKOHAMA (ADUANA PRINCIPAL)"/>
    <x v="0"/>
    <x v="1"/>
    <n v="7000"/>
    <x v="0"/>
  </r>
  <r>
    <s v="ANDES ASIA 1022398"/>
    <x v="5"/>
    <x v="1"/>
    <x v="101"/>
    <x v="0"/>
    <x v="38"/>
    <x v="0"/>
    <s v="YOKOHAMA (ADUANA PRINCIPAL)"/>
    <x v="0"/>
    <x v="1"/>
    <n v="1204.05"/>
    <x v="0"/>
  </r>
  <r>
    <s v="ANDES ASIA 1022570"/>
    <x v="5"/>
    <x v="1"/>
    <x v="101"/>
    <x v="0"/>
    <x v="66"/>
    <x v="0"/>
    <s v="YOKOHAMA (ADUANA PRINCIPAL)"/>
    <x v="0"/>
    <x v="1"/>
    <n v="2016.6"/>
    <x v="0"/>
  </r>
  <r>
    <s v="ANDES ASIA 1023123"/>
    <x v="5"/>
    <x v="1"/>
    <x v="101"/>
    <x v="0"/>
    <x v="67"/>
    <x v="0"/>
    <s v="YOKOHAMA (ADUANA PRINCIPAL)"/>
    <x v="0"/>
    <x v="1"/>
    <n v="3801.23"/>
    <x v="0"/>
  </r>
  <r>
    <s v="ANDES ASIA 1022866"/>
    <x v="5"/>
    <x v="1"/>
    <x v="101"/>
    <x v="0"/>
    <x v="62"/>
    <x v="0"/>
    <s v="YOKOHAMA (ADUANA PRINCIPAL)"/>
    <x v="0"/>
    <x v="1"/>
    <n v="3012.28"/>
    <x v="0"/>
  </r>
  <r>
    <s v="ANDES ASIA 1023184"/>
    <x v="5"/>
    <x v="1"/>
    <x v="102"/>
    <x v="0"/>
    <x v="68"/>
    <x v="1"/>
    <s v="OSAKA, PUERTO"/>
    <x v="1"/>
    <x v="1"/>
    <n v="1001.96"/>
    <x v="0"/>
  </r>
  <r>
    <s v="ANDES ASIA 1022866"/>
    <x v="5"/>
    <x v="1"/>
    <x v="102"/>
    <x v="0"/>
    <x v="62"/>
    <x v="1"/>
    <s v="OSAKA, PUERTO"/>
    <x v="1"/>
    <x v="1"/>
    <n v="0"/>
    <x v="0"/>
  </r>
  <r>
    <s v="ANDES ASIA 1022864"/>
    <x v="5"/>
    <x v="1"/>
    <x v="102"/>
    <x v="0"/>
    <x v="42"/>
    <x v="1"/>
    <s v="OSAKA, PUERTO"/>
    <x v="1"/>
    <x v="1"/>
    <n v="0"/>
    <x v="0"/>
  </r>
  <r>
    <s v="ANDES ASIA 1022142"/>
    <x v="5"/>
    <x v="1"/>
    <x v="102"/>
    <x v="0"/>
    <x v="37"/>
    <x v="1"/>
    <s v="OSAKA, PUERTO"/>
    <x v="1"/>
    <x v="1"/>
    <n v="5000.43"/>
    <x v="0"/>
  </r>
  <r>
    <s v="ANDES ASIA 1022141"/>
    <x v="5"/>
    <x v="1"/>
    <x v="102"/>
    <x v="0"/>
    <x v="69"/>
    <x v="1"/>
    <s v="OSAKA, PUERTO"/>
    <x v="1"/>
    <x v="1"/>
    <n v="3006.42"/>
    <x v="0"/>
  </r>
  <r>
    <s v="ANDES ASIA 1021921"/>
    <x v="5"/>
    <x v="1"/>
    <x v="102"/>
    <x v="0"/>
    <x v="46"/>
    <x v="1"/>
    <s v="OSAKA, PUERTO"/>
    <x v="1"/>
    <x v="1"/>
    <n v="1010.28"/>
    <x v="0"/>
  </r>
  <r>
    <s v="AGRO MEXICO 1022907"/>
    <x v="4"/>
    <x v="1"/>
    <x v="103"/>
    <x v="1"/>
    <x v="70"/>
    <x v="1"/>
    <s v="MANZANILLO, PUERTO"/>
    <x v="2"/>
    <x v="1"/>
    <n v="0"/>
    <x v="0"/>
  </r>
  <r>
    <s v="AGRO MEXICO 1023302"/>
    <x v="4"/>
    <x v="1"/>
    <x v="104"/>
    <x v="0"/>
    <x v="12"/>
    <x v="1"/>
    <s v="MANZANILLO, PUERTO"/>
    <x v="2"/>
    <x v="1"/>
    <n v="24000"/>
    <x v="0"/>
  </r>
  <r>
    <s v="AGRO MEXICO 1021555"/>
    <x v="4"/>
    <x v="1"/>
    <x v="105"/>
    <x v="0"/>
    <x v="15"/>
    <x v="1"/>
    <s v="MAZATLAN, PUERTO"/>
    <x v="2"/>
    <x v="2"/>
    <n v="24001.23"/>
    <x v="0"/>
  </r>
  <r>
    <s v="AGRO MEXICO 1021596"/>
    <x v="4"/>
    <x v="1"/>
    <x v="106"/>
    <x v="1"/>
    <x v="71"/>
    <x v="1"/>
    <s v="MANZANILLO, PUERTO"/>
    <x v="2"/>
    <x v="1"/>
    <n v="0"/>
    <x v="0"/>
  </r>
  <r>
    <s v="AGRO MEXICO 1021270"/>
    <x v="4"/>
    <x v="1"/>
    <x v="107"/>
    <x v="0"/>
    <x v="17"/>
    <x v="1"/>
    <s v="MANZANILLO, PUERTO"/>
    <x v="2"/>
    <x v="1"/>
    <n v="9928.15"/>
    <x v="0"/>
  </r>
  <r>
    <s v="AGRO MEXICO 1021270"/>
    <x v="4"/>
    <x v="1"/>
    <x v="107"/>
    <x v="0"/>
    <x v="17"/>
    <x v="1"/>
    <s v="MANZANILLO, PUERTO"/>
    <x v="2"/>
    <x v="1"/>
    <n v="14077.2"/>
    <x v="0"/>
  </r>
  <r>
    <s v="AGRO MEXICO 1021270"/>
    <x v="4"/>
    <x v="1"/>
    <x v="108"/>
    <x v="0"/>
    <x v="17"/>
    <x v="1"/>
    <s v="MANZANILLO, PUERTO"/>
    <x v="2"/>
    <x v="1"/>
    <n v="24190.06"/>
    <x v="0"/>
  </r>
  <r>
    <s v="AGRO MEXICO 1012788"/>
    <x v="4"/>
    <x v="1"/>
    <x v="109"/>
    <x v="0"/>
    <x v="18"/>
    <x v="1"/>
    <s v="MANZANILLO, PUERTO"/>
    <x v="2"/>
    <x v="1"/>
    <n v="19954.61"/>
    <x v="0"/>
  </r>
  <r>
    <s v="AGRO MEXICO 1011150"/>
    <x v="4"/>
    <x v="1"/>
    <x v="110"/>
    <x v="1"/>
    <x v="19"/>
    <x v="1"/>
    <s v="MANZANILLO, PUERTO"/>
    <x v="2"/>
    <x v="1"/>
    <n v="0"/>
    <x v="0"/>
  </r>
  <r>
    <s v="AGRO MEXICO 1011127"/>
    <x v="4"/>
    <x v="1"/>
    <x v="111"/>
    <x v="0"/>
    <x v="21"/>
    <x v="1"/>
    <s v="MANZANILLO, PUERTO"/>
    <x v="2"/>
    <x v="1"/>
    <n v="22800"/>
    <x v="0"/>
  </r>
  <r>
    <s v="AGRO MEXICO 1011127"/>
    <x v="4"/>
    <x v="1"/>
    <x v="112"/>
    <x v="0"/>
    <x v="21"/>
    <x v="1"/>
    <s v="MANZANILLO, PUERTO"/>
    <x v="2"/>
    <x v="1"/>
    <n v="22800"/>
    <x v="0"/>
  </r>
  <r>
    <s v="AGRO MEXICO 1011127"/>
    <x v="4"/>
    <x v="1"/>
    <x v="113"/>
    <x v="0"/>
    <x v="21"/>
    <x v="1"/>
    <s v="MANZANILLO, PUERTO"/>
    <x v="2"/>
    <x v="1"/>
    <n v="22800"/>
    <x v="0"/>
  </r>
  <r>
    <s v="AGRO MEXICO 1011127"/>
    <x v="4"/>
    <x v="1"/>
    <x v="114"/>
    <x v="1"/>
    <x v="21"/>
    <x v="1"/>
    <s v="MANZANILLO, PUERTO"/>
    <x v="2"/>
    <x v="1"/>
    <n v="0"/>
    <x v="0"/>
  </r>
  <r>
    <s v="AGRO MEXICO 1011127"/>
    <x v="4"/>
    <x v="1"/>
    <x v="115"/>
    <x v="1"/>
    <x v="21"/>
    <x v="1"/>
    <s v="MANZANILLO, PUERTO"/>
    <x v="2"/>
    <x v="1"/>
    <n v="0"/>
    <x v="0"/>
  </r>
  <r>
    <s v="AGRO MEXICO 1011127"/>
    <x v="4"/>
    <x v="1"/>
    <x v="116"/>
    <x v="1"/>
    <x v="21"/>
    <x v="1"/>
    <s v="MANZANILLO, PUERTO"/>
    <x v="2"/>
    <x v="1"/>
    <n v="0"/>
    <x v="0"/>
  </r>
  <r>
    <s v="AGRO MEXICO 1011127"/>
    <x v="4"/>
    <x v="1"/>
    <x v="117"/>
    <x v="0"/>
    <x v="21"/>
    <x v="1"/>
    <s v="MANZANILLO, PUERTO"/>
    <x v="2"/>
    <x v="1"/>
    <n v="22800"/>
    <x v="0"/>
  </r>
  <r>
    <s v="AGRO MEXICO 1011127"/>
    <x v="4"/>
    <x v="1"/>
    <x v="118"/>
    <x v="0"/>
    <x v="21"/>
    <x v="1"/>
    <s v="MANZANILLO, PUERTO"/>
    <x v="2"/>
    <x v="1"/>
    <n v="22800"/>
    <x v="0"/>
  </r>
  <r>
    <s v="AGRO MEXICO 1011127"/>
    <x v="4"/>
    <x v="1"/>
    <x v="119"/>
    <x v="0"/>
    <x v="21"/>
    <x v="1"/>
    <s v="MANZANILLO, PUERTO"/>
    <x v="2"/>
    <x v="1"/>
    <n v="22800"/>
    <x v="0"/>
  </r>
  <r>
    <s v="AGRO MEXICO 1011127"/>
    <x v="4"/>
    <x v="1"/>
    <x v="120"/>
    <x v="0"/>
    <x v="21"/>
    <x v="1"/>
    <s v="MANZANILLO, PUERTO"/>
    <x v="2"/>
    <x v="1"/>
    <n v="22800"/>
    <x v="0"/>
  </r>
  <r>
    <s v="AGRO MEXICO 1011127"/>
    <x v="4"/>
    <x v="1"/>
    <x v="121"/>
    <x v="0"/>
    <x v="21"/>
    <x v="1"/>
    <s v="MANZANILLO, PUERTO"/>
    <x v="2"/>
    <x v="1"/>
    <n v="22800"/>
    <x v="0"/>
  </r>
  <r>
    <s v="AGRO MEXICO 1011127"/>
    <x v="4"/>
    <x v="1"/>
    <x v="122"/>
    <x v="0"/>
    <x v="21"/>
    <x v="1"/>
    <s v="MANZANILLO, PUERTO"/>
    <x v="2"/>
    <x v="1"/>
    <n v="22800"/>
    <x v="0"/>
  </r>
  <r>
    <s v="ANDES ASIA 1021936"/>
    <x v="5"/>
    <x v="1"/>
    <x v="123"/>
    <x v="1"/>
    <x v="34"/>
    <x v="1"/>
    <s v="YOKOHAMA (ADUANA PRINCIPAL)"/>
    <x v="2"/>
    <x v="1"/>
    <n v="0"/>
    <x v="0"/>
  </r>
  <r>
    <s v="ANDES ASIA 1021936"/>
    <x v="5"/>
    <x v="1"/>
    <x v="124"/>
    <x v="1"/>
    <x v="34"/>
    <x v="1"/>
    <s v="YOKOHAMA (ADUANA PRINCIPAL)"/>
    <x v="2"/>
    <x v="1"/>
    <n v="0"/>
    <x v="0"/>
  </r>
  <r>
    <s v="ANDES ASIA 1021936"/>
    <x v="5"/>
    <x v="1"/>
    <x v="125"/>
    <x v="1"/>
    <x v="34"/>
    <x v="1"/>
    <s v="YOKOHAMA (ADUANA PRINCIPAL)"/>
    <x v="2"/>
    <x v="1"/>
    <n v="0"/>
    <x v="0"/>
  </r>
  <r>
    <s v="ANDES ASIA 1021936"/>
    <x v="5"/>
    <x v="1"/>
    <x v="126"/>
    <x v="0"/>
    <x v="34"/>
    <x v="1"/>
    <s v="YOKOHAMA (ADUANA PRINCIPAL)"/>
    <x v="2"/>
    <x v="1"/>
    <n v="24000"/>
    <x v="0"/>
  </r>
  <r>
    <s v="ANDES ASIA 1022918"/>
    <x v="5"/>
    <x v="1"/>
    <x v="127"/>
    <x v="1"/>
    <x v="49"/>
    <x v="1"/>
    <s v="YOKOHAMA (ADUANA PRINCIPAL)"/>
    <x v="2"/>
    <x v="1"/>
    <n v="0"/>
    <x v="0"/>
  </r>
  <r>
    <s v="AGRO MEXICO 1012764"/>
    <x v="4"/>
    <x v="0"/>
    <x v="128"/>
    <x v="0"/>
    <x v="35"/>
    <x v="1"/>
    <s v="MANZANILLO, PUERTO"/>
    <x v="2"/>
    <x v="1"/>
    <n v="23993.24"/>
    <x v="0"/>
  </r>
  <r>
    <s v="ANDES ASIA 1023102"/>
    <x v="5"/>
    <x v="1"/>
    <x v="129"/>
    <x v="0"/>
    <x v="72"/>
    <x v="1"/>
    <s v="YOKOHAMA (ADUANA PRINCIPAL)"/>
    <x v="2"/>
    <x v="1"/>
    <n v="2008.71"/>
    <x v="0"/>
  </r>
  <r>
    <s v="ANDES ASIA 1022989"/>
    <x v="5"/>
    <x v="1"/>
    <x v="129"/>
    <x v="0"/>
    <x v="73"/>
    <x v="1"/>
    <s v="YOKOHAMA (ADUANA PRINCIPAL)"/>
    <x v="2"/>
    <x v="1"/>
    <n v="10009.780000000001"/>
    <x v="0"/>
  </r>
  <r>
    <s v="ANDES ASIA 1022866"/>
    <x v="5"/>
    <x v="1"/>
    <x v="129"/>
    <x v="0"/>
    <x v="62"/>
    <x v="1"/>
    <s v="YOKOHAMA (ADUANA PRINCIPAL)"/>
    <x v="2"/>
    <x v="1"/>
    <n v="2022.95"/>
    <x v="0"/>
  </r>
  <r>
    <s v="ANDES ASIA 1022865"/>
    <x v="5"/>
    <x v="1"/>
    <x v="129"/>
    <x v="0"/>
    <x v="43"/>
    <x v="1"/>
    <s v="YOKOHAMA (ADUANA PRINCIPAL)"/>
    <x v="2"/>
    <x v="1"/>
    <n v="2011.76"/>
    <x v="0"/>
  </r>
  <r>
    <s v="ANDES ASIA 1022621"/>
    <x v="5"/>
    <x v="1"/>
    <x v="129"/>
    <x v="0"/>
    <x v="48"/>
    <x v="1"/>
    <s v="YOKOHAMA (ADUANA PRINCIPAL)"/>
    <x v="2"/>
    <x v="1"/>
    <n v="3006.04"/>
    <x v="0"/>
  </r>
  <r>
    <s v="ANDES ASIA 1022141"/>
    <x v="5"/>
    <x v="1"/>
    <x v="129"/>
    <x v="0"/>
    <x v="69"/>
    <x v="1"/>
    <s v="YOKOHAMA (ADUANA PRINCIPAL)"/>
    <x v="2"/>
    <x v="1"/>
    <n v="5005.8500000000004"/>
    <x v="0"/>
  </r>
  <r>
    <s v="AGRO MEXICO 1021026"/>
    <x v="4"/>
    <x v="1"/>
    <x v="130"/>
    <x v="0"/>
    <x v="74"/>
    <x v="1"/>
    <s v="MANZANILLO, PUERTO"/>
    <x v="2"/>
    <x v="1"/>
    <n v="24014.86"/>
    <x v="0"/>
  </r>
  <r>
    <s v="ANDES ASIA 1023265"/>
    <x v="5"/>
    <x v="1"/>
    <x v="131"/>
    <x v="0"/>
    <x v="47"/>
    <x v="1"/>
    <s v="YOKOHAMA (ADUANA PRINCIPAL)"/>
    <x v="2"/>
    <x v="1"/>
    <n v="4999.24"/>
    <x v="0"/>
  </r>
  <r>
    <s v="ANDES ASIA 1021931"/>
    <x v="5"/>
    <x v="1"/>
    <x v="131"/>
    <x v="0"/>
    <x v="60"/>
    <x v="1"/>
    <s v="YOKOHAMA (ADUANA PRINCIPAL)"/>
    <x v="2"/>
    <x v="1"/>
    <n v="3001.89"/>
    <x v="0"/>
  </r>
  <r>
    <s v="ANDES ASIA 1022866"/>
    <x v="5"/>
    <x v="1"/>
    <x v="132"/>
    <x v="0"/>
    <x v="62"/>
    <x v="1"/>
    <s v="YOKOHAMA (ADUANA PRINCIPAL)"/>
    <x v="2"/>
    <x v="1"/>
    <n v="3010.16"/>
    <x v="0"/>
  </r>
  <r>
    <s v="ANDES ASIA 1022865"/>
    <x v="5"/>
    <x v="1"/>
    <x v="132"/>
    <x v="0"/>
    <x v="43"/>
    <x v="1"/>
    <s v="YOKOHAMA (ADUANA PRINCIPAL)"/>
    <x v="2"/>
    <x v="1"/>
    <n v="2015.57"/>
    <x v="0"/>
  </r>
  <r>
    <s v="ANDES ASIA 1022864"/>
    <x v="5"/>
    <x v="1"/>
    <x v="132"/>
    <x v="0"/>
    <x v="42"/>
    <x v="1"/>
    <s v="YOKOHAMA (ADUANA PRINCIPAL)"/>
    <x v="2"/>
    <x v="1"/>
    <n v="5003.1099999999997"/>
    <x v="0"/>
  </r>
  <r>
    <s v="ANDES ASIA 1022863"/>
    <x v="5"/>
    <x v="1"/>
    <x v="132"/>
    <x v="0"/>
    <x v="41"/>
    <x v="1"/>
    <s v="YOKOHAMA (ADUANA PRINCIPAL)"/>
    <x v="2"/>
    <x v="1"/>
    <n v="5002.6400000000003"/>
    <x v="0"/>
  </r>
  <r>
    <s v="ANDES ASIA 1021952"/>
    <x v="5"/>
    <x v="1"/>
    <x v="132"/>
    <x v="0"/>
    <x v="61"/>
    <x v="1"/>
    <s v="YOKOHAMA (ADUANA PRINCIPAL)"/>
    <x v="2"/>
    <x v="1"/>
    <n v="1000"/>
    <x v="0"/>
  </r>
  <r>
    <s v="ANDES ASIA 1012326"/>
    <x v="5"/>
    <x v="1"/>
    <x v="133"/>
    <x v="0"/>
    <x v="59"/>
    <x v="1"/>
    <s v="YOKOHAMA (ADUANA PRINCIPAL)"/>
    <x v="2"/>
    <x v="1"/>
    <n v="2004"/>
    <x v="0"/>
  </r>
  <r>
    <s v="ANDES ASIA 1023265"/>
    <x v="5"/>
    <x v="1"/>
    <x v="134"/>
    <x v="0"/>
    <x v="47"/>
    <x v="1"/>
    <s v="YOKOHAMA (ADUANA PRINCIPAL)"/>
    <x v="2"/>
    <x v="1"/>
    <n v="2006.25"/>
    <x v="0"/>
  </r>
  <r>
    <s v="ANDES ASIA 1021931"/>
    <x v="5"/>
    <x v="1"/>
    <x v="134"/>
    <x v="0"/>
    <x v="60"/>
    <x v="1"/>
    <s v="YOKOHAMA (ADUANA PRINCIPAL)"/>
    <x v="2"/>
    <x v="1"/>
    <n v="3007.24"/>
    <x v="0"/>
  </r>
  <r>
    <s v="ANDES ASIA 1022866"/>
    <x v="5"/>
    <x v="1"/>
    <x v="135"/>
    <x v="0"/>
    <x v="62"/>
    <x v="1"/>
    <s v="YOKOHAMA (ADUANA PRINCIPAL)"/>
    <x v="2"/>
    <x v="1"/>
    <n v="2009.99"/>
    <x v="0"/>
  </r>
  <r>
    <s v="ANDES ASIA 1022865"/>
    <x v="5"/>
    <x v="1"/>
    <x v="135"/>
    <x v="0"/>
    <x v="43"/>
    <x v="1"/>
    <s v="YOKOHAMA (ADUANA PRINCIPAL)"/>
    <x v="2"/>
    <x v="1"/>
    <n v="5008.53"/>
    <x v="0"/>
  </r>
  <r>
    <s v="ANDES ASIA 1022863"/>
    <x v="5"/>
    <x v="1"/>
    <x v="135"/>
    <x v="0"/>
    <x v="41"/>
    <x v="1"/>
    <s v="YOKOHAMA (ADUANA PRINCIPAL)"/>
    <x v="2"/>
    <x v="1"/>
    <n v="9000.7999999999993"/>
    <x v="0"/>
  </r>
  <r>
    <s v="ANDES ASIA 1022101"/>
    <x v="5"/>
    <x v="1"/>
    <x v="135"/>
    <x v="0"/>
    <x v="75"/>
    <x v="1"/>
    <s v="YOKOHAMA (ADUANA PRINCIPAL)"/>
    <x v="2"/>
    <x v="1"/>
    <n v="1016.99"/>
    <x v="0"/>
  </r>
  <r>
    <s v="ANDES ASIA 1012326"/>
    <x v="5"/>
    <x v="1"/>
    <x v="136"/>
    <x v="0"/>
    <x v="59"/>
    <x v="1"/>
    <s v="YOKOHAMA (ADUANA PRINCIPAL)"/>
    <x v="2"/>
    <x v="1"/>
    <n v="2004"/>
    <x v="0"/>
  </r>
  <r>
    <s v="ANDES ASIA 1021931"/>
    <x v="5"/>
    <x v="1"/>
    <x v="137"/>
    <x v="0"/>
    <x v="60"/>
    <x v="1"/>
    <s v="YOKOHAMA (ADUANA PRINCIPAL)"/>
    <x v="2"/>
    <x v="1"/>
    <n v="3008.12"/>
    <x v="0"/>
  </r>
  <r>
    <s v="ANDES ASIA 1022101"/>
    <x v="5"/>
    <x v="1"/>
    <x v="138"/>
    <x v="0"/>
    <x v="75"/>
    <x v="1"/>
    <s v="YOKOHAMA (ADUANA PRINCIPAL)"/>
    <x v="2"/>
    <x v="1"/>
    <n v="1015.51"/>
    <x v="0"/>
  </r>
  <r>
    <s v="ANDES ASIA 1022751"/>
    <x v="5"/>
    <x v="1"/>
    <x v="138"/>
    <x v="0"/>
    <x v="40"/>
    <x v="1"/>
    <s v="YOKOHAMA (ADUANA PRINCIPAL)"/>
    <x v="2"/>
    <x v="1"/>
    <n v="3010"/>
    <x v="0"/>
  </r>
  <r>
    <s v="ANDES ASIA 1022863"/>
    <x v="5"/>
    <x v="1"/>
    <x v="138"/>
    <x v="0"/>
    <x v="41"/>
    <x v="1"/>
    <s v="YOKOHAMA (ADUANA PRINCIPAL)"/>
    <x v="2"/>
    <x v="1"/>
    <n v="7007.53"/>
    <x v="0"/>
  </r>
  <r>
    <s v="ANDES ASIA 1022865"/>
    <x v="5"/>
    <x v="1"/>
    <x v="138"/>
    <x v="0"/>
    <x v="43"/>
    <x v="1"/>
    <s v="YOKOHAMA (ADUANA PRINCIPAL)"/>
    <x v="2"/>
    <x v="1"/>
    <n v="5003.22"/>
    <x v="0"/>
  </r>
  <r>
    <s v="ANDES ASIA 1022866"/>
    <x v="5"/>
    <x v="1"/>
    <x v="138"/>
    <x v="0"/>
    <x v="62"/>
    <x v="1"/>
    <s v="YOKOHAMA (ADUANA PRINCIPAL)"/>
    <x v="2"/>
    <x v="1"/>
    <n v="3005.79"/>
    <x v="0"/>
  </r>
  <r>
    <s v="AGRO AMERICA 1021260"/>
    <x v="3"/>
    <x v="0"/>
    <x v="139"/>
    <x v="1"/>
    <x v="76"/>
    <x v="1"/>
    <s v="MONTREAL, PUERTO"/>
    <x v="1"/>
    <x v="2"/>
    <n v="0"/>
    <x v="0"/>
  </r>
  <r>
    <s v="AGROSUPER ASIA 1022887"/>
    <x v="0"/>
    <x v="0"/>
    <x v="140"/>
    <x v="0"/>
    <x v="2"/>
    <x v="2"/>
    <s v="BUSAN {PUSAN}, PUERTO"/>
    <x v="0"/>
    <x v="1"/>
    <n v="22006.46"/>
    <x v="0"/>
  </r>
  <r>
    <s v="AGROSUPER ASIA 1012612"/>
    <x v="0"/>
    <x v="0"/>
    <x v="141"/>
    <x v="0"/>
    <x v="77"/>
    <x v="2"/>
    <s v="MANILA, PUERTO"/>
    <x v="0"/>
    <x v="1"/>
    <n v="24825.919999999998"/>
    <x v="0"/>
  </r>
  <r>
    <s v="AGROSUPER ASIA 1012612"/>
    <x v="0"/>
    <x v="0"/>
    <x v="142"/>
    <x v="0"/>
    <x v="77"/>
    <x v="2"/>
    <s v="MANILA, PUERTO"/>
    <x v="0"/>
    <x v="1"/>
    <n v="24091.96"/>
    <x v="0"/>
  </r>
  <r>
    <s v="AGROSUPER SHANGHAI 1022183"/>
    <x v="1"/>
    <x v="0"/>
    <x v="143"/>
    <x v="0"/>
    <x v="78"/>
    <x v="2"/>
    <s v="NANSHA, PUERTO"/>
    <x v="0"/>
    <x v="1"/>
    <n v="24027.48"/>
    <x v="0"/>
  </r>
  <r>
    <s v="AGROSUPER SHANGHAI 1022183"/>
    <x v="1"/>
    <x v="0"/>
    <x v="144"/>
    <x v="0"/>
    <x v="78"/>
    <x v="2"/>
    <s v="NANSHA, PUERTO"/>
    <x v="0"/>
    <x v="1"/>
    <n v="24028.7"/>
    <x v="0"/>
  </r>
  <r>
    <s v="AGROSUPER SHANGHAI 1012455"/>
    <x v="1"/>
    <x v="0"/>
    <x v="145"/>
    <x v="0"/>
    <x v="79"/>
    <x v="2"/>
    <s v="YANTIAN, CHINA"/>
    <x v="0"/>
    <x v="1"/>
    <n v="23580"/>
    <x v="0"/>
  </r>
  <r>
    <s v="AGROSUPER SHANGHAI 1022183"/>
    <x v="1"/>
    <x v="0"/>
    <x v="146"/>
    <x v="0"/>
    <x v="78"/>
    <x v="2"/>
    <s v="NANSHA, PUERTO"/>
    <x v="0"/>
    <x v="1"/>
    <n v="25018.55"/>
    <x v="0"/>
  </r>
  <r>
    <s v="AGROSUPER SHANGHAI 1022183"/>
    <x v="1"/>
    <x v="0"/>
    <x v="147"/>
    <x v="0"/>
    <x v="78"/>
    <x v="2"/>
    <s v="NANSHA, PUERTO"/>
    <x v="0"/>
    <x v="1"/>
    <n v="24163.85"/>
    <x v="0"/>
  </r>
  <r>
    <s v="AGROSUPER SHANGHAI 1011586"/>
    <x v="1"/>
    <x v="0"/>
    <x v="148"/>
    <x v="0"/>
    <x v="80"/>
    <x v="2"/>
    <s v="NANSHA, PUERTO"/>
    <x v="0"/>
    <x v="1"/>
    <n v="19954"/>
    <x v="0"/>
  </r>
  <r>
    <s v="AGROSUPER SHANGHAI 1030685"/>
    <x v="1"/>
    <x v="1"/>
    <x v="149"/>
    <x v="0"/>
    <x v="81"/>
    <x v="2"/>
    <s v="YANTIAN, CHINA"/>
    <x v="0"/>
    <x v="1"/>
    <n v="24000"/>
    <x v="0"/>
  </r>
  <r>
    <s v="AGROSUPER SHANGHAI 1022639"/>
    <x v="1"/>
    <x v="1"/>
    <x v="150"/>
    <x v="0"/>
    <x v="29"/>
    <x v="2"/>
    <s v="YANTIAN, CHINA"/>
    <x v="0"/>
    <x v="1"/>
    <n v="22914.54"/>
    <x v="0"/>
  </r>
  <r>
    <s v="AGROSUPER SHANGHAI 1022212"/>
    <x v="1"/>
    <x v="1"/>
    <x v="151"/>
    <x v="0"/>
    <x v="82"/>
    <x v="2"/>
    <s v="YANTIAN, CHINA"/>
    <x v="0"/>
    <x v="1"/>
    <n v="24038.959999999999"/>
    <x v="0"/>
  </r>
  <r>
    <s v="AGROSUPER SHANGHAI 1022212"/>
    <x v="1"/>
    <x v="1"/>
    <x v="152"/>
    <x v="0"/>
    <x v="82"/>
    <x v="2"/>
    <s v="YANTIAN, CHINA"/>
    <x v="0"/>
    <x v="1"/>
    <n v="24303.27"/>
    <x v="0"/>
  </r>
  <r>
    <s v="AGROSUPER SHANGHAI 1022212"/>
    <x v="1"/>
    <x v="1"/>
    <x v="153"/>
    <x v="0"/>
    <x v="82"/>
    <x v="2"/>
    <s v="YANTIAN, CHINA"/>
    <x v="0"/>
    <x v="1"/>
    <n v="24070.67"/>
    <x v="0"/>
  </r>
  <r>
    <s v="AGROSUPER SHANGHAI 1022417"/>
    <x v="1"/>
    <x v="1"/>
    <x v="154"/>
    <x v="0"/>
    <x v="83"/>
    <x v="2"/>
    <s v="YANTIAN, CHINA"/>
    <x v="0"/>
    <x v="1"/>
    <n v="25000"/>
    <x v="0"/>
  </r>
  <r>
    <s v="AGROSUPER SHANGHAI 1022388"/>
    <x v="1"/>
    <x v="1"/>
    <x v="155"/>
    <x v="0"/>
    <x v="84"/>
    <x v="2"/>
    <s v="YANTIAN, CHINA"/>
    <x v="0"/>
    <x v="0"/>
    <n v="24000"/>
    <x v="0"/>
  </r>
  <r>
    <s v="AGROSUPER SHANGHAI 1023093"/>
    <x v="1"/>
    <x v="1"/>
    <x v="156"/>
    <x v="0"/>
    <x v="85"/>
    <x v="2"/>
    <s v="YANTIAN, CHINA"/>
    <x v="0"/>
    <x v="1"/>
    <n v="25000"/>
    <x v="0"/>
  </r>
  <r>
    <s v="AGROSUPER SHANGHAI 1021774"/>
    <x v="1"/>
    <x v="1"/>
    <x v="157"/>
    <x v="0"/>
    <x v="86"/>
    <x v="2"/>
    <s v="YANTIAN, CHINA"/>
    <x v="0"/>
    <x v="0"/>
    <n v="24000"/>
    <x v="0"/>
  </r>
  <r>
    <s v="AGROSUPER SHANGHAI 1021735"/>
    <x v="1"/>
    <x v="1"/>
    <x v="158"/>
    <x v="0"/>
    <x v="22"/>
    <x v="2"/>
    <s v="YANTIAN, CHINA"/>
    <x v="0"/>
    <x v="1"/>
    <n v="24020"/>
    <x v="0"/>
  </r>
  <r>
    <s v="AGROSUPER SHANGHAI 1022099"/>
    <x v="1"/>
    <x v="1"/>
    <x v="159"/>
    <x v="0"/>
    <x v="87"/>
    <x v="2"/>
    <s v="YANTIAN, CHINA"/>
    <x v="0"/>
    <x v="1"/>
    <n v="24408"/>
    <x v="0"/>
  </r>
  <r>
    <s v="AGROSUPER SHANGHAI 1021767"/>
    <x v="1"/>
    <x v="1"/>
    <x v="160"/>
    <x v="0"/>
    <x v="88"/>
    <x v="2"/>
    <s v="YANTIAN, CHINA"/>
    <x v="0"/>
    <x v="0"/>
    <n v="24102"/>
    <x v="0"/>
  </r>
  <r>
    <s v="AGROSUPER SHANGHAI 1022940"/>
    <x v="1"/>
    <x v="1"/>
    <x v="161"/>
    <x v="0"/>
    <x v="89"/>
    <x v="2"/>
    <s v="TIANJIN XINGANG, CHINA"/>
    <x v="0"/>
    <x v="1"/>
    <n v="24067"/>
    <x v="0"/>
  </r>
  <r>
    <s v="AGROSUPER SHANGHAI 1022940"/>
    <x v="1"/>
    <x v="1"/>
    <x v="162"/>
    <x v="0"/>
    <x v="89"/>
    <x v="2"/>
    <s v="YANTIAN, CHINA"/>
    <x v="0"/>
    <x v="1"/>
    <n v="24026"/>
    <x v="0"/>
  </r>
  <r>
    <s v="AGROSUPER SHANGHAI 1012503"/>
    <x v="1"/>
    <x v="1"/>
    <x v="163"/>
    <x v="0"/>
    <x v="90"/>
    <x v="2"/>
    <s v="YANTIAN, CHINA"/>
    <x v="0"/>
    <x v="1"/>
    <n v="24000"/>
    <x v="0"/>
  </r>
  <r>
    <s v="AGROSUPER SHANGHAI 1012448"/>
    <x v="1"/>
    <x v="1"/>
    <x v="164"/>
    <x v="0"/>
    <x v="91"/>
    <x v="2"/>
    <s v="YANTIAN, CHINA"/>
    <x v="0"/>
    <x v="1"/>
    <n v="24000"/>
    <x v="0"/>
  </r>
  <r>
    <s v="AGROSUPER SHANGHAI 1012455"/>
    <x v="1"/>
    <x v="1"/>
    <x v="165"/>
    <x v="0"/>
    <x v="79"/>
    <x v="2"/>
    <s v="YANTIAN, CHINA"/>
    <x v="0"/>
    <x v="1"/>
    <n v="24000"/>
    <x v="0"/>
  </r>
  <r>
    <s v="AGROSUPER SHANGHAI 1011969"/>
    <x v="1"/>
    <x v="1"/>
    <x v="166"/>
    <x v="0"/>
    <x v="92"/>
    <x v="2"/>
    <s v="YANTIAN, CHINA"/>
    <x v="0"/>
    <x v="0"/>
    <n v="24000"/>
    <x v="0"/>
  </r>
  <r>
    <s v="AGROSUPER SHANGHAI 1022096"/>
    <x v="1"/>
    <x v="0"/>
    <x v="167"/>
    <x v="0"/>
    <x v="93"/>
    <x v="2"/>
    <s v="NANSHA, PUERTO"/>
    <x v="0"/>
    <x v="1"/>
    <n v="24000"/>
    <x v="0"/>
  </r>
  <r>
    <s v="AGROSUPER SHANGHAI 1022639"/>
    <x v="1"/>
    <x v="1"/>
    <x v="168"/>
    <x v="0"/>
    <x v="29"/>
    <x v="2"/>
    <s v="YANTIAN, CHINA"/>
    <x v="0"/>
    <x v="0"/>
    <n v="5607.1"/>
    <x v="0"/>
  </r>
  <r>
    <s v="AGROSUPER SHANGHAI 1022639"/>
    <x v="1"/>
    <x v="1"/>
    <x v="168"/>
    <x v="0"/>
    <x v="29"/>
    <x v="2"/>
    <s v="YANTIAN, CHINA"/>
    <x v="0"/>
    <x v="0"/>
    <n v="16741.25"/>
    <x v="0"/>
  </r>
  <r>
    <s v="AGROSUPER SHANGHAI 1022096"/>
    <x v="1"/>
    <x v="1"/>
    <x v="169"/>
    <x v="0"/>
    <x v="93"/>
    <x v="2"/>
    <s v="YANTIAN, CHINA"/>
    <x v="0"/>
    <x v="1"/>
    <n v="24000"/>
    <x v="0"/>
  </r>
  <r>
    <s v="AGROSUPER SHANGHAI 1022125"/>
    <x v="1"/>
    <x v="1"/>
    <x v="170"/>
    <x v="0"/>
    <x v="94"/>
    <x v="2"/>
    <s v="YANTIAN, CHINA"/>
    <x v="0"/>
    <x v="1"/>
    <n v="24074.62"/>
    <x v="0"/>
  </r>
  <r>
    <s v="AGROSUPER SHANGHAI 1022183"/>
    <x v="1"/>
    <x v="1"/>
    <x v="171"/>
    <x v="0"/>
    <x v="78"/>
    <x v="2"/>
    <s v="YANTIAN, CHINA"/>
    <x v="0"/>
    <x v="1"/>
    <n v="24087.07"/>
    <x v="0"/>
  </r>
  <r>
    <s v="AGROSUPER SHANGHAI 1021738"/>
    <x v="1"/>
    <x v="1"/>
    <x v="172"/>
    <x v="0"/>
    <x v="95"/>
    <x v="2"/>
    <s v="YANTIAN, CHINA"/>
    <x v="0"/>
    <x v="1"/>
    <n v="24000"/>
    <x v="0"/>
  </r>
  <r>
    <s v="AGROSUPER ASIA 1012612"/>
    <x v="0"/>
    <x v="0"/>
    <x v="173"/>
    <x v="0"/>
    <x v="77"/>
    <x v="2"/>
    <s v="MANILA, PUERTO"/>
    <x v="0"/>
    <x v="1"/>
    <n v="24523.74"/>
    <x v="0"/>
  </r>
  <r>
    <s v="AGROSUPER ASIA 1012612"/>
    <x v="0"/>
    <x v="0"/>
    <x v="174"/>
    <x v="1"/>
    <x v="77"/>
    <x v="2"/>
    <s v=" "/>
    <x v="0"/>
    <x v="1"/>
    <n v="24428.14"/>
    <x v="0"/>
  </r>
  <r>
    <s v="AGROSUPER ASIA 1012612"/>
    <x v="0"/>
    <x v="0"/>
    <x v="175"/>
    <x v="0"/>
    <x v="77"/>
    <x v="2"/>
    <s v="MANILA, PUERTO"/>
    <x v="0"/>
    <x v="1"/>
    <n v="24984.52"/>
    <x v="0"/>
  </r>
  <r>
    <s v="AGROSUPER ASIA 1012612"/>
    <x v="0"/>
    <x v="0"/>
    <x v="176"/>
    <x v="0"/>
    <x v="77"/>
    <x v="2"/>
    <s v="MANILA, PUERTO"/>
    <x v="0"/>
    <x v="1"/>
    <n v="24993.5"/>
    <x v="0"/>
  </r>
  <r>
    <s v="AGROSUPER SHANGHAI 1012451"/>
    <x v="1"/>
    <x v="1"/>
    <x v="177"/>
    <x v="0"/>
    <x v="96"/>
    <x v="2"/>
    <s v="YANTIAN, CHINA"/>
    <x v="0"/>
    <x v="1"/>
    <n v="21000"/>
    <x v="0"/>
  </r>
  <r>
    <s v="AGROSUPER ASIA 1012612"/>
    <x v="0"/>
    <x v="0"/>
    <x v="178"/>
    <x v="0"/>
    <x v="77"/>
    <x v="2"/>
    <s v="MANILA, PUERTO"/>
    <x v="0"/>
    <x v="1"/>
    <n v="24961.34"/>
    <x v="0"/>
  </r>
  <r>
    <s v="AGROSUPER SHANGHAI 1022291"/>
    <x v="1"/>
    <x v="0"/>
    <x v="179"/>
    <x v="0"/>
    <x v="97"/>
    <x v="2"/>
    <s v="NANSHA, PUERTO"/>
    <x v="0"/>
    <x v="1"/>
    <n v="24244.92"/>
    <x v="0"/>
  </r>
  <r>
    <s v="AGROSUPER SHANGHAI 1023291"/>
    <x v="1"/>
    <x v="1"/>
    <x v="180"/>
    <x v="0"/>
    <x v="98"/>
    <x v="2"/>
    <s v="YANTIAN, CHINA"/>
    <x v="0"/>
    <x v="1"/>
    <n v="24000"/>
    <x v="0"/>
  </r>
  <r>
    <s v="AGROSUPER SHANGHAI 1021115"/>
    <x v="1"/>
    <x v="0"/>
    <x v="181"/>
    <x v="0"/>
    <x v="99"/>
    <x v="2"/>
    <s v="HONG KONG, PUERTO"/>
    <x v="0"/>
    <x v="1"/>
    <n v="4460"/>
    <x v="0"/>
  </r>
  <r>
    <s v="AGROSUPER SHANGHAI 1021115"/>
    <x v="1"/>
    <x v="0"/>
    <x v="181"/>
    <x v="0"/>
    <x v="99"/>
    <x v="2"/>
    <s v="HONG KONG, PUERTO"/>
    <x v="0"/>
    <x v="1"/>
    <n v="19340"/>
    <x v="0"/>
  </r>
  <r>
    <s v="AGRO MEXICO 1030792"/>
    <x v="4"/>
    <x v="1"/>
    <x v="182"/>
    <x v="0"/>
    <x v="100"/>
    <x v="3"/>
    <s v="MANZANILLO, PUERTO"/>
    <x v="3"/>
    <x v="3"/>
    <n v="24000"/>
    <x v="0"/>
  </r>
  <r>
    <s v="AGRO MEXICO 1023324"/>
    <x v="4"/>
    <x v="1"/>
    <x v="183"/>
    <x v="0"/>
    <x v="101"/>
    <x v="3"/>
    <s v="MANZANILLO, PUERTO"/>
    <x v="1"/>
    <x v="4"/>
    <n v="24013.59"/>
    <x v="0"/>
  </r>
  <r>
    <s v="AGRO MEXICO 1023302"/>
    <x v="4"/>
    <x v="1"/>
    <x v="184"/>
    <x v="0"/>
    <x v="12"/>
    <x v="3"/>
    <s v="MANZANILLO, PUERTO"/>
    <x v="3"/>
    <x v="3"/>
    <n v="24000"/>
    <x v="0"/>
  </r>
  <r>
    <s v="AGRO MEXICO 1012788"/>
    <x v="4"/>
    <x v="1"/>
    <x v="185"/>
    <x v="0"/>
    <x v="18"/>
    <x v="3"/>
    <s v="MANZANILLO, PUERTO"/>
    <x v="1"/>
    <x v="4"/>
    <n v="19947.43"/>
    <x v="0"/>
  </r>
  <r>
    <s v="AGRO MEXICO 1012278"/>
    <x v="4"/>
    <x v="1"/>
    <x v="186"/>
    <x v="0"/>
    <x v="20"/>
    <x v="3"/>
    <s v="MANZANILLO, PUERTO"/>
    <x v="3"/>
    <x v="3"/>
    <n v="20007"/>
    <x v="0"/>
  </r>
  <r>
    <s v="AGRO MEXICO 1012764"/>
    <x v="4"/>
    <x v="0"/>
    <x v="187"/>
    <x v="0"/>
    <x v="35"/>
    <x v="3"/>
    <s v="MANZANILLO, PUERTO"/>
    <x v="1"/>
    <x v="4"/>
    <n v="23995.4"/>
    <x v="0"/>
  </r>
  <r>
    <s v="AGRO MEXICO 1021272"/>
    <x v="4"/>
    <x v="1"/>
    <x v="188"/>
    <x v="0"/>
    <x v="16"/>
    <x v="3"/>
    <s v="MANZANILLO, PUERTO"/>
    <x v="3"/>
    <x v="3"/>
    <n v="24031.23"/>
    <x v="0"/>
  </r>
  <r>
    <s v="AGROSUPER ASIA 1023038"/>
    <x v="0"/>
    <x v="0"/>
    <x v="189"/>
    <x v="0"/>
    <x v="102"/>
    <x v="4"/>
    <s v="BUSAN {PUSAN}, PUERTO"/>
    <x v="4"/>
    <x v="5"/>
    <n v="22029.41"/>
    <x v="0"/>
  </r>
  <r>
    <s v="AGROSUPER ASIA 1030535"/>
    <x v="0"/>
    <x v="0"/>
    <x v="190"/>
    <x v="0"/>
    <x v="103"/>
    <x v="4"/>
    <s v="BUSAN {PUSAN}, PUERTO"/>
    <x v="4"/>
    <x v="5"/>
    <n v="21997.33"/>
    <x v="0"/>
  </r>
  <r>
    <s v="AGROSUPER ASIA 1021150"/>
    <x v="0"/>
    <x v="0"/>
    <x v="191"/>
    <x v="0"/>
    <x v="104"/>
    <x v="4"/>
    <s v="BUSAN {PUSAN}, PUERTO"/>
    <x v="1"/>
    <x v="6"/>
    <n v="22000"/>
    <x v="0"/>
  </r>
  <r>
    <s v="AGROSUPER ASIA 1022887"/>
    <x v="0"/>
    <x v="0"/>
    <x v="192"/>
    <x v="0"/>
    <x v="2"/>
    <x v="4"/>
    <s v="BUSAN {PUSAN}, PUERTO"/>
    <x v="4"/>
    <x v="5"/>
    <n v="22000.53"/>
    <x v="0"/>
  </r>
  <r>
    <s v="AGROSUPER ASIA 1022887"/>
    <x v="0"/>
    <x v="0"/>
    <x v="193"/>
    <x v="0"/>
    <x v="2"/>
    <x v="4"/>
    <s v="BUSAN {PUSAN}, PUERTO"/>
    <x v="4"/>
    <x v="5"/>
    <n v="22016.720000000001"/>
    <x v="0"/>
  </r>
  <r>
    <s v="AGROSUPER ASIA 1022885"/>
    <x v="0"/>
    <x v="0"/>
    <x v="194"/>
    <x v="1"/>
    <x v="4"/>
    <x v="4"/>
    <s v="BUSAN {PUSAN}, PUERTO"/>
    <x v="1"/>
    <x v="6"/>
    <n v="0"/>
    <x v="0"/>
  </r>
  <r>
    <s v="AGROSUPER ASIA 1022885"/>
    <x v="0"/>
    <x v="0"/>
    <x v="195"/>
    <x v="1"/>
    <x v="4"/>
    <x v="4"/>
    <s v="BUSAN {PUSAN}, PUERTO"/>
    <x v="1"/>
    <x v="6"/>
    <n v="0"/>
    <x v="0"/>
  </r>
  <r>
    <s v="AGROSUPER ASIA 1022885"/>
    <x v="0"/>
    <x v="0"/>
    <x v="196"/>
    <x v="0"/>
    <x v="4"/>
    <x v="4"/>
    <s v="BUSAN {PUSAN}, PUERTO"/>
    <x v="4"/>
    <x v="5"/>
    <n v="22004.95"/>
    <x v="0"/>
  </r>
  <r>
    <s v="AGROSUPER ASIA 1022885"/>
    <x v="0"/>
    <x v="0"/>
    <x v="197"/>
    <x v="0"/>
    <x v="4"/>
    <x v="4"/>
    <s v="BUSAN {PUSAN}, PUERTO"/>
    <x v="4"/>
    <x v="5"/>
    <n v="22021.14"/>
    <x v="0"/>
  </r>
  <r>
    <s v="AGROSUPER ASIA 1022885"/>
    <x v="0"/>
    <x v="0"/>
    <x v="198"/>
    <x v="0"/>
    <x v="4"/>
    <x v="4"/>
    <s v="BUSAN {PUSAN}, PUERTO"/>
    <x v="4"/>
    <x v="5"/>
    <n v="22003.69"/>
    <x v="0"/>
  </r>
  <r>
    <s v="AGROSUPER SHANGHAI 1030686"/>
    <x v="1"/>
    <x v="1"/>
    <x v="199"/>
    <x v="0"/>
    <x v="5"/>
    <x v="4"/>
    <s v="TIANJIN XINGANG, CHINA"/>
    <x v="4"/>
    <x v="5"/>
    <n v="24000"/>
    <x v="0"/>
  </r>
  <r>
    <s v="AGROSUPER SHANGHAI 1022748"/>
    <x v="1"/>
    <x v="0"/>
    <x v="200"/>
    <x v="0"/>
    <x v="25"/>
    <x v="4"/>
    <s v="TIANJIN XINGANG, CHINA"/>
    <x v="4"/>
    <x v="5"/>
    <n v="23810"/>
    <x v="0"/>
  </r>
  <r>
    <s v="AGROSUPER SHANGHAI 1022748"/>
    <x v="1"/>
    <x v="0"/>
    <x v="201"/>
    <x v="0"/>
    <x v="25"/>
    <x v="4"/>
    <s v="TIANJIN XINGANG, CHINA"/>
    <x v="4"/>
    <x v="5"/>
    <n v="23830"/>
    <x v="0"/>
  </r>
  <r>
    <s v="AGROSUPER SHANGHAI 1021731"/>
    <x v="1"/>
    <x v="0"/>
    <x v="202"/>
    <x v="0"/>
    <x v="50"/>
    <x v="4"/>
    <s v="TIANJIN XINGANG, CHINA"/>
    <x v="4"/>
    <x v="5"/>
    <n v="24000"/>
    <x v="0"/>
  </r>
  <r>
    <s v="AGROSUPER SHANGHAI 1022541"/>
    <x v="1"/>
    <x v="0"/>
    <x v="203"/>
    <x v="1"/>
    <x v="23"/>
    <x v="4"/>
    <s v="TIANJIN XINGANG, CHINA"/>
    <x v="4"/>
    <x v="6"/>
    <n v="0"/>
    <x v="0"/>
  </r>
  <r>
    <s v="AGROSUPER SHANGHAI 1022414"/>
    <x v="1"/>
    <x v="0"/>
    <x v="204"/>
    <x v="0"/>
    <x v="105"/>
    <x v="4"/>
    <s v="TIANJIN XINGANG, CHINA"/>
    <x v="4"/>
    <x v="5"/>
    <n v="24140"/>
    <x v="0"/>
  </r>
  <r>
    <s v="AGROSUPER SHANGHAI 1021731"/>
    <x v="1"/>
    <x v="0"/>
    <x v="205"/>
    <x v="0"/>
    <x v="50"/>
    <x v="4"/>
    <s v="TIANJIN XINGANG, CHINA"/>
    <x v="4"/>
    <x v="5"/>
    <n v="24100"/>
    <x v="0"/>
  </r>
  <r>
    <s v="AGROSUPER SHANGHAI 1021731"/>
    <x v="1"/>
    <x v="0"/>
    <x v="206"/>
    <x v="1"/>
    <x v="50"/>
    <x v="4"/>
    <s v="TIANJIN XINGANG, CHINA"/>
    <x v="4"/>
    <x v="5"/>
    <n v="0"/>
    <x v="0"/>
  </r>
  <r>
    <s v="AGROSUPER SHANGHAI 1022639"/>
    <x v="1"/>
    <x v="1"/>
    <x v="207"/>
    <x v="0"/>
    <x v="29"/>
    <x v="4"/>
    <s v="TIANJIN XINGANG, CHINA"/>
    <x v="4"/>
    <x v="6"/>
    <n v="22667.41"/>
    <x v="0"/>
  </r>
  <r>
    <s v="AGROSUPER SHANGHAI 1022639"/>
    <x v="1"/>
    <x v="1"/>
    <x v="208"/>
    <x v="1"/>
    <x v="29"/>
    <x v="4"/>
    <s v="TIANJIN XINGANG, CHINA"/>
    <x v="4"/>
    <x v="6"/>
    <n v="0"/>
    <x v="0"/>
  </r>
  <r>
    <s v="AGROSUPER SHANGHAI 1022639"/>
    <x v="1"/>
    <x v="1"/>
    <x v="209"/>
    <x v="1"/>
    <x v="29"/>
    <x v="4"/>
    <s v="TIANJIN XINGANG, CHINA"/>
    <x v="4"/>
    <x v="5"/>
    <n v="22577.52"/>
    <x v="0"/>
  </r>
  <r>
    <s v="AGROSUPER SHANGHAI 1022639"/>
    <x v="1"/>
    <x v="1"/>
    <x v="210"/>
    <x v="0"/>
    <x v="29"/>
    <x v="4"/>
    <s v="TIANJIN XINGANG, CHINA"/>
    <x v="4"/>
    <x v="5"/>
    <n v="23179.360000000001"/>
    <x v="0"/>
  </r>
  <r>
    <s v="AGROSUPER SHANGHAI 1022639"/>
    <x v="1"/>
    <x v="1"/>
    <x v="211"/>
    <x v="0"/>
    <x v="29"/>
    <x v="4"/>
    <s v="TIANJIN XINGANG, CHINA"/>
    <x v="4"/>
    <x v="5"/>
    <n v="23217.21"/>
    <x v="0"/>
  </r>
  <r>
    <s v="AGROSUPER SHANGHAI 1022639"/>
    <x v="1"/>
    <x v="1"/>
    <x v="212"/>
    <x v="0"/>
    <x v="29"/>
    <x v="4"/>
    <s v="TIANJIN XINGANG, CHINA"/>
    <x v="4"/>
    <x v="5"/>
    <n v="22862.04"/>
    <x v="0"/>
  </r>
  <r>
    <s v="AGROSUPER SHANGHAI 1022639"/>
    <x v="1"/>
    <x v="1"/>
    <x v="213"/>
    <x v="0"/>
    <x v="29"/>
    <x v="4"/>
    <s v="TIANJIN XINGANG, CHINA"/>
    <x v="4"/>
    <x v="5"/>
    <n v="22902.51"/>
    <x v="0"/>
  </r>
  <r>
    <s v="AGROSUPER SHANGHAI 1022639"/>
    <x v="1"/>
    <x v="1"/>
    <x v="214"/>
    <x v="0"/>
    <x v="29"/>
    <x v="4"/>
    <s v="TIANJIN XINGANG, CHINA"/>
    <x v="4"/>
    <x v="5"/>
    <n v="0"/>
    <x v="0"/>
  </r>
  <r>
    <s v="AGROSUPER SHANGHAI 1022639"/>
    <x v="1"/>
    <x v="1"/>
    <x v="214"/>
    <x v="0"/>
    <x v="29"/>
    <x v="4"/>
    <s v="TIANJIN XINGANG, CHINA"/>
    <x v="4"/>
    <x v="5"/>
    <n v="2281.23"/>
    <x v="0"/>
  </r>
  <r>
    <s v="AGROSUPER SHANGHAI 1022212"/>
    <x v="1"/>
    <x v="1"/>
    <x v="215"/>
    <x v="0"/>
    <x v="82"/>
    <x v="4"/>
    <s v="QINGDAO, PUERTO"/>
    <x v="4"/>
    <x v="5"/>
    <n v="24024.53"/>
    <x v="0"/>
  </r>
  <r>
    <s v="AGROSUPER SHANGHAI 1022169"/>
    <x v="1"/>
    <x v="1"/>
    <x v="216"/>
    <x v="0"/>
    <x v="53"/>
    <x v="4"/>
    <s v="QINGDAO, PUERTO"/>
    <x v="4"/>
    <x v="5"/>
    <n v="24000"/>
    <x v="0"/>
  </r>
  <r>
    <s v="AGROSUPER SHANGHAI 1022417"/>
    <x v="1"/>
    <x v="1"/>
    <x v="217"/>
    <x v="1"/>
    <x v="83"/>
    <x v="4"/>
    <s v="TIANJIN XINGANG, CHINA"/>
    <x v="4"/>
    <x v="6"/>
    <n v="0"/>
    <x v="0"/>
  </r>
  <r>
    <s v="AGROSUPER SHANGHAI 1021732"/>
    <x v="1"/>
    <x v="1"/>
    <x v="218"/>
    <x v="1"/>
    <x v="31"/>
    <x v="4"/>
    <s v="TIANJIN XINGANG, CHINA"/>
    <x v="4"/>
    <x v="6"/>
    <n v="0"/>
    <x v="0"/>
  </r>
  <r>
    <s v="AGROSUPER SHANGHAI 1021732"/>
    <x v="1"/>
    <x v="1"/>
    <x v="219"/>
    <x v="1"/>
    <x v="31"/>
    <x v="4"/>
    <s v="TIANJIN XINGANG, CHINA"/>
    <x v="4"/>
    <x v="6"/>
    <n v="0"/>
    <x v="0"/>
  </r>
  <r>
    <s v="AGROSUPER SHANGHAI 1021732"/>
    <x v="1"/>
    <x v="1"/>
    <x v="220"/>
    <x v="0"/>
    <x v="31"/>
    <x v="4"/>
    <s v="TIANJIN XINGANG, CHINA"/>
    <x v="4"/>
    <x v="5"/>
    <n v="24000"/>
    <x v="0"/>
  </r>
  <r>
    <s v="AGROSUPER SHANGHAI 1022541"/>
    <x v="1"/>
    <x v="1"/>
    <x v="221"/>
    <x v="1"/>
    <x v="23"/>
    <x v="4"/>
    <s v="TIANJIN XINGANG, CHINA"/>
    <x v="4"/>
    <x v="6"/>
    <n v="0"/>
    <x v="0"/>
  </r>
  <r>
    <s v="AGROSUPER SHANGHAI 1022381"/>
    <x v="1"/>
    <x v="1"/>
    <x v="222"/>
    <x v="0"/>
    <x v="106"/>
    <x v="4"/>
    <s v="TIANJIN XINGANG, CHINA"/>
    <x v="4"/>
    <x v="5"/>
    <n v="24370"/>
    <x v="0"/>
  </r>
  <r>
    <s v="AGROSUPER SHANGHAI 1021767"/>
    <x v="1"/>
    <x v="1"/>
    <x v="223"/>
    <x v="1"/>
    <x v="88"/>
    <x v="4"/>
    <s v="TIANJIN XINGANG, CHINA"/>
    <x v="4"/>
    <x v="6"/>
    <n v="0"/>
    <x v="0"/>
  </r>
  <r>
    <s v="AGROSUPER SHANGHAI 1023111"/>
    <x v="1"/>
    <x v="0"/>
    <x v="224"/>
    <x v="0"/>
    <x v="107"/>
    <x v="4"/>
    <s v="TIANJIN XINGANG, CHINA"/>
    <x v="4"/>
    <x v="5"/>
    <n v="24019.8"/>
    <x v="0"/>
  </r>
  <r>
    <s v="AGROSUPER ASIA 1022885"/>
    <x v="0"/>
    <x v="0"/>
    <x v="225"/>
    <x v="0"/>
    <x v="4"/>
    <x v="4"/>
    <s v="BUSAN {PUSAN}, PUERTO"/>
    <x v="4"/>
    <x v="5"/>
    <n v="22019.53"/>
    <x v="0"/>
  </r>
  <r>
    <s v="AGROSUPER ASIA 1021149"/>
    <x v="0"/>
    <x v="0"/>
    <x v="226"/>
    <x v="0"/>
    <x v="108"/>
    <x v="4"/>
    <s v="BUSAN {PUSAN}, PUERTO"/>
    <x v="4"/>
    <x v="5"/>
    <n v="21936"/>
    <x v="0"/>
  </r>
  <r>
    <s v="AGROSUPER SHANGHAI 1022640"/>
    <x v="1"/>
    <x v="1"/>
    <x v="227"/>
    <x v="1"/>
    <x v="109"/>
    <x v="4"/>
    <s v="TIANJIN XINGANG, CHINA"/>
    <x v="4"/>
    <x v="6"/>
    <n v="0"/>
    <x v="0"/>
  </r>
  <r>
    <s v="AGROSUPER SHANGHAI 1022169"/>
    <x v="1"/>
    <x v="1"/>
    <x v="228"/>
    <x v="0"/>
    <x v="53"/>
    <x v="4"/>
    <s v="QINGDAO, PUERTO"/>
    <x v="4"/>
    <x v="5"/>
    <n v="24030"/>
    <x v="0"/>
  </r>
  <r>
    <s v="AGROSUPER SHANGHAI 1022080"/>
    <x v="1"/>
    <x v="1"/>
    <x v="229"/>
    <x v="0"/>
    <x v="110"/>
    <x v="4"/>
    <s v="TIANJIN XINGANG, CHINA"/>
    <x v="4"/>
    <x v="5"/>
    <n v="24140"/>
    <x v="0"/>
  </r>
  <r>
    <s v="AGROSUPER SHANGHAI 1021766"/>
    <x v="1"/>
    <x v="1"/>
    <x v="230"/>
    <x v="0"/>
    <x v="30"/>
    <x v="4"/>
    <s v="TIANJIN XINGANG, CHINA"/>
    <x v="4"/>
    <x v="5"/>
    <n v="23994"/>
    <x v="0"/>
  </r>
  <r>
    <s v="AGROSUPER SHANGHAI 1022753"/>
    <x v="1"/>
    <x v="1"/>
    <x v="231"/>
    <x v="0"/>
    <x v="111"/>
    <x v="4"/>
    <s v="TIANJIN XINGANG, CHINA"/>
    <x v="4"/>
    <x v="5"/>
    <n v="17800"/>
    <x v="0"/>
  </r>
  <r>
    <s v="AGROSUPER SHANGHAI 1022753"/>
    <x v="1"/>
    <x v="1"/>
    <x v="231"/>
    <x v="0"/>
    <x v="111"/>
    <x v="4"/>
    <s v="TIANJIN XINGANG, CHINA"/>
    <x v="4"/>
    <x v="5"/>
    <n v="6200"/>
    <x v="0"/>
  </r>
  <r>
    <s v="AGROSUPER SHANGHAI 1022753"/>
    <x v="1"/>
    <x v="1"/>
    <x v="232"/>
    <x v="0"/>
    <x v="111"/>
    <x v="4"/>
    <s v="TIANJIN XINGANG, CHINA"/>
    <x v="4"/>
    <x v="5"/>
    <n v="24000"/>
    <x v="0"/>
  </r>
  <r>
    <s v="AGROSUPER SHANGHAI 1022941"/>
    <x v="1"/>
    <x v="1"/>
    <x v="233"/>
    <x v="1"/>
    <x v="56"/>
    <x v="4"/>
    <s v="TIANJIN XINGANG, CHINA"/>
    <x v="4"/>
    <x v="6"/>
    <n v="0"/>
    <x v="0"/>
  </r>
  <r>
    <s v="AGROSUPER ASIA 1022607"/>
    <x v="0"/>
    <x v="0"/>
    <x v="234"/>
    <x v="0"/>
    <x v="112"/>
    <x v="4"/>
    <s v="BUSAN {PUSAN}, PUERTO"/>
    <x v="4"/>
    <x v="5"/>
    <n v="22006.07"/>
    <x v="0"/>
  </r>
  <r>
    <s v="AGROSUPER SHANGHAI 1022125"/>
    <x v="1"/>
    <x v="0"/>
    <x v="235"/>
    <x v="0"/>
    <x v="94"/>
    <x v="4"/>
    <s v="TIANJIN XINGANG, CHINA"/>
    <x v="4"/>
    <x v="5"/>
    <n v="24172.3"/>
    <x v="0"/>
  </r>
  <r>
    <s v="AGRO AMERICA 1012163"/>
    <x v="3"/>
    <x v="1"/>
    <x v="236"/>
    <x v="0"/>
    <x v="113"/>
    <x v="5"/>
    <s v="NEW YORK, PUERTO"/>
    <x v="5"/>
    <x v="2"/>
    <n v="23600"/>
    <x v="0"/>
  </r>
  <r>
    <s v="AGRO AMERICA 1012164"/>
    <x v="3"/>
    <x v="1"/>
    <x v="236"/>
    <x v="0"/>
    <x v="114"/>
    <x v="5"/>
    <s v="NEW YORK, PUERTO"/>
    <x v="5"/>
    <x v="2"/>
    <n v="20400"/>
    <x v="0"/>
  </r>
  <r>
    <s v="AGRO AMERICA 1012161"/>
    <x v="3"/>
    <x v="1"/>
    <x v="237"/>
    <x v="0"/>
    <x v="115"/>
    <x v="5"/>
    <s v="NEW YORK, PUERTO"/>
    <x v="5"/>
    <x v="2"/>
    <n v="44000"/>
    <x v="0"/>
  </r>
  <r>
    <s v="AGRO AMERICA 1012159"/>
    <x v="3"/>
    <x v="0"/>
    <x v="238"/>
    <x v="0"/>
    <x v="116"/>
    <x v="5"/>
    <s v="SAN JUAN, PUERTO"/>
    <x v="5"/>
    <x v="2"/>
    <n v="30000"/>
    <x v="0"/>
  </r>
  <r>
    <s v="AGRO AMERICA 1023190"/>
    <x v="3"/>
    <x v="1"/>
    <x v="239"/>
    <x v="0"/>
    <x v="117"/>
    <x v="5"/>
    <s v="CHARLESTON, PUERTO"/>
    <x v="5"/>
    <x v="2"/>
    <n v="52266.66"/>
    <x v="0"/>
  </r>
  <r>
    <s v="AGRO AMERICA 1023190"/>
    <x v="3"/>
    <x v="1"/>
    <x v="240"/>
    <x v="0"/>
    <x v="117"/>
    <x v="5"/>
    <s v="CHARLESTON, PUERTO"/>
    <x v="5"/>
    <x v="2"/>
    <n v="52280.37"/>
    <x v="0"/>
  </r>
  <r>
    <s v="AGRO AMERICA 1023190"/>
    <x v="3"/>
    <x v="1"/>
    <x v="241"/>
    <x v="0"/>
    <x v="117"/>
    <x v="5"/>
    <s v="CHARLESTON, PUERTO"/>
    <x v="5"/>
    <x v="2"/>
    <n v="52251.96"/>
    <x v="0"/>
  </r>
  <r>
    <s v="AGRO AMERICA 1030773"/>
    <x v="3"/>
    <x v="0"/>
    <x v="242"/>
    <x v="0"/>
    <x v="118"/>
    <x v="5"/>
    <s v="SAN JUAN, PUERTO"/>
    <x v="5"/>
    <x v="2"/>
    <n v="33000"/>
    <x v="0"/>
  </r>
  <r>
    <s v="AGRO AMERICA 1012159"/>
    <x v="3"/>
    <x v="0"/>
    <x v="243"/>
    <x v="0"/>
    <x v="116"/>
    <x v="5"/>
    <s v="SAN JUAN, PUERTO"/>
    <x v="5"/>
    <x v="2"/>
    <n v="44000"/>
    <x v="0"/>
  </r>
  <r>
    <s v="AGRO AMERICA 1012159"/>
    <x v="3"/>
    <x v="0"/>
    <x v="244"/>
    <x v="0"/>
    <x v="116"/>
    <x v="5"/>
    <s v="SAN JUAN, PUERTO"/>
    <x v="5"/>
    <x v="2"/>
    <n v="44000"/>
    <x v="0"/>
  </r>
  <r>
    <s v="AGRO AMERICA 1012147"/>
    <x v="3"/>
    <x v="0"/>
    <x v="245"/>
    <x v="0"/>
    <x v="119"/>
    <x v="5"/>
    <s v="SAN JUAN, PUERTO"/>
    <x v="5"/>
    <x v="2"/>
    <n v="41140"/>
    <x v="0"/>
  </r>
  <r>
    <s v="AGRO AMERICA 1012147"/>
    <x v="3"/>
    <x v="0"/>
    <x v="246"/>
    <x v="0"/>
    <x v="119"/>
    <x v="5"/>
    <s v="SAN JUAN, PUERTO"/>
    <x v="5"/>
    <x v="2"/>
    <n v="41140"/>
    <x v="0"/>
  </r>
  <r>
    <s v="AGRO AMERICA 1012147"/>
    <x v="3"/>
    <x v="0"/>
    <x v="247"/>
    <x v="0"/>
    <x v="119"/>
    <x v="5"/>
    <s v="SAN JUAN, PUERTO"/>
    <x v="5"/>
    <x v="2"/>
    <n v="41140"/>
    <x v="0"/>
  </r>
  <r>
    <s v="AGRO AMERICA 1012167"/>
    <x v="3"/>
    <x v="0"/>
    <x v="248"/>
    <x v="0"/>
    <x v="120"/>
    <x v="5"/>
    <s v="SAN JUAN, PUERTO"/>
    <x v="5"/>
    <x v="2"/>
    <n v="44000"/>
    <x v="0"/>
  </r>
  <r>
    <s v="AGRO AMERICA 1012167"/>
    <x v="3"/>
    <x v="0"/>
    <x v="249"/>
    <x v="0"/>
    <x v="120"/>
    <x v="5"/>
    <s v="SAN JUAN, PUERTO"/>
    <x v="5"/>
    <x v="2"/>
    <n v="44000"/>
    <x v="0"/>
  </r>
  <r>
    <s v="AGRO AMERICA 1012167"/>
    <x v="3"/>
    <x v="0"/>
    <x v="250"/>
    <x v="0"/>
    <x v="120"/>
    <x v="5"/>
    <s v="SAN JUAN, PUERTO"/>
    <x v="5"/>
    <x v="2"/>
    <n v="44000"/>
    <x v="0"/>
  </r>
  <r>
    <s v="AGRO AMERICA 1012145"/>
    <x v="3"/>
    <x v="0"/>
    <x v="251"/>
    <x v="0"/>
    <x v="121"/>
    <x v="5"/>
    <s v="SAN JUAN, PUERTO"/>
    <x v="5"/>
    <x v="2"/>
    <n v="43560"/>
    <x v="0"/>
  </r>
  <r>
    <s v="AGRO AMERICA 1012109"/>
    <x v="3"/>
    <x v="0"/>
    <x v="252"/>
    <x v="0"/>
    <x v="122"/>
    <x v="5"/>
    <s v="SAN JUAN, PUERTO"/>
    <x v="5"/>
    <x v="2"/>
    <n v="44000"/>
    <x v="0"/>
  </r>
  <r>
    <s v="AGRO AMERICA 1012108"/>
    <x v="3"/>
    <x v="0"/>
    <x v="253"/>
    <x v="0"/>
    <x v="123"/>
    <x v="5"/>
    <s v="SAN JUAN, PUERTO"/>
    <x v="5"/>
    <x v="2"/>
    <n v="44000"/>
    <x v="0"/>
  </r>
  <r>
    <s v="AGRO AMERICA 1012601"/>
    <x v="3"/>
    <x v="1"/>
    <x v="254"/>
    <x v="0"/>
    <x v="124"/>
    <x v="5"/>
    <s v="CHARLESTON, PUERTO"/>
    <x v="5"/>
    <x v="2"/>
    <n v="47840"/>
    <x v="0"/>
  </r>
  <r>
    <s v="AGRO AMERICA 1012601"/>
    <x v="3"/>
    <x v="1"/>
    <x v="255"/>
    <x v="0"/>
    <x v="124"/>
    <x v="5"/>
    <s v="CHARLESTON, PUERTO"/>
    <x v="5"/>
    <x v="2"/>
    <n v="47840"/>
    <x v="0"/>
  </r>
  <r>
    <s v="AGRO EUROPA 1023353"/>
    <x v="6"/>
    <x v="1"/>
    <x v="256"/>
    <x v="0"/>
    <x v="125"/>
    <x v="5"/>
    <s v="HAMBURG, PORT"/>
    <x v="5"/>
    <x v="2"/>
    <n v="21619.05"/>
    <x v="0"/>
  </r>
  <r>
    <s v="AGRO EUROPA 1022858"/>
    <x v="6"/>
    <x v="1"/>
    <x v="257"/>
    <x v="0"/>
    <x v="126"/>
    <x v="5"/>
    <s v="ROTTERDAM, PUERTO"/>
    <x v="5"/>
    <x v="2"/>
    <n v="21611.97"/>
    <x v="0"/>
  </r>
  <r>
    <s v="AGRO AMERICA 1012483"/>
    <x v="3"/>
    <x v="1"/>
    <x v="258"/>
    <x v="0"/>
    <x v="127"/>
    <x v="5"/>
    <s v="PHILADELPHIA, PUERTO"/>
    <x v="5"/>
    <x v="2"/>
    <n v="44000"/>
    <x v="0"/>
  </r>
  <r>
    <s v="AGRO AMERICA 1012483"/>
    <x v="3"/>
    <x v="1"/>
    <x v="259"/>
    <x v="0"/>
    <x v="127"/>
    <x v="5"/>
    <s v="PHILADELPHIA, PUERTO"/>
    <x v="5"/>
    <x v="2"/>
    <n v="44000"/>
    <x v="0"/>
  </r>
  <r>
    <s v="AGRO SUDAMERICA 1021023"/>
    <x v="2"/>
    <x v="0"/>
    <x v="260"/>
    <x v="0"/>
    <x v="128"/>
    <x v="5"/>
    <s v="BUENAVENTURA, PUERTO"/>
    <x v="5"/>
    <x v="2"/>
    <n v="23981.53"/>
    <x v="0"/>
  </r>
  <r>
    <s v="AGRO AMERICA 1030379"/>
    <x v="3"/>
    <x v="1"/>
    <x v="261"/>
    <x v="0"/>
    <x v="129"/>
    <x v="5"/>
    <s v="PHILADELPHIA, PUERTO"/>
    <x v="5"/>
    <x v="2"/>
    <n v="52920"/>
    <x v="0"/>
  </r>
  <r>
    <s v="AGRO AMERICA 1030379"/>
    <x v="3"/>
    <x v="1"/>
    <x v="262"/>
    <x v="0"/>
    <x v="129"/>
    <x v="5"/>
    <s v="PHILADELPHIA, PUERTO"/>
    <x v="5"/>
    <x v="2"/>
    <n v="52920"/>
    <x v="0"/>
  </r>
  <r>
    <s v="AGRO AMERICA 1030379"/>
    <x v="3"/>
    <x v="1"/>
    <x v="263"/>
    <x v="0"/>
    <x v="129"/>
    <x v="5"/>
    <s v="PHILADELPHIA, PUERTO"/>
    <x v="5"/>
    <x v="2"/>
    <n v="52920"/>
    <x v="0"/>
  </r>
  <r>
    <s v="AGRO AMERICA 1021538"/>
    <x v="3"/>
    <x v="1"/>
    <x v="264"/>
    <x v="0"/>
    <x v="130"/>
    <x v="5"/>
    <s v="NEW YORK, PUERTO"/>
    <x v="5"/>
    <x v="2"/>
    <n v="52921.29"/>
    <x v="0"/>
  </r>
  <r>
    <s v="AGRO AMERICA 1012158"/>
    <x v="3"/>
    <x v="1"/>
    <x v="265"/>
    <x v="0"/>
    <x v="131"/>
    <x v="5"/>
    <s v="NEW YORK, PUERTO"/>
    <x v="5"/>
    <x v="2"/>
    <n v="40000"/>
    <x v="0"/>
  </r>
  <r>
    <s v="AGRO AMERICA 1012163"/>
    <x v="3"/>
    <x v="1"/>
    <x v="266"/>
    <x v="0"/>
    <x v="113"/>
    <x v="5"/>
    <s v="HOUSTON, PUERTO"/>
    <x v="5"/>
    <x v="2"/>
    <n v="44000"/>
    <x v="0"/>
  </r>
  <r>
    <s v="AGRO AMERICA 1012165"/>
    <x v="3"/>
    <x v="1"/>
    <x v="267"/>
    <x v="0"/>
    <x v="132"/>
    <x v="5"/>
    <s v="NEW YORK, PUERTO"/>
    <x v="5"/>
    <x v="2"/>
    <n v="44000"/>
    <x v="0"/>
  </r>
  <r>
    <s v="AGRO AMERICA 1012159"/>
    <x v="3"/>
    <x v="1"/>
    <x v="268"/>
    <x v="0"/>
    <x v="116"/>
    <x v="5"/>
    <s v="NEW YORK, PUERTO"/>
    <x v="5"/>
    <x v="2"/>
    <n v="44000"/>
    <x v="0"/>
  </r>
  <r>
    <s v="AGRO AMERICA 1010885"/>
    <x v="3"/>
    <x v="1"/>
    <x v="269"/>
    <x v="0"/>
    <x v="133"/>
    <x v="5"/>
    <s v="HOUSTON, PUERTO"/>
    <x v="5"/>
    <x v="2"/>
    <n v="36000"/>
    <x v="0"/>
  </r>
  <r>
    <s v="AGRO AMERICA 1012110"/>
    <x v="3"/>
    <x v="1"/>
    <x v="270"/>
    <x v="0"/>
    <x v="134"/>
    <x v="5"/>
    <s v="PORT EVERGLADES, PUERTO"/>
    <x v="5"/>
    <x v="2"/>
    <n v="15400"/>
    <x v="0"/>
  </r>
  <r>
    <s v="AGRO AMERICA 1012522"/>
    <x v="3"/>
    <x v="1"/>
    <x v="270"/>
    <x v="0"/>
    <x v="135"/>
    <x v="5"/>
    <s v="PORT EVERGLADES, PUERTO"/>
    <x v="5"/>
    <x v="2"/>
    <n v="28600"/>
    <x v="0"/>
  </r>
  <r>
    <s v="AGRO AMERICA 1012109"/>
    <x v="3"/>
    <x v="1"/>
    <x v="271"/>
    <x v="0"/>
    <x v="122"/>
    <x v="5"/>
    <s v="NEW YORK, PUERTO"/>
    <x v="5"/>
    <x v="2"/>
    <n v="44000"/>
    <x v="0"/>
  </r>
  <r>
    <s v="AGRO AMERICA 1012109"/>
    <x v="3"/>
    <x v="1"/>
    <x v="272"/>
    <x v="0"/>
    <x v="122"/>
    <x v="5"/>
    <s v="HOUSTON, PUERTO"/>
    <x v="5"/>
    <x v="2"/>
    <n v="44000"/>
    <x v="0"/>
  </r>
  <r>
    <s v="AGRO AMERICA 1012521"/>
    <x v="3"/>
    <x v="1"/>
    <x v="273"/>
    <x v="0"/>
    <x v="136"/>
    <x v="5"/>
    <s v="PORT EVERGLADES, PUERTO"/>
    <x v="5"/>
    <x v="2"/>
    <n v="40000"/>
    <x v="0"/>
  </r>
  <r>
    <s v="AGRO AMERICA 1012108"/>
    <x v="3"/>
    <x v="1"/>
    <x v="274"/>
    <x v="0"/>
    <x v="123"/>
    <x v="5"/>
    <s v="PORT EVERGLADES, PUERTO"/>
    <x v="5"/>
    <x v="2"/>
    <n v="44000"/>
    <x v="0"/>
  </r>
  <r>
    <s v="AGRO AMERICA 1011701"/>
    <x v="3"/>
    <x v="1"/>
    <x v="275"/>
    <x v="1"/>
    <x v="137"/>
    <x v="5"/>
    <s v="NORFOLK, PUERTO"/>
    <x v="5"/>
    <x v="2"/>
    <n v="40011.97"/>
    <x v="0"/>
  </r>
  <r>
    <s v="AGRO AMERICA 1011701"/>
    <x v="3"/>
    <x v="1"/>
    <x v="276"/>
    <x v="0"/>
    <x v="137"/>
    <x v="5"/>
    <s v="NORFOLK, PUERTO"/>
    <x v="5"/>
    <x v="2"/>
    <n v="39977.480000000003"/>
    <x v="0"/>
  </r>
  <r>
    <s v="AGRO AMERICA 1011701"/>
    <x v="3"/>
    <x v="1"/>
    <x v="277"/>
    <x v="0"/>
    <x v="137"/>
    <x v="5"/>
    <s v="NORFOLK, PUERTO"/>
    <x v="5"/>
    <x v="2"/>
    <n v="39981.57"/>
    <x v="0"/>
  </r>
  <r>
    <s v="AGRO AMERICA 1011701"/>
    <x v="3"/>
    <x v="1"/>
    <x v="278"/>
    <x v="0"/>
    <x v="137"/>
    <x v="5"/>
    <s v="PHILADELPHIA, PUERTO"/>
    <x v="5"/>
    <x v="2"/>
    <n v="39984.82"/>
    <x v="0"/>
  </r>
  <r>
    <s v="AGRO EUROPA 1030224"/>
    <x v="6"/>
    <x v="0"/>
    <x v="279"/>
    <x v="0"/>
    <x v="138"/>
    <x v="5"/>
    <s v="DURBAN, PUERTO"/>
    <x v="5"/>
    <x v="2"/>
    <n v="23998.85"/>
    <x v="0"/>
  </r>
  <r>
    <s v="AGRO EUROPA 1030224"/>
    <x v="6"/>
    <x v="0"/>
    <x v="280"/>
    <x v="0"/>
    <x v="138"/>
    <x v="5"/>
    <s v="CAPE TOWN, PUERTO"/>
    <x v="5"/>
    <x v="2"/>
    <n v="24001.14"/>
    <x v="0"/>
  </r>
  <r>
    <s v="AGRO EUROPA 1012207"/>
    <x v="6"/>
    <x v="0"/>
    <x v="281"/>
    <x v="0"/>
    <x v="139"/>
    <x v="5"/>
    <s v="DURBAN, PUERTO"/>
    <x v="5"/>
    <x v="2"/>
    <n v="23244"/>
    <x v="0"/>
  </r>
  <r>
    <s v="AGRO EUROPA 1010877"/>
    <x v="6"/>
    <x v="0"/>
    <x v="282"/>
    <x v="0"/>
    <x v="140"/>
    <x v="5"/>
    <s v="CAPE TOWN, PUERTO"/>
    <x v="5"/>
    <x v="2"/>
    <n v="24000"/>
    <x v="0"/>
  </r>
  <r>
    <s v="AGRO AMERICA 1021538"/>
    <x v="3"/>
    <x v="1"/>
    <x v="283"/>
    <x v="0"/>
    <x v="130"/>
    <x v="5"/>
    <s v="HOUSTON, PUERTO"/>
    <x v="5"/>
    <x v="2"/>
    <n v="47735.98"/>
    <x v="0"/>
  </r>
  <r>
    <s v="AGRO AMERICA 1021538"/>
    <x v="3"/>
    <x v="1"/>
    <x v="284"/>
    <x v="0"/>
    <x v="130"/>
    <x v="5"/>
    <s v="HOUSTON, PUERTO"/>
    <x v="5"/>
    <x v="2"/>
    <n v="52943.85"/>
    <x v="0"/>
  </r>
  <r>
    <s v="AGRO AMERICA 1021398"/>
    <x v="3"/>
    <x v="1"/>
    <x v="285"/>
    <x v="0"/>
    <x v="141"/>
    <x v="5"/>
    <s v="NEW YORK, PUERTO"/>
    <x v="5"/>
    <x v="2"/>
    <n v="41580"/>
    <x v="0"/>
  </r>
  <r>
    <s v="AGRO AMERICA 1012488"/>
    <x v="3"/>
    <x v="1"/>
    <x v="286"/>
    <x v="0"/>
    <x v="142"/>
    <x v="5"/>
    <s v="PORT EVERGLADES, PUERTO"/>
    <x v="5"/>
    <x v="2"/>
    <n v="44000"/>
    <x v="0"/>
  </r>
  <r>
    <s v="AGRO EUROPA 1012724"/>
    <x v="6"/>
    <x v="1"/>
    <x v="287"/>
    <x v="0"/>
    <x v="143"/>
    <x v="5"/>
    <s v="BREMERHAVEN TERMINAL CONTENED."/>
    <x v="5"/>
    <x v="2"/>
    <n v="10808.27"/>
    <x v="0"/>
  </r>
  <r>
    <s v="AGRO EUROPA 1012730"/>
    <x v="6"/>
    <x v="1"/>
    <x v="287"/>
    <x v="0"/>
    <x v="144"/>
    <x v="5"/>
    <s v="BREMERHAVEN TERMINAL CONTENED."/>
    <x v="5"/>
    <x v="2"/>
    <n v="10803.11"/>
    <x v="0"/>
  </r>
  <r>
    <s v="AGRO AMERICA 1012109"/>
    <x v="3"/>
    <x v="1"/>
    <x v="288"/>
    <x v="0"/>
    <x v="122"/>
    <x v="5"/>
    <s v="NORFOLK, PUERTO"/>
    <x v="5"/>
    <x v="2"/>
    <n v="44000"/>
    <x v="0"/>
  </r>
  <r>
    <s v="AGRO AMERICA 1012532"/>
    <x v="3"/>
    <x v="0"/>
    <x v="289"/>
    <x v="0"/>
    <x v="145"/>
    <x v="5"/>
    <s v="SAN JUAN, PUERTO"/>
    <x v="5"/>
    <x v="2"/>
    <n v="10560"/>
    <x v="0"/>
  </r>
  <r>
    <s v="AGRO AMERICA 1012165"/>
    <x v="3"/>
    <x v="1"/>
    <x v="290"/>
    <x v="0"/>
    <x v="132"/>
    <x v="5"/>
    <s v="PORT EVERGLADES, PUERTO"/>
    <x v="5"/>
    <x v="2"/>
    <n v="44000"/>
    <x v="0"/>
  </r>
  <r>
    <s v="AGRO AMERICA 1012107"/>
    <x v="3"/>
    <x v="1"/>
    <x v="291"/>
    <x v="0"/>
    <x v="146"/>
    <x v="5"/>
    <s v="PORT EVERGLADES, PUERTO"/>
    <x v="5"/>
    <x v="2"/>
    <n v="22000"/>
    <x v="0"/>
  </r>
  <r>
    <s v="AGRO AMERICA 1010888"/>
    <x v="3"/>
    <x v="1"/>
    <x v="292"/>
    <x v="0"/>
    <x v="147"/>
    <x v="5"/>
    <s v="PORT EVERGLADES, PUERTO"/>
    <x v="5"/>
    <x v="2"/>
    <n v="3620"/>
    <x v="0"/>
  </r>
  <r>
    <s v="AGRO AMERICA 1010885"/>
    <x v="3"/>
    <x v="1"/>
    <x v="292"/>
    <x v="0"/>
    <x v="133"/>
    <x v="5"/>
    <s v="PORT EVERGLADES, PUERTO"/>
    <x v="5"/>
    <x v="2"/>
    <n v="14400"/>
    <x v="0"/>
  </r>
  <r>
    <s v="AGRO EUROPA 1011748"/>
    <x v="6"/>
    <x v="1"/>
    <x v="293"/>
    <x v="0"/>
    <x v="148"/>
    <x v="5"/>
    <s v="ROTTERDAM, PUERTO"/>
    <x v="5"/>
    <x v="2"/>
    <n v="22800"/>
    <x v="0"/>
  </r>
  <r>
    <s v="AGRO AMERICA 1012601"/>
    <x v="3"/>
    <x v="1"/>
    <x v="294"/>
    <x v="0"/>
    <x v="124"/>
    <x v="5"/>
    <s v="CHARLESTON, PUERTO"/>
    <x v="5"/>
    <x v="2"/>
    <n v="47840"/>
    <x v="0"/>
  </r>
  <r>
    <s v="AGRO AMERICA 1012112"/>
    <x v="3"/>
    <x v="1"/>
    <x v="295"/>
    <x v="0"/>
    <x v="149"/>
    <x v="5"/>
    <s v="PORT EVERGLADES, PUERTO"/>
    <x v="5"/>
    <x v="2"/>
    <n v="17600"/>
    <x v="0"/>
  </r>
  <r>
    <s v="AGRO AMERICA 1012524"/>
    <x v="3"/>
    <x v="1"/>
    <x v="295"/>
    <x v="0"/>
    <x v="150"/>
    <x v="5"/>
    <s v="PORT EVERGLADES, PUERTO"/>
    <x v="5"/>
    <x v="2"/>
    <n v="26400"/>
    <x v="0"/>
  </r>
  <r>
    <s v="AGRO AMERICA 1012107"/>
    <x v="3"/>
    <x v="1"/>
    <x v="296"/>
    <x v="0"/>
    <x v="146"/>
    <x v="5"/>
    <s v="PORT EVERGLADES, PUERTO"/>
    <x v="5"/>
    <x v="2"/>
    <n v="44000"/>
    <x v="0"/>
  </r>
  <r>
    <s v="AGRO AMERICA 1022619"/>
    <x v="3"/>
    <x v="1"/>
    <x v="297"/>
    <x v="0"/>
    <x v="7"/>
    <x v="5"/>
    <s v="HOUSTON, PUERTO"/>
    <x v="5"/>
    <x v="2"/>
    <n v="5209.5600000000004"/>
    <x v="0"/>
  </r>
  <r>
    <s v="AGRO EUROPA 1012745"/>
    <x v="6"/>
    <x v="1"/>
    <x v="298"/>
    <x v="0"/>
    <x v="151"/>
    <x v="5"/>
    <s v="HAMBURG, PORT"/>
    <x v="5"/>
    <x v="2"/>
    <n v="21593.06"/>
    <x v="0"/>
  </r>
  <r>
    <s v="AGRO AMERICA 1012163"/>
    <x v="3"/>
    <x v="1"/>
    <x v="299"/>
    <x v="0"/>
    <x v="113"/>
    <x v="6"/>
    <s v="SAVANNAH, PUERTO"/>
    <x v="6"/>
    <x v="3"/>
    <n v="44000"/>
    <x v="0"/>
  </r>
  <r>
    <s v="AGRO AMERICA 1012145"/>
    <x v="3"/>
    <x v="1"/>
    <x v="300"/>
    <x v="0"/>
    <x v="121"/>
    <x v="6"/>
    <s v="SAVANNAH, PUERTO"/>
    <x v="6"/>
    <x v="3"/>
    <n v="39600"/>
    <x v="0"/>
  </r>
  <r>
    <s v="AGRO SUDAMERICA 1030224"/>
    <x v="2"/>
    <x v="0"/>
    <x v="301"/>
    <x v="1"/>
    <x v="138"/>
    <x v="6"/>
    <s v="CALLAO, PUERTO"/>
    <x v="6"/>
    <x v="3"/>
    <n v="0"/>
    <x v="0"/>
  </r>
  <r>
    <s v="AGRO SUDAMERICA 1020944"/>
    <x v="2"/>
    <x v="0"/>
    <x v="302"/>
    <x v="0"/>
    <x v="36"/>
    <x v="6"/>
    <s v="CARTAGENA, PUERTO"/>
    <x v="6"/>
    <x v="3"/>
    <n v="23998.99"/>
    <x v="0"/>
  </r>
  <r>
    <s v="AGRO SUDAMERICA 1020944"/>
    <x v="2"/>
    <x v="0"/>
    <x v="303"/>
    <x v="0"/>
    <x v="36"/>
    <x v="6"/>
    <s v="CARTAGENA, PUERTO"/>
    <x v="6"/>
    <x v="3"/>
    <n v="23982.19"/>
    <x v="0"/>
  </r>
  <r>
    <s v="AGRO SUDAMERICA 1021023"/>
    <x v="2"/>
    <x v="0"/>
    <x v="304"/>
    <x v="0"/>
    <x v="128"/>
    <x v="6"/>
    <s v="CARTAGENA, PUERTO"/>
    <x v="6"/>
    <x v="0"/>
    <n v="23999.05"/>
    <x v="0"/>
  </r>
  <r>
    <s v="AGRO SUDAMERICA 1021092"/>
    <x v="2"/>
    <x v="0"/>
    <x v="305"/>
    <x v="0"/>
    <x v="152"/>
    <x v="6"/>
    <s v="CALLAO, PUERTO"/>
    <x v="6"/>
    <x v="3"/>
    <n v="23999.72"/>
    <x v="0"/>
  </r>
  <r>
    <s v="AGRO AMERICA 1012165"/>
    <x v="3"/>
    <x v="1"/>
    <x v="306"/>
    <x v="0"/>
    <x v="132"/>
    <x v="6"/>
    <s v="NEW YORK, PUERTO"/>
    <x v="6"/>
    <x v="0"/>
    <n v="44000"/>
    <x v="0"/>
  </r>
  <r>
    <s v="AGRO AMERICA 1012159"/>
    <x v="3"/>
    <x v="1"/>
    <x v="307"/>
    <x v="1"/>
    <x v="116"/>
    <x v="6"/>
    <s v="SAVANNAH, PUERTO"/>
    <x v="6"/>
    <x v="3"/>
    <n v="0"/>
    <x v="0"/>
  </r>
  <r>
    <s v="AGRO SUDAMERICA 1011421"/>
    <x v="2"/>
    <x v="0"/>
    <x v="308"/>
    <x v="0"/>
    <x v="153"/>
    <x v="6"/>
    <s v="CARTAGENA, PUERTO"/>
    <x v="6"/>
    <x v="3"/>
    <n v="23987.11"/>
    <x v="0"/>
  </r>
  <r>
    <s v="AGRO AMERICA 1012159"/>
    <x v="3"/>
    <x v="1"/>
    <x v="309"/>
    <x v="1"/>
    <x v="116"/>
    <x v="6"/>
    <s v="SAVANNAH, PUERTO"/>
    <x v="6"/>
    <x v="3"/>
    <n v="0"/>
    <x v="0"/>
  </r>
  <r>
    <s v="AGRO SUDAMERICA 1020944"/>
    <x v="2"/>
    <x v="0"/>
    <x v="310"/>
    <x v="0"/>
    <x v="36"/>
    <x v="6"/>
    <s v="CALLAO, PUERTO"/>
    <x v="6"/>
    <x v="3"/>
    <n v="23988.78"/>
    <x v="0"/>
  </r>
  <r>
    <s v="AGRO AMERICA 1012165"/>
    <x v="3"/>
    <x v="1"/>
    <x v="311"/>
    <x v="0"/>
    <x v="132"/>
    <x v="6"/>
    <s v="SAVANNAH, PUERTO"/>
    <x v="6"/>
    <x v="3"/>
    <n v="43600"/>
    <x v="0"/>
  </r>
  <r>
    <s v="AGRO AMERICA 1012108"/>
    <x v="3"/>
    <x v="1"/>
    <x v="312"/>
    <x v="0"/>
    <x v="123"/>
    <x v="6"/>
    <s v="SAVANNAH, PUERTO"/>
    <x v="6"/>
    <x v="3"/>
    <n v="11000"/>
    <x v="0"/>
  </r>
  <r>
    <s v="AGRO AMERICA 1012158"/>
    <x v="3"/>
    <x v="1"/>
    <x v="312"/>
    <x v="0"/>
    <x v="131"/>
    <x v="6"/>
    <s v="SAVANNAH, PUERTO"/>
    <x v="6"/>
    <x v="3"/>
    <n v="33000"/>
    <x v="0"/>
  </r>
  <r>
    <s v="AGRO SUDAMERICA 1030670"/>
    <x v="2"/>
    <x v="0"/>
    <x v="313"/>
    <x v="1"/>
    <x v="154"/>
    <x v="6"/>
    <s v="CAUCEDO, PUERTO"/>
    <x v="6"/>
    <x v="0"/>
    <n v="0"/>
    <x v="0"/>
  </r>
  <r>
    <s v="AGRO SUDAMERICA 1030670"/>
    <x v="2"/>
    <x v="0"/>
    <x v="314"/>
    <x v="1"/>
    <x v="154"/>
    <x v="6"/>
    <s v="CAUCEDO, PUERTO"/>
    <x v="6"/>
    <x v="0"/>
    <n v="0"/>
    <x v="0"/>
  </r>
  <r>
    <s v="AGRO SUDAMERICA 1021385"/>
    <x v="2"/>
    <x v="0"/>
    <x v="315"/>
    <x v="0"/>
    <x v="155"/>
    <x v="7"/>
    <s v="CALLAO, PUERTO"/>
    <x v="0"/>
    <x v="4"/>
    <n v="24003.5"/>
    <x v="0"/>
  </r>
  <r>
    <s v="AGRO EUROPA 1030355"/>
    <x v="6"/>
    <x v="0"/>
    <x v="316"/>
    <x v="0"/>
    <x v="156"/>
    <x v="7"/>
    <s v="CONAKRY, PUERTO"/>
    <x v="0"/>
    <x v="3"/>
    <n v="24000"/>
    <x v="0"/>
  </r>
  <r>
    <s v="AGRO EUROPA 1023353"/>
    <x v="6"/>
    <x v="1"/>
    <x v="317"/>
    <x v="0"/>
    <x v="125"/>
    <x v="7"/>
    <s v="ROTTERDAM, PUERTO"/>
    <x v="0"/>
    <x v="3"/>
    <n v="21611.3"/>
    <x v="0"/>
  </r>
  <r>
    <s v="AGRO EUROPA 1021433"/>
    <x v="6"/>
    <x v="1"/>
    <x v="318"/>
    <x v="0"/>
    <x v="157"/>
    <x v="7"/>
    <s v="HAMBURG, PORT"/>
    <x v="0"/>
    <x v="3"/>
    <n v="21872.6"/>
    <x v="0"/>
  </r>
  <r>
    <s v="AGRO SUDAMERICA 1010877"/>
    <x v="2"/>
    <x v="0"/>
    <x v="319"/>
    <x v="0"/>
    <x v="140"/>
    <x v="7"/>
    <s v="CALLAO, PUERTO"/>
    <x v="0"/>
    <x v="3"/>
    <n v="23760"/>
    <x v="0"/>
  </r>
  <r>
    <s v="AGRO SUDAMERICA 1010877"/>
    <x v="2"/>
    <x v="0"/>
    <x v="320"/>
    <x v="0"/>
    <x v="140"/>
    <x v="7"/>
    <s v="CALLAO, PUERTO"/>
    <x v="0"/>
    <x v="3"/>
    <n v="23800"/>
    <x v="0"/>
  </r>
  <r>
    <s v="AGRO SUDAMERICA 1020412"/>
    <x v="2"/>
    <x v="0"/>
    <x v="321"/>
    <x v="0"/>
    <x v="14"/>
    <x v="7"/>
    <s v="CARTAGENA, PUERTO"/>
    <x v="0"/>
    <x v="4"/>
    <n v="24009.85"/>
    <x v="0"/>
  </r>
  <r>
    <s v="AGRO AMERICA 1030379"/>
    <x v="3"/>
    <x v="1"/>
    <x v="322"/>
    <x v="0"/>
    <x v="129"/>
    <x v="7"/>
    <s v="HOUSTON, PUERTO"/>
    <x v="0"/>
    <x v="0"/>
    <n v="52920"/>
    <x v="0"/>
  </r>
  <r>
    <s v="AGRO AMERICA 1030379"/>
    <x v="3"/>
    <x v="1"/>
    <x v="323"/>
    <x v="0"/>
    <x v="129"/>
    <x v="7"/>
    <s v="HOUSTON, PUERTO"/>
    <x v="0"/>
    <x v="0"/>
    <n v="52920"/>
    <x v="0"/>
  </r>
  <r>
    <s v="AGRO AMERICA 1030379"/>
    <x v="3"/>
    <x v="1"/>
    <x v="324"/>
    <x v="0"/>
    <x v="129"/>
    <x v="7"/>
    <s v="HOUSTON, PUERTO"/>
    <x v="0"/>
    <x v="0"/>
    <n v="52920"/>
    <x v="0"/>
  </r>
  <r>
    <s v="AGRO AMERICA 1012161"/>
    <x v="3"/>
    <x v="1"/>
    <x v="325"/>
    <x v="0"/>
    <x v="115"/>
    <x v="7"/>
    <s v="SAVANNAH, PUERTO"/>
    <x v="0"/>
    <x v="3"/>
    <n v="44000"/>
    <x v="0"/>
  </r>
  <r>
    <s v="AGRO EUROPA 1020853"/>
    <x v="6"/>
    <x v="1"/>
    <x v="326"/>
    <x v="0"/>
    <x v="158"/>
    <x v="7"/>
    <s v="HAMBURG, PORT"/>
    <x v="0"/>
    <x v="3"/>
    <n v="20000"/>
    <x v="0"/>
  </r>
  <r>
    <s v="AGRO EUROPA 1030355"/>
    <x v="6"/>
    <x v="0"/>
    <x v="327"/>
    <x v="0"/>
    <x v="156"/>
    <x v="7"/>
    <s v="LIBREVILLE, PUERTO"/>
    <x v="0"/>
    <x v="3"/>
    <n v="24000"/>
    <x v="0"/>
  </r>
  <r>
    <s v="AGRO SUDAMERICA 1020944"/>
    <x v="2"/>
    <x v="0"/>
    <x v="328"/>
    <x v="0"/>
    <x v="36"/>
    <x v="7"/>
    <s v="CALLAO, PUERTO"/>
    <x v="0"/>
    <x v="3"/>
    <n v="23993.51"/>
    <x v="0"/>
  </r>
  <r>
    <s v="AGRO SUDAMERICA 1020944"/>
    <x v="2"/>
    <x v="0"/>
    <x v="329"/>
    <x v="0"/>
    <x v="36"/>
    <x v="7"/>
    <s v="CALLAO, PUERTO"/>
    <x v="0"/>
    <x v="3"/>
    <n v="23990.89"/>
    <x v="0"/>
  </r>
  <r>
    <s v="AGRO SUDAMERICA 1021092"/>
    <x v="2"/>
    <x v="0"/>
    <x v="330"/>
    <x v="0"/>
    <x v="152"/>
    <x v="7"/>
    <s v="CALLAO, PUERTO"/>
    <x v="0"/>
    <x v="3"/>
    <n v="23986.13"/>
    <x v="0"/>
  </r>
  <r>
    <s v="AGRO SUDAMERICA 1021023"/>
    <x v="2"/>
    <x v="0"/>
    <x v="331"/>
    <x v="0"/>
    <x v="128"/>
    <x v="7"/>
    <s v="CARTAGENA, PUERTO"/>
    <x v="0"/>
    <x v="4"/>
    <n v="23994.76"/>
    <x v="0"/>
  </r>
  <r>
    <s v="AGRO AMERICA 1012483"/>
    <x v="3"/>
    <x v="1"/>
    <x v="332"/>
    <x v="0"/>
    <x v="127"/>
    <x v="7"/>
    <s v="SAVANNAH, PUERTO"/>
    <x v="0"/>
    <x v="3"/>
    <n v="44000"/>
    <x v="0"/>
  </r>
  <r>
    <s v="AGRO AMERICA 1012165"/>
    <x v="3"/>
    <x v="1"/>
    <x v="333"/>
    <x v="0"/>
    <x v="132"/>
    <x v="7"/>
    <s v="SAVANNAH, PUERTO"/>
    <x v="0"/>
    <x v="3"/>
    <n v="44000"/>
    <x v="0"/>
  </r>
  <r>
    <s v="AGRO AMERICA 1012165"/>
    <x v="3"/>
    <x v="1"/>
    <x v="334"/>
    <x v="0"/>
    <x v="132"/>
    <x v="7"/>
    <s v="SAVANNAH, PUERTO"/>
    <x v="0"/>
    <x v="3"/>
    <n v="44000"/>
    <x v="0"/>
  </r>
  <r>
    <s v="AGRO AMERICA 1012521"/>
    <x v="3"/>
    <x v="1"/>
    <x v="335"/>
    <x v="0"/>
    <x v="136"/>
    <x v="7"/>
    <s v="SAVANNAH, PUERTO"/>
    <x v="0"/>
    <x v="3"/>
    <n v="40000"/>
    <x v="0"/>
  </r>
  <r>
    <s v="AGRO SUDAMERICA 1011558"/>
    <x v="2"/>
    <x v="0"/>
    <x v="336"/>
    <x v="0"/>
    <x v="159"/>
    <x v="7"/>
    <s v="CALLAO, PUERTO"/>
    <x v="0"/>
    <x v="3"/>
    <n v="23997.09"/>
    <x v="0"/>
  </r>
  <r>
    <s v="AGRO SUDAMERICA 1011421"/>
    <x v="2"/>
    <x v="0"/>
    <x v="337"/>
    <x v="0"/>
    <x v="153"/>
    <x v="7"/>
    <s v="CARTAGENA, PUERTO"/>
    <x v="0"/>
    <x v="0"/>
    <n v="23988.48"/>
    <x v="0"/>
  </r>
  <r>
    <s v="AGRO SUDAMERICA 1012719"/>
    <x v="2"/>
    <x v="0"/>
    <x v="338"/>
    <x v="0"/>
    <x v="160"/>
    <x v="7"/>
    <s v="CALLAO, PUERTO"/>
    <x v="0"/>
    <x v="3"/>
    <n v="24015.74"/>
    <x v="0"/>
  </r>
  <r>
    <s v="AGRO SUDAMERICA 1021263"/>
    <x v="2"/>
    <x v="0"/>
    <x v="339"/>
    <x v="0"/>
    <x v="161"/>
    <x v="7"/>
    <s v="CALLAO, PUERTO"/>
    <x v="0"/>
    <x v="4"/>
    <n v="21702.59"/>
    <x v="0"/>
  </r>
  <r>
    <s v="AGRO SUDAMERICA 1012719"/>
    <x v="2"/>
    <x v="0"/>
    <x v="340"/>
    <x v="0"/>
    <x v="160"/>
    <x v="7"/>
    <s v="CALLAO, PUERTO"/>
    <x v="0"/>
    <x v="3"/>
    <n v="23994.47"/>
    <x v="0"/>
  </r>
  <r>
    <s v="AGRO SUDAMERICA 1021976"/>
    <x v="2"/>
    <x v="0"/>
    <x v="341"/>
    <x v="0"/>
    <x v="58"/>
    <x v="7"/>
    <s v="CALLAO, PUERTO"/>
    <x v="0"/>
    <x v="3"/>
    <n v="23917.66"/>
    <x v="0"/>
  </r>
  <r>
    <s v="AGRO EUROPA 1030265"/>
    <x v="6"/>
    <x v="1"/>
    <x v="342"/>
    <x v="0"/>
    <x v="162"/>
    <x v="7"/>
    <s v="ROTTERDAM, PUERTO"/>
    <x v="0"/>
    <x v="3"/>
    <n v="21600"/>
    <x v="0"/>
  </r>
  <r>
    <s v="AGRO SUDAMERICA 1020944"/>
    <x v="2"/>
    <x v="0"/>
    <x v="343"/>
    <x v="0"/>
    <x v="36"/>
    <x v="7"/>
    <s v="CALLAO, PUERTO"/>
    <x v="0"/>
    <x v="4"/>
    <n v="24001.09"/>
    <x v="0"/>
  </r>
  <r>
    <s v="AGRO SUDAMERICA 1011421"/>
    <x v="2"/>
    <x v="0"/>
    <x v="344"/>
    <x v="0"/>
    <x v="153"/>
    <x v="7"/>
    <s v="CARTAGENA, PUERTO"/>
    <x v="0"/>
    <x v="3"/>
    <n v="23995.94"/>
    <x v="0"/>
  </r>
  <r>
    <s v="AGRO SUDAMERICA 1011421"/>
    <x v="2"/>
    <x v="0"/>
    <x v="345"/>
    <x v="0"/>
    <x v="153"/>
    <x v="7"/>
    <s v="CARTAGENA, PUERTO"/>
    <x v="0"/>
    <x v="0"/>
    <n v="23996.28"/>
    <x v="0"/>
  </r>
  <r>
    <s v="AGRO SUDAMERICA 1011421"/>
    <x v="2"/>
    <x v="0"/>
    <x v="346"/>
    <x v="0"/>
    <x v="153"/>
    <x v="7"/>
    <s v="CARTAGENA, PUERTO"/>
    <x v="0"/>
    <x v="0"/>
    <n v="23989.17"/>
    <x v="0"/>
  </r>
  <r>
    <s v="AGRO SUDAMERICA 1011421"/>
    <x v="2"/>
    <x v="0"/>
    <x v="347"/>
    <x v="0"/>
    <x v="153"/>
    <x v="7"/>
    <s v="CARTAGENA, PUERTO"/>
    <x v="0"/>
    <x v="3"/>
    <n v="23996.79"/>
    <x v="0"/>
  </r>
  <r>
    <s v="AGRO SUDAMERICA 1011421"/>
    <x v="2"/>
    <x v="0"/>
    <x v="348"/>
    <x v="0"/>
    <x v="153"/>
    <x v="7"/>
    <s v="CARTAGENA, PUERTO"/>
    <x v="0"/>
    <x v="4"/>
    <n v="23248.43"/>
    <x v="0"/>
  </r>
  <r>
    <s v="AGRO SUDAMERICA 1030670"/>
    <x v="2"/>
    <x v="0"/>
    <x v="349"/>
    <x v="0"/>
    <x v="154"/>
    <x v="7"/>
    <s v="MANZANILLO, PANAMA"/>
    <x v="0"/>
    <x v="0"/>
    <n v="24000"/>
    <x v="0"/>
  </r>
  <r>
    <s v="AGRO SUDAMERICA 1021622"/>
    <x v="2"/>
    <x v="0"/>
    <x v="350"/>
    <x v="0"/>
    <x v="163"/>
    <x v="7"/>
    <s v="CAUCEDO, PUERTO"/>
    <x v="0"/>
    <x v="0"/>
    <n v="110"/>
    <x v="0"/>
  </r>
  <r>
    <s v="AGRO SUDAMERICA 1021623"/>
    <x v="2"/>
    <x v="0"/>
    <x v="350"/>
    <x v="0"/>
    <x v="164"/>
    <x v="7"/>
    <s v="CAUCEDO, PUERTO"/>
    <x v="0"/>
    <x v="0"/>
    <n v="530"/>
    <x v="0"/>
  </r>
  <r>
    <s v="AGRO SUDAMERICA 1022384"/>
    <x v="2"/>
    <x v="0"/>
    <x v="350"/>
    <x v="0"/>
    <x v="165"/>
    <x v="7"/>
    <s v="CAUCEDO, PUERTO"/>
    <x v="0"/>
    <x v="0"/>
    <n v="609.66999999999996"/>
    <x v="0"/>
  </r>
  <r>
    <s v="AGRO SUDAMERICA 1021639"/>
    <x v="2"/>
    <x v="0"/>
    <x v="350"/>
    <x v="0"/>
    <x v="166"/>
    <x v="7"/>
    <s v="CAUCEDO, PUERTO"/>
    <x v="0"/>
    <x v="0"/>
    <n v="19110"/>
    <x v="0"/>
  </r>
  <r>
    <s v="AGRO SUDAMERICA 1012719"/>
    <x v="2"/>
    <x v="0"/>
    <x v="351"/>
    <x v="0"/>
    <x v="160"/>
    <x v="7"/>
    <s v="CALLAO, PUERTO"/>
    <x v="0"/>
    <x v="3"/>
    <n v="24001.37"/>
    <x v="0"/>
  </r>
  <r>
    <s v="AGRO AMERICA 1030379"/>
    <x v="3"/>
    <x v="1"/>
    <x v="352"/>
    <x v="0"/>
    <x v="129"/>
    <x v="7"/>
    <s v="NEW YORK, PUERTO"/>
    <x v="0"/>
    <x v="0"/>
    <n v="5360"/>
    <x v="0"/>
  </r>
  <r>
    <s v="AGRO AMERICA 1030424"/>
    <x v="3"/>
    <x v="1"/>
    <x v="352"/>
    <x v="0"/>
    <x v="167"/>
    <x v="7"/>
    <s v="NEW YORK, PUERTO"/>
    <x v="0"/>
    <x v="0"/>
    <n v="47504.28"/>
    <x v="0"/>
  </r>
  <r>
    <s v="AGROSUPER ASIA 1012612"/>
    <x v="0"/>
    <x v="0"/>
    <x v="353"/>
    <x v="1"/>
    <x v="77"/>
    <x v="8"/>
    <s v="MANILA, PUERTO"/>
    <x v="4"/>
    <x v="7"/>
    <n v="0"/>
    <x v="0"/>
  </r>
  <r>
    <s v="AGROSUPER ASIA 1012612"/>
    <x v="0"/>
    <x v="0"/>
    <x v="354"/>
    <x v="1"/>
    <x v="77"/>
    <x v="8"/>
    <s v="MANILA, PUERTO"/>
    <x v="4"/>
    <x v="7"/>
    <n v="0"/>
    <x v="0"/>
  </r>
  <r>
    <s v="AGROSUPER ASIA 1012612"/>
    <x v="0"/>
    <x v="0"/>
    <x v="355"/>
    <x v="1"/>
    <x v="77"/>
    <x v="8"/>
    <s v="MANILA, PUERTO"/>
    <x v="4"/>
    <x v="7"/>
    <n v="0"/>
    <x v="0"/>
  </r>
  <r>
    <s v="AGROSUPER ASIA 1012612"/>
    <x v="0"/>
    <x v="0"/>
    <x v="356"/>
    <x v="1"/>
    <x v="77"/>
    <x v="8"/>
    <s v="MANILA, PUERTO"/>
    <x v="4"/>
    <x v="7"/>
    <n v="0"/>
    <x v="0"/>
  </r>
  <r>
    <s v="AGROSUPER ASIA 1012612"/>
    <x v="0"/>
    <x v="0"/>
    <x v="357"/>
    <x v="1"/>
    <x v="77"/>
    <x v="8"/>
    <s v="MANILA, PUERTO"/>
    <x v="4"/>
    <x v="7"/>
    <n v="0"/>
    <x v="0"/>
  </r>
  <r>
    <s v="AGROSUPER SHANGHAI 1012448"/>
    <x v="1"/>
    <x v="0"/>
    <x v="358"/>
    <x v="1"/>
    <x v="91"/>
    <x v="8"/>
    <s v="YANTIAN, CHINA"/>
    <x v="4"/>
    <x v="3"/>
    <n v="0"/>
    <x v="0"/>
  </r>
  <r>
    <s v="AGROSUPER SHANGHAI 1011586"/>
    <x v="1"/>
    <x v="0"/>
    <x v="359"/>
    <x v="0"/>
    <x v="80"/>
    <x v="8"/>
    <s v="YANTIAN, CHINA"/>
    <x v="4"/>
    <x v="4"/>
    <n v="19954"/>
    <x v="0"/>
  </r>
  <r>
    <s v="AGROSUPER SHANGHAI 1022183"/>
    <x v="1"/>
    <x v="0"/>
    <x v="360"/>
    <x v="1"/>
    <x v="78"/>
    <x v="8"/>
    <s v="SHANGHAI, CHINA"/>
    <x v="4"/>
    <x v="3"/>
    <n v="0"/>
    <x v="0"/>
  </r>
  <r>
    <s v="AGROSUPER SHANGHAI 1022856"/>
    <x v="1"/>
    <x v="0"/>
    <x v="361"/>
    <x v="1"/>
    <x v="26"/>
    <x v="8"/>
    <s v="SHANGHAI, CHINA"/>
    <x v="4"/>
    <x v="3"/>
    <n v="0"/>
    <x v="0"/>
  </r>
  <r>
    <s v="AGROSUPER SHANGHAI 1012448"/>
    <x v="1"/>
    <x v="0"/>
    <x v="362"/>
    <x v="0"/>
    <x v="91"/>
    <x v="8"/>
    <s v="YANTIAN, CHINA"/>
    <x v="4"/>
    <x v="7"/>
    <n v="24000"/>
    <x v="0"/>
  </r>
  <r>
    <s v="AGROSUPER SHANGHAI 1022096"/>
    <x v="1"/>
    <x v="0"/>
    <x v="363"/>
    <x v="1"/>
    <x v="93"/>
    <x v="8"/>
    <s v="YANTIAN, CHINA"/>
    <x v="4"/>
    <x v="3"/>
    <n v="0"/>
    <x v="0"/>
  </r>
  <r>
    <s v="AGROSUPER SHANGHAI 1022183"/>
    <x v="1"/>
    <x v="0"/>
    <x v="364"/>
    <x v="1"/>
    <x v="78"/>
    <x v="8"/>
    <s v="YANTIAN, CHINA"/>
    <x v="4"/>
    <x v="3"/>
    <n v="24031.9"/>
    <x v="0"/>
  </r>
  <r>
    <s v="AGROSUPER SHANGHAI 1022183"/>
    <x v="1"/>
    <x v="0"/>
    <x v="365"/>
    <x v="0"/>
    <x v="78"/>
    <x v="8"/>
    <s v="NANSHA, PUERTO"/>
    <x v="4"/>
    <x v="4"/>
    <n v="25012.63"/>
    <x v="0"/>
  </r>
  <r>
    <s v="AGROSUPER SHANGHAI 1022183"/>
    <x v="1"/>
    <x v="0"/>
    <x v="366"/>
    <x v="0"/>
    <x v="78"/>
    <x v="8"/>
    <s v="YANTIAN, CHINA"/>
    <x v="4"/>
    <x v="4"/>
    <n v="24000.51"/>
    <x v="0"/>
  </r>
  <r>
    <s v="AGROSUPER SHANGHAI 1022183"/>
    <x v="1"/>
    <x v="0"/>
    <x v="367"/>
    <x v="0"/>
    <x v="78"/>
    <x v="8"/>
    <s v="YANTIAN, CHINA"/>
    <x v="4"/>
    <x v="4"/>
    <n v="24332.2"/>
    <x v="0"/>
  </r>
  <r>
    <s v="AGROSUPER SHANGHAI 1011969"/>
    <x v="1"/>
    <x v="1"/>
    <x v="368"/>
    <x v="1"/>
    <x v="92"/>
    <x v="8"/>
    <s v="YANTIAN, CHINA"/>
    <x v="4"/>
    <x v="7"/>
    <n v="0"/>
    <x v="0"/>
  </r>
  <r>
    <s v="AGROSUPER SHANGHAI 1030388"/>
    <x v="1"/>
    <x v="1"/>
    <x v="369"/>
    <x v="0"/>
    <x v="168"/>
    <x v="8"/>
    <s v="YANTIAN, CHINA"/>
    <x v="4"/>
    <x v="3"/>
    <n v="24000"/>
    <x v="0"/>
  </r>
  <r>
    <s v="AGROSUPER SHANGHAI 1022212"/>
    <x v="1"/>
    <x v="1"/>
    <x v="370"/>
    <x v="1"/>
    <x v="82"/>
    <x v="8"/>
    <s v="YANTIAN, CHINA"/>
    <x v="4"/>
    <x v="4"/>
    <n v="0"/>
    <x v="0"/>
  </r>
  <r>
    <s v="AGROSUPER SHANGHAI 1022212"/>
    <x v="1"/>
    <x v="1"/>
    <x v="371"/>
    <x v="0"/>
    <x v="82"/>
    <x v="8"/>
    <s v="YANTIAN, CHINA"/>
    <x v="4"/>
    <x v="3"/>
    <n v="24005.69"/>
    <x v="0"/>
  </r>
  <r>
    <s v="AGROSUPER SHANGHAI 1021766"/>
    <x v="1"/>
    <x v="1"/>
    <x v="372"/>
    <x v="0"/>
    <x v="30"/>
    <x v="8"/>
    <s v="YANTIAN, CHINA"/>
    <x v="4"/>
    <x v="7"/>
    <n v="24012"/>
    <x v="0"/>
  </r>
  <r>
    <s v="AGROSUPER SHANGHAI 1021774"/>
    <x v="1"/>
    <x v="1"/>
    <x v="373"/>
    <x v="1"/>
    <x v="86"/>
    <x v="8"/>
    <s v="YANTIAN, CHINA"/>
    <x v="4"/>
    <x v="7"/>
    <n v="0"/>
    <x v="0"/>
  </r>
  <r>
    <s v="AGROSUPER SHANGHAI 1021735"/>
    <x v="1"/>
    <x v="1"/>
    <x v="374"/>
    <x v="0"/>
    <x v="22"/>
    <x v="8"/>
    <s v="YANTIAN, CHINA"/>
    <x v="4"/>
    <x v="7"/>
    <n v="24000"/>
    <x v="0"/>
  </r>
  <r>
    <s v="AGROSUPER SHANGHAI 1022099"/>
    <x v="1"/>
    <x v="1"/>
    <x v="375"/>
    <x v="0"/>
    <x v="87"/>
    <x v="8"/>
    <s v="YANTIAN, CHINA"/>
    <x v="4"/>
    <x v="4"/>
    <n v="23994"/>
    <x v="0"/>
  </r>
  <r>
    <s v="AGROSUPER SHANGHAI 1022099"/>
    <x v="1"/>
    <x v="1"/>
    <x v="376"/>
    <x v="0"/>
    <x v="87"/>
    <x v="8"/>
    <s v="YANTIAN, CHINA"/>
    <x v="4"/>
    <x v="4"/>
    <n v="24012"/>
    <x v="0"/>
  </r>
  <r>
    <s v="AGROSUPER SHANGHAI 1022099"/>
    <x v="1"/>
    <x v="1"/>
    <x v="377"/>
    <x v="0"/>
    <x v="87"/>
    <x v="8"/>
    <s v="YANTIAN, CHINA"/>
    <x v="4"/>
    <x v="4"/>
    <n v="24012"/>
    <x v="0"/>
  </r>
  <r>
    <s v="AGROSUPER SHANGHAI 1022099"/>
    <x v="1"/>
    <x v="1"/>
    <x v="378"/>
    <x v="0"/>
    <x v="87"/>
    <x v="8"/>
    <s v="YANTIAN, CHINA"/>
    <x v="4"/>
    <x v="3"/>
    <n v="23994"/>
    <x v="0"/>
  </r>
  <r>
    <s v="AGROSUPER SHANGHAI 1021731"/>
    <x v="1"/>
    <x v="0"/>
    <x v="379"/>
    <x v="1"/>
    <x v="50"/>
    <x v="8"/>
    <s v="NINGBO, PUERTO"/>
    <x v="4"/>
    <x v="4"/>
    <n v="0"/>
    <x v="0"/>
  </r>
  <r>
    <s v="AGROSUPER SHANGHAI 1022414"/>
    <x v="1"/>
    <x v="0"/>
    <x v="380"/>
    <x v="1"/>
    <x v="105"/>
    <x v="8"/>
    <s v="SHANGHAI, CHINA"/>
    <x v="4"/>
    <x v="3"/>
    <n v="0"/>
    <x v="0"/>
  </r>
  <r>
    <s v="AGROSUPER SHANGHAI 1022414"/>
    <x v="1"/>
    <x v="0"/>
    <x v="381"/>
    <x v="1"/>
    <x v="105"/>
    <x v="8"/>
    <s v="SHANGHAI, CHINA"/>
    <x v="4"/>
    <x v="3"/>
    <n v="0"/>
    <x v="0"/>
  </r>
  <r>
    <s v="AGROSUPER SHANGHAI 1012527"/>
    <x v="1"/>
    <x v="1"/>
    <x v="382"/>
    <x v="1"/>
    <x v="169"/>
    <x v="8"/>
    <s v="YANTIAN, CHINA"/>
    <x v="4"/>
    <x v="4"/>
    <n v="0"/>
    <x v="0"/>
  </r>
  <r>
    <s v="AGROSUPER SHANGHAI 1011967"/>
    <x v="1"/>
    <x v="1"/>
    <x v="383"/>
    <x v="1"/>
    <x v="170"/>
    <x v="8"/>
    <s v="YANTIAN, CHINA"/>
    <x v="4"/>
    <x v="3"/>
    <n v="0"/>
    <x v="0"/>
  </r>
  <r>
    <s v="AGROSUPER ASIA 1012612"/>
    <x v="0"/>
    <x v="0"/>
    <x v="384"/>
    <x v="0"/>
    <x v="77"/>
    <x v="8"/>
    <s v="MANILA, PUERTO"/>
    <x v="4"/>
    <x v="7"/>
    <n v="23927.3"/>
    <x v="0"/>
  </r>
  <r>
    <s v="AGROSUPER ASIA 1023283"/>
    <x v="0"/>
    <x v="0"/>
    <x v="385"/>
    <x v="1"/>
    <x v="171"/>
    <x v="8"/>
    <s v="MANILA, PUERTO"/>
    <x v="4"/>
    <x v="7"/>
    <n v="0"/>
    <x v="0"/>
  </r>
  <r>
    <s v="AGROSUPER SHANGHAI 1022945"/>
    <x v="1"/>
    <x v="1"/>
    <x v="386"/>
    <x v="0"/>
    <x v="172"/>
    <x v="8"/>
    <s v="YANTIAN, CHINA"/>
    <x v="4"/>
    <x v="3"/>
    <n v="24060"/>
    <x v="0"/>
  </r>
  <r>
    <s v="AGROSUPER ASIA 1023307"/>
    <x v="0"/>
    <x v="0"/>
    <x v="387"/>
    <x v="1"/>
    <x v="173"/>
    <x v="8"/>
    <s v="MANILA, PUERTO"/>
    <x v="4"/>
    <x v="7"/>
    <n v="24000.99"/>
    <x v="0"/>
  </r>
  <r>
    <s v="AGRO SUDAMERICA 1012778"/>
    <x v="2"/>
    <x v="0"/>
    <x v="388"/>
    <x v="0"/>
    <x v="174"/>
    <x v="9"/>
    <s v="CALLAO, PUERTO"/>
    <x v="7"/>
    <x v="0"/>
    <n v="24000.85"/>
    <x v="0"/>
  </r>
  <r>
    <s v="AGRO SUDAMERICA 1011582"/>
    <x v="2"/>
    <x v="0"/>
    <x v="389"/>
    <x v="0"/>
    <x v="175"/>
    <x v="9"/>
    <s v="CALLAO, PUERTO"/>
    <x v="7"/>
    <x v="0"/>
    <n v="9987.2900000000009"/>
    <x v="0"/>
  </r>
  <r>
    <s v="AGRO SUDAMERICA 1010877"/>
    <x v="2"/>
    <x v="0"/>
    <x v="389"/>
    <x v="0"/>
    <x v="140"/>
    <x v="9"/>
    <s v="CALLAO, PUERTO"/>
    <x v="7"/>
    <x v="0"/>
    <n v="1500"/>
    <x v="0"/>
  </r>
  <r>
    <s v="AGRO SUDAMERICA 1011582"/>
    <x v="2"/>
    <x v="0"/>
    <x v="389"/>
    <x v="0"/>
    <x v="175"/>
    <x v="9"/>
    <s v="CALLAO, PUERTO"/>
    <x v="7"/>
    <x v="0"/>
    <n v="10973.4"/>
    <x v="0"/>
  </r>
  <r>
    <s v="AGRO SUDAMERICA 1021385"/>
    <x v="2"/>
    <x v="0"/>
    <x v="390"/>
    <x v="0"/>
    <x v="155"/>
    <x v="9"/>
    <s v="GUAYAQUIL, PUERTO"/>
    <x v="7"/>
    <x v="0"/>
    <n v="23993.39"/>
    <x v="0"/>
  </r>
  <r>
    <s v="AGRO SUDAMERICA 1021187"/>
    <x v="2"/>
    <x v="0"/>
    <x v="391"/>
    <x v="0"/>
    <x v="176"/>
    <x v="9"/>
    <s v="GUAYAQUIL, PUERTO"/>
    <x v="7"/>
    <x v="0"/>
    <n v="23993.5"/>
    <x v="0"/>
  </r>
  <r>
    <s v="AGRO SUDAMERICA 1012719"/>
    <x v="2"/>
    <x v="0"/>
    <x v="392"/>
    <x v="0"/>
    <x v="160"/>
    <x v="9"/>
    <s v="CALLAO, PUERTO"/>
    <x v="7"/>
    <x v="0"/>
    <n v="23994.23"/>
    <x v="0"/>
  </r>
  <r>
    <s v="AGRO AMERICA 1030379"/>
    <x v="3"/>
    <x v="1"/>
    <x v="393"/>
    <x v="0"/>
    <x v="129"/>
    <x v="10"/>
    <s v="PHILADELPHIA, PUERTO"/>
    <x v="6"/>
    <x v="6"/>
    <n v="52920"/>
    <x v="0"/>
  </r>
  <r>
    <s v="AGRO AMERICA 1030379"/>
    <x v="3"/>
    <x v="1"/>
    <x v="394"/>
    <x v="0"/>
    <x v="129"/>
    <x v="10"/>
    <s v="PHILADELPHIA, PUERTO"/>
    <x v="6"/>
    <x v="6"/>
    <n v="52920"/>
    <x v="0"/>
  </r>
  <r>
    <s v="AGRO AMERICA 1012521"/>
    <x v="3"/>
    <x v="1"/>
    <x v="395"/>
    <x v="1"/>
    <x v="136"/>
    <x v="10"/>
    <s v="PORT HUENEME, CA"/>
    <x v="6"/>
    <x v="6"/>
    <n v="40000"/>
    <x v="0"/>
  </r>
  <r>
    <s v="AGRO AMERICA 1012109"/>
    <x v="3"/>
    <x v="1"/>
    <x v="396"/>
    <x v="1"/>
    <x v="122"/>
    <x v="10"/>
    <s v="PORT HUENEME, CA"/>
    <x v="6"/>
    <x v="6"/>
    <n v="0"/>
    <x v="0"/>
  </r>
  <r>
    <s v="AGRO AMERICA 1010886"/>
    <x v="3"/>
    <x v="1"/>
    <x v="396"/>
    <x v="1"/>
    <x v="177"/>
    <x v="10"/>
    <s v="PORT HUENEME, CA"/>
    <x v="6"/>
    <x v="6"/>
    <n v="0"/>
    <x v="0"/>
  </r>
  <r>
    <s v="AGRO AMERICA 1010885"/>
    <x v="3"/>
    <x v="1"/>
    <x v="396"/>
    <x v="1"/>
    <x v="133"/>
    <x v="10"/>
    <s v="PORT HUENEME, CA"/>
    <x v="6"/>
    <x v="6"/>
    <n v="0"/>
    <x v="0"/>
  </r>
  <r>
    <s v="AGRO AMERICA 1012518"/>
    <x v="3"/>
    <x v="1"/>
    <x v="397"/>
    <x v="1"/>
    <x v="51"/>
    <x v="10"/>
    <s v="PORT HUENEME, CA"/>
    <x v="6"/>
    <x v="6"/>
    <n v="0"/>
    <x v="0"/>
  </r>
  <r>
    <s v="AGRO AMERICA 1012158"/>
    <x v="3"/>
    <x v="1"/>
    <x v="398"/>
    <x v="0"/>
    <x v="131"/>
    <x v="11"/>
    <s v="PORT HUENEME, CA"/>
    <x v="0"/>
    <x v="6"/>
    <n v="40000"/>
    <x v="0"/>
  </r>
  <r>
    <s v="AGRO AMERICA 1012483"/>
    <x v="3"/>
    <x v="1"/>
    <x v="399"/>
    <x v="0"/>
    <x v="127"/>
    <x v="11"/>
    <s v="PHILADELPHIA, PUERTO"/>
    <x v="0"/>
    <x v="6"/>
    <n v="44000"/>
    <x v="0"/>
  </r>
  <r>
    <s v="AGRO AMERICA 1030379"/>
    <x v="3"/>
    <x v="1"/>
    <x v="400"/>
    <x v="0"/>
    <x v="129"/>
    <x v="11"/>
    <s v="PHILADELPHIA, PUERTO"/>
    <x v="0"/>
    <x v="6"/>
    <n v="52920"/>
    <x v="0"/>
  </r>
  <r>
    <s v="AGRO AMERICA 1012521"/>
    <x v="3"/>
    <x v="1"/>
    <x v="401"/>
    <x v="0"/>
    <x v="136"/>
    <x v="11"/>
    <s v="PORT HUENEME, CA"/>
    <x v="0"/>
    <x v="6"/>
    <n v="40000"/>
    <x v="0"/>
  </r>
  <r>
    <s v="AGRO AMERICA 1011250"/>
    <x v="3"/>
    <x v="1"/>
    <x v="402"/>
    <x v="0"/>
    <x v="178"/>
    <x v="11"/>
    <s v="HOUSTON, PUERTO"/>
    <x v="1"/>
    <x v="6"/>
    <n v="44000"/>
    <x v="0"/>
  </r>
  <r>
    <s v="AGRO AMERICA 1012165"/>
    <x v="3"/>
    <x v="1"/>
    <x v="403"/>
    <x v="0"/>
    <x v="132"/>
    <x v="11"/>
    <s v="PORT HUENEME, CA"/>
    <x v="0"/>
    <x v="6"/>
    <n v="40000"/>
    <x v="0"/>
  </r>
  <r>
    <s v="AGRO AMERICA 1012165"/>
    <x v="3"/>
    <x v="1"/>
    <x v="404"/>
    <x v="0"/>
    <x v="132"/>
    <x v="11"/>
    <s v="PORT HUENEME, CA"/>
    <x v="0"/>
    <x v="6"/>
    <n v="36000"/>
    <x v="0"/>
  </r>
  <r>
    <s v="AGRO AMERICA 1100574"/>
    <x v="3"/>
    <x v="1"/>
    <x v="405"/>
    <x v="0"/>
    <x v="179"/>
    <x v="11"/>
    <s v="PORT HUENEME, CA"/>
    <x v="0"/>
    <x v="6"/>
    <n v="1375.98"/>
    <x v="0"/>
  </r>
  <r>
    <s v="AGRO AMERICA 1100573"/>
    <x v="3"/>
    <x v="1"/>
    <x v="405"/>
    <x v="0"/>
    <x v="180"/>
    <x v="11"/>
    <s v="PORT HUENEME, CA"/>
    <x v="0"/>
    <x v="6"/>
    <n v="1375.98"/>
    <x v="0"/>
  </r>
  <r>
    <s v="AGRO AMERICA 1012038"/>
    <x v="3"/>
    <x v="1"/>
    <x v="406"/>
    <x v="0"/>
    <x v="181"/>
    <x v="12"/>
    <s v="PORT HUENEME, CA"/>
    <x v="0"/>
    <x v="8"/>
    <n v="15520"/>
    <x v="0"/>
  </r>
  <r>
    <s v="AGRO AMERICA 1010888"/>
    <x v="3"/>
    <x v="1"/>
    <x v="406"/>
    <x v="0"/>
    <x v="147"/>
    <x v="12"/>
    <s v="PORT HUENEME, CA"/>
    <x v="0"/>
    <x v="8"/>
    <n v="20860"/>
    <x v="0"/>
  </r>
  <r>
    <s v="AGRO SUDAMERICA 1011421"/>
    <x v="2"/>
    <x v="0"/>
    <x v="407"/>
    <x v="0"/>
    <x v="153"/>
    <x v="12"/>
    <s v="CARTAGENA, PUERTO"/>
    <x v="0"/>
    <x v="8"/>
    <n v="23797.55"/>
    <x v="0"/>
  </r>
  <r>
    <s v="AGRO SUDAMERICA 1011421"/>
    <x v="2"/>
    <x v="0"/>
    <x v="408"/>
    <x v="0"/>
    <x v="153"/>
    <x v="12"/>
    <s v="CARTAGENA, PUERTO"/>
    <x v="0"/>
    <x v="8"/>
    <n v="23989.33"/>
    <x v="0"/>
  </r>
  <r>
    <s v="AGRO SUDAMERICA 1011421"/>
    <x v="2"/>
    <x v="0"/>
    <x v="409"/>
    <x v="0"/>
    <x v="153"/>
    <x v="12"/>
    <s v="CARTAGENA, PUERTO"/>
    <x v="0"/>
    <x v="8"/>
    <n v="23993.91"/>
    <x v="0"/>
  </r>
  <r>
    <s v="AGRO AMERICA 1012483"/>
    <x v="3"/>
    <x v="1"/>
    <x v="410"/>
    <x v="0"/>
    <x v="127"/>
    <x v="12"/>
    <s v="PORT HUENEME, CA"/>
    <x v="0"/>
    <x v="8"/>
    <n v="40000"/>
    <x v="0"/>
  </r>
  <r>
    <s v="AGRO AMERICA 1030379"/>
    <x v="3"/>
    <x v="1"/>
    <x v="411"/>
    <x v="0"/>
    <x v="129"/>
    <x v="12"/>
    <s v="PHILADELPHIA, PUERTO"/>
    <x v="0"/>
    <x v="8"/>
    <n v="52920"/>
    <x v="0"/>
  </r>
  <r>
    <s v="AGRO AMERICA 1030239"/>
    <x v="3"/>
    <x v="1"/>
    <x v="412"/>
    <x v="0"/>
    <x v="182"/>
    <x v="12"/>
    <s v="SAVANNAH, PUERTO"/>
    <x v="0"/>
    <x v="8"/>
    <n v="52890"/>
    <x v="0"/>
  </r>
  <r>
    <s v="AGRO AMERICA 1012165"/>
    <x v="3"/>
    <x v="1"/>
    <x v="413"/>
    <x v="0"/>
    <x v="132"/>
    <x v="12"/>
    <s v="SAVANNAH, PUERTO"/>
    <x v="0"/>
    <x v="8"/>
    <n v="44000"/>
    <x v="0"/>
  </r>
  <r>
    <s v="AGRO AMERICA 1012165"/>
    <x v="3"/>
    <x v="1"/>
    <x v="414"/>
    <x v="0"/>
    <x v="132"/>
    <x v="12"/>
    <s v="SAVANNAH, PUERTO"/>
    <x v="0"/>
    <x v="8"/>
    <n v="44000"/>
    <x v="0"/>
  </r>
  <r>
    <s v="AGRO AMERICA 1012523"/>
    <x v="3"/>
    <x v="1"/>
    <x v="415"/>
    <x v="0"/>
    <x v="183"/>
    <x v="12"/>
    <s v="PORT HUENEME, CA"/>
    <x v="0"/>
    <x v="8"/>
    <n v="40000"/>
    <x v="0"/>
  </r>
  <r>
    <s v="AGRO AMERICA 1012108"/>
    <x v="3"/>
    <x v="1"/>
    <x v="416"/>
    <x v="0"/>
    <x v="123"/>
    <x v="12"/>
    <s v="SAVANNAH, PUERTO"/>
    <x v="0"/>
    <x v="8"/>
    <n v="44000"/>
    <x v="0"/>
  </r>
  <r>
    <s v="AGRO SUDAMERICA 1011421"/>
    <x v="2"/>
    <x v="0"/>
    <x v="417"/>
    <x v="0"/>
    <x v="153"/>
    <x v="12"/>
    <s v="CARTAGENA, PUERTO"/>
    <x v="0"/>
    <x v="8"/>
    <n v="23787.8"/>
    <x v="0"/>
  </r>
  <r>
    <s v="AGRO AMERICA 1012165"/>
    <x v="3"/>
    <x v="1"/>
    <x v="418"/>
    <x v="0"/>
    <x v="132"/>
    <x v="12"/>
    <s v="SAVANNAH, PUERTO"/>
    <x v="0"/>
    <x v="8"/>
    <n v="44000"/>
    <x v="0"/>
  </r>
  <r>
    <s v="AGRO AMERICA 1012159"/>
    <x v="3"/>
    <x v="1"/>
    <x v="419"/>
    <x v="0"/>
    <x v="116"/>
    <x v="12"/>
    <s v="SAVANNAH, PUERTO"/>
    <x v="0"/>
    <x v="8"/>
    <n v="44000"/>
    <x v="0"/>
  </r>
  <r>
    <s v="AGRO AMERICA 1023276"/>
    <x v="3"/>
    <x v="1"/>
    <x v="420"/>
    <x v="0"/>
    <x v="184"/>
    <x v="12"/>
    <s v="HOUSTON, PUERTO"/>
    <x v="0"/>
    <x v="8"/>
    <n v="40016.53"/>
    <x v="0"/>
  </r>
  <r>
    <s v="AGRO AMERICA 1023274"/>
    <x v="3"/>
    <x v="1"/>
    <x v="420"/>
    <x v="0"/>
    <x v="185"/>
    <x v="12"/>
    <s v="HOUSTON, PUERTO"/>
    <x v="0"/>
    <x v="8"/>
    <n v="6330.16"/>
    <x v="0"/>
  </r>
  <r>
    <s v="AGRO AMERICA 1012108"/>
    <x v="3"/>
    <x v="1"/>
    <x v="421"/>
    <x v="0"/>
    <x v="123"/>
    <x v="12"/>
    <s v="SAVANNAH, PUERTO"/>
    <x v="0"/>
    <x v="8"/>
    <n v="44000"/>
    <x v="0"/>
  </r>
  <r>
    <s v="AGRO AMERICA 1012165"/>
    <x v="3"/>
    <x v="1"/>
    <x v="422"/>
    <x v="0"/>
    <x v="132"/>
    <x v="12"/>
    <s v="SAVANNAH, PUERTO"/>
    <x v="0"/>
    <x v="8"/>
    <n v="44000"/>
    <x v="0"/>
  </r>
  <r>
    <s v="AGRO AMERICA 1012165"/>
    <x v="3"/>
    <x v="1"/>
    <x v="423"/>
    <x v="0"/>
    <x v="132"/>
    <x v="12"/>
    <s v="SAVANNAH, PUERTO"/>
    <x v="0"/>
    <x v="8"/>
    <n v="44000"/>
    <x v="0"/>
  </r>
  <r>
    <s v="AGRO AMERICA 1012159"/>
    <x v="3"/>
    <x v="1"/>
    <x v="424"/>
    <x v="0"/>
    <x v="116"/>
    <x v="12"/>
    <s v="SAVANNAH, PUERTO"/>
    <x v="0"/>
    <x v="8"/>
    <n v="44000"/>
    <x v="0"/>
  </r>
  <r>
    <s v="AGRO AMERICA 1012115"/>
    <x v="3"/>
    <x v="1"/>
    <x v="425"/>
    <x v="0"/>
    <x v="186"/>
    <x v="12"/>
    <s v="SAVANNAH, PUERTO"/>
    <x v="0"/>
    <x v="8"/>
    <n v="38000"/>
    <x v="0"/>
  </r>
  <r>
    <s v="AGRO SUDAMERICA 1021105"/>
    <x v="2"/>
    <x v="0"/>
    <x v="426"/>
    <x v="0"/>
    <x v="187"/>
    <x v="12"/>
    <s v="BUENAVENTURA, PUERTO"/>
    <x v="0"/>
    <x v="8"/>
    <n v="23987.79"/>
    <x v="0"/>
  </r>
  <r>
    <s v="AGRO AMERICA 1030784"/>
    <x v="3"/>
    <x v="1"/>
    <x v="427"/>
    <x v="0"/>
    <x v="188"/>
    <x v="12"/>
    <s v="PORT HUENEME, CA"/>
    <x v="0"/>
    <x v="8"/>
    <n v="7512.59"/>
    <x v="0"/>
  </r>
  <r>
    <s v="AGRO AMERICA 1030360"/>
    <x v="3"/>
    <x v="1"/>
    <x v="427"/>
    <x v="0"/>
    <x v="189"/>
    <x v="12"/>
    <s v="PORT HUENEME, CA"/>
    <x v="0"/>
    <x v="8"/>
    <n v="26387.51"/>
    <x v="0"/>
  </r>
  <r>
    <s v="AGRO SUDAMERICA 1012556"/>
    <x v="2"/>
    <x v="0"/>
    <x v="428"/>
    <x v="0"/>
    <x v="190"/>
    <x v="12"/>
    <s v="BUENAVENTURA, PUERTO"/>
    <x v="0"/>
    <x v="8"/>
    <n v="23719.29"/>
    <x v="0"/>
  </r>
  <r>
    <s v="AGRO AMERICA 1012147"/>
    <x v="3"/>
    <x v="1"/>
    <x v="429"/>
    <x v="0"/>
    <x v="119"/>
    <x v="12"/>
    <s v="SAVANNAH, PUERTO"/>
    <x v="0"/>
    <x v="8"/>
    <n v="41140"/>
    <x v="0"/>
  </r>
  <r>
    <s v="AGROSUPER ASIA 1023283"/>
    <x v="0"/>
    <x v="0"/>
    <x v="385"/>
    <x v="1"/>
    <x v="171"/>
    <x v="13"/>
    <n v="162"/>
    <x v="8"/>
    <x v="7"/>
    <n v="24000"/>
    <x v="1"/>
  </r>
  <r>
    <s v="AGROSUPER SHANGHAI 1022080"/>
    <x v="1"/>
    <x v="1"/>
    <x v="430"/>
    <x v="1"/>
    <x v="110"/>
    <x v="1"/>
    <s v="TIANJIN XINGANG, CHINA"/>
    <x v="9"/>
    <x v="1"/>
    <n v="24000"/>
    <x v="1"/>
  </r>
  <r>
    <s v="AGROSUPER SHANGHAI 1022640"/>
    <x v="1"/>
    <x v="1"/>
    <x v="431"/>
    <x v="1"/>
    <x v="109"/>
    <x v="1"/>
    <s v="000302 TIANJIN XINGANG, CHINA"/>
    <x v="9"/>
    <x v="2"/>
    <n v="24000"/>
    <x v="1"/>
  </r>
  <r>
    <s v="AGRO SUDAMERICA 1021976"/>
    <x v="2"/>
    <x v="0"/>
    <x v="432"/>
    <x v="1"/>
    <x v="58"/>
    <x v="14"/>
    <s v="000206 CALDERA, PUERTO"/>
    <x v="10"/>
    <x v="0"/>
    <n v="24000"/>
    <x v="1"/>
  </r>
  <r>
    <s v="AGRO SUDAMERICA 1012719"/>
    <x v="2"/>
    <x v="0"/>
    <x v="433"/>
    <x v="1"/>
    <x v="160"/>
    <x v="15"/>
    <s v="000059 CALLAO, PUERTO"/>
    <x v="11"/>
    <x v="4"/>
    <n v="24000"/>
    <x v="1"/>
  </r>
  <r>
    <s v="AGRO SUDAMERICA 1012719"/>
    <x v="2"/>
    <x v="0"/>
    <x v="434"/>
    <x v="1"/>
    <x v="160"/>
    <x v="15"/>
    <s v="000059 CALLAO, PUERTO"/>
    <x v="11"/>
    <x v="4"/>
    <n v="24000"/>
    <x v="1"/>
  </r>
  <r>
    <s v="AGROSUPER SHANGHAI 1022748"/>
    <x v="1"/>
    <x v="1"/>
    <x v="435"/>
    <x v="1"/>
    <x v="25"/>
    <x v="1"/>
    <s v="000302 TIANJIN XINGANG, CHINA"/>
    <x v="9"/>
    <x v="1"/>
    <n v="24000"/>
    <x v="1"/>
  </r>
  <r>
    <s v="AGROSUPER SHANGHAI 1022414"/>
    <x v="1"/>
    <x v="0"/>
    <x v="381"/>
    <x v="1"/>
    <x v="105"/>
    <x v="8"/>
    <s v="000021 SHANGHAI, CHINA"/>
    <x v="8"/>
    <x v="3"/>
    <n v="24000"/>
    <x v="1"/>
  </r>
  <r>
    <s v="AGRO AMERICA 1012107"/>
    <x v="3"/>
    <x v="1"/>
    <x v="436"/>
    <x v="1"/>
    <x v="146"/>
    <x v="16"/>
    <s v="000527 PORT HUENEME, CA"/>
    <x v="11"/>
    <x v="6"/>
    <n v="4800.085"/>
    <x v="1"/>
  </r>
  <r>
    <s v="AGRO AMERICA 1012108"/>
    <x v="3"/>
    <x v="1"/>
    <x v="436"/>
    <x v="1"/>
    <x v="123"/>
    <x v="16"/>
    <s v="000527 PORT HUENEME, CA"/>
    <x v="11"/>
    <x v="6"/>
    <n v="4800.085"/>
    <x v="1"/>
  </r>
  <r>
    <s v="AGRO AMERICA 1012109"/>
    <x v="3"/>
    <x v="1"/>
    <x v="436"/>
    <x v="1"/>
    <x v="122"/>
    <x v="16"/>
    <s v="000527 PORT HUENEME, CA"/>
    <x v="11"/>
    <x v="6"/>
    <n v="24000.422999999999"/>
    <x v="1"/>
  </r>
  <r>
    <s v="AGRO AMERICA 1012110"/>
    <x v="3"/>
    <x v="1"/>
    <x v="436"/>
    <x v="1"/>
    <x v="134"/>
    <x v="16"/>
    <s v="000527 PORT HUENEME, CA"/>
    <x v="11"/>
    <x v="6"/>
    <n v="3200.056"/>
    <x v="1"/>
  </r>
  <r>
    <s v="AGRO AMERICA 1012167"/>
    <x v="3"/>
    <x v="1"/>
    <x v="436"/>
    <x v="1"/>
    <x v="120"/>
    <x v="16"/>
    <s v="000527 PORT HUENEME, CA"/>
    <x v="11"/>
    <x v="6"/>
    <n v="3200.056"/>
    <x v="1"/>
  </r>
  <r>
    <s v="AGROSUPER SHANGHAI 1022414"/>
    <x v="1"/>
    <x v="0"/>
    <x v="380"/>
    <x v="1"/>
    <x v="105"/>
    <x v="8"/>
    <s v="000021 SHANGHAI, CHINA"/>
    <x v="8"/>
    <x v="3"/>
    <n v="24000"/>
    <x v="1"/>
  </r>
  <r>
    <s v="AGRO SUDAMERICA 1011558"/>
    <x v="2"/>
    <x v="0"/>
    <x v="437"/>
    <x v="1"/>
    <x v="159"/>
    <x v="15"/>
    <s v="000435 MANZANILLO, PANAMA"/>
    <x v="11"/>
    <x v="0"/>
    <n v="24000"/>
    <x v="1"/>
  </r>
  <r>
    <s v="AGRO EUROPA 1020853"/>
    <x v="6"/>
    <x v="1"/>
    <x v="438"/>
    <x v="1"/>
    <x v="158"/>
    <x v="17"/>
    <s v="4532 HAMBURG, PORT"/>
    <x v="11"/>
    <x v="3"/>
    <n v="20000"/>
    <x v="1"/>
  </r>
  <r>
    <s v="AGROSUPER SHANGHAI 1021767"/>
    <x v="1"/>
    <x v="1"/>
    <x v="439"/>
    <x v="1"/>
    <x v="88"/>
    <x v="1"/>
    <s v="000302 TIANJIN XINGANG, CHINA"/>
    <x v="9"/>
    <x v="1"/>
    <n v="24000"/>
    <x v="1"/>
  </r>
  <r>
    <s v="AGROSUPER SHANGHAI 1021732"/>
    <x v="1"/>
    <x v="1"/>
    <x v="218"/>
    <x v="1"/>
    <x v="31"/>
    <x v="4"/>
    <s v="000302 TIANJIN XINGANG, CHINA"/>
    <x v="12"/>
    <x v="6"/>
    <n v="24000"/>
    <x v="1"/>
  </r>
  <r>
    <s v="AGROSUPER SHANGHAI 1022636"/>
    <x v="1"/>
    <x v="1"/>
    <x v="440"/>
    <x v="1"/>
    <x v="191"/>
    <x v="1"/>
    <s v="000087 QINGDAO, PUERTO"/>
    <x v="9"/>
    <x v="2"/>
    <n v="24000"/>
    <x v="1"/>
  </r>
  <r>
    <s v="AGROSUPER SHANGHAI 1022169"/>
    <x v="1"/>
    <x v="1"/>
    <x v="441"/>
    <x v="1"/>
    <x v="53"/>
    <x v="1"/>
    <s v="000087 QINGDAO, PUERTO"/>
    <x v="9"/>
    <x v="2"/>
    <n v="24000"/>
    <x v="1"/>
  </r>
  <r>
    <s v="AGROSUPER SHANGHAI 1030683"/>
    <x v="1"/>
    <x v="1"/>
    <x v="442"/>
    <x v="1"/>
    <x v="28"/>
    <x v="1"/>
    <s v="000302 TIANJIN XINGANG, CHINA"/>
    <x v="9"/>
    <x v="1"/>
    <n v="24000"/>
    <x v="1"/>
  </r>
  <r>
    <s v="AGROSUPER SHANGHAI 1021735"/>
    <x v="1"/>
    <x v="0"/>
    <x v="443"/>
    <x v="1"/>
    <x v="22"/>
    <x v="1"/>
    <s v="000302 TIANJIN XINGANG, CHINA"/>
    <x v="9"/>
    <x v="1"/>
    <n v="24000"/>
    <x v="1"/>
  </r>
  <r>
    <s v="AGROSUPER SHANGHAI 1022183"/>
    <x v="1"/>
    <x v="0"/>
    <x v="360"/>
    <x v="1"/>
    <x v="78"/>
    <x v="8"/>
    <s v="000021 SHANGHAI, CHINA"/>
    <x v="8"/>
    <x v="3"/>
    <n v="24000"/>
    <x v="1"/>
  </r>
  <r>
    <s v="AGRO SUDAMERICA 1022709"/>
    <x v="2"/>
    <x v="0"/>
    <x v="444"/>
    <x v="1"/>
    <x v="192"/>
    <x v="15"/>
    <s v="000218 CARTAGENA, PUERTO"/>
    <x v="11"/>
    <x v="0"/>
    <n v="24000"/>
    <x v="1"/>
  </r>
  <r>
    <s v="AGRO AMERICA 1012483"/>
    <x v="3"/>
    <x v="1"/>
    <x v="445"/>
    <x v="1"/>
    <x v="127"/>
    <x v="15"/>
    <s v="000069 NEW YORK, PUERTO"/>
    <x v="11"/>
    <x v="0"/>
    <n v="44000.775999999998"/>
    <x v="1"/>
  </r>
  <r>
    <s v="AGRO SUDAMERICA 1012719"/>
    <x v="2"/>
    <x v="0"/>
    <x v="446"/>
    <x v="1"/>
    <x v="160"/>
    <x v="17"/>
    <s v="000059 CALLAO, PUERTO"/>
    <x v="11"/>
    <x v="3"/>
    <n v="24000"/>
    <x v="1"/>
  </r>
  <r>
    <s v="AGRO EUROPA 1022858"/>
    <x v="6"/>
    <x v="1"/>
    <x v="447"/>
    <x v="1"/>
    <x v="126"/>
    <x v="17"/>
    <s v="4532 HAMBURG, PORT"/>
    <x v="11"/>
    <x v="3"/>
    <n v="21600"/>
    <x v="1"/>
  </r>
  <r>
    <s v="AGRO EUROPA 1023353"/>
    <x v="6"/>
    <x v="1"/>
    <x v="448"/>
    <x v="1"/>
    <x v="125"/>
    <x v="17"/>
    <s v="4532 HAMBURG, PORT"/>
    <x v="11"/>
    <x v="3"/>
    <n v="21600"/>
    <x v="1"/>
  </r>
  <r>
    <s v="AGRO MEXICO 1011127"/>
    <x v="4"/>
    <x v="1"/>
    <x v="449"/>
    <x v="1"/>
    <x v="21"/>
    <x v="18"/>
    <s v="000050 MANZANILLO, PUERTO"/>
    <x v="9"/>
    <x v="1"/>
    <n v="22800"/>
    <x v="1"/>
  </r>
  <r>
    <s v="AGRO MEXICO 1011127"/>
    <x v="4"/>
    <x v="1"/>
    <x v="450"/>
    <x v="1"/>
    <x v="21"/>
    <x v="18"/>
    <s v="000050 MANZANILLO, PUERTO"/>
    <x v="9"/>
    <x v="1"/>
    <n v="22800"/>
    <x v="1"/>
  </r>
  <r>
    <s v="AGRO MEXICO 1011127"/>
    <x v="4"/>
    <x v="1"/>
    <x v="451"/>
    <x v="1"/>
    <x v="21"/>
    <x v="18"/>
    <s v="000050 MANZANILLO, PUERTO"/>
    <x v="9"/>
    <x v="1"/>
    <n v="22800"/>
    <x v="1"/>
  </r>
  <r>
    <s v="AGRO MEXICO 1021555"/>
    <x v="4"/>
    <x v="1"/>
    <x v="452"/>
    <x v="1"/>
    <x v="15"/>
    <x v="18"/>
    <s v="000051 MAZATLAN, PUERTO"/>
    <x v="9"/>
    <x v="2"/>
    <n v="24002"/>
    <x v="1"/>
  </r>
  <r>
    <s v="AGRO MEXICO 1030337"/>
    <x v="4"/>
    <x v="1"/>
    <x v="453"/>
    <x v="1"/>
    <x v="10"/>
    <x v="18"/>
    <s v="000050 MANZANILLO, PUERTO"/>
    <x v="9"/>
    <x v="1"/>
    <n v="24000"/>
    <x v="1"/>
  </r>
  <r>
    <s v="AGRO MEXICO 1030658"/>
    <x v="4"/>
    <x v="1"/>
    <x v="454"/>
    <x v="1"/>
    <x v="9"/>
    <x v="18"/>
    <s v="000050 MANZANILLO, PUERTO"/>
    <x v="9"/>
    <x v="1"/>
    <n v="24017.360000000001"/>
    <x v="1"/>
  </r>
  <r>
    <s v="AGRO SUDAMERICA 1020944"/>
    <x v="2"/>
    <x v="0"/>
    <x v="455"/>
    <x v="1"/>
    <x v="36"/>
    <x v="15"/>
    <s v="000218 CARTAGENA, PUERTO"/>
    <x v="11"/>
    <x v="0"/>
    <n v="24000"/>
    <x v="1"/>
  </r>
  <r>
    <s v="AGRO SUDAMERICA 1020944"/>
    <x v="2"/>
    <x v="0"/>
    <x v="456"/>
    <x v="1"/>
    <x v="36"/>
    <x v="15"/>
    <s v="000218 CARTAGENA, PUERTO"/>
    <x v="11"/>
    <x v="4"/>
    <n v="24000"/>
    <x v="1"/>
  </r>
  <r>
    <s v="AGRO SUDAMERICA 1012763"/>
    <x v="2"/>
    <x v="0"/>
    <x v="457"/>
    <x v="1"/>
    <x v="6"/>
    <x v="15"/>
    <s v="000059 CALLAO, PUERTO"/>
    <x v="11"/>
    <x v="4"/>
    <n v="24000"/>
    <x v="1"/>
  </r>
  <r>
    <s v="AGRO SUDAMERICA 1012283"/>
    <x v="2"/>
    <x v="0"/>
    <x v="458"/>
    <x v="1"/>
    <x v="193"/>
    <x v="15"/>
    <s v="000059 CALLAO, PUERTO"/>
    <x v="11"/>
    <x v="4"/>
    <n v="24000"/>
    <x v="1"/>
  </r>
  <r>
    <s v="AGROSUPER ASIA 1012612"/>
    <x v="0"/>
    <x v="0"/>
    <x v="459"/>
    <x v="1"/>
    <x v="77"/>
    <x v="13"/>
    <s v="000522 CEBU, PHILIPPINES"/>
    <x v="8"/>
    <x v="7"/>
    <n v="25000"/>
    <x v="1"/>
  </r>
  <r>
    <s v="AGROSUPER ASIA 1012612"/>
    <x v="0"/>
    <x v="0"/>
    <x v="460"/>
    <x v="1"/>
    <x v="77"/>
    <x v="13"/>
    <s v="000522 CEBU, PHILIPPINES"/>
    <x v="8"/>
    <x v="7"/>
    <n v="25000"/>
    <x v="1"/>
  </r>
  <r>
    <s v="AGROSUPER ASIA 1012612"/>
    <x v="0"/>
    <x v="0"/>
    <x v="461"/>
    <x v="1"/>
    <x v="77"/>
    <x v="13"/>
    <s v="000522 CEBU, PHILIPPINES"/>
    <x v="8"/>
    <x v="7"/>
    <n v="25000"/>
    <x v="1"/>
  </r>
  <r>
    <s v="AGROSUPER ASIA 1012612"/>
    <x v="0"/>
    <x v="0"/>
    <x v="462"/>
    <x v="1"/>
    <x v="77"/>
    <x v="13"/>
    <s v="000522 CEBU, PHILIPPINES"/>
    <x v="8"/>
    <x v="7"/>
    <n v="25000"/>
    <x v="1"/>
  </r>
  <r>
    <s v="AGROSUPER ASIA 1012612"/>
    <x v="0"/>
    <x v="0"/>
    <x v="463"/>
    <x v="1"/>
    <x v="77"/>
    <x v="8"/>
    <s v="000522 CEBU, PHILIPPINES"/>
    <x v="8"/>
    <x v="7"/>
    <n v="25000"/>
    <x v="1"/>
  </r>
  <r>
    <s v="AGROSUPER SHANGHAI 1023110"/>
    <x v="1"/>
    <x v="1"/>
    <x v="464"/>
    <x v="1"/>
    <x v="194"/>
    <x v="8"/>
    <s v="000020 YANTIAN, CHINA"/>
    <x v="8"/>
    <x v="3"/>
    <n v="24000"/>
    <x v="1"/>
  </r>
  <r>
    <s v="AGROSUPER ASIA 1022885"/>
    <x v="0"/>
    <x v="0"/>
    <x v="465"/>
    <x v="1"/>
    <x v="4"/>
    <x v="18"/>
    <s v="000045 BUSAN {PUSAN}, PUERTO"/>
    <x v="9"/>
    <x v="2"/>
    <n v="22000"/>
    <x v="1"/>
  </r>
  <r>
    <s v="AGROSUPER ASIA 1022885"/>
    <x v="0"/>
    <x v="0"/>
    <x v="466"/>
    <x v="1"/>
    <x v="4"/>
    <x v="18"/>
    <s v="000045 BUSAN {PUSAN}, PUERTO"/>
    <x v="9"/>
    <x v="1"/>
    <n v="22000"/>
    <x v="1"/>
  </r>
  <r>
    <s v="AGROSUPER ASIA 1023038"/>
    <x v="0"/>
    <x v="0"/>
    <x v="467"/>
    <x v="1"/>
    <x v="102"/>
    <x v="18"/>
    <s v="000045 BUSAN {PUSAN}, PUERTO"/>
    <x v="9"/>
    <x v="2"/>
    <n v="22000"/>
    <x v="1"/>
  </r>
  <r>
    <s v="AGRO AMERICA 1011105"/>
    <x v="3"/>
    <x v="1"/>
    <x v="468"/>
    <x v="1"/>
    <x v="195"/>
    <x v="16"/>
    <s v="000139 HOUSTON, PUERTO"/>
    <x v="11"/>
    <x v="6"/>
    <n v="44031.067999999999"/>
    <x v="1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  <r>
    <m/>
    <x v="7"/>
    <x v="2"/>
    <x v="469"/>
    <x v="2"/>
    <x v="196"/>
    <x v="19"/>
    <m/>
    <x v="1"/>
    <x v="9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">
  <r>
    <x v="0"/>
    <x v="0"/>
    <x v="0"/>
    <x v="0"/>
    <x v="0"/>
    <x v="0"/>
    <x v="0"/>
    <s v="GO GRASA FORRO PNA LIMP@ CJ 20K AS"/>
    <s v="GRASA FORRO"/>
    <x v="0"/>
    <x v="0"/>
    <n v="0"/>
    <x v="0"/>
    <n v="24000"/>
    <n v="24000"/>
    <x v="0"/>
  </r>
  <r>
    <x v="0"/>
    <x v="0"/>
    <x v="1"/>
    <x v="0"/>
    <x v="1"/>
    <x v="0"/>
    <x v="1"/>
    <s v="CUE GRANEL ESP CC@ CJ 20K AS"/>
    <s v="CUERO MIXTO"/>
    <x v="1"/>
    <x v="1"/>
    <n v="0"/>
    <x v="0"/>
    <n v="24000"/>
    <n v="24000"/>
    <x v="0"/>
  </r>
  <r>
    <x v="0"/>
    <x v="0"/>
    <x v="2"/>
    <x v="1"/>
    <x v="1"/>
    <x v="0"/>
    <x v="2"/>
    <s v="CUE GRANEL ESP CC@ CJ 20K AS"/>
    <s v="CUERO MIXTO"/>
    <x v="2"/>
    <x v="1"/>
    <n v="0"/>
    <x v="0"/>
    <n v="24000"/>
    <n v="24000"/>
    <x v="1"/>
  </r>
  <r>
    <x v="0"/>
    <x v="0"/>
    <x v="3"/>
    <x v="1"/>
    <x v="1"/>
    <x v="0"/>
    <x v="2"/>
    <s v="CUE GRANEL ESP CC@ CJ 20K AS"/>
    <s v="CUERO MIXTO"/>
    <x v="3"/>
    <x v="1"/>
    <n v="0"/>
    <x v="0"/>
    <n v="24000"/>
    <n v="24000"/>
    <x v="2"/>
  </r>
  <r>
    <x v="0"/>
    <x v="0"/>
    <x v="4"/>
    <x v="0"/>
    <x v="1"/>
    <x v="0"/>
    <x v="2"/>
    <s v="CUE GRANEL ESP CC@ CJ 20K AS"/>
    <s v="CUERO MIXTO"/>
    <x v="1"/>
    <x v="0"/>
    <n v="0"/>
    <x v="0"/>
    <n v="24000"/>
    <n v="24000"/>
    <x v="3"/>
  </r>
  <r>
    <x v="0"/>
    <x v="0"/>
    <x v="5"/>
    <x v="0"/>
    <x v="1"/>
    <x v="0"/>
    <x v="2"/>
    <s v="CUE GRANEL ESP CC@ CJ 20K AS"/>
    <s v="CUERO MIXTO"/>
    <x v="4"/>
    <x v="0"/>
    <n v="0"/>
    <x v="0"/>
    <n v="24000"/>
    <n v="24000"/>
    <x v="4"/>
  </r>
  <r>
    <x v="0"/>
    <x v="0"/>
    <x v="6"/>
    <x v="0"/>
    <x v="1"/>
    <x v="0"/>
    <x v="2"/>
    <s v="CUE GRANEL ESP CC@ CJ 20K AS"/>
    <s v="CUERO MIXTO"/>
    <x v="5"/>
    <x v="0"/>
    <n v="0"/>
    <x v="0"/>
    <n v="24000"/>
    <n v="24000"/>
    <x v="5"/>
  </r>
  <r>
    <x v="0"/>
    <x v="0"/>
    <x v="7"/>
    <x v="1"/>
    <x v="2"/>
    <x v="0"/>
    <x v="3"/>
    <s v="GO LOM TOCINO@ BO CJ 20K AS"/>
    <s v="GRASA LOMO TOCINO"/>
    <x v="6"/>
    <x v="2"/>
    <n v="24000"/>
    <x v="0"/>
    <n v="0"/>
    <n v="24000"/>
    <x v="6"/>
  </r>
  <r>
    <x v="0"/>
    <x v="0"/>
    <x v="8"/>
    <x v="0"/>
    <x v="2"/>
    <x v="0"/>
    <x v="3"/>
    <s v="GO LOM TOCINO@ BO CJ 20K AS"/>
    <s v="GRASA LOMO TOCINO"/>
    <x v="4"/>
    <x v="0"/>
    <n v="0"/>
    <x v="0"/>
    <n v="24000"/>
    <n v="24000"/>
    <x v="4"/>
  </r>
  <r>
    <x v="0"/>
    <x v="0"/>
    <x v="9"/>
    <x v="1"/>
    <x v="2"/>
    <x v="0"/>
    <x v="3"/>
    <s v="GO LOM TOCINO@ BO CJ 20K AS"/>
    <s v="GRASA LOMO TOCINO"/>
    <x v="2"/>
    <x v="1"/>
    <n v="0"/>
    <x v="1"/>
    <n v="0"/>
    <n v="24000"/>
    <x v="2"/>
  </r>
  <r>
    <x v="0"/>
    <x v="0"/>
    <x v="10"/>
    <x v="0"/>
    <x v="2"/>
    <x v="0"/>
    <x v="3"/>
    <s v="GO LOM TOCINO@ BO CJ 20K AS"/>
    <s v="GRASA LOMO TOCINO"/>
    <x v="2"/>
    <x v="0"/>
    <n v="0"/>
    <x v="0"/>
    <n v="24000"/>
    <n v="24000"/>
    <x v="1"/>
  </r>
  <r>
    <x v="0"/>
    <x v="0"/>
    <x v="11"/>
    <x v="1"/>
    <x v="2"/>
    <x v="0"/>
    <x v="3"/>
    <s v="GO LOM TOCINO@ BO CJ 20K AS"/>
    <s v="GRASA LOMO TOCINO"/>
    <x v="6"/>
    <x v="0"/>
    <n v="24000"/>
    <x v="0"/>
    <n v="0"/>
    <n v="24000"/>
    <x v="6"/>
  </r>
  <r>
    <x v="0"/>
    <x v="0"/>
    <x v="12"/>
    <x v="0"/>
    <x v="2"/>
    <x v="0"/>
    <x v="3"/>
    <s v="GO LOM TOCINO@ BO CJ 20K AS"/>
    <s v="GRASA LOMO TOCINO"/>
    <x v="1"/>
    <x v="0"/>
    <n v="0"/>
    <x v="0"/>
    <n v="24000"/>
    <n v="24000"/>
    <x v="0"/>
  </r>
  <r>
    <x v="0"/>
    <x v="0"/>
    <x v="13"/>
    <x v="0"/>
    <x v="2"/>
    <x v="0"/>
    <x v="3"/>
    <s v="GO LOM TOCINO@ BO CJ 20K AS"/>
    <s v="GRASA LOMO TOCINO"/>
    <x v="7"/>
    <x v="0"/>
    <n v="0"/>
    <x v="0"/>
    <n v="24000"/>
    <n v="24000"/>
    <x v="0"/>
  </r>
  <r>
    <x v="0"/>
    <x v="0"/>
    <x v="14"/>
    <x v="0"/>
    <x v="2"/>
    <x v="0"/>
    <x v="4"/>
    <s v="GO GRASA FORRO PNA LIMP@ BO CJ AS"/>
    <s v="GRASA FORRO"/>
    <x v="7"/>
    <x v="0"/>
    <n v="0"/>
    <x v="0"/>
    <n v="24000"/>
    <n v="24000"/>
    <x v="6"/>
  </r>
  <r>
    <x v="0"/>
    <x v="0"/>
    <x v="15"/>
    <x v="0"/>
    <x v="2"/>
    <x v="0"/>
    <x v="4"/>
    <s v="GO GRASA FORRO PNA LIMP@ BO CJ AS"/>
    <s v="GRASA FORRO"/>
    <x v="6"/>
    <x v="0"/>
    <n v="24000"/>
    <x v="0"/>
    <n v="0"/>
    <n v="24000"/>
    <x v="2"/>
  </r>
  <r>
    <x v="0"/>
    <x v="0"/>
    <x v="16"/>
    <x v="0"/>
    <x v="2"/>
    <x v="0"/>
    <x v="4"/>
    <s v="GO GRASA FORRO PNA LIMP@ BO CJ AS"/>
    <s v="GRASA FORRO"/>
    <x v="5"/>
    <x v="1"/>
    <n v="0"/>
    <x v="0"/>
    <n v="24000"/>
    <n v="24000"/>
    <x v="0"/>
  </r>
  <r>
    <x v="1"/>
    <x v="1"/>
    <x v="17"/>
    <x v="1"/>
    <x v="3"/>
    <x v="0"/>
    <x v="5"/>
    <s v="PO PPA ESP 50 PIM@ CJ 20K AS"/>
    <s v="CARNE RECUPERADA PULPA"/>
    <x v="8"/>
    <x v="0"/>
    <n v="0"/>
    <x v="0"/>
    <n v="24000"/>
    <n v="24000"/>
    <x v="7"/>
  </r>
  <r>
    <x v="1"/>
    <x v="1"/>
    <x v="18"/>
    <x v="1"/>
    <x v="3"/>
    <x v="0"/>
    <x v="5"/>
    <s v="PO PPA ESP 50 PIM@ CJ 20K AS"/>
    <s v="CARNE RECUPERADA PULPA"/>
    <x v="3"/>
    <x v="0"/>
    <n v="0"/>
    <x v="0"/>
    <n v="24000"/>
    <n v="24000"/>
    <x v="7"/>
  </r>
  <r>
    <x v="1"/>
    <x v="1"/>
    <x v="19"/>
    <x v="1"/>
    <x v="3"/>
    <x v="0"/>
    <x v="5"/>
    <s v="PO PPA ESP 50 PIM@ CJ 20K AS"/>
    <s v="CARNE RECUPERADA PULPA"/>
    <x v="3"/>
    <x v="0"/>
    <n v="0"/>
    <x v="0"/>
    <n v="24000"/>
    <n v="24000"/>
    <x v="7"/>
  </r>
  <r>
    <x v="1"/>
    <x v="1"/>
    <x v="20"/>
    <x v="1"/>
    <x v="3"/>
    <x v="0"/>
    <x v="5"/>
    <s v="PO PPA ESP 50 PIM@ CJ 20K AS"/>
    <s v="CARNE RECUPERADA PULPA"/>
    <x v="3"/>
    <x v="0"/>
    <n v="0"/>
    <x v="0"/>
    <n v="24000"/>
    <n v="24000"/>
    <x v="7"/>
  </r>
  <r>
    <x v="1"/>
    <x v="1"/>
    <x v="21"/>
    <x v="1"/>
    <x v="3"/>
    <x v="0"/>
    <x v="5"/>
    <s v="PO PPA ESP 50 PIM@ CJ 20K AS"/>
    <s v="CARNE RECUPERADA PULPA"/>
    <x v="4"/>
    <x v="0"/>
    <n v="0"/>
    <x v="0"/>
    <n v="24000"/>
    <n v="24000"/>
    <x v="7"/>
  </r>
  <r>
    <x v="1"/>
    <x v="1"/>
    <x v="22"/>
    <x v="0"/>
    <x v="4"/>
    <x v="0"/>
    <x v="6"/>
    <s v="PO PPA ESP@ 2 BLO X 10K CJ AS"/>
    <s v="CARNE RECUPERADA PULPA"/>
    <x v="6"/>
    <x v="0"/>
    <n v="24000"/>
    <x v="0"/>
    <n v="0"/>
    <n v="24000"/>
    <x v="8"/>
  </r>
  <r>
    <x v="1"/>
    <x v="1"/>
    <x v="23"/>
    <x v="0"/>
    <x v="4"/>
    <x v="0"/>
    <x v="7"/>
    <s v="PO PPA ESP@ 2 BLOX10KG CJ AS SD"/>
    <s v="CARNE RECUPERADA ADM"/>
    <x v="1"/>
    <x v="1"/>
    <n v="0"/>
    <x v="0"/>
    <n v="24000"/>
    <n v="24000"/>
    <x v="7"/>
  </r>
  <r>
    <x v="1"/>
    <x v="1"/>
    <x v="24"/>
    <x v="1"/>
    <x v="4"/>
    <x v="0"/>
    <x v="8"/>
    <s v="PO PCH PIEL@ CJ 20K AS"/>
    <s v="SUBPROD PIEL"/>
    <x v="6"/>
    <x v="0"/>
    <n v="8000"/>
    <x v="0"/>
    <n v="0"/>
    <n v="8000"/>
    <x v="4"/>
  </r>
  <r>
    <x v="1"/>
    <x v="1"/>
    <x v="24"/>
    <x v="1"/>
    <x v="4"/>
    <x v="0"/>
    <x v="7"/>
    <s v="PO PPA ESP@ 2 BLOX10KG CJ AS SD"/>
    <s v="CARNE RECUPERADA ADM"/>
    <x v="6"/>
    <x v="0"/>
    <n v="16000"/>
    <x v="0"/>
    <n v="0"/>
    <n v="16000"/>
    <x v="4"/>
  </r>
  <r>
    <x v="1"/>
    <x v="1"/>
    <x v="25"/>
    <x v="0"/>
    <x v="4"/>
    <x v="0"/>
    <x v="7"/>
    <s v="PO PPA ESP@ 2 BLOX10KG CJ AS SD"/>
    <s v="CARNE RECUPERADA ADM"/>
    <x v="4"/>
    <x v="0"/>
    <n v="0"/>
    <x v="0"/>
    <n v="24000"/>
    <n v="24000"/>
    <x v="7"/>
  </r>
  <r>
    <x v="1"/>
    <x v="1"/>
    <x v="26"/>
    <x v="0"/>
    <x v="4"/>
    <x v="0"/>
    <x v="7"/>
    <s v="PO PPA ESP@ 2 BLOX10KG CJ AS SD"/>
    <s v="CARNE RECUPERADA ADM"/>
    <x v="5"/>
    <x v="0"/>
    <n v="0"/>
    <x v="0"/>
    <n v="24000"/>
    <n v="24000"/>
    <x v="7"/>
  </r>
  <r>
    <x v="1"/>
    <x v="1"/>
    <x v="27"/>
    <x v="0"/>
    <x v="4"/>
    <x v="0"/>
    <x v="7"/>
    <s v="PO PPA ESP@ 2 BLOX10KG CJ AS SD"/>
    <s v="CARNE RECUPERADA ADM"/>
    <x v="5"/>
    <x v="0"/>
    <n v="0"/>
    <x v="0"/>
    <n v="24000"/>
    <n v="24000"/>
    <x v="7"/>
  </r>
  <r>
    <x v="1"/>
    <x v="1"/>
    <x v="28"/>
    <x v="0"/>
    <x v="4"/>
    <x v="0"/>
    <x v="7"/>
    <s v="PO PPA ESP@ 2 BLOX10KG CJ AS SD"/>
    <s v="CARNE RECUPERADA ADM"/>
    <x v="7"/>
    <x v="0"/>
    <n v="0"/>
    <x v="0"/>
    <n v="24000"/>
    <n v="24000"/>
    <x v="7"/>
  </r>
  <r>
    <x v="1"/>
    <x v="1"/>
    <x v="29"/>
    <x v="0"/>
    <x v="4"/>
    <x v="0"/>
    <x v="9"/>
    <s v="PO CTRE MRPS@ BO 12X1K CJ AS"/>
    <s v="MENUDENCIAS CONTRE"/>
    <x v="6"/>
    <x v="0"/>
    <n v="24000"/>
    <x v="0"/>
    <n v="0"/>
    <n v="24000"/>
    <x v="8"/>
  </r>
  <r>
    <x v="1"/>
    <x v="1"/>
    <x v="30"/>
    <x v="1"/>
    <x v="4"/>
    <x v="0"/>
    <x v="10"/>
    <s v="PO MOLLEJA MRPS@ CJ 10K AS"/>
    <s v="MENUDENCIAS CONTRE"/>
    <x v="6"/>
    <x v="0"/>
    <n v="10000"/>
    <x v="0"/>
    <n v="0"/>
    <n v="10000"/>
    <x v="4"/>
  </r>
  <r>
    <x v="1"/>
    <x v="1"/>
    <x v="30"/>
    <x v="1"/>
    <x v="4"/>
    <x v="0"/>
    <x v="11"/>
    <s v="PO CORAZON@ CJ 18K AS"/>
    <s v="MENUDENCIAS CORAZÓN"/>
    <x v="6"/>
    <x v="0"/>
    <n v="10000"/>
    <x v="0"/>
    <n v="0"/>
    <n v="10000"/>
    <x v="4"/>
  </r>
  <r>
    <x v="1"/>
    <x v="1"/>
    <x v="31"/>
    <x v="0"/>
    <x v="4"/>
    <x v="0"/>
    <x v="12"/>
    <s v="PO PTA ESPINAZ@ CJ 10K AS"/>
    <s v="CAZUELA ESPINAZO"/>
    <x v="1"/>
    <x v="1"/>
    <n v="0"/>
    <x v="0"/>
    <n v="24000"/>
    <n v="24000"/>
    <x v="7"/>
  </r>
  <r>
    <x v="1"/>
    <x v="1"/>
    <x v="32"/>
    <x v="1"/>
    <x v="5"/>
    <x v="0"/>
    <x v="6"/>
    <s v="PO PPA ESP@ 2 BLO X 10K CJ AS"/>
    <s v="CARNE RECUPERADA PULPA"/>
    <x v="6"/>
    <x v="0"/>
    <n v="24000"/>
    <x v="0"/>
    <n v="0"/>
    <n v="24000"/>
    <x v="4"/>
  </r>
  <r>
    <x v="1"/>
    <x v="1"/>
    <x v="33"/>
    <x v="0"/>
    <x v="5"/>
    <x v="0"/>
    <x v="6"/>
    <s v="PO PPA ESP@ 2 BLO X 10K CJ AS"/>
    <s v="CARNE RECUPERADA PULPA"/>
    <x v="6"/>
    <x v="0"/>
    <n v="24000"/>
    <x v="0"/>
    <n v="0"/>
    <n v="24000"/>
    <x v="7"/>
  </r>
  <r>
    <x v="1"/>
    <x v="1"/>
    <x v="34"/>
    <x v="0"/>
    <x v="5"/>
    <x v="0"/>
    <x v="6"/>
    <s v="PO PPA ESP@ 2 BLO X 10K CJ AS"/>
    <s v="CARNE RECUPERADA PULPA"/>
    <x v="6"/>
    <x v="0"/>
    <n v="24000"/>
    <x v="0"/>
    <n v="0"/>
    <n v="24000"/>
    <x v="7"/>
  </r>
  <r>
    <x v="1"/>
    <x v="1"/>
    <x v="35"/>
    <x v="0"/>
    <x v="5"/>
    <x v="0"/>
    <x v="6"/>
    <s v="PO PPA ESP@ 2 BLO X 10K CJ AS"/>
    <s v="CARNE RECUPERADA PULPA"/>
    <x v="6"/>
    <x v="0"/>
    <n v="24000"/>
    <x v="0"/>
    <n v="0"/>
    <n v="24000"/>
    <x v="7"/>
  </r>
  <r>
    <x v="1"/>
    <x v="1"/>
    <x v="36"/>
    <x v="1"/>
    <x v="3"/>
    <x v="0"/>
    <x v="5"/>
    <s v="PO PPA ESP 50 PIM@ CJ 20K AS"/>
    <s v="CARNE RECUPERADA PULPA"/>
    <x v="4"/>
    <x v="0"/>
    <n v="0"/>
    <x v="0"/>
    <n v="24000"/>
    <n v="24000"/>
    <x v="7"/>
  </r>
  <r>
    <x v="1"/>
    <x v="1"/>
    <x v="37"/>
    <x v="1"/>
    <x v="3"/>
    <x v="0"/>
    <x v="5"/>
    <s v="PO PPA ESP 50 PIM@ CJ 20K AS"/>
    <s v="CARNE RECUPERADA PULPA"/>
    <x v="4"/>
    <x v="0"/>
    <n v="0"/>
    <x v="0"/>
    <n v="24000"/>
    <n v="24000"/>
    <x v="7"/>
  </r>
  <r>
    <x v="1"/>
    <x v="1"/>
    <x v="38"/>
    <x v="0"/>
    <x v="6"/>
    <x v="0"/>
    <x v="13"/>
    <s v="PO PCHDEH RANDOM@ CJ 10K AS"/>
    <s v="PECHUGA DESH S/PIEL S/GRASA S/FILETE"/>
    <x v="3"/>
    <x v="0"/>
    <n v="0"/>
    <x v="0"/>
    <n v="23000"/>
    <n v="23000"/>
    <x v="0"/>
  </r>
  <r>
    <x v="1"/>
    <x v="1"/>
    <x v="39"/>
    <x v="0"/>
    <x v="4"/>
    <x v="0"/>
    <x v="10"/>
    <s v="PO MOLLEJA MRPS@ CJ 10K AS"/>
    <s v="MENUDENCIAS CONTRE"/>
    <x v="6"/>
    <x v="0"/>
    <n v="24000"/>
    <x v="0"/>
    <n v="0"/>
    <n v="24000"/>
    <x v="8"/>
  </r>
  <r>
    <x v="1"/>
    <x v="1"/>
    <x v="40"/>
    <x v="0"/>
    <x v="4"/>
    <x v="0"/>
    <x v="10"/>
    <s v="PO MOLLEJA MRPS@ CJ 10K AS"/>
    <s v="MENUDENCIAS CONTRE"/>
    <x v="6"/>
    <x v="1"/>
    <n v="24000"/>
    <x v="0"/>
    <n v="0"/>
    <n v="24000"/>
    <x v="7"/>
  </r>
  <r>
    <x v="1"/>
    <x v="1"/>
    <x v="41"/>
    <x v="0"/>
    <x v="4"/>
    <x v="0"/>
    <x v="10"/>
    <s v="PO MOLLEJA MRPS@ CJ 10K AS"/>
    <s v="MENUDENCIAS CONTRE"/>
    <x v="9"/>
    <x v="0"/>
    <n v="0"/>
    <x v="0"/>
    <n v="12000"/>
    <n v="12000"/>
    <x v="7"/>
  </r>
  <r>
    <x v="1"/>
    <x v="1"/>
    <x v="41"/>
    <x v="0"/>
    <x v="4"/>
    <x v="0"/>
    <x v="12"/>
    <s v="PO PTA ESPINAZ@ CJ 10K AS"/>
    <s v="CAZUELA ESPINAZO"/>
    <x v="9"/>
    <x v="0"/>
    <n v="0"/>
    <x v="0"/>
    <n v="12000"/>
    <n v="12000"/>
    <x v="7"/>
  </r>
  <r>
    <x v="1"/>
    <x v="1"/>
    <x v="42"/>
    <x v="1"/>
    <x v="3"/>
    <x v="0"/>
    <x v="5"/>
    <s v="PO PPA ESP 50 PIM@ CJ 20K AS"/>
    <s v="CARNE RECUPERADA PULPA"/>
    <x v="4"/>
    <x v="0"/>
    <n v="0"/>
    <x v="0"/>
    <n v="24000"/>
    <n v="24000"/>
    <x v="7"/>
  </r>
  <r>
    <x v="1"/>
    <x v="1"/>
    <x v="43"/>
    <x v="1"/>
    <x v="3"/>
    <x v="0"/>
    <x v="5"/>
    <s v="PO PPA ESP 50 PIM@ CJ 20K AS"/>
    <s v="CARNE RECUPERADA PULPA"/>
    <x v="5"/>
    <x v="0"/>
    <n v="0"/>
    <x v="0"/>
    <n v="24000"/>
    <n v="24000"/>
    <x v="7"/>
  </r>
  <r>
    <x v="1"/>
    <x v="1"/>
    <x v="44"/>
    <x v="1"/>
    <x v="4"/>
    <x v="0"/>
    <x v="7"/>
    <s v="PO PPA ESP@ 2 BLOX10KG CJ AS SD"/>
    <s v="CARNE RECUPERADA ADM"/>
    <x v="6"/>
    <x v="0"/>
    <n v="24000"/>
    <x v="0"/>
    <n v="0"/>
    <n v="24000"/>
    <x v="4"/>
  </r>
  <r>
    <x v="1"/>
    <x v="1"/>
    <x v="45"/>
    <x v="1"/>
    <x v="3"/>
    <x v="0"/>
    <x v="5"/>
    <s v="PO PPA ESP 50 PIM@ CJ 20K AS"/>
    <s v="CARNE RECUPERADA PULPA"/>
    <x v="5"/>
    <x v="0"/>
    <n v="0"/>
    <x v="0"/>
    <n v="24000"/>
    <n v="24000"/>
    <x v="7"/>
  </r>
  <r>
    <x v="1"/>
    <x v="1"/>
    <x v="46"/>
    <x v="0"/>
    <x v="5"/>
    <x v="0"/>
    <x v="6"/>
    <s v="PO PPA ESP@ 2 BLO X 10K CJ AS"/>
    <s v="CARNE RECUPERADA PULPA"/>
    <x v="6"/>
    <x v="0"/>
    <n v="24000"/>
    <x v="0"/>
    <n v="0"/>
    <n v="24000"/>
    <x v="7"/>
  </r>
  <r>
    <x v="1"/>
    <x v="1"/>
    <x v="47"/>
    <x v="1"/>
    <x v="3"/>
    <x v="0"/>
    <x v="5"/>
    <s v="PO PPA ESP 50 PIM@ CJ 20K AS"/>
    <s v="CARNE RECUPERADA PULPA"/>
    <x v="5"/>
    <x v="0"/>
    <n v="0"/>
    <x v="0"/>
    <n v="23400"/>
    <n v="23400"/>
    <x v="7"/>
  </r>
  <r>
    <x v="1"/>
    <x v="0"/>
    <x v="48"/>
    <x v="1"/>
    <x v="7"/>
    <x v="0"/>
    <x v="14"/>
    <s v="GO FILE C/CAB@ CJ 5K AS"/>
    <s v="FILETE C/CABEZA"/>
    <x v="6"/>
    <x v="1"/>
    <n v="24000"/>
    <x v="0"/>
    <n v="0"/>
    <n v="24000"/>
    <x v="7"/>
  </r>
  <r>
    <x v="1"/>
    <x v="0"/>
    <x v="49"/>
    <x v="0"/>
    <x v="8"/>
    <x v="0"/>
    <x v="15"/>
    <s v="GO CNE FALDA PAN@ CJ 20K AS"/>
    <s v="PANCETA S/CUERO"/>
    <x v="6"/>
    <x v="0"/>
    <n v="24000"/>
    <x v="0"/>
    <n v="0"/>
    <n v="24000"/>
    <x v="7"/>
  </r>
  <r>
    <x v="1"/>
    <x v="0"/>
    <x v="50"/>
    <x v="0"/>
    <x v="8"/>
    <x v="0"/>
    <x v="16"/>
    <s v="GO CUE GRANEL ESP CC@ CJ 20K AS"/>
    <s v="CUERO MIXTO"/>
    <x v="6"/>
    <x v="0"/>
    <n v="24000"/>
    <x v="0"/>
    <n v="0"/>
    <n v="24000"/>
    <x v="7"/>
  </r>
  <r>
    <x v="1"/>
    <x v="0"/>
    <x v="51"/>
    <x v="1"/>
    <x v="9"/>
    <x v="0"/>
    <x v="17"/>
    <s v="GO GRASA FORRO PAL@ CJ 20K AS"/>
    <s v="GRASA FORRO"/>
    <x v="6"/>
    <x v="0"/>
    <n v="24000"/>
    <x v="0"/>
    <n v="0"/>
    <n v="24000"/>
    <x v="4"/>
  </r>
  <r>
    <x v="1"/>
    <x v="0"/>
    <x v="52"/>
    <x v="1"/>
    <x v="9"/>
    <x v="0"/>
    <x v="18"/>
    <s v="GO CUE PAPDA CP@ CJ 20K AS"/>
    <s v="CUERO PAPADA"/>
    <x v="1"/>
    <x v="0"/>
    <n v="0"/>
    <x v="0"/>
    <n v="24000"/>
    <n v="24000"/>
    <x v="7"/>
  </r>
  <r>
    <x v="1"/>
    <x v="0"/>
    <x v="53"/>
    <x v="0"/>
    <x v="10"/>
    <x v="0"/>
    <x v="19"/>
    <s v="GO TRIMING 80/20@ CJ 20K AS"/>
    <s v="RECORTES NO MAGRO"/>
    <x v="6"/>
    <x v="0"/>
    <n v="24000"/>
    <x v="0"/>
    <n v="0"/>
    <n v="24000"/>
    <x v="4"/>
  </r>
  <r>
    <x v="1"/>
    <x v="0"/>
    <x v="54"/>
    <x v="0"/>
    <x v="10"/>
    <x v="0"/>
    <x v="19"/>
    <s v="GO TRIMING 80/20@ CJ 20K AS"/>
    <s v="RECORTES NO MAGRO"/>
    <x v="6"/>
    <x v="0"/>
    <n v="24000"/>
    <x v="0"/>
    <n v="0"/>
    <n v="24000"/>
    <x v="4"/>
  </r>
  <r>
    <x v="1"/>
    <x v="0"/>
    <x v="55"/>
    <x v="0"/>
    <x v="8"/>
    <x v="0"/>
    <x v="20"/>
    <s v="GO CUE 20@ CJ 20K AS"/>
    <s v="CUERO PANCETA"/>
    <x v="6"/>
    <x v="0"/>
    <n v="24000"/>
    <x v="0"/>
    <n v="0"/>
    <n v="24000"/>
    <x v="7"/>
  </r>
  <r>
    <x v="1"/>
    <x v="0"/>
    <x v="56"/>
    <x v="1"/>
    <x v="7"/>
    <x v="0"/>
    <x v="21"/>
    <s v="GO LOM CTRO 27@ FI CJ 20K AS"/>
    <s v="LOMO CENTRO"/>
    <x v="2"/>
    <x v="1"/>
    <n v="0"/>
    <x v="1"/>
    <n v="0"/>
    <n v="24000"/>
    <x v="7"/>
  </r>
  <r>
    <x v="1"/>
    <x v="0"/>
    <x v="57"/>
    <x v="0"/>
    <x v="3"/>
    <x v="0"/>
    <x v="19"/>
    <s v="GO TRIMING 80/20@ CJ 20K AS"/>
    <s v="RECORTES NO MAGRO"/>
    <x v="10"/>
    <x v="2"/>
    <n v="0"/>
    <x v="0"/>
    <n v="24000"/>
    <n v="24000"/>
    <x v="7"/>
  </r>
  <r>
    <x v="1"/>
    <x v="0"/>
    <x v="58"/>
    <x v="1"/>
    <x v="3"/>
    <x v="0"/>
    <x v="22"/>
    <s v="GO LOM CTRO 27@ CJ 20K AS"/>
    <s v="LOMO CENTRO"/>
    <x v="6"/>
    <x v="1"/>
    <n v="24000"/>
    <x v="0"/>
    <n v="0"/>
    <n v="24000"/>
    <x v="7"/>
  </r>
  <r>
    <x v="1"/>
    <x v="0"/>
    <x v="59"/>
    <x v="1"/>
    <x v="3"/>
    <x v="0"/>
    <x v="23"/>
    <s v="GO PPPAL 77@ CJ 20K AS"/>
    <s v="PALETA PULPA"/>
    <x v="6"/>
    <x v="3"/>
    <n v="0"/>
    <x v="1"/>
    <n v="0"/>
    <n v="24000"/>
    <x v="7"/>
  </r>
  <r>
    <x v="1"/>
    <x v="0"/>
    <x v="60"/>
    <x v="1"/>
    <x v="3"/>
    <x v="0"/>
    <x v="22"/>
    <s v="GO LOM CTRO 27@ CJ 20K AS"/>
    <s v="LOMO CENTRO"/>
    <x v="6"/>
    <x v="1"/>
    <n v="24000"/>
    <x v="0"/>
    <n v="0"/>
    <n v="24000"/>
    <x v="7"/>
  </r>
  <r>
    <x v="1"/>
    <x v="0"/>
    <x v="61"/>
    <x v="0"/>
    <x v="11"/>
    <x v="0"/>
    <x v="24"/>
    <s v="GO TRIMING 85/15@ CJ T-F 20K AS"/>
    <s v="RECORTES NO MAGRO"/>
    <x v="2"/>
    <x v="1"/>
    <n v="0"/>
    <x v="2"/>
    <n v="0"/>
    <n v="23000"/>
    <x v="0"/>
  </r>
  <r>
    <x v="1"/>
    <x v="0"/>
    <x v="62"/>
    <x v="0"/>
    <x v="11"/>
    <x v="0"/>
    <x v="25"/>
    <s v="GO GORD LOM TOCINO@ CJ T-F AS"/>
    <s v="GRASA GORDURA"/>
    <x v="2"/>
    <x v="1"/>
    <n v="0"/>
    <x v="3"/>
    <n v="0"/>
    <n v="6000"/>
    <x v="0"/>
  </r>
  <r>
    <x v="1"/>
    <x v="0"/>
    <x v="62"/>
    <x v="0"/>
    <x v="11"/>
    <x v="0"/>
    <x v="26"/>
    <s v="GO CNE LONG@ CJ T-F AS"/>
    <s v="RECORTES NO MAGRO"/>
    <x v="2"/>
    <x v="1"/>
    <n v="0"/>
    <x v="4"/>
    <n v="0"/>
    <n v="11000"/>
    <x v="0"/>
  </r>
  <r>
    <x v="1"/>
    <x v="0"/>
    <x v="62"/>
    <x v="0"/>
    <x v="11"/>
    <x v="0"/>
    <x v="27"/>
    <s v="GO GORD CHIC@ CJ 20K AS"/>
    <s v="GRASA GORDURA"/>
    <x v="2"/>
    <x v="1"/>
    <n v="0"/>
    <x v="3"/>
    <n v="0"/>
    <n v="6000"/>
    <x v="0"/>
  </r>
  <r>
    <x v="1"/>
    <x v="0"/>
    <x v="63"/>
    <x v="0"/>
    <x v="10"/>
    <x v="0"/>
    <x v="28"/>
    <s v="GO PPPNA 59@ FI CJ 20K AS"/>
    <s v="PIERNA PULPA"/>
    <x v="10"/>
    <x v="2"/>
    <n v="0"/>
    <x v="0"/>
    <n v="24000"/>
    <n v="24000"/>
    <x v="7"/>
  </r>
  <r>
    <x v="1"/>
    <x v="0"/>
    <x v="64"/>
    <x v="0"/>
    <x v="10"/>
    <x v="0"/>
    <x v="28"/>
    <s v="GO PPPNA 59@ FI CJ 20K AS"/>
    <s v="PIERNA PULPA"/>
    <x v="5"/>
    <x v="1"/>
    <n v="0"/>
    <x v="0"/>
    <n v="24000"/>
    <n v="24000"/>
    <x v="7"/>
  </r>
  <r>
    <x v="1"/>
    <x v="0"/>
    <x v="65"/>
    <x v="1"/>
    <x v="10"/>
    <x v="0"/>
    <x v="23"/>
    <s v="GO PPPAL 77@ CJ 20K AS"/>
    <s v="PALETA PULPA"/>
    <x v="6"/>
    <x v="1"/>
    <n v="24000"/>
    <x v="0"/>
    <n v="0"/>
    <n v="24000"/>
    <x v="7"/>
  </r>
  <r>
    <x v="1"/>
    <x v="0"/>
    <x v="66"/>
    <x v="0"/>
    <x v="12"/>
    <x v="0"/>
    <x v="28"/>
    <s v="GO PPPNA 59@ FI CJ 20K AS"/>
    <s v="PIERNA PULPA"/>
    <x v="0"/>
    <x v="1"/>
    <n v="0"/>
    <x v="0"/>
    <n v="24000"/>
    <n v="24000"/>
    <x v="7"/>
  </r>
  <r>
    <x v="1"/>
    <x v="0"/>
    <x v="67"/>
    <x v="0"/>
    <x v="3"/>
    <x v="0"/>
    <x v="23"/>
    <s v="GO PPPAL 77@ CJ 20K AS"/>
    <s v="PALETA PULPA"/>
    <x v="3"/>
    <x v="2"/>
    <n v="0"/>
    <x v="0"/>
    <n v="24000"/>
    <n v="24000"/>
    <x v="7"/>
  </r>
  <r>
    <x v="1"/>
    <x v="0"/>
    <x v="68"/>
    <x v="0"/>
    <x v="3"/>
    <x v="0"/>
    <x v="23"/>
    <s v="GO PPPAL 77@ CJ 20K AS"/>
    <s v="PALETA PULPA"/>
    <x v="11"/>
    <x v="2"/>
    <n v="0"/>
    <x v="0"/>
    <n v="24000"/>
    <n v="24000"/>
    <x v="7"/>
  </r>
  <r>
    <x v="1"/>
    <x v="0"/>
    <x v="69"/>
    <x v="0"/>
    <x v="3"/>
    <x v="0"/>
    <x v="23"/>
    <s v="GO PPPAL 77@ CJ 20K AS"/>
    <s v="PALETA PULPA"/>
    <x v="12"/>
    <x v="2"/>
    <n v="0"/>
    <x v="0"/>
    <n v="24000"/>
    <n v="24000"/>
    <x v="7"/>
  </r>
  <r>
    <x v="1"/>
    <x v="0"/>
    <x v="70"/>
    <x v="0"/>
    <x v="3"/>
    <x v="0"/>
    <x v="23"/>
    <s v="GO PPPAL 77@ CJ 20K AS"/>
    <s v="PALETA PULPA"/>
    <x v="7"/>
    <x v="2"/>
    <n v="0"/>
    <x v="0"/>
    <n v="24000"/>
    <n v="24000"/>
    <x v="7"/>
  </r>
  <r>
    <x v="1"/>
    <x v="0"/>
    <x v="71"/>
    <x v="0"/>
    <x v="3"/>
    <x v="0"/>
    <x v="29"/>
    <s v="GO PAPDA@ CJ T-F AS"/>
    <s v="PLANCHA S/CUERO"/>
    <x v="6"/>
    <x v="0"/>
    <n v="24000"/>
    <x v="0"/>
    <n v="0"/>
    <n v="24000"/>
    <x v="4"/>
  </r>
  <r>
    <x v="1"/>
    <x v="0"/>
    <x v="72"/>
    <x v="1"/>
    <x v="7"/>
    <x v="0"/>
    <x v="28"/>
    <s v="GO PPPNA 59@ FI CJ 20K AS"/>
    <s v="PIERNA PULPA"/>
    <x v="6"/>
    <x v="0"/>
    <n v="24000"/>
    <x v="0"/>
    <n v="0"/>
    <n v="24000"/>
    <x v="4"/>
  </r>
  <r>
    <x v="1"/>
    <x v="0"/>
    <x v="73"/>
    <x v="0"/>
    <x v="8"/>
    <x v="0"/>
    <x v="16"/>
    <s v="GO CUE GRANEL ESP CC@ CJ 20K AS"/>
    <s v="CUERO MIXTO"/>
    <x v="6"/>
    <x v="0"/>
    <n v="24000"/>
    <x v="0"/>
    <n v="0"/>
    <n v="24000"/>
    <x v="7"/>
  </r>
  <r>
    <x v="1"/>
    <x v="0"/>
    <x v="74"/>
    <x v="0"/>
    <x v="8"/>
    <x v="0"/>
    <x v="30"/>
    <s v="GO GORD CHIC@ CJ 20K AS"/>
    <s v="GRASA GORDURA"/>
    <x v="6"/>
    <x v="0"/>
    <n v="24000"/>
    <x v="0"/>
    <n v="0"/>
    <n v="24000"/>
    <x v="7"/>
  </r>
  <r>
    <x v="1"/>
    <x v="0"/>
    <x v="75"/>
    <x v="0"/>
    <x v="3"/>
    <x v="0"/>
    <x v="29"/>
    <s v="GO PAPDA@ CJ T-F AS"/>
    <s v="PLANCHA S/CUERO"/>
    <x v="6"/>
    <x v="0"/>
    <n v="24000"/>
    <x v="0"/>
    <n v="0"/>
    <n v="24000"/>
    <x v="4"/>
  </r>
  <r>
    <x v="1"/>
    <x v="0"/>
    <x v="76"/>
    <x v="1"/>
    <x v="8"/>
    <x v="0"/>
    <x v="30"/>
    <s v="GO GORD CHIC@ CJ 20K AS"/>
    <s v="GRASA GORDURA"/>
    <x v="6"/>
    <x v="0"/>
    <n v="24000"/>
    <x v="0"/>
    <n v="0"/>
    <n v="24000"/>
    <x v="4"/>
  </r>
  <r>
    <x v="1"/>
    <x v="0"/>
    <x v="77"/>
    <x v="0"/>
    <x v="3"/>
    <x v="0"/>
    <x v="31"/>
    <s v="GO TRIMING 70/30@ CJ 20K AS"/>
    <s v="RECORTES NO MAGRO"/>
    <x v="6"/>
    <x v="1"/>
    <n v="24000"/>
    <x v="0"/>
    <n v="0"/>
    <n v="24000"/>
    <x v="7"/>
  </r>
  <r>
    <x v="1"/>
    <x v="0"/>
    <x v="78"/>
    <x v="0"/>
    <x v="6"/>
    <x v="0"/>
    <x v="25"/>
    <s v="GO GORD LOM TOCINO@ CJ T-F AS"/>
    <s v="GRASA GORDURA"/>
    <x v="10"/>
    <x v="2"/>
    <n v="0"/>
    <x v="0"/>
    <n v="24000"/>
    <n v="24000"/>
    <x v="0"/>
  </r>
  <r>
    <x v="1"/>
    <x v="0"/>
    <x v="79"/>
    <x v="1"/>
    <x v="8"/>
    <x v="0"/>
    <x v="32"/>
    <s v="GO CUE PAPDA CP@ CJ 20K BCA AS"/>
    <s v="CUERO PAPADA"/>
    <x v="2"/>
    <x v="1"/>
    <n v="0"/>
    <x v="0"/>
    <n v="24000"/>
    <n v="24000"/>
    <x v="7"/>
  </r>
  <r>
    <x v="1"/>
    <x v="0"/>
    <x v="80"/>
    <x v="1"/>
    <x v="4"/>
    <x v="0"/>
    <x v="24"/>
    <s v="GO TRIMING 85/15@ CJ T-F 20K AS"/>
    <s v="RECORTES NO MAGRO"/>
    <x v="6"/>
    <x v="2"/>
    <n v="24000"/>
    <x v="0"/>
    <n v="0"/>
    <n v="24000"/>
    <x v="7"/>
  </r>
  <r>
    <x v="1"/>
    <x v="0"/>
    <x v="81"/>
    <x v="1"/>
    <x v="4"/>
    <x v="0"/>
    <x v="33"/>
    <s v="GO CORAZÓN PARTIDO@ CJ T-F 20K AS"/>
    <s v="SUBPROD VISCERAS"/>
    <x v="2"/>
    <x v="1"/>
    <n v="0"/>
    <x v="5"/>
    <n v="0"/>
    <n v="4000"/>
    <x v="7"/>
  </r>
  <r>
    <x v="1"/>
    <x v="0"/>
    <x v="82"/>
    <x v="0"/>
    <x v="13"/>
    <x v="0"/>
    <x v="34"/>
    <s v="GO TRIPA S/CAL# BIDON AS"/>
    <s v="SUBPROD TRIPA"/>
    <x v="6"/>
    <x v="0"/>
    <n v="13680"/>
    <x v="0"/>
    <n v="0"/>
    <n v="13680"/>
    <x v="4"/>
  </r>
  <r>
    <x v="1"/>
    <x v="0"/>
    <x v="83"/>
    <x v="0"/>
    <x v="13"/>
    <x v="0"/>
    <x v="15"/>
    <s v="GO CNE FALDA PAN@ CJ 20K AS"/>
    <s v="PANCETA S/CUERO"/>
    <x v="0"/>
    <x v="0"/>
    <n v="0"/>
    <x v="0"/>
    <n v="24000"/>
    <n v="24000"/>
    <x v="7"/>
  </r>
  <r>
    <x v="1"/>
    <x v="0"/>
    <x v="84"/>
    <x v="0"/>
    <x v="3"/>
    <x v="0"/>
    <x v="31"/>
    <s v="GO TRIMING 70/30@ CJ 20K AS"/>
    <s v="RECORTES NO MAGRO"/>
    <x v="4"/>
    <x v="2"/>
    <n v="0"/>
    <x v="0"/>
    <n v="24000"/>
    <n v="24000"/>
    <x v="7"/>
  </r>
  <r>
    <x v="1"/>
    <x v="0"/>
    <x v="85"/>
    <x v="1"/>
    <x v="3"/>
    <x v="0"/>
    <x v="35"/>
    <s v="GO PPPNA 57@ BO CJ AS"/>
    <s v="PIERNA PULPA"/>
    <x v="2"/>
    <x v="2"/>
    <n v="0"/>
    <x v="1"/>
    <n v="0"/>
    <n v="24000"/>
    <x v="7"/>
  </r>
  <r>
    <x v="1"/>
    <x v="0"/>
    <x v="86"/>
    <x v="0"/>
    <x v="3"/>
    <x v="0"/>
    <x v="25"/>
    <s v="GO GORD LOM TOCINO@ CJ T-F AS"/>
    <s v="GRASA GORDURA"/>
    <x v="4"/>
    <x v="1"/>
    <n v="0"/>
    <x v="0"/>
    <n v="24000"/>
    <n v="24000"/>
    <x v="7"/>
  </r>
  <r>
    <x v="1"/>
    <x v="0"/>
    <x v="87"/>
    <x v="1"/>
    <x v="3"/>
    <x v="0"/>
    <x v="26"/>
    <s v="GO CNE LONG@ CJ T-F AS"/>
    <s v="RECORTES NO MAGRO"/>
    <x v="6"/>
    <x v="1"/>
    <n v="24000"/>
    <x v="0"/>
    <n v="0"/>
    <n v="24000"/>
    <x v="7"/>
  </r>
  <r>
    <x v="1"/>
    <x v="0"/>
    <x v="88"/>
    <x v="0"/>
    <x v="13"/>
    <x v="0"/>
    <x v="28"/>
    <s v="GO PPPNA 59@ FI CJ 20K AS"/>
    <s v="PIERNA PULPA"/>
    <x v="0"/>
    <x v="0"/>
    <n v="0"/>
    <x v="0"/>
    <n v="24000"/>
    <n v="24000"/>
    <x v="7"/>
  </r>
  <r>
    <x v="1"/>
    <x v="0"/>
    <x v="89"/>
    <x v="0"/>
    <x v="3"/>
    <x v="0"/>
    <x v="35"/>
    <s v="GO PPPNA 57@ BO CJ AS"/>
    <s v="PIERNA PULPA"/>
    <x v="5"/>
    <x v="1"/>
    <n v="0"/>
    <x v="0"/>
    <n v="24000"/>
    <n v="24000"/>
    <x v="7"/>
  </r>
  <r>
    <x v="1"/>
    <x v="0"/>
    <x v="90"/>
    <x v="0"/>
    <x v="3"/>
    <x v="0"/>
    <x v="19"/>
    <s v="GO TRIMING 80/20@ CJ 20K AS"/>
    <s v="RECORTES NO MAGRO"/>
    <x v="6"/>
    <x v="1"/>
    <n v="24000"/>
    <x v="0"/>
    <n v="0"/>
    <n v="24000"/>
    <x v="7"/>
  </r>
  <r>
    <x v="1"/>
    <x v="0"/>
    <x v="91"/>
    <x v="0"/>
    <x v="4"/>
    <x v="0"/>
    <x v="16"/>
    <s v="GO CUE GRANEL ESP CC@ CJ 20K AS"/>
    <s v="CUERO MIXTO"/>
    <x v="6"/>
    <x v="0"/>
    <n v="24000"/>
    <x v="0"/>
    <n v="0"/>
    <n v="24000"/>
    <x v="8"/>
  </r>
  <r>
    <x v="1"/>
    <x v="0"/>
    <x v="92"/>
    <x v="0"/>
    <x v="10"/>
    <x v="0"/>
    <x v="35"/>
    <s v="GO PPPNA 57@ BO CJ AS"/>
    <s v="PIERNA PULPA"/>
    <x v="2"/>
    <x v="2"/>
    <n v="0"/>
    <x v="0"/>
    <n v="24000"/>
    <n v="24000"/>
    <x v="7"/>
  </r>
  <r>
    <x v="1"/>
    <x v="0"/>
    <x v="93"/>
    <x v="0"/>
    <x v="10"/>
    <x v="0"/>
    <x v="35"/>
    <s v="GO PPPNA 57@ BO CJ AS"/>
    <s v="PIERNA PULPA"/>
    <x v="10"/>
    <x v="1"/>
    <n v="0"/>
    <x v="0"/>
    <n v="24000"/>
    <n v="24000"/>
    <x v="7"/>
  </r>
  <r>
    <x v="1"/>
    <x v="0"/>
    <x v="94"/>
    <x v="0"/>
    <x v="10"/>
    <x v="0"/>
    <x v="35"/>
    <s v="GO PPPNA 57@ BO CJ AS"/>
    <s v="PIERNA PULPA"/>
    <x v="3"/>
    <x v="2"/>
    <n v="0"/>
    <x v="0"/>
    <n v="24000"/>
    <n v="24000"/>
    <x v="7"/>
  </r>
  <r>
    <x v="1"/>
    <x v="0"/>
    <x v="95"/>
    <x v="0"/>
    <x v="10"/>
    <x v="0"/>
    <x v="35"/>
    <s v="GO PPPNA 57@ BO CJ AS"/>
    <s v="PIERNA PULPA"/>
    <x v="1"/>
    <x v="0"/>
    <n v="0"/>
    <x v="0"/>
    <n v="24000"/>
    <n v="24000"/>
    <x v="7"/>
  </r>
  <r>
    <x v="1"/>
    <x v="0"/>
    <x v="96"/>
    <x v="0"/>
    <x v="10"/>
    <x v="0"/>
    <x v="35"/>
    <s v="GO PPPNA 57@ BO CJ AS"/>
    <s v="PIERNA PULPA"/>
    <x v="0"/>
    <x v="1"/>
    <n v="0"/>
    <x v="0"/>
    <n v="24000"/>
    <n v="24000"/>
    <x v="7"/>
  </r>
  <r>
    <x v="1"/>
    <x v="0"/>
    <x v="97"/>
    <x v="0"/>
    <x v="3"/>
    <x v="0"/>
    <x v="28"/>
    <s v="GO PPPNA 59@ FI CJ 20K AS"/>
    <s v="PIERNA PULPA"/>
    <x v="7"/>
    <x v="0"/>
    <n v="0"/>
    <x v="0"/>
    <n v="24000"/>
    <n v="24000"/>
    <x v="7"/>
  </r>
  <r>
    <x v="1"/>
    <x v="0"/>
    <x v="98"/>
    <x v="1"/>
    <x v="3"/>
    <x v="0"/>
    <x v="28"/>
    <s v="GO PPPNA 59@ FI CJ 20K AS"/>
    <s v="PIERNA PULPA"/>
    <x v="6"/>
    <x v="2"/>
    <n v="24000"/>
    <x v="0"/>
    <n v="0"/>
    <n v="24000"/>
    <x v="4"/>
  </r>
  <r>
    <x v="1"/>
    <x v="0"/>
    <x v="99"/>
    <x v="0"/>
    <x v="13"/>
    <x v="0"/>
    <x v="36"/>
    <s v="GO PULMON@ CJ 20K AS"/>
    <s v="SUBPROD VISCERAS"/>
    <x v="12"/>
    <x v="0"/>
    <n v="0"/>
    <x v="0"/>
    <n v="24000"/>
    <n v="24000"/>
    <x v="7"/>
  </r>
  <r>
    <x v="1"/>
    <x v="0"/>
    <x v="100"/>
    <x v="0"/>
    <x v="3"/>
    <x v="0"/>
    <x v="37"/>
    <s v="GO GORD REBAJE@ BO CJ 20K AS"/>
    <s v="GRASA GORDURA"/>
    <x v="4"/>
    <x v="1"/>
    <n v="0"/>
    <x v="0"/>
    <n v="24000"/>
    <n v="24000"/>
    <x v="7"/>
  </r>
  <r>
    <x v="1"/>
    <x v="0"/>
    <x v="101"/>
    <x v="0"/>
    <x v="3"/>
    <x v="0"/>
    <x v="37"/>
    <s v="GO GORD REBAJE@ BO CJ 20K AS"/>
    <s v="GRASA GORDURA"/>
    <x v="11"/>
    <x v="1"/>
    <n v="0"/>
    <x v="0"/>
    <n v="24000"/>
    <n v="24000"/>
    <x v="7"/>
  </r>
  <r>
    <x v="1"/>
    <x v="0"/>
    <x v="102"/>
    <x v="1"/>
    <x v="3"/>
    <x v="0"/>
    <x v="37"/>
    <s v="GO GORD REBAJE@ BO CJ 20K AS"/>
    <s v="GRASA GORDURA"/>
    <x v="6"/>
    <x v="1"/>
    <n v="24000"/>
    <x v="0"/>
    <n v="0"/>
    <n v="24000"/>
    <x v="7"/>
  </r>
  <r>
    <x v="1"/>
    <x v="0"/>
    <x v="103"/>
    <x v="1"/>
    <x v="3"/>
    <x v="0"/>
    <x v="37"/>
    <s v="GO GORD REBAJE@ BO CJ 20K AS"/>
    <s v="GRASA GORDURA"/>
    <x v="2"/>
    <x v="2"/>
    <n v="0"/>
    <x v="0"/>
    <n v="24000"/>
    <n v="24000"/>
    <x v="7"/>
  </r>
  <r>
    <x v="1"/>
    <x v="0"/>
    <x v="104"/>
    <x v="1"/>
    <x v="3"/>
    <x v="0"/>
    <x v="28"/>
    <s v="GO PPPNA 59@ FI CJ 20K AS"/>
    <s v="PIERNA PULPA"/>
    <x v="6"/>
    <x v="1"/>
    <n v="24000"/>
    <x v="0"/>
    <n v="0"/>
    <n v="24000"/>
    <x v="7"/>
  </r>
  <r>
    <x v="1"/>
    <x v="0"/>
    <x v="105"/>
    <x v="1"/>
    <x v="3"/>
    <x v="0"/>
    <x v="28"/>
    <s v="GO PPPNA 59@ FI CJ 20K AS"/>
    <s v="PIERNA PULPA"/>
    <x v="2"/>
    <x v="2"/>
    <n v="0"/>
    <x v="1"/>
    <n v="0"/>
    <n v="24000"/>
    <x v="7"/>
  </r>
  <r>
    <x v="1"/>
    <x v="0"/>
    <x v="106"/>
    <x v="1"/>
    <x v="3"/>
    <x v="0"/>
    <x v="28"/>
    <s v="GO PPPNA 59@ FI CJ 20K AS"/>
    <s v="PIERNA PULPA"/>
    <x v="6"/>
    <x v="0"/>
    <n v="24000"/>
    <x v="0"/>
    <n v="0"/>
    <n v="24000"/>
    <x v="4"/>
  </r>
  <r>
    <x v="1"/>
    <x v="0"/>
    <x v="107"/>
    <x v="0"/>
    <x v="4"/>
    <x v="0"/>
    <x v="24"/>
    <s v="GO TRIMING 85/15@ CJ T-F 20K AS"/>
    <s v="RECORTES NO MAGRO"/>
    <x v="5"/>
    <x v="1"/>
    <n v="0"/>
    <x v="0"/>
    <n v="24000"/>
    <n v="24000"/>
    <x v="7"/>
  </r>
  <r>
    <x v="1"/>
    <x v="0"/>
    <x v="108"/>
    <x v="0"/>
    <x v="10"/>
    <x v="0"/>
    <x v="16"/>
    <s v="GO CUE GRANEL ESP CC@ CJ 20K AS"/>
    <s v="CUERO MIXTO"/>
    <x v="6"/>
    <x v="0"/>
    <n v="24000"/>
    <x v="0"/>
    <n v="0"/>
    <n v="24000"/>
    <x v="4"/>
  </r>
  <r>
    <x v="1"/>
    <x v="2"/>
    <x v="109"/>
    <x v="1"/>
    <x v="3"/>
    <x v="0"/>
    <x v="38"/>
    <s v="PV PIEL TRU@ BO CJ AS"/>
    <s v="RECORTES PIEL"/>
    <x v="4"/>
    <x v="0"/>
    <n v="0"/>
    <x v="0"/>
    <n v="24000"/>
    <n v="24000"/>
    <x v="7"/>
  </r>
  <r>
    <x v="2"/>
    <x v="0"/>
    <x v="110"/>
    <x v="0"/>
    <x v="14"/>
    <x v="0"/>
    <x v="39"/>
    <s v="GO MM LOIN L@ CJ 12K AP"/>
    <s v="LOMO MM LOIN"/>
    <x v="2"/>
    <x v="1"/>
    <n v="0"/>
    <x v="6"/>
    <n v="0"/>
    <n v="3000"/>
    <x v="0"/>
  </r>
  <r>
    <x v="2"/>
    <x v="0"/>
    <x v="110"/>
    <x v="0"/>
    <x v="14"/>
    <x v="0"/>
    <x v="40"/>
    <s v="GO LOM VET &gt;2.0@ FI CJ LOM VET AP"/>
    <s v="LOMO VETADO"/>
    <x v="2"/>
    <x v="1"/>
    <n v="0"/>
    <x v="7"/>
    <n v="0"/>
    <n v="4850"/>
    <x v="0"/>
  </r>
  <r>
    <x v="2"/>
    <x v="0"/>
    <x v="110"/>
    <x v="0"/>
    <x v="14"/>
    <x v="0"/>
    <x v="41"/>
    <s v="GO FILE C/CAB@ VA CJ 10K AP"/>
    <s v="FILETE C/CABEZA"/>
    <x v="2"/>
    <x v="1"/>
    <n v="0"/>
    <x v="8"/>
    <n v="0"/>
    <n v="2000"/>
    <x v="0"/>
  </r>
  <r>
    <x v="2"/>
    <x v="0"/>
    <x v="110"/>
    <x v="0"/>
    <x v="14"/>
    <x v="0"/>
    <x v="42"/>
    <s v="GO PANC TEC S/CUE@ FI CJ CH AP"/>
    <s v="PANCETA S/CUERO"/>
    <x v="2"/>
    <x v="1"/>
    <n v="0"/>
    <x v="9"/>
    <n v="0"/>
    <n v="2150"/>
    <x v="0"/>
  </r>
  <r>
    <x v="2"/>
    <x v="0"/>
    <x v="110"/>
    <x v="0"/>
    <x v="14"/>
    <x v="0"/>
    <x v="43"/>
    <s v="GO LOM VET S/G@ VA CJ CH AP"/>
    <s v="LOMO VETADO"/>
    <x v="2"/>
    <x v="1"/>
    <n v="0"/>
    <x v="6"/>
    <n v="0"/>
    <n v="3000"/>
    <x v="0"/>
  </r>
  <r>
    <x v="2"/>
    <x v="0"/>
    <x v="110"/>
    <x v="0"/>
    <x v="14"/>
    <x v="0"/>
    <x v="44"/>
    <s v="GO RECTO@ CJ FILE AP"/>
    <s v="SUBPROD TRIPA"/>
    <x v="2"/>
    <x v="1"/>
    <n v="0"/>
    <x v="8"/>
    <n v="0"/>
    <n v="2000"/>
    <x v="0"/>
  </r>
  <r>
    <x v="2"/>
    <x v="0"/>
    <x v="110"/>
    <x v="0"/>
    <x v="14"/>
    <x v="0"/>
    <x v="45"/>
    <s v="GO PANC TEC S/CUE L@ FI CJ CH AP"/>
    <s v="PANCETA S/CUERO"/>
    <x v="2"/>
    <x v="1"/>
    <n v="0"/>
    <x v="10"/>
    <n v="0"/>
    <n v="5000"/>
    <x v="0"/>
  </r>
  <r>
    <x v="2"/>
    <x v="0"/>
    <x v="110"/>
    <x v="0"/>
    <x v="14"/>
    <x v="0"/>
    <x v="46"/>
    <s v="GO CNE FALDA PANC@ BO CJ AP"/>
    <s v="PANCETA S/CUERO"/>
    <x v="2"/>
    <x v="1"/>
    <n v="0"/>
    <x v="8"/>
    <n v="0"/>
    <n v="2000"/>
    <x v="0"/>
  </r>
  <r>
    <x v="2"/>
    <x v="0"/>
    <x v="111"/>
    <x v="0"/>
    <x v="15"/>
    <x v="0"/>
    <x v="41"/>
    <s v="GO FILE C/CAB@ VA CJ 10K AP"/>
    <s v="FILETE C/CABEZA"/>
    <x v="10"/>
    <x v="1"/>
    <n v="0"/>
    <x v="11"/>
    <n v="0"/>
    <n v="500"/>
    <x v="0"/>
  </r>
  <r>
    <x v="2"/>
    <x v="0"/>
    <x v="111"/>
    <x v="0"/>
    <x v="15"/>
    <x v="0"/>
    <x v="47"/>
    <s v="GO CC LOIN LL@ BO CJ LOM MAD AP"/>
    <s v="LOMO CC LOIN"/>
    <x v="10"/>
    <x v="1"/>
    <n v="0"/>
    <x v="12"/>
    <n v="0"/>
    <n v="23500"/>
    <x v="0"/>
  </r>
  <r>
    <x v="2"/>
    <x v="0"/>
    <x v="112"/>
    <x v="0"/>
    <x v="15"/>
    <x v="0"/>
    <x v="48"/>
    <s v="GO LOM TECLA@ CJ LOM CTRO JP"/>
    <s v="LOMO CENTRO"/>
    <x v="10"/>
    <x v="0"/>
    <n v="0"/>
    <x v="0"/>
    <n v="2000"/>
    <n v="2000"/>
    <x v="0"/>
  </r>
  <r>
    <x v="2"/>
    <x v="0"/>
    <x v="112"/>
    <x v="0"/>
    <x v="15"/>
    <x v="0"/>
    <x v="39"/>
    <s v="GO MM LOIN L@ CJ 12K AP"/>
    <s v="LOMO MM LOIN"/>
    <x v="10"/>
    <x v="0"/>
    <n v="0"/>
    <x v="0"/>
    <n v="13600"/>
    <n v="13600"/>
    <x v="0"/>
  </r>
  <r>
    <x v="2"/>
    <x v="0"/>
    <x v="112"/>
    <x v="0"/>
    <x v="15"/>
    <x v="0"/>
    <x v="49"/>
    <s v="GO MM LOIN S@ FI CJ 12K AP"/>
    <s v="LOMO MM LOIN"/>
    <x v="10"/>
    <x v="0"/>
    <n v="0"/>
    <x v="0"/>
    <n v="2000"/>
    <n v="2000"/>
    <x v="0"/>
  </r>
  <r>
    <x v="2"/>
    <x v="0"/>
    <x v="112"/>
    <x v="0"/>
    <x v="15"/>
    <x v="0"/>
    <x v="40"/>
    <s v="GO LOM VET &gt;2.0@ FI CJ LOM VET AP"/>
    <s v="LOMO VETADO"/>
    <x v="10"/>
    <x v="0"/>
    <n v="0"/>
    <x v="0"/>
    <n v="2200"/>
    <n v="2200"/>
    <x v="0"/>
  </r>
  <r>
    <x v="2"/>
    <x v="0"/>
    <x v="112"/>
    <x v="0"/>
    <x v="15"/>
    <x v="0"/>
    <x v="50"/>
    <s v="GO PANC TEC S/CUE@ R VP CJ CH AP"/>
    <s v="PANCETA S/CUERO"/>
    <x v="10"/>
    <x v="0"/>
    <n v="0"/>
    <x v="0"/>
    <n v="4000"/>
    <n v="4000"/>
    <x v="0"/>
  </r>
  <r>
    <x v="2"/>
    <x v="0"/>
    <x v="113"/>
    <x v="0"/>
    <x v="15"/>
    <x v="0"/>
    <x v="39"/>
    <s v="GO MM LOIN L@ CJ 12K AP"/>
    <s v="LOMO MM LOIN"/>
    <x v="10"/>
    <x v="1"/>
    <n v="0"/>
    <x v="0"/>
    <n v="14400"/>
    <n v="14400"/>
    <x v="0"/>
  </r>
  <r>
    <x v="2"/>
    <x v="0"/>
    <x v="113"/>
    <x v="0"/>
    <x v="15"/>
    <x v="0"/>
    <x v="49"/>
    <s v="GO MM LOIN S@ FI CJ 12K AP"/>
    <s v="LOMO MM LOIN"/>
    <x v="10"/>
    <x v="1"/>
    <n v="0"/>
    <x v="0"/>
    <n v="2000"/>
    <n v="2000"/>
    <x v="0"/>
  </r>
  <r>
    <x v="2"/>
    <x v="0"/>
    <x v="113"/>
    <x v="0"/>
    <x v="15"/>
    <x v="0"/>
    <x v="40"/>
    <s v="GO LOM VET &gt;2.0@ FI CJ LOM VET AP"/>
    <s v="LOMO VETADO"/>
    <x v="10"/>
    <x v="1"/>
    <n v="0"/>
    <x v="0"/>
    <n v="2200"/>
    <n v="2200"/>
    <x v="0"/>
  </r>
  <r>
    <x v="2"/>
    <x v="0"/>
    <x v="113"/>
    <x v="0"/>
    <x v="15"/>
    <x v="0"/>
    <x v="42"/>
    <s v="GO PANC TEC S/CUE@ FI CJ CH AP"/>
    <s v="PANCETA S/CUERO"/>
    <x v="10"/>
    <x v="1"/>
    <n v="0"/>
    <x v="0"/>
    <n v="2200"/>
    <n v="2200"/>
    <x v="0"/>
  </r>
  <r>
    <x v="2"/>
    <x v="0"/>
    <x v="113"/>
    <x v="0"/>
    <x v="15"/>
    <x v="0"/>
    <x v="50"/>
    <s v="GO PANC TEC S/CUE@ R VP CJ CH AP"/>
    <s v="PANCETA S/CUERO"/>
    <x v="10"/>
    <x v="1"/>
    <n v="0"/>
    <x v="0"/>
    <n v="3000"/>
    <n v="3000"/>
    <x v="0"/>
  </r>
  <r>
    <x v="2"/>
    <x v="0"/>
    <x v="114"/>
    <x v="0"/>
    <x v="15"/>
    <x v="0"/>
    <x v="39"/>
    <s v="GO MM LOIN L@ CJ 12K AP"/>
    <s v="LOMO MM LOIN"/>
    <x v="1"/>
    <x v="0"/>
    <n v="0"/>
    <x v="0"/>
    <n v="14400"/>
    <n v="14400"/>
    <x v="0"/>
  </r>
  <r>
    <x v="2"/>
    <x v="0"/>
    <x v="114"/>
    <x v="0"/>
    <x v="15"/>
    <x v="0"/>
    <x v="49"/>
    <s v="GO MM LOIN S@ FI CJ 12K AP"/>
    <s v="LOMO MM LOIN"/>
    <x v="1"/>
    <x v="0"/>
    <n v="0"/>
    <x v="0"/>
    <n v="2000"/>
    <n v="2000"/>
    <x v="0"/>
  </r>
  <r>
    <x v="2"/>
    <x v="0"/>
    <x v="114"/>
    <x v="0"/>
    <x v="15"/>
    <x v="0"/>
    <x v="40"/>
    <s v="GO LOM VET &gt;2.0@ FI CJ LOM VET AP"/>
    <s v="LOMO VETADO"/>
    <x v="1"/>
    <x v="0"/>
    <n v="0"/>
    <x v="0"/>
    <n v="2200"/>
    <n v="2200"/>
    <x v="0"/>
  </r>
  <r>
    <x v="2"/>
    <x v="0"/>
    <x v="114"/>
    <x v="0"/>
    <x v="15"/>
    <x v="0"/>
    <x v="42"/>
    <s v="GO PANC TEC S/CUE@ FI CJ CH AP"/>
    <s v="PANCETA S/CUERO"/>
    <x v="1"/>
    <x v="0"/>
    <n v="0"/>
    <x v="0"/>
    <n v="2200"/>
    <n v="2200"/>
    <x v="0"/>
  </r>
  <r>
    <x v="2"/>
    <x v="0"/>
    <x v="114"/>
    <x v="0"/>
    <x v="15"/>
    <x v="0"/>
    <x v="50"/>
    <s v="GO PANC TEC S/CUE@ R VP CJ CH AP"/>
    <s v="PANCETA S/CUERO"/>
    <x v="1"/>
    <x v="0"/>
    <n v="0"/>
    <x v="0"/>
    <n v="3000"/>
    <n v="3000"/>
    <x v="0"/>
  </r>
  <r>
    <x v="2"/>
    <x v="0"/>
    <x v="115"/>
    <x v="1"/>
    <x v="15"/>
    <x v="0"/>
    <x v="39"/>
    <s v="GO MM LOIN L@ CJ 12K AP"/>
    <s v="LOMO MM LOIN"/>
    <x v="6"/>
    <x v="0"/>
    <n v="10400"/>
    <x v="0"/>
    <n v="0"/>
    <n v="10400"/>
    <x v="8"/>
  </r>
  <r>
    <x v="2"/>
    <x v="0"/>
    <x v="115"/>
    <x v="1"/>
    <x v="15"/>
    <x v="0"/>
    <x v="49"/>
    <s v="GO MM LOIN S@ FI CJ 12K AP"/>
    <s v="LOMO MM LOIN"/>
    <x v="6"/>
    <x v="0"/>
    <n v="2000"/>
    <x v="0"/>
    <n v="0"/>
    <n v="2000"/>
    <x v="8"/>
  </r>
  <r>
    <x v="2"/>
    <x v="0"/>
    <x v="115"/>
    <x v="1"/>
    <x v="15"/>
    <x v="0"/>
    <x v="40"/>
    <s v="GO LOM VET &gt;2.0@ FI CJ LOM VET AP"/>
    <s v="LOMO VETADO"/>
    <x v="6"/>
    <x v="0"/>
    <n v="2200"/>
    <x v="0"/>
    <n v="0"/>
    <n v="2200"/>
    <x v="8"/>
  </r>
  <r>
    <x v="2"/>
    <x v="0"/>
    <x v="115"/>
    <x v="1"/>
    <x v="15"/>
    <x v="0"/>
    <x v="42"/>
    <s v="GO PANC TEC S/CUE@ FI CJ CH AP"/>
    <s v="PANCETA S/CUERO"/>
    <x v="6"/>
    <x v="0"/>
    <n v="2200"/>
    <x v="0"/>
    <n v="0"/>
    <n v="2200"/>
    <x v="8"/>
  </r>
  <r>
    <x v="2"/>
    <x v="0"/>
    <x v="115"/>
    <x v="1"/>
    <x v="15"/>
    <x v="0"/>
    <x v="51"/>
    <s v="GO LOM CTRO S/TECLA(OY)MIT@ CJ TF 20K AP"/>
    <s v="LOMO CENTRO"/>
    <x v="6"/>
    <x v="0"/>
    <n v="4000"/>
    <x v="0"/>
    <n v="0"/>
    <n v="4000"/>
    <x v="8"/>
  </r>
  <r>
    <x v="2"/>
    <x v="0"/>
    <x v="115"/>
    <x v="1"/>
    <x v="15"/>
    <x v="0"/>
    <x v="50"/>
    <s v="GO PANC TEC S/CUE@ R VP CJ CH AP"/>
    <s v="PANCETA S/CUERO"/>
    <x v="6"/>
    <x v="0"/>
    <n v="3000"/>
    <x v="0"/>
    <n v="0"/>
    <n v="3000"/>
    <x v="8"/>
  </r>
  <r>
    <x v="2"/>
    <x v="0"/>
    <x v="116"/>
    <x v="0"/>
    <x v="15"/>
    <x v="0"/>
    <x v="39"/>
    <s v="GO MM LOIN L@ CJ 12K AP"/>
    <s v="LOMO MM LOIN"/>
    <x v="4"/>
    <x v="0"/>
    <n v="0"/>
    <x v="0"/>
    <n v="10000"/>
    <n v="10000"/>
    <x v="0"/>
  </r>
  <r>
    <x v="2"/>
    <x v="0"/>
    <x v="116"/>
    <x v="0"/>
    <x v="15"/>
    <x v="0"/>
    <x v="49"/>
    <s v="GO MM LOIN S@ FI CJ 12K AP"/>
    <s v="LOMO MM LOIN"/>
    <x v="4"/>
    <x v="0"/>
    <n v="0"/>
    <x v="0"/>
    <n v="2400"/>
    <n v="2400"/>
    <x v="0"/>
  </r>
  <r>
    <x v="2"/>
    <x v="0"/>
    <x v="116"/>
    <x v="0"/>
    <x v="15"/>
    <x v="0"/>
    <x v="40"/>
    <s v="GO LOM VET &gt;2.0@ FI CJ LOM VET AP"/>
    <s v="LOMO VETADO"/>
    <x v="4"/>
    <x v="0"/>
    <n v="0"/>
    <x v="0"/>
    <n v="2200"/>
    <n v="2200"/>
    <x v="0"/>
  </r>
  <r>
    <x v="2"/>
    <x v="0"/>
    <x v="116"/>
    <x v="0"/>
    <x v="15"/>
    <x v="0"/>
    <x v="42"/>
    <s v="GO PANC TEC S/CUE@ FI CJ CH AP"/>
    <s v="PANCETA S/CUERO"/>
    <x v="4"/>
    <x v="0"/>
    <n v="0"/>
    <x v="0"/>
    <n v="2200"/>
    <n v="2200"/>
    <x v="0"/>
  </r>
  <r>
    <x v="2"/>
    <x v="0"/>
    <x v="116"/>
    <x v="0"/>
    <x v="15"/>
    <x v="0"/>
    <x v="51"/>
    <s v="GO LOM CTRO S/TECLA(OY)MIT@ CJ TF 20K AP"/>
    <s v="LOMO CENTRO"/>
    <x v="4"/>
    <x v="0"/>
    <n v="0"/>
    <x v="0"/>
    <n v="4000"/>
    <n v="4000"/>
    <x v="0"/>
  </r>
  <r>
    <x v="2"/>
    <x v="0"/>
    <x v="116"/>
    <x v="0"/>
    <x v="15"/>
    <x v="0"/>
    <x v="50"/>
    <s v="GO PANC TEC S/CUE@ R VP CJ CH AP"/>
    <s v="PANCETA S/CUERO"/>
    <x v="4"/>
    <x v="0"/>
    <n v="0"/>
    <x v="0"/>
    <n v="3000"/>
    <n v="3000"/>
    <x v="0"/>
  </r>
  <r>
    <x v="2"/>
    <x v="0"/>
    <x v="117"/>
    <x v="1"/>
    <x v="15"/>
    <x v="0"/>
    <x v="39"/>
    <s v="GO MM LOIN L@ CJ 12K AP"/>
    <s v="LOMO MM LOIN"/>
    <x v="2"/>
    <x v="1"/>
    <n v="0"/>
    <x v="13"/>
    <n v="0"/>
    <n v="11400"/>
    <x v="0"/>
  </r>
  <r>
    <x v="2"/>
    <x v="0"/>
    <x v="117"/>
    <x v="1"/>
    <x v="15"/>
    <x v="0"/>
    <x v="40"/>
    <s v="GO LOM VET &gt;2.0@ FI CJ LOM VET AP"/>
    <s v="LOMO VETADO"/>
    <x v="2"/>
    <x v="1"/>
    <n v="0"/>
    <x v="14"/>
    <n v="0"/>
    <n v="2200"/>
    <x v="0"/>
  </r>
  <r>
    <x v="2"/>
    <x v="0"/>
    <x v="117"/>
    <x v="1"/>
    <x v="15"/>
    <x v="0"/>
    <x v="42"/>
    <s v="GO PANC TEC S/CUE@ FI CJ CH AP"/>
    <s v="PANCETA S/CUERO"/>
    <x v="2"/>
    <x v="1"/>
    <n v="0"/>
    <x v="14"/>
    <n v="0"/>
    <n v="2200"/>
    <x v="0"/>
  </r>
  <r>
    <x v="2"/>
    <x v="0"/>
    <x v="117"/>
    <x v="1"/>
    <x v="15"/>
    <x v="0"/>
    <x v="52"/>
    <s v="GO MM LOIN L (MC4-5)@ FI CJ CH JP"/>
    <s v="LOMO MM LOIN"/>
    <x v="2"/>
    <x v="1"/>
    <n v="0"/>
    <x v="10"/>
    <n v="0"/>
    <n v="5000"/>
    <x v="0"/>
  </r>
  <r>
    <x v="2"/>
    <x v="0"/>
    <x v="117"/>
    <x v="1"/>
    <x v="15"/>
    <x v="0"/>
    <x v="50"/>
    <s v="GO PANC TEC S/CUE@ R VP CJ CH AP"/>
    <s v="PANCETA S/CUERO"/>
    <x v="2"/>
    <x v="1"/>
    <n v="0"/>
    <x v="6"/>
    <n v="0"/>
    <n v="3000"/>
    <x v="0"/>
  </r>
  <r>
    <x v="2"/>
    <x v="0"/>
    <x v="118"/>
    <x v="1"/>
    <x v="15"/>
    <x v="0"/>
    <x v="39"/>
    <s v="GO MM LOIN L@ CJ 12K AP"/>
    <s v="LOMO MM LOIN"/>
    <x v="2"/>
    <x v="1"/>
    <n v="0"/>
    <x v="13"/>
    <n v="0"/>
    <n v="11400"/>
    <x v="0"/>
  </r>
  <r>
    <x v="2"/>
    <x v="0"/>
    <x v="118"/>
    <x v="1"/>
    <x v="15"/>
    <x v="0"/>
    <x v="40"/>
    <s v="GO LOM VET &gt;2.0@ FI CJ LOM VET AP"/>
    <s v="LOMO VETADO"/>
    <x v="2"/>
    <x v="1"/>
    <n v="0"/>
    <x v="14"/>
    <n v="0"/>
    <n v="2200"/>
    <x v="0"/>
  </r>
  <r>
    <x v="2"/>
    <x v="0"/>
    <x v="118"/>
    <x v="1"/>
    <x v="15"/>
    <x v="0"/>
    <x v="42"/>
    <s v="GO PANC TEC S/CUE@ FI CJ CH AP"/>
    <s v="PANCETA S/CUERO"/>
    <x v="2"/>
    <x v="1"/>
    <n v="0"/>
    <x v="14"/>
    <n v="0"/>
    <n v="2200"/>
    <x v="0"/>
  </r>
  <r>
    <x v="2"/>
    <x v="0"/>
    <x v="118"/>
    <x v="1"/>
    <x v="15"/>
    <x v="0"/>
    <x v="52"/>
    <s v="GO MM LOIN L (MC4-5)@ FI CJ CH JP"/>
    <s v="LOMO MM LOIN"/>
    <x v="2"/>
    <x v="1"/>
    <n v="0"/>
    <x v="8"/>
    <n v="0"/>
    <n v="2000"/>
    <x v="0"/>
  </r>
  <r>
    <x v="2"/>
    <x v="0"/>
    <x v="118"/>
    <x v="1"/>
    <x v="15"/>
    <x v="0"/>
    <x v="53"/>
    <s v="GO CC LOIN L (S/T) 45@ FI CJ AP"/>
    <s v="LOMO CC LOIN"/>
    <x v="2"/>
    <x v="1"/>
    <n v="0"/>
    <x v="6"/>
    <n v="0"/>
    <n v="3000"/>
    <x v="0"/>
  </r>
  <r>
    <x v="2"/>
    <x v="0"/>
    <x v="118"/>
    <x v="1"/>
    <x v="15"/>
    <x v="0"/>
    <x v="50"/>
    <s v="GO PANC TEC S/CUE@ R VP CJ CH AP"/>
    <s v="PANCETA S/CUERO"/>
    <x v="2"/>
    <x v="1"/>
    <n v="0"/>
    <x v="6"/>
    <n v="0"/>
    <n v="3000"/>
    <x v="0"/>
  </r>
  <r>
    <x v="2"/>
    <x v="0"/>
    <x v="119"/>
    <x v="0"/>
    <x v="15"/>
    <x v="0"/>
    <x v="39"/>
    <s v="GO MM LOIN L@ CJ 12K AP"/>
    <s v="LOMO MM LOIN"/>
    <x v="1"/>
    <x v="0"/>
    <n v="0"/>
    <x v="0"/>
    <n v="11400"/>
    <n v="11400"/>
    <x v="0"/>
  </r>
  <r>
    <x v="2"/>
    <x v="0"/>
    <x v="119"/>
    <x v="0"/>
    <x v="15"/>
    <x v="0"/>
    <x v="40"/>
    <s v="GO LOM VET &gt;2.0@ FI CJ LOM VET AP"/>
    <s v="LOMO VETADO"/>
    <x v="1"/>
    <x v="0"/>
    <n v="0"/>
    <x v="0"/>
    <n v="2200"/>
    <n v="2200"/>
    <x v="0"/>
  </r>
  <r>
    <x v="2"/>
    <x v="0"/>
    <x v="119"/>
    <x v="0"/>
    <x v="15"/>
    <x v="0"/>
    <x v="42"/>
    <s v="GO PANC TEC S/CUE@ FI CJ CH AP"/>
    <s v="PANCETA S/CUERO"/>
    <x v="1"/>
    <x v="0"/>
    <n v="0"/>
    <x v="0"/>
    <n v="2200"/>
    <n v="2200"/>
    <x v="0"/>
  </r>
  <r>
    <x v="2"/>
    <x v="0"/>
    <x v="119"/>
    <x v="0"/>
    <x v="15"/>
    <x v="0"/>
    <x v="54"/>
    <s v="GO CC LOIN L (S/T)@ FI CJ AP"/>
    <s v="LOMO CC LOIN"/>
    <x v="1"/>
    <x v="0"/>
    <n v="0"/>
    <x v="0"/>
    <n v="5000"/>
    <n v="5000"/>
    <x v="0"/>
  </r>
  <r>
    <x v="2"/>
    <x v="0"/>
    <x v="119"/>
    <x v="0"/>
    <x v="15"/>
    <x v="0"/>
    <x v="50"/>
    <s v="GO PANC TEC S/CUE@ R VP CJ CH AP"/>
    <s v="PANCETA S/CUERO"/>
    <x v="1"/>
    <x v="0"/>
    <n v="0"/>
    <x v="0"/>
    <n v="3000"/>
    <n v="3000"/>
    <x v="0"/>
  </r>
  <r>
    <x v="2"/>
    <x v="0"/>
    <x v="120"/>
    <x v="0"/>
    <x v="15"/>
    <x v="0"/>
    <x v="39"/>
    <s v="GO MM LOIN L@ CJ 12K AP"/>
    <s v="LOMO MM LOIN"/>
    <x v="4"/>
    <x v="0"/>
    <n v="0"/>
    <x v="0"/>
    <n v="8900"/>
    <n v="8900"/>
    <x v="0"/>
  </r>
  <r>
    <x v="2"/>
    <x v="0"/>
    <x v="120"/>
    <x v="0"/>
    <x v="15"/>
    <x v="0"/>
    <x v="40"/>
    <s v="GO LOM VET &gt;2.0@ FI CJ LOM VET AP"/>
    <s v="LOMO VETADO"/>
    <x v="4"/>
    <x v="0"/>
    <n v="0"/>
    <x v="0"/>
    <n v="2200"/>
    <n v="2200"/>
    <x v="0"/>
  </r>
  <r>
    <x v="2"/>
    <x v="0"/>
    <x v="120"/>
    <x v="0"/>
    <x v="15"/>
    <x v="0"/>
    <x v="42"/>
    <s v="GO PANC TEC S/CUE@ FI CJ CH AP"/>
    <s v="PANCETA S/CUERO"/>
    <x v="4"/>
    <x v="0"/>
    <n v="0"/>
    <x v="0"/>
    <n v="2200"/>
    <n v="2200"/>
    <x v="0"/>
  </r>
  <r>
    <x v="2"/>
    <x v="0"/>
    <x v="120"/>
    <x v="0"/>
    <x v="15"/>
    <x v="0"/>
    <x v="54"/>
    <s v="GO CC LOIN L (S/T)@ FI CJ AP"/>
    <s v="LOMO CC LOIN"/>
    <x v="4"/>
    <x v="0"/>
    <n v="0"/>
    <x v="0"/>
    <n v="5000"/>
    <n v="5000"/>
    <x v="0"/>
  </r>
  <r>
    <x v="2"/>
    <x v="0"/>
    <x v="120"/>
    <x v="0"/>
    <x v="15"/>
    <x v="0"/>
    <x v="55"/>
    <s v="GO LOM TECLA VP@ CJ LOM CTRO"/>
    <s v="LOMO CENTRO"/>
    <x v="4"/>
    <x v="0"/>
    <n v="0"/>
    <x v="0"/>
    <n v="2500"/>
    <n v="2500"/>
    <x v="0"/>
  </r>
  <r>
    <x v="2"/>
    <x v="0"/>
    <x v="120"/>
    <x v="0"/>
    <x v="15"/>
    <x v="0"/>
    <x v="50"/>
    <s v="GO PANC TEC S/CUE@ R VP CJ CH AP"/>
    <s v="PANCETA S/CUERO"/>
    <x v="4"/>
    <x v="0"/>
    <n v="0"/>
    <x v="0"/>
    <n v="3000"/>
    <n v="3000"/>
    <x v="0"/>
  </r>
  <r>
    <x v="2"/>
    <x v="0"/>
    <x v="121"/>
    <x v="1"/>
    <x v="15"/>
    <x v="0"/>
    <x v="39"/>
    <s v="GO MM LOIN L@ CJ 12K AP"/>
    <s v="LOMO MM LOIN"/>
    <x v="6"/>
    <x v="0"/>
    <n v="11100"/>
    <x v="0"/>
    <n v="0"/>
    <n v="11100"/>
    <x v="0"/>
  </r>
  <r>
    <x v="2"/>
    <x v="0"/>
    <x v="121"/>
    <x v="1"/>
    <x v="15"/>
    <x v="0"/>
    <x v="42"/>
    <s v="GO PANC TEC S/CUE@ FI CJ CH AP"/>
    <s v="PANCETA S/CUERO"/>
    <x v="6"/>
    <x v="0"/>
    <n v="2200"/>
    <x v="0"/>
    <n v="0"/>
    <n v="2200"/>
    <x v="0"/>
  </r>
  <r>
    <x v="2"/>
    <x v="0"/>
    <x v="121"/>
    <x v="1"/>
    <x v="15"/>
    <x v="0"/>
    <x v="56"/>
    <s v="GO PANC S/TEC N@ FI CJ 20K AP"/>
    <s v="PANCETA S/CUERO"/>
    <x v="6"/>
    <x v="0"/>
    <n v="5000"/>
    <x v="0"/>
    <n v="0"/>
    <n v="5000"/>
    <x v="0"/>
  </r>
  <r>
    <x v="2"/>
    <x v="0"/>
    <x v="121"/>
    <x v="1"/>
    <x v="15"/>
    <x v="0"/>
    <x v="57"/>
    <s v="LOM VET &gt;2.0@ VP CJ LOM VET AP"/>
    <s v="LOMO VETADO"/>
    <x v="6"/>
    <x v="0"/>
    <n v="2500"/>
    <x v="0"/>
    <n v="0"/>
    <n v="2500"/>
    <x v="0"/>
  </r>
  <r>
    <x v="2"/>
    <x v="0"/>
    <x v="121"/>
    <x v="1"/>
    <x v="15"/>
    <x v="0"/>
    <x v="50"/>
    <s v="GO PANC TEC S/CUE@ R VP CJ CH AP"/>
    <s v="PANCETA S/CUERO"/>
    <x v="6"/>
    <x v="0"/>
    <n v="3000"/>
    <x v="0"/>
    <n v="0"/>
    <n v="3000"/>
    <x v="0"/>
  </r>
  <r>
    <x v="2"/>
    <x v="0"/>
    <x v="122"/>
    <x v="1"/>
    <x v="16"/>
    <x v="0"/>
    <x v="48"/>
    <s v="GO LOM TECLA@ CJ LOM CTRO JP"/>
    <s v="LOMO CENTRO"/>
    <x v="12"/>
    <x v="1"/>
    <n v="0"/>
    <x v="0"/>
    <n v="1500"/>
    <n v="1500"/>
    <x v="0"/>
  </r>
  <r>
    <x v="2"/>
    <x v="0"/>
    <x v="122"/>
    <x v="1"/>
    <x v="16"/>
    <x v="0"/>
    <x v="49"/>
    <s v="GO MM LOIN S@ FI CJ 12K AP"/>
    <s v="LOMO MM LOIN"/>
    <x v="12"/>
    <x v="1"/>
    <n v="0"/>
    <x v="0"/>
    <n v="3500"/>
    <n v="3500"/>
    <x v="0"/>
  </r>
  <r>
    <x v="2"/>
    <x v="0"/>
    <x v="122"/>
    <x v="1"/>
    <x v="16"/>
    <x v="0"/>
    <x v="40"/>
    <s v="GO LOM VET &gt;2.0@ FI CJ LOM VET AP"/>
    <s v="LOMO VETADO"/>
    <x v="12"/>
    <x v="1"/>
    <n v="0"/>
    <x v="0"/>
    <n v="9000"/>
    <n v="9000"/>
    <x v="0"/>
  </r>
  <r>
    <x v="2"/>
    <x v="0"/>
    <x v="122"/>
    <x v="1"/>
    <x v="16"/>
    <x v="0"/>
    <x v="42"/>
    <s v="GO PANC TEC S/CUE@ FI CJ CH AP"/>
    <s v="PANCETA S/CUERO"/>
    <x v="12"/>
    <x v="1"/>
    <n v="0"/>
    <x v="0"/>
    <n v="2500"/>
    <n v="2500"/>
    <x v="0"/>
  </r>
  <r>
    <x v="2"/>
    <x v="0"/>
    <x v="122"/>
    <x v="1"/>
    <x v="16"/>
    <x v="0"/>
    <x v="58"/>
    <s v="GO GANSO C/ASTO 3P@ VA CJ T-F AP"/>
    <s v="PIERNA PULPA FINA"/>
    <x v="12"/>
    <x v="1"/>
    <n v="0"/>
    <x v="0"/>
    <n v="3500"/>
    <n v="3500"/>
    <x v="0"/>
  </r>
  <r>
    <x v="2"/>
    <x v="0"/>
    <x v="122"/>
    <x v="1"/>
    <x v="16"/>
    <x v="0"/>
    <x v="59"/>
    <s v="GO PANC S/TEC/CUE I@ FI CJ PANC 4S AP"/>
    <s v="PANCETA S/CUERO"/>
    <x v="12"/>
    <x v="1"/>
    <n v="0"/>
    <x v="0"/>
    <n v="3000"/>
    <n v="3000"/>
    <x v="0"/>
  </r>
  <r>
    <x v="2"/>
    <x v="0"/>
    <x v="122"/>
    <x v="1"/>
    <x v="16"/>
    <x v="0"/>
    <x v="56"/>
    <s v="GO PANC S/TEC N@ FI CJ 20K AP"/>
    <s v="PANCETA S/CUERO"/>
    <x v="12"/>
    <x v="1"/>
    <n v="0"/>
    <x v="0"/>
    <n v="1000"/>
    <n v="1000"/>
    <x v="0"/>
  </r>
  <r>
    <x v="2"/>
    <x v="0"/>
    <x v="123"/>
    <x v="0"/>
    <x v="14"/>
    <x v="0"/>
    <x v="60"/>
    <s v="GO PPPAL PIM@ CJ AP"/>
    <s v="PALETA PULPA"/>
    <x v="2"/>
    <x v="0"/>
    <n v="0"/>
    <x v="0"/>
    <n v="24000"/>
    <n v="24000"/>
    <x v="0"/>
  </r>
  <r>
    <x v="2"/>
    <x v="0"/>
    <x v="124"/>
    <x v="0"/>
    <x v="14"/>
    <x v="0"/>
    <x v="60"/>
    <s v="GO PPPAL PIM@ CJ AP"/>
    <s v="PALETA PULPA"/>
    <x v="2"/>
    <x v="0"/>
    <n v="0"/>
    <x v="1"/>
    <n v="0"/>
    <n v="24000"/>
    <x v="0"/>
  </r>
  <r>
    <x v="2"/>
    <x v="0"/>
    <x v="125"/>
    <x v="1"/>
    <x v="15"/>
    <x v="0"/>
    <x v="48"/>
    <s v="GO LOM TECLA@ CJ LOM CTRO JP"/>
    <s v="LOMO CENTRO"/>
    <x v="6"/>
    <x v="0"/>
    <n v="2000"/>
    <x v="0"/>
    <n v="0"/>
    <n v="2000"/>
    <x v="0"/>
  </r>
  <r>
    <x v="2"/>
    <x v="0"/>
    <x v="125"/>
    <x v="1"/>
    <x v="15"/>
    <x v="0"/>
    <x v="39"/>
    <s v="GO MM LOIN L@ CJ 12K AP"/>
    <s v="LOMO MM LOIN"/>
    <x v="6"/>
    <x v="0"/>
    <n v="14900"/>
    <x v="0"/>
    <n v="0"/>
    <n v="14900"/>
    <x v="0"/>
  </r>
  <r>
    <x v="2"/>
    <x v="0"/>
    <x v="125"/>
    <x v="1"/>
    <x v="15"/>
    <x v="0"/>
    <x v="49"/>
    <s v="GO MM LOIN S@ FI CJ 12K AP"/>
    <s v="LOMO MM LOIN"/>
    <x v="6"/>
    <x v="0"/>
    <n v="2000"/>
    <x v="0"/>
    <n v="0"/>
    <n v="2000"/>
    <x v="0"/>
  </r>
  <r>
    <x v="2"/>
    <x v="0"/>
    <x v="125"/>
    <x v="1"/>
    <x v="15"/>
    <x v="0"/>
    <x v="40"/>
    <s v="GO LOM VET &gt;2.0@ FI CJ LOM VET AP"/>
    <s v="LOMO VETADO"/>
    <x v="6"/>
    <x v="0"/>
    <n v="2200"/>
    <x v="0"/>
    <n v="0"/>
    <n v="2200"/>
    <x v="0"/>
  </r>
  <r>
    <x v="2"/>
    <x v="0"/>
    <x v="125"/>
    <x v="1"/>
    <x v="15"/>
    <x v="0"/>
    <x v="41"/>
    <s v="GO FILE C/CAB@ VA CJ 10K AP"/>
    <s v="FILETE C/CABEZA"/>
    <x v="6"/>
    <x v="0"/>
    <n v="1700"/>
    <x v="0"/>
    <n v="0"/>
    <n v="1700"/>
    <x v="0"/>
  </r>
  <r>
    <x v="2"/>
    <x v="0"/>
    <x v="125"/>
    <x v="1"/>
    <x v="15"/>
    <x v="0"/>
    <x v="61"/>
    <s v="GO MM LOIN S VP@ CJ 10K AP"/>
    <s v="LOMO MM LOIN"/>
    <x v="6"/>
    <x v="0"/>
    <n v="1000"/>
    <x v="0"/>
    <n v="0"/>
    <n v="1000"/>
    <x v="0"/>
  </r>
  <r>
    <x v="2"/>
    <x v="0"/>
    <x v="126"/>
    <x v="1"/>
    <x v="15"/>
    <x v="0"/>
    <x v="39"/>
    <s v="GO MM LOIN L@ CJ 12K AP"/>
    <s v="LOMO MM LOIN"/>
    <x v="6"/>
    <x v="0"/>
    <n v="13600"/>
    <x v="0"/>
    <n v="0"/>
    <n v="13600"/>
    <x v="0"/>
  </r>
  <r>
    <x v="2"/>
    <x v="0"/>
    <x v="126"/>
    <x v="1"/>
    <x v="15"/>
    <x v="0"/>
    <x v="40"/>
    <s v="GO LOM VET &gt;2.0@ FI CJ LOM VET AP"/>
    <s v="LOMO VETADO"/>
    <x v="6"/>
    <x v="0"/>
    <n v="5200"/>
    <x v="0"/>
    <n v="0"/>
    <n v="5200"/>
    <x v="0"/>
  </r>
  <r>
    <x v="2"/>
    <x v="0"/>
    <x v="126"/>
    <x v="1"/>
    <x v="15"/>
    <x v="0"/>
    <x v="62"/>
    <s v="GO PANC MIT@ VA CJ 20K AP"/>
    <s v="PANCETA S/CUERO"/>
    <x v="6"/>
    <x v="0"/>
    <n v="5000"/>
    <x v="0"/>
    <n v="0"/>
    <n v="5000"/>
    <x v="0"/>
  </r>
  <r>
    <x v="2"/>
    <x v="0"/>
    <x v="127"/>
    <x v="1"/>
    <x v="15"/>
    <x v="0"/>
    <x v="39"/>
    <s v="GO MM LOIN L@ CJ 12K AP"/>
    <s v="LOMO MM LOIN"/>
    <x v="6"/>
    <x v="0"/>
    <n v="11900"/>
    <x v="0"/>
    <n v="0"/>
    <n v="11900"/>
    <x v="0"/>
  </r>
  <r>
    <x v="2"/>
    <x v="0"/>
    <x v="127"/>
    <x v="1"/>
    <x v="15"/>
    <x v="0"/>
    <x v="40"/>
    <s v="GO LOM VET &gt;2.0@ FI CJ LOM VET AP"/>
    <s v="LOMO VETADO"/>
    <x v="6"/>
    <x v="0"/>
    <n v="2200"/>
    <x v="0"/>
    <n v="0"/>
    <n v="2200"/>
    <x v="0"/>
  </r>
  <r>
    <x v="2"/>
    <x v="0"/>
    <x v="127"/>
    <x v="1"/>
    <x v="15"/>
    <x v="0"/>
    <x v="42"/>
    <s v="GO PANC TEC S/CUE@ FI CJ CH AP"/>
    <s v="PANCETA S/CUERO"/>
    <x v="6"/>
    <x v="0"/>
    <n v="2200"/>
    <x v="0"/>
    <n v="0"/>
    <n v="2200"/>
    <x v="0"/>
  </r>
  <r>
    <x v="2"/>
    <x v="0"/>
    <x v="127"/>
    <x v="1"/>
    <x v="15"/>
    <x v="0"/>
    <x v="56"/>
    <s v="GO PANC S/TEC N@ FI CJ 20K AP"/>
    <s v="PANCETA S/CUERO"/>
    <x v="6"/>
    <x v="0"/>
    <n v="5000"/>
    <x v="0"/>
    <n v="0"/>
    <n v="5000"/>
    <x v="0"/>
  </r>
  <r>
    <x v="2"/>
    <x v="0"/>
    <x v="127"/>
    <x v="1"/>
    <x v="15"/>
    <x v="0"/>
    <x v="57"/>
    <s v="LOM VET &gt;2.0@ VP CJ LOM VET AP"/>
    <s v="LOMO VETADO"/>
    <x v="6"/>
    <x v="0"/>
    <n v="2500"/>
    <x v="0"/>
    <n v="0"/>
    <n v="2500"/>
    <x v="0"/>
  </r>
  <r>
    <x v="2"/>
    <x v="0"/>
    <x v="128"/>
    <x v="1"/>
    <x v="15"/>
    <x v="0"/>
    <x v="39"/>
    <s v="GO MM LOIN L@ CJ 12K AP"/>
    <s v="LOMO MM LOIN"/>
    <x v="6"/>
    <x v="0"/>
    <n v="11000"/>
    <x v="0"/>
    <n v="0"/>
    <n v="11000"/>
    <x v="0"/>
  </r>
  <r>
    <x v="2"/>
    <x v="0"/>
    <x v="128"/>
    <x v="1"/>
    <x v="15"/>
    <x v="0"/>
    <x v="40"/>
    <s v="GO LOM VET &gt;2.0@ FI CJ LOM VET AP"/>
    <s v="LOMO VETADO"/>
    <x v="6"/>
    <x v="0"/>
    <n v="1600"/>
    <x v="0"/>
    <n v="0"/>
    <n v="1600"/>
    <x v="0"/>
  </r>
  <r>
    <x v="2"/>
    <x v="0"/>
    <x v="128"/>
    <x v="1"/>
    <x v="15"/>
    <x v="0"/>
    <x v="63"/>
    <s v="GO LOM VET &lt;2.0@ FI CJ AP"/>
    <s v="LOMO VETADO"/>
    <x v="6"/>
    <x v="0"/>
    <n v="2000"/>
    <x v="0"/>
    <n v="0"/>
    <n v="2000"/>
    <x v="0"/>
  </r>
  <r>
    <x v="2"/>
    <x v="0"/>
    <x v="128"/>
    <x v="1"/>
    <x v="15"/>
    <x v="0"/>
    <x v="42"/>
    <s v="GO PANC TEC S/CUE@ FI CJ CH AP"/>
    <s v="PANCETA S/CUERO"/>
    <x v="6"/>
    <x v="0"/>
    <n v="2200"/>
    <x v="0"/>
    <n v="0"/>
    <n v="2200"/>
    <x v="0"/>
  </r>
  <r>
    <x v="2"/>
    <x v="0"/>
    <x v="128"/>
    <x v="1"/>
    <x v="15"/>
    <x v="0"/>
    <x v="64"/>
    <s v="GO LOM VET MIT@ 4 BO CJ 10K AP"/>
    <s v="LOMO VETADO"/>
    <x v="6"/>
    <x v="0"/>
    <n v="4500"/>
    <x v="0"/>
    <n v="0"/>
    <n v="4500"/>
    <x v="0"/>
  </r>
  <r>
    <x v="2"/>
    <x v="0"/>
    <x v="128"/>
    <x v="1"/>
    <x v="15"/>
    <x v="0"/>
    <x v="57"/>
    <s v="LOM VET &gt;2.0@ VP CJ LOM VET AP"/>
    <s v="LOMO VETADO"/>
    <x v="6"/>
    <x v="0"/>
    <n v="2500"/>
    <x v="0"/>
    <n v="0"/>
    <n v="2500"/>
    <x v="0"/>
  </r>
  <r>
    <x v="2"/>
    <x v="0"/>
    <x v="129"/>
    <x v="1"/>
    <x v="15"/>
    <x v="0"/>
    <x v="39"/>
    <s v="GO MM LOIN L@ CJ 12K AP"/>
    <s v="LOMO MM LOIN"/>
    <x v="6"/>
    <x v="0"/>
    <n v="7400"/>
    <x v="0"/>
    <n v="0"/>
    <n v="7400"/>
    <x v="0"/>
  </r>
  <r>
    <x v="2"/>
    <x v="0"/>
    <x v="129"/>
    <x v="1"/>
    <x v="15"/>
    <x v="0"/>
    <x v="40"/>
    <s v="GO LOM VET &gt;2.0@ FI CJ LOM VET AP"/>
    <s v="LOMO VETADO"/>
    <x v="6"/>
    <x v="0"/>
    <n v="2200"/>
    <x v="0"/>
    <n v="0"/>
    <n v="2200"/>
    <x v="0"/>
  </r>
  <r>
    <x v="2"/>
    <x v="0"/>
    <x v="129"/>
    <x v="1"/>
    <x v="15"/>
    <x v="0"/>
    <x v="63"/>
    <s v="GO LOM VET &lt;2.0@ FI CJ AP"/>
    <s v="LOMO VETADO"/>
    <x v="6"/>
    <x v="0"/>
    <n v="2000"/>
    <x v="0"/>
    <n v="0"/>
    <n v="2000"/>
    <x v="0"/>
  </r>
  <r>
    <x v="2"/>
    <x v="0"/>
    <x v="129"/>
    <x v="1"/>
    <x v="15"/>
    <x v="0"/>
    <x v="42"/>
    <s v="GO PANC TEC S/CUE@ FI CJ CH AP"/>
    <s v="PANCETA S/CUERO"/>
    <x v="6"/>
    <x v="0"/>
    <n v="2200"/>
    <x v="0"/>
    <n v="0"/>
    <n v="2200"/>
    <x v="0"/>
  </r>
  <r>
    <x v="2"/>
    <x v="0"/>
    <x v="129"/>
    <x v="1"/>
    <x v="15"/>
    <x v="0"/>
    <x v="65"/>
    <s v="GO PANC LAM 2.5MM@ CJ CH AP"/>
    <s v="PANCETA C/CUERO"/>
    <x v="6"/>
    <x v="0"/>
    <n v="1500"/>
    <x v="0"/>
    <n v="0"/>
    <n v="1500"/>
    <x v="0"/>
  </r>
  <r>
    <x v="2"/>
    <x v="0"/>
    <x v="129"/>
    <x v="1"/>
    <x v="15"/>
    <x v="0"/>
    <x v="52"/>
    <s v="GO MM LOIN L (MC4-5)@ FI CJ CH JP"/>
    <s v="LOMO MM LOIN"/>
    <x v="6"/>
    <x v="0"/>
    <n v="3500"/>
    <x v="0"/>
    <n v="0"/>
    <n v="3500"/>
    <x v="0"/>
  </r>
  <r>
    <x v="2"/>
    <x v="0"/>
    <x v="129"/>
    <x v="1"/>
    <x v="15"/>
    <x v="0"/>
    <x v="66"/>
    <s v="GO LOM VET &gt;2.0@ FI CJ 8K AP"/>
    <s v="LOMO VETADO"/>
    <x v="6"/>
    <x v="0"/>
    <n v="5000"/>
    <x v="0"/>
    <n v="0"/>
    <n v="5000"/>
    <x v="0"/>
  </r>
  <r>
    <x v="2"/>
    <x v="0"/>
    <x v="130"/>
    <x v="0"/>
    <x v="15"/>
    <x v="0"/>
    <x v="39"/>
    <s v="GO MM LOIN L@ CJ 12K AP"/>
    <s v="LOMO MM LOIN"/>
    <x v="2"/>
    <x v="1"/>
    <n v="0"/>
    <x v="15"/>
    <n v="0"/>
    <n v="17814.947"/>
    <x v="0"/>
  </r>
  <r>
    <x v="2"/>
    <x v="0"/>
    <x v="130"/>
    <x v="0"/>
    <x v="15"/>
    <x v="0"/>
    <x v="42"/>
    <s v="GO PANC TEC S/CUE@ FI CJ CH AP"/>
    <s v="PANCETA S/CUERO"/>
    <x v="2"/>
    <x v="1"/>
    <n v="0"/>
    <x v="16"/>
    <n v="0"/>
    <n v="4100"/>
    <x v="0"/>
  </r>
  <r>
    <x v="2"/>
    <x v="0"/>
    <x v="130"/>
    <x v="0"/>
    <x v="15"/>
    <x v="0"/>
    <x v="67"/>
    <s v="GO MALAYA JAPON@ VA CJ JP"/>
    <s v="PROLIJADO MALAYA"/>
    <x v="2"/>
    <x v="1"/>
    <n v="0"/>
    <x v="8"/>
    <n v="0"/>
    <n v="2000"/>
    <x v="0"/>
  </r>
  <r>
    <x v="2"/>
    <x v="0"/>
    <x v="131"/>
    <x v="0"/>
    <x v="14"/>
    <x v="0"/>
    <x v="39"/>
    <s v="GO MM LOIN L@ CJ 12K AP"/>
    <s v="LOMO MM LOIN"/>
    <x v="2"/>
    <x v="0"/>
    <n v="0"/>
    <x v="17"/>
    <n v="0"/>
    <n v="3500"/>
    <x v="0"/>
  </r>
  <r>
    <x v="2"/>
    <x v="0"/>
    <x v="131"/>
    <x v="0"/>
    <x v="14"/>
    <x v="0"/>
    <x v="68"/>
    <s v="GO POSTA NEGRA 3P T@ VA CJ T-F JP"/>
    <s v="PIERNA PULPA FINA"/>
    <x v="2"/>
    <x v="0"/>
    <n v="0"/>
    <x v="18"/>
    <n v="0"/>
    <n v="2500"/>
    <x v="0"/>
  </r>
  <r>
    <x v="2"/>
    <x v="0"/>
    <x v="131"/>
    <x v="0"/>
    <x v="14"/>
    <x v="0"/>
    <x v="69"/>
    <s v="GO MM LOIN D@ FI CJ 12K AP"/>
    <s v="LOMO MM LOIN"/>
    <x v="2"/>
    <x v="0"/>
    <n v="0"/>
    <x v="8"/>
    <n v="0"/>
    <n v="2000"/>
    <x v="0"/>
  </r>
  <r>
    <x v="2"/>
    <x v="0"/>
    <x v="131"/>
    <x v="0"/>
    <x v="14"/>
    <x v="0"/>
    <x v="70"/>
    <s v="GO GANSO S/G S/ABST DA@ CJ 12K AP"/>
    <s v="PIERNA PULPA FINA"/>
    <x v="2"/>
    <x v="0"/>
    <n v="0"/>
    <x v="18"/>
    <n v="0"/>
    <n v="2500"/>
    <x v="0"/>
  </r>
  <r>
    <x v="2"/>
    <x v="0"/>
    <x v="131"/>
    <x v="0"/>
    <x v="14"/>
    <x v="0"/>
    <x v="71"/>
    <s v="GO MM LOIN LL (29-32 VP)@ BO CJ AP"/>
    <s v="LOMO MM LOIN"/>
    <x v="2"/>
    <x v="0"/>
    <n v="0"/>
    <x v="10"/>
    <n v="0"/>
    <n v="5000"/>
    <x v="0"/>
  </r>
  <r>
    <x v="2"/>
    <x v="0"/>
    <x v="131"/>
    <x v="0"/>
    <x v="14"/>
    <x v="0"/>
    <x v="72"/>
    <s v="GO CC LOIN L (S/T) (DF)@ FI CJ AP"/>
    <s v="LOMO CC LOIN"/>
    <x v="2"/>
    <x v="0"/>
    <n v="0"/>
    <x v="3"/>
    <n v="0"/>
    <n v="6000"/>
    <x v="0"/>
  </r>
  <r>
    <x v="2"/>
    <x v="0"/>
    <x v="131"/>
    <x v="0"/>
    <x v="14"/>
    <x v="0"/>
    <x v="73"/>
    <s v="GO FILE C/CAB 6X1@ VP CJ AP"/>
    <s v="FILETE C/CABEZA"/>
    <x v="2"/>
    <x v="0"/>
    <n v="0"/>
    <x v="18"/>
    <n v="0"/>
    <n v="2500"/>
    <x v="0"/>
  </r>
  <r>
    <x v="2"/>
    <x v="0"/>
    <x v="132"/>
    <x v="0"/>
    <x v="14"/>
    <x v="0"/>
    <x v="39"/>
    <s v="GO MM LOIN L@ CJ 12K AP"/>
    <s v="LOMO MM LOIN"/>
    <x v="1"/>
    <x v="1"/>
    <n v="0"/>
    <x v="0"/>
    <n v="5500"/>
    <n v="5500"/>
    <x v="0"/>
  </r>
  <r>
    <x v="2"/>
    <x v="0"/>
    <x v="132"/>
    <x v="0"/>
    <x v="14"/>
    <x v="0"/>
    <x v="42"/>
    <s v="GO PANC TEC S/CUE@ FI CJ CH AP"/>
    <s v="PANCETA S/CUERO"/>
    <x v="1"/>
    <x v="1"/>
    <n v="0"/>
    <x v="0"/>
    <n v="3500"/>
    <n v="3500"/>
    <x v="0"/>
  </r>
  <r>
    <x v="2"/>
    <x v="0"/>
    <x v="132"/>
    <x v="0"/>
    <x v="14"/>
    <x v="0"/>
    <x v="74"/>
    <s v="GO POSTA ROSADA 3P@ VA CJ T-F AP"/>
    <s v="PIERNA PULPA FINA"/>
    <x v="1"/>
    <x v="1"/>
    <n v="0"/>
    <x v="0"/>
    <n v="2500"/>
    <n v="2500"/>
    <x v="0"/>
  </r>
  <r>
    <x v="2"/>
    <x v="0"/>
    <x v="132"/>
    <x v="0"/>
    <x v="14"/>
    <x v="0"/>
    <x v="69"/>
    <s v="GO MM LOIN D@ FI CJ 12K AP"/>
    <s v="LOMO MM LOIN"/>
    <x v="1"/>
    <x v="1"/>
    <n v="0"/>
    <x v="0"/>
    <n v="2000"/>
    <n v="2000"/>
    <x v="0"/>
  </r>
  <r>
    <x v="2"/>
    <x v="0"/>
    <x v="132"/>
    <x v="0"/>
    <x v="14"/>
    <x v="0"/>
    <x v="56"/>
    <s v="GO PANC S/TEC N@ FI CJ 20K AP"/>
    <s v="PANCETA S/CUERO"/>
    <x v="1"/>
    <x v="1"/>
    <n v="0"/>
    <x v="0"/>
    <n v="3500"/>
    <n v="3500"/>
    <x v="0"/>
  </r>
  <r>
    <x v="2"/>
    <x v="0"/>
    <x v="132"/>
    <x v="0"/>
    <x v="14"/>
    <x v="0"/>
    <x v="75"/>
    <s v="GO ASIENTO C/G DA@ CJ 12K JP"/>
    <s v="PIERNA PULPA FINA"/>
    <x v="1"/>
    <x v="1"/>
    <n v="0"/>
    <x v="0"/>
    <n v="3000"/>
    <n v="3000"/>
    <x v="0"/>
  </r>
  <r>
    <x v="2"/>
    <x v="0"/>
    <x v="132"/>
    <x v="0"/>
    <x v="14"/>
    <x v="0"/>
    <x v="71"/>
    <s v="GO MM LOIN LL (29-32 VP)@ BO CJ AP"/>
    <s v="LOMO MM LOIN"/>
    <x v="1"/>
    <x v="1"/>
    <n v="0"/>
    <x v="0"/>
    <n v="4000"/>
    <n v="4000"/>
    <x v="0"/>
  </r>
  <r>
    <x v="2"/>
    <x v="0"/>
    <x v="133"/>
    <x v="0"/>
    <x v="14"/>
    <x v="0"/>
    <x v="39"/>
    <s v="GO MM LOIN L@ CJ 12K AP"/>
    <s v="LOMO MM LOIN"/>
    <x v="2"/>
    <x v="0"/>
    <n v="0"/>
    <x v="19"/>
    <n v="0"/>
    <n v="13000"/>
    <x v="0"/>
  </r>
  <r>
    <x v="2"/>
    <x v="0"/>
    <x v="133"/>
    <x v="0"/>
    <x v="14"/>
    <x v="0"/>
    <x v="42"/>
    <s v="GO PANC TEC S/CUE@ FI CJ CH AP"/>
    <s v="PANCETA S/CUERO"/>
    <x v="2"/>
    <x v="0"/>
    <n v="0"/>
    <x v="10"/>
    <n v="0"/>
    <n v="5000"/>
    <x v="0"/>
  </r>
  <r>
    <x v="2"/>
    <x v="0"/>
    <x v="133"/>
    <x v="0"/>
    <x v="14"/>
    <x v="0"/>
    <x v="56"/>
    <s v="GO PANC S/TEC N@ FI CJ 20K AP"/>
    <s v="PANCETA S/CUERO"/>
    <x v="2"/>
    <x v="0"/>
    <n v="0"/>
    <x v="5"/>
    <n v="0"/>
    <n v="4000"/>
    <x v="0"/>
  </r>
  <r>
    <x v="2"/>
    <x v="0"/>
    <x v="133"/>
    <x v="0"/>
    <x v="14"/>
    <x v="0"/>
    <x v="71"/>
    <s v="GO MM LOIN LL (29-32 VP)@ BO CJ AP"/>
    <s v="LOMO MM LOIN"/>
    <x v="2"/>
    <x v="0"/>
    <n v="0"/>
    <x v="8"/>
    <n v="0"/>
    <n v="2000"/>
    <x v="0"/>
  </r>
  <r>
    <x v="2"/>
    <x v="0"/>
    <x v="134"/>
    <x v="0"/>
    <x v="14"/>
    <x v="0"/>
    <x v="39"/>
    <s v="GO MM LOIN L@ CJ 12K AP"/>
    <s v="LOMO MM LOIN"/>
    <x v="2"/>
    <x v="0"/>
    <n v="0"/>
    <x v="0"/>
    <n v="10000"/>
    <n v="10000"/>
    <x v="0"/>
  </r>
  <r>
    <x v="2"/>
    <x v="0"/>
    <x v="134"/>
    <x v="0"/>
    <x v="14"/>
    <x v="0"/>
    <x v="56"/>
    <s v="GO PANC S/TEC N@ FI CJ 20K AP"/>
    <s v="PANCETA S/CUERO"/>
    <x v="2"/>
    <x v="0"/>
    <n v="0"/>
    <x v="0"/>
    <n v="6000"/>
    <n v="6000"/>
    <x v="0"/>
  </r>
  <r>
    <x v="2"/>
    <x v="0"/>
    <x v="134"/>
    <x v="0"/>
    <x v="14"/>
    <x v="0"/>
    <x v="71"/>
    <s v="GO MM LOIN LL (29-32 VP)@ BO CJ AP"/>
    <s v="LOMO MM LOIN"/>
    <x v="2"/>
    <x v="0"/>
    <n v="0"/>
    <x v="0"/>
    <n v="2000"/>
    <n v="2000"/>
    <x v="0"/>
  </r>
  <r>
    <x v="2"/>
    <x v="0"/>
    <x v="134"/>
    <x v="0"/>
    <x v="14"/>
    <x v="0"/>
    <x v="72"/>
    <s v="GO CC LOIN L (S/T) (DF)@ FI CJ AP"/>
    <s v="LOMO CC LOIN"/>
    <x v="2"/>
    <x v="0"/>
    <n v="0"/>
    <x v="0"/>
    <n v="6000"/>
    <n v="6000"/>
    <x v="0"/>
  </r>
  <r>
    <x v="2"/>
    <x v="0"/>
    <x v="135"/>
    <x v="0"/>
    <x v="14"/>
    <x v="0"/>
    <x v="39"/>
    <s v="GO MM LOIN L@ CJ 12K AP"/>
    <s v="LOMO MM LOIN"/>
    <x v="6"/>
    <x v="2"/>
    <n v="9600"/>
    <x v="0"/>
    <n v="0"/>
    <n v="9600"/>
    <x v="0"/>
  </r>
  <r>
    <x v="2"/>
    <x v="0"/>
    <x v="135"/>
    <x v="0"/>
    <x v="14"/>
    <x v="0"/>
    <x v="49"/>
    <s v="GO MM LOIN S@ FI CJ 12K AP"/>
    <s v="LOMO MM LOIN"/>
    <x v="6"/>
    <x v="2"/>
    <n v="2000"/>
    <x v="0"/>
    <n v="0"/>
    <n v="2000"/>
    <x v="0"/>
  </r>
  <r>
    <x v="2"/>
    <x v="0"/>
    <x v="135"/>
    <x v="0"/>
    <x v="14"/>
    <x v="0"/>
    <x v="42"/>
    <s v="GO PANC TEC S/CUE@ FI CJ CH AP"/>
    <s v="PANCETA S/CUERO"/>
    <x v="6"/>
    <x v="2"/>
    <n v="1700"/>
    <x v="0"/>
    <n v="0"/>
    <n v="1700"/>
    <x v="0"/>
  </r>
  <r>
    <x v="2"/>
    <x v="0"/>
    <x v="135"/>
    <x v="0"/>
    <x v="14"/>
    <x v="0"/>
    <x v="76"/>
    <s v="GO PANC S/TEC SP@ FI CJ AP"/>
    <s v="PANCETA S/CUERO"/>
    <x v="6"/>
    <x v="2"/>
    <n v="9000"/>
    <x v="0"/>
    <n v="0"/>
    <n v="9000"/>
    <x v="0"/>
  </r>
  <r>
    <x v="2"/>
    <x v="0"/>
    <x v="135"/>
    <x v="0"/>
    <x v="14"/>
    <x v="0"/>
    <x v="73"/>
    <s v="GO FILE C/CAB 6X1@ VP CJ AP"/>
    <s v="FILETE C/CABEZA"/>
    <x v="6"/>
    <x v="2"/>
    <n v="1500"/>
    <x v="0"/>
    <n v="0"/>
    <n v="1500"/>
    <x v="0"/>
  </r>
  <r>
    <x v="2"/>
    <x v="0"/>
    <x v="136"/>
    <x v="0"/>
    <x v="14"/>
    <x v="0"/>
    <x v="39"/>
    <s v="GO MM LOIN L@ CJ 12K AP"/>
    <s v="LOMO MM LOIN"/>
    <x v="10"/>
    <x v="2"/>
    <n v="0"/>
    <x v="0"/>
    <n v="11550"/>
    <n v="11550"/>
    <x v="0"/>
  </r>
  <r>
    <x v="2"/>
    <x v="0"/>
    <x v="136"/>
    <x v="0"/>
    <x v="14"/>
    <x v="0"/>
    <x v="49"/>
    <s v="GO MM LOIN S@ FI CJ 12K AP"/>
    <s v="LOMO MM LOIN"/>
    <x v="10"/>
    <x v="2"/>
    <n v="0"/>
    <x v="0"/>
    <n v="3000"/>
    <n v="3000"/>
    <x v="0"/>
  </r>
  <r>
    <x v="2"/>
    <x v="0"/>
    <x v="136"/>
    <x v="0"/>
    <x v="14"/>
    <x v="0"/>
    <x v="42"/>
    <s v="GO PANC TEC S/CUE@ FI CJ CH AP"/>
    <s v="PANCETA S/CUERO"/>
    <x v="10"/>
    <x v="2"/>
    <n v="0"/>
    <x v="0"/>
    <n v="9250"/>
    <n v="9250"/>
    <x v="0"/>
  </r>
  <r>
    <x v="2"/>
    <x v="0"/>
    <x v="137"/>
    <x v="0"/>
    <x v="14"/>
    <x v="0"/>
    <x v="48"/>
    <s v="GO LOM TECLA@ CJ LOM CTRO JP"/>
    <s v="LOMO CENTRO"/>
    <x v="8"/>
    <x v="0"/>
    <n v="0"/>
    <x v="0"/>
    <n v="2500"/>
    <n v="2500"/>
    <x v="0"/>
  </r>
  <r>
    <x v="2"/>
    <x v="0"/>
    <x v="137"/>
    <x v="0"/>
    <x v="14"/>
    <x v="0"/>
    <x v="39"/>
    <s v="GO MM LOIN L@ CJ 12K AP"/>
    <s v="LOMO MM LOIN"/>
    <x v="8"/>
    <x v="0"/>
    <n v="0"/>
    <x v="0"/>
    <n v="2600"/>
    <n v="2600"/>
    <x v="0"/>
  </r>
  <r>
    <x v="2"/>
    <x v="0"/>
    <x v="137"/>
    <x v="0"/>
    <x v="14"/>
    <x v="0"/>
    <x v="49"/>
    <s v="GO MM LOIN S@ FI CJ 12K AP"/>
    <s v="LOMO MM LOIN"/>
    <x v="8"/>
    <x v="0"/>
    <n v="0"/>
    <x v="0"/>
    <n v="4000"/>
    <n v="4000"/>
    <x v="0"/>
  </r>
  <r>
    <x v="2"/>
    <x v="0"/>
    <x v="137"/>
    <x v="0"/>
    <x v="14"/>
    <x v="0"/>
    <x v="40"/>
    <s v="GO LOM VET &gt;2.0@ FI CJ LOM VET AP"/>
    <s v="LOMO VETADO"/>
    <x v="8"/>
    <x v="0"/>
    <n v="0"/>
    <x v="0"/>
    <n v="4700"/>
    <n v="4700"/>
    <x v="0"/>
  </r>
  <r>
    <x v="2"/>
    <x v="0"/>
    <x v="137"/>
    <x v="0"/>
    <x v="14"/>
    <x v="0"/>
    <x v="42"/>
    <s v="GO PANC TEC S/CUE@ FI CJ CH AP"/>
    <s v="PANCETA S/CUERO"/>
    <x v="8"/>
    <x v="0"/>
    <n v="0"/>
    <x v="0"/>
    <n v="3000"/>
    <n v="3000"/>
    <x v="0"/>
  </r>
  <r>
    <x v="2"/>
    <x v="0"/>
    <x v="137"/>
    <x v="0"/>
    <x v="14"/>
    <x v="0"/>
    <x v="77"/>
    <s v="GO CC LOIN T@ FI CJ AP"/>
    <s v="LOMO CC LOIN"/>
    <x v="8"/>
    <x v="0"/>
    <n v="0"/>
    <x v="0"/>
    <n v="4000"/>
    <n v="4000"/>
    <x v="0"/>
  </r>
  <r>
    <x v="2"/>
    <x v="0"/>
    <x v="137"/>
    <x v="0"/>
    <x v="14"/>
    <x v="0"/>
    <x v="45"/>
    <s v="GO PANC TEC S/CUE L@ FI CJ CH AP"/>
    <s v="PANCETA S/CUERO"/>
    <x v="8"/>
    <x v="0"/>
    <n v="0"/>
    <x v="0"/>
    <n v="3000"/>
    <n v="3000"/>
    <x v="0"/>
  </r>
  <r>
    <x v="2"/>
    <x v="0"/>
    <x v="138"/>
    <x v="0"/>
    <x v="14"/>
    <x v="0"/>
    <x v="48"/>
    <s v="GO LOM TECLA@ CJ LOM CTRO JP"/>
    <s v="LOMO CENTRO"/>
    <x v="3"/>
    <x v="1"/>
    <n v="0"/>
    <x v="0"/>
    <n v="2000"/>
    <n v="2000"/>
    <x v="0"/>
  </r>
  <r>
    <x v="2"/>
    <x v="0"/>
    <x v="138"/>
    <x v="0"/>
    <x v="14"/>
    <x v="0"/>
    <x v="39"/>
    <s v="GO MM LOIN L@ CJ 12K AP"/>
    <s v="LOMO MM LOIN"/>
    <x v="3"/>
    <x v="1"/>
    <n v="0"/>
    <x v="0"/>
    <n v="10820"/>
    <n v="10820"/>
    <x v="0"/>
  </r>
  <r>
    <x v="2"/>
    <x v="0"/>
    <x v="138"/>
    <x v="0"/>
    <x v="14"/>
    <x v="0"/>
    <x v="40"/>
    <s v="GO LOM VET &gt;2.0@ FI CJ LOM VET AP"/>
    <s v="LOMO VETADO"/>
    <x v="3"/>
    <x v="1"/>
    <n v="0"/>
    <x v="0"/>
    <n v="5780"/>
    <n v="5780"/>
    <x v="0"/>
  </r>
  <r>
    <x v="2"/>
    <x v="0"/>
    <x v="138"/>
    <x v="0"/>
    <x v="14"/>
    <x v="0"/>
    <x v="41"/>
    <s v="GO FILE C/CAB@ VA CJ 10K AP"/>
    <s v="FILETE C/CABEZA"/>
    <x v="3"/>
    <x v="1"/>
    <n v="0"/>
    <x v="0"/>
    <n v="2000"/>
    <n v="2000"/>
    <x v="0"/>
  </r>
  <r>
    <x v="2"/>
    <x v="0"/>
    <x v="138"/>
    <x v="0"/>
    <x v="14"/>
    <x v="0"/>
    <x v="42"/>
    <s v="GO PANC TEC S/CUE@ FI CJ CH AP"/>
    <s v="PANCETA S/CUERO"/>
    <x v="3"/>
    <x v="1"/>
    <n v="0"/>
    <x v="0"/>
    <n v="1200"/>
    <n v="1200"/>
    <x v="0"/>
  </r>
  <r>
    <x v="2"/>
    <x v="0"/>
    <x v="138"/>
    <x v="0"/>
    <x v="14"/>
    <x v="0"/>
    <x v="65"/>
    <s v="GO PANC LAM 2.5MM@ CJ CH AP"/>
    <s v="PANCETA C/CUERO"/>
    <x v="3"/>
    <x v="1"/>
    <n v="0"/>
    <x v="0"/>
    <n v="2000"/>
    <n v="2000"/>
    <x v="0"/>
  </r>
  <r>
    <x v="3"/>
    <x v="1"/>
    <x v="139"/>
    <x v="1"/>
    <x v="17"/>
    <x v="1"/>
    <x v="78"/>
    <s v="PO ALA MEDIA@ CJ 15K AS"/>
    <s v="ALA CENTRO"/>
    <x v="4"/>
    <x v="0"/>
    <n v="0"/>
    <x v="0"/>
    <n v="24000"/>
    <n v="24000"/>
    <x v="7"/>
  </r>
  <r>
    <x v="3"/>
    <x v="1"/>
    <x v="140"/>
    <x v="1"/>
    <x v="17"/>
    <x v="1"/>
    <x v="79"/>
    <s v="PO GARRA J@ BO CJ 20K AS"/>
    <s v="PATAS GARRAS"/>
    <x v="4"/>
    <x v="0"/>
    <n v="0"/>
    <x v="0"/>
    <n v="24000"/>
    <n v="24000"/>
    <x v="7"/>
  </r>
  <r>
    <x v="3"/>
    <x v="1"/>
    <x v="141"/>
    <x v="1"/>
    <x v="17"/>
    <x v="1"/>
    <x v="80"/>
    <s v="PO GARRA L A@ BO CJ 20K AS"/>
    <s v="PATAS GARRAS"/>
    <x v="7"/>
    <x v="0"/>
    <n v="0"/>
    <x v="0"/>
    <n v="12000"/>
    <n v="12000"/>
    <x v="7"/>
  </r>
  <r>
    <x v="3"/>
    <x v="1"/>
    <x v="141"/>
    <x v="1"/>
    <x v="17"/>
    <x v="1"/>
    <x v="81"/>
    <s v="PO GARRA M B@ CJ 20K AS"/>
    <s v="PATAS GARRAS"/>
    <x v="7"/>
    <x v="0"/>
    <n v="0"/>
    <x v="0"/>
    <n v="12000"/>
    <n v="12000"/>
    <x v="7"/>
  </r>
  <r>
    <x v="3"/>
    <x v="1"/>
    <x v="142"/>
    <x v="0"/>
    <x v="17"/>
    <x v="1"/>
    <x v="82"/>
    <s v="PO ALA MEDIA B 4X10@ CJ 20K AS"/>
    <s v="ALA CENTRO"/>
    <x v="4"/>
    <x v="0"/>
    <n v="0"/>
    <x v="0"/>
    <n v="24000"/>
    <n v="24000"/>
    <x v="7"/>
  </r>
  <r>
    <x v="3"/>
    <x v="1"/>
    <x v="143"/>
    <x v="1"/>
    <x v="17"/>
    <x v="1"/>
    <x v="79"/>
    <s v="PO GARRA J@ BO CJ 20K AS"/>
    <s v="PATAS GARRAS"/>
    <x v="7"/>
    <x v="0"/>
    <n v="0"/>
    <x v="0"/>
    <n v="24000"/>
    <n v="24000"/>
    <x v="7"/>
  </r>
  <r>
    <x v="3"/>
    <x v="1"/>
    <x v="144"/>
    <x v="1"/>
    <x v="17"/>
    <x v="1"/>
    <x v="83"/>
    <s v="PO GARRA ECONOMY@ CJ 20K AS"/>
    <s v="PATAS GARRAS"/>
    <x v="12"/>
    <x v="1"/>
    <n v="0"/>
    <x v="0"/>
    <n v="24000"/>
    <n v="24000"/>
    <x v="7"/>
  </r>
  <r>
    <x v="3"/>
    <x v="1"/>
    <x v="145"/>
    <x v="1"/>
    <x v="17"/>
    <x v="1"/>
    <x v="81"/>
    <s v="PO GARRA M B@ CJ 20K AS"/>
    <s v="PATAS GARRAS"/>
    <x v="2"/>
    <x v="1"/>
    <n v="0"/>
    <x v="1"/>
    <n v="0"/>
    <n v="24000"/>
    <x v="7"/>
  </r>
  <r>
    <x v="3"/>
    <x v="1"/>
    <x v="146"/>
    <x v="1"/>
    <x v="17"/>
    <x v="1"/>
    <x v="81"/>
    <s v="PO GARRA M B@ CJ 20K AS"/>
    <s v="PATAS GARRAS"/>
    <x v="13"/>
    <x v="1"/>
    <n v="0"/>
    <x v="0"/>
    <n v="24000"/>
    <n v="24000"/>
    <x v="7"/>
  </r>
  <r>
    <x v="3"/>
    <x v="1"/>
    <x v="147"/>
    <x v="1"/>
    <x v="17"/>
    <x v="1"/>
    <x v="81"/>
    <s v="PO GARRA M B@ CJ 20K AS"/>
    <s v="PATAS GARRAS"/>
    <x v="4"/>
    <x v="0"/>
    <n v="0"/>
    <x v="0"/>
    <n v="24000"/>
    <n v="24000"/>
    <x v="7"/>
  </r>
  <r>
    <x v="3"/>
    <x v="1"/>
    <x v="148"/>
    <x v="1"/>
    <x v="17"/>
    <x v="1"/>
    <x v="81"/>
    <s v="PO GARRA M B@ CJ 20K AS"/>
    <s v="PATAS GARRAS"/>
    <x v="11"/>
    <x v="0"/>
    <n v="0"/>
    <x v="0"/>
    <n v="24000"/>
    <n v="24000"/>
    <x v="7"/>
  </r>
  <r>
    <x v="3"/>
    <x v="1"/>
    <x v="149"/>
    <x v="1"/>
    <x v="17"/>
    <x v="1"/>
    <x v="84"/>
    <s v="PO GARRA L B@ BO CJ 20K AS"/>
    <s v="PATAS GARRAS"/>
    <x v="4"/>
    <x v="0"/>
    <n v="0"/>
    <x v="0"/>
    <n v="24000"/>
    <n v="24000"/>
    <x v="7"/>
  </r>
  <r>
    <x v="3"/>
    <x v="1"/>
    <x v="150"/>
    <x v="1"/>
    <x v="17"/>
    <x v="1"/>
    <x v="84"/>
    <s v="PO GARRA L B@ BO CJ 20K AS"/>
    <s v="PATAS GARRAS"/>
    <x v="7"/>
    <x v="0"/>
    <n v="0"/>
    <x v="0"/>
    <n v="24000"/>
    <n v="24000"/>
    <x v="7"/>
  </r>
  <r>
    <x v="3"/>
    <x v="1"/>
    <x v="151"/>
    <x v="1"/>
    <x v="17"/>
    <x v="0"/>
    <x v="85"/>
    <s v="PO CTRO PTA ALA CHOICE@ CJ 20K AS"/>
    <s v="ALA CENTRO-PUNTA"/>
    <x v="4"/>
    <x v="0"/>
    <n v="0"/>
    <x v="0"/>
    <n v="24000"/>
    <n v="24000"/>
    <x v="7"/>
  </r>
  <r>
    <x v="3"/>
    <x v="1"/>
    <x v="152"/>
    <x v="1"/>
    <x v="17"/>
    <x v="0"/>
    <x v="85"/>
    <s v="PO CTRO PTA ALA CHOICE@ CJ 20K AS"/>
    <s v="ALA CENTRO-PUNTA"/>
    <x v="12"/>
    <x v="0"/>
    <n v="0"/>
    <x v="0"/>
    <n v="24000"/>
    <n v="24000"/>
    <x v="7"/>
  </r>
  <r>
    <x v="3"/>
    <x v="1"/>
    <x v="153"/>
    <x v="1"/>
    <x v="18"/>
    <x v="0"/>
    <x v="83"/>
    <s v="PO GARRA ECONOMY@ CJ 20K AS"/>
    <s v="PATAS GARRAS"/>
    <x v="6"/>
    <x v="1"/>
    <n v="24000"/>
    <x v="0"/>
    <n v="0"/>
    <n v="24000"/>
    <x v="7"/>
  </r>
  <r>
    <x v="3"/>
    <x v="0"/>
    <x v="154"/>
    <x v="1"/>
    <x v="19"/>
    <x v="1"/>
    <x v="86"/>
    <s v="GO CAB ROJ ENT S/L@ CJ 20K AS"/>
    <s v="CABEZA ENTERA"/>
    <x v="6"/>
    <x v="0"/>
    <n v="24000"/>
    <x v="0"/>
    <n v="0"/>
    <n v="24000"/>
    <x v="8"/>
  </r>
  <r>
    <x v="3"/>
    <x v="0"/>
    <x v="155"/>
    <x v="1"/>
    <x v="17"/>
    <x v="1"/>
    <x v="87"/>
    <s v="GO LOM VET 44@ BO CJ 20K AS"/>
    <s v="LOMO VETADO"/>
    <x v="6"/>
    <x v="1"/>
    <n v="20000"/>
    <x v="0"/>
    <n v="0"/>
    <n v="20000"/>
    <x v="7"/>
  </r>
  <r>
    <x v="3"/>
    <x v="0"/>
    <x v="155"/>
    <x v="1"/>
    <x v="17"/>
    <x v="1"/>
    <x v="88"/>
    <s v="GO CORDON LOM@ BO CJ 20K AS"/>
    <s v="RECORTES NO MAGRO"/>
    <x v="6"/>
    <x v="1"/>
    <n v="4000"/>
    <x v="0"/>
    <n v="0"/>
    <n v="4000"/>
    <x v="7"/>
  </r>
  <r>
    <x v="3"/>
    <x v="0"/>
    <x v="156"/>
    <x v="1"/>
    <x v="19"/>
    <x v="1"/>
    <x v="89"/>
    <s v="GO PERNILM@ CJ 20K AS"/>
    <s v="PERNIL MANO"/>
    <x v="3"/>
    <x v="2"/>
    <n v="0"/>
    <x v="0"/>
    <n v="24000"/>
    <n v="24000"/>
    <x v="7"/>
  </r>
  <r>
    <x v="3"/>
    <x v="0"/>
    <x v="157"/>
    <x v="1"/>
    <x v="19"/>
    <x v="1"/>
    <x v="90"/>
    <s v="GO PERNILM 1,3 KG UP@ CJ 20K AS"/>
    <s v="PERNIL MANO"/>
    <x v="6"/>
    <x v="2"/>
    <n v="24000"/>
    <x v="0"/>
    <n v="0"/>
    <n v="24000"/>
    <x v="7"/>
  </r>
  <r>
    <x v="3"/>
    <x v="0"/>
    <x v="158"/>
    <x v="1"/>
    <x v="19"/>
    <x v="1"/>
    <x v="90"/>
    <s v="GO PERNILM 1,3 KG UP@ CJ 20K AS"/>
    <s v="PERNIL MANO"/>
    <x v="2"/>
    <x v="4"/>
    <n v="0"/>
    <x v="1"/>
    <n v="0"/>
    <n v="24000"/>
    <x v="7"/>
  </r>
  <r>
    <x v="3"/>
    <x v="0"/>
    <x v="159"/>
    <x v="1"/>
    <x v="19"/>
    <x v="1"/>
    <x v="91"/>
    <s v="GO PATAS@ CJ 20K AS"/>
    <s v="SUBPROD PATAS-MANOS"/>
    <x v="10"/>
    <x v="2"/>
    <n v="0"/>
    <x v="0"/>
    <n v="12000"/>
    <n v="12000"/>
    <x v="7"/>
  </r>
  <r>
    <x v="3"/>
    <x v="0"/>
    <x v="159"/>
    <x v="1"/>
    <x v="19"/>
    <x v="1"/>
    <x v="92"/>
    <s v="GO MANOS@ CJ 10K AS"/>
    <s v="SUBPROD PATAS-MANOS"/>
    <x v="10"/>
    <x v="2"/>
    <n v="0"/>
    <x v="0"/>
    <n v="12000"/>
    <n v="12000"/>
    <x v="7"/>
  </r>
  <r>
    <x v="3"/>
    <x v="0"/>
    <x v="160"/>
    <x v="1"/>
    <x v="17"/>
    <x v="1"/>
    <x v="93"/>
    <s v="GO PERNILP@ BO CJ 20K AS"/>
    <s v="PERNIL PIERNA"/>
    <x v="6"/>
    <x v="3"/>
    <n v="24000"/>
    <x v="0"/>
    <n v="0"/>
    <n v="24000"/>
    <x v="7"/>
  </r>
  <r>
    <x v="3"/>
    <x v="0"/>
    <x v="161"/>
    <x v="1"/>
    <x v="17"/>
    <x v="1"/>
    <x v="94"/>
    <s v="GO MIXTO HSO@ BO CJ 10K AS"/>
    <s v="HUESOS CUARTO CENTRAL"/>
    <x v="6"/>
    <x v="1"/>
    <n v="24000"/>
    <x v="0"/>
    <n v="0"/>
    <n v="24000"/>
    <x v="7"/>
  </r>
  <r>
    <x v="3"/>
    <x v="0"/>
    <x v="162"/>
    <x v="1"/>
    <x v="17"/>
    <x v="1"/>
    <x v="95"/>
    <s v="GO STERNUM BONES@ BO CJ 10K AS"/>
    <s v="HUESOS CUARTO DELANTERO"/>
    <x v="1"/>
    <x v="2"/>
    <n v="0"/>
    <x v="0"/>
    <n v="24000"/>
    <n v="24000"/>
    <x v="9"/>
  </r>
  <r>
    <x v="3"/>
    <x v="0"/>
    <x v="163"/>
    <x v="1"/>
    <x v="19"/>
    <x v="1"/>
    <x v="96"/>
    <s v="GO COLA NOR@ FI CJ 10K AS"/>
    <s v="SUBPROD COLA"/>
    <x v="2"/>
    <x v="3"/>
    <n v="0"/>
    <x v="1"/>
    <n v="0"/>
    <n v="24000"/>
    <x v="7"/>
  </r>
  <r>
    <x v="3"/>
    <x v="0"/>
    <x v="164"/>
    <x v="1"/>
    <x v="19"/>
    <x v="1"/>
    <x v="97"/>
    <s v="GO CAZ ENT@ BO CJ 10K AS"/>
    <s v="CHULETA CAZUELA"/>
    <x v="10"/>
    <x v="4"/>
    <n v="0"/>
    <x v="1"/>
    <n v="0"/>
    <n v="24000"/>
    <x v="7"/>
  </r>
  <r>
    <x v="3"/>
    <x v="0"/>
    <x v="165"/>
    <x v="1"/>
    <x v="17"/>
    <x v="1"/>
    <x v="98"/>
    <s v="GO RECO 60/40 @ CJ 20K AS"/>
    <s v="RECORTES NO MAGRO"/>
    <x v="2"/>
    <x v="2"/>
    <n v="0"/>
    <x v="1"/>
    <n v="0"/>
    <n v="24000"/>
    <x v="7"/>
  </r>
  <r>
    <x v="3"/>
    <x v="0"/>
    <x v="166"/>
    <x v="1"/>
    <x v="17"/>
    <x v="1"/>
    <x v="99"/>
    <s v="GO HSO COSTILLA@ CJ 18K AS"/>
    <s v="HUESOS CUARTO CENTRAL"/>
    <x v="11"/>
    <x v="2"/>
    <n v="0"/>
    <x v="0"/>
    <n v="4000"/>
    <n v="4000"/>
    <x v="7"/>
  </r>
  <r>
    <x v="3"/>
    <x v="0"/>
    <x v="166"/>
    <x v="1"/>
    <x v="17"/>
    <x v="1"/>
    <x v="87"/>
    <s v="GO LOM VET 44@ BO CJ 20K AS"/>
    <s v="LOMO VETADO"/>
    <x v="11"/>
    <x v="2"/>
    <n v="0"/>
    <x v="0"/>
    <n v="4000"/>
    <n v="4000"/>
    <x v="7"/>
  </r>
  <r>
    <x v="3"/>
    <x v="0"/>
    <x v="166"/>
    <x v="1"/>
    <x v="17"/>
    <x v="1"/>
    <x v="100"/>
    <s v="GO GORD ESP@ BO CJ 10K AS"/>
    <s v="GRASA GORDURA"/>
    <x v="11"/>
    <x v="2"/>
    <n v="0"/>
    <x v="0"/>
    <n v="8000"/>
    <n v="8000"/>
    <x v="7"/>
  </r>
  <r>
    <x v="3"/>
    <x v="0"/>
    <x v="166"/>
    <x v="1"/>
    <x v="17"/>
    <x v="1"/>
    <x v="101"/>
    <s v="GO RECO 10/90 @ CJ 20K AS"/>
    <s v="GRASA GORDURA"/>
    <x v="11"/>
    <x v="2"/>
    <n v="0"/>
    <x v="0"/>
    <n v="8000"/>
    <n v="8000"/>
    <x v="7"/>
  </r>
  <r>
    <x v="3"/>
    <x v="0"/>
    <x v="167"/>
    <x v="1"/>
    <x v="17"/>
    <x v="1"/>
    <x v="102"/>
    <s v="GO PATAS B@ CJ 20K AS"/>
    <s v="SUBPROD PATAS-MANOS"/>
    <x v="6"/>
    <x v="1"/>
    <n v="8000"/>
    <x v="0"/>
    <n v="0"/>
    <n v="8000"/>
    <x v="7"/>
  </r>
  <r>
    <x v="3"/>
    <x v="0"/>
    <x v="167"/>
    <x v="1"/>
    <x v="17"/>
    <x v="1"/>
    <x v="103"/>
    <s v="GO CUE BACK@ CJ 20K BCA AS"/>
    <s v="CUERO BACK"/>
    <x v="6"/>
    <x v="1"/>
    <n v="8000"/>
    <x v="0"/>
    <n v="0"/>
    <n v="8000"/>
    <x v="7"/>
  </r>
  <r>
    <x v="3"/>
    <x v="0"/>
    <x v="167"/>
    <x v="1"/>
    <x v="17"/>
    <x v="1"/>
    <x v="104"/>
    <s v="GO PERNILM 1 KG DOWN@ CJ 20K AS"/>
    <s v="PERNIL MANO"/>
    <x v="6"/>
    <x v="1"/>
    <n v="8000"/>
    <x v="0"/>
    <n v="0"/>
    <n v="8000"/>
    <x v="7"/>
  </r>
  <r>
    <x v="3"/>
    <x v="0"/>
    <x v="168"/>
    <x v="1"/>
    <x v="20"/>
    <x v="0"/>
    <x v="100"/>
    <s v="GO GORD ESP@ BO CJ 10K AS"/>
    <s v="GRASA GORDURA"/>
    <x v="6"/>
    <x v="1"/>
    <n v="24000"/>
    <x v="0"/>
    <n v="0"/>
    <n v="24000"/>
    <x v="7"/>
  </r>
  <r>
    <x v="3"/>
    <x v="0"/>
    <x v="169"/>
    <x v="1"/>
    <x v="21"/>
    <x v="0"/>
    <x v="105"/>
    <s v="GO CUARTO DELANT @ COM CJ AS"/>
    <s v="VARA CUARTO DELANTERO"/>
    <x v="6"/>
    <x v="0"/>
    <n v="8573"/>
    <x v="0"/>
    <n v="0"/>
    <n v="8573"/>
    <x v="8"/>
  </r>
  <r>
    <x v="3"/>
    <x v="0"/>
    <x v="169"/>
    <x v="1"/>
    <x v="21"/>
    <x v="0"/>
    <x v="106"/>
    <s v="GO CUARTO TRASERO @ COM CJ AS"/>
    <s v="VARA CUARTO TRASERO"/>
    <x v="6"/>
    <x v="0"/>
    <n v="7559"/>
    <x v="0"/>
    <n v="0"/>
    <n v="7559"/>
    <x v="8"/>
  </r>
  <r>
    <x v="3"/>
    <x v="0"/>
    <x v="169"/>
    <x v="1"/>
    <x v="21"/>
    <x v="0"/>
    <x v="107"/>
    <s v="GO CUARTO CENTRAL @ COM CJ AS"/>
    <s v="VARA CUARTO CENTRAL"/>
    <x v="6"/>
    <x v="0"/>
    <n v="7867"/>
    <x v="0"/>
    <n v="0"/>
    <n v="7867"/>
    <x v="8"/>
  </r>
  <r>
    <x v="3"/>
    <x v="0"/>
    <x v="170"/>
    <x v="0"/>
    <x v="19"/>
    <x v="0"/>
    <x v="108"/>
    <s v="GO PERNILM C/M@ CJ 20K AS"/>
    <s v="PERNIL MANO"/>
    <x v="6"/>
    <x v="4"/>
    <n v="24000"/>
    <x v="0"/>
    <n v="0"/>
    <n v="24000"/>
    <x v="7"/>
  </r>
  <r>
    <x v="3"/>
    <x v="0"/>
    <x v="171"/>
    <x v="1"/>
    <x v="21"/>
    <x v="1"/>
    <x v="85"/>
    <s v="PO CTRO PTA ALA CHOICE@ CJ 20K AS"/>
    <s v="ALA CENTRO-PUNTA"/>
    <x v="6"/>
    <x v="1"/>
    <n v="24000"/>
    <x v="0"/>
    <n v="0"/>
    <n v="24000"/>
    <x v="7"/>
  </r>
  <r>
    <x v="3"/>
    <x v="0"/>
    <x v="172"/>
    <x v="1"/>
    <x v="21"/>
    <x v="1"/>
    <x v="85"/>
    <s v="PO CTRO PTA ALA CHOICE@ CJ 20K AS"/>
    <s v="ALA CENTRO-PUNTA"/>
    <x v="10"/>
    <x v="1"/>
    <n v="0"/>
    <x v="0"/>
    <n v="24000"/>
    <n v="24000"/>
    <x v="7"/>
  </r>
  <r>
    <x v="3"/>
    <x v="0"/>
    <x v="173"/>
    <x v="1"/>
    <x v="19"/>
    <x v="1"/>
    <x v="104"/>
    <s v="GO PERNILM 1 KG DOWN@ CJ 20K AS"/>
    <s v="PERNIL MANO"/>
    <x v="10"/>
    <x v="3"/>
    <n v="0"/>
    <x v="1"/>
    <n v="0"/>
    <n v="24000"/>
    <x v="7"/>
  </r>
  <r>
    <x v="3"/>
    <x v="0"/>
    <x v="174"/>
    <x v="1"/>
    <x v="19"/>
    <x v="1"/>
    <x v="109"/>
    <s v="GO TIRA HSO CTRO@ CJ 20K AS"/>
    <s v="HUESOS CUARTO CENTRAL"/>
    <x v="6"/>
    <x v="1"/>
    <n v="24000"/>
    <x v="0"/>
    <n v="0"/>
    <n v="24000"/>
    <x v="7"/>
  </r>
  <r>
    <x v="3"/>
    <x v="0"/>
    <x v="175"/>
    <x v="1"/>
    <x v="19"/>
    <x v="1"/>
    <x v="109"/>
    <s v="GO TIRA HSO CTRO@ CJ 20K AS"/>
    <s v="HUESOS CUARTO CENTRAL"/>
    <x v="2"/>
    <x v="3"/>
    <n v="0"/>
    <x v="1"/>
    <n v="0"/>
    <n v="24000"/>
    <x v="7"/>
  </r>
  <r>
    <x v="3"/>
    <x v="0"/>
    <x v="176"/>
    <x v="1"/>
    <x v="19"/>
    <x v="1"/>
    <x v="109"/>
    <s v="GO TIRA HSO CTRO@ CJ 20K AS"/>
    <s v="HUESOS CUARTO CENTRAL"/>
    <x v="9"/>
    <x v="3"/>
    <n v="0"/>
    <x v="1"/>
    <n v="0"/>
    <n v="24000"/>
    <x v="7"/>
  </r>
  <r>
    <x v="3"/>
    <x v="0"/>
    <x v="177"/>
    <x v="1"/>
    <x v="19"/>
    <x v="1"/>
    <x v="109"/>
    <s v="GO TIRA HSO CTRO@ CJ 20K AS"/>
    <s v="HUESOS CUARTO CENTRAL"/>
    <x v="8"/>
    <x v="4"/>
    <n v="0"/>
    <x v="0"/>
    <n v="24000"/>
    <n v="24000"/>
    <x v="7"/>
  </r>
  <r>
    <x v="3"/>
    <x v="0"/>
    <x v="178"/>
    <x v="0"/>
    <x v="19"/>
    <x v="1"/>
    <x v="109"/>
    <s v="GO TIRA HSO CTRO@ CJ 20K AS"/>
    <s v="HUESOS CUARTO CENTRAL"/>
    <x v="11"/>
    <x v="2"/>
    <n v="0"/>
    <x v="0"/>
    <n v="24000"/>
    <n v="24000"/>
    <x v="7"/>
  </r>
  <r>
    <x v="3"/>
    <x v="0"/>
    <x v="179"/>
    <x v="0"/>
    <x v="19"/>
    <x v="1"/>
    <x v="109"/>
    <s v="GO TIRA HSO CTRO@ CJ 20K AS"/>
    <s v="HUESOS CUARTO CENTRAL"/>
    <x v="12"/>
    <x v="0"/>
    <n v="0"/>
    <x v="0"/>
    <n v="24000"/>
    <n v="24000"/>
    <x v="7"/>
  </r>
  <r>
    <x v="3"/>
    <x v="0"/>
    <x v="180"/>
    <x v="0"/>
    <x v="19"/>
    <x v="1"/>
    <x v="109"/>
    <s v="GO TIRA HSO CTRO@ CJ 20K AS"/>
    <s v="HUESOS CUARTO CENTRAL"/>
    <x v="0"/>
    <x v="2"/>
    <n v="0"/>
    <x v="0"/>
    <n v="24000"/>
    <n v="24000"/>
    <x v="7"/>
  </r>
  <r>
    <x v="3"/>
    <x v="0"/>
    <x v="181"/>
    <x v="0"/>
    <x v="19"/>
    <x v="1"/>
    <x v="109"/>
    <s v="GO TIRA HSO CTRO@ CJ 20K AS"/>
    <s v="HUESOS CUARTO CENTRAL"/>
    <x v="7"/>
    <x v="1"/>
    <n v="0"/>
    <x v="0"/>
    <n v="24000"/>
    <n v="24000"/>
    <x v="7"/>
  </r>
  <r>
    <x v="3"/>
    <x v="0"/>
    <x v="182"/>
    <x v="1"/>
    <x v="17"/>
    <x v="1"/>
    <x v="109"/>
    <s v="GO TIRA HSO CTRO@ CJ 20K AS"/>
    <s v="HUESOS CUARTO CENTRAL"/>
    <x v="1"/>
    <x v="2"/>
    <n v="0"/>
    <x v="0"/>
    <n v="24000"/>
    <n v="24000"/>
    <x v="7"/>
  </r>
  <r>
    <x v="3"/>
    <x v="0"/>
    <x v="183"/>
    <x v="0"/>
    <x v="17"/>
    <x v="1"/>
    <x v="110"/>
    <s v="GO PANC TECLA SCUE@ 4 BO CJ 20KG AS"/>
    <s v="PANCETA S/CUERO"/>
    <x v="11"/>
    <x v="1"/>
    <n v="0"/>
    <x v="0"/>
    <n v="24000"/>
    <n v="24000"/>
    <x v="7"/>
  </r>
  <r>
    <x v="3"/>
    <x v="0"/>
    <x v="184"/>
    <x v="0"/>
    <x v="17"/>
    <x v="1"/>
    <x v="110"/>
    <s v="GO PANC TECLA SCUE@ 4 BO CJ 20KG AS"/>
    <s v="PANCETA S/CUERO"/>
    <x v="12"/>
    <x v="0"/>
    <n v="0"/>
    <x v="0"/>
    <n v="24000"/>
    <n v="24000"/>
    <x v="7"/>
  </r>
  <r>
    <x v="3"/>
    <x v="0"/>
    <x v="185"/>
    <x v="0"/>
    <x v="17"/>
    <x v="1"/>
    <x v="110"/>
    <s v="GO PANC TECLA SCUE@ 4 BO CJ 20KG AS"/>
    <s v="PANCETA S/CUERO"/>
    <x v="0"/>
    <x v="0"/>
    <n v="0"/>
    <x v="0"/>
    <n v="24000"/>
    <n v="24000"/>
    <x v="7"/>
  </r>
  <r>
    <x v="3"/>
    <x v="0"/>
    <x v="186"/>
    <x v="0"/>
    <x v="17"/>
    <x v="1"/>
    <x v="111"/>
    <s v="GO RECO 20/80 @ CJ 20K AS"/>
    <s v="GRASA GORDURA"/>
    <x v="0"/>
    <x v="0"/>
    <n v="0"/>
    <x v="0"/>
    <n v="24000"/>
    <n v="24000"/>
    <x v="7"/>
  </r>
  <r>
    <x v="3"/>
    <x v="0"/>
    <x v="187"/>
    <x v="1"/>
    <x v="19"/>
    <x v="1"/>
    <x v="111"/>
    <s v="GO RECO 20/80 @ CJ 20K AS"/>
    <s v="GRASA GORDURA"/>
    <x v="10"/>
    <x v="1"/>
    <n v="0"/>
    <x v="0"/>
    <n v="24000"/>
    <n v="24000"/>
    <x v="7"/>
  </r>
  <r>
    <x v="3"/>
    <x v="0"/>
    <x v="188"/>
    <x v="0"/>
    <x v="19"/>
    <x v="1"/>
    <x v="111"/>
    <s v="GO RECO 20/80 @ CJ 20K AS"/>
    <s v="GRASA GORDURA"/>
    <x v="0"/>
    <x v="0"/>
    <n v="0"/>
    <x v="0"/>
    <n v="24000"/>
    <n v="24000"/>
    <x v="7"/>
  </r>
  <r>
    <x v="3"/>
    <x v="0"/>
    <x v="189"/>
    <x v="0"/>
    <x v="19"/>
    <x v="1"/>
    <x v="111"/>
    <s v="GO RECO 20/80 @ CJ 20K AS"/>
    <s v="GRASA GORDURA"/>
    <x v="7"/>
    <x v="0"/>
    <n v="0"/>
    <x v="0"/>
    <n v="24000"/>
    <n v="24000"/>
    <x v="7"/>
  </r>
  <r>
    <x v="3"/>
    <x v="0"/>
    <x v="190"/>
    <x v="1"/>
    <x v="19"/>
    <x v="1"/>
    <x v="112"/>
    <s v="GO HSO FEMUR@ CJ 20K AS"/>
    <s v="HUESOS CUARTO TRASERO"/>
    <x v="6"/>
    <x v="1"/>
    <n v="24000"/>
    <x v="0"/>
    <n v="0"/>
    <n v="24000"/>
    <x v="7"/>
  </r>
  <r>
    <x v="3"/>
    <x v="0"/>
    <x v="191"/>
    <x v="1"/>
    <x v="19"/>
    <x v="1"/>
    <x v="112"/>
    <s v="GO HSO FEMUR@ CJ 20K AS"/>
    <s v="HUESOS CUARTO TRASERO"/>
    <x v="6"/>
    <x v="3"/>
    <n v="24000"/>
    <x v="0"/>
    <n v="0"/>
    <n v="24000"/>
    <x v="7"/>
  </r>
  <r>
    <x v="3"/>
    <x v="0"/>
    <x v="192"/>
    <x v="1"/>
    <x v="19"/>
    <x v="1"/>
    <x v="112"/>
    <s v="GO HSO FEMUR@ CJ 20K AS"/>
    <s v="HUESOS CUARTO TRASERO"/>
    <x v="2"/>
    <x v="3"/>
    <n v="0"/>
    <x v="1"/>
    <n v="0"/>
    <n v="24000"/>
    <x v="7"/>
  </r>
  <r>
    <x v="3"/>
    <x v="0"/>
    <x v="193"/>
    <x v="1"/>
    <x v="19"/>
    <x v="1"/>
    <x v="112"/>
    <s v="GO HSO FEMUR@ CJ 20K AS"/>
    <s v="HUESOS CUARTO TRASERO"/>
    <x v="10"/>
    <x v="3"/>
    <n v="0"/>
    <x v="1"/>
    <n v="0"/>
    <n v="24000"/>
    <x v="7"/>
  </r>
  <r>
    <x v="3"/>
    <x v="0"/>
    <x v="194"/>
    <x v="1"/>
    <x v="19"/>
    <x v="1"/>
    <x v="112"/>
    <s v="GO HSO FEMUR@ CJ 20K AS"/>
    <s v="HUESOS CUARTO TRASERO"/>
    <x v="4"/>
    <x v="3"/>
    <n v="0"/>
    <x v="0"/>
    <n v="24000"/>
    <n v="24000"/>
    <x v="7"/>
  </r>
  <r>
    <x v="3"/>
    <x v="0"/>
    <x v="195"/>
    <x v="0"/>
    <x v="19"/>
    <x v="1"/>
    <x v="112"/>
    <s v="GO HSO FEMUR@ CJ 20K AS"/>
    <s v="HUESOS CUARTO TRASERO"/>
    <x v="11"/>
    <x v="1"/>
    <n v="0"/>
    <x v="0"/>
    <n v="24000"/>
    <n v="24000"/>
    <x v="7"/>
  </r>
  <r>
    <x v="3"/>
    <x v="0"/>
    <x v="196"/>
    <x v="0"/>
    <x v="19"/>
    <x v="1"/>
    <x v="112"/>
    <s v="GO HSO FEMUR@ CJ 20K AS"/>
    <s v="HUESOS CUARTO TRASERO"/>
    <x v="12"/>
    <x v="2"/>
    <n v="0"/>
    <x v="0"/>
    <n v="24000"/>
    <n v="24000"/>
    <x v="7"/>
  </r>
  <r>
    <x v="3"/>
    <x v="0"/>
    <x v="197"/>
    <x v="0"/>
    <x v="19"/>
    <x v="1"/>
    <x v="112"/>
    <s v="GO HSO FEMUR@ CJ 20K AS"/>
    <s v="HUESOS CUARTO TRASERO"/>
    <x v="7"/>
    <x v="1"/>
    <n v="0"/>
    <x v="0"/>
    <n v="24000"/>
    <n v="24000"/>
    <x v="7"/>
  </r>
  <r>
    <x v="3"/>
    <x v="0"/>
    <x v="198"/>
    <x v="0"/>
    <x v="19"/>
    <x v="1"/>
    <x v="112"/>
    <s v="GO HSO FEMUR@ CJ 20K AS"/>
    <s v="HUESOS CUARTO TRASERO"/>
    <x v="7"/>
    <x v="2"/>
    <n v="0"/>
    <x v="0"/>
    <n v="17080.781999999999"/>
    <n v="17080.781999999999"/>
    <x v="7"/>
  </r>
  <r>
    <x v="3"/>
    <x v="0"/>
    <x v="199"/>
    <x v="0"/>
    <x v="19"/>
    <x v="1"/>
    <x v="89"/>
    <s v="GO PERNILM@ CJ 20K AS"/>
    <s v="PERNIL MANO"/>
    <x v="7"/>
    <x v="2"/>
    <n v="0"/>
    <x v="0"/>
    <n v="24000"/>
    <n v="24000"/>
    <x v="7"/>
  </r>
  <r>
    <x v="3"/>
    <x v="0"/>
    <x v="200"/>
    <x v="1"/>
    <x v="19"/>
    <x v="1"/>
    <x v="90"/>
    <s v="GO PERNILM 1,3 KG UP@ CJ 20K AS"/>
    <s v="PERNIL MANO"/>
    <x v="3"/>
    <x v="2"/>
    <n v="0"/>
    <x v="0"/>
    <n v="24000"/>
    <n v="24000"/>
    <x v="7"/>
  </r>
  <r>
    <x v="3"/>
    <x v="0"/>
    <x v="201"/>
    <x v="0"/>
    <x v="19"/>
    <x v="1"/>
    <x v="90"/>
    <s v="GO PERNILM 1,3 KG UP@ CJ 20K AS"/>
    <s v="PERNIL MANO"/>
    <x v="12"/>
    <x v="2"/>
    <n v="0"/>
    <x v="0"/>
    <n v="24000"/>
    <n v="24000"/>
    <x v="7"/>
  </r>
  <r>
    <x v="3"/>
    <x v="0"/>
    <x v="202"/>
    <x v="0"/>
    <x v="19"/>
    <x v="1"/>
    <x v="90"/>
    <s v="GO PERNILM 1,3 KG UP@ CJ 20K AS"/>
    <s v="PERNIL MANO"/>
    <x v="7"/>
    <x v="1"/>
    <n v="0"/>
    <x v="0"/>
    <n v="24000"/>
    <n v="24000"/>
    <x v="7"/>
  </r>
  <r>
    <x v="3"/>
    <x v="0"/>
    <x v="203"/>
    <x v="1"/>
    <x v="17"/>
    <x v="1"/>
    <x v="92"/>
    <s v="GO MANOS@ CJ 10K AS"/>
    <s v="SUBPROD PATAS-MANOS"/>
    <x v="10"/>
    <x v="4"/>
    <n v="0"/>
    <x v="1"/>
    <n v="0"/>
    <n v="24000"/>
    <x v="7"/>
  </r>
  <r>
    <x v="3"/>
    <x v="0"/>
    <x v="204"/>
    <x v="1"/>
    <x v="17"/>
    <x v="1"/>
    <x v="92"/>
    <s v="GO MANOS@ CJ 10K AS"/>
    <s v="SUBPROD PATAS-MANOS"/>
    <x v="3"/>
    <x v="3"/>
    <n v="0"/>
    <x v="0"/>
    <n v="24000"/>
    <n v="24000"/>
    <x v="7"/>
  </r>
  <r>
    <x v="3"/>
    <x v="0"/>
    <x v="205"/>
    <x v="0"/>
    <x v="19"/>
    <x v="1"/>
    <x v="92"/>
    <s v="GO MANOS@ CJ 10K AS"/>
    <s v="SUBPROD PATAS-MANOS"/>
    <x v="11"/>
    <x v="2"/>
    <n v="0"/>
    <x v="0"/>
    <n v="24000"/>
    <n v="24000"/>
    <x v="7"/>
  </r>
  <r>
    <x v="3"/>
    <x v="0"/>
    <x v="206"/>
    <x v="0"/>
    <x v="19"/>
    <x v="1"/>
    <x v="92"/>
    <s v="GO MANOS@ CJ 10K AS"/>
    <s v="SUBPROD PATAS-MANOS"/>
    <x v="0"/>
    <x v="2"/>
    <n v="0"/>
    <x v="0"/>
    <n v="24000"/>
    <n v="24000"/>
    <x v="7"/>
  </r>
  <r>
    <x v="3"/>
    <x v="0"/>
    <x v="207"/>
    <x v="0"/>
    <x v="19"/>
    <x v="1"/>
    <x v="92"/>
    <s v="GO MANOS@ CJ 10K AS"/>
    <s v="SUBPROD PATAS-MANOS"/>
    <x v="7"/>
    <x v="2"/>
    <n v="0"/>
    <x v="0"/>
    <n v="23709.21"/>
    <n v="23709.21"/>
    <x v="7"/>
  </r>
  <r>
    <x v="3"/>
    <x v="0"/>
    <x v="208"/>
    <x v="1"/>
    <x v="19"/>
    <x v="1"/>
    <x v="113"/>
    <s v="GO MANOS B@ CJ 20K AS"/>
    <s v="SUBPROD PATAS-MANOS"/>
    <x v="1"/>
    <x v="3"/>
    <n v="0"/>
    <x v="0"/>
    <n v="24000"/>
    <n v="24000"/>
    <x v="7"/>
  </r>
  <r>
    <x v="3"/>
    <x v="0"/>
    <x v="209"/>
    <x v="0"/>
    <x v="17"/>
    <x v="1"/>
    <x v="91"/>
    <s v="GO PATAS@ CJ 20K AS"/>
    <s v="SUBPROD PATAS-MANOS"/>
    <x v="11"/>
    <x v="2"/>
    <n v="0"/>
    <x v="0"/>
    <n v="24000"/>
    <n v="24000"/>
    <x v="7"/>
  </r>
  <r>
    <x v="3"/>
    <x v="0"/>
    <x v="210"/>
    <x v="0"/>
    <x v="19"/>
    <x v="1"/>
    <x v="91"/>
    <s v="GO PATAS@ CJ 20K AS"/>
    <s v="SUBPROD PATAS-MANOS"/>
    <x v="7"/>
    <x v="2"/>
    <n v="0"/>
    <x v="0"/>
    <n v="24000"/>
    <n v="24000"/>
    <x v="7"/>
  </r>
  <r>
    <x v="3"/>
    <x v="0"/>
    <x v="211"/>
    <x v="0"/>
    <x v="17"/>
    <x v="1"/>
    <x v="102"/>
    <s v="GO PATAS B@ CJ 20K AS"/>
    <s v="SUBPROD PATAS-MANOS"/>
    <x v="11"/>
    <x v="3"/>
    <n v="0"/>
    <x v="0"/>
    <n v="24000"/>
    <n v="24000"/>
    <x v="7"/>
  </r>
  <r>
    <x v="3"/>
    <x v="0"/>
    <x v="212"/>
    <x v="1"/>
    <x v="17"/>
    <x v="1"/>
    <x v="93"/>
    <s v="GO PERNILP@ BO CJ 20K AS"/>
    <s v="PERNIL PIERNA"/>
    <x v="2"/>
    <x v="3"/>
    <n v="0"/>
    <x v="1"/>
    <n v="0"/>
    <n v="24000"/>
    <x v="7"/>
  </r>
  <r>
    <x v="3"/>
    <x v="0"/>
    <x v="213"/>
    <x v="1"/>
    <x v="17"/>
    <x v="1"/>
    <x v="93"/>
    <s v="GO PERNILP@ BO CJ 20K AS"/>
    <s v="PERNIL PIERNA"/>
    <x v="2"/>
    <x v="0"/>
    <n v="0"/>
    <x v="1"/>
    <n v="0"/>
    <n v="24000"/>
    <x v="7"/>
  </r>
  <r>
    <x v="3"/>
    <x v="0"/>
    <x v="214"/>
    <x v="1"/>
    <x v="17"/>
    <x v="1"/>
    <x v="93"/>
    <s v="GO PERNILP@ BO CJ 20K AS"/>
    <s v="PERNIL PIERNA"/>
    <x v="10"/>
    <x v="3"/>
    <n v="0"/>
    <x v="1"/>
    <n v="0"/>
    <n v="24000"/>
    <x v="7"/>
  </r>
  <r>
    <x v="3"/>
    <x v="0"/>
    <x v="215"/>
    <x v="1"/>
    <x v="17"/>
    <x v="1"/>
    <x v="93"/>
    <s v="GO PERNILP@ BO CJ 20K AS"/>
    <s v="PERNIL PIERNA"/>
    <x v="13"/>
    <x v="2"/>
    <n v="0"/>
    <x v="1"/>
    <n v="0"/>
    <n v="24000"/>
    <x v="7"/>
  </r>
  <r>
    <x v="3"/>
    <x v="0"/>
    <x v="216"/>
    <x v="1"/>
    <x v="17"/>
    <x v="1"/>
    <x v="93"/>
    <s v="GO PERNILP@ BO CJ 20K AS"/>
    <s v="PERNIL PIERNA"/>
    <x v="8"/>
    <x v="1"/>
    <n v="0"/>
    <x v="0"/>
    <n v="24000"/>
    <n v="24000"/>
    <x v="7"/>
  </r>
  <r>
    <x v="3"/>
    <x v="0"/>
    <x v="217"/>
    <x v="1"/>
    <x v="17"/>
    <x v="1"/>
    <x v="93"/>
    <s v="GO PERNILP@ BO CJ 20K AS"/>
    <s v="PERNIL PIERNA"/>
    <x v="3"/>
    <x v="1"/>
    <n v="0"/>
    <x v="0"/>
    <n v="24000"/>
    <n v="24000"/>
    <x v="7"/>
  </r>
  <r>
    <x v="3"/>
    <x v="0"/>
    <x v="218"/>
    <x v="1"/>
    <x v="17"/>
    <x v="1"/>
    <x v="93"/>
    <s v="GO PERNILP@ BO CJ 20K AS"/>
    <s v="PERNIL PIERNA"/>
    <x v="11"/>
    <x v="1"/>
    <n v="0"/>
    <x v="0"/>
    <n v="24000"/>
    <n v="24000"/>
    <x v="7"/>
  </r>
  <r>
    <x v="3"/>
    <x v="0"/>
    <x v="219"/>
    <x v="1"/>
    <x v="17"/>
    <x v="1"/>
    <x v="93"/>
    <s v="GO PERNILP@ BO CJ 20K AS"/>
    <s v="PERNIL PIERNA"/>
    <x v="11"/>
    <x v="0"/>
    <n v="0"/>
    <x v="0"/>
    <n v="24000"/>
    <n v="24000"/>
    <x v="7"/>
  </r>
  <r>
    <x v="3"/>
    <x v="0"/>
    <x v="220"/>
    <x v="0"/>
    <x v="17"/>
    <x v="1"/>
    <x v="93"/>
    <s v="GO PERNILP@ BO CJ 20K AS"/>
    <s v="PERNIL PIERNA"/>
    <x v="9"/>
    <x v="1"/>
    <n v="0"/>
    <x v="0"/>
    <n v="24000"/>
    <n v="24000"/>
    <x v="7"/>
  </r>
  <r>
    <x v="3"/>
    <x v="0"/>
    <x v="221"/>
    <x v="0"/>
    <x v="17"/>
    <x v="1"/>
    <x v="93"/>
    <s v="GO PERNILP@ BO CJ 20K AS"/>
    <s v="PERNIL PIERNA"/>
    <x v="0"/>
    <x v="1"/>
    <n v="0"/>
    <x v="0"/>
    <n v="24000"/>
    <n v="24000"/>
    <x v="7"/>
  </r>
  <r>
    <x v="3"/>
    <x v="0"/>
    <x v="222"/>
    <x v="0"/>
    <x v="17"/>
    <x v="1"/>
    <x v="93"/>
    <s v="GO PERNILP@ BO CJ 20K AS"/>
    <s v="PERNIL PIERNA"/>
    <x v="7"/>
    <x v="0"/>
    <n v="0"/>
    <x v="0"/>
    <n v="24000"/>
    <n v="24000"/>
    <x v="7"/>
  </r>
  <r>
    <x v="3"/>
    <x v="0"/>
    <x v="223"/>
    <x v="0"/>
    <x v="17"/>
    <x v="1"/>
    <x v="93"/>
    <s v="GO PERNILP@ BO CJ 20K AS"/>
    <s v="PERNIL PIERNA"/>
    <x v="7"/>
    <x v="1"/>
    <n v="0"/>
    <x v="0"/>
    <n v="19562.276000000002"/>
    <n v="19562.276000000002"/>
    <x v="7"/>
  </r>
  <r>
    <x v="3"/>
    <x v="0"/>
    <x v="224"/>
    <x v="1"/>
    <x v="21"/>
    <x v="1"/>
    <x v="114"/>
    <s v="GO HUESO COXAL@ CJ 15KG AS"/>
    <s v="HUESOS CUARTO TRASERO"/>
    <x v="6"/>
    <x v="0"/>
    <n v="24000"/>
    <x v="0"/>
    <n v="0"/>
    <n v="24000"/>
    <x v="8"/>
  </r>
  <r>
    <x v="3"/>
    <x v="0"/>
    <x v="225"/>
    <x v="1"/>
    <x v="21"/>
    <x v="1"/>
    <x v="114"/>
    <s v="GO HUESO COXAL@ CJ 15KG AS"/>
    <s v="HUESOS CUARTO TRASERO"/>
    <x v="6"/>
    <x v="1"/>
    <n v="24000"/>
    <x v="0"/>
    <n v="0"/>
    <n v="24000"/>
    <x v="8"/>
  </r>
  <r>
    <x v="3"/>
    <x v="0"/>
    <x v="226"/>
    <x v="1"/>
    <x v="21"/>
    <x v="1"/>
    <x v="114"/>
    <s v="GO HUESO COXAL@ CJ 15KG AS"/>
    <s v="HUESOS CUARTO TRASERO"/>
    <x v="2"/>
    <x v="5"/>
    <n v="0"/>
    <x v="1"/>
    <n v="0"/>
    <n v="24000"/>
    <x v="7"/>
  </r>
  <r>
    <x v="3"/>
    <x v="0"/>
    <x v="227"/>
    <x v="0"/>
    <x v="21"/>
    <x v="1"/>
    <x v="114"/>
    <s v="GO HUESO COXAL@ CJ 15KG AS"/>
    <s v="HUESOS CUARTO TRASERO"/>
    <x v="4"/>
    <x v="2"/>
    <n v="0"/>
    <x v="0"/>
    <n v="24000"/>
    <n v="24000"/>
    <x v="7"/>
  </r>
  <r>
    <x v="3"/>
    <x v="0"/>
    <x v="228"/>
    <x v="0"/>
    <x v="21"/>
    <x v="1"/>
    <x v="114"/>
    <s v="GO HUESO COXAL@ CJ 15KG AS"/>
    <s v="HUESOS CUARTO TRASERO"/>
    <x v="0"/>
    <x v="2"/>
    <n v="0"/>
    <x v="0"/>
    <n v="24000"/>
    <n v="24000"/>
    <x v="7"/>
  </r>
  <r>
    <x v="3"/>
    <x v="0"/>
    <x v="229"/>
    <x v="1"/>
    <x v="17"/>
    <x v="1"/>
    <x v="115"/>
    <s v="GO HSO HÚMER@ BO CJ 20K AS"/>
    <s v="HUESOS CUARTO DELANTERO"/>
    <x v="8"/>
    <x v="4"/>
    <n v="0"/>
    <x v="0"/>
    <n v="24000"/>
    <n v="24000"/>
    <x v="7"/>
  </r>
  <r>
    <x v="3"/>
    <x v="0"/>
    <x v="230"/>
    <x v="0"/>
    <x v="19"/>
    <x v="1"/>
    <x v="115"/>
    <s v="GO HSO HÚMER@ BO CJ 20K AS"/>
    <s v="HUESOS CUARTO DELANTERO"/>
    <x v="7"/>
    <x v="2"/>
    <n v="0"/>
    <x v="0"/>
    <n v="24000"/>
    <n v="24000"/>
    <x v="7"/>
  </r>
  <r>
    <x v="3"/>
    <x v="0"/>
    <x v="231"/>
    <x v="1"/>
    <x v="17"/>
    <x v="1"/>
    <x v="116"/>
    <s v="GO MANTEC@ CJ 20K AS"/>
    <s v="GRASA INTERIOR"/>
    <x v="8"/>
    <x v="1"/>
    <n v="0"/>
    <x v="0"/>
    <n v="24000"/>
    <n v="24000"/>
    <x v="7"/>
  </r>
  <r>
    <x v="3"/>
    <x v="0"/>
    <x v="232"/>
    <x v="0"/>
    <x v="17"/>
    <x v="1"/>
    <x v="116"/>
    <s v="GO MANTEC@ CJ 20K AS"/>
    <s v="GRASA INTERIOR"/>
    <x v="11"/>
    <x v="1"/>
    <n v="0"/>
    <x v="0"/>
    <n v="24000"/>
    <n v="24000"/>
    <x v="7"/>
  </r>
  <r>
    <x v="3"/>
    <x v="0"/>
    <x v="233"/>
    <x v="0"/>
    <x v="17"/>
    <x v="1"/>
    <x v="116"/>
    <s v="GO MANTEC@ CJ 20K AS"/>
    <s v="GRASA INTERIOR"/>
    <x v="9"/>
    <x v="0"/>
    <n v="0"/>
    <x v="0"/>
    <n v="24000"/>
    <n v="24000"/>
    <x v="7"/>
  </r>
  <r>
    <x v="3"/>
    <x v="0"/>
    <x v="234"/>
    <x v="0"/>
    <x v="17"/>
    <x v="1"/>
    <x v="116"/>
    <s v="GO MANTEC@ CJ 20K AS"/>
    <s v="GRASA INTERIOR"/>
    <x v="0"/>
    <x v="1"/>
    <n v="0"/>
    <x v="0"/>
    <n v="24000"/>
    <n v="24000"/>
    <x v="7"/>
  </r>
  <r>
    <x v="3"/>
    <x v="0"/>
    <x v="235"/>
    <x v="0"/>
    <x v="17"/>
    <x v="1"/>
    <x v="116"/>
    <s v="GO MANTEC@ CJ 20K AS"/>
    <s v="GRASA INTERIOR"/>
    <x v="7"/>
    <x v="1"/>
    <n v="0"/>
    <x v="0"/>
    <n v="23496.152190000001"/>
    <n v="23496.152190000001"/>
    <x v="7"/>
  </r>
  <r>
    <x v="3"/>
    <x v="0"/>
    <x v="236"/>
    <x v="0"/>
    <x v="17"/>
    <x v="1"/>
    <x v="88"/>
    <s v="GO CORDON LOM@ BO CJ 20K AS"/>
    <s v="RECORTES NO MAGRO"/>
    <x v="3"/>
    <x v="1"/>
    <n v="0"/>
    <x v="0"/>
    <n v="24000"/>
    <n v="24000"/>
    <x v="7"/>
  </r>
  <r>
    <x v="3"/>
    <x v="0"/>
    <x v="237"/>
    <x v="1"/>
    <x v="17"/>
    <x v="1"/>
    <x v="94"/>
    <s v="GO MIXTO HSO@ BO CJ 10K AS"/>
    <s v="HUESOS CUARTO CENTRAL"/>
    <x v="6"/>
    <x v="1"/>
    <n v="24000"/>
    <x v="0"/>
    <n v="0"/>
    <n v="24000"/>
    <x v="7"/>
  </r>
  <r>
    <x v="3"/>
    <x v="0"/>
    <x v="238"/>
    <x v="1"/>
    <x v="17"/>
    <x v="1"/>
    <x v="94"/>
    <s v="GO MIXTO HSO@ BO CJ 10K AS"/>
    <s v="HUESOS CUARTO CENTRAL"/>
    <x v="6"/>
    <x v="2"/>
    <n v="24000"/>
    <x v="0"/>
    <n v="0"/>
    <n v="24000"/>
    <x v="7"/>
  </r>
  <r>
    <x v="3"/>
    <x v="0"/>
    <x v="239"/>
    <x v="1"/>
    <x v="17"/>
    <x v="1"/>
    <x v="94"/>
    <s v="GO MIXTO HSO@ BO CJ 10K AS"/>
    <s v="HUESOS CUARTO CENTRAL"/>
    <x v="8"/>
    <x v="4"/>
    <n v="0"/>
    <x v="0"/>
    <n v="24000"/>
    <n v="24000"/>
    <x v="7"/>
  </r>
  <r>
    <x v="3"/>
    <x v="0"/>
    <x v="240"/>
    <x v="0"/>
    <x v="17"/>
    <x v="1"/>
    <x v="94"/>
    <s v="GO MIXTO HSO@ BO CJ 10K AS"/>
    <s v="HUESOS CUARTO CENTRAL"/>
    <x v="0"/>
    <x v="2"/>
    <n v="0"/>
    <x v="0"/>
    <n v="24000"/>
    <n v="24000"/>
    <x v="7"/>
  </r>
  <r>
    <x v="3"/>
    <x v="0"/>
    <x v="241"/>
    <x v="1"/>
    <x v="21"/>
    <x v="1"/>
    <x v="117"/>
    <s v="GO CUE GRANEL@ BO CJ 20K AS"/>
    <s v="CUERO MIXTO"/>
    <x v="2"/>
    <x v="1"/>
    <n v="0"/>
    <x v="1"/>
    <n v="0"/>
    <n v="24000"/>
    <x v="7"/>
  </r>
  <r>
    <x v="3"/>
    <x v="0"/>
    <x v="242"/>
    <x v="0"/>
    <x v="21"/>
    <x v="1"/>
    <x v="117"/>
    <s v="GO CUE GRANEL@ BO CJ 20K AS"/>
    <s v="CUERO MIXTO"/>
    <x v="10"/>
    <x v="1"/>
    <n v="0"/>
    <x v="1"/>
    <n v="0"/>
    <n v="24000"/>
    <x v="7"/>
  </r>
  <r>
    <x v="3"/>
    <x v="0"/>
    <x v="243"/>
    <x v="1"/>
    <x v="17"/>
    <x v="1"/>
    <x v="118"/>
    <s v="GO CUE GRANEL@ BO CJ 20K AS"/>
    <s v="CUERO MIXTO"/>
    <x v="2"/>
    <x v="1"/>
    <n v="0"/>
    <x v="1"/>
    <n v="0"/>
    <n v="24000"/>
    <x v="7"/>
  </r>
  <r>
    <x v="3"/>
    <x v="0"/>
    <x v="244"/>
    <x v="1"/>
    <x v="21"/>
    <x v="1"/>
    <x v="118"/>
    <s v="GO CUE GRANEL@ BO CJ 20K AS"/>
    <s v="CUERO MIXTO"/>
    <x v="4"/>
    <x v="0"/>
    <n v="0"/>
    <x v="0"/>
    <n v="24000"/>
    <n v="24000"/>
    <x v="7"/>
  </r>
  <r>
    <x v="3"/>
    <x v="0"/>
    <x v="245"/>
    <x v="1"/>
    <x v="17"/>
    <x v="1"/>
    <x v="119"/>
    <s v="GO HSO COGOTE@ CJ 20K AS"/>
    <s v="HUESOS CUARTO DELANTERO"/>
    <x v="6"/>
    <x v="2"/>
    <n v="24000"/>
    <x v="0"/>
    <n v="0"/>
    <n v="24000"/>
    <x v="7"/>
  </r>
  <r>
    <x v="3"/>
    <x v="0"/>
    <x v="246"/>
    <x v="1"/>
    <x v="17"/>
    <x v="1"/>
    <x v="119"/>
    <s v="GO HSO COGOTE@ CJ 20K AS"/>
    <s v="HUESOS CUARTO DELANTERO"/>
    <x v="6"/>
    <x v="2"/>
    <n v="24000"/>
    <x v="0"/>
    <n v="0"/>
    <n v="24000"/>
    <x v="7"/>
  </r>
  <r>
    <x v="3"/>
    <x v="0"/>
    <x v="247"/>
    <x v="1"/>
    <x v="19"/>
    <x v="1"/>
    <x v="119"/>
    <s v="GO HSO COGOTE@ CJ 20K AS"/>
    <s v="HUESOS CUARTO DELANTERO"/>
    <x v="2"/>
    <x v="2"/>
    <n v="0"/>
    <x v="1"/>
    <n v="0"/>
    <n v="24000"/>
    <x v="7"/>
  </r>
  <r>
    <x v="3"/>
    <x v="0"/>
    <x v="248"/>
    <x v="1"/>
    <x v="19"/>
    <x v="1"/>
    <x v="119"/>
    <s v="GO HSO COGOTE@ CJ 20K AS"/>
    <s v="HUESOS CUARTO DELANTERO"/>
    <x v="10"/>
    <x v="2"/>
    <n v="0"/>
    <x v="1"/>
    <n v="0"/>
    <n v="24000"/>
    <x v="7"/>
  </r>
  <r>
    <x v="3"/>
    <x v="0"/>
    <x v="249"/>
    <x v="1"/>
    <x v="19"/>
    <x v="1"/>
    <x v="119"/>
    <s v="GO HSO COGOTE@ CJ 20K AS"/>
    <s v="HUESOS CUARTO DELANTERO"/>
    <x v="4"/>
    <x v="2"/>
    <n v="0"/>
    <x v="0"/>
    <n v="24000"/>
    <n v="24000"/>
    <x v="7"/>
  </r>
  <r>
    <x v="3"/>
    <x v="0"/>
    <x v="250"/>
    <x v="0"/>
    <x v="19"/>
    <x v="1"/>
    <x v="119"/>
    <s v="GO HSO COGOTE@ CJ 20K AS"/>
    <s v="HUESOS CUARTO DELANTERO"/>
    <x v="11"/>
    <x v="1"/>
    <n v="0"/>
    <x v="0"/>
    <n v="24000"/>
    <n v="24000"/>
    <x v="7"/>
  </r>
  <r>
    <x v="3"/>
    <x v="0"/>
    <x v="251"/>
    <x v="0"/>
    <x v="19"/>
    <x v="1"/>
    <x v="119"/>
    <s v="GO HSO COGOTE@ CJ 20K AS"/>
    <s v="HUESOS CUARTO DELANTERO"/>
    <x v="12"/>
    <x v="2"/>
    <n v="0"/>
    <x v="0"/>
    <n v="24000"/>
    <n v="24000"/>
    <x v="7"/>
  </r>
  <r>
    <x v="3"/>
    <x v="0"/>
    <x v="252"/>
    <x v="0"/>
    <x v="19"/>
    <x v="1"/>
    <x v="119"/>
    <s v="GO HSO COGOTE@ CJ 20K AS"/>
    <s v="HUESOS CUARTO DELANTERO"/>
    <x v="7"/>
    <x v="1"/>
    <n v="0"/>
    <x v="0"/>
    <n v="24000"/>
    <n v="24000"/>
    <x v="7"/>
  </r>
  <r>
    <x v="3"/>
    <x v="0"/>
    <x v="253"/>
    <x v="0"/>
    <x v="17"/>
    <x v="1"/>
    <x v="95"/>
    <s v="GO STERNUM BONES@ BO CJ 10K AS"/>
    <s v="HUESOS CUARTO DELANTERO"/>
    <x v="11"/>
    <x v="1"/>
    <n v="0"/>
    <x v="0"/>
    <n v="24000"/>
    <n v="24000"/>
    <x v="7"/>
  </r>
  <r>
    <x v="3"/>
    <x v="0"/>
    <x v="254"/>
    <x v="0"/>
    <x v="17"/>
    <x v="1"/>
    <x v="95"/>
    <s v="GO STERNUM BONES@ BO CJ 10K AS"/>
    <s v="HUESOS CUARTO DELANTERO"/>
    <x v="7"/>
    <x v="1"/>
    <n v="0"/>
    <x v="0"/>
    <n v="24000"/>
    <n v="24000"/>
    <x v="7"/>
  </r>
  <r>
    <x v="3"/>
    <x v="0"/>
    <x v="255"/>
    <x v="1"/>
    <x v="21"/>
    <x v="1"/>
    <x v="120"/>
    <s v="GO HUESO ESCAPULA@ CJ 15KG AS"/>
    <s v="HUESOS CUARTO DELANTERO"/>
    <x v="2"/>
    <x v="4"/>
    <n v="0"/>
    <x v="1"/>
    <n v="0"/>
    <n v="24000"/>
    <x v="7"/>
  </r>
  <r>
    <x v="3"/>
    <x v="0"/>
    <x v="256"/>
    <x v="0"/>
    <x v="19"/>
    <x v="1"/>
    <x v="96"/>
    <s v="GO COLA NOR@ FI CJ 10K AS"/>
    <s v="SUBPROD COLA"/>
    <x v="12"/>
    <x v="2"/>
    <n v="0"/>
    <x v="0"/>
    <n v="24000"/>
    <n v="24000"/>
    <x v="7"/>
  </r>
  <r>
    <x v="3"/>
    <x v="0"/>
    <x v="257"/>
    <x v="0"/>
    <x v="19"/>
    <x v="1"/>
    <x v="97"/>
    <s v="GO CAZ ENT@ BO CJ 10K AS"/>
    <s v="CHULETA CAZUELA"/>
    <x v="12"/>
    <x v="2"/>
    <n v="0"/>
    <x v="0"/>
    <n v="24000"/>
    <n v="24000"/>
    <x v="7"/>
  </r>
  <r>
    <x v="3"/>
    <x v="0"/>
    <x v="258"/>
    <x v="0"/>
    <x v="19"/>
    <x v="1"/>
    <x v="97"/>
    <s v="GO CAZ ENT@ BO CJ 10K AS"/>
    <s v="CHULETA CAZUELA"/>
    <x v="7"/>
    <x v="2"/>
    <n v="0"/>
    <x v="0"/>
    <n v="23192.86"/>
    <n v="23192.86"/>
    <x v="7"/>
  </r>
  <r>
    <x v="3"/>
    <x v="0"/>
    <x v="259"/>
    <x v="1"/>
    <x v="21"/>
    <x v="1"/>
    <x v="121"/>
    <s v="GO CARTILAG LOMO@ CJ 10K AS"/>
    <s v="RECORTES NO MAGRO"/>
    <x v="6"/>
    <x v="0"/>
    <n v="24000"/>
    <x v="0"/>
    <n v="0"/>
    <n v="24000"/>
    <x v="8"/>
  </r>
  <r>
    <x v="3"/>
    <x v="0"/>
    <x v="260"/>
    <x v="1"/>
    <x v="21"/>
    <x v="1"/>
    <x v="121"/>
    <s v="GO CARTILAG LOMO@ CJ 10K AS"/>
    <s v="RECORTES NO MAGRO"/>
    <x v="6"/>
    <x v="3"/>
    <n v="24000"/>
    <x v="0"/>
    <n v="0"/>
    <n v="24000"/>
    <x v="7"/>
  </r>
  <r>
    <x v="3"/>
    <x v="0"/>
    <x v="261"/>
    <x v="1"/>
    <x v="17"/>
    <x v="1"/>
    <x v="121"/>
    <s v="GO CARTILAG LOMO@ CJ 10K AS"/>
    <s v="RECORTES NO MAGRO"/>
    <x v="2"/>
    <x v="3"/>
    <n v="0"/>
    <x v="1"/>
    <n v="0"/>
    <n v="24000"/>
    <x v="7"/>
  </r>
  <r>
    <x v="3"/>
    <x v="0"/>
    <x v="262"/>
    <x v="1"/>
    <x v="17"/>
    <x v="1"/>
    <x v="121"/>
    <s v="GO CARTILAG LOMO@ CJ 10K AS"/>
    <s v="RECORTES NO MAGRO"/>
    <x v="3"/>
    <x v="2"/>
    <n v="0"/>
    <x v="0"/>
    <n v="24000"/>
    <n v="24000"/>
    <x v="7"/>
  </r>
  <r>
    <x v="3"/>
    <x v="0"/>
    <x v="263"/>
    <x v="0"/>
    <x v="17"/>
    <x v="1"/>
    <x v="121"/>
    <s v="GO CARTILAG LOMO@ CJ 10K AS"/>
    <s v="RECORTES NO MAGRO"/>
    <x v="12"/>
    <x v="2"/>
    <n v="0"/>
    <x v="0"/>
    <n v="24000"/>
    <n v="24000"/>
    <x v="7"/>
  </r>
  <r>
    <x v="3"/>
    <x v="0"/>
    <x v="264"/>
    <x v="0"/>
    <x v="17"/>
    <x v="1"/>
    <x v="121"/>
    <s v="GO CARTILAG LOMO@ CJ 10K AS"/>
    <s v="RECORTES NO MAGRO"/>
    <x v="7"/>
    <x v="2"/>
    <n v="0"/>
    <x v="0"/>
    <n v="24000"/>
    <n v="24000"/>
    <x v="7"/>
  </r>
  <r>
    <x v="3"/>
    <x v="0"/>
    <x v="265"/>
    <x v="1"/>
    <x v="22"/>
    <x v="1"/>
    <x v="122"/>
    <s v="GO LENGUA@ FI CJ 10K AS"/>
    <s v="CABEZA DERIVADOS"/>
    <x v="2"/>
    <x v="2"/>
    <n v="0"/>
    <x v="1"/>
    <n v="0"/>
    <n v="24000"/>
    <x v="7"/>
  </r>
  <r>
    <x v="3"/>
    <x v="0"/>
    <x v="266"/>
    <x v="0"/>
    <x v="22"/>
    <x v="1"/>
    <x v="122"/>
    <s v="GO LENGUA@ FI CJ 10K AS"/>
    <s v="CABEZA DERIVADOS"/>
    <x v="7"/>
    <x v="0"/>
    <n v="0"/>
    <x v="0"/>
    <n v="13979.18"/>
    <n v="13979.18"/>
    <x v="7"/>
  </r>
  <r>
    <x v="3"/>
    <x v="0"/>
    <x v="267"/>
    <x v="1"/>
    <x v="17"/>
    <x v="1"/>
    <x v="98"/>
    <s v="GO RECO 60/40 @ CJ 20K AS"/>
    <s v="RECORTES NO MAGRO"/>
    <x v="1"/>
    <x v="0"/>
    <n v="0"/>
    <x v="0"/>
    <n v="24000"/>
    <n v="24000"/>
    <x v="7"/>
  </r>
  <r>
    <x v="3"/>
    <x v="0"/>
    <x v="268"/>
    <x v="1"/>
    <x v="17"/>
    <x v="1"/>
    <x v="123"/>
    <s v="GO CAB ENT@ CJ 20K AS"/>
    <s v="CABEZA ENTERA"/>
    <x v="6"/>
    <x v="1"/>
    <n v="24000"/>
    <x v="0"/>
    <n v="0"/>
    <n v="24000"/>
    <x v="7"/>
  </r>
  <r>
    <x v="3"/>
    <x v="0"/>
    <x v="269"/>
    <x v="1"/>
    <x v="17"/>
    <x v="1"/>
    <x v="123"/>
    <s v="GO CAB ENT@ CJ 20K AS"/>
    <s v="CABEZA ENTERA"/>
    <x v="6"/>
    <x v="1"/>
    <n v="24000"/>
    <x v="0"/>
    <n v="0"/>
    <n v="24000"/>
    <x v="7"/>
  </r>
  <r>
    <x v="3"/>
    <x v="0"/>
    <x v="270"/>
    <x v="1"/>
    <x v="17"/>
    <x v="1"/>
    <x v="123"/>
    <s v="GO CAB ENT@ CJ 20K AS"/>
    <s v="CABEZA ENTERA"/>
    <x v="2"/>
    <x v="4"/>
    <n v="0"/>
    <x v="1"/>
    <n v="0"/>
    <n v="24000"/>
    <x v="7"/>
  </r>
  <r>
    <x v="3"/>
    <x v="0"/>
    <x v="271"/>
    <x v="1"/>
    <x v="19"/>
    <x v="1"/>
    <x v="123"/>
    <s v="GO CAB ENT@ CJ 20K AS"/>
    <s v="CABEZA ENTERA"/>
    <x v="2"/>
    <x v="0"/>
    <n v="0"/>
    <x v="1"/>
    <n v="0"/>
    <n v="24000"/>
    <x v="7"/>
  </r>
  <r>
    <x v="3"/>
    <x v="0"/>
    <x v="272"/>
    <x v="1"/>
    <x v="19"/>
    <x v="1"/>
    <x v="123"/>
    <s v="GO CAB ENT@ CJ 20K AS"/>
    <s v="CABEZA ENTERA"/>
    <x v="1"/>
    <x v="2"/>
    <n v="0"/>
    <x v="1"/>
    <n v="0"/>
    <n v="24000"/>
    <x v="7"/>
  </r>
  <r>
    <x v="3"/>
    <x v="0"/>
    <x v="273"/>
    <x v="0"/>
    <x v="19"/>
    <x v="1"/>
    <x v="123"/>
    <s v="GO CAB ENT@ CJ 20K AS"/>
    <s v="CABEZA ENTERA"/>
    <x v="11"/>
    <x v="1"/>
    <n v="0"/>
    <x v="0"/>
    <n v="24000"/>
    <n v="24000"/>
    <x v="7"/>
  </r>
  <r>
    <x v="3"/>
    <x v="0"/>
    <x v="274"/>
    <x v="0"/>
    <x v="19"/>
    <x v="1"/>
    <x v="123"/>
    <s v="GO CAB ENT@ CJ 20K AS"/>
    <s v="CABEZA ENTERA"/>
    <x v="12"/>
    <x v="1"/>
    <n v="0"/>
    <x v="0"/>
    <n v="24000"/>
    <n v="24000"/>
    <x v="7"/>
  </r>
  <r>
    <x v="3"/>
    <x v="0"/>
    <x v="275"/>
    <x v="0"/>
    <x v="19"/>
    <x v="1"/>
    <x v="123"/>
    <s v="GO CAB ENT@ CJ 20K AS"/>
    <s v="CABEZA ENTERA"/>
    <x v="12"/>
    <x v="0"/>
    <n v="0"/>
    <x v="0"/>
    <n v="24000"/>
    <n v="24000"/>
    <x v="7"/>
  </r>
  <r>
    <x v="3"/>
    <x v="0"/>
    <x v="276"/>
    <x v="0"/>
    <x v="19"/>
    <x v="1"/>
    <x v="123"/>
    <s v="GO CAB ENT@ CJ 20K AS"/>
    <s v="CABEZA ENTERA"/>
    <x v="7"/>
    <x v="1"/>
    <n v="0"/>
    <x v="0"/>
    <n v="24000"/>
    <n v="24000"/>
    <x v="7"/>
  </r>
  <r>
    <x v="3"/>
    <x v="0"/>
    <x v="277"/>
    <x v="0"/>
    <x v="19"/>
    <x v="1"/>
    <x v="123"/>
    <s v="GO CAB ENT@ CJ 20K AS"/>
    <s v="CABEZA ENTERA"/>
    <x v="7"/>
    <x v="0"/>
    <n v="0"/>
    <x v="0"/>
    <n v="15067.892589999999"/>
    <n v="15067.892589999999"/>
    <x v="7"/>
  </r>
  <r>
    <x v="3"/>
    <x v="0"/>
    <x v="278"/>
    <x v="1"/>
    <x v="21"/>
    <x v="1"/>
    <x v="123"/>
    <s v="GO CAB ENT@ CJ 20K AS"/>
    <s v="CABEZA ENTERA"/>
    <x v="4"/>
    <x v="1"/>
    <n v="0"/>
    <x v="0"/>
    <n v="24000"/>
    <n v="24000"/>
    <x v="7"/>
  </r>
  <r>
    <x v="3"/>
    <x v="0"/>
    <x v="279"/>
    <x v="1"/>
    <x v="21"/>
    <x v="1"/>
    <x v="123"/>
    <s v="GO CAB ENT@ CJ 20K AS"/>
    <s v="CABEZA ENTERA"/>
    <x v="4"/>
    <x v="0"/>
    <n v="0"/>
    <x v="0"/>
    <n v="24000"/>
    <n v="24000"/>
    <x v="7"/>
  </r>
  <r>
    <x v="3"/>
    <x v="0"/>
    <x v="280"/>
    <x v="1"/>
    <x v="19"/>
    <x v="1"/>
    <x v="86"/>
    <s v="GO CAB ROJ ENT S/L@ CJ 20K AS"/>
    <s v="CABEZA ENTERA"/>
    <x v="12"/>
    <x v="4"/>
    <n v="0"/>
    <x v="0"/>
    <n v="24000"/>
    <n v="24000"/>
    <x v="7"/>
  </r>
  <r>
    <x v="3"/>
    <x v="0"/>
    <x v="281"/>
    <x v="1"/>
    <x v="19"/>
    <x v="1"/>
    <x v="124"/>
    <s v="GO CAB BCA ENT S/L@ CJ 20K AS"/>
    <s v="CABEZA ENTERA"/>
    <x v="2"/>
    <x v="2"/>
    <n v="0"/>
    <x v="1"/>
    <n v="0"/>
    <n v="24000"/>
    <x v="7"/>
  </r>
  <r>
    <x v="3"/>
    <x v="0"/>
    <x v="282"/>
    <x v="1"/>
    <x v="19"/>
    <x v="1"/>
    <x v="124"/>
    <s v="GO CAB BCA ENT S/L@ CJ 20K AS"/>
    <s v="CABEZA ENTERA"/>
    <x v="10"/>
    <x v="2"/>
    <n v="0"/>
    <x v="1"/>
    <n v="0"/>
    <n v="24000"/>
    <x v="7"/>
  </r>
  <r>
    <x v="3"/>
    <x v="0"/>
    <x v="283"/>
    <x v="1"/>
    <x v="19"/>
    <x v="1"/>
    <x v="124"/>
    <s v="GO CAB BCA ENT S/L@ CJ 20K AS"/>
    <s v="CABEZA ENTERA"/>
    <x v="10"/>
    <x v="0"/>
    <n v="0"/>
    <x v="1"/>
    <n v="0"/>
    <n v="24000"/>
    <x v="7"/>
  </r>
  <r>
    <x v="3"/>
    <x v="0"/>
    <x v="284"/>
    <x v="1"/>
    <x v="19"/>
    <x v="1"/>
    <x v="124"/>
    <s v="GO CAB BCA ENT S/L@ CJ 20K AS"/>
    <s v="CABEZA ENTERA"/>
    <x v="13"/>
    <x v="1"/>
    <n v="0"/>
    <x v="1"/>
    <n v="0"/>
    <n v="24000"/>
    <x v="7"/>
  </r>
  <r>
    <x v="3"/>
    <x v="0"/>
    <x v="285"/>
    <x v="1"/>
    <x v="19"/>
    <x v="1"/>
    <x v="124"/>
    <s v="GO CAB BCA ENT S/L@ CJ 20K AS"/>
    <s v="CABEZA ENTERA"/>
    <x v="8"/>
    <x v="1"/>
    <n v="0"/>
    <x v="0"/>
    <n v="24000"/>
    <n v="24000"/>
    <x v="7"/>
  </r>
  <r>
    <x v="3"/>
    <x v="0"/>
    <x v="286"/>
    <x v="1"/>
    <x v="19"/>
    <x v="1"/>
    <x v="124"/>
    <s v="GO CAB BCA ENT S/L@ CJ 20K AS"/>
    <s v="CABEZA ENTERA"/>
    <x v="3"/>
    <x v="1"/>
    <n v="0"/>
    <x v="0"/>
    <n v="24000"/>
    <n v="24000"/>
    <x v="7"/>
  </r>
  <r>
    <x v="3"/>
    <x v="0"/>
    <x v="287"/>
    <x v="1"/>
    <x v="19"/>
    <x v="1"/>
    <x v="124"/>
    <s v="GO CAB BCA ENT S/L@ CJ 20K AS"/>
    <s v="CABEZA ENTERA"/>
    <x v="3"/>
    <x v="0"/>
    <n v="0"/>
    <x v="0"/>
    <n v="24000"/>
    <n v="24000"/>
    <x v="7"/>
  </r>
  <r>
    <x v="3"/>
    <x v="0"/>
    <x v="288"/>
    <x v="1"/>
    <x v="19"/>
    <x v="1"/>
    <x v="124"/>
    <s v="GO CAB BCA ENT S/L@ CJ 20K AS"/>
    <s v="CABEZA ENTERA"/>
    <x v="11"/>
    <x v="1"/>
    <n v="0"/>
    <x v="0"/>
    <n v="24000"/>
    <n v="24000"/>
    <x v="7"/>
  </r>
  <r>
    <x v="3"/>
    <x v="0"/>
    <x v="289"/>
    <x v="0"/>
    <x v="19"/>
    <x v="1"/>
    <x v="124"/>
    <s v="GO CAB BCA ENT S/L@ CJ 20K AS"/>
    <s v="CABEZA ENTERA"/>
    <x v="11"/>
    <x v="0"/>
    <n v="0"/>
    <x v="0"/>
    <n v="24000"/>
    <n v="24000"/>
    <x v="7"/>
  </r>
  <r>
    <x v="3"/>
    <x v="0"/>
    <x v="290"/>
    <x v="0"/>
    <x v="19"/>
    <x v="1"/>
    <x v="124"/>
    <s v="GO CAB BCA ENT S/L@ CJ 20K AS"/>
    <s v="CABEZA ENTERA"/>
    <x v="12"/>
    <x v="0"/>
    <n v="0"/>
    <x v="0"/>
    <n v="24000"/>
    <n v="24000"/>
    <x v="7"/>
  </r>
  <r>
    <x v="3"/>
    <x v="0"/>
    <x v="291"/>
    <x v="0"/>
    <x v="19"/>
    <x v="1"/>
    <x v="124"/>
    <s v="GO CAB BCA ENT S/L@ CJ 20K AS"/>
    <s v="CABEZA ENTERA"/>
    <x v="12"/>
    <x v="0"/>
    <n v="0"/>
    <x v="0"/>
    <n v="24000"/>
    <n v="24000"/>
    <x v="7"/>
  </r>
  <r>
    <x v="3"/>
    <x v="0"/>
    <x v="292"/>
    <x v="0"/>
    <x v="19"/>
    <x v="1"/>
    <x v="124"/>
    <s v="GO CAB BCA ENT S/L@ CJ 20K AS"/>
    <s v="CABEZA ENTERA"/>
    <x v="9"/>
    <x v="0"/>
    <n v="0"/>
    <x v="0"/>
    <n v="24000"/>
    <n v="24000"/>
    <x v="7"/>
  </r>
  <r>
    <x v="3"/>
    <x v="0"/>
    <x v="293"/>
    <x v="0"/>
    <x v="19"/>
    <x v="1"/>
    <x v="124"/>
    <s v="GO CAB BCA ENT S/L@ CJ 20K AS"/>
    <s v="CABEZA ENTERA"/>
    <x v="0"/>
    <x v="1"/>
    <n v="0"/>
    <x v="0"/>
    <n v="24000"/>
    <n v="24000"/>
    <x v="7"/>
  </r>
  <r>
    <x v="3"/>
    <x v="0"/>
    <x v="294"/>
    <x v="0"/>
    <x v="19"/>
    <x v="1"/>
    <x v="124"/>
    <s v="GO CAB BCA ENT S/L@ CJ 20K AS"/>
    <s v="CABEZA ENTERA"/>
    <x v="0"/>
    <x v="0"/>
    <n v="0"/>
    <x v="0"/>
    <n v="24000"/>
    <n v="24000"/>
    <x v="7"/>
  </r>
  <r>
    <x v="3"/>
    <x v="0"/>
    <x v="295"/>
    <x v="0"/>
    <x v="19"/>
    <x v="1"/>
    <x v="124"/>
    <s v="GO CAB BCA ENT S/L@ CJ 20K AS"/>
    <s v="CABEZA ENTERA"/>
    <x v="0"/>
    <x v="0"/>
    <n v="0"/>
    <x v="0"/>
    <n v="24000"/>
    <n v="24000"/>
    <x v="7"/>
  </r>
  <r>
    <x v="3"/>
    <x v="0"/>
    <x v="296"/>
    <x v="0"/>
    <x v="19"/>
    <x v="1"/>
    <x v="124"/>
    <s v="GO CAB BCA ENT S/L@ CJ 20K AS"/>
    <s v="CABEZA ENTERA"/>
    <x v="0"/>
    <x v="1"/>
    <n v="0"/>
    <x v="0"/>
    <n v="24000"/>
    <n v="24000"/>
    <x v="7"/>
  </r>
  <r>
    <x v="3"/>
    <x v="0"/>
    <x v="297"/>
    <x v="0"/>
    <x v="19"/>
    <x v="1"/>
    <x v="124"/>
    <s v="GO CAB BCA ENT S/L@ CJ 20K AS"/>
    <s v="CABEZA ENTERA"/>
    <x v="7"/>
    <x v="1"/>
    <n v="0"/>
    <x v="0"/>
    <n v="24000"/>
    <n v="24000"/>
    <x v="7"/>
  </r>
  <r>
    <x v="3"/>
    <x v="0"/>
    <x v="298"/>
    <x v="0"/>
    <x v="19"/>
    <x v="1"/>
    <x v="124"/>
    <s v="GO CAB BCA ENT S/L@ CJ 20K AS"/>
    <s v="CABEZA ENTERA"/>
    <x v="7"/>
    <x v="1"/>
    <n v="0"/>
    <x v="0"/>
    <n v="24000"/>
    <n v="24000"/>
    <x v="7"/>
  </r>
  <r>
    <x v="3"/>
    <x v="0"/>
    <x v="299"/>
    <x v="1"/>
    <x v="19"/>
    <x v="1"/>
    <x v="125"/>
    <s v="GO RESTO TIRA HSO CTRO@ BO CJ 20K AS"/>
    <s v="HUESOS CUARTO CENTRAL"/>
    <x v="10"/>
    <x v="3"/>
    <n v="0"/>
    <x v="0"/>
    <n v="24000"/>
    <n v="24000"/>
    <x v="7"/>
  </r>
  <r>
    <x v="3"/>
    <x v="0"/>
    <x v="300"/>
    <x v="1"/>
    <x v="21"/>
    <x v="0"/>
    <x v="98"/>
    <s v="GO RECO 60/40 @ CJ 20K AS"/>
    <s v="RECORTES NO MAGRO"/>
    <x v="6"/>
    <x v="1"/>
    <n v="24000"/>
    <x v="0"/>
    <n v="0"/>
    <n v="24000"/>
    <x v="7"/>
  </r>
  <r>
    <x v="3"/>
    <x v="0"/>
    <x v="301"/>
    <x v="1"/>
    <x v="18"/>
    <x v="0"/>
    <x v="126"/>
    <s v="GO RESTO TIRA HSO@ FI CJ 10K AS"/>
    <s v="HUESOS CUARTO CENTRAL"/>
    <x v="6"/>
    <x v="3"/>
    <n v="24000"/>
    <x v="0"/>
    <n v="0"/>
    <n v="24000"/>
    <x v="7"/>
  </r>
  <r>
    <x v="3"/>
    <x v="0"/>
    <x v="302"/>
    <x v="1"/>
    <x v="17"/>
    <x v="0"/>
    <x v="127"/>
    <s v="GO PERNILM B@ BO CJ 20K AS"/>
    <s v="PERNIL MANO"/>
    <x v="2"/>
    <x v="3"/>
    <n v="0"/>
    <x v="1"/>
    <n v="0"/>
    <n v="24000"/>
    <x v="7"/>
  </r>
  <r>
    <x v="3"/>
    <x v="0"/>
    <x v="303"/>
    <x v="1"/>
    <x v="19"/>
    <x v="0"/>
    <x v="89"/>
    <s v="GO PERNILM@ CJ 20K AS"/>
    <s v="PERNIL MANO"/>
    <x v="6"/>
    <x v="3"/>
    <n v="24000"/>
    <x v="0"/>
    <n v="0"/>
    <n v="24000"/>
    <x v="7"/>
  </r>
  <r>
    <x v="3"/>
    <x v="0"/>
    <x v="304"/>
    <x v="1"/>
    <x v="18"/>
    <x v="0"/>
    <x v="116"/>
    <s v="GO MANTEC@ CJ 20K AS"/>
    <s v="GRASA INTERIOR"/>
    <x v="2"/>
    <x v="2"/>
    <n v="0"/>
    <x v="1"/>
    <n v="0"/>
    <n v="24000"/>
    <x v="7"/>
  </r>
  <r>
    <x v="3"/>
    <x v="0"/>
    <x v="305"/>
    <x v="1"/>
    <x v="18"/>
    <x v="0"/>
    <x v="95"/>
    <s v="GO STERNUM BONES@ BO CJ 10K AS"/>
    <s v="HUESOS CUARTO DELANTERO"/>
    <x v="6"/>
    <x v="0"/>
    <n v="24000"/>
    <x v="0"/>
    <n v="0"/>
    <n v="24000"/>
    <x v="8"/>
  </r>
  <r>
    <x v="3"/>
    <x v="0"/>
    <x v="306"/>
    <x v="1"/>
    <x v="18"/>
    <x v="0"/>
    <x v="95"/>
    <s v="GO STERNUM BONES@ BO CJ 10K AS"/>
    <s v="HUESOS CUARTO DELANTERO"/>
    <x v="6"/>
    <x v="0"/>
    <n v="24000"/>
    <x v="0"/>
    <n v="0"/>
    <n v="24000"/>
    <x v="8"/>
  </r>
  <r>
    <x v="3"/>
    <x v="0"/>
    <x v="307"/>
    <x v="1"/>
    <x v="19"/>
    <x v="0"/>
    <x v="97"/>
    <s v="GO CAZ ENT@ BO CJ 10K AS"/>
    <s v="CHULETA CAZUELA"/>
    <x v="6"/>
    <x v="3"/>
    <n v="24000"/>
    <x v="0"/>
    <n v="0"/>
    <n v="24000"/>
    <x v="7"/>
  </r>
  <r>
    <x v="3"/>
    <x v="0"/>
    <x v="308"/>
    <x v="1"/>
    <x v="20"/>
    <x v="0"/>
    <x v="100"/>
    <s v="GO GORD ESP@ BO CJ 10K AS"/>
    <s v="GRASA GORDURA"/>
    <x v="6"/>
    <x v="3"/>
    <n v="24000"/>
    <x v="0"/>
    <n v="0"/>
    <n v="24000"/>
    <x v="7"/>
  </r>
  <r>
    <x v="3"/>
    <x v="0"/>
    <x v="309"/>
    <x v="1"/>
    <x v="20"/>
    <x v="0"/>
    <x v="89"/>
    <s v="GO PERNILM@ CJ 20K AS"/>
    <s v="PERNIL MANO"/>
    <x v="2"/>
    <x v="1"/>
    <n v="0"/>
    <x v="1"/>
    <n v="0"/>
    <n v="24000"/>
    <x v="7"/>
  </r>
  <r>
    <x v="3"/>
    <x v="0"/>
    <x v="310"/>
    <x v="1"/>
    <x v="20"/>
    <x v="0"/>
    <x v="91"/>
    <s v="GO PATAS@ CJ 20K AS"/>
    <s v="SUBPROD PATAS-MANOS"/>
    <x v="2"/>
    <x v="4"/>
    <n v="0"/>
    <x v="1"/>
    <n v="0"/>
    <n v="24000"/>
    <x v="7"/>
  </r>
  <r>
    <x v="3"/>
    <x v="0"/>
    <x v="311"/>
    <x v="1"/>
    <x v="17"/>
    <x v="0"/>
    <x v="95"/>
    <s v="GO STERNUM BONES@ BO CJ 10K AS"/>
    <s v="HUESOS CUARTO DELANTERO"/>
    <x v="6"/>
    <x v="3"/>
    <n v="24000"/>
    <x v="0"/>
    <n v="0"/>
    <n v="24000"/>
    <x v="7"/>
  </r>
  <r>
    <x v="3"/>
    <x v="0"/>
    <x v="312"/>
    <x v="1"/>
    <x v="20"/>
    <x v="0"/>
    <x v="111"/>
    <s v="GO RECO 20/80 @ CJ 20K AS"/>
    <s v="GRASA GORDURA"/>
    <x v="6"/>
    <x v="1"/>
    <n v="24000"/>
    <x v="0"/>
    <n v="0"/>
    <n v="24000"/>
    <x v="7"/>
  </r>
  <r>
    <x v="3"/>
    <x v="0"/>
    <x v="313"/>
    <x v="1"/>
    <x v="20"/>
    <x v="0"/>
    <x v="111"/>
    <s v="GO RECO 20/80 @ CJ 20K AS"/>
    <s v="GRASA GORDURA"/>
    <x v="2"/>
    <x v="3"/>
    <n v="0"/>
    <x v="1"/>
    <n v="0"/>
    <n v="24000"/>
    <x v="7"/>
  </r>
  <r>
    <x v="3"/>
    <x v="0"/>
    <x v="314"/>
    <x v="1"/>
    <x v="18"/>
    <x v="0"/>
    <x v="126"/>
    <s v="GO RESTO TIRA HSO@ FI CJ 10K AS"/>
    <s v="HUESOS CUARTO CENTRAL"/>
    <x v="2"/>
    <x v="1"/>
    <n v="0"/>
    <x v="1"/>
    <n v="0"/>
    <n v="24000"/>
    <x v="7"/>
  </r>
  <r>
    <x v="3"/>
    <x v="0"/>
    <x v="315"/>
    <x v="0"/>
    <x v="17"/>
    <x v="0"/>
    <x v="89"/>
    <s v="GO PERNILM@ CJ 20K AS"/>
    <s v="PERNIL MANO"/>
    <x v="11"/>
    <x v="2"/>
    <n v="0"/>
    <x v="0"/>
    <n v="24000"/>
    <n v="24000"/>
    <x v="7"/>
  </r>
  <r>
    <x v="3"/>
    <x v="0"/>
    <x v="316"/>
    <x v="0"/>
    <x v="19"/>
    <x v="0"/>
    <x v="89"/>
    <s v="GO PERNILM@ CJ 20K AS"/>
    <s v="PERNIL MANO"/>
    <x v="12"/>
    <x v="2"/>
    <n v="0"/>
    <x v="0"/>
    <n v="24000"/>
    <n v="24000"/>
    <x v="7"/>
  </r>
  <r>
    <x v="3"/>
    <x v="0"/>
    <x v="317"/>
    <x v="0"/>
    <x v="19"/>
    <x v="0"/>
    <x v="89"/>
    <s v="GO PERNILM@ CJ 20K AS"/>
    <s v="PERNIL MANO"/>
    <x v="12"/>
    <x v="2"/>
    <n v="0"/>
    <x v="0"/>
    <n v="24000"/>
    <n v="24000"/>
    <x v="7"/>
  </r>
  <r>
    <x v="3"/>
    <x v="0"/>
    <x v="318"/>
    <x v="1"/>
    <x v="18"/>
    <x v="0"/>
    <x v="95"/>
    <s v="GO STERNUM BONES@ BO CJ 10K AS"/>
    <s v="HUESOS CUARTO DELANTERO"/>
    <x v="2"/>
    <x v="4"/>
    <n v="0"/>
    <x v="1"/>
    <n v="0"/>
    <n v="24000"/>
    <x v="7"/>
  </r>
  <r>
    <x v="3"/>
    <x v="0"/>
    <x v="319"/>
    <x v="1"/>
    <x v="21"/>
    <x v="0"/>
    <x v="97"/>
    <s v="GO CAZ ENT@ BO CJ 10K AS"/>
    <s v="CHULETA CAZUELA"/>
    <x v="3"/>
    <x v="2"/>
    <n v="0"/>
    <x v="0"/>
    <n v="24000"/>
    <n v="24000"/>
    <x v="7"/>
  </r>
  <r>
    <x v="3"/>
    <x v="0"/>
    <x v="320"/>
    <x v="1"/>
    <x v="17"/>
    <x v="0"/>
    <x v="93"/>
    <s v="GO PERNILP@ BO CJ 20K AS"/>
    <s v="PERNIL PIERNA"/>
    <x v="11"/>
    <x v="1"/>
    <n v="0"/>
    <x v="0"/>
    <n v="24000"/>
    <n v="24000"/>
    <x v="7"/>
  </r>
  <r>
    <x v="3"/>
    <x v="0"/>
    <x v="321"/>
    <x v="1"/>
    <x v="17"/>
    <x v="0"/>
    <x v="93"/>
    <s v="GO PERNILP@ BO CJ 20K AS"/>
    <s v="PERNIL PIERNA"/>
    <x v="12"/>
    <x v="1"/>
    <n v="0"/>
    <x v="0"/>
    <n v="24000"/>
    <n v="24000"/>
    <x v="7"/>
  </r>
  <r>
    <x v="3"/>
    <x v="0"/>
    <x v="322"/>
    <x v="1"/>
    <x v="17"/>
    <x v="0"/>
    <x v="93"/>
    <s v="GO PERNILP@ BO CJ 20K AS"/>
    <s v="PERNIL PIERNA"/>
    <x v="12"/>
    <x v="1"/>
    <n v="0"/>
    <x v="0"/>
    <n v="24000"/>
    <n v="24000"/>
    <x v="7"/>
  </r>
  <r>
    <x v="3"/>
    <x v="0"/>
    <x v="323"/>
    <x v="1"/>
    <x v="19"/>
    <x v="0"/>
    <x v="111"/>
    <s v="GO RECO 20/80 @ CJ 20K AS"/>
    <s v="GRASA GORDURA"/>
    <x v="1"/>
    <x v="1"/>
    <n v="0"/>
    <x v="0"/>
    <n v="24000"/>
    <n v="24000"/>
    <x v="7"/>
  </r>
  <r>
    <x v="3"/>
    <x v="0"/>
    <x v="324"/>
    <x v="1"/>
    <x v="19"/>
    <x v="0"/>
    <x v="111"/>
    <s v="GO RECO 20/80 @ CJ 20K AS"/>
    <s v="GRASA GORDURA"/>
    <x v="4"/>
    <x v="1"/>
    <n v="0"/>
    <x v="0"/>
    <n v="24000"/>
    <n v="24000"/>
    <x v="7"/>
  </r>
  <r>
    <x v="3"/>
    <x v="0"/>
    <x v="325"/>
    <x v="1"/>
    <x v="19"/>
    <x v="0"/>
    <x v="111"/>
    <s v="GO RECO 20/80 @ CJ 20K AS"/>
    <s v="GRASA GORDURA"/>
    <x v="11"/>
    <x v="1"/>
    <n v="0"/>
    <x v="0"/>
    <n v="24000"/>
    <n v="24000"/>
    <x v="7"/>
  </r>
  <r>
    <x v="3"/>
    <x v="0"/>
    <x v="326"/>
    <x v="0"/>
    <x v="17"/>
    <x v="1"/>
    <x v="128"/>
    <s v="GO HSO COSTILLA 4X 5KG @ CJ 20K AS"/>
    <s v="HUESOS CUARTO CENTRAL"/>
    <x v="0"/>
    <x v="1"/>
    <n v="0"/>
    <x v="0"/>
    <n v="24000"/>
    <n v="24000"/>
    <x v="7"/>
  </r>
  <r>
    <x v="3"/>
    <x v="0"/>
    <x v="327"/>
    <x v="1"/>
    <x v="21"/>
    <x v="1"/>
    <x v="120"/>
    <s v="GO HUESO ESCAPULA@ CJ 15KG AS"/>
    <s v="HUESOS CUARTO DELANTERO"/>
    <x v="11"/>
    <x v="2"/>
    <n v="0"/>
    <x v="0"/>
    <n v="24000"/>
    <n v="24000"/>
    <x v="7"/>
  </r>
  <r>
    <x v="3"/>
    <x v="0"/>
    <x v="328"/>
    <x v="1"/>
    <x v="19"/>
    <x v="1"/>
    <x v="129"/>
    <s v="GO PNA FORRO@ BO CJ 20K AS"/>
    <s v="CUERO FORRO"/>
    <x v="10"/>
    <x v="1"/>
    <n v="0"/>
    <x v="1"/>
    <n v="0"/>
    <n v="24000"/>
    <x v="7"/>
  </r>
  <r>
    <x v="3"/>
    <x v="0"/>
    <x v="329"/>
    <x v="0"/>
    <x v="19"/>
    <x v="1"/>
    <x v="129"/>
    <s v="GO PNA FORRO@ BO CJ 20K AS"/>
    <s v="CUERO FORRO"/>
    <x v="4"/>
    <x v="1"/>
    <n v="0"/>
    <x v="0"/>
    <n v="24000"/>
    <n v="24000"/>
    <x v="7"/>
  </r>
  <r>
    <x v="3"/>
    <x v="0"/>
    <x v="330"/>
    <x v="0"/>
    <x v="19"/>
    <x v="1"/>
    <x v="129"/>
    <s v="GO PNA FORRO@ BO CJ 20K AS"/>
    <s v="CUERO FORRO"/>
    <x v="5"/>
    <x v="0"/>
    <n v="0"/>
    <x v="0"/>
    <n v="24000"/>
    <n v="24000"/>
    <x v="7"/>
  </r>
  <r>
    <x v="3"/>
    <x v="0"/>
    <x v="331"/>
    <x v="0"/>
    <x v="19"/>
    <x v="0"/>
    <x v="120"/>
    <s v="GO HUESO ESCAPULA@ CJ 15KG AS"/>
    <s v="HUESOS CUARTO DELANTERO"/>
    <x v="7"/>
    <x v="2"/>
    <n v="0"/>
    <x v="0"/>
    <n v="21168.519700000001"/>
    <n v="21168.519700000001"/>
    <x v="7"/>
  </r>
  <r>
    <x v="3"/>
    <x v="2"/>
    <x v="332"/>
    <x v="1"/>
    <x v="19"/>
    <x v="1"/>
    <x v="130"/>
    <s v="PV TRU LARG@ BO CJ 15K AS"/>
    <s v="TRUTRO LARGO"/>
    <x v="5"/>
    <x v="0"/>
    <n v="0"/>
    <x v="0"/>
    <n v="24000"/>
    <n v="24000"/>
    <x v="7"/>
  </r>
  <r>
    <x v="3"/>
    <x v="2"/>
    <x v="333"/>
    <x v="1"/>
    <x v="19"/>
    <x v="1"/>
    <x v="130"/>
    <s v="PV TRU LARG@ BO CJ 15K AS"/>
    <s v="TRUTRO LARGO"/>
    <x v="11"/>
    <x v="0"/>
    <n v="0"/>
    <x v="0"/>
    <n v="24000"/>
    <n v="24000"/>
    <x v="7"/>
  </r>
  <r>
    <x v="4"/>
    <x v="1"/>
    <x v="334"/>
    <x v="0"/>
    <x v="23"/>
    <x v="0"/>
    <x v="131"/>
    <s v="PO PPA ESP BLO@ BO CJ 20K AS"/>
    <s v="CARNE RECUPERADA PULPA"/>
    <x v="6"/>
    <x v="0"/>
    <n v="25000"/>
    <x v="0"/>
    <n v="0"/>
    <n v="25000"/>
    <x v="7"/>
  </r>
  <r>
    <x v="4"/>
    <x v="1"/>
    <x v="335"/>
    <x v="0"/>
    <x v="23"/>
    <x v="0"/>
    <x v="131"/>
    <s v="PO PPA ESP BLO@ BO CJ 20K AS"/>
    <s v="CARNE RECUPERADA PULPA"/>
    <x v="9"/>
    <x v="0"/>
    <n v="0"/>
    <x v="0"/>
    <n v="25000"/>
    <n v="25000"/>
    <x v="7"/>
  </r>
  <r>
    <x v="4"/>
    <x v="1"/>
    <x v="336"/>
    <x v="0"/>
    <x v="23"/>
    <x v="0"/>
    <x v="131"/>
    <s v="PO PPA ESP BLO@ BO CJ 20K AS"/>
    <s v="CARNE RECUPERADA PULPA"/>
    <x v="0"/>
    <x v="0"/>
    <n v="0"/>
    <x v="0"/>
    <n v="25000"/>
    <n v="25000"/>
    <x v="7"/>
  </r>
  <r>
    <x v="4"/>
    <x v="1"/>
    <x v="337"/>
    <x v="0"/>
    <x v="23"/>
    <x v="0"/>
    <x v="131"/>
    <s v="PO PPA ESP BLO@ BO CJ 20K AS"/>
    <s v="CARNE RECUPERADA PULPA"/>
    <x v="1"/>
    <x v="0"/>
    <n v="0"/>
    <x v="0"/>
    <n v="25000"/>
    <n v="25000"/>
    <x v="7"/>
  </r>
  <r>
    <x v="4"/>
    <x v="1"/>
    <x v="338"/>
    <x v="0"/>
    <x v="23"/>
    <x v="0"/>
    <x v="131"/>
    <s v="PO PPA ESP BLO@ BO CJ 20K AS"/>
    <s v="CARNE RECUPERADA PULPA"/>
    <x v="1"/>
    <x v="0"/>
    <n v="0"/>
    <x v="0"/>
    <n v="25000"/>
    <n v="25000"/>
    <x v="7"/>
  </r>
  <r>
    <x v="4"/>
    <x v="1"/>
    <x v="339"/>
    <x v="0"/>
    <x v="23"/>
    <x v="0"/>
    <x v="131"/>
    <s v="PO PPA ESP BLO@ BO CJ 20K AS"/>
    <s v="CARNE RECUPERADA PULPA"/>
    <x v="1"/>
    <x v="0"/>
    <n v="0"/>
    <x v="0"/>
    <n v="25000"/>
    <n v="25000"/>
    <x v="7"/>
  </r>
  <r>
    <x v="4"/>
    <x v="1"/>
    <x v="340"/>
    <x v="0"/>
    <x v="23"/>
    <x v="0"/>
    <x v="131"/>
    <s v="PO PPA ESP BLO@ BO CJ 20K AS"/>
    <s v="CARNE RECUPERADA PULPA"/>
    <x v="1"/>
    <x v="0"/>
    <n v="0"/>
    <x v="0"/>
    <n v="25000"/>
    <n v="25000"/>
    <x v="7"/>
  </r>
  <r>
    <x v="4"/>
    <x v="1"/>
    <x v="341"/>
    <x v="0"/>
    <x v="23"/>
    <x v="0"/>
    <x v="131"/>
    <s v="PO PPA ESP BLO@ BO CJ 20K AS"/>
    <s v="CARNE RECUPERADA PULPA"/>
    <x v="9"/>
    <x v="0"/>
    <n v="0"/>
    <x v="0"/>
    <n v="25000"/>
    <n v="25000"/>
    <x v="7"/>
  </r>
  <r>
    <x v="4"/>
    <x v="1"/>
    <x v="342"/>
    <x v="0"/>
    <x v="23"/>
    <x v="0"/>
    <x v="131"/>
    <s v="PO PPA ESP BLO@ BO CJ 20K AS"/>
    <s v="CARNE RECUPERADA PULPA"/>
    <x v="9"/>
    <x v="0"/>
    <n v="0"/>
    <x v="0"/>
    <n v="25000"/>
    <n v="25000"/>
    <x v="7"/>
  </r>
  <r>
    <x v="4"/>
    <x v="1"/>
    <x v="343"/>
    <x v="0"/>
    <x v="23"/>
    <x v="0"/>
    <x v="131"/>
    <s v="PO PPA ESP BLO@ BO CJ 20K AS"/>
    <s v="CARNE RECUPERADA PULPA"/>
    <x v="7"/>
    <x v="0"/>
    <n v="0"/>
    <x v="0"/>
    <n v="25000"/>
    <n v="25000"/>
    <x v="7"/>
  </r>
  <r>
    <x v="4"/>
    <x v="1"/>
    <x v="344"/>
    <x v="0"/>
    <x v="23"/>
    <x v="0"/>
    <x v="131"/>
    <s v="PO PPA ESP BLO@ BO CJ 20K AS"/>
    <s v="CARNE RECUPERADA PULPA"/>
    <x v="0"/>
    <x v="0"/>
    <n v="0"/>
    <x v="0"/>
    <n v="25000"/>
    <n v="25000"/>
    <x v="7"/>
  </r>
  <r>
    <x v="4"/>
    <x v="1"/>
    <x v="345"/>
    <x v="0"/>
    <x v="23"/>
    <x v="0"/>
    <x v="131"/>
    <s v="PO PPA ESP BLO@ BO CJ 20K AS"/>
    <s v="CARNE RECUPERADA PULPA"/>
    <x v="0"/>
    <x v="0"/>
    <n v="0"/>
    <x v="0"/>
    <n v="25000"/>
    <n v="25000"/>
    <x v="7"/>
  </r>
  <r>
    <x v="4"/>
    <x v="1"/>
    <x v="346"/>
    <x v="0"/>
    <x v="23"/>
    <x v="0"/>
    <x v="131"/>
    <s v="PO PPA ESP BLO@ BO CJ 20K AS"/>
    <s v="CARNE RECUPERADA PULPA"/>
    <x v="0"/>
    <x v="0"/>
    <n v="0"/>
    <x v="0"/>
    <n v="25000"/>
    <n v="25000"/>
    <x v="7"/>
  </r>
  <r>
    <x v="4"/>
    <x v="1"/>
    <x v="347"/>
    <x v="0"/>
    <x v="23"/>
    <x v="0"/>
    <x v="131"/>
    <s v="PO PPA ESP BLO@ BO CJ 20K AS"/>
    <s v="CARNE RECUPERADA PULPA"/>
    <x v="7"/>
    <x v="0"/>
    <n v="0"/>
    <x v="0"/>
    <n v="25000"/>
    <n v="25000"/>
    <x v="7"/>
  </r>
  <r>
    <x v="4"/>
    <x v="1"/>
    <x v="348"/>
    <x v="0"/>
    <x v="23"/>
    <x v="0"/>
    <x v="131"/>
    <s v="PO PPA ESP BLO@ BO CJ 20K AS"/>
    <s v="CARNE RECUPERADA PULPA"/>
    <x v="7"/>
    <x v="0"/>
    <n v="0"/>
    <x v="0"/>
    <n v="25000"/>
    <n v="25000"/>
    <x v="7"/>
  </r>
  <r>
    <x v="4"/>
    <x v="1"/>
    <x v="349"/>
    <x v="1"/>
    <x v="24"/>
    <x v="0"/>
    <x v="131"/>
    <s v="PO PPA ESP BLO@ BO CJ 20K AS"/>
    <s v="CARNE RECUPERADA PULPA"/>
    <x v="6"/>
    <x v="0"/>
    <n v="25000"/>
    <x v="0"/>
    <n v="0"/>
    <n v="25000"/>
    <x v="2"/>
  </r>
  <r>
    <x v="4"/>
    <x v="1"/>
    <x v="350"/>
    <x v="1"/>
    <x v="24"/>
    <x v="0"/>
    <x v="131"/>
    <s v="PO PPA ESP BLO@ BO CJ 20K AS"/>
    <s v="CARNE RECUPERADA PULPA"/>
    <x v="6"/>
    <x v="0"/>
    <n v="25000"/>
    <x v="0"/>
    <n v="0"/>
    <n v="25000"/>
    <x v="2"/>
  </r>
  <r>
    <x v="4"/>
    <x v="1"/>
    <x v="351"/>
    <x v="1"/>
    <x v="24"/>
    <x v="0"/>
    <x v="131"/>
    <s v="PO PPA ESP BLO@ BO CJ 20K AS"/>
    <s v="CARNE RECUPERADA PULPA"/>
    <x v="6"/>
    <x v="0"/>
    <n v="25000"/>
    <x v="0"/>
    <n v="0"/>
    <n v="25000"/>
    <x v="2"/>
  </r>
  <r>
    <x v="4"/>
    <x v="1"/>
    <x v="352"/>
    <x v="1"/>
    <x v="24"/>
    <x v="0"/>
    <x v="131"/>
    <s v="PO PPA ESP BLO@ BO CJ 20K AS"/>
    <s v="CARNE RECUPERADA PULPA"/>
    <x v="6"/>
    <x v="0"/>
    <n v="25000"/>
    <x v="0"/>
    <n v="0"/>
    <n v="25000"/>
    <x v="2"/>
  </r>
  <r>
    <x v="4"/>
    <x v="1"/>
    <x v="353"/>
    <x v="1"/>
    <x v="24"/>
    <x v="0"/>
    <x v="131"/>
    <s v="PO PPA ESP BLO@ BO CJ 20K AS"/>
    <s v="CARNE RECUPERADA PULPA"/>
    <x v="6"/>
    <x v="0"/>
    <n v="25000"/>
    <x v="0"/>
    <n v="0"/>
    <n v="25000"/>
    <x v="2"/>
  </r>
  <r>
    <x v="4"/>
    <x v="1"/>
    <x v="354"/>
    <x v="1"/>
    <x v="24"/>
    <x v="0"/>
    <x v="131"/>
    <s v="PO PPA ESP BLO@ BO CJ 20K AS"/>
    <s v="CARNE RECUPERADA PULPA"/>
    <x v="6"/>
    <x v="0"/>
    <n v="25000"/>
    <x v="0"/>
    <n v="0"/>
    <n v="25000"/>
    <x v="7"/>
  </r>
  <r>
    <x v="4"/>
    <x v="0"/>
    <x v="355"/>
    <x v="1"/>
    <x v="23"/>
    <x v="0"/>
    <x v="132"/>
    <s v="GO GRASA CHALECO@ CJ 10K AS"/>
    <s v="SUBPROD GRASA"/>
    <x v="2"/>
    <x v="2"/>
    <n v="0"/>
    <x v="1"/>
    <n v="0"/>
    <n v="24000"/>
    <x v="7"/>
  </r>
  <r>
    <x v="4"/>
    <x v="0"/>
    <x v="356"/>
    <x v="1"/>
    <x v="23"/>
    <x v="0"/>
    <x v="132"/>
    <s v="GO GRASA CHALECO@ CJ 10K AS"/>
    <s v="SUBPROD GRASA"/>
    <x v="7"/>
    <x v="1"/>
    <n v="0"/>
    <x v="0"/>
    <n v="24000"/>
    <n v="24000"/>
    <x v="7"/>
  </r>
  <r>
    <x v="4"/>
    <x v="0"/>
    <x v="357"/>
    <x v="1"/>
    <x v="25"/>
    <x v="0"/>
    <x v="133"/>
    <s v="GO PECHO S/CUE K@ CJ 20K AK"/>
    <s v="COST-PEC ENTERO"/>
    <x v="6"/>
    <x v="2"/>
    <n v="22000"/>
    <x v="0"/>
    <n v="0"/>
    <n v="22000"/>
    <x v="7"/>
  </r>
  <r>
    <x v="4"/>
    <x v="0"/>
    <x v="358"/>
    <x v="1"/>
    <x v="25"/>
    <x v="0"/>
    <x v="134"/>
    <s v="GO PERNILM@ CJ 20K AK"/>
    <s v="PERNIL MANO"/>
    <x v="2"/>
    <x v="2"/>
    <n v="0"/>
    <x v="20"/>
    <n v="0"/>
    <n v="22509.142"/>
    <x v="7"/>
  </r>
  <r>
    <x v="4"/>
    <x v="0"/>
    <x v="359"/>
    <x v="1"/>
    <x v="25"/>
    <x v="0"/>
    <x v="135"/>
    <s v="GO LOM VET@ CJ 12K AK"/>
    <s v="LOMO VETADO"/>
    <x v="10"/>
    <x v="5"/>
    <n v="0"/>
    <x v="21"/>
    <n v="0"/>
    <n v="22000"/>
    <x v="7"/>
  </r>
  <r>
    <x v="4"/>
    <x v="0"/>
    <x v="360"/>
    <x v="1"/>
    <x v="25"/>
    <x v="0"/>
    <x v="136"/>
    <s v="GO PANC S/CUE@ CJ PANC 16K AS"/>
    <s v="PANCETA S/CUERO"/>
    <x v="6"/>
    <x v="0"/>
    <n v="11000"/>
    <x v="0"/>
    <n v="0"/>
    <n v="11000"/>
    <x v="8"/>
  </r>
  <r>
    <x v="4"/>
    <x v="0"/>
    <x v="360"/>
    <x v="1"/>
    <x v="25"/>
    <x v="0"/>
    <x v="137"/>
    <s v="GO LOM VET@ CJ 8K AS"/>
    <s v="LOMO VETADO"/>
    <x v="6"/>
    <x v="0"/>
    <n v="11000"/>
    <x v="0"/>
    <n v="0"/>
    <n v="11000"/>
    <x v="8"/>
  </r>
  <r>
    <x v="4"/>
    <x v="0"/>
    <x v="361"/>
    <x v="0"/>
    <x v="23"/>
    <x v="0"/>
    <x v="138"/>
    <s v="GO GORD ESP@ CJ 20K AS"/>
    <s v="GRASA GORDURA"/>
    <x v="10"/>
    <x v="1"/>
    <n v="0"/>
    <x v="0"/>
    <n v="24000"/>
    <n v="24000"/>
    <x v="7"/>
  </r>
  <r>
    <x v="4"/>
    <x v="0"/>
    <x v="362"/>
    <x v="1"/>
    <x v="25"/>
    <x v="0"/>
    <x v="139"/>
    <s v="GO PERNILM C/M@ CJ 15K TJ"/>
    <s v="PERNIL MANO"/>
    <x v="2"/>
    <x v="4"/>
    <n v="0"/>
    <x v="21"/>
    <n v="0"/>
    <n v="22000"/>
    <x v="7"/>
  </r>
  <r>
    <x v="4"/>
    <x v="0"/>
    <x v="363"/>
    <x v="1"/>
    <x v="26"/>
    <x v="0"/>
    <x v="140"/>
    <s v="GO ESTÓMAGO POUCH@ BO CJ 10K AS"/>
    <s v="SUBPROD VISCERAS"/>
    <x v="11"/>
    <x v="0"/>
    <n v="0"/>
    <x v="0"/>
    <n v="24000"/>
    <n v="24000"/>
    <x v="7"/>
  </r>
  <r>
    <x v="4"/>
    <x v="0"/>
    <x v="364"/>
    <x v="0"/>
    <x v="23"/>
    <x v="0"/>
    <x v="141"/>
    <s v="GO PAPDA C/CUE GRANEL@ BO CJ AS"/>
    <s v="PLANCHA C/CUERO"/>
    <x v="7"/>
    <x v="0"/>
    <n v="0"/>
    <x v="0"/>
    <n v="24000"/>
    <n v="24000"/>
    <x v="7"/>
  </r>
  <r>
    <x v="4"/>
    <x v="0"/>
    <x v="365"/>
    <x v="0"/>
    <x v="23"/>
    <x v="0"/>
    <x v="142"/>
    <s v="GO PULMON@ CJ 20K AS"/>
    <s v="SUBPROD VISCERAS"/>
    <x v="12"/>
    <x v="0"/>
    <n v="0"/>
    <x v="0"/>
    <n v="24000"/>
    <n v="24000"/>
    <x v="7"/>
  </r>
  <r>
    <x v="4"/>
    <x v="0"/>
    <x v="366"/>
    <x v="0"/>
    <x v="23"/>
    <x v="0"/>
    <x v="143"/>
    <s v="GO CORAZÓN PARTIDO@ CJ 10K AS"/>
    <s v="SUBPROD VISCERAS"/>
    <x v="2"/>
    <x v="1"/>
    <n v="0"/>
    <x v="1"/>
    <n v="0"/>
    <n v="24000"/>
    <x v="7"/>
  </r>
  <r>
    <x v="4"/>
    <x v="0"/>
    <x v="367"/>
    <x v="1"/>
    <x v="25"/>
    <x v="0"/>
    <x v="144"/>
    <s v="GO PECH S/CUE@ VP CJ AS"/>
    <s v="COST-PEC ENTERO"/>
    <x v="2"/>
    <x v="2"/>
    <n v="0"/>
    <x v="21"/>
    <n v="0"/>
    <n v="22000"/>
    <x v="7"/>
  </r>
  <r>
    <x v="4"/>
    <x v="0"/>
    <x v="368"/>
    <x v="1"/>
    <x v="25"/>
    <x v="0"/>
    <x v="145"/>
    <s v="GO LOM VET@ CJ 12K TJ"/>
    <s v="LOMO VETADO"/>
    <x v="6"/>
    <x v="2"/>
    <n v="22000"/>
    <x v="0"/>
    <n v="0"/>
    <n v="22000"/>
    <x v="7"/>
  </r>
  <r>
    <x v="4"/>
    <x v="0"/>
    <x v="369"/>
    <x v="1"/>
    <x v="25"/>
    <x v="0"/>
    <x v="146"/>
    <s v="GO TIRA HSO CTRO@ CJ 20K TJ"/>
    <s v="HUESOS CUARTO CENTRAL"/>
    <x v="2"/>
    <x v="2"/>
    <n v="0"/>
    <x v="21"/>
    <n v="0"/>
    <n v="22000"/>
    <x v="7"/>
  </r>
  <r>
    <x v="4"/>
    <x v="0"/>
    <x v="370"/>
    <x v="0"/>
    <x v="25"/>
    <x v="0"/>
    <x v="146"/>
    <s v="GO TIRA HSO CTRO@ CJ 20K TJ"/>
    <s v="HUESOS CUARTO CENTRAL"/>
    <x v="1"/>
    <x v="2"/>
    <n v="0"/>
    <x v="0"/>
    <n v="22000"/>
    <n v="22000"/>
    <x v="7"/>
  </r>
  <r>
    <x v="4"/>
    <x v="0"/>
    <x v="371"/>
    <x v="0"/>
    <x v="25"/>
    <x v="0"/>
    <x v="146"/>
    <s v="GO TIRA HSO CTRO@ CJ 20K TJ"/>
    <s v="HUESOS CUARTO CENTRAL"/>
    <x v="9"/>
    <x v="2"/>
    <n v="0"/>
    <x v="0"/>
    <n v="22000"/>
    <n v="22000"/>
    <x v="7"/>
  </r>
  <r>
    <x v="4"/>
    <x v="0"/>
    <x v="372"/>
    <x v="1"/>
    <x v="25"/>
    <x v="0"/>
    <x v="147"/>
    <s v="GO PANC S/CUE@ CJ PANC TJ"/>
    <s v="PANCETA S/CUERO"/>
    <x v="2"/>
    <x v="0"/>
    <n v="0"/>
    <x v="21"/>
    <n v="0"/>
    <n v="22000"/>
    <x v="7"/>
  </r>
  <r>
    <x v="4"/>
    <x v="0"/>
    <x v="373"/>
    <x v="1"/>
    <x v="25"/>
    <x v="0"/>
    <x v="147"/>
    <s v="GO PANC S/CUE@ CJ PANC TJ"/>
    <s v="PANCETA S/CUERO"/>
    <x v="2"/>
    <x v="0"/>
    <n v="0"/>
    <x v="21"/>
    <n v="0"/>
    <n v="22000"/>
    <x v="7"/>
  </r>
  <r>
    <x v="4"/>
    <x v="0"/>
    <x v="374"/>
    <x v="1"/>
    <x v="25"/>
    <x v="0"/>
    <x v="147"/>
    <s v="GO PANC S/CUE@ CJ PANC TJ"/>
    <s v="PANCETA S/CUERO"/>
    <x v="3"/>
    <x v="0"/>
    <n v="0"/>
    <x v="0"/>
    <n v="22000"/>
    <n v="22000"/>
    <x v="7"/>
  </r>
  <r>
    <x v="4"/>
    <x v="0"/>
    <x v="375"/>
    <x v="1"/>
    <x v="25"/>
    <x v="0"/>
    <x v="147"/>
    <s v="GO PANC S/CUE@ CJ PANC TJ"/>
    <s v="PANCETA S/CUERO"/>
    <x v="3"/>
    <x v="0"/>
    <n v="0"/>
    <x v="0"/>
    <n v="22000"/>
    <n v="22000"/>
    <x v="7"/>
  </r>
  <r>
    <x v="4"/>
    <x v="0"/>
    <x v="376"/>
    <x v="0"/>
    <x v="25"/>
    <x v="0"/>
    <x v="147"/>
    <s v="GO PANC S/CUE@ CJ PANC TJ"/>
    <s v="PANCETA S/CUERO"/>
    <x v="1"/>
    <x v="0"/>
    <n v="0"/>
    <x v="0"/>
    <n v="22000"/>
    <n v="22000"/>
    <x v="7"/>
  </r>
  <r>
    <x v="4"/>
    <x v="0"/>
    <x v="377"/>
    <x v="0"/>
    <x v="25"/>
    <x v="0"/>
    <x v="147"/>
    <s v="GO PANC S/CUE@ CJ PANC TJ"/>
    <s v="PANCETA S/CUERO"/>
    <x v="1"/>
    <x v="0"/>
    <n v="0"/>
    <x v="0"/>
    <n v="22000"/>
    <n v="22000"/>
    <x v="7"/>
  </r>
  <r>
    <x v="4"/>
    <x v="0"/>
    <x v="378"/>
    <x v="0"/>
    <x v="25"/>
    <x v="0"/>
    <x v="147"/>
    <s v="GO PANC S/CUE@ CJ PANC TJ"/>
    <s v="PANCETA S/CUERO"/>
    <x v="5"/>
    <x v="0"/>
    <n v="0"/>
    <x v="0"/>
    <n v="22000"/>
    <n v="22000"/>
    <x v="7"/>
  </r>
  <r>
    <x v="4"/>
    <x v="0"/>
    <x v="379"/>
    <x v="0"/>
    <x v="25"/>
    <x v="0"/>
    <x v="147"/>
    <s v="GO PANC S/CUE@ CJ PANC TJ"/>
    <s v="PANCETA S/CUERO"/>
    <x v="5"/>
    <x v="0"/>
    <n v="0"/>
    <x v="0"/>
    <n v="22000"/>
    <n v="22000"/>
    <x v="7"/>
  </r>
  <r>
    <x v="4"/>
    <x v="0"/>
    <x v="380"/>
    <x v="0"/>
    <x v="25"/>
    <x v="0"/>
    <x v="147"/>
    <s v="GO PANC S/CUE@ CJ PANC TJ"/>
    <s v="PANCETA S/CUERO"/>
    <x v="7"/>
    <x v="0"/>
    <n v="0"/>
    <x v="0"/>
    <n v="22000"/>
    <n v="22000"/>
    <x v="7"/>
  </r>
  <r>
    <x v="4"/>
    <x v="0"/>
    <x v="381"/>
    <x v="0"/>
    <x v="25"/>
    <x v="0"/>
    <x v="147"/>
    <s v="GO PANC S/CUE@ CJ PANC TJ"/>
    <s v="PANCETA S/CUERO"/>
    <x v="7"/>
    <x v="0"/>
    <n v="0"/>
    <x v="0"/>
    <n v="22000"/>
    <n v="22000"/>
    <x v="7"/>
  </r>
  <r>
    <x v="4"/>
    <x v="0"/>
    <x v="382"/>
    <x v="1"/>
    <x v="25"/>
    <x v="0"/>
    <x v="135"/>
    <s v="GO LOM VET@ CJ 12K AK"/>
    <s v="LOMO VETADO"/>
    <x v="8"/>
    <x v="1"/>
    <n v="0"/>
    <x v="0"/>
    <n v="11000"/>
    <n v="11000"/>
    <x v="7"/>
  </r>
  <r>
    <x v="4"/>
    <x v="0"/>
    <x v="382"/>
    <x v="1"/>
    <x v="25"/>
    <x v="0"/>
    <x v="148"/>
    <s v="GO PANC S/CUE@ CJ PANC AK"/>
    <s v="PANCETA S/CUERO"/>
    <x v="8"/>
    <x v="1"/>
    <n v="0"/>
    <x v="0"/>
    <n v="11000"/>
    <n v="11000"/>
    <x v="7"/>
  </r>
  <r>
    <x v="4"/>
    <x v="0"/>
    <x v="383"/>
    <x v="1"/>
    <x v="25"/>
    <x v="0"/>
    <x v="135"/>
    <s v="GO LOM VET@ CJ 12K AK"/>
    <s v="LOMO VETADO"/>
    <x v="11"/>
    <x v="2"/>
    <n v="0"/>
    <x v="0"/>
    <n v="22000"/>
    <n v="22000"/>
    <x v="7"/>
  </r>
  <r>
    <x v="4"/>
    <x v="0"/>
    <x v="384"/>
    <x v="0"/>
    <x v="25"/>
    <x v="0"/>
    <x v="135"/>
    <s v="GO LOM VET@ CJ 12K AK"/>
    <s v="LOMO VETADO"/>
    <x v="12"/>
    <x v="2"/>
    <n v="0"/>
    <x v="0"/>
    <n v="22000"/>
    <n v="22000"/>
    <x v="7"/>
  </r>
  <r>
    <x v="4"/>
    <x v="0"/>
    <x v="385"/>
    <x v="0"/>
    <x v="25"/>
    <x v="0"/>
    <x v="135"/>
    <s v="GO LOM VET@ CJ 12K AK"/>
    <s v="LOMO VETADO"/>
    <x v="0"/>
    <x v="2"/>
    <n v="0"/>
    <x v="0"/>
    <n v="22000"/>
    <n v="22000"/>
    <x v="7"/>
  </r>
  <r>
    <x v="4"/>
    <x v="0"/>
    <x v="386"/>
    <x v="0"/>
    <x v="25"/>
    <x v="0"/>
    <x v="135"/>
    <s v="GO LOM VET@ CJ 12K AK"/>
    <s v="LOMO VETADO"/>
    <x v="7"/>
    <x v="1"/>
    <n v="0"/>
    <x v="0"/>
    <n v="22000"/>
    <n v="22000"/>
    <x v="7"/>
  </r>
  <r>
    <x v="4"/>
    <x v="0"/>
    <x v="387"/>
    <x v="0"/>
    <x v="25"/>
    <x v="0"/>
    <x v="136"/>
    <s v="GO PANC S/CUE@ CJ PANC 16K AS"/>
    <s v="PANCETA S/CUERO"/>
    <x v="6"/>
    <x v="2"/>
    <n v="22000"/>
    <x v="0"/>
    <n v="0"/>
    <n v="22000"/>
    <x v="7"/>
  </r>
  <r>
    <x v="4"/>
    <x v="0"/>
    <x v="388"/>
    <x v="0"/>
    <x v="25"/>
    <x v="0"/>
    <x v="136"/>
    <s v="GO PANC S/CUE@ CJ PANC 16K AS"/>
    <s v="PANCETA S/CUERO"/>
    <x v="4"/>
    <x v="1"/>
    <n v="0"/>
    <x v="0"/>
    <n v="22000"/>
    <n v="22000"/>
    <x v="7"/>
  </r>
  <r>
    <x v="4"/>
    <x v="0"/>
    <x v="389"/>
    <x v="0"/>
    <x v="25"/>
    <x v="0"/>
    <x v="136"/>
    <s v="GO PANC S/CUE@ CJ PANC 16K AS"/>
    <s v="PANCETA S/CUERO"/>
    <x v="4"/>
    <x v="0"/>
    <n v="0"/>
    <x v="0"/>
    <n v="22000"/>
    <n v="22000"/>
    <x v="7"/>
  </r>
  <r>
    <x v="4"/>
    <x v="0"/>
    <x v="390"/>
    <x v="1"/>
    <x v="25"/>
    <x v="0"/>
    <x v="137"/>
    <s v="GO LOM VET@ CJ 8K AS"/>
    <s v="LOMO VETADO"/>
    <x v="6"/>
    <x v="2"/>
    <n v="22000"/>
    <x v="0"/>
    <n v="0"/>
    <n v="22000"/>
    <x v="7"/>
  </r>
  <r>
    <x v="4"/>
    <x v="0"/>
    <x v="391"/>
    <x v="0"/>
    <x v="25"/>
    <x v="0"/>
    <x v="149"/>
    <s v="GO PAPDA K@ CJ 20K AK"/>
    <s v="PLANCHA S/CUERO"/>
    <x v="6"/>
    <x v="1"/>
    <n v="22000"/>
    <x v="0"/>
    <n v="0"/>
    <n v="22000"/>
    <x v="7"/>
  </r>
  <r>
    <x v="4"/>
    <x v="0"/>
    <x v="392"/>
    <x v="0"/>
    <x v="25"/>
    <x v="0"/>
    <x v="149"/>
    <s v="GO PAPDA K@ CJ 20K AK"/>
    <s v="PLANCHA S/CUERO"/>
    <x v="6"/>
    <x v="1"/>
    <n v="22000"/>
    <x v="0"/>
    <n v="0"/>
    <n v="22000"/>
    <x v="7"/>
  </r>
  <r>
    <x v="4"/>
    <x v="0"/>
    <x v="393"/>
    <x v="0"/>
    <x v="25"/>
    <x v="0"/>
    <x v="149"/>
    <s v="GO PAPDA K@ CJ 20K AK"/>
    <s v="PLANCHA S/CUERO"/>
    <x v="6"/>
    <x v="1"/>
    <n v="22000"/>
    <x v="0"/>
    <n v="0"/>
    <n v="22000"/>
    <x v="7"/>
  </r>
  <r>
    <x v="4"/>
    <x v="0"/>
    <x v="394"/>
    <x v="0"/>
    <x v="25"/>
    <x v="0"/>
    <x v="149"/>
    <s v="GO PAPDA K@ CJ 20K AK"/>
    <s v="PLANCHA S/CUERO"/>
    <x v="10"/>
    <x v="4"/>
    <n v="0"/>
    <x v="21"/>
    <n v="0"/>
    <n v="22000"/>
    <x v="7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  <r>
    <x v="5"/>
    <x v="3"/>
    <x v="395"/>
    <x v="2"/>
    <x v="27"/>
    <x v="2"/>
    <x v="150"/>
    <m/>
    <m/>
    <x v="14"/>
    <x v="6"/>
    <m/>
    <x v="22"/>
    <m/>
    <n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4">
  <r>
    <x v="0"/>
    <x v="0"/>
    <n v="40303932"/>
    <x v="0"/>
    <x v="0"/>
    <x v="0"/>
    <x v="0"/>
    <s v="GO GRASA FORRO PNA LIMP@ CJ 20K AS"/>
    <s v="GRASA FORRO"/>
    <x v="0"/>
    <x v="0"/>
    <n v="0"/>
    <x v="0"/>
    <n v="24000"/>
    <n v="24000"/>
    <x v="0"/>
  </r>
  <r>
    <x v="0"/>
    <x v="0"/>
    <n v="40305195"/>
    <x v="0"/>
    <x v="1"/>
    <x v="0"/>
    <x v="1"/>
    <s v="CUE GRANEL ESP CC@ CJ 20K AS"/>
    <s v="CUERO MIXTO"/>
    <x v="1"/>
    <x v="1"/>
    <n v="0"/>
    <x v="0"/>
    <n v="24000"/>
    <n v="24000"/>
    <x v="0"/>
  </r>
  <r>
    <x v="0"/>
    <x v="0"/>
    <n v="40317552"/>
    <x v="1"/>
    <x v="1"/>
    <x v="0"/>
    <x v="2"/>
    <s v="CUE GRANEL ESP CC@ CJ 20K AS"/>
    <s v="CUERO MIXTO"/>
    <x v="2"/>
    <x v="1"/>
    <n v="0"/>
    <x v="0"/>
    <n v="24000"/>
    <n v="24000"/>
    <x v="1"/>
  </r>
  <r>
    <x v="0"/>
    <x v="0"/>
    <n v="40317553"/>
    <x v="1"/>
    <x v="1"/>
    <x v="0"/>
    <x v="2"/>
    <s v="CUE GRANEL ESP CC@ CJ 20K AS"/>
    <s v="CUERO MIXTO"/>
    <x v="3"/>
    <x v="1"/>
    <n v="0"/>
    <x v="0"/>
    <n v="24000"/>
    <n v="24000"/>
    <x v="2"/>
  </r>
  <r>
    <x v="0"/>
    <x v="0"/>
    <n v="40317554"/>
    <x v="0"/>
    <x v="1"/>
    <x v="0"/>
    <x v="2"/>
    <s v="CUE GRANEL ESP CC@ CJ 20K AS"/>
    <s v="CUERO MIXTO"/>
    <x v="1"/>
    <x v="0"/>
    <n v="0"/>
    <x v="0"/>
    <n v="24000"/>
    <n v="24000"/>
    <x v="3"/>
  </r>
  <r>
    <x v="0"/>
    <x v="0"/>
    <n v="40317555"/>
    <x v="0"/>
    <x v="1"/>
    <x v="0"/>
    <x v="2"/>
    <s v="CUE GRANEL ESP CC@ CJ 20K AS"/>
    <s v="CUERO MIXTO"/>
    <x v="4"/>
    <x v="0"/>
    <n v="0"/>
    <x v="0"/>
    <n v="24000"/>
    <n v="24000"/>
    <x v="4"/>
  </r>
  <r>
    <x v="0"/>
    <x v="0"/>
    <n v="40317556"/>
    <x v="0"/>
    <x v="1"/>
    <x v="0"/>
    <x v="2"/>
    <s v="CUE GRANEL ESP CC@ CJ 20K AS"/>
    <s v="CUERO MIXTO"/>
    <x v="5"/>
    <x v="0"/>
    <n v="0"/>
    <x v="0"/>
    <n v="24000"/>
    <n v="24000"/>
    <x v="5"/>
  </r>
  <r>
    <x v="0"/>
    <x v="0"/>
    <n v="40317897"/>
    <x v="1"/>
    <x v="2"/>
    <x v="0"/>
    <x v="3"/>
    <s v="GO LOM TOCINO@ BO CJ 20K AS"/>
    <s v="GRASA LOMO TOCINO"/>
    <x v="6"/>
    <x v="2"/>
    <n v="24000"/>
    <x v="0"/>
    <n v="0"/>
    <n v="24000"/>
    <x v="6"/>
  </r>
  <r>
    <x v="0"/>
    <x v="0"/>
    <n v="40317898"/>
    <x v="0"/>
    <x v="2"/>
    <x v="0"/>
    <x v="3"/>
    <s v="GO LOM TOCINO@ BO CJ 20K AS"/>
    <s v="GRASA LOMO TOCINO"/>
    <x v="4"/>
    <x v="0"/>
    <n v="0"/>
    <x v="0"/>
    <n v="24000"/>
    <n v="24000"/>
    <x v="4"/>
  </r>
  <r>
    <x v="0"/>
    <x v="0"/>
    <n v="40317899"/>
    <x v="1"/>
    <x v="2"/>
    <x v="0"/>
    <x v="3"/>
    <s v="GO LOM TOCINO@ BO CJ 20K AS"/>
    <s v="GRASA LOMO TOCINO"/>
    <x v="2"/>
    <x v="1"/>
    <n v="0"/>
    <x v="1"/>
    <n v="0"/>
    <n v="24000"/>
    <x v="2"/>
  </r>
  <r>
    <x v="0"/>
    <x v="0"/>
    <n v="40317900"/>
    <x v="0"/>
    <x v="2"/>
    <x v="0"/>
    <x v="3"/>
    <s v="GO LOM TOCINO@ BO CJ 20K AS"/>
    <s v="GRASA LOMO TOCINO"/>
    <x v="2"/>
    <x v="0"/>
    <n v="0"/>
    <x v="0"/>
    <n v="24000"/>
    <n v="24000"/>
    <x v="1"/>
  </r>
  <r>
    <x v="0"/>
    <x v="0"/>
    <n v="40317901"/>
    <x v="1"/>
    <x v="2"/>
    <x v="0"/>
    <x v="3"/>
    <s v="GO LOM TOCINO@ BO CJ 20K AS"/>
    <s v="GRASA LOMO TOCINO"/>
    <x v="6"/>
    <x v="0"/>
    <n v="24000"/>
    <x v="0"/>
    <n v="0"/>
    <n v="24000"/>
    <x v="6"/>
  </r>
  <r>
    <x v="0"/>
    <x v="0"/>
    <n v="40317902"/>
    <x v="0"/>
    <x v="2"/>
    <x v="0"/>
    <x v="3"/>
    <s v="GO LOM TOCINO@ BO CJ 20K AS"/>
    <s v="GRASA LOMO TOCINO"/>
    <x v="1"/>
    <x v="0"/>
    <n v="0"/>
    <x v="0"/>
    <n v="24000"/>
    <n v="24000"/>
    <x v="0"/>
  </r>
  <r>
    <x v="0"/>
    <x v="0"/>
    <n v="40317904"/>
    <x v="0"/>
    <x v="2"/>
    <x v="0"/>
    <x v="3"/>
    <s v="GO LOM TOCINO@ BO CJ 20K AS"/>
    <s v="GRASA LOMO TOCINO"/>
    <x v="7"/>
    <x v="0"/>
    <n v="0"/>
    <x v="0"/>
    <n v="24000"/>
    <n v="24000"/>
    <x v="0"/>
  </r>
  <r>
    <x v="0"/>
    <x v="0"/>
    <n v="40317908"/>
    <x v="0"/>
    <x v="2"/>
    <x v="0"/>
    <x v="4"/>
    <s v="GO GRASA FORRO PNA LIMP@ BO CJ AS"/>
    <s v="GRASA FORRO"/>
    <x v="7"/>
    <x v="0"/>
    <n v="0"/>
    <x v="0"/>
    <n v="24000"/>
    <n v="24000"/>
    <x v="6"/>
  </r>
  <r>
    <x v="0"/>
    <x v="0"/>
    <n v="40323652"/>
    <x v="0"/>
    <x v="2"/>
    <x v="0"/>
    <x v="4"/>
    <s v="GO GRASA FORRO PNA LIMP@ BO CJ AS"/>
    <s v="GRASA FORRO"/>
    <x v="6"/>
    <x v="0"/>
    <n v="24000"/>
    <x v="0"/>
    <n v="0"/>
    <n v="24000"/>
    <x v="2"/>
  </r>
  <r>
    <x v="0"/>
    <x v="0"/>
    <n v="40323653"/>
    <x v="0"/>
    <x v="2"/>
    <x v="0"/>
    <x v="4"/>
    <s v="GO GRASA FORRO PNA LIMP@ BO CJ AS"/>
    <s v="GRASA FORRO"/>
    <x v="5"/>
    <x v="1"/>
    <n v="0"/>
    <x v="0"/>
    <n v="24000"/>
    <n v="24000"/>
    <x v="0"/>
  </r>
  <r>
    <x v="1"/>
    <x v="1"/>
    <n v="40308880"/>
    <x v="1"/>
    <x v="3"/>
    <x v="0"/>
    <x v="5"/>
    <s v="PO PPA ESP 50 PIM@ CJ 20K AS"/>
    <s v="CARNE RECUPERADA PULPA"/>
    <x v="8"/>
    <x v="0"/>
    <n v="0"/>
    <x v="0"/>
    <n v="24000"/>
    <n v="24000"/>
    <x v="7"/>
  </r>
  <r>
    <x v="1"/>
    <x v="1"/>
    <n v="40308881"/>
    <x v="1"/>
    <x v="3"/>
    <x v="0"/>
    <x v="5"/>
    <s v="PO PPA ESP 50 PIM@ CJ 20K AS"/>
    <s v="CARNE RECUPERADA PULPA"/>
    <x v="3"/>
    <x v="0"/>
    <n v="0"/>
    <x v="0"/>
    <n v="24000"/>
    <n v="24000"/>
    <x v="7"/>
  </r>
  <r>
    <x v="1"/>
    <x v="1"/>
    <n v="40308891"/>
    <x v="1"/>
    <x v="3"/>
    <x v="0"/>
    <x v="5"/>
    <s v="PO PPA ESP 50 PIM@ CJ 20K AS"/>
    <s v="CARNE RECUPERADA PULPA"/>
    <x v="3"/>
    <x v="0"/>
    <n v="0"/>
    <x v="0"/>
    <n v="24000"/>
    <n v="24000"/>
    <x v="7"/>
  </r>
  <r>
    <x v="1"/>
    <x v="1"/>
    <n v="40308892"/>
    <x v="1"/>
    <x v="3"/>
    <x v="0"/>
    <x v="5"/>
    <s v="PO PPA ESP 50 PIM@ CJ 20K AS"/>
    <s v="CARNE RECUPERADA PULPA"/>
    <x v="3"/>
    <x v="0"/>
    <n v="0"/>
    <x v="0"/>
    <n v="24000"/>
    <n v="24000"/>
    <x v="7"/>
  </r>
  <r>
    <x v="1"/>
    <x v="1"/>
    <n v="40308893"/>
    <x v="1"/>
    <x v="3"/>
    <x v="0"/>
    <x v="5"/>
    <s v="PO PPA ESP 50 PIM@ CJ 20K AS"/>
    <s v="CARNE RECUPERADA PULPA"/>
    <x v="4"/>
    <x v="0"/>
    <n v="0"/>
    <x v="0"/>
    <n v="24000"/>
    <n v="24000"/>
    <x v="7"/>
  </r>
  <r>
    <x v="1"/>
    <x v="1"/>
    <n v="40314068"/>
    <x v="0"/>
    <x v="4"/>
    <x v="0"/>
    <x v="6"/>
    <s v="PO PPA ESP@ 2 BLO X 10K CJ AS"/>
    <s v="CARNE RECUPERADA PULPA"/>
    <x v="6"/>
    <x v="0"/>
    <n v="24000"/>
    <x v="0"/>
    <n v="0"/>
    <n v="24000"/>
    <x v="8"/>
  </r>
  <r>
    <x v="1"/>
    <x v="1"/>
    <n v="40314076"/>
    <x v="0"/>
    <x v="4"/>
    <x v="0"/>
    <x v="7"/>
    <s v="PO PPA ESP@ 2 BLOX10KG CJ AS SD"/>
    <s v="CARNE RECUPERADA ADM"/>
    <x v="1"/>
    <x v="1"/>
    <n v="0"/>
    <x v="0"/>
    <n v="24000"/>
    <n v="24000"/>
    <x v="7"/>
  </r>
  <r>
    <x v="1"/>
    <x v="1"/>
    <n v="40314078"/>
    <x v="1"/>
    <x v="4"/>
    <x v="0"/>
    <x v="8"/>
    <s v="PO PCH PIEL@ CJ 20K AS"/>
    <s v="SUBPROD PIEL"/>
    <x v="6"/>
    <x v="0"/>
    <n v="8000"/>
    <x v="0"/>
    <n v="0"/>
    <n v="8000"/>
    <x v="4"/>
  </r>
  <r>
    <x v="1"/>
    <x v="1"/>
    <n v="40314078"/>
    <x v="1"/>
    <x v="4"/>
    <x v="0"/>
    <x v="7"/>
    <s v="PO PPA ESP@ 2 BLOX10KG CJ AS SD"/>
    <s v="CARNE RECUPERADA ADM"/>
    <x v="6"/>
    <x v="0"/>
    <n v="16000"/>
    <x v="0"/>
    <n v="0"/>
    <n v="16000"/>
    <x v="4"/>
  </r>
  <r>
    <x v="1"/>
    <x v="1"/>
    <n v="40314080"/>
    <x v="0"/>
    <x v="4"/>
    <x v="0"/>
    <x v="7"/>
    <s v="PO PPA ESP@ 2 BLOX10KG CJ AS SD"/>
    <s v="CARNE RECUPERADA ADM"/>
    <x v="4"/>
    <x v="0"/>
    <n v="0"/>
    <x v="0"/>
    <n v="24000"/>
    <n v="24000"/>
    <x v="7"/>
  </r>
  <r>
    <x v="1"/>
    <x v="1"/>
    <n v="40314081"/>
    <x v="0"/>
    <x v="4"/>
    <x v="0"/>
    <x v="7"/>
    <s v="PO PPA ESP@ 2 BLOX10KG CJ AS SD"/>
    <s v="CARNE RECUPERADA ADM"/>
    <x v="5"/>
    <x v="0"/>
    <n v="0"/>
    <x v="0"/>
    <n v="24000"/>
    <n v="24000"/>
    <x v="7"/>
  </r>
  <r>
    <x v="1"/>
    <x v="1"/>
    <n v="40314082"/>
    <x v="0"/>
    <x v="4"/>
    <x v="0"/>
    <x v="7"/>
    <s v="PO PPA ESP@ 2 BLOX10KG CJ AS SD"/>
    <s v="CARNE RECUPERADA ADM"/>
    <x v="5"/>
    <x v="0"/>
    <n v="0"/>
    <x v="0"/>
    <n v="24000"/>
    <n v="24000"/>
    <x v="7"/>
  </r>
  <r>
    <x v="1"/>
    <x v="1"/>
    <n v="40314084"/>
    <x v="0"/>
    <x v="4"/>
    <x v="0"/>
    <x v="7"/>
    <s v="PO PPA ESP@ 2 BLOX10KG CJ AS SD"/>
    <s v="CARNE RECUPERADA ADM"/>
    <x v="7"/>
    <x v="0"/>
    <n v="0"/>
    <x v="0"/>
    <n v="24000"/>
    <n v="24000"/>
    <x v="7"/>
  </r>
  <r>
    <x v="1"/>
    <x v="1"/>
    <n v="40318181"/>
    <x v="0"/>
    <x v="4"/>
    <x v="0"/>
    <x v="9"/>
    <s v="PO CTRE MRPS@ BO 12X1K CJ AS"/>
    <s v="MENUDENCIAS CONTRE"/>
    <x v="6"/>
    <x v="0"/>
    <n v="24000"/>
    <x v="0"/>
    <n v="0"/>
    <n v="24000"/>
    <x v="8"/>
  </r>
  <r>
    <x v="1"/>
    <x v="1"/>
    <n v="40320628"/>
    <x v="1"/>
    <x v="4"/>
    <x v="0"/>
    <x v="10"/>
    <s v="PO MOLLEJA MRPS@ CJ 10K AS"/>
    <s v="MENUDENCIAS CONTRE"/>
    <x v="6"/>
    <x v="0"/>
    <n v="10000"/>
    <x v="0"/>
    <n v="0"/>
    <n v="10000"/>
    <x v="4"/>
  </r>
  <r>
    <x v="1"/>
    <x v="1"/>
    <n v="40320628"/>
    <x v="1"/>
    <x v="4"/>
    <x v="0"/>
    <x v="11"/>
    <s v="PO CORAZON@ CJ 18K AS"/>
    <s v="MENUDENCIAS CORAZÓN"/>
    <x v="6"/>
    <x v="0"/>
    <n v="10000"/>
    <x v="0"/>
    <n v="0"/>
    <n v="10000"/>
    <x v="4"/>
  </r>
  <r>
    <x v="1"/>
    <x v="1"/>
    <n v="40320910"/>
    <x v="0"/>
    <x v="4"/>
    <x v="0"/>
    <x v="12"/>
    <s v="PO PTA ESPINAZ@ CJ 10K AS"/>
    <s v="CAZUELA ESPINAZO"/>
    <x v="1"/>
    <x v="1"/>
    <n v="0"/>
    <x v="0"/>
    <n v="24000"/>
    <n v="24000"/>
    <x v="7"/>
  </r>
  <r>
    <x v="1"/>
    <x v="1"/>
    <n v="40321157"/>
    <x v="1"/>
    <x v="5"/>
    <x v="0"/>
    <x v="6"/>
    <s v="PO PPA ESP@ 2 BLO X 10K CJ AS"/>
    <s v="CARNE RECUPERADA PULPA"/>
    <x v="6"/>
    <x v="0"/>
    <n v="24000"/>
    <x v="0"/>
    <n v="0"/>
    <n v="24000"/>
    <x v="4"/>
  </r>
  <r>
    <x v="1"/>
    <x v="1"/>
    <n v="40321158"/>
    <x v="0"/>
    <x v="5"/>
    <x v="0"/>
    <x v="6"/>
    <s v="PO PPA ESP@ 2 BLO X 10K CJ AS"/>
    <s v="CARNE RECUPERADA PULPA"/>
    <x v="6"/>
    <x v="0"/>
    <n v="24000"/>
    <x v="0"/>
    <n v="0"/>
    <n v="24000"/>
    <x v="7"/>
  </r>
  <r>
    <x v="1"/>
    <x v="1"/>
    <n v="40321159"/>
    <x v="0"/>
    <x v="5"/>
    <x v="0"/>
    <x v="6"/>
    <s v="PO PPA ESP@ 2 BLO X 10K CJ AS"/>
    <s v="CARNE RECUPERADA PULPA"/>
    <x v="6"/>
    <x v="0"/>
    <n v="24000"/>
    <x v="0"/>
    <n v="0"/>
    <n v="24000"/>
    <x v="7"/>
  </r>
  <r>
    <x v="1"/>
    <x v="1"/>
    <n v="40321160"/>
    <x v="0"/>
    <x v="5"/>
    <x v="0"/>
    <x v="6"/>
    <s v="PO PPA ESP@ 2 BLO X 10K CJ AS"/>
    <s v="CARNE RECUPERADA PULPA"/>
    <x v="6"/>
    <x v="0"/>
    <n v="24000"/>
    <x v="0"/>
    <n v="0"/>
    <n v="24000"/>
    <x v="7"/>
  </r>
  <r>
    <x v="1"/>
    <x v="1"/>
    <n v="40321172"/>
    <x v="1"/>
    <x v="3"/>
    <x v="0"/>
    <x v="5"/>
    <s v="PO PPA ESP 50 PIM@ CJ 20K AS"/>
    <s v="CARNE RECUPERADA PULPA"/>
    <x v="4"/>
    <x v="0"/>
    <n v="0"/>
    <x v="0"/>
    <n v="24000"/>
    <n v="24000"/>
    <x v="7"/>
  </r>
  <r>
    <x v="1"/>
    <x v="1"/>
    <n v="40321173"/>
    <x v="1"/>
    <x v="3"/>
    <x v="0"/>
    <x v="5"/>
    <s v="PO PPA ESP 50 PIM@ CJ 20K AS"/>
    <s v="CARNE RECUPERADA PULPA"/>
    <x v="4"/>
    <x v="0"/>
    <n v="0"/>
    <x v="0"/>
    <n v="24000"/>
    <n v="24000"/>
    <x v="7"/>
  </r>
  <r>
    <x v="1"/>
    <x v="1"/>
    <n v="40321454"/>
    <x v="0"/>
    <x v="6"/>
    <x v="0"/>
    <x v="13"/>
    <s v="PO PCHDEH RANDOM@ CJ 10K AS"/>
    <s v="PECHUGA DESH S/PIEL S/GRASA S/FILETE"/>
    <x v="3"/>
    <x v="0"/>
    <n v="0"/>
    <x v="0"/>
    <n v="23000"/>
    <n v="23000"/>
    <x v="0"/>
  </r>
  <r>
    <x v="1"/>
    <x v="1"/>
    <n v="40322319"/>
    <x v="0"/>
    <x v="4"/>
    <x v="0"/>
    <x v="10"/>
    <s v="PO MOLLEJA MRPS@ CJ 10K AS"/>
    <s v="MENUDENCIAS CONTRE"/>
    <x v="6"/>
    <x v="0"/>
    <n v="24000"/>
    <x v="0"/>
    <n v="0"/>
    <n v="24000"/>
    <x v="8"/>
  </r>
  <r>
    <x v="1"/>
    <x v="1"/>
    <n v="40322320"/>
    <x v="0"/>
    <x v="4"/>
    <x v="0"/>
    <x v="10"/>
    <s v="PO MOLLEJA MRPS@ CJ 10K AS"/>
    <s v="MENUDENCIAS CONTRE"/>
    <x v="6"/>
    <x v="1"/>
    <n v="24000"/>
    <x v="0"/>
    <n v="0"/>
    <n v="24000"/>
    <x v="7"/>
  </r>
  <r>
    <x v="1"/>
    <x v="1"/>
    <n v="40323641"/>
    <x v="0"/>
    <x v="4"/>
    <x v="0"/>
    <x v="10"/>
    <s v="PO MOLLEJA MRPS@ CJ 10K AS"/>
    <s v="MENUDENCIAS CONTRE"/>
    <x v="9"/>
    <x v="0"/>
    <n v="0"/>
    <x v="0"/>
    <n v="12000"/>
    <n v="12000"/>
    <x v="7"/>
  </r>
  <r>
    <x v="1"/>
    <x v="1"/>
    <n v="40323641"/>
    <x v="0"/>
    <x v="4"/>
    <x v="0"/>
    <x v="12"/>
    <s v="PO PTA ESPINAZ@ CJ 10K AS"/>
    <s v="CAZUELA ESPINAZO"/>
    <x v="9"/>
    <x v="0"/>
    <n v="0"/>
    <x v="0"/>
    <n v="12000"/>
    <n v="12000"/>
    <x v="7"/>
  </r>
  <r>
    <x v="1"/>
    <x v="1"/>
    <n v="40323661"/>
    <x v="1"/>
    <x v="3"/>
    <x v="0"/>
    <x v="5"/>
    <s v="PO PPA ESP 50 PIM@ CJ 20K AS"/>
    <s v="CARNE RECUPERADA PULPA"/>
    <x v="4"/>
    <x v="0"/>
    <n v="0"/>
    <x v="0"/>
    <n v="24000"/>
    <n v="24000"/>
    <x v="7"/>
  </r>
  <r>
    <x v="1"/>
    <x v="1"/>
    <n v="40323662"/>
    <x v="1"/>
    <x v="3"/>
    <x v="0"/>
    <x v="5"/>
    <s v="PO PPA ESP 50 PIM@ CJ 20K AS"/>
    <s v="CARNE RECUPERADA PULPA"/>
    <x v="5"/>
    <x v="0"/>
    <n v="0"/>
    <x v="0"/>
    <n v="24000"/>
    <n v="24000"/>
    <x v="7"/>
  </r>
  <r>
    <x v="1"/>
    <x v="1"/>
    <n v="40323757"/>
    <x v="1"/>
    <x v="4"/>
    <x v="0"/>
    <x v="7"/>
    <s v="PO PPA ESP@ 2 BLOX10KG CJ AS SD"/>
    <s v="CARNE RECUPERADA ADM"/>
    <x v="6"/>
    <x v="0"/>
    <n v="24000"/>
    <x v="0"/>
    <n v="0"/>
    <n v="24000"/>
    <x v="4"/>
  </r>
  <r>
    <x v="1"/>
    <x v="1"/>
    <n v="40324085"/>
    <x v="1"/>
    <x v="3"/>
    <x v="0"/>
    <x v="5"/>
    <s v="PO PPA ESP 50 PIM@ CJ 20K AS"/>
    <s v="CARNE RECUPERADA PULPA"/>
    <x v="5"/>
    <x v="0"/>
    <n v="0"/>
    <x v="0"/>
    <n v="24000"/>
    <n v="24000"/>
    <x v="7"/>
  </r>
  <r>
    <x v="1"/>
    <x v="1"/>
    <n v="40324478"/>
    <x v="0"/>
    <x v="5"/>
    <x v="0"/>
    <x v="6"/>
    <s v="PO PPA ESP@ 2 BLO X 10K CJ AS"/>
    <s v="CARNE RECUPERADA PULPA"/>
    <x v="6"/>
    <x v="0"/>
    <n v="24000"/>
    <x v="0"/>
    <n v="0"/>
    <n v="24000"/>
    <x v="7"/>
  </r>
  <r>
    <x v="1"/>
    <x v="1"/>
    <n v="40325056"/>
    <x v="1"/>
    <x v="3"/>
    <x v="0"/>
    <x v="5"/>
    <s v="PO PPA ESP 50 PIM@ CJ 20K AS"/>
    <s v="CARNE RECUPERADA PULPA"/>
    <x v="5"/>
    <x v="0"/>
    <n v="0"/>
    <x v="0"/>
    <n v="23400"/>
    <n v="23400"/>
    <x v="7"/>
  </r>
  <r>
    <x v="1"/>
    <x v="0"/>
    <n v="40302775"/>
    <x v="1"/>
    <x v="7"/>
    <x v="0"/>
    <x v="14"/>
    <s v="GO FILE C/CAB@ CJ 5K AS"/>
    <s v="FILETE C/CABEZA"/>
    <x v="6"/>
    <x v="1"/>
    <n v="24000"/>
    <x v="0"/>
    <n v="0"/>
    <n v="24000"/>
    <x v="7"/>
  </r>
  <r>
    <x v="1"/>
    <x v="0"/>
    <n v="40304735"/>
    <x v="0"/>
    <x v="8"/>
    <x v="0"/>
    <x v="15"/>
    <s v="GO CNE FALDA PAN@ CJ 20K AS"/>
    <s v="PANCETA S/CUERO"/>
    <x v="6"/>
    <x v="0"/>
    <n v="24000"/>
    <x v="0"/>
    <n v="0"/>
    <n v="24000"/>
    <x v="7"/>
  </r>
  <r>
    <x v="1"/>
    <x v="0"/>
    <n v="40305532"/>
    <x v="0"/>
    <x v="8"/>
    <x v="0"/>
    <x v="16"/>
    <s v="GO CUE GRANEL ESP CC@ CJ 20K AS"/>
    <s v="CUERO MIXTO"/>
    <x v="6"/>
    <x v="0"/>
    <n v="24000"/>
    <x v="0"/>
    <n v="0"/>
    <n v="24000"/>
    <x v="7"/>
  </r>
  <r>
    <x v="1"/>
    <x v="0"/>
    <n v="40307456"/>
    <x v="1"/>
    <x v="9"/>
    <x v="0"/>
    <x v="17"/>
    <s v="GO GRASA FORRO PAL@ CJ 20K AS"/>
    <s v="GRASA FORRO"/>
    <x v="6"/>
    <x v="0"/>
    <n v="24000"/>
    <x v="0"/>
    <n v="0"/>
    <n v="24000"/>
    <x v="4"/>
  </r>
  <r>
    <x v="1"/>
    <x v="0"/>
    <n v="40308766"/>
    <x v="1"/>
    <x v="9"/>
    <x v="0"/>
    <x v="18"/>
    <s v="GO CUE PAPDA CP@ CJ 20K AS"/>
    <s v="CUERO PAPADA"/>
    <x v="1"/>
    <x v="0"/>
    <n v="0"/>
    <x v="0"/>
    <n v="24000"/>
    <n v="24000"/>
    <x v="7"/>
  </r>
  <r>
    <x v="1"/>
    <x v="0"/>
    <n v="40308782"/>
    <x v="0"/>
    <x v="10"/>
    <x v="0"/>
    <x v="19"/>
    <s v="GO TRIMING 80/20@ CJ 20K AS"/>
    <s v="RECORTES NO MAGRO"/>
    <x v="6"/>
    <x v="0"/>
    <n v="24000"/>
    <x v="0"/>
    <n v="0"/>
    <n v="24000"/>
    <x v="4"/>
  </r>
  <r>
    <x v="1"/>
    <x v="0"/>
    <n v="40308783"/>
    <x v="0"/>
    <x v="10"/>
    <x v="0"/>
    <x v="19"/>
    <s v="GO TRIMING 80/20@ CJ 20K AS"/>
    <s v="RECORTES NO MAGRO"/>
    <x v="6"/>
    <x v="0"/>
    <n v="24000"/>
    <x v="0"/>
    <n v="0"/>
    <n v="24000"/>
    <x v="4"/>
  </r>
  <r>
    <x v="1"/>
    <x v="0"/>
    <n v="40309591"/>
    <x v="0"/>
    <x v="8"/>
    <x v="0"/>
    <x v="20"/>
    <s v="GO CUE 20@ CJ 20K AS"/>
    <s v="CUERO PANCETA"/>
    <x v="6"/>
    <x v="0"/>
    <n v="24000"/>
    <x v="0"/>
    <n v="0"/>
    <n v="24000"/>
    <x v="7"/>
  </r>
  <r>
    <x v="1"/>
    <x v="0"/>
    <n v="40311323"/>
    <x v="1"/>
    <x v="7"/>
    <x v="0"/>
    <x v="21"/>
    <s v="GO LOM CTRO 27@ FI CJ 20K AS"/>
    <s v="LOMO CENTRO"/>
    <x v="2"/>
    <x v="1"/>
    <n v="0"/>
    <x v="1"/>
    <n v="0"/>
    <n v="24000"/>
    <x v="7"/>
  </r>
  <r>
    <x v="1"/>
    <x v="0"/>
    <n v="40311433"/>
    <x v="0"/>
    <x v="3"/>
    <x v="0"/>
    <x v="19"/>
    <s v="GO TRIMING 80/20@ CJ 20K AS"/>
    <s v="RECORTES NO MAGRO"/>
    <x v="10"/>
    <x v="2"/>
    <n v="0"/>
    <x v="0"/>
    <n v="24000"/>
    <n v="24000"/>
    <x v="7"/>
  </r>
  <r>
    <x v="1"/>
    <x v="0"/>
    <n v="40311446"/>
    <x v="1"/>
    <x v="3"/>
    <x v="0"/>
    <x v="22"/>
    <s v="GO LOM CTRO 27@ CJ 20K AS"/>
    <s v="LOMO CENTRO"/>
    <x v="6"/>
    <x v="1"/>
    <n v="24000"/>
    <x v="0"/>
    <n v="0"/>
    <n v="24000"/>
    <x v="7"/>
  </r>
  <r>
    <x v="1"/>
    <x v="0"/>
    <n v="40312529"/>
    <x v="1"/>
    <x v="3"/>
    <x v="0"/>
    <x v="23"/>
    <s v="GO PPPAL 77@ CJ 20K AS"/>
    <s v="PALETA PULPA"/>
    <x v="6"/>
    <x v="3"/>
    <n v="0"/>
    <x v="1"/>
    <n v="0"/>
    <n v="24000"/>
    <x v="7"/>
  </r>
  <r>
    <x v="1"/>
    <x v="0"/>
    <n v="40312852"/>
    <x v="1"/>
    <x v="3"/>
    <x v="0"/>
    <x v="22"/>
    <s v="GO LOM CTRO 27@ CJ 20K AS"/>
    <s v="LOMO CENTRO"/>
    <x v="6"/>
    <x v="1"/>
    <n v="24000"/>
    <x v="0"/>
    <n v="0"/>
    <n v="24000"/>
    <x v="7"/>
  </r>
  <r>
    <x v="1"/>
    <x v="0"/>
    <n v="40313092"/>
    <x v="0"/>
    <x v="11"/>
    <x v="0"/>
    <x v="24"/>
    <s v="GO TRIMING 85/15@ CJ T-F 20K AS"/>
    <s v="RECORTES NO MAGRO"/>
    <x v="2"/>
    <x v="1"/>
    <n v="0"/>
    <x v="2"/>
    <n v="0"/>
    <n v="23000"/>
    <x v="0"/>
  </r>
  <r>
    <x v="1"/>
    <x v="0"/>
    <n v="40313093"/>
    <x v="0"/>
    <x v="11"/>
    <x v="0"/>
    <x v="25"/>
    <s v="GO GORD LOM TOCINO@ CJ T-F AS"/>
    <s v="GRASA GORDURA"/>
    <x v="2"/>
    <x v="1"/>
    <n v="0"/>
    <x v="3"/>
    <n v="0"/>
    <n v="6000"/>
    <x v="0"/>
  </r>
  <r>
    <x v="1"/>
    <x v="0"/>
    <n v="40313093"/>
    <x v="0"/>
    <x v="11"/>
    <x v="0"/>
    <x v="26"/>
    <s v="GO CNE LONG@ CJ T-F AS"/>
    <s v="RECORTES NO MAGRO"/>
    <x v="2"/>
    <x v="1"/>
    <n v="0"/>
    <x v="4"/>
    <n v="0"/>
    <n v="11000"/>
    <x v="0"/>
  </r>
  <r>
    <x v="1"/>
    <x v="0"/>
    <n v="40313093"/>
    <x v="0"/>
    <x v="11"/>
    <x v="0"/>
    <x v="27"/>
    <s v="GO GORD CHIC@ CJ 20K AS"/>
    <s v="GRASA GORDURA"/>
    <x v="2"/>
    <x v="1"/>
    <n v="0"/>
    <x v="3"/>
    <n v="0"/>
    <n v="6000"/>
    <x v="0"/>
  </r>
  <r>
    <x v="1"/>
    <x v="0"/>
    <n v="40313444"/>
    <x v="0"/>
    <x v="10"/>
    <x v="0"/>
    <x v="28"/>
    <s v="GO PPPNA 59@ FI CJ 20K AS"/>
    <s v="PIERNA PULPA"/>
    <x v="10"/>
    <x v="2"/>
    <n v="0"/>
    <x v="0"/>
    <n v="24000"/>
    <n v="24000"/>
    <x v="7"/>
  </r>
  <r>
    <x v="1"/>
    <x v="0"/>
    <n v="40313445"/>
    <x v="0"/>
    <x v="10"/>
    <x v="0"/>
    <x v="28"/>
    <s v="GO PPPNA 59@ FI CJ 20K AS"/>
    <s v="PIERNA PULPA"/>
    <x v="5"/>
    <x v="1"/>
    <n v="0"/>
    <x v="0"/>
    <n v="24000"/>
    <n v="24000"/>
    <x v="7"/>
  </r>
  <r>
    <x v="1"/>
    <x v="0"/>
    <n v="40313448"/>
    <x v="1"/>
    <x v="10"/>
    <x v="0"/>
    <x v="23"/>
    <s v="GO PPPAL 77@ CJ 20K AS"/>
    <s v="PALETA PULPA"/>
    <x v="6"/>
    <x v="1"/>
    <n v="24000"/>
    <x v="0"/>
    <n v="0"/>
    <n v="24000"/>
    <x v="7"/>
  </r>
  <r>
    <x v="1"/>
    <x v="0"/>
    <n v="40313457"/>
    <x v="0"/>
    <x v="12"/>
    <x v="0"/>
    <x v="28"/>
    <s v="GO PPPNA 59@ FI CJ 20K AS"/>
    <s v="PIERNA PULPA"/>
    <x v="0"/>
    <x v="1"/>
    <n v="0"/>
    <x v="0"/>
    <n v="24000"/>
    <n v="24000"/>
    <x v="7"/>
  </r>
  <r>
    <x v="1"/>
    <x v="0"/>
    <n v="40314168"/>
    <x v="0"/>
    <x v="3"/>
    <x v="0"/>
    <x v="23"/>
    <s v="GO PPPAL 77@ CJ 20K AS"/>
    <s v="PALETA PULPA"/>
    <x v="3"/>
    <x v="2"/>
    <n v="0"/>
    <x v="0"/>
    <n v="24000"/>
    <n v="24000"/>
    <x v="7"/>
  </r>
  <r>
    <x v="1"/>
    <x v="0"/>
    <n v="40314169"/>
    <x v="0"/>
    <x v="3"/>
    <x v="0"/>
    <x v="23"/>
    <s v="GO PPPAL 77@ CJ 20K AS"/>
    <s v="PALETA PULPA"/>
    <x v="11"/>
    <x v="2"/>
    <n v="0"/>
    <x v="0"/>
    <n v="24000"/>
    <n v="24000"/>
    <x v="7"/>
  </r>
  <r>
    <x v="1"/>
    <x v="0"/>
    <n v="40314170"/>
    <x v="0"/>
    <x v="3"/>
    <x v="0"/>
    <x v="23"/>
    <s v="GO PPPAL 77@ CJ 20K AS"/>
    <s v="PALETA PULPA"/>
    <x v="12"/>
    <x v="2"/>
    <n v="0"/>
    <x v="0"/>
    <n v="24000"/>
    <n v="24000"/>
    <x v="7"/>
  </r>
  <r>
    <x v="1"/>
    <x v="0"/>
    <n v="40314171"/>
    <x v="0"/>
    <x v="3"/>
    <x v="0"/>
    <x v="23"/>
    <s v="GO PPPAL 77@ CJ 20K AS"/>
    <s v="PALETA PULPA"/>
    <x v="7"/>
    <x v="2"/>
    <n v="0"/>
    <x v="0"/>
    <n v="24000"/>
    <n v="24000"/>
    <x v="7"/>
  </r>
  <r>
    <x v="1"/>
    <x v="0"/>
    <n v="40314196"/>
    <x v="0"/>
    <x v="3"/>
    <x v="0"/>
    <x v="29"/>
    <s v="GO PAPDA@ CJ T-F AS"/>
    <s v="PLANCHA S/CUERO"/>
    <x v="6"/>
    <x v="0"/>
    <n v="24000"/>
    <x v="0"/>
    <n v="0"/>
    <n v="24000"/>
    <x v="4"/>
  </r>
  <r>
    <x v="1"/>
    <x v="0"/>
    <n v="40314653"/>
    <x v="1"/>
    <x v="7"/>
    <x v="0"/>
    <x v="28"/>
    <s v="GO PPPNA 59@ FI CJ 20K AS"/>
    <s v="PIERNA PULPA"/>
    <x v="6"/>
    <x v="0"/>
    <n v="24000"/>
    <x v="0"/>
    <n v="0"/>
    <n v="24000"/>
    <x v="4"/>
  </r>
  <r>
    <x v="1"/>
    <x v="0"/>
    <n v="40315352"/>
    <x v="0"/>
    <x v="8"/>
    <x v="0"/>
    <x v="16"/>
    <s v="GO CUE GRANEL ESP CC@ CJ 20K AS"/>
    <s v="CUERO MIXTO"/>
    <x v="6"/>
    <x v="0"/>
    <n v="24000"/>
    <x v="0"/>
    <n v="0"/>
    <n v="24000"/>
    <x v="7"/>
  </r>
  <r>
    <x v="1"/>
    <x v="0"/>
    <n v="40316170"/>
    <x v="0"/>
    <x v="8"/>
    <x v="0"/>
    <x v="30"/>
    <s v="GO GORD CHIC@ CJ 20K AS"/>
    <s v="GRASA GORDURA"/>
    <x v="6"/>
    <x v="0"/>
    <n v="24000"/>
    <x v="0"/>
    <n v="0"/>
    <n v="24000"/>
    <x v="7"/>
  </r>
  <r>
    <x v="1"/>
    <x v="0"/>
    <n v="40316721"/>
    <x v="0"/>
    <x v="3"/>
    <x v="0"/>
    <x v="29"/>
    <s v="GO PAPDA@ CJ T-F AS"/>
    <s v="PLANCHA S/CUERO"/>
    <x v="6"/>
    <x v="0"/>
    <n v="24000"/>
    <x v="0"/>
    <n v="0"/>
    <n v="24000"/>
    <x v="4"/>
  </r>
  <r>
    <x v="1"/>
    <x v="0"/>
    <n v="40318366"/>
    <x v="1"/>
    <x v="8"/>
    <x v="0"/>
    <x v="30"/>
    <s v="GO GORD CHIC@ CJ 20K AS"/>
    <s v="GRASA GORDURA"/>
    <x v="6"/>
    <x v="0"/>
    <n v="24000"/>
    <x v="0"/>
    <n v="0"/>
    <n v="24000"/>
    <x v="4"/>
  </r>
  <r>
    <x v="1"/>
    <x v="0"/>
    <n v="40318371"/>
    <x v="0"/>
    <x v="3"/>
    <x v="0"/>
    <x v="31"/>
    <s v="GO TRIMING 70/30@ CJ 20K AS"/>
    <s v="RECORTES NO MAGRO"/>
    <x v="6"/>
    <x v="1"/>
    <n v="24000"/>
    <x v="0"/>
    <n v="0"/>
    <n v="24000"/>
    <x v="7"/>
  </r>
  <r>
    <x v="1"/>
    <x v="0"/>
    <n v="40318386"/>
    <x v="0"/>
    <x v="6"/>
    <x v="0"/>
    <x v="25"/>
    <s v="GO GORD LOM TOCINO@ CJ T-F AS"/>
    <s v="GRASA GORDURA"/>
    <x v="10"/>
    <x v="2"/>
    <n v="0"/>
    <x v="0"/>
    <n v="24000"/>
    <n v="24000"/>
    <x v="0"/>
  </r>
  <r>
    <x v="1"/>
    <x v="0"/>
    <n v="40318539"/>
    <x v="1"/>
    <x v="8"/>
    <x v="0"/>
    <x v="32"/>
    <s v="GO CUE PAPDA CP@ CJ 20K BCA AS"/>
    <s v="CUERO PAPADA"/>
    <x v="2"/>
    <x v="1"/>
    <n v="0"/>
    <x v="0"/>
    <n v="24000"/>
    <n v="24000"/>
    <x v="7"/>
  </r>
  <r>
    <x v="1"/>
    <x v="0"/>
    <n v="40318801"/>
    <x v="1"/>
    <x v="4"/>
    <x v="0"/>
    <x v="24"/>
    <s v="GO TRIMING 85/15@ CJ T-F 20K AS"/>
    <s v="RECORTES NO MAGRO"/>
    <x v="6"/>
    <x v="2"/>
    <n v="24000"/>
    <x v="0"/>
    <n v="0"/>
    <n v="24000"/>
    <x v="7"/>
  </r>
  <r>
    <x v="1"/>
    <x v="0"/>
    <n v="40320629"/>
    <x v="1"/>
    <x v="4"/>
    <x v="0"/>
    <x v="33"/>
    <s v="GO CORAZÓN PARTIDO@ CJ T-F 20K AS"/>
    <s v="SUBPROD VISCERAS"/>
    <x v="2"/>
    <x v="1"/>
    <n v="0"/>
    <x v="5"/>
    <n v="0"/>
    <n v="4000"/>
    <x v="7"/>
  </r>
  <r>
    <x v="1"/>
    <x v="0"/>
    <n v="40321175"/>
    <x v="0"/>
    <x v="13"/>
    <x v="0"/>
    <x v="34"/>
    <s v="GO TRIPA S/CAL# BIDON AS"/>
    <s v="SUBPROD TRIPA"/>
    <x v="6"/>
    <x v="0"/>
    <n v="13680"/>
    <x v="0"/>
    <n v="0"/>
    <n v="13680"/>
    <x v="4"/>
  </r>
  <r>
    <x v="1"/>
    <x v="0"/>
    <n v="40323177"/>
    <x v="0"/>
    <x v="13"/>
    <x v="0"/>
    <x v="15"/>
    <s v="GO CNE FALDA PAN@ CJ 20K AS"/>
    <s v="PANCETA S/CUERO"/>
    <x v="0"/>
    <x v="0"/>
    <n v="0"/>
    <x v="0"/>
    <n v="24000"/>
    <n v="24000"/>
    <x v="7"/>
  </r>
  <r>
    <x v="1"/>
    <x v="0"/>
    <n v="40323185"/>
    <x v="0"/>
    <x v="3"/>
    <x v="0"/>
    <x v="31"/>
    <s v="GO TRIMING 70/30@ CJ 20K AS"/>
    <s v="RECORTES NO MAGRO"/>
    <x v="4"/>
    <x v="2"/>
    <n v="0"/>
    <x v="0"/>
    <n v="24000"/>
    <n v="24000"/>
    <x v="7"/>
  </r>
  <r>
    <x v="1"/>
    <x v="0"/>
    <n v="40323190"/>
    <x v="1"/>
    <x v="3"/>
    <x v="0"/>
    <x v="35"/>
    <s v="GO PPPNA 57@ BO CJ AS"/>
    <s v="PIERNA PULPA"/>
    <x v="2"/>
    <x v="2"/>
    <n v="0"/>
    <x v="1"/>
    <n v="0"/>
    <n v="24000"/>
    <x v="7"/>
  </r>
  <r>
    <x v="1"/>
    <x v="0"/>
    <n v="40323192"/>
    <x v="0"/>
    <x v="3"/>
    <x v="0"/>
    <x v="25"/>
    <s v="GO GORD LOM TOCINO@ CJ T-F AS"/>
    <s v="GRASA GORDURA"/>
    <x v="4"/>
    <x v="1"/>
    <n v="0"/>
    <x v="0"/>
    <n v="24000"/>
    <n v="24000"/>
    <x v="7"/>
  </r>
  <r>
    <x v="1"/>
    <x v="0"/>
    <n v="40323193"/>
    <x v="1"/>
    <x v="3"/>
    <x v="0"/>
    <x v="26"/>
    <s v="GO CNE LONG@ CJ T-F AS"/>
    <s v="RECORTES NO MAGRO"/>
    <x v="6"/>
    <x v="1"/>
    <n v="24000"/>
    <x v="0"/>
    <n v="0"/>
    <n v="24000"/>
    <x v="7"/>
  </r>
  <r>
    <x v="1"/>
    <x v="0"/>
    <n v="40323200"/>
    <x v="0"/>
    <x v="13"/>
    <x v="0"/>
    <x v="28"/>
    <s v="GO PPPNA 59@ FI CJ 20K AS"/>
    <s v="PIERNA PULPA"/>
    <x v="0"/>
    <x v="0"/>
    <n v="0"/>
    <x v="0"/>
    <n v="24000"/>
    <n v="24000"/>
    <x v="7"/>
  </r>
  <r>
    <x v="1"/>
    <x v="0"/>
    <n v="40323659"/>
    <x v="0"/>
    <x v="3"/>
    <x v="0"/>
    <x v="35"/>
    <s v="GO PPPNA 57@ BO CJ AS"/>
    <s v="PIERNA PULPA"/>
    <x v="5"/>
    <x v="1"/>
    <n v="0"/>
    <x v="0"/>
    <n v="24000"/>
    <n v="24000"/>
    <x v="7"/>
  </r>
  <r>
    <x v="1"/>
    <x v="0"/>
    <n v="40323665"/>
    <x v="0"/>
    <x v="3"/>
    <x v="0"/>
    <x v="19"/>
    <s v="GO TRIMING 80/20@ CJ 20K AS"/>
    <s v="RECORTES NO MAGRO"/>
    <x v="6"/>
    <x v="1"/>
    <n v="24000"/>
    <x v="0"/>
    <n v="0"/>
    <n v="24000"/>
    <x v="7"/>
  </r>
  <r>
    <x v="1"/>
    <x v="0"/>
    <n v="40323756"/>
    <x v="0"/>
    <x v="4"/>
    <x v="0"/>
    <x v="16"/>
    <s v="GO CUE GRANEL ESP CC@ CJ 20K AS"/>
    <s v="CUERO MIXTO"/>
    <x v="6"/>
    <x v="0"/>
    <n v="24000"/>
    <x v="0"/>
    <n v="0"/>
    <n v="24000"/>
    <x v="8"/>
  </r>
  <r>
    <x v="1"/>
    <x v="0"/>
    <n v="40323761"/>
    <x v="0"/>
    <x v="10"/>
    <x v="0"/>
    <x v="35"/>
    <s v="GO PPPNA 57@ BO CJ AS"/>
    <s v="PIERNA PULPA"/>
    <x v="2"/>
    <x v="2"/>
    <n v="0"/>
    <x v="0"/>
    <n v="24000"/>
    <n v="24000"/>
    <x v="7"/>
  </r>
  <r>
    <x v="1"/>
    <x v="0"/>
    <n v="40323762"/>
    <x v="0"/>
    <x v="10"/>
    <x v="0"/>
    <x v="35"/>
    <s v="GO PPPNA 57@ BO CJ AS"/>
    <s v="PIERNA PULPA"/>
    <x v="10"/>
    <x v="1"/>
    <n v="0"/>
    <x v="0"/>
    <n v="24000"/>
    <n v="24000"/>
    <x v="7"/>
  </r>
  <r>
    <x v="1"/>
    <x v="0"/>
    <n v="40323763"/>
    <x v="0"/>
    <x v="10"/>
    <x v="0"/>
    <x v="35"/>
    <s v="GO PPPNA 57@ BO CJ AS"/>
    <s v="PIERNA PULPA"/>
    <x v="3"/>
    <x v="2"/>
    <n v="0"/>
    <x v="0"/>
    <n v="24000"/>
    <n v="24000"/>
    <x v="7"/>
  </r>
  <r>
    <x v="1"/>
    <x v="0"/>
    <n v="40323764"/>
    <x v="0"/>
    <x v="10"/>
    <x v="0"/>
    <x v="35"/>
    <s v="GO PPPNA 57@ BO CJ AS"/>
    <s v="PIERNA PULPA"/>
    <x v="1"/>
    <x v="0"/>
    <n v="0"/>
    <x v="0"/>
    <n v="24000"/>
    <n v="24000"/>
    <x v="7"/>
  </r>
  <r>
    <x v="1"/>
    <x v="0"/>
    <n v="40323765"/>
    <x v="0"/>
    <x v="10"/>
    <x v="0"/>
    <x v="35"/>
    <s v="GO PPPNA 57@ BO CJ AS"/>
    <s v="PIERNA PULPA"/>
    <x v="0"/>
    <x v="1"/>
    <n v="0"/>
    <x v="0"/>
    <n v="24000"/>
    <n v="24000"/>
    <x v="7"/>
  </r>
  <r>
    <x v="1"/>
    <x v="0"/>
    <n v="40324199"/>
    <x v="0"/>
    <x v="3"/>
    <x v="0"/>
    <x v="28"/>
    <s v="GO PPPNA 59@ FI CJ 20K AS"/>
    <s v="PIERNA PULPA"/>
    <x v="7"/>
    <x v="0"/>
    <n v="0"/>
    <x v="0"/>
    <n v="24000"/>
    <n v="24000"/>
    <x v="7"/>
  </r>
  <r>
    <x v="1"/>
    <x v="0"/>
    <n v="40324200"/>
    <x v="1"/>
    <x v="3"/>
    <x v="0"/>
    <x v="28"/>
    <s v="GO PPPNA 59@ FI CJ 20K AS"/>
    <s v="PIERNA PULPA"/>
    <x v="6"/>
    <x v="2"/>
    <n v="24000"/>
    <x v="0"/>
    <n v="0"/>
    <n v="24000"/>
    <x v="4"/>
  </r>
  <r>
    <x v="1"/>
    <x v="0"/>
    <n v="40324201"/>
    <x v="0"/>
    <x v="13"/>
    <x v="0"/>
    <x v="36"/>
    <s v="GO PULMON@ CJ 20K AS"/>
    <s v="SUBPROD VISCERAS"/>
    <x v="12"/>
    <x v="0"/>
    <n v="0"/>
    <x v="0"/>
    <n v="24000"/>
    <n v="24000"/>
    <x v="7"/>
  </r>
  <r>
    <x v="1"/>
    <x v="0"/>
    <n v="40324204"/>
    <x v="0"/>
    <x v="3"/>
    <x v="0"/>
    <x v="37"/>
    <s v="GO GORD REBAJE@ BO CJ 20K AS"/>
    <s v="GRASA GORDURA"/>
    <x v="4"/>
    <x v="1"/>
    <n v="0"/>
    <x v="0"/>
    <n v="24000"/>
    <n v="24000"/>
    <x v="7"/>
  </r>
  <r>
    <x v="1"/>
    <x v="0"/>
    <n v="40324205"/>
    <x v="0"/>
    <x v="3"/>
    <x v="0"/>
    <x v="37"/>
    <s v="GO GORD REBAJE@ BO CJ 20K AS"/>
    <s v="GRASA GORDURA"/>
    <x v="11"/>
    <x v="1"/>
    <n v="0"/>
    <x v="0"/>
    <n v="24000"/>
    <n v="24000"/>
    <x v="7"/>
  </r>
  <r>
    <x v="1"/>
    <x v="0"/>
    <n v="40324206"/>
    <x v="1"/>
    <x v="3"/>
    <x v="0"/>
    <x v="37"/>
    <s v="GO GORD REBAJE@ BO CJ 20K AS"/>
    <s v="GRASA GORDURA"/>
    <x v="6"/>
    <x v="1"/>
    <n v="24000"/>
    <x v="0"/>
    <n v="0"/>
    <n v="24000"/>
    <x v="7"/>
  </r>
  <r>
    <x v="1"/>
    <x v="0"/>
    <n v="40324207"/>
    <x v="1"/>
    <x v="3"/>
    <x v="0"/>
    <x v="37"/>
    <s v="GO GORD REBAJE@ BO CJ 20K AS"/>
    <s v="GRASA GORDURA"/>
    <x v="2"/>
    <x v="2"/>
    <n v="0"/>
    <x v="0"/>
    <n v="24000"/>
    <n v="24000"/>
    <x v="7"/>
  </r>
  <r>
    <x v="1"/>
    <x v="0"/>
    <n v="40324209"/>
    <x v="1"/>
    <x v="3"/>
    <x v="0"/>
    <x v="28"/>
    <s v="GO PPPNA 59@ FI CJ 20K AS"/>
    <s v="PIERNA PULPA"/>
    <x v="6"/>
    <x v="1"/>
    <n v="24000"/>
    <x v="0"/>
    <n v="0"/>
    <n v="24000"/>
    <x v="7"/>
  </r>
  <r>
    <x v="1"/>
    <x v="0"/>
    <n v="40324210"/>
    <x v="1"/>
    <x v="3"/>
    <x v="0"/>
    <x v="28"/>
    <s v="GO PPPNA 59@ FI CJ 20K AS"/>
    <s v="PIERNA PULPA"/>
    <x v="2"/>
    <x v="2"/>
    <n v="0"/>
    <x v="1"/>
    <n v="0"/>
    <n v="24000"/>
    <x v="7"/>
  </r>
  <r>
    <x v="1"/>
    <x v="0"/>
    <n v="40324212"/>
    <x v="1"/>
    <x v="3"/>
    <x v="0"/>
    <x v="28"/>
    <s v="GO PPPNA 59@ FI CJ 20K AS"/>
    <s v="PIERNA PULPA"/>
    <x v="6"/>
    <x v="0"/>
    <n v="24000"/>
    <x v="0"/>
    <n v="0"/>
    <n v="24000"/>
    <x v="4"/>
  </r>
  <r>
    <x v="1"/>
    <x v="0"/>
    <n v="40325113"/>
    <x v="0"/>
    <x v="4"/>
    <x v="0"/>
    <x v="24"/>
    <s v="GO TRIMING 85/15@ CJ T-F 20K AS"/>
    <s v="RECORTES NO MAGRO"/>
    <x v="5"/>
    <x v="1"/>
    <n v="0"/>
    <x v="0"/>
    <n v="24000"/>
    <n v="24000"/>
    <x v="7"/>
  </r>
  <r>
    <x v="1"/>
    <x v="0"/>
    <n v="40325115"/>
    <x v="0"/>
    <x v="10"/>
    <x v="0"/>
    <x v="16"/>
    <s v="GO CUE GRANEL ESP CC@ CJ 20K AS"/>
    <s v="CUERO MIXTO"/>
    <x v="6"/>
    <x v="0"/>
    <n v="24000"/>
    <x v="0"/>
    <n v="0"/>
    <n v="24000"/>
    <x v="4"/>
  </r>
  <r>
    <x v="1"/>
    <x v="2"/>
    <n v="40323181"/>
    <x v="1"/>
    <x v="3"/>
    <x v="0"/>
    <x v="38"/>
    <s v="PV PIEL TRU@ BO CJ AS"/>
    <s v="RECORTES PIEL"/>
    <x v="4"/>
    <x v="0"/>
    <n v="0"/>
    <x v="0"/>
    <n v="24000"/>
    <n v="24000"/>
    <x v="7"/>
  </r>
  <r>
    <x v="2"/>
    <x v="0"/>
    <n v="40314137"/>
    <x v="0"/>
    <x v="14"/>
    <x v="0"/>
    <x v="39"/>
    <s v="GO MM LOIN L@ CJ 12K AP"/>
    <s v="LOMO MM LOIN"/>
    <x v="2"/>
    <x v="1"/>
    <n v="0"/>
    <x v="6"/>
    <n v="0"/>
    <n v="3000"/>
    <x v="0"/>
  </r>
  <r>
    <x v="2"/>
    <x v="0"/>
    <n v="40314137"/>
    <x v="0"/>
    <x v="14"/>
    <x v="0"/>
    <x v="40"/>
    <s v="GO LOM VET &gt;2.0@ FI CJ LOM VET AP"/>
    <s v="LOMO VETADO"/>
    <x v="2"/>
    <x v="1"/>
    <n v="0"/>
    <x v="7"/>
    <n v="0"/>
    <n v="4850"/>
    <x v="0"/>
  </r>
  <r>
    <x v="2"/>
    <x v="0"/>
    <n v="40314137"/>
    <x v="0"/>
    <x v="14"/>
    <x v="0"/>
    <x v="41"/>
    <s v="GO FILE C/CAB@ VA CJ 10K AP"/>
    <s v="FILETE C/CABEZA"/>
    <x v="2"/>
    <x v="1"/>
    <n v="0"/>
    <x v="8"/>
    <n v="0"/>
    <n v="2000"/>
    <x v="0"/>
  </r>
  <r>
    <x v="2"/>
    <x v="0"/>
    <n v="40314137"/>
    <x v="0"/>
    <x v="14"/>
    <x v="0"/>
    <x v="42"/>
    <s v="GO PANC TEC S/CUE@ FI CJ CH AP"/>
    <s v="PANCETA S/CUERO"/>
    <x v="2"/>
    <x v="1"/>
    <n v="0"/>
    <x v="9"/>
    <n v="0"/>
    <n v="2150"/>
    <x v="0"/>
  </r>
  <r>
    <x v="2"/>
    <x v="0"/>
    <n v="40314137"/>
    <x v="0"/>
    <x v="14"/>
    <x v="0"/>
    <x v="43"/>
    <s v="GO LOM VET S/G@ VA CJ CH AP"/>
    <s v="LOMO VETADO"/>
    <x v="2"/>
    <x v="1"/>
    <n v="0"/>
    <x v="6"/>
    <n v="0"/>
    <n v="3000"/>
    <x v="0"/>
  </r>
  <r>
    <x v="2"/>
    <x v="0"/>
    <n v="40314137"/>
    <x v="0"/>
    <x v="14"/>
    <x v="0"/>
    <x v="44"/>
    <s v="GO RECTO@ CJ FILE AP"/>
    <s v="SUBPROD TRIPA"/>
    <x v="2"/>
    <x v="1"/>
    <n v="0"/>
    <x v="8"/>
    <n v="0"/>
    <n v="2000"/>
    <x v="0"/>
  </r>
  <r>
    <x v="2"/>
    <x v="0"/>
    <n v="40314137"/>
    <x v="0"/>
    <x v="14"/>
    <x v="0"/>
    <x v="45"/>
    <s v="GO PANC TEC S/CUE L@ FI CJ CH AP"/>
    <s v="PANCETA S/CUERO"/>
    <x v="2"/>
    <x v="1"/>
    <n v="0"/>
    <x v="10"/>
    <n v="0"/>
    <n v="5000"/>
    <x v="0"/>
  </r>
  <r>
    <x v="2"/>
    <x v="0"/>
    <n v="40314137"/>
    <x v="0"/>
    <x v="14"/>
    <x v="0"/>
    <x v="46"/>
    <s v="GO CNE FALDA PANC@ BO CJ AP"/>
    <s v="PANCETA S/CUERO"/>
    <x v="2"/>
    <x v="1"/>
    <n v="0"/>
    <x v="8"/>
    <n v="0"/>
    <n v="2000"/>
    <x v="0"/>
  </r>
  <r>
    <x v="2"/>
    <x v="0"/>
    <n v="40319247"/>
    <x v="0"/>
    <x v="15"/>
    <x v="0"/>
    <x v="41"/>
    <s v="GO FILE C/CAB@ VA CJ 10K AP"/>
    <s v="FILETE C/CABEZA"/>
    <x v="10"/>
    <x v="1"/>
    <n v="0"/>
    <x v="11"/>
    <n v="0"/>
    <n v="500"/>
    <x v="0"/>
  </r>
  <r>
    <x v="2"/>
    <x v="0"/>
    <n v="40319247"/>
    <x v="0"/>
    <x v="15"/>
    <x v="0"/>
    <x v="47"/>
    <s v="GO CC LOIN LL@ BO CJ LOM MAD AP"/>
    <s v="LOMO CC LOIN"/>
    <x v="10"/>
    <x v="1"/>
    <n v="0"/>
    <x v="12"/>
    <n v="0"/>
    <n v="23500"/>
    <x v="0"/>
  </r>
  <r>
    <x v="2"/>
    <x v="0"/>
    <n v="40319250"/>
    <x v="0"/>
    <x v="15"/>
    <x v="0"/>
    <x v="48"/>
    <s v="GO LOM TECLA@ CJ LOM CTRO JP"/>
    <s v="LOMO CENTRO"/>
    <x v="10"/>
    <x v="0"/>
    <n v="0"/>
    <x v="0"/>
    <n v="2000"/>
    <n v="2000"/>
    <x v="0"/>
  </r>
  <r>
    <x v="2"/>
    <x v="0"/>
    <n v="40319250"/>
    <x v="0"/>
    <x v="15"/>
    <x v="0"/>
    <x v="39"/>
    <s v="GO MM LOIN L@ CJ 12K AP"/>
    <s v="LOMO MM LOIN"/>
    <x v="10"/>
    <x v="0"/>
    <n v="0"/>
    <x v="0"/>
    <n v="13600"/>
    <n v="13600"/>
    <x v="0"/>
  </r>
  <r>
    <x v="2"/>
    <x v="0"/>
    <n v="40319250"/>
    <x v="0"/>
    <x v="15"/>
    <x v="0"/>
    <x v="49"/>
    <s v="GO MM LOIN S@ FI CJ 12K AP"/>
    <s v="LOMO MM LOIN"/>
    <x v="10"/>
    <x v="0"/>
    <n v="0"/>
    <x v="0"/>
    <n v="2000"/>
    <n v="2000"/>
    <x v="0"/>
  </r>
  <r>
    <x v="2"/>
    <x v="0"/>
    <n v="40319250"/>
    <x v="0"/>
    <x v="15"/>
    <x v="0"/>
    <x v="40"/>
    <s v="GO LOM VET &gt;2.0@ FI CJ LOM VET AP"/>
    <s v="LOMO VETADO"/>
    <x v="10"/>
    <x v="0"/>
    <n v="0"/>
    <x v="0"/>
    <n v="2200"/>
    <n v="2200"/>
    <x v="0"/>
  </r>
  <r>
    <x v="2"/>
    <x v="0"/>
    <n v="40319250"/>
    <x v="0"/>
    <x v="15"/>
    <x v="0"/>
    <x v="50"/>
    <s v="GO PANC TEC S/CUE@ R VP CJ CH AP"/>
    <s v="PANCETA S/CUERO"/>
    <x v="10"/>
    <x v="0"/>
    <n v="0"/>
    <x v="0"/>
    <n v="4000"/>
    <n v="4000"/>
    <x v="0"/>
  </r>
  <r>
    <x v="2"/>
    <x v="0"/>
    <n v="40319256"/>
    <x v="0"/>
    <x v="15"/>
    <x v="0"/>
    <x v="39"/>
    <s v="GO MM LOIN L@ CJ 12K AP"/>
    <s v="LOMO MM LOIN"/>
    <x v="10"/>
    <x v="1"/>
    <n v="0"/>
    <x v="0"/>
    <n v="14400"/>
    <n v="14400"/>
    <x v="0"/>
  </r>
  <r>
    <x v="2"/>
    <x v="0"/>
    <n v="40319256"/>
    <x v="0"/>
    <x v="15"/>
    <x v="0"/>
    <x v="49"/>
    <s v="GO MM LOIN S@ FI CJ 12K AP"/>
    <s v="LOMO MM LOIN"/>
    <x v="10"/>
    <x v="1"/>
    <n v="0"/>
    <x v="0"/>
    <n v="2000"/>
    <n v="2000"/>
    <x v="0"/>
  </r>
  <r>
    <x v="2"/>
    <x v="0"/>
    <n v="40319256"/>
    <x v="0"/>
    <x v="15"/>
    <x v="0"/>
    <x v="40"/>
    <s v="GO LOM VET &gt;2.0@ FI CJ LOM VET AP"/>
    <s v="LOMO VETADO"/>
    <x v="10"/>
    <x v="1"/>
    <n v="0"/>
    <x v="0"/>
    <n v="2200"/>
    <n v="2200"/>
    <x v="0"/>
  </r>
  <r>
    <x v="2"/>
    <x v="0"/>
    <n v="40319256"/>
    <x v="0"/>
    <x v="15"/>
    <x v="0"/>
    <x v="42"/>
    <s v="GO PANC TEC S/CUE@ FI CJ CH AP"/>
    <s v="PANCETA S/CUERO"/>
    <x v="10"/>
    <x v="1"/>
    <n v="0"/>
    <x v="0"/>
    <n v="2200"/>
    <n v="2200"/>
    <x v="0"/>
  </r>
  <r>
    <x v="2"/>
    <x v="0"/>
    <n v="40319256"/>
    <x v="0"/>
    <x v="15"/>
    <x v="0"/>
    <x v="50"/>
    <s v="GO PANC TEC S/CUE@ R VP CJ CH AP"/>
    <s v="PANCETA S/CUERO"/>
    <x v="10"/>
    <x v="1"/>
    <n v="0"/>
    <x v="0"/>
    <n v="3000"/>
    <n v="3000"/>
    <x v="0"/>
  </r>
  <r>
    <x v="2"/>
    <x v="0"/>
    <n v="40319257"/>
    <x v="0"/>
    <x v="15"/>
    <x v="0"/>
    <x v="39"/>
    <s v="GO MM LOIN L@ CJ 12K AP"/>
    <s v="LOMO MM LOIN"/>
    <x v="1"/>
    <x v="0"/>
    <n v="0"/>
    <x v="0"/>
    <n v="14400"/>
    <n v="14400"/>
    <x v="0"/>
  </r>
  <r>
    <x v="2"/>
    <x v="0"/>
    <n v="40319257"/>
    <x v="0"/>
    <x v="15"/>
    <x v="0"/>
    <x v="49"/>
    <s v="GO MM LOIN S@ FI CJ 12K AP"/>
    <s v="LOMO MM LOIN"/>
    <x v="1"/>
    <x v="0"/>
    <n v="0"/>
    <x v="0"/>
    <n v="2000"/>
    <n v="2000"/>
    <x v="0"/>
  </r>
  <r>
    <x v="2"/>
    <x v="0"/>
    <n v="40319257"/>
    <x v="0"/>
    <x v="15"/>
    <x v="0"/>
    <x v="40"/>
    <s v="GO LOM VET &gt;2.0@ FI CJ LOM VET AP"/>
    <s v="LOMO VETADO"/>
    <x v="1"/>
    <x v="0"/>
    <n v="0"/>
    <x v="0"/>
    <n v="2200"/>
    <n v="2200"/>
    <x v="0"/>
  </r>
  <r>
    <x v="2"/>
    <x v="0"/>
    <n v="40319257"/>
    <x v="0"/>
    <x v="15"/>
    <x v="0"/>
    <x v="42"/>
    <s v="GO PANC TEC S/CUE@ FI CJ CH AP"/>
    <s v="PANCETA S/CUERO"/>
    <x v="1"/>
    <x v="0"/>
    <n v="0"/>
    <x v="0"/>
    <n v="2200"/>
    <n v="2200"/>
    <x v="0"/>
  </r>
  <r>
    <x v="2"/>
    <x v="0"/>
    <n v="40319257"/>
    <x v="0"/>
    <x v="15"/>
    <x v="0"/>
    <x v="50"/>
    <s v="GO PANC TEC S/CUE@ R VP CJ CH AP"/>
    <s v="PANCETA S/CUERO"/>
    <x v="1"/>
    <x v="0"/>
    <n v="0"/>
    <x v="0"/>
    <n v="3000"/>
    <n v="3000"/>
    <x v="0"/>
  </r>
  <r>
    <x v="2"/>
    <x v="0"/>
    <n v="40319262"/>
    <x v="1"/>
    <x v="15"/>
    <x v="0"/>
    <x v="39"/>
    <s v="GO MM LOIN L@ CJ 12K AP"/>
    <s v="LOMO MM LOIN"/>
    <x v="6"/>
    <x v="0"/>
    <n v="10400"/>
    <x v="0"/>
    <n v="0"/>
    <n v="10400"/>
    <x v="8"/>
  </r>
  <r>
    <x v="2"/>
    <x v="0"/>
    <n v="40319262"/>
    <x v="1"/>
    <x v="15"/>
    <x v="0"/>
    <x v="49"/>
    <s v="GO MM LOIN S@ FI CJ 12K AP"/>
    <s v="LOMO MM LOIN"/>
    <x v="6"/>
    <x v="0"/>
    <n v="2000"/>
    <x v="0"/>
    <n v="0"/>
    <n v="2000"/>
    <x v="8"/>
  </r>
  <r>
    <x v="2"/>
    <x v="0"/>
    <n v="40319262"/>
    <x v="1"/>
    <x v="15"/>
    <x v="0"/>
    <x v="40"/>
    <s v="GO LOM VET &gt;2.0@ FI CJ LOM VET AP"/>
    <s v="LOMO VETADO"/>
    <x v="6"/>
    <x v="0"/>
    <n v="2200"/>
    <x v="0"/>
    <n v="0"/>
    <n v="2200"/>
    <x v="8"/>
  </r>
  <r>
    <x v="2"/>
    <x v="0"/>
    <n v="40319262"/>
    <x v="1"/>
    <x v="15"/>
    <x v="0"/>
    <x v="42"/>
    <s v="GO PANC TEC S/CUE@ FI CJ CH AP"/>
    <s v="PANCETA S/CUERO"/>
    <x v="6"/>
    <x v="0"/>
    <n v="2200"/>
    <x v="0"/>
    <n v="0"/>
    <n v="2200"/>
    <x v="8"/>
  </r>
  <r>
    <x v="2"/>
    <x v="0"/>
    <n v="40319262"/>
    <x v="1"/>
    <x v="15"/>
    <x v="0"/>
    <x v="51"/>
    <s v="GO LOM CTRO S/TECLA(OY)MIT@ CJ TF 20K AP"/>
    <s v="LOMO CENTRO"/>
    <x v="6"/>
    <x v="0"/>
    <n v="4000"/>
    <x v="0"/>
    <n v="0"/>
    <n v="4000"/>
    <x v="8"/>
  </r>
  <r>
    <x v="2"/>
    <x v="0"/>
    <n v="40319262"/>
    <x v="1"/>
    <x v="15"/>
    <x v="0"/>
    <x v="50"/>
    <s v="GO PANC TEC S/CUE@ R VP CJ CH AP"/>
    <s v="PANCETA S/CUERO"/>
    <x v="6"/>
    <x v="0"/>
    <n v="3000"/>
    <x v="0"/>
    <n v="0"/>
    <n v="3000"/>
    <x v="8"/>
  </r>
  <r>
    <x v="2"/>
    <x v="0"/>
    <n v="40319263"/>
    <x v="0"/>
    <x v="15"/>
    <x v="0"/>
    <x v="39"/>
    <s v="GO MM LOIN L@ CJ 12K AP"/>
    <s v="LOMO MM LOIN"/>
    <x v="4"/>
    <x v="0"/>
    <n v="0"/>
    <x v="0"/>
    <n v="10000"/>
    <n v="10000"/>
    <x v="0"/>
  </r>
  <r>
    <x v="2"/>
    <x v="0"/>
    <n v="40319263"/>
    <x v="0"/>
    <x v="15"/>
    <x v="0"/>
    <x v="49"/>
    <s v="GO MM LOIN S@ FI CJ 12K AP"/>
    <s v="LOMO MM LOIN"/>
    <x v="4"/>
    <x v="0"/>
    <n v="0"/>
    <x v="0"/>
    <n v="2400"/>
    <n v="2400"/>
    <x v="0"/>
  </r>
  <r>
    <x v="2"/>
    <x v="0"/>
    <n v="40319263"/>
    <x v="0"/>
    <x v="15"/>
    <x v="0"/>
    <x v="40"/>
    <s v="GO LOM VET &gt;2.0@ FI CJ LOM VET AP"/>
    <s v="LOMO VETADO"/>
    <x v="4"/>
    <x v="0"/>
    <n v="0"/>
    <x v="0"/>
    <n v="2200"/>
    <n v="2200"/>
    <x v="0"/>
  </r>
  <r>
    <x v="2"/>
    <x v="0"/>
    <n v="40319263"/>
    <x v="0"/>
    <x v="15"/>
    <x v="0"/>
    <x v="42"/>
    <s v="GO PANC TEC S/CUE@ FI CJ CH AP"/>
    <s v="PANCETA S/CUERO"/>
    <x v="4"/>
    <x v="0"/>
    <n v="0"/>
    <x v="0"/>
    <n v="2200"/>
    <n v="2200"/>
    <x v="0"/>
  </r>
  <r>
    <x v="2"/>
    <x v="0"/>
    <n v="40319263"/>
    <x v="0"/>
    <x v="15"/>
    <x v="0"/>
    <x v="51"/>
    <s v="GO LOM CTRO S/TECLA(OY)MIT@ CJ TF 20K AP"/>
    <s v="LOMO CENTRO"/>
    <x v="4"/>
    <x v="0"/>
    <n v="0"/>
    <x v="0"/>
    <n v="4000"/>
    <n v="4000"/>
    <x v="0"/>
  </r>
  <r>
    <x v="2"/>
    <x v="0"/>
    <n v="40319263"/>
    <x v="0"/>
    <x v="15"/>
    <x v="0"/>
    <x v="50"/>
    <s v="GO PANC TEC S/CUE@ R VP CJ CH AP"/>
    <s v="PANCETA S/CUERO"/>
    <x v="4"/>
    <x v="0"/>
    <n v="0"/>
    <x v="0"/>
    <n v="3000"/>
    <n v="3000"/>
    <x v="0"/>
  </r>
  <r>
    <x v="2"/>
    <x v="0"/>
    <n v="40319268"/>
    <x v="1"/>
    <x v="15"/>
    <x v="0"/>
    <x v="39"/>
    <s v="GO MM LOIN L@ CJ 12K AP"/>
    <s v="LOMO MM LOIN"/>
    <x v="2"/>
    <x v="1"/>
    <n v="0"/>
    <x v="13"/>
    <n v="0"/>
    <n v="11400"/>
    <x v="0"/>
  </r>
  <r>
    <x v="2"/>
    <x v="0"/>
    <n v="40319268"/>
    <x v="1"/>
    <x v="15"/>
    <x v="0"/>
    <x v="40"/>
    <s v="GO LOM VET &gt;2.0@ FI CJ LOM VET AP"/>
    <s v="LOMO VETADO"/>
    <x v="2"/>
    <x v="1"/>
    <n v="0"/>
    <x v="14"/>
    <n v="0"/>
    <n v="2200"/>
    <x v="0"/>
  </r>
  <r>
    <x v="2"/>
    <x v="0"/>
    <n v="40319268"/>
    <x v="1"/>
    <x v="15"/>
    <x v="0"/>
    <x v="42"/>
    <s v="GO PANC TEC S/CUE@ FI CJ CH AP"/>
    <s v="PANCETA S/CUERO"/>
    <x v="2"/>
    <x v="1"/>
    <n v="0"/>
    <x v="14"/>
    <n v="0"/>
    <n v="2200"/>
    <x v="0"/>
  </r>
  <r>
    <x v="2"/>
    <x v="0"/>
    <n v="40319268"/>
    <x v="1"/>
    <x v="15"/>
    <x v="0"/>
    <x v="52"/>
    <s v="GO MM LOIN L (MC4-5)@ FI CJ CH JP"/>
    <s v="LOMO MM LOIN"/>
    <x v="2"/>
    <x v="1"/>
    <n v="0"/>
    <x v="10"/>
    <n v="0"/>
    <n v="5000"/>
    <x v="0"/>
  </r>
  <r>
    <x v="2"/>
    <x v="0"/>
    <n v="40319268"/>
    <x v="1"/>
    <x v="15"/>
    <x v="0"/>
    <x v="50"/>
    <s v="GO PANC TEC S/CUE@ R VP CJ CH AP"/>
    <s v="PANCETA S/CUERO"/>
    <x v="2"/>
    <x v="1"/>
    <n v="0"/>
    <x v="6"/>
    <n v="0"/>
    <n v="3000"/>
    <x v="0"/>
  </r>
  <r>
    <x v="2"/>
    <x v="0"/>
    <n v="40319269"/>
    <x v="1"/>
    <x v="15"/>
    <x v="0"/>
    <x v="39"/>
    <s v="GO MM LOIN L@ CJ 12K AP"/>
    <s v="LOMO MM LOIN"/>
    <x v="2"/>
    <x v="1"/>
    <n v="0"/>
    <x v="13"/>
    <n v="0"/>
    <n v="11400"/>
    <x v="0"/>
  </r>
  <r>
    <x v="2"/>
    <x v="0"/>
    <n v="40319269"/>
    <x v="1"/>
    <x v="15"/>
    <x v="0"/>
    <x v="40"/>
    <s v="GO LOM VET &gt;2.0@ FI CJ LOM VET AP"/>
    <s v="LOMO VETADO"/>
    <x v="2"/>
    <x v="1"/>
    <n v="0"/>
    <x v="14"/>
    <n v="0"/>
    <n v="2200"/>
    <x v="0"/>
  </r>
  <r>
    <x v="2"/>
    <x v="0"/>
    <n v="40319269"/>
    <x v="1"/>
    <x v="15"/>
    <x v="0"/>
    <x v="42"/>
    <s v="GO PANC TEC S/CUE@ FI CJ CH AP"/>
    <s v="PANCETA S/CUERO"/>
    <x v="2"/>
    <x v="1"/>
    <n v="0"/>
    <x v="14"/>
    <n v="0"/>
    <n v="2200"/>
    <x v="0"/>
  </r>
  <r>
    <x v="2"/>
    <x v="0"/>
    <n v="40319269"/>
    <x v="1"/>
    <x v="15"/>
    <x v="0"/>
    <x v="52"/>
    <s v="GO MM LOIN L (MC4-5)@ FI CJ CH JP"/>
    <s v="LOMO MM LOIN"/>
    <x v="2"/>
    <x v="1"/>
    <n v="0"/>
    <x v="8"/>
    <n v="0"/>
    <n v="2000"/>
    <x v="0"/>
  </r>
  <r>
    <x v="2"/>
    <x v="0"/>
    <n v="40319269"/>
    <x v="1"/>
    <x v="15"/>
    <x v="0"/>
    <x v="53"/>
    <s v="GO CC LOIN L (S/T) 45@ FI CJ AP"/>
    <s v="LOMO CC LOIN"/>
    <x v="2"/>
    <x v="1"/>
    <n v="0"/>
    <x v="6"/>
    <n v="0"/>
    <n v="3000"/>
    <x v="0"/>
  </r>
  <r>
    <x v="2"/>
    <x v="0"/>
    <n v="40319269"/>
    <x v="1"/>
    <x v="15"/>
    <x v="0"/>
    <x v="50"/>
    <s v="GO PANC TEC S/CUE@ R VP CJ CH AP"/>
    <s v="PANCETA S/CUERO"/>
    <x v="2"/>
    <x v="1"/>
    <n v="0"/>
    <x v="6"/>
    <n v="0"/>
    <n v="3000"/>
    <x v="0"/>
  </r>
  <r>
    <x v="2"/>
    <x v="0"/>
    <n v="40319270"/>
    <x v="0"/>
    <x v="15"/>
    <x v="0"/>
    <x v="39"/>
    <s v="GO MM LOIN L@ CJ 12K AP"/>
    <s v="LOMO MM LOIN"/>
    <x v="1"/>
    <x v="0"/>
    <n v="0"/>
    <x v="0"/>
    <n v="11400"/>
    <n v="11400"/>
    <x v="0"/>
  </r>
  <r>
    <x v="2"/>
    <x v="0"/>
    <n v="40319270"/>
    <x v="0"/>
    <x v="15"/>
    <x v="0"/>
    <x v="40"/>
    <s v="GO LOM VET &gt;2.0@ FI CJ LOM VET AP"/>
    <s v="LOMO VETADO"/>
    <x v="1"/>
    <x v="0"/>
    <n v="0"/>
    <x v="0"/>
    <n v="2200"/>
    <n v="2200"/>
    <x v="0"/>
  </r>
  <r>
    <x v="2"/>
    <x v="0"/>
    <n v="40319270"/>
    <x v="0"/>
    <x v="15"/>
    <x v="0"/>
    <x v="42"/>
    <s v="GO PANC TEC S/CUE@ FI CJ CH AP"/>
    <s v="PANCETA S/CUERO"/>
    <x v="1"/>
    <x v="0"/>
    <n v="0"/>
    <x v="0"/>
    <n v="2200"/>
    <n v="2200"/>
    <x v="0"/>
  </r>
  <r>
    <x v="2"/>
    <x v="0"/>
    <n v="40319270"/>
    <x v="0"/>
    <x v="15"/>
    <x v="0"/>
    <x v="54"/>
    <s v="GO CC LOIN L (S/T)@ FI CJ AP"/>
    <s v="LOMO CC LOIN"/>
    <x v="1"/>
    <x v="0"/>
    <n v="0"/>
    <x v="0"/>
    <n v="5000"/>
    <n v="5000"/>
    <x v="0"/>
  </r>
  <r>
    <x v="2"/>
    <x v="0"/>
    <n v="40319270"/>
    <x v="0"/>
    <x v="15"/>
    <x v="0"/>
    <x v="50"/>
    <s v="GO PANC TEC S/CUE@ R VP CJ CH AP"/>
    <s v="PANCETA S/CUERO"/>
    <x v="1"/>
    <x v="0"/>
    <n v="0"/>
    <x v="0"/>
    <n v="3000"/>
    <n v="3000"/>
    <x v="0"/>
  </r>
  <r>
    <x v="2"/>
    <x v="0"/>
    <n v="40319271"/>
    <x v="0"/>
    <x v="15"/>
    <x v="0"/>
    <x v="39"/>
    <s v="GO MM LOIN L@ CJ 12K AP"/>
    <s v="LOMO MM LOIN"/>
    <x v="4"/>
    <x v="0"/>
    <n v="0"/>
    <x v="0"/>
    <n v="8900"/>
    <n v="8900"/>
    <x v="0"/>
  </r>
  <r>
    <x v="2"/>
    <x v="0"/>
    <n v="40319271"/>
    <x v="0"/>
    <x v="15"/>
    <x v="0"/>
    <x v="40"/>
    <s v="GO LOM VET &gt;2.0@ FI CJ LOM VET AP"/>
    <s v="LOMO VETADO"/>
    <x v="4"/>
    <x v="0"/>
    <n v="0"/>
    <x v="0"/>
    <n v="2200"/>
    <n v="2200"/>
    <x v="0"/>
  </r>
  <r>
    <x v="2"/>
    <x v="0"/>
    <n v="40319271"/>
    <x v="0"/>
    <x v="15"/>
    <x v="0"/>
    <x v="42"/>
    <s v="GO PANC TEC S/CUE@ FI CJ CH AP"/>
    <s v="PANCETA S/CUERO"/>
    <x v="4"/>
    <x v="0"/>
    <n v="0"/>
    <x v="0"/>
    <n v="2200"/>
    <n v="2200"/>
    <x v="0"/>
  </r>
  <r>
    <x v="2"/>
    <x v="0"/>
    <n v="40319271"/>
    <x v="0"/>
    <x v="15"/>
    <x v="0"/>
    <x v="54"/>
    <s v="GO CC LOIN L (S/T)@ FI CJ AP"/>
    <s v="LOMO CC LOIN"/>
    <x v="4"/>
    <x v="0"/>
    <n v="0"/>
    <x v="0"/>
    <n v="5000"/>
    <n v="5000"/>
    <x v="0"/>
  </r>
  <r>
    <x v="2"/>
    <x v="0"/>
    <n v="40319271"/>
    <x v="0"/>
    <x v="15"/>
    <x v="0"/>
    <x v="55"/>
    <s v="GO LOM TECLA VP@ CJ LOM CTRO"/>
    <s v="LOMO CENTRO"/>
    <x v="4"/>
    <x v="0"/>
    <n v="0"/>
    <x v="0"/>
    <n v="2500"/>
    <n v="2500"/>
    <x v="0"/>
  </r>
  <r>
    <x v="2"/>
    <x v="0"/>
    <n v="40319271"/>
    <x v="0"/>
    <x v="15"/>
    <x v="0"/>
    <x v="50"/>
    <s v="GO PANC TEC S/CUE@ R VP CJ CH AP"/>
    <s v="PANCETA S/CUERO"/>
    <x v="4"/>
    <x v="0"/>
    <n v="0"/>
    <x v="0"/>
    <n v="3000"/>
    <n v="3000"/>
    <x v="0"/>
  </r>
  <r>
    <x v="2"/>
    <x v="0"/>
    <n v="40319275"/>
    <x v="1"/>
    <x v="15"/>
    <x v="0"/>
    <x v="39"/>
    <s v="GO MM LOIN L@ CJ 12K AP"/>
    <s v="LOMO MM LOIN"/>
    <x v="6"/>
    <x v="0"/>
    <n v="11100"/>
    <x v="0"/>
    <n v="0"/>
    <n v="11100"/>
    <x v="0"/>
  </r>
  <r>
    <x v="2"/>
    <x v="0"/>
    <n v="40319275"/>
    <x v="1"/>
    <x v="15"/>
    <x v="0"/>
    <x v="42"/>
    <s v="GO PANC TEC S/CUE@ FI CJ CH AP"/>
    <s v="PANCETA S/CUERO"/>
    <x v="6"/>
    <x v="0"/>
    <n v="2200"/>
    <x v="0"/>
    <n v="0"/>
    <n v="2200"/>
    <x v="0"/>
  </r>
  <r>
    <x v="2"/>
    <x v="0"/>
    <n v="40319275"/>
    <x v="1"/>
    <x v="15"/>
    <x v="0"/>
    <x v="56"/>
    <s v="GO PANC S/TEC N@ FI CJ 20K AP"/>
    <s v="PANCETA S/CUERO"/>
    <x v="6"/>
    <x v="0"/>
    <n v="5000"/>
    <x v="0"/>
    <n v="0"/>
    <n v="5000"/>
    <x v="0"/>
  </r>
  <r>
    <x v="2"/>
    <x v="0"/>
    <n v="40319275"/>
    <x v="1"/>
    <x v="15"/>
    <x v="0"/>
    <x v="57"/>
    <s v="LOM VET &gt;2.0@ VP CJ LOM VET AP"/>
    <s v="LOMO VETADO"/>
    <x v="6"/>
    <x v="0"/>
    <n v="2500"/>
    <x v="0"/>
    <n v="0"/>
    <n v="2500"/>
    <x v="0"/>
  </r>
  <r>
    <x v="2"/>
    <x v="0"/>
    <n v="40319275"/>
    <x v="1"/>
    <x v="15"/>
    <x v="0"/>
    <x v="50"/>
    <s v="GO PANC TEC S/CUE@ R VP CJ CH AP"/>
    <s v="PANCETA S/CUERO"/>
    <x v="6"/>
    <x v="0"/>
    <n v="3000"/>
    <x v="0"/>
    <n v="0"/>
    <n v="3000"/>
    <x v="0"/>
  </r>
  <r>
    <x v="2"/>
    <x v="0"/>
    <n v="40325154"/>
    <x v="1"/>
    <x v="16"/>
    <x v="0"/>
    <x v="48"/>
    <s v="GO LOM TECLA@ CJ LOM CTRO JP"/>
    <s v="LOMO CENTRO"/>
    <x v="12"/>
    <x v="1"/>
    <n v="0"/>
    <x v="0"/>
    <n v="1500"/>
    <n v="1500"/>
    <x v="0"/>
  </r>
  <r>
    <x v="2"/>
    <x v="0"/>
    <n v="40325154"/>
    <x v="1"/>
    <x v="16"/>
    <x v="0"/>
    <x v="49"/>
    <s v="GO MM LOIN S@ FI CJ 12K AP"/>
    <s v="LOMO MM LOIN"/>
    <x v="12"/>
    <x v="1"/>
    <n v="0"/>
    <x v="0"/>
    <n v="3500"/>
    <n v="3500"/>
    <x v="0"/>
  </r>
  <r>
    <x v="2"/>
    <x v="0"/>
    <n v="40325154"/>
    <x v="1"/>
    <x v="16"/>
    <x v="0"/>
    <x v="40"/>
    <s v="GO LOM VET &gt;2.0@ FI CJ LOM VET AP"/>
    <s v="LOMO VETADO"/>
    <x v="12"/>
    <x v="1"/>
    <n v="0"/>
    <x v="0"/>
    <n v="9000"/>
    <n v="9000"/>
    <x v="0"/>
  </r>
  <r>
    <x v="2"/>
    <x v="0"/>
    <n v="40325154"/>
    <x v="1"/>
    <x v="16"/>
    <x v="0"/>
    <x v="42"/>
    <s v="GO PANC TEC S/CUE@ FI CJ CH AP"/>
    <s v="PANCETA S/CUERO"/>
    <x v="12"/>
    <x v="1"/>
    <n v="0"/>
    <x v="0"/>
    <n v="2500"/>
    <n v="2500"/>
    <x v="0"/>
  </r>
  <r>
    <x v="2"/>
    <x v="0"/>
    <n v="40325154"/>
    <x v="1"/>
    <x v="16"/>
    <x v="0"/>
    <x v="58"/>
    <s v="GO GANSO C/ASTO 3P@ VA CJ T-F AP"/>
    <s v="PIERNA PULPA FINA"/>
    <x v="12"/>
    <x v="1"/>
    <n v="0"/>
    <x v="0"/>
    <n v="3500"/>
    <n v="3500"/>
    <x v="0"/>
  </r>
  <r>
    <x v="2"/>
    <x v="0"/>
    <n v="40325154"/>
    <x v="1"/>
    <x v="16"/>
    <x v="0"/>
    <x v="59"/>
    <s v="GO PANC S/TEC/CUE I@ FI CJ PANC 4S AP"/>
    <s v="PANCETA S/CUERO"/>
    <x v="12"/>
    <x v="1"/>
    <n v="0"/>
    <x v="0"/>
    <n v="3000"/>
    <n v="3000"/>
    <x v="0"/>
  </r>
  <r>
    <x v="2"/>
    <x v="0"/>
    <n v="40325154"/>
    <x v="1"/>
    <x v="16"/>
    <x v="0"/>
    <x v="56"/>
    <s v="GO PANC S/TEC N@ FI CJ 20K AP"/>
    <s v="PANCETA S/CUERO"/>
    <x v="12"/>
    <x v="1"/>
    <n v="0"/>
    <x v="0"/>
    <n v="1000"/>
    <n v="1000"/>
    <x v="0"/>
  </r>
  <r>
    <x v="2"/>
    <x v="0"/>
    <n v="40325162"/>
    <x v="0"/>
    <x v="14"/>
    <x v="0"/>
    <x v="60"/>
    <s v="GO PPPAL PIM@ CJ AP"/>
    <s v="PALETA PULPA"/>
    <x v="2"/>
    <x v="0"/>
    <n v="0"/>
    <x v="0"/>
    <n v="24000"/>
    <n v="24000"/>
    <x v="0"/>
  </r>
  <r>
    <x v="2"/>
    <x v="0"/>
    <n v="40325163"/>
    <x v="0"/>
    <x v="14"/>
    <x v="0"/>
    <x v="60"/>
    <s v="GO PPPAL PIM@ CJ AP"/>
    <s v="PALETA PULPA"/>
    <x v="2"/>
    <x v="0"/>
    <n v="0"/>
    <x v="1"/>
    <n v="0"/>
    <n v="24000"/>
    <x v="0"/>
  </r>
  <r>
    <x v="2"/>
    <x v="0"/>
    <n v="40325577"/>
    <x v="1"/>
    <x v="15"/>
    <x v="0"/>
    <x v="48"/>
    <s v="GO LOM TECLA@ CJ LOM CTRO JP"/>
    <s v="LOMO CENTRO"/>
    <x v="6"/>
    <x v="0"/>
    <n v="2000"/>
    <x v="0"/>
    <n v="0"/>
    <n v="2000"/>
    <x v="0"/>
  </r>
  <r>
    <x v="2"/>
    <x v="0"/>
    <n v="40325577"/>
    <x v="1"/>
    <x v="15"/>
    <x v="0"/>
    <x v="39"/>
    <s v="GO MM LOIN L@ CJ 12K AP"/>
    <s v="LOMO MM LOIN"/>
    <x v="6"/>
    <x v="0"/>
    <n v="14900"/>
    <x v="0"/>
    <n v="0"/>
    <n v="14900"/>
    <x v="0"/>
  </r>
  <r>
    <x v="2"/>
    <x v="0"/>
    <n v="40325577"/>
    <x v="1"/>
    <x v="15"/>
    <x v="0"/>
    <x v="49"/>
    <s v="GO MM LOIN S@ FI CJ 12K AP"/>
    <s v="LOMO MM LOIN"/>
    <x v="6"/>
    <x v="0"/>
    <n v="2000"/>
    <x v="0"/>
    <n v="0"/>
    <n v="2000"/>
    <x v="0"/>
  </r>
  <r>
    <x v="2"/>
    <x v="0"/>
    <n v="40325577"/>
    <x v="1"/>
    <x v="15"/>
    <x v="0"/>
    <x v="40"/>
    <s v="GO LOM VET &gt;2.0@ FI CJ LOM VET AP"/>
    <s v="LOMO VETADO"/>
    <x v="6"/>
    <x v="0"/>
    <n v="2200"/>
    <x v="0"/>
    <n v="0"/>
    <n v="2200"/>
    <x v="0"/>
  </r>
  <r>
    <x v="2"/>
    <x v="0"/>
    <n v="40325577"/>
    <x v="1"/>
    <x v="15"/>
    <x v="0"/>
    <x v="41"/>
    <s v="GO FILE C/CAB@ VA CJ 10K AP"/>
    <s v="FILETE C/CABEZA"/>
    <x v="6"/>
    <x v="0"/>
    <n v="1700"/>
    <x v="0"/>
    <n v="0"/>
    <n v="1700"/>
    <x v="0"/>
  </r>
  <r>
    <x v="2"/>
    <x v="0"/>
    <n v="40325577"/>
    <x v="1"/>
    <x v="15"/>
    <x v="0"/>
    <x v="61"/>
    <s v="GO MM LOIN S VP@ CJ 10K AP"/>
    <s v="LOMO MM LOIN"/>
    <x v="6"/>
    <x v="0"/>
    <n v="1000"/>
    <x v="0"/>
    <n v="0"/>
    <n v="1000"/>
    <x v="0"/>
  </r>
  <r>
    <x v="2"/>
    <x v="0"/>
    <n v="40325593"/>
    <x v="1"/>
    <x v="15"/>
    <x v="0"/>
    <x v="39"/>
    <s v="GO MM LOIN L@ CJ 12K AP"/>
    <s v="LOMO MM LOIN"/>
    <x v="6"/>
    <x v="0"/>
    <n v="13600"/>
    <x v="0"/>
    <n v="0"/>
    <n v="13600"/>
    <x v="0"/>
  </r>
  <r>
    <x v="2"/>
    <x v="0"/>
    <n v="40325593"/>
    <x v="1"/>
    <x v="15"/>
    <x v="0"/>
    <x v="40"/>
    <s v="GO LOM VET &gt;2.0@ FI CJ LOM VET AP"/>
    <s v="LOMO VETADO"/>
    <x v="6"/>
    <x v="0"/>
    <n v="5200"/>
    <x v="0"/>
    <n v="0"/>
    <n v="5200"/>
    <x v="0"/>
  </r>
  <r>
    <x v="2"/>
    <x v="0"/>
    <n v="40325593"/>
    <x v="1"/>
    <x v="15"/>
    <x v="0"/>
    <x v="62"/>
    <s v="GO PANC MIT@ VA CJ 20K AP"/>
    <s v="PANCETA S/CUERO"/>
    <x v="6"/>
    <x v="0"/>
    <n v="5000"/>
    <x v="0"/>
    <n v="0"/>
    <n v="5000"/>
    <x v="0"/>
  </r>
  <r>
    <x v="2"/>
    <x v="0"/>
    <n v="40325604"/>
    <x v="1"/>
    <x v="15"/>
    <x v="0"/>
    <x v="39"/>
    <s v="GO MM LOIN L@ CJ 12K AP"/>
    <s v="LOMO MM LOIN"/>
    <x v="6"/>
    <x v="0"/>
    <n v="11900"/>
    <x v="0"/>
    <n v="0"/>
    <n v="11900"/>
    <x v="0"/>
  </r>
  <r>
    <x v="2"/>
    <x v="0"/>
    <n v="40325604"/>
    <x v="1"/>
    <x v="15"/>
    <x v="0"/>
    <x v="40"/>
    <s v="GO LOM VET &gt;2.0@ FI CJ LOM VET AP"/>
    <s v="LOMO VETADO"/>
    <x v="6"/>
    <x v="0"/>
    <n v="2200"/>
    <x v="0"/>
    <n v="0"/>
    <n v="2200"/>
    <x v="0"/>
  </r>
  <r>
    <x v="2"/>
    <x v="0"/>
    <n v="40325604"/>
    <x v="1"/>
    <x v="15"/>
    <x v="0"/>
    <x v="42"/>
    <s v="GO PANC TEC S/CUE@ FI CJ CH AP"/>
    <s v="PANCETA S/CUERO"/>
    <x v="6"/>
    <x v="0"/>
    <n v="2200"/>
    <x v="0"/>
    <n v="0"/>
    <n v="2200"/>
    <x v="0"/>
  </r>
  <r>
    <x v="2"/>
    <x v="0"/>
    <n v="40325604"/>
    <x v="1"/>
    <x v="15"/>
    <x v="0"/>
    <x v="56"/>
    <s v="GO PANC S/TEC N@ FI CJ 20K AP"/>
    <s v="PANCETA S/CUERO"/>
    <x v="6"/>
    <x v="0"/>
    <n v="5000"/>
    <x v="0"/>
    <n v="0"/>
    <n v="5000"/>
    <x v="0"/>
  </r>
  <r>
    <x v="2"/>
    <x v="0"/>
    <n v="40325604"/>
    <x v="1"/>
    <x v="15"/>
    <x v="0"/>
    <x v="57"/>
    <s v="LOM VET &gt;2.0@ VP CJ LOM VET AP"/>
    <s v="LOMO VETADO"/>
    <x v="6"/>
    <x v="0"/>
    <n v="2500"/>
    <x v="0"/>
    <n v="0"/>
    <n v="2500"/>
    <x v="0"/>
  </r>
  <r>
    <x v="2"/>
    <x v="0"/>
    <n v="40325606"/>
    <x v="1"/>
    <x v="15"/>
    <x v="0"/>
    <x v="39"/>
    <s v="GO MM LOIN L@ CJ 12K AP"/>
    <s v="LOMO MM LOIN"/>
    <x v="6"/>
    <x v="0"/>
    <n v="11000"/>
    <x v="0"/>
    <n v="0"/>
    <n v="11000"/>
    <x v="0"/>
  </r>
  <r>
    <x v="2"/>
    <x v="0"/>
    <n v="40325606"/>
    <x v="1"/>
    <x v="15"/>
    <x v="0"/>
    <x v="40"/>
    <s v="GO LOM VET &gt;2.0@ FI CJ LOM VET AP"/>
    <s v="LOMO VETADO"/>
    <x v="6"/>
    <x v="0"/>
    <n v="1600"/>
    <x v="0"/>
    <n v="0"/>
    <n v="1600"/>
    <x v="0"/>
  </r>
  <r>
    <x v="2"/>
    <x v="0"/>
    <n v="40325606"/>
    <x v="1"/>
    <x v="15"/>
    <x v="0"/>
    <x v="63"/>
    <s v="GO LOM VET &lt;2.0@ FI CJ AP"/>
    <s v="LOMO VETADO"/>
    <x v="6"/>
    <x v="0"/>
    <n v="2000"/>
    <x v="0"/>
    <n v="0"/>
    <n v="2000"/>
    <x v="0"/>
  </r>
  <r>
    <x v="2"/>
    <x v="0"/>
    <n v="40325606"/>
    <x v="1"/>
    <x v="15"/>
    <x v="0"/>
    <x v="42"/>
    <s v="GO PANC TEC S/CUE@ FI CJ CH AP"/>
    <s v="PANCETA S/CUERO"/>
    <x v="6"/>
    <x v="0"/>
    <n v="2200"/>
    <x v="0"/>
    <n v="0"/>
    <n v="2200"/>
    <x v="0"/>
  </r>
  <r>
    <x v="2"/>
    <x v="0"/>
    <n v="40325606"/>
    <x v="1"/>
    <x v="15"/>
    <x v="0"/>
    <x v="64"/>
    <s v="GO LOM VET MIT@ 4 BO CJ 10K AP"/>
    <s v="LOMO VETADO"/>
    <x v="6"/>
    <x v="0"/>
    <n v="4500"/>
    <x v="0"/>
    <n v="0"/>
    <n v="4500"/>
    <x v="0"/>
  </r>
  <r>
    <x v="2"/>
    <x v="0"/>
    <n v="40325606"/>
    <x v="1"/>
    <x v="15"/>
    <x v="0"/>
    <x v="57"/>
    <s v="LOM VET &gt;2.0@ VP CJ LOM VET AP"/>
    <s v="LOMO VETADO"/>
    <x v="6"/>
    <x v="0"/>
    <n v="2500"/>
    <x v="0"/>
    <n v="0"/>
    <n v="2500"/>
    <x v="0"/>
  </r>
  <r>
    <x v="2"/>
    <x v="0"/>
    <n v="40325609"/>
    <x v="1"/>
    <x v="15"/>
    <x v="0"/>
    <x v="39"/>
    <s v="GO MM LOIN L@ CJ 12K AP"/>
    <s v="LOMO MM LOIN"/>
    <x v="6"/>
    <x v="0"/>
    <n v="7400"/>
    <x v="0"/>
    <n v="0"/>
    <n v="7400"/>
    <x v="0"/>
  </r>
  <r>
    <x v="2"/>
    <x v="0"/>
    <n v="40325609"/>
    <x v="1"/>
    <x v="15"/>
    <x v="0"/>
    <x v="40"/>
    <s v="GO LOM VET &gt;2.0@ FI CJ LOM VET AP"/>
    <s v="LOMO VETADO"/>
    <x v="6"/>
    <x v="0"/>
    <n v="2200"/>
    <x v="0"/>
    <n v="0"/>
    <n v="2200"/>
    <x v="0"/>
  </r>
  <r>
    <x v="2"/>
    <x v="0"/>
    <n v="40325609"/>
    <x v="1"/>
    <x v="15"/>
    <x v="0"/>
    <x v="63"/>
    <s v="GO LOM VET &lt;2.0@ FI CJ AP"/>
    <s v="LOMO VETADO"/>
    <x v="6"/>
    <x v="0"/>
    <n v="2000"/>
    <x v="0"/>
    <n v="0"/>
    <n v="2000"/>
    <x v="0"/>
  </r>
  <r>
    <x v="2"/>
    <x v="0"/>
    <n v="40325609"/>
    <x v="1"/>
    <x v="15"/>
    <x v="0"/>
    <x v="42"/>
    <s v="GO PANC TEC S/CUE@ FI CJ CH AP"/>
    <s v="PANCETA S/CUERO"/>
    <x v="6"/>
    <x v="0"/>
    <n v="2200"/>
    <x v="0"/>
    <n v="0"/>
    <n v="2200"/>
    <x v="0"/>
  </r>
  <r>
    <x v="2"/>
    <x v="0"/>
    <n v="40325609"/>
    <x v="1"/>
    <x v="15"/>
    <x v="0"/>
    <x v="65"/>
    <s v="GO PANC LAM 2.5MM@ CJ CH AP"/>
    <s v="PANCETA C/CUERO"/>
    <x v="6"/>
    <x v="0"/>
    <n v="1500"/>
    <x v="0"/>
    <n v="0"/>
    <n v="1500"/>
    <x v="0"/>
  </r>
  <r>
    <x v="2"/>
    <x v="0"/>
    <n v="40325609"/>
    <x v="1"/>
    <x v="15"/>
    <x v="0"/>
    <x v="52"/>
    <s v="GO MM LOIN L (MC4-5)@ FI CJ CH JP"/>
    <s v="LOMO MM LOIN"/>
    <x v="6"/>
    <x v="0"/>
    <n v="3500"/>
    <x v="0"/>
    <n v="0"/>
    <n v="3500"/>
    <x v="0"/>
  </r>
  <r>
    <x v="2"/>
    <x v="0"/>
    <n v="40325609"/>
    <x v="1"/>
    <x v="15"/>
    <x v="0"/>
    <x v="66"/>
    <s v="GO LOM VET &gt;2.0@ FI CJ 8K AP"/>
    <s v="LOMO VETADO"/>
    <x v="6"/>
    <x v="0"/>
    <n v="5000"/>
    <x v="0"/>
    <n v="0"/>
    <n v="5000"/>
    <x v="0"/>
  </r>
  <r>
    <x v="2"/>
    <x v="0"/>
    <n v="40325613"/>
    <x v="0"/>
    <x v="15"/>
    <x v="0"/>
    <x v="39"/>
    <s v="GO MM LOIN L@ CJ 12K AP"/>
    <s v="LOMO MM LOIN"/>
    <x v="2"/>
    <x v="1"/>
    <n v="0"/>
    <x v="15"/>
    <n v="0"/>
    <n v="17814.947"/>
    <x v="0"/>
  </r>
  <r>
    <x v="2"/>
    <x v="0"/>
    <n v="40325613"/>
    <x v="0"/>
    <x v="15"/>
    <x v="0"/>
    <x v="42"/>
    <s v="GO PANC TEC S/CUE@ FI CJ CH AP"/>
    <s v="PANCETA S/CUERO"/>
    <x v="2"/>
    <x v="1"/>
    <n v="0"/>
    <x v="16"/>
    <n v="0"/>
    <n v="4100"/>
    <x v="0"/>
  </r>
  <r>
    <x v="2"/>
    <x v="0"/>
    <n v="40325613"/>
    <x v="0"/>
    <x v="15"/>
    <x v="0"/>
    <x v="67"/>
    <s v="GO MALAYA JAPON@ VA CJ JP"/>
    <s v="PROLIJADO MALAYA"/>
    <x v="2"/>
    <x v="1"/>
    <n v="0"/>
    <x v="8"/>
    <n v="0"/>
    <n v="2000"/>
    <x v="0"/>
  </r>
  <r>
    <x v="2"/>
    <x v="0"/>
    <n v="40325618"/>
    <x v="0"/>
    <x v="14"/>
    <x v="0"/>
    <x v="39"/>
    <s v="GO MM LOIN L@ CJ 12K AP"/>
    <s v="LOMO MM LOIN"/>
    <x v="2"/>
    <x v="0"/>
    <n v="0"/>
    <x v="17"/>
    <n v="0"/>
    <n v="3500"/>
    <x v="0"/>
  </r>
  <r>
    <x v="2"/>
    <x v="0"/>
    <n v="40325618"/>
    <x v="0"/>
    <x v="14"/>
    <x v="0"/>
    <x v="68"/>
    <s v="GO POSTA NEGRA 3P T@ VA CJ T-F JP"/>
    <s v="PIERNA PULPA FINA"/>
    <x v="2"/>
    <x v="0"/>
    <n v="0"/>
    <x v="18"/>
    <n v="0"/>
    <n v="2500"/>
    <x v="0"/>
  </r>
  <r>
    <x v="2"/>
    <x v="0"/>
    <n v="40325618"/>
    <x v="0"/>
    <x v="14"/>
    <x v="0"/>
    <x v="69"/>
    <s v="GO MM LOIN D@ FI CJ 12K AP"/>
    <s v="LOMO MM LOIN"/>
    <x v="2"/>
    <x v="0"/>
    <n v="0"/>
    <x v="8"/>
    <n v="0"/>
    <n v="2000"/>
    <x v="0"/>
  </r>
  <r>
    <x v="2"/>
    <x v="0"/>
    <n v="40325618"/>
    <x v="0"/>
    <x v="14"/>
    <x v="0"/>
    <x v="70"/>
    <s v="GO GANSO S/G S/ABST DA@ CJ 12K AP"/>
    <s v="PIERNA PULPA FINA"/>
    <x v="2"/>
    <x v="0"/>
    <n v="0"/>
    <x v="18"/>
    <n v="0"/>
    <n v="2500"/>
    <x v="0"/>
  </r>
  <r>
    <x v="2"/>
    <x v="0"/>
    <n v="40325618"/>
    <x v="0"/>
    <x v="14"/>
    <x v="0"/>
    <x v="71"/>
    <s v="GO MM LOIN LL (29-32 VP)@ BO CJ AP"/>
    <s v="LOMO MM LOIN"/>
    <x v="2"/>
    <x v="0"/>
    <n v="0"/>
    <x v="10"/>
    <n v="0"/>
    <n v="5000"/>
    <x v="0"/>
  </r>
  <r>
    <x v="2"/>
    <x v="0"/>
    <n v="40325618"/>
    <x v="0"/>
    <x v="14"/>
    <x v="0"/>
    <x v="72"/>
    <s v="GO CC LOIN L (S/T) (DF)@ FI CJ AP"/>
    <s v="LOMO CC LOIN"/>
    <x v="2"/>
    <x v="0"/>
    <n v="0"/>
    <x v="3"/>
    <n v="0"/>
    <n v="6000"/>
    <x v="0"/>
  </r>
  <r>
    <x v="2"/>
    <x v="0"/>
    <n v="40325618"/>
    <x v="0"/>
    <x v="14"/>
    <x v="0"/>
    <x v="73"/>
    <s v="GO FILE C/CAB 6X1@ VP CJ AP"/>
    <s v="FILETE C/CABEZA"/>
    <x v="2"/>
    <x v="0"/>
    <n v="0"/>
    <x v="18"/>
    <n v="0"/>
    <n v="2500"/>
    <x v="0"/>
  </r>
  <r>
    <x v="2"/>
    <x v="0"/>
    <n v="40325622"/>
    <x v="0"/>
    <x v="14"/>
    <x v="0"/>
    <x v="39"/>
    <s v="GO MM LOIN L@ CJ 12K AP"/>
    <s v="LOMO MM LOIN"/>
    <x v="1"/>
    <x v="1"/>
    <n v="0"/>
    <x v="0"/>
    <n v="5500"/>
    <n v="5500"/>
    <x v="0"/>
  </r>
  <r>
    <x v="2"/>
    <x v="0"/>
    <n v="40325622"/>
    <x v="0"/>
    <x v="14"/>
    <x v="0"/>
    <x v="42"/>
    <s v="GO PANC TEC S/CUE@ FI CJ CH AP"/>
    <s v="PANCETA S/CUERO"/>
    <x v="1"/>
    <x v="1"/>
    <n v="0"/>
    <x v="0"/>
    <n v="3500"/>
    <n v="3500"/>
    <x v="0"/>
  </r>
  <r>
    <x v="2"/>
    <x v="0"/>
    <n v="40325622"/>
    <x v="0"/>
    <x v="14"/>
    <x v="0"/>
    <x v="74"/>
    <s v="GO POSTA ROSADA 3P@ VA CJ T-F AP"/>
    <s v="PIERNA PULPA FINA"/>
    <x v="1"/>
    <x v="1"/>
    <n v="0"/>
    <x v="0"/>
    <n v="2500"/>
    <n v="2500"/>
    <x v="0"/>
  </r>
  <r>
    <x v="2"/>
    <x v="0"/>
    <n v="40325622"/>
    <x v="0"/>
    <x v="14"/>
    <x v="0"/>
    <x v="69"/>
    <s v="GO MM LOIN D@ FI CJ 12K AP"/>
    <s v="LOMO MM LOIN"/>
    <x v="1"/>
    <x v="1"/>
    <n v="0"/>
    <x v="0"/>
    <n v="2000"/>
    <n v="2000"/>
    <x v="0"/>
  </r>
  <r>
    <x v="2"/>
    <x v="0"/>
    <n v="40325622"/>
    <x v="0"/>
    <x v="14"/>
    <x v="0"/>
    <x v="56"/>
    <s v="GO PANC S/TEC N@ FI CJ 20K AP"/>
    <s v="PANCETA S/CUERO"/>
    <x v="1"/>
    <x v="1"/>
    <n v="0"/>
    <x v="0"/>
    <n v="3500"/>
    <n v="3500"/>
    <x v="0"/>
  </r>
  <r>
    <x v="2"/>
    <x v="0"/>
    <n v="40325622"/>
    <x v="0"/>
    <x v="14"/>
    <x v="0"/>
    <x v="75"/>
    <s v="GO ASIENTO C/G DA@ CJ 12K JP"/>
    <s v="PIERNA PULPA FINA"/>
    <x v="1"/>
    <x v="1"/>
    <n v="0"/>
    <x v="0"/>
    <n v="3000"/>
    <n v="3000"/>
    <x v="0"/>
  </r>
  <r>
    <x v="2"/>
    <x v="0"/>
    <n v="40325622"/>
    <x v="0"/>
    <x v="14"/>
    <x v="0"/>
    <x v="71"/>
    <s v="GO MM LOIN LL (29-32 VP)@ BO CJ AP"/>
    <s v="LOMO MM LOIN"/>
    <x v="1"/>
    <x v="1"/>
    <n v="0"/>
    <x v="0"/>
    <n v="4000"/>
    <n v="4000"/>
    <x v="0"/>
  </r>
  <r>
    <x v="2"/>
    <x v="0"/>
    <n v="40325626"/>
    <x v="0"/>
    <x v="14"/>
    <x v="0"/>
    <x v="39"/>
    <s v="GO MM LOIN L@ CJ 12K AP"/>
    <s v="LOMO MM LOIN"/>
    <x v="2"/>
    <x v="0"/>
    <n v="0"/>
    <x v="19"/>
    <n v="0"/>
    <n v="13000"/>
    <x v="0"/>
  </r>
  <r>
    <x v="2"/>
    <x v="0"/>
    <n v="40325626"/>
    <x v="0"/>
    <x v="14"/>
    <x v="0"/>
    <x v="42"/>
    <s v="GO PANC TEC S/CUE@ FI CJ CH AP"/>
    <s v="PANCETA S/CUERO"/>
    <x v="2"/>
    <x v="0"/>
    <n v="0"/>
    <x v="10"/>
    <n v="0"/>
    <n v="5000"/>
    <x v="0"/>
  </r>
  <r>
    <x v="2"/>
    <x v="0"/>
    <n v="40325626"/>
    <x v="0"/>
    <x v="14"/>
    <x v="0"/>
    <x v="56"/>
    <s v="GO PANC S/TEC N@ FI CJ 20K AP"/>
    <s v="PANCETA S/CUERO"/>
    <x v="2"/>
    <x v="0"/>
    <n v="0"/>
    <x v="5"/>
    <n v="0"/>
    <n v="4000"/>
    <x v="0"/>
  </r>
  <r>
    <x v="2"/>
    <x v="0"/>
    <n v="40325626"/>
    <x v="0"/>
    <x v="14"/>
    <x v="0"/>
    <x v="71"/>
    <s v="GO MM LOIN LL (29-32 VP)@ BO CJ AP"/>
    <s v="LOMO MM LOIN"/>
    <x v="2"/>
    <x v="0"/>
    <n v="0"/>
    <x v="8"/>
    <n v="0"/>
    <n v="2000"/>
    <x v="0"/>
  </r>
  <r>
    <x v="2"/>
    <x v="0"/>
    <n v="40325627"/>
    <x v="0"/>
    <x v="14"/>
    <x v="0"/>
    <x v="39"/>
    <s v="GO MM LOIN L@ CJ 12K AP"/>
    <s v="LOMO MM LOIN"/>
    <x v="2"/>
    <x v="0"/>
    <n v="0"/>
    <x v="0"/>
    <n v="10000"/>
    <n v="10000"/>
    <x v="0"/>
  </r>
  <r>
    <x v="2"/>
    <x v="0"/>
    <n v="40325627"/>
    <x v="0"/>
    <x v="14"/>
    <x v="0"/>
    <x v="56"/>
    <s v="GO PANC S/TEC N@ FI CJ 20K AP"/>
    <s v="PANCETA S/CUERO"/>
    <x v="2"/>
    <x v="0"/>
    <n v="0"/>
    <x v="0"/>
    <n v="6000"/>
    <n v="6000"/>
    <x v="0"/>
  </r>
  <r>
    <x v="2"/>
    <x v="0"/>
    <n v="40325627"/>
    <x v="0"/>
    <x v="14"/>
    <x v="0"/>
    <x v="71"/>
    <s v="GO MM LOIN LL (29-32 VP)@ BO CJ AP"/>
    <s v="LOMO MM LOIN"/>
    <x v="2"/>
    <x v="0"/>
    <n v="0"/>
    <x v="0"/>
    <n v="2000"/>
    <n v="2000"/>
    <x v="0"/>
  </r>
  <r>
    <x v="2"/>
    <x v="0"/>
    <n v="40325627"/>
    <x v="0"/>
    <x v="14"/>
    <x v="0"/>
    <x v="72"/>
    <s v="GO CC LOIN L (S/T) (DF)@ FI CJ AP"/>
    <s v="LOMO CC LOIN"/>
    <x v="2"/>
    <x v="0"/>
    <n v="0"/>
    <x v="0"/>
    <n v="6000"/>
    <n v="6000"/>
    <x v="0"/>
  </r>
  <r>
    <x v="2"/>
    <x v="0"/>
    <n v="40325628"/>
    <x v="0"/>
    <x v="14"/>
    <x v="0"/>
    <x v="39"/>
    <s v="GO MM LOIN L@ CJ 12K AP"/>
    <s v="LOMO MM LOIN"/>
    <x v="6"/>
    <x v="2"/>
    <n v="9600"/>
    <x v="0"/>
    <n v="0"/>
    <n v="9600"/>
    <x v="0"/>
  </r>
  <r>
    <x v="2"/>
    <x v="0"/>
    <n v="40325628"/>
    <x v="0"/>
    <x v="14"/>
    <x v="0"/>
    <x v="49"/>
    <s v="GO MM LOIN S@ FI CJ 12K AP"/>
    <s v="LOMO MM LOIN"/>
    <x v="6"/>
    <x v="2"/>
    <n v="2000"/>
    <x v="0"/>
    <n v="0"/>
    <n v="2000"/>
    <x v="0"/>
  </r>
  <r>
    <x v="2"/>
    <x v="0"/>
    <n v="40325628"/>
    <x v="0"/>
    <x v="14"/>
    <x v="0"/>
    <x v="42"/>
    <s v="GO PANC TEC S/CUE@ FI CJ CH AP"/>
    <s v="PANCETA S/CUERO"/>
    <x v="6"/>
    <x v="2"/>
    <n v="1700"/>
    <x v="0"/>
    <n v="0"/>
    <n v="1700"/>
    <x v="0"/>
  </r>
  <r>
    <x v="2"/>
    <x v="0"/>
    <n v="40325628"/>
    <x v="0"/>
    <x v="14"/>
    <x v="0"/>
    <x v="76"/>
    <s v="GO PANC S/TEC SP@ FI CJ AP"/>
    <s v="PANCETA S/CUERO"/>
    <x v="6"/>
    <x v="2"/>
    <n v="9000"/>
    <x v="0"/>
    <n v="0"/>
    <n v="9000"/>
    <x v="0"/>
  </r>
  <r>
    <x v="2"/>
    <x v="0"/>
    <n v="40325628"/>
    <x v="0"/>
    <x v="14"/>
    <x v="0"/>
    <x v="73"/>
    <s v="GO FILE C/CAB 6X1@ VP CJ AP"/>
    <s v="FILETE C/CABEZA"/>
    <x v="6"/>
    <x v="2"/>
    <n v="1500"/>
    <x v="0"/>
    <n v="0"/>
    <n v="1500"/>
    <x v="0"/>
  </r>
  <r>
    <x v="2"/>
    <x v="0"/>
    <n v="40325636"/>
    <x v="0"/>
    <x v="14"/>
    <x v="0"/>
    <x v="39"/>
    <s v="GO MM LOIN L@ CJ 12K AP"/>
    <s v="LOMO MM LOIN"/>
    <x v="10"/>
    <x v="2"/>
    <n v="0"/>
    <x v="0"/>
    <n v="11550"/>
    <n v="11550"/>
    <x v="0"/>
  </r>
  <r>
    <x v="2"/>
    <x v="0"/>
    <n v="40325636"/>
    <x v="0"/>
    <x v="14"/>
    <x v="0"/>
    <x v="49"/>
    <s v="GO MM LOIN S@ FI CJ 12K AP"/>
    <s v="LOMO MM LOIN"/>
    <x v="10"/>
    <x v="2"/>
    <n v="0"/>
    <x v="0"/>
    <n v="3000"/>
    <n v="3000"/>
    <x v="0"/>
  </r>
  <r>
    <x v="2"/>
    <x v="0"/>
    <n v="40325636"/>
    <x v="0"/>
    <x v="14"/>
    <x v="0"/>
    <x v="42"/>
    <s v="GO PANC TEC S/CUE@ FI CJ CH AP"/>
    <s v="PANCETA S/CUERO"/>
    <x v="10"/>
    <x v="2"/>
    <n v="0"/>
    <x v="0"/>
    <n v="9250"/>
    <n v="9250"/>
    <x v="0"/>
  </r>
  <r>
    <x v="2"/>
    <x v="0"/>
    <n v="40325639"/>
    <x v="0"/>
    <x v="14"/>
    <x v="0"/>
    <x v="48"/>
    <s v="GO LOM TECLA@ CJ LOM CTRO JP"/>
    <s v="LOMO CENTRO"/>
    <x v="8"/>
    <x v="0"/>
    <n v="0"/>
    <x v="0"/>
    <n v="2500"/>
    <n v="2500"/>
    <x v="0"/>
  </r>
  <r>
    <x v="2"/>
    <x v="0"/>
    <n v="40325639"/>
    <x v="0"/>
    <x v="14"/>
    <x v="0"/>
    <x v="39"/>
    <s v="GO MM LOIN L@ CJ 12K AP"/>
    <s v="LOMO MM LOIN"/>
    <x v="8"/>
    <x v="0"/>
    <n v="0"/>
    <x v="0"/>
    <n v="2600"/>
    <n v="2600"/>
    <x v="0"/>
  </r>
  <r>
    <x v="2"/>
    <x v="0"/>
    <n v="40325639"/>
    <x v="0"/>
    <x v="14"/>
    <x v="0"/>
    <x v="49"/>
    <s v="GO MM LOIN S@ FI CJ 12K AP"/>
    <s v="LOMO MM LOIN"/>
    <x v="8"/>
    <x v="0"/>
    <n v="0"/>
    <x v="0"/>
    <n v="4000"/>
    <n v="4000"/>
    <x v="0"/>
  </r>
  <r>
    <x v="2"/>
    <x v="0"/>
    <n v="40325639"/>
    <x v="0"/>
    <x v="14"/>
    <x v="0"/>
    <x v="40"/>
    <s v="GO LOM VET &gt;2.0@ FI CJ LOM VET AP"/>
    <s v="LOMO VETADO"/>
    <x v="8"/>
    <x v="0"/>
    <n v="0"/>
    <x v="0"/>
    <n v="4700"/>
    <n v="4700"/>
    <x v="0"/>
  </r>
  <r>
    <x v="2"/>
    <x v="0"/>
    <n v="40325639"/>
    <x v="0"/>
    <x v="14"/>
    <x v="0"/>
    <x v="42"/>
    <s v="GO PANC TEC S/CUE@ FI CJ CH AP"/>
    <s v="PANCETA S/CUERO"/>
    <x v="8"/>
    <x v="0"/>
    <n v="0"/>
    <x v="0"/>
    <n v="3000"/>
    <n v="3000"/>
    <x v="0"/>
  </r>
  <r>
    <x v="2"/>
    <x v="0"/>
    <n v="40325639"/>
    <x v="0"/>
    <x v="14"/>
    <x v="0"/>
    <x v="77"/>
    <s v="GO CC LOIN T@ FI CJ AP"/>
    <s v="LOMO CC LOIN"/>
    <x v="8"/>
    <x v="0"/>
    <n v="0"/>
    <x v="0"/>
    <n v="4000"/>
    <n v="4000"/>
    <x v="0"/>
  </r>
  <r>
    <x v="2"/>
    <x v="0"/>
    <n v="40325639"/>
    <x v="0"/>
    <x v="14"/>
    <x v="0"/>
    <x v="45"/>
    <s v="GO PANC TEC S/CUE L@ FI CJ CH AP"/>
    <s v="PANCETA S/CUERO"/>
    <x v="8"/>
    <x v="0"/>
    <n v="0"/>
    <x v="0"/>
    <n v="3000"/>
    <n v="3000"/>
    <x v="0"/>
  </r>
  <r>
    <x v="2"/>
    <x v="0"/>
    <n v="40325647"/>
    <x v="0"/>
    <x v="14"/>
    <x v="0"/>
    <x v="48"/>
    <s v="GO LOM TECLA@ CJ LOM CTRO JP"/>
    <s v="LOMO CENTRO"/>
    <x v="3"/>
    <x v="1"/>
    <n v="0"/>
    <x v="0"/>
    <n v="2000"/>
    <n v="2000"/>
    <x v="0"/>
  </r>
  <r>
    <x v="2"/>
    <x v="0"/>
    <n v="40325647"/>
    <x v="0"/>
    <x v="14"/>
    <x v="0"/>
    <x v="39"/>
    <s v="GO MM LOIN L@ CJ 12K AP"/>
    <s v="LOMO MM LOIN"/>
    <x v="3"/>
    <x v="1"/>
    <n v="0"/>
    <x v="0"/>
    <n v="10820"/>
    <n v="10820"/>
    <x v="0"/>
  </r>
  <r>
    <x v="2"/>
    <x v="0"/>
    <n v="40325647"/>
    <x v="0"/>
    <x v="14"/>
    <x v="0"/>
    <x v="40"/>
    <s v="GO LOM VET &gt;2.0@ FI CJ LOM VET AP"/>
    <s v="LOMO VETADO"/>
    <x v="3"/>
    <x v="1"/>
    <n v="0"/>
    <x v="0"/>
    <n v="5780"/>
    <n v="5780"/>
    <x v="0"/>
  </r>
  <r>
    <x v="2"/>
    <x v="0"/>
    <n v="40325647"/>
    <x v="0"/>
    <x v="14"/>
    <x v="0"/>
    <x v="41"/>
    <s v="GO FILE C/CAB@ VA CJ 10K AP"/>
    <s v="FILETE C/CABEZA"/>
    <x v="3"/>
    <x v="1"/>
    <n v="0"/>
    <x v="0"/>
    <n v="2000"/>
    <n v="2000"/>
    <x v="0"/>
  </r>
  <r>
    <x v="2"/>
    <x v="0"/>
    <n v="40325647"/>
    <x v="0"/>
    <x v="14"/>
    <x v="0"/>
    <x v="42"/>
    <s v="GO PANC TEC S/CUE@ FI CJ CH AP"/>
    <s v="PANCETA S/CUERO"/>
    <x v="3"/>
    <x v="1"/>
    <n v="0"/>
    <x v="0"/>
    <n v="1200"/>
    <n v="1200"/>
    <x v="0"/>
  </r>
  <r>
    <x v="2"/>
    <x v="0"/>
    <n v="40325647"/>
    <x v="0"/>
    <x v="14"/>
    <x v="0"/>
    <x v="65"/>
    <s v="GO PANC LAM 2.5MM@ CJ CH AP"/>
    <s v="PANCETA C/CUERO"/>
    <x v="3"/>
    <x v="1"/>
    <n v="0"/>
    <x v="0"/>
    <n v="2000"/>
    <n v="2000"/>
    <x v="0"/>
  </r>
  <r>
    <x v="3"/>
    <x v="1"/>
    <n v="40313077"/>
    <x v="1"/>
    <x v="17"/>
    <x v="1"/>
    <x v="78"/>
    <s v="PO ALA MEDIA@ CJ 15K AS"/>
    <s v="ALA CENTRO"/>
    <x v="4"/>
    <x v="0"/>
    <n v="0"/>
    <x v="0"/>
    <n v="24000"/>
    <n v="24000"/>
    <x v="7"/>
  </r>
  <r>
    <x v="3"/>
    <x v="1"/>
    <n v="40316390"/>
    <x v="1"/>
    <x v="17"/>
    <x v="1"/>
    <x v="79"/>
    <s v="PO GARRA J@ BO CJ 20K AS"/>
    <s v="PATAS GARRAS"/>
    <x v="4"/>
    <x v="0"/>
    <n v="0"/>
    <x v="0"/>
    <n v="24000"/>
    <n v="24000"/>
    <x v="7"/>
  </r>
  <r>
    <x v="3"/>
    <x v="1"/>
    <n v="40320653"/>
    <x v="1"/>
    <x v="17"/>
    <x v="1"/>
    <x v="80"/>
    <s v="PO GARRA L A@ BO CJ 20K AS"/>
    <s v="PATAS GARRAS"/>
    <x v="7"/>
    <x v="0"/>
    <n v="0"/>
    <x v="0"/>
    <n v="12000"/>
    <n v="12000"/>
    <x v="7"/>
  </r>
  <r>
    <x v="3"/>
    <x v="1"/>
    <n v="40320653"/>
    <x v="1"/>
    <x v="17"/>
    <x v="1"/>
    <x v="81"/>
    <s v="PO GARRA M B@ CJ 20K AS"/>
    <s v="PATAS GARRAS"/>
    <x v="7"/>
    <x v="0"/>
    <n v="0"/>
    <x v="0"/>
    <n v="12000"/>
    <n v="12000"/>
    <x v="7"/>
  </r>
  <r>
    <x v="3"/>
    <x v="1"/>
    <n v="40321977"/>
    <x v="0"/>
    <x v="17"/>
    <x v="1"/>
    <x v="82"/>
    <s v="PO ALA MEDIA B 4X10@ CJ 20K AS"/>
    <s v="ALA CENTRO"/>
    <x v="4"/>
    <x v="0"/>
    <n v="0"/>
    <x v="0"/>
    <n v="24000"/>
    <n v="24000"/>
    <x v="7"/>
  </r>
  <r>
    <x v="3"/>
    <x v="1"/>
    <n v="40321979"/>
    <x v="1"/>
    <x v="17"/>
    <x v="1"/>
    <x v="79"/>
    <s v="PO GARRA J@ BO CJ 20K AS"/>
    <s v="PATAS GARRAS"/>
    <x v="7"/>
    <x v="0"/>
    <n v="0"/>
    <x v="0"/>
    <n v="24000"/>
    <n v="24000"/>
    <x v="7"/>
  </r>
  <r>
    <x v="3"/>
    <x v="1"/>
    <n v="40321988"/>
    <x v="1"/>
    <x v="17"/>
    <x v="1"/>
    <x v="83"/>
    <s v="PO GARRA ECONOMY@ CJ 20K AS"/>
    <s v="PATAS GARRAS"/>
    <x v="12"/>
    <x v="1"/>
    <n v="0"/>
    <x v="0"/>
    <n v="24000"/>
    <n v="24000"/>
    <x v="7"/>
  </r>
  <r>
    <x v="3"/>
    <x v="1"/>
    <n v="40322000"/>
    <x v="1"/>
    <x v="17"/>
    <x v="1"/>
    <x v="81"/>
    <s v="PO GARRA M B@ CJ 20K AS"/>
    <s v="PATAS GARRAS"/>
    <x v="2"/>
    <x v="1"/>
    <n v="0"/>
    <x v="1"/>
    <n v="0"/>
    <n v="24000"/>
    <x v="7"/>
  </r>
  <r>
    <x v="3"/>
    <x v="1"/>
    <n v="40322001"/>
    <x v="1"/>
    <x v="17"/>
    <x v="1"/>
    <x v="81"/>
    <s v="PO GARRA M B@ CJ 20K AS"/>
    <s v="PATAS GARRAS"/>
    <x v="13"/>
    <x v="1"/>
    <n v="0"/>
    <x v="0"/>
    <n v="24000"/>
    <n v="24000"/>
    <x v="7"/>
  </r>
  <r>
    <x v="3"/>
    <x v="1"/>
    <n v="40322002"/>
    <x v="1"/>
    <x v="17"/>
    <x v="1"/>
    <x v="81"/>
    <s v="PO GARRA M B@ CJ 20K AS"/>
    <s v="PATAS GARRAS"/>
    <x v="4"/>
    <x v="0"/>
    <n v="0"/>
    <x v="0"/>
    <n v="24000"/>
    <n v="24000"/>
    <x v="7"/>
  </r>
  <r>
    <x v="3"/>
    <x v="1"/>
    <n v="40322003"/>
    <x v="1"/>
    <x v="17"/>
    <x v="1"/>
    <x v="81"/>
    <s v="PO GARRA M B@ CJ 20K AS"/>
    <s v="PATAS GARRAS"/>
    <x v="11"/>
    <x v="0"/>
    <n v="0"/>
    <x v="0"/>
    <n v="24000"/>
    <n v="24000"/>
    <x v="7"/>
  </r>
  <r>
    <x v="3"/>
    <x v="1"/>
    <n v="40322304"/>
    <x v="1"/>
    <x v="17"/>
    <x v="1"/>
    <x v="84"/>
    <s v="PO GARRA L B@ BO CJ 20K AS"/>
    <s v="PATAS GARRAS"/>
    <x v="4"/>
    <x v="0"/>
    <n v="0"/>
    <x v="0"/>
    <n v="24000"/>
    <n v="24000"/>
    <x v="7"/>
  </r>
  <r>
    <x v="3"/>
    <x v="1"/>
    <n v="40322305"/>
    <x v="1"/>
    <x v="17"/>
    <x v="1"/>
    <x v="84"/>
    <s v="PO GARRA L B@ BO CJ 20K AS"/>
    <s v="PATAS GARRAS"/>
    <x v="7"/>
    <x v="0"/>
    <n v="0"/>
    <x v="0"/>
    <n v="24000"/>
    <n v="24000"/>
    <x v="7"/>
  </r>
  <r>
    <x v="3"/>
    <x v="1"/>
    <n v="40322766"/>
    <x v="1"/>
    <x v="17"/>
    <x v="0"/>
    <x v="85"/>
    <s v="PO CTRO PTA ALA CHOICE@ CJ 20K AS"/>
    <s v="ALA CENTRO-PUNTA"/>
    <x v="4"/>
    <x v="0"/>
    <n v="0"/>
    <x v="0"/>
    <n v="24000"/>
    <n v="24000"/>
    <x v="7"/>
  </r>
  <r>
    <x v="3"/>
    <x v="1"/>
    <n v="40322767"/>
    <x v="1"/>
    <x v="17"/>
    <x v="0"/>
    <x v="85"/>
    <s v="PO CTRO PTA ALA CHOICE@ CJ 20K AS"/>
    <s v="ALA CENTRO-PUNTA"/>
    <x v="12"/>
    <x v="0"/>
    <n v="0"/>
    <x v="0"/>
    <n v="24000"/>
    <n v="24000"/>
    <x v="7"/>
  </r>
  <r>
    <x v="3"/>
    <x v="1"/>
    <n v="40322786"/>
    <x v="1"/>
    <x v="18"/>
    <x v="0"/>
    <x v="83"/>
    <s v="PO GARRA ECONOMY@ CJ 20K AS"/>
    <s v="PATAS GARRAS"/>
    <x v="6"/>
    <x v="1"/>
    <n v="24000"/>
    <x v="0"/>
    <n v="0"/>
    <n v="24000"/>
    <x v="7"/>
  </r>
  <r>
    <x v="3"/>
    <x v="0"/>
    <n v="40310641"/>
    <x v="1"/>
    <x v="19"/>
    <x v="1"/>
    <x v="86"/>
    <s v="GO CAB ROJ ENT S/L@ CJ 20K AS"/>
    <s v="CABEZA ENTERA"/>
    <x v="6"/>
    <x v="0"/>
    <n v="24000"/>
    <x v="0"/>
    <n v="0"/>
    <n v="24000"/>
    <x v="8"/>
  </r>
  <r>
    <x v="3"/>
    <x v="0"/>
    <n v="40316367"/>
    <x v="1"/>
    <x v="17"/>
    <x v="1"/>
    <x v="87"/>
    <s v="GO LOM VET 44@ BO CJ 20K AS"/>
    <s v="LOMO VETADO"/>
    <x v="6"/>
    <x v="1"/>
    <n v="20000"/>
    <x v="0"/>
    <n v="0"/>
    <n v="20000"/>
    <x v="7"/>
  </r>
  <r>
    <x v="3"/>
    <x v="0"/>
    <n v="40316367"/>
    <x v="1"/>
    <x v="17"/>
    <x v="1"/>
    <x v="88"/>
    <s v="GO CORDON LOM@ BO CJ 20K AS"/>
    <s v="RECORTES NO MAGRO"/>
    <x v="6"/>
    <x v="1"/>
    <n v="4000"/>
    <x v="0"/>
    <n v="0"/>
    <n v="4000"/>
    <x v="7"/>
  </r>
  <r>
    <x v="3"/>
    <x v="0"/>
    <n v="40316460"/>
    <x v="1"/>
    <x v="19"/>
    <x v="1"/>
    <x v="89"/>
    <s v="GO PERNILM@ CJ 20K AS"/>
    <s v="PERNIL MANO"/>
    <x v="3"/>
    <x v="2"/>
    <n v="0"/>
    <x v="0"/>
    <n v="24000"/>
    <n v="24000"/>
    <x v="7"/>
  </r>
  <r>
    <x v="3"/>
    <x v="0"/>
    <n v="40316470"/>
    <x v="1"/>
    <x v="19"/>
    <x v="1"/>
    <x v="90"/>
    <s v="GO PERNILM 1,3 KG UP@ CJ 20K AS"/>
    <s v="PERNIL MANO"/>
    <x v="6"/>
    <x v="2"/>
    <n v="24000"/>
    <x v="0"/>
    <n v="0"/>
    <n v="24000"/>
    <x v="7"/>
  </r>
  <r>
    <x v="3"/>
    <x v="0"/>
    <n v="40316471"/>
    <x v="1"/>
    <x v="19"/>
    <x v="1"/>
    <x v="90"/>
    <s v="GO PERNILM 1,3 KG UP@ CJ 20K AS"/>
    <s v="PERNIL MANO"/>
    <x v="2"/>
    <x v="4"/>
    <n v="0"/>
    <x v="1"/>
    <n v="0"/>
    <n v="24000"/>
    <x v="7"/>
  </r>
  <r>
    <x v="3"/>
    <x v="0"/>
    <n v="40316476"/>
    <x v="1"/>
    <x v="19"/>
    <x v="1"/>
    <x v="91"/>
    <s v="GO PATAS@ CJ 20K AS"/>
    <s v="SUBPROD PATAS-MANOS"/>
    <x v="10"/>
    <x v="2"/>
    <n v="0"/>
    <x v="0"/>
    <n v="12000"/>
    <n v="12000"/>
    <x v="7"/>
  </r>
  <r>
    <x v="3"/>
    <x v="0"/>
    <n v="40316476"/>
    <x v="1"/>
    <x v="19"/>
    <x v="1"/>
    <x v="92"/>
    <s v="GO MANOS@ CJ 10K AS"/>
    <s v="SUBPROD PATAS-MANOS"/>
    <x v="10"/>
    <x v="2"/>
    <n v="0"/>
    <x v="0"/>
    <n v="12000"/>
    <n v="12000"/>
    <x v="7"/>
  </r>
  <r>
    <x v="3"/>
    <x v="0"/>
    <n v="40316502"/>
    <x v="1"/>
    <x v="17"/>
    <x v="1"/>
    <x v="93"/>
    <s v="GO PERNILP@ BO CJ 20K AS"/>
    <s v="PERNIL PIERNA"/>
    <x v="6"/>
    <x v="3"/>
    <n v="24000"/>
    <x v="0"/>
    <n v="0"/>
    <n v="24000"/>
    <x v="7"/>
  </r>
  <r>
    <x v="3"/>
    <x v="0"/>
    <n v="40316521"/>
    <x v="1"/>
    <x v="17"/>
    <x v="1"/>
    <x v="94"/>
    <s v="GO MIXTO HSO@ BO CJ 10K AS"/>
    <s v="HUESOS CUARTO CENTRAL"/>
    <x v="6"/>
    <x v="1"/>
    <n v="24000"/>
    <x v="0"/>
    <n v="0"/>
    <n v="24000"/>
    <x v="7"/>
  </r>
  <r>
    <x v="3"/>
    <x v="0"/>
    <n v="40316566"/>
    <x v="1"/>
    <x v="17"/>
    <x v="1"/>
    <x v="95"/>
    <s v="GO STERNUM BONES@ BO CJ 10K AS"/>
    <s v="HUESOS CUARTO DELANTERO"/>
    <x v="1"/>
    <x v="2"/>
    <n v="0"/>
    <x v="0"/>
    <n v="24000"/>
    <n v="24000"/>
    <x v="9"/>
  </r>
  <r>
    <x v="3"/>
    <x v="0"/>
    <n v="40316569"/>
    <x v="1"/>
    <x v="19"/>
    <x v="1"/>
    <x v="96"/>
    <s v="GO COLA NOR@ FI CJ 10K AS"/>
    <s v="SUBPROD COLA"/>
    <x v="2"/>
    <x v="3"/>
    <n v="0"/>
    <x v="1"/>
    <n v="0"/>
    <n v="24000"/>
    <x v="7"/>
  </r>
  <r>
    <x v="3"/>
    <x v="0"/>
    <n v="40316573"/>
    <x v="1"/>
    <x v="19"/>
    <x v="1"/>
    <x v="97"/>
    <s v="GO CAZ ENT@ BO CJ 10K AS"/>
    <s v="CHULETA CAZUELA"/>
    <x v="10"/>
    <x v="4"/>
    <n v="0"/>
    <x v="1"/>
    <n v="0"/>
    <n v="24000"/>
    <x v="7"/>
  </r>
  <r>
    <x v="3"/>
    <x v="0"/>
    <n v="40316580"/>
    <x v="1"/>
    <x v="17"/>
    <x v="1"/>
    <x v="98"/>
    <s v="GO RECO 60/40 @ CJ 20K AS"/>
    <s v="RECORTES NO MAGRO"/>
    <x v="2"/>
    <x v="2"/>
    <n v="0"/>
    <x v="1"/>
    <n v="0"/>
    <n v="24000"/>
    <x v="7"/>
  </r>
  <r>
    <x v="3"/>
    <x v="0"/>
    <n v="40316674"/>
    <x v="1"/>
    <x v="17"/>
    <x v="1"/>
    <x v="99"/>
    <s v="GO HSO COSTILLA@ CJ 18K AS"/>
    <s v="HUESOS CUARTO CENTRAL"/>
    <x v="11"/>
    <x v="2"/>
    <n v="0"/>
    <x v="0"/>
    <n v="4000"/>
    <n v="4000"/>
    <x v="7"/>
  </r>
  <r>
    <x v="3"/>
    <x v="0"/>
    <n v="40316674"/>
    <x v="1"/>
    <x v="17"/>
    <x v="1"/>
    <x v="87"/>
    <s v="GO LOM VET 44@ BO CJ 20K AS"/>
    <s v="LOMO VETADO"/>
    <x v="11"/>
    <x v="2"/>
    <n v="0"/>
    <x v="0"/>
    <n v="4000"/>
    <n v="4000"/>
    <x v="7"/>
  </r>
  <r>
    <x v="3"/>
    <x v="0"/>
    <n v="40316674"/>
    <x v="1"/>
    <x v="17"/>
    <x v="1"/>
    <x v="100"/>
    <s v="GO GORD ESP@ BO CJ 10K AS"/>
    <s v="GRASA GORDURA"/>
    <x v="11"/>
    <x v="2"/>
    <n v="0"/>
    <x v="0"/>
    <n v="8000"/>
    <n v="8000"/>
    <x v="7"/>
  </r>
  <r>
    <x v="3"/>
    <x v="0"/>
    <n v="40316674"/>
    <x v="1"/>
    <x v="17"/>
    <x v="1"/>
    <x v="101"/>
    <s v="GO RECO 10/90 @ CJ 20K AS"/>
    <s v="GRASA GORDURA"/>
    <x v="11"/>
    <x v="2"/>
    <n v="0"/>
    <x v="0"/>
    <n v="8000"/>
    <n v="8000"/>
    <x v="7"/>
  </r>
  <r>
    <x v="3"/>
    <x v="0"/>
    <n v="40316675"/>
    <x v="1"/>
    <x v="17"/>
    <x v="1"/>
    <x v="102"/>
    <s v="GO PATAS B@ CJ 20K AS"/>
    <s v="SUBPROD PATAS-MANOS"/>
    <x v="6"/>
    <x v="1"/>
    <n v="8000"/>
    <x v="0"/>
    <n v="0"/>
    <n v="8000"/>
    <x v="7"/>
  </r>
  <r>
    <x v="3"/>
    <x v="0"/>
    <n v="40316675"/>
    <x v="1"/>
    <x v="17"/>
    <x v="1"/>
    <x v="103"/>
    <s v="GO CUE BACK@ CJ 20K BCA AS"/>
    <s v="CUERO BACK"/>
    <x v="6"/>
    <x v="1"/>
    <n v="8000"/>
    <x v="0"/>
    <n v="0"/>
    <n v="8000"/>
    <x v="7"/>
  </r>
  <r>
    <x v="3"/>
    <x v="0"/>
    <n v="40316675"/>
    <x v="1"/>
    <x v="17"/>
    <x v="1"/>
    <x v="104"/>
    <s v="GO PERNILM 1 KG DOWN@ CJ 20K AS"/>
    <s v="PERNIL MANO"/>
    <x v="6"/>
    <x v="1"/>
    <n v="8000"/>
    <x v="0"/>
    <n v="0"/>
    <n v="8000"/>
    <x v="7"/>
  </r>
  <r>
    <x v="3"/>
    <x v="0"/>
    <n v="40316883"/>
    <x v="1"/>
    <x v="20"/>
    <x v="0"/>
    <x v="100"/>
    <s v="GO GORD ESP@ BO CJ 10K AS"/>
    <s v="GRASA GORDURA"/>
    <x v="6"/>
    <x v="1"/>
    <n v="24000"/>
    <x v="0"/>
    <n v="0"/>
    <n v="24000"/>
    <x v="7"/>
  </r>
  <r>
    <x v="3"/>
    <x v="0"/>
    <n v="40320646"/>
    <x v="1"/>
    <x v="21"/>
    <x v="0"/>
    <x v="105"/>
    <s v="GO CUARTO DELANT @ COM CJ AS"/>
    <s v="VARA CUARTO DELANTERO"/>
    <x v="6"/>
    <x v="0"/>
    <n v="8573"/>
    <x v="0"/>
    <n v="0"/>
    <n v="8573"/>
    <x v="8"/>
  </r>
  <r>
    <x v="3"/>
    <x v="0"/>
    <n v="40320646"/>
    <x v="1"/>
    <x v="21"/>
    <x v="0"/>
    <x v="106"/>
    <s v="GO CUARTO TRASERO @ COM CJ AS"/>
    <s v="VARA CUARTO TRASERO"/>
    <x v="6"/>
    <x v="0"/>
    <n v="7559"/>
    <x v="0"/>
    <n v="0"/>
    <n v="7559"/>
    <x v="8"/>
  </r>
  <r>
    <x v="3"/>
    <x v="0"/>
    <n v="40320646"/>
    <x v="1"/>
    <x v="21"/>
    <x v="0"/>
    <x v="107"/>
    <s v="GO CUARTO CENTRAL @ COM CJ AS"/>
    <s v="VARA CUARTO CENTRAL"/>
    <x v="6"/>
    <x v="0"/>
    <n v="7867"/>
    <x v="0"/>
    <n v="0"/>
    <n v="7867"/>
    <x v="8"/>
  </r>
  <r>
    <x v="3"/>
    <x v="0"/>
    <n v="40321149"/>
    <x v="0"/>
    <x v="19"/>
    <x v="0"/>
    <x v="108"/>
    <s v="GO PERNILM C/M@ CJ 20K AS"/>
    <s v="PERNIL MANO"/>
    <x v="6"/>
    <x v="4"/>
    <n v="24000"/>
    <x v="0"/>
    <n v="0"/>
    <n v="24000"/>
    <x v="7"/>
  </r>
  <r>
    <x v="3"/>
    <x v="0"/>
    <n v="40321974"/>
    <x v="1"/>
    <x v="21"/>
    <x v="1"/>
    <x v="85"/>
    <s v="PO CTRO PTA ALA CHOICE@ CJ 20K AS"/>
    <s v="ALA CENTRO-PUNTA"/>
    <x v="6"/>
    <x v="1"/>
    <n v="24000"/>
    <x v="0"/>
    <n v="0"/>
    <n v="24000"/>
    <x v="7"/>
  </r>
  <r>
    <x v="3"/>
    <x v="0"/>
    <n v="40321975"/>
    <x v="1"/>
    <x v="21"/>
    <x v="1"/>
    <x v="85"/>
    <s v="PO CTRO PTA ALA CHOICE@ CJ 20K AS"/>
    <s v="ALA CENTRO-PUNTA"/>
    <x v="10"/>
    <x v="1"/>
    <n v="0"/>
    <x v="0"/>
    <n v="24000"/>
    <n v="24000"/>
    <x v="7"/>
  </r>
  <r>
    <x v="3"/>
    <x v="0"/>
    <n v="40322007"/>
    <x v="1"/>
    <x v="19"/>
    <x v="1"/>
    <x v="104"/>
    <s v="GO PERNILM 1 KG DOWN@ CJ 20K AS"/>
    <s v="PERNIL MANO"/>
    <x v="10"/>
    <x v="3"/>
    <n v="0"/>
    <x v="1"/>
    <n v="0"/>
    <n v="24000"/>
    <x v="7"/>
  </r>
  <r>
    <x v="3"/>
    <x v="0"/>
    <n v="40322012"/>
    <x v="1"/>
    <x v="19"/>
    <x v="1"/>
    <x v="109"/>
    <s v="GO TIRA HSO CTRO@ CJ 20K AS"/>
    <s v="HUESOS CUARTO CENTRAL"/>
    <x v="6"/>
    <x v="1"/>
    <n v="24000"/>
    <x v="0"/>
    <n v="0"/>
    <n v="24000"/>
    <x v="7"/>
  </r>
  <r>
    <x v="3"/>
    <x v="0"/>
    <n v="40322013"/>
    <x v="1"/>
    <x v="19"/>
    <x v="1"/>
    <x v="109"/>
    <s v="GO TIRA HSO CTRO@ CJ 20K AS"/>
    <s v="HUESOS CUARTO CENTRAL"/>
    <x v="2"/>
    <x v="3"/>
    <n v="0"/>
    <x v="1"/>
    <n v="0"/>
    <n v="24000"/>
    <x v="7"/>
  </r>
  <r>
    <x v="3"/>
    <x v="0"/>
    <n v="40322014"/>
    <x v="1"/>
    <x v="19"/>
    <x v="1"/>
    <x v="109"/>
    <s v="GO TIRA HSO CTRO@ CJ 20K AS"/>
    <s v="HUESOS CUARTO CENTRAL"/>
    <x v="9"/>
    <x v="3"/>
    <n v="0"/>
    <x v="1"/>
    <n v="0"/>
    <n v="24000"/>
    <x v="7"/>
  </r>
  <r>
    <x v="3"/>
    <x v="0"/>
    <n v="40322015"/>
    <x v="1"/>
    <x v="19"/>
    <x v="1"/>
    <x v="109"/>
    <s v="GO TIRA HSO CTRO@ CJ 20K AS"/>
    <s v="HUESOS CUARTO CENTRAL"/>
    <x v="8"/>
    <x v="4"/>
    <n v="0"/>
    <x v="0"/>
    <n v="24000"/>
    <n v="24000"/>
    <x v="7"/>
  </r>
  <r>
    <x v="3"/>
    <x v="0"/>
    <n v="40322016"/>
    <x v="0"/>
    <x v="19"/>
    <x v="1"/>
    <x v="109"/>
    <s v="GO TIRA HSO CTRO@ CJ 20K AS"/>
    <s v="HUESOS CUARTO CENTRAL"/>
    <x v="11"/>
    <x v="2"/>
    <n v="0"/>
    <x v="0"/>
    <n v="24000"/>
    <n v="24000"/>
    <x v="7"/>
  </r>
  <r>
    <x v="3"/>
    <x v="0"/>
    <n v="40322017"/>
    <x v="0"/>
    <x v="19"/>
    <x v="1"/>
    <x v="109"/>
    <s v="GO TIRA HSO CTRO@ CJ 20K AS"/>
    <s v="HUESOS CUARTO CENTRAL"/>
    <x v="12"/>
    <x v="0"/>
    <n v="0"/>
    <x v="0"/>
    <n v="24000"/>
    <n v="24000"/>
    <x v="7"/>
  </r>
  <r>
    <x v="3"/>
    <x v="0"/>
    <n v="40322018"/>
    <x v="0"/>
    <x v="19"/>
    <x v="1"/>
    <x v="109"/>
    <s v="GO TIRA HSO CTRO@ CJ 20K AS"/>
    <s v="HUESOS CUARTO CENTRAL"/>
    <x v="0"/>
    <x v="2"/>
    <n v="0"/>
    <x v="0"/>
    <n v="24000"/>
    <n v="24000"/>
    <x v="7"/>
  </r>
  <r>
    <x v="3"/>
    <x v="0"/>
    <n v="40322019"/>
    <x v="0"/>
    <x v="19"/>
    <x v="1"/>
    <x v="109"/>
    <s v="GO TIRA HSO CTRO@ CJ 20K AS"/>
    <s v="HUESOS CUARTO CENTRAL"/>
    <x v="7"/>
    <x v="1"/>
    <n v="0"/>
    <x v="0"/>
    <n v="24000"/>
    <n v="24000"/>
    <x v="7"/>
  </r>
  <r>
    <x v="3"/>
    <x v="0"/>
    <n v="40322029"/>
    <x v="1"/>
    <x v="17"/>
    <x v="1"/>
    <x v="109"/>
    <s v="GO TIRA HSO CTRO@ CJ 20K AS"/>
    <s v="HUESOS CUARTO CENTRAL"/>
    <x v="1"/>
    <x v="2"/>
    <n v="0"/>
    <x v="0"/>
    <n v="24000"/>
    <n v="24000"/>
    <x v="7"/>
  </r>
  <r>
    <x v="3"/>
    <x v="0"/>
    <n v="40322031"/>
    <x v="0"/>
    <x v="17"/>
    <x v="1"/>
    <x v="110"/>
    <s v="GO PANC TECLA SCUE@ 4 BO CJ 20KG AS"/>
    <s v="PANCETA S/CUERO"/>
    <x v="11"/>
    <x v="1"/>
    <n v="0"/>
    <x v="0"/>
    <n v="24000"/>
    <n v="24000"/>
    <x v="7"/>
  </r>
  <r>
    <x v="3"/>
    <x v="0"/>
    <n v="40322032"/>
    <x v="0"/>
    <x v="17"/>
    <x v="1"/>
    <x v="110"/>
    <s v="GO PANC TECLA SCUE@ 4 BO CJ 20KG AS"/>
    <s v="PANCETA S/CUERO"/>
    <x v="12"/>
    <x v="0"/>
    <n v="0"/>
    <x v="0"/>
    <n v="24000"/>
    <n v="24000"/>
    <x v="7"/>
  </r>
  <r>
    <x v="3"/>
    <x v="0"/>
    <n v="40322033"/>
    <x v="0"/>
    <x v="17"/>
    <x v="1"/>
    <x v="110"/>
    <s v="GO PANC TECLA SCUE@ 4 BO CJ 20KG AS"/>
    <s v="PANCETA S/CUERO"/>
    <x v="0"/>
    <x v="0"/>
    <n v="0"/>
    <x v="0"/>
    <n v="24000"/>
    <n v="24000"/>
    <x v="7"/>
  </r>
  <r>
    <x v="3"/>
    <x v="0"/>
    <n v="40322042"/>
    <x v="0"/>
    <x v="17"/>
    <x v="1"/>
    <x v="111"/>
    <s v="GO RECO 20/80 @ CJ 20K AS"/>
    <s v="GRASA GORDURA"/>
    <x v="0"/>
    <x v="0"/>
    <n v="0"/>
    <x v="0"/>
    <n v="24000"/>
    <n v="24000"/>
    <x v="7"/>
  </r>
  <r>
    <x v="3"/>
    <x v="0"/>
    <n v="40322048"/>
    <x v="1"/>
    <x v="19"/>
    <x v="1"/>
    <x v="111"/>
    <s v="GO RECO 20/80 @ CJ 20K AS"/>
    <s v="GRASA GORDURA"/>
    <x v="10"/>
    <x v="1"/>
    <n v="0"/>
    <x v="0"/>
    <n v="24000"/>
    <n v="24000"/>
    <x v="7"/>
  </r>
  <r>
    <x v="3"/>
    <x v="0"/>
    <n v="40322050"/>
    <x v="0"/>
    <x v="19"/>
    <x v="1"/>
    <x v="111"/>
    <s v="GO RECO 20/80 @ CJ 20K AS"/>
    <s v="GRASA GORDURA"/>
    <x v="0"/>
    <x v="0"/>
    <n v="0"/>
    <x v="0"/>
    <n v="24000"/>
    <n v="24000"/>
    <x v="7"/>
  </r>
  <r>
    <x v="3"/>
    <x v="0"/>
    <n v="40322051"/>
    <x v="0"/>
    <x v="19"/>
    <x v="1"/>
    <x v="111"/>
    <s v="GO RECO 20/80 @ CJ 20K AS"/>
    <s v="GRASA GORDURA"/>
    <x v="7"/>
    <x v="0"/>
    <n v="0"/>
    <x v="0"/>
    <n v="24000"/>
    <n v="24000"/>
    <x v="7"/>
  </r>
  <r>
    <x v="3"/>
    <x v="0"/>
    <n v="40322056"/>
    <x v="1"/>
    <x v="19"/>
    <x v="1"/>
    <x v="112"/>
    <s v="GO HSO FEMUR@ CJ 20K AS"/>
    <s v="HUESOS CUARTO TRASERO"/>
    <x v="6"/>
    <x v="1"/>
    <n v="24000"/>
    <x v="0"/>
    <n v="0"/>
    <n v="24000"/>
    <x v="7"/>
  </r>
  <r>
    <x v="3"/>
    <x v="0"/>
    <n v="40322057"/>
    <x v="1"/>
    <x v="19"/>
    <x v="1"/>
    <x v="112"/>
    <s v="GO HSO FEMUR@ CJ 20K AS"/>
    <s v="HUESOS CUARTO TRASERO"/>
    <x v="6"/>
    <x v="3"/>
    <n v="24000"/>
    <x v="0"/>
    <n v="0"/>
    <n v="24000"/>
    <x v="7"/>
  </r>
  <r>
    <x v="3"/>
    <x v="0"/>
    <n v="40322059"/>
    <x v="1"/>
    <x v="19"/>
    <x v="1"/>
    <x v="112"/>
    <s v="GO HSO FEMUR@ CJ 20K AS"/>
    <s v="HUESOS CUARTO TRASERO"/>
    <x v="2"/>
    <x v="3"/>
    <n v="0"/>
    <x v="1"/>
    <n v="0"/>
    <n v="24000"/>
    <x v="7"/>
  </r>
  <r>
    <x v="3"/>
    <x v="0"/>
    <n v="40322060"/>
    <x v="1"/>
    <x v="19"/>
    <x v="1"/>
    <x v="112"/>
    <s v="GO HSO FEMUR@ CJ 20K AS"/>
    <s v="HUESOS CUARTO TRASERO"/>
    <x v="10"/>
    <x v="3"/>
    <n v="0"/>
    <x v="1"/>
    <n v="0"/>
    <n v="24000"/>
    <x v="7"/>
  </r>
  <r>
    <x v="3"/>
    <x v="0"/>
    <n v="40322061"/>
    <x v="1"/>
    <x v="19"/>
    <x v="1"/>
    <x v="112"/>
    <s v="GO HSO FEMUR@ CJ 20K AS"/>
    <s v="HUESOS CUARTO TRASERO"/>
    <x v="4"/>
    <x v="3"/>
    <n v="0"/>
    <x v="0"/>
    <n v="24000"/>
    <n v="24000"/>
    <x v="7"/>
  </r>
  <r>
    <x v="3"/>
    <x v="0"/>
    <n v="40322062"/>
    <x v="0"/>
    <x v="19"/>
    <x v="1"/>
    <x v="112"/>
    <s v="GO HSO FEMUR@ CJ 20K AS"/>
    <s v="HUESOS CUARTO TRASERO"/>
    <x v="11"/>
    <x v="1"/>
    <n v="0"/>
    <x v="0"/>
    <n v="24000"/>
    <n v="24000"/>
    <x v="7"/>
  </r>
  <r>
    <x v="3"/>
    <x v="0"/>
    <n v="40322063"/>
    <x v="0"/>
    <x v="19"/>
    <x v="1"/>
    <x v="112"/>
    <s v="GO HSO FEMUR@ CJ 20K AS"/>
    <s v="HUESOS CUARTO TRASERO"/>
    <x v="12"/>
    <x v="2"/>
    <n v="0"/>
    <x v="0"/>
    <n v="24000"/>
    <n v="24000"/>
    <x v="7"/>
  </r>
  <r>
    <x v="3"/>
    <x v="0"/>
    <n v="40322064"/>
    <x v="0"/>
    <x v="19"/>
    <x v="1"/>
    <x v="112"/>
    <s v="GO HSO FEMUR@ CJ 20K AS"/>
    <s v="HUESOS CUARTO TRASERO"/>
    <x v="7"/>
    <x v="1"/>
    <n v="0"/>
    <x v="0"/>
    <n v="24000"/>
    <n v="24000"/>
    <x v="7"/>
  </r>
  <r>
    <x v="3"/>
    <x v="0"/>
    <n v="40322066"/>
    <x v="0"/>
    <x v="19"/>
    <x v="1"/>
    <x v="112"/>
    <s v="GO HSO FEMUR@ CJ 20K AS"/>
    <s v="HUESOS CUARTO TRASERO"/>
    <x v="7"/>
    <x v="2"/>
    <n v="0"/>
    <x v="0"/>
    <n v="17080.781999999999"/>
    <n v="17080.781999999999"/>
    <x v="7"/>
  </r>
  <r>
    <x v="3"/>
    <x v="0"/>
    <n v="40322074"/>
    <x v="0"/>
    <x v="19"/>
    <x v="1"/>
    <x v="89"/>
    <s v="GO PERNILM@ CJ 20K AS"/>
    <s v="PERNIL MANO"/>
    <x v="7"/>
    <x v="2"/>
    <n v="0"/>
    <x v="0"/>
    <n v="24000"/>
    <n v="24000"/>
    <x v="7"/>
  </r>
  <r>
    <x v="3"/>
    <x v="0"/>
    <n v="40322079"/>
    <x v="1"/>
    <x v="19"/>
    <x v="1"/>
    <x v="90"/>
    <s v="GO PERNILM 1,3 KG UP@ CJ 20K AS"/>
    <s v="PERNIL MANO"/>
    <x v="3"/>
    <x v="2"/>
    <n v="0"/>
    <x v="0"/>
    <n v="24000"/>
    <n v="24000"/>
    <x v="7"/>
  </r>
  <r>
    <x v="3"/>
    <x v="0"/>
    <n v="40322080"/>
    <x v="0"/>
    <x v="19"/>
    <x v="1"/>
    <x v="90"/>
    <s v="GO PERNILM 1,3 KG UP@ CJ 20K AS"/>
    <s v="PERNIL MANO"/>
    <x v="12"/>
    <x v="2"/>
    <n v="0"/>
    <x v="0"/>
    <n v="24000"/>
    <n v="24000"/>
    <x v="7"/>
  </r>
  <r>
    <x v="3"/>
    <x v="0"/>
    <n v="40322082"/>
    <x v="0"/>
    <x v="19"/>
    <x v="1"/>
    <x v="90"/>
    <s v="GO PERNILM 1,3 KG UP@ CJ 20K AS"/>
    <s v="PERNIL MANO"/>
    <x v="7"/>
    <x v="1"/>
    <n v="0"/>
    <x v="0"/>
    <n v="24000"/>
    <n v="24000"/>
    <x v="7"/>
  </r>
  <r>
    <x v="3"/>
    <x v="0"/>
    <n v="40322084"/>
    <x v="1"/>
    <x v="17"/>
    <x v="1"/>
    <x v="92"/>
    <s v="GO MANOS@ CJ 10K AS"/>
    <s v="SUBPROD PATAS-MANOS"/>
    <x v="10"/>
    <x v="4"/>
    <n v="0"/>
    <x v="1"/>
    <n v="0"/>
    <n v="24000"/>
    <x v="7"/>
  </r>
  <r>
    <x v="3"/>
    <x v="0"/>
    <n v="40322085"/>
    <x v="1"/>
    <x v="17"/>
    <x v="1"/>
    <x v="92"/>
    <s v="GO MANOS@ CJ 10K AS"/>
    <s v="SUBPROD PATAS-MANOS"/>
    <x v="3"/>
    <x v="3"/>
    <n v="0"/>
    <x v="0"/>
    <n v="24000"/>
    <n v="24000"/>
    <x v="7"/>
  </r>
  <r>
    <x v="3"/>
    <x v="0"/>
    <n v="40322086"/>
    <x v="0"/>
    <x v="19"/>
    <x v="1"/>
    <x v="92"/>
    <s v="GO MANOS@ CJ 10K AS"/>
    <s v="SUBPROD PATAS-MANOS"/>
    <x v="11"/>
    <x v="2"/>
    <n v="0"/>
    <x v="0"/>
    <n v="24000"/>
    <n v="24000"/>
    <x v="7"/>
  </r>
  <r>
    <x v="3"/>
    <x v="0"/>
    <n v="40322087"/>
    <x v="0"/>
    <x v="19"/>
    <x v="1"/>
    <x v="92"/>
    <s v="GO MANOS@ CJ 10K AS"/>
    <s v="SUBPROD PATAS-MANOS"/>
    <x v="0"/>
    <x v="2"/>
    <n v="0"/>
    <x v="0"/>
    <n v="24000"/>
    <n v="24000"/>
    <x v="7"/>
  </r>
  <r>
    <x v="3"/>
    <x v="0"/>
    <n v="40322088"/>
    <x v="0"/>
    <x v="19"/>
    <x v="1"/>
    <x v="92"/>
    <s v="GO MANOS@ CJ 10K AS"/>
    <s v="SUBPROD PATAS-MANOS"/>
    <x v="7"/>
    <x v="2"/>
    <n v="0"/>
    <x v="0"/>
    <n v="23709.21"/>
    <n v="23709.21"/>
    <x v="7"/>
  </r>
  <r>
    <x v="3"/>
    <x v="0"/>
    <n v="40322089"/>
    <x v="1"/>
    <x v="19"/>
    <x v="1"/>
    <x v="113"/>
    <s v="GO MANOS B@ CJ 20K AS"/>
    <s v="SUBPROD PATAS-MANOS"/>
    <x v="1"/>
    <x v="3"/>
    <n v="0"/>
    <x v="0"/>
    <n v="24000"/>
    <n v="24000"/>
    <x v="7"/>
  </r>
  <r>
    <x v="3"/>
    <x v="0"/>
    <n v="40322092"/>
    <x v="0"/>
    <x v="17"/>
    <x v="1"/>
    <x v="91"/>
    <s v="GO PATAS@ CJ 20K AS"/>
    <s v="SUBPROD PATAS-MANOS"/>
    <x v="11"/>
    <x v="2"/>
    <n v="0"/>
    <x v="0"/>
    <n v="24000"/>
    <n v="24000"/>
    <x v="7"/>
  </r>
  <r>
    <x v="3"/>
    <x v="0"/>
    <n v="40322094"/>
    <x v="0"/>
    <x v="19"/>
    <x v="1"/>
    <x v="91"/>
    <s v="GO PATAS@ CJ 20K AS"/>
    <s v="SUBPROD PATAS-MANOS"/>
    <x v="7"/>
    <x v="2"/>
    <n v="0"/>
    <x v="0"/>
    <n v="24000"/>
    <n v="24000"/>
    <x v="7"/>
  </r>
  <r>
    <x v="3"/>
    <x v="0"/>
    <n v="40322096"/>
    <x v="0"/>
    <x v="17"/>
    <x v="1"/>
    <x v="102"/>
    <s v="GO PATAS B@ CJ 20K AS"/>
    <s v="SUBPROD PATAS-MANOS"/>
    <x v="11"/>
    <x v="3"/>
    <n v="0"/>
    <x v="0"/>
    <n v="24000"/>
    <n v="24000"/>
    <x v="7"/>
  </r>
  <r>
    <x v="3"/>
    <x v="0"/>
    <n v="40322099"/>
    <x v="1"/>
    <x v="17"/>
    <x v="1"/>
    <x v="93"/>
    <s v="GO PERNILP@ BO CJ 20K AS"/>
    <s v="PERNIL PIERNA"/>
    <x v="2"/>
    <x v="3"/>
    <n v="0"/>
    <x v="1"/>
    <n v="0"/>
    <n v="24000"/>
    <x v="7"/>
  </r>
  <r>
    <x v="3"/>
    <x v="0"/>
    <n v="40322101"/>
    <x v="1"/>
    <x v="17"/>
    <x v="1"/>
    <x v="93"/>
    <s v="GO PERNILP@ BO CJ 20K AS"/>
    <s v="PERNIL PIERNA"/>
    <x v="2"/>
    <x v="0"/>
    <n v="0"/>
    <x v="1"/>
    <n v="0"/>
    <n v="24000"/>
    <x v="7"/>
  </r>
  <r>
    <x v="3"/>
    <x v="0"/>
    <n v="40322102"/>
    <x v="1"/>
    <x v="17"/>
    <x v="1"/>
    <x v="93"/>
    <s v="GO PERNILP@ BO CJ 20K AS"/>
    <s v="PERNIL PIERNA"/>
    <x v="10"/>
    <x v="3"/>
    <n v="0"/>
    <x v="1"/>
    <n v="0"/>
    <n v="24000"/>
    <x v="7"/>
  </r>
  <r>
    <x v="3"/>
    <x v="0"/>
    <n v="40322103"/>
    <x v="1"/>
    <x v="17"/>
    <x v="1"/>
    <x v="93"/>
    <s v="GO PERNILP@ BO CJ 20K AS"/>
    <s v="PERNIL PIERNA"/>
    <x v="13"/>
    <x v="2"/>
    <n v="0"/>
    <x v="1"/>
    <n v="0"/>
    <n v="24000"/>
    <x v="7"/>
  </r>
  <r>
    <x v="3"/>
    <x v="0"/>
    <n v="40322104"/>
    <x v="1"/>
    <x v="17"/>
    <x v="1"/>
    <x v="93"/>
    <s v="GO PERNILP@ BO CJ 20K AS"/>
    <s v="PERNIL PIERNA"/>
    <x v="8"/>
    <x v="1"/>
    <n v="0"/>
    <x v="0"/>
    <n v="24000"/>
    <n v="24000"/>
    <x v="7"/>
  </r>
  <r>
    <x v="3"/>
    <x v="0"/>
    <n v="40322105"/>
    <x v="1"/>
    <x v="17"/>
    <x v="1"/>
    <x v="93"/>
    <s v="GO PERNILP@ BO CJ 20K AS"/>
    <s v="PERNIL PIERNA"/>
    <x v="3"/>
    <x v="1"/>
    <n v="0"/>
    <x v="0"/>
    <n v="24000"/>
    <n v="24000"/>
    <x v="7"/>
  </r>
  <r>
    <x v="3"/>
    <x v="0"/>
    <n v="40322106"/>
    <x v="1"/>
    <x v="17"/>
    <x v="1"/>
    <x v="93"/>
    <s v="GO PERNILP@ BO CJ 20K AS"/>
    <s v="PERNIL PIERNA"/>
    <x v="11"/>
    <x v="1"/>
    <n v="0"/>
    <x v="0"/>
    <n v="24000"/>
    <n v="24000"/>
    <x v="7"/>
  </r>
  <r>
    <x v="3"/>
    <x v="0"/>
    <n v="40322107"/>
    <x v="1"/>
    <x v="17"/>
    <x v="1"/>
    <x v="93"/>
    <s v="GO PERNILP@ BO CJ 20K AS"/>
    <s v="PERNIL PIERNA"/>
    <x v="11"/>
    <x v="0"/>
    <n v="0"/>
    <x v="0"/>
    <n v="24000"/>
    <n v="24000"/>
    <x v="7"/>
  </r>
  <r>
    <x v="3"/>
    <x v="0"/>
    <n v="40322108"/>
    <x v="0"/>
    <x v="17"/>
    <x v="1"/>
    <x v="93"/>
    <s v="GO PERNILP@ BO CJ 20K AS"/>
    <s v="PERNIL PIERNA"/>
    <x v="9"/>
    <x v="1"/>
    <n v="0"/>
    <x v="0"/>
    <n v="24000"/>
    <n v="24000"/>
    <x v="7"/>
  </r>
  <r>
    <x v="3"/>
    <x v="0"/>
    <n v="40322109"/>
    <x v="0"/>
    <x v="17"/>
    <x v="1"/>
    <x v="93"/>
    <s v="GO PERNILP@ BO CJ 20K AS"/>
    <s v="PERNIL PIERNA"/>
    <x v="0"/>
    <x v="1"/>
    <n v="0"/>
    <x v="0"/>
    <n v="24000"/>
    <n v="24000"/>
    <x v="7"/>
  </r>
  <r>
    <x v="3"/>
    <x v="0"/>
    <n v="40322110"/>
    <x v="0"/>
    <x v="17"/>
    <x v="1"/>
    <x v="93"/>
    <s v="GO PERNILP@ BO CJ 20K AS"/>
    <s v="PERNIL PIERNA"/>
    <x v="7"/>
    <x v="0"/>
    <n v="0"/>
    <x v="0"/>
    <n v="24000"/>
    <n v="24000"/>
    <x v="7"/>
  </r>
  <r>
    <x v="3"/>
    <x v="0"/>
    <n v="40322111"/>
    <x v="0"/>
    <x v="17"/>
    <x v="1"/>
    <x v="93"/>
    <s v="GO PERNILP@ BO CJ 20K AS"/>
    <s v="PERNIL PIERNA"/>
    <x v="7"/>
    <x v="1"/>
    <n v="0"/>
    <x v="0"/>
    <n v="19562.276000000002"/>
    <n v="19562.276000000002"/>
    <x v="7"/>
  </r>
  <r>
    <x v="3"/>
    <x v="0"/>
    <n v="40322116"/>
    <x v="1"/>
    <x v="21"/>
    <x v="1"/>
    <x v="114"/>
    <s v="GO HUESO COXAL@ CJ 15KG AS"/>
    <s v="HUESOS CUARTO TRASERO"/>
    <x v="6"/>
    <x v="0"/>
    <n v="24000"/>
    <x v="0"/>
    <n v="0"/>
    <n v="24000"/>
    <x v="8"/>
  </r>
  <r>
    <x v="3"/>
    <x v="0"/>
    <n v="40322118"/>
    <x v="1"/>
    <x v="21"/>
    <x v="1"/>
    <x v="114"/>
    <s v="GO HUESO COXAL@ CJ 15KG AS"/>
    <s v="HUESOS CUARTO TRASERO"/>
    <x v="6"/>
    <x v="1"/>
    <n v="24000"/>
    <x v="0"/>
    <n v="0"/>
    <n v="24000"/>
    <x v="8"/>
  </r>
  <r>
    <x v="3"/>
    <x v="0"/>
    <n v="40322119"/>
    <x v="1"/>
    <x v="21"/>
    <x v="1"/>
    <x v="114"/>
    <s v="GO HUESO COXAL@ CJ 15KG AS"/>
    <s v="HUESOS CUARTO TRASERO"/>
    <x v="2"/>
    <x v="5"/>
    <n v="0"/>
    <x v="1"/>
    <n v="0"/>
    <n v="24000"/>
    <x v="7"/>
  </r>
  <r>
    <x v="3"/>
    <x v="0"/>
    <n v="40322120"/>
    <x v="0"/>
    <x v="21"/>
    <x v="1"/>
    <x v="114"/>
    <s v="GO HUESO COXAL@ CJ 15KG AS"/>
    <s v="HUESOS CUARTO TRASERO"/>
    <x v="4"/>
    <x v="2"/>
    <n v="0"/>
    <x v="0"/>
    <n v="24000"/>
    <n v="24000"/>
    <x v="7"/>
  </r>
  <r>
    <x v="3"/>
    <x v="0"/>
    <n v="40322121"/>
    <x v="0"/>
    <x v="21"/>
    <x v="1"/>
    <x v="114"/>
    <s v="GO HUESO COXAL@ CJ 15KG AS"/>
    <s v="HUESOS CUARTO TRASERO"/>
    <x v="0"/>
    <x v="2"/>
    <n v="0"/>
    <x v="0"/>
    <n v="24000"/>
    <n v="24000"/>
    <x v="7"/>
  </r>
  <r>
    <x v="3"/>
    <x v="0"/>
    <n v="40322125"/>
    <x v="1"/>
    <x v="17"/>
    <x v="1"/>
    <x v="115"/>
    <s v="GO HSO HÚMER@ BO CJ 20K AS"/>
    <s v="HUESOS CUARTO DELANTERO"/>
    <x v="8"/>
    <x v="4"/>
    <n v="0"/>
    <x v="0"/>
    <n v="24000"/>
    <n v="24000"/>
    <x v="7"/>
  </r>
  <r>
    <x v="3"/>
    <x v="0"/>
    <n v="40322126"/>
    <x v="0"/>
    <x v="19"/>
    <x v="1"/>
    <x v="115"/>
    <s v="GO HSO HÚMER@ BO CJ 20K AS"/>
    <s v="HUESOS CUARTO DELANTERO"/>
    <x v="7"/>
    <x v="2"/>
    <n v="0"/>
    <x v="0"/>
    <n v="24000"/>
    <n v="24000"/>
    <x v="7"/>
  </r>
  <r>
    <x v="3"/>
    <x v="0"/>
    <n v="40322129"/>
    <x v="1"/>
    <x v="17"/>
    <x v="1"/>
    <x v="116"/>
    <s v="GO MANTEC@ CJ 20K AS"/>
    <s v="GRASA INTERIOR"/>
    <x v="8"/>
    <x v="1"/>
    <n v="0"/>
    <x v="0"/>
    <n v="24000"/>
    <n v="24000"/>
    <x v="7"/>
  </r>
  <r>
    <x v="3"/>
    <x v="0"/>
    <n v="40322130"/>
    <x v="0"/>
    <x v="17"/>
    <x v="1"/>
    <x v="116"/>
    <s v="GO MANTEC@ CJ 20K AS"/>
    <s v="GRASA INTERIOR"/>
    <x v="11"/>
    <x v="1"/>
    <n v="0"/>
    <x v="0"/>
    <n v="24000"/>
    <n v="24000"/>
    <x v="7"/>
  </r>
  <r>
    <x v="3"/>
    <x v="0"/>
    <n v="40322131"/>
    <x v="0"/>
    <x v="17"/>
    <x v="1"/>
    <x v="116"/>
    <s v="GO MANTEC@ CJ 20K AS"/>
    <s v="GRASA INTERIOR"/>
    <x v="9"/>
    <x v="0"/>
    <n v="0"/>
    <x v="0"/>
    <n v="24000"/>
    <n v="24000"/>
    <x v="7"/>
  </r>
  <r>
    <x v="3"/>
    <x v="0"/>
    <n v="40322132"/>
    <x v="0"/>
    <x v="17"/>
    <x v="1"/>
    <x v="116"/>
    <s v="GO MANTEC@ CJ 20K AS"/>
    <s v="GRASA INTERIOR"/>
    <x v="0"/>
    <x v="1"/>
    <n v="0"/>
    <x v="0"/>
    <n v="24000"/>
    <n v="24000"/>
    <x v="7"/>
  </r>
  <r>
    <x v="3"/>
    <x v="0"/>
    <n v="40322133"/>
    <x v="0"/>
    <x v="17"/>
    <x v="1"/>
    <x v="116"/>
    <s v="GO MANTEC@ CJ 20K AS"/>
    <s v="GRASA INTERIOR"/>
    <x v="7"/>
    <x v="1"/>
    <n v="0"/>
    <x v="0"/>
    <n v="23496.152190000001"/>
    <n v="23496.152190000001"/>
    <x v="7"/>
  </r>
  <r>
    <x v="3"/>
    <x v="0"/>
    <n v="40322136"/>
    <x v="0"/>
    <x v="17"/>
    <x v="1"/>
    <x v="88"/>
    <s v="GO CORDON LOM@ BO CJ 20K AS"/>
    <s v="RECORTES NO MAGRO"/>
    <x v="3"/>
    <x v="1"/>
    <n v="0"/>
    <x v="0"/>
    <n v="24000"/>
    <n v="24000"/>
    <x v="7"/>
  </r>
  <r>
    <x v="3"/>
    <x v="0"/>
    <n v="40322139"/>
    <x v="1"/>
    <x v="17"/>
    <x v="1"/>
    <x v="94"/>
    <s v="GO MIXTO HSO@ BO CJ 10K AS"/>
    <s v="HUESOS CUARTO CENTRAL"/>
    <x v="6"/>
    <x v="1"/>
    <n v="24000"/>
    <x v="0"/>
    <n v="0"/>
    <n v="24000"/>
    <x v="7"/>
  </r>
  <r>
    <x v="3"/>
    <x v="0"/>
    <n v="40322140"/>
    <x v="1"/>
    <x v="17"/>
    <x v="1"/>
    <x v="94"/>
    <s v="GO MIXTO HSO@ BO CJ 10K AS"/>
    <s v="HUESOS CUARTO CENTRAL"/>
    <x v="6"/>
    <x v="2"/>
    <n v="24000"/>
    <x v="0"/>
    <n v="0"/>
    <n v="24000"/>
    <x v="7"/>
  </r>
  <r>
    <x v="3"/>
    <x v="0"/>
    <n v="40322141"/>
    <x v="1"/>
    <x v="17"/>
    <x v="1"/>
    <x v="94"/>
    <s v="GO MIXTO HSO@ BO CJ 10K AS"/>
    <s v="HUESOS CUARTO CENTRAL"/>
    <x v="8"/>
    <x v="4"/>
    <n v="0"/>
    <x v="0"/>
    <n v="24000"/>
    <n v="24000"/>
    <x v="7"/>
  </r>
  <r>
    <x v="3"/>
    <x v="0"/>
    <n v="40322142"/>
    <x v="0"/>
    <x v="17"/>
    <x v="1"/>
    <x v="94"/>
    <s v="GO MIXTO HSO@ BO CJ 10K AS"/>
    <s v="HUESOS CUARTO CENTRAL"/>
    <x v="0"/>
    <x v="2"/>
    <n v="0"/>
    <x v="0"/>
    <n v="24000"/>
    <n v="24000"/>
    <x v="7"/>
  </r>
  <r>
    <x v="3"/>
    <x v="0"/>
    <n v="40322147"/>
    <x v="1"/>
    <x v="21"/>
    <x v="1"/>
    <x v="117"/>
    <s v="GO CUE GRANEL@ BO CJ 20K AS"/>
    <s v="CUERO MIXTO"/>
    <x v="2"/>
    <x v="1"/>
    <n v="0"/>
    <x v="1"/>
    <n v="0"/>
    <n v="24000"/>
    <x v="7"/>
  </r>
  <r>
    <x v="3"/>
    <x v="0"/>
    <n v="40322148"/>
    <x v="0"/>
    <x v="21"/>
    <x v="1"/>
    <x v="117"/>
    <s v="GO CUE GRANEL@ BO CJ 20K AS"/>
    <s v="CUERO MIXTO"/>
    <x v="10"/>
    <x v="1"/>
    <n v="0"/>
    <x v="1"/>
    <n v="0"/>
    <n v="24000"/>
    <x v="7"/>
  </r>
  <r>
    <x v="3"/>
    <x v="0"/>
    <n v="40322149"/>
    <x v="1"/>
    <x v="17"/>
    <x v="1"/>
    <x v="118"/>
    <s v="GO CUE GRANEL@ BO CJ 20K AS"/>
    <s v="CUERO MIXTO"/>
    <x v="2"/>
    <x v="1"/>
    <n v="0"/>
    <x v="1"/>
    <n v="0"/>
    <n v="24000"/>
    <x v="7"/>
  </r>
  <r>
    <x v="3"/>
    <x v="0"/>
    <n v="40322153"/>
    <x v="1"/>
    <x v="21"/>
    <x v="1"/>
    <x v="118"/>
    <s v="GO CUE GRANEL@ BO CJ 20K AS"/>
    <s v="CUERO MIXTO"/>
    <x v="4"/>
    <x v="0"/>
    <n v="0"/>
    <x v="0"/>
    <n v="24000"/>
    <n v="24000"/>
    <x v="7"/>
  </r>
  <r>
    <x v="3"/>
    <x v="0"/>
    <n v="40322156"/>
    <x v="1"/>
    <x v="17"/>
    <x v="1"/>
    <x v="119"/>
    <s v="GO HSO COGOTE@ CJ 20K AS"/>
    <s v="HUESOS CUARTO DELANTERO"/>
    <x v="6"/>
    <x v="2"/>
    <n v="24000"/>
    <x v="0"/>
    <n v="0"/>
    <n v="24000"/>
    <x v="7"/>
  </r>
  <r>
    <x v="3"/>
    <x v="0"/>
    <n v="40322158"/>
    <x v="1"/>
    <x v="17"/>
    <x v="1"/>
    <x v="119"/>
    <s v="GO HSO COGOTE@ CJ 20K AS"/>
    <s v="HUESOS CUARTO DELANTERO"/>
    <x v="6"/>
    <x v="2"/>
    <n v="24000"/>
    <x v="0"/>
    <n v="0"/>
    <n v="24000"/>
    <x v="7"/>
  </r>
  <r>
    <x v="3"/>
    <x v="0"/>
    <n v="40322159"/>
    <x v="1"/>
    <x v="19"/>
    <x v="1"/>
    <x v="119"/>
    <s v="GO HSO COGOTE@ CJ 20K AS"/>
    <s v="HUESOS CUARTO DELANTERO"/>
    <x v="2"/>
    <x v="2"/>
    <n v="0"/>
    <x v="1"/>
    <n v="0"/>
    <n v="24000"/>
    <x v="7"/>
  </r>
  <r>
    <x v="3"/>
    <x v="0"/>
    <n v="40322160"/>
    <x v="1"/>
    <x v="19"/>
    <x v="1"/>
    <x v="119"/>
    <s v="GO HSO COGOTE@ CJ 20K AS"/>
    <s v="HUESOS CUARTO DELANTERO"/>
    <x v="10"/>
    <x v="2"/>
    <n v="0"/>
    <x v="1"/>
    <n v="0"/>
    <n v="24000"/>
    <x v="7"/>
  </r>
  <r>
    <x v="3"/>
    <x v="0"/>
    <n v="40322161"/>
    <x v="1"/>
    <x v="19"/>
    <x v="1"/>
    <x v="119"/>
    <s v="GO HSO COGOTE@ CJ 20K AS"/>
    <s v="HUESOS CUARTO DELANTERO"/>
    <x v="4"/>
    <x v="2"/>
    <n v="0"/>
    <x v="0"/>
    <n v="24000"/>
    <n v="24000"/>
    <x v="7"/>
  </r>
  <r>
    <x v="3"/>
    <x v="0"/>
    <n v="40322162"/>
    <x v="0"/>
    <x v="19"/>
    <x v="1"/>
    <x v="119"/>
    <s v="GO HSO COGOTE@ CJ 20K AS"/>
    <s v="HUESOS CUARTO DELANTERO"/>
    <x v="11"/>
    <x v="1"/>
    <n v="0"/>
    <x v="0"/>
    <n v="24000"/>
    <n v="24000"/>
    <x v="7"/>
  </r>
  <r>
    <x v="3"/>
    <x v="0"/>
    <n v="40322163"/>
    <x v="0"/>
    <x v="19"/>
    <x v="1"/>
    <x v="119"/>
    <s v="GO HSO COGOTE@ CJ 20K AS"/>
    <s v="HUESOS CUARTO DELANTERO"/>
    <x v="12"/>
    <x v="2"/>
    <n v="0"/>
    <x v="0"/>
    <n v="24000"/>
    <n v="24000"/>
    <x v="7"/>
  </r>
  <r>
    <x v="3"/>
    <x v="0"/>
    <n v="40322164"/>
    <x v="0"/>
    <x v="19"/>
    <x v="1"/>
    <x v="119"/>
    <s v="GO HSO COGOTE@ CJ 20K AS"/>
    <s v="HUESOS CUARTO DELANTERO"/>
    <x v="7"/>
    <x v="1"/>
    <n v="0"/>
    <x v="0"/>
    <n v="24000"/>
    <n v="24000"/>
    <x v="7"/>
  </r>
  <r>
    <x v="3"/>
    <x v="0"/>
    <n v="40322172"/>
    <x v="0"/>
    <x v="17"/>
    <x v="1"/>
    <x v="95"/>
    <s v="GO STERNUM BONES@ BO CJ 10K AS"/>
    <s v="HUESOS CUARTO DELANTERO"/>
    <x v="11"/>
    <x v="1"/>
    <n v="0"/>
    <x v="0"/>
    <n v="24000"/>
    <n v="24000"/>
    <x v="7"/>
  </r>
  <r>
    <x v="3"/>
    <x v="0"/>
    <n v="40322173"/>
    <x v="0"/>
    <x v="17"/>
    <x v="1"/>
    <x v="95"/>
    <s v="GO STERNUM BONES@ BO CJ 10K AS"/>
    <s v="HUESOS CUARTO DELANTERO"/>
    <x v="7"/>
    <x v="1"/>
    <n v="0"/>
    <x v="0"/>
    <n v="24000"/>
    <n v="24000"/>
    <x v="7"/>
  </r>
  <r>
    <x v="3"/>
    <x v="0"/>
    <n v="40322176"/>
    <x v="1"/>
    <x v="21"/>
    <x v="1"/>
    <x v="120"/>
    <s v="GO HUESO ESCAPULA@ CJ 15KG AS"/>
    <s v="HUESOS CUARTO DELANTERO"/>
    <x v="2"/>
    <x v="4"/>
    <n v="0"/>
    <x v="1"/>
    <n v="0"/>
    <n v="24000"/>
    <x v="7"/>
  </r>
  <r>
    <x v="3"/>
    <x v="0"/>
    <n v="40322179"/>
    <x v="0"/>
    <x v="19"/>
    <x v="1"/>
    <x v="96"/>
    <s v="GO COLA NOR@ FI CJ 10K AS"/>
    <s v="SUBPROD COLA"/>
    <x v="12"/>
    <x v="2"/>
    <n v="0"/>
    <x v="0"/>
    <n v="24000"/>
    <n v="24000"/>
    <x v="7"/>
  </r>
  <r>
    <x v="3"/>
    <x v="0"/>
    <n v="40322183"/>
    <x v="0"/>
    <x v="19"/>
    <x v="1"/>
    <x v="97"/>
    <s v="GO CAZ ENT@ BO CJ 10K AS"/>
    <s v="CHULETA CAZUELA"/>
    <x v="12"/>
    <x v="2"/>
    <n v="0"/>
    <x v="0"/>
    <n v="24000"/>
    <n v="24000"/>
    <x v="7"/>
  </r>
  <r>
    <x v="3"/>
    <x v="0"/>
    <n v="40322184"/>
    <x v="0"/>
    <x v="19"/>
    <x v="1"/>
    <x v="97"/>
    <s v="GO CAZ ENT@ BO CJ 10K AS"/>
    <s v="CHULETA CAZUELA"/>
    <x v="7"/>
    <x v="2"/>
    <n v="0"/>
    <x v="0"/>
    <n v="23192.86"/>
    <n v="23192.86"/>
    <x v="7"/>
  </r>
  <r>
    <x v="3"/>
    <x v="0"/>
    <n v="40322188"/>
    <x v="1"/>
    <x v="21"/>
    <x v="1"/>
    <x v="121"/>
    <s v="GO CARTILAG LOMO@ CJ 10K AS"/>
    <s v="RECORTES NO MAGRO"/>
    <x v="6"/>
    <x v="0"/>
    <n v="24000"/>
    <x v="0"/>
    <n v="0"/>
    <n v="24000"/>
    <x v="8"/>
  </r>
  <r>
    <x v="3"/>
    <x v="0"/>
    <n v="40322189"/>
    <x v="1"/>
    <x v="21"/>
    <x v="1"/>
    <x v="121"/>
    <s v="GO CARTILAG LOMO@ CJ 10K AS"/>
    <s v="RECORTES NO MAGRO"/>
    <x v="6"/>
    <x v="3"/>
    <n v="24000"/>
    <x v="0"/>
    <n v="0"/>
    <n v="24000"/>
    <x v="7"/>
  </r>
  <r>
    <x v="3"/>
    <x v="0"/>
    <n v="40322190"/>
    <x v="1"/>
    <x v="17"/>
    <x v="1"/>
    <x v="121"/>
    <s v="GO CARTILAG LOMO@ CJ 10K AS"/>
    <s v="RECORTES NO MAGRO"/>
    <x v="2"/>
    <x v="3"/>
    <n v="0"/>
    <x v="1"/>
    <n v="0"/>
    <n v="24000"/>
    <x v="7"/>
  </r>
  <r>
    <x v="3"/>
    <x v="0"/>
    <n v="40322191"/>
    <x v="1"/>
    <x v="17"/>
    <x v="1"/>
    <x v="121"/>
    <s v="GO CARTILAG LOMO@ CJ 10K AS"/>
    <s v="RECORTES NO MAGRO"/>
    <x v="3"/>
    <x v="2"/>
    <n v="0"/>
    <x v="0"/>
    <n v="24000"/>
    <n v="24000"/>
    <x v="7"/>
  </r>
  <r>
    <x v="3"/>
    <x v="0"/>
    <n v="40322192"/>
    <x v="0"/>
    <x v="17"/>
    <x v="1"/>
    <x v="121"/>
    <s v="GO CARTILAG LOMO@ CJ 10K AS"/>
    <s v="RECORTES NO MAGRO"/>
    <x v="12"/>
    <x v="2"/>
    <n v="0"/>
    <x v="0"/>
    <n v="24000"/>
    <n v="24000"/>
    <x v="7"/>
  </r>
  <r>
    <x v="3"/>
    <x v="0"/>
    <n v="40322194"/>
    <x v="0"/>
    <x v="17"/>
    <x v="1"/>
    <x v="121"/>
    <s v="GO CARTILAG LOMO@ CJ 10K AS"/>
    <s v="RECORTES NO MAGRO"/>
    <x v="7"/>
    <x v="2"/>
    <n v="0"/>
    <x v="0"/>
    <n v="24000"/>
    <n v="24000"/>
    <x v="7"/>
  </r>
  <r>
    <x v="3"/>
    <x v="0"/>
    <n v="40322195"/>
    <x v="1"/>
    <x v="22"/>
    <x v="1"/>
    <x v="122"/>
    <s v="GO LENGUA@ FI CJ 10K AS"/>
    <s v="CABEZA DERIVADOS"/>
    <x v="2"/>
    <x v="2"/>
    <n v="0"/>
    <x v="1"/>
    <n v="0"/>
    <n v="24000"/>
    <x v="7"/>
  </r>
  <r>
    <x v="3"/>
    <x v="0"/>
    <n v="40322196"/>
    <x v="0"/>
    <x v="22"/>
    <x v="1"/>
    <x v="122"/>
    <s v="GO LENGUA@ FI CJ 10K AS"/>
    <s v="CABEZA DERIVADOS"/>
    <x v="7"/>
    <x v="0"/>
    <n v="0"/>
    <x v="0"/>
    <n v="13979.18"/>
    <n v="13979.18"/>
    <x v="7"/>
  </r>
  <r>
    <x v="3"/>
    <x v="0"/>
    <n v="40322197"/>
    <x v="1"/>
    <x v="17"/>
    <x v="1"/>
    <x v="98"/>
    <s v="GO RECO 60/40 @ CJ 20K AS"/>
    <s v="RECORTES NO MAGRO"/>
    <x v="1"/>
    <x v="0"/>
    <n v="0"/>
    <x v="0"/>
    <n v="24000"/>
    <n v="24000"/>
    <x v="7"/>
  </r>
  <r>
    <x v="3"/>
    <x v="0"/>
    <n v="40322204"/>
    <x v="1"/>
    <x v="17"/>
    <x v="1"/>
    <x v="123"/>
    <s v="GO CAB ENT@ CJ 20K AS"/>
    <s v="CABEZA ENTERA"/>
    <x v="6"/>
    <x v="1"/>
    <n v="24000"/>
    <x v="0"/>
    <n v="0"/>
    <n v="24000"/>
    <x v="7"/>
  </r>
  <r>
    <x v="3"/>
    <x v="0"/>
    <n v="40322205"/>
    <x v="1"/>
    <x v="17"/>
    <x v="1"/>
    <x v="123"/>
    <s v="GO CAB ENT@ CJ 20K AS"/>
    <s v="CABEZA ENTERA"/>
    <x v="6"/>
    <x v="1"/>
    <n v="24000"/>
    <x v="0"/>
    <n v="0"/>
    <n v="24000"/>
    <x v="7"/>
  </r>
  <r>
    <x v="3"/>
    <x v="0"/>
    <n v="40322206"/>
    <x v="1"/>
    <x v="17"/>
    <x v="1"/>
    <x v="123"/>
    <s v="GO CAB ENT@ CJ 20K AS"/>
    <s v="CABEZA ENTERA"/>
    <x v="2"/>
    <x v="4"/>
    <n v="0"/>
    <x v="1"/>
    <n v="0"/>
    <n v="24000"/>
    <x v="7"/>
  </r>
  <r>
    <x v="3"/>
    <x v="0"/>
    <n v="40322207"/>
    <x v="1"/>
    <x v="19"/>
    <x v="1"/>
    <x v="123"/>
    <s v="GO CAB ENT@ CJ 20K AS"/>
    <s v="CABEZA ENTERA"/>
    <x v="2"/>
    <x v="0"/>
    <n v="0"/>
    <x v="1"/>
    <n v="0"/>
    <n v="24000"/>
    <x v="7"/>
  </r>
  <r>
    <x v="3"/>
    <x v="0"/>
    <n v="40322208"/>
    <x v="1"/>
    <x v="19"/>
    <x v="1"/>
    <x v="123"/>
    <s v="GO CAB ENT@ CJ 20K AS"/>
    <s v="CABEZA ENTERA"/>
    <x v="1"/>
    <x v="2"/>
    <n v="0"/>
    <x v="1"/>
    <n v="0"/>
    <n v="24000"/>
    <x v="7"/>
  </r>
  <r>
    <x v="3"/>
    <x v="0"/>
    <n v="40322209"/>
    <x v="0"/>
    <x v="19"/>
    <x v="1"/>
    <x v="123"/>
    <s v="GO CAB ENT@ CJ 20K AS"/>
    <s v="CABEZA ENTERA"/>
    <x v="11"/>
    <x v="1"/>
    <n v="0"/>
    <x v="0"/>
    <n v="24000"/>
    <n v="24000"/>
    <x v="7"/>
  </r>
  <r>
    <x v="3"/>
    <x v="0"/>
    <n v="40322210"/>
    <x v="0"/>
    <x v="19"/>
    <x v="1"/>
    <x v="123"/>
    <s v="GO CAB ENT@ CJ 20K AS"/>
    <s v="CABEZA ENTERA"/>
    <x v="12"/>
    <x v="1"/>
    <n v="0"/>
    <x v="0"/>
    <n v="24000"/>
    <n v="24000"/>
    <x v="7"/>
  </r>
  <r>
    <x v="3"/>
    <x v="0"/>
    <n v="40322211"/>
    <x v="0"/>
    <x v="19"/>
    <x v="1"/>
    <x v="123"/>
    <s v="GO CAB ENT@ CJ 20K AS"/>
    <s v="CABEZA ENTERA"/>
    <x v="12"/>
    <x v="0"/>
    <n v="0"/>
    <x v="0"/>
    <n v="24000"/>
    <n v="24000"/>
    <x v="7"/>
  </r>
  <r>
    <x v="3"/>
    <x v="0"/>
    <n v="40322212"/>
    <x v="0"/>
    <x v="19"/>
    <x v="1"/>
    <x v="123"/>
    <s v="GO CAB ENT@ CJ 20K AS"/>
    <s v="CABEZA ENTERA"/>
    <x v="7"/>
    <x v="1"/>
    <n v="0"/>
    <x v="0"/>
    <n v="24000"/>
    <n v="24000"/>
    <x v="7"/>
  </r>
  <r>
    <x v="3"/>
    <x v="0"/>
    <n v="40322214"/>
    <x v="0"/>
    <x v="19"/>
    <x v="1"/>
    <x v="123"/>
    <s v="GO CAB ENT@ CJ 20K AS"/>
    <s v="CABEZA ENTERA"/>
    <x v="7"/>
    <x v="0"/>
    <n v="0"/>
    <x v="0"/>
    <n v="15067.892589999999"/>
    <n v="15067.892589999999"/>
    <x v="7"/>
  </r>
  <r>
    <x v="3"/>
    <x v="0"/>
    <n v="40322225"/>
    <x v="1"/>
    <x v="21"/>
    <x v="1"/>
    <x v="123"/>
    <s v="GO CAB ENT@ CJ 20K AS"/>
    <s v="CABEZA ENTERA"/>
    <x v="4"/>
    <x v="1"/>
    <n v="0"/>
    <x v="0"/>
    <n v="24000"/>
    <n v="24000"/>
    <x v="7"/>
  </r>
  <r>
    <x v="3"/>
    <x v="0"/>
    <n v="40322226"/>
    <x v="1"/>
    <x v="21"/>
    <x v="1"/>
    <x v="123"/>
    <s v="GO CAB ENT@ CJ 20K AS"/>
    <s v="CABEZA ENTERA"/>
    <x v="4"/>
    <x v="0"/>
    <n v="0"/>
    <x v="0"/>
    <n v="24000"/>
    <n v="24000"/>
    <x v="7"/>
  </r>
  <r>
    <x v="3"/>
    <x v="0"/>
    <n v="40322227"/>
    <x v="1"/>
    <x v="19"/>
    <x v="1"/>
    <x v="86"/>
    <s v="GO CAB ROJ ENT S/L@ CJ 20K AS"/>
    <s v="CABEZA ENTERA"/>
    <x v="12"/>
    <x v="4"/>
    <n v="0"/>
    <x v="0"/>
    <n v="24000"/>
    <n v="24000"/>
    <x v="7"/>
  </r>
  <r>
    <x v="3"/>
    <x v="0"/>
    <n v="40322249"/>
    <x v="1"/>
    <x v="19"/>
    <x v="1"/>
    <x v="124"/>
    <s v="GO CAB BCA ENT S/L@ CJ 20K AS"/>
    <s v="CABEZA ENTERA"/>
    <x v="2"/>
    <x v="2"/>
    <n v="0"/>
    <x v="1"/>
    <n v="0"/>
    <n v="24000"/>
    <x v="7"/>
  </r>
  <r>
    <x v="3"/>
    <x v="0"/>
    <n v="40322250"/>
    <x v="1"/>
    <x v="19"/>
    <x v="1"/>
    <x v="124"/>
    <s v="GO CAB BCA ENT S/L@ CJ 20K AS"/>
    <s v="CABEZA ENTERA"/>
    <x v="10"/>
    <x v="2"/>
    <n v="0"/>
    <x v="1"/>
    <n v="0"/>
    <n v="24000"/>
    <x v="7"/>
  </r>
  <r>
    <x v="3"/>
    <x v="0"/>
    <n v="40322251"/>
    <x v="1"/>
    <x v="19"/>
    <x v="1"/>
    <x v="124"/>
    <s v="GO CAB BCA ENT S/L@ CJ 20K AS"/>
    <s v="CABEZA ENTERA"/>
    <x v="10"/>
    <x v="0"/>
    <n v="0"/>
    <x v="1"/>
    <n v="0"/>
    <n v="24000"/>
    <x v="7"/>
  </r>
  <r>
    <x v="3"/>
    <x v="0"/>
    <n v="40322252"/>
    <x v="1"/>
    <x v="19"/>
    <x v="1"/>
    <x v="124"/>
    <s v="GO CAB BCA ENT S/L@ CJ 20K AS"/>
    <s v="CABEZA ENTERA"/>
    <x v="13"/>
    <x v="1"/>
    <n v="0"/>
    <x v="1"/>
    <n v="0"/>
    <n v="24000"/>
    <x v="7"/>
  </r>
  <r>
    <x v="3"/>
    <x v="0"/>
    <n v="40322253"/>
    <x v="1"/>
    <x v="19"/>
    <x v="1"/>
    <x v="124"/>
    <s v="GO CAB BCA ENT S/L@ CJ 20K AS"/>
    <s v="CABEZA ENTERA"/>
    <x v="8"/>
    <x v="1"/>
    <n v="0"/>
    <x v="0"/>
    <n v="24000"/>
    <n v="24000"/>
    <x v="7"/>
  </r>
  <r>
    <x v="3"/>
    <x v="0"/>
    <n v="40322254"/>
    <x v="1"/>
    <x v="19"/>
    <x v="1"/>
    <x v="124"/>
    <s v="GO CAB BCA ENT S/L@ CJ 20K AS"/>
    <s v="CABEZA ENTERA"/>
    <x v="3"/>
    <x v="1"/>
    <n v="0"/>
    <x v="0"/>
    <n v="24000"/>
    <n v="24000"/>
    <x v="7"/>
  </r>
  <r>
    <x v="3"/>
    <x v="0"/>
    <n v="40322255"/>
    <x v="1"/>
    <x v="19"/>
    <x v="1"/>
    <x v="124"/>
    <s v="GO CAB BCA ENT S/L@ CJ 20K AS"/>
    <s v="CABEZA ENTERA"/>
    <x v="3"/>
    <x v="0"/>
    <n v="0"/>
    <x v="0"/>
    <n v="24000"/>
    <n v="24000"/>
    <x v="7"/>
  </r>
  <r>
    <x v="3"/>
    <x v="0"/>
    <n v="40322256"/>
    <x v="1"/>
    <x v="19"/>
    <x v="1"/>
    <x v="124"/>
    <s v="GO CAB BCA ENT S/L@ CJ 20K AS"/>
    <s v="CABEZA ENTERA"/>
    <x v="11"/>
    <x v="1"/>
    <n v="0"/>
    <x v="0"/>
    <n v="24000"/>
    <n v="24000"/>
    <x v="7"/>
  </r>
  <r>
    <x v="3"/>
    <x v="0"/>
    <n v="40322257"/>
    <x v="0"/>
    <x v="19"/>
    <x v="1"/>
    <x v="124"/>
    <s v="GO CAB BCA ENT S/L@ CJ 20K AS"/>
    <s v="CABEZA ENTERA"/>
    <x v="11"/>
    <x v="0"/>
    <n v="0"/>
    <x v="0"/>
    <n v="24000"/>
    <n v="24000"/>
    <x v="7"/>
  </r>
  <r>
    <x v="3"/>
    <x v="0"/>
    <n v="40322258"/>
    <x v="0"/>
    <x v="19"/>
    <x v="1"/>
    <x v="124"/>
    <s v="GO CAB BCA ENT S/L@ CJ 20K AS"/>
    <s v="CABEZA ENTERA"/>
    <x v="12"/>
    <x v="0"/>
    <n v="0"/>
    <x v="0"/>
    <n v="24000"/>
    <n v="24000"/>
    <x v="7"/>
  </r>
  <r>
    <x v="3"/>
    <x v="0"/>
    <n v="40322259"/>
    <x v="0"/>
    <x v="19"/>
    <x v="1"/>
    <x v="124"/>
    <s v="GO CAB BCA ENT S/L@ CJ 20K AS"/>
    <s v="CABEZA ENTERA"/>
    <x v="12"/>
    <x v="0"/>
    <n v="0"/>
    <x v="0"/>
    <n v="24000"/>
    <n v="24000"/>
    <x v="7"/>
  </r>
  <r>
    <x v="3"/>
    <x v="0"/>
    <n v="40322260"/>
    <x v="0"/>
    <x v="19"/>
    <x v="1"/>
    <x v="124"/>
    <s v="GO CAB BCA ENT S/L@ CJ 20K AS"/>
    <s v="CABEZA ENTERA"/>
    <x v="9"/>
    <x v="0"/>
    <n v="0"/>
    <x v="0"/>
    <n v="24000"/>
    <n v="24000"/>
    <x v="7"/>
  </r>
  <r>
    <x v="3"/>
    <x v="0"/>
    <n v="40322261"/>
    <x v="0"/>
    <x v="19"/>
    <x v="1"/>
    <x v="124"/>
    <s v="GO CAB BCA ENT S/L@ CJ 20K AS"/>
    <s v="CABEZA ENTERA"/>
    <x v="0"/>
    <x v="1"/>
    <n v="0"/>
    <x v="0"/>
    <n v="24000"/>
    <n v="24000"/>
    <x v="7"/>
  </r>
  <r>
    <x v="3"/>
    <x v="0"/>
    <n v="40322262"/>
    <x v="0"/>
    <x v="19"/>
    <x v="1"/>
    <x v="124"/>
    <s v="GO CAB BCA ENT S/L@ CJ 20K AS"/>
    <s v="CABEZA ENTERA"/>
    <x v="0"/>
    <x v="0"/>
    <n v="0"/>
    <x v="0"/>
    <n v="24000"/>
    <n v="24000"/>
    <x v="7"/>
  </r>
  <r>
    <x v="3"/>
    <x v="0"/>
    <n v="40322263"/>
    <x v="0"/>
    <x v="19"/>
    <x v="1"/>
    <x v="124"/>
    <s v="GO CAB BCA ENT S/L@ CJ 20K AS"/>
    <s v="CABEZA ENTERA"/>
    <x v="0"/>
    <x v="0"/>
    <n v="0"/>
    <x v="0"/>
    <n v="24000"/>
    <n v="24000"/>
    <x v="7"/>
  </r>
  <r>
    <x v="3"/>
    <x v="0"/>
    <n v="40322264"/>
    <x v="0"/>
    <x v="19"/>
    <x v="1"/>
    <x v="124"/>
    <s v="GO CAB BCA ENT S/L@ CJ 20K AS"/>
    <s v="CABEZA ENTERA"/>
    <x v="0"/>
    <x v="1"/>
    <n v="0"/>
    <x v="0"/>
    <n v="24000"/>
    <n v="24000"/>
    <x v="7"/>
  </r>
  <r>
    <x v="3"/>
    <x v="0"/>
    <n v="40322265"/>
    <x v="0"/>
    <x v="19"/>
    <x v="1"/>
    <x v="124"/>
    <s v="GO CAB BCA ENT S/L@ CJ 20K AS"/>
    <s v="CABEZA ENTERA"/>
    <x v="7"/>
    <x v="1"/>
    <n v="0"/>
    <x v="0"/>
    <n v="24000"/>
    <n v="24000"/>
    <x v="7"/>
  </r>
  <r>
    <x v="3"/>
    <x v="0"/>
    <n v="40322267"/>
    <x v="0"/>
    <x v="19"/>
    <x v="1"/>
    <x v="124"/>
    <s v="GO CAB BCA ENT S/L@ CJ 20K AS"/>
    <s v="CABEZA ENTERA"/>
    <x v="7"/>
    <x v="1"/>
    <n v="0"/>
    <x v="0"/>
    <n v="24000"/>
    <n v="24000"/>
    <x v="7"/>
  </r>
  <r>
    <x v="3"/>
    <x v="0"/>
    <n v="40322275"/>
    <x v="1"/>
    <x v="19"/>
    <x v="1"/>
    <x v="125"/>
    <s v="GO RESTO TIRA HSO CTRO@ BO CJ 20K AS"/>
    <s v="HUESOS CUARTO CENTRAL"/>
    <x v="10"/>
    <x v="3"/>
    <n v="0"/>
    <x v="0"/>
    <n v="24000"/>
    <n v="24000"/>
    <x v="7"/>
  </r>
  <r>
    <x v="3"/>
    <x v="0"/>
    <n v="40322723"/>
    <x v="1"/>
    <x v="21"/>
    <x v="0"/>
    <x v="98"/>
    <s v="GO RECO 60/40 @ CJ 20K AS"/>
    <s v="RECORTES NO MAGRO"/>
    <x v="6"/>
    <x v="1"/>
    <n v="24000"/>
    <x v="0"/>
    <n v="0"/>
    <n v="24000"/>
    <x v="7"/>
  </r>
  <r>
    <x v="3"/>
    <x v="0"/>
    <n v="40322725"/>
    <x v="1"/>
    <x v="18"/>
    <x v="0"/>
    <x v="126"/>
    <s v="GO RESTO TIRA HSO@ FI CJ 10K AS"/>
    <s v="HUESOS CUARTO CENTRAL"/>
    <x v="6"/>
    <x v="3"/>
    <n v="24000"/>
    <x v="0"/>
    <n v="0"/>
    <n v="24000"/>
    <x v="7"/>
  </r>
  <r>
    <x v="3"/>
    <x v="0"/>
    <n v="40322726"/>
    <x v="1"/>
    <x v="17"/>
    <x v="0"/>
    <x v="127"/>
    <s v="GO PERNILM B@ BO CJ 20K AS"/>
    <s v="PERNIL MANO"/>
    <x v="2"/>
    <x v="3"/>
    <n v="0"/>
    <x v="1"/>
    <n v="0"/>
    <n v="24000"/>
    <x v="7"/>
  </r>
  <r>
    <x v="3"/>
    <x v="0"/>
    <n v="40322727"/>
    <x v="1"/>
    <x v="19"/>
    <x v="0"/>
    <x v="89"/>
    <s v="GO PERNILM@ CJ 20K AS"/>
    <s v="PERNIL MANO"/>
    <x v="6"/>
    <x v="3"/>
    <n v="24000"/>
    <x v="0"/>
    <n v="0"/>
    <n v="24000"/>
    <x v="7"/>
  </r>
  <r>
    <x v="3"/>
    <x v="0"/>
    <n v="40322736"/>
    <x v="1"/>
    <x v="18"/>
    <x v="0"/>
    <x v="116"/>
    <s v="GO MANTEC@ CJ 20K AS"/>
    <s v="GRASA INTERIOR"/>
    <x v="2"/>
    <x v="2"/>
    <n v="0"/>
    <x v="1"/>
    <n v="0"/>
    <n v="24000"/>
    <x v="7"/>
  </r>
  <r>
    <x v="3"/>
    <x v="0"/>
    <n v="40322739"/>
    <x v="1"/>
    <x v="18"/>
    <x v="0"/>
    <x v="95"/>
    <s v="GO STERNUM BONES@ BO CJ 10K AS"/>
    <s v="HUESOS CUARTO DELANTERO"/>
    <x v="6"/>
    <x v="0"/>
    <n v="24000"/>
    <x v="0"/>
    <n v="0"/>
    <n v="24000"/>
    <x v="8"/>
  </r>
  <r>
    <x v="3"/>
    <x v="0"/>
    <n v="40322752"/>
    <x v="1"/>
    <x v="18"/>
    <x v="0"/>
    <x v="95"/>
    <s v="GO STERNUM BONES@ BO CJ 10K AS"/>
    <s v="HUESOS CUARTO DELANTERO"/>
    <x v="6"/>
    <x v="0"/>
    <n v="24000"/>
    <x v="0"/>
    <n v="0"/>
    <n v="24000"/>
    <x v="8"/>
  </r>
  <r>
    <x v="3"/>
    <x v="0"/>
    <n v="40322753"/>
    <x v="1"/>
    <x v="19"/>
    <x v="0"/>
    <x v="97"/>
    <s v="GO CAZ ENT@ BO CJ 10K AS"/>
    <s v="CHULETA CAZUELA"/>
    <x v="6"/>
    <x v="3"/>
    <n v="24000"/>
    <x v="0"/>
    <n v="0"/>
    <n v="24000"/>
    <x v="7"/>
  </r>
  <r>
    <x v="3"/>
    <x v="0"/>
    <n v="40322756"/>
    <x v="1"/>
    <x v="20"/>
    <x v="0"/>
    <x v="100"/>
    <s v="GO GORD ESP@ BO CJ 10K AS"/>
    <s v="GRASA GORDURA"/>
    <x v="6"/>
    <x v="3"/>
    <n v="24000"/>
    <x v="0"/>
    <n v="0"/>
    <n v="24000"/>
    <x v="7"/>
  </r>
  <r>
    <x v="3"/>
    <x v="0"/>
    <n v="40322758"/>
    <x v="1"/>
    <x v="20"/>
    <x v="0"/>
    <x v="89"/>
    <s v="GO PERNILM@ CJ 20K AS"/>
    <s v="PERNIL MANO"/>
    <x v="2"/>
    <x v="1"/>
    <n v="0"/>
    <x v="1"/>
    <n v="0"/>
    <n v="24000"/>
    <x v="7"/>
  </r>
  <r>
    <x v="3"/>
    <x v="0"/>
    <n v="40322759"/>
    <x v="1"/>
    <x v="20"/>
    <x v="0"/>
    <x v="91"/>
    <s v="GO PATAS@ CJ 20K AS"/>
    <s v="SUBPROD PATAS-MANOS"/>
    <x v="2"/>
    <x v="4"/>
    <n v="0"/>
    <x v="1"/>
    <n v="0"/>
    <n v="24000"/>
    <x v="7"/>
  </r>
  <r>
    <x v="3"/>
    <x v="0"/>
    <n v="40322762"/>
    <x v="1"/>
    <x v="17"/>
    <x v="0"/>
    <x v="95"/>
    <s v="GO STERNUM BONES@ BO CJ 10K AS"/>
    <s v="HUESOS CUARTO DELANTERO"/>
    <x v="6"/>
    <x v="3"/>
    <n v="24000"/>
    <x v="0"/>
    <n v="0"/>
    <n v="24000"/>
    <x v="7"/>
  </r>
  <r>
    <x v="3"/>
    <x v="0"/>
    <n v="40322763"/>
    <x v="1"/>
    <x v="20"/>
    <x v="0"/>
    <x v="111"/>
    <s v="GO RECO 20/80 @ CJ 20K AS"/>
    <s v="GRASA GORDURA"/>
    <x v="6"/>
    <x v="1"/>
    <n v="24000"/>
    <x v="0"/>
    <n v="0"/>
    <n v="24000"/>
    <x v="7"/>
  </r>
  <r>
    <x v="3"/>
    <x v="0"/>
    <n v="40322764"/>
    <x v="1"/>
    <x v="20"/>
    <x v="0"/>
    <x v="111"/>
    <s v="GO RECO 20/80 @ CJ 20K AS"/>
    <s v="GRASA GORDURA"/>
    <x v="2"/>
    <x v="3"/>
    <n v="0"/>
    <x v="1"/>
    <n v="0"/>
    <n v="24000"/>
    <x v="7"/>
  </r>
  <r>
    <x v="3"/>
    <x v="0"/>
    <n v="40322771"/>
    <x v="1"/>
    <x v="18"/>
    <x v="0"/>
    <x v="126"/>
    <s v="GO RESTO TIRA HSO@ FI CJ 10K AS"/>
    <s v="HUESOS CUARTO CENTRAL"/>
    <x v="2"/>
    <x v="1"/>
    <n v="0"/>
    <x v="1"/>
    <n v="0"/>
    <n v="24000"/>
    <x v="7"/>
  </r>
  <r>
    <x v="3"/>
    <x v="0"/>
    <n v="40322772"/>
    <x v="0"/>
    <x v="17"/>
    <x v="0"/>
    <x v="89"/>
    <s v="GO PERNILM@ CJ 20K AS"/>
    <s v="PERNIL MANO"/>
    <x v="11"/>
    <x v="2"/>
    <n v="0"/>
    <x v="0"/>
    <n v="24000"/>
    <n v="24000"/>
    <x v="7"/>
  </r>
  <r>
    <x v="3"/>
    <x v="0"/>
    <n v="40322773"/>
    <x v="0"/>
    <x v="19"/>
    <x v="0"/>
    <x v="89"/>
    <s v="GO PERNILM@ CJ 20K AS"/>
    <s v="PERNIL MANO"/>
    <x v="12"/>
    <x v="2"/>
    <n v="0"/>
    <x v="0"/>
    <n v="24000"/>
    <n v="24000"/>
    <x v="7"/>
  </r>
  <r>
    <x v="3"/>
    <x v="0"/>
    <n v="40322774"/>
    <x v="0"/>
    <x v="19"/>
    <x v="0"/>
    <x v="89"/>
    <s v="GO PERNILM@ CJ 20K AS"/>
    <s v="PERNIL MANO"/>
    <x v="12"/>
    <x v="2"/>
    <n v="0"/>
    <x v="0"/>
    <n v="24000"/>
    <n v="24000"/>
    <x v="7"/>
  </r>
  <r>
    <x v="3"/>
    <x v="0"/>
    <n v="40322780"/>
    <x v="1"/>
    <x v="18"/>
    <x v="0"/>
    <x v="95"/>
    <s v="GO STERNUM BONES@ BO CJ 10K AS"/>
    <s v="HUESOS CUARTO DELANTERO"/>
    <x v="2"/>
    <x v="4"/>
    <n v="0"/>
    <x v="1"/>
    <n v="0"/>
    <n v="24000"/>
    <x v="7"/>
  </r>
  <r>
    <x v="3"/>
    <x v="0"/>
    <n v="40322781"/>
    <x v="1"/>
    <x v="21"/>
    <x v="0"/>
    <x v="97"/>
    <s v="GO CAZ ENT@ BO CJ 10K AS"/>
    <s v="CHULETA CAZUELA"/>
    <x v="3"/>
    <x v="2"/>
    <n v="0"/>
    <x v="0"/>
    <n v="24000"/>
    <n v="24000"/>
    <x v="7"/>
  </r>
  <r>
    <x v="3"/>
    <x v="0"/>
    <n v="40324390"/>
    <x v="1"/>
    <x v="17"/>
    <x v="0"/>
    <x v="93"/>
    <s v="GO PERNILP@ BO CJ 20K AS"/>
    <s v="PERNIL PIERNA"/>
    <x v="11"/>
    <x v="1"/>
    <n v="0"/>
    <x v="0"/>
    <n v="24000"/>
    <n v="24000"/>
    <x v="7"/>
  </r>
  <r>
    <x v="3"/>
    <x v="0"/>
    <n v="40324391"/>
    <x v="1"/>
    <x v="17"/>
    <x v="0"/>
    <x v="93"/>
    <s v="GO PERNILP@ BO CJ 20K AS"/>
    <s v="PERNIL PIERNA"/>
    <x v="12"/>
    <x v="1"/>
    <n v="0"/>
    <x v="0"/>
    <n v="24000"/>
    <n v="24000"/>
    <x v="7"/>
  </r>
  <r>
    <x v="3"/>
    <x v="0"/>
    <n v="40324392"/>
    <x v="1"/>
    <x v="17"/>
    <x v="0"/>
    <x v="93"/>
    <s v="GO PERNILP@ BO CJ 20K AS"/>
    <s v="PERNIL PIERNA"/>
    <x v="12"/>
    <x v="1"/>
    <n v="0"/>
    <x v="0"/>
    <n v="24000"/>
    <n v="24000"/>
    <x v="7"/>
  </r>
  <r>
    <x v="3"/>
    <x v="0"/>
    <n v="40324404"/>
    <x v="1"/>
    <x v="19"/>
    <x v="0"/>
    <x v="111"/>
    <s v="GO RECO 20/80 @ CJ 20K AS"/>
    <s v="GRASA GORDURA"/>
    <x v="1"/>
    <x v="1"/>
    <n v="0"/>
    <x v="0"/>
    <n v="24000"/>
    <n v="24000"/>
    <x v="7"/>
  </r>
  <r>
    <x v="3"/>
    <x v="0"/>
    <n v="40324405"/>
    <x v="1"/>
    <x v="19"/>
    <x v="0"/>
    <x v="111"/>
    <s v="GO RECO 20/80 @ CJ 20K AS"/>
    <s v="GRASA GORDURA"/>
    <x v="4"/>
    <x v="1"/>
    <n v="0"/>
    <x v="0"/>
    <n v="24000"/>
    <n v="24000"/>
    <x v="7"/>
  </r>
  <r>
    <x v="3"/>
    <x v="0"/>
    <n v="40324406"/>
    <x v="1"/>
    <x v="19"/>
    <x v="0"/>
    <x v="111"/>
    <s v="GO RECO 20/80 @ CJ 20K AS"/>
    <s v="GRASA GORDURA"/>
    <x v="11"/>
    <x v="1"/>
    <n v="0"/>
    <x v="0"/>
    <n v="24000"/>
    <n v="24000"/>
    <x v="7"/>
  </r>
  <r>
    <x v="3"/>
    <x v="0"/>
    <n v="40324975"/>
    <x v="0"/>
    <x v="17"/>
    <x v="1"/>
    <x v="128"/>
    <s v="GO HSO COSTILLA 4X 5KG @ CJ 20K AS"/>
    <s v="HUESOS CUARTO CENTRAL"/>
    <x v="0"/>
    <x v="1"/>
    <n v="0"/>
    <x v="0"/>
    <n v="24000"/>
    <n v="24000"/>
    <x v="7"/>
  </r>
  <r>
    <x v="3"/>
    <x v="0"/>
    <n v="40324980"/>
    <x v="1"/>
    <x v="21"/>
    <x v="1"/>
    <x v="120"/>
    <s v="GO HUESO ESCAPULA@ CJ 15KG AS"/>
    <s v="HUESOS CUARTO DELANTERO"/>
    <x v="11"/>
    <x v="2"/>
    <n v="0"/>
    <x v="0"/>
    <n v="24000"/>
    <n v="24000"/>
    <x v="7"/>
  </r>
  <r>
    <x v="3"/>
    <x v="0"/>
    <n v="40324982"/>
    <x v="1"/>
    <x v="19"/>
    <x v="1"/>
    <x v="129"/>
    <s v="GO PNA FORRO@ BO CJ 20K AS"/>
    <s v="CUERO FORRO"/>
    <x v="10"/>
    <x v="1"/>
    <n v="0"/>
    <x v="1"/>
    <n v="0"/>
    <n v="24000"/>
    <x v="7"/>
  </r>
  <r>
    <x v="3"/>
    <x v="0"/>
    <n v="40324983"/>
    <x v="0"/>
    <x v="19"/>
    <x v="1"/>
    <x v="129"/>
    <s v="GO PNA FORRO@ BO CJ 20K AS"/>
    <s v="CUERO FORRO"/>
    <x v="4"/>
    <x v="1"/>
    <n v="0"/>
    <x v="0"/>
    <n v="24000"/>
    <n v="24000"/>
    <x v="7"/>
  </r>
  <r>
    <x v="3"/>
    <x v="0"/>
    <n v="40324984"/>
    <x v="0"/>
    <x v="19"/>
    <x v="1"/>
    <x v="129"/>
    <s v="GO PNA FORRO@ BO CJ 20K AS"/>
    <s v="CUERO FORRO"/>
    <x v="5"/>
    <x v="0"/>
    <n v="0"/>
    <x v="0"/>
    <n v="24000"/>
    <n v="24000"/>
    <x v="7"/>
  </r>
  <r>
    <x v="3"/>
    <x v="0"/>
    <n v="40325909"/>
    <x v="0"/>
    <x v="19"/>
    <x v="0"/>
    <x v="120"/>
    <s v="GO HUESO ESCAPULA@ CJ 15KG AS"/>
    <s v="HUESOS CUARTO DELANTERO"/>
    <x v="7"/>
    <x v="2"/>
    <n v="0"/>
    <x v="0"/>
    <n v="21168.519700000001"/>
    <n v="21168.519700000001"/>
    <x v="7"/>
  </r>
  <r>
    <x v="3"/>
    <x v="2"/>
    <n v="40322291"/>
    <x v="1"/>
    <x v="19"/>
    <x v="1"/>
    <x v="130"/>
    <s v="PV TRU LARG@ BO CJ 15K AS"/>
    <s v="TRUTRO LARGO"/>
    <x v="5"/>
    <x v="0"/>
    <n v="0"/>
    <x v="0"/>
    <n v="24000"/>
    <n v="24000"/>
    <x v="7"/>
  </r>
  <r>
    <x v="3"/>
    <x v="2"/>
    <n v="40322292"/>
    <x v="1"/>
    <x v="19"/>
    <x v="1"/>
    <x v="130"/>
    <s v="PV TRU LARG@ BO CJ 15K AS"/>
    <s v="TRUTRO LARGO"/>
    <x v="11"/>
    <x v="0"/>
    <n v="0"/>
    <x v="0"/>
    <n v="24000"/>
    <n v="24000"/>
    <x v="7"/>
  </r>
  <r>
    <x v="4"/>
    <x v="1"/>
    <n v="40315085"/>
    <x v="0"/>
    <x v="23"/>
    <x v="0"/>
    <x v="131"/>
    <s v="PO PPA ESP BLO@ BO CJ 20K AS"/>
    <s v="CARNE RECUPERADA PULPA"/>
    <x v="6"/>
    <x v="0"/>
    <n v="25000"/>
    <x v="0"/>
    <n v="0"/>
    <n v="25000"/>
    <x v="7"/>
  </r>
  <r>
    <x v="4"/>
    <x v="1"/>
    <n v="40324526"/>
    <x v="0"/>
    <x v="23"/>
    <x v="0"/>
    <x v="131"/>
    <s v="PO PPA ESP BLO@ BO CJ 20K AS"/>
    <s v="CARNE RECUPERADA PULPA"/>
    <x v="9"/>
    <x v="0"/>
    <n v="0"/>
    <x v="0"/>
    <n v="25000"/>
    <n v="25000"/>
    <x v="7"/>
  </r>
  <r>
    <x v="4"/>
    <x v="1"/>
    <n v="40324527"/>
    <x v="0"/>
    <x v="23"/>
    <x v="0"/>
    <x v="131"/>
    <s v="PO PPA ESP BLO@ BO CJ 20K AS"/>
    <s v="CARNE RECUPERADA PULPA"/>
    <x v="0"/>
    <x v="0"/>
    <n v="0"/>
    <x v="0"/>
    <n v="25000"/>
    <n v="25000"/>
    <x v="7"/>
  </r>
  <r>
    <x v="4"/>
    <x v="1"/>
    <n v="40324528"/>
    <x v="0"/>
    <x v="23"/>
    <x v="0"/>
    <x v="131"/>
    <s v="PO PPA ESP BLO@ BO CJ 20K AS"/>
    <s v="CARNE RECUPERADA PULPA"/>
    <x v="1"/>
    <x v="0"/>
    <n v="0"/>
    <x v="0"/>
    <n v="25000"/>
    <n v="25000"/>
    <x v="7"/>
  </r>
  <r>
    <x v="4"/>
    <x v="1"/>
    <n v="40324529"/>
    <x v="0"/>
    <x v="23"/>
    <x v="0"/>
    <x v="131"/>
    <s v="PO PPA ESP BLO@ BO CJ 20K AS"/>
    <s v="CARNE RECUPERADA PULPA"/>
    <x v="1"/>
    <x v="0"/>
    <n v="0"/>
    <x v="0"/>
    <n v="25000"/>
    <n v="25000"/>
    <x v="7"/>
  </r>
  <r>
    <x v="4"/>
    <x v="1"/>
    <n v="40324530"/>
    <x v="0"/>
    <x v="23"/>
    <x v="0"/>
    <x v="131"/>
    <s v="PO PPA ESP BLO@ BO CJ 20K AS"/>
    <s v="CARNE RECUPERADA PULPA"/>
    <x v="1"/>
    <x v="0"/>
    <n v="0"/>
    <x v="0"/>
    <n v="25000"/>
    <n v="25000"/>
    <x v="7"/>
  </r>
  <r>
    <x v="4"/>
    <x v="1"/>
    <n v="40324531"/>
    <x v="0"/>
    <x v="23"/>
    <x v="0"/>
    <x v="131"/>
    <s v="PO PPA ESP BLO@ BO CJ 20K AS"/>
    <s v="CARNE RECUPERADA PULPA"/>
    <x v="1"/>
    <x v="0"/>
    <n v="0"/>
    <x v="0"/>
    <n v="25000"/>
    <n v="25000"/>
    <x v="7"/>
  </r>
  <r>
    <x v="4"/>
    <x v="1"/>
    <n v="40324532"/>
    <x v="0"/>
    <x v="23"/>
    <x v="0"/>
    <x v="131"/>
    <s v="PO PPA ESP BLO@ BO CJ 20K AS"/>
    <s v="CARNE RECUPERADA PULPA"/>
    <x v="9"/>
    <x v="0"/>
    <n v="0"/>
    <x v="0"/>
    <n v="25000"/>
    <n v="25000"/>
    <x v="7"/>
  </r>
  <r>
    <x v="4"/>
    <x v="1"/>
    <n v="40324533"/>
    <x v="0"/>
    <x v="23"/>
    <x v="0"/>
    <x v="131"/>
    <s v="PO PPA ESP BLO@ BO CJ 20K AS"/>
    <s v="CARNE RECUPERADA PULPA"/>
    <x v="9"/>
    <x v="0"/>
    <n v="0"/>
    <x v="0"/>
    <n v="25000"/>
    <n v="25000"/>
    <x v="7"/>
  </r>
  <r>
    <x v="4"/>
    <x v="1"/>
    <n v="40324535"/>
    <x v="0"/>
    <x v="23"/>
    <x v="0"/>
    <x v="131"/>
    <s v="PO PPA ESP BLO@ BO CJ 20K AS"/>
    <s v="CARNE RECUPERADA PULPA"/>
    <x v="7"/>
    <x v="0"/>
    <n v="0"/>
    <x v="0"/>
    <n v="25000"/>
    <n v="25000"/>
    <x v="7"/>
  </r>
  <r>
    <x v="4"/>
    <x v="1"/>
    <n v="40324538"/>
    <x v="0"/>
    <x v="23"/>
    <x v="0"/>
    <x v="131"/>
    <s v="PO PPA ESP BLO@ BO CJ 20K AS"/>
    <s v="CARNE RECUPERADA PULPA"/>
    <x v="0"/>
    <x v="0"/>
    <n v="0"/>
    <x v="0"/>
    <n v="25000"/>
    <n v="25000"/>
    <x v="7"/>
  </r>
  <r>
    <x v="4"/>
    <x v="1"/>
    <n v="40324539"/>
    <x v="0"/>
    <x v="23"/>
    <x v="0"/>
    <x v="131"/>
    <s v="PO PPA ESP BLO@ BO CJ 20K AS"/>
    <s v="CARNE RECUPERADA PULPA"/>
    <x v="0"/>
    <x v="0"/>
    <n v="0"/>
    <x v="0"/>
    <n v="25000"/>
    <n v="25000"/>
    <x v="7"/>
  </r>
  <r>
    <x v="4"/>
    <x v="1"/>
    <n v="40324540"/>
    <x v="0"/>
    <x v="23"/>
    <x v="0"/>
    <x v="131"/>
    <s v="PO PPA ESP BLO@ BO CJ 20K AS"/>
    <s v="CARNE RECUPERADA PULPA"/>
    <x v="0"/>
    <x v="0"/>
    <n v="0"/>
    <x v="0"/>
    <n v="25000"/>
    <n v="25000"/>
    <x v="7"/>
  </r>
  <r>
    <x v="4"/>
    <x v="1"/>
    <n v="40324541"/>
    <x v="0"/>
    <x v="23"/>
    <x v="0"/>
    <x v="131"/>
    <s v="PO PPA ESP BLO@ BO CJ 20K AS"/>
    <s v="CARNE RECUPERADA PULPA"/>
    <x v="7"/>
    <x v="0"/>
    <n v="0"/>
    <x v="0"/>
    <n v="25000"/>
    <n v="25000"/>
    <x v="7"/>
  </r>
  <r>
    <x v="4"/>
    <x v="1"/>
    <n v="40324542"/>
    <x v="0"/>
    <x v="23"/>
    <x v="0"/>
    <x v="131"/>
    <s v="PO PPA ESP BLO@ BO CJ 20K AS"/>
    <s v="CARNE RECUPERADA PULPA"/>
    <x v="7"/>
    <x v="0"/>
    <n v="0"/>
    <x v="0"/>
    <n v="25000"/>
    <n v="25000"/>
    <x v="7"/>
  </r>
  <r>
    <x v="4"/>
    <x v="1"/>
    <n v="40324554"/>
    <x v="1"/>
    <x v="24"/>
    <x v="0"/>
    <x v="131"/>
    <s v="PO PPA ESP BLO@ BO CJ 20K AS"/>
    <s v="CARNE RECUPERADA PULPA"/>
    <x v="6"/>
    <x v="0"/>
    <n v="25000"/>
    <x v="0"/>
    <n v="0"/>
    <n v="25000"/>
    <x v="7"/>
  </r>
  <r>
    <x v="4"/>
    <x v="0"/>
    <n v="40312153"/>
    <x v="1"/>
    <x v="23"/>
    <x v="0"/>
    <x v="132"/>
    <s v="GO GRASA CHALECO@ CJ 10K AS"/>
    <s v="SUBPROD GRASA"/>
    <x v="2"/>
    <x v="2"/>
    <n v="0"/>
    <x v="1"/>
    <n v="0"/>
    <n v="24000"/>
    <x v="7"/>
  </r>
  <r>
    <x v="4"/>
    <x v="0"/>
    <n v="40312154"/>
    <x v="1"/>
    <x v="23"/>
    <x v="0"/>
    <x v="132"/>
    <s v="GO GRASA CHALECO@ CJ 10K AS"/>
    <s v="SUBPROD GRASA"/>
    <x v="7"/>
    <x v="1"/>
    <n v="0"/>
    <x v="0"/>
    <n v="24000"/>
    <n v="24000"/>
    <x v="7"/>
  </r>
  <r>
    <x v="4"/>
    <x v="0"/>
    <n v="40315654"/>
    <x v="1"/>
    <x v="25"/>
    <x v="0"/>
    <x v="133"/>
    <s v="GO PECHO S/CUE K@ CJ 20K AK"/>
    <s v="COST-PEC ENTERO"/>
    <x v="6"/>
    <x v="2"/>
    <n v="22000"/>
    <x v="0"/>
    <n v="0"/>
    <n v="22000"/>
    <x v="7"/>
  </r>
  <r>
    <x v="4"/>
    <x v="0"/>
    <n v="40315664"/>
    <x v="1"/>
    <x v="25"/>
    <x v="0"/>
    <x v="134"/>
    <s v="GO PERNILM@ CJ 20K AK"/>
    <s v="PERNIL MANO"/>
    <x v="2"/>
    <x v="2"/>
    <n v="0"/>
    <x v="20"/>
    <n v="0"/>
    <n v="22509.142"/>
    <x v="7"/>
  </r>
  <r>
    <x v="4"/>
    <x v="0"/>
    <n v="40315669"/>
    <x v="1"/>
    <x v="25"/>
    <x v="0"/>
    <x v="135"/>
    <s v="GO LOM VET@ CJ 12K AK"/>
    <s v="LOMO VETADO"/>
    <x v="10"/>
    <x v="5"/>
    <n v="0"/>
    <x v="21"/>
    <n v="0"/>
    <n v="22000"/>
    <x v="7"/>
  </r>
  <r>
    <x v="4"/>
    <x v="0"/>
    <n v="40315818"/>
    <x v="1"/>
    <x v="25"/>
    <x v="0"/>
    <x v="136"/>
    <s v="GO PANC S/CUE@ CJ PANC 16K AS"/>
    <s v="PANCETA S/CUERO"/>
    <x v="6"/>
    <x v="0"/>
    <n v="11000"/>
    <x v="0"/>
    <n v="0"/>
    <n v="11000"/>
    <x v="8"/>
  </r>
  <r>
    <x v="4"/>
    <x v="0"/>
    <n v="40315818"/>
    <x v="1"/>
    <x v="25"/>
    <x v="0"/>
    <x v="137"/>
    <s v="GO LOM VET@ CJ 8K AS"/>
    <s v="LOMO VETADO"/>
    <x v="6"/>
    <x v="0"/>
    <n v="11000"/>
    <x v="0"/>
    <n v="0"/>
    <n v="11000"/>
    <x v="8"/>
  </r>
  <r>
    <x v="4"/>
    <x v="0"/>
    <n v="40315828"/>
    <x v="0"/>
    <x v="23"/>
    <x v="0"/>
    <x v="138"/>
    <s v="GO GORD ESP@ CJ 20K AS"/>
    <s v="GRASA GORDURA"/>
    <x v="10"/>
    <x v="1"/>
    <n v="0"/>
    <x v="0"/>
    <n v="24000"/>
    <n v="24000"/>
    <x v="7"/>
  </r>
  <r>
    <x v="4"/>
    <x v="0"/>
    <n v="40317060"/>
    <x v="1"/>
    <x v="25"/>
    <x v="0"/>
    <x v="139"/>
    <s v="GO PERNILM C/M@ CJ 15K TJ"/>
    <s v="PERNIL MANO"/>
    <x v="2"/>
    <x v="4"/>
    <n v="0"/>
    <x v="21"/>
    <n v="0"/>
    <n v="22000"/>
    <x v="7"/>
  </r>
  <r>
    <x v="4"/>
    <x v="0"/>
    <n v="40318994"/>
    <x v="1"/>
    <x v="26"/>
    <x v="0"/>
    <x v="140"/>
    <s v="GO ESTÓMAGO POUCH@ BO CJ 10K AS"/>
    <s v="SUBPROD VISCERAS"/>
    <x v="11"/>
    <x v="0"/>
    <n v="0"/>
    <x v="0"/>
    <n v="24000"/>
    <n v="24000"/>
    <x v="7"/>
  </r>
  <r>
    <x v="4"/>
    <x v="0"/>
    <n v="40324544"/>
    <x v="0"/>
    <x v="23"/>
    <x v="0"/>
    <x v="141"/>
    <s v="GO PAPDA C/CUE GRANEL@ BO CJ AS"/>
    <s v="PLANCHA C/CUERO"/>
    <x v="7"/>
    <x v="0"/>
    <n v="0"/>
    <x v="0"/>
    <n v="24000"/>
    <n v="24000"/>
    <x v="7"/>
  </r>
  <r>
    <x v="4"/>
    <x v="0"/>
    <n v="40324574"/>
    <x v="0"/>
    <x v="23"/>
    <x v="0"/>
    <x v="142"/>
    <s v="GO PULMON@ CJ 20K AS"/>
    <s v="SUBPROD VISCERAS"/>
    <x v="12"/>
    <x v="0"/>
    <n v="0"/>
    <x v="0"/>
    <n v="24000"/>
    <n v="24000"/>
    <x v="7"/>
  </r>
  <r>
    <x v="4"/>
    <x v="0"/>
    <n v="40324576"/>
    <x v="0"/>
    <x v="23"/>
    <x v="0"/>
    <x v="143"/>
    <s v="GO CORAZÓN PARTIDO@ CJ 10K AS"/>
    <s v="SUBPROD VISCERAS"/>
    <x v="2"/>
    <x v="1"/>
    <n v="0"/>
    <x v="1"/>
    <n v="0"/>
    <n v="24000"/>
    <x v="7"/>
  </r>
  <r>
    <x v="4"/>
    <x v="0"/>
    <n v="40324989"/>
    <x v="1"/>
    <x v="25"/>
    <x v="0"/>
    <x v="144"/>
    <s v="GO PECH S/CUE@ VP CJ AS"/>
    <s v="COST-PEC ENTERO"/>
    <x v="2"/>
    <x v="2"/>
    <n v="0"/>
    <x v="21"/>
    <n v="0"/>
    <n v="22000"/>
    <x v="7"/>
  </r>
  <r>
    <x v="4"/>
    <x v="0"/>
    <n v="40324993"/>
    <x v="1"/>
    <x v="25"/>
    <x v="0"/>
    <x v="145"/>
    <s v="GO LOM VET@ CJ 12K TJ"/>
    <s v="LOMO VETADO"/>
    <x v="6"/>
    <x v="2"/>
    <n v="22000"/>
    <x v="0"/>
    <n v="0"/>
    <n v="22000"/>
    <x v="7"/>
  </r>
  <r>
    <x v="4"/>
    <x v="0"/>
    <n v="40324996"/>
    <x v="1"/>
    <x v="25"/>
    <x v="0"/>
    <x v="146"/>
    <s v="GO TIRA HSO CTRO@ CJ 20K TJ"/>
    <s v="HUESOS CUARTO CENTRAL"/>
    <x v="2"/>
    <x v="2"/>
    <n v="0"/>
    <x v="21"/>
    <n v="0"/>
    <n v="22000"/>
    <x v="7"/>
  </r>
  <r>
    <x v="4"/>
    <x v="0"/>
    <n v="40324997"/>
    <x v="0"/>
    <x v="25"/>
    <x v="0"/>
    <x v="146"/>
    <s v="GO TIRA HSO CTRO@ CJ 20K TJ"/>
    <s v="HUESOS CUARTO CENTRAL"/>
    <x v="1"/>
    <x v="2"/>
    <n v="0"/>
    <x v="0"/>
    <n v="22000"/>
    <n v="22000"/>
    <x v="7"/>
  </r>
  <r>
    <x v="4"/>
    <x v="0"/>
    <n v="40324998"/>
    <x v="0"/>
    <x v="25"/>
    <x v="0"/>
    <x v="146"/>
    <s v="GO TIRA HSO CTRO@ CJ 20K TJ"/>
    <s v="HUESOS CUARTO CENTRAL"/>
    <x v="9"/>
    <x v="2"/>
    <n v="0"/>
    <x v="0"/>
    <n v="22000"/>
    <n v="22000"/>
    <x v="7"/>
  </r>
  <r>
    <x v="4"/>
    <x v="0"/>
    <n v="40325009"/>
    <x v="1"/>
    <x v="25"/>
    <x v="0"/>
    <x v="147"/>
    <s v="GO PANC S/CUE@ CJ PANC TJ"/>
    <s v="PANCETA S/CUERO"/>
    <x v="2"/>
    <x v="0"/>
    <n v="0"/>
    <x v="21"/>
    <n v="0"/>
    <n v="22000"/>
    <x v="7"/>
  </r>
  <r>
    <x v="4"/>
    <x v="0"/>
    <n v="40325014"/>
    <x v="1"/>
    <x v="25"/>
    <x v="0"/>
    <x v="147"/>
    <s v="GO PANC S/CUE@ CJ PANC TJ"/>
    <s v="PANCETA S/CUERO"/>
    <x v="2"/>
    <x v="0"/>
    <n v="0"/>
    <x v="21"/>
    <n v="0"/>
    <n v="22000"/>
    <x v="7"/>
  </r>
  <r>
    <x v="4"/>
    <x v="0"/>
    <n v="40325015"/>
    <x v="1"/>
    <x v="25"/>
    <x v="0"/>
    <x v="147"/>
    <s v="GO PANC S/CUE@ CJ PANC TJ"/>
    <s v="PANCETA S/CUERO"/>
    <x v="3"/>
    <x v="0"/>
    <n v="0"/>
    <x v="0"/>
    <n v="22000"/>
    <n v="22000"/>
    <x v="7"/>
  </r>
  <r>
    <x v="4"/>
    <x v="0"/>
    <n v="40325016"/>
    <x v="1"/>
    <x v="25"/>
    <x v="0"/>
    <x v="147"/>
    <s v="GO PANC S/CUE@ CJ PANC TJ"/>
    <s v="PANCETA S/CUERO"/>
    <x v="3"/>
    <x v="0"/>
    <n v="0"/>
    <x v="0"/>
    <n v="22000"/>
    <n v="22000"/>
    <x v="7"/>
  </r>
  <r>
    <x v="4"/>
    <x v="0"/>
    <n v="40325017"/>
    <x v="0"/>
    <x v="25"/>
    <x v="0"/>
    <x v="147"/>
    <s v="GO PANC S/CUE@ CJ PANC TJ"/>
    <s v="PANCETA S/CUERO"/>
    <x v="1"/>
    <x v="0"/>
    <n v="0"/>
    <x v="0"/>
    <n v="22000"/>
    <n v="22000"/>
    <x v="7"/>
  </r>
  <r>
    <x v="4"/>
    <x v="0"/>
    <n v="40325018"/>
    <x v="0"/>
    <x v="25"/>
    <x v="0"/>
    <x v="147"/>
    <s v="GO PANC S/CUE@ CJ PANC TJ"/>
    <s v="PANCETA S/CUERO"/>
    <x v="1"/>
    <x v="0"/>
    <n v="0"/>
    <x v="0"/>
    <n v="22000"/>
    <n v="22000"/>
    <x v="7"/>
  </r>
  <r>
    <x v="4"/>
    <x v="0"/>
    <n v="40325019"/>
    <x v="0"/>
    <x v="25"/>
    <x v="0"/>
    <x v="147"/>
    <s v="GO PANC S/CUE@ CJ PANC TJ"/>
    <s v="PANCETA S/CUERO"/>
    <x v="5"/>
    <x v="0"/>
    <n v="0"/>
    <x v="0"/>
    <n v="22000"/>
    <n v="22000"/>
    <x v="7"/>
  </r>
  <r>
    <x v="4"/>
    <x v="0"/>
    <n v="40325020"/>
    <x v="0"/>
    <x v="25"/>
    <x v="0"/>
    <x v="147"/>
    <s v="GO PANC S/CUE@ CJ PANC TJ"/>
    <s v="PANCETA S/CUERO"/>
    <x v="5"/>
    <x v="0"/>
    <n v="0"/>
    <x v="0"/>
    <n v="22000"/>
    <n v="22000"/>
    <x v="7"/>
  </r>
  <r>
    <x v="4"/>
    <x v="0"/>
    <n v="40325021"/>
    <x v="0"/>
    <x v="25"/>
    <x v="0"/>
    <x v="147"/>
    <s v="GO PANC S/CUE@ CJ PANC TJ"/>
    <s v="PANCETA S/CUERO"/>
    <x v="7"/>
    <x v="0"/>
    <n v="0"/>
    <x v="0"/>
    <n v="22000"/>
    <n v="22000"/>
    <x v="7"/>
  </r>
  <r>
    <x v="4"/>
    <x v="0"/>
    <n v="40325022"/>
    <x v="0"/>
    <x v="25"/>
    <x v="0"/>
    <x v="147"/>
    <s v="GO PANC S/CUE@ CJ PANC TJ"/>
    <s v="PANCETA S/CUERO"/>
    <x v="7"/>
    <x v="0"/>
    <n v="0"/>
    <x v="0"/>
    <n v="22000"/>
    <n v="22000"/>
    <x v="7"/>
  </r>
  <r>
    <x v="4"/>
    <x v="0"/>
    <n v="40325065"/>
    <x v="1"/>
    <x v="25"/>
    <x v="0"/>
    <x v="135"/>
    <s v="GO LOM VET@ CJ 12K AK"/>
    <s v="LOMO VETADO"/>
    <x v="8"/>
    <x v="1"/>
    <n v="0"/>
    <x v="0"/>
    <n v="11000"/>
    <n v="11000"/>
    <x v="7"/>
  </r>
  <r>
    <x v="4"/>
    <x v="0"/>
    <n v="40325065"/>
    <x v="1"/>
    <x v="25"/>
    <x v="0"/>
    <x v="148"/>
    <s v="GO PANC S/CUE@ CJ PANC AK"/>
    <s v="PANCETA S/CUERO"/>
    <x v="8"/>
    <x v="1"/>
    <n v="0"/>
    <x v="0"/>
    <n v="11000"/>
    <n v="11000"/>
    <x v="7"/>
  </r>
  <r>
    <x v="4"/>
    <x v="0"/>
    <n v="40325077"/>
    <x v="1"/>
    <x v="25"/>
    <x v="0"/>
    <x v="135"/>
    <s v="GO LOM VET@ CJ 12K AK"/>
    <s v="LOMO VETADO"/>
    <x v="11"/>
    <x v="2"/>
    <n v="0"/>
    <x v="0"/>
    <n v="22000"/>
    <n v="22000"/>
    <x v="7"/>
  </r>
  <r>
    <x v="4"/>
    <x v="0"/>
    <n v="40325078"/>
    <x v="0"/>
    <x v="25"/>
    <x v="0"/>
    <x v="135"/>
    <s v="GO LOM VET@ CJ 12K AK"/>
    <s v="LOMO VETADO"/>
    <x v="12"/>
    <x v="2"/>
    <n v="0"/>
    <x v="0"/>
    <n v="22000"/>
    <n v="22000"/>
    <x v="7"/>
  </r>
  <r>
    <x v="4"/>
    <x v="0"/>
    <n v="40325079"/>
    <x v="0"/>
    <x v="25"/>
    <x v="0"/>
    <x v="135"/>
    <s v="GO LOM VET@ CJ 12K AK"/>
    <s v="LOMO VETADO"/>
    <x v="0"/>
    <x v="2"/>
    <n v="0"/>
    <x v="0"/>
    <n v="22000"/>
    <n v="22000"/>
    <x v="7"/>
  </r>
  <r>
    <x v="4"/>
    <x v="0"/>
    <n v="40325080"/>
    <x v="0"/>
    <x v="25"/>
    <x v="0"/>
    <x v="135"/>
    <s v="GO LOM VET@ CJ 12K AK"/>
    <s v="LOMO VETADO"/>
    <x v="7"/>
    <x v="1"/>
    <n v="0"/>
    <x v="0"/>
    <n v="22000"/>
    <n v="22000"/>
    <x v="7"/>
  </r>
  <r>
    <x v="4"/>
    <x v="0"/>
    <n v="40325148"/>
    <x v="0"/>
    <x v="25"/>
    <x v="0"/>
    <x v="136"/>
    <s v="GO PANC S/CUE@ CJ PANC 16K AS"/>
    <s v="PANCETA S/CUERO"/>
    <x v="6"/>
    <x v="2"/>
    <n v="22000"/>
    <x v="0"/>
    <n v="0"/>
    <n v="22000"/>
    <x v="7"/>
  </r>
  <r>
    <x v="4"/>
    <x v="0"/>
    <n v="40325149"/>
    <x v="0"/>
    <x v="25"/>
    <x v="0"/>
    <x v="136"/>
    <s v="GO PANC S/CUE@ CJ PANC 16K AS"/>
    <s v="PANCETA S/CUERO"/>
    <x v="4"/>
    <x v="1"/>
    <n v="0"/>
    <x v="0"/>
    <n v="22000"/>
    <n v="22000"/>
    <x v="7"/>
  </r>
  <r>
    <x v="4"/>
    <x v="0"/>
    <n v="40325150"/>
    <x v="0"/>
    <x v="25"/>
    <x v="0"/>
    <x v="136"/>
    <s v="GO PANC S/CUE@ CJ PANC 16K AS"/>
    <s v="PANCETA S/CUERO"/>
    <x v="4"/>
    <x v="0"/>
    <n v="0"/>
    <x v="0"/>
    <n v="22000"/>
    <n v="22000"/>
    <x v="7"/>
  </r>
  <r>
    <x v="4"/>
    <x v="0"/>
    <n v="40325152"/>
    <x v="1"/>
    <x v="25"/>
    <x v="0"/>
    <x v="137"/>
    <s v="GO LOM VET@ CJ 8K AS"/>
    <s v="LOMO VETADO"/>
    <x v="6"/>
    <x v="2"/>
    <n v="22000"/>
    <x v="0"/>
    <n v="0"/>
    <n v="22000"/>
    <x v="7"/>
  </r>
  <r>
    <x v="4"/>
    <x v="0"/>
    <n v="40325377"/>
    <x v="0"/>
    <x v="25"/>
    <x v="0"/>
    <x v="149"/>
    <s v="GO PAPDA K@ CJ 20K AK"/>
    <s v="PLANCHA S/CUERO"/>
    <x v="6"/>
    <x v="1"/>
    <n v="22000"/>
    <x v="0"/>
    <n v="0"/>
    <n v="22000"/>
    <x v="7"/>
  </r>
  <r>
    <x v="4"/>
    <x v="0"/>
    <n v="40325378"/>
    <x v="0"/>
    <x v="25"/>
    <x v="0"/>
    <x v="149"/>
    <s v="GO PAPDA K@ CJ 20K AK"/>
    <s v="PLANCHA S/CUERO"/>
    <x v="6"/>
    <x v="1"/>
    <n v="22000"/>
    <x v="0"/>
    <n v="0"/>
    <n v="22000"/>
    <x v="7"/>
  </r>
  <r>
    <x v="4"/>
    <x v="0"/>
    <n v="40325379"/>
    <x v="0"/>
    <x v="25"/>
    <x v="0"/>
    <x v="149"/>
    <s v="GO PAPDA K@ CJ 20K AK"/>
    <s v="PLANCHA S/CUERO"/>
    <x v="6"/>
    <x v="1"/>
    <n v="22000"/>
    <x v="0"/>
    <n v="0"/>
    <n v="22000"/>
    <x v="7"/>
  </r>
  <r>
    <x v="4"/>
    <x v="0"/>
    <n v="40325380"/>
    <x v="0"/>
    <x v="25"/>
    <x v="0"/>
    <x v="149"/>
    <s v="GO PAPDA K@ CJ 20K AK"/>
    <s v="PLANCHA S/CUERO"/>
    <x v="10"/>
    <x v="4"/>
    <n v="0"/>
    <x v="21"/>
    <n v="0"/>
    <n v="22000"/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">
  <r>
    <n v="1"/>
    <x v="0"/>
    <x v="0"/>
    <s v="Proceso Congelado"/>
    <n v="760"/>
  </r>
  <r>
    <n v="1"/>
    <x v="0"/>
    <x v="0"/>
    <s v="Libre Utilizacion"/>
    <n v="47040"/>
  </r>
  <r>
    <n v="1"/>
    <x v="0"/>
    <x v="1"/>
    <s v="Libre Utilizacion"/>
    <n v="78093"/>
  </r>
  <r>
    <n v="1"/>
    <x v="0"/>
    <x v="2"/>
    <s v="Libre Utilizacion"/>
    <n v="25836"/>
  </r>
  <r>
    <n v="1"/>
    <x v="1"/>
    <x v="3"/>
    <s v="Libre Utilizacion"/>
    <n v="3428"/>
  </r>
  <r>
    <n v="1"/>
    <x v="1"/>
    <x v="4"/>
    <s v="Libre Utilizacion"/>
    <n v="17922"/>
  </r>
  <r>
    <n v="1"/>
    <x v="1"/>
    <x v="5"/>
    <s v="Proceso Congelado"/>
    <n v="23569"/>
  </r>
  <r>
    <n v="1"/>
    <x v="1"/>
    <x v="5"/>
    <s v="Libre Utilizacion"/>
    <n v="15623"/>
  </r>
  <r>
    <n v="1"/>
    <x v="1"/>
    <x v="6"/>
    <s v="Libre Utilizacion"/>
    <n v="13318"/>
  </r>
  <r>
    <n v="1"/>
    <x v="1"/>
    <x v="7"/>
    <s v="Libre Utilizacion"/>
    <n v="20104"/>
  </r>
  <r>
    <n v="1"/>
    <x v="1"/>
    <x v="8"/>
    <s v="Proceso Congelado"/>
    <n v="19958"/>
  </r>
  <r>
    <n v="1"/>
    <x v="1"/>
    <x v="8"/>
    <s v="Libre Utilizacion"/>
    <n v="44870"/>
  </r>
  <r>
    <n v="1"/>
    <x v="1"/>
    <x v="9"/>
    <s v="Libre Utilizacion"/>
    <n v="13681"/>
  </r>
  <r>
    <n v="1"/>
    <x v="1"/>
    <x v="10"/>
    <s v="Libre Utilizacion"/>
    <n v="12410"/>
  </r>
  <r>
    <n v="1"/>
    <x v="1"/>
    <x v="11"/>
    <s v="Proceso Congelado"/>
    <n v="254"/>
  </r>
  <r>
    <n v="1"/>
    <x v="1"/>
    <x v="11"/>
    <s v="Libre Utilizacion"/>
    <n v="3121"/>
  </r>
  <r>
    <n v="1"/>
    <x v="1"/>
    <x v="12"/>
    <s v="Libre Utilizacion"/>
    <n v="2019"/>
  </r>
  <r>
    <n v="1"/>
    <x v="1"/>
    <x v="13"/>
    <s v="Libre Utilizacion"/>
    <n v="17873"/>
  </r>
  <r>
    <n v="1"/>
    <x v="1"/>
    <x v="14"/>
    <s v="Libre Utilizacion"/>
    <n v="23097"/>
  </r>
  <r>
    <n v="1"/>
    <x v="1"/>
    <x v="15"/>
    <s v="Proceso Congelado"/>
    <n v="907"/>
  </r>
  <r>
    <n v="1"/>
    <x v="1"/>
    <x v="15"/>
    <s v="Libre Utilizacion"/>
    <n v="90865"/>
  </r>
  <r>
    <n v="1"/>
    <x v="1"/>
    <x v="16"/>
    <s v="Proceso Congelado"/>
    <n v="181"/>
  </r>
  <r>
    <n v="1"/>
    <x v="1"/>
    <x v="16"/>
    <s v="Libre Utilizacion"/>
    <n v="77965"/>
  </r>
  <r>
    <n v="1"/>
    <x v="1"/>
    <x v="17"/>
    <s v="Libre Utilizacion"/>
    <n v="22970"/>
  </r>
  <r>
    <n v="1"/>
    <x v="1"/>
    <x v="18"/>
    <s v="Proceso Congelado"/>
    <n v="54"/>
  </r>
  <r>
    <n v="1"/>
    <x v="1"/>
    <x v="18"/>
    <s v="Libre Utilizacion"/>
    <n v="13517"/>
  </r>
  <r>
    <n v="1"/>
    <x v="1"/>
    <x v="19"/>
    <s v="Libre Utilizacion"/>
    <n v="22045"/>
  </r>
  <r>
    <n v="1"/>
    <x v="1"/>
    <x v="20"/>
    <s v="Libre Utilizacion"/>
    <n v="30083"/>
  </r>
  <r>
    <n v="1"/>
    <x v="1"/>
    <x v="21"/>
    <s v="Proceso Congelado"/>
    <n v="907"/>
  </r>
  <r>
    <n v="1"/>
    <x v="1"/>
    <x v="21"/>
    <s v="Libre Utilizacion"/>
    <n v="147384"/>
  </r>
  <r>
    <n v="1"/>
    <x v="1"/>
    <x v="22"/>
    <s v="Libre Utilizacion"/>
    <n v="28141"/>
  </r>
  <r>
    <n v="1"/>
    <x v="1"/>
    <x v="23"/>
    <s v="Libre Utilizacion"/>
    <n v="30083"/>
  </r>
  <r>
    <n v="1"/>
    <x v="1"/>
    <x v="24"/>
    <s v="Libre Utilizacion"/>
    <n v="15912"/>
  </r>
  <r>
    <n v="1"/>
    <x v="1"/>
    <x v="25"/>
    <s v="Libre Utilizacion"/>
    <n v="7348"/>
  </r>
  <r>
    <n v="1"/>
    <x v="1"/>
    <x v="26"/>
    <s v="Libre Utilizacion"/>
    <n v="60764"/>
  </r>
  <r>
    <n v="1"/>
    <x v="1"/>
    <x v="27"/>
    <s v="Libre Utilizacion"/>
    <n v="28159"/>
  </r>
  <r>
    <n v="1"/>
    <x v="1"/>
    <x v="28"/>
    <s v="Libre Utilizacion"/>
    <n v="8383"/>
  </r>
  <r>
    <n v="1"/>
    <x v="1"/>
    <x v="29"/>
    <s v="Libre Utilizacion"/>
    <n v="15658"/>
  </r>
  <r>
    <n v="1"/>
    <x v="1"/>
    <x v="30"/>
    <s v="Libre Utilizacion"/>
    <n v="9671"/>
  </r>
  <r>
    <n v="1"/>
    <x v="1"/>
    <x v="31"/>
    <s v="Libre Utilizacion"/>
    <n v="10778"/>
  </r>
  <r>
    <n v="1"/>
    <x v="1"/>
    <x v="32"/>
    <s v="Proceso Congelado"/>
    <n v="1379"/>
  </r>
  <r>
    <n v="1"/>
    <x v="1"/>
    <x v="32"/>
    <s v="Libre Utilizacion"/>
    <n v="726"/>
  </r>
  <r>
    <n v="1"/>
    <x v="1"/>
    <x v="33"/>
    <s v="Libre Utilizacion"/>
    <n v="3611"/>
  </r>
  <r>
    <n v="1"/>
    <x v="1"/>
    <x v="34"/>
    <s v="Proceso Congelado"/>
    <n v="18"/>
  </r>
  <r>
    <n v="1"/>
    <x v="1"/>
    <x v="35"/>
    <s v="Libre Utilizacion"/>
    <n v="2250"/>
  </r>
  <r>
    <n v="1"/>
    <x v="1"/>
    <x v="36"/>
    <s v="Libre Utilizacion"/>
    <n v="15994"/>
  </r>
  <r>
    <n v="1"/>
    <x v="1"/>
    <x v="37"/>
    <s v="Libre Utilizacion"/>
    <n v="109"/>
  </r>
  <r>
    <n v="1"/>
    <x v="1"/>
    <x v="38"/>
    <s v="Proceso Congelado"/>
    <n v="54"/>
  </r>
  <r>
    <n v="1"/>
    <x v="1"/>
    <x v="39"/>
    <s v="Proceso Congelado"/>
    <n v="54"/>
  </r>
  <r>
    <n v="1"/>
    <x v="1"/>
    <x v="39"/>
    <s v="Libre Utilizacion"/>
    <n v="2504"/>
  </r>
  <r>
    <n v="1"/>
    <x v="1"/>
    <x v="40"/>
    <s v="Proceso Congelado"/>
    <n v="54"/>
  </r>
  <r>
    <n v="1"/>
    <x v="1"/>
    <x v="41"/>
    <s v="Libre Utilizacion"/>
    <n v="73"/>
  </r>
  <r>
    <n v="1"/>
    <x v="1"/>
    <x v="42"/>
    <s v="Libre Utilizacion"/>
    <n v="10366"/>
  </r>
  <r>
    <n v="1"/>
    <x v="1"/>
    <x v="43"/>
    <s v="Libre Utilizacion"/>
    <n v="12365"/>
  </r>
  <r>
    <n v="1"/>
    <x v="1"/>
    <x v="44"/>
    <s v="Libre Utilizacion"/>
    <n v="127"/>
  </r>
  <r>
    <n v="1"/>
    <x v="1"/>
    <x v="45"/>
    <s v="Libre Utilizacion"/>
    <n v="3112"/>
  </r>
  <r>
    <n v="1"/>
    <x v="1"/>
    <x v="46"/>
    <s v="Proceso Congelado"/>
    <n v="18"/>
  </r>
  <r>
    <n v="1"/>
    <x v="1"/>
    <x v="47"/>
    <s v="Libre Utilizacion"/>
    <n v="1533"/>
  </r>
  <r>
    <n v="1"/>
    <x v="1"/>
    <x v="48"/>
    <s v="Libre Utilizacion"/>
    <n v="8770"/>
  </r>
  <r>
    <n v="1"/>
    <x v="1"/>
    <x v="49"/>
    <s v="Libre Utilizacion"/>
    <n v="3112"/>
  </r>
  <r>
    <n v="1"/>
    <x v="2"/>
    <x v="50"/>
    <s v="Libre Utilizacion"/>
    <n v="108540"/>
  </r>
  <r>
    <n v="1"/>
    <x v="2"/>
    <x v="51"/>
    <s v="Libre Utilizacion"/>
    <n v="8084"/>
  </r>
  <r>
    <n v="1"/>
    <x v="2"/>
    <x v="52"/>
    <s v="Libre Utilizacion"/>
    <n v="122691"/>
  </r>
  <r>
    <n v="1"/>
    <x v="2"/>
    <x v="53"/>
    <s v="Libre Utilizacion"/>
    <n v="1252"/>
  </r>
  <r>
    <n v="1"/>
    <x v="2"/>
    <x v="54"/>
    <s v="Libre Utilizacion"/>
    <n v="11287"/>
  </r>
  <r>
    <n v="1"/>
    <x v="2"/>
    <x v="55"/>
    <s v="Libre Utilizacion"/>
    <n v="14202"/>
  </r>
  <r>
    <n v="1"/>
    <x v="2"/>
    <x v="56"/>
    <s v="Libre Utilizacion"/>
    <n v="28250"/>
  </r>
  <r>
    <n v="1"/>
    <x v="2"/>
    <x v="57"/>
    <s v="Libre Utilizacion"/>
    <n v="15702"/>
  </r>
  <r>
    <n v="1"/>
    <x v="2"/>
    <x v="58"/>
    <s v="Libre Utilizacion"/>
    <n v="56006"/>
  </r>
  <r>
    <n v="1"/>
    <x v="2"/>
    <x v="59"/>
    <s v="Libre Utilizacion"/>
    <n v="4391"/>
  </r>
  <r>
    <n v="1"/>
    <x v="2"/>
    <x v="60"/>
    <s v="Libre Utilizacion"/>
    <n v="1546"/>
  </r>
  <r>
    <n v="1"/>
    <x v="2"/>
    <x v="61"/>
    <s v="Libre Utilizacion"/>
    <n v="38160"/>
  </r>
  <r>
    <n v="1"/>
    <x v="2"/>
    <x v="62"/>
    <s v="Libre Utilizacion"/>
    <n v="44"/>
  </r>
  <r>
    <n v="1"/>
    <x v="3"/>
    <x v="63"/>
    <s v="Libre Utilizacion"/>
    <n v="21438"/>
  </r>
  <r>
    <n v="1"/>
    <x v="3"/>
    <x v="64"/>
    <s v="Libre Utilizacion"/>
    <n v="5166"/>
  </r>
  <r>
    <n v="1"/>
    <x v="4"/>
    <x v="65"/>
    <s v="Proceso Congelado"/>
    <n v="54"/>
  </r>
  <r>
    <n v="1"/>
    <x v="4"/>
    <x v="66"/>
    <s v="Proceso Congelado"/>
    <n v="1669"/>
  </r>
  <r>
    <n v="1"/>
    <x v="4"/>
    <x v="66"/>
    <s v="Libre Utilizacion"/>
    <n v="9324"/>
  </r>
  <r>
    <n v="1"/>
    <x v="4"/>
    <x v="67"/>
    <s v="Libre Utilizacion"/>
    <n v="26460"/>
  </r>
  <r>
    <n v="1"/>
    <x v="4"/>
    <x v="68"/>
    <s v="Proceso Congelado"/>
    <n v="480"/>
  </r>
  <r>
    <n v="1"/>
    <x v="4"/>
    <x v="68"/>
    <s v="Libre Utilizacion"/>
    <n v="8500"/>
  </r>
  <r>
    <n v="1"/>
    <x v="4"/>
    <x v="69"/>
    <s v="Libre Utilizacion"/>
    <n v="33560"/>
  </r>
  <r>
    <n v="1"/>
    <x v="4"/>
    <x v="70"/>
    <s v="Libre Utilizacion"/>
    <n v="8944"/>
  </r>
  <r>
    <n v="1"/>
    <x v="4"/>
    <x v="71"/>
    <s v="Libre Utilizacion"/>
    <n v="14520"/>
  </r>
  <r>
    <n v="1"/>
    <x v="4"/>
    <x v="72"/>
    <s v="Proceso Congelado"/>
    <n v="240"/>
  </r>
  <r>
    <n v="1"/>
    <x v="4"/>
    <x v="72"/>
    <s v="Libre Utilizacion"/>
    <n v="79560"/>
  </r>
  <r>
    <n v="1"/>
    <x v="4"/>
    <x v="73"/>
    <s v="Libre Utilizacion"/>
    <n v="15527"/>
  </r>
  <r>
    <n v="1"/>
    <x v="4"/>
    <x v="74"/>
    <s v="Proceso Congelado"/>
    <n v="6780"/>
  </r>
  <r>
    <n v="1"/>
    <x v="4"/>
    <x v="74"/>
    <s v="Libre Utilizacion"/>
    <n v="12780"/>
  </r>
  <r>
    <n v="1"/>
    <x v="4"/>
    <x v="75"/>
    <s v="Libre Utilizacion"/>
    <n v="18260"/>
  </r>
  <r>
    <n v="1"/>
    <x v="4"/>
    <x v="76"/>
    <s v="Proceso Congelado"/>
    <n v="12200"/>
  </r>
  <r>
    <n v="1"/>
    <x v="4"/>
    <x v="76"/>
    <s v="Libre Utilizacion"/>
    <n v="46280"/>
  </r>
  <r>
    <n v="1"/>
    <x v="4"/>
    <x v="77"/>
    <s v="Proceso Congelado"/>
    <n v="2400"/>
  </r>
  <r>
    <n v="1"/>
    <x v="4"/>
    <x v="77"/>
    <s v="Libre Utilizacion"/>
    <n v="20160"/>
  </r>
  <r>
    <n v="1"/>
    <x v="4"/>
    <x v="78"/>
    <s v="Proceso Congelado"/>
    <n v="100"/>
  </r>
  <r>
    <n v="1"/>
    <x v="4"/>
    <x v="78"/>
    <s v="Libre Utilizacion"/>
    <n v="12180"/>
  </r>
  <r>
    <n v="1"/>
    <x v="4"/>
    <x v="79"/>
    <s v="Proceso Congelado"/>
    <n v="140"/>
  </r>
  <r>
    <n v="1"/>
    <x v="4"/>
    <x v="79"/>
    <s v="Libre Utilizacion"/>
    <n v="5720"/>
  </r>
  <r>
    <n v="1"/>
    <x v="4"/>
    <x v="80"/>
    <s v="Proceso Congelado"/>
    <n v="60"/>
  </r>
  <r>
    <n v="1"/>
    <x v="4"/>
    <x v="80"/>
    <s v="Libre Utilizacion"/>
    <n v="3440"/>
  </r>
  <r>
    <n v="1"/>
    <x v="4"/>
    <x v="81"/>
    <s v="Libre Utilizacion"/>
    <n v="5120"/>
  </r>
  <r>
    <n v="1"/>
    <x v="4"/>
    <x v="82"/>
    <s v="Libre Utilizacion"/>
    <n v="28620"/>
  </r>
  <r>
    <n v="1"/>
    <x v="4"/>
    <x v="83"/>
    <s v="Libre Utilizacion"/>
    <n v="2120"/>
  </r>
  <r>
    <n v="1"/>
    <x v="4"/>
    <x v="84"/>
    <s v="Libre Utilizacion"/>
    <n v="21585"/>
  </r>
  <r>
    <n v="1"/>
    <x v="5"/>
    <x v="85"/>
    <s v="Libre Utilizacion"/>
    <n v="20200"/>
  </r>
  <r>
    <n v="1"/>
    <x v="5"/>
    <x v="86"/>
    <s v="Libre Utilizacion"/>
    <n v="16178"/>
  </r>
  <r>
    <n v="1"/>
    <x v="5"/>
    <x v="87"/>
    <s v="Libre Utilizacion"/>
    <n v="27501"/>
  </r>
  <r>
    <n v="1"/>
    <x v="5"/>
    <x v="88"/>
    <s v="Libre Utilizacion"/>
    <n v="4719"/>
  </r>
  <r>
    <n v="1"/>
    <x v="6"/>
    <x v="89"/>
    <s v="Libre Utilizacion"/>
    <n v="44153"/>
  </r>
  <r>
    <n v="1"/>
    <x v="6"/>
    <x v="90"/>
    <s v="Libre Utilizacion"/>
    <n v="15084"/>
  </r>
  <r>
    <n v="1"/>
    <x v="6"/>
    <x v="91"/>
    <s v="Proceso Congelado"/>
    <n v="72"/>
  </r>
  <r>
    <n v="1"/>
    <x v="7"/>
    <x v="92"/>
    <s v="Proceso Congelado"/>
    <n v="73"/>
  </r>
  <r>
    <n v="1"/>
    <x v="7"/>
    <x v="92"/>
    <s v="Libre Utilizacion"/>
    <n v="17670"/>
  </r>
  <r>
    <n v="1"/>
    <x v="8"/>
    <x v="93"/>
    <s v="Libre Utilizacion"/>
    <n v="105640"/>
  </r>
  <r>
    <n v="1"/>
    <x v="8"/>
    <x v="94"/>
    <s v="Libre Utilizacion"/>
    <n v="1796"/>
  </r>
  <r>
    <n v="1"/>
    <x v="8"/>
    <x v="95"/>
    <s v="Proceso Congelado"/>
    <n v="33901"/>
  </r>
  <r>
    <n v="1"/>
    <x v="8"/>
    <x v="95"/>
    <s v="Libre Utilizacion"/>
    <n v="27242"/>
  </r>
  <r>
    <n v="1"/>
    <x v="8"/>
    <x v="96"/>
    <s v="Libre Utilizacion"/>
    <n v="11140"/>
  </r>
  <r>
    <n v="1"/>
    <x v="8"/>
    <x v="97"/>
    <s v="Libre Utilizacion"/>
    <n v="4761"/>
  </r>
  <r>
    <n v="1"/>
    <x v="8"/>
    <x v="98"/>
    <s v="Libre Utilizacion"/>
    <n v="31023"/>
  </r>
  <r>
    <n v="1"/>
    <x v="8"/>
    <x v="99"/>
    <s v="Libre Utilizacion"/>
    <n v="62246"/>
  </r>
  <r>
    <n v="1"/>
    <x v="8"/>
    <x v="100"/>
    <s v="Libre Utilizacion"/>
    <n v="20176"/>
  </r>
  <r>
    <n v="1"/>
    <x v="9"/>
    <x v="101"/>
    <s v="Proceso Congelado"/>
    <n v="662"/>
  </r>
  <r>
    <n v="1"/>
    <x v="9"/>
    <x v="102"/>
    <s v="Proceso Congelado"/>
    <n v="7352"/>
  </r>
  <r>
    <n v="1"/>
    <x v="9"/>
    <x v="102"/>
    <s v="Libre Utilizacion"/>
    <n v="30125"/>
  </r>
  <r>
    <n v="1"/>
    <x v="9"/>
    <x v="103"/>
    <s v="Proceso Congelado"/>
    <n v="2517"/>
  </r>
  <r>
    <n v="1"/>
    <x v="9"/>
    <x v="103"/>
    <s v="Libre Utilizacion"/>
    <n v="2206"/>
  </r>
  <r>
    <n v="1"/>
    <x v="9"/>
    <x v="104"/>
    <s v="Proceso Congelado"/>
    <n v="2015"/>
  </r>
  <r>
    <n v="1"/>
    <x v="9"/>
    <x v="104"/>
    <s v="Libre Utilizacion"/>
    <n v="2138"/>
  </r>
  <r>
    <n v="1"/>
    <x v="9"/>
    <x v="105"/>
    <s v="Libre Utilizacion"/>
    <n v="9640"/>
  </r>
  <r>
    <n v="1"/>
    <x v="9"/>
    <x v="106"/>
    <s v="Libre Utilizacion"/>
    <n v="18244"/>
  </r>
  <r>
    <n v="1"/>
    <x v="9"/>
    <x v="107"/>
    <s v="Proceso Congelado"/>
    <n v="224"/>
  </r>
  <r>
    <n v="1"/>
    <x v="9"/>
    <x v="107"/>
    <s v="Libre Utilizacion"/>
    <n v="47600"/>
  </r>
  <r>
    <n v="1"/>
    <x v="9"/>
    <x v="108"/>
    <s v="Libre Utilizacion"/>
    <n v="646"/>
  </r>
  <r>
    <n v="1"/>
    <x v="9"/>
    <x v="109"/>
    <s v="Libre Utilizacion"/>
    <n v="58391"/>
  </r>
  <r>
    <n v="1"/>
    <x v="9"/>
    <x v="110"/>
    <s v="Libre Utilizacion"/>
    <n v="17592"/>
  </r>
  <r>
    <n v="1"/>
    <x v="9"/>
    <x v="111"/>
    <s v="Libre Utilizacion"/>
    <n v="10351"/>
  </r>
  <r>
    <n v="1"/>
    <x v="9"/>
    <x v="112"/>
    <s v="Libre Utilizacion"/>
    <n v="15687"/>
  </r>
  <r>
    <n v="1"/>
    <x v="9"/>
    <x v="113"/>
    <s v="Libre Utilizacion"/>
    <n v="13013"/>
  </r>
  <r>
    <n v="1"/>
    <x v="9"/>
    <x v="114"/>
    <s v="Proceso Congelado"/>
    <n v="520"/>
  </r>
  <r>
    <n v="1"/>
    <x v="9"/>
    <x v="114"/>
    <s v="Libre Utilizacion"/>
    <n v="18087"/>
  </r>
  <r>
    <n v="1"/>
    <x v="9"/>
    <x v="115"/>
    <s v="Libre Utilizacion"/>
    <n v="10553"/>
  </r>
  <r>
    <n v="1"/>
    <x v="9"/>
    <x v="116"/>
    <s v="Libre Utilizacion"/>
    <n v="30996"/>
  </r>
  <r>
    <n v="1"/>
    <x v="9"/>
    <x v="117"/>
    <s v="Libre Utilizacion"/>
    <n v="6243"/>
  </r>
  <r>
    <n v="1"/>
    <x v="9"/>
    <x v="118"/>
    <s v="Libre Utilizacion"/>
    <n v="2186"/>
  </r>
  <r>
    <n v="1"/>
    <x v="9"/>
    <x v="119"/>
    <s v="Libre Utilizacion"/>
    <n v="45822"/>
  </r>
  <r>
    <n v="1"/>
    <x v="9"/>
    <x v="120"/>
    <s v="Libre Utilizacion"/>
    <n v="29092"/>
  </r>
  <r>
    <n v="1"/>
    <x v="9"/>
    <x v="121"/>
    <s v="Libre Utilizacion"/>
    <n v="6221"/>
  </r>
  <r>
    <n v="1"/>
    <x v="9"/>
    <x v="122"/>
    <s v="Libre Utilizacion"/>
    <n v="27277"/>
  </r>
  <r>
    <n v="1"/>
    <x v="9"/>
    <x v="123"/>
    <s v="Libre Utilizacion"/>
    <n v="27584"/>
  </r>
  <r>
    <n v="1"/>
    <x v="9"/>
    <x v="124"/>
    <s v="Libre Utilizacion"/>
    <n v="2652"/>
  </r>
  <r>
    <n v="1"/>
    <x v="9"/>
    <x v="125"/>
    <s v="Libre Utilizacion"/>
    <n v="16080"/>
  </r>
  <r>
    <n v="1"/>
    <x v="9"/>
    <x v="126"/>
    <s v="Libre Utilizacion"/>
    <n v="10908"/>
  </r>
  <r>
    <n v="1"/>
    <x v="9"/>
    <x v="127"/>
    <s v="Libre Utilizacion"/>
    <n v="12132"/>
  </r>
  <r>
    <n v="1"/>
    <x v="9"/>
    <x v="128"/>
    <s v="Libre Utilizacion"/>
    <n v="34434"/>
  </r>
  <r>
    <n v="1"/>
    <x v="9"/>
    <x v="129"/>
    <s v="Libre Utilizacion"/>
    <n v="33497"/>
  </r>
  <r>
    <n v="1"/>
    <x v="9"/>
    <x v="130"/>
    <s v="Libre Utilizacion"/>
    <n v="70069"/>
  </r>
  <r>
    <n v="1"/>
    <x v="9"/>
    <x v="131"/>
    <s v="Libre Utilizacion"/>
    <n v="95319"/>
  </r>
  <r>
    <n v="1"/>
    <x v="9"/>
    <x v="132"/>
    <s v="Proceso Congelado"/>
    <n v="2062"/>
  </r>
  <r>
    <n v="1"/>
    <x v="9"/>
    <x v="132"/>
    <s v="Libre Utilizacion"/>
    <n v="2639"/>
  </r>
  <r>
    <n v="1"/>
    <x v="9"/>
    <x v="133"/>
    <s v="Proceso Congelado"/>
    <n v="7200"/>
  </r>
  <r>
    <n v="1"/>
    <x v="9"/>
    <x v="134"/>
    <s v="Libre Utilizacion"/>
    <n v="6313"/>
  </r>
  <r>
    <n v="1"/>
    <x v="9"/>
    <x v="135"/>
    <s v="Libre Utilizacion"/>
    <n v="3805"/>
  </r>
  <r>
    <n v="1"/>
    <x v="9"/>
    <x v="136"/>
    <s v="Libre Utilizacion"/>
    <n v="19962"/>
  </r>
  <r>
    <n v="1"/>
    <x v="9"/>
    <x v="137"/>
    <s v="Libre Utilizacion"/>
    <n v="5605"/>
  </r>
  <r>
    <n v="1"/>
    <x v="9"/>
    <x v="138"/>
    <s v="Libre Utilizacion"/>
    <n v="29094"/>
  </r>
  <r>
    <n v="1"/>
    <x v="9"/>
    <x v="139"/>
    <s v="Libre Utilizacion"/>
    <n v="17870"/>
  </r>
  <r>
    <n v="1"/>
    <x v="9"/>
    <x v="140"/>
    <s v="Proceso Congelado"/>
    <n v="1800"/>
  </r>
  <r>
    <n v="1"/>
    <x v="9"/>
    <x v="140"/>
    <s v="Libre Utilizacion"/>
    <n v="214"/>
  </r>
  <r>
    <n v="1"/>
    <x v="9"/>
    <x v="141"/>
    <s v="Libre Utilizacion"/>
    <n v="1109"/>
  </r>
  <r>
    <n v="1"/>
    <x v="9"/>
    <x v="142"/>
    <s v="Libre Utilizacion"/>
    <n v="7405"/>
  </r>
  <r>
    <n v="1"/>
    <x v="9"/>
    <x v="143"/>
    <s v="Libre Utilizacion"/>
    <n v="178"/>
  </r>
  <r>
    <n v="1"/>
    <x v="9"/>
    <x v="144"/>
    <s v="Proceso Congelado"/>
    <n v="668"/>
  </r>
  <r>
    <n v="1"/>
    <x v="9"/>
    <x v="145"/>
    <s v="Proceso Congelado"/>
    <n v="1190"/>
  </r>
  <r>
    <n v="1"/>
    <x v="9"/>
    <x v="146"/>
    <s v="Libre Utilizacion"/>
    <n v="2505"/>
  </r>
  <r>
    <n v="1"/>
    <x v="9"/>
    <x v="147"/>
    <s v="Proceso Congelado"/>
    <n v="5971"/>
  </r>
  <r>
    <n v="1"/>
    <x v="9"/>
    <x v="148"/>
    <s v="Proceso Congelado"/>
    <n v="330"/>
  </r>
  <r>
    <n v="1"/>
    <x v="9"/>
    <x v="149"/>
    <s v="Proceso Congelado"/>
    <n v="314"/>
  </r>
  <r>
    <n v="1"/>
    <x v="9"/>
    <x v="150"/>
    <s v="Proceso Congelado"/>
    <n v="105"/>
  </r>
  <r>
    <n v="1"/>
    <x v="9"/>
    <x v="151"/>
    <s v="Proceso Congelado"/>
    <n v="252"/>
  </r>
  <r>
    <n v="1"/>
    <x v="9"/>
    <x v="152"/>
    <s v="Proceso Congelado"/>
    <n v="15095"/>
  </r>
  <r>
    <n v="1"/>
    <x v="9"/>
    <x v="153"/>
    <s v="Libre Utilizacion"/>
    <n v="547"/>
  </r>
  <r>
    <n v="1"/>
    <x v="9"/>
    <x v="154"/>
    <s v="Libre Utilizacion"/>
    <n v="14922"/>
  </r>
  <r>
    <n v="1"/>
    <x v="9"/>
    <x v="155"/>
    <s v="Proceso Congelado"/>
    <n v="1142"/>
  </r>
  <r>
    <n v="1"/>
    <x v="9"/>
    <x v="156"/>
    <s v="Libre Utilizacion"/>
    <n v="384"/>
  </r>
  <r>
    <n v="1"/>
    <x v="9"/>
    <x v="157"/>
    <s v="Libre Utilizacion"/>
    <n v="1384"/>
  </r>
  <r>
    <n v="1"/>
    <x v="9"/>
    <x v="158"/>
    <s v="Libre Utilizacion"/>
    <n v="9828"/>
  </r>
  <r>
    <n v="1"/>
    <x v="9"/>
    <x v="159"/>
    <s v="Libre Utilizacion"/>
    <n v="7484"/>
  </r>
  <r>
    <n v="1"/>
    <x v="9"/>
    <x v="160"/>
    <s v="Proceso Congelado"/>
    <n v="768"/>
  </r>
  <r>
    <n v="1"/>
    <x v="10"/>
    <x v="161"/>
    <s v="Libre Utilizacion"/>
    <n v="32712"/>
  </r>
  <r>
    <n v="1"/>
    <x v="10"/>
    <x v="162"/>
    <s v="Libre Utilizacion"/>
    <n v="50"/>
  </r>
  <r>
    <n v="1"/>
    <x v="10"/>
    <x v="163"/>
    <s v="Proceso Congelado"/>
    <n v="437"/>
  </r>
  <r>
    <n v="1"/>
    <x v="10"/>
    <x v="164"/>
    <s v="Libre Utilizacion"/>
    <n v="894"/>
  </r>
  <r>
    <n v="1"/>
    <x v="10"/>
    <x v="165"/>
    <s v="Libre Utilizacion"/>
    <n v="2485"/>
  </r>
  <r>
    <n v="1"/>
    <x v="10"/>
    <x v="166"/>
    <s v="Libre Utilizacion"/>
    <n v="2594"/>
  </r>
  <r>
    <n v="1"/>
    <x v="10"/>
    <x v="167"/>
    <s v="Libre Utilizacion"/>
    <n v="6832"/>
  </r>
  <r>
    <n v="1"/>
    <x v="10"/>
    <x v="168"/>
    <s v="Proceso Congelado"/>
    <n v="283"/>
  </r>
  <r>
    <n v="1"/>
    <x v="10"/>
    <x v="168"/>
    <s v="Libre Utilizacion"/>
    <n v="1765"/>
  </r>
  <r>
    <n v="1"/>
    <x v="10"/>
    <x v="169"/>
    <s v="Libre Utilizacion"/>
    <n v="17671"/>
  </r>
  <r>
    <n v="1"/>
    <x v="10"/>
    <x v="170"/>
    <s v="Proceso Congelado"/>
    <n v="8456"/>
  </r>
  <r>
    <n v="1"/>
    <x v="10"/>
    <x v="171"/>
    <s v="Proceso Congelado"/>
    <n v="374"/>
  </r>
  <r>
    <n v="1"/>
    <x v="11"/>
    <x v="172"/>
    <s v="Libre Utilizacion"/>
    <n v="147179"/>
  </r>
  <r>
    <n v="2"/>
    <x v="1"/>
    <x v="173"/>
    <s v="Proceso Congelado"/>
    <n v="6060"/>
  </r>
  <r>
    <n v="2"/>
    <x v="1"/>
    <x v="173"/>
    <s v="Libre Utilizacion"/>
    <n v="21452"/>
  </r>
  <r>
    <n v="2"/>
    <x v="1"/>
    <x v="174"/>
    <s v="Proceso Congelado"/>
    <n v="7305"/>
  </r>
  <r>
    <n v="2"/>
    <x v="1"/>
    <x v="174"/>
    <s v="Libre Utilizacion"/>
    <n v="27040"/>
  </r>
  <r>
    <n v="2"/>
    <x v="1"/>
    <x v="175"/>
    <s v="Proceso Congelado"/>
    <n v="10777"/>
  </r>
  <r>
    <n v="2"/>
    <x v="1"/>
    <x v="175"/>
    <s v="Libre Utilizacion"/>
    <n v="46501"/>
  </r>
  <r>
    <n v="2"/>
    <x v="1"/>
    <x v="176"/>
    <s v="Libre Utilizacion"/>
    <n v="7441"/>
  </r>
  <r>
    <n v="2"/>
    <x v="1"/>
    <x v="177"/>
    <s v="Proceso Congelado"/>
    <n v="2280"/>
  </r>
  <r>
    <n v="2"/>
    <x v="1"/>
    <x v="177"/>
    <s v="Libre Utilizacion"/>
    <n v="7334"/>
  </r>
  <r>
    <n v="2"/>
    <x v="1"/>
    <x v="178"/>
    <s v="Proceso Congelado"/>
    <n v="1659"/>
  </r>
  <r>
    <n v="2"/>
    <x v="1"/>
    <x v="178"/>
    <s v="Libre Utilizacion"/>
    <n v="22768"/>
  </r>
  <r>
    <n v="2"/>
    <x v="1"/>
    <x v="179"/>
    <s v="Proceso Congelado"/>
    <n v="19338"/>
  </r>
  <r>
    <n v="2"/>
    <x v="1"/>
    <x v="179"/>
    <s v="Libre Utilizacion"/>
    <n v="13499"/>
  </r>
  <r>
    <n v="2"/>
    <x v="1"/>
    <x v="180"/>
    <s v="Proceso Congelado"/>
    <n v="3302"/>
  </r>
  <r>
    <n v="2"/>
    <x v="1"/>
    <x v="180"/>
    <s v="Libre Utilizacion"/>
    <n v="12069"/>
  </r>
  <r>
    <n v="2"/>
    <x v="1"/>
    <x v="181"/>
    <s v="Proceso Congelado"/>
    <n v="4522"/>
  </r>
  <r>
    <n v="2"/>
    <x v="1"/>
    <x v="181"/>
    <s v="Libre Utilizacion"/>
    <n v="15107"/>
  </r>
  <r>
    <n v="2"/>
    <x v="1"/>
    <x v="182"/>
    <s v="Proceso Congelado"/>
    <n v="177"/>
  </r>
  <r>
    <n v="2"/>
    <x v="1"/>
    <x v="183"/>
    <s v="Proceso Congelado"/>
    <n v="3033"/>
  </r>
  <r>
    <n v="2"/>
    <x v="1"/>
    <x v="183"/>
    <s v="Libre Utilizacion"/>
    <n v="16457"/>
  </r>
  <r>
    <n v="2"/>
    <x v="1"/>
    <x v="184"/>
    <s v="Proceso Congelado"/>
    <n v="300"/>
  </r>
  <r>
    <n v="2"/>
    <x v="1"/>
    <x v="184"/>
    <s v="Libre Utilizacion"/>
    <n v="9265"/>
  </r>
  <r>
    <n v="2"/>
    <x v="1"/>
    <x v="185"/>
    <s v="Libre Utilizacion"/>
    <n v="2470"/>
  </r>
  <r>
    <n v="2"/>
    <x v="1"/>
    <x v="186"/>
    <s v="Libre Utilizacion"/>
    <n v="2839"/>
  </r>
  <r>
    <n v="2"/>
    <x v="1"/>
    <x v="187"/>
    <s v="Libre Utilizacion"/>
    <n v="1051"/>
  </r>
  <r>
    <n v="2"/>
    <x v="2"/>
    <x v="188"/>
    <s v="Libre Utilizacion"/>
    <n v="4941"/>
  </r>
  <r>
    <n v="2"/>
    <x v="2"/>
    <x v="189"/>
    <s v="Proceso Congelado"/>
    <n v="5287"/>
  </r>
  <r>
    <n v="2"/>
    <x v="2"/>
    <x v="189"/>
    <s v="Libre Utilizacion"/>
    <n v="148985"/>
  </r>
  <r>
    <n v="2"/>
    <x v="2"/>
    <x v="190"/>
    <s v="Proceso Congelado"/>
    <n v="594"/>
  </r>
  <r>
    <n v="2"/>
    <x v="2"/>
    <x v="190"/>
    <s v="Libre Utilizacion"/>
    <n v="68525"/>
  </r>
  <r>
    <n v="2"/>
    <x v="2"/>
    <x v="191"/>
    <s v="Proceso Congelado"/>
    <n v="4237"/>
  </r>
  <r>
    <n v="2"/>
    <x v="2"/>
    <x v="191"/>
    <s v="Libre Utilizacion"/>
    <n v="29961"/>
  </r>
  <r>
    <n v="2"/>
    <x v="2"/>
    <x v="192"/>
    <s v="Proceso Congelado"/>
    <n v="14310"/>
  </r>
  <r>
    <n v="2"/>
    <x v="2"/>
    <x v="192"/>
    <s v="Libre Utilizacion"/>
    <n v="43587"/>
  </r>
  <r>
    <n v="2"/>
    <x v="2"/>
    <x v="193"/>
    <s v="Proceso Congelado"/>
    <n v="2772"/>
  </r>
  <r>
    <n v="2"/>
    <x v="2"/>
    <x v="193"/>
    <s v="Libre Utilizacion"/>
    <n v="42258"/>
  </r>
  <r>
    <n v="2"/>
    <x v="2"/>
    <x v="194"/>
    <s v="Libre Utilizacion"/>
    <n v="23529"/>
  </r>
  <r>
    <n v="2"/>
    <x v="2"/>
    <x v="195"/>
    <s v="Libre Utilizacion"/>
    <n v="1424"/>
  </r>
  <r>
    <n v="2"/>
    <x v="2"/>
    <x v="196"/>
    <s v="Proceso Congelado"/>
    <n v="237"/>
  </r>
  <r>
    <n v="2"/>
    <x v="2"/>
    <x v="196"/>
    <s v="Libre Utilizacion"/>
    <n v="60586"/>
  </r>
  <r>
    <n v="2"/>
    <x v="2"/>
    <x v="197"/>
    <s v="Proceso Congelado"/>
    <n v="16596"/>
  </r>
  <r>
    <n v="2"/>
    <x v="2"/>
    <x v="197"/>
    <s v="Libre Utilizacion"/>
    <n v="148054"/>
  </r>
  <r>
    <n v="2"/>
    <x v="2"/>
    <x v="198"/>
    <s v="Proceso Congelado"/>
    <n v="13254"/>
  </r>
  <r>
    <n v="2"/>
    <x v="2"/>
    <x v="198"/>
    <s v="Libre Utilizacion"/>
    <n v="81821"/>
  </r>
  <r>
    <n v="2"/>
    <x v="2"/>
    <x v="199"/>
    <s v="Proceso Congelado"/>
    <n v="23940"/>
  </r>
  <r>
    <n v="2"/>
    <x v="2"/>
    <x v="199"/>
    <s v="Libre Utilizacion"/>
    <n v="18207"/>
  </r>
  <r>
    <n v="2"/>
    <x v="2"/>
    <x v="200"/>
    <s v="Proceso Congelado"/>
    <n v="11713"/>
  </r>
  <r>
    <n v="2"/>
    <x v="2"/>
    <x v="200"/>
    <s v="Libre Utilizacion"/>
    <n v="80529"/>
  </r>
  <r>
    <n v="2"/>
    <x v="2"/>
    <x v="201"/>
    <s v="Proceso Congelado"/>
    <n v="1556"/>
  </r>
  <r>
    <n v="2"/>
    <x v="2"/>
    <x v="201"/>
    <s v="Libre Utilizacion"/>
    <n v="40654"/>
  </r>
  <r>
    <n v="2"/>
    <x v="2"/>
    <x v="202"/>
    <s v="Libre Utilizacion"/>
    <n v="6143"/>
  </r>
  <r>
    <n v="2"/>
    <x v="2"/>
    <x v="203"/>
    <s v="Proceso Congelado"/>
    <n v="6262"/>
  </r>
  <r>
    <n v="2"/>
    <x v="2"/>
    <x v="203"/>
    <s v="Libre Utilizacion"/>
    <n v="82116"/>
  </r>
  <r>
    <n v="2"/>
    <x v="2"/>
    <x v="204"/>
    <s v="Proceso Congelado"/>
    <n v="1695"/>
  </r>
  <r>
    <n v="2"/>
    <x v="2"/>
    <x v="205"/>
    <s v="Proceso Congelado"/>
    <n v="6373"/>
  </r>
  <r>
    <n v="2"/>
    <x v="2"/>
    <x v="205"/>
    <s v="Libre Utilizacion"/>
    <n v="26804"/>
  </r>
  <r>
    <n v="2"/>
    <x v="2"/>
    <x v="206"/>
    <s v="Libre Utilizacion"/>
    <n v="203281"/>
  </r>
  <r>
    <n v="2"/>
    <x v="2"/>
    <x v="207"/>
    <s v="Proceso Congelado"/>
    <n v="510"/>
  </r>
  <r>
    <n v="2"/>
    <x v="2"/>
    <x v="207"/>
    <s v="Libre Utilizacion"/>
    <n v="10440"/>
  </r>
  <r>
    <n v="2"/>
    <x v="2"/>
    <x v="208"/>
    <s v="Proceso Congelado"/>
    <n v="775"/>
  </r>
  <r>
    <n v="2"/>
    <x v="2"/>
    <x v="208"/>
    <s v="Libre Utilizacion"/>
    <n v="17513"/>
  </r>
  <r>
    <n v="2"/>
    <x v="2"/>
    <x v="209"/>
    <s v="Libre Utilizacion"/>
    <n v="59987"/>
  </r>
  <r>
    <n v="2"/>
    <x v="2"/>
    <x v="210"/>
    <s v="Proceso Congelado"/>
    <n v="11452"/>
  </r>
  <r>
    <n v="2"/>
    <x v="2"/>
    <x v="210"/>
    <s v="Libre Utilizacion"/>
    <n v="4205"/>
  </r>
  <r>
    <n v="2"/>
    <x v="2"/>
    <x v="211"/>
    <s v="Libre Utilizacion"/>
    <n v="13297"/>
  </r>
  <r>
    <n v="2"/>
    <x v="2"/>
    <x v="212"/>
    <s v="Proceso Congelado"/>
    <n v="2953"/>
  </r>
  <r>
    <n v="2"/>
    <x v="2"/>
    <x v="212"/>
    <s v="Libre Utilizacion"/>
    <n v="39783"/>
  </r>
  <r>
    <n v="2"/>
    <x v="2"/>
    <x v="213"/>
    <s v="Proceso Congelado"/>
    <n v="1290"/>
  </r>
  <r>
    <n v="2"/>
    <x v="2"/>
    <x v="213"/>
    <s v="Libre Utilizacion"/>
    <n v="46900"/>
  </r>
  <r>
    <n v="2"/>
    <x v="2"/>
    <x v="214"/>
    <s v="Proceso Congelado"/>
    <n v="205"/>
  </r>
  <r>
    <n v="2"/>
    <x v="2"/>
    <x v="214"/>
    <s v="Libre Utilizacion"/>
    <n v="23318"/>
  </r>
  <r>
    <n v="2"/>
    <x v="2"/>
    <x v="215"/>
    <s v="Libre Utilizacion"/>
    <n v="684"/>
  </r>
  <r>
    <n v="2"/>
    <x v="2"/>
    <x v="216"/>
    <s v="Libre Utilizacion"/>
    <n v="6307"/>
  </r>
  <r>
    <n v="2"/>
    <x v="2"/>
    <x v="217"/>
    <s v="Proceso Congelado"/>
    <n v="11971"/>
  </r>
  <r>
    <n v="2"/>
    <x v="2"/>
    <x v="217"/>
    <s v="Libre Utilizacion"/>
    <n v="45702"/>
  </r>
  <r>
    <n v="2"/>
    <x v="2"/>
    <x v="218"/>
    <s v="Libre Utilizacion"/>
    <n v="427"/>
  </r>
  <r>
    <n v="2"/>
    <x v="2"/>
    <x v="219"/>
    <s v="Proceso Congelado"/>
    <n v="25164"/>
  </r>
  <r>
    <n v="2"/>
    <x v="2"/>
    <x v="219"/>
    <s v="Libre Utilizacion"/>
    <n v="139858"/>
  </r>
  <r>
    <n v="2"/>
    <x v="2"/>
    <x v="220"/>
    <s v="Proceso Congelado"/>
    <n v="5042"/>
  </r>
  <r>
    <n v="2"/>
    <x v="2"/>
    <x v="220"/>
    <s v="Libre Utilizacion"/>
    <n v="4566"/>
  </r>
  <r>
    <n v="2"/>
    <x v="2"/>
    <x v="221"/>
    <s v="Proceso Congelado"/>
    <n v="16237"/>
  </r>
  <r>
    <n v="2"/>
    <x v="2"/>
    <x v="221"/>
    <s v="Libre Utilizacion"/>
    <n v="42613"/>
  </r>
  <r>
    <n v="2"/>
    <x v="2"/>
    <x v="222"/>
    <s v="Proceso Congelado"/>
    <n v="5570"/>
  </r>
  <r>
    <n v="2"/>
    <x v="2"/>
    <x v="222"/>
    <s v="Libre Utilizacion"/>
    <n v="8087"/>
  </r>
  <r>
    <n v="2"/>
    <x v="2"/>
    <x v="223"/>
    <s v="Proceso Congelado"/>
    <n v="6705"/>
  </r>
  <r>
    <n v="2"/>
    <x v="2"/>
    <x v="223"/>
    <s v="Libre Utilizacion"/>
    <n v="19070"/>
  </r>
  <r>
    <n v="2"/>
    <x v="2"/>
    <x v="224"/>
    <s v="Libre Utilizacion"/>
    <n v="40"/>
  </r>
  <r>
    <n v="2"/>
    <x v="2"/>
    <x v="225"/>
    <s v="Libre Utilizacion"/>
    <n v="20790"/>
  </r>
  <r>
    <n v="2"/>
    <x v="2"/>
    <x v="226"/>
    <s v="Libre Utilizacion"/>
    <n v="39965"/>
  </r>
  <r>
    <n v="2"/>
    <x v="2"/>
    <x v="227"/>
    <s v="Proceso Congelado"/>
    <n v="11050"/>
  </r>
  <r>
    <n v="2"/>
    <x v="2"/>
    <x v="227"/>
    <s v="Libre Utilizacion"/>
    <n v="11931"/>
  </r>
  <r>
    <n v="2"/>
    <x v="2"/>
    <x v="228"/>
    <s v="Libre Utilizacion"/>
    <n v="11368"/>
  </r>
  <r>
    <n v="2"/>
    <x v="2"/>
    <x v="229"/>
    <s v="Libre Utilizacion"/>
    <n v="6060"/>
  </r>
  <r>
    <n v="2"/>
    <x v="2"/>
    <x v="230"/>
    <s v="Proceso Congelado"/>
    <n v="52302"/>
  </r>
  <r>
    <n v="2"/>
    <x v="2"/>
    <x v="230"/>
    <s v="Libre Utilizacion"/>
    <n v="65522"/>
  </r>
  <r>
    <n v="2"/>
    <x v="2"/>
    <x v="231"/>
    <s v="Proceso Congelado"/>
    <n v="1234"/>
  </r>
  <r>
    <n v="2"/>
    <x v="2"/>
    <x v="231"/>
    <s v="Libre Utilizacion"/>
    <n v="7228"/>
  </r>
  <r>
    <n v="2"/>
    <x v="2"/>
    <x v="232"/>
    <s v="Libre Utilizacion"/>
    <n v="5110"/>
  </r>
  <r>
    <n v="2"/>
    <x v="2"/>
    <x v="233"/>
    <s v="Libre Utilizacion"/>
    <n v="8100"/>
  </r>
  <r>
    <n v="2"/>
    <x v="2"/>
    <x v="234"/>
    <s v="Libre Utilizacion"/>
    <n v="51"/>
  </r>
  <r>
    <n v="2"/>
    <x v="2"/>
    <x v="235"/>
    <s v="Proceso Congelado"/>
    <n v="2087"/>
  </r>
  <r>
    <n v="2"/>
    <x v="2"/>
    <x v="235"/>
    <s v="Libre Utilizacion"/>
    <n v="22935"/>
  </r>
  <r>
    <n v="2"/>
    <x v="2"/>
    <x v="236"/>
    <s v="Proceso Congelado"/>
    <n v="486"/>
  </r>
  <r>
    <n v="2"/>
    <x v="2"/>
    <x v="236"/>
    <s v="Libre Utilizacion"/>
    <n v="11649"/>
  </r>
  <r>
    <n v="2"/>
    <x v="3"/>
    <x v="237"/>
    <s v="Proceso Congelado"/>
    <n v="737"/>
  </r>
  <r>
    <n v="2"/>
    <x v="3"/>
    <x v="237"/>
    <s v="Libre Utilizacion"/>
    <n v="10810"/>
  </r>
  <r>
    <n v="2"/>
    <x v="3"/>
    <x v="238"/>
    <s v="Proceso Congelado"/>
    <n v="18870"/>
  </r>
  <r>
    <n v="2"/>
    <x v="3"/>
    <x v="238"/>
    <s v="Libre Utilizacion"/>
    <n v="95632"/>
  </r>
  <r>
    <n v="2"/>
    <x v="3"/>
    <x v="239"/>
    <s v="Proceso Congelado"/>
    <n v="2873"/>
  </r>
  <r>
    <n v="2"/>
    <x v="3"/>
    <x v="239"/>
    <s v="Libre Utilizacion"/>
    <n v="16925"/>
  </r>
  <r>
    <n v="2"/>
    <x v="3"/>
    <x v="240"/>
    <s v="Proceso Congelado"/>
    <n v="14079"/>
  </r>
  <r>
    <n v="2"/>
    <x v="3"/>
    <x v="240"/>
    <s v="Libre Utilizacion"/>
    <n v="18602"/>
  </r>
  <r>
    <n v="2"/>
    <x v="3"/>
    <x v="241"/>
    <s v="Proceso Congelado"/>
    <n v="1997"/>
  </r>
  <r>
    <n v="2"/>
    <x v="3"/>
    <x v="241"/>
    <s v="Libre Utilizacion"/>
    <n v="13643"/>
  </r>
  <r>
    <n v="2"/>
    <x v="3"/>
    <x v="242"/>
    <s v="Proceso Congelado"/>
    <n v="2224"/>
  </r>
  <r>
    <n v="2"/>
    <x v="3"/>
    <x v="242"/>
    <s v="Libre Utilizacion"/>
    <n v="41756"/>
  </r>
  <r>
    <n v="2"/>
    <x v="3"/>
    <x v="243"/>
    <s v="Proceso Congelado"/>
    <n v="30591"/>
  </r>
  <r>
    <n v="2"/>
    <x v="3"/>
    <x v="243"/>
    <s v="Libre Utilizacion"/>
    <n v="94638"/>
  </r>
  <r>
    <n v="2"/>
    <x v="4"/>
    <x v="244"/>
    <s v="Proceso Congelado"/>
    <n v="47503"/>
  </r>
  <r>
    <n v="2"/>
    <x v="4"/>
    <x v="244"/>
    <s v="Libre Utilizacion"/>
    <n v="61257"/>
  </r>
  <r>
    <n v="2"/>
    <x v="4"/>
    <x v="245"/>
    <s v="Proceso Congelado"/>
    <n v="50794"/>
  </r>
  <r>
    <n v="2"/>
    <x v="4"/>
    <x v="245"/>
    <s v="Libre Utilizacion"/>
    <n v="83140"/>
  </r>
  <r>
    <n v="2"/>
    <x v="4"/>
    <x v="246"/>
    <s v="Libre Utilizacion"/>
    <n v="3150"/>
  </r>
  <r>
    <n v="2"/>
    <x v="4"/>
    <x v="247"/>
    <s v="Proceso Congelado"/>
    <n v="27021"/>
  </r>
  <r>
    <n v="2"/>
    <x v="4"/>
    <x v="247"/>
    <s v="Libre Utilizacion"/>
    <n v="30080"/>
  </r>
  <r>
    <n v="2"/>
    <x v="4"/>
    <x v="248"/>
    <s v="Proceso Congelado"/>
    <n v="10360"/>
  </r>
  <r>
    <n v="2"/>
    <x v="4"/>
    <x v="248"/>
    <s v="Libre Utilizacion"/>
    <n v="18720"/>
  </r>
  <r>
    <n v="2"/>
    <x v="4"/>
    <x v="249"/>
    <s v="Proceso Congelado"/>
    <n v="26521"/>
  </r>
  <r>
    <n v="2"/>
    <x v="4"/>
    <x v="249"/>
    <s v="Libre Utilizacion"/>
    <n v="44500"/>
  </r>
  <r>
    <n v="2"/>
    <x v="4"/>
    <x v="250"/>
    <s v="Proceso Congelado"/>
    <n v="9376"/>
  </r>
  <r>
    <n v="2"/>
    <x v="4"/>
    <x v="250"/>
    <s v="Libre Utilizacion"/>
    <n v="35234"/>
  </r>
  <r>
    <n v="2"/>
    <x v="4"/>
    <x v="251"/>
    <s v="Proceso Congelado"/>
    <n v="47074"/>
  </r>
  <r>
    <n v="2"/>
    <x v="4"/>
    <x v="251"/>
    <s v="Libre Utilizacion"/>
    <n v="78732"/>
  </r>
  <r>
    <n v="2"/>
    <x v="4"/>
    <x v="252"/>
    <s v="Proceso Congelado"/>
    <n v="60194"/>
  </r>
  <r>
    <n v="2"/>
    <x v="4"/>
    <x v="252"/>
    <s v="Libre Utilizacion"/>
    <n v="91296"/>
  </r>
  <r>
    <n v="2"/>
    <x v="4"/>
    <x v="253"/>
    <s v="Proceso Congelado"/>
    <n v="18940"/>
  </r>
  <r>
    <n v="2"/>
    <x v="4"/>
    <x v="253"/>
    <s v="Libre Utilizacion"/>
    <n v="26260"/>
  </r>
  <r>
    <n v="2"/>
    <x v="4"/>
    <x v="254"/>
    <s v="Libre Utilizacion"/>
    <n v="35477"/>
  </r>
  <r>
    <n v="2"/>
    <x v="4"/>
    <x v="255"/>
    <s v="Libre Utilizacion"/>
    <n v="10720"/>
  </r>
  <r>
    <n v="2"/>
    <x v="4"/>
    <x v="256"/>
    <s v="Libre Utilizacion"/>
    <n v="1900"/>
  </r>
  <r>
    <n v="2"/>
    <x v="4"/>
    <x v="257"/>
    <s v="Proceso Congelado"/>
    <n v="10592"/>
  </r>
  <r>
    <n v="2"/>
    <x v="4"/>
    <x v="257"/>
    <s v="Libre Utilizacion"/>
    <n v="36660"/>
  </r>
  <r>
    <n v="2"/>
    <x v="4"/>
    <x v="258"/>
    <s v="Proceso Congelado"/>
    <n v="768"/>
  </r>
  <r>
    <n v="2"/>
    <x v="4"/>
    <x v="258"/>
    <s v="Libre Utilizacion"/>
    <n v="21079"/>
  </r>
  <r>
    <n v="2"/>
    <x v="4"/>
    <x v="259"/>
    <s v="Proceso Congelado"/>
    <n v="21551"/>
  </r>
  <r>
    <n v="2"/>
    <x v="4"/>
    <x v="259"/>
    <s v="Libre Utilizacion"/>
    <n v="64700"/>
  </r>
  <r>
    <n v="2"/>
    <x v="4"/>
    <x v="260"/>
    <s v="Proceso Congelado"/>
    <n v="13459"/>
  </r>
  <r>
    <n v="2"/>
    <x v="4"/>
    <x v="260"/>
    <s v="Libre Utilizacion"/>
    <n v="119580"/>
  </r>
  <r>
    <n v="2"/>
    <x v="4"/>
    <x v="261"/>
    <s v="Proceso Congelado"/>
    <n v="33787"/>
  </r>
  <r>
    <n v="2"/>
    <x v="4"/>
    <x v="261"/>
    <s v="Libre Utilizacion"/>
    <n v="59418"/>
  </r>
  <r>
    <n v="2"/>
    <x v="4"/>
    <x v="262"/>
    <s v="Proceso Congelado"/>
    <n v="2340"/>
  </r>
  <r>
    <n v="2"/>
    <x v="4"/>
    <x v="262"/>
    <s v="Libre Utilizacion"/>
    <n v="28174"/>
  </r>
  <r>
    <n v="2"/>
    <x v="4"/>
    <x v="263"/>
    <s v="Proceso Congelado"/>
    <n v="21441"/>
  </r>
  <r>
    <n v="2"/>
    <x v="4"/>
    <x v="263"/>
    <s v="Libre Utilizacion"/>
    <n v="60100"/>
  </r>
  <r>
    <n v="2"/>
    <x v="4"/>
    <x v="264"/>
    <s v="Proceso Congelado"/>
    <n v="91717"/>
  </r>
  <r>
    <n v="2"/>
    <x v="4"/>
    <x v="264"/>
    <s v="Libre Utilizacion"/>
    <n v="128196"/>
  </r>
  <r>
    <n v="2"/>
    <x v="4"/>
    <x v="265"/>
    <s v="Proceso Congelado"/>
    <n v="4787"/>
  </r>
  <r>
    <n v="2"/>
    <x v="4"/>
    <x v="265"/>
    <s v="Libre Utilizacion"/>
    <n v="30186"/>
  </r>
  <r>
    <n v="2"/>
    <x v="4"/>
    <x v="266"/>
    <s v="Libre Utilizacion"/>
    <n v="27244"/>
  </r>
  <r>
    <n v="2"/>
    <x v="4"/>
    <x v="267"/>
    <s v="Proceso Congelado"/>
    <n v="67298"/>
  </r>
  <r>
    <n v="2"/>
    <x v="4"/>
    <x v="267"/>
    <s v="Libre Utilizacion"/>
    <n v="62745"/>
  </r>
  <r>
    <n v="2"/>
    <x v="4"/>
    <x v="268"/>
    <s v="Proceso Congelado"/>
    <n v="12383"/>
  </r>
  <r>
    <n v="2"/>
    <x v="4"/>
    <x v="268"/>
    <s v="Libre Utilizacion"/>
    <n v="31705"/>
  </r>
  <r>
    <n v="2"/>
    <x v="4"/>
    <x v="269"/>
    <s v="Libre Utilizacion"/>
    <n v="3790"/>
  </r>
  <r>
    <n v="2"/>
    <x v="4"/>
    <x v="270"/>
    <s v="Proceso Congelado"/>
    <n v="4037"/>
  </r>
  <r>
    <n v="2"/>
    <x v="4"/>
    <x v="270"/>
    <s v="Libre Utilizacion"/>
    <n v="47443"/>
  </r>
  <r>
    <n v="2"/>
    <x v="4"/>
    <x v="271"/>
    <s v="Proceso Congelado"/>
    <n v="4740"/>
  </r>
  <r>
    <n v="2"/>
    <x v="4"/>
    <x v="271"/>
    <s v="Libre Utilizacion"/>
    <n v="28660"/>
  </r>
  <r>
    <n v="2"/>
    <x v="4"/>
    <x v="272"/>
    <s v="Libre Utilizacion"/>
    <n v="15732"/>
  </r>
  <r>
    <n v="2"/>
    <x v="4"/>
    <x v="273"/>
    <s v="Proceso Congelado"/>
    <n v="7620"/>
  </r>
  <r>
    <n v="2"/>
    <x v="4"/>
    <x v="273"/>
    <s v="Libre Utilizacion"/>
    <n v="45770"/>
  </r>
  <r>
    <n v="2"/>
    <x v="4"/>
    <x v="274"/>
    <s v="Proceso Congelado"/>
    <n v="32912"/>
  </r>
  <r>
    <n v="2"/>
    <x v="4"/>
    <x v="274"/>
    <s v="Libre Utilizacion"/>
    <n v="87160"/>
  </r>
  <r>
    <n v="2"/>
    <x v="4"/>
    <x v="275"/>
    <s v="Proceso Congelado"/>
    <n v="20531"/>
  </r>
  <r>
    <n v="2"/>
    <x v="4"/>
    <x v="275"/>
    <s v="Libre Utilizacion"/>
    <n v="103100"/>
  </r>
  <r>
    <n v="2"/>
    <x v="4"/>
    <x v="276"/>
    <s v="Libre Utilizacion"/>
    <n v="260"/>
  </r>
  <r>
    <n v="2"/>
    <x v="4"/>
    <x v="277"/>
    <s v="Libre Utilizacion"/>
    <n v="1073"/>
  </r>
  <r>
    <n v="2"/>
    <x v="4"/>
    <x v="278"/>
    <s v="Proceso Congelado"/>
    <n v="3860"/>
  </r>
  <r>
    <n v="2"/>
    <x v="4"/>
    <x v="278"/>
    <s v="Libre Utilizacion"/>
    <n v="2820"/>
  </r>
  <r>
    <n v="2"/>
    <x v="4"/>
    <x v="279"/>
    <s v="Proceso Congelado"/>
    <n v="14626"/>
  </r>
  <r>
    <n v="2"/>
    <x v="4"/>
    <x v="279"/>
    <s v="Libre Utilizacion"/>
    <n v="54137"/>
  </r>
  <r>
    <n v="2"/>
    <x v="4"/>
    <x v="280"/>
    <s v="Proceso Congelado"/>
    <n v="28966"/>
  </r>
  <r>
    <n v="2"/>
    <x v="4"/>
    <x v="280"/>
    <s v="Libre Utilizacion"/>
    <n v="55620"/>
  </r>
  <r>
    <n v="2"/>
    <x v="4"/>
    <x v="281"/>
    <s v="Proceso Congelado"/>
    <n v="24511"/>
  </r>
  <r>
    <n v="2"/>
    <x v="4"/>
    <x v="281"/>
    <s v="Libre Utilizacion"/>
    <n v="44775"/>
  </r>
  <r>
    <n v="2"/>
    <x v="4"/>
    <x v="282"/>
    <s v="Proceso Congelado"/>
    <n v="113652"/>
  </r>
  <r>
    <n v="2"/>
    <x v="4"/>
    <x v="282"/>
    <s v="Libre Utilizacion"/>
    <n v="155238"/>
  </r>
  <r>
    <n v="2"/>
    <x v="4"/>
    <x v="283"/>
    <s v="Proceso Congelado"/>
    <n v="4518"/>
  </r>
  <r>
    <n v="2"/>
    <x v="4"/>
    <x v="283"/>
    <s v="Libre Utilizacion"/>
    <n v="43276"/>
  </r>
  <r>
    <n v="2"/>
    <x v="4"/>
    <x v="284"/>
    <s v="Libre Utilizacion"/>
    <n v="21097"/>
  </r>
  <r>
    <n v="2"/>
    <x v="4"/>
    <x v="285"/>
    <s v="Libre Utilizacion"/>
    <n v="9340"/>
  </r>
  <r>
    <n v="2"/>
    <x v="4"/>
    <x v="286"/>
    <s v="Proceso Congelado"/>
    <n v="29934"/>
  </r>
  <r>
    <n v="2"/>
    <x v="4"/>
    <x v="286"/>
    <s v="Libre Utilizacion"/>
    <n v="48370"/>
  </r>
  <r>
    <n v="2"/>
    <x v="4"/>
    <x v="287"/>
    <s v="Proceso Congelado"/>
    <n v="28942"/>
  </r>
  <r>
    <n v="2"/>
    <x v="4"/>
    <x v="287"/>
    <s v="Libre Utilizacion"/>
    <n v="38460"/>
  </r>
  <r>
    <n v="2"/>
    <x v="4"/>
    <x v="288"/>
    <s v="Proceso Congelado"/>
    <n v="832"/>
  </r>
  <r>
    <n v="2"/>
    <x v="4"/>
    <x v="288"/>
    <s v="Libre Utilizacion"/>
    <n v="9673"/>
  </r>
  <r>
    <n v="2"/>
    <x v="4"/>
    <x v="289"/>
    <s v="Libre Utilizacion"/>
    <n v="4255"/>
  </r>
  <r>
    <n v="2"/>
    <x v="4"/>
    <x v="290"/>
    <s v="Libre Utilizacion"/>
    <n v="5140"/>
  </r>
  <r>
    <n v="2"/>
    <x v="4"/>
    <x v="291"/>
    <s v="Proceso Congelado"/>
    <n v="13059"/>
  </r>
  <r>
    <n v="2"/>
    <x v="4"/>
    <x v="291"/>
    <s v="Libre Utilizacion"/>
    <n v="34379"/>
  </r>
  <r>
    <n v="2"/>
    <x v="4"/>
    <x v="292"/>
    <s v="Proceso Congelado"/>
    <n v="35445"/>
  </r>
  <r>
    <n v="2"/>
    <x v="4"/>
    <x v="292"/>
    <s v="Libre Utilizacion"/>
    <n v="29910"/>
  </r>
  <r>
    <n v="2"/>
    <x v="4"/>
    <x v="293"/>
    <s v="Proceso Congelado"/>
    <n v="16"/>
  </r>
  <r>
    <n v="2"/>
    <x v="4"/>
    <x v="293"/>
    <s v="Libre Utilizacion"/>
    <n v="40"/>
  </r>
  <r>
    <n v="2"/>
    <x v="4"/>
    <x v="294"/>
    <s v="Proceso Congelado"/>
    <n v="26124"/>
  </r>
  <r>
    <n v="2"/>
    <x v="4"/>
    <x v="294"/>
    <s v="Libre Utilizacion"/>
    <n v="29000"/>
  </r>
  <r>
    <n v="2"/>
    <x v="4"/>
    <x v="295"/>
    <s v="Libre Utilizacion"/>
    <n v="50400"/>
  </r>
  <r>
    <n v="2"/>
    <x v="4"/>
    <x v="296"/>
    <s v="Proceso Congelado"/>
    <n v="2438"/>
  </r>
  <r>
    <n v="2"/>
    <x v="4"/>
    <x v="296"/>
    <s v="Libre Utilizacion"/>
    <n v="12317"/>
  </r>
  <r>
    <n v="2"/>
    <x v="4"/>
    <x v="297"/>
    <s v="Proceso Congelado"/>
    <n v="5878"/>
  </r>
  <r>
    <n v="2"/>
    <x v="4"/>
    <x v="297"/>
    <s v="Libre Utilizacion"/>
    <n v="33960"/>
  </r>
  <r>
    <n v="2"/>
    <x v="4"/>
    <x v="298"/>
    <s v="Proceso Congelado"/>
    <n v="26026"/>
  </r>
  <r>
    <n v="2"/>
    <x v="4"/>
    <x v="298"/>
    <s v="Libre Utilizacion"/>
    <n v="17603"/>
  </r>
  <r>
    <n v="2"/>
    <x v="4"/>
    <x v="299"/>
    <s v="Libre Utilizacion"/>
    <n v="3189"/>
  </r>
  <r>
    <n v="2"/>
    <x v="4"/>
    <x v="300"/>
    <s v="Proceso Congelado"/>
    <n v="420"/>
  </r>
  <r>
    <n v="2"/>
    <x v="4"/>
    <x v="300"/>
    <s v="Libre Utilizacion"/>
    <n v="2480"/>
  </r>
  <r>
    <n v="2"/>
    <x v="4"/>
    <x v="301"/>
    <s v="Libre Utilizacion"/>
    <n v="1475"/>
  </r>
  <r>
    <n v="2"/>
    <x v="4"/>
    <x v="302"/>
    <s v="Libre Utilizacion"/>
    <n v="3040"/>
  </r>
  <r>
    <n v="2"/>
    <x v="4"/>
    <x v="303"/>
    <s v="Libre Utilizacion"/>
    <n v="220"/>
  </r>
  <r>
    <n v="2"/>
    <x v="4"/>
    <x v="304"/>
    <s v="Libre Utilizacion"/>
    <n v="1580"/>
  </r>
  <r>
    <n v="2"/>
    <x v="4"/>
    <x v="305"/>
    <s v="Proceso Congelado"/>
    <n v="360"/>
  </r>
  <r>
    <n v="2"/>
    <x v="4"/>
    <x v="305"/>
    <s v="Libre Utilizacion"/>
    <n v="4800"/>
  </r>
  <r>
    <n v="2"/>
    <x v="4"/>
    <x v="306"/>
    <s v="Libre Utilizacion"/>
    <n v="21"/>
  </r>
  <r>
    <n v="2"/>
    <x v="4"/>
    <x v="307"/>
    <s v="Proceso Congelado"/>
    <n v="19460"/>
  </r>
  <r>
    <n v="2"/>
    <x v="4"/>
    <x v="307"/>
    <s v="Libre Utilizacion"/>
    <n v="23900"/>
  </r>
  <r>
    <n v="2"/>
    <x v="4"/>
    <x v="308"/>
    <s v="Proceso Congelado"/>
    <n v="3185"/>
  </r>
  <r>
    <n v="2"/>
    <x v="4"/>
    <x v="308"/>
    <s v="Libre Utilizacion"/>
    <n v="19820"/>
  </r>
  <r>
    <n v="2"/>
    <x v="4"/>
    <x v="309"/>
    <s v="Libre Utilizacion"/>
    <n v="10"/>
  </r>
  <r>
    <n v="2"/>
    <x v="5"/>
    <x v="310"/>
    <s v="Proceso Congelado"/>
    <n v="9696"/>
  </r>
  <r>
    <n v="2"/>
    <x v="5"/>
    <x v="310"/>
    <s v="Libre Utilizacion"/>
    <n v="16760"/>
  </r>
  <r>
    <n v="2"/>
    <x v="5"/>
    <x v="311"/>
    <s v="Libre Utilizacion"/>
    <n v="16196"/>
  </r>
  <r>
    <n v="2"/>
    <x v="5"/>
    <x v="312"/>
    <s v="Proceso Congelado"/>
    <n v="2409"/>
  </r>
  <r>
    <n v="2"/>
    <x v="5"/>
    <x v="312"/>
    <s v="Libre Utilizacion"/>
    <n v="10258"/>
  </r>
  <r>
    <n v="2"/>
    <x v="5"/>
    <x v="313"/>
    <s v="Proceso Congelado"/>
    <n v="178"/>
  </r>
  <r>
    <n v="2"/>
    <x v="5"/>
    <x v="313"/>
    <s v="Libre Utilizacion"/>
    <n v="19791"/>
  </r>
  <r>
    <n v="2"/>
    <x v="5"/>
    <x v="314"/>
    <s v="Libre Utilizacion"/>
    <n v="8873"/>
  </r>
  <r>
    <n v="2"/>
    <x v="5"/>
    <x v="315"/>
    <s v="Proceso Congelado"/>
    <n v="880"/>
  </r>
  <r>
    <n v="2"/>
    <x v="5"/>
    <x v="315"/>
    <s v="Libre Utilizacion"/>
    <n v="14168"/>
  </r>
  <r>
    <n v="2"/>
    <x v="12"/>
    <x v="316"/>
    <s v="Proceso Congelado"/>
    <n v="4100"/>
  </r>
  <r>
    <n v="2"/>
    <x v="12"/>
    <x v="316"/>
    <s v="Libre Utilizacion"/>
    <n v="18860"/>
  </r>
  <r>
    <n v="2"/>
    <x v="12"/>
    <x v="317"/>
    <s v="Proceso Congelado"/>
    <n v="183"/>
  </r>
  <r>
    <n v="2"/>
    <x v="12"/>
    <x v="317"/>
    <s v="Libre Utilizacion"/>
    <n v="43069"/>
  </r>
  <r>
    <n v="2"/>
    <x v="13"/>
    <x v="318"/>
    <s v="Libre Utilizacion"/>
    <n v="2747"/>
  </r>
  <r>
    <n v="2"/>
    <x v="13"/>
    <x v="319"/>
    <s v="Libre Utilizacion"/>
    <n v="40806"/>
  </r>
  <r>
    <n v="2"/>
    <x v="13"/>
    <x v="320"/>
    <s v="Proceso Congelado"/>
    <n v="525"/>
  </r>
  <r>
    <n v="2"/>
    <x v="13"/>
    <x v="320"/>
    <s v="Libre Utilizacion"/>
    <n v="31911"/>
  </r>
  <r>
    <n v="2"/>
    <x v="13"/>
    <x v="321"/>
    <s v="Proceso Congelado"/>
    <n v="1733"/>
  </r>
  <r>
    <n v="2"/>
    <x v="13"/>
    <x v="321"/>
    <s v="Libre Utilizacion"/>
    <n v="10208"/>
  </r>
  <r>
    <n v="2"/>
    <x v="13"/>
    <x v="322"/>
    <s v="Proceso Congelado"/>
    <n v="2243"/>
  </r>
  <r>
    <n v="2"/>
    <x v="13"/>
    <x v="322"/>
    <s v="Libre Utilizacion"/>
    <n v="41791"/>
  </r>
  <r>
    <n v="2"/>
    <x v="13"/>
    <x v="323"/>
    <s v="Proceso Congelado"/>
    <n v="5388"/>
  </r>
  <r>
    <n v="2"/>
    <x v="13"/>
    <x v="323"/>
    <s v="Libre Utilizacion"/>
    <n v="32738"/>
  </r>
  <r>
    <n v="2"/>
    <x v="13"/>
    <x v="324"/>
    <s v="Proceso Congelado"/>
    <n v="2630"/>
  </r>
  <r>
    <n v="2"/>
    <x v="13"/>
    <x v="324"/>
    <s v="Libre Utilizacion"/>
    <n v="1005"/>
  </r>
  <r>
    <n v="2"/>
    <x v="13"/>
    <x v="325"/>
    <s v="Libre Utilizacion"/>
    <n v="63034"/>
  </r>
  <r>
    <n v="2"/>
    <x v="13"/>
    <x v="326"/>
    <s v="Libre Utilizacion"/>
    <n v="10839"/>
  </r>
  <r>
    <n v="2"/>
    <x v="13"/>
    <x v="327"/>
    <s v="Libre Utilizacion"/>
    <n v="1987"/>
  </r>
  <r>
    <n v="2"/>
    <x v="13"/>
    <x v="328"/>
    <s v="Proceso Congelado"/>
    <n v="2621"/>
  </r>
  <r>
    <n v="2"/>
    <x v="13"/>
    <x v="328"/>
    <s v="Libre Utilizacion"/>
    <n v="28586"/>
  </r>
  <r>
    <n v="2"/>
    <x v="13"/>
    <x v="329"/>
    <s v="Proceso Congelado"/>
    <n v="210"/>
  </r>
  <r>
    <n v="2"/>
    <x v="13"/>
    <x v="329"/>
    <s v="Libre Utilizacion"/>
    <n v="33530"/>
  </r>
  <r>
    <n v="2"/>
    <x v="13"/>
    <x v="330"/>
    <s v="Proceso Congelado"/>
    <n v="7702"/>
  </r>
  <r>
    <n v="2"/>
    <x v="13"/>
    <x v="330"/>
    <s v="Libre Utilizacion"/>
    <n v="88631"/>
  </r>
  <r>
    <n v="2"/>
    <x v="13"/>
    <x v="331"/>
    <s v="Proceso Congelado"/>
    <n v="10275"/>
  </r>
  <r>
    <n v="2"/>
    <x v="13"/>
    <x v="331"/>
    <s v="Libre Utilizacion"/>
    <n v="86647"/>
  </r>
  <r>
    <n v="2"/>
    <x v="13"/>
    <x v="332"/>
    <s v="Proceso Congelado"/>
    <n v="34"/>
  </r>
  <r>
    <n v="2"/>
    <x v="13"/>
    <x v="332"/>
    <s v="Libre Utilizacion"/>
    <n v="60079"/>
  </r>
  <r>
    <n v="2"/>
    <x v="13"/>
    <x v="333"/>
    <s v="Proceso Congelado"/>
    <n v="3475"/>
  </r>
  <r>
    <n v="2"/>
    <x v="13"/>
    <x v="333"/>
    <s v="Libre Utilizacion"/>
    <n v="32016"/>
  </r>
  <r>
    <n v="2"/>
    <x v="13"/>
    <x v="334"/>
    <s v="Proceso Congelado"/>
    <n v="236"/>
  </r>
  <r>
    <n v="2"/>
    <x v="13"/>
    <x v="334"/>
    <s v="Libre Utilizacion"/>
    <n v="4157"/>
  </r>
  <r>
    <n v="2"/>
    <x v="13"/>
    <x v="335"/>
    <s v="Libre Utilizacion"/>
    <n v="2152"/>
  </r>
  <r>
    <n v="2"/>
    <x v="13"/>
    <x v="336"/>
    <s v="Libre Utilizacion"/>
    <n v="0"/>
  </r>
  <r>
    <n v="2"/>
    <x v="6"/>
    <x v="337"/>
    <s v="Libre Utilizacion"/>
    <n v="1610"/>
  </r>
  <r>
    <n v="2"/>
    <x v="6"/>
    <x v="338"/>
    <s v="Proceso Congelado"/>
    <n v="1193"/>
  </r>
  <r>
    <n v="2"/>
    <x v="6"/>
    <x v="338"/>
    <s v="Libre Utilizacion"/>
    <n v="19782"/>
  </r>
  <r>
    <n v="2"/>
    <x v="6"/>
    <x v="339"/>
    <s v="Proceso Congelado"/>
    <n v="28167"/>
  </r>
  <r>
    <n v="2"/>
    <x v="6"/>
    <x v="339"/>
    <s v="Libre Utilizacion"/>
    <n v="27860"/>
  </r>
  <r>
    <n v="2"/>
    <x v="6"/>
    <x v="340"/>
    <s v="Proceso Congelado"/>
    <n v="660"/>
  </r>
  <r>
    <n v="2"/>
    <x v="6"/>
    <x v="340"/>
    <s v="Libre Utilizacion"/>
    <n v="2740"/>
  </r>
  <r>
    <n v="2"/>
    <x v="6"/>
    <x v="341"/>
    <s v="Proceso Congelado"/>
    <n v="860"/>
  </r>
  <r>
    <n v="2"/>
    <x v="6"/>
    <x v="341"/>
    <s v="Libre Utilizacion"/>
    <n v="5740"/>
  </r>
  <r>
    <n v="2"/>
    <x v="6"/>
    <x v="342"/>
    <s v="Libre Utilizacion"/>
    <n v="1424"/>
  </r>
  <r>
    <n v="2"/>
    <x v="6"/>
    <x v="343"/>
    <s v="Proceso Congelado"/>
    <n v="2008"/>
  </r>
  <r>
    <n v="2"/>
    <x v="6"/>
    <x v="343"/>
    <s v="Libre Utilizacion"/>
    <n v="11640"/>
  </r>
  <r>
    <n v="2"/>
    <x v="6"/>
    <x v="344"/>
    <s v="Libre Utilizacion"/>
    <n v="7333"/>
  </r>
  <r>
    <n v="2"/>
    <x v="6"/>
    <x v="345"/>
    <s v="Proceso Congelado"/>
    <n v="3440"/>
  </r>
  <r>
    <n v="2"/>
    <x v="6"/>
    <x v="345"/>
    <s v="Libre Utilizacion"/>
    <n v="11580"/>
  </r>
  <r>
    <n v="2"/>
    <x v="6"/>
    <x v="346"/>
    <s v="Proceso Congelado"/>
    <n v="6143"/>
  </r>
  <r>
    <n v="2"/>
    <x v="6"/>
    <x v="346"/>
    <s v="Libre Utilizacion"/>
    <n v="6580"/>
  </r>
  <r>
    <n v="2"/>
    <x v="6"/>
    <x v="347"/>
    <s v="Proceso Congelado"/>
    <n v="567"/>
  </r>
  <r>
    <n v="2"/>
    <x v="6"/>
    <x v="347"/>
    <s v="Libre Utilizacion"/>
    <n v="60018"/>
  </r>
  <r>
    <n v="2"/>
    <x v="6"/>
    <x v="348"/>
    <s v="Libre Utilizacion"/>
    <n v="6408"/>
  </r>
  <r>
    <n v="2"/>
    <x v="6"/>
    <x v="349"/>
    <s v="Proceso Congelado"/>
    <n v="195"/>
  </r>
  <r>
    <n v="2"/>
    <x v="6"/>
    <x v="349"/>
    <s v="Libre Utilizacion"/>
    <n v="1100"/>
  </r>
  <r>
    <n v="2"/>
    <x v="6"/>
    <x v="350"/>
    <s v="Proceso Congelado"/>
    <n v="40"/>
  </r>
  <r>
    <n v="2"/>
    <x v="6"/>
    <x v="350"/>
    <s v="Libre Utilizacion"/>
    <n v="3980"/>
  </r>
  <r>
    <n v="2"/>
    <x v="6"/>
    <x v="351"/>
    <s v="Proceso Congelado"/>
    <n v="975"/>
  </r>
  <r>
    <n v="2"/>
    <x v="6"/>
    <x v="351"/>
    <s v="Libre Utilizacion"/>
    <n v="6186"/>
  </r>
  <r>
    <n v="2"/>
    <x v="6"/>
    <x v="352"/>
    <s v="Libre Utilizacion"/>
    <n v="1148"/>
  </r>
  <r>
    <n v="2"/>
    <x v="6"/>
    <x v="353"/>
    <s v="Libre Utilizacion"/>
    <n v="25780"/>
  </r>
  <r>
    <n v="2"/>
    <x v="6"/>
    <x v="354"/>
    <s v="Libre Utilizacion"/>
    <n v="100"/>
  </r>
  <r>
    <n v="2"/>
    <x v="6"/>
    <x v="355"/>
    <s v="Proceso Congelado"/>
    <n v="472"/>
  </r>
  <r>
    <n v="2"/>
    <x v="6"/>
    <x v="355"/>
    <s v="Libre Utilizacion"/>
    <n v="11920"/>
  </r>
  <r>
    <n v="2"/>
    <x v="6"/>
    <x v="356"/>
    <s v="Proceso Congelado"/>
    <n v="10"/>
  </r>
  <r>
    <n v="2"/>
    <x v="7"/>
    <x v="357"/>
    <s v="Proceso Congelado"/>
    <n v="34229"/>
  </r>
  <r>
    <n v="2"/>
    <x v="7"/>
    <x v="357"/>
    <s v="Libre Utilizacion"/>
    <n v="59197"/>
  </r>
  <r>
    <n v="2"/>
    <x v="7"/>
    <x v="358"/>
    <s v="Proceso Congelado"/>
    <n v="7175"/>
  </r>
  <r>
    <n v="2"/>
    <x v="7"/>
    <x v="358"/>
    <s v="Libre Utilizacion"/>
    <n v="79418"/>
  </r>
  <r>
    <n v="2"/>
    <x v="7"/>
    <x v="359"/>
    <s v="Libre Utilizacion"/>
    <n v="6628"/>
  </r>
  <r>
    <n v="2"/>
    <x v="7"/>
    <x v="360"/>
    <s v="Proceso Congelado"/>
    <n v="21044"/>
  </r>
  <r>
    <n v="2"/>
    <x v="7"/>
    <x v="360"/>
    <s v="Libre Utilizacion"/>
    <n v="61521"/>
  </r>
  <r>
    <n v="2"/>
    <x v="7"/>
    <x v="361"/>
    <s v="Proceso Congelado"/>
    <n v="2800"/>
  </r>
  <r>
    <n v="2"/>
    <x v="7"/>
    <x v="361"/>
    <s v="Libre Utilizacion"/>
    <n v="16375"/>
  </r>
  <r>
    <n v="2"/>
    <x v="7"/>
    <x v="362"/>
    <s v="Libre Utilizacion"/>
    <n v="2365"/>
  </r>
  <r>
    <n v="2"/>
    <x v="7"/>
    <x v="363"/>
    <s v="Proceso Congelado"/>
    <n v="19989"/>
  </r>
  <r>
    <n v="2"/>
    <x v="7"/>
    <x v="363"/>
    <s v="Libre Utilizacion"/>
    <n v="38384"/>
  </r>
  <r>
    <n v="2"/>
    <x v="7"/>
    <x v="364"/>
    <s v="Proceso Congelado"/>
    <n v="288"/>
  </r>
  <r>
    <n v="2"/>
    <x v="7"/>
    <x v="364"/>
    <s v="Libre Utilizacion"/>
    <n v="5696"/>
  </r>
  <r>
    <n v="2"/>
    <x v="7"/>
    <x v="365"/>
    <s v="Libre Utilizacion"/>
    <n v="24528"/>
  </r>
  <r>
    <n v="2"/>
    <x v="7"/>
    <x v="366"/>
    <s v="Libre Utilizacion"/>
    <n v="4272"/>
  </r>
  <r>
    <n v="2"/>
    <x v="7"/>
    <x v="367"/>
    <s v="Proceso Congelado"/>
    <n v="1850"/>
  </r>
  <r>
    <n v="2"/>
    <x v="7"/>
    <x v="367"/>
    <s v="Libre Utilizacion"/>
    <n v="14710"/>
  </r>
  <r>
    <n v="2"/>
    <x v="7"/>
    <x v="368"/>
    <s v="Proceso Congelado"/>
    <n v="233"/>
  </r>
  <r>
    <n v="2"/>
    <x v="7"/>
    <x v="368"/>
    <s v="Libre Utilizacion"/>
    <n v="22169"/>
  </r>
  <r>
    <n v="2"/>
    <x v="7"/>
    <x v="369"/>
    <s v="Proceso Congelado"/>
    <n v="188"/>
  </r>
  <r>
    <n v="2"/>
    <x v="7"/>
    <x v="369"/>
    <s v="Libre Utilizacion"/>
    <n v="13635"/>
  </r>
  <r>
    <n v="2"/>
    <x v="7"/>
    <x v="370"/>
    <s v="Proceso Congelado"/>
    <n v="557"/>
  </r>
  <r>
    <n v="2"/>
    <x v="7"/>
    <x v="370"/>
    <s v="Libre Utilizacion"/>
    <n v="23651"/>
  </r>
  <r>
    <n v="2"/>
    <x v="7"/>
    <x v="371"/>
    <s v="Libre Utilizacion"/>
    <n v="6971"/>
  </r>
  <r>
    <n v="2"/>
    <x v="7"/>
    <x v="372"/>
    <s v="Proceso Congelado"/>
    <n v="2046"/>
  </r>
  <r>
    <n v="2"/>
    <x v="7"/>
    <x v="372"/>
    <s v="Libre Utilizacion"/>
    <n v="8239"/>
  </r>
  <r>
    <n v="2"/>
    <x v="7"/>
    <x v="373"/>
    <s v="Proceso Congelado"/>
    <n v="16841"/>
  </r>
  <r>
    <n v="2"/>
    <x v="7"/>
    <x v="373"/>
    <s v="Libre Utilizacion"/>
    <n v="36698"/>
  </r>
  <r>
    <n v="2"/>
    <x v="7"/>
    <x v="374"/>
    <s v="Proceso Congelado"/>
    <n v="15846"/>
  </r>
  <r>
    <n v="2"/>
    <x v="7"/>
    <x v="374"/>
    <s v="Libre Utilizacion"/>
    <n v="24794"/>
  </r>
  <r>
    <n v="2"/>
    <x v="7"/>
    <x v="375"/>
    <s v="Libre Utilizacion"/>
    <n v="20885"/>
  </r>
  <r>
    <n v="2"/>
    <x v="7"/>
    <x v="376"/>
    <s v="Libre Utilizacion"/>
    <n v="5077"/>
  </r>
  <r>
    <n v="2"/>
    <x v="7"/>
    <x v="377"/>
    <s v="Libre Utilizacion"/>
    <n v="4536"/>
  </r>
  <r>
    <n v="2"/>
    <x v="7"/>
    <x v="378"/>
    <s v="Proceso Congelado"/>
    <n v="67461"/>
  </r>
  <r>
    <n v="2"/>
    <x v="7"/>
    <x v="378"/>
    <s v="Libre Utilizacion"/>
    <n v="22821"/>
  </r>
  <r>
    <n v="2"/>
    <x v="7"/>
    <x v="379"/>
    <s v="Proceso Congelado"/>
    <n v="97"/>
  </r>
  <r>
    <n v="2"/>
    <x v="7"/>
    <x v="379"/>
    <s v="Libre Utilizacion"/>
    <n v="33179"/>
  </r>
  <r>
    <n v="2"/>
    <x v="7"/>
    <x v="380"/>
    <s v="Proceso Congelado"/>
    <n v="3184"/>
  </r>
  <r>
    <n v="2"/>
    <x v="7"/>
    <x v="380"/>
    <s v="Libre Utilizacion"/>
    <n v="15141"/>
  </r>
  <r>
    <n v="2"/>
    <x v="7"/>
    <x v="381"/>
    <s v="Libre Utilizacion"/>
    <n v="10659"/>
  </r>
  <r>
    <n v="2"/>
    <x v="7"/>
    <x v="382"/>
    <s v="Proceso Congelado"/>
    <n v="613"/>
  </r>
  <r>
    <n v="2"/>
    <x v="7"/>
    <x v="382"/>
    <s v="Libre Utilizacion"/>
    <n v="22205"/>
  </r>
  <r>
    <n v="2"/>
    <x v="7"/>
    <x v="383"/>
    <s v="Libre Utilizacion"/>
    <n v="70"/>
  </r>
  <r>
    <n v="2"/>
    <x v="7"/>
    <x v="384"/>
    <s v="Proceso Congelado"/>
    <n v="7577"/>
  </r>
  <r>
    <n v="2"/>
    <x v="7"/>
    <x v="384"/>
    <s v="Libre Utilizacion"/>
    <n v="34477"/>
  </r>
  <r>
    <n v="2"/>
    <x v="7"/>
    <x v="385"/>
    <s v="Libre Utilizacion"/>
    <n v="370"/>
  </r>
  <r>
    <n v="2"/>
    <x v="8"/>
    <x v="386"/>
    <s v="Proceso Congelado"/>
    <n v="1524"/>
  </r>
  <r>
    <n v="2"/>
    <x v="8"/>
    <x v="386"/>
    <s v="Libre Utilizacion"/>
    <n v="26152"/>
  </r>
  <r>
    <n v="2"/>
    <x v="8"/>
    <x v="387"/>
    <s v="Proceso Congelado"/>
    <n v="17113"/>
  </r>
  <r>
    <n v="2"/>
    <x v="8"/>
    <x v="387"/>
    <s v="Libre Utilizacion"/>
    <n v="50544"/>
  </r>
  <r>
    <n v="2"/>
    <x v="8"/>
    <x v="388"/>
    <s v="Proceso Congelado"/>
    <n v="2169"/>
  </r>
  <r>
    <n v="2"/>
    <x v="8"/>
    <x v="388"/>
    <s v="Libre Utilizacion"/>
    <n v="87484"/>
  </r>
  <r>
    <n v="2"/>
    <x v="8"/>
    <x v="389"/>
    <s v="Proceso Congelado"/>
    <n v="7421"/>
  </r>
  <r>
    <n v="2"/>
    <x v="8"/>
    <x v="389"/>
    <s v="Libre Utilizacion"/>
    <n v="33695"/>
  </r>
  <r>
    <n v="2"/>
    <x v="8"/>
    <x v="390"/>
    <s v="Proceso Congelado"/>
    <n v="195"/>
  </r>
  <r>
    <n v="2"/>
    <x v="8"/>
    <x v="390"/>
    <s v="Libre Utilizacion"/>
    <n v="4464"/>
  </r>
  <r>
    <n v="2"/>
    <x v="8"/>
    <x v="391"/>
    <s v="Libre Utilizacion"/>
    <n v="7027"/>
  </r>
  <r>
    <n v="2"/>
    <x v="8"/>
    <x v="392"/>
    <s v="Proceso Congelado"/>
    <n v="950"/>
  </r>
  <r>
    <n v="2"/>
    <x v="8"/>
    <x v="393"/>
    <s v="Libre Utilizacion"/>
    <n v="6422"/>
  </r>
  <r>
    <n v="2"/>
    <x v="8"/>
    <x v="394"/>
    <s v="Proceso Congelado"/>
    <n v="48157"/>
  </r>
  <r>
    <n v="2"/>
    <x v="8"/>
    <x v="394"/>
    <s v="Libre Utilizacion"/>
    <n v="22697"/>
  </r>
  <r>
    <n v="2"/>
    <x v="8"/>
    <x v="395"/>
    <s v="Proceso Congelado"/>
    <n v="9960"/>
  </r>
  <r>
    <n v="2"/>
    <x v="8"/>
    <x v="395"/>
    <s v="Libre Utilizacion"/>
    <n v="57080"/>
  </r>
  <r>
    <n v="2"/>
    <x v="8"/>
    <x v="396"/>
    <s v="Proceso Congelado"/>
    <n v="1548"/>
  </r>
  <r>
    <n v="2"/>
    <x v="8"/>
    <x v="396"/>
    <s v="Libre Utilizacion"/>
    <n v="2479"/>
  </r>
  <r>
    <n v="2"/>
    <x v="8"/>
    <x v="397"/>
    <s v="Proceso Congelado"/>
    <n v="740"/>
  </r>
  <r>
    <n v="2"/>
    <x v="8"/>
    <x v="397"/>
    <s v="Libre Utilizacion"/>
    <n v="14559"/>
  </r>
  <r>
    <n v="2"/>
    <x v="8"/>
    <x v="398"/>
    <s v="Proceso Congelado"/>
    <n v="3826"/>
  </r>
  <r>
    <n v="2"/>
    <x v="8"/>
    <x v="398"/>
    <s v="Libre Utilizacion"/>
    <n v="28600"/>
  </r>
  <r>
    <n v="2"/>
    <x v="8"/>
    <x v="399"/>
    <s v="Libre Utilizacion"/>
    <n v="1570"/>
  </r>
  <r>
    <n v="2"/>
    <x v="8"/>
    <x v="400"/>
    <s v="Proceso Congelado"/>
    <n v="3899"/>
  </r>
  <r>
    <n v="2"/>
    <x v="8"/>
    <x v="400"/>
    <s v="Libre Utilizacion"/>
    <n v="818"/>
  </r>
  <r>
    <n v="2"/>
    <x v="8"/>
    <x v="401"/>
    <s v="Proceso Congelado"/>
    <n v="7426"/>
  </r>
  <r>
    <n v="2"/>
    <x v="8"/>
    <x v="401"/>
    <s v="Libre Utilizacion"/>
    <n v="37441"/>
  </r>
  <r>
    <n v="2"/>
    <x v="8"/>
    <x v="402"/>
    <s v="Proceso Congelado"/>
    <n v="12482"/>
  </r>
  <r>
    <n v="2"/>
    <x v="8"/>
    <x v="402"/>
    <s v="Libre Utilizacion"/>
    <n v="30262"/>
  </r>
  <r>
    <n v="2"/>
    <x v="8"/>
    <x v="403"/>
    <s v="Proceso Congelado"/>
    <n v="8321"/>
  </r>
  <r>
    <n v="2"/>
    <x v="8"/>
    <x v="403"/>
    <s v="Libre Utilizacion"/>
    <n v="46515"/>
  </r>
  <r>
    <n v="2"/>
    <x v="8"/>
    <x v="404"/>
    <s v="Proceso Congelado"/>
    <n v="710"/>
  </r>
  <r>
    <n v="2"/>
    <x v="8"/>
    <x v="404"/>
    <s v="Libre Utilizacion"/>
    <n v="1934"/>
  </r>
  <r>
    <n v="2"/>
    <x v="8"/>
    <x v="405"/>
    <s v="Proceso Congelado"/>
    <n v="720"/>
  </r>
  <r>
    <n v="2"/>
    <x v="8"/>
    <x v="405"/>
    <s v="Libre Utilizacion"/>
    <n v="5170"/>
  </r>
  <r>
    <n v="2"/>
    <x v="9"/>
    <x v="406"/>
    <s v="Proceso Congelado"/>
    <n v="55"/>
  </r>
  <r>
    <n v="2"/>
    <x v="9"/>
    <x v="406"/>
    <s v="Libre Utilizacion"/>
    <n v="78"/>
  </r>
  <r>
    <n v="2"/>
    <x v="9"/>
    <x v="407"/>
    <s v="Proceso Congelado"/>
    <n v="570"/>
  </r>
  <r>
    <n v="2"/>
    <x v="9"/>
    <x v="407"/>
    <s v="Libre Utilizacion"/>
    <n v="2181"/>
  </r>
  <r>
    <n v="2"/>
    <x v="9"/>
    <x v="408"/>
    <s v="Proceso Congelado"/>
    <n v="1481"/>
  </r>
  <r>
    <n v="2"/>
    <x v="9"/>
    <x v="408"/>
    <s v="Libre Utilizacion"/>
    <n v="1595"/>
  </r>
  <r>
    <n v="2"/>
    <x v="9"/>
    <x v="409"/>
    <s v="Proceso Congelado"/>
    <n v="3459"/>
  </r>
  <r>
    <n v="2"/>
    <x v="9"/>
    <x v="409"/>
    <s v="Libre Utilizacion"/>
    <n v="1199"/>
  </r>
  <r>
    <n v="2"/>
    <x v="9"/>
    <x v="410"/>
    <s v="Proceso Congelado"/>
    <n v="452"/>
  </r>
  <r>
    <n v="2"/>
    <x v="9"/>
    <x v="410"/>
    <s v="Libre Utilizacion"/>
    <n v="341"/>
  </r>
  <r>
    <n v="2"/>
    <x v="9"/>
    <x v="411"/>
    <s v="Proceso Congelado"/>
    <n v="1657"/>
  </r>
  <r>
    <n v="2"/>
    <x v="9"/>
    <x v="411"/>
    <s v="Libre Utilizacion"/>
    <n v="20097"/>
  </r>
  <r>
    <n v="2"/>
    <x v="9"/>
    <x v="412"/>
    <s v="Libre Utilizacion"/>
    <n v="13"/>
  </r>
  <r>
    <n v="2"/>
    <x v="9"/>
    <x v="413"/>
    <s v="Proceso Congelado"/>
    <n v="6679"/>
  </r>
  <r>
    <n v="2"/>
    <x v="9"/>
    <x v="413"/>
    <s v="Libre Utilizacion"/>
    <n v="10583"/>
  </r>
  <r>
    <n v="2"/>
    <x v="9"/>
    <x v="414"/>
    <s v="Proceso Congelado"/>
    <n v="521"/>
  </r>
  <r>
    <n v="2"/>
    <x v="9"/>
    <x v="414"/>
    <s v="Libre Utilizacion"/>
    <n v="1646"/>
  </r>
  <r>
    <n v="2"/>
    <x v="9"/>
    <x v="415"/>
    <s v="Proceso Congelado"/>
    <n v="2303"/>
  </r>
  <r>
    <n v="2"/>
    <x v="9"/>
    <x v="415"/>
    <s v="Libre Utilizacion"/>
    <n v="8227"/>
  </r>
  <r>
    <n v="2"/>
    <x v="9"/>
    <x v="416"/>
    <s v="Libre Utilizacion"/>
    <n v="0"/>
  </r>
  <r>
    <n v="2"/>
    <x v="9"/>
    <x v="417"/>
    <s v="Proceso Congelado"/>
    <n v="856"/>
  </r>
  <r>
    <n v="2"/>
    <x v="9"/>
    <x v="417"/>
    <s v="Libre Utilizacion"/>
    <n v="3390"/>
  </r>
  <r>
    <n v="2"/>
    <x v="9"/>
    <x v="418"/>
    <s v="Libre Utilizacion"/>
    <n v="24864"/>
  </r>
  <r>
    <n v="2"/>
    <x v="9"/>
    <x v="419"/>
    <s v="Proceso Congelado"/>
    <n v="4396"/>
  </r>
  <r>
    <n v="2"/>
    <x v="9"/>
    <x v="419"/>
    <s v="Libre Utilizacion"/>
    <n v="57466"/>
  </r>
  <r>
    <n v="2"/>
    <x v="9"/>
    <x v="420"/>
    <s v="Proceso Congelado"/>
    <n v="1560"/>
  </r>
  <r>
    <n v="2"/>
    <x v="9"/>
    <x v="420"/>
    <s v="Libre Utilizacion"/>
    <n v="41590"/>
  </r>
  <r>
    <n v="2"/>
    <x v="9"/>
    <x v="421"/>
    <s v="Proceso Congelado"/>
    <n v="380"/>
  </r>
  <r>
    <n v="2"/>
    <x v="9"/>
    <x v="421"/>
    <s v="Libre Utilizacion"/>
    <n v="5900"/>
  </r>
  <r>
    <n v="2"/>
    <x v="9"/>
    <x v="422"/>
    <s v="Proceso Congelado"/>
    <n v="10"/>
  </r>
  <r>
    <n v="2"/>
    <x v="9"/>
    <x v="422"/>
    <s v="Libre Utilizacion"/>
    <n v="7532"/>
  </r>
  <r>
    <n v="2"/>
    <x v="9"/>
    <x v="423"/>
    <s v="Proceso Congelado"/>
    <n v="1210"/>
  </r>
  <r>
    <n v="2"/>
    <x v="9"/>
    <x v="423"/>
    <s v="Libre Utilizacion"/>
    <n v="1720"/>
  </r>
  <r>
    <n v="2"/>
    <x v="9"/>
    <x v="424"/>
    <s v="Proceso Congelado"/>
    <n v="5656"/>
  </r>
  <r>
    <n v="2"/>
    <x v="9"/>
    <x v="424"/>
    <s v="Libre Utilizacion"/>
    <n v="6124"/>
  </r>
  <r>
    <n v="2"/>
    <x v="9"/>
    <x v="425"/>
    <s v="Libre Utilizacion"/>
    <n v="1256"/>
  </r>
  <r>
    <n v="2"/>
    <x v="9"/>
    <x v="426"/>
    <s v="Proceso Congelado"/>
    <n v="900"/>
  </r>
  <r>
    <n v="2"/>
    <x v="9"/>
    <x v="427"/>
    <s v="Proceso Congelado"/>
    <n v="3382"/>
  </r>
  <r>
    <n v="2"/>
    <x v="9"/>
    <x v="427"/>
    <s v="Libre Utilizacion"/>
    <n v="5661"/>
  </r>
  <r>
    <n v="2"/>
    <x v="9"/>
    <x v="428"/>
    <s v="Libre Utilizacion"/>
    <n v="786"/>
  </r>
  <r>
    <n v="2"/>
    <x v="9"/>
    <x v="429"/>
    <s v="Libre Utilizacion"/>
    <n v="7176"/>
  </r>
  <r>
    <n v="2"/>
    <x v="9"/>
    <x v="430"/>
    <s v="Libre Utilizacion"/>
    <n v="428"/>
  </r>
  <r>
    <n v="2"/>
    <x v="9"/>
    <x v="431"/>
    <s v="Proceso Congelado"/>
    <n v="6656"/>
  </r>
  <r>
    <n v="2"/>
    <x v="9"/>
    <x v="431"/>
    <s v="Libre Utilizacion"/>
    <n v="8691"/>
  </r>
  <r>
    <n v="2"/>
    <x v="9"/>
    <x v="432"/>
    <s v="Proceso Congelado"/>
    <n v="6660"/>
  </r>
  <r>
    <n v="2"/>
    <x v="9"/>
    <x v="432"/>
    <s v="Libre Utilizacion"/>
    <n v="3164"/>
  </r>
  <r>
    <n v="2"/>
    <x v="9"/>
    <x v="433"/>
    <s v="Libre Utilizacion"/>
    <n v="2998"/>
  </r>
  <r>
    <n v="2"/>
    <x v="9"/>
    <x v="434"/>
    <s v="Libre Utilizacion"/>
    <n v="592"/>
  </r>
  <r>
    <n v="2"/>
    <x v="9"/>
    <x v="435"/>
    <s v="Proceso Congelado"/>
    <n v="772"/>
  </r>
  <r>
    <n v="2"/>
    <x v="9"/>
    <x v="435"/>
    <s v="Libre Utilizacion"/>
    <n v="1950"/>
  </r>
  <r>
    <n v="2"/>
    <x v="9"/>
    <x v="436"/>
    <s v="Libre Utilizacion"/>
    <n v="35626"/>
  </r>
  <r>
    <n v="2"/>
    <x v="9"/>
    <x v="437"/>
    <s v="Libre Utilizacion"/>
    <n v="21304"/>
  </r>
  <r>
    <n v="2"/>
    <x v="9"/>
    <x v="438"/>
    <s v="Libre Utilizacion"/>
    <n v="10416"/>
  </r>
  <r>
    <n v="2"/>
    <x v="9"/>
    <x v="439"/>
    <s v="Proceso Congelado"/>
    <n v="2150"/>
  </r>
  <r>
    <n v="2"/>
    <x v="9"/>
    <x v="439"/>
    <s v="Libre Utilizacion"/>
    <n v="5396"/>
  </r>
  <r>
    <n v="2"/>
    <x v="9"/>
    <x v="440"/>
    <s v="Libre Utilizacion"/>
    <n v="1303"/>
  </r>
  <r>
    <n v="2"/>
    <x v="9"/>
    <x v="441"/>
    <s v="Libre Utilizacion"/>
    <n v="30"/>
  </r>
  <r>
    <n v="2"/>
    <x v="9"/>
    <x v="442"/>
    <s v="Proceso Congelado"/>
    <n v="1125"/>
  </r>
  <r>
    <n v="2"/>
    <x v="9"/>
    <x v="442"/>
    <s v="Libre Utilizacion"/>
    <n v="1335"/>
  </r>
  <r>
    <n v="2"/>
    <x v="9"/>
    <x v="443"/>
    <s v="Proceso Congelado"/>
    <n v="888"/>
  </r>
  <r>
    <n v="2"/>
    <x v="9"/>
    <x v="443"/>
    <s v="Libre Utilizacion"/>
    <n v="4850"/>
  </r>
  <r>
    <n v="2"/>
    <x v="9"/>
    <x v="444"/>
    <s v="Libre Utilizacion"/>
    <n v="45"/>
  </r>
  <r>
    <n v="2"/>
    <x v="9"/>
    <x v="445"/>
    <s v="Libre Utilizacion"/>
    <n v="3889"/>
  </r>
  <r>
    <n v="2"/>
    <x v="9"/>
    <x v="446"/>
    <s v="Libre Utilizacion"/>
    <n v="4128"/>
  </r>
  <r>
    <n v="2"/>
    <x v="9"/>
    <x v="447"/>
    <s v="Proceso Congelado"/>
    <n v="119"/>
  </r>
  <r>
    <n v="2"/>
    <x v="9"/>
    <x v="447"/>
    <s v="Libre Utilizacion"/>
    <n v="16799"/>
  </r>
  <r>
    <n v="2"/>
    <x v="9"/>
    <x v="448"/>
    <s v="Libre Utilizacion"/>
    <n v="818"/>
  </r>
  <r>
    <n v="2"/>
    <x v="9"/>
    <x v="449"/>
    <s v="Libre Utilizacion"/>
    <n v="685"/>
  </r>
  <r>
    <n v="2"/>
    <x v="9"/>
    <x v="450"/>
    <s v="Proceso Congelado"/>
    <n v="1458"/>
  </r>
  <r>
    <n v="2"/>
    <x v="9"/>
    <x v="450"/>
    <s v="Libre Utilizacion"/>
    <n v="5707"/>
  </r>
  <r>
    <n v="2"/>
    <x v="9"/>
    <x v="451"/>
    <s v="Libre Utilizacion"/>
    <n v="25019"/>
  </r>
  <r>
    <n v="2"/>
    <x v="9"/>
    <x v="452"/>
    <s v="Libre Utilizacion"/>
    <n v="6245"/>
  </r>
  <r>
    <n v="2"/>
    <x v="9"/>
    <x v="453"/>
    <s v="Libre Utilizacion"/>
    <n v="4021"/>
  </r>
  <r>
    <n v="2"/>
    <x v="9"/>
    <x v="454"/>
    <s v="Proceso Congelado"/>
    <n v="4276"/>
  </r>
  <r>
    <n v="2"/>
    <x v="9"/>
    <x v="454"/>
    <s v="Libre Utilizacion"/>
    <n v="6085"/>
  </r>
  <r>
    <n v="2"/>
    <x v="9"/>
    <x v="455"/>
    <s v="Libre Utilizacion"/>
    <n v="1760"/>
  </r>
  <r>
    <n v="2"/>
    <x v="9"/>
    <x v="456"/>
    <s v="Proceso Congelado"/>
    <n v="316"/>
  </r>
  <r>
    <n v="2"/>
    <x v="9"/>
    <x v="456"/>
    <s v="Libre Utilizacion"/>
    <n v="2974"/>
  </r>
  <r>
    <n v="2"/>
    <x v="9"/>
    <x v="457"/>
    <s v="Libre Utilizacion"/>
    <n v="206"/>
  </r>
  <r>
    <n v="2"/>
    <x v="9"/>
    <x v="458"/>
    <s v="Libre Utilizacion"/>
    <n v="4839"/>
  </r>
  <r>
    <n v="2"/>
    <x v="9"/>
    <x v="459"/>
    <s v="Proceso Congelado"/>
    <n v="48"/>
  </r>
  <r>
    <n v="2"/>
    <x v="9"/>
    <x v="459"/>
    <s v="Libre Utilizacion"/>
    <n v="10654"/>
  </r>
  <r>
    <n v="2"/>
    <x v="9"/>
    <x v="460"/>
    <s v="Libre Utilizacion"/>
    <n v="13123"/>
  </r>
  <r>
    <n v="2"/>
    <x v="9"/>
    <x v="461"/>
    <s v="Libre Utilizacion"/>
    <n v="6134"/>
  </r>
  <r>
    <n v="2"/>
    <x v="9"/>
    <x v="462"/>
    <s v="Libre Utilizacion"/>
    <n v="3600"/>
  </r>
  <r>
    <n v="2"/>
    <x v="9"/>
    <x v="463"/>
    <s v="Libre Utilizacion"/>
    <n v="14"/>
  </r>
  <r>
    <n v="2"/>
    <x v="9"/>
    <x v="464"/>
    <s v="Libre Utilizacion"/>
    <n v="11956"/>
  </r>
  <r>
    <n v="2"/>
    <x v="9"/>
    <x v="465"/>
    <s v="Libre Utilizacion"/>
    <n v="1679"/>
  </r>
  <r>
    <n v="2"/>
    <x v="9"/>
    <x v="466"/>
    <s v="Libre Utilizacion"/>
    <n v="10886"/>
  </r>
  <r>
    <n v="2"/>
    <x v="9"/>
    <x v="467"/>
    <s v="Proceso Congelado"/>
    <n v="105"/>
  </r>
  <r>
    <n v="2"/>
    <x v="9"/>
    <x v="467"/>
    <s v="Libre Utilizacion"/>
    <n v="9519"/>
  </r>
  <r>
    <n v="2"/>
    <x v="9"/>
    <x v="468"/>
    <s v="Proceso Congelado"/>
    <n v="2444"/>
  </r>
  <r>
    <n v="2"/>
    <x v="9"/>
    <x v="468"/>
    <s v="Libre Utilizacion"/>
    <n v="47386"/>
  </r>
  <r>
    <n v="2"/>
    <x v="9"/>
    <x v="469"/>
    <s v="Proceso Congelado"/>
    <n v="24"/>
  </r>
  <r>
    <n v="2"/>
    <x v="9"/>
    <x v="469"/>
    <s v="Libre Utilizacion"/>
    <n v="11824"/>
  </r>
  <r>
    <n v="2"/>
    <x v="9"/>
    <x v="470"/>
    <s v="Proceso Congelado"/>
    <n v="111"/>
  </r>
  <r>
    <n v="2"/>
    <x v="9"/>
    <x v="470"/>
    <s v="Libre Utilizacion"/>
    <n v="1698"/>
  </r>
  <r>
    <n v="2"/>
    <x v="9"/>
    <x v="471"/>
    <s v="Proceso Congelado"/>
    <n v="340"/>
  </r>
  <r>
    <n v="2"/>
    <x v="9"/>
    <x v="471"/>
    <s v="Libre Utilizacion"/>
    <n v="15510"/>
  </r>
  <r>
    <n v="2"/>
    <x v="9"/>
    <x v="472"/>
    <s v="Libre Utilizacion"/>
    <n v="659"/>
  </r>
  <r>
    <n v="2"/>
    <x v="9"/>
    <x v="473"/>
    <s v="Libre Utilizacion"/>
    <n v="213"/>
  </r>
  <r>
    <n v="2"/>
    <x v="9"/>
    <x v="474"/>
    <s v="Libre Utilizacion"/>
    <n v="43"/>
  </r>
  <r>
    <n v="2"/>
    <x v="9"/>
    <x v="475"/>
    <s v="Libre Utilizacion"/>
    <n v="1110"/>
  </r>
  <r>
    <n v="2"/>
    <x v="9"/>
    <x v="476"/>
    <s v="Libre Utilizacion"/>
    <n v="738"/>
  </r>
  <r>
    <n v="2"/>
    <x v="9"/>
    <x v="477"/>
    <s v="Libre Utilizacion"/>
    <n v="23594"/>
  </r>
  <r>
    <n v="2"/>
    <x v="9"/>
    <x v="478"/>
    <s v="Libre Utilizacion"/>
    <n v="2113"/>
  </r>
  <r>
    <n v="2"/>
    <x v="9"/>
    <x v="479"/>
    <s v="Proceso Congelado"/>
    <n v="24"/>
  </r>
  <r>
    <n v="2"/>
    <x v="9"/>
    <x v="479"/>
    <s v="Libre Utilizacion"/>
    <n v="95"/>
  </r>
  <r>
    <n v="2"/>
    <x v="9"/>
    <x v="480"/>
    <s v="Libre Utilizacion"/>
    <n v="2192"/>
  </r>
  <r>
    <n v="2"/>
    <x v="9"/>
    <x v="481"/>
    <s v="Libre Utilizacion"/>
    <n v="1358"/>
  </r>
  <r>
    <n v="2"/>
    <x v="9"/>
    <x v="482"/>
    <s v="Libre Utilizacion"/>
    <n v="304"/>
  </r>
  <r>
    <n v="2"/>
    <x v="9"/>
    <x v="483"/>
    <s v="Libre Utilizacion"/>
    <n v="212"/>
  </r>
  <r>
    <n v="2"/>
    <x v="9"/>
    <x v="484"/>
    <s v="Proceso Congelado"/>
    <n v="841"/>
  </r>
  <r>
    <n v="2"/>
    <x v="9"/>
    <x v="484"/>
    <s v="Libre Utilizacion"/>
    <n v="3908"/>
  </r>
  <r>
    <n v="2"/>
    <x v="9"/>
    <x v="485"/>
    <s v="Proceso Congelado"/>
    <n v="1002"/>
  </r>
  <r>
    <n v="2"/>
    <x v="9"/>
    <x v="485"/>
    <s v="Libre Utilizacion"/>
    <n v="3976"/>
  </r>
  <r>
    <n v="2"/>
    <x v="9"/>
    <x v="486"/>
    <s v="Libre Utilizacion"/>
    <n v="6677"/>
  </r>
  <r>
    <n v="2"/>
    <x v="9"/>
    <x v="487"/>
    <s v="Libre Utilizacion"/>
    <n v="10647"/>
  </r>
  <r>
    <n v="2"/>
    <x v="9"/>
    <x v="488"/>
    <s v="Libre Utilizacion"/>
    <n v="3692"/>
  </r>
  <r>
    <n v="2"/>
    <x v="9"/>
    <x v="489"/>
    <s v="Libre Utilizacion"/>
    <n v="48"/>
  </r>
  <r>
    <n v="2"/>
    <x v="9"/>
    <x v="490"/>
    <s v="Libre Utilizacion"/>
    <n v="3060"/>
  </r>
  <r>
    <n v="2"/>
    <x v="9"/>
    <x v="491"/>
    <s v="Libre Utilizacion"/>
    <n v="1123"/>
  </r>
  <r>
    <n v="2"/>
    <x v="9"/>
    <x v="492"/>
    <s v="Libre Utilizacion"/>
    <n v="12337"/>
  </r>
  <r>
    <n v="2"/>
    <x v="9"/>
    <x v="493"/>
    <s v="Libre Utilizacion"/>
    <n v="1537"/>
  </r>
  <r>
    <n v="2"/>
    <x v="9"/>
    <x v="494"/>
    <s v="Libre Utilizacion"/>
    <n v="69"/>
  </r>
  <r>
    <n v="2"/>
    <x v="9"/>
    <x v="495"/>
    <s v="Libre Utilizacion"/>
    <n v="806"/>
  </r>
  <r>
    <n v="2"/>
    <x v="9"/>
    <x v="496"/>
    <s v="Libre Utilizacion"/>
    <n v="546"/>
  </r>
  <r>
    <n v="2"/>
    <x v="9"/>
    <x v="497"/>
    <s v="Libre Utilizacion"/>
    <n v="356"/>
  </r>
  <r>
    <n v="2"/>
    <x v="9"/>
    <x v="498"/>
    <s v="Proceso Congelado"/>
    <n v="176"/>
  </r>
  <r>
    <n v="2"/>
    <x v="9"/>
    <x v="498"/>
    <s v="Libre Utilizacion"/>
    <n v="189"/>
  </r>
  <r>
    <n v="2"/>
    <x v="9"/>
    <x v="499"/>
    <s v="Libre Utilizacion"/>
    <n v="7178"/>
  </r>
  <r>
    <n v="2"/>
    <x v="9"/>
    <x v="500"/>
    <s v="Proceso Congelado"/>
    <n v="1554"/>
  </r>
  <r>
    <n v="2"/>
    <x v="9"/>
    <x v="500"/>
    <s v="Libre Utilizacion"/>
    <n v="5507"/>
  </r>
  <r>
    <n v="2"/>
    <x v="9"/>
    <x v="501"/>
    <s v="Proceso Congelado"/>
    <n v="24"/>
  </r>
  <r>
    <n v="2"/>
    <x v="9"/>
    <x v="501"/>
    <s v="Libre Utilizacion"/>
    <n v="12988"/>
  </r>
  <r>
    <n v="2"/>
    <x v="9"/>
    <x v="502"/>
    <s v="Proceso Congelado"/>
    <n v="480"/>
  </r>
  <r>
    <n v="2"/>
    <x v="9"/>
    <x v="503"/>
    <s v="Libre Utilizacion"/>
    <n v="1893"/>
  </r>
  <r>
    <n v="2"/>
    <x v="9"/>
    <x v="504"/>
    <s v="Libre Utilizacion"/>
    <n v="257"/>
  </r>
  <r>
    <n v="2"/>
    <x v="9"/>
    <x v="505"/>
    <s v="Proceso Congelado"/>
    <n v="611"/>
  </r>
  <r>
    <n v="2"/>
    <x v="9"/>
    <x v="505"/>
    <s v="Libre Utilizacion"/>
    <n v="3131"/>
  </r>
  <r>
    <n v="2"/>
    <x v="9"/>
    <x v="506"/>
    <s v="Proceso Congelado"/>
    <n v="1584"/>
  </r>
  <r>
    <n v="2"/>
    <x v="9"/>
    <x v="506"/>
    <s v="Libre Utilizacion"/>
    <n v="2252"/>
  </r>
  <r>
    <n v="2"/>
    <x v="9"/>
    <x v="507"/>
    <s v="Libre Utilizacion"/>
    <n v="738"/>
  </r>
  <r>
    <n v="2"/>
    <x v="9"/>
    <x v="508"/>
    <s v="Libre Utilizacion"/>
    <n v="72"/>
  </r>
  <r>
    <n v="2"/>
    <x v="9"/>
    <x v="509"/>
    <s v="Libre Utilizacion"/>
    <n v="4699"/>
  </r>
  <r>
    <n v="2"/>
    <x v="9"/>
    <x v="510"/>
    <s v="Proceso Congelado"/>
    <n v="205"/>
  </r>
  <r>
    <n v="2"/>
    <x v="9"/>
    <x v="511"/>
    <s v="Proceso Congelado"/>
    <n v="2089"/>
  </r>
  <r>
    <n v="2"/>
    <x v="9"/>
    <x v="512"/>
    <s v="Proceso Congelado"/>
    <n v="3029"/>
  </r>
  <r>
    <n v="2"/>
    <x v="9"/>
    <x v="513"/>
    <s v="Proceso Congelado"/>
    <n v="11"/>
  </r>
  <r>
    <n v="2"/>
    <x v="9"/>
    <x v="514"/>
    <s v="Libre Utilizacion"/>
    <n v="1758"/>
  </r>
  <r>
    <n v="2"/>
    <x v="9"/>
    <x v="515"/>
    <s v="Proceso Congelado"/>
    <n v="1308"/>
  </r>
  <r>
    <n v="2"/>
    <x v="9"/>
    <x v="516"/>
    <s v="Libre Utilizacion"/>
    <n v="0"/>
  </r>
  <r>
    <n v="2"/>
    <x v="9"/>
    <x v="517"/>
    <s v="Libre Utilizacion"/>
    <n v="962"/>
  </r>
  <r>
    <n v="2"/>
    <x v="9"/>
    <x v="518"/>
    <s v="Proceso Congelado"/>
    <n v="1277"/>
  </r>
  <r>
    <n v="2"/>
    <x v="9"/>
    <x v="519"/>
    <s v="Proceso Congelado"/>
    <n v="670"/>
  </r>
  <r>
    <n v="2"/>
    <x v="9"/>
    <x v="519"/>
    <s v="Libre Utilizacion"/>
    <n v="583"/>
  </r>
  <r>
    <n v="2"/>
    <x v="9"/>
    <x v="520"/>
    <s v="Libre Utilizacion"/>
    <n v="702"/>
  </r>
  <r>
    <n v="2"/>
    <x v="9"/>
    <x v="521"/>
    <s v="Libre Utilizacion"/>
    <n v="360"/>
  </r>
  <r>
    <n v="2"/>
    <x v="9"/>
    <x v="522"/>
    <s v="Proceso Congelado"/>
    <n v="4413"/>
  </r>
  <r>
    <n v="2"/>
    <x v="9"/>
    <x v="523"/>
    <s v="Proceso Congelado"/>
    <n v="8930"/>
  </r>
  <r>
    <n v="2"/>
    <x v="9"/>
    <x v="523"/>
    <s v="Libre Utilizacion"/>
    <n v="9560"/>
  </r>
  <r>
    <n v="2"/>
    <x v="9"/>
    <x v="524"/>
    <s v="Proceso Congelado"/>
    <n v="17250"/>
  </r>
  <r>
    <n v="2"/>
    <x v="9"/>
    <x v="525"/>
    <s v="Proceso Congelado"/>
    <n v="178"/>
  </r>
  <r>
    <n v="2"/>
    <x v="14"/>
    <x v="526"/>
    <s v="Proceso Congelado"/>
    <n v="967"/>
  </r>
  <r>
    <n v="2"/>
    <x v="14"/>
    <x v="526"/>
    <s v="Libre Utilizacion"/>
    <n v="45679"/>
  </r>
  <r>
    <n v="2"/>
    <x v="14"/>
    <x v="527"/>
    <s v="Proceso Congelado"/>
    <n v="54254"/>
  </r>
  <r>
    <n v="2"/>
    <x v="14"/>
    <x v="527"/>
    <s v="Libre Utilizacion"/>
    <n v="216959"/>
  </r>
  <r>
    <n v="2"/>
    <x v="14"/>
    <x v="528"/>
    <s v="Proceso Congelado"/>
    <n v="16897"/>
  </r>
  <r>
    <n v="2"/>
    <x v="14"/>
    <x v="528"/>
    <s v="Libre Utilizacion"/>
    <n v="34660"/>
  </r>
  <r>
    <n v="2"/>
    <x v="14"/>
    <x v="529"/>
    <s v="Proceso Congelado"/>
    <n v="10850"/>
  </r>
  <r>
    <n v="2"/>
    <x v="14"/>
    <x v="529"/>
    <s v="Libre Utilizacion"/>
    <n v="49438"/>
  </r>
  <r>
    <n v="2"/>
    <x v="14"/>
    <x v="530"/>
    <s v="Proceso Congelado"/>
    <n v="12700"/>
  </r>
  <r>
    <n v="2"/>
    <x v="14"/>
    <x v="530"/>
    <s v="Libre Utilizacion"/>
    <n v="132388"/>
  </r>
  <r>
    <n v="2"/>
    <x v="14"/>
    <x v="531"/>
    <s v="Proceso Congelado"/>
    <n v="2217"/>
  </r>
  <r>
    <n v="2"/>
    <x v="14"/>
    <x v="531"/>
    <s v="Libre Utilizacion"/>
    <n v="14370"/>
  </r>
  <r>
    <n v="2"/>
    <x v="14"/>
    <x v="532"/>
    <s v="Proceso Congelado"/>
    <n v="589"/>
  </r>
  <r>
    <n v="2"/>
    <x v="14"/>
    <x v="532"/>
    <s v="Libre Utilizacion"/>
    <n v="18225"/>
  </r>
  <r>
    <n v="2"/>
    <x v="14"/>
    <x v="533"/>
    <s v="Proceso Congelado"/>
    <n v="13698"/>
  </r>
  <r>
    <n v="2"/>
    <x v="14"/>
    <x v="533"/>
    <s v="Libre Utilizacion"/>
    <n v="77141"/>
  </r>
  <r>
    <n v="2"/>
    <x v="14"/>
    <x v="534"/>
    <s v="Proceso Congelado"/>
    <n v="38"/>
  </r>
  <r>
    <n v="2"/>
    <x v="14"/>
    <x v="534"/>
    <s v="Libre Utilizacion"/>
    <n v="10290"/>
  </r>
  <r>
    <n v="2"/>
    <x v="15"/>
    <x v="535"/>
    <s v="Proceso Congelado"/>
    <n v="111"/>
  </r>
  <r>
    <n v="2"/>
    <x v="15"/>
    <x v="535"/>
    <s v="Libre Utilizacion"/>
    <n v="13572"/>
  </r>
  <r>
    <n v="2"/>
    <x v="15"/>
    <x v="536"/>
    <s v="Proceso Congelado"/>
    <n v="62"/>
  </r>
  <r>
    <n v="2"/>
    <x v="15"/>
    <x v="536"/>
    <s v="Libre Utilizacion"/>
    <n v="22871"/>
  </r>
  <r>
    <n v="2"/>
    <x v="15"/>
    <x v="537"/>
    <s v="Proceso Congelado"/>
    <n v="19"/>
  </r>
  <r>
    <n v="2"/>
    <x v="15"/>
    <x v="537"/>
    <s v="Libre Utilizacion"/>
    <n v="13160"/>
  </r>
  <r>
    <n v="2"/>
    <x v="15"/>
    <x v="538"/>
    <s v="Libre Utilizacion"/>
    <n v="224"/>
  </r>
  <r>
    <n v="2"/>
    <x v="15"/>
    <x v="539"/>
    <s v="Proceso Congelado"/>
    <n v="2482"/>
  </r>
  <r>
    <n v="2"/>
    <x v="15"/>
    <x v="539"/>
    <s v="Libre Utilizacion"/>
    <n v="3026"/>
  </r>
  <r>
    <n v="2"/>
    <x v="15"/>
    <x v="540"/>
    <s v="Libre Utilizacion"/>
    <n v="1200"/>
  </r>
  <r>
    <n v="2"/>
    <x v="15"/>
    <x v="541"/>
    <s v="Proceso Congelado"/>
    <n v="336"/>
  </r>
  <r>
    <n v="2"/>
    <x v="15"/>
    <x v="541"/>
    <s v="Libre Utilizacion"/>
    <n v="2150"/>
  </r>
  <r>
    <n v="2"/>
    <x v="15"/>
    <x v="542"/>
    <s v="Proceso Congelado"/>
    <n v="1147"/>
  </r>
  <r>
    <n v="2"/>
    <x v="15"/>
    <x v="542"/>
    <s v="Libre Utilizacion"/>
    <n v="3051"/>
  </r>
  <r>
    <n v="2"/>
    <x v="15"/>
    <x v="543"/>
    <s v="Libre Utilizacion"/>
    <n v="606"/>
  </r>
  <r>
    <n v="2"/>
    <x v="15"/>
    <x v="544"/>
    <s v="Proceso Congelado"/>
    <n v="5"/>
  </r>
  <r>
    <n v="2"/>
    <x v="15"/>
    <x v="544"/>
    <s v="Libre Utilizacion"/>
    <n v="2975"/>
  </r>
  <r>
    <n v="2"/>
    <x v="15"/>
    <x v="545"/>
    <s v="Libre Utilizacion"/>
    <n v="24218"/>
  </r>
  <r>
    <n v="2"/>
    <x v="15"/>
    <x v="546"/>
    <s v="Proceso Congelado"/>
    <n v="50"/>
  </r>
  <r>
    <n v="2"/>
    <x v="15"/>
    <x v="546"/>
    <s v="Libre Utilizacion"/>
    <n v="430"/>
  </r>
  <r>
    <n v="2"/>
    <x v="15"/>
    <x v="547"/>
    <s v="Libre Utilizacion"/>
    <n v="1720"/>
  </r>
  <r>
    <n v="2"/>
    <x v="15"/>
    <x v="548"/>
    <s v="Proceso Congelado"/>
    <n v="367"/>
  </r>
  <r>
    <n v="2"/>
    <x v="15"/>
    <x v="548"/>
    <s v="Libre Utilizacion"/>
    <n v="6923"/>
  </r>
  <r>
    <n v="2"/>
    <x v="15"/>
    <x v="549"/>
    <s v="Proceso Congelado"/>
    <n v="1690"/>
  </r>
  <r>
    <n v="2"/>
    <x v="15"/>
    <x v="549"/>
    <s v="Libre Utilizacion"/>
    <n v="4369"/>
  </r>
  <r>
    <n v="2"/>
    <x v="15"/>
    <x v="550"/>
    <s v="Proceso Congelado"/>
    <n v="670"/>
  </r>
  <r>
    <n v="2"/>
    <x v="15"/>
    <x v="550"/>
    <s v="Libre Utilizacion"/>
    <n v="3540"/>
  </r>
  <r>
    <n v="2"/>
    <x v="15"/>
    <x v="551"/>
    <s v="Proceso Congelado"/>
    <n v="226"/>
  </r>
  <r>
    <n v="2"/>
    <x v="15"/>
    <x v="551"/>
    <s v="Libre Utilizacion"/>
    <n v="3999"/>
  </r>
  <r>
    <n v="2"/>
    <x v="15"/>
    <x v="552"/>
    <s v="Proceso Congelado"/>
    <n v="789"/>
  </r>
  <r>
    <n v="2"/>
    <x v="15"/>
    <x v="552"/>
    <s v="Libre Utilizacion"/>
    <n v="3505"/>
  </r>
  <r>
    <n v="2"/>
    <x v="15"/>
    <x v="553"/>
    <s v="Libre Utilizacion"/>
    <n v="3530"/>
  </r>
  <r>
    <n v="2"/>
    <x v="15"/>
    <x v="554"/>
    <s v="Proceso Congelado"/>
    <n v="897"/>
  </r>
  <r>
    <n v="2"/>
    <x v="15"/>
    <x v="554"/>
    <s v="Libre Utilizacion"/>
    <n v="4974"/>
  </r>
  <r>
    <n v="2"/>
    <x v="15"/>
    <x v="555"/>
    <s v="Proceso Congelado"/>
    <n v="37"/>
  </r>
  <r>
    <n v="2"/>
    <x v="15"/>
    <x v="555"/>
    <s v="Libre Utilizacion"/>
    <n v="36951"/>
  </r>
  <r>
    <n v="2"/>
    <x v="15"/>
    <x v="556"/>
    <s v="Proceso Congelado"/>
    <n v="3516"/>
  </r>
  <r>
    <n v="2"/>
    <x v="15"/>
    <x v="556"/>
    <s v="Libre Utilizacion"/>
    <n v="25077"/>
  </r>
  <r>
    <n v="2"/>
    <x v="15"/>
    <x v="557"/>
    <s v="Proceso Congelado"/>
    <n v="2348"/>
  </r>
  <r>
    <n v="2"/>
    <x v="15"/>
    <x v="557"/>
    <s v="Libre Utilizacion"/>
    <n v="15365"/>
  </r>
  <r>
    <n v="2"/>
    <x v="15"/>
    <x v="558"/>
    <s v="Proceso Congelado"/>
    <n v="3393"/>
  </r>
  <r>
    <n v="2"/>
    <x v="15"/>
    <x v="558"/>
    <s v="Libre Utilizacion"/>
    <n v="15433"/>
  </r>
  <r>
    <n v="2"/>
    <x v="15"/>
    <x v="559"/>
    <s v="Proceso Congelado"/>
    <n v="1170"/>
  </r>
  <r>
    <n v="2"/>
    <x v="15"/>
    <x v="559"/>
    <s v="Libre Utilizacion"/>
    <n v="2314"/>
  </r>
  <r>
    <n v="2"/>
    <x v="15"/>
    <x v="560"/>
    <s v="Proceso Congelado"/>
    <n v="405"/>
  </r>
  <r>
    <n v="2"/>
    <x v="15"/>
    <x v="560"/>
    <s v="Libre Utilizacion"/>
    <n v="4539"/>
  </r>
  <r>
    <n v="2"/>
    <x v="15"/>
    <x v="561"/>
    <s v="Libre Utilizacion"/>
    <n v="17726"/>
  </r>
  <r>
    <n v="2"/>
    <x v="15"/>
    <x v="562"/>
    <s v="Proceso Congelado"/>
    <n v="3204"/>
  </r>
  <r>
    <n v="2"/>
    <x v="15"/>
    <x v="562"/>
    <s v="Libre Utilizacion"/>
    <n v="24406"/>
  </r>
  <r>
    <n v="2"/>
    <x v="15"/>
    <x v="563"/>
    <s v="Libre Utilizacion"/>
    <n v="3766"/>
  </r>
  <r>
    <n v="2"/>
    <x v="15"/>
    <x v="564"/>
    <s v="Proceso Congelado"/>
    <n v="2119"/>
  </r>
  <r>
    <n v="2"/>
    <x v="15"/>
    <x v="564"/>
    <s v="Libre Utilizacion"/>
    <n v="28999"/>
  </r>
  <r>
    <n v="2"/>
    <x v="15"/>
    <x v="565"/>
    <s v="Proceso Congelado"/>
    <n v="340"/>
  </r>
  <r>
    <n v="2"/>
    <x v="15"/>
    <x v="565"/>
    <s v="Libre Utilizacion"/>
    <n v="2380"/>
  </r>
  <r>
    <n v="2"/>
    <x v="15"/>
    <x v="566"/>
    <s v="Libre Utilizacion"/>
    <n v="25205"/>
  </r>
  <r>
    <n v="2"/>
    <x v="15"/>
    <x v="567"/>
    <s v="Libre Utilizacion"/>
    <n v="753"/>
  </r>
  <r>
    <n v="2"/>
    <x v="15"/>
    <x v="568"/>
    <s v="Libre Utilizacion"/>
    <n v="724"/>
  </r>
  <r>
    <n v="2"/>
    <x v="15"/>
    <x v="569"/>
    <s v="Proceso Congelado"/>
    <n v="1171"/>
  </r>
  <r>
    <n v="2"/>
    <x v="15"/>
    <x v="569"/>
    <s v="Libre Utilizacion"/>
    <n v="13105"/>
  </r>
  <r>
    <n v="2"/>
    <x v="15"/>
    <x v="570"/>
    <s v="Proceso Congelado"/>
    <n v="598"/>
  </r>
  <r>
    <n v="2"/>
    <x v="15"/>
    <x v="570"/>
    <s v="Libre Utilizacion"/>
    <n v="6069"/>
  </r>
  <r>
    <n v="2"/>
    <x v="15"/>
    <x v="571"/>
    <s v="Libre Utilizacion"/>
    <n v="130"/>
  </r>
  <r>
    <n v="2"/>
    <x v="15"/>
    <x v="572"/>
    <s v="Proceso Congelado"/>
    <n v="2654"/>
  </r>
  <r>
    <n v="2"/>
    <x v="15"/>
    <x v="572"/>
    <s v="Libre Utilizacion"/>
    <n v="23201"/>
  </r>
  <r>
    <n v="2"/>
    <x v="15"/>
    <x v="573"/>
    <s v="Libre Utilizacion"/>
    <n v="1085"/>
  </r>
  <r>
    <n v="2"/>
    <x v="15"/>
    <x v="574"/>
    <s v="Libre Utilizacion"/>
    <n v="90"/>
  </r>
  <r>
    <n v="2"/>
    <x v="15"/>
    <x v="575"/>
    <s v="Proceso Congelado"/>
    <n v="10"/>
  </r>
  <r>
    <n v="2"/>
    <x v="15"/>
    <x v="575"/>
    <s v="Libre Utilizacion"/>
    <n v="12720"/>
  </r>
  <r>
    <n v="2"/>
    <x v="15"/>
    <x v="576"/>
    <s v="Libre Utilizacion"/>
    <n v="8785"/>
  </r>
  <r>
    <n v="2"/>
    <x v="15"/>
    <x v="577"/>
    <s v="Proceso Congelado"/>
    <n v="11157"/>
  </r>
  <r>
    <n v="2"/>
    <x v="15"/>
    <x v="577"/>
    <s v="Libre Utilizacion"/>
    <n v="40653"/>
  </r>
  <r>
    <n v="2"/>
    <x v="15"/>
    <x v="578"/>
    <s v="Libre Utilizacion"/>
    <n v="2433"/>
  </r>
  <r>
    <n v="2"/>
    <x v="15"/>
    <x v="579"/>
    <s v="Proceso Congelado"/>
    <n v="1979"/>
  </r>
  <r>
    <n v="2"/>
    <x v="15"/>
    <x v="579"/>
    <s v="Libre Utilizacion"/>
    <n v="18503"/>
  </r>
  <r>
    <n v="2"/>
    <x v="16"/>
    <x v="580"/>
    <s v="Libre Utilizacion"/>
    <n v="40"/>
  </r>
  <r>
    <n v="2"/>
    <x v="16"/>
    <x v="581"/>
    <s v="Libre Utilizacion"/>
    <n v="7578"/>
  </r>
  <r>
    <n v="2"/>
    <x v="16"/>
    <x v="582"/>
    <s v="Libre Utilizacion"/>
    <n v="7850"/>
  </r>
  <r>
    <n v="2"/>
    <x v="16"/>
    <x v="583"/>
    <s v="Libre Utilizacion"/>
    <n v="3820"/>
  </r>
  <r>
    <n v="2"/>
    <x v="16"/>
    <x v="584"/>
    <s v="Proceso Congelado"/>
    <n v="23352"/>
  </r>
  <r>
    <n v="2"/>
    <x v="16"/>
    <x v="584"/>
    <s v="Libre Utilizacion"/>
    <n v="61"/>
  </r>
  <r>
    <n v="2"/>
    <x v="16"/>
    <x v="585"/>
    <s v="Libre Utilizacion"/>
    <n v="5800"/>
  </r>
  <r>
    <n v="2"/>
    <x v="16"/>
    <x v="586"/>
    <s v="Libre Utilizacion"/>
    <n v="10"/>
  </r>
  <r>
    <n v="2"/>
    <x v="17"/>
    <x v="587"/>
    <s v="Proceso Congelado"/>
    <n v="4581"/>
  </r>
  <r>
    <n v="2"/>
    <x v="17"/>
    <x v="587"/>
    <s v="Libre Utilizacion"/>
    <n v="9700"/>
  </r>
  <r>
    <n v="2"/>
    <x v="18"/>
    <x v="588"/>
    <s v="Libre Utilizacion"/>
    <n v="3386"/>
  </r>
  <r>
    <n v="2"/>
    <x v="10"/>
    <x v="589"/>
    <s v="Proceso Congelado"/>
    <n v="552"/>
  </r>
  <r>
    <n v="2"/>
    <x v="10"/>
    <x v="590"/>
    <s v="Libre Utilizacion"/>
    <n v="1179"/>
  </r>
  <r>
    <n v="2"/>
    <x v="10"/>
    <x v="591"/>
    <s v="Proceso Congelado"/>
    <n v="92"/>
  </r>
  <r>
    <n v="2"/>
    <x v="10"/>
    <x v="591"/>
    <s v="Libre Utilizacion"/>
    <n v="6593"/>
  </r>
  <r>
    <n v="2"/>
    <x v="10"/>
    <x v="592"/>
    <s v="Libre Utilizacion"/>
    <n v="88"/>
  </r>
  <r>
    <n v="2"/>
    <x v="10"/>
    <x v="593"/>
    <s v="Libre Utilizacion"/>
    <n v="1686"/>
  </r>
  <r>
    <n v="2"/>
    <x v="10"/>
    <x v="594"/>
    <s v="Proceso Congelado"/>
    <n v="18"/>
  </r>
  <r>
    <n v="2"/>
    <x v="10"/>
    <x v="594"/>
    <s v="Libre Utilizacion"/>
    <n v="8117"/>
  </r>
  <r>
    <n v="2"/>
    <x v="10"/>
    <x v="595"/>
    <s v="Proceso Congelado"/>
    <n v="18"/>
  </r>
  <r>
    <n v="2"/>
    <x v="10"/>
    <x v="595"/>
    <s v="Libre Utilizacion"/>
    <n v="8421"/>
  </r>
  <r>
    <n v="2"/>
    <x v="10"/>
    <x v="596"/>
    <s v="Proceso Congelado"/>
    <n v="140"/>
  </r>
  <r>
    <n v="2"/>
    <x v="10"/>
    <x v="596"/>
    <s v="Libre Utilizacion"/>
    <n v="305"/>
  </r>
  <r>
    <n v="2"/>
    <x v="10"/>
    <x v="597"/>
    <s v="Proceso Congelado"/>
    <n v="193"/>
  </r>
  <r>
    <n v="2"/>
    <x v="10"/>
    <x v="597"/>
    <s v="Libre Utilizacion"/>
    <n v="294"/>
  </r>
  <r>
    <n v="2"/>
    <x v="10"/>
    <x v="598"/>
    <s v="Proceso Congelado"/>
    <n v="160"/>
  </r>
  <r>
    <n v="2"/>
    <x v="10"/>
    <x v="598"/>
    <s v="Libre Utilizacion"/>
    <n v="320"/>
  </r>
  <r>
    <n v="2"/>
    <x v="10"/>
    <x v="599"/>
    <s v="Proceso Congelado"/>
    <n v="100"/>
  </r>
  <r>
    <n v="2"/>
    <x v="10"/>
    <x v="599"/>
    <s v="Libre Utilizacion"/>
    <n v="2831"/>
  </r>
  <r>
    <n v="2"/>
    <x v="10"/>
    <x v="600"/>
    <s v="Proceso Congelado"/>
    <n v="3185"/>
  </r>
  <r>
    <n v="2"/>
    <x v="10"/>
    <x v="600"/>
    <s v="Libre Utilizacion"/>
    <n v="4957"/>
  </r>
  <r>
    <n v="2"/>
    <x v="10"/>
    <x v="601"/>
    <s v="Proceso Congelado"/>
    <n v="792"/>
  </r>
  <r>
    <n v="2"/>
    <x v="10"/>
    <x v="602"/>
    <s v="Proceso Congelado"/>
    <n v="7548"/>
  </r>
  <r>
    <n v="2"/>
    <x v="10"/>
    <x v="602"/>
    <s v="Libre Utilizacion"/>
    <n v="28810"/>
  </r>
  <r>
    <n v="2"/>
    <x v="10"/>
    <x v="603"/>
    <s v="Libre Utilizacion"/>
    <n v="10"/>
  </r>
  <r>
    <n v="2"/>
    <x v="10"/>
    <x v="604"/>
    <s v="Libre Utilizacion"/>
    <n v="45"/>
  </r>
  <r>
    <n v="2"/>
    <x v="10"/>
    <x v="605"/>
    <s v="Proceso Congelado"/>
    <n v="5"/>
  </r>
  <r>
    <n v="2"/>
    <x v="11"/>
    <x v="606"/>
    <s v="Proceso Congelado"/>
    <n v="4375"/>
  </r>
  <r>
    <n v="2"/>
    <x v="11"/>
    <x v="606"/>
    <s v="Libre Utilizacion"/>
    <n v="16453"/>
  </r>
  <r>
    <n v="2"/>
    <x v="11"/>
    <x v="607"/>
    <s v="Proceso Congelado"/>
    <n v="944"/>
  </r>
  <r>
    <n v="2"/>
    <x v="11"/>
    <x v="607"/>
    <s v="Libre Utilizacion"/>
    <n v="29133"/>
  </r>
  <r>
    <n v="3"/>
    <x v="0"/>
    <x v="608"/>
    <s v="Proceso Congelado"/>
    <n v="6670"/>
  </r>
  <r>
    <n v="3"/>
    <x v="0"/>
    <x v="608"/>
    <s v="Libre Utilizacion"/>
    <n v="27410"/>
  </r>
  <r>
    <n v="3"/>
    <x v="0"/>
    <x v="609"/>
    <s v="Proceso Congelado"/>
    <n v="5400"/>
  </r>
  <r>
    <n v="3"/>
    <x v="0"/>
    <x v="609"/>
    <s v="Libre Utilizacion"/>
    <n v="23150"/>
  </r>
  <r>
    <n v="3"/>
    <x v="0"/>
    <x v="610"/>
    <s v="Libre Utilizacion"/>
    <n v="970"/>
  </r>
  <r>
    <n v="3"/>
    <x v="0"/>
    <x v="611"/>
    <s v="Proceso Congelado"/>
    <n v="1240"/>
  </r>
  <r>
    <n v="3"/>
    <x v="0"/>
    <x v="611"/>
    <s v="Libre Utilizacion"/>
    <n v="10360"/>
  </r>
  <r>
    <n v="3"/>
    <x v="0"/>
    <x v="612"/>
    <s v="Proceso Congelado"/>
    <n v="350"/>
  </r>
  <r>
    <n v="3"/>
    <x v="0"/>
    <x v="612"/>
    <s v="Libre Utilizacion"/>
    <n v="2160"/>
  </r>
  <r>
    <n v="3"/>
    <x v="0"/>
    <x v="613"/>
    <s v="Proceso Congelado"/>
    <n v="16"/>
  </r>
  <r>
    <n v="3"/>
    <x v="0"/>
    <x v="613"/>
    <s v="Libre Utilizacion"/>
    <n v="25617"/>
  </r>
  <r>
    <n v="3"/>
    <x v="0"/>
    <x v="614"/>
    <s v="Libre Utilizacion"/>
    <n v="10380"/>
  </r>
  <r>
    <n v="3"/>
    <x v="1"/>
    <x v="615"/>
    <s v="Libre Utilizacion"/>
    <n v="2068"/>
  </r>
  <r>
    <n v="3"/>
    <x v="1"/>
    <x v="616"/>
    <s v="Libre Utilizacion"/>
    <n v="4328"/>
  </r>
  <r>
    <n v="3"/>
    <x v="1"/>
    <x v="617"/>
    <s v="Libre Utilizacion"/>
    <n v="10467"/>
  </r>
  <r>
    <n v="3"/>
    <x v="1"/>
    <x v="618"/>
    <s v="Proceso Congelado"/>
    <n v="3138"/>
  </r>
  <r>
    <n v="3"/>
    <x v="1"/>
    <x v="618"/>
    <s v="Libre Utilizacion"/>
    <n v="57558"/>
  </r>
  <r>
    <n v="3"/>
    <x v="1"/>
    <x v="619"/>
    <s v="Proceso Congelado"/>
    <n v="7544"/>
  </r>
  <r>
    <n v="3"/>
    <x v="1"/>
    <x v="619"/>
    <s v="Libre Utilizacion"/>
    <n v="7640"/>
  </r>
  <r>
    <n v="3"/>
    <x v="1"/>
    <x v="620"/>
    <s v="Proceso Congelado"/>
    <n v="1116"/>
  </r>
  <r>
    <n v="3"/>
    <x v="1"/>
    <x v="620"/>
    <s v="Libre Utilizacion"/>
    <n v="31557"/>
  </r>
  <r>
    <n v="3"/>
    <x v="1"/>
    <x v="621"/>
    <s v="Libre Utilizacion"/>
    <n v="16240"/>
  </r>
  <r>
    <n v="3"/>
    <x v="1"/>
    <x v="622"/>
    <s v="Libre Utilizacion"/>
    <n v="1490"/>
  </r>
  <r>
    <n v="3"/>
    <x v="1"/>
    <x v="623"/>
    <s v="Libre Utilizacion"/>
    <n v="4167"/>
  </r>
  <r>
    <n v="3"/>
    <x v="1"/>
    <x v="624"/>
    <s v="Libre Utilizacion"/>
    <n v="7085"/>
  </r>
  <r>
    <n v="3"/>
    <x v="1"/>
    <x v="625"/>
    <s v="Libre Utilizacion"/>
    <n v="1657"/>
  </r>
  <r>
    <n v="3"/>
    <x v="1"/>
    <x v="626"/>
    <s v="Libre Utilizacion"/>
    <n v="927"/>
  </r>
  <r>
    <n v="3"/>
    <x v="1"/>
    <x v="627"/>
    <s v="Libre Utilizacion"/>
    <n v="4706"/>
  </r>
  <r>
    <n v="3"/>
    <x v="1"/>
    <x v="628"/>
    <s v="Libre Utilizacion"/>
    <n v="936"/>
  </r>
  <r>
    <n v="3"/>
    <x v="1"/>
    <x v="629"/>
    <s v="Proceso Congelado"/>
    <n v="365"/>
  </r>
  <r>
    <n v="3"/>
    <x v="1"/>
    <x v="629"/>
    <s v="Libre Utilizacion"/>
    <n v="45954"/>
  </r>
  <r>
    <n v="3"/>
    <x v="1"/>
    <x v="630"/>
    <s v="Libre Utilizacion"/>
    <n v="15882"/>
  </r>
  <r>
    <n v="3"/>
    <x v="2"/>
    <x v="631"/>
    <s v="Proceso Congelado"/>
    <n v="26636"/>
  </r>
  <r>
    <n v="3"/>
    <x v="2"/>
    <x v="631"/>
    <s v="Libre Utilizacion"/>
    <n v="47669"/>
  </r>
  <r>
    <n v="3"/>
    <x v="2"/>
    <x v="632"/>
    <s v="Libre Utilizacion"/>
    <n v="13485"/>
  </r>
  <r>
    <n v="3"/>
    <x v="2"/>
    <x v="633"/>
    <s v="Proceso Congelado"/>
    <n v="315"/>
  </r>
  <r>
    <n v="3"/>
    <x v="2"/>
    <x v="633"/>
    <s v="Libre Utilizacion"/>
    <n v="50730"/>
  </r>
  <r>
    <n v="3"/>
    <x v="2"/>
    <x v="634"/>
    <s v="Libre Utilizacion"/>
    <n v="18"/>
  </r>
  <r>
    <n v="3"/>
    <x v="4"/>
    <x v="635"/>
    <s v="Proceso Congelado"/>
    <n v="2580"/>
  </r>
  <r>
    <n v="3"/>
    <x v="4"/>
    <x v="635"/>
    <s v="Libre Utilizacion"/>
    <n v="9825"/>
  </r>
  <r>
    <n v="3"/>
    <x v="4"/>
    <x v="636"/>
    <s v="Proceso Congelado"/>
    <n v="360"/>
  </r>
  <r>
    <n v="3"/>
    <x v="4"/>
    <x v="636"/>
    <s v="Libre Utilizacion"/>
    <n v="6045"/>
  </r>
  <r>
    <n v="3"/>
    <x v="4"/>
    <x v="637"/>
    <s v="Libre Utilizacion"/>
    <n v="151"/>
  </r>
  <r>
    <n v="3"/>
    <x v="4"/>
    <x v="638"/>
    <s v="Proceso Congelado"/>
    <n v="15"/>
  </r>
  <r>
    <n v="3"/>
    <x v="4"/>
    <x v="638"/>
    <s v="Libre Utilizacion"/>
    <n v="5940"/>
  </r>
  <r>
    <n v="3"/>
    <x v="4"/>
    <x v="639"/>
    <s v="Proceso Congelado"/>
    <n v="6405"/>
  </r>
  <r>
    <n v="3"/>
    <x v="4"/>
    <x v="639"/>
    <s v="Libre Utilizacion"/>
    <n v="66375"/>
  </r>
  <r>
    <n v="3"/>
    <x v="4"/>
    <x v="640"/>
    <s v="Proceso Congelado"/>
    <n v="15"/>
  </r>
  <r>
    <n v="3"/>
    <x v="4"/>
    <x v="640"/>
    <s v="Libre Utilizacion"/>
    <n v="21150"/>
  </r>
  <r>
    <n v="3"/>
    <x v="4"/>
    <x v="641"/>
    <s v="Proceso Congelado"/>
    <n v="18075"/>
  </r>
  <r>
    <n v="3"/>
    <x v="4"/>
    <x v="641"/>
    <s v="Libre Utilizacion"/>
    <n v="22980"/>
  </r>
  <r>
    <n v="3"/>
    <x v="4"/>
    <x v="642"/>
    <s v="Proceso Congelado"/>
    <n v="12585"/>
  </r>
  <r>
    <n v="3"/>
    <x v="4"/>
    <x v="642"/>
    <s v="Libre Utilizacion"/>
    <n v="19620"/>
  </r>
  <r>
    <n v="3"/>
    <x v="4"/>
    <x v="643"/>
    <s v="Libre Utilizacion"/>
    <n v="1380"/>
  </r>
  <r>
    <n v="3"/>
    <x v="4"/>
    <x v="644"/>
    <s v="Libre Utilizacion"/>
    <n v="2490"/>
  </r>
  <r>
    <n v="3"/>
    <x v="4"/>
    <x v="645"/>
    <s v="Proceso Congelado"/>
    <n v="2100"/>
  </r>
  <r>
    <n v="3"/>
    <x v="4"/>
    <x v="645"/>
    <s v="Libre Utilizacion"/>
    <n v="8775"/>
  </r>
  <r>
    <n v="3"/>
    <x v="5"/>
    <x v="646"/>
    <s v="Libre Utilizacion"/>
    <n v="10200"/>
  </r>
  <r>
    <n v="3"/>
    <x v="5"/>
    <x v="647"/>
    <s v="Libre Utilizacion"/>
    <n v="3675"/>
  </r>
  <r>
    <n v="3"/>
    <x v="5"/>
    <x v="648"/>
    <s v="Libre Utilizacion"/>
    <n v="4200"/>
  </r>
  <r>
    <n v="3"/>
    <x v="6"/>
    <x v="649"/>
    <s v="Libre Utilizacion"/>
    <n v="4480"/>
  </r>
  <r>
    <n v="3"/>
    <x v="7"/>
    <x v="650"/>
    <s v="Libre Utilizacion"/>
    <n v="1050"/>
  </r>
  <r>
    <n v="3"/>
    <x v="8"/>
    <x v="651"/>
    <s v="Libre Utilizacion"/>
    <n v="109500"/>
  </r>
  <r>
    <n v="3"/>
    <x v="8"/>
    <x v="652"/>
    <s v="Libre Utilizacion"/>
    <n v="32307"/>
  </r>
  <r>
    <n v="3"/>
    <x v="8"/>
    <x v="653"/>
    <s v="Libre Utilizacion"/>
    <n v="12905"/>
  </r>
  <r>
    <n v="3"/>
    <x v="8"/>
    <x v="654"/>
    <s v="Libre Utilizacion"/>
    <n v="19290"/>
  </r>
  <r>
    <n v="3"/>
    <x v="9"/>
    <x v="655"/>
    <s v="Libre Utilizacion"/>
    <n v="216"/>
  </r>
  <r>
    <n v="3"/>
    <x v="9"/>
    <x v="656"/>
    <s v="Libre Utilizacion"/>
    <n v="19933"/>
  </r>
  <r>
    <n v="3"/>
    <x v="9"/>
    <x v="657"/>
    <s v="Proceso Congelado"/>
    <n v="3615"/>
  </r>
  <r>
    <n v="3"/>
    <x v="9"/>
    <x v="657"/>
    <s v="Libre Utilizacion"/>
    <n v="15505"/>
  </r>
  <r>
    <n v="3"/>
    <x v="9"/>
    <x v="658"/>
    <s v="Libre Utilizacion"/>
    <n v="6008"/>
  </r>
  <r>
    <n v="3"/>
    <x v="9"/>
    <x v="659"/>
    <s v="Libre Utilizacion"/>
    <n v="6333"/>
  </r>
  <r>
    <n v="3"/>
    <x v="9"/>
    <x v="660"/>
    <s v="Libre Utilizacion"/>
    <n v="18420"/>
  </r>
  <r>
    <n v="3"/>
    <x v="9"/>
    <x v="661"/>
    <s v="Libre Utilizacion"/>
    <n v="3101"/>
  </r>
  <r>
    <n v="3"/>
    <x v="9"/>
    <x v="662"/>
    <s v="Proceso Congelado"/>
    <n v="12577"/>
  </r>
  <r>
    <n v="3"/>
    <x v="9"/>
    <x v="662"/>
    <s v="Libre Utilizacion"/>
    <n v="18636"/>
  </r>
  <r>
    <n v="3"/>
    <x v="9"/>
    <x v="663"/>
    <s v="Proceso Congelado"/>
    <n v="2076"/>
  </r>
  <r>
    <n v="3"/>
    <x v="9"/>
    <x v="663"/>
    <s v="Libre Utilizacion"/>
    <n v="372"/>
  </r>
  <r>
    <n v="3"/>
    <x v="9"/>
    <x v="664"/>
    <s v="Proceso Congelado"/>
    <n v="900"/>
  </r>
  <r>
    <n v="3"/>
    <x v="9"/>
    <x v="664"/>
    <s v="Libre Utilizacion"/>
    <n v="2328"/>
  </r>
  <r>
    <n v="3"/>
    <x v="9"/>
    <x v="665"/>
    <s v="Proceso Congelado"/>
    <n v="985"/>
  </r>
  <r>
    <n v="3"/>
    <x v="9"/>
    <x v="665"/>
    <s v="Libre Utilizacion"/>
    <n v="2153"/>
  </r>
  <r>
    <n v="3"/>
    <x v="9"/>
    <x v="666"/>
    <s v="Libre Utilizacion"/>
    <n v="2046"/>
  </r>
  <r>
    <n v="3"/>
    <x v="9"/>
    <x v="667"/>
    <s v="Libre Utilizacion"/>
    <n v="15"/>
  </r>
  <r>
    <n v="3"/>
    <x v="9"/>
    <x v="668"/>
    <s v="Libre Utilizacion"/>
    <n v="45"/>
  </r>
  <r>
    <n v="3"/>
    <x v="9"/>
    <x v="669"/>
    <s v="Proceso Congelado"/>
    <n v="838"/>
  </r>
  <r>
    <n v="3"/>
    <x v="9"/>
    <x v="669"/>
    <s v="Libre Utilizacion"/>
    <n v="4164"/>
  </r>
  <r>
    <n v="3"/>
    <x v="9"/>
    <x v="670"/>
    <s v="Libre Utilizacion"/>
    <n v="26832"/>
  </r>
  <r>
    <n v="3"/>
    <x v="9"/>
    <x v="671"/>
    <s v="Libre Utilizacion"/>
    <n v="17252"/>
  </r>
  <r>
    <n v="3"/>
    <x v="9"/>
    <x v="672"/>
    <s v="Libre Utilizacion"/>
    <n v="35096"/>
  </r>
  <r>
    <n v="3"/>
    <x v="9"/>
    <x v="673"/>
    <s v="Proceso Congelado"/>
    <n v="1210"/>
  </r>
  <r>
    <n v="3"/>
    <x v="9"/>
    <x v="673"/>
    <s v="Libre Utilizacion"/>
    <n v="495"/>
  </r>
  <r>
    <n v="3"/>
    <x v="9"/>
    <x v="674"/>
    <s v="Libre Utilizacion"/>
    <n v="198"/>
  </r>
  <r>
    <n v="3"/>
    <x v="9"/>
    <x v="675"/>
    <s v="Libre Utilizacion"/>
    <n v="6409"/>
  </r>
  <r>
    <n v="3"/>
    <x v="9"/>
    <x v="676"/>
    <s v="Proceso Congelado"/>
    <n v="1711"/>
  </r>
  <r>
    <n v="3"/>
    <x v="9"/>
    <x v="677"/>
    <s v="Libre Utilizacion"/>
    <n v="8314"/>
  </r>
  <r>
    <n v="3"/>
    <x v="9"/>
    <x v="678"/>
    <s v="Libre Utilizacion"/>
    <n v="3"/>
  </r>
  <r>
    <n v="3"/>
    <x v="10"/>
    <x v="679"/>
    <s v="Proceso Congelado"/>
    <n v="12"/>
  </r>
  <r>
    <n v="3"/>
    <x v="10"/>
    <x v="680"/>
    <s v="Libre Utilizacion"/>
    <n v="2355"/>
  </r>
  <r>
    <n v="3"/>
    <x v="10"/>
    <x v="681"/>
    <s v="Proceso Congelado"/>
    <n v="161"/>
  </r>
  <r>
    <n v="3"/>
    <x v="10"/>
    <x v="681"/>
    <s v="Libre Utilizacion"/>
    <n v="2546"/>
  </r>
  <r>
    <n v="3"/>
    <x v="10"/>
    <x v="682"/>
    <s v="Proceso Congelado"/>
    <n v="861"/>
  </r>
  <r>
    <n v="3"/>
    <x v="10"/>
    <x v="683"/>
    <s v="Libre Utilizacion"/>
    <n v="11"/>
  </r>
  <r>
    <n v="3"/>
    <x v="10"/>
    <x v="684"/>
    <s v="Libre Utilizacion"/>
    <n v="1008"/>
  </r>
  <r>
    <n v="3"/>
    <x v="10"/>
    <x v="685"/>
    <s v="Libre Utilizacion"/>
    <n v="45"/>
  </r>
  <r>
    <n v="3"/>
    <x v="10"/>
    <x v="686"/>
    <s v="Libre Utilizacion"/>
    <n v="45"/>
  </r>
  <r>
    <n v="10"/>
    <x v="1"/>
    <x v="687"/>
    <s v="Libre Utilizacion"/>
    <n v="86"/>
  </r>
  <r>
    <n v="10"/>
    <x v="1"/>
    <x v="688"/>
    <s v="Libre Utilizacion"/>
    <n v="9743"/>
  </r>
  <r>
    <n v="10"/>
    <x v="1"/>
    <x v="689"/>
    <s v="Libre Utilizacion"/>
    <n v="624"/>
  </r>
  <r>
    <n v="10"/>
    <x v="1"/>
    <x v="690"/>
    <s v="Libre Utilizacion"/>
    <n v="5545"/>
  </r>
  <r>
    <n v="10"/>
    <x v="1"/>
    <x v="691"/>
    <s v="Libre Utilizacion"/>
    <n v="3770"/>
  </r>
  <r>
    <n v="10"/>
    <x v="2"/>
    <x v="692"/>
    <s v="Libre Utilizacion"/>
    <n v="2736"/>
  </r>
  <r>
    <n v="10"/>
    <x v="2"/>
    <x v="693"/>
    <s v="Libre Utilizacion"/>
    <n v="19010"/>
  </r>
  <r>
    <n v="10"/>
    <x v="8"/>
    <x v="694"/>
    <s v="Libre Utilizacion"/>
    <n v="65"/>
  </r>
  <r>
    <n v="10"/>
    <x v="9"/>
    <x v="695"/>
    <s v="Libre Utilizacion"/>
    <n v="13919"/>
  </r>
  <r>
    <n v="10"/>
    <x v="9"/>
    <x v="696"/>
    <s v="Libre Utilizacion"/>
    <n v="16240"/>
  </r>
  <r>
    <n v="10"/>
    <x v="9"/>
    <x v="697"/>
    <s v="Libre Utilizacion"/>
    <n v="22906"/>
  </r>
  <r>
    <n v="10"/>
    <x v="9"/>
    <x v="698"/>
    <s v="Libre Utilizacion"/>
    <n v="37690"/>
  </r>
  <r>
    <n v="10"/>
    <x v="9"/>
    <x v="699"/>
    <s v="Libre Utilizacion"/>
    <n v="12360"/>
  </r>
  <r>
    <n v="10"/>
    <x v="9"/>
    <x v="700"/>
    <s v="Libre Utilizacion"/>
    <n v="9456"/>
  </r>
  <r>
    <n v="10"/>
    <x v="9"/>
    <x v="701"/>
    <s v="Libre Utilizacion"/>
    <n v="10240"/>
  </r>
  <r>
    <n v="10"/>
    <x v="9"/>
    <x v="702"/>
    <s v="Libre Utilizacion"/>
    <n v="80845"/>
  </r>
  <r>
    <n v="10"/>
    <x v="9"/>
    <x v="703"/>
    <s v="Libre Utilizacion"/>
    <n v="3755"/>
  </r>
  <r>
    <n v="10"/>
    <x v="9"/>
    <x v="704"/>
    <s v="Libre Utilizacion"/>
    <n v="14094"/>
  </r>
  <r>
    <n v="10"/>
    <x v="9"/>
    <x v="705"/>
    <s v="Libre Utilizacion"/>
    <n v="43646"/>
  </r>
  <r>
    <n v="10"/>
    <x v="9"/>
    <x v="706"/>
    <s v="Libre Utilizacion"/>
    <n v="9522"/>
  </r>
  <r>
    <n v="10"/>
    <x v="9"/>
    <x v="707"/>
    <s v="Libre Utilizacion"/>
    <n v="26846"/>
  </r>
  <r>
    <n v="10"/>
    <x v="9"/>
    <x v="708"/>
    <s v="Libre Utilizacion"/>
    <n v="10878"/>
  </r>
  <r>
    <n v="10"/>
    <x v="9"/>
    <x v="709"/>
    <s v="Libre Utilizacion"/>
    <n v="19705"/>
  </r>
  <r>
    <n v="10"/>
    <x v="9"/>
    <x v="710"/>
    <s v="Libre Utilizacion"/>
    <n v="34351"/>
  </r>
  <r>
    <n v="10"/>
    <x v="9"/>
    <x v="711"/>
    <s v="Libre Utilizacion"/>
    <n v="10027"/>
  </r>
  <r>
    <n v="10"/>
    <x v="9"/>
    <x v="712"/>
    <s v="Libre Utilizacion"/>
    <n v="25790"/>
  </r>
  <r>
    <n v="10"/>
    <x v="9"/>
    <x v="713"/>
    <s v="Libre Utilizacion"/>
    <n v="5525"/>
  </r>
  <r>
    <n v="10"/>
    <x v="9"/>
    <x v="714"/>
    <s v="Libre Utilizacion"/>
    <n v="33978"/>
  </r>
  <r>
    <n v="10"/>
    <x v="9"/>
    <x v="715"/>
    <s v="Libre Utilizacion"/>
    <n v="32118"/>
  </r>
  <r>
    <n v="10"/>
    <x v="9"/>
    <x v="716"/>
    <s v="Libre Utilizacion"/>
    <n v="15444"/>
  </r>
  <r>
    <n v="10"/>
    <x v="9"/>
    <x v="717"/>
    <s v="Libre Utilizacion"/>
    <n v="18386"/>
  </r>
  <r>
    <n v="10"/>
    <x v="9"/>
    <x v="718"/>
    <s v="Libre Utilizacion"/>
    <n v="10910"/>
  </r>
  <r>
    <n v="10"/>
    <x v="9"/>
    <x v="719"/>
    <s v="Libre Utilizacion"/>
    <n v="1908"/>
  </r>
  <r>
    <n v="10"/>
    <x v="9"/>
    <x v="720"/>
    <s v="Libre Utilizacion"/>
    <n v="2384"/>
  </r>
  <r>
    <n v="10"/>
    <x v="9"/>
    <x v="721"/>
    <s v="Libre Utilizacion"/>
    <n v="3803"/>
  </r>
  <r>
    <n v="10"/>
    <x v="9"/>
    <x v="722"/>
    <s v="Libre Utilizacion"/>
    <n v="10158"/>
  </r>
  <r>
    <n v="10"/>
    <x v="9"/>
    <x v="723"/>
    <s v="Libre Utilizacion"/>
    <n v="6636"/>
  </r>
  <r>
    <n v="10"/>
    <x v="9"/>
    <x v="724"/>
    <s v="Libre Utilizacion"/>
    <n v="27528"/>
  </r>
  <r>
    <n v="10"/>
    <x v="9"/>
    <x v="725"/>
    <s v="Libre Utilizacion"/>
    <n v="6283"/>
  </r>
  <r>
    <n v="10"/>
    <x v="9"/>
    <x v="726"/>
    <s v="Libre Utilizacion"/>
    <n v="4004"/>
  </r>
  <r>
    <n v="10"/>
    <x v="9"/>
    <x v="727"/>
    <s v="Libre Utilizacion"/>
    <n v="97205"/>
  </r>
  <r>
    <n v="10"/>
    <x v="9"/>
    <x v="728"/>
    <s v="Libre Utilizacion"/>
    <n v="19306"/>
  </r>
  <r>
    <n v="10"/>
    <x v="9"/>
    <x v="729"/>
    <s v="Libre Utilizacion"/>
    <n v="2979"/>
  </r>
  <r>
    <n v="10"/>
    <x v="9"/>
    <x v="730"/>
    <s v="Libre Utilizacion"/>
    <n v="30244"/>
  </r>
  <r>
    <n v="10"/>
    <x v="9"/>
    <x v="731"/>
    <s v="Libre Utilizacion"/>
    <n v="1380"/>
  </r>
  <r>
    <n v="10"/>
    <x v="9"/>
    <x v="732"/>
    <s v="Libre Utilizacion"/>
    <n v="567"/>
  </r>
  <r>
    <n v="10"/>
    <x v="9"/>
    <x v="733"/>
    <s v="Libre Utilizacion"/>
    <n v="29"/>
  </r>
  <r>
    <n v="10"/>
    <x v="9"/>
    <x v="734"/>
    <s v="Libre Utilizacion"/>
    <n v="22"/>
  </r>
  <r>
    <n v="10"/>
    <x v="9"/>
    <x v="735"/>
    <s v="Libre Utilizacion"/>
    <n v="5789"/>
  </r>
  <r>
    <n v="10"/>
    <x v="9"/>
    <x v="736"/>
    <s v="Libre Utilizacion"/>
    <n v="27259"/>
  </r>
  <r>
    <n v="10"/>
    <x v="9"/>
    <x v="737"/>
    <s v="Libre Utilizacion"/>
    <n v="9662"/>
  </r>
  <r>
    <n v="10"/>
    <x v="9"/>
    <x v="738"/>
    <s v="Libre Utilizacion"/>
    <n v="6545"/>
  </r>
  <r>
    <n v="10"/>
    <x v="9"/>
    <x v="739"/>
    <s v="Libre Utilizacion"/>
    <n v="27413"/>
  </r>
  <r>
    <n v="10"/>
    <x v="9"/>
    <x v="740"/>
    <s v="Libre Utilizacion"/>
    <n v="5672"/>
  </r>
  <r>
    <n v="10"/>
    <x v="9"/>
    <x v="741"/>
    <s v="Libre Utilizacion"/>
    <n v="54"/>
  </r>
  <r>
    <n v="10"/>
    <x v="9"/>
    <x v="742"/>
    <s v="Libre Utilizacion"/>
    <n v="1238"/>
  </r>
  <r>
    <n v="10"/>
    <x v="9"/>
    <x v="743"/>
    <s v="Libre Utilizacion"/>
    <n v="538"/>
  </r>
  <r>
    <n v="10"/>
    <x v="9"/>
    <x v="744"/>
    <s v="Libre Utilizacion"/>
    <n v="638"/>
  </r>
  <r>
    <n v="10"/>
    <x v="9"/>
    <x v="745"/>
    <s v="Libre Utilizacion"/>
    <n v="7845"/>
  </r>
  <r>
    <n v="10"/>
    <x v="9"/>
    <x v="746"/>
    <s v="Libre Utilizacion"/>
    <n v="2216"/>
  </r>
  <r>
    <n v="10"/>
    <x v="9"/>
    <x v="747"/>
    <s v="Libre Utilizacion"/>
    <n v="15241"/>
  </r>
  <r>
    <n v="10"/>
    <x v="9"/>
    <x v="748"/>
    <s v="Libre Utilizacion"/>
    <n v="2088"/>
  </r>
  <r>
    <n v="10"/>
    <x v="9"/>
    <x v="749"/>
    <s v="Libre Utilizacion"/>
    <n v="5208"/>
  </r>
  <r>
    <n v="10"/>
    <x v="9"/>
    <x v="750"/>
    <s v="Libre Utilizacion"/>
    <n v="3"/>
  </r>
  <r>
    <n v="10"/>
    <x v="9"/>
    <x v="751"/>
    <s v="Libre Utilizacion"/>
    <n v="13554"/>
  </r>
  <r>
    <n v="10"/>
    <x v="9"/>
    <x v="752"/>
    <s v="Libre Utilizacion"/>
    <n v="1273"/>
  </r>
  <r>
    <n v="10"/>
    <x v="9"/>
    <x v="753"/>
    <s v="Libre Utilizacion"/>
    <n v="7884"/>
  </r>
  <r>
    <n v="10"/>
    <x v="9"/>
    <x v="754"/>
    <s v="Libre Utilizacion"/>
    <n v="6302"/>
  </r>
  <r>
    <n v="10"/>
    <x v="9"/>
    <x v="755"/>
    <s v="Libre Utilizacion"/>
    <n v="13927"/>
  </r>
  <r>
    <n v="10"/>
    <x v="9"/>
    <x v="756"/>
    <s v="Libre Utilizacion"/>
    <n v="4682"/>
  </r>
  <r>
    <n v="10"/>
    <x v="9"/>
    <x v="757"/>
    <s v="Libre Utilizacion"/>
    <n v="4519"/>
  </r>
  <r>
    <n v="10"/>
    <x v="9"/>
    <x v="758"/>
    <s v="Libre Utilizacion"/>
    <n v="6642"/>
  </r>
  <r>
    <n v="10"/>
    <x v="9"/>
    <x v="759"/>
    <s v="Libre Utilizacion"/>
    <n v="4429"/>
  </r>
  <r>
    <n v="10"/>
    <x v="9"/>
    <x v="760"/>
    <s v="Libre Utilizacion"/>
    <n v="1159"/>
  </r>
  <r>
    <n v="10"/>
    <x v="9"/>
    <x v="761"/>
    <s v="Libre Utilizacion"/>
    <n v="1840"/>
  </r>
  <r>
    <n v="10"/>
    <x v="9"/>
    <x v="762"/>
    <s v="Libre Utilizacion"/>
    <n v="4903"/>
  </r>
  <r>
    <n v="10"/>
    <x v="9"/>
    <x v="763"/>
    <s v="Libre Utilizacion"/>
    <n v="9804"/>
  </r>
  <r>
    <n v="10"/>
    <x v="9"/>
    <x v="764"/>
    <s v="Libre Utilizacion"/>
    <n v="5240"/>
  </r>
  <r>
    <n v="10"/>
    <x v="9"/>
    <x v="765"/>
    <s v="Libre Utilizacion"/>
    <n v="2688"/>
  </r>
  <r>
    <n v="10"/>
    <x v="9"/>
    <x v="766"/>
    <s v="Libre Utilizacion"/>
    <n v="6864"/>
  </r>
  <r>
    <n v="10"/>
    <x v="9"/>
    <x v="767"/>
    <s v="Libre Utilizacion"/>
    <n v="5933"/>
  </r>
  <r>
    <n v="10"/>
    <x v="9"/>
    <x v="768"/>
    <s v="Libre Utilizacion"/>
    <n v="2052"/>
  </r>
  <r>
    <n v="10"/>
    <x v="9"/>
    <x v="769"/>
    <s v="Libre Utilizacion"/>
    <n v="11011"/>
  </r>
  <r>
    <n v="10"/>
    <x v="9"/>
    <x v="770"/>
    <s v="Libre Utilizacion"/>
    <n v="16821"/>
  </r>
  <r>
    <n v="10"/>
    <x v="9"/>
    <x v="771"/>
    <s v="Libre Utilizacion"/>
    <n v="612"/>
  </r>
  <r>
    <n v="10"/>
    <x v="9"/>
    <x v="772"/>
    <s v="Libre Utilizacion"/>
    <n v="1416"/>
  </r>
  <r>
    <n v="10"/>
    <x v="9"/>
    <x v="773"/>
    <s v="Libre Utilizacion"/>
    <n v="9380"/>
  </r>
  <r>
    <n v="10"/>
    <x v="9"/>
    <x v="774"/>
    <s v="Libre Utilizacion"/>
    <n v="1595"/>
  </r>
  <r>
    <n v="10"/>
    <x v="9"/>
    <x v="775"/>
    <s v="Libre Utilizacion"/>
    <n v="6215"/>
  </r>
  <r>
    <n v="10"/>
    <x v="9"/>
    <x v="776"/>
    <s v="Libre Utilizacion"/>
    <n v="8145"/>
  </r>
  <r>
    <n v="10"/>
    <x v="9"/>
    <x v="777"/>
    <s v="Libre Utilizacion"/>
    <n v="2234"/>
  </r>
  <r>
    <n v="10"/>
    <x v="9"/>
    <x v="778"/>
    <s v="Libre Utilizacion"/>
    <n v="3060"/>
  </r>
  <r>
    <n v="10"/>
    <x v="9"/>
    <x v="779"/>
    <s v="Libre Utilizacion"/>
    <n v="570"/>
  </r>
  <r>
    <n v="10"/>
    <x v="9"/>
    <x v="780"/>
    <s v="Libre Utilizacion"/>
    <n v="235"/>
  </r>
  <r>
    <n v="10"/>
    <x v="9"/>
    <x v="781"/>
    <s v="Libre Utilizacion"/>
    <n v="4200"/>
  </r>
  <r>
    <n v="10"/>
    <x v="9"/>
    <x v="782"/>
    <s v="Libre Utilizacion"/>
    <n v="2240"/>
  </r>
  <r>
    <n v="10"/>
    <x v="9"/>
    <x v="783"/>
    <s v="Libre Utilizacion"/>
    <n v="8666"/>
  </r>
  <r>
    <n v="10"/>
    <x v="9"/>
    <x v="784"/>
    <s v="Libre Utilizacion"/>
    <n v="7591"/>
  </r>
  <r>
    <n v="10"/>
    <x v="9"/>
    <x v="785"/>
    <s v="Libre Utilizacion"/>
    <n v="380"/>
  </r>
  <r>
    <n v="10"/>
    <x v="9"/>
    <x v="786"/>
    <s v="Libre Utilizacion"/>
    <n v="10255"/>
  </r>
  <r>
    <n v="10"/>
    <x v="9"/>
    <x v="787"/>
    <s v="Libre Utilizacion"/>
    <n v="715"/>
  </r>
  <r>
    <n v="10"/>
    <x v="9"/>
    <x v="788"/>
    <s v="Libre Utilizacion"/>
    <n v="2797"/>
  </r>
  <r>
    <n v="10"/>
    <x v="9"/>
    <x v="789"/>
    <s v="Libre Utilizacion"/>
    <n v="5"/>
  </r>
  <r>
    <n v="10"/>
    <x v="10"/>
    <x v="790"/>
    <s v="Libre Utilizacion"/>
    <n v="2412"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  <r>
    <m/>
    <x v="19"/>
    <x v="791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">
  <r>
    <s v="Agro Sudamerica1020017"/>
    <x v="0"/>
    <x v="0"/>
    <x v="0"/>
    <x v="0"/>
    <x v="0"/>
    <x v="0"/>
    <m/>
    <n v="0"/>
    <n v="0"/>
    <n v="0.5154724771671565"/>
    <n v="0"/>
    <n v="4633.3789999999999"/>
    <n v="0"/>
    <n v="0"/>
    <n v="4633.3789999999999"/>
    <n v="8000"/>
    <n v="24000"/>
    <n v="0"/>
    <m/>
    <n v="0"/>
    <n v="4633.3789999999999"/>
    <n v="0"/>
    <m/>
    <n v="0"/>
    <n v="4633.3789999999999"/>
    <n v="0"/>
    <n v="0"/>
    <n v="0"/>
    <n v="0"/>
    <m/>
    <n v="0"/>
    <n v="2.7558579380733956"/>
    <n v="0"/>
    <n v="0"/>
    <n v="2.8429729729729729"/>
    <s v="Sin Facturación 2022"/>
    <n v="192000"/>
    <n v="108000"/>
    <n v="132000"/>
    <n v="96000"/>
    <n v="37000"/>
    <n v="0"/>
    <n v="518400"/>
    <n v="287900"/>
    <n v="363120"/>
    <n v="267600"/>
    <n v="105190"/>
    <n v="0"/>
    <m/>
    <n v="0"/>
    <e v="#REF!"/>
    <e v="#REF!"/>
  </r>
  <r>
    <s v="Agro Sudamerica1021279"/>
    <x v="0"/>
    <x v="0"/>
    <x v="1"/>
    <x v="1"/>
    <x v="1"/>
    <x v="1"/>
    <m/>
    <n v="22388"/>
    <n v="24000"/>
    <n v="0.5154724771671565"/>
    <n v="11540.397818818299"/>
    <n v="1520.1770000000001"/>
    <n v="0"/>
    <n v="0"/>
    <n v="13060.574818818299"/>
    <n v="0"/>
    <n v="24000"/>
    <n v="0"/>
    <m/>
    <n v="0"/>
    <n v="13060.574818818299"/>
    <n v="0"/>
    <m/>
    <n v="0"/>
    <n v="13060.574818818299"/>
    <n v="0"/>
    <n v="0"/>
    <n v="0"/>
    <n v="0"/>
    <m/>
    <n v="1.33666666666667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0339"/>
    <x v="0"/>
    <x v="0"/>
    <x v="2"/>
    <x v="2"/>
    <x v="2"/>
    <x v="2"/>
    <m/>
    <n v="37079"/>
    <n v="48000"/>
    <n v="0.5154724771671565"/>
    <n v="19113.203980880997"/>
    <n v="75776.815000000017"/>
    <n v="0"/>
    <n v="0"/>
    <n v="94890.01898088101"/>
    <n v="203500"/>
    <n v="24000"/>
    <n v="72000"/>
    <m/>
    <n v="72000"/>
    <n v="22890.01898088101"/>
    <n v="0"/>
    <m/>
    <n v="0"/>
    <n v="22890.01898088101"/>
    <n v="0"/>
    <n v="0"/>
    <n v="72000"/>
    <n v="72000"/>
    <m/>
    <n v="1.58666666666667"/>
    <n v="1.5860046963952916"/>
    <n v="1.5860046963952916"/>
    <n v="114192.338140461"/>
    <n v="1.5707202380952381"/>
    <n v="9.7308597224089431E-3"/>
    <n v="34000"/>
    <n v="95000"/>
    <n v="85000"/>
    <n v="98500"/>
    <n v="130881"/>
    <n v="168000"/>
    <n v="54400"/>
    <n v="127400"/>
    <n v="115793"/>
    <n v="135470"/>
    <n v="186971"/>
    <n v="263881"/>
    <m/>
    <n v="0"/>
    <e v="#REF!"/>
    <e v="#REF!"/>
  </r>
  <r>
    <s v="Agro Sudamerica1020349"/>
    <x v="0"/>
    <x v="0"/>
    <x v="3"/>
    <x v="3"/>
    <x v="3"/>
    <x v="3"/>
    <m/>
    <n v="3391"/>
    <n v="0"/>
    <n v="0.5154724771671565"/>
    <n v="1747.9671700738277"/>
    <n v="20386.912000000004"/>
    <n v="0"/>
    <n v="0"/>
    <n v="22134.879170073833"/>
    <n v="24000"/>
    <n v="24000"/>
    <n v="0"/>
    <m/>
    <n v="0"/>
    <n v="22134.879170073833"/>
    <n v="0"/>
    <m/>
    <n v="0"/>
    <n v="22134.879170073833"/>
    <n v="0"/>
    <n v="0"/>
    <n v="0"/>
    <n v="0"/>
    <m/>
    <n v="0"/>
    <n v="1.7577499999999999"/>
    <n v="0"/>
    <n v="0"/>
    <n v="1.7577499999999999"/>
    <s v="Sin Facturación 2022"/>
    <n v="120000"/>
    <n v="156000"/>
    <n v="228000"/>
    <n v="192000"/>
    <n v="0"/>
    <n v="24000"/>
    <n v="243200"/>
    <n v="302179"/>
    <n v="424800"/>
    <n v="335760"/>
    <n v="0"/>
    <n v="42186"/>
    <m/>
    <n v="0"/>
    <e v="#REF!"/>
    <e v="#REF!"/>
  </r>
  <r>
    <s v="Agro Sudamerica1020352"/>
    <x v="0"/>
    <x v="0"/>
    <x v="4"/>
    <x v="4"/>
    <x v="4"/>
    <x v="4"/>
    <m/>
    <n v="63649"/>
    <n v="48000"/>
    <n v="0.5154724771671565"/>
    <n v="32809.307699212346"/>
    <n v="48250.861999999979"/>
    <n v="8250"/>
    <n v="0"/>
    <n v="88485.169699212332"/>
    <n v="72000"/>
    <n v="24000"/>
    <n v="72000"/>
    <m/>
    <n v="72000"/>
    <n v="16485.169699212332"/>
    <n v="0"/>
    <m/>
    <n v="0"/>
    <n v="16485.169699212332"/>
    <n v="0"/>
    <n v="0"/>
    <n v="72000"/>
    <n v="72000"/>
    <m/>
    <n v="1.39916666666667"/>
    <n v="1.3417083333333299"/>
    <n v="1.3417083333333299"/>
    <n v="96602.999999999753"/>
    <n v="1.2547916666666667"/>
    <n v="6.926780674082407E-2"/>
    <n v="35000"/>
    <n v="0"/>
    <n v="48000"/>
    <n v="48000"/>
    <n v="24000"/>
    <n v="48000"/>
    <n v="47250"/>
    <n v="0"/>
    <n v="57310"/>
    <n v="50880"/>
    <n v="30240"/>
    <n v="60230"/>
    <m/>
    <n v="0"/>
    <e v="#REF!"/>
    <e v="#REF!"/>
  </r>
  <r>
    <s v="Agro Sudamerica1020367"/>
    <x v="0"/>
    <x v="0"/>
    <x v="5"/>
    <x v="5"/>
    <x v="2"/>
    <x v="5"/>
    <m/>
    <n v="139446"/>
    <n v="96000"/>
    <n v="0.5154724771671565"/>
    <n v="71880.575051051303"/>
    <n v="69798.998000000021"/>
    <n v="33694.600261117434"/>
    <n v="0"/>
    <n v="172004.71328605703"/>
    <n v="199000"/>
    <n v="24000"/>
    <n v="168000"/>
    <m/>
    <n v="168000"/>
    <n v="4004.7132860570273"/>
    <n v="0"/>
    <m/>
    <n v="0"/>
    <n v="4004.7132860570273"/>
    <n v="0"/>
    <n v="0"/>
    <n v="168000"/>
    <n v="168000"/>
    <m/>
    <n v="1.18667708333333"/>
    <n v="1.2573052008640633"/>
    <n v="1.2573052008640633"/>
    <n v="211227.27374516262"/>
    <n v="1.1481034482758621"/>
    <n v="9.5114906894663898E-2"/>
    <n v="48000"/>
    <n v="72000"/>
    <n v="24000"/>
    <n v="48100"/>
    <n v="72000"/>
    <n v="145000"/>
    <n v="64800"/>
    <n v="89200"/>
    <n v="26400"/>
    <n v="53143"/>
    <n v="74627"/>
    <n v="166475"/>
    <m/>
    <n v="0"/>
    <e v="#REF!"/>
    <e v="#REF!"/>
  </r>
  <r>
    <s v="Agro Sudamerica1020412"/>
    <x v="0"/>
    <x v="0"/>
    <x v="6"/>
    <x v="6"/>
    <x v="5"/>
    <x v="6"/>
    <m/>
    <n v="118860"/>
    <n v="120000"/>
    <n v="0.5154724771671565"/>
    <n v="61269.058636088223"/>
    <n v="90206.181999999972"/>
    <n v="24685.631219473744"/>
    <n v="0"/>
    <n v="173692.30873361457"/>
    <n v="95000"/>
    <n v="24000"/>
    <n v="95000"/>
    <m/>
    <n v="95000"/>
    <n v="78692.308733614569"/>
    <n v="72000"/>
    <m/>
    <n v="72000"/>
    <n v="6692.3087336145691"/>
    <n v="0"/>
    <n v="0"/>
    <n v="167000"/>
    <n v="167000"/>
    <m/>
    <n v="1.8466750000000001"/>
    <n v="1.8620934729373082"/>
    <n v="1.8554459875990674"/>
    <n v="309859.47992904426"/>
    <n v="1.7958793103448276"/>
    <n v="3.3168530263207041E-2"/>
    <n v="48000"/>
    <n v="73000"/>
    <n v="96000"/>
    <n v="72000"/>
    <n v="72000"/>
    <n v="116000"/>
    <n v="67200"/>
    <n v="115910"/>
    <n v="139150"/>
    <n v="115909"/>
    <n v="121440"/>
    <n v="208322"/>
    <m/>
    <n v="0"/>
    <e v="#REF!"/>
    <e v="#REF!"/>
  </r>
  <r>
    <s v="Agro Sudamerica1021980"/>
    <x v="0"/>
    <x v="0"/>
    <x v="7"/>
    <x v="7"/>
    <x v="0"/>
    <x v="7"/>
    <m/>
    <n v="2547"/>
    <n v="3000"/>
    <n v="0.5154724771671565"/>
    <n v="1312.9083993447475"/>
    <n v="6594.3220000000001"/>
    <n v="0"/>
    <n v="0"/>
    <n v="7907.2303993447476"/>
    <n v="0"/>
    <n v="24000"/>
    <n v="0"/>
    <m/>
    <n v="0"/>
    <n v="7907.2303993447476"/>
    <n v="0"/>
    <m/>
    <n v="0"/>
    <n v="7907.2303993447476"/>
    <n v="0"/>
    <n v="0"/>
    <n v="0"/>
    <n v="0"/>
    <m/>
    <n v="5.4866666666666699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0848"/>
    <x v="0"/>
    <x v="0"/>
    <x v="8"/>
    <x v="8"/>
    <x v="6"/>
    <x v="8"/>
    <m/>
    <n v="70668"/>
    <n v="72000"/>
    <n v="0.5154724771671565"/>
    <n v="36427.409016448619"/>
    <n v="42659.913000000022"/>
    <n v="5517.6166228795882"/>
    <n v="0"/>
    <n v="84053.176977040275"/>
    <n v="48000"/>
    <n v="24000"/>
    <n v="48000"/>
    <m/>
    <n v="48000"/>
    <n v="36053.176977040275"/>
    <n v="24000"/>
    <m/>
    <n v="24000"/>
    <n v="12053.176977040275"/>
    <n v="0"/>
    <n v="0"/>
    <n v="72000"/>
    <n v="72000"/>
    <m/>
    <n v="3.23"/>
    <n v="3.3739583333333298"/>
    <n v="3.3259722222222199"/>
    <n v="239469.99999999983"/>
    <n v="2.8391111111111109"/>
    <n v="0.17148364120225348"/>
    <n v="240000"/>
    <n v="147000"/>
    <n v="360000"/>
    <n v="192000"/>
    <n v="72000"/>
    <n v="72000"/>
    <n v="684000"/>
    <n v="364350"/>
    <n v="949090"/>
    <n v="495200"/>
    <n v="201467"/>
    <n v="204416"/>
    <m/>
    <n v="0"/>
    <e v="#REF!"/>
    <e v="#REF!"/>
  </r>
  <r>
    <s v="Agro Sudamerica1020869"/>
    <x v="0"/>
    <x v="0"/>
    <x v="9"/>
    <x v="9"/>
    <x v="7"/>
    <x v="9"/>
    <m/>
    <n v="3344"/>
    <n v="0"/>
    <n v="0.5154724771671565"/>
    <n v="1723.7399636469713"/>
    <n v="16931.731"/>
    <n v="0"/>
    <n v="0"/>
    <n v="18655.470963646971"/>
    <n v="9000"/>
    <n v="24000"/>
    <n v="9000"/>
    <m/>
    <n v="9000"/>
    <n v="9655.4709636469706"/>
    <n v="0"/>
    <m/>
    <n v="0"/>
    <n v="9655.4709636469706"/>
    <n v="0"/>
    <n v="0"/>
    <n v="9000"/>
    <n v="9000"/>
    <m/>
    <n v="0"/>
    <n v="4.4000000000000004"/>
    <n v="4.4000000000000004"/>
    <n v="39600"/>
    <n v="4.2141515151515154"/>
    <n v="4.4101044820122691E-2"/>
    <n v="0"/>
    <n v="0"/>
    <n v="24000"/>
    <n v="0"/>
    <n v="0"/>
    <n v="33000"/>
    <n v="0"/>
    <n v="0"/>
    <n v="120000"/>
    <n v="0"/>
    <n v="0"/>
    <n v="139067"/>
    <m/>
    <n v="0"/>
    <e v="#REF!"/>
    <e v="#REF!"/>
  </r>
  <r>
    <s v="Agro Sudamerica1020886"/>
    <x v="0"/>
    <x v="0"/>
    <x v="10"/>
    <x v="10"/>
    <x v="8"/>
    <x v="10"/>
    <m/>
    <n v="0"/>
    <n v="0"/>
    <n v="0.5154724771671565"/>
    <n v="0"/>
    <n v="14143.054000000002"/>
    <n v="7577.0853004915471"/>
    <n v="0"/>
    <n v="20962.430770442395"/>
    <n v="0"/>
    <n v="24000"/>
    <n v="0"/>
    <m/>
    <n v="0"/>
    <n v="20962.430770442395"/>
    <n v="0"/>
    <m/>
    <n v="0"/>
    <n v="20962.430770442395"/>
    <n v="0"/>
    <n v="0"/>
    <n v="0"/>
    <n v="0"/>
    <m/>
    <n v="0"/>
    <n v="0"/>
    <n v="0"/>
    <n v="0"/>
    <n v="5.1666999999999996"/>
    <s v="Sin Facturación 2022"/>
    <n v="0"/>
    <n v="10000"/>
    <n v="0"/>
    <n v="0"/>
    <n v="0"/>
    <n v="0"/>
    <n v="0"/>
    <n v="51667"/>
    <n v="0"/>
    <n v="0"/>
    <n v="0"/>
    <n v="0"/>
    <m/>
    <n v="0"/>
    <e v="#REF!"/>
    <e v="#REF!"/>
  </r>
  <r>
    <s v="Agro Sudamerica1020915"/>
    <x v="0"/>
    <x v="0"/>
    <x v="11"/>
    <x v="11"/>
    <x v="9"/>
    <x v="11"/>
    <m/>
    <n v="14353"/>
    <n v="0"/>
    <n v="0.5154724771671565"/>
    <n v="7398.5764647801971"/>
    <n v="932.93500000000006"/>
    <n v="60288.783105185466"/>
    <n v="0"/>
    <n v="62591.41625944712"/>
    <n v="76000"/>
    <n v="24000"/>
    <n v="48000"/>
    <m/>
    <n v="48000"/>
    <n v="14591.41625944712"/>
    <n v="0"/>
    <m/>
    <n v="0"/>
    <n v="14591.41625944712"/>
    <n v="0"/>
    <n v="0"/>
    <n v="48000"/>
    <n v="48000"/>
    <m/>
    <n v="0"/>
    <n v="2.4342105263157894"/>
    <n v="2.4342105263157894"/>
    <n v="116842.10526315789"/>
    <n v="2.15"/>
    <n v="0.13219094247246022"/>
    <n v="10000"/>
    <n v="2000"/>
    <n v="0"/>
    <n v="0"/>
    <n v="0"/>
    <n v="0"/>
    <n v="17000"/>
    <n v="4300"/>
    <n v="0"/>
    <n v="0"/>
    <n v="0"/>
    <n v="0"/>
    <m/>
    <n v="0"/>
    <e v="#REF!"/>
    <e v="#REF!"/>
  </r>
  <r>
    <s v="Agro Sudamerica1020925"/>
    <x v="0"/>
    <x v="0"/>
    <x v="12"/>
    <x v="12"/>
    <x v="2"/>
    <x v="12"/>
    <m/>
    <n v="103281"/>
    <n v="96000"/>
    <n v="0.5154724771671565"/>
    <n v="53238.512914301093"/>
    <n v="93268.590999999986"/>
    <n v="16529.841440154065"/>
    <n v="0"/>
    <n v="161383.96121043974"/>
    <n v="120000"/>
    <n v="24000"/>
    <n v="120000"/>
    <m/>
    <n v="120000"/>
    <n v="41383.961210439738"/>
    <n v="24000"/>
    <m/>
    <n v="24000"/>
    <n v="17383.961210439738"/>
    <n v="0"/>
    <n v="0"/>
    <n v="144000"/>
    <n v="144000"/>
    <m/>
    <n v="1.4116770833333301"/>
    <n v="1.4738111111111101"/>
    <n v="1.4634554398148132"/>
    <n v="210737.58333333311"/>
    <n v="1.4336666666666666"/>
    <n v="2.0778032886407723E-2"/>
    <n v="0"/>
    <n v="3000"/>
    <n v="14000"/>
    <n v="38000"/>
    <n v="48000"/>
    <n v="72000"/>
    <n v="0"/>
    <n v="3450"/>
    <n v="13300"/>
    <n v="44140"/>
    <n v="69120"/>
    <n v="103224"/>
    <m/>
    <n v="0"/>
    <e v="#REF!"/>
    <e v="#REF!"/>
  </r>
  <r>
    <s v="Agro Sudamerica1020944"/>
    <x v="0"/>
    <x v="0"/>
    <x v="13"/>
    <x v="13"/>
    <x v="9"/>
    <x v="13"/>
    <m/>
    <n v="169509"/>
    <n v="144000"/>
    <n v="0.5154724771671565"/>
    <n v="87377.224132127536"/>
    <n v="231255.39499999999"/>
    <n v="0"/>
    <n v="0"/>
    <n v="318632.6191321275"/>
    <n v="238300"/>
    <n v="24000"/>
    <n v="238300"/>
    <m/>
    <n v="238300"/>
    <n v="80332.619132127496"/>
    <n v="72000"/>
    <m/>
    <n v="72000"/>
    <n v="8332.6191321274964"/>
    <n v="0"/>
    <n v="0"/>
    <n v="310300"/>
    <n v="310300"/>
    <m/>
    <n v="2.7600069444444402"/>
    <n v="2.7140563456944764"/>
    <n v="2.724718424682544"/>
    <n v="845480.12717899343"/>
    <n v="2.592754141251274"/>
    <n v="5.0897337827636627E-2"/>
    <n v="480000"/>
    <n v="508001"/>
    <n v="384000"/>
    <n v="188000"/>
    <n v="504000"/>
    <n v="262964"/>
    <n v="1248000"/>
    <n v="1281954"/>
    <n v="924000"/>
    <n v="424640"/>
    <n v="1231920"/>
    <n v="681801"/>
    <m/>
    <n v="0"/>
    <e v="#REF!"/>
    <e v="#REF!"/>
  </r>
  <r>
    <s v="Agro Sudamerica1021023"/>
    <x v="0"/>
    <x v="0"/>
    <x v="14"/>
    <x v="14"/>
    <x v="2"/>
    <x v="5"/>
    <m/>
    <n v="65445"/>
    <n v="120000"/>
    <n v="0.5154724771671565"/>
    <n v="33735.096268204557"/>
    <n v="98218.452999999994"/>
    <n v="4479"/>
    <n v="0"/>
    <n v="135984.64926820455"/>
    <n v="22000"/>
    <n v="24000"/>
    <n v="22000"/>
    <m/>
    <n v="22000"/>
    <n v="113984.64926820455"/>
    <n v="96000"/>
    <m/>
    <n v="96000"/>
    <n v="17984.64926820455"/>
    <n v="0"/>
    <n v="0"/>
    <n v="118000"/>
    <n v="118000"/>
    <m/>
    <n v="1.1466750000000001"/>
    <n v="1.1283898305084701"/>
    <n v="1.1432659006032744"/>
    <n v="134905.37627118637"/>
    <n v="1.1240749999999999"/>
    <n v="1.7072615798122404E-2"/>
    <n v="120000"/>
    <n v="216000"/>
    <n v="264000"/>
    <n v="167000"/>
    <n v="96000"/>
    <n v="120000"/>
    <n v="141600"/>
    <n v="245849"/>
    <n v="290400"/>
    <n v="181920"/>
    <n v="95760"/>
    <n v="134889"/>
    <m/>
    <n v="0"/>
    <e v="#REF!"/>
    <e v="#REF!"/>
  </r>
  <r>
    <s v="Agro Sudamerica1021039"/>
    <x v="0"/>
    <x v="0"/>
    <x v="15"/>
    <x v="15"/>
    <x v="4"/>
    <x v="14"/>
    <m/>
    <n v="44616"/>
    <n v="0"/>
    <n v="0.5154724771671565"/>
    <n v="22998.320041289855"/>
    <n v="27951.187000000005"/>
    <n v="0"/>
    <n v="0"/>
    <n v="50949.507041289864"/>
    <n v="72000"/>
    <n v="24000"/>
    <n v="48000"/>
    <m/>
    <n v="48000"/>
    <n v="2949.507041289864"/>
    <n v="0"/>
    <m/>
    <n v="0"/>
    <n v="2949.507041289864"/>
    <n v="0"/>
    <n v="0"/>
    <n v="48000"/>
    <n v="48000"/>
    <m/>
    <n v="0"/>
    <n v="0.63345486111111127"/>
    <n v="0.63345486111111127"/>
    <n v="30405.833333333339"/>
    <n v="0.63120833333333337"/>
    <n v="3.5590908090744932E-3"/>
    <n v="24000"/>
    <n v="24000"/>
    <n v="72000"/>
    <n v="0"/>
    <n v="48000"/>
    <n v="48000"/>
    <n v="12000"/>
    <n v="14400"/>
    <n v="38880"/>
    <n v="0"/>
    <n v="28787"/>
    <n v="30298"/>
    <m/>
    <n v="0"/>
    <e v="#REF!"/>
    <e v="#REF!"/>
  </r>
  <r>
    <s v="Agro Sudamerica1021077"/>
    <x v="0"/>
    <x v="0"/>
    <x v="16"/>
    <x v="16"/>
    <x v="2"/>
    <x v="5"/>
    <m/>
    <n v="0"/>
    <n v="24000"/>
    <n v="0.5154724771671565"/>
    <n v="0"/>
    <n v="58200.244000000021"/>
    <n v="0"/>
    <n v="0"/>
    <n v="58200.244000000021"/>
    <n v="35000"/>
    <n v="24000"/>
    <n v="35000"/>
    <m/>
    <n v="35000"/>
    <n v="23200.244000000021"/>
    <n v="0"/>
    <m/>
    <n v="0"/>
    <n v="23200.244000000021"/>
    <n v="0"/>
    <n v="0"/>
    <n v="35000"/>
    <n v="35000"/>
    <m/>
    <n v="0"/>
    <n v="1.2333226431229236"/>
    <n v="1.2333226431229236"/>
    <n v="43166.29250930233"/>
    <n v="1.4423958333333333"/>
    <n v="0.14494855391203387"/>
    <n v="0"/>
    <n v="24000"/>
    <n v="0"/>
    <n v="48000"/>
    <n v="0"/>
    <n v="48000"/>
    <n v="0"/>
    <n v="29259"/>
    <n v="0"/>
    <n v="60720"/>
    <n v="0"/>
    <n v="69235"/>
    <m/>
    <n v="0"/>
    <e v="#REF!"/>
    <e v="#REF!"/>
  </r>
  <r>
    <s v="Agro Sudamerica1021078"/>
    <x v="0"/>
    <x v="0"/>
    <x v="17"/>
    <x v="17"/>
    <x v="5"/>
    <x v="6"/>
    <m/>
    <n v="142000"/>
    <n v="144000"/>
    <n v="0.5154724771671565"/>
    <n v="73197.091757736227"/>
    <n v="76140.75300000007"/>
    <n v="0"/>
    <n v="0"/>
    <n v="149337.84475773631"/>
    <n v="72000"/>
    <n v="24000"/>
    <n v="72000"/>
    <m/>
    <n v="72000"/>
    <n v="77337.844757736311"/>
    <n v="72000"/>
    <m/>
    <n v="72000"/>
    <n v="5337.8447577363113"/>
    <n v="0"/>
    <n v="0"/>
    <n v="144000"/>
    <n v="144000"/>
    <m/>
    <n v="2.2033402777777802"/>
    <n v="2.2290000000000001"/>
    <n v="2.2161701388888901"/>
    <n v="319128.50000000017"/>
    <n v="2.1833854166666669"/>
    <n v="1.5015545112632976E-2"/>
    <n v="48000"/>
    <n v="107000"/>
    <n v="143000"/>
    <n v="96000"/>
    <n v="96000"/>
    <n v="96000"/>
    <n v="97440"/>
    <n v="222108"/>
    <n v="309400"/>
    <n v="198480"/>
    <n v="209280"/>
    <n v="209605"/>
    <m/>
    <n v="0"/>
    <e v="#REF!"/>
    <e v="#REF!"/>
  </r>
  <r>
    <s v="Agro Sudamerica1021082"/>
    <x v="0"/>
    <x v="0"/>
    <x v="18"/>
    <x v="18"/>
    <x v="5"/>
    <x v="6"/>
    <m/>
    <n v="26062"/>
    <n v="0"/>
    <n v="0.5154724771671565"/>
    <n v="13434.243699930432"/>
    <n v="26924.830999999991"/>
    <n v="0"/>
    <n v="0"/>
    <n v="40359.074699930425"/>
    <n v="49500"/>
    <n v="24000"/>
    <n v="24000"/>
    <m/>
    <n v="24000"/>
    <n v="16359.074699930425"/>
    <n v="0"/>
    <m/>
    <n v="0"/>
    <n v="16359.074699930425"/>
    <n v="0"/>
    <n v="0"/>
    <n v="24000"/>
    <n v="24000"/>
    <m/>
    <n v="0"/>
    <n v="1.571007181259402"/>
    <n v="1.571007181259402"/>
    <n v="37704.17235022565"/>
    <n v="1.8051250000000001"/>
    <n v="0.12969618100718683"/>
    <n v="0"/>
    <n v="0"/>
    <n v="0"/>
    <n v="0"/>
    <n v="2500"/>
    <n v="48000"/>
    <n v="0"/>
    <n v="0"/>
    <n v="0"/>
    <n v="0"/>
    <n v="5125"/>
    <n v="86646"/>
    <m/>
    <n v="0"/>
    <e v="#REF!"/>
    <e v="#REF!"/>
  </r>
  <r>
    <s v="Agro Sudamerica1021085"/>
    <x v="0"/>
    <x v="0"/>
    <x v="19"/>
    <x v="19"/>
    <x v="2"/>
    <x v="5"/>
    <m/>
    <n v="2101"/>
    <n v="0"/>
    <n v="0.5154724771671565"/>
    <n v="1083.0076745281958"/>
    <n v="18521.918999999998"/>
    <n v="0"/>
    <n v="0"/>
    <n v="19604.926674528193"/>
    <n v="21300"/>
    <n v="24000"/>
    <n v="0"/>
    <m/>
    <n v="0"/>
    <n v="19604.926674528193"/>
    <n v="0"/>
    <m/>
    <n v="0"/>
    <n v="19604.926674528193"/>
    <n v="0"/>
    <n v="0"/>
    <n v="0"/>
    <n v="0"/>
    <m/>
    <n v="0"/>
    <n v="1"/>
    <n v="0"/>
    <n v="0"/>
    <n v="0.85"/>
    <s v="Sin Facturación 2022"/>
    <n v="24000"/>
    <n v="24000"/>
    <n v="0"/>
    <n v="0"/>
    <n v="24000"/>
    <n v="0"/>
    <n v="28800"/>
    <n v="21600"/>
    <n v="0"/>
    <n v="0"/>
    <n v="20400"/>
    <n v="0"/>
    <m/>
    <n v="0"/>
    <e v="#REF!"/>
    <e v="#REF!"/>
  </r>
  <r>
    <s v="Agro Sudamerica1021092"/>
    <x v="0"/>
    <x v="0"/>
    <x v="20"/>
    <x v="20"/>
    <x v="5"/>
    <x v="6"/>
    <m/>
    <n v="167401"/>
    <n v="120000"/>
    <n v="0.5154724771671565"/>
    <n v="86290.60815025917"/>
    <n v="53786.702999999987"/>
    <n v="22669.608771269977"/>
    <n v="0"/>
    <n v="160479.95904440215"/>
    <n v="97000"/>
    <n v="24000"/>
    <n v="97000"/>
    <m/>
    <n v="97000"/>
    <n v="63479.959044402145"/>
    <n v="48000"/>
    <m/>
    <n v="48000"/>
    <n v="15479.959044402145"/>
    <n v="0"/>
    <n v="0"/>
    <n v="145000"/>
    <n v="145000"/>
    <m/>
    <n v="2.4066749999999999"/>
    <n v="2.376097000937206"/>
    <n v="2.3862193730407513"/>
    <n v="346001.80909090891"/>
    <n v="2.4027190082644627"/>
    <n v="6.8670681702516284E-3"/>
    <n v="48000"/>
    <n v="79070"/>
    <n v="0"/>
    <n v="72000"/>
    <n v="144000"/>
    <n v="121000"/>
    <n v="120000"/>
    <n v="149977"/>
    <n v="0"/>
    <n v="130800"/>
    <n v="337200"/>
    <n v="290729"/>
    <m/>
    <n v="0"/>
    <e v="#REF!"/>
    <e v="#REF!"/>
  </r>
  <r>
    <s v="Agro Sudamerica1021101"/>
    <x v="0"/>
    <x v="0"/>
    <x v="21"/>
    <x v="21"/>
    <x v="10"/>
    <x v="15"/>
    <m/>
    <n v="6195"/>
    <n v="24000"/>
    <n v="0.5154724771671565"/>
    <n v="3193.3519960505346"/>
    <n v="15830.418999999998"/>
    <n v="0"/>
    <n v="0"/>
    <n v="19023.770996050531"/>
    <n v="1000"/>
    <n v="24000"/>
    <n v="1000"/>
    <m/>
    <n v="1000"/>
    <n v="18023.770996050531"/>
    <n v="0"/>
    <m/>
    <n v="0"/>
    <n v="18023.770996050531"/>
    <n v="0"/>
    <n v="0"/>
    <n v="1000"/>
    <n v="1000"/>
    <m/>
    <n v="1.1866666666666701"/>
    <n v="1"/>
    <n v="1"/>
    <n v="1000"/>
    <n v="1.2268749999999999"/>
    <n v="0.18492103922567493"/>
    <n v="12000"/>
    <n v="48000"/>
    <n v="24000"/>
    <n v="24000"/>
    <n v="28000"/>
    <n v="24000"/>
    <n v="14040"/>
    <n v="56000"/>
    <n v="26400"/>
    <n v="24720"/>
    <n v="32800"/>
    <n v="29445"/>
    <m/>
    <n v="0"/>
    <e v="#REF!"/>
    <e v="#REF!"/>
  </r>
  <r>
    <s v="Agro Sudamerica1021105"/>
    <x v="0"/>
    <x v="0"/>
    <x v="22"/>
    <x v="22"/>
    <x v="10"/>
    <x v="15"/>
    <m/>
    <n v="22361"/>
    <n v="24000"/>
    <n v="0.5154724771671565"/>
    <n v="11526.480061934786"/>
    <n v="23370.608000000007"/>
    <n v="0"/>
    <n v="0"/>
    <n v="34897.088061934795"/>
    <n v="29211"/>
    <n v="24000"/>
    <n v="29211"/>
    <m/>
    <n v="29211"/>
    <n v="5686.0880619347954"/>
    <n v="0"/>
    <m/>
    <n v="0"/>
    <n v="5686.0880619347954"/>
    <n v="0"/>
    <n v="0"/>
    <n v="29211"/>
    <n v="29211"/>
    <m/>
    <n v="0.73666666666666702"/>
    <n v="0.68065208311937309"/>
    <n v="0.68065208311937309"/>
    <n v="19882.528000000006"/>
    <n v="0.49"/>
    <n v="0.38908588391708798"/>
    <n v="24000"/>
    <n v="24000"/>
    <n v="24000"/>
    <n v="24000"/>
    <n v="0"/>
    <n v="0"/>
    <n v="12960"/>
    <n v="12960"/>
    <n v="12000"/>
    <n v="11760"/>
    <n v="0"/>
    <n v="0"/>
    <m/>
    <n v="0"/>
    <e v="#REF!"/>
    <e v="#REF!"/>
  </r>
  <r>
    <s v="Agro Sudamerica1021106"/>
    <x v="0"/>
    <x v="0"/>
    <x v="23"/>
    <x v="23"/>
    <x v="10"/>
    <x v="15"/>
    <m/>
    <n v="18054"/>
    <n v="0"/>
    <n v="0.5154724771671565"/>
    <n v="9306.3401027758428"/>
    <n v="109659.81599999999"/>
    <n v="0"/>
    <n v="0"/>
    <n v="118966.15610277583"/>
    <n v="0"/>
    <n v="24000"/>
    <n v="0"/>
    <m/>
    <n v="0"/>
    <n v="118966.15610277583"/>
    <n v="0"/>
    <m/>
    <n v="0"/>
    <n v="118966.15610277583"/>
    <n v="96000"/>
    <n v="0"/>
    <n v="96000"/>
    <n v="0"/>
    <m/>
    <n v="0"/>
    <n v="0"/>
    <n v="0"/>
    <n v="0"/>
    <n v="0.66944999999999999"/>
    <s v="Sin Facturación 2022"/>
    <n v="96000"/>
    <n v="144000"/>
    <n v="96000"/>
    <n v="120000"/>
    <n v="48000"/>
    <n v="120000"/>
    <n v="67008"/>
    <n v="102640"/>
    <n v="67579"/>
    <n v="84720"/>
    <n v="30827"/>
    <n v="80334"/>
    <m/>
    <n v="0"/>
    <e v="#REF!"/>
    <e v="#REF!"/>
  </r>
  <r>
    <s v="Agro Sudamerica1021111"/>
    <x v="0"/>
    <x v="0"/>
    <x v="24"/>
    <x v="24"/>
    <x v="2"/>
    <x v="16"/>
    <m/>
    <n v="4358"/>
    <n v="6000"/>
    <n v="0.5154724771671565"/>
    <n v="2246.4290554944682"/>
    <n v="3925.2920000000008"/>
    <n v="528"/>
    <n v="0"/>
    <n v="6646.9210554944684"/>
    <n v="2578"/>
    <n v="24000"/>
    <n v="2578"/>
    <m/>
    <n v="2578"/>
    <n v="4068.9210554944684"/>
    <n v="0"/>
    <m/>
    <n v="0"/>
    <n v="4068.9210554944684"/>
    <n v="0"/>
    <n v="0"/>
    <n v="2578"/>
    <n v="2578"/>
    <m/>
    <n v="1.28666666666667"/>
    <n v="1.35"/>
    <n v="1.35"/>
    <n v="3480.3"/>
    <n v="1.288"/>
    <n v="4.8136645962732962E-2"/>
    <n v="3000"/>
    <n v="2500"/>
    <n v="0"/>
    <n v="0"/>
    <n v="0"/>
    <n v="0"/>
    <n v="3900"/>
    <n v="3220"/>
    <n v="0"/>
    <n v="0"/>
    <n v="0"/>
    <n v="0"/>
    <m/>
    <n v="0"/>
    <e v="#REF!"/>
    <e v="#REF!"/>
  </r>
  <r>
    <s v="Agro Sudamerica1021187"/>
    <x v="0"/>
    <x v="0"/>
    <x v="25"/>
    <x v="25"/>
    <x v="4"/>
    <x v="17"/>
    <m/>
    <n v="53879"/>
    <n v="24000"/>
    <n v="0.5154724771671565"/>
    <n v="27773.141597289225"/>
    <n v="49759.046000000002"/>
    <n v="6994.2248525139803"/>
    <n v="0"/>
    <n v="83826.989964551816"/>
    <n v="96000"/>
    <n v="24000"/>
    <n v="72000"/>
    <m/>
    <n v="72000"/>
    <n v="11826.989964551816"/>
    <n v="0"/>
    <m/>
    <n v="0"/>
    <n v="11826.989964551816"/>
    <n v="0"/>
    <n v="0"/>
    <n v="72000"/>
    <n v="72000"/>
    <m/>
    <n v="2.08666666666667"/>
    <n v="2.0893395833333299"/>
    <n v="2.0893395833333299"/>
    <n v="150432.44999999975"/>
    <n v="2.0828550724637682"/>
    <n v="3.1132799181708302E-3"/>
    <n v="72000"/>
    <n v="24000"/>
    <n v="48000"/>
    <n v="24000"/>
    <n v="88000"/>
    <n v="69000"/>
    <n v="147600"/>
    <n v="50100"/>
    <n v="90190"/>
    <n v="48240"/>
    <n v="173280"/>
    <n v="143717"/>
    <m/>
    <n v="0"/>
    <e v="#REF!"/>
    <e v="#REF!"/>
  </r>
  <r>
    <s v="Agro Sudamerica1021237"/>
    <x v="0"/>
    <x v="0"/>
    <x v="26"/>
    <x v="26"/>
    <x v="5"/>
    <x v="6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1.9200276031283545"/>
    <s v="Sin Facturación 2022"/>
    <n v="0"/>
    <n v="0"/>
    <n v="0"/>
    <n v="61042"/>
    <n v="13042"/>
    <n v="0"/>
    <n v="0"/>
    <n v="0"/>
    <n v="0"/>
    <n v="112844"/>
    <n v="25041"/>
    <n v="0"/>
    <m/>
    <n v="0"/>
    <e v="#REF!"/>
    <e v="#REF!"/>
  </r>
  <r>
    <s v="Agro Sudamerica1021263"/>
    <x v="0"/>
    <x v="0"/>
    <x v="27"/>
    <x v="13"/>
    <x v="9"/>
    <x v="13"/>
    <m/>
    <n v="0"/>
    <n v="0"/>
    <n v="0.5154724771671565"/>
    <n v="0"/>
    <n v="0"/>
    <n v="0"/>
    <n v="0"/>
    <n v="0"/>
    <n v="10700"/>
    <n v="24000"/>
    <n v="0"/>
    <m/>
    <n v="0"/>
    <n v="0"/>
    <n v="0"/>
    <m/>
    <n v="0"/>
    <n v="0"/>
    <n v="0"/>
    <n v="0"/>
    <n v="0"/>
    <n v="0"/>
    <m/>
    <n v="0"/>
    <n v="1.8856677797311303"/>
    <n v="0"/>
    <n v="0"/>
    <n v="1.9350000000000001"/>
    <s v="Sin Facturación 2022"/>
    <n v="0"/>
    <n v="0"/>
    <n v="0"/>
    <n v="72000"/>
    <n v="48000"/>
    <n v="0"/>
    <n v="0"/>
    <n v="0"/>
    <n v="0"/>
    <n v="132240"/>
    <n v="92880"/>
    <n v="0"/>
    <m/>
    <n v="0"/>
    <e v="#REF!"/>
    <e v="#REF!"/>
  </r>
  <r>
    <s v="Agro Sudamerica1021287"/>
    <x v="0"/>
    <x v="0"/>
    <x v="28"/>
    <x v="27"/>
    <x v="2"/>
    <x v="2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1.3666"/>
    <s v="Sin Facturación 2022"/>
    <n v="0"/>
    <n v="5000"/>
    <n v="0"/>
    <n v="0"/>
    <n v="0"/>
    <n v="0"/>
    <n v="0"/>
    <n v="6833"/>
    <n v="0"/>
    <n v="0"/>
    <n v="0"/>
    <n v="0"/>
    <m/>
    <n v="0"/>
    <e v="#REF!"/>
    <e v="#REF!"/>
  </r>
  <r>
    <s v="Agro Sudamerica1021385"/>
    <x v="0"/>
    <x v="0"/>
    <x v="29"/>
    <x v="28"/>
    <x v="4"/>
    <x v="18"/>
    <m/>
    <n v="39194"/>
    <n v="96000"/>
    <n v="0.5154724771671565"/>
    <n v="20203.428270089531"/>
    <n v="206464.66799999992"/>
    <n v="0"/>
    <n v="0"/>
    <n v="226668.09627008945"/>
    <n v="126200"/>
    <n v="24000"/>
    <n v="126200"/>
    <m/>
    <n v="126200"/>
    <n v="100468.09627008945"/>
    <n v="96000"/>
    <m/>
    <n v="96000"/>
    <n v="4468.0962700894452"/>
    <n v="0"/>
    <n v="0"/>
    <n v="222200"/>
    <n v="222200"/>
    <m/>
    <n v="1.0791770833333301"/>
    <n v="1.0461704441357969"/>
    <n v="1.0604307382985474"/>
    <n v="235627.71004993722"/>
    <n v="1.0299119999999999"/>
    <n v="2.9632374706331663E-2"/>
    <n v="120000"/>
    <n v="96000"/>
    <n v="144000"/>
    <n v="24000"/>
    <n v="144000"/>
    <n v="250000"/>
    <n v="114138.1036"/>
    <n v="93960"/>
    <n v="139920"/>
    <n v="21600"/>
    <n v="140160"/>
    <n v="257478"/>
    <m/>
    <n v="0"/>
    <e v="#REF!"/>
    <e v="#REF!"/>
  </r>
  <r>
    <s v="Agro Sudamerica1021435"/>
    <x v="0"/>
    <x v="0"/>
    <x v="30"/>
    <x v="29"/>
    <x v="2"/>
    <x v="5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.87"/>
    <s v="Sin Facturación 2022"/>
    <n v="0"/>
    <n v="24000"/>
    <n v="0"/>
    <n v="12000"/>
    <n v="0"/>
    <n v="0"/>
    <n v="0"/>
    <n v="26800"/>
    <n v="0"/>
    <n v="10440"/>
    <n v="0"/>
    <n v="0"/>
    <m/>
    <n v="0"/>
    <e v="#REF!"/>
    <e v="#REF!"/>
  </r>
  <r>
    <s v="Agro Sudamerica1021550"/>
    <x v="0"/>
    <x v="0"/>
    <x v="31"/>
    <x v="30"/>
    <x v="5"/>
    <x v="6"/>
    <m/>
    <n v="0"/>
    <n v="0"/>
    <n v="0.5154724771671565"/>
    <n v="0"/>
    <n v="0"/>
    <n v="0"/>
    <n v="0"/>
    <n v="0"/>
    <n v="49160"/>
    <n v="24000"/>
    <n v="0"/>
    <m/>
    <n v="0"/>
    <n v="0"/>
    <n v="0"/>
    <m/>
    <n v="0"/>
    <n v="0"/>
    <n v="0"/>
    <n v="0"/>
    <n v="0"/>
    <n v="0"/>
    <m/>
    <n v="0"/>
    <n v="1.9028881000436999"/>
    <n v="0"/>
    <n v="0"/>
    <n v="1.9199897019280279"/>
    <s v="Sin Facturación 2022"/>
    <n v="0"/>
    <n v="5780"/>
    <n v="0"/>
    <n v="70958"/>
    <n v="34958"/>
    <n v="0"/>
    <n v="0"/>
    <n v="10500"/>
    <n v="0"/>
    <n v="130996"/>
    <n v="67119"/>
    <n v="0"/>
    <m/>
    <n v="0"/>
    <e v="#REF!"/>
    <e v="#REF!"/>
  </r>
  <r>
    <s v="Agro Sudamerica1021622"/>
    <x v="0"/>
    <x v="0"/>
    <x v="32"/>
    <x v="31"/>
    <x v="0"/>
    <x v="7"/>
    <m/>
    <n v="31130"/>
    <n v="30000"/>
    <n v="0.5154724771671565"/>
    <n v="16046.658214213581"/>
    <n v="10870"/>
    <n v="0"/>
    <n v="0"/>
    <n v="26916.658214213581"/>
    <n v="12000"/>
    <n v="24000"/>
    <n v="12000"/>
    <m/>
    <n v="12000"/>
    <n v="14916.658214213581"/>
    <n v="0"/>
    <m/>
    <n v="0"/>
    <n v="14916.658214213581"/>
    <n v="0"/>
    <n v="0"/>
    <n v="12000"/>
    <n v="12000"/>
    <m/>
    <n v="6.4866666666666699"/>
    <n v="6.4"/>
    <n v="6.4"/>
    <n v="76800"/>
    <n v="3.4"/>
    <n v="0.88235294117647078"/>
    <n v="0"/>
    <n v="6790"/>
    <n v="0"/>
    <n v="18000"/>
    <n v="110"/>
    <n v="0"/>
    <n v="0"/>
    <n v="53075"/>
    <n v="0"/>
    <n v="131760"/>
    <n v="374"/>
    <n v="0"/>
    <m/>
    <n v="0"/>
    <e v="#REF!"/>
    <e v="#REF!"/>
  </r>
  <r>
    <s v="Agro Sudamerica1021623"/>
    <x v="0"/>
    <x v="0"/>
    <x v="33"/>
    <x v="32"/>
    <x v="0"/>
    <x v="7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3.4"/>
    <s v="Sin Facturación 2022"/>
    <n v="2000"/>
    <n v="0"/>
    <n v="0"/>
    <n v="0"/>
    <n v="530"/>
    <n v="0"/>
    <n v="10600"/>
    <n v="0"/>
    <n v="0"/>
    <n v="0"/>
    <n v="1802"/>
    <n v="0"/>
    <m/>
    <n v="0"/>
    <e v="#REF!"/>
    <e v="#REF!"/>
  </r>
  <r>
    <s v="Agro Sudamerica1021639"/>
    <x v="0"/>
    <x v="0"/>
    <x v="34"/>
    <x v="33"/>
    <x v="11"/>
    <x v="19"/>
    <m/>
    <n v="0"/>
    <n v="0"/>
    <n v="0.5154724771671565"/>
    <n v="0"/>
    <n v="1125"/>
    <n v="0"/>
    <n v="0"/>
    <n v="1125"/>
    <n v="1000"/>
    <n v="24000"/>
    <n v="1000"/>
    <m/>
    <n v="1000"/>
    <n v="125"/>
    <n v="0"/>
    <m/>
    <n v="0"/>
    <n v="125"/>
    <n v="0"/>
    <n v="0"/>
    <n v="1000"/>
    <n v="1000"/>
    <m/>
    <n v="0"/>
    <n v="2.8"/>
    <n v="2.8"/>
    <n v="2800"/>
    <n v="3.0533600000000001"/>
    <n v="8.2977441245054712E-2"/>
    <n v="0"/>
    <n v="48000"/>
    <n v="24000"/>
    <n v="24000"/>
    <n v="24000"/>
    <n v="25000"/>
    <n v="0"/>
    <n v="147200"/>
    <n v="72000"/>
    <n v="69600"/>
    <n v="73200"/>
    <n v="76334"/>
    <m/>
    <n v="0"/>
    <e v="#REF!"/>
    <e v="#REF!"/>
  </r>
  <r>
    <s v="Agro Sudamerica1021819"/>
    <x v="0"/>
    <x v="0"/>
    <x v="35"/>
    <x v="34"/>
    <x v="6"/>
    <x v="8"/>
    <m/>
    <n v="0"/>
    <n v="0"/>
    <n v="0.5154724771671565"/>
    <n v="0"/>
    <n v="0"/>
    <n v="0"/>
    <n v="0"/>
    <n v="0"/>
    <n v="72000"/>
    <n v="24000"/>
    <n v="0"/>
    <m/>
    <n v="0"/>
    <n v="0"/>
    <n v="0"/>
    <m/>
    <n v="0"/>
    <n v="0"/>
    <n v="0"/>
    <n v="0"/>
    <n v="0"/>
    <n v="0"/>
    <m/>
    <n v="0"/>
    <n v="1.8496250000000001"/>
    <n v="0"/>
    <n v="0"/>
    <n v="2"/>
    <s v="Sin Facturación 2022"/>
    <n v="0"/>
    <n v="0"/>
    <n v="0"/>
    <n v="0"/>
    <n v="48000"/>
    <n v="0"/>
    <n v="0"/>
    <n v="0"/>
    <n v="0"/>
    <n v="0"/>
    <n v="96000"/>
    <n v="0"/>
    <m/>
    <n v="0"/>
    <e v="#REF!"/>
    <e v="#REF!"/>
  </r>
  <r>
    <s v="Agro Sudamerica1021820"/>
    <x v="0"/>
    <x v="0"/>
    <x v="36"/>
    <x v="35"/>
    <x v="6"/>
    <x v="20"/>
    <m/>
    <n v="0"/>
    <n v="0"/>
    <n v="0.5154724771671565"/>
    <n v="0"/>
    <n v="0"/>
    <n v="0"/>
    <n v="0"/>
    <n v="0"/>
    <n v="14000"/>
    <n v="24000"/>
    <n v="0"/>
    <m/>
    <n v="0"/>
    <n v="0"/>
    <n v="0"/>
    <m/>
    <n v="0"/>
    <n v="0"/>
    <n v="0"/>
    <n v="0"/>
    <n v="0"/>
    <n v="0"/>
    <m/>
    <n v="0"/>
    <n v="2.1654552374999998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1868"/>
    <x v="0"/>
    <x v="0"/>
    <x v="37"/>
    <x v="36"/>
    <x v="9"/>
    <x v="21"/>
    <m/>
    <n v="8368"/>
    <n v="48000"/>
    <n v="0.5154724771671565"/>
    <n v="4313.473688934766"/>
    <n v="87425.241999999984"/>
    <n v="0"/>
    <n v="0"/>
    <n v="91738.715688934753"/>
    <n v="45000"/>
    <n v="24000"/>
    <n v="45000"/>
    <m/>
    <n v="45000"/>
    <n v="46738.715688934753"/>
    <n v="24000"/>
    <m/>
    <n v="24000"/>
    <n v="22738.715688934753"/>
    <n v="0"/>
    <n v="0"/>
    <n v="69000"/>
    <n v="69000"/>
    <m/>
    <n v="3.0066666666666699"/>
    <n v="2.9804557072592557"/>
    <n v="2.9895725627053129"/>
    <n v="206280.50682666659"/>
    <n v="3.0488333333333335"/>
    <n v="1.9437195854595943E-2"/>
    <n v="24000"/>
    <n v="48000"/>
    <n v="48000"/>
    <n v="34000"/>
    <n v="24000"/>
    <n v="24000"/>
    <n v="66000"/>
    <n v="134400"/>
    <n v="119520"/>
    <n v="86500"/>
    <n v="60000"/>
    <n v="73172"/>
    <m/>
    <n v="0"/>
    <e v="#REF!"/>
    <e v="#REF!"/>
  </r>
  <r>
    <s v="Agro Sudamerica1021903"/>
    <x v="0"/>
    <x v="0"/>
    <x v="38"/>
    <x v="37"/>
    <x v="10"/>
    <x v="15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1.22"/>
    <s v="Sin Facturación 2022"/>
    <n v="0"/>
    <n v="0"/>
    <n v="0"/>
    <n v="0"/>
    <n v="24000"/>
    <n v="0"/>
    <n v="0"/>
    <n v="0"/>
    <n v="0"/>
    <n v="0"/>
    <n v="29280"/>
    <n v="0"/>
    <m/>
    <n v="0"/>
    <e v="#REF!"/>
    <e v="#REF!"/>
  </r>
  <r>
    <s v="Agro Sudamerica1021976"/>
    <x v="0"/>
    <x v="0"/>
    <x v="39"/>
    <x v="38"/>
    <x v="12"/>
    <x v="22"/>
    <m/>
    <n v="176960"/>
    <n v="192000"/>
    <n v="0.5154724771671565"/>
    <n v="91218.009559500017"/>
    <n v="162141.76400000005"/>
    <n v="28169.377079886108"/>
    <n v="0"/>
    <n v="278712.21293139755"/>
    <n v="196000"/>
    <n v="24000"/>
    <n v="196000"/>
    <m/>
    <n v="196000"/>
    <n v="82712.212931397546"/>
    <n v="72000"/>
    <m/>
    <n v="72000"/>
    <n v="10712.212931397546"/>
    <n v="0"/>
    <n v="0"/>
    <n v="268000"/>
    <n v="268000"/>
    <m/>
    <n v="2.4866718749999999"/>
    <n v="2.4134590462924752"/>
    <n v="2.4331281644527056"/>
    <n v="652078.34807332512"/>
    <n v="2.3433149606299213"/>
    <n v="3.8327414509674404E-2"/>
    <n v="80000"/>
    <n v="187000"/>
    <n v="312000"/>
    <n v="168000"/>
    <n v="340000"/>
    <n v="254000"/>
    <n v="179200"/>
    <n v="405233"/>
    <n v="682914"/>
    <n v="369600"/>
    <n v="769345"/>
    <n v="595202"/>
    <m/>
    <n v="0"/>
    <e v="#REF!"/>
    <e v="#REF!"/>
  </r>
  <r>
    <s v="Agro Sudamerica1022047"/>
    <x v="0"/>
    <x v="0"/>
    <x v="40"/>
    <x v="39"/>
    <x v="5"/>
    <x v="6"/>
    <m/>
    <n v="0"/>
    <n v="0"/>
    <n v="0.5154724771671565"/>
    <n v="0"/>
    <n v="22394.974999999995"/>
    <n v="4786"/>
    <n v="0"/>
    <n v="26702.374999999996"/>
    <n v="24000"/>
    <n v="24000"/>
    <n v="24000"/>
    <m/>
    <n v="24000"/>
    <n v="2702.3749999999964"/>
    <n v="0"/>
    <m/>
    <n v="0"/>
    <n v="2702.3749999999964"/>
    <n v="0"/>
    <n v="0"/>
    <n v="24000"/>
    <n v="24000"/>
    <m/>
    <n v="0"/>
    <n v="1.329375"/>
    <n v="1.329375"/>
    <n v="31905"/>
    <n v="1.325"/>
    <n v="3.3018867924528438E-3"/>
    <n v="0"/>
    <n v="0"/>
    <n v="0"/>
    <n v="48000"/>
    <n v="0"/>
    <n v="0"/>
    <n v="0"/>
    <n v="0"/>
    <n v="0"/>
    <n v="63600"/>
    <n v="0"/>
    <n v="0"/>
    <m/>
    <n v="0"/>
    <e v="#REF!"/>
    <e v="#REF!"/>
  </r>
  <r>
    <s v="Agro Sudamerica1022149"/>
    <x v="0"/>
    <x v="0"/>
    <x v="41"/>
    <x v="40"/>
    <x v="3"/>
    <x v="3"/>
    <m/>
    <n v="26105"/>
    <n v="24000"/>
    <n v="0.5154724771671565"/>
    <n v="13456.409016448621"/>
    <n v="9505.7070000000003"/>
    <n v="2644"/>
    <n v="0"/>
    <n v="25341.716016448619"/>
    <n v="14000"/>
    <n v="24000"/>
    <n v="14000"/>
    <m/>
    <n v="14000"/>
    <n v="11341.716016448619"/>
    <n v="0"/>
    <m/>
    <n v="0"/>
    <n v="11341.716016448619"/>
    <n v="0"/>
    <n v="0"/>
    <n v="14000"/>
    <n v="14000"/>
    <m/>
    <n v="1.9866666666666699"/>
    <n v="2.13"/>
    <n v="2.13"/>
    <n v="29820"/>
    <n v="1.8652083333333334"/>
    <n v="0.14196358762425995"/>
    <n v="72000"/>
    <n v="36000"/>
    <n v="48000"/>
    <n v="24000"/>
    <n v="24000"/>
    <n v="24000"/>
    <n v="149040"/>
    <n v="81300"/>
    <n v="86400"/>
    <n v="41040"/>
    <n v="44640"/>
    <n v="44765"/>
    <m/>
    <n v="0"/>
    <e v="#REF!"/>
    <e v="#REF!"/>
  </r>
  <r>
    <s v="Agro Sudamerica1022150"/>
    <x v="0"/>
    <x v="0"/>
    <x v="42"/>
    <x v="16"/>
    <x v="2"/>
    <x v="5"/>
    <m/>
    <n v="127370"/>
    <n v="96000"/>
    <n v="0.5154724771671565"/>
    <n v="65655.729416780727"/>
    <n v="195899.6939999997"/>
    <n v="870"/>
    <n v="0"/>
    <n v="262338.42341678042"/>
    <n v="197000"/>
    <n v="24000"/>
    <n v="197000"/>
    <m/>
    <n v="197000"/>
    <n v="65338.423416780424"/>
    <n v="48000"/>
    <m/>
    <n v="48000"/>
    <n v="17338.423416780424"/>
    <n v="0"/>
    <n v="0"/>
    <n v="245000"/>
    <n v="245000"/>
    <m/>
    <n v="1.29167708333333"/>
    <n v="1.3404261482233468"/>
    <n v="1.3308753110204046"/>
    <n v="326064.45119999914"/>
    <n v="1.2988988095238094"/>
    <n v="2.4618162140219439E-2"/>
    <n v="120000"/>
    <n v="174000"/>
    <n v="132000"/>
    <n v="96000"/>
    <n v="168000"/>
    <n v="168000"/>
    <n v="124800"/>
    <n v="183900"/>
    <n v="127200"/>
    <n v="88560"/>
    <n v="187440"/>
    <n v="218215"/>
    <m/>
    <n v="0"/>
    <e v="#REF!"/>
    <e v="#REF!"/>
  </r>
  <r>
    <s v="Agro Sudamerica1022196"/>
    <x v="0"/>
    <x v="0"/>
    <x v="43"/>
    <x v="41"/>
    <x v="4"/>
    <x v="23"/>
    <m/>
    <n v="127142"/>
    <n v="96000"/>
    <n v="0.5154724771671565"/>
    <n v="65538.201691986615"/>
    <n v="33740.211999999992"/>
    <n v="0"/>
    <n v="0"/>
    <n v="99278.413691986614"/>
    <n v="48000"/>
    <n v="24000"/>
    <n v="48000"/>
    <m/>
    <n v="48000"/>
    <n v="51278.413691986614"/>
    <n v="48000"/>
    <m/>
    <n v="48000"/>
    <n v="3278.4136919866141"/>
    <n v="0"/>
    <n v="0"/>
    <n v="96000"/>
    <n v="96000"/>
    <m/>
    <n v="1.04917708333333"/>
    <n v="1.3"/>
    <n v="1.174588541666665"/>
    <n v="112760.49999999984"/>
    <n v="0.68500000000000005"/>
    <n v="0.71472779805352549"/>
    <n v="0"/>
    <n v="24000"/>
    <n v="48000"/>
    <n v="0"/>
    <n v="24000"/>
    <n v="24000"/>
    <n v="0"/>
    <n v="15600"/>
    <n v="31200"/>
    <n v="0"/>
    <n v="10800"/>
    <n v="16440"/>
    <m/>
    <n v="0"/>
    <e v="#REF!"/>
    <e v="#REF!"/>
  </r>
  <r>
    <s v="Agro Sudamerica1022197"/>
    <x v="0"/>
    <x v="0"/>
    <x v="44"/>
    <x v="42"/>
    <x v="4"/>
    <x v="23"/>
    <m/>
    <n v="0"/>
    <n v="0"/>
    <n v="0.5154724771671565"/>
    <n v="0"/>
    <n v="13297.205000000002"/>
    <n v="0"/>
    <n v="0"/>
    <n v="13297.205000000002"/>
    <n v="4698"/>
    <n v="24000"/>
    <n v="4698"/>
    <m/>
    <n v="4698"/>
    <n v="8599.2050000000017"/>
    <n v="0"/>
    <m/>
    <n v="0"/>
    <n v="8599.2050000000017"/>
    <n v="0"/>
    <n v="0"/>
    <n v="4698"/>
    <n v="4698"/>
    <m/>
    <n v="0"/>
    <n v="0.52987190293742004"/>
    <n v="0.52987190293742004"/>
    <n v="2489.3381999999992"/>
    <n v="0.76"/>
    <n v="0.30280012771392101"/>
    <n v="0"/>
    <n v="0"/>
    <n v="24000"/>
    <n v="24000"/>
    <n v="0"/>
    <n v="0"/>
    <n v="0"/>
    <n v="0"/>
    <n v="21600"/>
    <n v="18240"/>
    <n v="0"/>
    <n v="0"/>
    <m/>
    <n v="0"/>
    <e v="#REF!"/>
    <e v="#REF!"/>
  </r>
  <r>
    <s v="Agro Sudamerica1022247"/>
    <x v="0"/>
    <x v="0"/>
    <x v="45"/>
    <x v="43"/>
    <x v="5"/>
    <x v="6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1.345"/>
    <s v="Sin Facturación 2022"/>
    <n v="0"/>
    <n v="0"/>
    <n v="0"/>
    <n v="48000"/>
    <n v="0"/>
    <n v="0"/>
    <n v="0"/>
    <n v="0"/>
    <n v="0"/>
    <n v="64560"/>
    <n v="0"/>
    <n v="0"/>
    <m/>
    <n v="0"/>
    <e v="#REF!"/>
    <e v="#REF!"/>
  </r>
  <r>
    <s v="Agro Sudamerica1022384"/>
    <x v="0"/>
    <x v="0"/>
    <x v="46"/>
    <x v="44"/>
    <x v="0"/>
    <x v="7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3.4006462035541194"/>
    <s v="Sin Facturación 2022"/>
    <n v="2947"/>
    <n v="0"/>
    <n v="0"/>
    <n v="0"/>
    <n v="619"/>
    <n v="0"/>
    <n v="15619.1"/>
    <n v="0"/>
    <n v="0"/>
    <n v="0"/>
    <n v="2105"/>
    <n v="0"/>
    <m/>
    <n v="0"/>
    <e v="#REF!"/>
    <e v="#REF!"/>
  </r>
  <r>
    <s v="Agro Sudamerica1022406"/>
    <x v="0"/>
    <x v="0"/>
    <x v="47"/>
    <x v="45"/>
    <x v="10"/>
    <x v="24"/>
    <m/>
    <n v="0"/>
    <n v="0"/>
    <n v="0.5154724771671565"/>
    <n v="0"/>
    <n v="8437.7019999999975"/>
    <n v="0"/>
    <n v="0"/>
    <n v="8437.7019999999975"/>
    <n v="8000"/>
    <n v="24000"/>
    <n v="8000"/>
    <m/>
    <n v="8000"/>
    <n v="437.7019999999975"/>
    <n v="0"/>
    <m/>
    <n v="0"/>
    <n v="437.7019999999975"/>
    <n v="0"/>
    <n v="0"/>
    <n v="8000"/>
    <n v="8000"/>
    <m/>
    <n v="0"/>
    <n v="3.85"/>
    <n v="3.85"/>
    <n v="3080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2409"/>
    <x v="0"/>
    <x v="0"/>
    <x v="48"/>
    <x v="46"/>
    <x v="10"/>
    <x v="25"/>
    <m/>
    <n v="0"/>
    <n v="0"/>
    <n v="0.5154724771671565"/>
    <n v="0"/>
    <n v="14490"/>
    <n v="3600"/>
    <n v="0"/>
    <n v="17730"/>
    <n v="13680"/>
    <n v="24000"/>
    <n v="13680"/>
    <m/>
    <n v="13680"/>
    <n v="4050"/>
    <n v="0"/>
    <m/>
    <n v="0"/>
    <n v="4050"/>
    <n v="0"/>
    <n v="0"/>
    <n v="13680"/>
    <n v="13680"/>
    <m/>
    <n v="0"/>
    <n v="4.914285714285711"/>
    <n v="4.914285714285711"/>
    <n v="67227.428571428522"/>
    <n v="8.4444444444444446"/>
    <n v="0.41804511278195527"/>
    <n v="23940"/>
    <n v="13680"/>
    <n v="23940"/>
    <n v="13680"/>
    <n v="0"/>
    <n v="13680"/>
    <n v="113715"/>
    <n v="114912"/>
    <n v="116348"/>
    <n v="114228"/>
    <n v="0"/>
    <n v="115520"/>
    <m/>
    <n v="0"/>
    <e v="#REF!"/>
    <e v="#REF!"/>
  </r>
  <r>
    <s v="Agro Sudamerica1022569"/>
    <x v="0"/>
    <x v="0"/>
    <x v="49"/>
    <x v="47"/>
    <x v="0"/>
    <x v="7"/>
    <m/>
    <n v="0"/>
    <n v="0"/>
    <n v="0.5154724771671565"/>
    <n v="0"/>
    <n v="110"/>
    <n v="0"/>
    <n v="0"/>
    <n v="110"/>
    <n v="0"/>
    <n v="24000"/>
    <n v="0"/>
    <m/>
    <n v="0"/>
    <n v="110"/>
    <n v="0"/>
    <m/>
    <n v="0"/>
    <n v="110"/>
    <n v="0"/>
    <n v="0"/>
    <n v="0"/>
    <n v="0"/>
    <m/>
    <n v="0"/>
    <n v="0"/>
    <n v="0"/>
    <n v="0"/>
    <n v="7.0873999999999997"/>
    <s v="Sin Facturación 2022"/>
    <n v="0"/>
    <n v="5000"/>
    <n v="0"/>
    <n v="0"/>
    <n v="5000"/>
    <n v="5000"/>
    <n v="0"/>
    <n v="35667"/>
    <n v="0"/>
    <n v="0"/>
    <n v="35400"/>
    <n v="35437"/>
    <m/>
    <n v="0"/>
    <e v="#REF!"/>
    <e v="#REF!"/>
  </r>
  <r>
    <s v="Agro Sudamerica1022654"/>
    <x v="0"/>
    <x v="0"/>
    <x v="50"/>
    <x v="48"/>
    <x v="5"/>
    <x v="6"/>
    <m/>
    <n v="0"/>
    <n v="0"/>
    <n v="0.5154724771671565"/>
    <n v="0"/>
    <n v="0"/>
    <n v="0"/>
    <n v="0"/>
    <n v="0"/>
    <n v="46840"/>
    <n v="24000"/>
    <n v="0"/>
    <m/>
    <n v="0"/>
    <n v="0"/>
    <n v="0"/>
    <m/>
    <n v="0"/>
    <n v="0"/>
    <n v="0"/>
    <n v="0"/>
    <n v="0"/>
    <n v="0"/>
    <m/>
    <n v="0"/>
    <n v="1.8512382578992299"/>
    <n v="0"/>
    <n v="0"/>
    <n v="1.8166666666666667"/>
    <s v="Sin Facturación 2022"/>
    <n v="0"/>
    <n v="3360"/>
    <n v="0"/>
    <n v="0"/>
    <n v="0"/>
    <n v="0"/>
    <n v="0"/>
    <n v="6104"/>
    <n v="0"/>
    <n v="0"/>
    <n v="0"/>
    <n v="0"/>
    <m/>
    <n v="0"/>
    <e v="#REF!"/>
    <e v="#REF!"/>
  </r>
  <r>
    <s v="Agro Sudamerica1022705"/>
    <x v="0"/>
    <x v="0"/>
    <x v="51"/>
    <x v="49"/>
    <x v="2"/>
    <x v="16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2709"/>
    <x v="0"/>
    <x v="0"/>
    <x v="52"/>
    <x v="50"/>
    <x v="9"/>
    <x v="13"/>
    <m/>
    <n v="132110"/>
    <n v="144000"/>
    <n v="0.5154724771671565"/>
    <n v="68099.068958553049"/>
    <n v="102912.76300000006"/>
    <n v="0"/>
    <n v="0"/>
    <n v="171011.83195855311"/>
    <n v="83000"/>
    <n v="24000"/>
    <n v="83000"/>
    <m/>
    <n v="83000"/>
    <n v="88011.831958553114"/>
    <n v="72000"/>
    <m/>
    <n v="72000"/>
    <n v="16011.831958553114"/>
    <n v="0"/>
    <n v="0"/>
    <n v="155000"/>
    <n v="155000"/>
    <m/>
    <n v="2.9066736111111098"/>
    <n v="2.8139518322749013"/>
    <n v="2.8570225940568825"/>
    <n v="442838.50207881682"/>
    <n v="2.7898663484486872"/>
    <n v="2.4071492043171796E-2"/>
    <n v="0"/>
    <n v="65000"/>
    <n v="48000"/>
    <n v="120000"/>
    <n v="83000"/>
    <n v="419000"/>
    <n v="0"/>
    <n v="171870"/>
    <n v="122400"/>
    <n v="301920"/>
    <n v="224037"/>
    <n v="1168954"/>
    <m/>
    <n v="0"/>
    <e v="#REF!"/>
    <e v="#REF!"/>
  </r>
  <r>
    <s v="Agro Sudamerica1022847"/>
    <x v="0"/>
    <x v="0"/>
    <x v="53"/>
    <x v="51"/>
    <x v="8"/>
    <x v="10"/>
    <m/>
    <n v="44061"/>
    <n v="48000"/>
    <n v="0.5154724771671565"/>
    <n v="22712.232816462081"/>
    <n v="25116.860999999997"/>
    <n v="6000"/>
    <n v="0"/>
    <n v="53229.093816462075"/>
    <n v="24000"/>
    <n v="24000"/>
    <n v="24000"/>
    <m/>
    <n v="24000"/>
    <n v="29229.093816462075"/>
    <n v="24000"/>
    <m/>
    <n v="24000"/>
    <n v="5229.0938164620748"/>
    <n v="0"/>
    <n v="0"/>
    <n v="48000"/>
    <n v="48000"/>
    <m/>
    <n v="1.5166666666666699"/>
    <n v="1.4021666666666699"/>
    <n v="1.4594166666666699"/>
    <n v="70052.00000000016"/>
    <n v="1.4136875"/>
    <n v="3.2347436520921299E-2"/>
    <n v="28000"/>
    <n v="72000"/>
    <n v="60000"/>
    <n v="24000"/>
    <n v="24000"/>
    <n v="48000"/>
    <n v="36776.119400000003"/>
    <n v="95110"/>
    <n v="77274"/>
    <n v="28800"/>
    <n v="31440"/>
    <n v="67857"/>
    <m/>
    <n v="0"/>
    <e v="#REF!"/>
    <e v="#REF!"/>
  </r>
  <r>
    <s v="Agro Sudamerica1022855"/>
    <x v="0"/>
    <x v="0"/>
    <x v="54"/>
    <x v="52"/>
    <x v="2"/>
    <x v="12"/>
    <m/>
    <n v="23550"/>
    <n v="0"/>
    <n v="0.5154724771671565"/>
    <n v="12139.376837286536"/>
    <n v="32955.823999999993"/>
    <n v="3236.2895515970467"/>
    <n v="0"/>
    <n v="48007.861433723876"/>
    <n v="48000"/>
    <n v="24000"/>
    <n v="48000"/>
    <m/>
    <n v="48000"/>
    <n v="7.8614337238759617"/>
    <n v="0"/>
    <m/>
    <n v="0"/>
    <n v="7.8614337238759617"/>
    <n v="0"/>
    <n v="0"/>
    <n v="48000"/>
    <n v="48000"/>
    <m/>
    <n v="0"/>
    <n v="1.4906666666666648"/>
    <n v="1.4906666666666648"/>
    <n v="71551.999999999913"/>
    <n v="1.4145833333333333"/>
    <n v="5.3784977908687956E-2"/>
    <n v="16600"/>
    <n v="24000"/>
    <n v="0"/>
    <n v="24000"/>
    <n v="24000"/>
    <n v="48000"/>
    <n v="25937.5"/>
    <n v="33060"/>
    <n v="0"/>
    <n v="30240"/>
    <n v="33840"/>
    <n v="67900"/>
    <m/>
    <n v="0"/>
    <e v="#REF!"/>
    <e v="#REF!"/>
  </r>
  <r>
    <s v="Agro Sudamerica1022920"/>
    <x v="0"/>
    <x v="0"/>
    <x v="55"/>
    <x v="53"/>
    <x v="2"/>
    <x v="5"/>
    <m/>
    <n v="10683"/>
    <n v="24000"/>
    <n v="0.5154724771671565"/>
    <n v="5506.7924735767328"/>
    <n v="2739.7979999999998"/>
    <n v="9470.726085283306"/>
    <n v="0"/>
    <n v="16770.243950331707"/>
    <n v="24000"/>
    <n v="24000"/>
    <n v="0"/>
    <m/>
    <n v="0"/>
    <n v="16770.243950331707"/>
    <n v="0"/>
    <m/>
    <n v="0"/>
    <n v="16770.243950331707"/>
    <n v="0"/>
    <n v="0"/>
    <n v="0"/>
    <n v="0"/>
    <m/>
    <n v="1.13666666666667"/>
    <n v="1.1499999999999999"/>
    <n v="0"/>
    <n v="0"/>
    <n v="0.91989608140290102"/>
    <s v="Sin Facturación 2022"/>
    <n v="0"/>
    <n v="0"/>
    <n v="0"/>
    <n v="0"/>
    <n v="4619"/>
    <n v="0"/>
    <n v="0"/>
    <n v="0"/>
    <n v="0"/>
    <n v="0"/>
    <n v="4249"/>
    <n v="0"/>
    <m/>
    <n v="0"/>
    <e v="#REF!"/>
    <e v="#REF!"/>
  </r>
  <r>
    <s v="Agro Sudamerica1022921"/>
    <x v="0"/>
    <x v="0"/>
    <x v="56"/>
    <x v="16"/>
    <x v="2"/>
    <x v="5"/>
    <m/>
    <n v="696"/>
    <n v="0"/>
    <n v="0.5154724771671565"/>
    <n v="358.76884410834094"/>
    <n v="3628.2169999999996"/>
    <n v="0"/>
    <n v="0"/>
    <n v="3986.9858441083406"/>
    <n v="4500"/>
    <n v="24000"/>
    <n v="0"/>
    <m/>
    <n v="0"/>
    <n v="3986.9858441083406"/>
    <n v="0"/>
    <m/>
    <n v="0"/>
    <n v="3986.9858441083406"/>
    <n v="0"/>
    <n v="0"/>
    <n v="0"/>
    <n v="0"/>
    <m/>
    <n v="0"/>
    <n v="0.95018181818181802"/>
    <n v="0"/>
    <n v="0"/>
    <n v="0.99446808510638296"/>
    <s v="Sin Facturación 2022"/>
    <n v="10000"/>
    <n v="48000"/>
    <n v="10000"/>
    <n v="12000"/>
    <n v="47000"/>
    <n v="0"/>
    <n v="10000"/>
    <n v="45600"/>
    <n v="10500"/>
    <n v="8040"/>
    <n v="46740"/>
    <n v="0"/>
    <m/>
    <n v="0"/>
    <e v="#REF!"/>
    <e v="#REF!"/>
  </r>
  <r>
    <s v="Agro Sudamerica1022922"/>
    <x v="0"/>
    <x v="0"/>
    <x v="57"/>
    <x v="39"/>
    <x v="5"/>
    <x v="6"/>
    <m/>
    <n v="0"/>
    <n v="0"/>
    <n v="0.5154724771671565"/>
    <n v="0"/>
    <n v="683.71799999999996"/>
    <n v="0"/>
    <n v="0"/>
    <n v="683.71799999999996"/>
    <n v="1368"/>
    <n v="24000"/>
    <n v="0"/>
    <m/>
    <n v="0"/>
    <n v="683.71799999999996"/>
    <n v="0"/>
    <m/>
    <n v="0"/>
    <n v="683.71799999999996"/>
    <n v="0"/>
    <n v="0"/>
    <n v="0"/>
    <n v="0"/>
    <m/>
    <n v="0"/>
    <n v="1.28959970760234"/>
    <n v="0"/>
    <n v="0"/>
    <n v="1.22"/>
    <s v="Sin Facturación 2022"/>
    <n v="0"/>
    <n v="0"/>
    <n v="0"/>
    <n v="17000"/>
    <n v="6000"/>
    <n v="0"/>
    <n v="0"/>
    <n v="0"/>
    <n v="0"/>
    <n v="20740"/>
    <n v="7320"/>
    <n v="0"/>
    <m/>
    <n v="0"/>
    <e v="#REF!"/>
    <e v="#REF!"/>
  </r>
  <r>
    <s v="Agro Sudamerica1022928"/>
    <x v="0"/>
    <x v="0"/>
    <x v="58"/>
    <x v="54"/>
    <x v="4"/>
    <x v="18"/>
    <m/>
    <n v="0"/>
    <n v="0"/>
    <n v="0.5154724771671565"/>
    <n v="0"/>
    <n v="6007.5789999999997"/>
    <n v="0"/>
    <n v="0"/>
    <n v="6007.5789999999997"/>
    <n v="0"/>
    <n v="24000"/>
    <n v="0"/>
    <m/>
    <n v="0"/>
    <n v="6007.5789999999997"/>
    <n v="0"/>
    <m/>
    <n v="0"/>
    <n v="6007.5789999999997"/>
    <n v="0"/>
    <n v="0"/>
    <n v="0"/>
    <n v="0"/>
    <m/>
    <n v="0"/>
    <n v="0"/>
    <n v="0"/>
    <n v="0"/>
    <n v="0.72"/>
    <s v="Sin Facturación 2022"/>
    <n v="0"/>
    <n v="0"/>
    <n v="0"/>
    <n v="16000"/>
    <n v="5000"/>
    <n v="0"/>
    <n v="0"/>
    <n v="0"/>
    <n v="0"/>
    <n v="9870"/>
    <n v="3600"/>
    <n v="0"/>
    <m/>
    <n v="0"/>
    <e v="#REF!"/>
    <e v="#REF!"/>
  </r>
  <r>
    <s v="Agro Sudamerica1022996"/>
    <x v="0"/>
    <x v="0"/>
    <x v="59"/>
    <x v="55"/>
    <x v="2"/>
    <x v="5"/>
    <m/>
    <n v="70"/>
    <n v="0"/>
    <n v="0.5154724771671565"/>
    <n v="36.083073401700958"/>
    <n v="0"/>
    <n v="0"/>
    <n v="0"/>
    <n v="36.083073401700958"/>
    <n v="6307"/>
    <n v="24000"/>
    <n v="0"/>
    <m/>
    <n v="0"/>
    <n v="36.083073401700958"/>
    <n v="0"/>
    <m/>
    <n v="0"/>
    <n v="36.083073401700958"/>
    <n v="0"/>
    <n v="0"/>
    <n v="0"/>
    <n v="0"/>
    <m/>
    <n v="0"/>
    <n v="0.97955335341683814"/>
    <n v="0"/>
    <n v="0"/>
    <n v="1.05"/>
    <s v="Sin Facturación 2022"/>
    <n v="36000"/>
    <n v="24000"/>
    <n v="24000"/>
    <n v="0"/>
    <n v="0"/>
    <n v="0"/>
    <n v="44712"/>
    <n v="26640"/>
    <n v="25200"/>
    <n v="0"/>
    <n v="0"/>
    <n v="0"/>
    <m/>
    <n v="0"/>
    <e v="#REF!"/>
    <e v="#REF!"/>
  </r>
  <r>
    <s v="Agro Sudamerica1023312"/>
    <x v="0"/>
    <x v="0"/>
    <x v="60"/>
    <x v="56"/>
    <x v="11"/>
    <x v="19"/>
    <m/>
    <n v="0"/>
    <n v="0"/>
    <n v="0.5154724771671565"/>
    <n v="0"/>
    <n v="1056.6689999999999"/>
    <n v="0"/>
    <n v="0"/>
    <n v="1056.6689999999999"/>
    <n v="0"/>
    <n v="24000"/>
    <n v="0"/>
    <m/>
    <n v="0"/>
    <n v="1056.6689999999999"/>
    <n v="0"/>
    <m/>
    <n v="0"/>
    <n v="1056.6689999999999"/>
    <n v="0"/>
    <n v="0"/>
    <n v="0"/>
    <n v="0"/>
    <m/>
    <n v="0"/>
    <n v="0"/>
    <n v="0"/>
    <n v="0"/>
    <n v="2.8199784756873103"/>
    <s v="Sin Facturación 2022"/>
    <n v="0"/>
    <n v="0"/>
    <n v="10221"/>
    <n v="0"/>
    <n v="0"/>
    <n v="0"/>
    <n v="0"/>
    <n v="0"/>
    <n v="28823"/>
    <n v="0"/>
    <n v="0"/>
    <n v="0"/>
    <m/>
    <n v="0"/>
    <e v="#REF!"/>
    <e v="#REF!"/>
  </r>
  <r>
    <s v="Agro Sudamerica1023331"/>
    <x v="0"/>
    <x v="0"/>
    <x v="61"/>
    <x v="57"/>
    <x v="6"/>
    <x v="20"/>
    <m/>
    <n v="959"/>
    <n v="0"/>
    <n v="0.5154724771671565"/>
    <n v="494.33810560330306"/>
    <n v="5040.9339999999993"/>
    <n v="0"/>
    <n v="0"/>
    <n v="5535.2721056033024"/>
    <n v="6000"/>
    <n v="24000"/>
    <n v="0"/>
    <m/>
    <n v="0"/>
    <n v="5535.2721056033024"/>
    <n v="0"/>
    <m/>
    <n v="0"/>
    <n v="5535.2721056033024"/>
    <n v="0"/>
    <n v="0"/>
    <n v="0"/>
    <n v="0"/>
    <m/>
    <n v="0"/>
    <n v="2.8"/>
    <n v="0"/>
    <n v="0"/>
    <n v="2.5099999999999998"/>
    <s v="Sin Facturación 2022"/>
    <n v="0"/>
    <n v="23000"/>
    <n v="0"/>
    <n v="23000"/>
    <n v="0"/>
    <n v="0"/>
    <n v="0"/>
    <n v="59608"/>
    <n v="0"/>
    <n v="57730"/>
    <n v="0"/>
    <n v="0"/>
    <m/>
    <n v="0"/>
    <e v="#REF!"/>
    <e v="#REF!"/>
  </r>
  <r>
    <s v="Agro Sudamerica1023355"/>
    <x v="0"/>
    <x v="0"/>
    <x v="62"/>
    <x v="58"/>
    <x v="10"/>
    <x v="15"/>
    <m/>
    <n v="25807"/>
    <n v="24000"/>
    <n v="0.5154724771671565"/>
    <n v="13302.798218252809"/>
    <n v="30440.32"/>
    <n v="3532"/>
    <n v="0"/>
    <n v="46921.918218252809"/>
    <n v="22500"/>
    <n v="24000"/>
    <n v="22500"/>
    <m/>
    <n v="22500"/>
    <n v="24421.918218252809"/>
    <n v="24000"/>
    <m/>
    <n v="24000"/>
    <n v="421.91821825280931"/>
    <n v="0"/>
    <n v="0"/>
    <n v="46500"/>
    <n v="46500"/>
    <m/>
    <n v="0.74"/>
    <n v="0.70254722222222199"/>
    <n v="0.7218776881720429"/>
    <n v="33567.312499999993"/>
    <n v="0.63154166666666667"/>
    <n v="0.1430404774116929"/>
    <n v="0"/>
    <n v="0"/>
    <n v="0"/>
    <n v="0"/>
    <n v="24000"/>
    <n v="24000"/>
    <n v="0"/>
    <n v="0"/>
    <n v="0"/>
    <n v="0"/>
    <n v="12240"/>
    <n v="15157"/>
    <m/>
    <n v="0"/>
    <e v="#REF!"/>
    <e v="#REF!"/>
  </r>
  <r>
    <s v="Agrosuper Asia1020860"/>
    <x v="0"/>
    <x v="1"/>
    <x v="63"/>
    <x v="59"/>
    <x v="6"/>
    <x v="20"/>
    <m/>
    <n v="175500"/>
    <n v="154000"/>
    <n v="0.3938052388111854"/>
    <n v="69112.819411363031"/>
    <n v="37571.26100000002"/>
    <n v="14492.853670933016"/>
    <n v="0"/>
    <n v="119727.64871520275"/>
    <n v="66000"/>
    <n v="22000"/>
    <n v="66000"/>
    <m/>
    <n v="66000"/>
    <n v="53727.648715202755"/>
    <n v="44000"/>
    <m/>
    <n v="44000"/>
    <n v="9727.6487152027548"/>
    <n v="0"/>
    <n v="0"/>
    <n v="110000"/>
    <n v="110000"/>
    <m/>
    <n v="4.1673116883116901"/>
    <n v="4.21225"/>
    <n v="4.1942746753246762"/>
    <n v="461370.21428571438"/>
    <n v="4.2042032085561498"/>
    <n v="2.3615731064729711E-3"/>
    <n v="154000"/>
    <n v="66000"/>
    <n v="88000"/>
    <n v="154000"/>
    <n v="176000"/>
    <n v="187000"/>
    <n v="643647.0895"/>
    <n v="265650"/>
    <n v="335280"/>
    <n v="607165"/>
    <n v="682827"/>
    <n v="786186"/>
    <m/>
    <n v="0"/>
    <e v="#REF!"/>
    <e v="#REF!"/>
  </r>
  <r>
    <s v="Agrosuper Asia1020861"/>
    <x v="0"/>
    <x v="1"/>
    <x v="64"/>
    <x v="60"/>
    <x v="6"/>
    <x v="20"/>
    <m/>
    <n v="154573"/>
    <n v="110000"/>
    <n v="0.3938052388111854"/>
    <n v="60871.657178761357"/>
    <n v="74404.555999999968"/>
    <n v="13580.026988051355"/>
    <n v="0"/>
    <n v="147498.23746800754"/>
    <n v="100000"/>
    <n v="22000"/>
    <n v="100000"/>
    <m/>
    <n v="100000"/>
    <n v="47498.237468007545"/>
    <n v="44000"/>
    <m/>
    <n v="44000"/>
    <n v="3498.2374680075445"/>
    <n v="0"/>
    <n v="0"/>
    <n v="144000"/>
    <n v="144000"/>
    <m/>
    <n v="4.1673090909090904"/>
    <n v="4.2509939759036097"/>
    <n v="4.2254235943775065"/>
    <n v="608460.99759036093"/>
    <n v="4.2036517137605784"/>
    <n v="5.1792779467571418E-3"/>
    <n v="88000"/>
    <n v="66000"/>
    <n v="66000"/>
    <n v="154000"/>
    <n v="153860"/>
    <n v="198044"/>
    <n v="375760"/>
    <n v="264000"/>
    <n v="252780"/>
    <n v="601865"/>
    <n v="601173"/>
    <n v="832508"/>
    <m/>
    <n v="0"/>
    <e v="#REF!"/>
    <e v="#REF!"/>
  </r>
  <r>
    <s v="Agrosuper Asia1020904"/>
    <x v="0"/>
    <x v="1"/>
    <x v="65"/>
    <x v="61"/>
    <x v="8"/>
    <x v="26"/>
    <m/>
    <n v="103393"/>
    <n v="0"/>
    <n v="0.3938052388111854"/>
    <n v="40716.705056404891"/>
    <n v="6583.9489999999996"/>
    <n v="0"/>
    <n v="0"/>
    <n v="47300.654056404892"/>
    <n v="110000"/>
    <n v="22000"/>
    <n v="44000"/>
    <m/>
    <n v="44000"/>
    <n v="3300.6540564048919"/>
    <n v="0"/>
    <m/>
    <n v="0"/>
    <n v="3300.6540564048919"/>
    <n v="0"/>
    <n v="0"/>
    <n v="44000"/>
    <n v="44000"/>
    <m/>
    <n v="0"/>
    <n v="6.3770530303030304"/>
    <n v="6.3770530303030295"/>
    <n v="280590.33333333331"/>
    <n v="6.3194545454545459"/>
    <n v="9.1144709459003905E-3"/>
    <n v="22000"/>
    <n v="154000"/>
    <n v="66000"/>
    <n v="22000"/>
    <n v="22000"/>
    <n v="0"/>
    <n v="147276.35709999999"/>
    <n v="970200"/>
    <n v="412500"/>
    <n v="140295"/>
    <n v="139028"/>
    <n v="0"/>
    <m/>
    <n v="0"/>
    <e v="#REF!"/>
    <e v="#REF!"/>
  </r>
  <r>
    <s v="Agrosuper Asia1020905"/>
    <x v="0"/>
    <x v="1"/>
    <x v="66"/>
    <x v="62"/>
    <x v="8"/>
    <x v="26"/>
    <m/>
    <n v="56672"/>
    <n v="0"/>
    <n v="0.3938052388111854"/>
    <n v="22317.7304939075"/>
    <n v="15046.433999999997"/>
    <n v="0"/>
    <n v="0"/>
    <n v="37364.164493907498"/>
    <n v="110000"/>
    <n v="22000"/>
    <n v="22000"/>
    <m/>
    <n v="22000"/>
    <n v="15364.164493907498"/>
    <n v="0"/>
    <m/>
    <n v="0"/>
    <n v="15364.164493907498"/>
    <n v="0"/>
    <n v="0"/>
    <n v="22000"/>
    <n v="22000"/>
    <m/>
    <n v="0"/>
    <n v="6.3792863636363633"/>
    <n v="6.3792863636363633"/>
    <n v="140344.29999999999"/>
    <n v="6.3482272727272724"/>
    <n v="4.892561273369081E-3"/>
    <n v="22000"/>
    <n v="22000"/>
    <n v="0"/>
    <n v="44000"/>
    <n v="22000"/>
    <n v="0"/>
    <n v="153120"/>
    <n v="138600"/>
    <n v="0"/>
    <n v="281600"/>
    <n v="139661"/>
    <n v="0"/>
    <m/>
    <n v="0"/>
    <e v="#REF!"/>
    <e v="#REF!"/>
  </r>
  <r>
    <s v="Agrosuper Asia1021012"/>
    <x v="0"/>
    <x v="1"/>
    <x v="67"/>
    <x v="63"/>
    <x v="3"/>
    <x v="3"/>
    <m/>
    <n v="198642"/>
    <n v="198000"/>
    <n v="0.3938052388111854"/>
    <n v="78226.260247931496"/>
    <n v="74429.208999999988"/>
    <n v="17644.006058249681"/>
    <n v="0"/>
    <n v="168535.0747003562"/>
    <n v="55000"/>
    <n v="22000"/>
    <n v="55000"/>
    <m/>
    <n v="55000"/>
    <n v="113535.0747003562"/>
    <n v="110000"/>
    <m/>
    <n v="110000"/>
    <n v="3535.0747003561992"/>
    <n v="0"/>
    <n v="0"/>
    <n v="165000"/>
    <n v="165000"/>
    <m/>
    <n v="1.91731313131313"/>
    <n v="1.96063636363636"/>
    <n v="1.9317542087542066"/>
    <n v="318739.44444444409"/>
    <n v="1.9293102899519399"/>
    <n v="1.2667318548990718E-3"/>
    <n v="110000"/>
    <n v="66000"/>
    <n v="0"/>
    <n v="22000"/>
    <n v="176010"/>
    <n v="219933"/>
    <n v="247500"/>
    <n v="108240"/>
    <n v="0"/>
    <n v="38720"/>
    <n v="346371"/>
    <n v="424319"/>
    <m/>
    <n v="0"/>
    <e v="#REF!"/>
    <e v="#REF!"/>
  </r>
  <r>
    <s v="Agrosuper Asia1021045"/>
    <x v="0"/>
    <x v="1"/>
    <x v="68"/>
    <x v="64"/>
    <x v="13"/>
    <x v="27"/>
    <m/>
    <n v="0"/>
    <n v="44000"/>
    <n v="0.3938052388111854"/>
    <n v="0"/>
    <n v="47124.971000000005"/>
    <n v="0"/>
    <n v="0"/>
    <n v="47124.971000000005"/>
    <n v="44000"/>
    <n v="22000"/>
    <n v="44000"/>
    <m/>
    <n v="44000"/>
    <n v="3124.971000000005"/>
    <n v="0"/>
    <m/>
    <n v="0"/>
    <n v="3124.971000000005"/>
    <n v="0"/>
    <n v="0"/>
    <n v="44000"/>
    <n v="44000"/>
    <m/>
    <n v="2.01731818181818"/>
    <n v="2.00059090909091"/>
    <n v="2.00059090909091"/>
    <n v="88026.000000000044"/>
    <n v="1.9132272727272728"/>
    <n v="4.5662968330522399E-2"/>
    <n v="88000"/>
    <n v="44000"/>
    <n v="22000"/>
    <n v="44000"/>
    <n v="22000"/>
    <n v="22000"/>
    <n v="237667.5"/>
    <n v="114400"/>
    <n v="43120"/>
    <n v="91571"/>
    <n v="45756"/>
    <n v="42091"/>
    <m/>
    <n v="0"/>
    <e v="#REF!"/>
    <e v="#REF!"/>
  </r>
  <r>
    <s v="Agrosuper Asia1021046"/>
    <x v="0"/>
    <x v="1"/>
    <x v="69"/>
    <x v="65"/>
    <x v="13"/>
    <x v="27"/>
    <m/>
    <n v="0"/>
    <n v="0"/>
    <n v="0.3938052388111854"/>
    <n v="0"/>
    <n v="6396.1210000000001"/>
    <n v="0"/>
    <n v="0"/>
    <n v="6396.1210000000001"/>
    <n v="0"/>
    <n v="22000"/>
    <n v="0"/>
    <m/>
    <n v="0"/>
    <n v="6396.1210000000001"/>
    <n v="0"/>
    <m/>
    <n v="0"/>
    <n v="6396.1210000000001"/>
    <n v="0"/>
    <n v="0"/>
    <n v="0"/>
    <n v="0"/>
    <m/>
    <n v="0"/>
    <n v="0"/>
    <n v="0"/>
    <n v="0"/>
    <n v="0.95613556857934667"/>
    <s v="Sin Facturación 2022"/>
    <n v="88000"/>
    <n v="66000"/>
    <n v="44000"/>
    <n v="44000"/>
    <n v="22105"/>
    <n v="44022"/>
    <n v="227040"/>
    <n v="171600"/>
    <n v="99220"/>
    <n v="88542"/>
    <n v="45973"/>
    <n v="42091"/>
    <m/>
    <n v="0"/>
    <e v="#REF!"/>
    <e v="#REF!"/>
  </r>
  <r>
    <s v="Agrosuper Asia1021149"/>
    <x v="0"/>
    <x v="1"/>
    <x v="70"/>
    <x v="66"/>
    <x v="1"/>
    <x v="1"/>
    <m/>
    <n v="0"/>
    <n v="22000"/>
    <n v="0.3938052388111854"/>
    <n v="0"/>
    <n v="32030.33"/>
    <n v="25754.376009384308"/>
    <n v="0"/>
    <n v="55209.268408445882"/>
    <n v="22000"/>
    <n v="22000"/>
    <n v="22000"/>
    <m/>
    <n v="22000"/>
    <n v="33209.268408445882"/>
    <n v="22000"/>
    <m/>
    <n v="22000"/>
    <n v="11209.268408445882"/>
    <n v="0"/>
    <n v="0"/>
    <n v="44000"/>
    <n v="44000"/>
    <m/>
    <n v="0.71731818181818197"/>
    <n v="0.80039393939393899"/>
    <n v="0.75885606060606037"/>
    <n v="33389.666666666657"/>
    <n v="0.73979090909090905"/>
    <n v="2.5770999995903567E-2"/>
    <n v="66000"/>
    <n v="44000"/>
    <n v="66000"/>
    <n v="44000"/>
    <n v="66000"/>
    <n v="110000"/>
    <n v="75240"/>
    <n v="72160"/>
    <n v="67980"/>
    <n v="46640"/>
    <n v="54659"/>
    <n v="81377"/>
    <m/>
    <n v="0"/>
    <e v="#REF!"/>
    <e v="#REF!"/>
  </r>
  <r>
    <s v="Agrosuper Asia1021150"/>
    <x v="0"/>
    <x v="1"/>
    <x v="71"/>
    <x v="67"/>
    <x v="1"/>
    <x v="1"/>
    <m/>
    <n v="0"/>
    <n v="22000"/>
    <n v="0.3938052388111854"/>
    <n v="0"/>
    <n v="41136.160000000003"/>
    <n v="0"/>
    <n v="0"/>
    <n v="41136.160000000003"/>
    <n v="44000"/>
    <n v="22000"/>
    <n v="22000"/>
    <m/>
    <n v="22000"/>
    <n v="19136.160000000003"/>
    <n v="0"/>
    <m/>
    <n v="0"/>
    <n v="19136.160000000003"/>
    <n v="0"/>
    <n v="0"/>
    <n v="22000"/>
    <n v="22000"/>
    <m/>
    <n v="0.71731818181818197"/>
    <n v="0.75231818181818144"/>
    <n v="0.75231818181818144"/>
    <n v="16550.999999999993"/>
    <n v="0.74209090909090913"/>
    <n v="1.3781697905181352E-2"/>
    <n v="44000"/>
    <n v="66000"/>
    <n v="22000"/>
    <n v="44000"/>
    <n v="22000"/>
    <n v="88000"/>
    <n v="49824.5"/>
    <n v="108240"/>
    <n v="23100"/>
    <n v="49060"/>
    <n v="23341"/>
    <n v="65304"/>
    <m/>
    <n v="0"/>
    <e v="#REF!"/>
    <e v="#REF!"/>
  </r>
  <r>
    <s v="Agrosuper Asia1021151"/>
    <x v="0"/>
    <x v="1"/>
    <x v="72"/>
    <x v="68"/>
    <x v="1"/>
    <x v="28"/>
    <m/>
    <n v="0"/>
    <n v="44000"/>
    <n v="0.3938052388111854"/>
    <n v="0"/>
    <n v="46752"/>
    <n v="0"/>
    <n v="0"/>
    <n v="46752"/>
    <n v="44000"/>
    <n v="22000"/>
    <n v="44000"/>
    <m/>
    <n v="44000"/>
    <n v="2752"/>
    <n v="0"/>
    <m/>
    <n v="0"/>
    <n v="2752"/>
    <n v="0"/>
    <n v="0"/>
    <n v="44000"/>
    <n v="44000"/>
    <m/>
    <n v="1.1173181818181801"/>
    <n v="1.3"/>
    <n v="1.3"/>
    <n v="57200"/>
    <n v="1.1131818181818183"/>
    <n v="0.1678236014699877"/>
    <n v="44000"/>
    <n v="22000"/>
    <n v="22000"/>
    <n v="44000"/>
    <n v="44000"/>
    <n v="22000"/>
    <n v="73726.666700000002"/>
    <n v="35200"/>
    <n v="34100"/>
    <n v="71771"/>
    <n v="70197"/>
    <n v="24490"/>
    <m/>
    <n v="0"/>
    <e v="#REF!"/>
    <e v="#REF!"/>
  </r>
  <r>
    <s v="Agrosuper Asia1021152"/>
    <x v="0"/>
    <x v="1"/>
    <x v="73"/>
    <x v="69"/>
    <x v="1"/>
    <x v="28"/>
    <m/>
    <n v="180"/>
    <n v="22000"/>
    <n v="0.3938052388111854"/>
    <n v="70.884942986013371"/>
    <n v="20704"/>
    <n v="0"/>
    <n v="0"/>
    <n v="20774.884942986013"/>
    <n v="0"/>
    <n v="22000"/>
    <n v="0"/>
    <m/>
    <n v="0"/>
    <n v="20774.884942986013"/>
    <n v="0"/>
    <m/>
    <n v="0"/>
    <n v="20774.884942986013"/>
    <n v="0"/>
    <n v="0"/>
    <n v="0"/>
    <n v="0"/>
    <m/>
    <n v="1.1173181818181801"/>
    <n v="0"/>
    <n v="0"/>
    <n v="0"/>
    <n v="1.1132272727272727"/>
    <s v="Sin Facturación 2022"/>
    <n v="44000"/>
    <n v="22000"/>
    <n v="44000"/>
    <n v="22000"/>
    <n v="0"/>
    <n v="22000"/>
    <n v="71559.5"/>
    <n v="35200"/>
    <n v="68200"/>
    <n v="34320"/>
    <n v="0"/>
    <n v="24491"/>
    <m/>
    <n v="0"/>
    <e v="#REF!"/>
    <e v="#REF!"/>
  </r>
  <r>
    <s v="Agrosuper Asia1021156"/>
    <x v="0"/>
    <x v="1"/>
    <x v="74"/>
    <x v="70"/>
    <x v="1"/>
    <x v="1"/>
    <m/>
    <n v="13929"/>
    <n v="24000"/>
    <n v="0.3938052388111854"/>
    <n v="5485.3131714010015"/>
    <n v="31141.43"/>
    <n v="8600.89"/>
    <n v="0"/>
    <n v="44367.544171401001"/>
    <n v="24000"/>
    <n v="23000"/>
    <n v="24000"/>
    <m/>
    <n v="24000"/>
    <n v="20367.544171401001"/>
    <n v="0"/>
    <m/>
    <n v="0"/>
    <n v="20367.544171401001"/>
    <n v="0"/>
    <n v="0"/>
    <n v="24000"/>
    <n v="24000"/>
    <m/>
    <n v="2.5700833333333302"/>
    <n v="2.7642466666666694"/>
    <n v="2.7642466666666694"/>
    <n v="66341.920000000071"/>
    <n v="2.7381666666666669"/>
    <n v="9.5246210968418805E-3"/>
    <n v="46000"/>
    <n v="72000"/>
    <n v="7000"/>
    <n v="14000"/>
    <n v="24000"/>
    <n v="24000"/>
    <n v="134780"/>
    <n v="181080"/>
    <n v="17570"/>
    <n v="35840"/>
    <n v="86720"/>
    <n v="65716"/>
    <m/>
    <n v="0"/>
    <e v="#REF!"/>
    <e v="#REF!"/>
  </r>
  <r>
    <s v="Agrosuper Asia1021204"/>
    <x v="0"/>
    <x v="1"/>
    <x v="75"/>
    <x v="2"/>
    <x v="2"/>
    <x v="2"/>
    <m/>
    <n v="0"/>
    <n v="48000"/>
    <n v="0.3938052388111854"/>
    <n v="0"/>
    <n v="69140"/>
    <n v="0"/>
    <n v="0"/>
    <n v="69140"/>
    <n v="0"/>
    <n v="24000"/>
    <n v="0"/>
    <m/>
    <n v="0"/>
    <n v="69140"/>
    <n v="48000"/>
    <m/>
    <n v="48000"/>
    <n v="21140"/>
    <n v="0"/>
    <n v="0"/>
    <n v="48000"/>
    <n v="48000"/>
    <m/>
    <n v="1.2926458333333299"/>
    <n v="0"/>
    <n v="1.2926458333333299"/>
    <n v="62046.99999999984"/>
    <n v="1.2885416666666667"/>
    <n v="3.1851253031501335E-3"/>
    <n v="24000"/>
    <n v="0"/>
    <n v="0"/>
    <n v="0"/>
    <n v="0"/>
    <n v="24000"/>
    <n v="32880"/>
    <n v="0"/>
    <n v="0"/>
    <n v="0"/>
    <n v="0"/>
    <n v="30925"/>
    <m/>
    <n v="0"/>
    <e v="#REF!"/>
    <e v="#REF!"/>
  </r>
  <r>
    <s v="Agrosuper Asia1021470"/>
    <x v="0"/>
    <x v="1"/>
    <x v="76"/>
    <x v="71"/>
    <x v="13"/>
    <x v="27"/>
    <m/>
    <n v="20952"/>
    <n v="22000"/>
    <n v="0.3938052388111854"/>
    <n v="8251.0073635719564"/>
    <n v="915.81400000000008"/>
    <n v="0"/>
    <n v="0"/>
    <n v="9166.8213635719567"/>
    <n v="0"/>
    <n v="22000"/>
    <n v="0"/>
    <m/>
    <n v="0"/>
    <n v="9166.8213635719567"/>
    <n v="0"/>
    <m/>
    <n v="0"/>
    <n v="9166.8213635719567"/>
    <n v="0"/>
    <n v="0"/>
    <n v="0"/>
    <n v="0"/>
    <m/>
    <n v="1.3173181818181801"/>
    <n v="0"/>
    <n v="0"/>
    <n v="0"/>
    <n v="1.6595909090909091"/>
    <s v="Sin Facturación 2022"/>
    <n v="22000"/>
    <n v="22000"/>
    <n v="0"/>
    <n v="22000"/>
    <n v="0"/>
    <n v="22000"/>
    <n v="41800"/>
    <n v="45540"/>
    <n v="0"/>
    <n v="39600"/>
    <n v="0"/>
    <n v="36511"/>
    <m/>
    <n v="0"/>
    <e v="#REF!"/>
    <e v="#REF!"/>
  </r>
  <r>
    <s v="Agrosuper Asia1021655"/>
    <x v="0"/>
    <x v="1"/>
    <x v="77"/>
    <x v="72"/>
    <x v="10"/>
    <x v="15"/>
    <m/>
    <n v="13980"/>
    <n v="0"/>
    <n v="0.3938052388111854"/>
    <n v="5505.3972385803718"/>
    <n v="10170"/>
    <n v="0"/>
    <n v="0"/>
    <n v="15675.397238580372"/>
    <n v="24000"/>
    <n v="24000"/>
    <n v="0"/>
    <m/>
    <n v="0"/>
    <n v="15675.397238580372"/>
    <n v="0"/>
    <m/>
    <n v="0"/>
    <n v="15675.397238580372"/>
    <n v="0"/>
    <n v="0"/>
    <n v="0"/>
    <n v="0"/>
    <m/>
    <n v="0"/>
    <n v="1.86455041666667"/>
    <n v="0"/>
    <n v="0"/>
    <n v="1.9322916666666667"/>
    <s v="Sin Facturación 2022"/>
    <n v="0"/>
    <n v="0"/>
    <n v="0"/>
    <n v="0"/>
    <n v="48000"/>
    <n v="24000"/>
    <n v="0"/>
    <n v="0"/>
    <n v="0"/>
    <n v="0"/>
    <n v="96000"/>
    <n v="46375"/>
    <m/>
    <n v="0"/>
    <e v="#REF!"/>
    <e v="#REF!"/>
  </r>
  <r>
    <s v="Agrosuper Asia1021664"/>
    <x v="0"/>
    <x v="1"/>
    <x v="78"/>
    <x v="73"/>
    <x v="7"/>
    <x v="9"/>
    <m/>
    <n v="0"/>
    <n v="0"/>
    <n v="0.3938052388111854"/>
    <n v="0"/>
    <n v="16755.572"/>
    <n v="5515.9453278031851"/>
    <n v="0"/>
    <n v="21719.922795022867"/>
    <n v="56000"/>
    <n v="22000"/>
    <n v="0"/>
    <m/>
    <n v="0"/>
    <n v="21719.922795022867"/>
    <n v="0"/>
    <m/>
    <n v="0"/>
    <n v="21719.922795022867"/>
    <n v="0"/>
    <n v="0"/>
    <n v="0"/>
    <n v="0"/>
    <m/>
    <n v="0"/>
    <n v="5.6980446428571438"/>
    <n v="0"/>
    <n v="0"/>
    <n v="5.5063863636363637"/>
    <s v="Sin Facturación 2022"/>
    <n v="154000"/>
    <n v="66000"/>
    <n v="66000"/>
    <n v="66000"/>
    <n v="44000"/>
    <n v="0"/>
    <n v="927442.25"/>
    <n v="349140"/>
    <n v="364980"/>
    <n v="362785"/>
    <n v="242281"/>
    <n v="0"/>
    <m/>
    <n v="0"/>
    <e v="#REF!"/>
    <e v="#REF!"/>
  </r>
  <r>
    <s v="Agrosuper Asia1021665"/>
    <x v="0"/>
    <x v="1"/>
    <x v="79"/>
    <x v="74"/>
    <x v="7"/>
    <x v="9"/>
    <m/>
    <n v="0"/>
    <n v="0"/>
    <n v="0.3938052388111854"/>
    <n v="0"/>
    <n v="2430.1260000000002"/>
    <n v="0"/>
    <n v="0"/>
    <n v="2430.1260000000002"/>
    <n v="0"/>
    <n v="22000"/>
    <n v="0"/>
    <m/>
    <n v="0"/>
    <n v="2430.1260000000002"/>
    <n v="0"/>
    <m/>
    <n v="0"/>
    <n v="2430.1260000000002"/>
    <n v="0"/>
    <n v="0"/>
    <n v="0"/>
    <n v="0"/>
    <m/>
    <n v="0"/>
    <n v="0"/>
    <n v="0"/>
    <n v="0"/>
    <n v="5.459469384008079"/>
    <s v="Sin Facturación 2022"/>
    <n v="44000"/>
    <n v="110000"/>
    <n v="44000"/>
    <n v="66000"/>
    <n v="44061"/>
    <n v="21786"/>
    <n v="265776"/>
    <n v="584650"/>
    <n v="243320"/>
    <n v="366571"/>
    <n v="243648"/>
    <n v="118940"/>
    <m/>
    <n v="0"/>
    <e v="#REF!"/>
    <e v="#REF!"/>
  </r>
  <r>
    <s v="Agrosuper Asia1022182"/>
    <x v="0"/>
    <x v="1"/>
    <x v="80"/>
    <x v="31"/>
    <x v="0"/>
    <x v="7"/>
    <m/>
    <n v="5795"/>
    <n v="0"/>
    <n v="0.3938052388111854"/>
    <n v="2282.1013589108193"/>
    <n v="1150"/>
    <n v="0"/>
    <n v="0"/>
    <n v="3432.1013589108193"/>
    <n v="0"/>
    <n v="22000"/>
    <n v="0"/>
    <m/>
    <n v="0"/>
    <n v="3432.1013589108193"/>
    <n v="0"/>
    <m/>
    <n v="0"/>
    <n v="3432.1013589108193"/>
    <n v="0"/>
    <n v="0"/>
    <n v="0"/>
    <n v="0"/>
    <m/>
    <n v="0"/>
    <n v="0"/>
    <n v="0"/>
    <n v="0"/>
    <n v="5.3132272727272731"/>
    <s v="Sin Facturación 2022"/>
    <n v="0"/>
    <n v="0"/>
    <n v="0"/>
    <n v="22000"/>
    <n v="0"/>
    <n v="22000"/>
    <n v="0"/>
    <n v="0"/>
    <n v="0"/>
    <n v="121000"/>
    <n v="0"/>
    <n v="116891"/>
    <m/>
    <n v="0"/>
    <e v="#REF!"/>
    <e v="#REF!"/>
  </r>
  <r>
    <s v="Agrosuper Asia1022283"/>
    <x v="0"/>
    <x v="1"/>
    <x v="81"/>
    <x v="75"/>
    <x v="14"/>
    <x v="29"/>
    <m/>
    <n v="0"/>
    <n v="0"/>
    <n v="0.3938052388111854"/>
    <n v="0"/>
    <n v="13134.018999999995"/>
    <n v="2097"/>
    <n v="0"/>
    <n v="15021.318999999994"/>
    <n v="10000"/>
    <n v="5000"/>
    <n v="10000"/>
    <m/>
    <n v="10000"/>
    <n v="5021.318999999994"/>
    <n v="0"/>
    <m/>
    <n v="0"/>
    <n v="5021.318999999994"/>
    <n v="5000"/>
    <n v="0"/>
    <n v="15000"/>
    <n v="10000"/>
    <m/>
    <n v="0"/>
    <n v="6.42875"/>
    <n v="6.42875"/>
    <n v="64287.5"/>
    <n v="6.0297999999999998"/>
    <n v="6.6163056817804933E-2"/>
    <n v="11000"/>
    <n v="9000"/>
    <n v="0"/>
    <n v="5000"/>
    <n v="6000"/>
    <n v="10000"/>
    <n v="62981.599999999999"/>
    <n v="48600"/>
    <n v="0"/>
    <n v="28500"/>
    <n v="32760"/>
    <n v="60298"/>
    <m/>
    <n v="0"/>
    <e v="#REF!"/>
    <e v="#REF!"/>
  </r>
  <r>
    <s v="Agrosuper Asia1022607"/>
    <x v="0"/>
    <x v="1"/>
    <x v="82"/>
    <x v="76"/>
    <x v="14"/>
    <x v="30"/>
    <m/>
    <n v="28066"/>
    <n v="22000"/>
    <n v="0.3938052388111854"/>
    <n v="11052.537832474729"/>
    <n v="11397.566999999999"/>
    <n v="3016"/>
    <n v="0"/>
    <n v="25164.504832474729"/>
    <n v="22000"/>
    <n v="22000"/>
    <n v="22000"/>
    <m/>
    <n v="22000"/>
    <n v="3164.5048324747295"/>
    <n v="0"/>
    <m/>
    <n v="0"/>
    <n v="3164.5048324747295"/>
    <n v="0"/>
    <n v="0"/>
    <n v="22000"/>
    <n v="22000"/>
    <m/>
    <n v="5.3173181818181803"/>
    <n v="5.3"/>
    <n v="5.3"/>
    <n v="116600"/>
    <n v="5.3"/>
    <n v="0"/>
    <n v="22000"/>
    <n v="22000"/>
    <n v="22000"/>
    <n v="44000"/>
    <n v="44001"/>
    <n v="22000"/>
    <n v="126060"/>
    <n v="114400"/>
    <n v="112860"/>
    <n v="233200"/>
    <n v="233204"/>
    <n v="116600"/>
    <m/>
    <n v="0"/>
    <e v="#REF!"/>
    <e v="#REF!"/>
  </r>
  <r>
    <s v="Agrosuper Asia1022885"/>
    <x v="0"/>
    <x v="1"/>
    <x v="83"/>
    <x v="77"/>
    <x v="8"/>
    <x v="10"/>
    <m/>
    <n v="543990"/>
    <n v="550000"/>
    <n v="0.3938052388111854"/>
    <n v="214226.11186089675"/>
    <n v="12692.77"/>
    <n v="95012.935781554828"/>
    <n v="0"/>
    <n v="312430.5240642961"/>
    <n v="88000"/>
    <n v="22000"/>
    <n v="88000"/>
    <m/>
    <n v="88000"/>
    <n v="224430.5240642961"/>
    <n v="220000"/>
    <m/>
    <n v="220000"/>
    <n v="4430.5240642960998"/>
    <n v="0"/>
    <n v="0"/>
    <n v="308000"/>
    <n v="308000"/>
    <m/>
    <n v="6.1173109090909099"/>
    <n v="6.0522490909090898"/>
    <n v="6.0987218181818186"/>
    <n v="1878406.32"/>
    <n v="6.035988111279786"/>
    <n v="1.0393278738372373E-2"/>
    <n v="660000"/>
    <n v="597000"/>
    <n v="476000"/>
    <n v="702000"/>
    <n v="615555"/>
    <n v="469016"/>
    <n v="4448231.7450000001"/>
    <n v="3883485"/>
    <n v="2975000"/>
    <n v="4283678"/>
    <n v="3723805"/>
    <n v="2830975"/>
    <m/>
    <n v="0"/>
    <e v="#REF!"/>
    <e v="#REF!"/>
  </r>
  <r>
    <s v="Agrosuper Asia1022887"/>
    <x v="0"/>
    <x v="1"/>
    <x v="84"/>
    <x v="78"/>
    <x v="8"/>
    <x v="10"/>
    <m/>
    <n v="244180"/>
    <n v="264000"/>
    <n v="0.3938052388111854"/>
    <n v="96159.363212915254"/>
    <n v="94981.083000000042"/>
    <n v="20849.83728982008"/>
    <n v="0"/>
    <n v="209905.29977375336"/>
    <n v="99000"/>
    <n v="22000"/>
    <n v="99000"/>
    <m/>
    <n v="99000"/>
    <n v="110905.29977375336"/>
    <n v="110000"/>
    <m/>
    <n v="110000"/>
    <n v="905.29977375335875"/>
    <n v="0"/>
    <n v="0"/>
    <n v="209000"/>
    <n v="209000"/>
    <m/>
    <n v="6.1173106060606104"/>
    <n v="6.0505909090909107"/>
    <n v="6.0857065390749625"/>
    <n v="1271912.6666666672"/>
    <n v="6.0213062200956937"/>
    <n v="1.0695406714964465E-2"/>
    <n v="198000"/>
    <n v="275000"/>
    <n v="385000"/>
    <n v="352000"/>
    <n v="308028"/>
    <n v="209000"/>
    <n v="1378080"/>
    <n v="1761375"/>
    <n v="2321550"/>
    <n v="2089499"/>
    <n v="1830564"/>
    <n v="1258453"/>
    <m/>
    <n v="0"/>
    <e v="#REF!"/>
    <e v="#REF!"/>
  </r>
  <r>
    <s v="Agrosuper Asia1022930"/>
    <x v="0"/>
    <x v="1"/>
    <x v="85"/>
    <x v="79"/>
    <x v="8"/>
    <x v="10"/>
    <m/>
    <n v="261271"/>
    <n v="154000"/>
    <n v="0.3938052388111854"/>
    <n v="102889.88854943722"/>
    <n v="22480.598999999998"/>
    <n v="2699.8066261751201"/>
    <n v="0"/>
    <n v="127800.31351299484"/>
    <n v="132000"/>
    <n v="22000"/>
    <n v="110000"/>
    <m/>
    <n v="110000"/>
    <n v="17800.313512994835"/>
    <n v="0"/>
    <m/>
    <n v="0"/>
    <n v="17800.313512994835"/>
    <n v="0"/>
    <n v="0"/>
    <n v="110000"/>
    <n v="110000"/>
    <m/>
    <n v="6.3173116883116904"/>
    <n v="6.3760196969696965"/>
    <n v="6.3760196969696965"/>
    <n v="701362.16666666663"/>
    <n v="6.2859999999999996"/>
    <n v="1.4320664487702342E-2"/>
    <n v="154000"/>
    <n v="44000"/>
    <n v="44000"/>
    <n v="88000"/>
    <n v="65946"/>
    <n v="22000"/>
    <n v="1083909.05"/>
    <n v="286440"/>
    <n v="264440"/>
    <n v="533280"/>
    <n v="273348"/>
    <n v="138292"/>
    <m/>
    <n v="0"/>
    <e v="#REF!"/>
    <e v="#REF!"/>
  </r>
  <r>
    <s v="Agrosuper Asia1022985"/>
    <x v="0"/>
    <x v="1"/>
    <x v="86"/>
    <x v="80"/>
    <x v="6"/>
    <x v="20"/>
    <m/>
    <n v="10000"/>
    <n v="5000"/>
    <n v="0.3938052388111854"/>
    <n v="3938.0523881118538"/>
    <n v="3884.739"/>
    <n v="0"/>
    <n v="0"/>
    <n v="7822.7913881118538"/>
    <n v="5000"/>
    <n v="5000"/>
    <n v="5000"/>
    <m/>
    <n v="5000"/>
    <n v="2822.7913881118538"/>
    <n v="0"/>
    <m/>
    <n v="0"/>
    <n v="2822.7913881118538"/>
    <n v="0"/>
    <n v="0"/>
    <n v="5000"/>
    <n v="5000"/>
    <m/>
    <n v="4.1673999999999998"/>
    <n v="4.3499999999999996"/>
    <n v="4.3499999999999996"/>
    <n v="21750"/>
    <n v="3.9596"/>
    <n v="9.8595817759369542E-2"/>
    <n v="10000"/>
    <n v="10000"/>
    <n v="17000"/>
    <n v="12000"/>
    <n v="8000"/>
    <n v="5000"/>
    <n v="42616"/>
    <n v="41000"/>
    <n v="66243"/>
    <n v="49200"/>
    <n v="31677"/>
    <n v="19798"/>
    <m/>
    <n v="0"/>
    <e v="#REF!"/>
    <e v="#REF!"/>
  </r>
  <r>
    <s v="Agrosuper Asia1022986"/>
    <x v="0"/>
    <x v="1"/>
    <x v="87"/>
    <x v="81"/>
    <x v="8"/>
    <x v="10"/>
    <m/>
    <n v="4513"/>
    <n v="0"/>
    <n v="0.3938052388111854"/>
    <n v="1777.2430427548798"/>
    <n v="467.88399999999996"/>
    <n v="0"/>
    <n v="0"/>
    <n v="2245.1270427548798"/>
    <n v="5000"/>
    <n v="5000"/>
    <n v="0"/>
    <m/>
    <n v="0"/>
    <n v="2245.1270427548798"/>
    <n v="0"/>
    <m/>
    <n v="0"/>
    <n v="2245.1270427548798"/>
    <n v="0"/>
    <n v="0"/>
    <n v="0"/>
    <n v="0"/>
    <m/>
    <n v="0"/>
    <n v="6.2"/>
    <n v="0"/>
    <n v="0"/>
    <n v="6.5095999999999998"/>
    <s v="Sin Facturación 2022"/>
    <n v="20000"/>
    <n v="17000"/>
    <n v="0"/>
    <n v="5000"/>
    <n v="7500"/>
    <n v="0"/>
    <n v="137818.6667"/>
    <n v="113900"/>
    <n v="0"/>
    <n v="32500"/>
    <n v="48822"/>
    <n v="0"/>
    <m/>
    <n v="0"/>
    <e v="#REF!"/>
    <e v="#REF!"/>
  </r>
  <r>
    <s v="Agrosuper Asia1023037"/>
    <x v="0"/>
    <x v="1"/>
    <x v="88"/>
    <x v="82"/>
    <x v="8"/>
    <x v="10"/>
    <m/>
    <n v="88915"/>
    <n v="143000"/>
    <n v="0.3938052388111854"/>
    <n v="35015.192808896551"/>
    <n v="97782.184999999969"/>
    <n v="0"/>
    <n v="0"/>
    <n v="132797.37780889653"/>
    <n v="44000"/>
    <n v="22000"/>
    <n v="44000"/>
    <m/>
    <n v="44000"/>
    <n v="88797.377808896534"/>
    <n v="88000"/>
    <m/>
    <n v="88000"/>
    <n v="797.37780889653368"/>
    <n v="0"/>
    <n v="0"/>
    <n v="132000"/>
    <n v="132000"/>
    <m/>
    <n v="6.3173076923076898"/>
    <n v="6.2655876719696995"/>
    <n v="6.3000676855283606"/>
    <n v="831608.93448974355"/>
    <n v="6.2928321678321675"/>
    <n v="1.1498030621537628E-3"/>
    <n v="66000"/>
    <n v="110000"/>
    <n v="176000"/>
    <n v="176000"/>
    <n v="99000"/>
    <n v="143000"/>
    <n v="465306.14689999999"/>
    <n v="743600"/>
    <n v="1096480"/>
    <n v="1099808"/>
    <n v="613267"/>
    <n v="899875"/>
    <m/>
    <n v="0"/>
    <e v="#REF!"/>
    <e v="#REF!"/>
  </r>
  <r>
    <s v="Agrosuper Asia1023038"/>
    <x v="0"/>
    <x v="1"/>
    <x v="89"/>
    <x v="83"/>
    <x v="6"/>
    <x v="20"/>
    <m/>
    <n v="114579"/>
    <n v="110000"/>
    <n v="0.3938052388111854"/>
    <n v="45121.810457746811"/>
    <n v="49256.627"/>
    <n v="16663.042624663394"/>
    <n v="0"/>
    <n v="109375.17581994386"/>
    <n v="66000"/>
    <n v="22000"/>
    <n v="66000"/>
    <m/>
    <n v="66000"/>
    <n v="43375.175819943863"/>
    <n v="22000"/>
    <m/>
    <n v="22000"/>
    <n v="21375.175819943863"/>
    <n v="0"/>
    <n v="0"/>
    <n v="88000"/>
    <n v="88000"/>
    <m/>
    <n v="4.2673090909090901"/>
    <n v="4.4005909090909103"/>
    <n v="4.367270454545455"/>
    <n v="384319.80000000005"/>
    <n v="4.288922077922078"/>
    <n v="1.8267614845857889E-2"/>
    <n v="66000"/>
    <n v="77000"/>
    <n v="77000"/>
    <n v="66000"/>
    <n v="113643"/>
    <n v="77000"/>
    <n v="290424.40000000002"/>
    <n v="315700"/>
    <n v="310310"/>
    <n v="272657"/>
    <n v="467607"/>
    <n v="330247"/>
    <m/>
    <n v="0"/>
    <e v="#REF!"/>
    <e v="#REF!"/>
  </r>
  <r>
    <s v="Agrosuper Asia1023090"/>
    <x v="0"/>
    <x v="1"/>
    <x v="90"/>
    <x v="84"/>
    <x v="8"/>
    <x v="10"/>
    <m/>
    <n v="42908"/>
    <n v="22000"/>
    <n v="0.3938052388111854"/>
    <n v="16897.395186910344"/>
    <n v="1091.665"/>
    <n v="0"/>
    <n v="0"/>
    <n v="17989.060186910345"/>
    <n v="22000"/>
    <n v="22000"/>
    <n v="0"/>
    <m/>
    <n v="0"/>
    <n v="17989.060186910345"/>
    <n v="0"/>
    <m/>
    <n v="0"/>
    <n v="17989.060186910345"/>
    <n v="0"/>
    <n v="0"/>
    <n v="0"/>
    <n v="0"/>
    <m/>
    <n v="6.4173181818181799"/>
    <n v="6.5"/>
    <n v="0"/>
    <n v="0"/>
    <n v="6.5"/>
    <s v="Sin Facturación 2022"/>
    <n v="22000"/>
    <n v="22000"/>
    <n v="22000"/>
    <n v="22000"/>
    <n v="22008"/>
    <n v="22000"/>
    <n v="149600"/>
    <n v="147400"/>
    <n v="144100"/>
    <n v="137060"/>
    <n v="138925"/>
    <n v="143000"/>
    <m/>
    <n v="0"/>
    <e v="#REF!"/>
    <e v="#REF!"/>
  </r>
  <r>
    <s v="Agrosuper Asia1023144"/>
    <x v="0"/>
    <x v="1"/>
    <x v="91"/>
    <x v="85"/>
    <x v="3"/>
    <x v="31"/>
    <m/>
    <n v="44061"/>
    <n v="44000"/>
    <n v="0.3938052388111854"/>
    <n v="17351.452627259641"/>
    <n v="14030.901000000002"/>
    <n v="9289.2032569452313"/>
    <n v="0"/>
    <n v="39742.636558510349"/>
    <n v="48000"/>
    <n v="24000"/>
    <n v="24000"/>
    <m/>
    <n v="24000"/>
    <n v="15742.636558510349"/>
    <n v="0"/>
    <m/>
    <n v="0"/>
    <n v="15742.636558510349"/>
    <n v="0"/>
    <n v="0"/>
    <n v="24000"/>
    <n v="24000"/>
    <m/>
    <n v="1.9426363636363599"/>
    <n v="2.0821433333333297"/>
    <n v="2.0821433333333297"/>
    <n v="49971.439999999915"/>
    <n v="2.15"/>
    <n v="3.1561240310079175E-2"/>
    <n v="0"/>
    <n v="0"/>
    <n v="0"/>
    <n v="0"/>
    <n v="24000"/>
    <n v="48000"/>
    <n v="0"/>
    <n v="0"/>
    <n v="0"/>
    <n v="0"/>
    <n v="42907"/>
    <n v="103200"/>
    <m/>
    <n v="0"/>
    <e v="#REF!"/>
    <e v="#REF!"/>
  </r>
  <r>
    <s v="Agrosuper Asia1023183"/>
    <x v="0"/>
    <x v="1"/>
    <x v="92"/>
    <x v="86"/>
    <x v="7"/>
    <x v="9"/>
    <m/>
    <n v="0"/>
    <n v="0"/>
    <n v="0.3938052388111854"/>
    <n v="0"/>
    <n v="20087.37"/>
    <n v="32388.051629297959"/>
    <n v="0"/>
    <n v="49236.616466368163"/>
    <n v="44000"/>
    <n v="22000"/>
    <n v="44000"/>
    <m/>
    <n v="44000"/>
    <n v="5236.6164663681629"/>
    <n v="0"/>
    <m/>
    <n v="0"/>
    <n v="5236.6164663681629"/>
    <n v="0"/>
    <n v="0"/>
    <n v="44000"/>
    <n v="44000"/>
    <m/>
    <n v="0"/>
    <n v="5.92875"/>
    <n v="5.92875"/>
    <n v="260865"/>
    <n v="5.7585454545454544"/>
    <n v="2.955686410709777E-2"/>
    <n v="22000"/>
    <n v="44000"/>
    <n v="66000"/>
    <n v="0"/>
    <n v="22000"/>
    <n v="22000"/>
    <n v="136200.5"/>
    <n v="259600"/>
    <n v="378180"/>
    <n v="0"/>
    <n v="124511"/>
    <n v="126688"/>
    <m/>
    <n v="0"/>
    <e v="#REF!"/>
    <e v="#REF!"/>
  </r>
  <r>
    <s v="Agrosuper Asia1023283"/>
    <x v="0"/>
    <x v="1"/>
    <x v="93"/>
    <x v="87"/>
    <x v="10"/>
    <x v="32"/>
    <m/>
    <n v="0"/>
    <n v="0"/>
    <n v="0.3938052388111854"/>
    <n v="0"/>
    <n v="57825.309000000023"/>
    <n v="11000"/>
    <n v="0"/>
    <n v="67725.309000000023"/>
    <n v="72000"/>
    <n v="24000"/>
    <n v="48000"/>
    <m/>
    <n v="48000"/>
    <n v="19725.309000000023"/>
    <n v="0"/>
    <m/>
    <n v="0"/>
    <n v="19725.309000000023"/>
    <n v="0"/>
    <n v="0"/>
    <n v="48000"/>
    <n v="48000"/>
    <m/>
    <n v="0"/>
    <n v="1.0098980555555557"/>
    <n v="1.0098980555555557"/>
    <n v="48475.106666666674"/>
    <n v="0.97233333333333338"/>
    <n v="3.8633584733173423E-2"/>
    <n v="120000"/>
    <n v="96000"/>
    <n v="178000"/>
    <n v="216000"/>
    <n v="144149"/>
    <n v="72000"/>
    <n v="107052.12119999999"/>
    <n v="89280"/>
    <n v="157911"/>
    <n v="220922"/>
    <n v="136463"/>
    <n v="70008"/>
    <m/>
    <n v="0"/>
    <e v="#REF!"/>
    <e v="#REF!"/>
  </r>
  <r>
    <s v="Agrosuper Asia1023305"/>
    <x v="0"/>
    <x v="1"/>
    <x v="94"/>
    <x v="88"/>
    <x v="10"/>
    <x v="33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Asia1023307"/>
    <x v="0"/>
    <x v="1"/>
    <x v="95"/>
    <x v="58"/>
    <x v="10"/>
    <x v="15"/>
    <m/>
    <n v="34294"/>
    <n v="0"/>
    <n v="0.3938052388111854"/>
    <n v="13505.156859790792"/>
    <n v="5741.8040000000001"/>
    <n v="6626"/>
    <n v="0"/>
    <n v="25210.360859790795"/>
    <n v="48000"/>
    <n v="24000"/>
    <n v="24000"/>
    <m/>
    <n v="24000"/>
    <n v="1210.3608597907951"/>
    <n v="0"/>
    <m/>
    <n v="0"/>
    <n v="1210.3608597907951"/>
    <n v="0"/>
    <n v="0"/>
    <n v="24000"/>
    <n v="24000"/>
    <m/>
    <n v="0"/>
    <n v="0.85"/>
    <n v="0.85"/>
    <n v="20400"/>
    <n v="0.85"/>
    <n v="0"/>
    <n v="22000"/>
    <n v="24000"/>
    <n v="22000"/>
    <n v="48000"/>
    <n v="24000"/>
    <n v="48000"/>
    <n v="16376.75"/>
    <n v="16800"/>
    <n v="14667"/>
    <n v="35843"/>
    <n v="17322"/>
    <n v="40800"/>
    <m/>
    <n v="0"/>
    <e v="#REF!"/>
    <e v="#REF!"/>
  </r>
  <r>
    <s v="Agrosuper Asia1023326"/>
    <x v="0"/>
    <x v="1"/>
    <x v="96"/>
    <x v="37"/>
    <x v="10"/>
    <x v="15"/>
    <m/>
    <n v="34122"/>
    <n v="48000"/>
    <n v="0.3938052388111854"/>
    <n v="13437.422358715268"/>
    <n v="29236.806999999997"/>
    <n v="0"/>
    <n v="0"/>
    <n v="42674.229358715267"/>
    <n v="24000"/>
    <n v="24000"/>
    <n v="24000"/>
    <m/>
    <n v="24000"/>
    <n v="18674.229358715267"/>
    <n v="0"/>
    <m/>
    <n v="0"/>
    <n v="18674.229358715267"/>
    <n v="0"/>
    <n v="0"/>
    <n v="24000"/>
    <n v="24000"/>
    <m/>
    <n v="0.71731250000000002"/>
    <n v="0.78973125"/>
    <n v="0.78973125"/>
    <n v="18953.55"/>
    <n v="0.8316041666666667"/>
    <n v="5.0351980359245478E-2"/>
    <n v="0"/>
    <n v="0"/>
    <n v="44000"/>
    <n v="48000"/>
    <n v="48003"/>
    <n v="48000"/>
    <n v="0"/>
    <n v="0"/>
    <n v="35200"/>
    <n v="45600"/>
    <n v="37999"/>
    <n v="39917"/>
    <m/>
    <n v="0"/>
    <e v="#REF!"/>
    <e v="#REF!"/>
  </r>
  <r>
    <s v="Agrosuper Brasil1021864"/>
    <x v="0"/>
    <x v="2"/>
    <x v="97"/>
    <x v="89"/>
    <x v="4"/>
    <x v="14"/>
    <m/>
    <n v="0"/>
    <n v="24000"/>
    <n v="0.74227818722130146"/>
    <n v="0"/>
    <n v="7395.7270000000017"/>
    <n v="9598"/>
    <n v="0"/>
    <n v="16033.927000000003"/>
    <n v="0"/>
    <n v="24000"/>
    <n v="0"/>
    <m/>
    <n v="0"/>
    <n v="16033.927000000003"/>
    <n v="0"/>
    <m/>
    <n v="0"/>
    <n v="16033.927000000003"/>
    <n v="0"/>
    <n v="0"/>
    <n v="0"/>
    <n v="0"/>
    <m/>
    <n v="0.53666666666666696"/>
    <n v="0"/>
    <n v="0"/>
    <n v="0"/>
    <n v="0.49445833333333333"/>
    <s v="Sin Facturación 2022"/>
    <n v="48000"/>
    <n v="48000"/>
    <n v="48000"/>
    <n v="24000"/>
    <n v="48000"/>
    <n v="48000"/>
    <n v="26400"/>
    <n v="26400"/>
    <n v="26400"/>
    <n v="12000"/>
    <n v="26400"/>
    <n v="23734"/>
    <m/>
    <n v="0"/>
    <e v="#REF!"/>
    <e v="#REF!"/>
  </r>
  <r>
    <s v="Agrosuper Brasil1022217"/>
    <x v="0"/>
    <x v="2"/>
    <x v="98"/>
    <x v="90"/>
    <x v="2"/>
    <x v="2"/>
    <m/>
    <n v="216484"/>
    <n v="0"/>
    <n v="0.74227818722130146"/>
    <n v="160691.35108241622"/>
    <n v="70326.932000000001"/>
    <n v="27471"/>
    <n v="24000"/>
    <n v="231742.18308241622"/>
    <n v="288000"/>
    <n v="24000"/>
    <n v="216000"/>
    <m/>
    <n v="216000"/>
    <n v="15742.183082416217"/>
    <n v="0"/>
    <m/>
    <n v="0"/>
    <n v="15742.183082416217"/>
    <n v="0"/>
    <n v="0"/>
    <n v="216000"/>
    <n v="216000"/>
    <m/>
    <n v="0"/>
    <n v="1.6715757100427322"/>
    <n v="1.6715757100427322"/>
    <n v="361060.35336923017"/>
    <n v="1.5545"/>
    <n v="7.5314062426974721E-2"/>
    <n v="96000"/>
    <n v="47994"/>
    <n v="72000"/>
    <n v="264000"/>
    <n v="168000"/>
    <n v="216000"/>
    <n v="153600"/>
    <n v="64392"/>
    <n v="103820"/>
    <n v="414000"/>
    <n v="279600"/>
    <n v="335772"/>
    <m/>
    <n v="0"/>
    <e v="#REF!"/>
    <e v="#REF!"/>
  </r>
  <r>
    <s v="Agrosuper Brasil1022218"/>
    <x v="0"/>
    <x v="2"/>
    <x v="99"/>
    <x v="12"/>
    <x v="2"/>
    <x v="12"/>
    <m/>
    <n v="57672"/>
    <n v="0"/>
    <n v="0.74227818722130146"/>
    <n v="42808.6676134269"/>
    <n v="20433.265999999989"/>
    <n v="8042.999713776564"/>
    <n v="0"/>
    <n v="70480.63335582579"/>
    <n v="120000"/>
    <n v="24000"/>
    <n v="48000"/>
    <m/>
    <n v="48000"/>
    <n v="22480.63335582579"/>
    <n v="0"/>
    <m/>
    <n v="0"/>
    <n v="22480.63335582579"/>
    <n v="0"/>
    <n v="0"/>
    <n v="48000"/>
    <n v="48000"/>
    <m/>
    <n v="0"/>
    <n v="1.52"/>
    <n v="1.52"/>
    <n v="72960"/>
    <n v="1.5142916666666666"/>
    <n v="3.769639270285949E-3"/>
    <n v="120000"/>
    <n v="48000"/>
    <n v="96000"/>
    <n v="96000"/>
    <n v="96000"/>
    <n v="48000"/>
    <n v="180000"/>
    <n v="69600"/>
    <n v="140400"/>
    <n v="136320"/>
    <n v="145200"/>
    <n v="72686"/>
    <m/>
    <n v="0"/>
    <e v="#REF!"/>
    <e v="#REF!"/>
  </r>
  <r>
    <s v="Agrosuper Brasil1022273"/>
    <x v="0"/>
    <x v="2"/>
    <x v="100"/>
    <x v="91"/>
    <x v="2"/>
    <x v="12"/>
    <m/>
    <n v="81297"/>
    <n v="0"/>
    <n v="0.74227818722130146"/>
    <n v="60344.989786530146"/>
    <n v="73562.749000000011"/>
    <n v="8308.8052548739015"/>
    <n v="24000"/>
    <n v="117385.66351591668"/>
    <n v="120000"/>
    <n v="24000"/>
    <n v="96000"/>
    <m/>
    <n v="96000"/>
    <n v="21385.663515916676"/>
    <n v="0"/>
    <m/>
    <n v="0"/>
    <n v="21385.663515916676"/>
    <n v="0"/>
    <n v="0"/>
    <n v="96000"/>
    <n v="96000"/>
    <m/>
    <n v="0"/>
    <n v="1.4893331597222201"/>
    <n v="1.4893331597222201"/>
    <n v="142975.98333333313"/>
    <n v="1.4222291666666667"/>
    <n v="4.7182264735034014E-2"/>
    <n v="0"/>
    <n v="144000"/>
    <n v="144000"/>
    <n v="120000"/>
    <n v="168000"/>
    <n v="48000"/>
    <n v="0"/>
    <n v="208800"/>
    <n v="208800"/>
    <n v="180000"/>
    <n v="252000"/>
    <n v="68267"/>
    <m/>
    <n v="0"/>
    <e v="#REF!"/>
    <e v="#REF!"/>
  </r>
  <r>
    <s v="Agrosuper Brasil1023329"/>
    <x v="0"/>
    <x v="2"/>
    <x v="101"/>
    <x v="89"/>
    <x v="4"/>
    <x v="14"/>
    <m/>
    <n v="15046"/>
    <n v="0"/>
    <n v="0.74227818722130146"/>
    <n v="11168.317604931703"/>
    <n v="20450.861000000001"/>
    <n v="5026"/>
    <n v="0"/>
    <n v="36142.578604931703"/>
    <n v="96000"/>
    <n v="24000"/>
    <n v="24000"/>
    <m/>
    <n v="24000"/>
    <n v="12142.578604931703"/>
    <n v="0"/>
    <m/>
    <n v="0"/>
    <n v="12142.578604931703"/>
    <n v="0"/>
    <n v="0"/>
    <n v="24000"/>
    <n v="24000"/>
    <m/>
    <n v="0"/>
    <n v="0.55000000000000004"/>
    <n v="0.55000000000000004"/>
    <n v="13200.000000000002"/>
    <n v="0.55000000000000004"/>
    <n v="0"/>
    <n v="0"/>
    <n v="24000"/>
    <n v="72000"/>
    <n v="24000"/>
    <n v="72000"/>
    <n v="72000"/>
    <n v="0"/>
    <n v="13200"/>
    <n v="39600"/>
    <n v="12000"/>
    <n v="39600"/>
    <n v="39600"/>
    <m/>
    <n v="0"/>
    <e v="#REF!"/>
    <e v="#REF!"/>
  </r>
  <r>
    <s v="Agrosuper Brasil1023334"/>
    <x v="0"/>
    <x v="2"/>
    <x v="102"/>
    <x v="92"/>
    <x v="4"/>
    <x v="18"/>
    <m/>
    <n v="144000"/>
    <n v="144000"/>
    <n v="0.74227818722130146"/>
    <n v="106888.05895986741"/>
    <n v="53629.54500000002"/>
    <n v="22044"/>
    <n v="0"/>
    <n v="180357.20395986745"/>
    <n v="72000"/>
    <n v="24000"/>
    <n v="72000"/>
    <m/>
    <n v="72000"/>
    <n v="108357.20395986745"/>
    <n v="96000"/>
    <m/>
    <n v="96000"/>
    <n v="12357.203959867446"/>
    <n v="0"/>
    <n v="0"/>
    <n v="168000"/>
    <n v="168000"/>
    <m/>
    <n v="0.63667361111111098"/>
    <n v="0.65"/>
    <n v="0.64238492063492059"/>
    <n v="107920.66666666666"/>
    <n v="0.65"/>
    <n v="1.1715506715506824E-2"/>
    <n v="0"/>
    <n v="72000"/>
    <n v="144000"/>
    <n v="168000"/>
    <n v="48000"/>
    <n v="72000"/>
    <n v="0"/>
    <n v="46800"/>
    <n v="93600"/>
    <n v="100800"/>
    <n v="29760"/>
    <n v="46800"/>
    <m/>
    <n v="0"/>
    <e v="#REF!"/>
    <e v="#REF!"/>
  </r>
  <r>
    <s v="Agrosuper Brasil1023336"/>
    <x v="0"/>
    <x v="2"/>
    <x v="103"/>
    <x v="92"/>
    <x v="4"/>
    <x v="18"/>
    <m/>
    <n v="4420"/>
    <n v="0"/>
    <n v="0.74227818722130146"/>
    <n v="3280.8695875181525"/>
    <n v="19596.204000000002"/>
    <n v="0"/>
    <n v="0"/>
    <n v="22877.073587518153"/>
    <n v="24000"/>
    <n v="24000"/>
    <n v="0"/>
    <m/>
    <n v="0"/>
    <n v="22877.073587518153"/>
    <n v="0"/>
    <m/>
    <n v="0"/>
    <n v="22877.073587518153"/>
    <n v="0"/>
    <n v="0"/>
    <n v="0"/>
    <n v="0"/>
    <m/>
    <n v="0"/>
    <n v="0.65"/>
    <n v="0"/>
    <n v="0"/>
    <n v="0.65"/>
    <s v="Sin Facturación 2022"/>
    <n v="0"/>
    <n v="24000"/>
    <n v="24000"/>
    <n v="24000"/>
    <n v="72000"/>
    <n v="0"/>
    <n v="0"/>
    <n v="15600"/>
    <n v="15600"/>
    <n v="14400"/>
    <n v="46800"/>
    <n v="0"/>
    <m/>
    <n v="0"/>
    <e v="#REF!"/>
    <e v="#REF!"/>
  </r>
  <r>
    <s v="Agrosuper Shanghai1023109"/>
    <x v="0"/>
    <x v="3"/>
    <x v="104"/>
    <x v="93"/>
    <x v="2"/>
    <x v="5"/>
    <m/>
    <n v="115626"/>
    <n v="48000"/>
    <n v="0.3938052388111854"/>
    <n v="45534.12454278212"/>
    <n v="3531.9012000000012"/>
    <n v="12185.68790700036"/>
    <n v="0"/>
    <n v="60033.144859082444"/>
    <n v="0"/>
    <n v="24000"/>
    <n v="0"/>
    <m/>
    <n v="0"/>
    <n v="60033.144859082444"/>
    <n v="48000"/>
    <m/>
    <n v="48000"/>
    <n v="12033.144859082444"/>
    <n v="0"/>
    <n v="0"/>
    <n v="48000"/>
    <n v="4800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1115"/>
    <x v="0"/>
    <x v="3"/>
    <x v="105"/>
    <x v="94"/>
    <x v="10"/>
    <x v="15"/>
    <m/>
    <n v="0"/>
    <n v="0"/>
    <n v="0.3938052388111854"/>
    <n v="0"/>
    <n v="39860"/>
    <n v="0"/>
    <n v="0"/>
    <n v="39860"/>
    <n v="0"/>
    <n v="24000"/>
    <n v="0"/>
    <m/>
    <n v="0"/>
    <n v="39860"/>
    <n v="0"/>
    <m/>
    <n v="0"/>
    <n v="39860"/>
    <n v="24000"/>
    <n v="0"/>
    <n v="24000"/>
    <n v="0"/>
    <m/>
    <n v="0"/>
    <n v="0"/>
    <n v="0"/>
    <n v="0"/>
    <n v="0.26333333333333331"/>
    <s v="Sin Facturación 2022"/>
    <n v="72000"/>
    <n v="48000"/>
    <n v="24000"/>
    <n v="48000"/>
    <n v="48000"/>
    <n v="0"/>
    <n v="21480"/>
    <n v="14400"/>
    <n v="6640"/>
    <n v="6480"/>
    <n v="12640"/>
    <n v="0"/>
    <m/>
    <n v="0"/>
    <e v="#REF!"/>
    <e v="#REF!"/>
  </r>
  <r>
    <s v="Agrosuper Shanghai1021731"/>
    <x v="0"/>
    <x v="3"/>
    <x v="106"/>
    <x v="95"/>
    <x v="13"/>
    <x v="27"/>
    <m/>
    <n v="152095"/>
    <n v="0"/>
    <n v="0.3938052388111854"/>
    <n v="59895.807796987247"/>
    <n v="73029.549635470234"/>
    <n v="27171.208000000002"/>
    <n v="0"/>
    <n v="157379.44463245748"/>
    <n v="96000"/>
    <n v="24000"/>
    <n v="96000"/>
    <m/>
    <n v="96000"/>
    <n v="61379.444632457482"/>
    <n v="0"/>
    <m/>
    <n v="0"/>
    <n v="61379.444632457482"/>
    <n v="48000"/>
    <n v="0"/>
    <n v="144000"/>
    <n v="96000"/>
    <m/>
    <n v="2.1"/>
    <n v="2.12106193181818"/>
    <n v="2.12106193181818"/>
    <n v="203621.94545454529"/>
    <n v="2.0463371212121211"/>
    <n v="3.6516373490696731E-2"/>
    <n v="312000"/>
    <n v="216000"/>
    <n v="216000"/>
    <n v="144000"/>
    <n v="168000"/>
    <n v="264000"/>
    <n v="623108.57140000002"/>
    <n v="406080"/>
    <n v="403920"/>
    <n v="265334"/>
    <n v="325720"/>
    <n v="540233"/>
    <m/>
    <n v="0"/>
    <e v="#REF!"/>
    <e v="#REF!"/>
  </r>
  <r>
    <s v="Agrosuper Shanghai1021733"/>
    <x v="0"/>
    <x v="3"/>
    <x v="107"/>
    <x v="96"/>
    <x v="9"/>
    <x v="13"/>
    <m/>
    <n v="0"/>
    <n v="0"/>
    <n v="0.3938052388111854"/>
    <n v="0"/>
    <n v="68267.900000000023"/>
    <n v="0"/>
    <n v="0"/>
    <n v="68267.900000000023"/>
    <n v="0"/>
    <n v="24000"/>
    <n v="0"/>
    <m/>
    <n v="0"/>
    <n v="68267.900000000023"/>
    <n v="0"/>
    <m/>
    <n v="0"/>
    <n v="68267.900000000023"/>
    <n v="48000"/>
    <n v="0"/>
    <n v="48000"/>
    <n v="0"/>
    <m/>
    <n v="0"/>
    <n v="0"/>
    <n v="0"/>
    <n v="0"/>
    <n v="1.8157916666666667"/>
    <s v="Sin Facturación 2022"/>
    <n v="96000"/>
    <n v="0"/>
    <n v="0"/>
    <n v="72000"/>
    <n v="24000"/>
    <n v="0"/>
    <n v="169760"/>
    <n v="0"/>
    <n v="0"/>
    <n v="65368"/>
    <n v="43579"/>
    <n v="0"/>
    <m/>
    <n v="0"/>
    <e v="#REF!"/>
    <e v="#REF!"/>
  </r>
  <r>
    <s v="Agrosuper Shanghai1021735"/>
    <x v="0"/>
    <x v="3"/>
    <x v="108"/>
    <x v="97"/>
    <x v="10"/>
    <x v="24"/>
    <m/>
    <n v="56696"/>
    <n v="0"/>
    <n v="0.3938052388111854"/>
    <n v="22327.181819638969"/>
    <n v="43315.142554923928"/>
    <n v="23413.949999999997"/>
    <n v="0"/>
    <n v="86714.879374562894"/>
    <n v="48000"/>
    <n v="24000"/>
    <n v="48000"/>
    <m/>
    <n v="48000"/>
    <n v="38714.879374562894"/>
    <n v="0"/>
    <m/>
    <n v="0"/>
    <n v="38714.879374562894"/>
    <n v="24000"/>
    <n v="0"/>
    <n v="72000"/>
    <n v="48000"/>
    <m/>
    <n v="4.5500000000000007"/>
    <n v="4.5330000000000004"/>
    <n v="4.5330000000000004"/>
    <n v="217584.00000000003"/>
    <n v="4.5221111111111112"/>
    <n v="2.4079215705546213E-3"/>
    <n v="240000"/>
    <n v="96000"/>
    <n v="96000"/>
    <n v="0"/>
    <n v="186020"/>
    <n v="72000"/>
    <n v="982080"/>
    <n v="384000"/>
    <n v="393600"/>
    <n v="0"/>
    <n v="791853"/>
    <n v="325592"/>
    <m/>
    <n v="0"/>
    <e v="#REF!"/>
    <e v="#REF!"/>
  </r>
  <r>
    <s v="Agrosuper Shanghai1021738"/>
    <x v="0"/>
    <x v="3"/>
    <x v="109"/>
    <x v="98"/>
    <x v="10"/>
    <x v="24"/>
    <m/>
    <n v="0"/>
    <n v="0"/>
    <n v="0.3938052388111854"/>
    <n v="0"/>
    <n v="0"/>
    <n v="14111.79"/>
    <n v="0"/>
    <n v="12700.611000000001"/>
    <n v="0"/>
    <n v="24000"/>
    <n v="0"/>
    <m/>
    <n v="0"/>
    <n v="12700.611000000001"/>
    <n v="0"/>
    <m/>
    <n v="0"/>
    <n v="12700.611000000001"/>
    <n v="0"/>
    <n v="0"/>
    <n v="0"/>
    <n v="0"/>
    <m/>
    <n v="0"/>
    <n v="0"/>
    <n v="0"/>
    <n v="0"/>
    <n v="1.9416666666666667"/>
    <s v="Sin Facturación 2022"/>
    <n v="48000"/>
    <n v="0"/>
    <n v="0"/>
    <n v="24000"/>
    <n v="0"/>
    <n v="0"/>
    <n v="177600"/>
    <n v="0"/>
    <n v="0"/>
    <n v="46600"/>
    <n v="0"/>
    <n v="0"/>
    <m/>
    <n v="0"/>
    <e v="#REF!"/>
    <e v="#REF!"/>
  </r>
  <r>
    <s v="Agrosuper Shanghai1021765"/>
    <x v="0"/>
    <x v="3"/>
    <x v="110"/>
    <x v="11"/>
    <x v="9"/>
    <x v="11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1.083284023668639"/>
    <s v="Sin Facturación 2022"/>
    <n v="0"/>
    <n v="0"/>
    <n v="6760"/>
    <n v="0"/>
    <n v="0"/>
    <n v="0"/>
    <n v="0"/>
    <n v="0"/>
    <n v="7323"/>
    <n v="0"/>
    <n v="0"/>
    <n v="0"/>
    <m/>
    <n v="0"/>
    <e v="#REF!"/>
    <e v="#REF!"/>
  </r>
  <r>
    <s v="Agrosuper Shanghai1021992"/>
    <x v="0"/>
    <x v="3"/>
    <x v="111"/>
    <x v="2"/>
    <x v="2"/>
    <x v="2"/>
    <m/>
    <n v="0"/>
    <n v="0"/>
    <n v="0.3938052388111854"/>
    <n v="0"/>
    <n v="0"/>
    <n v="20223.152432974235"/>
    <n v="0"/>
    <n v="18200.837189676811"/>
    <n v="48000"/>
    <n v="24000"/>
    <n v="0"/>
    <m/>
    <n v="0"/>
    <n v="18200.837189676811"/>
    <n v="0"/>
    <m/>
    <n v="0"/>
    <n v="18200.837189676811"/>
    <n v="0"/>
    <n v="0"/>
    <n v="0"/>
    <n v="0"/>
    <m/>
    <n v="0"/>
    <n v="1.5833333333333299"/>
    <n v="0"/>
    <n v="0"/>
    <n v="1.5115833333333333"/>
    <s v="Sin Facturación 2022"/>
    <n v="96000"/>
    <n v="72000"/>
    <n v="120000"/>
    <n v="0"/>
    <n v="0"/>
    <n v="0"/>
    <n v="91200"/>
    <n v="63360"/>
    <n v="181390"/>
    <n v="0"/>
    <n v="0"/>
    <n v="0"/>
    <m/>
    <n v="0"/>
    <e v="#REF!"/>
    <e v="#REF!"/>
  </r>
  <r>
    <s v="Agrosuper Shanghai1022073"/>
    <x v="0"/>
    <x v="3"/>
    <x v="112"/>
    <x v="49"/>
    <x v="2"/>
    <x v="16"/>
    <m/>
    <n v="0"/>
    <n v="0"/>
    <n v="0.3938052388111854"/>
    <n v="0"/>
    <n v="91684.601999999999"/>
    <n v="23236.051703777361"/>
    <n v="0"/>
    <n v="112597.04853339962"/>
    <n v="48000"/>
    <n v="24000"/>
    <n v="48000"/>
    <m/>
    <n v="48000"/>
    <n v="64597.048533399618"/>
    <n v="0"/>
    <m/>
    <n v="0"/>
    <n v="64597.048533399618"/>
    <n v="48000"/>
    <n v="0"/>
    <n v="96000"/>
    <n v="48000"/>
    <m/>
    <n v="1.0999999999999999"/>
    <n v="1.18333333333333"/>
    <n v="1.18333333333333"/>
    <n v="56799.99999999984"/>
    <n v="1.1000000000000001"/>
    <n v="7.5757575757572651E-2"/>
    <n v="72000"/>
    <n v="0"/>
    <n v="0"/>
    <n v="0"/>
    <n v="24000"/>
    <n v="48000"/>
    <n v="48600"/>
    <n v="0"/>
    <n v="0"/>
    <n v="0"/>
    <n v="22800"/>
    <n v="52800"/>
    <m/>
    <n v="0"/>
    <e v="#REF!"/>
    <e v="#REF!"/>
  </r>
  <r>
    <s v="Agrosuper Shanghai1022096"/>
    <x v="0"/>
    <x v="3"/>
    <x v="113"/>
    <x v="99"/>
    <x v="1"/>
    <x v="28"/>
    <m/>
    <n v="0"/>
    <n v="0"/>
    <n v="0.3938052388111854"/>
    <n v="0"/>
    <n v="69485.263471592276"/>
    <n v="29965.55380200861"/>
    <n v="0"/>
    <n v="96454.26189340002"/>
    <n v="48000"/>
    <n v="24000"/>
    <n v="48000"/>
    <m/>
    <n v="48000"/>
    <n v="48454.26189340002"/>
    <n v="0"/>
    <m/>
    <n v="0"/>
    <n v="48454.26189340002"/>
    <n v="48000"/>
    <n v="0"/>
    <n v="96000"/>
    <n v="48000"/>
    <m/>
    <n v="1.4"/>
    <n v="1.3831249999999999"/>
    <n v="1.3831249999999999"/>
    <n v="66390"/>
    <n v="1.3281904761904761"/>
    <n v="4.1360425928581662E-2"/>
    <n v="192000"/>
    <n v="264000"/>
    <n v="216000"/>
    <n v="192000"/>
    <n v="164571"/>
    <n v="168000"/>
    <n v="270080"/>
    <n v="312840"/>
    <n v="248400"/>
    <n v="222459"/>
    <n v="194168"/>
    <n v="223136"/>
    <m/>
    <n v="0"/>
    <e v="#REF!"/>
    <e v="#REF!"/>
  </r>
  <r>
    <s v="Agrosuper Shanghai1022125"/>
    <x v="0"/>
    <x v="3"/>
    <x v="114"/>
    <x v="100"/>
    <x v="13"/>
    <x v="27"/>
    <m/>
    <n v="0"/>
    <n v="0"/>
    <n v="0.3938052388111854"/>
    <n v="0"/>
    <n v="55809.822599200961"/>
    <n v="42276.888399999996"/>
    <n v="0"/>
    <n v="93859.022159200962"/>
    <n v="24000"/>
    <n v="24000"/>
    <n v="24000"/>
    <m/>
    <n v="24000"/>
    <n v="69859.022159200962"/>
    <n v="0"/>
    <m/>
    <n v="0"/>
    <n v="69859.022159200962"/>
    <n v="48000"/>
    <n v="0"/>
    <n v="72000"/>
    <n v="24000"/>
    <m/>
    <n v="3"/>
    <n v="2.95"/>
    <n v="2.95"/>
    <n v="70800"/>
    <n v="2.5883333333333334"/>
    <n v="0.13972955569864784"/>
    <n v="216000"/>
    <n v="96000"/>
    <n v="96000"/>
    <n v="120000"/>
    <n v="96000"/>
    <n v="72000"/>
    <n v="586500"/>
    <n v="239040"/>
    <n v="233280"/>
    <n v="304970"/>
    <n v="246850"/>
    <n v="186360"/>
    <m/>
    <n v="0"/>
    <e v="#REF!"/>
    <e v="#REF!"/>
  </r>
  <r>
    <s v="Agrosuper Shanghai1022183"/>
    <x v="0"/>
    <x v="3"/>
    <x v="115"/>
    <x v="101"/>
    <x v="13"/>
    <x v="34"/>
    <m/>
    <n v="0"/>
    <n v="0"/>
    <n v="0.3938052388111854"/>
    <n v="0"/>
    <n v="119400.77692033618"/>
    <n v="105568.11600000001"/>
    <n v="0"/>
    <n v="214412.0813203362"/>
    <n v="48000"/>
    <n v="24000"/>
    <n v="48000"/>
    <m/>
    <n v="48000"/>
    <n v="166412.0813203362"/>
    <n v="0"/>
    <m/>
    <n v="0"/>
    <n v="166412.0813203362"/>
    <n v="144000"/>
    <n v="0"/>
    <n v="192000"/>
    <n v="48000"/>
    <m/>
    <n v="2.1"/>
    <n v="2.1310861111111099"/>
    <n v="2.1310861111111099"/>
    <n v="102292.13333333327"/>
    <n v="2.0323944444444444"/>
    <n v="4.8559307439773533E-2"/>
    <n v="456000"/>
    <n v="408000"/>
    <n v="360000"/>
    <n v="551000"/>
    <n v="484400"/>
    <n v="360000"/>
    <n v="825106.66669999994"/>
    <n v="634440"/>
    <n v="601200"/>
    <n v="931630"/>
    <n v="890457"/>
    <n v="731662"/>
    <m/>
    <n v="0"/>
    <e v="#REF!"/>
    <e v="#REF!"/>
  </r>
  <r>
    <s v="Agrosuper Shanghai1022186"/>
    <x v="0"/>
    <x v="3"/>
    <x v="116"/>
    <x v="102"/>
    <x v="1"/>
    <x v="1"/>
    <m/>
    <n v="0"/>
    <n v="0"/>
    <n v="0.3938052388111854"/>
    <n v="0"/>
    <n v="28136.649073443583"/>
    <n v="8236.6439654434653"/>
    <n v="0"/>
    <n v="35549.628642342701"/>
    <n v="24000"/>
    <n v="24000"/>
    <n v="24000"/>
    <m/>
    <n v="24000"/>
    <n v="11549.628642342701"/>
    <n v="0"/>
    <m/>
    <n v="0"/>
    <n v="11549.628642342701"/>
    <n v="0"/>
    <n v="0"/>
    <n v="24000"/>
    <n v="24000"/>
    <m/>
    <n v="0"/>
    <n v="0.83333333333333404"/>
    <n v="0.83333333333333404"/>
    <n v="20000.000000000018"/>
    <n v="0.78316666666666668"/>
    <n v="6.405618216641927E-2"/>
    <n v="48000"/>
    <n v="48000"/>
    <n v="24000"/>
    <n v="48000"/>
    <n v="48000"/>
    <n v="24000"/>
    <n v="40800"/>
    <n v="31200"/>
    <n v="19200"/>
    <n v="43458"/>
    <n v="38400"/>
    <n v="18796"/>
    <m/>
    <n v="0"/>
    <e v="#REF!"/>
    <e v="#REF!"/>
  </r>
  <r>
    <s v="Agrosuper Shanghai1022291"/>
    <x v="0"/>
    <x v="3"/>
    <x v="117"/>
    <x v="103"/>
    <x v="13"/>
    <x v="27"/>
    <m/>
    <n v="0"/>
    <n v="0"/>
    <n v="0.3938052388111854"/>
    <n v="0"/>
    <n v="48053.821970666155"/>
    <n v="5273.5"/>
    <n v="0"/>
    <n v="52799.971970666156"/>
    <n v="24000"/>
    <n v="24000"/>
    <n v="24000"/>
    <m/>
    <n v="24000"/>
    <n v="28799.971970666156"/>
    <n v="0"/>
    <m/>
    <n v="0"/>
    <n v="28799.971970666156"/>
    <n v="24000"/>
    <n v="0"/>
    <n v="48000"/>
    <n v="24000"/>
    <m/>
    <n v="2"/>
    <n v="2.0333333333333301"/>
    <n v="2.0333333333333301"/>
    <n v="48799.99999999992"/>
    <n v="1.9611041666666666"/>
    <n v="3.6830866964824724E-2"/>
    <n v="48000"/>
    <n v="48000"/>
    <n v="48000"/>
    <n v="72000"/>
    <n v="119757"/>
    <n v="48000"/>
    <n v="77760"/>
    <n v="80400"/>
    <n v="82560"/>
    <n v="121706"/>
    <n v="206659"/>
    <n v="94133"/>
    <m/>
    <n v="0"/>
    <e v="#REF!"/>
    <e v="#REF!"/>
  </r>
  <r>
    <s v="Agrosuper Shanghai1022373"/>
    <x v="0"/>
    <x v="3"/>
    <x v="118"/>
    <x v="104"/>
    <x v="5"/>
    <x v="6"/>
    <m/>
    <n v="0"/>
    <n v="0"/>
    <n v="0.3938052388111854"/>
    <n v="0"/>
    <n v="1262.8659677528781"/>
    <n v="0"/>
    <n v="0"/>
    <n v="1262.8659677528781"/>
    <n v="0"/>
    <n v="24000"/>
    <n v="0"/>
    <m/>
    <n v="0"/>
    <n v="1262.8659677528781"/>
    <n v="0"/>
    <m/>
    <n v="0"/>
    <n v="1262.8659677528781"/>
    <n v="0"/>
    <n v="0"/>
    <n v="0"/>
    <n v="0"/>
    <m/>
    <n v="0"/>
    <n v="0"/>
    <n v="0"/>
    <n v="0"/>
    <n v="0.96001501000667111"/>
    <s v="Sin Facturación 2022"/>
    <n v="96000"/>
    <n v="96000"/>
    <n v="48000"/>
    <n v="0"/>
    <n v="48000"/>
    <n v="23984"/>
    <n v="84000"/>
    <n v="81600"/>
    <n v="40800"/>
    <n v="0"/>
    <n v="50400"/>
    <n v="23025"/>
    <m/>
    <n v="0"/>
    <e v="#REF!"/>
    <e v="#REF!"/>
  </r>
  <r>
    <s v="Agrosuper Shanghai1022378"/>
    <x v="0"/>
    <x v="3"/>
    <x v="119"/>
    <x v="105"/>
    <x v="1"/>
    <x v="1"/>
    <m/>
    <n v="0"/>
    <n v="0"/>
    <n v="0.3938052388111854"/>
    <n v="0"/>
    <n v="36224.416445065755"/>
    <n v="13124.312842512732"/>
    <n v="0"/>
    <n v="48036.298003327218"/>
    <n v="24000"/>
    <n v="24000"/>
    <n v="24000"/>
    <m/>
    <n v="24000"/>
    <n v="24036.298003327218"/>
    <n v="0"/>
    <m/>
    <n v="0"/>
    <n v="24036.298003327218"/>
    <n v="24000"/>
    <n v="0"/>
    <n v="48000"/>
    <n v="24000"/>
    <m/>
    <n v="2"/>
    <n v="2.0329375000000001"/>
    <n v="2.0329375000000001"/>
    <n v="48790.5"/>
    <n v="1.9652234057269331"/>
    <n v="3.4456181457914001E-2"/>
    <n v="72000"/>
    <n v="72000"/>
    <n v="96000"/>
    <n v="96000"/>
    <n v="96000"/>
    <n v="72290"/>
    <n v="168000"/>
    <n v="151200"/>
    <n v="187200"/>
    <n v="179840"/>
    <n v="177168"/>
    <n v="142066"/>
    <m/>
    <n v="0"/>
    <e v="#REF!"/>
    <e v="#REF!"/>
  </r>
  <r>
    <s v="Agrosuper Shanghai1022379"/>
    <x v="0"/>
    <x v="3"/>
    <x v="120"/>
    <x v="106"/>
    <x v="12"/>
    <x v="22"/>
    <m/>
    <n v="96000"/>
    <n v="96000"/>
    <n v="0.3938052388111854"/>
    <n v="37805.302925873795"/>
    <n v="0"/>
    <n v="22469.866972118558"/>
    <n v="0"/>
    <n v="58028.183200780499"/>
    <n v="0"/>
    <n v="24000"/>
    <n v="0"/>
    <m/>
    <n v="0"/>
    <n v="58028.183200780499"/>
    <n v="48000"/>
    <m/>
    <n v="48000"/>
    <n v="10028.183200780499"/>
    <n v="0"/>
    <n v="0"/>
    <n v="48000"/>
    <n v="48000"/>
    <m/>
    <n v="0"/>
    <n v="0"/>
    <n v="0"/>
    <n v="0"/>
    <n v="1.65"/>
    <s v="Sin Facturación 2022"/>
    <n v="48000"/>
    <n v="0"/>
    <n v="0"/>
    <n v="0"/>
    <n v="0"/>
    <n v="0"/>
    <n v="79200"/>
    <n v="0"/>
    <n v="0"/>
    <n v="0"/>
    <n v="0"/>
    <n v="0"/>
    <m/>
    <n v="0"/>
    <e v="#REF!"/>
    <e v="#REF!"/>
  </r>
  <r>
    <s v="Agrosuper Shanghai1022381"/>
    <x v="0"/>
    <x v="3"/>
    <x v="121"/>
    <x v="107"/>
    <x v="2"/>
    <x v="5"/>
    <m/>
    <n v="0"/>
    <n v="0"/>
    <n v="0.3938052388111854"/>
    <n v="0"/>
    <n v="17836.839100963254"/>
    <n v="0"/>
    <n v="0"/>
    <n v="17836.839100963254"/>
    <n v="24000"/>
    <n v="24000"/>
    <n v="0"/>
    <m/>
    <n v="0"/>
    <n v="17836.839100963254"/>
    <n v="0"/>
    <m/>
    <n v="0"/>
    <n v="17836.839100963254"/>
    <n v="0"/>
    <n v="0"/>
    <n v="0"/>
    <n v="0"/>
    <m/>
    <n v="0"/>
    <n v="1.1000000000000001"/>
    <n v="0"/>
    <n v="0"/>
    <n v="0.8666666666666667"/>
    <s v="Sin Facturación 2022"/>
    <n v="24000"/>
    <n v="48000"/>
    <n v="72000"/>
    <n v="96000"/>
    <n v="96000"/>
    <n v="72000"/>
    <n v="14400"/>
    <n v="30240"/>
    <n v="52560"/>
    <n v="73280"/>
    <n v="83353"/>
    <n v="62400"/>
    <m/>
    <n v="0"/>
    <e v="#REF!"/>
    <e v="#REF!"/>
  </r>
  <r>
    <s v="Agrosuper Shanghai1022389"/>
    <x v="0"/>
    <x v="3"/>
    <x v="122"/>
    <x v="108"/>
    <x v="4"/>
    <x v="4"/>
    <m/>
    <n v="2080"/>
    <n v="0"/>
    <n v="0.3938052388111854"/>
    <n v="819.11489672726566"/>
    <n v="316"/>
    <n v="0"/>
    <n v="0"/>
    <n v="1135.1148967272657"/>
    <n v="0"/>
    <n v="24000"/>
    <n v="0"/>
    <m/>
    <n v="0"/>
    <n v="1135.1148967272657"/>
    <n v="0"/>
    <m/>
    <n v="0"/>
    <n v="1135.1148967272657"/>
    <n v="0"/>
    <n v="0"/>
    <n v="0"/>
    <n v="0"/>
    <m/>
    <n v="0"/>
    <n v="0"/>
    <n v="0"/>
    <n v="0"/>
    <n v="1"/>
    <s v="Sin Facturación 2022"/>
    <n v="72000"/>
    <n v="0"/>
    <n v="0"/>
    <n v="0"/>
    <n v="0"/>
    <n v="0"/>
    <n v="72000"/>
    <n v="0"/>
    <n v="0"/>
    <n v="0"/>
    <n v="0"/>
    <n v="0"/>
    <m/>
    <n v="0"/>
    <e v="#REF!"/>
    <e v="#REF!"/>
  </r>
  <r>
    <s v="Agrosuper Shanghai1022414"/>
    <x v="0"/>
    <x v="3"/>
    <x v="123"/>
    <x v="109"/>
    <x v="0"/>
    <x v="35"/>
    <m/>
    <n v="0"/>
    <n v="0"/>
    <n v="0.3938052388111854"/>
    <n v="0"/>
    <n v="30888.733812306411"/>
    <n v="25276.799999999996"/>
    <n v="0"/>
    <n v="53637.853812306406"/>
    <n v="24000"/>
    <n v="24000"/>
    <n v="24000"/>
    <m/>
    <n v="24000"/>
    <n v="29637.853812306406"/>
    <n v="0"/>
    <m/>
    <n v="0"/>
    <n v="29637.853812306406"/>
    <n v="24000"/>
    <n v="0"/>
    <n v="48000"/>
    <n v="24000"/>
    <m/>
    <n v="1.0999999999999999"/>
    <n v="1.1083333333333301"/>
    <n v="1.1083333333333301"/>
    <n v="26599.99999999992"/>
    <n v="0.92978472222222219"/>
    <n v="0.19203220578239835"/>
    <n v="192000"/>
    <n v="192000"/>
    <n v="192000"/>
    <n v="120000"/>
    <n v="120000"/>
    <n v="144000"/>
    <n v="154240"/>
    <n v="158400"/>
    <n v="157440"/>
    <n v="100645"/>
    <n v="105556"/>
    <n v="133889"/>
    <m/>
    <n v="0"/>
    <e v="#REF!"/>
    <e v="#REF!"/>
  </r>
  <r>
    <s v="Agrosuper Shanghai1022415"/>
    <x v="0"/>
    <x v="3"/>
    <x v="124"/>
    <x v="110"/>
    <x v="5"/>
    <x v="6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.88344760039177272"/>
    <s v="Sin Facturación 2022"/>
    <n v="0"/>
    <n v="0"/>
    <n v="4084"/>
    <n v="0"/>
    <n v="0"/>
    <n v="0"/>
    <n v="0"/>
    <n v="0"/>
    <n v="3608"/>
    <n v="0"/>
    <n v="0"/>
    <n v="0"/>
    <m/>
    <n v="0"/>
    <e v="#REF!"/>
    <e v="#REF!"/>
  </r>
  <r>
    <s v="Agrosuper Shanghai1022417"/>
    <x v="0"/>
    <x v="3"/>
    <x v="125"/>
    <x v="111"/>
    <x v="4"/>
    <x v="18"/>
    <m/>
    <n v="102087"/>
    <n v="96000"/>
    <n v="0.3938052388111854"/>
    <n v="40202.395414517487"/>
    <n v="35363.945397815914"/>
    <n v="44088"/>
    <n v="0"/>
    <n v="115245.54081233341"/>
    <n v="48000"/>
    <n v="24000"/>
    <n v="48000"/>
    <m/>
    <n v="48000"/>
    <n v="67245.540812333405"/>
    <n v="48000"/>
    <m/>
    <n v="48000"/>
    <n v="19245.540812333405"/>
    <n v="0"/>
    <n v="0"/>
    <n v="96000"/>
    <n v="96000"/>
    <m/>
    <n v="0.65"/>
    <n v="0.67118055520833297"/>
    <n v="0.66059027760416655"/>
    <n v="63416.666649999992"/>
    <n v="0.65"/>
    <n v="1.6292734775640819E-2"/>
    <n v="0"/>
    <n v="0"/>
    <n v="24000"/>
    <n v="48000"/>
    <n v="24000"/>
    <n v="96000"/>
    <n v="0"/>
    <n v="0"/>
    <n v="19920"/>
    <n v="24960"/>
    <n v="15600"/>
    <n v="62400"/>
    <m/>
    <n v="0"/>
    <e v="#REF!"/>
    <e v="#REF!"/>
  </r>
  <r>
    <s v="Agrosuper Shanghai1022541"/>
    <x v="0"/>
    <x v="3"/>
    <x v="126"/>
    <x v="93"/>
    <x v="2"/>
    <x v="5"/>
    <m/>
    <n v="0"/>
    <n v="0"/>
    <n v="0.3938052388111854"/>
    <n v="0"/>
    <n v="137622.58900000001"/>
    <n v="94855.992763750372"/>
    <n v="0"/>
    <n v="222992.98248737532"/>
    <n v="96000"/>
    <n v="24000"/>
    <n v="96000"/>
    <m/>
    <n v="96000"/>
    <n v="126992.98248737532"/>
    <n v="0"/>
    <m/>
    <n v="0"/>
    <n v="126992.98248737532"/>
    <n v="120000"/>
    <n v="0"/>
    <n v="216000"/>
    <n v="96000"/>
    <m/>
    <n v="1.0999999999999999"/>
    <n v="1.1110138888888901"/>
    <n v="1.1110138888888901"/>
    <n v="106657.33333333344"/>
    <n v="1.0498402777777778"/>
    <n v="5.8269445749023804E-2"/>
    <n v="24000"/>
    <n v="72000"/>
    <n v="48000"/>
    <n v="24000"/>
    <n v="168000"/>
    <n v="144000"/>
    <n v="14400"/>
    <n v="45360"/>
    <n v="32160"/>
    <n v="7720"/>
    <n v="145332"/>
    <n v="151177"/>
    <m/>
    <n v="0"/>
    <e v="#REF!"/>
    <e v="#REF!"/>
  </r>
  <r>
    <s v="Agrosuper Shanghai1022637"/>
    <x v="0"/>
    <x v="3"/>
    <x v="127"/>
    <x v="112"/>
    <x v="1"/>
    <x v="28"/>
    <m/>
    <n v="0"/>
    <n v="0"/>
    <n v="0.3938052388111854"/>
    <n v="0"/>
    <n v="48658.437316068274"/>
    <n v="15492.519"/>
    <n v="0"/>
    <n v="62601.704416068271"/>
    <n v="24000"/>
    <n v="24000"/>
    <n v="24000"/>
    <m/>
    <n v="24000"/>
    <n v="38601.704416068271"/>
    <n v="0"/>
    <m/>
    <n v="0"/>
    <n v="38601.704416068271"/>
    <n v="24000"/>
    <n v="0"/>
    <n v="48000"/>
    <n v="24000"/>
    <m/>
    <n v="1.0999999999999999"/>
    <n v="1.0805555555555599"/>
    <n v="1.0805555555555599"/>
    <n v="25933.333333333438"/>
    <n v="1.0983333333333334"/>
    <n v="1.618614061709267E-2"/>
    <n v="144000"/>
    <n v="144000"/>
    <n v="120000"/>
    <n v="144000"/>
    <n v="71100"/>
    <n v="72000"/>
    <n v="163350"/>
    <n v="144000"/>
    <n v="120000"/>
    <n v="142519"/>
    <n v="73751"/>
    <n v="79080"/>
    <m/>
    <n v="0"/>
    <e v="#REF!"/>
    <e v="#REF!"/>
  </r>
  <r>
    <s v="Agrosuper Shanghai1022748"/>
    <x v="0"/>
    <x v="3"/>
    <x v="128"/>
    <x v="113"/>
    <x v="10"/>
    <x v="24"/>
    <m/>
    <n v="0"/>
    <n v="0"/>
    <n v="0.3938052388111854"/>
    <n v="0"/>
    <n v="38743.108509854486"/>
    <n v="26973.144000000004"/>
    <n v="0"/>
    <n v="63018.938109854491"/>
    <n v="72000"/>
    <n v="24000"/>
    <n v="48000"/>
    <m/>
    <n v="48000"/>
    <n v="15018.938109854491"/>
    <n v="0"/>
    <m/>
    <n v="0"/>
    <n v="15018.938109854491"/>
    <n v="0"/>
    <n v="0"/>
    <n v="48000"/>
    <n v="48000"/>
    <m/>
    <n v="5.0500000000000007"/>
    <n v="5.0244791666666702"/>
    <n v="5.0244791666666702"/>
    <n v="241175.00000000017"/>
    <n v="5.0304852941176472"/>
    <n v="1.1939459316182223E-3"/>
    <n v="144000"/>
    <n v="0"/>
    <n v="84000"/>
    <n v="132000"/>
    <n v="96000"/>
    <n v="68000"/>
    <n v="636000"/>
    <n v="0"/>
    <n v="398160"/>
    <n v="623093"/>
    <n v="455946"/>
    <n v="342073"/>
    <m/>
    <n v="0"/>
    <e v="#REF!"/>
    <e v="#REF!"/>
  </r>
  <r>
    <s v="Agrosuper Shanghai1022851"/>
    <x v="0"/>
    <x v="3"/>
    <x v="129"/>
    <x v="114"/>
    <x v="12"/>
    <x v="36"/>
    <m/>
    <n v="166928"/>
    <n v="168000"/>
    <n v="0.3938052388111854"/>
    <n v="65737.120904273557"/>
    <n v="4330.7949999999992"/>
    <n v="18161.536505075142"/>
    <n v="0"/>
    <n v="86413.298758841178"/>
    <n v="48000"/>
    <n v="24000"/>
    <n v="48000"/>
    <m/>
    <n v="48000"/>
    <n v="38413.298758841178"/>
    <n v="24000"/>
    <m/>
    <n v="24000"/>
    <n v="14413.298758841178"/>
    <n v="0"/>
    <n v="0"/>
    <n v="72000"/>
    <n v="72000"/>
    <m/>
    <n v="0"/>
    <n v="1.7829583333333301"/>
    <n v="1.1886388888888866"/>
    <n v="85581.99999999984"/>
    <n v="1.0333854399285396"/>
    <n v="0.15023769734077444"/>
    <n v="8596"/>
    <n v="0"/>
    <n v="8956"/>
    <n v="0"/>
    <n v="0"/>
    <n v="0"/>
    <n v="9025.7999999999993"/>
    <n v="0"/>
    <n v="9255"/>
    <n v="0"/>
    <n v="0"/>
    <n v="0"/>
    <m/>
    <n v="0"/>
    <e v="#REF!"/>
    <e v="#REF!"/>
  </r>
  <r>
    <s v="Agrosuper Shanghai1022856"/>
    <x v="0"/>
    <x v="3"/>
    <x v="130"/>
    <x v="115"/>
    <x v="2"/>
    <x v="5"/>
    <m/>
    <n v="1604"/>
    <n v="0"/>
    <n v="0.3938052388111854"/>
    <n v="631.6636030531414"/>
    <n v="32638.782852062672"/>
    <n v="5434.9277907710029"/>
    <n v="0"/>
    <n v="38161.881466809718"/>
    <n v="48000"/>
    <n v="24000"/>
    <n v="24000"/>
    <m/>
    <n v="24000"/>
    <n v="14161.881466809718"/>
    <n v="0"/>
    <m/>
    <n v="0"/>
    <n v="14161.881466809718"/>
    <n v="0"/>
    <n v="0"/>
    <n v="24000"/>
    <n v="24000"/>
    <m/>
    <n v="1.0999999999999999"/>
    <n v="1.12222222222222"/>
    <n v="1.12222222222222"/>
    <n v="26933.333333333281"/>
    <n v="0.90657700104092476"/>
    <n v="0.23786751807479461"/>
    <n v="96000"/>
    <n v="24000"/>
    <n v="120000"/>
    <n v="120000"/>
    <n v="96000"/>
    <n v="73012"/>
    <n v="59626.666700000002"/>
    <n v="14400"/>
    <n v="90000"/>
    <n v="89108"/>
    <n v="84901"/>
    <n v="66191"/>
    <m/>
    <n v="0"/>
    <e v="#REF!"/>
    <e v="#REF!"/>
  </r>
  <r>
    <s v="Agrosuper Shanghai1022945"/>
    <x v="0"/>
    <x v="3"/>
    <x v="131"/>
    <x v="49"/>
    <x v="2"/>
    <x v="16"/>
    <m/>
    <n v="0"/>
    <n v="0"/>
    <n v="0.3938052388111854"/>
    <n v="0"/>
    <n v="14910.707909487233"/>
    <n v="1434"/>
    <n v="0"/>
    <n v="16201.307909487234"/>
    <n v="0"/>
    <n v="24000"/>
    <n v="0"/>
    <m/>
    <n v="0"/>
    <n v="16201.307909487234"/>
    <n v="0"/>
    <m/>
    <n v="0"/>
    <n v="16201.307909487234"/>
    <n v="0"/>
    <n v="0"/>
    <n v="0"/>
    <n v="0"/>
    <m/>
    <n v="0"/>
    <n v="0"/>
    <n v="0"/>
    <n v="0"/>
    <n v="0.94333194848358948"/>
    <s v="Sin Facturación 2022"/>
    <n v="144000"/>
    <n v="0"/>
    <n v="0"/>
    <n v="0"/>
    <n v="48000"/>
    <n v="48140"/>
    <n v="94200"/>
    <n v="0"/>
    <n v="0"/>
    <n v="0"/>
    <n v="46080"/>
    <n v="45412"/>
    <m/>
    <n v="0"/>
    <e v="#REF!"/>
    <e v="#REF!"/>
  </r>
  <r>
    <s v="Agrosuper Shanghai1023034"/>
    <x v="0"/>
    <x v="3"/>
    <x v="132"/>
    <x v="116"/>
    <x v="4"/>
    <x v="23"/>
    <m/>
    <n v="0"/>
    <n v="0"/>
    <n v="0.3938052388111854"/>
    <n v="0"/>
    <n v="21441.814341021935"/>
    <n v="42486"/>
    <n v="0"/>
    <n v="59679.214341021936"/>
    <n v="48000"/>
    <n v="24000"/>
    <n v="48000"/>
    <m/>
    <n v="48000"/>
    <n v="11679.214341021936"/>
    <n v="0"/>
    <m/>
    <n v="0"/>
    <n v="11679.214341021936"/>
    <n v="0"/>
    <n v="0"/>
    <n v="48000"/>
    <n v="48000"/>
    <m/>
    <n v="0.75"/>
    <n v="0.73333333333333284"/>
    <n v="0.73333333333333284"/>
    <n v="35199.999999999978"/>
    <n v="0.75"/>
    <n v="2.2222222222222882E-2"/>
    <n v="120000"/>
    <n v="96000"/>
    <n v="24000"/>
    <n v="120000"/>
    <n v="72100"/>
    <n v="72000"/>
    <n v="34000"/>
    <n v="29760"/>
    <n v="7039"/>
    <n v="42744"/>
    <n v="37227"/>
    <n v="54000"/>
    <m/>
    <n v="0"/>
    <e v="#REF!"/>
    <e v="#REF!"/>
  </r>
  <r>
    <s v="Agrosuper Shanghai1023093"/>
    <x v="0"/>
    <x v="3"/>
    <x v="133"/>
    <x v="117"/>
    <x v="5"/>
    <x v="6"/>
    <m/>
    <n v="0"/>
    <n v="0"/>
    <n v="0.3938052388111854"/>
    <n v="0"/>
    <n v="0"/>
    <n v="9156"/>
    <n v="0"/>
    <n v="8240.4"/>
    <n v="0"/>
    <n v="24000"/>
    <n v="0"/>
    <m/>
    <n v="0"/>
    <n v="8240.4"/>
    <n v="0"/>
    <m/>
    <n v="0"/>
    <n v="8240.4"/>
    <n v="0"/>
    <n v="0"/>
    <n v="0"/>
    <n v="0"/>
    <m/>
    <n v="0"/>
    <n v="0"/>
    <n v="0"/>
    <n v="0"/>
    <n v="1.7450000000000001"/>
    <s v="Sin Facturación 2022"/>
    <n v="0"/>
    <n v="0"/>
    <n v="12000"/>
    <n v="12000"/>
    <n v="0"/>
    <n v="0"/>
    <n v="0"/>
    <n v="0"/>
    <n v="41800"/>
    <n v="20940"/>
    <n v="0"/>
    <n v="0"/>
    <m/>
    <n v="0"/>
    <e v="#REF!"/>
    <e v="#REF!"/>
  </r>
  <r>
    <s v="Agrosuper Shanghai1023111"/>
    <x v="0"/>
    <x v="3"/>
    <x v="134"/>
    <x v="118"/>
    <x v="2"/>
    <x v="12"/>
    <m/>
    <n v="0"/>
    <n v="0"/>
    <n v="0.3938052388111854"/>
    <n v="0"/>
    <n v="2070.6383260999701"/>
    <n v="0"/>
    <n v="0"/>
    <n v="2070.6383260999701"/>
    <n v="0"/>
    <n v="24000"/>
    <n v="0"/>
    <m/>
    <n v="0"/>
    <n v="2070.6383260999701"/>
    <n v="0"/>
    <m/>
    <n v="0"/>
    <n v="2070.6383260999701"/>
    <n v="0"/>
    <n v="0"/>
    <n v="0"/>
    <n v="0"/>
    <m/>
    <n v="0"/>
    <n v="0"/>
    <n v="0"/>
    <n v="0"/>
    <n v="0.78333333333333333"/>
    <s v="Sin Facturación 2022"/>
    <n v="48000"/>
    <n v="0"/>
    <n v="96000"/>
    <n v="0"/>
    <n v="24000"/>
    <n v="0"/>
    <n v="26400"/>
    <n v="0"/>
    <n v="58800"/>
    <n v="0"/>
    <n v="18800"/>
    <n v="0"/>
    <m/>
    <n v="0"/>
    <e v="#REF!"/>
    <e v="#REF!"/>
  </r>
  <r>
    <s v="Agrosuper Shanghai1023131"/>
    <x v="0"/>
    <x v="3"/>
    <x v="135"/>
    <x v="119"/>
    <x v="9"/>
    <x v="13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1.2333333333333334"/>
    <s v="Sin Facturación 2022"/>
    <n v="4224"/>
    <n v="0"/>
    <n v="4200"/>
    <n v="0"/>
    <n v="0"/>
    <n v="0"/>
    <n v="5280"/>
    <n v="0"/>
    <n v="5180"/>
    <n v="0"/>
    <n v="0"/>
    <n v="0"/>
    <m/>
    <n v="0"/>
    <e v="#REF!"/>
    <e v="#REF!"/>
  </r>
  <r>
    <s v="Agrosuper Shanghai1023306"/>
    <x v="0"/>
    <x v="3"/>
    <x v="136"/>
    <x v="111"/>
    <x v="4"/>
    <x v="18"/>
    <m/>
    <n v="0"/>
    <n v="0"/>
    <n v="0.3938052388111854"/>
    <n v="0"/>
    <n v="44328.631598478525"/>
    <n v="56853.287010242071"/>
    <n v="0"/>
    <n v="95496.589907696383"/>
    <n v="72000"/>
    <n v="24000"/>
    <n v="72000"/>
    <m/>
    <n v="72000"/>
    <n v="23496.589907696383"/>
    <n v="0"/>
    <m/>
    <n v="0"/>
    <n v="23496.589907696383"/>
    <n v="0"/>
    <n v="0"/>
    <n v="72000"/>
    <n v="72000"/>
    <m/>
    <n v="0.8"/>
    <n v="0.88333333333333297"/>
    <n v="0.88333333333333297"/>
    <n v="63599.999999999971"/>
    <n v="0.8"/>
    <n v="0.10416666666666616"/>
    <n v="144000"/>
    <n v="72000"/>
    <n v="72000"/>
    <n v="144000"/>
    <n v="96000"/>
    <n v="96000"/>
    <n v="83520"/>
    <n v="46800"/>
    <n v="59760"/>
    <n v="108784"/>
    <n v="85572"/>
    <n v="76800"/>
    <m/>
    <n v="0"/>
    <e v="#REF!"/>
    <e v="#REF!"/>
  </r>
  <r>
    <s v="Exportacion Directa1020105"/>
    <x v="0"/>
    <x v="4"/>
    <x v="137"/>
    <x v="120"/>
    <x v="6"/>
    <x v="8"/>
    <m/>
    <n v="59439"/>
    <n v="60000"/>
    <n v="0.7577362385835783"/>
    <n v="45039.084285169309"/>
    <n v="37283.631999999991"/>
    <n v="9644.8124321791947"/>
    <n v="0"/>
    <n v="91003.047474130581"/>
    <n v="50000"/>
    <n v="2419.3548387096776"/>
    <n v="50000"/>
    <m/>
    <n v="50000"/>
    <n v="41003.047474130581"/>
    <n v="38709.677419354841"/>
    <m/>
    <n v="38709.677419354841"/>
    <n v="2293.3700547757398"/>
    <n v="0"/>
    <n v="0"/>
    <n v="88709.677419354848"/>
    <n v="88709.677419354848"/>
    <m/>
    <n v="2.86263333333333"/>
    <n v="3.7150862764000001"/>
    <n v="3.3431068103345436"/>
    <n v="296565.92672322568"/>
    <n v="3.7648891880437763"/>
    <n v="0.11203048925017349"/>
    <n v="53000"/>
    <n v="35000"/>
    <n v="40000"/>
    <n v="55000"/>
    <n v="58500"/>
    <n v="40113"/>
    <n v="242802.9852"/>
    <n v="150434"/>
    <n v="172191"/>
    <n v="229340"/>
    <n v="240695"/>
    <n v="151021"/>
    <m/>
    <n v="0"/>
    <e v="#REF!"/>
    <e v="#REF!"/>
  </r>
  <r>
    <s v="Exportacion Directa1020110"/>
    <x v="0"/>
    <x v="4"/>
    <x v="138"/>
    <x v="121"/>
    <x v="6"/>
    <x v="37"/>
    <m/>
    <n v="835830"/>
    <n v="550000"/>
    <n v="0.7577362385835783"/>
    <n v="633338.6802953122"/>
    <n v="177658.94999999981"/>
    <n v="89651.225510581629"/>
    <n v="0"/>
    <n v="891683.73325483548"/>
    <n v="805840"/>
    <n v="6247.0588235294117"/>
    <n v="805840"/>
    <m/>
    <n v="805840"/>
    <n v="85843.733254835475"/>
    <n v="81211.76470588235"/>
    <m/>
    <n v="81211.76470588235"/>
    <n v="4631.9685489531257"/>
    <n v="0"/>
    <n v="0"/>
    <n v="887051.76470588241"/>
    <n v="887051.76470588241"/>
    <m/>
    <n v="2.8403345454545499"/>
    <n v="3.2645190144059928"/>
    <n v="3.2256838858881021"/>
    <n v="2861348.5833603693"/>
    <n v="3.3115621539062894"/>
    <n v="2.5932857070759211E-2"/>
    <n v="412200"/>
    <n v="240000"/>
    <n v="400000"/>
    <n v="460000"/>
    <n v="600000"/>
    <n v="690745"/>
    <n v="1698264"/>
    <n v="924341"/>
    <n v="1528601"/>
    <n v="1681228"/>
    <n v="2172336"/>
    <n v="2287445"/>
    <m/>
    <n v="0"/>
    <e v="#REF!"/>
    <e v="#REF!"/>
  </r>
  <r>
    <s v="Exportacion Directa1020284"/>
    <x v="0"/>
    <x v="4"/>
    <x v="139"/>
    <x v="122"/>
    <x v="9"/>
    <x v="21"/>
    <m/>
    <n v="0"/>
    <n v="10000"/>
    <n v="0.7577362385835783"/>
    <n v="0"/>
    <n v="13589.065000000002"/>
    <n v="0"/>
    <n v="0"/>
    <n v="13589.065000000002"/>
    <n v="2500"/>
    <n v="2333.3333333333335"/>
    <n v="2500"/>
    <m/>
    <n v="2500"/>
    <n v="11089.065000000002"/>
    <n v="9333.3333333333339"/>
    <m/>
    <n v="9333.3333333333339"/>
    <n v="1755.7316666666684"/>
    <n v="0"/>
    <n v="0"/>
    <n v="11833.333333333334"/>
    <n v="11833.333333333334"/>
    <m/>
    <n v="2.0110000000000001"/>
    <n v="3.5415782"/>
    <n v="2.3343615915492961"/>
    <n v="27623.278833333337"/>
    <n v="3.6033650710838661"/>
    <n v="0.35217177679775391"/>
    <n v="11750"/>
    <n v="5750"/>
    <n v="4000"/>
    <n v="17000"/>
    <n v="23200"/>
    <n v="7667"/>
    <n v="50760"/>
    <n v="23396"/>
    <n v="16318"/>
    <n v="67201"/>
    <n v="89295"/>
    <n v="27627"/>
    <m/>
    <n v="0"/>
    <e v="#REF!"/>
    <e v="#REF!"/>
  </r>
  <r>
    <s v="Exportacion Directa1020326"/>
    <x v="0"/>
    <x v="4"/>
    <x v="140"/>
    <x v="123"/>
    <x v="12"/>
    <x v="22"/>
    <m/>
    <n v="293068"/>
    <n v="264000"/>
    <n v="0.7577362385835783"/>
    <n v="222068.24396921214"/>
    <n v="1160.04"/>
    <n v="35250"/>
    <n v="0"/>
    <n v="254953.28396921215"/>
    <n v="24000"/>
    <n v="24000"/>
    <n v="24000"/>
    <m/>
    <n v="24000"/>
    <n v="230953.28396921215"/>
    <n v="216000"/>
    <m/>
    <n v="216000"/>
    <n v="14953.283969212149"/>
    <n v="0"/>
    <n v="0"/>
    <n v="240000"/>
    <n v="240000"/>
    <m/>
    <n v="3.0896098484848502"/>
    <n v="2.3718963143939402"/>
    <n v="3.0178384950757593"/>
    <n v="724281.23881818226"/>
    <n v="2.3741826923076923"/>
    <n v="0.27110626526488457"/>
    <n v="296000"/>
    <n v="264000"/>
    <n v="240000"/>
    <n v="408000"/>
    <n v="360000"/>
    <n v="312000"/>
    <n v="858400"/>
    <n v="679729"/>
    <n v="615492"/>
    <n v="1018883"/>
    <n v="897600"/>
    <n v="740745"/>
    <m/>
    <n v="0"/>
    <e v="#REF!"/>
    <e v="#REF!"/>
  </r>
  <r>
    <s v="Exportacion Directa1020589"/>
    <x v="0"/>
    <x v="4"/>
    <x v="141"/>
    <x v="124"/>
    <x v="6"/>
    <x v="37"/>
    <m/>
    <n v="111048"/>
    <n v="120000"/>
    <n v="0.7577362385835783"/>
    <n v="84145.093822229202"/>
    <n v="108465.87299999991"/>
    <n v="17302.923636427706"/>
    <n v="0"/>
    <n v="208183.59809501402"/>
    <n v="92600"/>
    <n v="3265.3061224489797"/>
    <n v="92600"/>
    <m/>
    <n v="92600"/>
    <n v="115583.59809501402"/>
    <n v="114285.71428571429"/>
    <m/>
    <n v="114285.71428571429"/>
    <n v="1297.8838092997321"/>
    <n v="0"/>
    <n v="0"/>
    <n v="206885.71428571429"/>
    <n v="206885.71428571429"/>
    <m/>
    <n v="4.2162583333333297"/>
    <n v="3.4872611945374343"/>
    <n v="3.8899664224318666"/>
    <n v="804778.48185226135"/>
    <n v="3.5343730210005821"/>
    <n v="0.10061003728763634"/>
    <n v="64100"/>
    <n v="43000"/>
    <n v="100000"/>
    <n v="110000"/>
    <n v="144100"/>
    <n v="156329"/>
    <n v="282040"/>
    <n v="174732"/>
    <n v="416231"/>
    <n v="439164"/>
    <n v="561670"/>
    <n v="552525"/>
    <m/>
    <n v="0"/>
    <e v="#REF!"/>
    <e v="#REF!"/>
  </r>
  <r>
    <s v="Exportacion Directa1020592"/>
    <x v="0"/>
    <x v="4"/>
    <x v="142"/>
    <x v="125"/>
    <x v="6"/>
    <x v="20"/>
    <m/>
    <n v="168664"/>
    <n v="170000"/>
    <n v="0.7577362385835783"/>
    <n v="127802.82494446065"/>
    <n v="214604.9009999999"/>
    <n v="30309.478005669196"/>
    <n v="0"/>
    <n v="369686.25614956283"/>
    <n v="228660"/>
    <n v="6485.6164383561645"/>
    <n v="228660"/>
    <m/>
    <n v="228660"/>
    <n v="141026.25614956283"/>
    <n v="136197.94520547945"/>
    <m/>
    <n v="136197.94520547945"/>
    <n v="4828.3109440833796"/>
    <n v="0"/>
    <n v="0"/>
    <n v="364857.94520547945"/>
    <n v="364857.94520547945"/>
    <m/>
    <n v="2.7019470588235301"/>
    <n v="3.4051028949584747"/>
    <n v="3.1426216161504015"/>
    <n v="1146610.4654269584"/>
    <n v="3.4191270383198833"/>
    <n v="8.0870180917686274E-2"/>
    <n v="0"/>
    <n v="90000"/>
    <n v="280000"/>
    <n v="280000"/>
    <n v="270000"/>
    <n v="282647"/>
    <n v="0"/>
    <n v="178762"/>
    <n v="1095385"/>
    <n v="1052959"/>
    <n v="1004342"/>
    <n v="966406"/>
    <m/>
    <n v="0"/>
    <e v="#REF!"/>
    <e v="#REF!"/>
  </r>
  <r>
    <s v="Exportacion Directa1020620"/>
    <x v="0"/>
    <x v="4"/>
    <x v="143"/>
    <x v="126"/>
    <x v="6"/>
    <x v="20"/>
    <m/>
    <n v="28151"/>
    <n v="30000"/>
    <n v="0.7577362385835783"/>
    <n v="21331.032852366312"/>
    <n v="28268.07900000002"/>
    <n v="11634.400021181593"/>
    <n v="0"/>
    <n v="60070.071871429769"/>
    <n v="38400"/>
    <n v="3142.8571428571427"/>
    <n v="38400"/>
    <m/>
    <n v="38400"/>
    <n v="21670.071871429769"/>
    <n v="18857.142857142855"/>
    <m/>
    <n v="18857.142857142855"/>
    <n v="2812.929014286914"/>
    <n v="0"/>
    <n v="0"/>
    <n v="57257.142857142855"/>
    <n v="57257.142857142855"/>
    <m/>
    <n v="3.8277666666666699"/>
    <n v="3.3824556072569463"/>
    <n v="3.5291149382002689"/>
    <n v="202067.03817580966"/>
    <n v="3.4191250000000002"/>
    <n v="3.2169031024097891E-2"/>
    <n v="17000"/>
    <n v="3000"/>
    <n v="16000"/>
    <n v="30000"/>
    <n v="40857"/>
    <n v="48000"/>
    <n v="70380"/>
    <n v="11767"/>
    <n v="62416"/>
    <n v="112375"/>
    <n v="149276"/>
    <n v="164118"/>
    <m/>
    <n v="0"/>
    <e v="#REF!"/>
    <e v="#REF!"/>
  </r>
  <r>
    <s v="Exportacion Directa1020636"/>
    <x v="0"/>
    <x v="4"/>
    <x v="144"/>
    <x v="127"/>
    <x v="11"/>
    <x v="19"/>
    <m/>
    <n v="12525"/>
    <n v="10000"/>
    <n v="0.7577362385835783"/>
    <n v="9490.646388259318"/>
    <n v="16735.11"/>
    <n v="3445.9428168835798"/>
    <n v="0"/>
    <n v="29327.104923454539"/>
    <n v="21000"/>
    <n v="1333.3333333333333"/>
    <n v="21000"/>
    <m/>
    <n v="21000"/>
    <n v="8327.1049234545389"/>
    <n v="8000"/>
    <m/>
    <n v="8000"/>
    <n v="327.10492345453895"/>
    <n v="0"/>
    <n v="0"/>
    <n v="29000"/>
    <n v="29000"/>
    <m/>
    <n v="4.5270999999999999"/>
    <n v="4.1743675468864465"/>
    <n v="4.2716730511936332"/>
    <n v="123878.51848461536"/>
    <n v="4.1875185441598255"/>
    <n v="2.0096509698130122E-2"/>
    <n v="14500"/>
    <n v="14500"/>
    <n v="15000"/>
    <n v="18000"/>
    <n v="20000"/>
    <n v="30333"/>
    <n v="73613.435800000007"/>
    <n v="69303"/>
    <n v="71866"/>
    <n v="83082"/>
    <n v="89555"/>
    <n v="127020"/>
    <m/>
    <n v="0"/>
    <e v="#REF!"/>
    <e v="#REF!"/>
  </r>
  <r>
    <s v="Exportacion Directa1020637"/>
    <x v="0"/>
    <x v="4"/>
    <x v="145"/>
    <x v="128"/>
    <x v="8"/>
    <x v="10"/>
    <m/>
    <n v="216563"/>
    <n v="140000"/>
    <n v="0.7577362385835783"/>
    <n v="164097.63303637548"/>
    <n v="93110.786999999997"/>
    <n v="38313.07184653962"/>
    <n v="0"/>
    <n v="291690.18469826115"/>
    <n v="195600"/>
    <n v="4750"/>
    <n v="195600"/>
    <m/>
    <n v="195600"/>
    <n v="96090.184698261146"/>
    <n v="95000"/>
    <m/>
    <n v="95000"/>
    <n v="1090.184698261146"/>
    <n v="0"/>
    <n v="0"/>
    <n v="290600"/>
    <n v="290600"/>
    <m/>
    <n v="7.4092642857142801"/>
    <n v="4.3973345510624169"/>
    <n v="5.3819640238495019"/>
    <n v="1563998.7453306653"/>
    <n v="4.4487126537785588"/>
    <n v="0.20978009655855759"/>
    <n v="193900"/>
    <n v="170000"/>
    <n v="190000"/>
    <n v="270000"/>
    <n v="253474"/>
    <n v="227600"/>
    <n v="942354"/>
    <n v="841715"/>
    <n v="947734"/>
    <n v="1311648"/>
    <n v="1212707"/>
    <n v="1012527"/>
    <m/>
    <n v="0"/>
    <e v="#REF!"/>
    <e v="#REF!"/>
  </r>
  <r>
    <s v="Exportacion Directa1020662"/>
    <x v="0"/>
    <x v="4"/>
    <x v="146"/>
    <x v="129"/>
    <x v="9"/>
    <x v="21"/>
    <m/>
    <n v="22985"/>
    <n v="20000"/>
    <n v="0.7577362385835783"/>
    <n v="17416.567443843549"/>
    <n v="25379.756000000005"/>
    <n v="7841.66"/>
    <n v="0"/>
    <n v="49853.817443843553"/>
    <n v="23000"/>
    <n v="5000"/>
    <n v="23000"/>
    <m/>
    <n v="23000"/>
    <n v="26853.817443843553"/>
    <n v="25000"/>
    <m/>
    <n v="25000"/>
    <n v="1853.8174438435526"/>
    <n v="0"/>
    <n v="0"/>
    <n v="48000"/>
    <n v="48000"/>
    <m/>
    <n v="4.0608500000000003"/>
    <n v="3.5526711830434783"/>
    <n v="3.8173476502083332"/>
    <n v="183232.68721"/>
    <n v="3.6419365079365078"/>
    <n v="4.8164250499581597E-2"/>
    <n v="30000"/>
    <n v="5000"/>
    <n v="4000"/>
    <n v="20000"/>
    <n v="22000"/>
    <n v="31500"/>
    <n v="139120.984"/>
    <n v="20587"/>
    <n v="16511"/>
    <n v="79963"/>
    <n v="84292"/>
    <n v="114721"/>
    <m/>
    <n v="0"/>
    <e v="#REF!"/>
    <e v="#REF!"/>
  </r>
  <r>
    <s v="Exportacion Directa1020664"/>
    <x v="0"/>
    <x v="4"/>
    <x v="147"/>
    <x v="130"/>
    <x v="9"/>
    <x v="21"/>
    <m/>
    <n v="4766"/>
    <n v="3000"/>
    <n v="0.7577362385835783"/>
    <n v="3611.3709130893344"/>
    <n v="2367.1749999999997"/>
    <n v="1566.76"/>
    <n v="0"/>
    <n v="7388.629913089334"/>
    <n v="6000"/>
    <n v="3000"/>
    <n v="6000"/>
    <m/>
    <n v="6000"/>
    <n v="1388.629913089334"/>
    <n v="0"/>
    <m/>
    <n v="0"/>
    <n v="1388.629913089334"/>
    <n v="0"/>
    <n v="0"/>
    <n v="6000"/>
    <n v="6000"/>
    <m/>
    <n v="4.0609999999999999"/>
    <n v="3.5594047166666702"/>
    <n v="3.5594047166666702"/>
    <n v="21356.428300000021"/>
    <n v="3.6419999999999999"/>
    <n v="2.2678551162363992E-2"/>
    <n v="0"/>
    <n v="3000"/>
    <n v="3000"/>
    <n v="3000"/>
    <n v="0"/>
    <n v="3000"/>
    <n v="0"/>
    <n v="12115"/>
    <n v="12506"/>
    <n v="12074"/>
    <n v="0"/>
    <n v="10926"/>
    <m/>
    <n v="0"/>
    <e v="#REF!"/>
    <e v="#REF!"/>
  </r>
  <r>
    <s v="Exportacion Directa1020665"/>
    <x v="0"/>
    <x v="4"/>
    <x v="148"/>
    <x v="131"/>
    <x v="9"/>
    <x v="21"/>
    <m/>
    <n v="14854"/>
    <n v="11000"/>
    <n v="0.7577362385835783"/>
    <n v="11255.414087920472"/>
    <n v="5542.501000000002"/>
    <n v="0"/>
    <n v="0"/>
    <n v="16797.915087920475"/>
    <n v="9400"/>
    <n v="2333.3333333333335"/>
    <n v="9400"/>
    <m/>
    <n v="9400"/>
    <n v="7397.9150879204753"/>
    <n v="7000"/>
    <m/>
    <n v="7000"/>
    <n v="397.91508792047534"/>
    <n v="0"/>
    <n v="0"/>
    <n v="16400"/>
    <n v="16400"/>
    <m/>
    <n v="1.8281818181818199"/>
    <n v="3.6196908623100312"/>
    <n v="2.8550223678650628"/>
    <n v="46822.366832987027"/>
    <n v="3.6035164835164837"/>
    <n v="0.2077121387054138"/>
    <n v="11750"/>
    <n v="4750"/>
    <n v="5000"/>
    <n v="15000"/>
    <n v="17000"/>
    <n v="9100"/>
    <n v="50760"/>
    <n v="19327"/>
    <n v="20397"/>
    <n v="59295"/>
    <n v="65444"/>
    <n v="32792"/>
    <m/>
    <n v="0"/>
    <e v="#REF!"/>
    <e v="#REF!"/>
  </r>
  <r>
    <s v="Exportacion Directa1020678"/>
    <x v="0"/>
    <x v="4"/>
    <x v="149"/>
    <x v="132"/>
    <x v="6"/>
    <x v="8"/>
    <m/>
    <n v="0"/>
    <n v="0"/>
    <n v="0.7577362385835783"/>
    <n v="0"/>
    <n v="0"/>
    <n v="1230"/>
    <n v="0"/>
    <n v="1107"/>
    <n v="500"/>
    <n v="500"/>
    <n v="500"/>
    <m/>
    <n v="500"/>
    <n v="607"/>
    <n v="0"/>
    <m/>
    <n v="0"/>
    <n v="607"/>
    <n v="500"/>
    <n v="0"/>
    <n v="1000"/>
    <n v="500"/>
    <m/>
    <n v="0"/>
    <n v="4.7642328000000003"/>
    <n v="4.7642328000000003"/>
    <n v="2382.1164000000003"/>
    <n v="4.7640000000000002"/>
    <n v="4.8866498740561073E-5"/>
    <n v="0"/>
    <n v="500"/>
    <n v="0"/>
    <n v="500"/>
    <n v="500"/>
    <n v="0"/>
    <n v="0"/>
    <n v="2794"/>
    <n v="0"/>
    <n v="1255"/>
    <n v="2382"/>
    <n v="0"/>
    <m/>
    <n v="0"/>
    <e v="#REF!"/>
    <e v="#REF!"/>
  </r>
  <r>
    <s v="Exportacion Directa1020681"/>
    <x v="0"/>
    <x v="4"/>
    <x v="150"/>
    <x v="133"/>
    <x v="6"/>
    <x v="37"/>
    <m/>
    <n v="14554"/>
    <n v="15000"/>
    <n v="0.7577362385835783"/>
    <n v="11028.093216345398"/>
    <n v="8788.8920000000016"/>
    <n v="1911.7028484921752"/>
    <n v="0"/>
    <n v="21537.517779988357"/>
    <n v="10000"/>
    <n v="6666.666666666667"/>
    <n v="10000"/>
    <m/>
    <n v="10000"/>
    <n v="11537.517779988357"/>
    <n v="6666.666666666667"/>
    <m/>
    <n v="6666.666666666667"/>
    <n v="4870.8511133216898"/>
    <n v="0"/>
    <n v="0"/>
    <n v="16666.666666666668"/>
    <n v="16666.666666666668"/>
    <m/>
    <n v="4.3716666666666697"/>
    <n v="3.7598951860000001"/>
    <n v="4.0046037782666675"/>
    <n v="66743.396304444468"/>
    <n v="3.7648666666666668"/>
    <n v="6.3677450710959399E-2"/>
    <n v="14250"/>
    <n v="11250"/>
    <n v="15000"/>
    <n v="22000"/>
    <n v="20545"/>
    <n v="15000"/>
    <n v="62607.7163"/>
    <n v="48073"/>
    <n v="63995"/>
    <n v="91022"/>
    <n v="82702"/>
    <n v="56473"/>
    <m/>
    <n v="0"/>
    <e v="#REF!"/>
    <e v="#REF!"/>
  </r>
  <r>
    <s v="Exportacion Directa1020704"/>
    <x v="0"/>
    <x v="4"/>
    <x v="151"/>
    <x v="134"/>
    <x v="11"/>
    <x v="19"/>
    <m/>
    <n v="0"/>
    <n v="1000"/>
    <n v="0.7577362385835783"/>
    <n v="0"/>
    <n v="2165"/>
    <n v="366.88169977389452"/>
    <n v="0"/>
    <n v="2495.1935297965051"/>
    <n v="1000"/>
    <n v="500"/>
    <n v="1000"/>
    <m/>
    <n v="1000"/>
    <n v="1495.1935297965051"/>
    <n v="1000"/>
    <m/>
    <n v="1000"/>
    <n v="495.19352979650512"/>
    <n v="0"/>
    <n v="0"/>
    <n v="2000"/>
    <n v="2000"/>
    <m/>
    <n v="4.76"/>
    <n v="4.3695031999999996"/>
    <n v="4.5647515999999992"/>
    <n v="9129.5031999999992"/>
    <n v="4.4565000000000001"/>
    <n v="2.4290721418153059E-2"/>
    <n v="0"/>
    <n v="500"/>
    <n v="500"/>
    <n v="1500"/>
    <n v="1500"/>
    <n v="2000"/>
    <n v="0"/>
    <n v="2544"/>
    <n v="2594"/>
    <n v="7446"/>
    <n v="7399"/>
    <n v="8913"/>
    <m/>
    <n v="0"/>
    <e v="#REF!"/>
    <e v="#REF!"/>
  </r>
  <r>
    <s v="Exportacion Directa1020715"/>
    <x v="0"/>
    <x v="4"/>
    <x v="152"/>
    <x v="135"/>
    <x v="8"/>
    <x v="26"/>
    <m/>
    <n v="2000"/>
    <n v="2000"/>
    <n v="0.7577362385835783"/>
    <n v="1515.4724771671565"/>
    <n v="639.37099999999987"/>
    <n v="0"/>
    <n v="0"/>
    <n v="2154.8434771671564"/>
    <n v="2000"/>
    <n v="2000"/>
    <n v="2000"/>
    <m/>
    <n v="2000"/>
    <n v="154.84347716715638"/>
    <n v="0"/>
    <m/>
    <n v="0"/>
    <n v="154.84347716715638"/>
    <n v="0"/>
    <n v="0"/>
    <n v="2000"/>
    <n v="2000"/>
    <m/>
    <n v="5.2649999999999997"/>
    <n v="4.1281009500000003"/>
    <n v="4.1281009500000003"/>
    <n v="8256.2019"/>
    <n v="4.2104999999999997"/>
    <n v="1.9569896686854143E-2"/>
    <n v="3000"/>
    <n v="2000"/>
    <n v="2000"/>
    <n v="4000"/>
    <n v="6000"/>
    <n v="2000"/>
    <n v="14885.3922"/>
    <n v="9329"/>
    <n v="9271"/>
    <n v="18229"/>
    <n v="26806"/>
    <n v="8421"/>
    <m/>
    <n v="0"/>
    <e v="#REF!"/>
    <e v="#REF!"/>
  </r>
  <r>
    <s v="Exportacion Directa1020731"/>
    <x v="0"/>
    <x v="4"/>
    <x v="153"/>
    <x v="136"/>
    <x v="8"/>
    <x v="10"/>
    <m/>
    <n v="35099"/>
    <n v="20000"/>
    <n v="0.7577362385835783"/>
    <n v="26595.784238045017"/>
    <n v="3819.9409999999998"/>
    <n v="2772.2833643306276"/>
    <n v="0"/>
    <n v="32910.78026594258"/>
    <n v="20500"/>
    <n v="2500"/>
    <n v="20500"/>
    <m/>
    <n v="20500"/>
    <n v="12410.78026594258"/>
    <n v="10000"/>
    <m/>
    <n v="10000"/>
    <n v="2410.7802659425797"/>
    <n v="0"/>
    <n v="0"/>
    <n v="30500"/>
    <n v="30500"/>
    <m/>
    <n v="5.7702499999999999"/>
    <n v="4.5512995091463413"/>
    <n v="4.9509554077868856"/>
    <n v="151004.1399375"/>
    <n v="4.6331363636363641"/>
    <n v="6.859695446155141E-2"/>
    <n v="18000"/>
    <n v="6000"/>
    <n v="10000"/>
    <n v="20000"/>
    <n v="18000"/>
    <n v="22000"/>
    <n v="99485.017300000007"/>
    <n v="31124"/>
    <n v="51494"/>
    <n v="100776"/>
    <n v="87382"/>
    <n v="101929"/>
    <m/>
    <n v="0"/>
    <e v="#REF!"/>
    <e v="#REF!"/>
  </r>
  <r>
    <s v="Exportacion Directa1020758"/>
    <x v="0"/>
    <x v="4"/>
    <x v="154"/>
    <x v="137"/>
    <x v="6"/>
    <x v="20"/>
    <m/>
    <n v="5065"/>
    <n v="3000"/>
    <n v="0.7577362385835783"/>
    <n v="3837.9340484258241"/>
    <n v="608.31899999999996"/>
    <n v="995.59069963081197"/>
    <n v="0"/>
    <n v="5342.2846780935552"/>
    <n v="3000"/>
    <n v="3250"/>
    <n v="3000"/>
    <m/>
    <n v="3000"/>
    <n v="2342.2846780935552"/>
    <n v="0"/>
    <m/>
    <n v="0"/>
    <n v="2342.2846780935552"/>
    <n v="0"/>
    <n v="0"/>
    <n v="3000"/>
    <n v="3000"/>
    <m/>
    <n v="4.13866666666667"/>
    <n v="3.6064778333333298"/>
    <n v="3.6064778333333298"/>
    <n v="10819.43349999999"/>
    <n v="3.7263333333333333"/>
    <n v="3.2164460148493633E-2"/>
    <n v="8000"/>
    <n v="5000"/>
    <n v="8000"/>
    <n v="12000"/>
    <n v="6000"/>
    <n v="3000"/>
    <n v="35636.778700000003"/>
    <n v="20917"/>
    <n v="33318"/>
    <n v="48487"/>
    <n v="23733"/>
    <n v="11179"/>
    <m/>
    <n v="0"/>
    <e v="#REF!"/>
    <e v="#REF!"/>
  </r>
  <r>
    <s v="Exportacion Directa1020774"/>
    <x v="0"/>
    <x v="4"/>
    <x v="155"/>
    <x v="138"/>
    <x v="14"/>
    <x v="29"/>
    <m/>
    <n v="13218"/>
    <n v="8000"/>
    <n v="0.7577362385835783"/>
    <n v="10015.757601597737"/>
    <n v="3165"/>
    <n v="1243"/>
    <n v="0"/>
    <n v="14299.457601597738"/>
    <n v="10000"/>
    <n v="952.38095238095241"/>
    <n v="10000"/>
    <m/>
    <n v="10000"/>
    <n v="4299.4576015977382"/>
    <n v="3809.5238095238096"/>
    <m/>
    <n v="3809.5238095238096"/>
    <n v="489.93379207392854"/>
    <n v="0"/>
    <n v="0"/>
    <n v="13809.523809523809"/>
    <n v="13809.523809523809"/>
    <m/>
    <n v="6.7803750000000003"/>
    <n v="5.5324422212500002"/>
    <n v="5.8766995395258625"/>
    <n v="81154.422212500009"/>
    <n v="5.6471397538015928"/>
    <n v="4.0650629474812017E-2"/>
    <n v="6500"/>
    <n v="9000"/>
    <n v="7000"/>
    <n v="7000"/>
    <n v="12778"/>
    <n v="13810"/>
    <n v="39650"/>
    <n v="55209"/>
    <n v="42742"/>
    <n v="42209"/>
    <n v="76257"/>
    <n v="77987"/>
    <m/>
    <n v="0"/>
    <e v="#REF!"/>
    <e v="#REF!"/>
  </r>
  <r>
    <s v="Exportacion Directa1020802"/>
    <x v="0"/>
    <x v="4"/>
    <x v="156"/>
    <x v="139"/>
    <x v="8"/>
    <x v="10"/>
    <m/>
    <n v="60946"/>
    <n v="60000"/>
    <n v="0.7577362385835783"/>
    <n v="46180.992796714767"/>
    <n v="58085.028999999995"/>
    <n v="0"/>
    <n v="0"/>
    <n v="104266.02179671476"/>
    <n v="55400"/>
    <n v="8437.5"/>
    <n v="55400"/>
    <m/>
    <n v="55400"/>
    <n v="48866.021796714762"/>
    <n v="42187.5"/>
    <m/>
    <n v="42187.5"/>
    <n v="6678.5217967147619"/>
    <n v="0"/>
    <n v="0"/>
    <n v="97587.5"/>
    <n v="97587.5"/>
    <m/>
    <n v="5.30406666666667"/>
    <n v="4.1429464038053849"/>
    <n v="4.6449037353228482"/>
    <n v="453284.54327081842"/>
    <n v="4.1720854305536665"/>
    <n v="0.1133290083914785"/>
    <n v="103000"/>
    <n v="47000"/>
    <n v="95000"/>
    <n v="130000"/>
    <n v="92821"/>
    <n v="95563"/>
    <n v="518029.43709999998"/>
    <n v="220820"/>
    <n v="445408"/>
    <n v="591029"/>
    <n v="410262"/>
    <n v="398697"/>
    <m/>
    <n v="0"/>
    <e v="#REF!"/>
    <e v="#REF!"/>
  </r>
  <r>
    <s v="Exportacion Directa1020810"/>
    <x v="0"/>
    <x v="4"/>
    <x v="157"/>
    <x v="140"/>
    <x v="10"/>
    <x v="25"/>
    <m/>
    <n v="3121"/>
    <n v="2000"/>
    <n v="0.7577362385835783"/>
    <n v="2364.8948006193477"/>
    <n v="1290.04"/>
    <n v="0"/>
    <n v="0"/>
    <n v="3654.9348006193477"/>
    <n v="3000"/>
    <n v="1500"/>
    <n v="3000"/>
    <m/>
    <n v="3000"/>
    <n v="654.9348006193477"/>
    <n v="0"/>
    <m/>
    <n v="0"/>
    <n v="654.9348006193477"/>
    <n v="0"/>
    <n v="0"/>
    <n v="3000"/>
    <n v="3000"/>
    <m/>
    <n v="4.6825000000000001"/>
    <n v="3.1523294499999999"/>
    <n v="3.1523294499999999"/>
    <n v="9456.9883499999996"/>
    <n v="3.2273333333333332"/>
    <n v="2.3240203470357355E-2"/>
    <n v="5000"/>
    <n v="6000"/>
    <n v="2500"/>
    <n v="0"/>
    <n v="6000"/>
    <n v="1500"/>
    <n v="17987.201300000001"/>
    <n v="21135"/>
    <n v="8690"/>
    <n v="0"/>
    <n v="20254"/>
    <n v="4841"/>
    <m/>
    <n v="0"/>
    <e v="#REF!"/>
    <e v="#REF!"/>
  </r>
  <r>
    <s v="Exportacion Directa1020914"/>
    <x v="0"/>
    <x v="4"/>
    <x v="158"/>
    <x v="141"/>
    <x v="8"/>
    <x v="26"/>
    <m/>
    <n v="20347"/>
    <n v="9000"/>
    <n v="0.7577362385835783"/>
    <n v="15417.659246460067"/>
    <n v="755"/>
    <n v="2000"/>
    <n v="0"/>
    <n v="17972.659246460069"/>
    <n v="19000"/>
    <n v="1285.7142857142858"/>
    <n v="16714.285714285714"/>
    <m/>
    <n v="16714.285714285714"/>
    <n v="1258.3735321743552"/>
    <n v="0"/>
    <m/>
    <n v="0"/>
    <n v="1258.3735321743552"/>
    <n v="0"/>
    <n v="0"/>
    <n v="16714.285714285714"/>
    <n v="16714.285714285714"/>
    <m/>
    <n v="6.625"/>
    <n v="5.1338352542188783"/>
    <n v="5.1338352542188783"/>
    <n v="85808.389249086962"/>
    <n v="5.1478179258564056"/>
    <n v="2.7162327492771831E-3"/>
    <n v="3000"/>
    <n v="0"/>
    <n v="3000"/>
    <n v="15000"/>
    <n v="10000"/>
    <n v="12786"/>
    <n v="17508.131799999999"/>
    <n v="0"/>
    <n v="17286"/>
    <n v="84027"/>
    <n v="55306"/>
    <n v="65820"/>
    <m/>
    <n v="0"/>
    <e v="#REF!"/>
    <e v="#REF!"/>
  </r>
  <r>
    <s v="Exportacion Directa1020990"/>
    <x v="0"/>
    <x v="4"/>
    <x v="159"/>
    <x v="142"/>
    <x v="9"/>
    <x v="21"/>
    <m/>
    <n v="0"/>
    <n v="5000"/>
    <n v="0.7577362385835783"/>
    <n v="0"/>
    <n v="10252.726000000002"/>
    <n v="0"/>
    <n v="0"/>
    <n v="10252.726000000002"/>
    <n v="2500"/>
    <n v="2666.6666666666665"/>
    <n v="2500"/>
    <m/>
    <n v="2500"/>
    <n v="7752.7260000000024"/>
    <n v="5333.333333333333"/>
    <m/>
    <n v="5333.333333333333"/>
    <n v="2419.3926666666694"/>
    <n v="0"/>
    <n v="0"/>
    <n v="7833.333333333333"/>
    <n v="7833.333333333333"/>
    <m/>
    <n v="4.0220000000000002"/>
    <n v="3.5415782"/>
    <n v="3.8686738936170215"/>
    <n v="30304.612166666666"/>
    <n v="3.6034999999999999"/>
    <n v="7.3587871130018481E-2"/>
    <n v="8750"/>
    <n v="4750"/>
    <n v="7000"/>
    <n v="13000"/>
    <n v="13000"/>
    <n v="8000"/>
    <n v="36645.971899999997"/>
    <n v="19327"/>
    <n v="28598"/>
    <n v="51483"/>
    <n v="50072"/>
    <n v="28828"/>
    <m/>
    <n v="0"/>
    <e v="#REF!"/>
    <e v="#REF!"/>
  </r>
  <r>
    <s v="Exportacion Directa1020991"/>
    <x v="0"/>
    <x v="4"/>
    <x v="160"/>
    <x v="143"/>
    <x v="9"/>
    <x v="21"/>
    <m/>
    <n v="13218"/>
    <n v="6000"/>
    <n v="0.7577362385835783"/>
    <n v="10015.757601597737"/>
    <n v="8934.1650000000009"/>
    <n v="1937.32"/>
    <n v="0"/>
    <n v="20693.51060159774"/>
    <n v="24600"/>
    <n v="3333.3333333333335"/>
    <n v="20000"/>
    <m/>
    <n v="20000"/>
    <n v="693.51060159773988"/>
    <n v="0"/>
    <m/>
    <n v="0"/>
    <n v="693.51060159773988"/>
    <n v="0"/>
    <n v="0"/>
    <n v="20000"/>
    <n v="20000"/>
    <m/>
    <n v="4.0220000000000002"/>
    <n v="3.5928449739837434"/>
    <n v="3.5928449739837438"/>
    <n v="71856.899479674874"/>
    <n v="3.6034999999999999"/>
    <n v="2.9568547290845346E-3"/>
    <n v="1250"/>
    <n v="5000"/>
    <n v="5000"/>
    <n v="60000"/>
    <n v="10000"/>
    <n v="10000"/>
    <n v="5233.6656000000003"/>
    <n v="20319"/>
    <n v="20402"/>
    <n v="237274"/>
    <n v="38437"/>
    <n v="36035"/>
    <m/>
    <n v="0"/>
    <e v="#REF!"/>
    <e v="#REF!"/>
  </r>
  <r>
    <s v="Exportacion Directa1021136"/>
    <x v="0"/>
    <x v="4"/>
    <x v="161"/>
    <x v="144"/>
    <x v="10"/>
    <x v="15"/>
    <m/>
    <n v="0"/>
    <n v="0"/>
    <n v="0.7577362385835783"/>
    <n v="0"/>
    <n v="3210"/>
    <n v="1145"/>
    <n v="0"/>
    <n v="4240.5"/>
    <n v="4000"/>
    <n v="2666.6666666666665"/>
    <n v="4000"/>
    <m/>
    <n v="4000"/>
    <n v="240.5"/>
    <n v="0"/>
    <m/>
    <n v="0"/>
    <n v="240.5"/>
    <n v="0"/>
    <n v="0"/>
    <n v="4000"/>
    <n v="4000"/>
    <m/>
    <n v="0"/>
    <n v="2.4184234500000001"/>
    <n v="2.4184234500000001"/>
    <n v="9673.6938000000009"/>
    <n v="2.4587500000000002"/>
    <n v="1.6401240467717362E-2"/>
    <n v="5000"/>
    <n v="3000"/>
    <n v="4000"/>
    <n v="5000"/>
    <n v="7200"/>
    <n v="8000"/>
    <n v="14419.3794"/>
    <n v="6405"/>
    <n v="11558"/>
    <n v="13732"/>
    <n v="20064"/>
    <n v="19670"/>
    <m/>
    <n v="0"/>
    <e v="#REF!"/>
    <e v="#REF!"/>
  </r>
  <r>
    <s v="Exportacion Directa1021533"/>
    <x v="0"/>
    <x v="4"/>
    <x v="162"/>
    <x v="145"/>
    <x v="8"/>
    <x v="10"/>
    <m/>
    <n v="0"/>
    <n v="20000"/>
    <n v="0.7577362385835783"/>
    <n v="0"/>
    <n v="74.603999999999999"/>
    <n v="0"/>
    <n v="0"/>
    <n v="74.603999999999999"/>
    <n v="10000"/>
    <n v="3000"/>
    <n v="0"/>
    <m/>
    <n v="0"/>
    <n v="74.603999999999999"/>
    <n v="0"/>
    <m/>
    <n v="0"/>
    <n v="74.603999999999999"/>
    <n v="0"/>
    <n v="0"/>
    <n v="0"/>
    <n v="0"/>
    <m/>
    <n v="4.2985499999999996"/>
    <n v="4.5563170949999998"/>
    <n v="0"/>
    <n v="0"/>
    <n v="4.6716666666666669"/>
    <s v="Sin Facturación 2022"/>
    <n v="2000"/>
    <n v="18000"/>
    <n v="15000"/>
    <n v="10000"/>
    <n v="15400"/>
    <n v="3000"/>
    <n v="10613.774600000001"/>
    <n v="93240"/>
    <n v="77606"/>
    <n v="49787"/>
    <n v="75485"/>
    <n v="14015"/>
    <m/>
    <n v="0"/>
    <e v="#REF!"/>
    <e v="#REF!"/>
  </r>
  <r>
    <s v="Exportacion Directa1021603"/>
    <x v="0"/>
    <x v="4"/>
    <x v="163"/>
    <x v="146"/>
    <x v="6"/>
    <x v="37"/>
    <m/>
    <n v="5100"/>
    <n v="7000"/>
    <n v="0.7577362385835783"/>
    <n v="3864.4548167762496"/>
    <n v="5115.420000000001"/>
    <n v="2125.771888737585"/>
    <n v="0"/>
    <n v="10893.069516640076"/>
    <n v="7000"/>
    <n v="5000"/>
    <n v="7000"/>
    <m/>
    <n v="7000"/>
    <n v="3893.0695166400765"/>
    <n v="0"/>
    <m/>
    <n v="0"/>
    <n v="3893.0695166400765"/>
    <n v="0"/>
    <n v="0"/>
    <n v="7000"/>
    <n v="7000"/>
    <m/>
    <n v="4.3717142857142903"/>
    <n v="3.6283132285714301"/>
    <n v="3.6283132285714301"/>
    <n v="25398.192600000009"/>
    <n v="3.7494545454545456"/>
    <n v="3.2309050667109644E-2"/>
    <n v="5000"/>
    <n v="3000"/>
    <n v="4000"/>
    <n v="5000"/>
    <n v="7000"/>
    <n v="5500"/>
    <n v="22909.446899999999"/>
    <n v="12940"/>
    <n v="17412"/>
    <n v="20869"/>
    <n v="27713"/>
    <n v="20622"/>
    <m/>
    <n v="0"/>
    <e v="#REF!"/>
    <e v="#REF!"/>
  </r>
  <r>
    <s v="Exportacion Directa1021609"/>
    <x v="0"/>
    <x v="4"/>
    <x v="164"/>
    <x v="147"/>
    <x v="11"/>
    <x v="19"/>
    <m/>
    <n v="46071"/>
    <n v="20000"/>
    <n v="0.7577362385835783"/>
    <n v="34909.666247784036"/>
    <n v="3195.6439999999993"/>
    <n v="0"/>
    <n v="0"/>
    <n v="38105.310247784037"/>
    <n v="75000"/>
    <n v="8000"/>
    <n v="32000"/>
    <m/>
    <n v="32000"/>
    <n v="6105.3102477840366"/>
    <n v="0"/>
    <m/>
    <n v="0"/>
    <n v="6105.3102477840366"/>
    <n v="0"/>
    <n v="0"/>
    <n v="32000"/>
    <n v="32000"/>
    <m/>
    <n v="4.7601500000000003"/>
    <n v="4.4804787853333359"/>
    <n v="4.4804787853333359"/>
    <n v="143375.32113066674"/>
    <n v="4.8124000000000002"/>
    <n v="6.8972075194635593E-2"/>
    <n v="16500"/>
    <n v="6500"/>
    <n v="3000"/>
    <n v="5000"/>
    <n v="0"/>
    <n v="0"/>
    <n v="84517.474000000002"/>
    <n v="31345"/>
    <n v="14512"/>
    <n v="24062"/>
    <n v="0"/>
    <n v="0"/>
    <m/>
    <n v="0"/>
    <e v="#REF!"/>
    <e v="#REF!"/>
  </r>
  <r>
    <s v="Exportacion Directa1022282"/>
    <x v="0"/>
    <x v="4"/>
    <x v="165"/>
    <x v="148"/>
    <x v="14"/>
    <x v="29"/>
    <m/>
    <n v="0"/>
    <n v="0"/>
    <n v="0.7577362385835783"/>
    <n v="0"/>
    <n v="0"/>
    <n v="0"/>
    <n v="0"/>
    <n v="0"/>
    <n v="0"/>
    <n v="2000"/>
    <n v="0"/>
    <m/>
    <n v="0"/>
    <n v="0"/>
    <n v="0"/>
    <m/>
    <n v="0"/>
    <n v="0"/>
    <n v="0"/>
    <n v="0"/>
    <n v="0"/>
    <n v="0"/>
    <m/>
    <n v="0"/>
    <n v="0"/>
    <n v="0"/>
    <n v="0"/>
    <n v="6.2619999999999996"/>
    <s v="Sin Facturación 2022"/>
    <n v="0"/>
    <n v="0"/>
    <n v="0"/>
    <n v="3000"/>
    <n v="2000"/>
    <n v="0"/>
    <n v="0"/>
    <n v="0"/>
    <n v="0"/>
    <n v="18786"/>
    <n v="12524"/>
    <n v="0"/>
    <m/>
    <n v="0"/>
    <e v="#REF!"/>
    <e v="#REF!"/>
  </r>
  <r>
    <s v="Exportacion Directa1022313"/>
    <x v="0"/>
    <x v="4"/>
    <x v="166"/>
    <x v="149"/>
    <x v="6"/>
    <x v="38"/>
    <m/>
    <n v="5168"/>
    <n v="7000"/>
    <n v="0.7577362385835783"/>
    <n v="3915.9808809999327"/>
    <n v="1566.9569999999999"/>
    <n v="0"/>
    <n v="0"/>
    <n v="5482.9378809999325"/>
    <n v="0"/>
    <n v="2666.6666666666665"/>
    <n v="0"/>
    <m/>
    <n v="0"/>
    <n v="5482.9378809999325"/>
    <n v="5333.333333333333"/>
    <m/>
    <n v="5333.333333333333"/>
    <n v="149.6045476665995"/>
    <n v="0"/>
    <n v="0"/>
    <n v="5333.333333333333"/>
    <n v="5333.333333333333"/>
    <m/>
    <n v="6.3562857142857103"/>
    <n v="0"/>
    <n v="6.3562857142857103"/>
    <n v="33900.190476190452"/>
    <n v="3.7648999999999999"/>
    <n v="0.68830133981930741"/>
    <n v="17750"/>
    <n v="9000"/>
    <n v="8000"/>
    <n v="7000"/>
    <n v="7000"/>
    <n v="10000"/>
    <n v="81701.657600000006"/>
    <n v="39113"/>
    <n v="34968"/>
    <n v="28931"/>
    <n v="26913"/>
    <n v="37649"/>
    <m/>
    <n v="0"/>
    <e v="#REF!"/>
    <e v="#REF!"/>
  </r>
  <r>
    <s v="Exportacion Directa1022326"/>
    <x v="0"/>
    <x v="4"/>
    <x v="167"/>
    <x v="150"/>
    <x v="6"/>
    <x v="38"/>
    <m/>
    <n v="25000"/>
    <n v="25000"/>
    <n v="0.7577362385835783"/>
    <n v="18943.405964589456"/>
    <n v="32190.211000000003"/>
    <n v="3896.1403590992904"/>
    <n v="0"/>
    <n v="54640.143287778817"/>
    <n v="45000"/>
    <n v="5833.333333333333"/>
    <n v="45000"/>
    <m/>
    <n v="45000"/>
    <n v="9640.1432877788175"/>
    <n v="5833.333333333333"/>
    <m/>
    <n v="5833.333333333333"/>
    <n v="3806.8099544454844"/>
    <n v="0"/>
    <n v="0"/>
    <n v="50833.333333333336"/>
    <n v="50833.333333333336"/>
    <m/>
    <n v="4.06088"/>
    <n v="3.1782821128888892"/>
    <n v="3.2795638376393446"/>
    <n v="166711.16174666668"/>
    <n v="3.2270141838865287"/>
    <n v="1.6284295871772853E-2"/>
    <n v="35000"/>
    <n v="23000"/>
    <n v="45000"/>
    <n v="30000"/>
    <n v="41343"/>
    <n v="41667"/>
    <n v="153650"/>
    <n v="87386"/>
    <n v="155377"/>
    <n v="103333"/>
    <n v="141388"/>
    <n v="134460"/>
    <m/>
    <n v="0"/>
    <e v="#REF!"/>
    <e v="#REF!"/>
  </r>
  <r>
    <s v="Exportacion Directa1022370"/>
    <x v="0"/>
    <x v="4"/>
    <x v="168"/>
    <x v="151"/>
    <x v="6"/>
    <x v="37"/>
    <m/>
    <n v="54440"/>
    <n v="40000"/>
    <n v="0.7577362385835783"/>
    <n v="41251.160828489999"/>
    <n v="5664.3279999999995"/>
    <n v="9481.0389665663206"/>
    <n v="0"/>
    <n v="55448.423898399691"/>
    <n v="34000"/>
    <n v="2500"/>
    <n v="34000"/>
    <m/>
    <n v="34000"/>
    <n v="21448.423898399691"/>
    <n v="20000"/>
    <m/>
    <n v="20000"/>
    <n v="1448.4238983996911"/>
    <n v="0"/>
    <n v="0"/>
    <n v="54000"/>
    <n v="54000"/>
    <m/>
    <n v="3.1330499999999999"/>
    <n v="3.5322302408823529"/>
    <n v="3.3843857072222221"/>
    <n v="182756.82819"/>
    <n v="3.5728"/>
    <n v="5.2735751449221303E-2"/>
    <n v="30000"/>
    <n v="13000"/>
    <n v="18000"/>
    <n v="35000"/>
    <n v="30000"/>
    <n v="42500"/>
    <n v="126000"/>
    <n v="52063"/>
    <n v="72039"/>
    <n v="136267"/>
    <n v="110039"/>
    <n v="151844"/>
    <m/>
    <n v="0"/>
    <e v="#REF!"/>
    <e v="#REF!"/>
  </r>
  <r>
    <s v="Exportacion Directa1022371"/>
    <x v="0"/>
    <x v="4"/>
    <x v="169"/>
    <x v="152"/>
    <x v="8"/>
    <x v="10"/>
    <m/>
    <n v="7971"/>
    <n v="8000"/>
    <n v="0.7577362385835783"/>
    <n v="6039.9155577497022"/>
    <n v="5854.9049999999988"/>
    <n v="6669.5914838852405"/>
    <n v="0"/>
    <n v="17897.452893246416"/>
    <n v="18000"/>
    <n v="3900"/>
    <n v="15600"/>
    <m/>
    <n v="15600"/>
    <n v="2297.4528932464164"/>
    <n v="0"/>
    <m/>
    <n v="0"/>
    <n v="2297.4528932464164"/>
    <n v="0"/>
    <n v="0"/>
    <n v="15600"/>
    <n v="15600"/>
    <m/>
    <n v="5.3040000000000003"/>
    <n v="4.0644143888888902"/>
    <n v="4.0644143888888902"/>
    <n v="63404.864466666688"/>
    <n v="4.1721052631578948"/>
    <n v="2.5812118217624413E-2"/>
    <n v="15000"/>
    <n v="30000"/>
    <n v="25000"/>
    <n v="22000"/>
    <n v="12000"/>
    <n v="24700"/>
    <n v="73701.857300000003"/>
    <n v="106487"/>
    <n v="116125"/>
    <n v="98645"/>
    <n v="53380"/>
    <n v="103051"/>
    <m/>
    <n v="0"/>
    <e v="#REF!"/>
    <e v="#REF!"/>
  </r>
  <r>
    <s v="Exportacion Directa1022472"/>
    <x v="0"/>
    <x v="4"/>
    <x v="170"/>
    <x v="153"/>
    <x v="6"/>
    <x v="8"/>
    <m/>
    <n v="20492"/>
    <n v="15000"/>
    <n v="0.7577362385835783"/>
    <n v="15527.531001054687"/>
    <n v="17232.134000000002"/>
    <n v="0"/>
    <n v="0"/>
    <n v="32759.665001054687"/>
    <n v="20000"/>
    <n v="2500"/>
    <n v="20000"/>
    <m/>
    <n v="20000"/>
    <n v="12759.665001054687"/>
    <n v="12500"/>
    <m/>
    <n v="12500"/>
    <n v="259.66500105468731"/>
    <n v="0"/>
    <n v="0"/>
    <n v="32500"/>
    <n v="32500"/>
    <m/>
    <n v="3.8224666666666698"/>
    <n v="3.797446662307693"/>
    <n v="3.8070697409072993"/>
    <n v="123729.76657948723"/>
    <n v="3.8801111111111113"/>
    <n v="1.8824556336711654E-2"/>
    <n v="7000"/>
    <n v="5000"/>
    <n v="3000"/>
    <n v="10000"/>
    <n v="4333"/>
    <n v="18000"/>
    <n v="32709.190900000001"/>
    <n v="21977"/>
    <n v="13095"/>
    <n v="42120"/>
    <n v="17417"/>
    <n v="69842"/>
    <m/>
    <n v="0"/>
    <e v="#REF!"/>
    <e v="#REF!"/>
  </r>
  <r>
    <s v="Exportacion Directa1022499"/>
    <x v="0"/>
    <x v="4"/>
    <x v="171"/>
    <x v="154"/>
    <x v="6"/>
    <x v="20"/>
    <m/>
    <n v="19236"/>
    <n v="20000"/>
    <n v="0.7577362385835783"/>
    <n v="14575.814285393712"/>
    <n v="1530.1550000000002"/>
    <n v="2878.414513096307"/>
    <n v="0"/>
    <n v="18696.542347180388"/>
    <n v="25500"/>
    <n v="2500"/>
    <n v="17500"/>
    <m/>
    <n v="17500"/>
    <n v="1196.5423471803879"/>
    <n v="0"/>
    <m/>
    <n v="0"/>
    <n v="1196.5423471803879"/>
    <n v="0"/>
    <n v="0"/>
    <n v="17500"/>
    <n v="17500"/>
    <m/>
    <n v="4.4270500000000004"/>
    <n v="3.776840379831933"/>
    <n v="3.7768403798319334"/>
    <n v="66094.706647058832"/>
    <n v="3.8801276595744683"/>
    <n v="2.661955708793929E-2"/>
    <n v="16000"/>
    <n v="3000"/>
    <n v="5000"/>
    <n v="20000"/>
    <n v="15000"/>
    <n v="23500"/>
    <n v="75542.537400000001"/>
    <n v="13294"/>
    <n v="22218"/>
    <n v="85842"/>
    <n v="61744"/>
    <n v="91183"/>
    <m/>
    <n v="0"/>
    <e v="#REF!"/>
    <e v="#REF!"/>
  </r>
  <r>
    <s v="Exportacion Directa1022587"/>
    <x v="0"/>
    <x v="4"/>
    <x v="172"/>
    <x v="155"/>
    <x v="6"/>
    <x v="38"/>
    <m/>
    <n v="3000"/>
    <n v="3000"/>
    <n v="0.7577362385835783"/>
    <n v="2273.2087157507349"/>
    <n v="1173.7750000000001"/>
    <n v="636.96712875673609"/>
    <n v="0"/>
    <n v="4020.2541316317975"/>
    <n v="3000"/>
    <n v="3000"/>
    <n v="3000"/>
    <m/>
    <n v="3000"/>
    <n v="1020.2541316317975"/>
    <n v="0"/>
    <m/>
    <n v="0"/>
    <n v="1020.2541316317975"/>
    <n v="0"/>
    <n v="0"/>
    <n v="3000"/>
    <n v="3000"/>
    <m/>
    <n v="4.4883333333333297"/>
    <n v="3.7641284333333305"/>
    <n v="3.7641284333333305"/>
    <n v="11292.385299999991"/>
    <n v="3.8033333333333332"/>
    <n v="1.0308036809816677E-2"/>
    <n v="5000"/>
    <n v="5000"/>
    <n v="5000"/>
    <n v="6000"/>
    <n v="3000"/>
    <n v="6000"/>
    <n v="23140.260300000002"/>
    <n v="21784"/>
    <n v="21814"/>
    <n v="24491"/>
    <n v="11934"/>
    <n v="22820"/>
    <m/>
    <n v="0"/>
    <e v="#REF!"/>
    <e v="#REF!"/>
  </r>
  <r>
    <s v="Exportacion Directa1022600"/>
    <x v="0"/>
    <x v="4"/>
    <x v="173"/>
    <x v="156"/>
    <x v="6"/>
    <x v="20"/>
    <m/>
    <n v="11390"/>
    <n v="15000"/>
    <n v="0.7577362385835783"/>
    <n v="8630.615757466956"/>
    <n v="24658.956999999995"/>
    <n v="2836.9110160363612"/>
    <n v="0"/>
    <n v="35842.792671899675"/>
    <n v="27000"/>
    <n v="2166.6666666666665"/>
    <n v="27000"/>
    <m/>
    <n v="27000"/>
    <n v="8842.792671899675"/>
    <n v="8666.6666666666661"/>
    <m/>
    <n v="8666.6666666666661"/>
    <n v="176.12600523300898"/>
    <n v="0"/>
    <n v="0"/>
    <n v="35666.666666666664"/>
    <n v="35666.666666666664"/>
    <m/>
    <n v="3.90546666666667"/>
    <n v="3.5327845533333333"/>
    <n v="3.6233428238629291"/>
    <n v="129232.5607177778"/>
    <n v="3.5728606446420077"/>
    <n v="1.4129344590202887E-2"/>
    <n v="18000"/>
    <n v="3000"/>
    <n v="11000"/>
    <n v="20000"/>
    <n v="19625"/>
    <n v="27333"/>
    <n v="78722.423299999995"/>
    <n v="12324"/>
    <n v="44841"/>
    <n v="78794"/>
    <n v="75391"/>
    <n v="97657"/>
    <m/>
    <n v="0"/>
    <e v="#REF!"/>
    <e v="#REF!"/>
  </r>
  <r>
    <s v="Exportacion Directa1022664"/>
    <x v="0"/>
    <x v="4"/>
    <x v="174"/>
    <x v="157"/>
    <x v="6"/>
    <x v="38"/>
    <m/>
    <n v="45000"/>
    <n v="45000"/>
    <n v="0.7577362385835783"/>
    <n v="34098.130736261024"/>
    <n v="3621.6770000000001"/>
    <n v="5985.561401753579"/>
    <n v="0"/>
    <n v="43106.812997839246"/>
    <n v="64642"/>
    <n v="3333.3333333333335"/>
    <n v="40000"/>
    <m/>
    <n v="40000"/>
    <n v="3106.8129978392462"/>
    <n v="0"/>
    <m/>
    <n v="0"/>
    <n v="3106.8129978392462"/>
    <n v="0"/>
    <n v="0"/>
    <n v="40000"/>
    <n v="40000"/>
    <m/>
    <n v="1.87388888888889"/>
    <n v="3.3225558290152772"/>
    <n v="3.3225558290152772"/>
    <n v="132902.2331606111"/>
    <n v="3.3730068151433135"/>
    <n v="1.4957273700584754E-2"/>
    <n v="43000"/>
    <n v="23700"/>
    <n v="17000"/>
    <n v="30000"/>
    <n v="35000"/>
    <n v="30667"/>
    <n v="175870"/>
    <n v="88630"/>
    <n v="59165"/>
    <n v="105866"/>
    <n v="122382"/>
    <n v="103440"/>
    <m/>
    <n v="0"/>
    <e v="#REF!"/>
    <e v="#REF!"/>
  </r>
  <r>
    <s v="Exportacion Directa1022817"/>
    <x v="0"/>
    <x v="4"/>
    <x v="175"/>
    <x v="158"/>
    <x v="15"/>
    <x v="39"/>
    <m/>
    <n v="0"/>
    <n v="0"/>
    <n v="0.7577362385835783"/>
    <n v="0"/>
    <n v="0"/>
    <n v="0"/>
    <n v="0"/>
    <n v="0"/>
    <n v="0"/>
    <n v="5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Exportacion Directa1022869"/>
    <x v="0"/>
    <x v="4"/>
    <x v="176"/>
    <x v="159"/>
    <x v="1"/>
    <x v="1"/>
    <m/>
    <n v="0"/>
    <n v="0"/>
    <n v="0.7577362385835783"/>
    <n v="0"/>
    <n v="0"/>
    <n v="0"/>
    <n v="0"/>
    <n v="0"/>
    <n v="0"/>
    <n v="800"/>
    <n v="0"/>
    <m/>
    <n v="0"/>
    <n v="0"/>
    <n v="0"/>
    <m/>
    <n v="0"/>
    <n v="0"/>
    <n v="0"/>
    <n v="0"/>
    <n v="0"/>
    <n v="0"/>
    <m/>
    <n v="0"/>
    <n v="0"/>
    <n v="0"/>
    <n v="0"/>
    <n v="2.6974999999999998"/>
    <s v="Sin Facturación 2022"/>
    <n v="500"/>
    <n v="1300"/>
    <n v="2400"/>
    <n v="800"/>
    <n v="800"/>
    <n v="0"/>
    <n v="1446.6365000000001"/>
    <n v="3691"/>
    <n v="6801"/>
    <n v="2158"/>
    <n v="2158"/>
    <n v="0"/>
    <m/>
    <n v="0"/>
    <e v="#REF!"/>
    <e v="#REF!"/>
  </r>
  <r>
    <s v="Exportacion Directa1022901"/>
    <x v="0"/>
    <x v="4"/>
    <x v="177"/>
    <x v="160"/>
    <x v="8"/>
    <x v="10"/>
    <m/>
    <n v="11036"/>
    <n v="10000"/>
    <n v="0.7577362385835783"/>
    <n v="8362.3771290083696"/>
    <n v="4719.7279999999992"/>
    <n v="2726.550501476198"/>
    <n v="0"/>
    <n v="15536.000580336946"/>
    <n v="8000"/>
    <n v="5000"/>
    <n v="8000"/>
    <m/>
    <n v="8000"/>
    <n v="7536.0005803369459"/>
    <n v="5000"/>
    <m/>
    <n v="5000"/>
    <n v="2536.0005803369459"/>
    <n v="0"/>
    <n v="0"/>
    <n v="13000"/>
    <n v="13000"/>
    <m/>
    <n v="5.4595000000000002"/>
    <n v="4.342379651249999"/>
    <n v="4.7720413238461532"/>
    <n v="62036.537209999995"/>
    <n v="4.4486923076923075"/>
    <n v="7.268405944702841E-2"/>
    <n v="15000"/>
    <n v="12000"/>
    <n v="13000"/>
    <n v="18000"/>
    <n v="18000"/>
    <n v="13000"/>
    <n v="77324.533299999996"/>
    <n v="59373"/>
    <n v="64866"/>
    <n v="87127"/>
    <n v="85715"/>
    <n v="57833"/>
    <m/>
    <n v="0"/>
    <e v="#REF!"/>
    <e v="#REF!"/>
  </r>
  <r>
    <s v="Exportacion Directa1022919"/>
    <x v="0"/>
    <x v="4"/>
    <x v="178"/>
    <x v="161"/>
    <x v="6"/>
    <x v="37"/>
    <m/>
    <n v="22690"/>
    <n v="24000"/>
    <n v="0.7577362385835783"/>
    <n v="17193.035253461392"/>
    <n v="12722.127000000004"/>
    <n v="9597.7269348987211"/>
    <n v="0"/>
    <n v="38553.11649487025"/>
    <n v="23000"/>
    <n v="12000"/>
    <n v="23000"/>
    <m/>
    <n v="23000"/>
    <n v="15553.11649487025"/>
    <n v="12000"/>
    <m/>
    <n v="12000"/>
    <n v="3553.1164948702499"/>
    <n v="0"/>
    <n v="0"/>
    <n v="35000"/>
    <n v="35000"/>
    <m/>
    <n v="4.2162499999999996"/>
    <n v="3.4657609041666695"/>
    <n v="3.7230714513095253"/>
    <n v="130307.50079583339"/>
    <n v="3.5344166666666665"/>
    <n v="5.3376498142416372E-2"/>
    <n v="15000"/>
    <n v="48000"/>
    <n v="5000"/>
    <n v="24000"/>
    <n v="23000"/>
    <n v="12000"/>
    <n v="61076.933900000004"/>
    <n v="200184"/>
    <n v="20962"/>
    <n v="92261"/>
    <n v="84285"/>
    <n v="42413"/>
    <m/>
    <n v="0"/>
    <e v="#REF!"/>
    <e v="#REF!"/>
  </r>
  <r>
    <s v="Exportacion Directa1022931"/>
    <x v="0"/>
    <x v="4"/>
    <x v="179"/>
    <x v="162"/>
    <x v="11"/>
    <x v="19"/>
    <m/>
    <n v="15118"/>
    <n v="20000"/>
    <n v="0.7577362385835783"/>
    <n v="11455.456454906536"/>
    <n v="10894.955999999998"/>
    <n v="0"/>
    <n v="0"/>
    <n v="22350.412454906535"/>
    <n v="21000"/>
    <n v="3000"/>
    <n v="21000"/>
    <m/>
    <n v="21000"/>
    <n v="1350.4124549065345"/>
    <n v="0"/>
    <m/>
    <n v="0"/>
    <n v="1350.4124549065345"/>
    <n v="0"/>
    <n v="0"/>
    <n v="21000"/>
    <n v="21000"/>
    <m/>
    <n v="4.52705"/>
    <n v="4.2186971"/>
    <n v="4.2186971"/>
    <n v="88592.6391"/>
    <n v="4.2258750000000003"/>
    <n v="1.6985594699323316E-3"/>
    <n v="0"/>
    <n v="0"/>
    <n v="0"/>
    <n v="20000"/>
    <n v="20182"/>
    <n v="24000"/>
    <n v="0"/>
    <n v="0"/>
    <n v="0"/>
    <n v="45277"/>
    <n v="89258"/>
    <n v="101421"/>
    <m/>
    <n v="0"/>
    <e v="#REF!"/>
    <e v="#REF!"/>
  </r>
  <r>
    <s v="Exportacion Directa1022987"/>
    <x v="0"/>
    <x v="4"/>
    <x v="180"/>
    <x v="163"/>
    <x v="3"/>
    <x v="3"/>
    <m/>
    <n v="26709"/>
    <n v="24000"/>
    <n v="0.7577362385835783"/>
    <n v="20238.377196328795"/>
    <n v="40"/>
    <n v="7500"/>
    <n v="0"/>
    <n v="27028.377196328795"/>
    <n v="36000"/>
    <n v="24000"/>
    <n v="24000"/>
    <m/>
    <n v="24000"/>
    <n v="3028.3771963287945"/>
    <n v="0"/>
    <m/>
    <n v="0"/>
    <n v="3028.3771963287945"/>
    <n v="0"/>
    <n v="0"/>
    <n v="24000"/>
    <n v="24000"/>
    <m/>
    <n v="2.0406666666666702"/>
    <n v="1.3032217722222232"/>
    <n v="1.3032217722222232"/>
    <n v="31277.322533333358"/>
    <n v="1.3369166666666668"/>
    <n v="2.5203436597476914E-2"/>
    <n v="0"/>
    <n v="30000"/>
    <n v="24000"/>
    <n v="48000"/>
    <n v="24000"/>
    <n v="24000"/>
    <n v="0"/>
    <n v="39945"/>
    <n v="32309"/>
    <n v="64234"/>
    <n v="31541"/>
    <n v="32086"/>
    <m/>
    <n v="0"/>
    <e v="#REF!"/>
    <e v="#REF!"/>
  </r>
  <r>
    <s v="Exportacion Directa1022990"/>
    <x v="0"/>
    <x v="4"/>
    <x v="181"/>
    <x v="164"/>
    <x v="8"/>
    <x v="10"/>
    <m/>
    <n v="0"/>
    <n v="0"/>
    <n v="0.7577362385835783"/>
    <n v="0"/>
    <n v="24395.784000000003"/>
    <n v="0"/>
    <n v="0"/>
    <n v="24395.784000000003"/>
    <n v="0"/>
    <n v="3571.4285714285716"/>
    <n v="0"/>
    <m/>
    <n v="0"/>
    <n v="24395.784000000003"/>
    <n v="0"/>
    <m/>
    <n v="0"/>
    <n v="24395.784000000003"/>
    <n v="21428.571428571428"/>
    <n v="0"/>
    <n v="21428.571428571428"/>
    <n v="0"/>
    <m/>
    <n v="0"/>
    <n v="0"/>
    <n v="0"/>
    <n v="0"/>
    <n v="4.985153846153846"/>
    <s v="Sin Facturación 2022"/>
    <n v="10000"/>
    <n v="20000"/>
    <n v="13000"/>
    <n v="0"/>
    <n v="0"/>
    <n v="0"/>
    <n v="49521.519800000002"/>
    <n v="99032"/>
    <n v="64807"/>
    <n v="0"/>
    <n v="0"/>
    <n v="0"/>
    <m/>
    <n v="0"/>
    <e v="#REF!"/>
    <e v="#REF!"/>
  </r>
  <r>
    <s v="Exportacion Directa1023051"/>
    <x v="0"/>
    <x v="4"/>
    <x v="182"/>
    <x v="165"/>
    <x v="6"/>
    <x v="20"/>
    <m/>
    <n v="0"/>
    <n v="0"/>
    <n v="0.7577362385835783"/>
    <n v="0"/>
    <n v="2751.3760000000002"/>
    <n v="0"/>
    <n v="0"/>
    <n v="2751.3760000000002"/>
    <n v="4000"/>
    <n v="3000"/>
    <n v="0"/>
    <m/>
    <n v="0"/>
    <n v="2751.3760000000002"/>
    <n v="0"/>
    <m/>
    <n v="0"/>
    <n v="2751.3760000000002"/>
    <n v="0"/>
    <n v="0"/>
    <n v="0"/>
    <n v="0"/>
    <m/>
    <n v="0"/>
    <n v="3.3903760250000006"/>
    <n v="0"/>
    <n v="0"/>
    <n v="3.7296"/>
    <s v="Sin Facturación 2022"/>
    <n v="0"/>
    <n v="0"/>
    <n v="0"/>
    <n v="3000"/>
    <n v="2500"/>
    <n v="0"/>
    <n v="0"/>
    <n v="0"/>
    <n v="0"/>
    <n v="11945"/>
    <n v="9324"/>
    <n v="0"/>
    <m/>
    <n v="0"/>
    <e v="#REF!"/>
    <e v="#REF!"/>
  </r>
  <r>
    <s v="Exportacion Directa1023055"/>
    <x v="0"/>
    <x v="4"/>
    <x v="183"/>
    <x v="166"/>
    <x v="6"/>
    <x v="20"/>
    <m/>
    <n v="0"/>
    <n v="0"/>
    <n v="0.7577362385835783"/>
    <n v="0"/>
    <n v="9246.2909999999993"/>
    <n v="0"/>
    <n v="0"/>
    <n v="9246.2909999999993"/>
    <n v="10000"/>
    <n v="3500"/>
    <n v="7000"/>
    <m/>
    <n v="7000"/>
    <n v="2246.2909999999993"/>
    <n v="0"/>
    <m/>
    <n v="0"/>
    <n v="2246.2909999999993"/>
    <n v="0"/>
    <n v="0"/>
    <n v="7000"/>
    <n v="7000"/>
    <m/>
    <n v="0"/>
    <n v="3.3903760500000004"/>
    <n v="3.3903760500000004"/>
    <n v="23732.632350000003"/>
    <n v="3.419142857142857"/>
    <n v="8.4134557533214818E-3"/>
    <n v="0"/>
    <n v="0"/>
    <n v="5000"/>
    <n v="7000"/>
    <n v="5000"/>
    <n v="3500"/>
    <n v="0"/>
    <n v="0"/>
    <n v="9981"/>
    <n v="25759"/>
    <n v="17599"/>
    <n v="11967"/>
    <m/>
    <n v="0"/>
    <e v="#REF!"/>
    <e v="#REF!"/>
  </r>
  <r>
    <s v="Exportacion Directa1023163"/>
    <x v="0"/>
    <x v="4"/>
    <x v="184"/>
    <x v="167"/>
    <x v="6"/>
    <x v="20"/>
    <m/>
    <n v="25024"/>
    <n v="25000"/>
    <n v="0.7577362385835783"/>
    <n v="18961.591634315464"/>
    <n v="22364.304999999986"/>
    <n v="4104.3377079507582"/>
    <n v="0"/>
    <n v="45019.800571471125"/>
    <n v="30000"/>
    <n v="5000"/>
    <n v="30000"/>
    <m/>
    <n v="30000"/>
    <n v="15019.800571471125"/>
    <n v="15000"/>
    <m/>
    <n v="15000"/>
    <n v="19.800571471125295"/>
    <n v="0"/>
    <n v="0"/>
    <n v="45000"/>
    <n v="45000"/>
    <m/>
    <n v="4.06088"/>
    <n v="3.5223223799999999"/>
    <n v="3.7018415866666667"/>
    <n v="166582.8714"/>
    <n v="3.5728055555555556"/>
    <n v="3.6116163923465082E-2"/>
    <n v="15000"/>
    <n v="7000"/>
    <n v="4000"/>
    <n v="20000"/>
    <n v="15000"/>
    <n v="36000"/>
    <n v="65452.199099999998"/>
    <n v="28910"/>
    <n v="15584"/>
    <n v="76644"/>
    <n v="56279"/>
    <n v="128621"/>
    <m/>
    <n v="0"/>
    <e v="#REF!"/>
    <e v="#REF!"/>
  </r>
  <r>
    <s v="Exportacion Directa1023194"/>
    <x v="0"/>
    <x v="4"/>
    <x v="185"/>
    <x v="168"/>
    <x v="8"/>
    <x v="10"/>
    <m/>
    <n v="11670"/>
    <n v="10000"/>
    <n v="0.7577362385835783"/>
    <n v="8842.7819042703595"/>
    <n v="9718.2330000000002"/>
    <n v="0"/>
    <n v="0"/>
    <n v="18561.01490427036"/>
    <n v="10000"/>
    <n v="2000"/>
    <n v="10000"/>
    <m/>
    <n v="10000"/>
    <n v="8561.0149042703597"/>
    <n v="8000"/>
    <m/>
    <n v="8000"/>
    <n v="561.01490427035969"/>
    <n v="0"/>
    <n v="0"/>
    <n v="18000"/>
    <n v="18000"/>
    <m/>
    <n v="2.0169000000000001"/>
    <n v="2.9175001233333298"/>
    <n v="2.5172334018518496"/>
    <n v="45310.201233333297"/>
    <n v="2.9581666666666666"/>
    <n v="0.14905626169862538"/>
    <n v="9000"/>
    <n v="5000"/>
    <n v="6000"/>
    <n v="12000"/>
    <n v="7000"/>
    <n v="12000"/>
    <n v="31228.744600000002"/>
    <n v="16284"/>
    <n v="19454"/>
    <n v="38303"/>
    <n v="21812"/>
    <n v="35498"/>
    <m/>
    <n v="0"/>
    <e v="#REF!"/>
    <e v="#REF!"/>
  </r>
  <r>
    <s v="Exportacion Directa1023301"/>
    <x v="0"/>
    <x v="4"/>
    <x v="186"/>
    <x v="169"/>
    <x v="6"/>
    <x v="38"/>
    <m/>
    <n v="51179"/>
    <n v="35000"/>
    <n v="0.7577362385835783"/>
    <n v="38780.182954468954"/>
    <n v="12085.099999999999"/>
    <n v="2220"/>
    <n v="0"/>
    <n v="52863.282954468952"/>
    <n v="47000"/>
    <n v="23500"/>
    <n v="47000"/>
    <m/>
    <n v="47000"/>
    <n v="5863.2829544689521"/>
    <n v="0"/>
    <m/>
    <n v="0"/>
    <n v="5863.2829544689521"/>
    <n v="0"/>
    <n v="0"/>
    <n v="47000"/>
    <n v="47000"/>
    <m/>
    <n v="2.7787428571428601"/>
    <n v="3.6607473063829752"/>
    <n v="3.6607473063829752"/>
    <n v="172055.12339999984"/>
    <n v="3.7111000000000001"/>
    <n v="1.3568131717556756E-2"/>
    <n v="60000"/>
    <n v="70000"/>
    <n v="35000"/>
    <n v="23500"/>
    <n v="23500"/>
    <n v="30000"/>
    <n v="249969.11989999999"/>
    <n v="294283"/>
    <n v="148549"/>
    <n v="96585"/>
    <n v="90551"/>
    <n v="111333"/>
    <m/>
    <n v="0"/>
    <e v="#REF!"/>
    <e v="#REF!"/>
  </r>
  <r>
    <s v="Exportacion Directa1023349"/>
    <x v="0"/>
    <x v="4"/>
    <x v="187"/>
    <x v="170"/>
    <x v="6"/>
    <x v="8"/>
    <m/>
    <n v="8915"/>
    <n v="5000"/>
    <n v="0.7577362385835783"/>
    <n v="6755.2185669726005"/>
    <n v="3754.1890000000003"/>
    <n v="0"/>
    <n v="0"/>
    <n v="10509.407566972601"/>
    <n v="10000"/>
    <n v="2500"/>
    <n v="10000"/>
    <m/>
    <n v="10000"/>
    <n v="509.40756697260076"/>
    <n v="0"/>
    <m/>
    <n v="0"/>
    <n v="509.40756697260076"/>
    <n v="0"/>
    <n v="0"/>
    <n v="10000"/>
    <n v="10000"/>
    <m/>
    <n v="4.1773999999999996"/>
    <n v="3.7329099799999996"/>
    <n v="3.7329099799999996"/>
    <n v="37329.099799999996"/>
    <n v="3.7648799999999998"/>
    <n v="8.4916438239731832E-3"/>
    <n v="0"/>
    <n v="0"/>
    <n v="2000"/>
    <n v="5000"/>
    <n v="7500"/>
    <n v="12500"/>
    <n v="0"/>
    <n v="0"/>
    <n v="8694"/>
    <n v="20882"/>
    <n v="30493"/>
    <n v="47061"/>
    <m/>
    <n v="0"/>
    <e v="#REF!"/>
    <e v="#REF!"/>
  </r>
  <r>
    <s v="Exportacion Directa1023350"/>
    <x v="0"/>
    <x v="4"/>
    <x v="188"/>
    <x v="171"/>
    <x v="6"/>
    <x v="20"/>
    <m/>
    <n v="20412"/>
    <n v="20000"/>
    <n v="0.7577362385835783"/>
    <n v="15466.912101968001"/>
    <n v="17609.466"/>
    <n v="5225.4699613096291"/>
    <n v="0"/>
    <n v="37779.301067146669"/>
    <n v="22500"/>
    <n v="5000"/>
    <n v="22500"/>
    <m/>
    <n v="22500"/>
    <n v="15279.301067146669"/>
    <n v="15000"/>
    <m/>
    <n v="15000"/>
    <n v="279.30106714666908"/>
    <n v="0"/>
    <n v="0"/>
    <n v="37500"/>
    <n v="37500"/>
    <m/>
    <n v="3.7500499999999999"/>
    <n v="3.3533794433333335"/>
    <n v="3.5120476660000004"/>
    <n v="131701.78747500002"/>
    <n v="3.4191153846153846"/>
    <n v="2.7180212110645037E-2"/>
    <n v="0"/>
    <n v="0"/>
    <n v="35000"/>
    <n v="15000"/>
    <n v="41143"/>
    <n v="26000"/>
    <n v="0"/>
    <n v="0"/>
    <n v="138326"/>
    <n v="56520"/>
    <n v="150241"/>
    <n v="88897"/>
    <m/>
    <n v="0"/>
    <e v="#REF!"/>
    <e v="#REF!"/>
  </r>
  <r>
    <s v="Exportacion Directa1023351"/>
    <x v="0"/>
    <x v="4"/>
    <x v="189"/>
    <x v="172"/>
    <x v="8"/>
    <x v="10"/>
    <m/>
    <n v="73"/>
    <n v="0"/>
    <n v="0.7577362385835783"/>
    <n v="55.31474541660122"/>
    <n v="3607.5689999999995"/>
    <n v="0"/>
    <n v="0"/>
    <n v="3662.8837454166005"/>
    <n v="7500"/>
    <n v="10000"/>
    <n v="0"/>
    <m/>
    <n v="0"/>
    <n v="3662.8837454166005"/>
    <n v="0"/>
    <m/>
    <n v="0"/>
    <n v="3662.8837454166005"/>
    <n v="0"/>
    <n v="0"/>
    <n v="0"/>
    <n v="0"/>
    <m/>
    <n v="0"/>
    <n v="4.0860646933333333"/>
    <n v="0"/>
    <n v="0"/>
    <n v="4.1722000000000001"/>
    <s v="Sin Facturación 2022"/>
    <n v="0"/>
    <n v="0"/>
    <n v="3000"/>
    <n v="8000"/>
    <n v="8214"/>
    <n v="5000"/>
    <n v="0"/>
    <n v="0"/>
    <n v="7484"/>
    <n v="37402"/>
    <n v="36664"/>
    <n v="20861"/>
    <m/>
    <n v="0"/>
    <e v="#REF!"/>
    <e v="#REF!"/>
  </r>
  <r>
    <s v="Exportacion Directa1023352"/>
    <x v="0"/>
    <x v="4"/>
    <x v="190"/>
    <x v="173"/>
    <x v="8"/>
    <x v="10"/>
    <m/>
    <n v="52873"/>
    <n v="0"/>
    <n v="0.7577362385835783"/>
    <n v="40063.788142629535"/>
    <n v="21200.696999999993"/>
    <n v="20861.727007099693"/>
    <n v="0"/>
    <n v="80040.039449019256"/>
    <n v="149500"/>
    <n v="6470.588235294118"/>
    <n v="77647.058823529413"/>
    <m/>
    <n v="77647.058823529413"/>
    <n v="2392.9806254898431"/>
    <n v="0"/>
    <m/>
    <n v="0"/>
    <n v="2392.9806254898431"/>
    <n v="0"/>
    <n v="0"/>
    <n v="77647.058823529413"/>
    <n v="77647.058823529413"/>
    <m/>
    <n v="0"/>
    <n v="4.4217131252869217"/>
    <n v="4.4217131252869217"/>
    <n v="343333.01913992572"/>
    <n v="4.4333457828377139"/>
    <n v="2.6239003498947124E-3"/>
    <n v="0"/>
    <n v="0"/>
    <n v="0"/>
    <n v="45000"/>
    <n v="118342"/>
    <n v="77647"/>
    <n v="0"/>
    <n v="0"/>
    <n v="0"/>
    <n v="217858"/>
    <n v="566146"/>
    <n v="344236"/>
    <m/>
    <n v="0"/>
    <e v="#REF!"/>
    <e v="#REF!"/>
  </r>
  <r>
    <s v="Agro Sudamerica1030224"/>
    <x v="1"/>
    <x v="0"/>
    <x v="191"/>
    <x v="174"/>
    <x v="16"/>
    <x v="40"/>
    <m/>
    <n v="22325"/>
    <n v="24000"/>
    <n v="0.5154724771671565"/>
    <n v="11507.923052756769"/>
    <n v="58440.880999999965"/>
    <n v="0"/>
    <n v="0"/>
    <n v="69948.804052756735"/>
    <n v="134000"/>
    <n v="24000"/>
    <n v="48000"/>
    <m/>
    <n v="48000"/>
    <n v="21948.804052756735"/>
    <n v="0"/>
    <m/>
    <n v="0"/>
    <n v="21948.804052756735"/>
    <n v="0"/>
    <n v="0"/>
    <n v="48000"/>
    <n v="48000"/>
    <m/>
    <n v="2.1866249999999998"/>
    <n v="2.25409704620253"/>
    <n v="2.25409704620253"/>
    <n v="108196.65821772144"/>
    <n v="2.1646697498348302"/>
    <n v="4.1312212347644893E-2"/>
    <n v="48000"/>
    <n v="72000"/>
    <n v="48000"/>
    <n v="48000"/>
    <n v="48000"/>
    <n v="168009"/>
    <n v="96960"/>
    <n v="151019"/>
    <n v="91200"/>
    <n v="89040"/>
    <n v="96480"/>
    <n v="363684"/>
    <m/>
    <n v="0"/>
    <e v="#REF!"/>
    <e v="#REF!"/>
  </r>
  <r>
    <s v="Agro Sudamerica1030332"/>
    <x v="1"/>
    <x v="0"/>
    <x v="192"/>
    <x v="175"/>
    <x v="17"/>
    <x v="41"/>
    <m/>
    <n v="72000"/>
    <n v="72000"/>
    <n v="0.5154724771671565"/>
    <n v="37114.018356035267"/>
    <n v="15740"/>
    <n v="8285.8777372167933"/>
    <n v="0"/>
    <n v="60311.308319530384"/>
    <n v="0"/>
    <n v="24000"/>
    <n v="0"/>
    <m/>
    <n v="0"/>
    <n v="60311.308319530384"/>
    <n v="48000"/>
    <m/>
    <n v="48000"/>
    <n v="12311.308319530384"/>
    <n v="0"/>
    <n v="0"/>
    <n v="48000"/>
    <n v="48000"/>
    <m/>
    <n v="1.5333333333333301"/>
    <n v="0"/>
    <n v="1.5333333333333301"/>
    <n v="73599.99999999984"/>
    <n v="1.5"/>
    <n v="2.2222222222220072E-2"/>
    <n v="48000"/>
    <n v="168000"/>
    <n v="72000"/>
    <n v="48000"/>
    <n v="48000"/>
    <n v="0"/>
    <n v="72000"/>
    <n v="251769"/>
    <n v="111840"/>
    <n v="64800"/>
    <n v="72000"/>
    <n v="0"/>
    <m/>
    <n v="0"/>
    <e v="#REF!"/>
    <e v="#REF!"/>
  </r>
  <r>
    <s v="Agro Sudamerica1030498"/>
    <x v="1"/>
    <x v="0"/>
    <x v="193"/>
    <x v="176"/>
    <x v="18"/>
    <x v="42"/>
    <m/>
    <n v="12000"/>
    <n v="12000"/>
    <n v="0.5154724771671565"/>
    <n v="6185.6697260058781"/>
    <n v="23510"/>
    <n v="3793.9279934602041"/>
    <n v="0"/>
    <n v="33110.204920120064"/>
    <n v="24000"/>
    <n v="24000"/>
    <n v="24000"/>
    <m/>
    <n v="24000"/>
    <n v="9110.2049201200643"/>
    <n v="0"/>
    <m/>
    <n v="0"/>
    <n v="9110.2049201200643"/>
    <n v="0"/>
    <n v="0"/>
    <n v="24000"/>
    <n v="24000"/>
    <m/>
    <n v="1.83666666666667"/>
    <n v="1.85775"/>
    <n v="1.85775"/>
    <n v="44586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30545"/>
    <x v="1"/>
    <x v="0"/>
    <x v="194"/>
    <x v="177"/>
    <x v="19"/>
    <x v="43"/>
    <m/>
    <n v="21130"/>
    <n v="24000"/>
    <n v="0.5154724771671565"/>
    <n v="10891.933442542017"/>
    <n v="12360"/>
    <n v="0"/>
    <n v="0"/>
    <n v="23251.933442542017"/>
    <n v="0"/>
    <n v="24000"/>
    <n v="0"/>
    <m/>
    <n v="0"/>
    <n v="23251.933442542017"/>
    <n v="0"/>
    <m/>
    <n v="0"/>
    <n v="23251.933442542017"/>
    <n v="0"/>
    <n v="0"/>
    <n v="0"/>
    <n v="0"/>
    <m/>
    <n v="4.4366666666666701"/>
    <n v="0"/>
    <n v="0"/>
    <n v="0"/>
    <n v="4.2833333333333332"/>
    <s v="Sin Facturación 2022"/>
    <n v="24000"/>
    <n v="48000"/>
    <n v="44000"/>
    <n v="24000"/>
    <n v="72000"/>
    <n v="0"/>
    <n v="102960"/>
    <n v="198670"/>
    <n v="190200"/>
    <n v="104400"/>
    <n v="308400"/>
    <n v="0"/>
    <m/>
    <n v="0"/>
    <e v="#REF!"/>
    <e v="#REF!"/>
  </r>
  <r>
    <s v="Agro Sudamerica1030670"/>
    <x v="1"/>
    <x v="0"/>
    <x v="195"/>
    <x v="178"/>
    <x v="20"/>
    <x v="44"/>
    <m/>
    <n v="14247"/>
    <n v="24000"/>
    <n v="0.5154724771671565"/>
    <n v="7343.9363822004789"/>
    <n v="26280"/>
    <n v="0"/>
    <n v="0"/>
    <n v="33623.936382200482"/>
    <n v="0"/>
    <n v="24000"/>
    <n v="0"/>
    <m/>
    <n v="0"/>
    <n v="33623.936382200482"/>
    <n v="24000"/>
    <m/>
    <n v="24000"/>
    <n v="9623.9363822004816"/>
    <n v="0"/>
    <n v="0"/>
    <n v="24000"/>
    <n v="24000"/>
    <m/>
    <n v="10.8866666666667"/>
    <n v="0"/>
    <n v="10.8866666666667"/>
    <n v="261280.00000000081"/>
    <n v="11.925041666666667"/>
    <n v="8.7075167452242294E-2"/>
    <n v="24000"/>
    <n v="96000"/>
    <n v="48000"/>
    <n v="72000"/>
    <n v="72000"/>
    <n v="48000"/>
    <n v="170400"/>
    <n v="703800"/>
    <n v="393280"/>
    <n v="579360"/>
    <n v="752400"/>
    <n v="572402"/>
    <m/>
    <n v="0"/>
    <e v="#REF!"/>
    <e v="#REF!"/>
  </r>
  <r>
    <s v="Agro Sudamerica1030720"/>
    <x v="1"/>
    <x v="0"/>
    <x v="196"/>
    <x v="179"/>
    <x v="5"/>
    <x v="45"/>
    <m/>
    <n v="24000"/>
    <n v="24000"/>
    <n v="0.5154724771671565"/>
    <n v="12371.339452011756"/>
    <n v="13883.555"/>
    <n v="4500"/>
    <n v="0"/>
    <n v="30304.894452011758"/>
    <n v="0"/>
    <n v="24000"/>
    <n v="0"/>
    <m/>
    <n v="0"/>
    <n v="30304.894452011758"/>
    <n v="24000"/>
    <m/>
    <n v="24000"/>
    <n v="6304.8944520117584"/>
    <n v="0"/>
    <n v="0"/>
    <n v="24000"/>
    <n v="24000"/>
    <m/>
    <n v="0.706666666666667"/>
    <n v="0"/>
    <n v="0.706666666666667"/>
    <n v="16960.000000000007"/>
    <n v="0.54"/>
    <n v="0.30864197530864251"/>
    <n v="0"/>
    <n v="24000"/>
    <n v="24000"/>
    <n v="28001"/>
    <n v="48000"/>
    <n v="24000"/>
    <n v="0"/>
    <n v="12000"/>
    <n v="12469"/>
    <n v="12880"/>
    <n v="22427"/>
    <n v="12960"/>
    <m/>
    <n v="0"/>
    <e v="#REF!"/>
    <e v="#REF!"/>
  </r>
  <r>
    <s v="Agro Sudamerica1030732"/>
    <x v="1"/>
    <x v="0"/>
    <x v="197"/>
    <x v="180"/>
    <x v="20"/>
    <x v="46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30739"/>
    <x v="1"/>
    <x v="0"/>
    <x v="198"/>
    <x v="181"/>
    <x v="17"/>
    <x v="41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30780"/>
    <x v="1"/>
    <x v="0"/>
    <x v="199"/>
    <x v="182"/>
    <x v="21"/>
    <x v="47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Asia1030309"/>
    <x v="1"/>
    <x v="1"/>
    <x v="200"/>
    <x v="183"/>
    <x v="18"/>
    <x v="48"/>
    <m/>
    <n v="714"/>
    <n v="0"/>
    <n v="0.3938052388111854"/>
    <n v="281.17694051118639"/>
    <n v="0"/>
    <n v="0"/>
    <n v="0"/>
    <n v="281.17694051118639"/>
    <n v="0"/>
    <n v="22000"/>
    <n v="0"/>
    <m/>
    <n v="0"/>
    <n v="281.17694051118639"/>
    <n v="0"/>
    <m/>
    <n v="0"/>
    <n v="281.17694051118639"/>
    <n v="0"/>
    <n v="0"/>
    <n v="0"/>
    <n v="0"/>
    <m/>
    <n v="0"/>
    <n v="0"/>
    <n v="0"/>
    <n v="0"/>
    <n v="1.3"/>
    <s v="Sin Facturación 2022"/>
    <n v="16000"/>
    <n v="0"/>
    <n v="22000"/>
    <n v="0"/>
    <n v="0"/>
    <n v="0"/>
    <n v="21120"/>
    <n v="0"/>
    <n v="28600"/>
    <n v="0"/>
    <n v="0"/>
    <n v="0"/>
    <m/>
    <n v="0"/>
    <e v="#REF!"/>
    <e v="#REF!"/>
  </r>
  <r>
    <s v="Agrosuper Asia1030535"/>
    <x v="1"/>
    <x v="1"/>
    <x v="201"/>
    <x v="184"/>
    <x v="16"/>
    <x v="40"/>
    <m/>
    <n v="22000"/>
    <n v="22000"/>
    <n v="0.3938052388111854"/>
    <n v="8663.7152538460796"/>
    <n v="17864.892"/>
    <n v="0"/>
    <n v="0"/>
    <n v="26528.607253846079"/>
    <n v="22000"/>
    <n v="22000"/>
    <n v="22000"/>
    <m/>
    <n v="22000"/>
    <n v="4528.6072538460794"/>
    <n v="0"/>
    <m/>
    <n v="0"/>
    <n v="4528.6072538460794"/>
    <n v="0"/>
    <n v="0"/>
    <n v="22000"/>
    <n v="22000"/>
    <m/>
    <n v="2.3173181818181798"/>
    <n v="2.3997763636363598"/>
    <n v="2.3997763636363598"/>
    <n v="52795.079999999914"/>
    <n v="2.3132272727272727"/>
    <n v="3.7414867068831757E-2"/>
    <n v="6000"/>
    <n v="0"/>
    <n v="28000"/>
    <n v="44000"/>
    <n v="43998"/>
    <n v="22000"/>
    <n v="12420"/>
    <n v="0"/>
    <n v="58940"/>
    <n v="104751"/>
    <n v="49774"/>
    <n v="50891"/>
    <m/>
    <n v="0"/>
    <e v="#REF!"/>
    <e v="#REF!"/>
  </r>
  <r>
    <s v="Agrosuper Asia1030542"/>
    <x v="1"/>
    <x v="1"/>
    <x v="202"/>
    <x v="185"/>
    <x v="20"/>
    <x v="44"/>
    <m/>
    <n v="94810"/>
    <n v="96000"/>
    <n v="0.3938052388111854"/>
    <n v="37336.674691688488"/>
    <n v="3885"/>
    <n v="5086.8971365527977"/>
    <n v="0"/>
    <n v="45799.882114586006"/>
    <n v="0"/>
    <n v="24000"/>
    <n v="0"/>
    <m/>
    <n v="0"/>
    <n v="45799.882114586006"/>
    <n v="24000"/>
    <m/>
    <n v="24000"/>
    <n v="21799.882114586006"/>
    <n v="0"/>
    <n v="0"/>
    <n v="24000"/>
    <n v="24000"/>
    <m/>
    <n v="11.93109375"/>
    <n v="0"/>
    <n v="11.93109375"/>
    <n v="286346.25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0877"/>
    <x v="2"/>
    <x v="0"/>
    <x v="203"/>
    <x v="186"/>
    <x v="18"/>
    <x v="42"/>
    <m/>
    <n v="114006"/>
    <n v="48000"/>
    <n v="0.5154724771671565"/>
    <n v="58766.955231918844"/>
    <n v="24990"/>
    <n v="24987"/>
    <n v="0"/>
    <n v="106245.25523191884"/>
    <n v="120000"/>
    <n v="24000"/>
    <n v="96000"/>
    <m/>
    <n v="96000"/>
    <n v="10245.25523191884"/>
    <n v="0"/>
    <m/>
    <n v="0"/>
    <n v="10245.25523191884"/>
    <n v="0"/>
    <n v="0"/>
    <n v="96000"/>
    <n v="96000"/>
    <m/>
    <n v="0"/>
    <n v="1.0694791666666701"/>
    <n v="1.0694791666666701"/>
    <n v="102670.00000000033"/>
    <n v="1.0678970517574877"/>
    <n v="1.4815238103510109E-3"/>
    <n v="96000"/>
    <n v="123000"/>
    <n v="95960"/>
    <n v="48000"/>
    <n v="115000"/>
    <n v="162334"/>
    <n v="106278.39999999999"/>
    <n v="135580"/>
    <n v="95964"/>
    <n v="44149"/>
    <n v="123460"/>
    <n v="173356"/>
    <m/>
    <n v="0"/>
    <e v="#REF!"/>
    <e v="#REF!"/>
  </r>
  <r>
    <s v="Agro Sudamerica1011042"/>
    <x v="2"/>
    <x v="0"/>
    <x v="204"/>
    <x v="187"/>
    <x v="22"/>
    <x v="49"/>
    <m/>
    <n v="459"/>
    <n v="0"/>
    <n v="0.5154724771671565"/>
    <n v="236.60186701972484"/>
    <n v="8970"/>
    <n v="0"/>
    <n v="0"/>
    <n v="9206.6018670197245"/>
    <n v="0"/>
    <n v="24000"/>
    <n v="0"/>
    <m/>
    <n v="0"/>
    <n v="9206.6018670197245"/>
    <n v="0"/>
    <m/>
    <n v="0"/>
    <n v="9206.6018670197245"/>
    <n v="0"/>
    <n v="0"/>
    <n v="0"/>
    <n v="0"/>
    <m/>
    <n v="0"/>
    <n v="0"/>
    <n v="0"/>
    <n v="0"/>
    <n v="0.55655555555555558"/>
    <s v="Sin Facturación 2022"/>
    <n v="24000"/>
    <n v="0"/>
    <n v="23960"/>
    <n v="0"/>
    <n v="72000"/>
    <n v="36000"/>
    <n v="10800"/>
    <n v="0"/>
    <n v="9584"/>
    <n v="0"/>
    <n v="36177"/>
    <n v="20036"/>
    <m/>
    <n v="0"/>
    <e v="#REF!"/>
    <e v="#REF!"/>
  </r>
  <r>
    <s v="Agro Sudamerica1011047"/>
    <x v="2"/>
    <x v="0"/>
    <x v="205"/>
    <x v="188"/>
    <x v="23"/>
    <x v="50"/>
    <m/>
    <n v="0"/>
    <n v="0"/>
    <n v="0.5154724771671565"/>
    <n v="0"/>
    <n v="60"/>
    <n v="0"/>
    <n v="0"/>
    <n v="60"/>
    <n v="0"/>
    <n v="24000"/>
    <n v="0"/>
    <m/>
    <n v="0"/>
    <n v="60"/>
    <n v="0"/>
    <m/>
    <n v="0"/>
    <n v="6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1250"/>
    <x v="2"/>
    <x v="0"/>
    <x v="206"/>
    <x v="189"/>
    <x v="23"/>
    <x v="50"/>
    <m/>
    <n v="0"/>
    <n v="0"/>
    <n v="0.5154724771671565"/>
    <n v="0"/>
    <n v="1650.74"/>
    <n v="0"/>
    <n v="0"/>
    <n v="1650.74"/>
    <n v="0"/>
    <n v="24000"/>
    <n v="0"/>
    <m/>
    <n v="0"/>
    <n v="1650.74"/>
    <n v="0"/>
    <m/>
    <n v="0"/>
    <n v="1650.74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1290"/>
    <x v="2"/>
    <x v="0"/>
    <x v="207"/>
    <x v="190"/>
    <x v="10"/>
    <x v="51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.49275000000000002"/>
    <s v="Sin Facturación 2022"/>
    <n v="24000"/>
    <n v="23700"/>
    <n v="0"/>
    <n v="24000"/>
    <n v="0"/>
    <n v="8000"/>
    <n v="14800"/>
    <n v="14615"/>
    <n v="0"/>
    <n v="12000"/>
    <n v="0"/>
    <n v="3942"/>
    <m/>
    <n v="0"/>
    <e v="#REF!"/>
    <e v="#REF!"/>
  </r>
  <r>
    <s v="Agro Sudamerica1011421"/>
    <x v="2"/>
    <x v="0"/>
    <x v="208"/>
    <x v="191"/>
    <x v="24"/>
    <x v="52"/>
    <m/>
    <n v="898987"/>
    <n v="880000"/>
    <n v="0.5154724771671565"/>
    <n v="463403.05583107052"/>
    <n v="5679.4669999999987"/>
    <n v="80000"/>
    <n v="0"/>
    <n v="541082.52283107047"/>
    <n v="278000"/>
    <n v="24000"/>
    <n v="278000"/>
    <m/>
    <n v="278000"/>
    <n v="263082.52283107047"/>
    <n v="240000"/>
    <m/>
    <n v="240000"/>
    <n v="23082.52283107047"/>
    <n v="0"/>
    <n v="0"/>
    <n v="518000"/>
    <n v="518000"/>
    <m/>
    <n v="1.0366727272727301"/>
    <n v="1.06806036446469"/>
    <n v="1.0535178298583765"/>
    <n v="545722.23586663906"/>
    <n v="0.98656936153926877"/>
    <n v="6.7859869694973235E-2"/>
    <n v="620000"/>
    <n v="696000"/>
    <n v="840000"/>
    <n v="720000"/>
    <n v="888000"/>
    <n v="647996"/>
    <n v="527000"/>
    <n v="487200"/>
    <n v="630000"/>
    <n v="562800"/>
    <n v="700080"/>
    <n v="639293"/>
    <m/>
    <n v="0"/>
    <e v="#REF!"/>
    <e v="#REF!"/>
  </r>
  <r>
    <s v="Agro Sudamerica1011422"/>
    <x v="2"/>
    <x v="0"/>
    <x v="209"/>
    <x v="192"/>
    <x v="10"/>
    <x v="51"/>
    <m/>
    <n v="0"/>
    <n v="0"/>
    <n v="0.5154724771671565"/>
    <n v="0"/>
    <n v="1251.9760000000001"/>
    <n v="0"/>
    <n v="0"/>
    <n v="1251.9760000000001"/>
    <n v="0"/>
    <n v="24000"/>
    <n v="0"/>
    <m/>
    <n v="0"/>
    <n v="1251.9760000000001"/>
    <n v="0"/>
    <m/>
    <n v="0"/>
    <n v="1251.9760000000001"/>
    <n v="0"/>
    <n v="0"/>
    <n v="0"/>
    <n v="0"/>
    <m/>
    <n v="0"/>
    <n v="0"/>
    <n v="0"/>
    <n v="0"/>
    <n v="0.5"/>
    <s v="Sin Facturación 2022"/>
    <n v="0"/>
    <n v="0"/>
    <n v="24000"/>
    <n v="0"/>
    <n v="0"/>
    <n v="0"/>
    <n v="0"/>
    <n v="0"/>
    <n v="12000"/>
    <n v="0"/>
    <n v="0"/>
    <n v="0"/>
    <m/>
    <n v="0"/>
    <e v="#REF!"/>
    <e v="#REF!"/>
  </r>
  <r>
    <s v="Agro Sudamerica1011558"/>
    <x v="2"/>
    <x v="0"/>
    <x v="210"/>
    <x v="193"/>
    <x v="24"/>
    <x v="52"/>
    <m/>
    <n v="48138"/>
    <n v="52358"/>
    <n v="0.5154724771671565"/>
    <n v="24813.814105872578"/>
    <n v="14487.798999999997"/>
    <n v="0"/>
    <n v="0"/>
    <n v="39301.613105872573"/>
    <n v="6000"/>
    <n v="24000"/>
    <n v="6000"/>
    <m/>
    <n v="6000"/>
    <n v="33301.613105872573"/>
    <n v="24000"/>
    <m/>
    <n v="24000"/>
    <n v="9301.6131058725732"/>
    <n v="0"/>
    <n v="0"/>
    <n v="30000"/>
    <n v="30000"/>
    <m/>
    <n v="1.0366706138507999"/>
    <n v="0.93700000000000006"/>
    <n v="1.01673649108064"/>
    <n v="30502.094732419202"/>
    <n v="1.1532038300957523"/>
    <n v="0.11833757004065901"/>
    <n v="192000"/>
    <n v="408000"/>
    <n v="288000"/>
    <n v="264000"/>
    <n v="168000"/>
    <n v="119997"/>
    <n v="172800"/>
    <n v="399280"/>
    <n v="225819"/>
    <n v="212400"/>
    <n v="115440"/>
    <n v="138381"/>
    <m/>
    <n v="0"/>
    <e v="#REF!"/>
    <e v="#REF!"/>
  </r>
  <r>
    <s v="Agro Sudamerica1011582"/>
    <x v="2"/>
    <x v="0"/>
    <x v="211"/>
    <x v="194"/>
    <x v="25"/>
    <x v="53"/>
    <m/>
    <n v="0"/>
    <n v="1516"/>
    <n v="0.5154724771671565"/>
    <n v="0"/>
    <n v="15.259"/>
    <n v="0"/>
    <n v="0"/>
    <n v="15.259"/>
    <n v="0"/>
    <n v="24000"/>
    <n v="0"/>
    <m/>
    <n v="0"/>
    <n v="15.259"/>
    <n v="0"/>
    <m/>
    <n v="0"/>
    <n v="15.259"/>
    <n v="0"/>
    <n v="0"/>
    <n v="0"/>
    <n v="0"/>
    <m/>
    <n v="0"/>
    <n v="0"/>
    <n v="0"/>
    <n v="0"/>
    <n v="0.97"/>
    <s v="Sin Facturación 2022"/>
    <n v="24000"/>
    <n v="82000"/>
    <n v="60000"/>
    <n v="24000"/>
    <n v="46500"/>
    <n v="0"/>
    <n v="22240"/>
    <n v="79107"/>
    <n v="58200"/>
    <n v="19680"/>
    <n v="45105"/>
    <n v="0"/>
    <m/>
    <n v="0"/>
    <e v="#REF!"/>
    <e v="#REF!"/>
  </r>
  <r>
    <s v="Agro Sudamerica1011888"/>
    <x v="2"/>
    <x v="0"/>
    <x v="212"/>
    <x v="195"/>
    <x v="10"/>
    <x v="51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1939"/>
    <x v="2"/>
    <x v="0"/>
    <x v="213"/>
    <x v="196"/>
    <x v="16"/>
    <x v="40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2207"/>
    <x v="2"/>
    <x v="0"/>
    <x v="214"/>
    <x v="197"/>
    <x v="18"/>
    <x v="42"/>
    <m/>
    <n v="24000"/>
    <n v="24000"/>
    <n v="0.5154724771671565"/>
    <n v="12371.339452011756"/>
    <n v="24060"/>
    <n v="0"/>
    <n v="0"/>
    <n v="36431.339452011758"/>
    <n v="24000"/>
    <n v="24000"/>
    <n v="24000"/>
    <m/>
    <n v="24000"/>
    <n v="12431.339452011758"/>
    <n v="0"/>
    <m/>
    <n v="0"/>
    <n v="12431.339452011758"/>
    <n v="0"/>
    <n v="0"/>
    <n v="24000"/>
    <n v="24000"/>
    <m/>
    <n v="1.28666666666667"/>
    <n v="1.354125"/>
    <n v="1.354125"/>
    <n v="32499"/>
    <n v="1.2630416666666666"/>
    <n v="7.2114274403721229E-2"/>
    <n v="24000"/>
    <n v="60000"/>
    <n v="55476"/>
    <n v="24000"/>
    <n v="48000"/>
    <n v="72000"/>
    <n v="31254.7673"/>
    <n v="73760"/>
    <n v="63571"/>
    <n v="22080"/>
    <n v="58667"/>
    <n v="90939"/>
    <m/>
    <n v="0"/>
    <e v="#REF!"/>
    <e v="#REF!"/>
  </r>
  <r>
    <s v="Agro Sudamerica1012208"/>
    <x v="2"/>
    <x v="0"/>
    <x v="215"/>
    <x v="198"/>
    <x v="25"/>
    <x v="53"/>
    <m/>
    <n v="22130"/>
    <n v="24000"/>
    <n v="0.5154724771671565"/>
    <n v="11407.405919709174"/>
    <n v="19909.254999999997"/>
    <n v="11000"/>
    <n v="0"/>
    <n v="41216.660919709175"/>
    <n v="48000"/>
    <n v="24000"/>
    <n v="24000"/>
    <m/>
    <n v="24000"/>
    <n v="17216.660919709175"/>
    <n v="0"/>
    <m/>
    <n v="0"/>
    <n v="17216.660919709175"/>
    <n v="0"/>
    <n v="0"/>
    <n v="24000"/>
    <n v="24000"/>
    <m/>
    <n v="1.4866666666666699"/>
    <n v="1.50216666666667"/>
    <n v="1.50216666666667"/>
    <n v="36052.00000000008"/>
    <n v="1.5021666666666667"/>
    <n v="2.2172433643906376E-15"/>
    <n v="24000"/>
    <n v="120000"/>
    <n v="72000"/>
    <n v="0"/>
    <n v="24000"/>
    <n v="24000"/>
    <n v="34374.025999999998"/>
    <n v="172320"/>
    <n v="105840"/>
    <n v="0"/>
    <n v="34080"/>
    <n v="36052"/>
    <m/>
    <n v="0"/>
    <e v="#REF!"/>
    <e v="#REF!"/>
  </r>
  <r>
    <s v="Agro Sudamerica1012283"/>
    <x v="2"/>
    <x v="0"/>
    <x v="216"/>
    <x v="199"/>
    <x v="18"/>
    <x v="54"/>
    <m/>
    <n v="78734"/>
    <n v="144000"/>
    <n v="0.5154724771671565"/>
    <n v="40585.2100172789"/>
    <n v="17473.965"/>
    <n v="9972"/>
    <n v="0"/>
    <n v="67033.975017278906"/>
    <n v="0"/>
    <n v="24000"/>
    <n v="0"/>
    <m/>
    <n v="0"/>
    <n v="67033.975017278906"/>
    <n v="48000"/>
    <m/>
    <n v="48000"/>
    <n v="19033.975017278906"/>
    <n v="0"/>
    <n v="0"/>
    <n v="48000"/>
    <n v="48000"/>
    <m/>
    <n v="0.786673611111111"/>
    <n v="0"/>
    <n v="0.786673611111111"/>
    <n v="37760.333333333328"/>
    <n v="0.79764583333333339"/>
    <n v="1.3755756958410801E-2"/>
    <n v="72000"/>
    <n v="48000"/>
    <n v="60779"/>
    <n v="48000"/>
    <n v="48000"/>
    <n v="48000"/>
    <n v="50924.302000000003"/>
    <n v="34400"/>
    <n v="42545"/>
    <n v="36960"/>
    <n v="38133"/>
    <n v="38287"/>
    <m/>
    <n v="0"/>
    <e v="#REF!"/>
    <e v="#REF!"/>
  </r>
  <r>
    <s v="Agro Sudamerica1012362"/>
    <x v="2"/>
    <x v="0"/>
    <x v="217"/>
    <x v="200"/>
    <x v="18"/>
    <x v="55"/>
    <m/>
    <n v="14183"/>
    <n v="0"/>
    <n v="0.5154724771671565"/>
    <n v="7310.9461436617803"/>
    <n v="23472"/>
    <n v="10901"/>
    <n v="0"/>
    <n v="40593.84614366178"/>
    <n v="29000"/>
    <n v="24000"/>
    <n v="29000"/>
    <m/>
    <n v="29000"/>
    <n v="11593.84614366178"/>
    <n v="0"/>
    <m/>
    <n v="0"/>
    <n v="11593.84614366178"/>
    <n v="0"/>
    <n v="0"/>
    <n v="29000"/>
    <n v="29000"/>
    <m/>
    <n v="0"/>
    <n v="0.81251149310344795"/>
    <n v="0.81251149310344795"/>
    <n v="23562.833299999991"/>
    <n v="0.78590000000000004"/>
    <n v="3.3861169491599313E-2"/>
    <n v="0"/>
    <n v="3000"/>
    <n v="0"/>
    <n v="0"/>
    <n v="13000"/>
    <n v="10000"/>
    <n v="0"/>
    <n v="1790"/>
    <n v="0"/>
    <n v="0"/>
    <n v="10310"/>
    <n v="7859"/>
    <m/>
    <n v="0"/>
    <e v="#REF!"/>
    <e v="#REF!"/>
  </r>
  <r>
    <s v="Agro Sudamerica1012552"/>
    <x v="2"/>
    <x v="0"/>
    <x v="218"/>
    <x v="201"/>
    <x v="23"/>
    <x v="50"/>
    <m/>
    <n v="230"/>
    <n v="0"/>
    <n v="0.5154724771671565"/>
    <n v="118.55866974844599"/>
    <n v="22760"/>
    <n v="0"/>
    <n v="0"/>
    <n v="22878.558669748447"/>
    <n v="23000"/>
    <n v="24000"/>
    <n v="0"/>
    <m/>
    <n v="0"/>
    <n v="22878.558669748447"/>
    <n v="0"/>
    <m/>
    <n v="0"/>
    <n v="22878.558669748447"/>
    <n v="0"/>
    <n v="0"/>
    <n v="0"/>
    <n v="0"/>
    <m/>
    <n v="0"/>
    <n v="4.3499999999999996"/>
    <n v="0"/>
    <n v="0"/>
    <n v="4.5"/>
    <s v="Sin Facturación 2022"/>
    <n v="48000"/>
    <n v="48000"/>
    <n v="48000"/>
    <n v="24000"/>
    <n v="72000"/>
    <n v="46000"/>
    <n v="168000"/>
    <n v="176400"/>
    <n v="194629"/>
    <n v="94080"/>
    <n v="321014"/>
    <n v="207000"/>
    <m/>
    <n v="0"/>
    <e v="#REF!"/>
    <e v="#REF!"/>
  </r>
  <r>
    <s v="Agro Sudamerica1012556"/>
    <x v="2"/>
    <x v="0"/>
    <x v="219"/>
    <x v="202"/>
    <x v="24"/>
    <x v="56"/>
    <m/>
    <n v="96000"/>
    <n v="96000"/>
    <n v="0.5154724771671565"/>
    <n v="49485.357808047025"/>
    <n v="23946.736000000004"/>
    <n v="0"/>
    <n v="0"/>
    <n v="73432.093808047037"/>
    <n v="48000"/>
    <n v="24000"/>
    <n v="48000"/>
    <m/>
    <n v="48000"/>
    <n v="25432.093808047037"/>
    <n v="24000"/>
    <m/>
    <n v="24000"/>
    <n v="1432.0938080470369"/>
    <n v="0"/>
    <n v="0"/>
    <n v="72000"/>
    <n v="72000"/>
    <m/>
    <n v="1.0866770833333299"/>
    <n v="1.14544791666667"/>
    <n v="1.1258576388888899"/>
    <n v="81061.750000000073"/>
    <n v="0.8"/>
    <n v="0.40732204861111232"/>
    <n v="0"/>
    <n v="0"/>
    <n v="24000"/>
    <n v="72000"/>
    <n v="48000"/>
    <n v="0"/>
    <n v="0"/>
    <n v="0"/>
    <n v="18950"/>
    <n v="57600"/>
    <n v="38400"/>
    <n v="0"/>
    <m/>
    <n v="0"/>
    <e v="#REF!"/>
    <e v="#REF!"/>
  </r>
  <r>
    <s v="Agro Sudamerica1012602"/>
    <x v="2"/>
    <x v="0"/>
    <x v="220"/>
    <x v="203"/>
    <x v="17"/>
    <x v="57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2698"/>
    <x v="2"/>
    <x v="0"/>
    <x v="221"/>
    <x v="204"/>
    <x v="11"/>
    <x v="58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6"/>
    <s v="Sin Facturación 2022"/>
    <n v="0"/>
    <n v="0"/>
    <n v="80"/>
    <n v="0"/>
    <n v="0"/>
    <n v="0"/>
    <n v="0"/>
    <n v="0"/>
    <n v="480"/>
    <n v="0"/>
    <n v="0"/>
    <n v="0"/>
    <m/>
    <n v="0"/>
    <e v="#REF!"/>
    <e v="#REF!"/>
  </r>
  <r>
    <s v="Agro Sudamerica1012699"/>
    <x v="2"/>
    <x v="0"/>
    <x v="222"/>
    <x v="205"/>
    <x v="17"/>
    <x v="41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6.5"/>
    <s v="Sin Facturación 2022"/>
    <n v="0"/>
    <n v="0"/>
    <n v="80"/>
    <n v="0"/>
    <n v="0"/>
    <n v="0"/>
    <n v="0"/>
    <n v="0"/>
    <n v="520"/>
    <n v="0"/>
    <n v="0"/>
    <n v="0"/>
    <m/>
    <n v="0"/>
    <e v="#REF!"/>
    <e v="#REF!"/>
  </r>
  <r>
    <s v="Agro Sudamerica1012719"/>
    <x v="2"/>
    <x v="0"/>
    <x v="223"/>
    <x v="206"/>
    <x v="24"/>
    <x v="56"/>
    <m/>
    <n v="287863"/>
    <n v="288000"/>
    <n v="0.5154724771671565"/>
    <n v="148385.45369476918"/>
    <n v="10986.209000000001"/>
    <n v="33450"/>
    <n v="0"/>
    <n v="189476.66269476918"/>
    <n v="0"/>
    <n v="24000"/>
    <n v="0"/>
    <m/>
    <n v="0"/>
    <n v="189476.66269476918"/>
    <n v="168000"/>
    <m/>
    <n v="168000"/>
    <n v="21476.662694769184"/>
    <n v="0"/>
    <n v="0"/>
    <n v="168000"/>
    <n v="168000"/>
    <m/>
    <n v="1.0366736111111099"/>
    <n v="0"/>
    <n v="1.0366736111111099"/>
    <n v="174161.16666666645"/>
    <n v="0.70687500000000003"/>
    <n v="0.46655860104135788"/>
    <n v="192000"/>
    <n v="423600"/>
    <n v="357200"/>
    <n v="144000"/>
    <n v="358600"/>
    <n v="24000"/>
    <n v="134400"/>
    <n v="285844"/>
    <n v="241660"/>
    <n v="80640"/>
    <n v="251432"/>
    <n v="16965"/>
    <s v="revisar"/>
    <n v="0"/>
    <e v="#REF!"/>
    <e v="#REF!"/>
  </r>
  <r>
    <s v="Agro Sudamerica1012744"/>
    <x v="2"/>
    <x v="0"/>
    <x v="224"/>
    <x v="207"/>
    <x v="23"/>
    <x v="50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3.4"/>
    <s v="Sin Facturación 2022"/>
    <n v="0"/>
    <n v="143000"/>
    <n v="72000"/>
    <n v="24000"/>
    <n v="24000"/>
    <n v="0"/>
    <n v="0"/>
    <n v="487469"/>
    <n v="249600"/>
    <n v="78000"/>
    <n v="81600"/>
    <n v="0"/>
    <m/>
    <n v="0"/>
    <e v="#REF!"/>
    <e v="#REF!"/>
  </r>
  <r>
    <s v="Agro Sudamerica1012763"/>
    <x v="2"/>
    <x v="0"/>
    <x v="225"/>
    <x v="208"/>
    <x v="18"/>
    <x v="54"/>
    <m/>
    <n v="91025"/>
    <n v="72000"/>
    <n v="0.5154724771671565"/>
    <n v="46920.882234140423"/>
    <n v="39161.005000000005"/>
    <n v="10000"/>
    <n v="0"/>
    <n v="95081.88723414042"/>
    <n v="48000"/>
    <n v="24000"/>
    <n v="48000"/>
    <m/>
    <n v="48000"/>
    <n v="47081.88723414042"/>
    <n v="24000"/>
    <m/>
    <n v="24000"/>
    <n v="23081.88723414042"/>
    <n v="0"/>
    <n v="0"/>
    <n v="72000"/>
    <n v="72000"/>
    <m/>
    <n v="0.706666666666667"/>
    <n v="0.81030522291666607"/>
    <n v="0.77575903749999964"/>
    <n v="55854.650699999976"/>
    <n v="0.69872916666666662"/>
    <n v="0.11024281582635097"/>
    <n v="0"/>
    <n v="0"/>
    <n v="48000"/>
    <n v="48000"/>
    <n v="48000"/>
    <n v="48000"/>
    <n v="0"/>
    <n v="0"/>
    <n v="33600"/>
    <n v="35760"/>
    <n v="33334"/>
    <n v="33539"/>
    <m/>
    <n v="0"/>
    <e v="#REF!"/>
    <e v="#REF!"/>
  </r>
  <r>
    <s v="Agro Sudamerica1012778"/>
    <x v="2"/>
    <x v="0"/>
    <x v="226"/>
    <x v="209"/>
    <x v="18"/>
    <x v="55"/>
    <m/>
    <n v="0"/>
    <n v="0"/>
    <n v="0.5154724771671565"/>
    <n v="0"/>
    <n v="38593.781000000003"/>
    <n v="3000"/>
    <n v="0"/>
    <n v="41293.781000000003"/>
    <n v="5000"/>
    <n v="24000"/>
    <n v="5000"/>
    <m/>
    <n v="5000"/>
    <n v="36293.781000000003"/>
    <n v="0"/>
    <m/>
    <n v="0"/>
    <n v="36293.781000000003"/>
    <n v="24000"/>
    <n v="0"/>
    <n v="29000"/>
    <n v="5000"/>
    <m/>
    <n v="0"/>
    <n v="0.753373562068966"/>
    <n v="0.753373562068966"/>
    <n v="3766.8678103448301"/>
    <n v="0.7"/>
    <n v="7.6247945812808637E-2"/>
    <n v="0"/>
    <n v="0"/>
    <n v="0"/>
    <n v="0"/>
    <n v="24000"/>
    <n v="24000"/>
    <n v="0"/>
    <n v="0"/>
    <n v="0"/>
    <n v="0"/>
    <n v="12000"/>
    <n v="16800"/>
    <m/>
    <n v="0"/>
    <e v="#REF!"/>
    <e v="#REF!"/>
  </r>
  <r>
    <s v="Agrosuper Asia1012012"/>
    <x v="2"/>
    <x v="1"/>
    <x v="227"/>
    <x v="210"/>
    <x v="17"/>
    <x v="57"/>
    <m/>
    <n v="15687"/>
    <n v="20000"/>
    <n v="0.3938052388111854"/>
    <n v="6177.6227812310653"/>
    <n v="16471.119999999995"/>
    <n v="0"/>
    <n v="0"/>
    <n v="22648.74278123106"/>
    <n v="17000"/>
    <n v="22000"/>
    <n v="17000"/>
    <m/>
    <n v="17000"/>
    <n v="5648.7427812310598"/>
    <n v="0"/>
    <m/>
    <n v="0"/>
    <n v="5648.7427812310598"/>
    <n v="0"/>
    <n v="0"/>
    <n v="17000"/>
    <n v="17000"/>
    <m/>
    <n v="6.4577999999999998"/>
    <n v="6.6"/>
    <n v="6.6"/>
    <n v="112200"/>
    <n v="7.3634632728730329"/>
    <n v="0.10368263473053892"/>
    <n v="108000"/>
    <n v="88000"/>
    <n v="0"/>
    <n v="0"/>
    <n v="0"/>
    <n v="19958"/>
    <n v="851564.46669999999"/>
    <n v="445280"/>
    <n v="0"/>
    <n v="0"/>
    <n v="0"/>
    <n v="146960"/>
    <m/>
    <n v="0"/>
    <e v="#REF!"/>
    <e v="#REF!"/>
  </r>
  <r>
    <s v="Agrosuper Asia1012612"/>
    <x v="2"/>
    <x v="1"/>
    <x v="228"/>
    <x v="211"/>
    <x v="24"/>
    <x v="52"/>
    <m/>
    <n v="1425349"/>
    <n v="1400000"/>
    <n v="0.3938052388111854"/>
    <n v="561309.90333428432"/>
    <n v="258308.68499999991"/>
    <n v="182000"/>
    <n v="0"/>
    <n v="983418.58833428426"/>
    <n v="650000"/>
    <n v="25000"/>
    <n v="650000"/>
    <m/>
    <n v="650000"/>
    <n v="333418.58833428426"/>
    <n v="325000"/>
    <m/>
    <n v="325000"/>
    <n v="8418.5883342842571"/>
    <n v="0"/>
    <n v="0"/>
    <n v="975000"/>
    <n v="975000"/>
    <m/>
    <n v="1.10640357142857"/>
    <n v="1.1522150289730768"/>
    <n v="1.1369445431249081"/>
    <n v="1108520.9295467853"/>
    <n v="1.1500524639432588"/>
    <n v="1.1397672044809756E-2"/>
    <n v="625000"/>
    <n v="625000"/>
    <n v="950000"/>
    <n v="1100000"/>
    <n v="1291866"/>
    <n v="1074071"/>
    <n v="354215.07679999998"/>
    <n v="420938"/>
    <n v="695083"/>
    <n v="1039305"/>
    <n v="1122892"/>
    <n v="1235238"/>
    <m/>
    <n v="0"/>
    <e v="#REF!"/>
    <e v="#REF!"/>
  </r>
  <r>
    <s v="Agrosuper Brasil1011560"/>
    <x v="2"/>
    <x v="2"/>
    <x v="229"/>
    <x v="212"/>
    <x v="18"/>
    <x v="55"/>
    <m/>
    <n v="43905"/>
    <n v="48000"/>
    <n v="0.74227818722130146"/>
    <n v="32589.72380995124"/>
    <n v="29484"/>
    <n v="0"/>
    <n v="0"/>
    <n v="62073.72380995124"/>
    <n v="24000"/>
    <n v="24000"/>
    <n v="24000"/>
    <m/>
    <n v="24000"/>
    <n v="38073.72380995124"/>
    <n v="24000"/>
    <m/>
    <n v="24000"/>
    <n v="14073.72380995124"/>
    <n v="0"/>
    <n v="0"/>
    <n v="48000"/>
    <n v="48000"/>
    <m/>
    <n v="2.7866666666666702"/>
    <n v="2.7"/>
    <n v="2.743333333333335"/>
    <n v="131680.00000000009"/>
    <n v="2.67225"/>
    <n v="2.6600555087785551E-2"/>
    <n v="0"/>
    <n v="24000"/>
    <n v="0"/>
    <n v="0"/>
    <n v="24000"/>
    <n v="24000"/>
    <n v="0"/>
    <n v="60000"/>
    <n v="0"/>
    <n v="0"/>
    <n v="60000"/>
    <n v="64134"/>
    <m/>
    <n v="0"/>
    <e v="#REF!"/>
    <e v="#REF!"/>
  </r>
  <r>
    <s v="Agrosuper Brasil1012362"/>
    <x v="2"/>
    <x v="2"/>
    <x v="217"/>
    <x v="200"/>
    <x v="18"/>
    <x v="55"/>
    <m/>
    <n v="20612"/>
    <n v="20612"/>
    <n v="0.74227818722130146"/>
    <n v="15299.837995005466"/>
    <n v="23472"/>
    <n v="10901"/>
    <n v="0"/>
    <n v="48582.737995005467"/>
    <n v="47990"/>
    <n v="24000"/>
    <n v="47990"/>
    <m/>
    <n v="47990"/>
    <n v="592.73799500546738"/>
    <n v="0"/>
    <m/>
    <n v="0"/>
    <n v="592.73799500546738"/>
    <n v="0"/>
    <n v="0"/>
    <n v="47990"/>
    <n v="47990"/>
    <m/>
    <n v="2.6866873665825701"/>
    <n v="2.7"/>
    <n v="2.7"/>
    <n v="129573.00000000001"/>
    <n v="2.7"/>
    <n v="0"/>
    <n v="24000"/>
    <n v="24000"/>
    <n v="47990"/>
    <n v="23995"/>
    <n v="24000"/>
    <n v="24000"/>
    <n v="69600"/>
    <n v="66400"/>
    <n v="136772"/>
    <n v="70785"/>
    <n v="64800"/>
    <n v="64800"/>
    <m/>
    <n v="0"/>
    <e v="#REF!"/>
    <e v="#REF!"/>
  </r>
  <r>
    <s v="Agrosuper Brasil1012674"/>
    <x v="2"/>
    <x v="2"/>
    <x v="230"/>
    <x v="213"/>
    <x v="18"/>
    <x v="55"/>
    <m/>
    <n v="52700"/>
    <n v="0"/>
    <n v="0.74227818722130146"/>
    <n v="39118.060466562587"/>
    <n v="23674.087"/>
    <n v="5500"/>
    <n v="0"/>
    <n v="67742.147466562586"/>
    <n v="95985"/>
    <n v="24000"/>
    <n v="48000"/>
    <m/>
    <n v="48000"/>
    <n v="19742.147466562586"/>
    <n v="0"/>
    <m/>
    <n v="0"/>
    <n v="19742.147466562586"/>
    <n v="0"/>
    <n v="0"/>
    <n v="48000"/>
    <n v="48000"/>
    <m/>
    <n v="0"/>
    <n v="2.5"/>
    <n v="2.5"/>
    <n v="120000"/>
    <n v="2.4833333333333334"/>
    <n v="6.7114093959731299E-3"/>
    <n v="24000"/>
    <n v="72000"/>
    <n v="24000"/>
    <n v="23995"/>
    <n v="24000"/>
    <n v="48000"/>
    <n v="64800"/>
    <n v="184509"/>
    <n v="64800"/>
    <n v="63587"/>
    <n v="60000"/>
    <n v="119200"/>
    <m/>
    <n v="0"/>
    <e v="#REF!"/>
    <e v="#REF!"/>
  </r>
  <r>
    <s v="Agrosuper Shanghai1011586"/>
    <x v="2"/>
    <x v="3"/>
    <x v="231"/>
    <x v="214"/>
    <x v="17"/>
    <x v="57"/>
    <m/>
    <n v="0"/>
    <n v="0"/>
    <n v="0.3938052388111854"/>
    <n v="0"/>
    <n v="16326"/>
    <n v="13788"/>
    <n v="0"/>
    <n v="28735.200000000001"/>
    <n v="24000"/>
    <n v="24000"/>
    <n v="24000"/>
    <m/>
    <n v="24000"/>
    <n v="4735.2000000000007"/>
    <n v="0"/>
    <m/>
    <n v="0"/>
    <n v="4735.2000000000007"/>
    <n v="0"/>
    <n v="0"/>
    <n v="24000"/>
    <n v="24000"/>
    <m/>
    <n v="3.6"/>
    <n v="3.6822916666666705"/>
    <n v="3.6822916666666705"/>
    <n v="88375.000000000087"/>
    <n v="3.6"/>
    <n v="2.2858796296297341E-2"/>
    <n v="96000"/>
    <n v="72000"/>
    <n v="48000"/>
    <n v="48000"/>
    <n v="48000"/>
    <n v="24000"/>
    <n v="231360"/>
    <n v="185400"/>
    <n v="112800"/>
    <n v="130080"/>
    <n v="145830"/>
    <n v="86400"/>
    <m/>
    <n v="0"/>
    <e v="#REF!"/>
    <e v="#REF!"/>
  </r>
  <r>
    <s v="Agrosuper Shanghai1011968"/>
    <x v="2"/>
    <x v="3"/>
    <x v="232"/>
    <x v="215"/>
    <x v="26"/>
    <x v="59"/>
    <m/>
    <n v="0"/>
    <n v="0"/>
    <n v="0.3938052388111854"/>
    <n v="0"/>
    <n v="0"/>
    <n v="240"/>
    <n v="0"/>
    <n v="216"/>
    <n v="0"/>
    <n v="24000"/>
    <n v="0"/>
    <m/>
    <n v="0"/>
    <n v="216"/>
    <n v="0"/>
    <m/>
    <n v="0"/>
    <n v="216"/>
    <n v="0"/>
    <n v="0"/>
    <n v="0"/>
    <n v="0"/>
    <m/>
    <n v="0"/>
    <n v="0"/>
    <n v="0"/>
    <n v="0"/>
    <n v="3.7"/>
    <s v="Sin Facturación 2022"/>
    <n v="5660"/>
    <n v="0"/>
    <n v="0"/>
    <n v="0"/>
    <n v="0"/>
    <n v="0"/>
    <n v="20942"/>
    <n v="0"/>
    <n v="0"/>
    <n v="0"/>
    <n v="0"/>
    <n v="0"/>
    <m/>
    <n v="0"/>
    <e v="#REF!"/>
    <e v="#REF!"/>
  </r>
  <r>
    <s v="Agrosuper Shanghai1012312"/>
    <x v="2"/>
    <x v="3"/>
    <x v="233"/>
    <x v="216"/>
    <x v="15"/>
    <x v="39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12448"/>
    <x v="2"/>
    <x v="3"/>
    <x v="234"/>
    <x v="217"/>
    <x v="26"/>
    <x v="59"/>
    <m/>
    <n v="0"/>
    <n v="0"/>
    <n v="0.3938052388111854"/>
    <n v="0"/>
    <n v="44528.92294918259"/>
    <n v="46177"/>
    <n v="0"/>
    <n v="86088.222949182586"/>
    <n v="0"/>
    <n v="24000"/>
    <n v="0"/>
    <m/>
    <n v="0"/>
    <n v="86088.222949182586"/>
    <n v="0"/>
    <m/>
    <n v="0"/>
    <n v="86088.222949182586"/>
    <n v="72000"/>
    <n v="0"/>
    <n v="72000"/>
    <n v="0"/>
    <m/>
    <n v="5.5500000000000007"/>
    <n v="0"/>
    <n v="0"/>
    <n v="0"/>
    <n v="5.55"/>
    <s v="Sin Facturación 2022"/>
    <n v="168000"/>
    <n v="144000"/>
    <n v="96000"/>
    <n v="144000"/>
    <n v="168000"/>
    <n v="96000"/>
    <n v="609560"/>
    <n v="518400"/>
    <n v="393600"/>
    <n v="661338"/>
    <n v="885718"/>
    <n v="532800"/>
    <m/>
    <n v="0"/>
    <e v="#REF!"/>
    <e v="#REF!"/>
  </r>
  <r>
    <s v="Agrosuper Shanghai1012452"/>
    <x v="2"/>
    <x v="3"/>
    <x v="235"/>
    <x v="218"/>
    <x v="17"/>
    <x v="57"/>
    <m/>
    <n v="0"/>
    <n v="0"/>
    <n v="0.3938052388111854"/>
    <n v="0"/>
    <n v="23190.319999999989"/>
    <n v="4000"/>
    <n v="0"/>
    <n v="26790.319999999989"/>
    <n v="24000"/>
    <n v="24000"/>
    <n v="24000"/>
    <m/>
    <n v="24000"/>
    <n v="2790.3199999999888"/>
    <n v="0"/>
    <m/>
    <n v="0"/>
    <n v="2790.3199999999888"/>
    <n v="0"/>
    <n v="0"/>
    <n v="24000"/>
    <n v="24000"/>
    <m/>
    <n v="0"/>
    <n v="2.5823749999999999"/>
    <n v="2.5823749999999999"/>
    <n v="61977"/>
    <n v="2.6357499999999998"/>
    <n v="2.0250403111068939E-2"/>
    <n v="24000"/>
    <n v="72000"/>
    <n v="37721"/>
    <n v="0"/>
    <n v="24000"/>
    <n v="24000"/>
    <n v="59280"/>
    <n v="186120"/>
    <n v="99961"/>
    <n v="0"/>
    <n v="47293"/>
    <n v="63258"/>
    <m/>
    <n v="0"/>
    <e v="#REF!"/>
    <e v="#REF!"/>
  </r>
  <r>
    <s v="Agrosuper Shanghai1012455"/>
    <x v="2"/>
    <x v="3"/>
    <x v="236"/>
    <x v="219"/>
    <x v="17"/>
    <x v="60"/>
    <m/>
    <n v="0"/>
    <n v="0"/>
    <n v="0.3938052388111854"/>
    <n v="0"/>
    <n v="29542.139051165181"/>
    <n v="38000"/>
    <n v="0"/>
    <n v="63742.139051165184"/>
    <n v="24000"/>
    <n v="24000"/>
    <n v="24000"/>
    <m/>
    <n v="24000"/>
    <n v="39742.139051165184"/>
    <n v="0"/>
    <m/>
    <n v="0"/>
    <n v="39742.139051165184"/>
    <n v="24000"/>
    <n v="0"/>
    <n v="48000"/>
    <n v="24000"/>
    <m/>
    <n v="2.8"/>
    <n v="2.8719060277777801"/>
    <n v="2.8719060277777801"/>
    <n v="68925.744666666724"/>
    <n v="2.8179270833333332"/>
    <n v="1.9155550462503494E-2"/>
    <n v="144000"/>
    <n v="48000"/>
    <n v="48000"/>
    <n v="120000"/>
    <n v="120000"/>
    <n v="192000"/>
    <n v="312480"/>
    <n v="106800"/>
    <n v="115200"/>
    <n v="289800"/>
    <n v="323225"/>
    <n v="541042"/>
    <m/>
    <n v="0"/>
    <e v="#REF!"/>
    <e v="#REF!"/>
  </r>
  <r>
    <s v="Agrosuper Shanghai1012502"/>
    <x v="2"/>
    <x v="3"/>
    <x v="237"/>
    <x v="220"/>
    <x v="26"/>
    <x v="59"/>
    <m/>
    <n v="0"/>
    <n v="0"/>
    <n v="0.3938052388111854"/>
    <n v="0"/>
    <n v="12279.749791492912"/>
    <n v="1200"/>
    <n v="0"/>
    <n v="13359.749791492912"/>
    <n v="0"/>
    <n v="24000"/>
    <n v="0"/>
    <m/>
    <n v="0"/>
    <n v="13359.749791492912"/>
    <n v="0"/>
    <m/>
    <n v="0"/>
    <n v="13359.749791492912"/>
    <n v="0"/>
    <n v="0"/>
    <n v="0"/>
    <n v="0"/>
    <m/>
    <n v="0"/>
    <n v="0"/>
    <n v="0"/>
    <n v="0"/>
    <n v="4.3833333333333337"/>
    <s v="Sin Facturación 2022"/>
    <n v="0"/>
    <n v="0"/>
    <n v="0"/>
    <n v="0"/>
    <n v="12000"/>
    <n v="0"/>
    <n v="0"/>
    <n v="0"/>
    <n v="0"/>
    <n v="0"/>
    <n v="52600"/>
    <n v="0"/>
    <m/>
    <n v="0"/>
    <e v="#REF!"/>
    <e v="#REF!"/>
  </r>
  <r>
    <s v="Agrosuper Shanghai1012503"/>
    <x v="2"/>
    <x v="3"/>
    <x v="238"/>
    <x v="221"/>
    <x v="26"/>
    <x v="59"/>
    <m/>
    <n v="0"/>
    <n v="0"/>
    <n v="0.3938052388111854"/>
    <n v="0"/>
    <n v="0"/>
    <n v="39000"/>
    <n v="0"/>
    <n v="35100"/>
    <n v="12000"/>
    <n v="24000"/>
    <n v="12000"/>
    <m/>
    <n v="12000"/>
    <n v="23100"/>
    <n v="0"/>
    <m/>
    <n v="0"/>
    <n v="23100"/>
    <n v="0"/>
    <n v="0"/>
    <n v="12000"/>
    <n v="12000"/>
    <m/>
    <n v="0"/>
    <n v="4.7"/>
    <n v="4.7"/>
    <n v="56400"/>
    <n v="4.7"/>
    <n v="0"/>
    <n v="14000"/>
    <n v="0"/>
    <n v="0"/>
    <n v="0"/>
    <n v="12000"/>
    <n v="12000"/>
    <n v="46900"/>
    <n v="0"/>
    <n v="0"/>
    <n v="0"/>
    <n v="64578"/>
    <n v="56400"/>
    <m/>
    <n v="0"/>
    <e v="#REF!"/>
    <e v="#REF!"/>
  </r>
  <r>
    <s v="Agrosuper Shanghai1012504"/>
    <x v="2"/>
    <x v="3"/>
    <x v="239"/>
    <x v="217"/>
    <x v="26"/>
    <x v="59"/>
    <m/>
    <n v="0"/>
    <n v="0"/>
    <n v="0.3938052388111854"/>
    <n v="0"/>
    <n v="14687.899511514306"/>
    <n v="7200"/>
    <n v="0"/>
    <n v="21167.899511514304"/>
    <n v="0"/>
    <n v="24000"/>
    <n v="0"/>
    <m/>
    <n v="0"/>
    <n v="21167.899511514304"/>
    <n v="0"/>
    <m/>
    <n v="0"/>
    <n v="21167.899511514304"/>
    <n v="0"/>
    <n v="0"/>
    <n v="0"/>
    <n v="0"/>
    <m/>
    <n v="5.5"/>
    <n v="0"/>
    <n v="0"/>
    <n v="0"/>
    <n v="3.6666666666666665"/>
    <s v="Sin Facturación 2022"/>
    <n v="48000"/>
    <n v="72000"/>
    <n v="24000"/>
    <n v="24000"/>
    <n v="72000"/>
    <n v="48000"/>
    <n v="168720"/>
    <n v="254520"/>
    <n v="90000"/>
    <n v="51375"/>
    <n v="373545"/>
    <n v="176000"/>
    <m/>
    <n v="0"/>
    <e v="#REF!"/>
    <e v="#REF!"/>
  </r>
  <r>
    <s v="Agrosuper Shanghai1012598"/>
    <x v="2"/>
    <x v="3"/>
    <x v="240"/>
    <x v="222"/>
    <x v="26"/>
    <x v="59"/>
    <m/>
    <n v="0"/>
    <n v="0"/>
    <n v="0.3938052388111854"/>
    <n v="0"/>
    <n v="1068"/>
    <n v="600"/>
    <n v="0"/>
    <n v="1608"/>
    <n v="12000"/>
    <n v="24000"/>
    <n v="0"/>
    <m/>
    <n v="0"/>
    <n v="1608"/>
    <n v="0"/>
    <m/>
    <n v="0"/>
    <n v="1608"/>
    <n v="0"/>
    <n v="0"/>
    <n v="0"/>
    <n v="0"/>
    <m/>
    <n v="0"/>
    <n v="1.5"/>
    <n v="0"/>
    <n v="0"/>
    <n v="1"/>
    <s v="Sin Facturación 2022"/>
    <n v="4340"/>
    <n v="0"/>
    <n v="10660"/>
    <n v="0"/>
    <n v="0"/>
    <n v="0"/>
    <n v="3906"/>
    <n v="0"/>
    <n v="10660"/>
    <n v="0"/>
    <n v="0"/>
    <n v="0"/>
    <m/>
    <n v="0"/>
    <e v="#REF!"/>
    <e v="#REF!"/>
  </r>
  <r>
    <s v="Agro Mexico1012764"/>
    <x v="2"/>
    <x v="5"/>
    <x v="241"/>
    <x v="223"/>
    <x v="24"/>
    <x v="61"/>
    <m/>
    <n v="240000"/>
    <n v="240876"/>
    <n v="0.5154724771671565"/>
    <n v="123713.39452011755"/>
    <n v="54913.096000000012"/>
    <n v="66900"/>
    <n v="0"/>
    <n v="238836.49052011757"/>
    <n v="24000"/>
    <n v="24000"/>
    <n v="24000"/>
    <m/>
    <n v="24000"/>
    <n v="214836.49052011757"/>
    <n v="192000"/>
    <m/>
    <n v="192000"/>
    <n v="22836.490520117572"/>
    <n v="0"/>
    <n v="0"/>
    <n v="216000"/>
    <n v="216000"/>
    <m/>
    <n v="0.91410103123598896"/>
    <n v="0.92333333333333301"/>
    <n v="0.91512684258013843"/>
    <n v="197667.39799730989"/>
    <n v="0.97318049249842153"/>
    <n v="5.9653528164383407E-2"/>
    <n v="0"/>
    <n v="0"/>
    <n v="0"/>
    <n v="0"/>
    <n v="0"/>
    <n v="312001"/>
    <n v="0"/>
    <n v="0"/>
    <n v="0"/>
    <n v="0"/>
    <n v="0"/>
    <n v="303633.28684000002"/>
    <m/>
    <n v="0"/>
    <e v="#REF!"/>
    <e v="#REF!"/>
  </r>
  <r>
    <s v="Agrosuper Shanghai1030525"/>
    <x v="1"/>
    <x v="3"/>
    <x v="242"/>
    <x v="224"/>
    <x v="17"/>
    <x v="41"/>
    <m/>
    <n v="37269"/>
    <n v="36000"/>
    <n v="0.3938052388111854"/>
    <n v="14676.727445254068"/>
    <n v="5199"/>
    <n v="0"/>
    <n v="0"/>
    <n v="19875.727445254066"/>
    <n v="0"/>
    <n v="24000"/>
    <n v="0"/>
    <m/>
    <n v="0"/>
    <n v="19875.727445254066"/>
    <n v="0"/>
    <m/>
    <n v="0"/>
    <n v="19875.727445254066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30230"/>
    <x v="1"/>
    <x v="0"/>
    <x v="243"/>
    <x v="225"/>
    <x v="5"/>
    <x v="45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30672"/>
    <x v="1"/>
    <x v="0"/>
    <x v="244"/>
    <x v="226"/>
    <x v="16"/>
    <x v="40"/>
    <m/>
    <n v="0"/>
    <n v="0"/>
    <n v="0.5154724771671565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1905"/>
    <x v="0"/>
    <x v="3"/>
    <x v="245"/>
    <x v="18"/>
    <x v="5"/>
    <x v="6"/>
    <m/>
    <n v="0"/>
    <n v="0"/>
    <n v="0.3938052388111854"/>
    <n v="0"/>
    <n v="10244.625999999998"/>
    <n v="0"/>
    <n v="0"/>
    <n v="10244.625999999998"/>
    <n v="0"/>
    <n v="24000"/>
    <n v="0"/>
    <m/>
    <n v="0"/>
    <n v="10244.625999999998"/>
    <n v="0"/>
    <m/>
    <n v="0"/>
    <n v="10244.625999999998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1971"/>
    <x v="0"/>
    <x v="3"/>
    <x v="246"/>
    <x v="227"/>
    <x v="4"/>
    <x v="17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2418"/>
    <x v="0"/>
    <x v="3"/>
    <x v="247"/>
    <x v="228"/>
    <x v="10"/>
    <x v="25"/>
    <m/>
    <n v="72579"/>
    <n v="0"/>
    <n v="0.3938052388111854"/>
    <n v="28581.990427677025"/>
    <n v="378"/>
    <n v="0"/>
    <n v="0"/>
    <n v="28959.990427677025"/>
    <n v="136800"/>
    <n v="24000"/>
    <n v="24000"/>
    <m/>
    <n v="24000"/>
    <n v="4959.9904276770249"/>
    <n v="0"/>
    <m/>
    <n v="0"/>
    <n v="4959.9904276770249"/>
    <n v="0"/>
    <n v="0"/>
    <n v="24000"/>
    <n v="24000"/>
    <m/>
    <n v="0"/>
    <n v="5.4285714285714297"/>
    <n v="5.4285714285714297"/>
    <n v="130285.71428571432"/>
    <n v="0"/>
    <s v="Sin Facturación 2022"/>
    <n v="0"/>
    <n v="0"/>
    <n v="0"/>
    <n v="0"/>
    <n v="0"/>
    <n v="0"/>
    <n v="0"/>
    <n v="0"/>
    <n v="0"/>
    <n v="0"/>
    <n v="0"/>
    <n v="0"/>
    <s v="Revisar precio"/>
    <n v="0"/>
    <e v="#REF!"/>
    <e v="#REF!"/>
  </r>
  <r>
    <s v="Agrosuper Asia1022605"/>
    <x v="0"/>
    <x v="1"/>
    <x v="248"/>
    <x v="229"/>
    <x v="10"/>
    <x v="25"/>
    <m/>
    <n v="0"/>
    <n v="0"/>
    <n v="0.3938052388111854"/>
    <n v="0"/>
    <n v="0"/>
    <n v="0"/>
    <n v="0"/>
    <n v="0"/>
    <n v="0"/>
    <n v="7000"/>
    <n v="0"/>
    <m/>
    <n v="0"/>
    <n v="0"/>
    <n v="0"/>
    <m/>
    <n v="0"/>
    <n v="0"/>
    <n v="0"/>
    <n v="0"/>
    <n v="0"/>
    <n v="0"/>
    <m/>
    <n v="0"/>
    <n v="0"/>
    <n v="0"/>
    <n v="0"/>
    <n v="4.3129999999999997"/>
    <s v="Sin Facturación 2022"/>
    <n v="0"/>
    <n v="0"/>
    <n v="0"/>
    <n v="0"/>
    <n v="0"/>
    <n v="7000"/>
    <n v="0"/>
    <n v="0"/>
    <n v="0"/>
    <n v="0"/>
    <n v="0"/>
    <n v="30191"/>
    <m/>
    <n v="0"/>
    <e v="#REF!"/>
    <e v="#REF!"/>
  </r>
  <r>
    <s v="Agro Sudamerica1022842"/>
    <x v="0"/>
    <x v="0"/>
    <x v="249"/>
    <x v="230"/>
    <x v="5"/>
    <x v="62"/>
    <m/>
    <n v="64459"/>
    <n v="48000"/>
    <n v="0.5154724771671565"/>
    <n v="33226.840405717739"/>
    <n v="546.38"/>
    <n v="0"/>
    <n v="0"/>
    <n v="33773.220405717737"/>
    <n v="24000"/>
    <n v="24000"/>
    <n v="24000"/>
    <m/>
    <n v="24000"/>
    <n v="9773.2204057177369"/>
    <n v="0"/>
    <m/>
    <n v="0"/>
    <n v="9773.2204057177369"/>
    <n v="0"/>
    <n v="0"/>
    <n v="24000"/>
    <n v="24000"/>
    <m/>
    <n v="2.3866666666666698"/>
    <n v="2.5"/>
    <n v="2.5"/>
    <n v="6000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2844"/>
    <x v="0"/>
    <x v="0"/>
    <x v="250"/>
    <x v="231"/>
    <x v="5"/>
    <x v="6"/>
    <m/>
    <n v="5290"/>
    <n v="0"/>
    <n v="0.5154724771671565"/>
    <n v="2726.8494042142579"/>
    <n v="0"/>
    <n v="5222"/>
    <n v="0"/>
    <n v="7426.6494042142585"/>
    <n v="24000"/>
    <n v="24000"/>
    <n v="0"/>
    <m/>
    <n v="0"/>
    <n v="7426.6494042142585"/>
    <n v="0"/>
    <m/>
    <n v="0"/>
    <n v="7426.6494042142585"/>
    <n v="0"/>
    <n v="0"/>
    <n v="0"/>
    <n v="0"/>
    <m/>
    <n v="0"/>
    <n v="1.9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2943"/>
    <x v="0"/>
    <x v="3"/>
    <x v="251"/>
    <x v="232"/>
    <x v="6"/>
    <x v="8"/>
    <m/>
    <n v="590"/>
    <n v="0"/>
    <n v="0.3938052388111854"/>
    <n v="232.34509089859938"/>
    <n v="0"/>
    <n v="0"/>
    <n v="0"/>
    <n v="232.34509089859938"/>
    <n v="0"/>
    <n v="24000"/>
    <n v="0"/>
    <m/>
    <n v="0"/>
    <n v="232.34509089859938"/>
    <n v="0"/>
    <m/>
    <n v="0"/>
    <n v="232.34509089859938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2995"/>
    <x v="0"/>
    <x v="3"/>
    <x v="252"/>
    <x v="233"/>
    <x v="8"/>
    <x v="26"/>
    <m/>
    <n v="2000"/>
    <n v="0"/>
    <n v="0.3938052388111854"/>
    <n v="787.61047762237081"/>
    <n v="192.76760000000002"/>
    <n v="0"/>
    <n v="0"/>
    <n v="980.37807762237082"/>
    <n v="0"/>
    <n v="24000"/>
    <n v="0"/>
    <m/>
    <n v="0"/>
    <n v="980.37807762237082"/>
    <n v="0"/>
    <m/>
    <n v="0"/>
    <n v="980.37807762237082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3110"/>
    <x v="0"/>
    <x v="3"/>
    <x v="253"/>
    <x v="234"/>
    <x v="2"/>
    <x v="23"/>
    <m/>
    <n v="74220"/>
    <n v="0"/>
    <n v="0.3938052388111854"/>
    <n v="29228.224824566179"/>
    <n v="4742.9660000000003"/>
    <n v="38903.40050084456"/>
    <n v="0"/>
    <n v="68984.251275326271"/>
    <n v="0"/>
    <n v="24000"/>
    <n v="0"/>
    <m/>
    <n v="0"/>
    <n v="68984.251275326271"/>
    <n v="0"/>
    <m/>
    <n v="0"/>
    <n v="68984.251275326271"/>
    <n v="48000"/>
    <n v="0"/>
    <n v="48000"/>
    <n v="0"/>
    <m/>
    <n v="0"/>
    <n v="0"/>
    <n v="0"/>
    <n v="0"/>
    <n v="0.75"/>
    <s v="Sin Facturación 2022"/>
    <n v="0"/>
    <n v="0"/>
    <n v="0"/>
    <n v="0"/>
    <n v="0"/>
    <n v="48000"/>
    <n v="0"/>
    <n v="0"/>
    <n v="0"/>
    <n v="0"/>
    <n v="0"/>
    <n v="36000"/>
    <m/>
    <n v="0"/>
    <e v="#REF!"/>
    <e v="#REF!"/>
  </r>
  <r>
    <s v="Agrosuper Asia1023370"/>
    <x v="0"/>
    <x v="1"/>
    <x v="254"/>
    <x v="235"/>
    <x v="9"/>
    <x v="11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1.3885416666666666"/>
    <s v="Sin Facturación 2022"/>
    <n v="0"/>
    <n v="0"/>
    <n v="0"/>
    <n v="0"/>
    <n v="0"/>
    <n v="24000"/>
    <n v="0"/>
    <n v="0"/>
    <n v="0"/>
    <n v="0"/>
    <n v="0"/>
    <n v="33325"/>
    <m/>
    <n v="0"/>
    <e v="#REF!"/>
    <e v="#REF!"/>
  </r>
  <r>
    <s v="Agrosuper Asia1023371"/>
    <x v="0"/>
    <x v="1"/>
    <x v="255"/>
    <x v="114"/>
    <x v="12"/>
    <x v="36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1.1885416666666666"/>
    <s v="Sin Facturación 2022"/>
    <n v="0"/>
    <n v="0"/>
    <n v="0"/>
    <n v="0"/>
    <n v="0"/>
    <n v="24000"/>
    <n v="0"/>
    <n v="0"/>
    <n v="0"/>
    <n v="0"/>
    <n v="0"/>
    <n v="28525"/>
    <m/>
    <n v="0"/>
    <e v="#REF!"/>
    <e v="#REF!"/>
  </r>
  <r>
    <s v="Agrosuper Asia1023372"/>
    <x v="0"/>
    <x v="1"/>
    <x v="256"/>
    <x v="34"/>
    <x v="27"/>
    <x v="8"/>
    <m/>
    <n v="0"/>
    <n v="16961"/>
    <n v="0.3938052388111854"/>
    <n v="0"/>
    <n v="52521.738000000019"/>
    <n v="0"/>
    <n v="0"/>
    <n v="52521.738000000019"/>
    <n v="24000"/>
    <n v="24000"/>
    <n v="24000"/>
    <m/>
    <n v="24000"/>
    <n v="28521.738000000019"/>
    <n v="0"/>
    <m/>
    <n v="0"/>
    <n v="28521.738000000019"/>
    <n v="24000"/>
    <n v="0"/>
    <n v="48000"/>
    <n v="24000"/>
    <m/>
    <n v="2.8926360474028701"/>
    <n v="2.6"/>
    <n v="2.6"/>
    <n v="6240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Asia1023397"/>
    <x v="0"/>
    <x v="1"/>
    <x v="257"/>
    <x v="19"/>
    <x v="2"/>
    <x v="5"/>
    <m/>
    <n v="3664"/>
    <n v="0"/>
    <n v="0.3938052388111854"/>
    <n v="1442.9023950041833"/>
    <n v="70851.43299999999"/>
    <n v="16152.719990354759"/>
    <n v="0"/>
    <n v="86831.783386323455"/>
    <n v="96000"/>
    <n v="24000"/>
    <n v="72000"/>
    <m/>
    <n v="72000"/>
    <n v="14831.783386323455"/>
    <n v="0"/>
    <m/>
    <n v="0"/>
    <n v="14831.783386323455"/>
    <n v="0"/>
    <n v="0"/>
    <n v="72000"/>
    <n v="72000"/>
    <m/>
    <n v="0"/>
    <n v="1.1674594791666675"/>
    <n v="1.1674594791666675"/>
    <n v="84057.082500000062"/>
    <n v="1.0692708333333334"/>
    <n v="9.1827666829031387E-2"/>
    <n v="0"/>
    <n v="0"/>
    <n v="0"/>
    <n v="0"/>
    <n v="0"/>
    <n v="48000"/>
    <n v="0"/>
    <n v="0"/>
    <n v="0"/>
    <n v="0"/>
    <n v="0"/>
    <n v="51325"/>
    <m/>
    <n v="0"/>
    <e v="#REF!"/>
    <e v="#REF!"/>
  </r>
  <r>
    <s v="Agro Sudamerica1100407"/>
    <x v="3"/>
    <x v="0"/>
    <x v="258"/>
    <x v="236"/>
    <x v="28"/>
    <x v="63"/>
    <m/>
    <n v="0"/>
    <n v="0"/>
    <n v="0.5154724771671565"/>
    <n v="0"/>
    <n v="27600"/>
    <n v="0"/>
    <n v="0"/>
    <n v="27600"/>
    <n v="24000"/>
    <n v="12000"/>
    <n v="24000"/>
    <m/>
    <n v="24000"/>
    <n v="3600"/>
    <n v="0"/>
    <m/>
    <n v="0"/>
    <n v="3600"/>
    <n v="0"/>
    <n v="0"/>
    <n v="24000"/>
    <n v="24000"/>
    <m/>
    <n v="0"/>
    <n v="3.9"/>
    <n v="3.9"/>
    <n v="93600"/>
    <n v="2.9"/>
    <n v="0.34482758620689657"/>
    <n v="0"/>
    <n v="0"/>
    <n v="9000"/>
    <n v="12000"/>
    <n v="0"/>
    <n v="0"/>
    <n v="34512.5"/>
    <n v="0"/>
    <n v="26100"/>
    <n v="0"/>
    <n v="0"/>
    <n v="0"/>
    <m/>
    <n v="0"/>
    <e v="#REF!"/>
    <e v="#REF!"/>
  </r>
  <r>
    <s v="Agro Sudamerica1100408"/>
    <x v="3"/>
    <x v="0"/>
    <x v="259"/>
    <x v="237"/>
    <x v="28"/>
    <x v="63"/>
    <m/>
    <n v="0"/>
    <n v="0"/>
    <n v="0.5154724771671565"/>
    <n v="0"/>
    <n v="20510"/>
    <n v="0"/>
    <n v="0"/>
    <n v="20510"/>
    <n v="12000"/>
    <n v="6000"/>
    <n v="12000"/>
    <m/>
    <n v="12000"/>
    <n v="8510"/>
    <n v="0"/>
    <m/>
    <n v="0"/>
    <n v="8510"/>
    <n v="6000"/>
    <n v="0"/>
    <n v="18000"/>
    <n v="12000"/>
    <m/>
    <n v="0"/>
    <n v="3.9"/>
    <n v="3.9"/>
    <n v="46800"/>
    <n v="3.9"/>
    <n v="0"/>
    <n v="0"/>
    <n v="0"/>
    <n v="9000"/>
    <n v="6000"/>
    <n v="0"/>
    <n v="6000"/>
    <n v="21962.5"/>
    <n v="0"/>
    <n v="26100"/>
    <n v="0"/>
    <n v="0"/>
    <n v="23400"/>
    <s v="Falta confirmar la venta"/>
    <n v="0"/>
    <e v="#REF!"/>
    <e v="#REF!"/>
  </r>
  <r>
    <s v="Agrosuper Shanghai1030419"/>
    <x v="1"/>
    <x v="3"/>
    <x v="260"/>
    <x v="238"/>
    <x v="18"/>
    <x v="64"/>
    <m/>
    <n v="0"/>
    <n v="0"/>
    <n v="0.3938052388111854"/>
    <n v="0"/>
    <n v="1782"/>
    <n v="1800"/>
    <n v="0"/>
    <n v="3402"/>
    <n v="48000"/>
    <n v="24000"/>
    <n v="0"/>
    <m/>
    <n v="0"/>
    <n v="3402"/>
    <n v="0"/>
    <m/>
    <n v="0"/>
    <n v="3402"/>
    <n v="0"/>
    <n v="0"/>
    <n v="0"/>
    <n v="0"/>
    <m/>
    <n v="0"/>
    <n v="1.9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12424"/>
    <x v="2"/>
    <x v="3"/>
    <x v="261"/>
    <x v="239"/>
    <x v="17"/>
    <x v="60"/>
    <m/>
    <n v="0"/>
    <n v="0"/>
    <n v="0.3938052388111854"/>
    <n v="0"/>
    <n v="424"/>
    <n v="0"/>
    <n v="0"/>
    <n v="424"/>
    <n v="0"/>
    <n v="24000"/>
    <n v="0"/>
    <m/>
    <n v="0"/>
    <n v="424"/>
    <n v="0"/>
    <m/>
    <n v="0"/>
    <n v="424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12454"/>
    <x v="2"/>
    <x v="3"/>
    <x v="262"/>
    <x v="240"/>
    <x v="17"/>
    <x v="60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1005"/>
    <x v="0"/>
    <x v="0"/>
    <x v="263"/>
    <x v="241"/>
    <x v="12"/>
    <x v="22"/>
    <m/>
    <n v="0"/>
    <n v="0"/>
    <n v="0.5154724771671565"/>
    <n v="0"/>
    <n v="0"/>
    <n v="0"/>
    <n v="0"/>
    <n v="0"/>
    <n v="10000"/>
    <n v="24000"/>
    <n v="0"/>
    <m/>
    <n v="0"/>
    <n v="0"/>
    <n v="0"/>
    <m/>
    <n v="0"/>
    <n v="0"/>
    <n v="0"/>
    <n v="0"/>
    <n v="0"/>
    <n v="0"/>
    <m/>
    <n v="0"/>
    <n v="1.9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2102"/>
    <x v="0"/>
    <x v="0"/>
    <x v="264"/>
    <x v="242"/>
    <x v="7"/>
    <x v="9"/>
    <m/>
    <n v="0"/>
    <n v="0"/>
    <n v="0.5154724771671565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0993"/>
    <x v="0"/>
    <x v="0"/>
    <x v="265"/>
    <x v="114"/>
    <x v="12"/>
    <x v="36"/>
    <m/>
    <n v="8100"/>
    <n v="0"/>
    <n v="0.5154724771671565"/>
    <n v="4175.327065053968"/>
    <n v="0"/>
    <n v="0"/>
    <n v="0"/>
    <n v="4175.327065053968"/>
    <n v="8100"/>
    <n v="24000"/>
    <n v="0"/>
    <m/>
    <n v="0"/>
    <n v="4175.327065053968"/>
    <n v="0"/>
    <m/>
    <n v="0"/>
    <n v="4175.327065053968"/>
    <n v="0"/>
    <n v="0"/>
    <n v="0"/>
    <n v="0"/>
    <m/>
    <n v="0"/>
    <n v="1.3941750987654309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Asia1022767"/>
    <x v="0"/>
    <x v="1"/>
    <x v="266"/>
    <x v="243"/>
    <x v="2"/>
    <x v="5"/>
    <m/>
    <n v="0"/>
    <n v="0"/>
    <n v="0.3938052388111854"/>
    <n v="0"/>
    <n v="14820"/>
    <n v="0"/>
    <n v="0"/>
    <n v="14820"/>
    <n v="0"/>
    <n v="24000"/>
    <n v="0"/>
    <m/>
    <n v="0"/>
    <n v="14820"/>
    <n v="0"/>
    <m/>
    <n v="0"/>
    <n v="1482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1740"/>
    <x v="0"/>
    <x v="3"/>
    <x v="267"/>
    <x v="23"/>
    <x v="10"/>
    <x v="15"/>
    <m/>
    <n v="0"/>
    <n v="0"/>
    <n v="0.3938052388111854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2388"/>
    <x v="0"/>
    <x v="3"/>
    <x v="268"/>
    <x v="244"/>
    <x v="1"/>
    <x v="1"/>
    <m/>
    <n v="0"/>
    <n v="0"/>
    <n v="0.3938052388111854"/>
    <n v="0"/>
    <n v="0"/>
    <n v="18254.74681793317"/>
    <n v="0"/>
    <n v="16429.272136139854"/>
    <n v="0"/>
    <n v="24000"/>
    <n v="0"/>
    <m/>
    <n v="0"/>
    <n v="16429.272136139854"/>
    <n v="0"/>
    <m/>
    <n v="0"/>
    <n v="16429.272136139854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2646"/>
    <x v="0"/>
    <x v="3"/>
    <x v="269"/>
    <x v="245"/>
    <x v="8"/>
    <x v="10"/>
    <m/>
    <n v="0"/>
    <n v="0"/>
    <n v="0.3938052388111854"/>
    <n v="0"/>
    <n v="0"/>
    <n v="0"/>
    <n v="0"/>
    <n v="0"/>
    <n v="0"/>
    <n v="240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3035"/>
    <x v="0"/>
    <x v="3"/>
    <x v="270"/>
    <x v="246"/>
    <x v="5"/>
    <x v="6"/>
    <m/>
    <n v="0"/>
    <n v="0"/>
    <n v="0.3938052388111854"/>
    <n v="0"/>
    <n v="4138.363199999998"/>
    <n v="2393"/>
    <n v="0"/>
    <n v="6292.0631999999987"/>
    <n v="24000"/>
    <n v="24000"/>
    <n v="0"/>
    <m/>
    <n v="0"/>
    <n v="6292.0631999999987"/>
    <n v="0"/>
    <m/>
    <n v="0"/>
    <n v="6292.0631999999987"/>
    <n v="0"/>
    <n v="0"/>
    <n v="0"/>
    <n v="0"/>
    <m/>
    <n v="0"/>
    <n v="0.93333333333333302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3362"/>
    <x v="0"/>
    <x v="3"/>
    <x v="271"/>
    <x v="247"/>
    <x v="29"/>
    <x v="65"/>
    <m/>
    <n v="0"/>
    <n v="0"/>
    <n v="0.3938052388111854"/>
    <n v="0"/>
    <n v="0"/>
    <n v="0"/>
    <n v="0"/>
    <n v="0"/>
    <n v="6949"/>
    <n v="7761"/>
    <n v="0"/>
    <m/>
    <n v="0"/>
    <n v="0"/>
    <n v="0"/>
    <m/>
    <n v="0"/>
    <n v="0"/>
    <n v="0"/>
    <n v="0"/>
    <n v="0"/>
    <n v="0"/>
    <m/>
    <n v="0"/>
    <n v="1.6671556537924599"/>
    <n v="0"/>
    <n v="0"/>
    <n v="1.6499162479061977"/>
    <s v="Sin Facturación 2022"/>
    <n v="0"/>
    <n v="0"/>
    <n v="0"/>
    <n v="0"/>
    <n v="0"/>
    <n v="7761"/>
    <n v="0"/>
    <n v="0"/>
    <n v="0"/>
    <n v="0"/>
    <n v="0"/>
    <n v="12805"/>
    <m/>
    <n v="0"/>
    <e v="#REF!"/>
    <e v="#REF!"/>
  </r>
  <r>
    <s v="Agrosuper Shanghai1023363"/>
    <x v="0"/>
    <x v="3"/>
    <x v="272"/>
    <x v="248"/>
    <x v="29"/>
    <x v="66"/>
    <m/>
    <n v="0"/>
    <n v="0"/>
    <n v="0.3938052388111854"/>
    <n v="0"/>
    <n v="0"/>
    <n v="0"/>
    <n v="0"/>
    <n v="0"/>
    <n v="6127"/>
    <n v="6843"/>
    <n v="0"/>
    <m/>
    <n v="0"/>
    <n v="0"/>
    <n v="0"/>
    <m/>
    <n v="0"/>
    <n v="0"/>
    <n v="0"/>
    <n v="0"/>
    <n v="0"/>
    <n v="0"/>
    <m/>
    <n v="0"/>
    <n v="1.6651828334916503"/>
    <n v="0"/>
    <n v="0"/>
    <n v="1.6516147888353061"/>
    <s v="Sin Facturación 2022"/>
    <n v="0"/>
    <n v="0"/>
    <n v="0"/>
    <n v="0"/>
    <n v="0"/>
    <n v="6843"/>
    <n v="0"/>
    <n v="0"/>
    <n v="0"/>
    <n v="0"/>
    <n v="0"/>
    <n v="11302"/>
    <m/>
    <n v="0"/>
    <e v="#REF!"/>
    <e v="#REF!"/>
  </r>
  <r>
    <s v="Agrosuper Shanghai1023364"/>
    <x v="0"/>
    <x v="3"/>
    <x v="273"/>
    <x v="249"/>
    <x v="10"/>
    <x v="24"/>
    <m/>
    <n v="0"/>
    <n v="0"/>
    <n v="0.3938052388111854"/>
    <n v="0"/>
    <n v="61.015200000000007"/>
    <n v="0"/>
    <n v="0"/>
    <n v="61.015200000000007"/>
    <n v="500"/>
    <n v="500"/>
    <n v="0"/>
    <m/>
    <n v="0"/>
    <n v="61.015200000000007"/>
    <n v="0"/>
    <m/>
    <n v="0"/>
    <n v="61.015200000000007"/>
    <n v="0"/>
    <n v="0"/>
    <n v="0"/>
    <n v="0"/>
    <m/>
    <n v="0"/>
    <n v="4.75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3365"/>
    <x v="0"/>
    <x v="3"/>
    <x v="274"/>
    <x v="250"/>
    <x v="2"/>
    <x v="16"/>
    <m/>
    <n v="0"/>
    <n v="0"/>
    <n v="0.3938052388111854"/>
    <n v="0"/>
    <n v="58.7866"/>
    <n v="0"/>
    <n v="0"/>
    <n v="58.7866"/>
    <n v="313"/>
    <n v="313"/>
    <n v="0"/>
    <m/>
    <n v="0"/>
    <n v="58.7866"/>
    <n v="0"/>
    <m/>
    <n v="0"/>
    <n v="58.7866"/>
    <n v="0"/>
    <n v="0"/>
    <n v="0"/>
    <n v="0"/>
    <m/>
    <n v="0"/>
    <n v="0.89999999999999991"/>
    <n v="0"/>
    <n v="0"/>
    <n v="0.90095846645367417"/>
    <s v="Sin Facturación 2022"/>
    <n v="0"/>
    <n v="0"/>
    <n v="0"/>
    <n v="0"/>
    <n v="0"/>
    <n v="313"/>
    <n v="0"/>
    <n v="0"/>
    <n v="0"/>
    <n v="0"/>
    <n v="0"/>
    <n v="282"/>
    <m/>
    <n v="0"/>
    <e v="#REF!"/>
    <e v="#REF!"/>
  </r>
  <r>
    <s v="Agrosuper Shanghai1023366"/>
    <x v="0"/>
    <x v="3"/>
    <x v="275"/>
    <x v="251"/>
    <x v="10"/>
    <x v="24"/>
    <m/>
    <n v="0"/>
    <n v="0"/>
    <n v="0.3938052388111854"/>
    <n v="0"/>
    <n v="63.94"/>
    <n v="0"/>
    <n v="0"/>
    <n v="63.94"/>
    <n v="557"/>
    <n v="557"/>
    <n v="0"/>
    <m/>
    <n v="0"/>
    <n v="63.94"/>
    <n v="0"/>
    <m/>
    <n v="0"/>
    <n v="63.94"/>
    <n v="0"/>
    <n v="0"/>
    <n v="0"/>
    <n v="0"/>
    <m/>
    <n v="0"/>
    <n v="4.5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3367"/>
    <x v="0"/>
    <x v="3"/>
    <x v="276"/>
    <x v="252"/>
    <x v="30"/>
    <x v="67"/>
    <m/>
    <n v="0"/>
    <n v="0"/>
    <n v="0.3938052388111854"/>
    <n v="0"/>
    <n v="566.14459999999997"/>
    <n v="0"/>
    <n v="0"/>
    <n v="566.14459999999997"/>
    <n v="3177"/>
    <n v="3177"/>
    <n v="0"/>
    <m/>
    <n v="0"/>
    <n v="566.14459999999997"/>
    <n v="0"/>
    <m/>
    <n v="0"/>
    <n v="566.14459999999997"/>
    <n v="0"/>
    <n v="0"/>
    <n v="0"/>
    <n v="0"/>
    <m/>
    <n v="0"/>
    <n v="1.55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23368"/>
    <x v="0"/>
    <x v="3"/>
    <x v="277"/>
    <x v="253"/>
    <x v="29"/>
    <x v="68"/>
    <m/>
    <n v="0"/>
    <n v="0"/>
    <n v="0.3938052388111854"/>
    <n v="0"/>
    <n v="0"/>
    <n v="0"/>
    <n v="0"/>
    <n v="0"/>
    <n v="6377"/>
    <n v="7122"/>
    <n v="0"/>
    <m/>
    <n v="0"/>
    <n v="0"/>
    <n v="0"/>
    <m/>
    <n v="0"/>
    <n v="0"/>
    <n v="0"/>
    <n v="0"/>
    <n v="0"/>
    <n v="0"/>
    <m/>
    <n v="0"/>
    <n v="1.6675858256324101"/>
    <n v="0"/>
    <n v="0"/>
    <n v="1.6503791069924179"/>
    <s v="Sin Facturación 2022"/>
    <n v="0"/>
    <n v="0"/>
    <n v="0"/>
    <n v="0"/>
    <n v="0"/>
    <n v="7122"/>
    <n v="0"/>
    <n v="0"/>
    <n v="0"/>
    <n v="0"/>
    <n v="0"/>
    <n v="11754"/>
    <m/>
    <n v="0"/>
    <e v="#REF!"/>
    <e v="#REF!"/>
  </r>
  <r>
    <s v="Exportacion Directa1023166"/>
    <x v="0"/>
    <x v="4"/>
    <x v="278"/>
    <x v="163"/>
    <x v="8"/>
    <x v="10"/>
    <m/>
    <n v="0"/>
    <n v="0"/>
    <n v="0.7577362385835783"/>
    <n v="0"/>
    <n v="11.2"/>
    <n v="0"/>
    <n v="0"/>
    <n v="11.2"/>
    <n v="0"/>
    <n v="24000"/>
    <n v="0"/>
    <m/>
    <n v="0"/>
    <n v="11.2"/>
    <n v="0"/>
    <m/>
    <n v="0"/>
    <n v="11.2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1105"/>
    <x v="2"/>
    <x v="0"/>
    <x v="279"/>
    <x v="254"/>
    <x v="16"/>
    <x v="40"/>
    <m/>
    <n v="6000"/>
    <n v="6000"/>
    <n v="0.5154724771671565"/>
    <n v="3092.8348630029391"/>
    <n v="5986.2000000000007"/>
    <n v="0"/>
    <n v="0"/>
    <n v="9079.0348630029403"/>
    <n v="6000"/>
    <n v="24000"/>
    <n v="6000"/>
    <m/>
    <n v="6000"/>
    <n v="3079.0348630029403"/>
    <n v="0"/>
    <m/>
    <n v="0"/>
    <n v="3079.0348630029403"/>
    <n v="0"/>
    <n v="0"/>
    <n v="6000"/>
    <n v="6000"/>
    <m/>
    <n v="3.08666666666667"/>
    <n v="3.1"/>
    <n v="3.1"/>
    <n v="1860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30661"/>
    <x v="1"/>
    <x v="0"/>
    <x v="280"/>
    <x v="255"/>
    <x v="20"/>
    <x v="46"/>
    <m/>
    <n v="0"/>
    <n v="0"/>
    <n v="0.5154724771671565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30736"/>
    <x v="1"/>
    <x v="0"/>
    <x v="281"/>
    <x v="256"/>
    <x v="20"/>
    <x v="46"/>
    <m/>
    <n v="0"/>
    <n v="0"/>
    <n v="0.5154724771671565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30755"/>
    <x v="1"/>
    <x v="0"/>
    <x v="282"/>
    <x v="257"/>
    <x v="16"/>
    <x v="69"/>
    <m/>
    <n v="0"/>
    <n v="0"/>
    <n v="0.5154724771671565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Asia1030576"/>
    <x v="1"/>
    <x v="1"/>
    <x v="283"/>
    <x v="258"/>
    <x v="31"/>
    <x v="70"/>
    <m/>
    <n v="0"/>
    <n v="0"/>
    <n v="0.3938052388111854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Brasil1030740"/>
    <x v="1"/>
    <x v="2"/>
    <x v="284"/>
    <x v="259"/>
    <x v="20"/>
    <x v="46"/>
    <m/>
    <n v="0"/>
    <n v="0"/>
    <n v="0.74227818722130146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2342"/>
    <x v="2"/>
    <x v="0"/>
    <x v="285"/>
    <x v="200"/>
    <x v="18"/>
    <x v="55"/>
    <m/>
    <n v="0"/>
    <n v="0"/>
    <n v="0.5154724771671565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1431"/>
    <x v="2"/>
    <x v="0"/>
    <x v="286"/>
    <x v="260"/>
    <x v="18"/>
    <x v="55"/>
    <m/>
    <n v="0"/>
    <n v="0"/>
    <n v="0.5154724771671565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11566"/>
    <x v="2"/>
    <x v="0"/>
    <x v="287"/>
    <x v="261"/>
    <x v="15"/>
    <x v="39"/>
    <m/>
    <n v="0"/>
    <n v="0"/>
    <n v="0.5154724771671565"/>
    <n v="0"/>
    <n v="0"/>
    <n v="0"/>
    <n v="0"/>
    <n v="0"/>
    <n v="0"/>
    <n v="210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super Shanghai1012423"/>
    <x v="2"/>
    <x v="3"/>
    <x v="288"/>
    <x v="262"/>
    <x v="17"/>
    <x v="60"/>
    <m/>
    <n v="0"/>
    <n v="0"/>
    <n v="0.3938052388111854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m/>
    <n v="0"/>
    <n v="0"/>
    <n v="0"/>
    <n v="0"/>
    <n v="0"/>
    <s v="Sin Facturación 2022"/>
    <n v="0"/>
    <n v="0"/>
    <n v="0"/>
    <n v="0"/>
    <n v="0"/>
    <n v="0"/>
    <n v="0"/>
    <n v="0"/>
    <n v="0"/>
    <n v="0"/>
    <n v="0"/>
    <n v="0"/>
    <m/>
    <n v="0"/>
    <e v="#REF!"/>
    <e v="#REF!"/>
  </r>
  <r>
    <s v="Agro Sudamerica1022781"/>
    <x v="0"/>
    <x v="0"/>
    <x v="289"/>
    <x v="263"/>
    <x v="10"/>
    <x v="25"/>
    <m/>
    <n v="11752"/>
    <n v="0"/>
    <n v="0.5154724771671565"/>
    <n v="6057.8325516684235"/>
    <n v="0"/>
    <n v="0"/>
    <n v="0"/>
    <n v="6057.8325516684235"/>
    <n v="15300"/>
    <n v="24000"/>
    <n v="0"/>
    <m/>
    <n v="0"/>
    <n v="6057.8325516684235"/>
    <n v="0"/>
    <m/>
    <n v="0"/>
    <n v="6057.8325516684235"/>
    <n v="0"/>
    <n v="0"/>
    <n v="0"/>
    <n v="0"/>
    <m/>
    <n v="0"/>
    <n v="10.46186828581898"/>
    <n v="0"/>
    <n v="0"/>
    <n v="12.97"/>
    <s v="Sin Facturación 2022"/>
    <n v="7067"/>
    <n v="3060"/>
    <n v="10282"/>
    <n v="1500"/>
    <n v="6600"/>
    <n v="15300"/>
    <n v="79009.06"/>
    <n v="39589"/>
    <n v="108578"/>
    <n v="22170"/>
    <n v="88521"/>
    <n v="198441"/>
    <m/>
    <n v="0"/>
    <e v="#REF!"/>
    <e v="#REF!"/>
  </r>
  <r>
    <s v="Agro Sudamerica1022782"/>
    <x v="0"/>
    <x v="0"/>
    <x v="290"/>
    <x v="264"/>
    <x v="10"/>
    <x v="25"/>
    <m/>
    <n v="0"/>
    <n v="0"/>
    <n v="0.5154724771671565"/>
    <n v="0"/>
    <n v="0"/>
    <n v="0"/>
    <n v="0"/>
    <n v="0"/>
    <n v="10800"/>
    <n v="24000"/>
    <n v="0"/>
    <m/>
    <n v="0"/>
    <n v="0"/>
    <n v="0"/>
    <m/>
    <n v="0"/>
    <n v="0"/>
    <n v="0"/>
    <n v="0"/>
    <n v="0"/>
    <n v="0"/>
    <m/>
    <n v="0"/>
    <n v="8.0652418447693996"/>
    <n v="0"/>
    <n v="0"/>
    <n v="10.480034722222221"/>
    <s v="Sin Facturación 2022"/>
    <n v="18796"/>
    <n v="3600"/>
    <n v="0"/>
    <n v="0"/>
    <n v="3600"/>
    <n v="11520"/>
    <n v="156946.6"/>
    <n v="36108"/>
    <n v="0"/>
    <n v="0"/>
    <n v="36360"/>
    <n v="120730"/>
    <m/>
    <n v="0"/>
    <e v="#REF!"/>
    <e v="#REF!"/>
  </r>
  <r>
    <s v="Agro Sudamerica1022783"/>
    <x v="0"/>
    <x v="0"/>
    <x v="291"/>
    <x v="265"/>
    <x v="10"/>
    <x v="25"/>
    <m/>
    <n v="0"/>
    <n v="0"/>
    <n v="0.5154724771671565"/>
    <n v="0"/>
    <n v="0"/>
    <n v="0"/>
    <n v="0"/>
    <n v="0"/>
    <n v="7200"/>
    <n v="24000"/>
    <n v="0"/>
    <m/>
    <n v="0"/>
    <n v="0"/>
    <n v="0"/>
    <m/>
    <n v="0"/>
    <n v="0"/>
    <n v="0"/>
    <n v="0"/>
    <n v="0"/>
    <n v="0"/>
    <m/>
    <n v="0"/>
    <n v="7.8294573643410796"/>
    <n v="0"/>
    <n v="0"/>
    <n v="10.08"/>
    <s v="Sin Facturación 2022"/>
    <n v="0"/>
    <n v="15600"/>
    <n v="0"/>
    <n v="0"/>
    <n v="0"/>
    <n v="4800"/>
    <n v="0"/>
    <n v="156468"/>
    <n v="0"/>
    <n v="0"/>
    <n v="0"/>
    <n v="48384"/>
    <m/>
    <n v="0"/>
    <e v="#REF!"/>
    <e v="#REF!"/>
  </r>
  <r>
    <s v="Agro Sudamerica1022784"/>
    <x v="0"/>
    <x v="0"/>
    <x v="292"/>
    <x v="266"/>
    <x v="10"/>
    <x v="25"/>
    <m/>
    <n v="0"/>
    <n v="0"/>
    <n v="0.5154724771671565"/>
    <n v="0"/>
    <n v="0"/>
    <n v="0"/>
    <n v="0"/>
    <n v="0"/>
    <n v="0"/>
    <n v="3500"/>
    <n v="0"/>
    <m/>
    <n v="0"/>
    <n v="0"/>
    <n v="0"/>
    <m/>
    <n v="0"/>
    <n v="0"/>
    <n v="0"/>
    <n v="0"/>
    <n v="0"/>
    <n v="0"/>
    <m/>
    <n v="0"/>
    <n v="0"/>
    <n v="0"/>
    <n v="0"/>
    <n v="10.08"/>
    <s v="Sin Facturación 2022"/>
    <n v="0"/>
    <n v="0"/>
    <n v="0"/>
    <n v="0"/>
    <n v="0"/>
    <n v="900"/>
    <n v="0"/>
    <n v="0"/>
    <n v="0"/>
    <n v="0"/>
    <n v="0"/>
    <n v="9072"/>
    <m/>
    <n v="0"/>
    <e v="#REF!"/>
    <e v="#REF!"/>
  </r>
  <r>
    <s v="Agrosuper Brasil1022782"/>
    <x v="0"/>
    <x v="2"/>
    <x v="290"/>
    <x v="264"/>
    <x v="10"/>
    <x v="25"/>
    <m/>
    <n v="12482"/>
    <n v="0"/>
    <n v="0.74227818722130146"/>
    <n v="9265.1163328962848"/>
    <n v="0"/>
    <n v="0"/>
    <n v="0"/>
    <n v="9265.1163328962848"/>
    <n v="6240"/>
    <n v="24000"/>
    <n v="6240"/>
    <m/>
    <n v="6240"/>
    <n v="3025.1163328962848"/>
    <n v="0"/>
    <m/>
    <n v="0"/>
    <n v="3025.1163328962848"/>
    <n v="0"/>
    <n v="0"/>
    <n v="6240"/>
    <n v="6240"/>
    <m/>
    <n v="0"/>
    <n v="8.3464566929133905"/>
    <n v="8.3464566929133905"/>
    <n v="52081.88976377956"/>
    <n v="10.6"/>
    <n v="0.21259842519684993"/>
    <n v="0"/>
    <n v="0"/>
    <n v="0"/>
    <n v="0"/>
    <n v="0"/>
    <n v="6240"/>
    <n v="0"/>
    <n v="0"/>
    <n v="0"/>
    <n v="0"/>
    <n v="0"/>
    <n v="66144"/>
    <m/>
    <n v="0"/>
    <e v="#REF!"/>
    <e v="#REF!"/>
  </r>
  <r>
    <s v="Agrosuper Brasil1022783"/>
    <x v="0"/>
    <x v="2"/>
    <x v="291"/>
    <x v="265"/>
    <x v="10"/>
    <x v="25"/>
    <m/>
    <n v="0"/>
    <n v="0"/>
    <n v="0.74227818722130146"/>
    <n v="0"/>
    <n v="0"/>
    <n v="0"/>
    <n v="0"/>
    <n v="0"/>
    <n v="6480"/>
    <n v="24000"/>
    <n v="0"/>
    <m/>
    <n v="0"/>
    <n v="0"/>
    <n v="0"/>
    <m/>
    <n v="0"/>
    <n v="0"/>
    <n v="0"/>
    <n v="0"/>
    <n v="0"/>
    <n v="0"/>
    <m/>
    <n v="0"/>
    <n v="8.2170542635658901"/>
    <n v="0"/>
    <n v="0"/>
    <n v="10.6"/>
    <s v="Sin Facturación 2022"/>
    <n v="0"/>
    <n v="0"/>
    <n v="0"/>
    <n v="0"/>
    <n v="0"/>
    <n v="6480"/>
    <n v="0"/>
    <n v="0"/>
    <n v="0"/>
    <n v="0"/>
    <n v="0"/>
    <n v="68688"/>
    <m/>
    <n v="0"/>
    <e v="#REF!"/>
    <e v="#REF!"/>
  </r>
  <r>
    <s v="Agrosuper Brasil1022784"/>
    <x v="0"/>
    <x v="2"/>
    <x v="292"/>
    <x v="266"/>
    <x v="10"/>
    <x v="25"/>
    <m/>
    <n v="0"/>
    <n v="0"/>
    <n v="0.74227818722130146"/>
    <n v="0"/>
    <n v="0"/>
    <n v="0"/>
    <n v="0"/>
    <n v="0"/>
    <n v="5175"/>
    <n v="3500"/>
    <n v="0"/>
    <m/>
    <n v="0"/>
    <n v="0"/>
    <n v="0"/>
    <m/>
    <n v="0"/>
    <n v="0"/>
    <n v="0"/>
    <n v="0"/>
    <n v="0"/>
    <n v="0"/>
    <m/>
    <n v="0"/>
    <n v="8.0916030534351204"/>
    <n v="0"/>
    <n v="0"/>
    <n v="10.6"/>
    <s v="Sin Facturación 2022"/>
    <n v="0"/>
    <n v="0"/>
    <n v="0"/>
    <n v="0"/>
    <n v="0"/>
    <n v="5175"/>
    <n v="0"/>
    <n v="0"/>
    <n v="0"/>
    <n v="0"/>
    <n v="0"/>
    <n v="54855"/>
    <m/>
    <n v="0"/>
    <e v="#REF!"/>
    <e v="#REF!"/>
  </r>
  <r>
    <s v="Agro Sudamerica1022786"/>
    <x v="0"/>
    <x v="0"/>
    <x v="293"/>
    <x v="267"/>
    <x v="10"/>
    <x v="25"/>
    <m/>
    <n v="300"/>
    <n v="0"/>
    <n v="0.5154724771671565"/>
    <n v="154.64174315014694"/>
    <n v="0"/>
    <n v="0"/>
    <n v="0"/>
    <n v="154.64174315014694"/>
    <n v="1200"/>
    <n v="24000"/>
    <n v="0"/>
    <m/>
    <n v="0"/>
    <n v="154.64174315014694"/>
    <n v="0"/>
    <m/>
    <n v="0"/>
    <n v="154.64174315014694"/>
    <n v="0"/>
    <n v="0"/>
    <n v="0"/>
    <n v="0"/>
    <m/>
    <n v="0"/>
    <n v="13.964497041420099"/>
    <n v="0"/>
    <n v="0"/>
    <n v="15.31"/>
    <s v="Sin Facturación 2022"/>
    <n v="0"/>
    <n v="300"/>
    <n v="0"/>
    <n v="1500"/>
    <n v="1500"/>
    <n v="0"/>
    <n v="0"/>
    <n v="3450"/>
    <n v="0"/>
    <n v="22965"/>
    <n v="22965"/>
    <n v="0"/>
    <m/>
    <n v="0"/>
    <e v="#REF!"/>
    <e v="#REF!"/>
  </r>
  <r>
    <s v="Agro Sudamerica1023295"/>
    <x v="0"/>
    <x v="0"/>
    <x v="294"/>
    <x v="268"/>
    <x v="10"/>
    <x v="25"/>
    <m/>
    <n v="1000"/>
    <n v="1000"/>
    <n v="0.5154724771671565"/>
    <n v="515.47247716715651"/>
    <n v="50.7"/>
    <n v="0"/>
    <n v="0"/>
    <n v="566.17247716715656"/>
    <n v="450"/>
    <n v="24000"/>
    <n v="450"/>
    <m/>
    <n v="450"/>
    <n v="116.17247716715656"/>
    <n v="0"/>
    <m/>
    <n v="0"/>
    <n v="116.17247716715656"/>
    <n v="0"/>
    <n v="0"/>
    <n v="450"/>
    <n v="450"/>
    <m/>
    <n v="12.287000000000001"/>
    <n v="14.556213017751501"/>
    <n v="14.556213017751501"/>
    <n v="6550.2958579881752"/>
    <n v="12.25"/>
    <n v="0.18826228716338786"/>
    <n v="0"/>
    <n v="2700"/>
    <n v="0"/>
    <n v="0"/>
    <n v="0"/>
    <n v="0"/>
    <n v="0"/>
    <n v="33075"/>
    <n v="0"/>
    <n v="0"/>
    <n v="0"/>
    <n v="0"/>
    <m/>
    <n v="0"/>
    <e v="#REF!"/>
    <e v="#REF!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">
  <r>
    <s v="Agosto"/>
    <x v="0"/>
    <x v="0"/>
    <s v="Huesos"/>
    <s v="Huesos Cuarto Centra"/>
    <n v="1021279"/>
    <s v="Exportacion"/>
    <n v="24000"/>
    <n v="1.2366666666666666"/>
    <n v="29679.999999999996"/>
  </r>
  <r>
    <s v="Agosto"/>
    <x v="0"/>
    <x v="0"/>
    <s v="Grasas"/>
    <s v="Grasa Lomo Tocino"/>
    <n v="1020339"/>
    <s v="Exportacion"/>
    <n v="96000"/>
    <n v="1.4866666666666666"/>
    <n v="142720"/>
  </r>
  <r>
    <s v="Agosto"/>
    <x v="0"/>
    <x v="0"/>
    <s v="Cueros"/>
    <s v="Cuero Panceta"/>
    <n v="1020352"/>
    <s v="Exportacion"/>
    <n v="71966.820000000007"/>
    <n v="1.2991666666666666"/>
    <n v="93496.893649999998"/>
  </r>
  <r>
    <s v="Agosto"/>
    <x v="0"/>
    <x v="0"/>
    <s v="Grasas"/>
    <s v="Grasa Gordura"/>
    <n v="1020367"/>
    <s v="Exportacion"/>
    <n v="166000"/>
    <n v="1.1083623242971887"/>
    <n v="183988.14583333334"/>
  </r>
  <r>
    <s v="Agosto"/>
    <x v="0"/>
    <x v="0"/>
    <s v="Recortes"/>
    <s v="Recortes No Magro"/>
    <n v="1020412"/>
    <s v="Exportacion"/>
    <n v="96000"/>
    <n v="1.7722769712233275"/>
    <n v="170138.58923743945"/>
  </r>
  <r>
    <s v="Agosto"/>
    <x v="0"/>
    <x v="0"/>
    <s v="Lomo"/>
    <s v="Lomo Centro"/>
    <n v="1020848"/>
    <s v="Exportacion"/>
    <n v="72000"/>
    <n v="3.1433333333333335"/>
    <n v="226320"/>
  </r>
  <r>
    <s v="Agosto"/>
    <x v="0"/>
    <x v="0"/>
    <s v="Cost-Pec"/>
    <s v="Cost-Pec Entero"/>
    <n v="1020869"/>
    <s v="Exportacion"/>
    <n v="67000"/>
    <n v="4.2"/>
    <n v="281400"/>
  </r>
  <r>
    <s v="Agosto"/>
    <x v="0"/>
    <x v="0"/>
    <s v="Pierna"/>
    <s v="Pierna Entera"/>
    <n v="1020915"/>
    <s v="Exportacion"/>
    <n v="52000"/>
    <n v="1.9"/>
    <n v="98800"/>
  </r>
  <r>
    <s v="Agosto"/>
    <x v="0"/>
    <x v="0"/>
    <s v="Grasas"/>
    <s v="Grasa Forro"/>
    <n v="1020925"/>
    <s v="Exportacion"/>
    <n v="96000"/>
    <n v="1.45"/>
    <n v="139200"/>
  </r>
  <r>
    <s v="Agosto"/>
    <x v="0"/>
    <x v="0"/>
    <s v="Pierna"/>
    <s v="Pierna Pulpa"/>
    <n v="1020944"/>
    <s v="Exportacion"/>
    <n v="226000"/>
    <n v="2.6849973460509213"/>
    <n v="606809.40020750824"/>
  </r>
  <r>
    <s v="Agosto"/>
    <x v="0"/>
    <x v="0"/>
    <s v="Grasas"/>
    <s v="Grasa Gordura"/>
    <n v="1021023"/>
    <s v="Exportacion"/>
    <n v="119000"/>
    <n v="1.1219623949579831"/>
    <n v="133513.52499999999"/>
  </r>
  <r>
    <s v="Agosto"/>
    <x v="0"/>
    <x v="0"/>
    <s v="Cueros"/>
    <s v="Cuero Papada"/>
    <n v="1021039"/>
    <s v="Exportacion"/>
    <n v="50039"/>
    <n v="0.50666666666666671"/>
    <n v="25353.093333333334"/>
  </r>
  <r>
    <s v="Agosto"/>
    <x v="0"/>
    <x v="0"/>
    <s v="Grasas"/>
    <s v="Grasa Gordura"/>
    <n v="1021077"/>
    <s v="Exportacion"/>
    <n v="48000"/>
    <n v="1.2"/>
    <n v="57600"/>
  </r>
  <r>
    <s v="Agosto"/>
    <x v="0"/>
    <x v="0"/>
    <s v="Recortes"/>
    <s v="Recortes No Magro"/>
    <n v="1021078"/>
    <s v="Exportacion"/>
    <n v="144000"/>
    <n v="2.1033402777777779"/>
    <n v="302881"/>
  </r>
  <r>
    <s v="Agosto"/>
    <x v="0"/>
    <x v="0"/>
    <s v="Recortes"/>
    <s v="Recortes No Magro"/>
    <n v="1021082"/>
    <s v="Exportacion"/>
    <n v="73500"/>
    <n v="1.5"/>
    <n v="110250"/>
  </r>
  <r>
    <s v="Agosto"/>
    <x v="0"/>
    <x v="0"/>
    <s v="Grasas"/>
    <s v="Grasa Gordura"/>
    <n v="1021085"/>
    <s v="Exportacion"/>
    <n v="21300"/>
    <n v="0.95"/>
    <n v="20235"/>
  </r>
  <r>
    <s v="Agosto"/>
    <x v="0"/>
    <x v="0"/>
    <s v="Recortes"/>
    <s v="Recortes No Magro"/>
    <n v="1021092"/>
    <s v="Exportacion"/>
    <n v="146000"/>
    <n v="2.3252058033246348"/>
    <n v="339480.04728539666"/>
  </r>
  <r>
    <s v="Agosto"/>
    <x v="0"/>
    <x v="0"/>
    <s v="Subprod"/>
    <s v="Subprod Visceras"/>
    <n v="1021101"/>
    <s v="Exportacion"/>
    <n v="24000"/>
    <n v="1.0866666666666667"/>
    <n v="26080"/>
  </r>
  <r>
    <s v="Agosto"/>
    <x v="0"/>
    <x v="0"/>
    <s v="Subprod"/>
    <s v="Subprod Visceras"/>
    <n v="1021105"/>
    <s v="Exportacion"/>
    <n v="53211"/>
    <n v="0.63666666666666683"/>
    <n v="33877.670000000006"/>
  </r>
  <r>
    <s v="Agosto"/>
    <x v="0"/>
    <x v="0"/>
    <s v="Grasas"/>
    <s v="Grasa Interior"/>
    <n v="1021111"/>
    <s v="Exportacion"/>
    <n v="9262"/>
    <n v="1.1866666666666665"/>
    <n v="10990.906666666666"/>
  </r>
  <r>
    <s v="Agosto"/>
    <x v="0"/>
    <x v="0"/>
    <s v="Cueros"/>
    <s v="Cuero Back"/>
    <n v="1021187"/>
    <s v="Exportacion"/>
    <n v="72000"/>
    <n v="1.9866666666666664"/>
    <n v="143039.99999999997"/>
  </r>
  <r>
    <s v="Agosto"/>
    <x v="0"/>
    <x v="0"/>
    <s v="Cueros"/>
    <s v="Cuero Mixto"/>
    <n v="1021385"/>
    <s v="Exportacion"/>
    <n v="174400"/>
    <n v="0.99087375764525998"/>
    <n v="172808.38333333333"/>
  </r>
  <r>
    <s v="Agosto"/>
    <x v="0"/>
    <x v="0"/>
    <s v="Chuleta"/>
    <s v="Chuleta Huesos"/>
    <n v="1021622"/>
    <s v="Exportacion"/>
    <n v="24000"/>
    <n v="6.3866666666666667"/>
    <n v="153280"/>
  </r>
  <r>
    <s v="Agosto"/>
    <x v="0"/>
    <x v="0"/>
    <s v="Pierna"/>
    <s v="Pierna Pulpa Fina"/>
    <n v="1021868"/>
    <s v="Exportacion"/>
    <n v="49000"/>
    <n v="2.9066666666666663"/>
    <n v="142426.66666666666"/>
  </r>
  <r>
    <s v="Agosto"/>
    <x v="0"/>
    <x v="0"/>
    <s v="Paleta"/>
    <s v="Paleta Pulpa"/>
    <n v="1021976"/>
    <s v="Exportacion"/>
    <n v="168000"/>
    <n v="2.4333370535714285"/>
    <n v="408800.625"/>
  </r>
  <r>
    <s v="Agosto"/>
    <x v="0"/>
    <x v="0"/>
    <s v="Grasas"/>
    <s v="Grasa Gordura"/>
    <n v="1022150"/>
    <s v="Exportacion"/>
    <n v="191989.89"/>
    <n v="1.2029273995328864"/>
    <n v="230949.89911430492"/>
  </r>
  <r>
    <s v="Agosto"/>
    <x v="0"/>
    <x v="0"/>
    <s v="Cueros"/>
    <s v="Cuero Forro"/>
    <n v="1022196"/>
    <s v="Exportacion"/>
    <n v="96000"/>
    <n v="0.81166666666666665"/>
    <n v="77920"/>
  </r>
  <r>
    <s v="Agosto"/>
    <x v="0"/>
    <x v="0"/>
    <s v="Cueros"/>
    <s v="Cuero Forro"/>
    <n v="1022197"/>
    <s v="Exportacion"/>
    <n v="4698"/>
    <n v="0.5"/>
    <n v="2349"/>
  </r>
  <r>
    <s v="Agosto"/>
    <x v="0"/>
    <x v="0"/>
    <s v="Pierna"/>
    <s v="Pierna Pulpa"/>
    <n v="1022709"/>
    <s v="Exportacion"/>
    <n v="179991.64"/>
    <n v="2.8208964939072234"/>
    <n v="507737.78620861121"/>
  </r>
  <r>
    <s v="Agosto"/>
    <x v="0"/>
    <x v="0"/>
    <s v="Panceta"/>
    <s v="Panceta s/Cuero"/>
    <n v="1022847"/>
    <s v="Exportacion"/>
    <n v="24000"/>
    <n v="1.4166666666666667"/>
    <n v="34000"/>
  </r>
  <r>
    <s v="Agosto"/>
    <x v="0"/>
    <x v="0"/>
    <s v="Grasas"/>
    <s v="Grasa Forro"/>
    <n v="1022855"/>
    <s v="Exportacion"/>
    <n v="72000"/>
    <n v="1.04"/>
    <n v="74880"/>
  </r>
  <r>
    <s v="Agosto"/>
    <x v="0"/>
    <x v="0"/>
    <s v="Grasas"/>
    <s v="Grasa Gordura"/>
    <n v="1022920"/>
    <s v="Exportacion"/>
    <n v="24000"/>
    <n v="1.0866536964980544"/>
    <n v="26079.688715953307"/>
  </r>
  <r>
    <s v="Agosto"/>
    <x v="0"/>
    <x v="0"/>
    <s v="Grasas"/>
    <s v="Grasa Gordura"/>
    <n v="1022921"/>
    <s v="Exportacion"/>
    <n v="24000"/>
    <n v="1.2999999999999998"/>
    <n v="31199.999999999996"/>
  </r>
  <r>
    <s v="Agosto"/>
    <x v="0"/>
    <x v="0"/>
    <s v="Subprod"/>
    <s v="Subprod Visceras"/>
    <n v="1023355"/>
    <s v="Exportacion"/>
    <n v="46500"/>
    <n v="0.62451130708637681"/>
    <n v="29039.775779516523"/>
  </r>
  <r>
    <s v="Agosto"/>
    <x v="1"/>
    <x v="0"/>
    <s v="Lomo"/>
    <s v="Lomo Vetado"/>
    <n v="1020860"/>
    <s v="Exportacion"/>
    <n v="110000"/>
    <n v="4.1805000000000003"/>
    <n v="459855.00000000006"/>
  </r>
  <r>
    <s v="Agosto"/>
    <x v="1"/>
    <x v="0"/>
    <s v="Lomo"/>
    <s v="Lomo Vetado"/>
    <n v="1020861"/>
    <s v="Exportacion"/>
    <n v="166000"/>
    <n v="4.1846624909275665"/>
    <n v="694653.97349397605"/>
  </r>
  <r>
    <s v="Agosto"/>
    <x v="1"/>
    <x v="0"/>
    <s v="Panceta"/>
    <s v="Panceta c/Cuero"/>
    <n v="1020904"/>
    <s v="Exportacion"/>
    <n v="44000"/>
    <n v="6"/>
    <n v="264000"/>
  </r>
  <r>
    <s v="Agosto"/>
    <x v="1"/>
    <x v="0"/>
    <s v="Panceta"/>
    <s v="Panceta c/Cuero"/>
    <n v="1020905"/>
    <s v="Exportacion"/>
    <n v="22000"/>
    <n v="6"/>
    <n v="132000"/>
  </r>
  <r>
    <s v="Agosto"/>
    <x v="1"/>
    <x v="0"/>
    <s v="Plancha"/>
    <s v="Plancha s/Cuero"/>
    <n v="1021012"/>
    <s v="Exportacion"/>
    <n v="154000"/>
    <n v="1.92"/>
    <n v="295680"/>
  </r>
  <r>
    <s v="Agosto"/>
    <x v="1"/>
    <x v="0"/>
    <s v="Pernil"/>
    <s v="Pernil Mano"/>
    <n v="1021045"/>
    <s v="Exportacion"/>
    <n v="44000"/>
    <n v="2.1335303030303034"/>
    <n v="93875.333333333358"/>
  </r>
  <r>
    <s v="Agosto"/>
    <x v="1"/>
    <x v="0"/>
    <s v="Huesos"/>
    <s v="Huesos Cuarto Centra"/>
    <n v="1021149"/>
    <s v="Exportacion"/>
    <n v="22000"/>
    <n v="0.77812499999999996"/>
    <n v="17118.75"/>
  </r>
  <r>
    <s v="Agosto"/>
    <x v="1"/>
    <x v="0"/>
    <s v="Huesos"/>
    <s v="Huesos Cuarto Centra"/>
    <n v="1021150"/>
    <s v="Exportacion"/>
    <n v="22000"/>
    <n v="0.85019696969696967"/>
    <n v="18704.333333333332"/>
  </r>
  <r>
    <s v="Agosto"/>
    <x v="1"/>
    <x v="0"/>
    <s v="Huesos"/>
    <s v="Huesos Cuarto Delant"/>
    <n v="1021151"/>
    <s v="Exportacion"/>
    <n v="22000"/>
    <n v="1.3"/>
    <n v="28600"/>
  </r>
  <r>
    <s v="Agosto"/>
    <x v="1"/>
    <x v="0"/>
    <s v="Huesos"/>
    <s v="Huesos Cuarto Delant"/>
    <n v="1021152"/>
    <s v="Exportacion"/>
    <n v="22000"/>
    <n v="1.3"/>
    <n v="28600"/>
  </r>
  <r>
    <s v="Agosto"/>
    <x v="1"/>
    <x v="0"/>
    <s v="Huesos"/>
    <s v="Huesos Cuarto Centra"/>
    <n v="1021156"/>
    <s v="Exportacion"/>
    <n v="47000"/>
    <n v="2.7385106382978726"/>
    <n v="128710.00000000001"/>
  </r>
  <r>
    <s v="Agosto"/>
    <x v="1"/>
    <x v="0"/>
    <s v="Grasas"/>
    <s v="Grasa Lomo Tocino"/>
    <n v="1021204"/>
    <s v="Exportacion"/>
    <n v="24000"/>
    <n v="1.35"/>
    <n v="32400.000000000004"/>
  </r>
  <r>
    <s v="Agosto"/>
    <x v="1"/>
    <x v="0"/>
    <s v="Pernil"/>
    <s v="Pernil Mano"/>
    <n v="1021470"/>
    <s v="Exportacion"/>
    <n v="22000"/>
    <n v="1.6"/>
    <n v="35200"/>
  </r>
  <r>
    <s v="Agosto"/>
    <x v="1"/>
    <x v="0"/>
    <s v="Cost-Pec"/>
    <s v="Cost-Pec Entero"/>
    <n v="1021664"/>
    <s v="Exportacion"/>
    <n v="22000"/>
    <n v="5.7157179487179501"/>
    <n v="125745.7948717949"/>
  </r>
  <r>
    <s v="Agosto"/>
    <x v="1"/>
    <x v="0"/>
    <s v="Prolijado"/>
    <s v="Prolijado Malaya"/>
    <n v="1022283"/>
    <s v="Exportacion"/>
    <n v="5000"/>
    <n v="6.5"/>
    <n v="32500"/>
  </r>
  <r>
    <s v="Agosto"/>
    <x v="1"/>
    <x v="0"/>
    <s v="Prolijado"/>
    <s v="Prolijado Plateada"/>
    <n v="1022607"/>
    <s v="Exportacion"/>
    <n v="22000"/>
    <n v="5.5"/>
    <n v="121000"/>
  </r>
  <r>
    <s v="Agosto"/>
    <x v="1"/>
    <x v="0"/>
    <s v="Panceta"/>
    <s v="Panceta s/Cuero"/>
    <n v="1022885"/>
    <s v="Exportacion"/>
    <n v="528004.15"/>
    <n v="6.04"/>
    <n v="3189145.0660000001"/>
  </r>
  <r>
    <s v="Agosto"/>
    <x v="1"/>
    <x v="0"/>
    <s v="Panceta"/>
    <s v="Panceta s/Cuero"/>
    <n v="1022887"/>
    <s v="Exportacion"/>
    <n v="264000"/>
    <n v="6.0912673611111128"/>
    <n v="1608094.5833333337"/>
  </r>
  <r>
    <s v="Agosto"/>
    <x v="1"/>
    <x v="0"/>
    <s v="Panceta"/>
    <s v="Panceta s/Cuero"/>
    <n v="1022930"/>
    <s v="Exportacion"/>
    <n v="242031.5"/>
    <n v="6.3083115361902395"/>
    <n v="1526810.103571428"/>
  </r>
  <r>
    <s v="Agosto"/>
    <x v="1"/>
    <x v="0"/>
    <s v="Lomo"/>
    <s v="Lomo Vetado"/>
    <n v="1022985"/>
    <s v="Exportacion"/>
    <n v="10000"/>
    <n v="4.26"/>
    <n v="42600"/>
  </r>
  <r>
    <s v="Agosto"/>
    <x v="1"/>
    <x v="0"/>
    <s v="Panceta"/>
    <s v="Panceta s/Cuero"/>
    <n v="1023037"/>
    <s v="Exportacion"/>
    <n v="77000"/>
    <n v="6.3126098901098899"/>
    <n v="486070.9615384615"/>
  </r>
  <r>
    <s v="Agosto"/>
    <x v="1"/>
    <x v="0"/>
    <s v="Lomo"/>
    <s v="Lomo Vetado"/>
    <n v="1023038"/>
    <s v="Exportacion"/>
    <n v="121010.70999999999"/>
    <n v="4.3809353622313862"/>
    <n v="530140.09864772717"/>
  </r>
  <r>
    <s v="Agosto"/>
    <x v="1"/>
    <x v="0"/>
    <s v="Panceta"/>
    <s v="Panceta s/Cuero"/>
    <n v="1023090"/>
    <s v="Exportacion"/>
    <n v="22000"/>
    <n v="6.5"/>
    <n v="143000"/>
  </r>
  <r>
    <s v="Agosto"/>
    <x v="1"/>
    <x v="0"/>
    <s v="Plancha"/>
    <s v="Plancha c/Cuero"/>
    <n v="1023144"/>
    <s v="Exportacion"/>
    <n v="72000"/>
    <n v="2.191071666666665"/>
    <n v="157757.15999999989"/>
  </r>
  <r>
    <s v="Agosto"/>
    <x v="1"/>
    <x v="0"/>
    <s v="Subprod"/>
    <s v="Subprod Grasa"/>
    <n v="1023283"/>
    <s v="Exportacion"/>
    <n v="120000"/>
    <n v="0.88798602083333322"/>
    <n v="106558.32249999998"/>
  </r>
  <r>
    <s v="Agosto"/>
    <x v="1"/>
    <x v="0"/>
    <s v="Subprod"/>
    <s v="Subprod Visceras"/>
    <n v="1023307"/>
    <s v="Exportacion"/>
    <n v="24000"/>
    <n v="0.76571666666666705"/>
    <n v="18377.200000000008"/>
  </r>
  <r>
    <s v="Agosto"/>
    <x v="1"/>
    <x v="0"/>
    <s v="Subprod"/>
    <s v="Subprod Visceras"/>
    <n v="1023326"/>
    <s v="Exportacion"/>
    <n v="48000"/>
    <n v="0.95"/>
    <n v="45600"/>
  </r>
  <r>
    <s v="Agosto"/>
    <x v="2"/>
    <x v="0"/>
    <s v="Cueros"/>
    <s v="Cuero Papada"/>
    <n v="1021864"/>
    <s v="Exportacion"/>
    <n v="72000"/>
    <n v="0.5"/>
    <n v="36000"/>
  </r>
  <r>
    <s v="Agosto"/>
    <x v="2"/>
    <x v="0"/>
    <s v="Grasas"/>
    <s v="Grasa Lomo Tocino"/>
    <n v="1022217"/>
    <s v="Exportacion"/>
    <n v="192000"/>
    <n v="1.5"/>
    <n v="288000"/>
  </r>
  <r>
    <s v="Agosto"/>
    <x v="2"/>
    <x v="0"/>
    <s v="Grasas"/>
    <s v="Grasa Forro"/>
    <n v="1022218"/>
    <s v="Exportacion"/>
    <n v="96000"/>
    <n v="1.5"/>
    <n v="144000"/>
  </r>
  <r>
    <s v="Agosto"/>
    <x v="2"/>
    <x v="0"/>
    <s v="Grasas"/>
    <s v="Grasa Forro"/>
    <n v="1022273"/>
    <s v="Exportacion"/>
    <n v="190000"/>
    <n v="1.4"/>
    <n v="266000"/>
  </r>
  <r>
    <s v="Agosto"/>
    <x v="2"/>
    <x v="0"/>
    <s v="Cueros"/>
    <s v="Cuero Papada"/>
    <n v="1023329"/>
    <s v="Exportacion"/>
    <n v="24000"/>
    <n v="0.5"/>
    <n v="12000"/>
  </r>
  <r>
    <s v="Agosto"/>
    <x v="2"/>
    <x v="0"/>
    <s v="Cueros"/>
    <s v="Cuero Mixto"/>
    <n v="1023334"/>
    <s v="Exportacion"/>
    <n v="72000"/>
    <n v="0.6"/>
    <n v="43200"/>
  </r>
  <r>
    <s v="Agosto"/>
    <x v="3"/>
    <x v="0"/>
    <s v="Pierna"/>
    <s v="Pierna Pulpa"/>
    <n v="1021733"/>
    <s v="Exportacion"/>
    <n v="72000"/>
    <n v="2.8455833333333298"/>
    <n v="204881.99999999974"/>
  </r>
  <r>
    <s v="Agosto"/>
    <x v="3"/>
    <x v="0"/>
    <s v="Grasas"/>
    <s v="Grasa Lomo Tocino"/>
    <n v="1021992"/>
    <s v="Exportacion"/>
    <n v="48000"/>
    <n v="1.6387662656249997"/>
    <n v="78660.780749999991"/>
  </r>
  <r>
    <s v="Agosto"/>
    <x v="3"/>
    <x v="0"/>
    <s v="Recortes"/>
    <s v="Recortes No Magro"/>
    <n v="1022373"/>
    <s v="Exportacion"/>
    <n v="24000"/>
    <n v="1.4497916666666699"/>
    <n v="34795.00000000008"/>
  </r>
  <r>
    <s v="Agosto"/>
    <x v="3"/>
    <x v="0"/>
    <s v="Paleta"/>
    <s v="Paleta Pulpa"/>
    <n v="1022379"/>
    <s v="Exportacion"/>
    <n v="48000"/>
    <n v="2.4993472222222199"/>
    <n v="119968.66666666656"/>
  </r>
  <r>
    <s v="Agosto"/>
    <x v="3"/>
    <x v="0"/>
    <s v="Grasas"/>
    <s v="Grasa Gordura"/>
    <n v="1022381"/>
    <s v="Exportacion"/>
    <n v="96000"/>
    <n v="1.3325"/>
    <n v="127920"/>
  </r>
  <r>
    <s v="Agosto"/>
    <x v="3"/>
    <x v="0"/>
    <s v="Chuleta"/>
    <s v="Chuleta Cazuela"/>
    <n v="1022414"/>
    <s v="Exportacion"/>
    <n v="24000"/>
    <n v="1.1083333333333301"/>
    <n v="26599.99999999992"/>
  </r>
  <r>
    <s v="Agosto"/>
    <x v="3"/>
    <x v="0"/>
    <s v="Cueros"/>
    <s v="Cuero Mixto"/>
    <n v="1022417"/>
    <s v="Exportacion"/>
    <n v="97000"/>
    <n v="0.79995833333333299"/>
    <n v="77595.958333333299"/>
  </r>
  <r>
    <s v="Agosto"/>
    <x v="3"/>
    <x v="0"/>
    <s v="Huesos"/>
    <s v="Huesos Cuarto Delant"/>
    <n v="1022637"/>
    <s v="Exportacion"/>
    <n v="21210"/>
    <n v="1.1545886731763355"/>
    <n v="24488.825758070077"/>
  </r>
  <r>
    <s v="Agosto"/>
    <x v="3"/>
    <x v="0"/>
    <s v="Paleta"/>
    <s v="Paleta Entera"/>
    <n v="1022851"/>
    <s v="Exportacion"/>
    <n v="96000"/>
    <n v="1.7755270833333325"/>
    <n v="170450.59999999992"/>
  </r>
  <r>
    <s v="Agosto"/>
    <x v="3"/>
    <x v="0"/>
    <s v="Grasas"/>
    <s v="Grasa Gordura"/>
    <n v="1022856"/>
    <s v="Exportacion"/>
    <n v="120000"/>
    <n v="1.25833333333333"/>
    <n v="150999.99999999959"/>
  </r>
  <r>
    <s v="Agosto"/>
    <x v="3"/>
    <x v="0"/>
    <s v="Grasas"/>
    <s v="Grasa Interior"/>
    <n v="1022945"/>
    <s v="Exportacion"/>
    <n v="24080"/>
    <n v="1.2303454270274354"/>
    <n v="29626.717882820645"/>
  </r>
  <r>
    <s v="Agosto"/>
    <x v="3"/>
    <x v="0"/>
    <s v="Cueros"/>
    <s v="Cuero Forro"/>
    <n v="1023034"/>
    <s v="Exportacion"/>
    <n v="48000"/>
    <n v="0.73333333333333284"/>
    <n v="35199.999999999978"/>
  </r>
  <r>
    <s v="Agosto"/>
    <x v="3"/>
    <x v="0"/>
    <s v="Cueros"/>
    <s v="Cuero Mixto"/>
    <n v="1023306"/>
    <s v="Exportacion"/>
    <n v="96000"/>
    <n v="1.00484611969389"/>
    <n v="96465.227490613441"/>
  </r>
  <r>
    <s v="Agosto"/>
    <x v="4"/>
    <x v="0"/>
    <s v="Lomo"/>
    <s v="Lomo Centro"/>
    <n v="1020105"/>
    <s v="Exportacion"/>
    <n v="80899.354838709682"/>
    <n v="3.8076164323391155"/>
    <n v="308033.71284950391"/>
  </r>
  <r>
    <s v="Agosto"/>
    <x v="4"/>
    <x v="0"/>
    <s v="Lomo"/>
    <s v="Lomo MM Loin"/>
    <n v="1020110"/>
    <s v="Exportacion"/>
    <n v="679040.5882352941"/>
    <n v="3.407387437302158"/>
    <n v="2313754.3697712086"/>
  </r>
  <r>
    <s v="Agosto"/>
    <x v="4"/>
    <x v="0"/>
    <s v="Pierna"/>
    <s v="Pierna Pulpa Fina"/>
    <n v="1020284"/>
    <s v="Exportacion"/>
    <n v="7234.666666666667"/>
    <n v="3.6895031008109065"/>
    <n v="26692.325099999973"/>
  </r>
  <r>
    <s v="Agosto"/>
    <x v="4"/>
    <x v="0"/>
    <s v="Paleta"/>
    <s v="Paleta Pulpa"/>
    <n v="1020326"/>
    <s v="Exportacion"/>
    <n v="216000"/>
    <n v="2.5808540104377111"/>
    <n v="557464.46625454561"/>
  </r>
  <r>
    <s v="Agosto"/>
    <x v="4"/>
    <x v="0"/>
    <s v="Lomo"/>
    <s v="Lomo MM Loin"/>
    <n v="1020589"/>
    <s v="Exportacion"/>
    <n v="170914.28571428571"/>
    <n v="3.5750803848376762"/>
    <n v="611032.31034568511"/>
  </r>
  <r>
    <s v="Agosto"/>
    <x v="4"/>
    <x v="0"/>
    <s v="Lomo"/>
    <s v="Lomo Vetado"/>
    <n v="1020592"/>
    <s v="Exportacion"/>
    <n v="233415.89041095891"/>
    <n v="3.5274033714846835"/>
    <n v="823351.99879371584"/>
  </r>
  <r>
    <s v="Agosto"/>
    <x v="4"/>
    <x v="0"/>
    <s v="Lomo"/>
    <s v="Lomo Vetado"/>
    <n v="1020620"/>
    <s v="Exportacion"/>
    <n v="29617.142857142851"/>
    <n v="3.4890869295659162"/>
    <n v="103336.78603394366"/>
  </r>
  <r>
    <s v="Agosto"/>
    <x v="4"/>
    <x v="0"/>
    <s v="Filete"/>
    <s v="Filete c/Cabeza"/>
    <n v="1020636"/>
    <s v="Exportacion"/>
    <n v="23071.333333333332"/>
    <n v="4.1694361106461848"/>
    <n v="96194.450320755001"/>
  </r>
  <r>
    <s v="Agosto"/>
    <x v="4"/>
    <x v="0"/>
    <s v="Panceta"/>
    <s v="Panceta s/Cuero"/>
    <n v="1020637"/>
    <s v="Exportacion"/>
    <n v="239740"/>
    <n v="4.8608841773739559"/>
    <n v="1165348.3726836322"/>
  </r>
  <r>
    <s v="Agosto"/>
    <x v="4"/>
    <x v="0"/>
    <s v="Pierna"/>
    <s v="Pierna Pulpa Fina"/>
    <n v="1020662"/>
    <s v="Exportacion"/>
    <n v="27460"/>
    <n v="3.5784916036170094"/>
    <n v="98265.379435323077"/>
  </r>
  <r>
    <s v="Agosto"/>
    <x v="4"/>
    <x v="0"/>
    <s v="Pierna"/>
    <s v="Pierna Pulpa Fina"/>
    <n v="1020664"/>
    <s v="Exportacion"/>
    <n v="17000"/>
    <n v="3.6338760352941177"/>
    <n v="61775.892599999999"/>
  </r>
  <r>
    <s v="Agosto"/>
    <x v="4"/>
    <x v="0"/>
    <s v="Pierna"/>
    <s v="Pierna Pulpa Fina"/>
    <n v="1020665"/>
    <s v="Exportacion"/>
    <n v="11666.666666666668"/>
    <n v="3.5993951333333323"/>
    <n v="41992.943222222217"/>
  </r>
  <r>
    <s v="Agosto"/>
    <x v="4"/>
    <x v="0"/>
    <s v="Lomo"/>
    <s v="Lomo Centro"/>
    <n v="1020678"/>
    <s v="Exportacion"/>
    <n v="1000"/>
    <n v="4.7351428000000002"/>
    <n v="4735.1428000000005"/>
  </r>
  <r>
    <s v="Agosto"/>
    <x v="4"/>
    <x v="0"/>
    <s v="Lomo"/>
    <s v="Lomo MM Loin"/>
    <n v="1020681"/>
    <s v="Exportacion"/>
    <n v="17361.333333333336"/>
    <n v="3.8373833166383964"/>
    <n v="66622.090887931423"/>
  </r>
  <r>
    <s v="Agosto"/>
    <x v="4"/>
    <x v="0"/>
    <s v="Filete"/>
    <s v="Filete c/Cabeza"/>
    <n v="1020704"/>
    <s v="Exportacion"/>
    <n v="1500"/>
    <n v="4.4771024666666666"/>
    <n v="6715.6536999999998"/>
  </r>
  <r>
    <s v="Agosto"/>
    <x v="4"/>
    <x v="0"/>
    <s v="Panceta"/>
    <s v="Panceta c/Cuero"/>
    <n v="1020715"/>
    <s v="Exportacion"/>
    <n v="1568"/>
    <n v="4.5643845058673467"/>
    <n v="7156.9549051999993"/>
  </r>
  <r>
    <s v="Agosto"/>
    <x v="4"/>
    <x v="0"/>
    <s v="Panceta"/>
    <s v="Panceta s/Cuero"/>
    <n v="1020731"/>
    <s v="Exportacion"/>
    <n v="21240"/>
    <n v="5.1453476809061218"/>
    <n v="109287.18474244603"/>
  </r>
  <r>
    <s v="Agosto"/>
    <x v="4"/>
    <x v="0"/>
    <s v="Lomo"/>
    <s v="Lomo Vetado"/>
    <n v="1020758"/>
    <s v="Exportacion"/>
    <n v="12102"/>
    <n v="3.8503563124332079"/>
    <n v="46597.012093066682"/>
  </r>
  <r>
    <s v="Agosto"/>
    <x v="4"/>
    <x v="0"/>
    <s v="Prolijado"/>
    <s v="Prolijado Malaya"/>
    <n v="1020774"/>
    <s v="Exportacion"/>
    <n v="10504.190476190477"/>
    <n v="5.8830940817658233"/>
    <n v="61797.140824217124"/>
  </r>
  <r>
    <s v="Agosto"/>
    <x v="4"/>
    <x v="0"/>
    <s v="Panceta"/>
    <s v="Panceta s/Cuero"/>
    <n v="1020802"/>
    <s v="Exportacion"/>
    <n v="58246"/>
    <n v="4.6341999108069256"/>
    <n v="269923.60800486017"/>
  </r>
  <r>
    <s v="Agosto"/>
    <x v="4"/>
    <x v="0"/>
    <s v="Subprod"/>
    <s v="Subprod Tripa"/>
    <n v="1020810"/>
    <s v="Exportacion"/>
    <n v="4330"/>
    <n v="3.5806411476474156"/>
    <n v="15504.17616931331"/>
  </r>
  <r>
    <s v="Agosto"/>
    <x v="4"/>
    <x v="0"/>
    <s v="Panceta"/>
    <s v="Panceta c/Cuero"/>
    <n v="1020914"/>
    <s v="Exportacion"/>
    <n v="22142.857142857145"/>
    <n v="5.4255752288888885"/>
    <n v="120137.73721111112"/>
  </r>
  <r>
    <s v="Agosto"/>
    <x v="4"/>
    <x v="0"/>
    <s v="Pierna"/>
    <s v="Pierna Pulpa Fina"/>
    <n v="1020990"/>
    <s v="Exportacion"/>
    <n v="5901.333333333333"/>
    <n v="3.4651205361906907"/>
    <n v="20448.831324239996"/>
  </r>
  <r>
    <s v="Agosto"/>
    <x v="4"/>
    <x v="0"/>
    <s v="Pierna"/>
    <s v="Pierna Pulpa Fina"/>
    <n v="1020991"/>
    <s v="Exportacion"/>
    <n v="10000"/>
    <n v="3.6104867696969696"/>
    <n v="36104.867696969697"/>
  </r>
  <r>
    <s v="Agosto"/>
    <x v="4"/>
    <x v="0"/>
    <s v="Subprod"/>
    <s v="Subprod Visceras"/>
    <n v="1021136"/>
    <s v="Exportacion"/>
    <n v="7333.333333333333"/>
    <n v="2.4264629499999999"/>
    <n v="17794.061633333331"/>
  </r>
  <r>
    <s v="Agosto"/>
    <x v="4"/>
    <x v="0"/>
    <s v="Lomo"/>
    <s v="Lomo MM Loin"/>
    <n v="1021603"/>
    <s v="Exportacion"/>
    <n v="8852"/>
    <n v="3.804731389994191"/>
    <n v="33679.48226422858"/>
  </r>
  <r>
    <s v="Agosto"/>
    <x v="4"/>
    <x v="0"/>
    <s v="Filete"/>
    <s v="Filete c/Cabeza"/>
    <n v="1021609"/>
    <s v="Exportacion"/>
    <n v="47840"/>
    <n v="4.465894985947604"/>
    <n v="213648.41612773339"/>
  </r>
  <r>
    <s v="Agosto"/>
    <x v="4"/>
    <x v="0"/>
    <s v="Lomo"/>
    <s v="Lomo CC Loin"/>
    <n v="1022313"/>
    <s v="Exportacion"/>
    <n v="10901.333333333332"/>
    <n v="3.8616058952054804"/>
    <n v="42096.653065600003"/>
  </r>
  <r>
    <s v="Agosto"/>
    <x v="4"/>
    <x v="0"/>
    <s v="Lomo"/>
    <s v="Lomo CC Loin"/>
    <n v="1022326"/>
    <s v="Exportacion"/>
    <n v="6969.333333333333"/>
    <n v="3.3351649180704035"/>
    <n v="23243.876035671998"/>
  </r>
  <r>
    <s v="Agosto"/>
    <x v="4"/>
    <x v="0"/>
    <s v="Lomo"/>
    <s v="Lomo MM Loin"/>
    <n v="1022370"/>
    <s v="Exportacion"/>
    <n v="47340"/>
    <n v="3.6909123038924099"/>
    <n v="174727.78846626668"/>
  </r>
  <r>
    <s v="Agosto"/>
    <x v="4"/>
    <x v="0"/>
    <s v="Panceta"/>
    <s v="Panceta s/Cuero"/>
    <n v="1022371"/>
    <s v="Exportacion"/>
    <n v="25340"/>
    <n v="4.6361503088087712"/>
    <n v="117480.04882521427"/>
  </r>
  <r>
    <s v="Agosto"/>
    <x v="4"/>
    <x v="0"/>
    <s v="Lomo"/>
    <s v="Lomo Centro"/>
    <n v="1022472"/>
    <s v="Exportacion"/>
    <n v="10000"/>
    <n v="3.7775113372640718"/>
    <n v="37775.113372640721"/>
  </r>
  <r>
    <s v="Agosto"/>
    <x v="4"/>
    <x v="0"/>
    <s v="Lomo"/>
    <s v="Lomo Vetado"/>
    <n v="1022499"/>
    <s v="Exportacion"/>
    <n v="12500"/>
    <n v="4.0434622209523807"/>
    <n v="50543.277761904756"/>
  </r>
  <r>
    <s v="Agosto"/>
    <x v="4"/>
    <x v="0"/>
    <s v="Lomo"/>
    <s v="Lomo CC Loin"/>
    <n v="1022587"/>
    <s v="Exportacion"/>
    <n v="3000"/>
    <n v="4.2024936666666699"/>
    <n v="12607.481000000009"/>
  </r>
  <r>
    <s v="Agosto"/>
    <x v="4"/>
    <x v="0"/>
    <s v="Lomo"/>
    <s v="Lomo Vetado"/>
    <n v="1022600"/>
    <s v="Exportacion"/>
    <n v="29000"/>
    <n v="3.6194678794827593"/>
    <n v="104964.56850500002"/>
  </r>
  <r>
    <s v="Agosto"/>
    <x v="4"/>
    <x v="0"/>
    <s v="Lomo"/>
    <s v="Lomo CC Loin"/>
    <n v="1022664"/>
    <s v="Exportacion"/>
    <n v="51153.333333333336"/>
    <n v="3.6467549551884364"/>
    <n v="186543.67180773916"/>
  </r>
  <r>
    <s v="Agosto"/>
    <x v="4"/>
    <x v="0"/>
    <s v="Panceta"/>
    <s v="Panceta s/Cuero"/>
    <n v="1022901"/>
    <s v="Exportacion"/>
    <n v="1000"/>
    <n v="4.4589070199999998"/>
    <n v="4458.9070199999996"/>
  </r>
  <r>
    <s v="Agosto"/>
    <x v="4"/>
    <x v="0"/>
    <s v="Lomo"/>
    <s v="Lomo MM Loin"/>
    <n v="1022919"/>
    <s v="Exportacion"/>
    <n v="12000"/>
    <n v="4.0470470583333302"/>
    <n v="48564.564699999966"/>
  </r>
  <r>
    <s v="Agosto"/>
    <x v="4"/>
    <x v="0"/>
    <s v="Filete"/>
    <s v="Filete c/Cabeza"/>
    <n v="1022931"/>
    <s v="Exportacion"/>
    <n v="28000"/>
    <n v="4.2681797956814869"/>
    <n v="119509.03427908164"/>
  </r>
  <r>
    <s v="Agosto"/>
    <x v="4"/>
    <x v="0"/>
    <s v="Plancha"/>
    <s v="Plancha s/Cuero"/>
    <n v="1022987"/>
    <s v="Exportacion"/>
    <n v="48000"/>
    <n v="1.620076675"/>
    <n v="77763.680399999997"/>
  </r>
  <r>
    <s v="Agosto"/>
    <x v="4"/>
    <x v="0"/>
    <s v="Lomo"/>
    <s v="Lomo Vetado"/>
    <n v="1023051"/>
    <s v="Exportacion"/>
    <n v="8000"/>
    <n v="3.4832440599999983"/>
    <n v="27865.952479999985"/>
  </r>
  <r>
    <s v="Agosto"/>
    <x v="4"/>
    <x v="0"/>
    <s v="Lomo"/>
    <s v="Lomo Vetado"/>
    <n v="1023055"/>
    <s v="Exportacion"/>
    <n v="3500"/>
    <n v="3.4865977499999992"/>
    <n v="12203.092124999997"/>
  </r>
  <r>
    <s v="Agosto"/>
    <x v="4"/>
    <x v="0"/>
    <s v="Lomo"/>
    <s v="Lomo Vetado"/>
    <n v="1023163"/>
    <s v="Exportacion"/>
    <n v="32300"/>
    <n v="3.7388841841593394"/>
    <n v="120765.95914834666"/>
  </r>
  <r>
    <s v="Agosto"/>
    <x v="4"/>
    <x v="0"/>
    <s v="Panceta"/>
    <s v="Panceta s/Cuero"/>
    <n v="1023194"/>
    <s v="Exportacion"/>
    <n v="18852"/>
    <n v="2.9273596459662397"/>
    <n v="55186.584045755553"/>
  </r>
  <r>
    <s v="Agosto"/>
    <x v="4"/>
    <x v="0"/>
    <s v="Lomo"/>
    <s v="Lomo CC Loin"/>
    <n v="1023301"/>
    <s v="Exportacion"/>
    <n v="23500"/>
    <n v="3.6380178340425502"/>
    <n v="85493.419099999926"/>
  </r>
  <r>
    <s v="Agosto"/>
    <x v="4"/>
    <x v="0"/>
    <s v="Lomo"/>
    <s v="Lomo Centro"/>
    <n v="1023349"/>
    <s v="Exportacion"/>
    <n v="12500"/>
    <n v="3.7270129759999997"/>
    <n v="46587.662199999999"/>
  </r>
  <r>
    <s v="Agosto"/>
    <x v="4"/>
    <x v="0"/>
    <s v="Lomo"/>
    <s v="Lomo Vetado"/>
    <n v="1023350"/>
    <s v="Exportacion"/>
    <n v="12300"/>
    <n v="3.5069446138211378"/>
    <n v="43135.418749999997"/>
  </r>
  <r>
    <s v="Agosto"/>
    <x v="4"/>
    <x v="0"/>
    <s v="Panceta"/>
    <s v="Panceta s/Cuero"/>
    <n v="1023351"/>
    <s v="Exportacion"/>
    <n v="5000"/>
    <n v="4.2384909400000002"/>
    <n v="21192.454700000002"/>
  </r>
  <r>
    <s v="Agosto"/>
    <x v="4"/>
    <x v="0"/>
    <s v="Panceta"/>
    <s v="Panceta s/Cuero"/>
    <n v="1023352"/>
    <s v="Exportacion"/>
    <n v="37262.352941176476"/>
    <n v="4.571703870172346"/>
    <n v="170352.44315290439"/>
  </r>
  <r>
    <s v="Agosto"/>
    <x v="1"/>
    <x v="1"/>
    <s v="Pech Desh"/>
    <s v="Pech Desh s/Piel"/>
    <n v="1030542"/>
    <s v="Exportacion"/>
    <n v="50500"/>
    <n v="12.580466530612203"/>
    <n v="635313.5597959162"/>
  </r>
  <r>
    <s v="Agosto"/>
    <x v="0"/>
    <x v="2"/>
    <s v="Menudencias"/>
    <s v="Menudencias Contre"/>
    <n v="1010877"/>
    <s v="Exportacion"/>
    <n v="76590"/>
    <n v="1.0023351811660561"/>
    <n v="76768.851525508246"/>
  </r>
  <r>
    <s v="Agosto"/>
    <x v="0"/>
    <x v="2"/>
    <s v="Cazuela"/>
    <s v="Cazuela Espinazo"/>
    <n v="1011042"/>
    <s v="Exportacion"/>
    <n v="55410"/>
    <n v="0.65"/>
    <n v="36016.5"/>
  </r>
  <r>
    <s v="Agosto"/>
    <x v="0"/>
    <x v="2"/>
    <s v="Carne Recuperada"/>
    <s v="Carne Recuperada Pul"/>
    <n v="1011421"/>
    <s v="Exportacion"/>
    <n v="1052000"/>
    <n v="0.90929387303380838"/>
    <n v="956577.15443156636"/>
  </r>
  <r>
    <s v="Agosto"/>
    <x v="0"/>
    <x v="2"/>
    <s v="Carne Recuperada"/>
    <s v="Carne Recuperada Pul"/>
    <n v="1011558"/>
    <s v="Exportacion"/>
    <n v="249000"/>
    <n v="0.88710700564365697"/>
    <n v="220889.64440527058"/>
  </r>
  <r>
    <s v="Agosto"/>
    <x v="0"/>
    <x v="2"/>
    <s v="Menudencias"/>
    <s v="Menudencias Contre"/>
    <n v="1012207"/>
    <s v="Exportacion"/>
    <n v="41500"/>
    <n v="0.66518072289156616"/>
    <n v="27604.999999999996"/>
  </r>
  <r>
    <s v="Agosto"/>
    <x v="0"/>
    <x v="2"/>
    <s v="Reproductor"/>
    <s v="Reproductor Gallina"/>
    <n v="1012208"/>
    <s v="Exportacion"/>
    <n v="24000"/>
    <n v="1.3866666666666663"/>
    <n v="33279.999999999993"/>
  </r>
  <r>
    <s v="Agosto"/>
    <x v="0"/>
    <x v="2"/>
    <s v="Menudencias"/>
    <s v="Menudencias Pana"/>
    <n v="1012283"/>
    <s v="Exportacion"/>
    <n v="47000"/>
    <n v="0.65"/>
    <n v="30550"/>
  </r>
  <r>
    <s v="Agosto"/>
    <x v="0"/>
    <x v="2"/>
    <s v="Menudencias"/>
    <s v="Menudencias Corazón"/>
    <n v="1012362"/>
    <s v="Exportacion"/>
    <n v="29000"/>
    <n v="0.78"/>
    <n v="22620"/>
  </r>
  <r>
    <s v="Agosto"/>
    <x v="0"/>
    <x v="2"/>
    <s v="Pechuga Desh"/>
    <s v="Pechuga Desh s/Piel"/>
    <n v="1012552"/>
    <s v="Exportacion"/>
    <n v="47000"/>
    <n v="3.45"/>
    <n v="162150"/>
  </r>
  <r>
    <s v="Agosto"/>
    <x v="0"/>
    <x v="2"/>
    <s v="Carne Recuperada"/>
    <s v="Carne Recuperada ADM"/>
    <n v="1012556"/>
    <s v="Exportacion"/>
    <n v="268000"/>
    <n v="0.97025163246268653"/>
    <n v="260027.4375"/>
  </r>
  <r>
    <s v="Agosto"/>
    <x v="0"/>
    <x v="2"/>
    <s v="Carne Recuperada"/>
    <s v="Carne Recuperada ADM"/>
    <n v="1012719"/>
    <s v="Exportacion"/>
    <n v="117880"/>
    <n v="0.87382004007741154"/>
    <n v="103005.90632432527"/>
  </r>
  <r>
    <s v="Agosto"/>
    <x v="0"/>
    <x v="2"/>
    <s v="Menudencias"/>
    <s v="Menudencias Pana"/>
    <n v="1012763"/>
    <s v="Exportacion"/>
    <n v="48000"/>
    <n v="0.60666666666666669"/>
    <n v="29120"/>
  </r>
  <r>
    <s v="Agosto"/>
    <x v="0"/>
    <x v="2"/>
    <s v="Menudencias"/>
    <s v="Menudencias Corazón"/>
    <n v="1012778"/>
    <s v="Exportacion"/>
    <n v="17000"/>
    <n v="0.75"/>
    <n v="12750"/>
  </r>
  <r>
    <s v="Agosto"/>
    <x v="1"/>
    <x v="2"/>
    <s v="Ala"/>
    <s v="Ala Centro"/>
    <n v="1012012"/>
    <s v="Exportacion"/>
    <n v="17000"/>
    <n v="6.5189189189189189"/>
    <n v="110821.62162162163"/>
  </r>
  <r>
    <s v="Agosto"/>
    <x v="1"/>
    <x v="2"/>
    <s v="Carne Recuperada"/>
    <s v="Carne Recuperada Pul"/>
    <n v="1012612"/>
    <s v="Exportacion"/>
    <n v="1295324.5"/>
    <n v="1.1646897296051419"/>
    <n v="1508651.1416559156"/>
  </r>
  <r>
    <s v="Agosto"/>
    <x v="2"/>
    <x v="2"/>
    <s v="Menudencias"/>
    <s v="Menudencias Corazón"/>
    <n v="1011560"/>
    <s v="Exportacion"/>
    <n v="24000"/>
    <n v="2.7"/>
    <n v="64800.000000000007"/>
  </r>
  <r>
    <s v="Agosto"/>
    <x v="2"/>
    <x v="2"/>
    <s v="Menudencias"/>
    <s v="Menudencias Corazón"/>
    <n v="1012362"/>
    <s v="Exportacion"/>
    <n v="23990"/>
    <n v="2.65"/>
    <n v="63573.5"/>
  </r>
  <r>
    <s v="Agosto"/>
    <x v="2"/>
    <x v="2"/>
    <s v="Menudencias"/>
    <s v="Menudencias Corazón"/>
    <n v="1012674"/>
    <s v="Exportacion"/>
    <n v="24000"/>
    <n v="2.4"/>
    <n v="57600"/>
  </r>
  <r>
    <s v="Agosto"/>
    <x v="3"/>
    <x v="2"/>
    <s v="Patas"/>
    <s v="Patas Garras"/>
    <n v="1012503"/>
    <s v="Exportacion"/>
    <n v="16500"/>
    <n v="4.3833333333333302"/>
    <n v="72324.999999999942"/>
  </r>
  <r>
    <s v="Agosto"/>
    <x v="3"/>
    <x v="2"/>
    <s v="Patas"/>
    <s v="Patas Garras"/>
    <n v="1012598"/>
    <s v="Exportacion"/>
    <n v="7500"/>
    <n v="1.38333333333333"/>
    <n v="10374.999999999975"/>
  </r>
  <r>
    <s v="Agosto"/>
    <x v="5"/>
    <x v="2"/>
    <s v="Carne Recuperada"/>
    <s v="Carne Recuperada Pulpa"/>
    <n v="1012764"/>
    <s v="Exportacion"/>
    <n v="359989.05"/>
    <n v="0.74675410788355934"/>
    <n v="268823.30188060005"/>
  </r>
  <r>
    <s v="Agosto"/>
    <x v="3"/>
    <x v="0"/>
    <s v="Subprod"/>
    <s v="Subprod Tripa"/>
    <n v="1022418"/>
    <s v="Exportacion"/>
    <n v="24000"/>
    <n v="5.4285714285714297"/>
    <n v="130285.71428571432"/>
  </r>
  <r>
    <s v="Agosto"/>
    <x v="1"/>
    <x v="0"/>
    <s v="Centro"/>
    <s v="Lomo Centro"/>
    <n v="1023372"/>
    <s v="Exportacion"/>
    <n v="48000"/>
    <n v="2.8"/>
    <n v="134400"/>
  </r>
  <r>
    <s v="Agosto"/>
    <x v="1"/>
    <x v="0"/>
    <s v="Grasas"/>
    <s v="Grasa Gordura"/>
    <n v="1023397"/>
    <s v="Exportacion"/>
    <n v="48000"/>
    <n v="1.05"/>
    <n v="50400"/>
  </r>
  <r>
    <s v="Agosto"/>
    <x v="0"/>
    <x v="3"/>
    <s v="Empanizado"/>
    <s v="Empanizados Nuggets"/>
    <n v="1100407"/>
    <s v="Exportacion"/>
    <n v="12000"/>
    <n v="3.6"/>
    <n v="43200"/>
  </r>
  <r>
    <s v="Agosto"/>
    <x v="0"/>
    <x v="3"/>
    <s v="Empanizado"/>
    <s v="Empanizados Nuggets"/>
    <n v="1100408"/>
    <s v="Exportacion"/>
    <n v="6000"/>
    <n v="3.6"/>
    <n v="21600"/>
  </r>
  <r>
    <s v="Agosto"/>
    <x v="3"/>
    <x v="1"/>
    <s v="Menudencias"/>
    <s v="Menudencias Hígado"/>
    <n v="1030419"/>
    <s v="Exportacion"/>
    <n v="24000"/>
    <n v="1.9"/>
    <n v="45600"/>
  </r>
  <r>
    <s v="Agosto"/>
    <x v="3"/>
    <x v="0"/>
    <s v="Subprod"/>
    <s v="Subprod Visceras"/>
    <n v="1021740"/>
    <s v="Exportacion"/>
    <n v="33000"/>
    <n v="0.41875000000000001"/>
    <n v="13818.75"/>
  </r>
  <r>
    <s v="Agosto"/>
    <x v="3"/>
    <x v="0"/>
    <s v="Recortes"/>
    <s v="Recortes No Magro"/>
    <n v="1023035"/>
    <s v="Exportacion"/>
    <n v="24000"/>
    <n v="0.93333333333333302"/>
    <n v="22399.999999999993"/>
  </r>
  <r>
    <s v="Agosto"/>
    <x v="3"/>
    <x v="0"/>
    <s v="Grasas"/>
    <s v="Grasa Interior"/>
    <n v="1023365"/>
    <s v="Exportacion"/>
    <n v="313"/>
    <n v="0.89999999999999991"/>
    <n v="281.7"/>
  </r>
  <r>
    <s v="Agosto"/>
    <x v="0"/>
    <x v="0"/>
    <s v="Subprod"/>
    <s v="Subprod Tripa"/>
    <n v="1022781"/>
    <s v="Exportacion"/>
    <n v="6120"/>
    <n v="10.5"/>
    <n v="64260"/>
  </r>
  <r>
    <s v="Agosto"/>
    <x v="0"/>
    <x v="0"/>
    <s v="Subprod"/>
    <s v="Subprod Tripa"/>
    <n v="1023295"/>
    <s v="Exportacion"/>
    <n v="450"/>
    <n v="12.187000000000001"/>
    <n v="5484.1500000000005"/>
  </r>
  <r>
    <s v="Agosto"/>
    <x v="0"/>
    <x v="0"/>
    <s v="Cueros"/>
    <s v="Cuero Papada"/>
    <n v="1021864"/>
    <s v="Exportacion"/>
    <n v="43922"/>
    <n v="0.5"/>
    <n v="21961"/>
  </r>
  <r>
    <s v="Agosto"/>
    <x v="0"/>
    <x v="1"/>
    <s v="Trutro"/>
    <s v="Trutro Largo"/>
    <n v="1030817"/>
    <s v="Exportacion"/>
    <n v="24000"/>
    <n v="2.25"/>
    <n v="54000"/>
  </r>
  <r>
    <s v="Agosto"/>
    <x v="4"/>
    <x v="0"/>
    <s v="Grasas"/>
    <s v="Grasa Lomo Tocino"/>
    <n v="1023419"/>
    <s v="Exportacion"/>
    <n v="24000"/>
    <n v="1.8"/>
    <n v="43200"/>
  </r>
  <r>
    <s v="Agosto"/>
    <x v="5"/>
    <x v="1"/>
    <s v="Carne Recuperada"/>
    <s v="Carne Recuperada"/>
    <n v="1030802"/>
    <s v="Exportacion"/>
    <n v="96000"/>
    <n v="1.1724080139022055"/>
    <n v="112551.16933461172"/>
  </r>
  <r>
    <m/>
    <x v="6"/>
    <x v="4"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s v="Agro Sudamerica1020017"/>
    <x v="0"/>
    <x v="0"/>
    <n v="1020017"/>
    <s v="GO Chu Ctro@ Fi Cj 20k AS"/>
    <s v="Chuleta"/>
    <s v="Chuleta Centro"/>
    <n v="0"/>
    <n v="0"/>
    <n v="0.45719439678473212"/>
    <n v="0"/>
    <n v="3824"/>
    <n v="0"/>
    <n v="0"/>
    <n v="3824"/>
    <n v="8000"/>
    <n v="24000"/>
    <n v="0"/>
    <n v="0"/>
    <n v="0"/>
    <n v="3824"/>
    <n v="0"/>
    <n v="0"/>
    <n v="0"/>
    <n v="382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3.0315414481892087"/>
    <n v="2.7558579380733956"/>
    <n v="0"/>
    <n v="0"/>
    <n v="3.0315414481892087"/>
    <s v="No Aplica"/>
    <n v="0"/>
    <n v="0"/>
    <m/>
    <s v="OK"/>
    <s v="OK"/>
    <n v="192000"/>
    <n v="108000"/>
    <n v="132000"/>
    <n v="96000"/>
    <n v="37000"/>
    <n v="0"/>
    <n v="518400"/>
    <n v="287900"/>
    <n v="363120"/>
    <n v="267600"/>
    <n v="105190"/>
    <n v="0"/>
    <m/>
    <n v="0"/>
    <n v="3824"/>
    <n v="144000"/>
    <n v="65835.993137001424"/>
    <n v="69659.993137001424"/>
    <n v="78164.006862998576"/>
    <n v="112393.92"/>
    <n v="51385.870456671437"/>
    <n v="129549.87731967002"/>
    <n v="61008.049543328561"/>
    <n v="0"/>
    <n v="0"/>
  </r>
  <r>
    <s v="Agro Sudamerica1021279"/>
    <x v="0"/>
    <x v="0"/>
    <n v="1021279"/>
    <s v="GO Hso Pecho@ Cj 10k SC"/>
    <s v="Huesos"/>
    <s v="Huesos Cuarto Centra"/>
    <n v="19578"/>
    <n v="16178"/>
    <n v="0.45719439678473212"/>
    <n v="8950.9519002514862"/>
    <n v="12423"/>
    <n v="7726"/>
    <n v="0"/>
    <n v="28327.351900251488"/>
    <n v="24000"/>
    <n v="24000"/>
    <n v="24000"/>
    <n v="0"/>
    <n v="24000"/>
    <n v="4327.3519002514877"/>
    <n v="0"/>
    <n v="0"/>
    <n v="0"/>
    <n v="4327.3519002514877"/>
    <n v="0"/>
    <n v="0"/>
    <n v="0"/>
    <n v="0"/>
    <n v="0"/>
    <n v="24000"/>
    <n v="0"/>
    <n v="24000"/>
    <n v="0"/>
    <n v="24000"/>
    <n v="24000"/>
    <n v="0"/>
    <n v="0"/>
    <m/>
    <s v="Si"/>
    <n v="24000"/>
    <n v="12423"/>
    <n v="11577"/>
    <d v="2022-08-16T00:00:00"/>
    <n v="1.33662999134627"/>
    <n v="1.8"/>
    <n v="1.8"/>
    <n v="29679.999999999996"/>
    <n v="0"/>
    <s v="No Aplica"/>
    <n v="1.2366666666666666"/>
    <n v="1.8"/>
    <m/>
    <s v="OK"/>
    <s v="OK"/>
    <n v="0"/>
    <n v="0"/>
    <n v="0"/>
    <n v="0"/>
    <n v="0"/>
    <n v="0"/>
    <n v="0"/>
    <n v="0"/>
    <n v="0"/>
    <n v="0"/>
    <n v="0"/>
    <n v="0"/>
    <m/>
    <n v="10627.048099748516"/>
    <n v="14954.400000000003"/>
    <n v="5907.6527999999998"/>
    <n v="2700.9457583096337"/>
    <n v="17655.345758309639"/>
    <n v="3206.7070416903662"/>
    <n v="0"/>
    <n v="0"/>
    <n v="3206.7070416903662"/>
    <n v="0"/>
    <n v="19578"/>
    <n v="0"/>
  </r>
  <r>
    <s v="Agro Sudamerica1020339"/>
    <x v="0"/>
    <x v="0"/>
    <n v="1020339"/>
    <s v="GO Lom Tocino@ Cj 20k AS"/>
    <s v="Grasas"/>
    <s v="Grasa Lomo Tocino"/>
    <n v="142307"/>
    <n v="0"/>
    <n v="0.45719439678473212"/>
    <n v="65061.963023244876"/>
    <n v="26006"/>
    <n v="10911"/>
    <n v="0"/>
    <n v="100887.86302324486"/>
    <n v="202500"/>
    <n v="24000"/>
    <n v="96000"/>
    <n v="0"/>
    <n v="96000"/>
    <n v="4887.8630232448631"/>
    <n v="0"/>
    <n v="0"/>
    <n v="0"/>
    <n v="4887.8630232448631"/>
    <n v="0"/>
    <n v="0"/>
    <n v="0"/>
    <n v="0"/>
    <n v="226500"/>
    <n v="96000"/>
    <n v="0"/>
    <n v="96000"/>
    <n v="0"/>
    <n v="96000"/>
    <n v="96000"/>
    <n v="0"/>
    <n v="0"/>
    <m/>
    <s v="Si"/>
    <n v="96000"/>
    <n v="26006"/>
    <n v="69994"/>
    <d v="2022-08-16T00:00:00"/>
    <n v="1.5047369176317809"/>
    <n v="1.5930907144190465"/>
    <n v="1.5930907144190465"/>
    <n v="142720"/>
    <n v="1.5047369176317809"/>
    <n v="5.8717105795689922E-2"/>
    <n v="1.4866666666666666"/>
    <n v="1.5930907144190465"/>
    <m/>
    <s v="OK"/>
    <s v="OK"/>
    <n v="34000"/>
    <n v="95000"/>
    <n v="85000"/>
    <n v="98500"/>
    <n v="130881"/>
    <n v="168000"/>
    <n v="54400"/>
    <n v="127400"/>
    <n v="115793"/>
    <n v="135470"/>
    <n v="186971"/>
    <n v="263881"/>
    <m/>
    <n v="77245.036976755131"/>
    <n v="82132.899999999994"/>
    <n v="0"/>
    <n v="0"/>
    <n v="82132.899999999994"/>
    <n v="0"/>
    <n v="0"/>
    <n v="0"/>
    <n v="0"/>
    <n v="0"/>
    <n v="142307"/>
    <n v="0"/>
  </r>
  <r>
    <s v="Agro Sudamerica1020349"/>
    <x v="0"/>
    <x v="0"/>
    <n v="1020349"/>
    <s v="GO Papda@ Cj t-f AS"/>
    <s v="Plancha"/>
    <s v="Plancha s/Cuero"/>
    <n v="0"/>
    <n v="72000"/>
    <n v="0.45719439678473212"/>
    <n v="0"/>
    <n v="23452"/>
    <n v="413"/>
    <n v="0"/>
    <n v="23823.7"/>
    <n v="48000"/>
    <n v="24000"/>
    <n v="0"/>
    <n v="0"/>
    <n v="0"/>
    <n v="23823.7"/>
    <n v="0"/>
    <n v="0"/>
    <n v="0"/>
    <n v="23823.7"/>
    <n v="0"/>
    <n v="0"/>
    <n v="0"/>
    <n v="0"/>
    <n v="24000"/>
    <n v="0"/>
    <n v="0"/>
    <n v="0"/>
    <n v="0"/>
    <n v="0"/>
    <n v="0"/>
    <n v="0"/>
    <n v="0"/>
    <m/>
    <s v="No"/>
    <n v="0"/>
    <n v="0"/>
    <n v="0"/>
    <d v="2022-08-16T00:00:00"/>
    <n v="1.99"/>
    <n v="1.7525208333333351"/>
    <n v="0"/>
    <n v="0"/>
    <n v="1.6570701388107529"/>
    <s v="No Aplica"/>
    <n v="0"/>
    <n v="0"/>
    <m/>
    <s v="OK"/>
    <s v="OK"/>
    <n v="120000"/>
    <n v="156000"/>
    <n v="228000"/>
    <n v="192000"/>
    <n v="0"/>
    <n v="24000"/>
    <n v="243200"/>
    <n v="302179"/>
    <n v="424800"/>
    <n v="335760"/>
    <n v="0"/>
    <n v="42186"/>
    <m/>
    <n v="0"/>
    <n v="23823.7"/>
    <n v="196000.00499999998"/>
    <n v="89610.104055779462"/>
    <n v="113433.80405577946"/>
    <n v="106389.90094422051"/>
    <n v="161097.95200000002"/>
    <n v="73653.080987895737"/>
    <n v="180042.98193211626"/>
    <n v="87444.871012104282"/>
    <n v="0"/>
    <n v="0"/>
  </r>
  <r>
    <s v="Agro Sudamerica1020352"/>
    <x v="0"/>
    <x v="0"/>
    <n v="1020352"/>
    <s v="GO Cue 20@ Cj 20k AS"/>
    <s v="Cueros"/>
    <s v="Cuero Panceta"/>
    <n v="14677"/>
    <n v="0"/>
    <n v="0.45719439678473212"/>
    <n v="6710.2421616095135"/>
    <n v="23710"/>
    <n v="15285"/>
    <n v="0"/>
    <n v="44176.742161609509"/>
    <n v="48000"/>
    <n v="24000"/>
    <n v="24000"/>
    <n v="0"/>
    <n v="24000"/>
    <n v="20176.742161609509"/>
    <n v="0"/>
    <n v="0"/>
    <n v="0"/>
    <n v="20176.742161609509"/>
    <n v="0"/>
    <n v="0"/>
    <n v="0"/>
    <n v="47966.82"/>
    <n v="95966.82"/>
    <n v="71966.820000000007"/>
    <n v="47966.82"/>
    <n v="24000"/>
    <n v="0"/>
    <n v="71966.820000000007"/>
    <n v="24000"/>
    <n v="0"/>
    <n v="0"/>
    <m/>
    <s v="Si"/>
    <n v="24000.000000000007"/>
    <n v="23710"/>
    <n v="290.00000000000728"/>
    <d v="2022-08-16T00:00:00"/>
    <n v="1.3007738679535341"/>
    <n v="1.3508854166666651"/>
    <n v="1.3508854166666648"/>
    <n v="93496.893649999998"/>
    <n v="1.3007738679535341"/>
    <n v="3.8524412234671984E-2"/>
    <n v="1.2991666666666666"/>
    <n v="1.3508854166666648"/>
    <m/>
    <s v="OK"/>
    <s v="OK"/>
    <n v="35000"/>
    <n v="0"/>
    <n v="48000"/>
    <n v="48000"/>
    <n v="24000"/>
    <n v="48000"/>
    <n v="47250"/>
    <n v="0"/>
    <n v="57310"/>
    <n v="50880"/>
    <n v="30240"/>
    <n v="60230"/>
    <m/>
    <n v="7966.7578383904874"/>
    <n v="28143.499999999996"/>
    <n v="68463.434999999998"/>
    <n v="31301.098866635715"/>
    <n v="59444.598866635715"/>
    <n v="37162.336133364282"/>
    <n v="59362.133000000002"/>
    <n v="27140.03458879004"/>
    <n v="64302.370722154323"/>
    <n v="32222.098411209961"/>
    <n v="14677"/>
    <n v="0"/>
  </r>
  <r>
    <s v="Agro Sudamerica1020367"/>
    <x v="0"/>
    <x v="0"/>
    <n v="1020367"/>
    <s v="GO Gord Lom Tocino@ Cj t-f AS"/>
    <s v="Grasas"/>
    <s v="Grasa Gordura"/>
    <n v="138208"/>
    <n v="144000"/>
    <n v="0.45719439678473212"/>
    <n v="63187.923190824258"/>
    <n v="79702"/>
    <n v="30806"/>
    <n v="0"/>
    <n v="170615.32319082425"/>
    <n v="94000"/>
    <n v="24000"/>
    <n v="94000"/>
    <n v="0"/>
    <n v="94000"/>
    <n v="76615.323190824245"/>
    <n v="72000"/>
    <n v="0"/>
    <n v="72000"/>
    <n v="4615.3231908242451"/>
    <n v="0"/>
    <n v="0"/>
    <n v="0"/>
    <n v="0"/>
    <n v="166000"/>
    <n v="166000"/>
    <n v="0"/>
    <n v="94000"/>
    <n v="72000"/>
    <n v="166000"/>
    <n v="94000"/>
    <n v="72000"/>
    <n v="0"/>
    <m/>
    <s v="Si"/>
    <n v="166000"/>
    <n v="79702"/>
    <n v="86298"/>
    <d v="2022-08-16T00:00:00"/>
    <n v="1.18667361111111"/>
    <n v="1.2115495218290797"/>
    <n v="1.2007599701923701"/>
    <n v="183988.14583333334"/>
    <n v="1.2147426377981603"/>
    <n v="1.1510806627431055E-2"/>
    <n v="1.1083623242971887"/>
    <n v="1.2007599701923701"/>
    <m/>
    <s v="OK"/>
    <s v="OK"/>
    <n v="48000"/>
    <n v="72000"/>
    <n v="24000"/>
    <n v="48100"/>
    <n v="72000"/>
    <n v="145000"/>
    <n v="64800"/>
    <n v="89200"/>
    <n v="26400"/>
    <n v="53143"/>
    <n v="74627"/>
    <n v="166475"/>
    <m/>
    <n v="75020.076809175749"/>
    <n v="79635.399999999994"/>
    <n v="168000"/>
    <n v="76808.658659834997"/>
    <n v="156444.05865983499"/>
    <n v="91191.341340165003"/>
    <n v="0"/>
    <n v="0"/>
    <n v="91191.341340165003"/>
    <n v="0"/>
    <n v="138208"/>
    <n v="0"/>
  </r>
  <r>
    <s v="Agro Sudamerica1020412"/>
    <x v="0"/>
    <x v="0"/>
    <n v="1020412"/>
    <s v="GO Cne Long@ Cj t-f AS"/>
    <s v="Recortes"/>
    <s v="Recortes No Magro"/>
    <n v="73218"/>
    <n v="117630"/>
    <n v="0.45719439678473212"/>
    <n v="33474.859343784519"/>
    <n v="80495"/>
    <n v="4593"/>
    <n v="0"/>
    <n v="118103.55934378451"/>
    <n v="48000"/>
    <n v="24000"/>
    <n v="48000"/>
    <n v="0"/>
    <n v="48000"/>
    <n v="70103.559343784509"/>
    <n v="48000"/>
    <n v="0"/>
    <n v="48000"/>
    <n v="22103.559343784509"/>
    <n v="0"/>
    <n v="0"/>
    <n v="0"/>
    <n v="0"/>
    <n v="48000"/>
    <n v="96000"/>
    <n v="0"/>
    <n v="48000"/>
    <n v="48000"/>
    <n v="96000"/>
    <n v="48000"/>
    <n v="48000"/>
    <n v="0"/>
    <m/>
    <s v="Si"/>
    <n v="96000"/>
    <n v="80495"/>
    <n v="15505"/>
    <d v="2022-08-16T00:00:00"/>
    <n v="1.84787894244666"/>
    <n v="1.8865238253205152"/>
    <n v="1.8672013838835877"/>
    <n v="170138.58923743945"/>
    <n v="1.7936265821825188"/>
    <n v="4.1020133416812814E-2"/>
    <n v="1.7722769712233275"/>
    <n v="1.8672013838835877"/>
    <m/>
    <s v="OK"/>
    <s v="OK"/>
    <n v="48000"/>
    <n v="73000"/>
    <n v="96000"/>
    <n v="72000"/>
    <n v="72000"/>
    <n v="116000"/>
    <n v="67200"/>
    <n v="115910"/>
    <n v="139150"/>
    <n v="115909"/>
    <n v="121440"/>
    <n v="208322"/>
    <m/>
    <n v="39743.140656215488"/>
    <n v="61846.7"/>
    <n v="64202.826900000007"/>
    <n v="29353.172716420075"/>
    <n v="91199.872716420068"/>
    <n v="34849.654183579929"/>
    <n v="18102.082999999999"/>
    <n v="8276.1709177321536"/>
    <n v="43125.825101312083"/>
    <n v="9825.9120822678451"/>
    <n v="73218"/>
    <n v="0"/>
  </r>
  <r>
    <s v="Agro Sudamerica1021980"/>
    <x v="0"/>
    <x v="0"/>
    <n v="1021980"/>
    <s v="GO BB Ribs Grd B@ Fi Cj 20k AS"/>
    <s v="Chuleta"/>
    <s v="Chuleta Huesos"/>
    <n v="5544"/>
    <n v="4514"/>
    <n v="0.45719439678473212"/>
    <n v="2534.6857357745548"/>
    <n v="6987"/>
    <n v="610"/>
    <n v="0"/>
    <n v="10070.685735774554"/>
    <n v="0"/>
    <n v="24000"/>
    <n v="0"/>
    <n v="0"/>
    <n v="0"/>
    <n v="10070.685735774554"/>
    <n v="0"/>
    <n v="0"/>
    <n v="0"/>
    <n v="10070.68573577455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5.4862649534780701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3009.3142642254456"/>
    <n v="13080"/>
    <n v="0"/>
    <n v="0"/>
    <n v="13080"/>
    <n v="0"/>
    <n v="2854.19893"/>
    <n v="1304.9237581049779"/>
    <n v="1304.9237581049779"/>
    <n v="1549.2751718950221"/>
    <n v="5544"/>
    <n v="0"/>
  </r>
  <r>
    <s v="Agro Sudamerica1020848"/>
    <x v="0"/>
    <x v="0"/>
    <n v="1020848"/>
    <s v="GO Lom Ctro 27@ Cj 20k AS"/>
    <s v="Lomo"/>
    <s v="Lomo Centro"/>
    <n v="0"/>
    <n v="36000"/>
    <n v="0.45719439678473212"/>
    <n v="0"/>
    <n v="83131"/>
    <n v="11770.379223671147"/>
    <n v="0"/>
    <n v="93724.341301304026"/>
    <n v="96000"/>
    <n v="24000"/>
    <n v="72000"/>
    <n v="-24000"/>
    <n v="48000"/>
    <n v="45724.341301304026"/>
    <n v="24000"/>
    <n v="0"/>
    <n v="24000"/>
    <n v="21724.341301304026"/>
    <n v="0"/>
    <n v="0"/>
    <n v="0"/>
    <n v="0"/>
    <n v="48000"/>
    <n v="96000"/>
    <n v="0"/>
    <n v="48000"/>
    <n v="48000"/>
    <n v="72000"/>
    <n v="48000"/>
    <n v="24000"/>
    <n v="0"/>
    <m/>
    <s v="Si"/>
    <n v="72000"/>
    <n v="72000"/>
    <n v="0"/>
    <d v="2022-08-16T00:00:00"/>
    <n v="3.22"/>
    <n v="3.2853593750000023"/>
    <n v="3.2635729166666683"/>
    <n v="226320"/>
    <n v="2.863039278779858"/>
    <n v="0.13989805898070173"/>
    <n v="3.1433333333333335"/>
    <n v="3.2635729166666683"/>
    <m/>
    <s v="OK"/>
    <s v="OK"/>
    <n v="240000"/>
    <n v="147000"/>
    <n v="360000"/>
    <n v="192000"/>
    <n v="72000"/>
    <n v="72000"/>
    <n v="684000"/>
    <n v="364350"/>
    <n v="949090"/>
    <n v="495200"/>
    <n v="201467"/>
    <n v="204416"/>
    <m/>
    <n v="0"/>
    <n v="21724.341301304026"/>
    <n v="72000"/>
    <n v="32917.996568500712"/>
    <n v="54642.337869804738"/>
    <n v="39082.003431499288"/>
    <n v="129563.696"/>
    <n v="59235.795837920406"/>
    <n v="98317.799269419687"/>
    <n v="70327.90016207959"/>
    <n v="0"/>
    <n v="0"/>
  </r>
  <r>
    <s v="Agro Sudamerica1020869"/>
    <x v="0"/>
    <x v="0"/>
    <n v="1020869"/>
    <s v="GO Cos 79@ Bo Cj 20k AS"/>
    <s v="Cost-Pec"/>
    <s v="Cost-Pec Entero"/>
    <n v="0"/>
    <n v="24000"/>
    <n v="0.45719439678473212"/>
    <n v="0"/>
    <n v="73794"/>
    <n v="0"/>
    <n v="0"/>
    <n v="73794"/>
    <n v="43000"/>
    <n v="24000"/>
    <n v="43000"/>
    <n v="-24000"/>
    <n v="19000"/>
    <n v="54794"/>
    <n v="48000"/>
    <n v="0"/>
    <n v="48000"/>
    <n v="6794"/>
    <n v="0"/>
    <n v="0"/>
    <n v="0"/>
    <n v="0"/>
    <n v="0"/>
    <n v="91000"/>
    <n v="0"/>
    <n v="19000"/>
    <n v="72000"/>
    <n v="67000"/>
    <n v="19000"/>
    <n v="48000"/>
    <n v="0"/>
    <m/>
    <s v="Si"/>
    <n v="67000"/>
    <n v="67000"/>
    <n v="0"/>
    <d v="2022-08-16T00:00:00"/>
    <n v="4.1900000000000004"/>
    <n v="4.8824376166666692"/>
    <n v="4.3863629062189071"/>
    <n v="281400"/>
    <n v="5.0225703231260255"/>
    <n v="0.12666968822273167"/>
    <n v="4.2"/>
    <n v="4.3863629062189071"/>
    <m/>
    <s v="OK"/>
    <s v="OK"/>
    <n v="0"/>
    <n v="0"/>
    <n v="24000"/>
    <n v="0"/>
    <n v="0"/>
    <n v="33000"/>
    <n v="0"/>
    <n v="0"/>
    <n v="120000"/>
    <n v="0"/>
    <n v="0"/>
    <n v="139067"/>
    <m/>
    <n v="0"/>
    <n v="6794"/>
    <n v="34000"/>
    <n v="15544.609490680892"/>
    <n v="22338.609490680894"/>
    <n v="18455.390509319106"/>
    <n v="61258.672000000006"/>
    <n v="28007.121592873762"/>
    <n v="46462.512102192864"/>
    <n v="33251.55040712624"/>
    <n v="0"/>
    <n v="0"/>
  </r>
  <r>
    <s v="Agro Sudamerica1020886"/>
    <x v="0"/>
    <x v="0"/>
    <n v="1020886"/>
    <s v="GO Panc Tecl Nor@ Cj 20k AS"/>
    <s v="Panceta"/>
    <s v="Panceta s/Cuero"/>
    <n v="3829"/>
    <n v="0"/>
    <n v="0.45719439678473212"/>
    <n v="1750.5973452887392"/>
    <n v="18727"/>
    <n v="0"/>
    <n v="0"/>
    <n v="20477.597345288741"/>
    <n v="0"/>
    <n v="24000"/>
    <n v="0"/>
    <n v="0"/>
    <n v="0"/>
    <n v="20477.597345288741"/>
    <n v="0"/>
    <n v="0"/>
    <n v="0"/>
    <n v="20477.59734528874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10000"/>
    <n v="0"/>
    <n v="0"/>
    <n v="0"/>
    <n v="0"/>
    <n v="0"/>
    <n v="51667"/>
    <n v="0"/>
    <n v="0"/>
    <n v="0"/>
    <n v="0"/>
    <m/>
    <n v="2078.4026547112608"/>
    <n v="22556"/>
    <n v="11671.242"/>
    <n v="5336.0264459186301"/>
    <n v="27892.026445918629"/>
    <n v="6335.2155540813701"/>
    <n v="0"/>
    <n v="0"/>
    <n v="6335.2155540813701"/>
    <n v="0"/>
    <n v="3829"/>
    <n v="0"/>
  </r>
  <r>
    <s v="Agro Sudamerica1020915"/>
    <x v="0"/>
    <x v="0"/>
    <n v="1020915"/>
    <s v="GO Pna Nor@ Bo Cj 20k AS"/>
    <s v="Pierna"/>
    <s v="Pierna Entera"/>
    <n v="0"/>
    <n v="28652"/>
    <n v="0.45719439678473212"/>
    <n v="0"/>
    <n v="59049"/>
    <n v="0"/>
    <n v="0"/>
    <n v="59049"/>
    <n v="28000"/>
    <n v="24000"/>
    <n v="28000"/>
    <n v="0"/>
    <n v="28000"/>
    <n v="31049"/>
    <n v="24000"/>
    <n v="0"/>
    <n v="24000"/>
    <n v="7049"/>
    <n v="0"/>
    <n v="0"/>
    <n v="0"/>
    <n v="0"/>
    <n v="0"/>
    <n v="52000"/>
    <n v="0"/>
    <n v="28000"/>
    <n v="24000"/>
    <n v="52000"/>
    <n v="28000"/>
    <n v="24000"/>
    <n v="0"/>
    <m/>
    <s v="Si"/>
    <n v="52000"/>
    <n v="52000"/>
    <n v="0"/>
    <d v="2022-08-16T00:00:00"/>
    <n v="1.98670249895295"/>
    <n v="2.3356785714285713"/>
    <n v="2.1746126918244384"/>
    <n v="98800"/>
    <n v="2.3858891943178095"/>
    <n v="8.8552520794571446E-2"/>
    <n v="1.9"/>
    <n v="2.1746126918244384"/>
    <m/>
    <s v="OK"/>
    <s v="OK"/>
    <n v="10000"/>
    <n v="2000"/>
    <n v="0"/>
    <n v="0"/>
    <n v="0"/>
    <n v="0"/>
    <n v="17000"/>
    <n v="4300"/>
    <n v="0"/>
    <n v="0"/>
    <n v="0"/>
    <n v="0"/>
    <m/>
    <n v="0"/>
    <n v="7049"/>
    <n v="0"/>
    <n v="0"/>
    <n v="7049"/>
    <n v="0"/>
    <n v="0"/>
    <n v="0"/>
    <n v="0"/>
    <n v="0"/>
    <n v="0"/>
    <n v="0"/>
  </r>
  <r>
    <s v="Agro Sudamerica1020925"/>
    <x v="0"/>
    <x v="0"/>
    <n v="1020925"/>
    <s v="GO Grasa Forro Pna Limp@ Cj 20k AS"/>
    <s v="Grasas"/>
    <s v="Grasa Forro"/>
    <n v="11897"/>
    <n v="0"/>
    <n v="0.45719439678473212"/>
    <n v="5439.2417385479575"/>
    <n v="140777"/>
    <n v="3152"/>
    <n v="0"/>
    <n v="149053.04173854794"/>
    <n v="156000"/>
    <n v="24000"/>
    <n v="144000"/>
    <n v="-48000"/>
    <n v="96000"/>
    <n v="53053.041738547938"/>
    <n v="0"/>
    <n v="0"/>
    <n v="0"/>
    <n v="53053.041738547938"/>
    <n v="0"/>
    <n v="0"/>
    <n v="0"/>
    <n v="0"/>
    <n v="48000"/>
    <n v="144000"/>
    <n v="0"/>
    <n v="96000"/>
    <n v="48000"/>
    <n v="96000"/>
    <n v="96000"/>
    <n v="0"/>
    <n v="0"/>
    <m/>
    <s v="Si"/>
    <n v="96000"/>
    <n v="96000"/>
    <n v="0"/>
    <d v="2022-08-16T00:00:00"/>
    <n v="1.4129406339524382"/>
    <n v="1.4945641025641048"/>
    <n v="1.4945641025641048"/>
    <n v="139200"/>
    <n v="1.4129406339524382"/>
    <n v="5.7768505378276325E-2"/>
    <n v="1.45"/>
    <n v="1.4945641025641048"/>
    <m/>
    <s v="OK"/>
    <s v="OK"/>
    <n v="0"/>
    <n v="3000"/>
    <n v="14000"/>
    <n v="38000"/>
    <n v="48000"/>
    <n v="72000"/>
    <n v="0"/>
    <n v="3450"/>
    <n v="13300"/>
    <n v="44140"/>
    <n v="69120"/>
    <n v="103224"/>
    <m/>
    <n v="6457.7582614520425"/>
    <n v="59510.799999999981"/>
    <n v="72000"/>
    <n v="32917.996568500712"/>
    <n v="92428.796568500693"/>
    <n v="39082.003431499288"/>
    <n v="0"/>
    <n v="0"/>
    <n v="39082.003431499288"/>
    <n v="0"/>
    <n v="11897"/>
    <n v="0"/>
  </r>
  <r>
    <s v="Agro Sudamerica1020944"/>
    <x v="0"/>
    <x v="0"/>
    <n v="1020944"/>
    <s v="GO PpPna 59@ Fi Cj 20k AS"/>
    <s v="Pierna"/>
    <s v="Pierna Pulpa"/>
    <n v="120000"/>
    <n v="146353"/>
    <n v="0.45719439678473212"/>
    <n v="54863.327614167851"/>
    <n v="106899"/>
    <n v="90006.482900192263"/>
    <n v="0"/>
    <n v="242768.16222434089"/>
    <n v="238000"/>
    <n v="24000"/>
    <n v="238000"/>
    <n v="-60000"/>
    <n v="178000"/>
    <n v="64768.162224340893"/>
    <n v="48000"/>
    <n v="0"/>
    <n v="48000"/>
    <n v="16768.162224340893"/>
    <n v="0"/>
    <n v="0"/>
    <n v="0"/>
    <n v="0"/>
    <n v="262000"/>
    <n v="286000"/>
    <n v="0"/>
    <n v="178000"/>
    <n v="108000"/>
    <n v="226000"/>
    <n v="178000"/>
    <n v="48000"/>
    <n v="0"/>
    <m/>
    <s v="Si"/>
    <n v="226000"/>
    <n v="106899"/>
    <n v="119101"/>
    <d v="2022-08-16T00:00:00"/>
    <n v="2.8276700853416101"/>
    <n v="2.8241846857105681"/>
    <n v="2.8249249475791078"/>
    <n v="606809.40020750824"/>
    <n v="2.5404586037028127"/>
    <n v="0.11197440629879772"/>
    <n v="2.6849973460509213"/>
    <n v="2.8249249475791078"/>
    <m/>
    <s v="OK"/>
    <s v="OK"/>
    <n v="480000"/>
    <n v="508001"/>
    <n v="384000"/>
    <n v="188000"/>
    <n v="504000"/>
    <n v="262964"/>
    <n v="1248000"/>
    <n v="1281954"/>
    <n v="924000"/>
    <n v="424640"/>
    <n v="1231920"/>
    <n v="681801"/>
    <m/>
    <n v="65136.672385832149"/>
    <n v="81904.834610173042"/>
    <n v="240000"/>
    <n v="109726.6552283357"/>
    <n v="191631.48983850874"/>
    <n v="130273.3447716643"/>
    <n v="110930.23"/>
    <n v="50716.679590041589"/>
    <n v="180990.02436170587"/>
    <n v="60213.550409958407"/>
    <n v="120000"/>
    <n v="0"/>
  </r>
  <r>
    <s v="Agro Sudamerica1021023"/>
    <x v="0"/>
    <x v="0"/>
    <n v="1021023"/>
    <s v="GO Gord rebaje@ Bo Cj 20k AS"/>
    <s v="Grasas"/>
    <s v="Grasa Gordura"/>
    <n v="94744"/>
    <n v="120000"/>
    <n v="0.45719439678473212"/>
    <n v="43316.425928972661"/>
    <n v="36017"/>
    <n v="45048"/>
    <n v="0"/>
    <n v="119876.62592897267"/>
    <n v="23000"/>
    <n v="24000"/>
    <n v="23000"/>
    <n v="0"/>
    <n v="23000"/>
    <n v="96876.625928972673"/>
    <n v="96000"/>
    <n v="0"/>
    <n v="96000"/>
    <n v="876.62592897267314"/>
    <n v="0"/>
    <n v="0"/>
    <n v="0"/>
    <n v="0"/>
    <n v="167000"/>
    <n v="119000"/>
    <n v="0"/>
    <n v="23000"/>
    <n v="96000"/>
    <n v="119000"/>
    <n v="23000"/>
    <n v="96000"/>
    <n v="0"/>
    <m/>
    <s v="Si"/>
    <n v="119000"/>
    <n v="36017"/>
    <n v="82983"/>
    <d v="2022-08-16T00:00:00"/>
    <n v="1.19"/>
    <n v="1.13041666638655"/>
    <n v="1.1784838935032829"/>
    <n v="133513.52499999999"/>
    <n v="1.0810421782488708"/>
    <n v="9.0136830194963588E-2"/>
    <n v="1.1219623949579831"/>
    <n v="1.1784838935032829"/>
    <m/>
    <s v="OK"/>
    <s v="OK"/>
    <n v="120000"/>
    <n v="216000"/>
    <n v="264000"/>
    <n v="167000"/>
    <n v="96000"/>
    <n v="120000"/>
    <n v="141600"/>
    <n v="245849"/>
    <n v="290400"/>
    <n v="181920"/>
    <n v="95760"/>
    <n v="134889"/>
    <m/>
    <n v="51427.574071027346"/>
    <n v="52304.200000000019"/>
    <n v="192000"/>
    <n v="87781.32418266857"/>
    <n v="140085.5241826686"/>
    <n v="104218.67581733143"/>
    <n v="127710.26299999999"/>
    <n v="58388.416655504487"/>
    <n v="162607.09247283591"/>
    <n v="69321.846344495512"/>
    <n v="94744"/>
    <n v="0"/>
  </r>
  <r>
    <s v="Agro Sudamerica1021039"/>
    <x v="0"/>
    <x v="0"/>
    <n v="1021039"/>
    <s v="GO Cue Papda CP@ Cj 20k bca AS"/>
    <s v="Cueros"/>
    <s v="Cuero Papada"/>
    <n v="54898"/>
    <n v="0"/>
    <n v="0.45719439678473212"/>
    <n v="25099.057994688224"/>
    <n v="25307"/>
    <n v="16726"/>
    <n v="0"/>
    <n v="65459.457994688222"/>
    <n v="146039"/>
    <n v="24000"/>
    <n v="48000"/>
    <n v="0"/>
    <n v="48000"/>
    <n v="17459.457994688222"/>
    <n v="0"/>
    <n v="0"/>
    <n v="0"/>
    <n v="17459.457994688222"/>
    <n v="0"/>
    <n v="0"/>
    <n v="0"/>
    <n v="2039"/>
    <n v="74039"/>
    <n v="50039"/>
    <n v="2039"/>
    <n v="48000"/>
    <n v="0"/>
    <n v="50039"/>
    <n v="48000"/>
    <n v="0"/>
    <n v="0"/>
    <m/>
    <s v="Si"/>
    <n v="48000"/>
    <n v="25307"/>
    <n v="22693"/>
    <d v="2022-08-16T00:00:00"/>
    <n v="0.6067727805124592"/>
    <n v="0.66492269736166365"/>
    <n v="0.66492269736166365"/>
    <n v="25353.093333333334"/>
    <n v="0.6067727805124592"/>
    <n v="9.5834748552980659E-2"/>
    <n v="0.50666666666666671"/>
    <n v="0.66492269736166365"/>
    <m/>
    <s v="OK"/>
    <s v="OK"/>
    <n v="24000"/>
    <n v="24000"/>
    <n v="72000"/>
    <n v="0"/>
    <n v="48000"/>
    <n v="48000"/>
    <n v="12000"/>
    <n v="14400"/>
    <n v="38880"/>
    <n v="0"/>
    <n v="28787"/>
    <n v="30298"/>
    <m/>
    <n v="29798.942005311779"/>
    <n v="47258.400000000001"/>
    <n v="27448.616999999998"/>
    <n v="12549.353891890143"/>
    <n v="59807.753891890141"/>
    <n v="14899.263108109855"/>
    <n v="0"/>
    <n v="0"/>
    <n v="14899.263108109855"/>
    <n v="0"/>
    <n v="54898"/>
    <n v="0"/>
  </r>
  <r>
    <s v="Agro Sudamerica1021077"/>
    <x v="0"/>
    <x v="0"/>
    <n v="1021077"/>
    <s v="GO Gord chic@ Cj 20k AS"/>
    <s v="Grasas"/>
    <s v="Grasa Gordura"/>
    <n v="8004"/>
    <n v="0"/>
    <n v="0.45719439678473212"/>
    <n v="3659.3839518649957"/>
    <n v="45894"/>
    <n v="0"/>
    <n v="0"/>
    <n v="49553.383951864998"/>
    <n v="53000"/>
    <n v="24000"/>
    <n v="48000"/>
    <n v="0"/>
    <n v="48000"/>
    <n v="1553.3839518649984"/>
    <n v="0"/>
    <n v="0"/>
    <n v="0"/>
    <n v="1553.3839518649984"/>
    <n v="0"/>
    <n v="0"/>
    <n v="0"/>
    <n v="0"/>
    <n v="77000"/>
    <n v="48000"/>
    <n v="0"/>
    <n v="48000"/>
    <n v="0"/>
    <n v="48000"/>
    <n v="48000"/>
    <n v="0"/>
    <n v="0"/>
    <m/>
    <s v="Si"/>
    <n v="48000"/>
    <n v="45894"/>
    <n v="2106"/>
    <d v="2022-08-16T00:00:00"/>
    <n v="1.0959661435995247"/>
    <n v="1.234489302576889"/>
    <n v="1.234489302576889"/>
    <n v="57600"/>
    <n v="1.0959661435995247"/>
    <n v="0.1263936480030371"/>
    <n v="1.2"/>
    <n v="1.234489302576889"/>
    <m/>
    <s v="OK"/>
    <s v="OK"/>
    <n v="0"/>
    <n v="24000"/>
    <n v="0"/>
    <n v="48000"/>
    <n v="0"/>
    <n v="48000"/>
    <n v="0"/>
    <n v="29259"/>
    <n v="0"/>
    <n v="60720"/>
    <n v="0"/>
    <n v="69235"/>
    <m/>
    <n v="4344.6160481350043"/>
    <n v="5898.0000000000027"/>
    <n v="0"/>
    <n v="0"/>
    <n v="5898.0000000000027"/>
    <n v="0"/>
    <n v="0"/>
    <n v="0"/>
    <n v="0"/>
    <n v="0"/>
    <n v="8004"/>
    <n v="0"/>
  </r>
  <r>
    <s v="Agro Sudamerica1021078"/>
    <x v="0"/>
    <x v="0"/>
    <n v="1021078"/>
    <s v="GO Triming 80/20@ Cj 20k AS"/>
    <s v="Recortes"/>
    <s v="Recortes No Magro"/>
    <n v="80028"/>
    <n v="96176"/>
    <n v="0.45719439678473212"/>
    <n v="36588.35318588854"/>
    <n v="84600"/>
    <n v="33635"/>
    <n v="0"/>
    <n v="151459.85318588855"/>
    <n v="144000"/>
    <n v="24000"/>
    <n v="144000"/>
    <n v="0"/>
    <n v="144000"/>
    <n v="7459.8531858885544"/>
    <n v="0"/>
    <n v="0"/>
    <n v="0"/>
    <n v="7459.8531858885544"/>
    <n v="0"/>
    <n v="0"/>
    <n v="0"/>
    <n v="0"/>
    <n v="144000"/>
    <n v="144000"/>
    <n v="0"/>
    <n v="144000"/>
    <n v="0"/>
    <n v="144000"/>
    <n v="144000"/>
    <n v="0"/>
    <n v="0"/>
    <m/>
    <s v="Si"/>
    <n v="144000"/>
    <n v="84600"/>
    <n v="59400"/>
    <d v="2022-08-16T00:00:00"/>
    <n v="2.2700049908501101"/>
    <n v="2.266"/>
    <n v="2.266"/>
    <n v="302881"/>
    <n v="2.1807136021010445"/>
    <n v="3.9109398784317642E-2"/>
    <n v="2.1033402777777779"/>
    <n v="2.266"/>
    <m/>
    <s v="OK"/>
    <s v="OK"/>
    <n v="48000"/>
    <n v="107000"/>
    <n v="143000"/>
    <n v="96000"/>
    <n v="96000"/>
    <n v="96000"/>
    <n v="97440"/>
    <n v="222108"/>
    <n v="309400"/>
    <n v="198480"/>
    <n v="209280"/>
    <n v="209605"/>
    <m/>
    <n v="43439.64681411146"/>
    <n v="50899.500000000015"/>
    <n v="64690.871999999996"/>
    <n v="29576.304201518316"/>
    <n v="80475.804201518331"/>
    <n v="35114.567798481679"/>
    <n v="53744.320999999996"/>
    <n v="24571.602420200008"/>
    <n v="59686.170218681684"/>
    <n v="29172.718579799988"/>
    <n v="80028"/>
    <n v="0"/>
  </r>
  <r>
    <s v="Agro Sudamerica1021082"/>
    <x v="0"/>
    <x v="0"/>
    <n v="1021082"/>
    <s v="GO Triming 70/30@ Cj 20k AS"/>
    <s v="Recortes"/>
    <s v="Recortes No Magro"/>
    <n v="117869"/>
    <n v="96000"/>
    <n v="0.45719439678473212"/>
    <n v="53889.04635461959"/>
    <n v="27671"/>
    <n v="0"/>
    <n v="0"/>
    <n v="81560.046354619582"/>
    <n v="49500"/>
    <n v="24000"/>
    <n v="49500"/>
    <n v="0"/>
    <n v="49500"/>
    <n v="32060.046354619582"/>
    <n v="24000"/>
    <n v="0"/>
    <n v="24000"/>
    <n v="8060.0463546195824"/>
    <n v="0"/>
    <n v="0"/>
    <n v="0"/>
    <n v="0"/>
    <n v="73500"/>
    <n v="73500"/>
    <n v="0"/>
    <n v="49500"/>
    <n v="24000"/>
    <n v="73500"/>
    <n v="49500"/>
    <n v="24000"/>
    <n v="0"/>
    <m/>
    <s v="Si"/>
    <n v="73500"/>
    <n v="27671"/>
    <n v="45829"/>
    <d v="2022-08-16T00:00:00"/>
    <n v="1.6491770833333299"/>
    <n v="1.571007181259402"/>
    <n v="1.5965320472427253"/>
    <n v="110250"/>
    <n v="1.7421205135415334"/>
    <n v="8.3569687152608763E-2"/>
    <n v="1.5"/>
    <n v="1.5965320472427253"/>
    <m/>
    <s v="OK"/>
    <s v="OK"/>
    <n v="0"/>
    <n v="0"/>
    <n v="0"/>
    <n v="0"/>
    <n v="2500"/>
    <n v="48000"/>
    <n v="0"/>
    <n v="0"/>
    <n v="0"/>
    <n v="0"/>
    <n v="5125"/>
    <n v="86646"/>
    <m/>
    <n v="63979.953645380418"/>
    <n v="72040"/>
    <n v="144000"/>
    <n v="65835.993137001424"/>
    <n v="137875.99313700141"/>
    <n v="78164.006862998576"/>
    <n v="67436.351999999999"/>
    <n v="30831.522274002862"/>
    <n v="108995.52913700143"/>
    <n v="36604.829725997137"/>
    <n v="117869"/>
    <n v="0"/>
  </r>
  <r>
    <s v="Agro Sudamerica1021085"/>
    <x v="0"/>
    <x v="0"/>
    <n v="1021085"/>
    <s v="GO Gord Esp@ Cj 20k AS"/>
    <s v="Grasas"/>
    <s v="Grasa Gordura"/>
    <n v="22880"/>
    <n v="24000"/>
    <n v="0.45719439678473212"/>
    <n v="10460.60779843467"/>
    <n v="21312"/>
    <n v="0"/>
    <n v="0"/>
    <n v="31772.60779843467"/>
    <n v="21300"/>
    <n v="24000"/>
    <n v="21300"/>
    <n v="0"/>
    <n v="21300"/>
    <n v="10472.60779843467"/>
    <n v="0"/>
    <n v="0"/>
    <n v="0"/>
    <n v="10472.60779843467"/>
    <n v="0"/>
    <n v="0"/>
    <n v="0"/>
    <n v="0"/>
    <n v="21300"/>
    <n v="21300"/>
    <n v="0"/>
    <n v="21300"/>
    <n v="0"/>
    <n v="21300"/>
    <n v="21300"/>
    <n v="0"/>
    <n v="0"/>
    <m/>
    <s v="Si"/>
    <n v="21300"/>
    <n v="21300"/>
    <n v="0"/>
    <d v="2022-08-16T00:00:00"/>
    <n v="1.0900000000000001"/>
    <n v="1"/>
    <n v="1"/>
    <n v="20235"/>
    <n v="0.89590850528896471"/>
    <n v="0.11618540743450338"/>
    <n v="0.95"/>
    <n v="1"/>
    <m/>
    <s v="OK"/>
    <s v="OK"/>
    <n v="24000"/>
    <n v="24000"/>
    <n v="0"/>
    <n v="0"/>
    <n v="24000"/>
    <n v="0"/>
    <n v="28800"/>
    <n v="21600"/>
    <n v="0"/>
    <n v="0"/>
    <n v="20400"/>
    <n v="0"/>
    <m/>
    <n v="12419.39220156533"/>
    <n v="22892"/>
    <n v="0"/>
    <n v="0"/>
    <n v="22892"/>
    <n v="0"/>
    <n v="0"/>
    <n v="0"/>
    <n v="0"/>
    <n v="0"/>
    <n v="22880"/>
    <n v="0"/>
  </r>
  <r>
    <s v="Agro Sudamerica1021092"/>
    <x v="0"/>
    <x v="0"/>
    <n v="1021092"/>
    <s v="GO Triming 85/15@ Cj t-f 20k AS"/>
    <s v="Recortes"/>
    <s v="Recortes No Magro"/>
    <n v="157799"/>
    <n v="138989"/>
    <n v="0.45719439678473212"/>
    <n v="72144.818618233941"/>
    <n v="55680"/>
    <n v="34154"/>
    <n v="0"/>
    <n v="158563.41861823393"/>
    <n v="122000"/>
    <n v="24000"/>
    <n v="122000"/>
    <n v="0"/>
    <n v="122000"/>
    <n v="36563.418618233933"/>
    <n v="24000"/>
    <n v="0"/>
    <n v="24000"/>
    <n v="12563.418618233933"/>
    <n v="0"/>
    <n v="0"/>
    <n v="0"/>
    <n v="0"/>
    <n v="170000"/>
    <n v="146000"/>
    <n v="0"/>
    <n v="122000"/>
    <n v="24000"/>
    <n v="146000"/>
    <n v="122000"/>
    <n v="24000"/>
    <n v="0"/>
    <m/>
    <s v="Si"/>
    <n v="146000"/>
    <n v="55680"/>
    <n v="90320"/>
    <d v="2022-08-16T00:00:00"/>
    <n v="2.4694040535582"/>
    <n v="2.3902238715849329"/>
    <n v="2.4032397919093058"/>
    <n v="339480.04728539666"/>
    <n v="2.3534101775580347"/>
    <n v="2.1173365708384805E-2"/>
    <n v="2.3252058033246348"/>
    <n v="2.4032397919093058"/>
    <m/>
    <s v="OK"/>
    <s v="OK"/>
    <n v="48000"/>
    <n v="79070"/>
    <n v="0"/>
    <n v="72000"/>
    <n v="144000"/>
    <n v="121000"/>
    <n v="120000"/>
    <n v="149977"/>
    <n v="0"/>
    <n v="130800"/>
    <n v="337200"/>
    <n v="290729"/>
    <m/>
    <n v="85654.181381766059"/>
    <n v="98217.599999999991"/>
    <n v="80958.201700000005"/>
    <n v="37013.636191008176"/>
    <n v="135231.23619100818"/>
    <n v="43944.565508991829"/>
    <n v="74790.704400000002"/>
    <n v="34193.890983263213"/>
    <n v="78138.456492255034"/>
    <n v="40596.81341673679"/>
    <n v="157799"/>
    <n v="0"/>
  </r>
  <r>
    <s v="Agro Sudamerica1021101"/>
    <x v="0"/>
    <x v="0"/>
    <n v="1021101"/>
    <s v="GO Corazón Partido@ Cj t-f 20k AS"/>
    <s v="Subprod"/>
    <s v="Subprod Visceras"/>
    <n v="2189"/>
    <n v="3458"/>
    <n v="0.45719439678473212"/>
    <n v="1000.7985345617786"/>
    <n v="23171"/>
    <n v="0"/>
    <n v="0"/>
    <n v="24171.798534561778"/>
    <n v="33000"/>
    <n v="24000"/>
    <n v="24000"/>
    <n v="0"/>
    <n v="24000"/>
    <n v="171.79853456177807"/>
    <n v="0"/>
    <n v="0"/>
    <n v="0"/>
    <n v="171.79853456177807"/>
    <n v="0"/>
    <n v="0"/>
    <n v="0"/>
    <n v="0"/>
    <n v="0"/>
    <n v="24000"/>
    <n v="0"/>
    <n v="24000"/>
    <n v="0"/>
    <n v="24000"/>
    <n v="24000"/>
    <n v="0"/>
    <n v="0"/>
    <m/>
    <s v="Si"/>
    <n v="24000"/>
    <n v="23171"/>
    <n v="829"/>
    <d v="2022-08-16T00:00:00"/>
    <n v="1.09022556390977"/>
    <n v="1.23833333333333"/>
    <n v="1.23833333333333"/>
    <n v="26080"/>
    <n v="1.1512926625443076"/>
    <n v="7.5602558429119296E-2"/>
    <n v="1.0866666666666667"/>
    <n v="1.23833333333333"/>
    <m/>
    <s v="OK"/>
    <s v="OK"/>
    <n v="12000"/>
    <n v="48000"/>
    <n v="24000"/>
    <n v="24000"/>
    <n v="28000"/>
    <n v="24000"/>
    <n v="14040"/>
    <n v="56000"/>
    <n v="26400"/>
    <n v="24720"/>
    <n v="32800"/>
    <n v="29445"/>
    <m/>
    <n v="1188.2014654382215"/>
    <n v="1359.9999999999995"/>
    <n v="0"/>
    <n v="0"/>
    <n v="1359.9999999999995"/>
    <n v="0"/>
    <n v="25348.4156"/>
    <n v="11589.153579690694"/>
    <n v="11589.153579690694"/>
    <n v="13759.262020309307"/>
    <n v="2189"/>
    <n v="0"/>
  </r>
  <r>
    <s v="Agro Sudamerica1021105"/>
    <x v="0"/>
    <x v="0"/>
    <n v="1021105"/>
    <s v="GO Pulmon@ Cj 20k bca AS"/>
    <s v="Subprod"/>
    <s v="Subprod Visceras"/>
    <n v="40510"/>
    <n v="32611"/>
    <n v="0.45719439678473212"/>
    <n v="18520.945013749497"/>
    <n v="37087"/>
    <n v="7500"/>
    <n v="0"/>
    <n v="62357.945013749501"/>
    <n v="53211"/>
    <n v="24000"/>
    <n v="53211"/>
    <n v="0"/>
    <n v="53211"/>
    <n v="9146.9450137495005"/>
    <n v="0"/>
    <n v="0"/>
    <n v="0"/>
    <n v="9146.9450137495005"/>
    <n v="0"/>
    <n v="0"/>
    <n v="0"/>
    <n v="0"/>
    <n v="24000"/>
    <n v="53211"/>
    <n v="0"/>
    <n v="53211"/>
    <n v="0"/>
    <n v="53211"/>
    <n v="53211"/>
    <n v="0"/>
    <n v="0"/>
    <m/>
    <s v="Si"/>
    <n v="53211"/>
    <n v="37087"/>
    <n v="16124"/>
    <d v="2022-08-16T00:00:00"/>
    <n v="0.73668394100150303"/>
    <n v="0.75703384638514604"/>
    <n v="0.75703384638514604"/>
    <n v="33877.670000000006"/>
    <n v="0.53438084959056242"/>
    <n v="0.41665601782919098"/>
    <n v="0.63666666666666683"/>
    <n v="0.75703384638514604"/>
    <m/>
    <s v="OK"/>
    <s v="OK"/>
    <n v="24000"/>
    <n v="24000"/>
    <n v="24000"/>
    <n v="24000"/>
    <n v="0"/>
    <n v="0"/>
    <n v="12960"/>
    <n v="12960"/>
    <n v="12000"/>
    <n v="11760"/>
    <n v="0"/>
    <n v="0"/>
    <m/>
    <n v="21989.054986250503"/>
    <n v="31136.000000000004"/>
    <n v="48000"/>
    <n v="21945.331045667142"/>
    <n v="53081.331045667146"/>
    <n v="26054.668954332858"/>
    <n v="25348.416000000001"/>
    <n v="11589.153762568452"/>
    <n v="37643.822716901312"/>
    <n v="13759.262237431549"/>
    <n v="40510"/>
    <n v="0"/>
  </r>
  <r>
    <s v="Agro Sudamerica1021106"/>
    <x v="0"/>
    <x v="0"/>
    <n v="1021106"/>
    <s v="GO Pana S/Corazón@ Cj 20k AS"/>
    <s v="Subprod"/>
    <s v="Subprod Visceras"/>
    <n v="0"/>
    <n v="0"/>
    <n v="0.45719439678473212"/>
    <n v="0"/>
    <n v="24987"/>
    <n v="0"/>
    <n v="0"/>
    <n v="24987"/>
    <n v="0"/>
    <n v="24000"/>
    <n v="0"/>
    <n v="0"/>
    <n v="0"/>
    <n v="24987"/>
    <n v="0"/>
    <n v="0"/>
    <n v="0"/>
    <n v="24987"/>
    <n v="24000"/>
    <n v="-24000"/>
    <n v="0"/>
    <n v="0"/>
    <n v="96000"/>
    <n v="24000"/>
    <n v="0"/>
    <n v="0"/>
    <n v="24000"/>
    <n v="0"/>
    <n v="0"/>
    <n v="0"/>
    <n v="0"/>
    <m/>
    <s v="No"/>
    <n v="0"/>
    <n v="0"/>
    <n v="0"/>
    <d v="2022-08-16T00:00:00"/>
    <n v="0.5368797236944659"/>
    <n v="0.5368797236944659"/>
    <n v="0"/>
    <n v="0"/>
    <n v="0.5368797236944659"/>
    <s v="No Aplica"/>
    <n v="0"/>
    <n v="0"/>
    <m/>
    <s v="OK"/>
    <s v="OK"/>
    <n v="96000"/>
    <n v="144000"/>
    <n v="96000"/>
    <n v="120000"/>
    <n v="48000"/>
    <n v="120000"/>
    <n v="67008"/>
    <n v="102640"/>
    <n v="67579"/>
    <n v="84720"/>
    <n v="30827"/>
    <n v="80334"/>
    <m/>
    <n v="0"/>
    <n v="24987"/>
    <n v="96000"/>
    <n v="43890.662091334285"/>
    <n v="68877.662091334292"/>
    <n v="52109.337908665715"/>
    <n v="8384.7880000000005"/>
    <n v="3833.4780918278607"/>
    <n v="55942.816000493578"/>
    <n v="4551.3099081721393"/>
    <n v="0"/>
    <n v="0"/>
  </r>
  <r>
    <s v="Agro Sudamerica1021111"/>
    <x v="0"/>
    <x v="0"/>
    <n v="1021111"/>
    <s v="GO Epiplón@ Cj 20k AS"/>
    <s v="Grasas"/>
    <s v="Grasa Interior"/>
    <n v="4543"/>
    <n v="3000"/>
    <n v="0.45719439678473212"/>
    <n v="2077.034144593038"/>
    <n v="7074"/>
    <n v="1057"/>
    <n v="0"/>
    <n v="10102.334144593038"/>
    <n v="9262"/>
    <n v="24000"/>
    <n v="9262"/>
    <n v="0"/>
    <n v="9262"/>
    <n v="840.33414459303822"/>
    <n v="0"/>
    <n v="0"/>
    <n v="0"/>
    <n v="840.33414459303822"/>
    <n v="0"/>
    <n v="0"/>
    <n v="0"/>
    <n v="0"/>
    <n v="0"/>
    <n v="9262"/>
    <n v="0"/>
    <n v="9262"/>
    <n v="0"/>
    <n v="9262"/>
    <n v="9262"/>
    <n v="0"/>
    <n v="0"/>
    <m/>
    <s v="Si"/>
    <n v="9262"/>
    <n v="7074"/>
    <n v="2188"/>
    <d v="2022-08-16T00:00:00"/>
    <n v="1.28666666666667"/>
    <n v="1.3176095875620817"/>
    <n v="1.3176095875620817"/>
    <n v="10990.906666666666"/>
    <n v="1.6000000000000003"/>
    <n v="0.17649400777369911"/>
    <n v="1.1866666666666665"/>
    <n v="1.3176095875620817"/>
    <m/>
    <s v="OK"/>
    <s v="OK"/>
    <n v="3000"/>
    <n v="2500"/>
    <n v="0"/>
    <n v="0"/>
    <n v="0"/>
    <n v="0"/>
    <n v="3900"/>
    <n v="3220"/>
    <n v="0"/>
    <n v="0"/>
    <n v="0"/>
    <n v="0"/>
    <m/>
    <n v="2465.9658554069624"/>
    <n v="3306.3000000000006"/>
    <n v="0"/>
    <n v="0"/>
    <n v="3306.3000000000006"/>
    <n v="0"/>
    <n v="0"/>
    <n v="0"/>
    <n v="0"/>
    <n v="0"/>
    <n v="4543"/>
    <n v="0"/>
  </r>
  <r>
    <s v="Agro Sudamerica1021187"/>
    <x v="0"/>
    <x v="0"/>
    <n v="1021187"/>
    <s v="GO Cue Back@ Cj 20k t-f AS"/>
    <s v="Cueros"/>
    <s v="Cuero Back"/>
    <n v="56914"/>
    <n v="48000"/>
    <n v="0.45719439678473212"/>
    <n v="26020.761898606244"/>
    <n v="38409"/>
    <n v="12759"/>
    <n v="0"/>
    <n v="75912.86189860625"/>
    <n v="72000"/>
    <n v="24000"/>
    <n v="72000"/>
    <n v="0"/>
    <n v="72000"/>
    <n v="3912.8618986062502"/>
    <n v="0"/>
    <n v="0"/>
    <n v="0"/>
    <n v="3912.8618986062502"/>
    <n v="0"/>
    <n v="0"/>
    <n v="0"/>
    <n v="0"/>
    <n v="72000"/>
    <n v="72000"/>
    <n v="0"/>
    <n v="72000"/>
    <n v="0"/>
    <n v="72000"/>
    <n v="72000"/>
    <n v="0"/>
    <n v="0"/>
    <m/>
    <s v="Si"/>
    <n v="72000"/>
    <n v="38409"/>
    <n v="33591"/>
    <d v="2022-08-16T00:00:00"/>
    <n v="2.08666666666667"/>
    <n v="2.098888888888887"/>
    <n v="2.098888888888887"/>
    <n v="143039.99999999997"/>
    <n v="1.9749710713503257"/>
    <n v="6.2744117792994478E-2"/>
    <n v="1.9866666666666664"/>
    <n v="2.098888888888887"/>
    <m/>
    <s v="OK"/>
    <s v="OK"/>
    <n v="72000"/>
    <n v="24000"/>
    <n v="48000"/>
    <n v="24000"/>
    <n v="88000"/>
    <n v="69000"/>
    <n v="147600"/>
    <n v="50100"/>
    <n v="90190"/>
    <n v="48240"/>
    <n v="173280"/>
    <n v="143717"/>
    <m/>
    <n v="30893.238101393759"/>
    <n v="34806.100000000006"/>
    <n v="96000"/>
    <n v="43890.662091334285"/>
    <n v="78696.762091334298"/>
    <n v="52109.337908665715"/>
    <n v="106776.6"/>
    <n v="48817.663227724632"/>
    <n v="100927.00113639035"/>
    <n v="57958.936772275374"/>
    <n v="56914"/>
    <n v="0"/>
  </r>
  <r>
    <s v="Agro Sudamerica1021237"/>
    <x v="0"/>
    <x v="0"/>
    <n v="1021237"/>
    <s v="GO Triming 80/20@ Bo c/f Cj 20k AS"/>
    <s v="Recortes"/>
    <s v="Recortes No Magro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1.9267113364485982"/>
    <n v="0"/>
    <n v="0"/>
    <n v="0"/>
    <n v="1.9267113364485982"/>
    <s v="No Aplica"/>
    <n v="0"/>
    <n v="0"/>
    <m/>
    <s v="OK"/>
    <s v="OK"/>
    <n v="0"/>
    <n v="0"/>
    <n v="0"/>
    <n v="61042"/>
    <n v="13042"/>
    <n v="0"/>
    <n v="0"/>
    <n v="0"/>
    <n v="0"/>
    <n v="112844"/>
    <n v="25041"/>
    <n v="0"/>
    <m/>
    <n v="0"/>
    <n v="0"/>
    <n v="0"/>
    <n v="0"/>
    <n v="0"/>
    <n v="0"/>
    <n v="0"/>
    <n v="0"/>
    <n v="0"/>
    <n v="0"/>
    <n v="0"/>
    <n v="0"/>
  </r>
  <r>
    <s v="Agro Sudamerica1021263"/>
    <x v="0"/>
    <x v="0"/>
    <n v="1021263"/>
    <s v="GO PpPna 59@ Fi Cj 20k AS"/>
    <s v="Pierna"/>
    <s v="Pierna Pulpa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1.8927390960124557"/>
    <n v="0"/>
    <n v="0"/>
    <n v="0"/>
    <n v="1.8927390960124557"/>
    <s v="No Aplica"/>
    <n v="0"/>
    <n v="0"/>
    <m/>
    <s v="OK"/>
    <s v="OK"/>
    <n v="0"/>
    <n v="0"/>
    <n v="0"/>
    <n v="72000"/>
    <n v="48000"/>
    <n v="0"/>
    <n v="0"/>
    <n v="0"/>
    <n v="0"/>
    <n v="132240"/>
    <n v="92880"/>
    <n v="0"/>
    <m/>
    <n v="0"/>
    <n v="0"/>
    <n v="0"/>
    <n v="0"/>
    <n v="0"/>
    <n v="0"/>
    <n v="0"/>
    <n v="0"/>
    <n v="0"/>
    <n v="0"/>
    <n v="0"/>
    <n v="0"/>
  </r>
  <r>
    <s v="Agro Sudamerica1021287"/>
    <x v="0"/>
    <x v="0"/>
    <n v="1021287"/>
    <s v="GO Lom Tocino@ Bo Cj AS"/>
    <s v="Grasas"/>
    <s v="Grasa Lomo Tocino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5000"/>
    <n v="0"/>
    <n v="0"/>
    <n v="0"/>
    <n v="0"/>
    <n v="0"/>
    <n v="6833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21385"/>
    <x v="0"/>
    <x v="0"/>
    <n v="1021385"/>
    <s v="GO Cue granel Esp CC@ Cj 20k AS"/>
    <s v="Cueros"/>
    <s v="Cuero Mixto"/>
    <n v="113824"/>
    <n v="120000"/>
    <n v="0.45719439678473212"/>
    <n v="52039.695019625346"/>
    <n v="130103"/>
    <n v="0"/>
    <n v="0"/>
    <n v="182142.69501962536"/>
    <n v="150400"/>
    <n v="24000"/>
    <n v="150400"/>
    <n v="-24000"/>
    <n v="126400"/>
    <n v="55742.69501962536"/>
    <n v="48000"/>
    <n v="0"/>
    <n v="48000"/>
    <n v="7742.6950196253601"/>
    <n v="0"/>
    <n v="0"/>
    <n v="0"/>
    <n v="0"/>
    <n v="342400"/>
    <n v="198400"/>
    <n v="0"/>
    <n v="126400"/>
    <n v="72000"/>
    <n v="174400"/>
    <n v="126400"/>
    <n v="48000"/>
    <n v="0"/>
    <m/>
    <s v="Si"/>
    <n v="174400"/>
    <n v="130103"/>
    <n v="44297"/>
    <d v="2022-08-16T00:00:00"/>
    <n v="1.0716749999999999"/>
    <n v="0.99227921371780503"/>
    <n v="1.0141312649881338"/>
    <n v="172808.38333333333"/>
    <n v="0.99703409030199475"/>
    <n v="1.7148034207095576E-2"/>
    <n v="0.99087375764525998"/>
    <n v="1.0141312649881338"/>
    <m/>
    <s v="OK"/>
    <s v="OK"/>
    <n v="120000"/>
    <n v="96000"/>
    <n v="144000"/>
    <n v="24000"/>
    <n v="144000"/>
    <n v="250000"/>
    <n v="114138.1036"/>
    <n v="93960"/>
    <n v="139920"/>
    <n v="21600"/>
    <n v="140160"/>
    <n v="257478"/>
    <m/>
    <n v="61784.304980374654"/>
    <n v="69527.000000000015"/>
    <n v="48000"/>
    <n v="21945.331045667142"/>
    <n v="91472.331045667161"/>
    <n v="26054.668954332858"/>
    <n v="67436.351999999999"/>
    <n v="30831.522274002862"/>
    <n v="56886.191228335723"/>
    <n v="36604.829725997137"/>
    <n v="113824"/>
    <n v="0"/>
  </r>
  <r>
    <s v="Agro Sudamerica1021435"/>
    <x v="0"/>
    <x v="0"/>
    <n v="1021435"/>
    <s v="GO Gord Lom Tocino@ Cj 20k AS"/>
    <s v="Grasas"/>
    <s v="Grasa Gordura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24000"/>
    <n v="0"/>
    <n v="12000"/>
    <n v="0"/>
    <n v="0"/>
    <n v="0"/>
    <n v="26800"/>
    <n v="0"/>
    <n v="10440"/>
    <n v="0"/>
    <n v="0"/>
    <m/>
    <n v="0"/>
    <n v="0"/>
    <n v="0"/>
    <n v="0"/>
    <n v="0"/>
    <n v="0"/>
    <n v="0"/>
    <n v="0"/>
    <n v="0"/>
    <n v="0"/>
    <n v="0"/>
    <n v="0"/>
  </r>
  <r>
    <s v="Agro Sudamerica1021550"/>
    <x v="0"/>
    <x v="0"/>
    <n v="1021550"/>
    <s v="GO Triming 85/15@ Cj 20k AS"/>
    <s v="Recortes"/>
    <s v="Recortes No Magro"/>
    <n v="0"/>
    <n v="0"/>
    <n v="0.45719439678473212"/>
    <n v="0"/>
    <n v="0"/>
    <n v="0"/>
    <n v="0"/>
    <n v="0"/>
    <n v="116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1.9267113322368421"/>
    <n v="1.8470828974735802"/>
    <n v="0"/>
    <n v="0"/>
    <n v="1.9267113322368421"/>
    <s v="No Aplica"/>
    <n v="0"/>
    <n v="0"/>
    <m/>
    <s v="OK"/>
    <s v="OK"/>
    <n v="0"/>
    <n v="5780"/>
    <n v="0"/>
    <n v="70958"/>
    <n v="34958"/>
    <n v="0"/>
    <n v="0"/>
    <n v="10500"/>
    <n v="0"/>
    <n v="130996"/>
    <n v="67119"/>
    <n v="0"/>
    <m/>
    <n v="0"/>
    <n v="0"/>
    <n v="0"/>
    <n v="0"/>
    <n v="0"/>
    <n v="0"/>
    <n v="0"/>
    <n v="0"/>
    <n v="0"/>
    <n v="0"/>
    <n v="0"/>
    <n v="0"/>
  </r>
  <r>
    <s v="Agro Sudamerica1021622"/>
    <x v="0"/>
    <x v="0"/>
    <n v="1021622"/>
    <s v="GO BB Ribs 20-24 Oz@ Cj 10k AS"/>
    <s v="Chuleta"/>
    <s v="Chuleta Huesos"/>
    <n v="2826"/>
    <n v="2826"/>
    <n v="0.45719439678473212"/>
    <n v="1292.0313653136529"/>
    <n v="15732"/>
    <n v="15961"/>
    <n v="0"/>
    <n v="31388.931365313656"/>
    <n v="36000"/>
    <n v="24000"/>
    <n v="24000"/>
    <n v="0"/>
    <n v="24000"/>
    <n v="7388.931365313656"/>
    <n v="0"/>
    <n v="0"/>
    <n v="0"/>
    <n v="7388.931365313656"/>
    <n v="0"/>
    <n v="0"/>
    <n v="0"/>
    <n v="0"/>
    <n v="24000"/>
    <n v="24000"/>
    <n v="0"/>
    <n v="24000"/>
    <n v="0"/>
    <n v="24000"/>
    <n v="24000"/>
    <n v="0"/>
    <n v="0"/>
    <m/>
    <s v="Si"/>
    <n v="24000"/>
    <n v="15732"/>
    <n v="8268"/>
    <d v="2022-08-16T00:00:00"/>
    <n v="6.4865534324132996"/>
    <n v="6.4045555555555573"/>
    <n v="6.4045555555555573"/>
    <n v="153280"/>
    <n v="3.4203345454545455"/>
    <n v="0.87249389509774511"/>
    <n v="6.3866666666666667"/>
    <n v="6.4045555555555573"/>
    <m/>
    <s v="OK"/>
    <s v="OK"/>
    <n v="0"/>
    <n v="6790"/>
    <n v="0"/>
    <n v="18000"/>
    <n v="110"/>
    <n v="0"/>
    <n v="0"/>
    <n v="53075"/>
    <n v="0"/>
    <n v="131760"/>
    <n v="374"/>
    <n v="0"/>
    <m/>
    <n v="1533.9686346863473"/>
    <n v="8922.9000000000033"/>
    <n v="0"/>
    <n v="0"/>
    <n v="8922.9000000000033"/>
    <n v="0"/>
    <n v="0"/>
    <n v="0"/>
    <n v="0"/>
    <n v="0"/>
    <n v="2826"/>
    <n v="0"/>
  </r>
  <r>
    <s v="Agro Sudamerica1021623"/>
    <x v="0"/>
    <x v="0"/>
    <n v="1021623"/>
    <s v="GO BB Ribs 24 oz@ Cj 10k AS"/>
    <s v="Chuleta"/>
    <s v="Chuleta Huesos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3.4203349056603773"/>
    <n v="0"/>
    <n v="0"/>
    <n v="0"/>
    <n v="3.4203349056603773"/>
    <s v="No Aplica"/>
    <n v="0"/>
    <n v="0"/>
    <m/>
    <s v="OK"/>
    <s v="OK"/>
    <n v="2000"/>
    <n v="0"/>
    <n v="0"/>
    <n v="0"/>
    <n v="530"/>
    <n v="0"/>
    <n v="10600"/>
    <n v="0"/>
    <n v="0"/>
    <n v="0"/>
    <n v="1802"/>
    <n v="0"/>
    <m/>
    <n v="0"/>
    <n v="0"/>
    <n v="0"/>
    <n v="0"/>
    <n v="0"/>
    <n v="0"/>
    <n v="0"/>
    <n v="0"/>
    <n v="0"/>
    <n v="0"/>
    <n v="0"/>
    <n v="0"/>
  </r>
  <r>
    <s v="Agro Sudamerica1021639"/>
    <x v="0"/>
    <x v="0"/>
    <n v="1021639"/>
    <s v="GO File C/cab@ Cj 5k AS"/>
    <s v="Filete"/>
    <s v="Filete c/Cabeza"/>
    <n v="0"/>
    <n v="0"/>
    <n v="0.45719439678473212"/>
    <n v="0"/>
    <n v="320"/>
    <n v="0"/>
    <n v="0"/>
    <n v="320"/>
    <n v="1000"/>
    <n v="24000"/>
    <n v="0"/>
    <n v="0"/>
    <n v="0"/>
    <n v="320"/>
    <n v="0"/>
    <n v="0"/>
    <n v="0"/>
    <n v="320"/>
    <n v="0"/>
    <n v="0"/>
    <n v="0"/>
    <n v="0"/>
    <n v="1000"/>
    <n v="0"/>
    <n v="0"/>
    <n v="0"/>
    <n v="0"/>
    <n v="0"/>
    <n v="0"/>
    <n v="0"/>
    <n v="0"/>
    <m/>
    <s v="No"/>
    <n v="0"/>
    <n v="0"/>
    <n v="0"/>
    <d v="2022-08-16T00:00:00"/>
    <n v="3.0789500139178845"/>
    <n v="2.8"/>
    <n v="0"/>
    <n v="0"/>
    <n v="3.0789500139178845"/>
    <s v="No Aplica"/>
    <n v="0"/>
    <n v="0"/>
    <m/>
    <s v="OK"/>
    <s v="OK"/>
    <n v="0"/>
    <n v="48000"/>
    <n v="24000"/>
    <n v="24000"/>
    <n v="24000"/>
    <n v="25000"/>
    <n v="0"/>
    <n v="147200"/>
    <n v="72000"/>
    <n v="69600"/>
    <n v="73200"/>
    <n v="76334"/>
    <m/>
    <n v="0"/>
    <n v="320"/>
    <n v="0"/>
    <n v="0"/>
    <n v="320"/>
    <n v="0"/>
    <n v="0"/>
    <n v="0"/>
    <n v="0"/>
    <n v="0"/>
    <n v="0"/>
    <n v="0"/>
  </r>
  <r>
    <s v="Agro Sudamerica1021819"/>
    <x v="0"/>
    <x v="0"/>
    <n v="1021819"/>
    <s v="GO Lom Ctro 27@ Fi Cj 20k AS"/>
    <s v="Lomo"/>
    <s v="Lomo Centro"/>
    <n v="0"/>
    <n v="0"/>
    <n v="0.45719439678473212"/>
    <n v="0"/>
    <n v="0"/>
    <n v="0"/>
    <n v="0"/>
    <n v="0"/>
    <n v="7200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1.8496310297501142"/>
    <n v="1.8496250000000001"/>
    <n v="0"/>
    <n v="0"/>
    <n v="1.8496310297501142"/>
    <s v="No Aplica"/>
    <n v="0"/>
    <n v="0"/>
    <m/>
    <s v="OK"/>
    <s v="OK"/>
    <n v="0"/>
    <n v="0"/>
    <n v="0"/>
    <n v="0"/>
    <n v="48000"/>
    <n v="0"/>
    <n v="0"/>
    <n v="0"/>
    <n v="0"/>
    <n v="0"/>
    <n v="96000"/>
    <n v="0"/>
    <m/>
    <n v="0"/>
    <n v="0"/>
    <n v="0"/>
    <n v="0"/>
    <n v="0"/>
    <n v="0"/>
    <n v="0"/>
    <n v="0"/>
    <n v="0"/>
    <n v="0"/>
    <n v="0"/>
    <n v="0"/>
  </r>
  <r>
    <s v="Agro Sudamerica1021820"/>
    <x v="0"/>
    <x v="0"/>
    <n v="1021820"/>
    <s v="GO Lom Vet 44@ Fi Cj 20k AS"/>
    <s v="Lomo"/>
    <s v="Lomo Vetado"/>
    <n v="0"/>
    <n v="0"/>
    <n v="0.45719439678473212"/>
    <n v="0"/>
    <n v="0"/>
    <n v="0"/>
    <n v="0"/>
    <n v="0"/>
    <n v="1400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2.5683539254002845"/>
    <n v="2.1654552374999998"/>
    <n v="0"/>
    <n v="0"/>
    <n v="2.5683539254002845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21868"/>
    <x v="0"/>
    <x v="0"/>
    <n v="1021868"/>
    <s v="GO PpPna 54@ Cj 20k AS"/>
    <s v="Pierna"/>
    <s v="Pierna Pulpa Fina"/>
    <n v="28483"/>
    <n v="31422"/>
    <n v="0.45719439678473212"/>
    <n v="13022.268003619525"/>
    <n v="51249"/>
    <n v="0"/>
    <n v="0"/>
    <n v="64271.268003619523"/>
    <n v="49000"/>
    <n v="24000"/>
    <n v="49000"/>
    <n v="0"/>
    <n v="49000"/>
    <n v="15271.268003619523"/>
    <n v="0"/>
    <n v="0"/>
    <n v="0"/>
    <n v="15271.268003619523"/>
    <n v="0"/>
    <n v="0"/>
    <n v="0"/>
    <n v="0"/>
    <n v="121000"/>
    <n v="49000"/>
    <n v="0"/>
    <n v="49000"/>
    <n v="0"/>
    <n v="49000"/>
    <n v="49000"/>
    <n v="0"/>
    <n v="0"/>
    <m/>
    <s v="Si"/>
    <n v="49000"/>
    <n v="49000"/>
    <n v="0"/>
    <d v="2022-08-16T00:00:00"/>
    <n v="2.8900133664311598"/>
    <n v="2.9712448979591799"/>
    <n v="2.9712448979591799"/>
    <n v="142426.66666666666"/>
    <n v="2.8663291730140399"/>
    <n v="3.6602817964141103E-2"/>
    <n v="2.9066666666666663"/>
    <n v="2.9712448979591799"/>
    <m/>
    <s v="OK"/>
    <s v="OK"/>
    <n v="24000"/>
    <n v="48000"/>
    <n v="48000"/>
    <n v="34000"/>
    <n v="24000"/>
    <n v="24000"/>
    <n v="66000"/>
    <n v="134400"/>
    <n v="119520"/>
    <n v="86500"/>
    <n v="60000"/>
    <n v="73172"/>
    <m/>
    <n v="15460.731996380477"/>
    <n v="30732"/>
    <n v="24000"/>
    <n v="10972.665522833571"/>
    <n v="41704.665522833573"/>
    <n v="13027.334477166429"/>
    <n v="0"/>
    <n v="0"/>
    <n v="13027.334477166429"/>
    <n v="0"/>
    <n v="28483"/>
    <n v="0"/>
  </r>
  <r>
    <s v="Agro Sudamerica1021903"/>
    <x v="0"/>
    <x v="0"/>
    <n v="1021903"/>
    <s v="GO Corazón Partido@ Cj 10k AS"/>
    <s v="Subprod"/>
    <s v="Subprod Visceras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1.2161043669806706"/>
    <n v="0"/>
    <n v="0"/>
    <n v="0"/>
    <n v="1.2161043669806706"/>
    <s v="No Aplica"/>
    <n v="0"/>
    <n v="0"/>
    <m/>
    <s v="OK"/>
    <s v="OK"/>
    <n v="0"/>
    <n v="0"/>
    <n v="0"/>
    <n v="0"/>
    <n v="24000"/>
    <n v="0"/>
    <n v="0"/>
    <n v="0"/>
    <n v="0"/>
    <n v="0"/>
    <n v="29280"/>
    <n v="0"/>
    <m/>
    <n v="0"/>
    <n v="0"/>
    <n v="0"/>
    <n v="0"/>
    <n v="0"/>
    <n v="0"/>
    <n v="0"/>
    <n v="0"/>
    <n v="0"/>
    <n v="0"/>
    <n v="0"/>
    <n v="0"/>
  </r>
  <r>
    <s v="Agro Sudamerica1021976"/>
    <x v="0"/>
    <x v="0"/>
    <n v="1021976"/>
    <s v="GO PpPal 77@ Cj 20k AS"/>
    <s v="Paleta"/>
    <s v="Paleta Pulpa"/>
    <n v="96000"/>
    <n v="96000"/>
    <n v="0.45719439678473212"/>
    <n v="43890.662091334285"/>
    <n v="114041"/>
    <n v="22217.200131800517"/>
    <n v="0"/>
    <n v="177927.14220995476"/>
    <n v="219000"/>
    <n v="24000"/>
    <n v="168000"/>
    <n v="-48000"/>
    <n v="120000"/>
    <n v="57927.142209954764"/>
    <n v="48000"/>
    <n v="0"/>
    <n v="48000"/>
    <n v="9927.1422099547635"/>
    <n v="0"/>
    <n v="0"/>
    <n v="0"/>
    <n v="0"/>
    <n v="243000"/>
    <n v="216000"/>
    <n v="0"/>
    <n v="120000"/>
    <n v="96000"/>
    <n v="168000"/>
    <n v="120000"/>
    <n v="48000"/>
    <n v="0"/>
    <m/>
    <s v="Si"/>
    <n v="168000"/>
    <n v="114041"/>
    <n v="53959"/>
    <d v="2022-08-16T00:00:00"/>
    <n v="2.6"/>
    <n v="2.4901004123221568"/>
    <n v="2.5215002945158265"/>
    <n v="408800.625"/>
    <n v="2.3314079461654549"/>
    <n v="8.1535429551496064E-2"/>
    <n v="2.4333370535714285"/>
    <n v="2.5215002945158265"/>
    <m/>
    <s v="OK"/>
    <s v="OK"/>
    <n v="80000"/>
    <n v="187000"/>
    <n v="312000"/>
    <n v="168000"/>
    <n v="340000"/>
    <n v="254000"/>
    <n v="179200"/>
    <n v="405233"/>
    <n v="682914"/>
    <n v="369600"/>
    <n v="769345"/>
    <n v="595202"/>
    <m/>
    <n v="52109.337908665722"/>
    <n v="62036.480118620486"/>
    <n v="252686.13"/>
    <n v="115526.68278121841"/>
    <n v="177563.16289983888"/>
    <n v="137159.4472187816"/>
    <n v="251101.22699999998"/>
    <n v="114802.07401017108"/>
    <n v="251961.52122895268"/>
    <n v="136299.1529898289"/>
    <n v="96000"/>
    <n v="0"/>
  </r>
  <r>
    <s v="Agro Sudamerica1022047"/>
    <x v="0"/>
    <x v="0"/>
    <n v="1022047"/>
    <s v="GO Triming Panc@ Cj 20k AS"/>
    <s v="Recortes"/>
    <s v="Recortes No Magro"/>
    <n v="0"/>
    <n v="1807"/>
    <n v="0.45719439678473212"/>
    <n v="0"/>
    <n v="1626"/>
    <n v="0"/>
    <n v="0"/>
    <n v="1626"/>
    <n v="0"/>
    <n v="24000"/>
    <n v="0"/>
    <n v="0"/>
    <n v="0"/>
    <n v="1626"/>
    <n v="0"/>
    <n v="0"/>
    <n v="0"/>
    <n v="1626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1.64028776978417"/>
    <n v="0"/>
    <n v="0"/>
    <n v="0"/>
    <n v="1.3361597521241988"/>
    <s v="No Aplica"/>
    <n v="0"/>
    <n v="0"/>
    <m/>
    <s v="OK"/>
    <s v="OK"/>
    <n v="0"/>
    <n v="0"/>
    <n v="0"/>
    <n v="48000"/>
    <n v="0"/>
    <n v="0"/>
    <n v="0"/>
    <n v="0"/>
    <n v="0"/>
    <n v="63600"/>
    <n v="0"/>
    <n v="0"/>
    <m/>
    <n v="0"/>
    <n v="1626"/>
    <n v="0"/>
    <n v="0"/>
    <n v="1626"/>
    <n v="0"/>
    <n v="0"/>
    <n v="0"/>
    <n v="0"/>
    <n v="0"/>
    <n v="0"/>
    <n v="0"/>
  </r>
  <r>
    <s v="Agro Sudamerica1022149"/>
    <x v="0"/>
    <x v="0"/>
    <n v="1022149"/>
    <s v="GO Plancha Rebaje Ent@ Cj 20k AS"/>
    <s v="Plancha"/>
    <s v="Plancha s/Cuero"/>
    <n v="24206"/>
    <n v="36000"/>
    <n v="0.45719439678473212"/>
    <n v="11066.847568571226"/>
    <n v="6915"/>
    <n v="1339"/>
    <n v="0"/>
    <n v="19186.947568571224"/>
    <n v="24000"/>
    <n v="24000"/>
    <n v="0"/>
    <n v="0"/>
    <n v="0"/>
    <n v="19186.947568571224"/>
    <n v="0"/>
    <n v="0"/>
    <n v="0"/>
    <n v="19186.94756857122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2.0099999999999998"/>
    <n v="2.4"/>
    <n v="0"/>
    <n v="0"/>
    <n v="1.8919193781798003"/>
    <s v="No Aplica"/>
    <n v="0"/>
    <n v="0"/>
    <m/>
    <s v="OK"/>
    <s v="OK"/>
    <n v="72000"/>
    <n v="36000"/>
    <n v="48000"/>
    <n v="24000"/>
    <n v="24000"/>
    <n v="24000"/>
    <n v="149040"/>
    <n v="81300"/>
    <n v="86400"/>
    <n v="41040"/>
    <n v="44640"/>
    <n v="44765"/>
    <m/>
    <n v="13139.152431428776"/>
    <n v="32326.1"/>
    <n v="103647.39599999999"/>
    <n v="47387.008692528252"/>
    <n v="79713.108692528243"/>
    <n v="56260.387307471741"/>
    <n v="64482.563000000002"/>
    <n v="29481.066493918486"/>
    <n v="85741.45380139022"/>
    <n v="35001.496506081516"/>
    <n v="24206"/>
    <n v="0"/>
  </r>
  <r>
    <s v="Agro Sudamerica1022150"/>
    <x v="0"/>
    <x v="0"/>
    <n v="1022150"/>
    <s v="GO Gord chic@ Cj 20k AS"/>
    <s v="Grasas"/>
    <s v="Grasa Gordura"/>
    <n v="164294"/>
    <n v="95219"/>
    <n v="0.45719439678473212"/>
    <n v="75114.296225350772"/>
    <n v="87128"/>
    <n v="11644"/>
    <n v="0"/>
    <n v="172721.89622535076"/>
    <n v="168000"/>
    <n v="24000"/>
    <n v="168000"/>
    <n v="-48000"/>
    <n v="120000"/>
    <n v="52721.896225350763"/>
    <n v="48000"/>
    <n v="0"/>
    <n v="48000"/>
    <n v="4721.8962253507634"/>
    <n v="0"/>
    <n v="0"/>
    <n v="0"/>
    <n v="23989.89"/>
    <n v="143989.89000000001"/>
    <n v="239989.89"/>
    <n v="23989.89"/>
    <n v="120000"/>
    <n v="96000"/>
    <n v="191989.89"/>
    <n v="120000"/>
    <n v="48000.000000000015"/>
    <n v="0"/>
    <m/>
    <s v="Si"/>
    <n v="168000"/>
    <n v="87128"/>
    <n v="80872"/>
    <d v="2022-08-16T00:00:00"/>
    <n v="1.2866759785337001"/>
    <n v="1.3466275797940799"/>
    <n v="1.3316388902307998"/>
    <n v="230949.89911430492"/>
    <n v="1.2258767054957871"/>
    <n v="8.6274732410580271E-2"/>
    <n v="1.2029273995328864"/>
    <n v="1.3316388902307998"/>
    <m/>
    <s v="OK"/>
    <s v="OK"/>
    <n v="120000"/>
    <n v="174000"/>
    <n v="132000"/>
    <n v="96000"/>
    <n v="168000"/>
    <n v="168000"/>
    <n v="124800"/>
    <n v="183900"/>
    <n v="127200"/>
    <n v="88560"/>
    <n v="187440"/>
    <n v="218215"/>
    <m/>
    <n v="89179.703774649228"/>
    <n v="93901.599999999991"/>
    <n v="119999.9996"/>
    <n v="54863.32743129009"/>
    <n v="148764.9274312901"/>
    <n v="65136.672168709905"/>
    <n v="51084.105000000003"/>
    <n v="23355.366570762919"/>
    <n v="88492.038739472831"/>
    <n v="27728.738429237084"/>
    <n v="164294"/>
    <n v="0"/>
  </r>
  <r>
    <s v="Agro Sudamerica1022196"/>
    <x v="0"/>
    <x v="0"/>
    <n v="1022196"/>
    <s v="GO Forro Pal@ Cj 20k AS"/>
    <s v="Cueros"/>
    <s v="Cuero Forro"/>
    <n v="48306"/>
    <n v="48000"/>
    <n v="0.45719439678473212"/>
    <n v="22085.232531083271"/>
    <n v="42169"/>
    <n v="59009"/>
    <n v="0"/>
    <n v="117362.33253108326"/>
    <n v="143800"/>
    <n v="24000"/>
    <n v="96000"/>
    <n v="0"/>
    <n v="96000"/>
    <n v="21362.332531083259"/>
    <n v="0"/>
    <n v="0"/>
    <n v="0"/>
    <n v="21362.332531083259"/>
    <n v="0"/>
    <n v="0"/>
    <n v="0"/>
    <n v="0"/>
    <n v="96000"/>
    <n v="96000"/>
    <n v="0"/>
    <n v="96000"/>
    <n v="0"/>
    <n v="96000"/>
    <n v="96000"/>
    <n v="0"/>
    <n v="0"/>
    <m/>
    <s v="Si"/>
    <n v="96000"/>
    <n v="42169"/>
    <n v="53831"/>
    <d v="2022-08-16T00:00:00"/>
    <n v="1.1866666666666701"/>
    <n v="1.0811543810848436"/>
    <n v="1.0811543810848436"/>
    <n v="77920"/>
    <n v="0.5348884251148559"/>
    <n v="1.0212708488741156"/>
    <n v="0.81166666666666665"/>
    <n v="1.0811543810848436"/>
    <m/>
    <s v="OK"/>
    <s v="OK"/>
    <n v="0"/>
    <n v="24000"/>
    <n v="48000"/>
    <n v="0"/>
    <n v="24000"/>
    <n v="24000"/>
    <n v="0"/>
    <n v="15600"/>
    <n v="31200"/>
    <n v="0"/>
    <n v="10800"/>
    <n v="16440"/>
    <m/>
    <n v="26220.767468916732"/>
    <n v="47583.099999999991"/>
    <n v="96000"/>
    <n v="43890.662091334285"/>
    <n v="91473.762091334269"/>
    <n v="52109.337908665715"/>
    <n v="25348.416000000001"/>
    <n v="11589.153762568452"/>
    <n v="63698.491671234166"/>
    <n v="13759.262237431549"/>
    <n v="48306"/>
    <n v="0"/>
  </r>
  <r>
    <s v="Agro Sudamerica1022197"/>
    <x v="0"/>
    <x v="0"/>
    <n v="1022197"/>
    <s v="GO Pna Forro@ Cj 20k AS"/>
    <s v="Cueros"/>
    <s v="Cuero Forro"/>
    <n v="0"/>
    <n v="0"/>
    <n v="0.45719439678473212"/>
    <n v="0"/>
    <n v="14151"/>
    <n v="0"/>
    <n v="0"/>
    <n v="14151"/>
    <n v="4698"/>
    <n v="24000"/>
    <n v="4698"/>
    <n v="0"/>
    <n v="4698"/>
    <n v="9453"/>
    <n v="0"/>
    <n v="0"/>
    <n v="0"/>
    <n v="9453"/>
    <n v="0"/>
    <n v="0"/>
    <n v="0"/>
    <n v="0"/>
    <n v="4698"/>
    <n v="4698"/>
    <n v="0"/>
    <n v="4698"/>
    <n v="0"/>
    <n v="4698"/>
    <n v="4698"/>
    <n v="0"/>
    <n v="0"/>
    <m/>
    <s v="Si"/>
    <n v="4698"/>
    <n v="4698"/>
    <n v="0"/>
    <d v="2022-08-16T00:00:00"/>
    <n v="0"/>
    <n v="0.52987190293742004"/>
    <n v="0.52987190293742004"/>
    <n v="2349"/>
    <n v="0"/>
    <s v="No Aplica"/>
    <n v="0.5"/>
    <n v="0.52987190293742004"/>
    <m/>
    <s v="OK"/>
    <s v="OK"/>
    <n v="0"/>
    <n v="0"/>
    <n v="24000"/>
    <n v="24000"/>
    <n v="0"/>
    <n v="0"/>
    <n v="0"/>
    <n v="0"/>
    <n v="21600"/>
    <n v="18240"/>
    <n v="0"/>
    <n v="0"/>
    <m/>
    <n v="0"/>
    <n v="9453"/>
    <n v="0"/>
    <n v="0"/>
    <n v="9453"/>
    <n v="0"/>
    <n v="0"/>
    <n v="0"/>
    <n v="0"/>
    <n v="0"/>
    <n v="0"/>
    <n v="0"/>
  </r>
  <r>
    <s v="Agro Sudamerica1022247"/>
    <x v="0"/>
    <x v="0"/>
    <n v="1022247"/>
    <s v="GO Triming 60/40@ Bo Cj AS"/>
    <s v="Recortes"/>
    <s v="Recortes No Magro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48000"/>
    <n v="0"/>
    <n v="0"/>
    <n v="0"/>
    <n v="0"/>
    <n v="0"/>
    <n v="64560"/>
    <n v="0"/>
    <n v="0"/>
    <m/>
    <n v="0"/>
    <n v="0"/>
    <n v="0"/>
    <n v="0"/>
    <n v="0"/>
    <n v="0"/>
    <n v="0"/>
    <n v="0"/>
    <n v="0"/>
    <n v="0"/>
    <n v="0"/>
    <n v="0"/>
  </r>
  <r>
    <s v="Agro Sudamerica1022384"/>
    <x v="0"/>
    <x v="0"/>
    <n v="1022384"/>
    <s v="GO BB Ribs Grd B@ Fi Cj 10k AS"/>
    <s v="Chuleta"/>
    <s v="Chuleta Huesos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3.4203347712697036"/>
    <n v="0"/>
    <n v="0"/>
    <n v="0"/>
    <n v="3.4203347712697036"/>
    <s v="No Aplica"/>
    <n v="0"/>
    <n v="0"/>
    <m/>
    <s v="OK"/>
    <s v="OK"/>
    <n v="2947"/>
    <n v="0"/>
    <n v="0"/>
    <n v="0"/>
    <n v="619"/>
    <n v="0"/>
    <n v="15619.1"/>
    <n v="0"/>
    <n v="0"/>
    <n v="0"/>
    <n v="2105"/>
    <n v="0"/>
    <m/>
    <n v="0"/>
    <n v="0"/>
    <n v="0"/>
    <n v="0"/>
    <n v="0"/>
    <n v="0"/>
    <n v="0"/>
    <n v="0"/>
    <n v="0"/>
    <n v="0"/>
    <n v="0"/>
    <n v="0"/>
  </r>
  <r>
    <s v="Agro Sudamerica1022406"/>
    <x v="0"/>
    <x v="0"/>
    <n v="1022406"/>
    <s v="GO Patas B@ Bo Cj 20 k AS"/>
    <s v="Subprod"/>
    <s v="Subprod Patas-Manos"/>
    <n v="0"/>
    <n v="0"/>
    <n v="0.45719439678473212"/>
    <n v="0"/>
    <n v="8776"/>
    <n v="0"/>
    <n v="0"/>
    <n v="8776"/>
    <n v="8000"/>
    <n v="24000"/>
    <n v="8000"/>
    <n v="-8000"/>
    <n v="0"/>
    <n v="8776"/>
    <n v="0"/>
    <n v="0"/>
    <n v="0"/>
    <n v="8776"/>
    <n v="0"/>
    <n v="0"/>
    <n v="0"/>
    <n v="0"/>
    <n v="0"/>
    <n v="8000"/>
    <n v="0"/>
    <n v="0"/>
    <n v="8000"/>
    <n v="0"/>
    <n v="0"/>
    <n v="0"/>
    <n v="0"/>
    <m/>
    <s v="No"/>
    <n v="0"/>
    <n v="0"/>
    <n v="0"/>
    <d v="2022-08-16T00:00:00"/>
    <n v="0"/>
    <n v="3.85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8776"/>
    <n v="0"/>
    <n v="0"/>
    <n v="8776"/>
    <n v="0"/>
    <n v="0"/>
    <n v="0"/>
    <n v="0"/>
    <n v="0"/>
    <n v="0"/>
    <n v="0"/>
  </r>
  <r>
    <s v="Agro Sudamerica1022409"/>
    <x v="0"/>
    <x v="0"/>
    <n v="1022409"/>
    <s v="GO Tripa s/Cal# Bidon AS"/>
    <s v="Subprod"/>
    <s v="Subprod Tripa"/>
    <n v="0"/>
    <n v="0"/>
    <n v="0.45719439678473212"/>
    <n v="0"/>
    <n v="18585"/>
    <n v="0"/>
    <n v="0"/>
    <n v="18585"/>
    <n v="27360"/>
    <n v="24000"/>
    <n v="0"/>
    <n v="0"/>
    <n v="0"/>
    <n v="18585"/>
    <n v="0"/>
    <n v="0"/>
    <n v="0"/>
    <n v="18585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4.7931700083542195"/>
    <n v="4.8652203425229699"/>
    <n v="0"/>
    <n v="0"/>
    <n v="4.7931700083542195"/>
    <s v="No Aplica"/>
    <n v="0"/>
    <n v="0"/>
    <m/>
    <s v="OK"/>
    <s v="OK"/>
    <n v="23940"/>
    <n v="13680"/>
    <n v="23940"/>
    <n v="13680"/>
    <n v="0"/>
    <n v="13680"/>
    <n v="113715"/>
    <n v="114912"/>
    <n v="116348"/>
    <n v="114228"/>
    <n v="0"/>
    <n v="115520"/>
    <m/>
    <n v="0"/>
    <n v="18585"/>
    <n v="0"/>
    <n v="0"/>
    <n v="18585"/>
    <n v="0"/>
    <n v="0"/>
    <n v="0"/>
    <n v="0"/>
    <n v="0"/>
    <n v="0"/>
    <n v="0"/>
  </r>
  <r>
    <s v="Agro Sudamerica1022569"/>
    <x v="0"/>
    <x v="0"/>
    <n v="1022569"/>
    <s v="GO BB Ribs 24-28 Oz@ Cj 10k AS"/>
    <s v="Chuleta"/>
    <s v="Chuleta Huesos"/>
    <n v="0"/>
    <n v="0"/>
    <n v="0.45719439678473212"/>
    <n v="0"/>
    <n v="90"/>
    <n v="0"/>
    <n v="0"/>
    <n v="90"/>
    <n v="0"/>
    <n v="24000"/>
    <n v="0"/>
    <n v="0"/>
    <n v="0"/>
    <n v="90"/>
    <n v="0"/>
    <n v="0"/>
    <n v="0"/>
    <n v="9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7.0788385399999996"/>
    <n v="0"/>
    <n v="0"/>
    <n v="0"/>
    <n v="7.0788385399999996"/>
    <s v="No Aplica"/>
    <n v="0"/>
    <n v="0"/>
    <m/>
    <s v="OK"/>
    <s v="OK"/>
    <n v="0"/>
    <n v="5000"/>
    <n v="0"/>
    <n v="0"/>
    <n v="5000"/>
    <n v="5000"/>
    <n v="0"/>
    <n v="35667"/>
    <n v="0"/>
    <n v="0"/>
    <n v="35400"/>
    <n v="35437"/>
    <m/>
    <n v="0"/>
    <n v="90"/>
    <n v="0"/>
    <n v="0"/>
    <n v="90"/>
    <n v="0"/>
    <n v="110"/>
    <n v="50.291383646320533"/>
    <n v="50.291383646320533"/>
    <n v="59.708616353679467"/>
    <n v="0"/>
    <n v="0"/>
  </r>
  <r>
    <s v="Agro Sudamerica1022654"/>
    <x v="0"/>
    <x v="0"/>
    <n v="1022654"/>
    <s v="GO Triming 90/10@ Cj 20k AS"/>
    <s v="Recortes"/>
    <s v="Recortes No Magro"/>
    <n v="0"/>
    <n v="0"/>
    <n v="0.45719439678473212"/>
    <n v="0"/>
    <n v="0"/>
    <n v="4"/>
    <n v="0"/>
    <n v="3.6"/>
    <n v="46840"/>
    <n v="24000"/>
    <n v="0"/>
    <n v="0"/>
    <n v="0"/>
    <n v="3.6"/>
    <n v="0"/>
    <n v="0"/>
    <n v="0"/>
    <n v="3.6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1.81078633005978"/>
    <n v="0"/>
    <n v="0"/>
    <n v="0"/>
    <s v="No Aplica"/>
    <n v="0"/>
    <n v="0"/>
    <m/>
    <s v="OK"/>
    <s v="OK"/>
    <n v="0"/>
    <n v="3360"/>
    <n v="0"/>
    <n v="0"/>
    <n v="0"/>
    <n v="0"/>
    <n v="0"/>
    <n v="6104"/>
    <n v="0"/>
    <n v="0"/>
    <n v="0"/>
    <n v="0"/>
    <m/>
    <n v="0"/>
    <n v="3.6"/>
    <n v="0"/>
    <n v="0"/>
    <n v="3.6"/>
    <n v="0"/>
    <n v="0"/>
    <n v="0"/>
    <n v="0"/>
    <n v="0"/>
    <n v="0"/>
    <n v="0"/>
  </r>
  <r>
    <s v="Agro Sudamerica1022705"/>
    <x v="0"/>
    <x v="0"/>
    <n v="1022705"/>
    <s v="GO Mantec@ Cj 20k AS"/>
    <s v="Grasas"/>
    <s v="Grasa Interior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22709"/>
    <x v="0"/>
    <x v="0"/>
    <n v="1022709"/>
    <s v="GO PpPna 57@ Bo Cj AS"/>
    <s v="Pierna"/>
    <s v="Pierna Pulpa"/>
    <n v="145034"/>
    <n v="144000"/>
    <n v="0.45719439678473212"/>
    <n v="66308.732143276837"/>
    <n v="72578"/>
    <n v="21643.382856457469"/>
    <n v="0"/>
    <n v="158365.77671408857"/>
    <n v="60000"/>
    <n v="24000"/>
    <n v="60000"/>
    <n v="0"/>
    <n v="60000"/>
    <n v="98365.77671408857"/>
    <n v="96000"/>
    <n v="0"/>
    <n v="96000"/>
    <n v="2365.7767140885699"/>
    <n v="0"/>
    <n v="0"/>
    <n v="0"/>
    <n v="23991.64"/>
    <n v="251991.64"/>
    <n v="179991.64"/>
    <n v="23991.64"/>
    <n v="60000"/>
    <n v="96000"/>
    <n v="179991.64"/>
    <n v="60000"/>
    <n v="96000.000000000015"/>
    <n v="0"/>
    <m/>
    <s v="Si"/>
    <n v="156000"/>
    <n v="72578"/>
    <n v="83422"/>
    <d v="2022-08-16T00:00:00"/>
    <n v="2.8833402777777799"/>
    <n v="2.8165400962264062"/>
    <n v="2.852168514462563"/>
    <n v="507737.78620861121"/>
    <n v="2.7773010232236848"/>
    <n v="2.6956923506972836E-2"/>
    <n v="2.8208964939072234"/>
    <n v="2.852168514462563"/>
    <m/>
    <s v="OK"/>
    <s v="OK"/>
    <n v="0"/>
    <n v="65000"/>
    <n v="48000"/>
    <n v="120000"/>
    <n v="83000"/>
    <n v="419000"/>
    <n v="0"/>
    <n v="171870"/>
    <n v="122400"/>
    <n v="301920"/>
    <n v="224037"/>
    <n v="1168954"/>
    <m/>
    <n v="78725.267856723163"/>
    <n v="81091.044570811733"/>
    <n v="284151.45189999999"/>
    <n v="129912.45164692632"/>
    <n v="211003.49621773805"/>
    <n v="154239.00025307367"/>
    <n v="0"/>
    <n v="0"/>
    <n v="154239.00025307367"/>
    <n v="0"/>
    <n v="145034"/>
    <n v="0"/>
  </r>
  <r>
    <s v="Agro Sudamerica1022847"/>
    <x v="0"/>
    <x v="0"/>
    <n v="1022847"/>
    <s v="GO Cne Falda Pan@ CJ 20k AS"/>
    <s v="Panceta"/>
    <s v="Panceta s/Cuero"/>
    <n v="18180"/>
    <n v="0"/>
    <n v="0.45719439678473212"/>
    <n v="8311.7941335464293"/>
    <n v="31633"/>
    <n v="0"/>
    <n v="0"/>
    <n v="39944.794133546427"/>
    <n v="48000"/>
    <n v="24000"/>
    <n v="24000"/>
    <n v="0"/>
    <n v="24000"/>
    <n v="15944.794133546427"/>
    <n v="0"/>
    <n v="0"/>
    <n v="0"/>
    <n v="15944.794133546427"/>
    <n v="0"/>
    <n v="0"/>
    <n v="0"/>
    <n v="0"/>
    <n v="24000"/>
    <n v="24000"/>
    <n v="0"/>
    <n v="24000"/>
    <n v="0"/>
    <n v="24000"/>
    <n v="24000"/>
    <n v="0"/>
    <n v="0"/>
    <m/>
    <s v="Si"/>
    <n v="24000"/>
    <n v="24000"/>
    <n v="0"/>
    <d v="2022-08-16T00:00:00"/>
    <n v="1.4079562631883433"/>
    <n v="1.58960416666667"/>
    <n v="1.58960416666667"/>
    <n v="34000"/>
    <n v="1.4079562631883433"/>
    <n v="0.12901530269625111"/>
    <n v="1.4166666666666667"/>
    <n v="1.58960416666667"/>
    <m/>
    <s v="OK"/>
    <s v="OK"/>
    <n v="28000"/>
    <n v="72000"/>
    <n v="60000"/>
    <n v="24000"/>
    <n v="24000"/>
    <n v="48000"/>
    <n v="36776.119400000003"/>
    <n v="95110"/>
    <n v="77274"/>
    <n v="28800"/>
    <n v="31440"/>
    <n v="67857"/>
    <m/>
    <n v="9868.2058664535707"/>
    <n v="25813"/>
    <n v="44086.894599999992"/>
    <n v="20156.281182759059"/>
    <n v="45969.281182759063"/>
    <n v="23930.613417240933"/>
    <n v="40728.299899999998"/>
    <n v="18620.750504848165"/>
    <n v="42551.363922089098"/>
    <n v="22107.549395151833"/>
    <n v="18180"/>
    <n v="0"/>
  </r>
  <r>
    <s v="Agro Sudamerica1022855"/>
    <x v="0"/>
    <x v="0"/>
    <n v="1022855"/>
    <s v="GO Grasa Forro Pal@ Cj 20k AS"/>
    <s v="Grasas"/>
    <s v="Grasa Forro"/>
    <n v="143355"/>
    <n v="24000"/>
    <n v="0.45719439678473212"/>
    <n v="65541.102751075276"/>
    <n v="18188"/>
    <n v="5709"/>
    <n v="0"/>
    <n v="88867.202751075281"/>
    <n v="24000"/>
    <n v="24000"/>
    <n v="24000"/>
    <n v="-24000"/>
    <n v="0"/>
    <n v="88867.202751075281"/>
    <n v="72000"/>
    <n v="0"/>
    <n v="72000"/>
    <n v="16867.202751075281"/>
    <n v="0"/>
    <n v="0"/>
    <n v="0"/>
    <n v="0"/>
    <n v="72000"/>
    <n v="96000"/>
    <n v="0"/>
    <n v="0"/>
    <n v="96000"/>
    <n v="72000"/>
    <n v="0"/>
    <n v="72000"/>
    <n v="0"/>
    <m/>
    <s v="Si"/>
    <n v="72000"/>
    <n v="18188"/>
    <n v="53812"/>
    <d v="2022-08-16T00:00:00"/>
    <n v="1.0900000000000001"/>
    <n v="1.57"/>
    <n v="1.0900000000000001"/>
    <n v="74880"/>
    <n v="1.4075576951496656"/>
    <n v="0.22560900788929975"/>
    <n v="1.04"/>
    <n v="1.0900000000000001"/>
    <m/>
    <s v="OK"/>
    <s v="OK"/>
    <n v="16600"/>
    <n v="24000"/>
    <n v="0"/>
    <n v="24000"/>
    <n v="24000"/>
    <n v="48000"/>
    <n v="25937.5"/>
    <n v="33060"/>
    <n v="0"/>
    <n v="30240"/>
    <n v="33840"/>
    <n v="67900"/>
    <m/>
    <n v="77813.897248924739"/>
    <n v="94681.10000000002"/>
    <n v="18316.026099999999"/>
    <n v="8373.9845042829093"/>
    <n v="103055.08450428293"/>
    <n v="9942.0415957170899"/>
    <n v="16920.688300000002"/>
    <n v="7736.0438805009753"/>
    <n v="17678.085476218064"/>
    <n v="9184.6444194990254"/>
    <n v="143355"/>
    <n v="0"/>
  </r>
  <r>
    <s v="Agro Sudamerica1022920"/>
    <x v="0"/>
    <x v="0"/>
    <n v="1022920"/>
    <s v="GO Gord rebaje@ Cj 20k AS"/>
    <s v="Grasas"/>
    <s v="Grasa Gordura"/>
    <n v="0"/>
    <n v="6425"/>
    <n v="0.45719439678473212"/>
    <n v="0"/>
    <n v="24678"/>
    <n v="5345"/>
    <n v="0"/>
    <n v="29488.5"/>
    <n v="24000"/>
    <n v="24000"/>
    <n v="24000"/>
    <n v="-24000"/>
    <n v="0"/>
    <n v="29488.5"/>
    <n v="0"/>
    <n v="0"/>
    <n v="0"/>
    <n v="29488.5"/>
    <n v="24000"/>
    <n v="0"/>
    <n v="24000"/>
    <n v="0"/>
    <n v="0"/>
    <n v="48000"/>
    <n v="0"/>
    <n v="0"/>
    <n v="48000"/>
    <n v="24000"/>
    <n v="0"/>
    <n v="24000"/>
    <n v="0"/>
    <m/>
    <s v="Si"/>
    <n v="24000"/>
    <n v="24000"/>
    <n v="0"/>
    <d v="2022-08-16T00:00:00"/>
    <n v="1.13665369649805"/>
    <n v="0.97040708333333392"/>
    <n v="0.97040708333333392"/>
    <n v="26079.688715953307"/>
    <n v="0"/>
    <s v="No Aplica"/>
    <n v="1.0866536964980544"/>
    <n v="0.97040708333333392"/>
    <m/>
    <s v="OK"/>
    <s v="OK"/>
    <n v="0"/>
    <n v="0"/>
    <n v="0"/>
    <n v="0"/>
    <n v="4619"/>
    <n v="0"/>
    <n v="0"/>
    <n v="0"/>
    <n v="0"/>
    <n v="0"/>
    <n v="4249"/>
    <n v="0"/>
    <m/>
    <n v="0"/>
    <n v="29488.5"/>
    <n v="22043.447999999997"/>
    <n v="10078.140911415609"/>
    <n v="39566.640911415612"/>
    <n v="11965.307088584388"/>
    <n v="0"/>
    <n v="0"/>
    <n v="11965.307088584388"/>
    <n v="0"/>
    <n v="0"/>
    <n v="0"/>
  </r>
  <r>
    <s v="Agro Sudamerica1022921"/>
    <x v="0"/>
    <x v="0"/>
    <n v="1022921"/>
    <s v="GO Gord chic@ Cj 20k AS"/>
    <s v="Grasas"/>
    <s v="Grasa Gordura"/>
    <n v="46202"/>
    <n v="23000"/>
    <n v="0.45719439678473212"/>
    <n v="21123.295520248193"/>
    <n v="4298"/>
    <n v="0"/>
    <n v="0"/>
    <n v="25421.295520248193"/>
    <n v="27500"/>
    <n v="24000"/>
    <n v="24000"/>
    <n v="0"/>
    <n v="24000"/>
    <n v="1421.2955202481935"/>
    <n v="0"/>
    <n v="0"/>
    <n v="0"/>
    <n v="1421.2955202481935"/>
    <n v="0"/>
    <n v="0"/>
    <n v="0"/>
    <n v="0"/>
    <n v="24000"/>
    <n v="24000"/>
    <n v="0"/>
    <n v="24000"/>
    <n v="0"/>
    <n v="24000"/>
    <n v="24000"/>
    <n v="0"/>
    <n v="0"/>
    <m/>
    <s v="Si"/>
    <n v="24000"/>
    <n v="4298"/>
    <n v="19702"/>
    <d v="2022-08-16T00:00:00"/>
    <n v="1.39"/>
    <n v="1.3263933884297519"/>
    <n v="1.3263933884297519"/>
    <n v="31199.999999999996"/>
    <n v="1.0162708342333415"/>
    <n v="0.3051573889064344"/>
    <n v="1.2999999999999998"/>
    <n v="1.3263933884297519"/>
    <m/>
    <s v="OK"/>
    <s v="OK"/>
    <n v="10000"/>
    <n v="48000"/>
    <n v="10000"/>
    <n v="12000"/>
    <n v="47000"/>
    <n v="0"/>
    <n v="10000"/>
    <n v="45600"/>
    <n v="10500"/>
    <n v="8040"/>
    <n v="46740"/>
    <n v="0"/>
    <m/>
    <n v="25078.70447975181"/>
    <n v="26500.000000000004"/>
    <n v="44086.894999999997"/>
    <n v="20156.28136563682"/>
    <n v="46656.281365636823"/>
    <n v="23930.613634363177"/>
    <n v="0"/>
    <n v="0"/>
    <n v="23930.613634363177"/>
    <n v="0"/>
    <n v="46202"/>
    <n v="0"/>
  </r>
  <r>
    <s v="Agro Sudamerica1022922"/>
    <x v="0"/>
    <x v="0"/>
    <n v="1022922"/>
    <s v="GO Triming Panc@ Cj 20k AS"/>
    <s v="Recortes"/>
    <s v="Recortes No Magro"/>
    <n v="0"/>
    <n v="0"/>
    <n v="0.45719439678473212"/>
    <n v="0"/>
    <n v="684"/>
    <n v="0"/>
    <n v="0"/>
    <n v="684"/>
    <n v="684"/>
    <n v="24000"/>
    <n v="0"/>
    <n v="0"/>
    <n v="0"/>
    <n v="684"/>
    <n v="0"/>
    <n v="0"/>
    <n v="0"/>
    <n v="68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1.4"/>
    <n v="1.4791994152046799"/>
    <n v="0"/>
    <n v="0"/>
    <n v="1.4"/>
    <s v="No Aplica"/>
    <n v="0"/>
    <n v="0"/>
    <m/>
    <s v="OK"/>
    <s v="OK"/>
    <n v="0"/>
    <n v="0"/>
    <n v="0"/>
    <n v="17000"/>
    <n v="6000"/>
    <n v="0"/>
    <n v="0"/>
    <n v="0"/>
    <n v="0"/>
    <n v="20740"/>
    <n v="7320"/>
    <n v="0"/>
    <m/>
    <n v="0"/>
    <n v="684"/>
    <n v="0"/>
    <n v="0"/>
    <n v="684"/>
    <n v="0"/>
    <n v="0"/>
    <n v="0"/>
    <n v="0"/>
    <n v="0"/>
    <n v="0"/>
    <n v="0"/>
  </r>
  <r>
    <s v="Agro Sudamerica1022928"/>
    <x v="0"/>
    <x v="0"/>
    <n v="1022928"/>
    <s v="GO Cue Granel Esp CC@Cj 20k AS"/>
    <s v="Cueros"/>
    <s v="Cuero Mixto"/>
    <n v="0"/>
    <n v="0"/>
    <n v="0.45719439678473212"/>
    <n v="0"/>
    <n v="5804"/>
    <n v="0"/>
    <n v="0"/>
    <n v="5804"/>
    <n v="0"/>
    <n v="24000"/>
    <n v="0"/>
    <n v="0"/>
    <n v="0"/>
    <n v="5804"/>
    <n v="0"/>
    <n v="0"/>
    <n v="0"/>
    <n v="580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.9"/>
    <n v="0"/>
    <n v="0"/>
    <n v="0"/>
    <n v="0.9"/>
    <s v="No Aplica"/>
    <n v="0"/>
    <n v="0"/>
    <m/>
    <s v="OK"/>
    <s v="OK"/>
    <n v="0"/>
    <n v="0"/>
    <n v="0"/>
    <n v="16000"/>
    <n v="5000"/>
    <n v="0"/>
    <n v="0"/>
    <n v="0"/>
    <n v="0"/>
    <n v="9870"/>
    <n v="3600"/>
    <n v="0"/>
    <m/>
    <n v="0"/>
    <n v="5804"/>
    <n v="0"/>
    <n v="0"/>
    <n v="5804"/>
    <n v="0"/>
    <n v="9366.16"/>
    <n v="4282.1558713892864"/>
    <n v="4282.1558713892864"/>
    <n v="5084.0041286107135"/>
    <n v="0"/>
    <n v="0"/>
  </r>
  <r>
    <s v="Agro Sudamerica1022996"/>
    <x v="0"/>
    <x v="0"/>
    <n v="1022996"/>
    <s v="GO Visual Triming@ Cj 20k AS"/>
    <s v="Grasas"/>
    <s v="Grasa Gordura"/>
    <n v="6307"/>
    <n v="0"/>
    <n v="0.45719439678473212"/>
    <n v="2883.5250605213055"/>
    <n v="0"/>
    <n v="0"/>
    <n v="0"/>
    <n v="2883.5250605213055"/>
    <n v="6307"/>
    <n v="24000"/>
    <n v="0"/>
    <n v="0"/>
    <n v="0"/>
    <n v="2883.5250605213055"/>
    <n v="0"/>
    <n v="0"/>
    <n v="0"/>
    <n v="2883.5250605213055"/>
    <n v="0"/>
    <n v="0"/>
    <n v="0"/>
    <n v="0"/>
    <n v="6307"/>
    <n v="0"/>
    <n v="0"/>
    <n v="0"/>
    <n v="0"/>
    <n v="0"/>
    <n v="0"/>
    <n v="0"/>
    <n v="0"/>
    <m/>
    <s v="No"/>
    <n v="0"/>
    <n v="0"/>
    <n v="0"/>
    <d v="2022-08-16T00:00:00"/>
    <n v="0"/>
    <n v="0.97955335341683814"/>
    <n v="0"/>
    <n v="0"/>
    <n v="0"/>
    <s v="No Aplica"/>
    <n v="0"/>
    <n v="0"/>
    <m/>
    <s v="OK"/>
    <s v="OK"/>
    <n v="36000"/>
    <n v="24000"/>
    <n v="24000"/>
    <n v="0"/>
    <n v="0"/>
    <n v="0"/>
    <n v="44712"/>
    <n v="26640"/>
    <n v="25200"/>
    <n v="0"/>
    <n v="0"/>
    <n v="0"/>
    <m/>
    <n v="3423.474939478695"/>
    <n v="6307"/>
    <n v="0"/>
    <n v="0"/>
    <n v="6307"/>
    <n v="0"/>
    <n v="0"/>
    <n v="0"/>
    <n v="0"/>
    <n v="0"/>
    <n v="6307"/>
    <n v="0"/>
  </r>
  <r>
    <s v="Agro Sudamerica1023312"/>
    <x v="0"/>
    <x v="0"/>
    <n v="1023312"/>
    <s v="GO File C/cab@Cj 20k AS"/>
    <s v="Filete"/>
    <s v="Filete c/Cabeza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10221"/>
    <n v="0"/>
    <n v="0"/>
    <n v="0"/>
    <n v="0"/>
    <n v="0"/>
    <n v="28823"/>
    <n v="0"/>
    <n v="0"/>
    <n v="0"/>
    <m/>
    <n v="0"/>
    <n v="0"/>
    <n v="0"/>
    <n v="0"/>
    <n v="0"/>
    <n v="0"/>
    <n v="0"/>
    <n v="0"/>
    <n v="0"/>
    <n v="0"/>
    <n v="0"/>
    <n v="0"/>
  </r>
  <r>
    <s v="Agro Sudamerica1023331"/>
    <x v="0"/>
    <x v="0"/>
    <n v="1023331"/>
    <s v="GO Lom Vet 44@ Bo Cj 20k AS"/>
    <s v="Lomo"/>
    <s v="Lomo Vetado"/>
    <n v="0"/>
    <n v="94"/>
    <n v="0.45719439678473212"/>
    <n v="0"/>
    <n v="17815"/>
    <n v="0"/>
    <n v="0"/>
    <n v="17815"/>
    <n v="6000"/>
    <n v="24000"/>
    <n v="6000"/>
    <n v="-6000"/>
    <n v="0"/>
    <n v="17815"/>
    <n v="0"/>
    <n v="0"/>
    <n v="0"/>
    <n v="17815"/>
    <n v="0"/>
    <n v="0"/>
    <n v="0"/>
    <n v="0"/>
    <n v="6000"/>
    <n v="6000"/>
    <n v="0"/>
    <n v="0"/>
    <n v="6000"/>
    <n v="0"/>
    <n v="0"/>
    <n v="0"/>
    <n v="0"/>
    <m/>
    <s v="No"/>
    <n v="0"/>
    <n v="0"/>
    <n v="0"/>
    <d v="2022-08-16T00:00:00"/>
    <n v="2.3829787234042601"/>
    <n v="2.8"/>
    <n v="0"/>
    <n v="0"/>
    <n v="2.5683539416941024"/>
    <s v="No Aplica"/>
    <n v="0"/>
    <n v="0"/>
    <m/>
    <s v="OK"/>
    <s v="OK"/>
    <n v="0"/>
    <n v="23000"/>
    <n v="0"/>
    <n v="23000"/>
    <n v="0"/>
    <n v="0"/>
    <n v="0"/>
    <n v="59608"/>
    <n v="0"/>
    <n v="57730"/>
    <n v="0"/>
    <n v="0"/>
    <m/>
    <n v="0"/>
    <n v="17815"/>
    <n v="0"/>
    <n v="0"/>
    <n v="17815"/>
    <n v="0"/>
    <n v="0"/>
    <n v="0"/>
    <n v="0"/>
    <n v="0"/>
    <n v="0"/>
    <n v="0"/>
  </r>
  <r>
    <s v="Agro Sudamerica1023355"/>
    <x v="0"/>
    <x v="0"/>
    <n v="1023355"/>
    <s v="GO Pulmon@ Cj 20k AS"/>
    <s v="Subprod"/>
    <s v="Subprod Visceras"/>
    <n v="30736"/>
    <n v="51378"/>
    <n v="0.45719439678473212"/>
    <n v="14052.326979575526"/>
    <n v="34887"/>
    <n v="8160"/>
    <n v="0"/>
    <n v="56283.326979575526"/>
    <n v="22500"/>
    <n v="24000"/>
    <n v="22500"/>
    <n v="0"/>
    <n v="22500"/>
    <n v="33783.326979575526"/>
    <n v="24000"/>
    <n v="0"/>
    <n v="24000"/>
    <n v="9783.3269795755259"/>
    <n v="0"/>
    <n v="0"/>
    <n v="0"/>
    <n v="0"/>
    <n v="22500"/>
    <n v="46500"/>
    <n v="0"/>
    <n v="22500"/>
    <n v="24000"/>
    <n v="46500"/>
    <n v="22500"/>
    <n v="24000"/>
    <n v="0"/>
    <m/>
    <s v="Si"/>
    <n v="46500"/>
    <n v="34887"/>
    <n v="11613"/>
    <d v="2022-08-16T00:00:00"/>
    <n v="0.65999065747985497"/>
    <n v="0.76349999999999996"/>
    <n v="0.71007582321540907"/>
    <n v="29039.775779516523"/>
    <n v="0.6447876174053605"/>
    <n v="0.10125536540662761"/>
    <n v="0.62451130708637681"/>
    <n v="0.71007582321540907"/>
    <m/>
    <s v="OK"/>
    <s v="OK"/>
    <n v="0"/>
    <n v="0"/>
    <n v="0"/>
    <n v="0"/>
    <n v="24000"/>
    <n v="24000"/>
    <n v="0"/>
    <n v="0"/>
    <n v="0"/>
    <n v="0"/>
    <n v="12240"/>
    <n v="15157"/>
    <m/>
    <n v="16683.673020424474"/>
    <n v="26467"/>
    <n v="0"/>
    <n v="0"/>
    <n v="26467"/>
    <n v="0"/>
    <n v="0"/>
    <n v="0"/>
    <n v="0"/>
    <n v="0"/>
    <n v="30736"/>
    <n v="0"/>
  </r>
  <r>
    <s v="Agrosuper Asia1020860"/>
    <x v="0"/>
    <x v="1"/>
    <n v="1020860"/>
    <s v="GO Lom Vet@ Cj 12k AK"/>
    <s v="Lomo"/>
    <s v="Lomo Vetado"/>
    <n v="145086"/>
    <n v="132000"/>
    <n v="0.45719439678473212"/>
    <n v="66332.506251909639"/>
    <n v="37105"/>
    <n v="18677.83240762608"/>
    <n v="0"/>
    <n v="120247.55541877312"/>
    <n v="66000"/>
    <n v="22000"/>
    <n v="66000"/>
    <n v="0"/>
    <n v="66000"/>
    <n v="54247.555418773118"/>
    <n v="44000"/>
    <n v="0"/>
    <n v="44000"/>
    <n v="10247.555418773118"/>
    <n v="0"/>
    <n v="0"/>
    <n v="0"/>
    <n v="0"/>
    <n v="176000"/>
    <n v="110000"/>
    <n v="0"/>
    <n v="66000"/>
    <n v="44000"/>
    <n v="110000"/>
    <n v="66000"/>
    <n v="44000"/>
    <n v="0"/>
    <m/>
    <s v="Si"/>
    <n v="110000"/>
    <n v="37105"/>
    <n v="72895"/>
    <d v="2022-08-13T00:00:00"/>
    <n v="4.17"/>
    <n v="4.1875"/>
    <n v="4.1805000000000003"/>
    <n v="459855.00000000006"/>
    <n v="4.1215984150877043"/>
    <n v="1.4290956803719231E-2"/>
    <n v="4.1805000000000003"/>
    <n v="4.1805000000000003"/>
    <m/>
    <s v="OK"/>
    <s v="OK"/>
    <n v="154000"/>
    <n v="66000"/>
    <n v="88000"/>
    <n v="154000"/>
    <n v="176000"/>
    <n v="187000"/>
    <n v="643647.0895"/>
    <n v="265650"/>
    <n v="335280"/>
    <n v="607165"/>
    <n v="682827"/>
    <n v="786186"/>
    <m/>
    <n v="78753.493748090361"/>
    <n v="89001.049166863479"/>
    <n v="109999.9996"/>
    <n v="50291.383463442769"/>
    <n v="139292.43263030626"/>
    <n v="59708.616136557226"/>
    <n v="110000"/>
    <n v="50291.38364632053"/>
    <n v="109999.99978287776"/>
    <n v="59708.61635367947"/>
    <n v="145086"/>
    <n v="0"/>
  </r>
  <r>
    <s v="Agrosuper Asia1020861"/>
    <x v="0"/>
    <x v="1"/>
    <n v="1020861"/>
    <s v="GO Lom Vet@ Cj 12k TJ"/>
    <s v="Lomo"/>
    <s v="Lomo Vetado"/>
    <n v="127630"/>
    <n v="132000"/>
    <n v="0.45719439678473212"/>
    <n v="58351.72086163536"/>
    <n v="44328"/>
    <n v="57019.324670239352"/>
    <n v="0"/>
    <n v="153997.11306485077"/>
    <n v="100000"/>
    <n v="22000"/>
    <n v="100000"/>
    <n v="0"/>
    <n v="100000"/>
    <n v="53997.113064850768"/>
    <n v="44000"/>
    <n v="0"/>
    <n v="44000"/>
    <n v="9997.1130648507678"/>
    <n v="0"/>
    <n v="0"/>
    <n v="0"/>
    <n v="22000"/>
    <n v="188000"/>
    <n v="166000"/>
    <n v="22000"/>
    <n v="100000"/>
    <n v="44000"/>
    <n v="166000"/>
    <n v="100000"/>
    <n v="44000"/>
    <n v="0"/>
    <m/>
    <s v="Si"/>
    <n v="144000"/>
    <n v="44328"/>
    <n v="99672"/>
    <d v="2022-08-13T00:00:00"/>
    <n v="4.17"/>
    <n v="4.1899506024096391"/>
    <n v="4.1846624909275665"/>
    <n v="694653.97349397605"/>
    <n v="4.0975974893624603"/>
    <n v="2.1247816993038168E-2"/>
    <n v="4.1846624909275665"/>
    <n v="4.1846624909275665"/>
    <m/>
    <s v="OK"/>
    <s v="OK"/>
    <n v="88000"/>
    <n v="66000"/>
    <n v="66000"/>
    <n v="154000"/>
    <n v="153860"/>
    <n v="198044"/>
    <n v="375760"/>
    <n v="264000"/>
    <n v="252780"/>
    <n v="601865"/>
    <n v="601173"/>
    <n v="832508"/>
    <m/>
    <n v="69278.27913836464"/>
    <n v="79275.392203215408"/>
    <n v="110000"/>
    <n v="50291.38364632053"/>
    <n v="129566.77584953594"/>
    <n v="59708.61635367947"/>
    <n v="110000"/>
    <n v="50291.38364632053"/>
    <n v="110000"/>
    <n v="59708.61635367947"/>
    <n v="127630"/>
    <n v="0"/>
  </r>
  <r>
    <s v="Agrosuper Asia1020904"/>
    <x v="0"/>
    <x v="1"/>
    <n v="1020904"/>
    <s v="GO Panc C/cue@ Cj Panc 230 TJ"/>
    <s v="Panceta"/>
    <s v="Panceta c/Cuero"/>
    <n v="88346"/>
    <n v="0"/>
    <n v="0.45719439678473212"/>
    <n v="40391.296178343946"/>
    <n v="20372"/>
    <n v="0"/>
    <n v="0"/>
    <n v="60763.296178343946"/>
    <n v="66000"/>
    <n v="22000"/>
    <n v="44000"/>
    <n v="0"/>
    <n v="44000"/>
    <n v="16763.296178343946"/>
    <n v="0"/>
    <n v="0"/>
    <n v="0"/>
    <n v="16763.296178343946"/>
    <n v="0"/>
    <n v="0"/>
    <n v="0"/>
    <n v="0"/>
    <n v="44000"/>
    <n v="44000"/>
    <n v="0"/>
    <n v="44000"/>
    <n v="0"/>
    <n v="44000"/>
    <n v="44000"/>
    <n v="0"/>
    <n v="0"/>
    <m/>
    <s v="Si"/>
    <n v="44000"/>
    <n v="20372"/>
    <n v="23628"/>
    <d v="2022-08-13T00:00:00"/>
    <n v="6.2596318710630809"/>
    <n v="6"/>
    <n v="6"/>
    <n v="264000"/>
    <n v="6.2596318710630809"/>
    <n v="4.1477178915792591E-2"/>
    <n v="6"/>
    <n v="6"/>
    <m/>
    <s v="OK"/>
    <s v="OK"/>
    <n v="22000"/>
    <n v="154000"/>
    <n v="66000"/>
    <n v="22000"/>
    <n v="22000"/>
    <n v="0"/>
    <n v="147276.35709999999"/>
    <n v="970200"/>
    <n v="412500"/>
    <n v="140295"/>
    <n v="139028"/>
    <n v="0"/>
    <m/>
    <n v="47954.703821656061"/>
    <n v="64718.000000000007"/>
    <n v="0"/>
    <n v="0"/>
    <n v="64718.000000000007"/>
    <n v="0"/>
    <n v="0"/>
    <n v="0"/>
    <n v="0"/>
    <n v="0"/>
    <n v="88346"/>
    <n v="0"/>
  </r>
  <r>
    <s v="Agrosuper Asia1020905"/>
    <x v="0"/>
    <x v="1"/>
    <n v="1020905"/>
    <s v="GO Panc C/cue@ Cj Panc 230 AK"/>
    <s v="Panceta"/>
    <s v="Panceta c/Cuero"/>
    <n v="55720"/>
    <n v="0"/>
    <n v="0.45719439678473212"/>
    <n v="25474.871788845274"/>
    <n v="10026"/>
    <n v="6988.8375759485771"/>
    <n v="0"/>
    <n v="41790.825607198996"/>
    <n v="22000"/>
    <n v="22000"/>
    <n v="22000"/>
    <n v="0"/>
    <n v="22000"/>
    <n v="19790.825607198996"/>
    <n v="0"/>
    <n v="0"/>
    <n v="0"/>
    <n v="19790.825607198996"/>
    <n v="0"/>
    <n v="0"/>
    <n v="0"/>
    <n v="0"/>
    <n v="44000"/>
    <n v="22000"/>
    <n v="0"/>
    <n v="22000"/>
    <n v="0"/>
    <n v="22000"/>
    <n v="22000"/>
    <n v="0"/>
    <n v="0"/>
    <m/>
    <s v="Si"/>
    <n v="22000"/>
    <n v="10026"/>
    <n v="11974"/>
    <d v="2022-08-13T00:00:00"/>
    <n v="0"/>
    <n v="6"/>
    <n v="6"/>
    <n v="132000"/>
    <n v="6.2485737093146936"/>
    <n v="3.9780871744242524E-2"/>
    <n v="6"/>
    <n v="6"/>
    <m/>
    <s v="OK"/>
    <s v="OK"/>
    <n v="22000"/>
    <n v="22000"/>
    <n v="0"/>
    <n v="44000"/>
    <n v="22000"/>
    <n v="0"/>
    <n v="153120"/>
    <n v="138600"/>
    <n v="0"/>
    <n v="281600"/>
    <n v="139661"/>
    <n v="0"/>
    <m/>
    <n v="30245.12821115473"/>
    <n v="50035.953818353722"/>
    <n v="0"/>
    <n v="0"/>
    <n v="50035.953818353722"/>
    <n v="0"/>
    <n v="0"/>
    <n v="0"/>
    <n v="0"/>
    <n v="0"/>
    <n v="55720"/>
    <n v="0"/>
  </r>
  <r>
    <s v="Agrosuper Asia1021012"/>
    <x v="0"/>
    <x v="1"/>
    <n v="1021012"/>
    <s v="GO Papda K@ Cj 20k AK"/>
    <s v="Plancha"/>
    <s v="Plancha s/Cuero"/>
    <n v="114630"/>
    <n v="198000"/>
    <n v="0.45719439678473212"/>
    <n v="52408.193703433841"/>
    <n v="55890"/>
    <n v="54977"/>
    <n v="0"/>
    <n v="157777.49370343384"/>
    <n v="0"/>
    <n v="22000"/>
    <n v="0"/>
    <n v="0"/>
    <n v="0"/>
    <n v="157777.49370343384"/>
    <n v="154000"/>
    <n v="0"/>
    <n v="154000"/>
    <n v="3777.4937034338363"/>
    <n v="0"/>
    <n v="0"/>
    <n v="0"/>
    <n v="0"/>
    <n v="176000"/>
    <n v="154000"/>
    <n v="0"/>
    <n v="0"/>
    <n v="154000"/>
    <n v="154000"/>
    <n v="0"/>
    <n v="154000"/>
    <n v="0"/>
    <m/>
    <s v="Si"/>
    <n v="154000"/>
    <n v="55890"/>
    <n v="98110"/>
    <d v="2022-08-13T00:00:00"/>
    <n v="1.92"/>
    <n v="0"/>
    <n v="1.92"/>
    <n v="295680"/>
    <n v="1.976849652487759"/>
    <n v="2.8757701637156297E-2"/>
    <n v="1.92"/>
    <n v="1.92"/>
    <m/>
    <s v="OK"/>
    <s v="OK"/>
    <n v="110000"/>
    <n v="66000"/>
    <n v="0"/>
    <n v="22000"/>
    <n v="176010"/>
    <n v="219933"/>
    <n v="247500"/>
    <n v="108240"/>
    <n v="0"/>
    <n v="38720"/>
    <n v="346371"/>
    <n v="424319"/>
    <m/>
    <n v="62221.806296566167"/>
    <n v="65999.3"/>
    <n v="11201.75"/>
    <n v="5121.377334183373"/>
    <n v="71120.677334183376"/>
    <n v="6080.372665816627"/>
    <n v="28253.3547"/>
    <n v="12917.275459211576"/>
    <n v="18997.648125028201"/>
    <n v="15336.079240788424"/>
    <n v="114630"/>
    <n v="0"/>
  </r>
  <r>
    <s v="Agrosuper Asia1021045"/>
    <x v="0"/>
    <x v="1"/>
    <n v="1021045"/>
    <s v="GO PernilM C/M@ Cj 15k AK"/>
    <s v="Pernil"/>
    <s v="Pernil Mano"/>
    <n v="89147"/>
    <n v="44000"/>
    <n v="0.45719439678473212"/>
    <n v="40757.508890168516"/>
    <n v="17947"/>
    <n v="0"/>
    <n v="0"/>
    <n v="58704.508890168516"/>
    <n v="66000"/>
    <n v="22000"/>
    <n v="44000"/>
    <n v="0"/>
    <n v="44000"/>
    <n v="14704.508890168516"/>
    <n v="0"/>
    <n v="0"/>
    <n v="0"/>
    <n v="14704.508890168516"/>
    <n v="0"/>
    <n v="0"/>
    <n v="0"/>
    <n v="0"/>
    <n v="44000"/>
    <n v="44000"/>
    <n v="0"/>
    <n v="44000"/>
    <n v="0"/>
    <n v="44000"/>
    <n v="44000"/>
    <n v="0"/>
    <n v="0"/>
    <m/>
    <s v="Si"/>
    <n v="44000"/>
    <n v="17947"/>
    <n v="26053"/>
    <d v="2022-08-13T00:00:00"/>
    <n v="2.02"/>
    <n v="2.1335303030303034"/>
    <n v="2.1335303030303034"/>
    <n v="93875.333333333358"/>
    <n v="2.0066029892027277"/>
    <n v="6.3254821462220098E-2"/>
    <n v="2.1335303030303034"/>
    <n v="2.1335303030303034"/>
    <m/>
    <s v="OK"/>
    <s v="OK"/>
    <n v="88000"/>
    <n v="44000"/>
    <n v="22000"/>
    <n v="44000"/>
    <n v="22000"/>
    <n v="22000"/>
    <n v="237667.5"/>
    <n v="114400"/>
    <n v="43120"/>
    <n v="91571"/>
    <n v="45756"/>
    <n v="42091"/>
    <m/>
    <n v="48389.491109831491"/>
    <n v="63094.000000000007"/>
    <n v="0"/>
    <n v="0"/>
    <n v="63094.000000000007"/>
    <n v="0"/>
    <n v="0"/>
    <n v="0"/>
    <n v="0"/>
    <n v="0"/>
    <n v="89147"/>
    <n v="0"/>
  </r>
  <r>
    <s v="Agrosuper Asia1021046"/>
    <x v="0"/>
    <x v="1"/>
    <n v="1021046"/>
    <s v="GO PernilM C/M@ Cj 15k TJ"/>
    <s v="Pernil"/>
    <s v="Pernil Mano"/>
    <n v="0"/>
    <n v="0"/>
    <n v="0.45719439678473212"/>
    <n v="0"/>
    <n v="7064"/>
    <n v="0"/>
    <n v="0"/>
    <n v="7064"/>
    <n v="0"/>
    <n v="22000"/>
    <n v="0"/>
    <n v="0"/>
    <n v="0"/>
    <n v="7064"/>
    <n v="0"/>
    <n v="0"/>
    <n v="0"/>
    <n v="706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2.0099957123970191"/>
    <n v="0"/>
    <n v="0"/>
    <n v="0"/>
    <n v="2.0099957123970191"/>
    <s v="No Aplica"/>
    <n v="0"/>
    <n v="0"/>
    <m/>
    <s v="OK"/>
    <s v="OK"/>
    <n v="88000"/>
    <n v="66000"/>
    <n v="44000"/>
    <n v="44000"/>
    <n v="22105"/>
    <n v="44022"/>
    <n v="227040"/>
    <n v="171600"/>
    <n v="99220"/>
    <n v="88542"/>
    <n v="45973"/>
    <n v="42091"/>
    <m/>
    <n v="0"/>
    <n v="7064"/>
    <n v="7064.2829999999994"/>
    <n v="3229.7506049016374"/>
    <n v="10293.750604901637"/>
    <n v="3834.532395098362"/>
    <n v="0"/>
    <n v="0"/>
    <n v="3834.532395098362"/>
    <n v="0"/>
    <n v="0"/>
    <n v="0"/>
  </r>
  <r>
    <s v="Agrosuper Asia1021149"/>
    <x v="0"/>
    <x v="1"/>
    <n v="1021149"/>
    <s v="GO Tira Hso Ctro@ Cj 20k TJ"/>
    <s v="Huesos"/>
    <s v="Huesos Cuarto Centra"/>
    <n v="47984"/>
    <n v="44000"/>
    <n v="0.45719439678473212"/>
    <n v="21938.015935318585"/>
    <n v="16832"/>
    <n v="0"/>
    <n v="0"/>
    <n v="38770.015935318588"/>
    <n v="22000"/>
    <n v="22000"/>
    <n v="22000"/>
    <n v="0"/>
    <n v="22000"/>
    <n v="16770.015935318588"/>
    <n v="0"/>
    <n v="0"/>
    <n v="0"/>
    <n v="16770.015935318588"/>
    <n v="0"/>
    <n v="0"/>
    <n v="0"/>
    <n v="0"/>
    <n v="44000"/>
    <n v="22000"/>
    <n v="0"/>
    <n v="22000"/>
    <n v="0"/>
    <n v="22000"/>
    <n v="22000"/>
    <n v="0"/>
    <n v="0"/>
    <m/>
    <s v="Si"/>
    <n v="22000"/>
    <n v="16832"/>
    <n v="5168"/>
    <d v="2022-08-13T00:00:00"/>
    <n v="0.72"/>
    <n v="0.77812499999999996"/>
    <n v="0.77812499999999996"/>
    <n v="17118.75"/>
    <n v="0.77837931425976381"/>
    <n v="3.2672278811225454E-4"/>
    <n v="0.77812499999999996"/>
    <n v="0.77812499999999996"/>
    <m/>
    <s v="OK"/>
    <s v="OK"/>
    <n v="66000"/>
    <n v="44000"/>
    <n v="66000"/>
    <n v="44000"/>
    <n v="66000"/>
    <n v="110000"/>
    <n v="75240"/>
    <n v="72160"/>
    <n v="67980"/>
    <n v="46640"/>
    <n v="54659"/>
    <n v="81377"/>
    <m/>
    <n v="26045.984064681415"/>
    <n v="42816"/>
    <n v="62165.822"/>
    <n v="28421.865489917029"/>
    <n v="71237.865489917021"/>
    <n v="33743.956510082971"/>
    <n v="20557.614000000001"/>
    <n v="9398.8259320633642"/>
    <n v="43142.782442146337"/>
    <n v="11158.788067936637"/>
    <n v="47984"/>
    <n v="0"/>
  </r>
  <r>
    <s v="Agrosuper Asia1021150"/>
    <x v="0"/>
    <x v="1"/>
    <n v="1021150"/>
    <s v="GO Tira Hso Ctro@ Cj 20k AK"/>
    <s v="Huesos"/>
    <s v="Huesos Cuarto Centra"/>
    <n v="45056"/>
    <n v="22000"/>
    <n v="0.45719439678473212"/>
    <n v="20599.35074153289"/>
    <n v="20912"/>
    <n v="0"/>
    <n v="0"/>
    <n v="41511.350741532893"/>
    <n v="66000"/>
    <n v="22000"/>
    <n v="22000"/>
    <n v="0"/>
    <n v="22000"/>
    <n v="19511.350741532893"/>
    <n v="0"/>
    <n v="0"/>
    <n v="0"/>
    <n v="19511.350741532893"/>
    <n v="0"/>
    <n v="0"/>
    <n v="0"/>
    <n v="0"/>
    <n v="22000"/>
    <n v="22000"/>
    <n v="0"/>
    <n v="22000"/>
    <n v="0"/>
    <n v="22000"/>
    <n v="22000"/>
    <n v="0"/>
    <n v="0"/>
    <m/>
    <s v="Si"/>
    <n v="22000"/>
    <n v="20912"/>
    <n v="1088"/>
    <d v="2022-08-13T00:00:00"/>
    <n v="0.72"/>
    <n v="0.85019696969696967"/>
    <n v="0.85019696969696967"/>
    <n v="18704.333333333332"/>
    <n v="0.82956818181818182"/>
    <n v="2.4866898623781972E-2"/>
    <n v="0.85019696969696967"/>
    <n v="0.85019696969696967"/>
    <m/>
    <s v="OK"/>
    <s v="OK"/>
    <n v="44000"/>
    <n v="66000"/>
    <n v="22000"/>
    <n v="44000"/>
    <n v="22000"/>
    <n v="88000"/>
    <n v="49824.5"/>
    <n v="108240"/>
    <n v="23100"/>
    <n v="49060"/>
    <n v="23341"/>
    <n v="65304"/>
    <m/>
    <n v="24456.649258467114"/>
    <n v="43968.000000000007"/>
    <n v="0"/>
    <n v="0"/>
    <n v="43968.000000000007"/>
    <n v="0"/>
    <n v="0"/>
    <n v="0"/>
    <n v="0"/>
    <n v="0"/>
    <n v="45056"/>
    <n v="0"/>
  </r>
  <r>
    <s v="Agrosuper Asia1021151"/>
    <x v="0"/>
    <x v="1"/>
    <n v="1021151"/>
    <s v="GO Hso Cogote@ Bo Cj 20k TJ"/>
    <s v="Huesos"/>
    <s v="Huesos Cuarto Delant"/>
    <n v="70886"/>
    <n v="44000"/>
    <n v="0.45719439678473212"/>
    <n v="32408.68201048252"/>
    <n v="2800"/>
    <n v="0"/>
    <n v="0"/>
    <n v="35208.682010482516"/>
    <n v="44000"/>
    <n v="22000"/>
    <n v="22000"/>
    <n v="0"/>
    <n v="22000"/>
    <n v="13208.682010482516"/>
    <n v="0"/>
    <n v="0"/>
    <n v="0"/>
    <n v="13208.682010482516"/>
    <n v="0"/>
    <n v="0"/>
    <n v="0"/>
    <n v="0"/>
    <n v="44000"/>
    <n v="22000"/>
    <n v="0"/>
    <n v="22000"/>
    <n v="0"/>
    <n v="22000"/>
    <n v="22000"/>
    <n v="0"/>
    <n v="0"/>
    <m/>
    <s v="Si"/>
    <n v="22000"/>
    <n v="2800"/>
    <n v="19200"/>
    <d v="2022-08-13T00:00:00"/>
    <n v="1.1200000000000001"/>
    <n v="1.3"/>
    <n v="1.3"/>
    <n v="28600"/>
    <n v="1.3518370316478718"/>
    <n v="3.8345621871804417E-2"/>
    <n v="1.3"/>
    <n v="1.3"/>
    <m/>
    <s v="OK"/>
    <s v="OK"/>
    <n v="44000"/>
    <n v="22000"/>
    <n v="22000"/>
    <n v="44000"/>
    <n v="44000"/>
    <n v="22000"/>
    <n v="73726.666700000002"/>
    <n v="35200"/>
    <n v="34100"/>
    <n v="71771"/>
    <n v="70197"/>
    <n v="24490"/>
    <m/>
    <n v="38477.317989517484"/>
    <n v="51686"/>
    <n v="0"/>
    <n v="0"/>
    <n v="51686"/>
    <n v="0"/>
    <n v="0"/>
    <n v="0"/>
    <n v="0"/>
    <n v="0"/>
    <n v="70886"/>
    <n v="0"/>
  </r>
  <r>
    <s v="Agrosuper Asia1021152"/>
    <x v="0"/>
    <x v="1"/>
    <n v="1021152"/>
    <s v="GO Hso Cogote@ Bo Cj 20k AK"/>
    <s v="Huesos"/>
    <s v="Huesos Cuarto Delant"/>
    <n v="22560"/>
    <n v="22000"/>
    <n v="0.45719439678473212"/>
    <n v="10314.305591463557"/>
    <n v="21376"/>
    <n v="0"/>
    <n v="0"/>
    <n v="31690.305591463555"/>
    <n v="22000"/>
    <n v="22000"/>
    <n v="22000"/>
    <n v="0"/>
    <n v="22000"/>
    <n v="9690.3055914635552"/>
    <n v="0"/>
    <n v="0"/>
    <n v="0"/>
    <n v="9690.3055914635552"/>
    <n v="0"/>
    <n v="0"/>
    <n v="0"/>
    <n v="0"/>
    <n v="0"/>
    <n v="22000"/>
    <n v="0"/>
    <n v="22000"/>
    <n v="0"/>
    <n v="22000"/>
    <n v="22000"/>
    <n v="0"/>
    <n v="0"/>
    <m/>
    <s v="Si"/>
    <n v="22000"/>
    <n v="21376"/>
    <n v="624"/>
    <d v="2022-08-13T00:00:00"/>
    <n v="1.1200000000000001"/>
    <n v="1.3"/>
    <n v="1.3"/>
    <n v="28600"/>
    <n v="0"/>
    <s v="No Aplica"/>
    <n v="1.3"/>
    <n v="1.3"/>
    <m/>
    <s v="OK"/>
    <s v="OK"/>
    <n v="44000"/>
    <n v="22000"/>
    <n v="44000"/>
    <n v="22000"/>
    <n v="0"/>
    <n v="22000"/>
    <n v="71559.5"/>
    <n v="35200"/>
    <n v="68200"/>
    <n v="34320"/>
    <n v="0"/>
    <n v="24491"/>
    <m/>
    <n v="12245.694408536445"/>
    <n v="21936"/>
    <n v="0"/>
    <n v="0"/>
    <n v="21936"/>
    <n v="0"/>
    <n v="0"/>
    <n v="0"/>
    <n v="0"/>
    <n v="0"/>
    <n v="22560"/>
    <n v="0"/>
  </r>
  <r>
    <s v="Agrosuper Asia1021156"/>
    <x v="0"/>
    <x v="1"/>
    <n v="1021156"/>
    <s v="GO Hso Pecho@ Cj Lom Vet TJ"/>
    <s v="Huesos"/>
    <s v="Huesos Cuarto Centra"/>
    <n v="37553"/>
    <n v="24000"/>
    <n v="0.45719439678473212"/>
    <n v="17169.021182457043"/>
    <n v="46061"/>
    <n v="454"/>
    <n v="0"/>
    <n v="63638.621182457042"/>
    <n v="24000"/>
    <n v="23000"/>
    <n v="24000"/>
    <n v="0"/>
    <n v="24000"/>
    <n v="39638.621182457042"/>
    <n v="23000"/>
    <n v="0"/>
    <n v="23000"/>
    <n v="16638.621182457042"/>
    <n v="0"/>
    <n v="0"/>
    <n v="0"/>
    <n v="0"/>
    <n v="24000"/>
    <n v="47000"/>
    <n v="0"/>
    <n v="24000"/>
    <n v="23000"/>
    <n v="47000"/>
    <n v="24000"/>
    <n v="23000"/>
    <n v="0"/>
    <m/>
    <s v="Si"/>
    <n v="47000"/>
    <n v="46061"/>
    <n v="939"/>
    <d v="2022-08-13T00:00:00"/>
    <n v="2.57"/>
    <n v="2.9"/>
    <n v="2.7385106382978726"/>
    <n v="128710.00000000001"/>
    <n v="2.7381864799999995"/>
    <n v="1.1838430298327341E-4"/>
    <n v="2.7385106382978726"/>
    <n v="2.7385106382978726"/>
    <m/>
    <s v="OK"/>
    <s v="OK"/>
    <n v="46000"/>
    <n v="72000"/>
    <n v="7000"/>
    <n v="14000"/>
    <n v="24000"/>
    <n v="24000"/>
    <n v="134780"/>
    <n v="181080"/>
    <n v="17570"/>
    <n v="35840"/>
    <n v="86720"/>
    <n v="65716"/>
    <m/>
    <n v="20383.978817542957"/>
    <n v="37022.6"/>
    <n v="48000"/>
    <n v="21945.331045667142"/>
    <n v="58967.931045667137"/>
    <n v="26054.668954332858"/>
    <n v="1992.8752999999999"/>
    <n v="911.13142065069201"/>
    <n v="26965.800374983548"/>
    <n v="1081.7438793493079"/>
    <n v="37553"/>
    <n v="0"/>
  </r>
  <r>
    <s v="Agrosuper Asia1021204"/>
    <x v="0"/>
    <x v="1"/>
    <n v="1021204"/>
    <s v="GO Lom Tocino@ Cj 20k AS"/>
    <s v="Grasas"/>
    <s v="Grasa Lomo Tocino"/>
    <n v="26980"/>
    <n v="48000"/>
    <n v="0.45719439678473212"/>
    <n v="12335.104825252072"/>
    <n v="45100"/>
    <n v="0"/>
    <n v="0"/>
    <n v="57435.10482525207"/>
    <n v="24000"/>
    <n v="24000"/>
    <n v="24000"/>
    <n v="0"/>
    <n v="24000"/>
    <n v="33435.10482525207"/>
    <n v="24000"/>
    <n v="-24000"/>
    <n v="0"/>
    <n v="33435.10482525207"/>
    <n v="0"/>
    <n v="0"/>
    <n v="0"/>
    <n v="0"/>
    <n v="48000"/>
    <n v="48000"/>
    <n v="0"/>
    <n v="24000"/>
    <n v="24000"/>
    <n v="24000"/>
    <n v="24000"/>
    <n v="0"/>
    <s v="PAGO"/>
    <s v="Permisos y pago"/>
    <s v="Si"/>
    <n v="24000"/>
    <n v="24000"/>
    <n v="0"/>
    <d v="2022-08-13T00:00:00"/>
    <n v="1.29"/>
    <n v="1.4274512500000001"/>
    <n v="1.4274512500000001"/>
    <n v="32400.000000000004"/>
    <n v="1.3549024999999999"/>
    <n v="5.3545365810455117E-2"/>
    <n v="1.35"/>
    <n v="1.4274512500000001"/>
    <m/>
    <s v="OK"/>
    <s v="OK"/>
    <n v="24000"/>
    <n v="0"/>
    <n v="0"/>
    <n v="0"/>
    <n v="0"/>
    <n v="24000"/>
    <n v="32880"/>
    <n v="0"/>
    <n v="0"/>
    <n v="0"/>
    <n v="0"/>
    <n v="30925"/>
    <m/>
    <n v="14644.89517474793"/>
    <n v="48080"/>
    <n v="0"/>
    <n v="0"/>
    <n v="48080"/>
    <n v="0"/>
    <n v="0"/>
    <n v="0"/>
    <n v="0"/>
    <n v="0"/>
    <n v="26980"/>
    <n v="0"/>
  </r>
  <r>
    <s v="Agrosuper Asia1021470"/>
    <x v="0"/>
    <x v="1"/>
    <n v="1021470"/>
    <s v="GO PernilM@ Cj 20k AK"/>
    <s v="Pernil"/>
    <s v="Pernil Mano"/>
    <n v="24543"/>
    <n v="22000"/>
    <n v="0.45719439678473212"/>
    <n v="11220.922080287681"/>
    <n v="18571"/>
    <n v="0"/>
    <n v="0"/>
    <n v="29791.922080287681"/>
    <n v="22000"/>
    <n v="22000"/>
    <n v="22000"/>
    <n v="0"/>
    <n v="22000"/>
    <n v="7791.9220802876807"/>
    <n v="0"/>
    <n v="0"/>
    <n v="0"/>
    <n v="7791.9220802876807"/>
    <n v="0"/>
    <n v="0"/>
    <n v="0"/>
    <n v="0"/>
    <n v="0"/>
    <n v="22000"/>
    <n v="0"/>
    <n v="22000"/>
    <n v="0"/>
    <n v="22000"/>
    <n v="22000"/>
    <n v="0"/>
    <n v="0"/>
    <m/>
    <s v="Si"/>
    <n v="22000"/>
    <n v="18571"/>
    <n v="3429"/>
    <d v="2022-08-13T00:00:00"/>
    <n v="1.32"/>
    <n v="1.6"/>
    <n v="1.6"/>
    <n v="35200"/>
    <n v="1.6593443781464239"/>
    <n v="3.576375038719487E-2"/>
    <n v="1.6"/>
    <n v="1.6"/>
    <m/>
    <s v="OK"/>
    <s v="OK"/>
    <n v="22000"/>
    <n v="22000"/>
    <n v="0"/>
    <n v="22000"/>
    <n v="0"/>
    <n v="22000"/>
    <n v="41800"/>
    <n v="45540"/>
    <n v="0"/>
    <n v="39600"/>
    <n v="0"/>
    <n v="36511"/>
    <m/>
    <n v="13322.077919712321"/>
    <n v="21114"/>
    <n v="0"/>
    <n v="0"/>
    <n v="21114"/>
    <n v="0"/>
    <n v="0"/>
    <n v="0"/>
    <n v="0"/>
    <n v="0"/>
    <n v="24543"/>
    <n v="0"/>
  </r>
  <r>
    <s v="Agrosuper Asia1021655"/>
    <x v="0"/>
    <x v="1"/>
    <n v="1021655"/>
    <s v="GO Estómago Pouch@ Bo Cj 10k AS"/>
    <s v="Subprod"/>
    <s v="Subprod Visceras"/>
    <n v="0"/>
    <n v="0"/>
    <n v="0.45719439678473212"/>
    <n v="0"/>
    <n v="10440"/>
    <n v="10000"/>
    <n v="0"/>
    <n v="19440"/>
    <n v="24000"/>
    <n v="24000"/>
    <n v="0"/>
    <n v="0"/>
    <n v="0"/>
    <n v="19440"/>
    <n v="0"/>
    <n v="0"/>
    <n v="0"/>
    <n v="19440"/>
    <n v="0"/>
    <n v="0"/>
    <n v="0"/>
    <n v="0"/>
    <n v="24000"/>
    <n v="0"/>
    <n v="0"/>
    <n v="0"/>
    <n v="0"/>
    <n v="0"/>
    <n v="0"/>
    <n v="0"/>
    <n v="0"/>
    <m/>
    <s v="No"/>
    <n v="0"/>
    <n v="0"/>
    <n v="0"/>
    <d v="2022-08-13T00:00:00"/>
    <n v="1.8645504166666667"/>
    <n v="1.86455041666667"/>
    <n v="0"/>
    <n v="0"/>
    <n v="1.8645504166666667"/>
    <s v="No Aplica"/>
    <n v="0"/>
    <n v="0"/>
    <m/>
    <s v="OK"/>
    <s v="OK"/>
    <n v="0"/>
    <n v="0"/>
    <n v="0"/>
    <n v="0"/>
    <n v="48000"/>
    <n v="24000"/>
    <n v="0"/>
    <n v="0"/>
    <n v="0"/>
    <n v="0"/>
    <n v="96000"/>
    <n v="46375"/>
    <m/>
    <n v="0"/>
    <n v="19440"/>
    <n v="0"/>
    <n v="0"/>
    <n v="19440"/>
    <n v="0"/>
    <n v="0"/>
    <n v="0"/>
    <n v="0"/>
    <n v="0"/>
    <n v="0"/>
    <n v="0"/>
  </r>
  <r>
    <s v="Agrosuper Asia1021664"/>
    <x v="0"/>
    <x v="1"/>
    <n v="1021664"/>
    <s v="GO Pecho S/cue K@ Cj 20k TJ"/>
    <s v="Cost-Pec"/>
    <s v="Cost-Pec Entero"/>
    <n v="0"/>
    <n v="0"/>
    <n v="0.45719439678473212"/>
    <n v="0"/>
    <n v="26487"/>
    <n v="0"/>
    <n v="0"/>
    <n v="26487"/>
    <n v="39000"/>
    <n v="22000"/>
    <n v="22000"/>
    <n v="0"/>
    <n v="22000"/>
    <n v="4487"/>
    <n v="0"/>
    <n v="0"/>
    <n v="0"/>
    <n v="4487"/>
    <n v="0"/>
    <n v="0"/>
    <n v="0"/>
    <n v="0"/>
    <n v="22000"/>
    <n v="22000"/>
    <n v="0"/>
    <n v="22000"/>
    <n v="0"/>
    <n v="22000"/>
    <n v="22000"/>
    <n v="0"/>
    <n v="0"/>
    <m/>
    <s v="Si"/>
    <n v="22000"/>
    <n v="22000"/>
    <n v="0"/>
    <d v="2022-08-13T00:00:00"/>
    <n v="5.532529901428699"/>
    <n v="5.7157179487179501"/>
    <n v="5.7157179487179501"/>
    <n v="125745.7948717949"/>
    <n v="5.532529901428699"/>
    <n v="3.3111081287051938E-2"/>
    <n v="5.7157179487179501"/>
    <n v="5.7157179487179501"/>
    <m/>
    <s v="OK"/>
    <s v="OK"/>
    <n v="154000"/>
    <n v="66000"/>
    <n v="66000"/>
    <n v="66000"/>
    <n v="44000"/>
    <n v="0"/>
    <n v="927442.25"/>
    <n v="349140"/>
    <n v="364980"/>
    <n v="362785"/>
    <n v="242281"/>
    <n v="0"/>
    <m/>
    <n v="0"/>
    <n v="4487"/>
    <n v="0"/>
    <n v="0"/>
    <n v="4487"/>
    <n v="0"/>
    <n v="0"/>
    <n v="0"/>
    <n v="0"/>
    <n v="0"/>
    <n v="0"/>
    <n v="0"/>
  </r>
  <r>
    <s v="Agrosuper Asia1021665"/>
    <x v="0"/>
    <x v="1"/>
    <n v="1021665"/>
    <s v="GO Pecho S/cue K@ Cj 20k AK"/>
    <s v="Cost-Pec"/>
    <s v="Cost-Pec Entero"/>
    <n v="0"/>
    <n v="0"/>
    <n v="0.45719439678473212"/>
    <n v="0"/>
    <n v="1774"/>
    <n v="0"/>
    <n v="0"/>
    <n v="1774"/>
    <n v="0"/>
    <n v="22000"/>
    <n v="0"/>
    <n v="0"/>
    <n v="0"/>
    <n v="1774"/>
    <n v="0"/>
    <n v="0"/>
    <n v="0"/>
    <n v="177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5.4593786987635893"/>
    <n v="0"/>
    <n v="0"/>
    <n v="0"/>
    <n v="5.4593786987635893"/>
    <s v="No Aplica"/>
    <n v="0"/>
    <n v="0"/>
    <m/>
    <s v="OK"/>
    <s v="OK"/>
    <n v="44000"/>
    <n v="110000"/>
    <n v="44000"/>
    <n v="66000"/>
    <n v="44061"/>
    <n v="21786"/>
    <n v="265776"/>
    <n v="584650"/>
    <n v="243320"/>
    <n v="366571"/>
    <n v="243648"/>
    <n v="118940"/>
    <m/>
    <n v="0"/>
    <n v="1774"/>
    <n v="1774.02"/>
    <n v="811.07200378405048"/>
    <n v="2585.0720037840506"/>
    <n v="962.9479962159495"/>
    <n v="0"/>
    <n v="0"/>
    <n v="962.9479962159495"/>
    <n v="0"/>
    <n v="0"/>
    <n v="0"/>
  </r>
  <r>
    <s v="Agrosuper Asia1022182"/>
    <x v="0"/>
    <x v="1"/>
    <n v="1022182"/>
    <s v="GO BB Ribs 20-24 Oz@ Cj 10k AS"/>
    <s v="Chuleta"/>
    <s v="Chuleta Huesos"/>
    <n v="0"/>
    <n v="0"/>
    <n v="0.45719439678473212"/>
    <n v="0"/>
    <n v="1150"/>
    <n v="0"/>
    <n v="0"/>
    <n v="1150"/>
    <n v="0"/>
    <n v="22000"/>
    <n v="0"/>
    <n v="0"/>
    <n v="0"/>
    <n v="1150"/>
    <n v="0"/>
    <n v="0"/>
    <n v="0"/>
    <n v="115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5.3595909090909091"/>
    <n v="0"/>
    <n v="0"/>
    <n v="0"/>
    <n v="5.3595909090909091"/>
    <s v="No Aplica"/>
    <n v="0"/>
    <n v="0"/>
    <m/>
    <s v="OK"/>
    <s v="OK"/>
    <n v="0"/>
    <n v="0"/>
    <n v="0"/>
    <n v="22000"/>
    <n v="0"/>
    <n v="22000"/>
    <n v="0"/>
    <n v="0"/>
    <n v="0"/>
    <n v="121000"/>
    <n v="0"/>
    <n v="116891"/>
    <m/>
    <n v="0"/>
    <n v="1150"/>
    <n v="1150"/>
    <n v="525.77355630244199"/>
    <n v="1675.7735563024421"/>
    <n v="624.22644369755801"/>
    <n v="0"/>
    <n v="0"/>
    <n v="624.22644369755801"/>
    <n v="0"/>
    <n v="0"/>
    <n v="0"/>
  </r>
  <r>
    <s v="Agrosuper Asia1022283"/>
    <x v="0"/>
    <x v="1"/>
    <n v="1022283"/>
    <s v="GO Malaya 5-6mm@ Bo Cj 9k AS"/>
    <s v="Prolijado"/>
    <s v="Prolijado Malaya"/>
    <n v="0"/>
    <n v="0"/>
    <n v="0.45719439678473212"/>
    <n v="0"/>
    <n v="7740"/>
    <n v="0"/>
    <n v="0"/>
    <n v="7740"/>
    <n v="5000"/>
    <n v="5000"/>
    <n v="5000"/>
    <n v="0"/>
    <n v="5000"/>
    <n v="2740"/>
    <n v="0"/>
    <n v="0"/>
    <n v="0"/>
    <n v="2740"/>
    <n v="0"/>
    <n v="0"/>
    <n v="0"/>
    <n v="0"/>
    <n v="5000"/>
    <n v="5000"/>
    <n v="0"/>
    <n v="5000"/>
    <n v="0"/>
    <n v="5000"/>
    <n v="5000"/>
    <n v="0"/>
    <n v="0"/>
    <m/>
    <s v="Si"/>
    <n v="5000"/>
    <n v="5000"/>
    <n v="0"/>
    <d v="2022-08-13T00:00:00"/>
    <n v="5.8383791875325235"/>
    <n v="6.5"/>
    <n v="6.5"/>
    <n v="32500"/>
    <n v="5.8383791875325235"/>
    <n v="0.11332268617980902"/>
    <n v="6.5"/>
    <n v="6.5"/>
    <m/>
    <s v="OK"/>
    <s v="OK"/>
    <n v="11000"/>
    <n v="9000"/>
    <n v="0"/>
    <n v="5000"/>
    <n v="6000"/>
    <n v="10000"/>
    <n v="62981.599999999999"/>
    <n v="48600"/>
    <n v="0"/>
    <n v="28500"/>
    <n v="32760"/>
    <n v="60298"/>
    <m/>
    <n v="0"/>
    <n v="2740"/>
    <n v="3253.6640000000002"/>
    <n v="1487.5569498201987"/>
    <n v="4227.5569498201985"/>
    <n v="1766.1070501798015"/>
    <n v="0"/>
    <n v="0"/>
    <n v="1766.1070501798015"/>
    <n v="0"/>
    <n v="0"/>
    <n v="0"/>
  </r>
  <r>
    <s v="Agrosuper Asia1022607"/>
    <x v="0"/>
    <x v="1"/>
    <n v="1022607"/>
    <s v="GO Platead Lom TF@ Cj 10k AK (TS)"/>
    <s v="Prolijado"/>
    <s v="Prolijado Plateada"/>
    <n v="27461"/>
    <n v="22000"/>
    <n v="0.45719439678473212"/>
    <n v="12555.015330105529"/>
    <n v="18124"/>
    <n v="6809"/>
    <n v="0"/>
    <n v="36807.115330105531"/>
    <n v="22000"/>
    <n v="22000"/>
    <n v="22000"/>
    <n v="0"/>
    <n v="22000"/>
    <n v="14807.115330105531"/>
    <n v="0"/>
    <n v="0"/>
    <n v="0"/>
    <n v="14807.115330105531"/>
    <n v="0"/>
    <n v="0"/>
    <n v="0"/>
    <n v="0"/>
    <n v="22000"/>
    <n v="22000"/>
    <n v="0"/>
    <n v="22000"/>
    <n v="0"/>
    <n v="22000"/>
    <n v="22000"/>
    <n v="0"/>
    <n v="0"/>
    <m/>
    <s v="Si"/>
    <n v="22000"/>
    <n v="18124"/>
    <n v="3876"/>
    <d v="2022-08-13T00:00:00"/>
    <n v="5.32"/>
    <n v="5.5"/>
    <n v="5.5"/>
    <n v="121000"/>
    <n v="5.1535673362446408"/>
    <n v="6.722191467625252E-2"/>
    <n v="5.5"/>
    <n v="5.5"/>
    <m/>
    <s v="OK"/>
    <s v="OK"/>
    <n v="22000"/>
    <n v="22000"/>
    <n v="22000"/>
    <n v="44000"/>
    <n v="44001"/>
    <n v="22000"/>
    <n v="126060"/>
    <n v="114400"/>
    <n v="112860"/>
    <n v="233200"/>
    <n v="233204"/>
    <n v="116600"/>
    <m/>
    <n v="14905.984669894473"/>
    <n v="29713.100000000006"/>
    <n v="28082.458000000002"/>
    <n v="12839.142445542575"/>
    <n v="42552.242445542579"/>
    <n v="15243.315554457427"/>
    <n v="25943.100999999999"/>
    <n v="11861.04041242038"/>
    <n v="27104.355966877807"/>
    <n v="14082.060587579619"/>
    <n v="27461"/>
    <n v="0"/>
  </r>
  <r>
    <s v="Agrosuper Asia1022885"/>
    <x v="0"/>
    <x v="1"/>
    <n v="1022885"/>
    <s v="GO Panc S/cue@ Cj Panc TJ"/>
    <s v="Panceta"/>
    <s v="Panceta s/Cuero"/>
    <n v="584437"/>
    <n v="637000"/>
    <n v="0.45719439678473212"/>
    <n v="267201.32167367847"/>
    <n v="83724"/>
    <n v="135172.75213819137"/>
    <n v="0"/>
    <n v="472580.79859805072"/>
    <n v="154000"/>
    <n v="22000"/>
    <n v="154000"/>
    <n v="-66000"/>
    <n v="88000"/>
    <n v="384580.79859805072"/>
    <n v="374000"/>
    <n v="0"/>
    <n v="374000"/>
    <n v="10580.798598050722"/>
    <n v="0"/>
    <n v="0"/>
    <n v="0"/>
    <n v="66004.149999999994"/>
    <n v="572004.15"/>
    <n v="594004.15"/>
    <n v="66004.149999999994"/>
    <n v="88000"/>
    <n v="440000"/>
    <n v="528004.15"/>
    <n v="88000"/>
    <n v="374000"/>
    <s v="Veo solo 88 tn de atraso"/>
    <s v="Pedidos en sistema"/>
    <s v="Si"/>
    <n v="462000"/>
    <n v="83724"/>
    <n v="378276"/>
    <d v="2022-08-13T00:00:00"/>
    <n v="6.12"/>
    <n v="6.0501548672566399"/>
    <n v="6.0996281140976292"/>
    <n v="3189145.0660000001"/>
    <n v="6.0085021215701131"/>
    <n v="1.5166174644489177E-2"/>
    <n v="6.04"/>
    <n v="6.0996281140976292"/>
    <m/>
    <s v="OK"/>
    <s v="OK"/>
    <n v="660000"/>
    <n v="597000"/>
    <n v="476000"/>
    <n v="702000"/>
    <n v="615555"/>
    <n v="469016"/>
    <n v="4448231.7450000001"/>
    <n v="3883485"/>
    <n v="2975000"/>
    <n v="4283678"/>
    <n v="3723805"/>
    <n v="2830975"/>
    <m/>
    <n v="317235.67832632153"/>
    <n v="327816.47692437225"/>
    <n v="637999.99800000002"/>
    <n v="291690.02423427033"/>
    <n v="619506.50115864258"/>
    <n v="346309.97376572969"/>
    <n v="660000.00300000003"/>
    <n v="301748.3032495064"/>
    <n v="648058.27701523609"/>
    <n v="358251.69975049363"/>
    <n v="584437"/>
    <n v="0"/>
  </r>
  <r>
    <s v="Agrosuper Asia1022887"/>
    <x v="0"/>
    <x v="1"/>
    <n v="1022887"/>
    <s v="GO Panc S/cue@ Cj Panc AK"/>
    <s v="Panceta"/>
    <s v="Panceta s/Cuero"/>
    <n v="343870"/>
    <n v="360000"/>
    <n v="0.45719439678473212"/>
    <n v="157215.43722236584"/>
    <n v="48730"/>
    <n v="66161"/>
    <n v="0"/>
    <n v="265490.33722236584"/>
    <n v="110000"/>
    <n v="22000"/>
    <n v="110000"/>
    <n v="0"/>
    <n v="110000"/>
    <n v="155490.33722236584"/>
    <n v="154000"/>
    <n v="0"/>
    <n v="154000"/>
    <n v="1490.3372223658371"/>
    <n v="0"/>
    <n v="0"/>
    <n v="0"/>
    <n v="0"/>
    <n v="220000"/>
    <n v="264000"/>
    <n v="0"/>
    <n v="110000"/>
    <n v="154000"/>
    <n v="264000"/>
    <n v="110000"/>
    <n v="154000"/>
    <n v="0"/>
    <m/>
    <s v="Si"/>
    <n v="264000"/>
    <n v="48730"/>
    <n v="215270"/>
    <d v="2022-08-13T00:00:00"/>
    <n v="6.12"/>
    <n v="6.05104166666667"/>
    <n v="6.0912673611111128"/>
    <n v="1608094.5833333337"/>
    <n v="6.0096655216865917"/>
    <n v="1.3578432797973716E-2"/>
    <n v="6.0912673611111128"/>
    <n v="6.0912673611111128"/>
    <m/>
    <s v="OK"/>
    <s v="OK"/>
    <n v="198000"/>
    <n v="275000"/>
    <n v="385000"/>
    <n v="352000"/>
    <n v="308028"/>
    <n v="209000"/>
    <n v="1378080"/>
    <n v="1761375"/>
    <n v="2321550"/>
    <n v="2089499"/>
    <n v="1830564"/>
    <n v="1258453"/>
    <m/>
    <n v="186654.56277763419"/>
    <n v="188144.90000000002"/>
    <n v="0"/>
    <n v="0"/>
    <n v="188144.90000000002"/>
    <n v="0"/>
    <n v="0"/>
    <n v="0"/>
    <n v="0"/>
    <n v="0"/>
    <n v="343870"/>
    <n v="0"/>
  </r>
  <r>
    <s v="Agrosuper Asia1022930"/>
    <x v="0"/>
    <x v="1"/>
    <n v="1022930"/>
    <s v="GO Panc S/cue Hem@ Cj Panc TJ AS"/>
    <s v="Panceta"/>
    <s v="Panceta s/Cuero"/>
    <n v="191803"/>
    <n v="154000"/>
    <n v="0.45719439678473212"/>
    <n v="87691.256886501971"/>
    <n v="58194"/>
    <n v="68023.349837159374"/>
    <n v="0"/>
    <n v="207106.2717399454"/>
    <n v="176000"/>
    <n v="22000"/>
    <n v="176000"/>
    <n v="0"/>
    <n v="176000"/>
    <n v="31106.271739945398"/>
    <n v="22000"/>
    <n v="0"/>
    <n v="22000"/>
    <n v="9106.2717399453977"/>
    <n v="0"/>
    <n v="0"/>
    <n v="0"/>
    <n v="44031.5"/>
    <n v="198031.5"/>
    <n v="242031.5"/>
    <n v="44031.5"/>
    <n v="176000"/>
    <n v="22000"/>
    <n v="242031.5"/>
    <n v="176000"/>
    <n v="22000"/>
    <n v="0"/>
    <m/>
    <s v="Si"/>
    <n v="198000"/>
    <n v="58194"/>
    <n v="139806"/>
    <d v="2022-08-13T00:00:00"/>
    <n v="6.32"/>
    <n v="6.3071428571428552"/>
    <n v="6.3083115361902395"/>
    <n v="1526810.103571428"/>
    <n v="6.2269615738783433"/>
    <n v="1.3064150363983862E-2"/>
    <n v="6.3083115361902395"/>
    <n v="6.3083115361902395"/>
    <m/>
    <s v="OK"/>
    <s v="OK"/>
    <n v="154000"/>
    <n v="44000"/>
    <n v="44000"/>
    <n v="88000"/>
    <n v="65946"/>
    <n v="22000"/>
    <n v="1083909.05"/>
    <n v="286440"/>
    <n v="264440"/>
    <n v="533280"/>
    <n v="273348"/>
    <n v="138292"/>
    <m/>
    <n v="104111.74311349804"/>
    <n v="113218.01485344344"/>
    <n v="120056.99"/>
    <n v="54889.38312284062"/>
    <n v="168107.39797628406"/>
    <n v="65167.606877159385"/>
    <n v="197784.88999999998"/>
    <n v="90426.143476684592"/>
    <n v="155593.75035384396"/>
    <n v="107358.74652331539"/>
    <n v="191803"/>
    <n v="0"/>
  </r>
  <r>
    <s v="Agrosuper Asia1022985"/>
    <x v="0"/>
    <x v="1"/>
    <n v="1022985"/>
    <s v="GO Lom Vet Mad@ Cj 8,5k TJ"/>
    <s v="Lomo"/>
    <s v="Lomo Vetado"/>
    <n v="2858"/>
    <n v="5000"/>
    <n v="0.45719439678473212"/>
    <n v="1306.6615860107645"/>
    <n v="4257"/>
    <n v="5750.5109687184604"/>
    <n v="0"/>
    <n v="10739.121457857378"/>
    <n v="5000"/>
    <n v="5000"/>
    <n v="5000"/>
    <n v="0"/>
    <n v="5000"/>
    <n v="5739.1214578573781"/>
    <n v="5000"/>
    <n v="0"/>
    <n v="5000"/>
    <n v="739.12145785737812"/>
    <n v="0"/>
    <n v="0"/>
    <n v="0"/>
    <n v="0"/>
    <n v="10000"/>
    <n v="10000"/>
    <n v="0"/>
    <n v="5000"/>
    <n v="5000"/>
    <n v="10000"/>
    <n v="5000"/>
    <n v="5000"/>
    <n v="0"/>
    <m/>
    <s v="Si"/>
    <n v="10000"/>
    <n v="4257"/>
    <n v="5743"/>
    <d v="2022-08-13T00:00:00"/>
    <n v="4.17"/>
    <n v="4.3499999999999996"/>
    <n v="4.26"/>
    <n v="42600"/>
    <n v="4.0589279470551549"/>
    <n v="4.9538216880821266E-2"/>
    <n v="4.26"/>
    <n v="4.26"/>
    <m/>
    <s v="OK"/>
    <s v="OK"/>
    <n v="10000"/>
    <n v="10000"/>
    <n v="17000"/>
    <n v="12000"/>
    <n v="8000"/>
    <n v="5000"/>
    <n v="42616"/>
    <n v="41000"/>
    <n v="66243"/>
    <n v="49200"/>
    <n v="31677"/>
    <n v="19798"/>
    <m/>
    <n v="1551.3384139892357"/>
    <n v="2290.4598718466141"/>
    <n v="4999.9999800000005"/>
    <n v="2285.9719747797731"/>
    <n v="4576.4318466263867"/>
    <n v="2714.0280052202274"/>
    <n v="0"/>
    <n v="0"/>
    <n v="2714.0280052202274"/>
    <n v="0"/>
    <n v="2858"/>
    <n v="0"/>
  </r>
  <r>
    <s v="Agrosuper Asia1022986"/>
    <x v="0"/>
    <x v="1"/>
    <n v="1022986"/>
    <s v="GO Panc S/cue Mad@ Cj 16,4k Panc TJ"/>
    <s v="Panceta"/>
    <s v="Panceta s/Cuero"/>
    <n v="3271"/>
    <n v="0"/>
    <n v="0.45719439678473212"/>
    <n v="1495.4828718828587"/>
    <n v="39"/>
    <n v="0"/>
    <n v="0"/>
    <n v="1534.4828718828587"/>
    <n v="5000"/>
    <n v="5000"/>
    <n v="0"/>
    <n v="0"/>
    <n v="0"/>
    <n v="1534.4828718828587"/>
    <n v="0"/>
    <n v="0"/>
    <n v="0"/>
    <n v="1534.4828718828587"/>
    <n v="0"/>
    <n v="0"/>
    <n v="0"/>
    <n v="0"/>
    <n v="5000"/>
    <n v="0"/>
    <n v="0"/>
    <n v="0"/>
    <n v="0"/>
    <n v="0"/>
    <n v="0"/>
    <n v="0"/>
    <n v="0"/>
    <m/>
    <s v="No"/>
    <n v="0"/>
    <n v="0"/>
    <n v="0"/>
    <d v="2022-08-13T00:00:00"/>
    <n v="6.5595730487613233"/>
    <n v="6.2"/>
    <n v="0"/>
    <n v="0"/>
    <n v="6.5595730487613233"/>
    <s v="No Aplica"/>
    <n v="0"/>
    <n v="0"/>
    <m/>
    <s v="OK"/>
    <s v="OK"/>
    <n v="20000"/>
    <n v="17000"/>
    <n v="0"/>
    <n v="5000"/>
    <n v="7500"/>
    <n v="0"/>
    <n v="137818.6667"/>
    <n v="113900"/>
    <n v="0"/>
    <n v="32500"/>
    <n v="48822"/>
    <n v="0"/>
    <m/>
    <n v="1775.5171281171415"/>
    <n v="3310"/>
    <n v="10000"/>
    <n v="4571.9439678473209"/>
    <n v="7881.9439678473209"/>
    <n v="5428.0560321526791"/>
    <n v="10000"/>
    <n v="4571.9439678473209"/>
    <n v="10000"/>
    <n v="5428.0560321526791"/>
    <n v="3271"/>
    <n v="0"/>
  </r>
  <r>
    <s v="Agrosuper Asia1023037"/>
    <x v="0"/>
    <x v="1"/>
    <n v="1023037"/>
    <s v="GO Panc S/cue@ Cj Panc 16k AS"/>
    <s v="Panceta"/>
    <s v="Panceta s/Cuero"/>
    <n v="121214"/>
    <n v="143000"/>
    <n v="0.45719439678473212"/>
    <n v="55418.361611864522"/>
    <n v="30399"/>
    <n v="0"/>
    <n v="0"/>
    <n v="85817.36161186453"/>
    <n v="11000"/>
    <n v="22000"/>
    <n v="11000"/>
    <n v="0"/>
    <n v="11000"/>
    <n v="74817.36161186453"/>
    <n v="66000"/>
    <n v="0"/>
    <n v="66000"/>
    <n v="8817.3616118645296"/>
    <n v="0"/>
    <n v="0"/>
    <n v="0"/>
    <n v="0"/>
    <n v="99000"/>
    <n v="77000"/>
    <n v="0"/>
    <n v="11000"/>
    <n v="66000"/>
    <n v="77000"/>
    <n v="11000"/>
    <n v="66000"/>
    <n v="0"/>
    <m/>
    <s v="Si"/>
    <n v="77000"/>
    <n v="30399"/>
    <n v="46601"/>
    <d v="2022-08-13T00:00:00"/>
    <n v="6.32"/>
    <n v="6.2682692307692305"/>
    <n v="6.3126098901098899"/>
    <n v="486070.9615384615"/>
    <n v="6.2689980775175602"/>
    <n v="6.95674365393958E-3"/>
    <n v="6.3126098901098899"/>
    <n v="6.3126098901098899"/>
    <m/>
    <s v="OK"/>
    <s v="OK"/>
    <n v="66000"/>
    <n v="110000"/>
    <n v="176000"/>
    <n v="176000"/>
    <n v="99000"/>
    <n v="143000"/>
    <n v="465306.14689999999"/>
    <n v="743600"/>
    <n v="1096480"/>
    <n v="1099808"/>
    <n v="613267"/>
    <n v="899875"/>
    <m/>
    <n v="65795.638388135485"/>
    <n v="74613.000000000015"/>
    <n v="175999.99600000001"/>
    <n v="80466.21200533527"/>
    <n v="155079.21200533528"/>
    <n v="95533.783994664744"/>
    <n v="176000"/>
    <n v="80466.213834112859"/>
    <n v="175999.99782877759"/>
    <n v="95533.786165887141"/>
    <n v="121214"/>
    <n v="0"/>
  </r>
  <r>
    <s v="Agrosuper Asia1023038"/>
    <x v="0"/>
    <x v="1"/>
    <n v="1023038"/>
    <s v="GO Lom Vet@ Cj 8k AS"/>
    <s v="Lomo"/>
    <s v="Lomo Vetado"/>
    <n v="150411"/>
    <n v="141000"/>
    <n v="0.45719439678473212"/>
    <n v="68767.066414788336"/>
    <n v="22046"/>
    <n v="26559"/>
    <n v="0"/>
    <n v="114716.16641478834"/>
    <n v="55000"/>
    <n v="22000"/>
    <n v="55000"/>
    <n v="0"/>
    <n v="55000"/>
    <n v="59716.166414788342"/>
    <n v="44000"/>
    <n v="0"/>
    <n v="44000"/>
    <n v="15716.166414788342"/>
    <n v="0"/>
    <n v="0"/>
    <n v="0"/>
    <n v="22010.71"/>
    <n v="143010.71"/>
    <n v="121010.70999999999"/>
    <n v="22010.71"/>
    <n v="55000"/>
    <n v="44000"/>
    <n v="121010.70999999999"/>
    <n v="55000"/>
    <n v="43999.999999999993"/>
    <n v="0"/>
    <m/>
    <s v="Si"/>
    <n v="99000"/>
    <n v="22046"/>
    <n v="76954"/>
    <d v="2022-08-13T00:00:00"/>
    <n v="4.2699999999999996"/>
    <n v="4.4443181818181801"/>
    <n v="4.3809353622313862"/>
    <n v="530140.09864772717"/>
    <n v="4.2883433178692458"/>
    <n v="2.1591565203353806E-2"/>
    <n v="4.3809353622313862"/>
    <n v="4.3809353622313862"/>
    <m/>
    <s v="OK"/>
    <s v="OK"/>
    <n v="66000"/>
    <n v="77000"/>
    <n v="77000"/>
    <n v="66000"/>
    <n v="113643"/>
    <n v="77000"/>
    <n v="290424.40000000002"/>
    <n v="315700"/>
    <n v="310310"/>
    <n v="272657"/>
    <n v="467607"/>
    <n v="330247"/>
    <m/>
    <n v="81643.933585211664"/>
    <n v="97360.1"/>
    <n v="110000"/>
    <n v="50291.38364632053"/>
    <n v="147651.48364632053"/>
    <n v="59708.61635367947"/>
    <n v="110000"/>
    <n v="50291.38364632053"/>
    <n v="110000"/>
    <n v="59708.61635367947"/>
    <n v="150411"/>
    <n v="0"/>
  </r>
  <r>
    <s v="Agrosuper Asia1023090"/>
    <x v="0"/>
    <x v="1"/>
    <n v="1023090"/>
    <s v="GO Panc S/cue S/h@ Cj Panc 16k AS"/>
    <s v="Panceta"/>
    <s v="Panceta s/Cuero"/>
    <n v="21208"/>
    <n v="22000"/>
    <n v="0.45719439678473212"/>
    <n v="9696.1787670105987"/>
    <n v="7613"/>
    <n v="10842.823014839933"/>
    <n v="0"/>
    <n v="27067.719480366541"/>
    <n v="22000"/>
    <n v="22000"/>
    <n v="22000"/>
    <n v="0"/>
    <n v="22000"/>
    <n v="5067.7194803665407"/>
    <n v="0"/>
    <n v="0"/>
    <n v="0"/>
    <n v="5067.7194803665407"/>
    <n v="0"/>
    <n v="0"/>
    <n v="0"/>
    <n v="0"/>
    <n v="0"/>
    <n v="22000"/>
    <n v="0"/>
    <n v="22000"/>
    <n v="0"/>
    <n v="22000"/>
    <n v="22000"/>
    <n v="0"/>
    <n v="0"/>
    <m/>
    <s v="Si"/>
    <n v="22000"/>
    <n v="7613"/>
    <n v="14387"/>
    <d v="2022-08-13T00:00:00"/>
    <n v="6.42"/>
    <n v="6.5"/>
    <n v="6.5"/>
    <n v="143000"/>
    <n v="6.2849355137695815"/>
    <n v="3.4219044214413435E-2"/>
    <n v="6.5"/>
    <n v="6.5"/>
    <m/>
    <s v="OK"/>
    <s v="OK"/>
    <n v="22000"/>
    <n v="22000"/>
    <n v="22000"/>
    <n v="22000"/>
    <n v="22008"/>
    <n v="22000"/>
    <n v="149600"/>
    <n v="147400"/>
    <n v="144100"/>
    <n v="137060"/>
    <n v="138925"/>
    <n v="143000"/>
    <m/>
    <n v="11511.821232989403"/>
    <n v="16579.540713355942"/>
    <n v="44000"/>
    <n v="20116.553458528215"/>
    <n v="36696.094171884157"/>
    <n v="23883.446541471785"/>
    <n v="44000"/>
    <n v="20116.553458528215"/>
    <n v="44000"/>
    <n v="23883.446541471785"/>
    <n v="21208"/>
    <n v="0"/>
  </r>
  <r>
    <s v="Agrosuper Asia1023144"/>
    <x v="0"/>
    <x v="1"/>
    <n v="1023144"/>
    <s v="GO Papda C/Cue granel@ Bo Cj AS"/>
    <s v="Plancha"/>
    <s v="Plancha c/Cuero"/>
    <n v="74390"/>
    <n v="44000"/>
    <n v="0.45719439678473212"/>
    <n v="34010.691176816224"/>
    <n v="48962"/>
    <n v="10684"/>
    <n v="0"/>
    <n v="92588.29117681623"/>
    <n v="96000"/>
    <n v="24000"/>
    <n v="72000"/>
    <n v="0"/>
    <n v="72000"/>
    <n v="20588.29117681623"/>
    <n v="0"/>
    <n v="0"/>
    <n v="0"/>
    <n v="20588.29117681623"/>
    <n v="0"/>
    <n v="0"/>
    <n v="0"/>
    <n v="0"/>
    <n v="48000"/>
    <n v="72000"/>
    <n v="0"/>
    <n v="72000"/>
    <n v="0"/>
    <n v="72000"/>
    <n v="72000"/>
    <n v="0"/>
    <n v="0"/>
    <m/>
    <s v="Si"/>
    <n v="72000"/>
    <n v="48962"/>
    <n v="23038"/>
    <d v="2022-08-13T00:00:00"/>
    <n v="1.94"/>
    <n v="2.191071666666665"/>
    <n v="2.191071666666665"/>
    <n v="157757.15999999989"/>
    <n v="1.9893465052049255"/>
    <n v="0.10140272744539265"/>
    <n v="2.191071666666665"/>
    <n v="2.191071666666665"/>
    <m/>
    <s v="OK"/>
    <s v="OK"/>
    <n v="0"/>
    <n v="0"/>
    <n v="0"/>
    <n v="0"/>
    <n v="24000"/>
    <n v="48000"/>
    <n v="0"/>
    <n v="0"/>
    <n v="0"/>
    <n v="0"/>
    <n v="42907"/>
    <n v="103200"/>
    <m/>
    <n v="40379.308823183783"/>
    <n v="60967.600000000013"/>
    <n v="23361.3341"/>
    <n v="10680.671051936093"/>
    <n v="71648.271051936114"/>
    <n v="12680.663048063907"/>
    <n v="28420.516399999997"/>
    <n v="12993.700851808584"/>
    <n v="25674.363899872493"/>
    <n v="15426.815548191413"/>
    <n v="74390"/>
    <n v="0"/>
  </r>
  <r>
    <s v="Agrosuper Asia1023183"/>
    <x v="0"/>
    <x v="1"/>
    <n v="1023183"/>
    <s v="GO Pech S/Cue@ Vp Cj AS"/>
    <s v="Cost-Pec"/>
    <s v="Cost-Pec Entero"/>
    <n v="0"/>
    <n v="0"/>
    <n v="0.45719439678473212"/>
    <n v="0"/>
    <n v="8426"/>
    <n v="0"/>
    <n v="0"/>
    <n v="8426"/>
    <n v="0"/>
    <n v="22000"/>
    <n v="0"/>
    <n v="0"/>
    <n v="0"/>
    <n v="8426"/>
    <n v="0"/>
    <n v="0"/>
    <n v="0"/>
    <n v="8426"/>
    <n v="0"/>
    <n v="0"/>
    <n v="0"/>
    <n v="0"/>
    <n v="44000"/>
    <n v="0"/>
    <n v="0"/>
    <n v="0"/>
    <n v="0"/>
    <n v="0"/>
    <n v="0"/>
    <n v="0"/>
    <n v="0"/>
    <m/>
    <s v="No"/>
    <n v="0"/>
    <n v="0"/>
    <n v="0"/>
    <d v="2022-08-13T00:00:00"/>
    <n v="5.7898820069821229"/>
    <n v="0"/>
    <n v="0"/>
    <n v="0"/>
    <n v="5.7898820069821229"/>
    <s v="No Aplica"/>
    <n v="0"/>
    <n v="0"/>
    <m/>
    <s v="OK"/>
    <s v="OK"/>
    <n v="22000"/>
    <n v="44000"/>
    <n v="66000"/>
    <n v="0"/>
    <n v="22000"/>
    <n v="22000"/>
    <n v="136200.5"/>
    <n v="259600"/>
    <n v="378180"/>
    <n v="0"/>
    <n v="124511"/>
    <n v="126688"/>
    <m/>
    <n v="0"/>
    <n v="8426"/>
    <n v="8210.1419999999998"/>
    <n v="3753.6309192069939"/>
    <n v="12179.630919206993"/>
    <n v="4456.5110807930059"/>
    <n v="0"/>
    <n v="0"/>
    <n v="4456.5110807930059"/>
    <n v="0"/>
    <n v="0"/>
    <n v="0"/>
  </r>
  <r>
    <s v="Agrosuper Asia1023283"/>
    <x v="0"/>
    <x v="1"/>
    <n v="1023283"/>
    <s v="GO Grasa Chaleco@ Cj 10k AS"/>
    <s v="Subprod"/>
    <s v="Subprod Grasa"/>
    <n v="94845"/>
    <n v="72000"/>
    <n v="0.45719439678473212"/>
    <n v="43362.60256304792"/>
    <n v="82775"/>
    <n v="21440"/>
    <n v="0"/>
    <n v="145433.60256304793"/>
    <n v="96000"/>
    <n v="24000"/>
    <n v="96000"/>
    <n v="-48000"/>
    <n v="48000"/>
    <n v="97433.602563047927"/>
    <n v="96000"/>
    <n v="-24000"/>
    <n v="72000"/>
    <n v="25433.602563047927"/>
    <n v="0"/>
    <n v="0"/>
    <n v="0"/>
    <n v="0"/>
    <n v="96000"/>
    <n v="192000"/>
    <n v="0"/>
    <n v="48000"/>
    <n v="144000"/>
    <n v="120000"/>
    <n v="48000"/>
    <n v="72000"/>
    <s v="comportamiento permisos y pagos "/>
    <s v="Permisos y pago"/>
    <s v="Si"/>
    <n v="120000"/>
    <n v="82775"/>
    <n v="37225"/>
    <d v="2022-08-13T00:00:00"/>
    <n v="0.77"/>
    <n v="1.0649650520833331"/>
    <n v="0.88798602083333322"/>
    <n v="106558.32249999998"/>
    <n v="0.87631195748132384"/>
    <n v="1.3321812229474431E-2"/>
    <n v="0.88798602083333322"/>
    <n v="0.88798602083333322"/>
    <m/>
    <s v="OK"/>
    <s v="OK"/>
    <n v="120000"/>
    <n v="96000"/>
    <n v="178000"/>
    <n v="216000"/>
    <n v="144149"/>
    <n v="72000"/>
    <n v="107052.12119999999"/>
    <n v="89280"/>
    <n v="157911"/>
    <n v="220922"/>
    <n v="136463"/>
    <n v="70008"/>
    <m/>
    <n v="51482.397436952087"/>
    <n v="76916.000000000015"/>
    <n v="0"/>
    <n v="0"/>
    <n v="76916.000000000015"/>
    <n v="0"/>
    <n v="0"/>
    <n v="0"/>
    <n v="0"/>
    <n v="0"/>
    <n v="94845"/>
    <n v="0"/>
  </r>
  <r>
    <s v="Agrosuper Asia1023305"/>
    <x v="0"/>
    <x v="1"/>
    <n v="1023305"/>
    <s v="GO Mucosa # Isotanque AS"/>
    <s v="Subprod"/>
    <s v="Subprod Proteína y O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super Asia1023307"/>
    <x v="0"/>
    <x v="1"/>
    <n v="1023307"/>
    <s v="GO Pulmon@ Cj 20k AS"/>
    <s v="Subprod"/>
    <s v="Subprod Visceras"/>
    <n v="5000"/>
    <n v="0"/>
    <n v="0.45719439678473212"/>
    <n v="2285.9719839236604"/>
    <n v="37165"/>
    <n v="5700"/>
    <n v="0"/>
    <n v="44580.971983923664"/>
    <n v="48000"/>
    <n v="24000"/>
    <n v="24000"/>
    <n v="0"/>
    <n v="24000"/>
    <n v="20580.971983923664"/>
    <n v="0"/>
    <n v="0"/>
    <n v="0"/>
    <n v="20580.971983923664"/>
    <n v="0"/>
    <n v="0"/>
    <n v="0"/>
    <n v="0"/>
    <n v="0"/>
    <n v="24000"/>
    <n v="0"/>
    <n v="24000"/>
    <n v="0"/>
    <n v="24000"/>
    <n v="24000"/>
    <n v="0"/>
    <n v="0"/>
    <m/>
    <s v="Si"/>
    <n v="24000"/>
    <n v="24000"/>
    <n v="0"/>
    <d v="2022-08-13T00:00:00"/>
    <n v="0.67313869304418494"/>
    <n v="0.76571666666666705"/>
    <n v="0.76571666666666705"/>
    <n v="18377.200000000008"/>
    <n v="0.67313869304418494"/>
    <n v="0.13753179631349058"/>
    <n v="0.76571666666666705"/>
    <n v="0.76571666666666705"/>
    <m/>
    <s v="OK"/>
    <s v="OK"/>
    <n v="22000"/>
    <n v="24000"/>
    <n v="22000"/>
    <n v="48000"/>
    <n v="24000"/>
    <n v="48000"/>
    <n v="16376.75"/>
    <n v="16800"/>
    <n v="14667"/>
    <n v="35843"/>
    <n v="17322"/>
    <n v="40800"/>
    <m/>
    <n v="2714.0280160763396"/>
    <n v="23295.000000000004"/>
    <n v="8689.0955000000013"/>
    <n v="3972.6057757274307"/>
    <n v="27267.605775727436"/>
    <n v="4716.489724272571"/>
    <n v="27022.032499999998"/>
    <n v="12354.321848734926"/>
    <n v="17070.811573007497"/>
    <n v="14667.710651265072"/>
    <n v="5000"/>
    <n v="0"/>
  </r>
  <r>
    <s v="Agrosuper Asia1023326"/>
    <x v="0"/>
    <x v="1"/>
    <n v="1023326"/>
    <s v="GO Corazón Partido@ Cj 10k AS"/>
    <s v="Subprod"/>
    <s v="Subprod Visceras"/>
    <n v="48000"/>
    <n v="48000"/>
    <n v="0.45719439678473212"/>
    <n v="21945.331045667142"/>
    <n v="19330"/>
    <n v="10805"/>
    <n v="0"/>
    <n v="50999.831045667146"/>
    <n v="48000"/>
    <n v="24000"/>
    <n v="48000"/>
    <n v="0"/>
    <n v="48000"/>
    <n v="2999.8310456671461"/>
    <n v="0"/>
    <n v="0"/>
    <n v="0"/>
    <n v="2999.8310456671461"/>
    <n v="0"/>
    <n v="0"/>
    <n v="0"/>
    <n v="0"/>
    <n v="48000"/>
    <n v="48000"/>
    <n v="0"/>
    <n v="48000"/>
    <n v="0"/>
    <n v="48000"/>
    <n v="48000"/>
    <n v="0"/>
    <n v="0"/>
    <m/>
    <s v="Si"/>
    <n v="48000"/>
    <n v="19330"/>
    <n v="28670"/>
    <d v="2022-08-13T00:00:00"/>
    <n v="0.72"/>
    <n v="0.95"/>
    <n v="0.95"/>
    <n v="45600"/>
    <n v="0.79070160687496116"/>
    <n v="0.20146461287036399"/>
    <n v="0.95"/>
    <n v="0.95"/>
    <m/>
    <s v="OK"/>
    <s v="OK"/>
    <n v="0"/>
    <n v="0"/>
    <n v="44000"/>
    <n v="48000"/>
    <n v="48003"/>
    <n v="48000"/>
    <n v="0"/>
    <n v="0"/>
    <n v="35200"/>
    <n v="45600"/>
    <n v="37999"/>
    <n v="39917"/>
    <m/>
    <n v="26054.668954332861"/>
    <n v="29054.500000000007"/>
    <n v="22495.654999999999"/>
    <n v="10284.887418002443"/>
    <n v="39339.38741800245"/>
    <n v="12210.767581997556"/>
    <n v="0"/>
    <n v="0"/>
    <n v="12210.767581997556"/>
    <n v="0"/>
    <n v="48000"/>
    <n v="0"/>
  </r>
  <r>
    <s v="Agrosuper Brasil1021864"/>
    <x v="0"/>
    <x v="2"/>
    <n v="1021864"/>
    <s v="GO Cue Papda CP@ Cj 20k AS"/>
    <s v="Cueros"/>
    <s v="Cuero Papada"/>
    <n v="72187"/>
    <n v="0"/>
    <n v="0.81420840482290169"/>
    <n v="58775.262118950806"/>
    <n v="47845"/>
    <n v="0"/>
    <n v="0"/>
    <n v="106620.26211895081"/>
    <n v="72000"/>
    <n v="24000"/>
    <n v="72000"/>
    <n v="0"/>
    <n v="72000"/>
    <n v="34620.262118950806"/>
    <n v="0"/>
    <n v="0"/>
    <n v="0"/>
    <n v="34620.262118950806"/>
    <n v="0"/>
    <n v="0"/>
    <n v="0"/>
    <n v="0"/>
    <n v="72000"/>
    <n v="72000"/>
    <n v="0"/>
    <n v="72000"/>
    <n v="0"/>
    <n v="72000"/>
    <n v="72000"/>
    <n v="0"/>
    <n v="0"/>
    <m/>
    <s v="Si"/>
    <n v="72000"/>
    <n v="47845"/>
    <n v="24155"/>
    <d v="2022-08-25T00:00:00"/>
    <n v="0.55000000000000004"/>
    <n v="0.55000000000000004"/>
    <n v="0.55000000000000004"/>
    <n v="36000"/>
    <n v="0.55000000000000004"/>
    <n v="0"/>
    <n v="0.5"/>
    <n v="0.55000000000000004"/>
    <m/>
    <s v="OK"/>
    <s v="OK"/>
    <n v="48000"/>
    <n v="48000"/>
    <n v="48000"/>
    <n v="24000"/>
    <n v="48000"/>
    <n v="48000"/>
    <n v="26400"/>
    <n v="26400"/>
    <n v="26400"/>
    <n v="12000"/>
    <n v="26400"/>
    <n v="23734"/>
    <m/>
    <n v="13411.737881049195"/>
    <n v="48032"/>
    <n v="29161.499"/>
    <n v="23743.537583034642"/>
    <n v="71775.537583034646"/>
    <n v="5417.9614169653578"/>
    <n v="0"/>
    <n v="0"/>
    <n v="5417.9614169653578"/>
    <n v="0"/>
    <n v="72187"/>
    <n v="0"/>
  </r>
  <r>
    <s v="Agrosuper Brasil1022217"/>
    <x v="0"/>
    <x v="2"/>
    <n v="1022217"/>
    <s v="GO Lom Tocino@ Bo Cj 20k AS"/>
    <s v="Grasas"/>
    <s v="Grasa Lomo Tocino"/>
    <n v="265077"/>
    <n v="262107"/>
    <n v="0.81420840482290169"/>
    <n v="215827.92132524031"/>
    <n v="160702"/>
    <n v="10362"/>
    <n v="24000"/>
    <n v="361855.72132524027"/>
    <n v="144000"/>
    <n v="24000"/>
    <n v="144000"/>
    <n v="-48000"/>
    <n v="96000"/>
    <n v="265855.72132524027"/>
    <n v="264000"/>
    <n v="-168000"/>
    <n v="96000"/>
    <n v="169855.72132524027"/>
    <n v="0"/>
    <n v="0"/>
    <n v="0"/>
    <n v="0"/>
    <n v="288000"/>
    <n v="408000"/>
    <n v="0"/>
    <n v="96000"/>
    <n v="312000"/>
    <n v="192000"/>
    <n v="96000"/>
    <n v="96000"/>
    <s v="DISPONIBILIDAD PERMISOS VENTA NUEVA "/>
    <s v="Permisos"/>
    <s v="Si"/>
    <n v="192000"/>
    <n v="160702"/>
    <n v="31298"/>
    <d v="2022-08-25T00:00:00"/>
    <n v="1.69999656628781"/>
    <n v="1.6190464173611101"/>
    <n v="1.6595214918244601"/>
    <n v="288000"/>
    <n v="1.5862987992388995"/>
    <n v="4.615945786549959E-2"/>
    <n v="1.5"/>
    <n v="1.6595214918244601"/>
    <m/>
    <s v="OK"/>
    <s v="OK"/>
    <n v="96000"/>
    <n v="47994"/>
    <n v="72000"/>
    <n v="264000"/>
    <n v="168000"/>
    <n v="216000"/>
    <n v="153600"/>
    <n v="64392"/>
    <n v="103820"/>
    <n v="414000"/>
    <n v="279600"/>
    <n v="335772"/>
    <m/>
    <n v="49249.078674759687"/>
    <n v="219104.79999999996"/>
    <n v="300000"/>
    <n v="244262.52144687049"/>
    <n v="463367.32144687045"/>
    <n v="55737.478553129506"/>
    <n v="26462.627999999997"/>
    <n v="21546.094131301852"/>
    <n v="77283.572684431361"/>
    <n v="4916.5338686981449"/>
    <n v="265077"/>
    <n v="0"/>
  </r>
  <r>
    <s v="Agrosuper Brasil1022218"/>
    <x v="0"/>
    <x v="2"/>
    <n v="1022218"/>
    <s v="GO Grasa Forro Pna Limp@ Cj 20k AS"/>
    <s v="Grasas"/>
    <s v="Grasa Forro"/>
    <n v="56208"/>
    <n v="24004"/>
    <n v="0.81420840482290169"/>
    <n v="45765.026018285658"/>
    <n v="52343"/>
    <n v="10801"/>
    <n v="0"/>
    <n v="107828.92601828565"/>
    <n v="96000"/>
    <n v="24000"/>
    <n v="96000"/>
    <n v="0"/>
    <n v="96000"/>
    <n v="11828.926018285652"/>
    <n v="0"/>
    <n v="0"/>
    <n v="0"/>
    <n v="11828.926018285652"/>
    <n v="0"/>
    <n v="0"/>
    <n v="0"/>
    <n v="0"/>
    <n v="48000"/>
    <n v="96000"/>
    <n v="0"/>
    <n v="96000"/>
    <n v="0"/>
    <n v="96000"/>
    <n v="96000"/>
    <n v="0"/>
    <n v="0"/>
    <m/>
    <s v="Si"/>
    <n v="96000"/>
    <n v="52343"/>
    <n v="43657"/>
    <d v="2022-08-25T00:00:00"/>
    <n v="1.5499916680553201"/>
    <n v="1.51875"/>
    <n v="1.51875"/>
    <n v="144000"/>
    <n v="1.5"/>
    <n v="1.250000000000003E-2"/>
    <n v="1.5"/>
    <n v="1.51875"/>
    <m/>
    <s v="OK"/>
    <s v="OK"/>
    <n v="120000"/>
    <n v="48000"/>
    <n v="96000"/>
    <n v="96000"/>
    <n v="96000"/>
    <n v="48000"/>
    <n v="180000"/>
    <n v="69600"/>
    <n v="140400"/>
    <n v="136320"/>
    <n v="145200"/>
    <n v="72686"/>
    <m/>
    <n v="10442.973981714342"/>
    <n v="22271.899999999994"/>
    <n v="97633.576000000001"/>
    <n v="79494.078172115536"/>
    <n v="101765.97817211553"/>
    <n v="18139.497827884465"/>
    <n v="90195.726999999999"/>
    <n v="73438.119002511929"/>
    <n v="91577.616830396393"/>
    <n v="16757.60799748807"/>
    <n v="56208"/>
    <n v="0"/>
  </r>
  <r>
    <s v="Agrosuper Brasil1022273"/>
    <x v="0"/>
    <x v="2"/>
    <n v="1022273"/>
    <s v="GO Grasa Forro Pna Limp@ Bo Cj AS"/>
    <s v="Grasas"/>
    <s v="Grasa Forro"/>
    <n v="211117"/>
    <n v="211608"/>
    <n v="0.81420840482290169"/>
    <n v="171893.23580099654"/>
    <n v="158142"/>
    <n v="51627"/>
    <n v="48000"/>
    <n v="328499.53580099653"/>
    <n v="142000"/>
    <n v="24000"/>
    <n v="142000"/>
    <n v="-24000"/>
    <n v="118000"/>
    <n v="210499.53580099653"/>
    <n v="192000"/>
    <n v="-120000"/>
    <n v="72000"/>
    <n v="138499.53580099653"/>
    <n v="0"/>
    <n v="0"/>
    <n v="0"/>
    <n v="0"/>
    <n v="238000"/>
    <n v="334000"/>
    <n v="0"/>
    <n v="118000"/>
    <n v="216000"/>
    <n v="190000"/>
    <n v="118000"/>
    <n v="72000"/>
    <s v="DISPONIBILIDAD PERMISOS VENTA NUEVA "/>
    <s v="Permisos"/>
    <s v="Si"/>
    <n v="190000"/>
    <n v="158142"/>
    <n v="31858"/>
    <d v="2022-08-25T00:00:00"/>
    <n v="1.55000283543155"/>
    <n v="1.5010348415492947"/>
    <n v="1.5195911339678336"/>
    <n v="266000"/>
    <n v="1.4600254665786263"/>
    <n v="4.0797690692883234E-2"/>
    <n v="1.4"/>
    <n v="1.5195911339678336"/>
    <m/>
    <s v="OK"/>
    <s v="OK"/>
    <n v="0"/>
    <n v="144000"/>
    <n v="144000"/>
    <n v="120000"/>
    <n v="168000"/>
    <n v="48000"/>
    <n v="0"/>
    <n v="208800"/>
    <n v="208800"/>
    <n v="180000"/>
    <n v="252000"/>
    <n v="68267"/>
    <m/>
    <n v="39223.764199003461"/>
    <n v="177723.3"/>
    <n v="82268.759489999997"/>
    <n v="66983.915431111847"/>
    <n v="244707.21543111184"/>
    <n v="15284.844058888149"/>
    <n v="142516.37099999998"/>
    <n v="116038.02709305883"/>
    <n v="131322.87115194698"/>
    <n v="26478.343906941154"/>
    <n v="211117"/>
    <n v="0"/>
  </r>
  <r>
    <s v="Agrosuper Brasil1023329"/>
    <x v="0"/>
    <x v="2"/>
    <n v="1023329"/>
    <s v="GO Cue Papda CP@ Cj 20k AS"/>
    <s v="Cueros"/>
    <s v="Cuero Papada"/>
    <n v="0"/>
    <n v="38659"/>
    <n v="0.81420840482290169"/>
    <n v="0"/>
    <n v="16978"/>
    <n v="11876"/>
    <n v="0"/>
    <n v="27666.400000000001"/>
    <n v="48000"/>
    <n v="24000"/>
    <n v="24000"/>
    <n v="0"/>
    <n v="24000"/>
    <n v="3666.4000000000015"/>
    <n v="0"/>
    <n v="0"/>
    <n v="0"/>
    <n v="3666.4000000000015"/>
    <n v="0"/>
    <n v="0"/>
    <n v="0"/>
    <n v="0"/>
    <n v="24000"/>
    <n v="24000"/>
    <n v="0"/>
    <n v="24000"/>
    <n v="0"/>
    <n v="24000"/>
    <n v="24000"/>
    <n v="0"/>
    <n v="0"/>
    <m/>
    <s v="Si"/>
    <n v="24000"/>
    <n v="16978"/>
    <n v="7022"/>
    <d v="2022-08-25T00:00:00"/>
    <n v="0.53666675289065902"/>
    <n v="0.55000000000000004"/>
    <n v="0.55000000000000004"/>
    <n v="12000"/>
    <n v="0.55000000000000004"/>
    <n v="0"/>
    <n v="0.5"/>
    <n v="0.55000000000000004"/>
    <m/>
    <s v="OK"/>
    <s v="OK"/>
    <n v="0"/>
    <n v="24000"/>
    <n v="72000"/>
    <n v="24000"/>
    <n v="72000"/>
    <n v="72000"/>
    <n v="0"/>
    <n v="13200"/>
    <n v="39600"/>
    <n v="12000"/>
    <n v="39600"/>
    <n v="39600"/>
    <m/>
    <n v="0"/>
    <n v="3666.4000000000015"/>
    <n v="0"/>
    <n v="0"/>
    <n v="3666.4000000000015"/>
    <n v="0"/>
    <n v="0"/>
    <n v="0"/>
    <n v="0"/>
    <n v="0"/>
    <n v="0"/>
    <n v="0"/>
  </r>
  <r>
    <s v="Agrosuper Brasil1023334"/>
    <x v="0"/>
    <x v="2"/>
    <n v="1023334"/>
    <s v="Cue granel Esp CC@ Cj 20k AS"/>
    <s v="Cueros"/>
    <s v="Cuero Mixto"/>
    <n v="0"/>
    <n v="1069"/>
    <n v="0.81420840482290169"/>
    <n v="0"/>
    <n v="77994"/>
    <n v="0"/>
    <n v="0"/>
    <n v="77994"/>
    <n v="120000"/>
    <n v="24000"/>
    <n v="72000"/>
    <n v="0"/>
    <n v="72000"/>
    <n v="5994"/>
    <n v="0"/>
    <n v="0"/>
    <n v="0"/>
    <n v="5994"/>
    <n v="0"/>
    <n v="0"/>
    <n v="0"/>
    <n v="0"/>
    <n v="24000"/>
    <n v="72000"/>
    <n v="0"/>
    <n v="72000"/>
    <n v="0"/>
    <n v="72000"/>
    <n v="72000"/>
    <n v="0"/>
    <n v="0"/>
    <m/>
    <s v="Si"/>
    <n v="72000"/>
    <n v="72000"/>
    <n v="0"/>
    <d v="2022-08-25T00:00:00"/>
    <n v="0.53975678203928901"/>
    <n v="0.65"/>
    <n v="0.65"/>
    <n v="43200"/>
    <n v="0.64999999999999991"/>
    <n v="1.7080354225002412E-16"/>
    <n v="0.6"/>
    <n v="0.65"/>
    <m/>
    <s v="OK"/>
    <s v="OK"/>
    <n v="0"/>
    <n v="72000"/>
    <n v="144000"/>
    <n v="168000"/>
    <n v="48000"/>
    <n v="72000"/>
    <n v="0"/>
    <n v="46800"/>
    <n v="93600"/>
    <n v="100800"/>
    <n v="29760"/>
    <n v="46800"/>
    <m/>
    <n v="0"/>
    <n v="5994"/>
    <n v="0"/>
    <n v="0"/>
    <n v="5994"/>
    <n v="0"/>
    <n v="0"/>
    <n v="0"/>
    <n v="0"/>
    <n v="0"/>
    <n v="0"/>
    <n v="0"/>
  </r>
  <r>
    <s v="Agrosuper Brasil1023336"/>
    <x v="0"/>
    <x v="2"/>
    <n v="1023336"/>
    <s v="Cue granel Esp CC@ Cj 20k AS"/>
    <s v="Cueros"/>
    <s v="Cuero Mixto"/>
    <n v="0"/>
    <n v="0"/>
    <n v="0.81420840482290169"/>
    <n v="0"/>
    <n v="6753"/>
    <n v="0"/>
    <n v="0"/>
    <n v="6753"/>
    <n v="0"/>
    <n v="24000"/>
    <n v="0"/>
    <n v="0"/>
    <n v="0"/>
    <n v="6753"/>
    <n v="0"/>
    <n v="0"/>
    <n v="0"/>
    <n v="6753"/>
    <n v="0"/>
    <n v="0"/>
    <n v="0"/>
    <n v="0"/>
    <n v="24000"/>
    <n v="0"/>
    <n v="0"/>
    <n v="0"/>
    <n v="0"/>
    <n v="0"/>
    <n v="0"/>
    <n v="0"/>
    <n v="0"/>
    <m/>
    <s v="No"/>
    <n v="0"/>
    <n v="0"/>
    <n v="0"/>
    <d v="2022-08-25T00:00:00"/>
    <n v="0.64999999999999991"/>
    <n v="0.64999999999999991"/>
    <n v="0"/>
    <n v="0"/>
    <n v="0.64999999999999991"/>
    <s v="No Aplica"/>
    <n v="0"/>
    <n v="0"/>
    <m/>
    <s v="OK"/>
    <s v="OK"/>
    <n v="0"/>
    <n v="24000"/>
    <n v="24000"/>
    <n v="24000"/>
    <n v="72000"/>
    <n v="0"/>
    <n v="0"/>
    <n v="15600"/>
    <n v="15600"/>
    <n v="14400"/>
    <n v="46800"/>
    <n v="0"/>
    <m/>
    <n v="0"/>
    <n v="6753"/>
    <n v="0"/>
    <n v="0"/>
    <n v="6753"/>
    <n v="0"/>
    <n v="0"/>
    <n v="0"/>
    <n v="0"/>
    <n v="0"/>
    <n v="0"/>
    <n v="0"/>
  </r>
  <r>
    <s v="Agrosuper Shanghai1023109"/>
    <x v="0"/>
    <x v="3"/>
    <n v="1023109"/>
    <s v="GO Reco 20/80 @ Cj 20k AS"/>
    <s v="Grasas"/>
    <s v="Grasa Gordura"/>
    <n v="0"/>
    <n v="0"/>
    <n v="0.45719439678473212"/>
    <n v="0"/>
    <n v="69444"/>
    <n v="819"/>
    <n v="0"/>
    <n v="70181.100000000006"/>
    <n v="0"/>
    <n v="24000"/>
    <n v="0"/>
    <m/>
    <n v="0"/>
    <n v="70181.100000000006"/>
    <n v="0"/>
    <n v="0"/>
    <n v="0"/>
    <n v="70181.100000000006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70181.100000000006"/>
    <n v="610.09833000000003"/>
    <n v="278.93353796372247"/>
    <n v="70460.033537963725"/>
    <n v="331.16479203627756"/>
    <n v="46837.546000000002"/>
    <n v="21413.863590347144"/>
    <n v="21745.028382383422"/>
    <n v="25423.682409652858"/>
    <n v="0"/>
    <n v="0"/>
  </r>
  <r>
    <s v="Agrosuper Shanghai1021115"/>
    <x v="0"/>
    <x v="3"/>
    <n v="1021115"/>
    <s v="GO Estómago Pouch@ 20k bca AS"/>
    <s v="Subprod"/>
    <s v="Subprod Visceras"/>
    <n v="6260"/>
    <n v="0"/>
    <n v="0.45719439678473212"/>
    <n v="2862.0369238724229"/>
    <n v="41760"/>
    <n v="0"/>
    <n v="0"/>
    <n v="44622.036923872423"/>
    <n v="0"/>
    <n v="24000"/>
    <n v="0"/>
    <m/>
    <n v="0"/>
    <n v="44622.036923872423"/>
    <n v="0"/>
    <n v="0"/>
    <n v="0"/>
    <n v="44622.036923872423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.27288702928870295"/>
    <n v="0"/>
    <n v="0"/>
    <n v="0"/>
    <n v="0.27288702928870295"/>
    <s v="No Aplica"/>
    <n v="0"/>
    <n v="0"/>
    <m/>
    <s v="OK"/>
    <s v="OK"/>
    <n v="72000"/>
    <n v="48000"/>
    <n v="24000"/>
    <n v="48000"/>
    <n v="48000"/>
    <n v="0"/>
    <n v="21480"/>
    <n v="14400"/>
    <n v="6640"/>
    <n v="6480"/>
    <n v="12640"/>
    <n v="0"/>
    <m/>
    <n v="3397.9630761275771"/>
    <n v="48020"/>
    <n v="0"/>
    <n v="0"/>
    <n v="48020"/>
    <n v="0"/>
    <n v="0"/>
    <n v="0"/>
    <n v="0"/>
    <n v="0"/>
    <n v="6260"/>
    <n v="0"/>
  </r>
  <r>
    <s v="Agrosuper Shanghai1021731"/>
    <x v="0"/>
    <x v="3"/>
    <n v="1021731"/>
    <s v="GO PernilM@ Cj 20k AS"/>
    <s v="Pernil"/>
    <s v="Pernil Mano"/>
    <n v="0"/>
    <n v="0"/>
    <n v="0.45719439678473212"/>
    <n v="0"/>
    <n v="89785"/>
    <n v="50576.52"/>
    <n v="0"/>
    <n v="135303.86799999999"/>
    <n v="0"/>
    <n v="24000"/>
    <n v="0"/>
    <m/>
    <n v="0"/>
    <n v="135303.86799999999"/>
    <n v="0"/>
    <n v="0"/>
    <n v="0"/>
    <n v="135303.86799999999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2.0792263838322689"/>
    <n v="0"/>
    <n v="0"/>
    <n v="0"/>
    <n v="2.0792263838322689"/>
    <s v="No Aplica"/>
    <n v="0"/>
    <n v="0"/>
    <m/>
    <s v="OK"/>
    <s v="OK"/>
    <n v="312000"/>
    <n v="216000"/>
    <n v="216000"/>
    <n v="144000"/>
    <n v="168000"/>
    <n v="264000"/>
    <n v="623108.57140000002"/>
    <n v="406080"/>
    <n v="403920"/>
    <n v="265334"/>
    <n v="325720"/>
    <n v="540233"/>
    <m/>
    <n v="0"/>
    <n v="135303.86799999999"/>
    <n v="0"/>
    <n v="0"/>
    <n v="135303.86799999999"/>
    <n v="0"/>
    <n v="0"/>
    <n v="0"/>
    <n v="0"/>
    <n v="0"/>
    <n v="0"/>
    <n v="0"/>
  </r>
  <r>
    <s v="Agrosuper Shanghai1021733"/>
    <x v="0"/>
    <x v="3"/>
    <n v="1021733"/>
    <s v="GO PpPna 59@ Cj 20k AS"/>
    <s v="Pierna"/>
    <s v="Pierna Pulpa"/>
    <n v="0"/>
    <n v="0"/>
    <n v="0.45719439678473212"/>
    <n v="0"/>
    <n v="61318"/>
    <n v="36246"/>
    <n v="0"/>
    <n v="93939.4"/>
    <n v="72000"/>
    <n v="24000"/>
    <n v="72000"/>
    <m/>
    <n v="72000"/>
    <n v="21939.399999999994"/>
    <n v="0"/>
    <n v="0"/>
    <n v="0"/>
    <n v="21939.399999999994"/>
    <n v="0"/>
    <n v="0"/>
    <n v="0"/>
    <n v="0"/>
    <n v="24000"/>
    <n v="72000"/>
    <n v="0"/>
    <n v="72000"/>
    <n v="0"/>
    <n v="72000"/>
    <n v="72000"/>
    <n v="0"/>
    <n v="0"/>
    <m/>
    <s v="Si"/>
    <n v="72000"/>
    <n v="61318"/>
    <n v="10682"/>
    <d v="2022-08-13T00:00:00"/>
    <n v="2.2713662648232575"/>
    <n v="2.8455833333333298"/>
    <n v="2.8455833333333298"/>
    <n v="204881.99999999974"/>
    <n v="2.2713662648232575"/>
    <n v="0.25280690190877425"/>
    <n v="2.8455833333333298"/>
    <n v="2.8455833333333298"/>
    <m/>
    <s v="OK"/>
    <s v="OK"/>
    <n v="96000"/>
    <n v="0"/>
    <n v="0"/>
    <n v="72000"/>
    <n v="24000"/>
    <n v="0"/>
    <n v="169760"/>
    <n v="0"/>
    <n v="0"/>
    <n v="65368"/>
    <n v="43579"/>
    <n v="0"/>
    <m/>
    <n v="0"/>
    <n v="21939.399999999994"/>
    <n v="0"/>
    <n v="0"/>
    <n v="21939.399999999994"/>
    <n v="0"/>
    <n v="0"/>
    <n v="0"/>
    <n v="0"/>
    <n v="0"/>
    <n v="0"/>
    <n v="0"/>
  </r>
  <r>
    <s v="Agrosuper Shanghai1021735"/>
    <x v="0"/>
    <x v="3"/>
    <n v="1021735"/>
    <s v="GO Patas@ Cj 20k AS"/>
    <s v="Subprod"/>
    <s v="Subprod Patas-Manos"/>
    <n v="0"/>
    <n v="0"/>
    <n v="0.45719439678473212"/>
    <n v="0"/>
    <n v="36600"/>
    <n v="46045.799999999996"/>
    <n v="0"/>
    <n v="78041.22"/>
    <n v="0"/>
    <n v="24000"/>
    <n v="0"/>
    <m/>
    <n v="0"/>
    <n v="78041.22"/>
    <n v="0"/>
    <n v="0"/>
    <n v="0"/>
    <n v="78041.22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4.6119607297658494"/>
    <n v="0"/>
    <n v="0"/>
    <n v="0"/>
    <n v="4.6119607297658494"/>
    <s v="No Aplica"/>
    <n v="0"/>
    <n v="0"/>
    <m/>
    <s v="OK"/>
    <s v="OK"/>
    <n v="240000"/>
    <n v="96000"/>
    <n v="96000"/>
    <n v="0"/>
    <n v="186020"/>
    <n v="72000"/>
    <n v="982080"/>
    <n v="384000"/>
    <n v="393600"/>
    <n v="0"/>
    <n v="791853"/>
    <n v="325592"/>
    <m/>
    <n v="0"/>
    <n v="78041.22"/>
    <n v="0"/>
    <n v="0"/>
    <n v="78041.22"/>
    <n v="0"/>
    <n v="0"/>
    <n v="0"/>
    <n v="0"/>
    <n v="0"/>
    <n v="0"/>
    <n v="0"/>
  </r>
  <r>
    <s v="Agrosuper Shanghai1021738"/>
    <x v="0"/>
    <x v="3"/>
    <n v="1021738"/>
    <s v="GO Patas B@ Cj 20k AS"/>
    <s v="Subprod"/>
    <s v="Subprod Patas-Manos"/>
    <n v="0"/>
    <n v="0"/>
    <n v="0.45719439678473212"/>
    <n v="0"/>
    <n v="65081"/>
    <n v="23536.395"/>
    <n v="0"/>
    <n v="86263.755499999999"/>
    <n v="0"/>
    <n v="24000"/>
    <n v="0"/>
    <m/>
    <n v="0"/>
    <n v="86263.755499999999"/>
    <n v="0"/>
    <n v="0"/>
    <n v="0"/>
    <n v="86263.755499999999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4.605370087355559"/>
    <n v="0"/>
    <n v="0"/>
    <n v="0"/>
    <n v="4.605370087355559"/>
    <s v="No Aplica"/>
    <n v="0"/>
    <n v="0"/>
    <m/>
    <s v="OK"/>
    <s v="OK"/>
    <n v="48000"/>
    <n v="0"/>
    <n v="0"/>
    <n v="24000"/>
    <n v="0"/>
    <n v="0"/>
    <n v="177600"/>
    <n v="0"/>
    <n v="0"/>
    <n v="46600"/>
    <n v="0"/>
    <n v="0"/>
    <m/>
    <n v="0"/>
    <n v="86263.755499999999"/>
    <n v="0"/>
    <n v="0"/>
    <n v="86263.755499999999"/>
    <n v="0"/>
    <n v="0"/>
    <n v="0"/>
    <n v="0"/>
    <n v="0"/>
    <n v="0"/>
    <n v="0"/>
  </r>
  <r>
    <s v="Agrosuper Shanghai1021765"/>
    <x v="0"/>
    <x v="3"/>
    <n v="1021765"/>
    <s v="GO Pna Nor@ Bo Cj 20k AS"/>
    <s v="Pierna"/>
    <s v="Pierna Entera"/>
    <n v="2"/>
    <n v="0"/>
    <n v="0.45719439678473212"/>
    <n v="0.91438879356946423"/>
    <n v="0"/>
    <n v="0"/>
    <n v="0"/>
    <n v="0.91438879356946423"/>
    <n v="0"/>
    <n v="24000"/>
    <n v="0"/>
    <m/>
    <n v="0"/>
    <n v="0.91438879356946423"/>
    <n v="0"/>
    <n v="0"/>
    <n v="0"/>
    <n v="0.91438879356946423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6760"/>
    <n v="0"/>
    <n v="0"/>
    <n v="0"/>
    <n v="0"/>
    <n v="0"/>
    <n v="7323"/>
    <n v="0"/>
    <n v="0"/>
    <n v="0"/>
    <m/>
    <n v="1.0856112064305359"/>
    <n v="2"/>
    <n v="96000"/>
    <n v="43890.662091334285"/>
    <n v="43892.662091334285"/>
    <n v="52109.337908665715"/>
    <n v="96000"/>
    <n v="43890.662091334285"/>
    <n v="96000"/>
    <n v="52109.337908665715"/>
    <n v="2"/>
    <n v="0"/>
  </r>
  <r>
    <s v="Agrosuper Shanghai1021992"/>
    <x v="0"/>
    <x v="3"/>
    <n v="1021992"/>
    <s v="GO Lom Tocino@ Cj 20k AS"/>
    <s v="Grasas"/>
    <s v="Grasa Lomo Tocino"/>
    <n v="0"/>
    <n v="0"/>
    <n v="0.45719439678473212"/>
    <n v="0"/>
    <n v="147034"/>
    <n v="74378"/>
    <n v="0"/>
    <n v="213974.2"/>
    <n v="48000"/>
    <n v="24000"/>
    <n v="48000"/>
    <m/>
    <n v="48000"/>
    <n v="165974.20000000001"/>
    <n v="0"/>
    <n v="0"/>
    <n v="0"/>
    <n v="165974.20000000001"/>
    <n v="0"/>
    <n v="0"/>
    <n v="0"/>
    <n v="0"/>
    <n v="48000"/>
    <n v="48000"/>
    <n v="0"/>
    <n v="48000"/>
    <n v="0"/>
    <n v="48000"/>
    <n v="48000"/>
    <n v="0"/>
    <n v="0"/>
    <m/>
    <s v="Si"/>
    <n v="48000"/>
    <n v="48000"/>
    <n v="0"/>
    <d v="2022-08-13T00:00:00"/>
    <n v="1.5492318581632651"/>
    <n v="1.6387662656249997"/>
    <n v="1.6387662656249997"/>
    <n v="78660.780749999991"/>
    <n v="1.5492318581632651"/>
    <n v="5.7792774522391101E-2"/>
    <n v="1.6387662656249997"/>
    <n v="1.6387662656249997"/>
    <m/>
    <s v="OK"/>
    <s v="OK"/>
    <n v="96000"/>
    <n v="72000"/>
    <n v="120000"/>
    <n v="0"/>
    <n v="0"/>
    <n v="0"/>
    <n v="91200"/>
    <n v="63360"/>
    <n v="181390"/>
    <n v="0"/>
    <n v="0"/>
    <n v="0"/>
    <m/>
    <n v="0"/>
    <n v="165974.20000000001"/>
    <n v="0"/>
    <n v="0"/>
    <n v="165974.20000000001"/>
    <n v="0"/>
    <n v="96000"/>
    <n v="43890.662091334285"/>
    <n v="43890.662091334285"/>
    <n v="52109.337908665715"/>
    <n v="0"/>
    <n v="0"/>
  </r>
  <r>
    <s v="Agrosuper Shanghai1022073"/>
    <x v="0"/>
    <x v="3"/>
    <n v="1022073"/>
    <s v="GO Mantec@ Cj 20k AS"/>
    <s v="Grasas"/>
    <s v="Grasa Interior"/>
    <n v="0"/>
    <n v="0"/>
    <n v="0.45719439678473212"/>
    <n v="0"/>
    <n v="60521"/>
    <n v="47566"/>
    <n v="0"/>
    <n v="103330.4"/>
    <n v="0"/>
    <n v="24000"/>
    <n v="0"/>
    <m/>
    <n v="0"/>
    <n v="103330.4"/>
    <n v="0"/>
    <n v="0"/>
    <n v="0"/>
    <n v="103330.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2403552627004117"/>
    <n v="0"/>
    <n v="0"/>
    <n v="0"/>
    <n v="1.2403552627004117"/>
    <s v="No Aplica"/>
    <n v="0"/>
    <n v="0"/>
    <m/>
    <s v="OK"/>
    <s v="OK"/>
    <n v="72000"/>
    <n v="0"/>
    <n v="0"/>
    <n v="0"/>
    <n v="24000"/>
    <n v="48000"/>
    <n v="48600"/>
    <n v="0"/>
    <n v="0"/>
    <n v="0"/>
    <n v="22800"/>
    <n v="52800"/>
    <m/>
    <n v="0"/>
    <n v="103330.4"/>
    <n v="0"/>
    <n v="0"/>
    <n v="103330.4"/>
    <n v="0"/>
    <n v="0"/>
    <n v="0"/>
    <n v="0"/>
    <n v="0"/>
    <n v="0"/>
    <n v="0"/>
  </r>
  <r>
    <s v="Agrosuper Shanghai1022096"/>
    <x v="0"/>
    <x v="3"/>
    <n v="1022096"/>
    <s v="GO Sternum Bones@ Bo Cj 10k AS"/>
    <s v="Huesos"/>
    <s v="Huesos Cuarto Delant"/>
    <n v="0"/>
    <n v="0"/>
    <n v="0.45719439678473212"/>
    <n v="0"/>
    <n v="140316"/>
    <n v="56950"/>
    <n v="0"/>
    <n v="191571"/>
    <n v="0"/>
    <n v="24000"/>
    <n v="0"/>
    <m/>
    <n v="0"/>
    <n v="191571"/>
    <n v="0"/>
    <n v="0"/>
    <n v="0"/>
    <n v="19157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3862411995135377"/>
    <n v="0"/>
    <n v="0"/>
    <n v="0"/>
    <n v="1.3862411995135377"/>
    <s v="No Aplica"/>
    <n v="0"/>
    <n v="0"/>
    <m/>
    <s v="OK"/>
    <s v="OK"/>
    <n v="192000"/>
    <n v="264000"/>
    <n v="216000"/>
    <n v="192000"/>
    <n v="164571"/>
    <n v="168000"/>
    <n v="270080"/>
    <n v="312840"/>
    <n v="248400"/>
    <n v="222459"/>
    <n v="194168"/>
    <n v="223136"/>
    <m/>
    <n v="0"/>
    <n v="191571"/>
    <n v="0"/>
    <n v="0"/>
    <n v="191571"/>
    <n v="0"/>
    <n v="0"/>
    <n v="0"/>
    <n v="0"/>
    <n v="0"/>
    <n v="0"/>
    <n v="0"/>
  </r>
  <r>
    <s v="Agrosuper Shanghai1022125"/>
    <x v="0"/>
    <x v="3"/>
    <n v="1022125"/>
    <s v="GO PernilM C/M@ Cj 20k AS"/>
    <s v="Pernil"/>
    <s v="Pernil Mano"/>
    <n v="0"/>
    <n v="0"/>
    <n v="0.45719439678473212"/>
    <n v="0"/>
    <n v="107661"/>
    <n v="105670.05200000001"/>
    <n v="0"/>
    <n v="202764.04680000001"/>
    <n v="0"/>
    <n v="24000"/>
    <n v="0"/>
    <m/>
    <n v="0"/>
    <n v="202764.04680000001"/>
    <n v="0"/>
    <n v="0"/>
    <n v="0"/>
    <n v="202764.0468000000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2.9342941921335979"/>
    <n v="0"/>
    <n v="0"/>
    <n v="0"/>
    <n v="2.9342941921335979"/>
    <s v="No Aplica"/>
    <n v="0"/>
    <n v="0"/>
    <m/>
    <s v="OK"/>
    <s v="OK"/>
    <n v="216000"/>
    <n v="96000"/>
    <n v="96000"/>
    <n v="120000"/>
    <n v="96000"/>
    <n v="72000"/>
    <n v="586500"/>
    <n v="239040"/>
    <n v="233280"/>
    <n v="304970"/>
    <n v="246850"/>
    <n v="186360"/>
    <m/>
    <n v="0"/>
    <n v="202764.04680000001"/>
    <n v="0"/>
    <n v="0"/>
    <n v="202764.04680000001"/>
    <n v="0"/>
    <n v="0"/>
    <n v="0"/>
    <n v="0"/>
    <n v="0"/>
    <n v="0"/>
    <n v="0"/>
  </r>
  <r>
    <s v="Agrosuper Shanghai1022183"/>
    <x v="0"/>
    <x v="3"/>
    <n v="1022183"/>
    <s v="GO PernilP@ Bo Cj 20k AS"/>
    <s v="Pernil"/>
    <s v="Pernil Pierna"/>
    <n v="0"/>
    <n v="0"/>
    <n v="0.45719439678473212"/>
    <n v="0"/>
    <n v="314895"/>
    <n v="200010.16199999998"/>
    <n v="0"/>
    <n v="494904.1458"/>
    <n v="0"/>
    <n v="24000"/>
    <n v="0"/>
    <m/>
    <n v="0"/>
    <n v="494904.1458"/>
    <n v="0"/>
    <n v="0"/>
    <n v="0"/>
    <n v="494904.1458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2.0464840967297055"/>
    <n v="0"/>
    <n v="0"/>
    <n v="0"/>
    <n v="2.0464840967297055"/>
    <s v="No Aplica"/>
    <n v="0"/>
    <n v="0"/>
    <m/>
    <s v="OK"/>
    <s v="OK"/>
    <n v="456000"/>
    <n v="408000"/>
    <n v="360000"/>
    <n v="551000"/>
    <n v="484400"/>
    <n v="360000"/>
    <n v="825106.66669999994"/>
    <n v="634440"/>
    <n v="601200"/>
    <n v="931630"/>
    <n v="890457"/>
    <n v="731662"/>
    <m/>
    <n v="0"/>
    <n v="494904.1458"/>
    <n v="0"/>
    <n v="0"/>
    <n v="494904.1458"/>
    <n v="0"/>
    <n v="0"/>
    <n v="0"/>
    <n v="0"/>
    <n v="0"/>
    <n v="0"/>
    <n v="0"/>
  </r>
  <r>
    <s v="Agrosuper Shanghai1022186"/>
    <x v="0"/>
    <x v="3"/>
    <n v="1022186"/>
    <s v="GO Resto Tira Hso Ctro@ Bo Cj 20k AS"/>
    <s v="Huesos"/>
    <s v="Huesos Cuarto Centra"/>
    <n v="0"/>
    <n v="0"/>
    <n v="0.45719439678473212"/>
    <n v="0"/>
    <n v="75087"/>
    <n v="16353"/>
    <n v="0"/>
    <n v="89804.7"/>
    <n v="0"/>
    <n v="24000"/>
    <n v="0"/>
    <m/>
    <n v="0"/>
    <n v="89804.7"/>
    <n v="0"/>
    <n v="0"/>
    <n v="0"/>
    <n v="89804.7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0342096944393466"/>
    <n v="0"/>
    <n v="0"/>
    <n v="0"/>
    <n v="1.0342096944393466"/>
    <s v="No Aplica"/>
    <n v="0"/>
    <n v="0"/>
    <m/>
    <s v="OK"/>
    <s v="OK"/>
    <n v="48000"/>
    <n v="48000"/>
    <n v="24000"/>
    <n v="48000"/>
    <n v="48000"/>
    <n v="24000"/>
    <n v="40800"/>
    <n v="31200"/>
    <n v="19200"/>
    <n v="43458"/>
    <n v="38400"/>
    <n v="18796"/>
    <m/>
    <n v="0"/>
    <n v="89804.7"/>
    <n v="0"/>
    <n v="0"/>
    <n v="89804.7"/>
    <n v="0"/>
    <n v="0"/>
    <n v="0"/>
    <n v="0"/>
    <n v="0"/>
    <n v="0"/>
    <n v="0"/>
  </r>
  <r>
    <s v="Agrosuper Shanghai1022291"/>
    <x v="0"/>
    <x v="3"/>
    <n v="1022291"/>
    <s v="GO PernilM B@ Bo Cj 20k AS"/>
    <s v="Pernil"/>
    <s v="Pernil Mano"/>
    <n v="0"/>
    <n v="0"/>
    <n v="0.45719439678473212"/>
    <n v="0"/>
    <n v="57824"/>
    <n v="6866.16"/>
    <n v="0"/>
    <n v="64003.544000000002"/>
    <n v="0"/>
    <n v="24000"/>
    <n v="0"/>
    <m/>
    <n v="0"/>
    <n v="64003.544000000002"/>
    <n v="0"/>
    <n v="0"/>
    <n v="0"/>
    <n v="64003.544000000002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876585191883178"/>
    <n v="0"/>
    <n v="0"/>
    <n v="0"/>
    <n v="1.876585191883178"/>
    <s v="No Aplica"/>
    <n v="0"/>
    <n v="0"/>
    <m/>
    <s v="OK"/>
    <s v="OK"/>
    <n v="48000"/>
    <n v="48000"/>
    <n v="48000"/>
    <n v="72000"/>
    <n v="119757"/>
    <n v="48000"/>
    <n v="77760"/>
    <n v="80400"/>
    <n v="82560"/>
    <n v="121706"/>
    <n v="206659"/>
    <n v="94133"/>
    <m/>
    <n v="0"/>
    <n v="64003.544000000002"/>
    <n v="0"/>
    <n v="0"/>
    <n v="64003.544000000002"/>
    <n v="0"/>
    <n v="0"/>
    <n v="0"/>
    <n v="0"/>
    <n v="0"/>
    <n v="0"/>
    <n v="0"/>
  </r>
  <r>
    <s v="Agrosuper Shanghai1022373"/>
    <x v="0"/>
    <x v="3"/>
    <n v="1022373"/>
    <s v="GO Reco 60/40 @ Cj 20k AS"/>
    <s v="Recortes"/>
    <s v="Recortes No Magro"/>
    <n v="0"/>
    <n v="0"/>
    <n v="0.45719439678473212"/>
    <n v="0"/>
    <n v="20451"/>
    <n v="12338"/>
    <n v="0"/>
    <n v="31555.200000000001"/>
    <n v="24000"/>
    <n v="24000"/>
    <n v="24000"/>
    <m/>
    <n v="24000"/>
    <n v="7555.2000000000007"/>
    <n v="0"/>
    <n v="0"/>
    <n v="0"/>
    <n v="7555.2000000000007"/>
    <n v="0"/>
    <n v="0"/>
    <n v="0"/>
    <n v="0"/>
    <n v="24000"/>
    <n v="24000"/>
    <n v="0"/>
    <n v="24000"/>
    <n v="0"/>
    <n v="24000"/>
    <n v="24000"/>
    <n v="0"/>
    <n v="0"/>
    <m/>
    <s v="Si"/>
    <n v="24000"/>
    <n v="20451"/>
    <n v="3549"/>
    <d v="2022-08-13T00:00:00"/>
    <n v="1.2899202272029422"/>
    <n v="1.4497916666666699"/>
    <n v="1.4497916666666699"/>
    <n v="34795.00000000008"/>
    <n v="1.2899202272029422"/>
    <n v="0.12393901273289769"/>
    <n v="1.4497916666666699"/>
    <n v="1.4497916666666699"/>
    <m/>
    <s v="OK"/>
    <s v="OK"/>
    <n v="96000"/>
    <n v="96000"/>
    <n v="48000"/>
    <n v="0"/>
    <n v="48000"/>
    <n v="23984"/>
    <n v="84000"/>
    <n v="81600"/>
    <n v="40800"/>
    <n v="0"/>
    <n v="50400"/>
    <n v="23025"/>
    <m/>
    <n v="0"/>
    <n v="7555.2000000000007"/>
    <n v="173548.86"/>
    <n v="79345.566360377925"/>
    <n v="86900.766360377922"/>
    <n v="94203.293639622061"/>
    <n v="153030.52000000002"/>
    <n v="69964.696281053897"/>
    <n v="164167.98992067596"/>
    <n v="83065.823718946122"/>
    <n v="0"/>
    <n v="0"/>
  </r>
  <r>
    <s v="Agrosuper Shanghai1022378"/>
    <x v="0"/>
    <x v="3"/>
    <n v="1022378"/>
    <s v="GO Resto Tira Hso@ Fi Cj 10k AS"/>
    <s v="Huesos"/>
    <s v="Huesos Cuarto Centra"/>
    <n v="0"/>
    <n v="0"/>
    <n v="0.45719439678473212"/>
    <n v="0"/>
    <n v="99340"/>
    <n v="26134"/>
    <n v="0"/>
    <n v="122860.6"/>
    <n v="0"/>
    <n v="24000"/>
    <n v="0"/>
    <m/>
    <n v="0"/>
    <n v="122860.6"/>
    <n v="0"/>
    <n v="0"/>
    <n v="0"/>
    <n v="122860.6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2.0124565473181044"/>
    <n v="0"/>
    <n v="0"/>
    <n v="0"/>
    <n v="2.0124565473181044"/>
    <s v="No Aplica"/>
    <n v="0"/>
    <n v="0"/>
    <m/>
    <s v="OK"/>
    <s v="OK"/>
    <n v="72000"/>
    <n v="72000"/>
    <n v="96000"/>
    <n v="96000"/>
    <n v="96000"/>
    <n v="72290"/>
    <n v="168000"/>
    <n v="151200"/>
    <n v="187200"/>
    <n v="179840"/>
    <n v="177168"/>
    <n v="142066"/>
    <m/>
    <n v="0"/>
    <n v="122860.6"/>
    <n v="0"/>
    <n v="0"/>
    <n v="122860.6"/>
    <n v="0"/>
    <n v="0"/>
    <n v="0"/>
    <n v="0"/>
    <n v="0"/>
    <n v="0"/>
    <n v="0"/>
  </r>
  <r>
    <s v="Agrosuper Shanghai1022379"/>
    <x v="0"/>
    <x v="3"/>
    <n v="1022379"/>
    <s v="GO PpPal 77@ Bo Cj AS"/>
    <s v="Paleta"/>
    <s v="Paleta Pulpa"/>
    <n v="0"/>
    <n v="0"/>
    <n v="0.45719439678473212"/>
    <n v="0"/>
    <n v="156618"/>
    <n v="107143.35167548108"/>
    <n v="0"/>
    <n v="253047.01650793297"/>
    <n v="48000"/>
    <n v="24000"/>
    <n v="48000"/>
    <m/>
    <n v="48000"/>
    <n v="205047.01650793297"/>
    <n v="0"/>
    <n v="0"/>
    <n v="0"/>
    <n v="205047.01650793297"/>
    <n v="0"/>
    <n v="0"/>
    <n v="0"/>
    <n v="0"/>
    <n v="48000"/>
    <n v="48000"/>
    <n v="0"/>
    <n v="48000"/>
    <n v="0"/>
    <n v="48000"/>
    <n v="48000"/>
    <n v="0"/>
    <n v="0"/>
    <m/>
    <s v="Si"/>
    <n v="48000"/>
    <n v="48000"/>
    <n v="0"/>
    <d v="2022-08-13T00:00:00"/>
    <n v="2.3923437502167748"/>
    <n v="2.4993472222222199"/>
    <n v="2.4993472222222199"/>
    <n v="119968.66666666656"/>
    <n v="2.3923437502167748"/>
    <n v="4.4727465271556126E-2"/>
    <n v="2.4993472222222199"/>
    <n v="2.4993472222222199"/>
    <m/>
    <s v="OK"/>
    <s v="OK"/>
    <n v="48000"/>
    <n v="0"/>
    <n v="0"/>
    <n v="0"/>
    <n v="0"/>
    <n v="0"/>
    <n v="79200"/>
    <n v="0"/>
    <n v="0"/>
    <n v="0"/>
    <n v="0"/>
    <n v="0"/>
    <m/>
    <n v="0"/>
    <n v="205047.01650793297"/>
    <n v="0"/>
    <n v="0"/>
    <n v="205047.01650793297"/>
    <n v="0"/>
    <n v="0"/>
    <n v="0"/>
    <n v="0"/>
    <n v="0"/>
    <n v="0"/>
    <n v="0"/>
  </r>
  <r>
    <s v="Agrosuper Shanghai1022381"/>
    <x v="0"/>
    <x v="3"/>
    <n v="1022381"/>
    <s v="GO Gord Esp@ Bo Cj 10k AS"/>
    <s v="Grasas"/>
    <s v="Grasa Gordura"/>
    <n v="0"/>
    <n v="0"/>
    <n v="0.45719439678473212"/>
    <n v="0"/>
    <n v="70991"/>
    <n v="31745"/>
    <n v="0"/>
    <n v="99561.5"/>
    <n v="96000"/>
    <n v="24000"/>
    <n v="96000"/>
    <m/>
    <n v="96000"/>
    <n v="3561.5"/>
    <n v="0"/>
    <n v="0"/>
    <n v="0"/>
    <n v="3561.5"/>
    <n v="0"/>
    <n v="0"/>
    <n v="0"/>
    <n v="0"/>
    <n v="48000"/>
    <n v="96000"/>
    <n v="0"/>
    <n v="96000"/>
    <n v="0"/>
    <n v="96000"/>
    <n v="96000"/>
    <n v="0"/>
    <n v="0"/>
    <m/>
    <s v="Si"/>
    <n v="96000"/>
    <n v="70991"/>
    <n v="25009"/>
    <d v="2022-08-13T00:00:00"/>
    <n v="1.028963807628217"/>
    <n v="1.3325"/>
    <n v="1.3325"/>
    <n v="127920"/>
    <n v="1.028963807628217"/>
    <n v="0.29499209799365073"/>
    <n v="1.3325"/>
    <n v="1.3325"/>
    <m/>
    <s v="OK"/>
    <s v="OK"/>
    <n v="24000"/>
    <n v="48000"/>
    <n v="72000"/>
    <n v="96000"/>
    <n v="96000"/>
    <n v="72000"/>
    <n v="14400"/>
    <n v="30240"/>
    <n v="52560"/>
    <n v="73280"/>
    <n v="83353"/>
    <n v="62400"/>
    <m/>
    <n v="0"/>
    <n v="3561.5"/>
    <n v="0"/>
    <n v="0"/>
    <n v="3561.5"/>
    <n v="0"/>
    <n v="0"/>
    <n v="0"/>
    <n v="0"/>
    <n v="0"/>
    <n v="0"/>
    <n v="0"/>
  </r>
  <r>
    <s v="Agrosuper Shanghai1022389"/>
    <x v="0"/>
    <x v="3"/>
    <n v="1022389"/>
    <s v="GO Cue 20@ Bo Cj 20k AS"/>
    <s v="Cueros"/>
    <s v="Cuero Panceta"/>
    <n v="0"/>
    <n v="0"/>
    <n v="0.45719439678473212"/>
    <n v="0"/>
    <n v="8620"/>
    <n v="0"/>
    <n v="0"/>
    <n v="8620"/>
    <n v="0"/>
    <n v="24000"/>
    <n v="0"/>
    <m/>
    <n v="0"/>
    <n v="8620"/>
    <n v="0"/>
    <n v="0"/>
    <n v="0"/>
    <n v="862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0931462000000001"/>
    <n v="0"/>
    <n v="0"/>
    <n v="0"/>
    <n v="1.0931462000000001"/>
    <s v="No Aplica"/>
    <n v="0"/>
    <n v="0"/>
    <m/>
    <s v="OK"/>
    <s v="OK"/>
    <n v="72000"/>
    <n v="0"/>
    <n v="0"/>
    <n v="0"/>
    <n v="0"/>
    <n v="0"/>
    <n v="72000"/>
    <n v="0"/>
    <n v="0"/>
    <n v="0"/>
    <n v="0"/>
    <n v="0"/>
    <m/>
    <n v="0"/>
    <n v="8620"/>
    <n v="0"/>
    <n v="0"/>
    <n v="8620"/>
    <n v="0"/>
    <n v="0"/>
    <n v="0"/>
    <n v="0"/>
    <n v="0"/>
    <n v="0"/>
    <n v="0"/>
  </r>
  <r>
    <s v="Agrosuper Shanghai1022414"/>
    <x v="0"/>
    <x v="3"/>
    <n v="1022414"/>
    <s v="GO Caz Ent@ Bo Cj 10k AS"/>
    <s v="Chuleta"/>
    <s v="Chuleta Cazuela"/>
    <n v="0"/>
    <n v="0"/>
    <n v="0.45719439678473212"/>
    <n v="0"/>
    <n v="185940"/>
    <n v="45307"/>
    <n v="0"/>
    <n v="226716.3"/>
    <n v="24000"/>
    <n v="24000"/>
    <n v="24000"/>
    <m/>
    <n v="24000"/>
    <n v="202716.3"/>
    <n v="0"/>
    <n v="0"/>
    <n v="0"/>
    <n v="202716.3"/>
    <n v="0"/>
    <n v="0"/>
    <n v="0"/>
    <n v="0"/>
    <n v="24000"/>
    <n v="24000"/>
    <n v="0"/>
    <n v="24000"/>
    <n v="0"/>
    <n v="24000"/>
    <n v="24000"/>
    <n v="0"/>
    <n v="0"/>
    <m/>
    <s v="Si"/>
    <n v="24000"/>
    <n v="24000"/>
    <n v="0"/>
    <d v="2022-08-13T00:00:00"/>
    <n v="1.0824749720877898"/>
    <n v="1.1083333333333301"/>
    <n v="1.1083333333333301"/>
    <n v="26599.99999999992"/>
    <n v="1.0824749720877898"/>
    <n v="2.388818394171904E-2"/>
    <n v="1.1083333333333301"/>
    <n v="1.1083333333333301"/>
    <m/>
    <s v="OK"/>
    <s v="OK"/>
    <n v="192000"/>
    <n v="192000"/>
    <n v="192000"/>
    <n v="120000"/>
    <n v="120000"/>
    <n v="144000"/>
    <n v="154240"/>
    <n v="158400"/>
    <n v="157440"/>
    <n v="100645"/>
    <n v="105556"/>
    <n v="133889"/>
    <m/>
    <n v="0"/>
    <n v="202716.3"/>
    <n v="0"/>
    <n v="0"/>
    <n v="202716.3"/>
    <n v="0"/>
    <n v="0"/>
    <n v="0"/>
    <n v="0"/>
    <n v="0"/>
    <n v="0"/>
    <n v="0"/>
  </r>
  <r>
    <s v="Agrosuper Shanghai1022415"/>
    <x v="0"/>
    <x v="3"/>
    <n v="1022415"/>
    <s v="GO Reco 85/15 @ Cj 20k AS"/>
    <s v="Recortes"/>
    <s v="Recortes No Magro"/>
    <n v="0"/>
    <n v="0"/>
    <n v="0.45719439678473212"/>
    <n v="0"/>
    <n v="0"/>
    <n v="0"/>
    <n v="0"/>
    <n v="0"/>
    <n v="0"/>
    <n v="2400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4084"/>
    <n v="0"/>
    <n v="0"/>
    <n v="0"/>
    <n v="0"/>
    <n v="0"/>
    <n v="3608"/>
    <n v="0"/>
    <n v="0"/>
    <n v="0"/>
    <m/>
    <n v="0"/>
    <n v="0"/>
    <n v="0"/>
    <n v="0"/>
    <n v="0"/>
    <n v="0"/>
    <n v="0"/>
    <n v="0"/>
    <n v="0"/>
    <n v="0"/>
    <n v="0"/>
    <n v="0"/>
  </r>
  <r>
    <s v="Agrosuper Shanghai1022417"/>
    <x v="0"/>
    <x v="3"/>
    <n v="1022417"/>
    <s v="GO Cue granel@ Bo Cj 20k AS"/>
    <s v="Cueros"/>
    <s v="Cuero Mixto"/>
    <n v="0"/>
    <n v="0"/>
    <n v="0.45719439678473212"/>
    <n v="0"/>
    <n v="162849"/>
    <n v="120561"/>
    <n v="0"/>
    <n v="271353.90000000002"/>
    <n v="72000"/>
    <n v="24000"/>
    <n v="72000"/>
    <m/>
    <n v="72000"/>
    <n v="199353.90000000002"/>
    <n v="0"/>
    <n v="0"/>
    <n v="0"/>
    <n v="199353.90000000002"/>
    <n v="0"/>
    <n v="0"/>
    <n v="0"/>
    <n v="25000"/>
    <n v="97000"/>
    <n v="97000"/>
    <n v="25000"/>
    <n v="72000"/>
    <n v="0"/>
    <n v="97000"/>
    <n v="72000"/>
    <n v="0"/>
    <n v="0"/>
    <m/>
    <s v="Si"/>
    <n v="72000"/>
    <n v="72000"/>
    <n v="0"/>
    <d v="2022-08-13T00:00:00"/>
    <n v="0.79489634126843134"/>
    <n v="0.79995833333333299"/>
    <n v="0.79995833333333299"/>
    <n v="77595.958333333299"/>
    <n v="0.79489634126843134"/>
    <n v="6.368115944305564E-3"/>
    <n v="0.79995833333333299"/>
    <n v="0.79995833333333299"/>
    <m/>
    <s v="OK"/>
    <s v="OK"/>
    <n v="0"/>
    <n v="0"/>
    <n v="24000"/>
    <n v="48000"/>
    <n v="24000"/>
    <n v="96000"/>
    <n v="0"/>
    <n v="0"/>
    <n v="19920"/>
    <n v="24960"/>
    <n v="15600"/>
    <n v="62400"/>
    <m/>
    <n v="0"/>
    <n v="199353.90000000002"/>
    <n v="85916.974000000002"/>
    <n v="39280.759101499512"/>
    <n v="238634.65910149954"/>
    <n v="46636.21489850049"/>
    <n v="25742.795000000002"/>
    <n v="11769.461631578019"/>
    <n v="58405.676530078505"/>
    <n v="13973.333368421983"/>
    <n v="0"/>
    <n v="0"/>
  </r>
  <r>
    <s v="Agrosuper Shanghai1022541"/>
    <x v="0"/>
    <x v="3"/>
    <n v="1022541"/>
    <s v="GO Reco 20/80 @ Cj 20k AS"/>
    <s v="Grasas"/>
    <s v="Grasa Gordura"/>
    <n v="0"/>
    <n v="0"/>
    <n v="0.45719439678473212"/>
    <n v="0"/>
    <n v="118859"/>
    <n v="30848"/>
    <n v="0"/>
    <n v="146622.20000000001"/>
    <n v="0"/>
    <n v="24000"/>
    <n v="0"/>
    <m/>
    <n v="0"/>
    <n v="146622.20000000001"/>
    <n v="0"/>
    <n v="0"/>
    <n v="0"/>
    <n v="146622.2000000000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1260808074982969"/>
    <n v="0"/>
    <n v="0"/>
    <n v="0"/>
    <n v="1.1260808074982969"/>
    <s v="No Aplica"/>
    <n v="0"/>
    <n v="0"/>
    <m/>
    <s v="OK"/>
    <s v="OK"/>
    <n v="24000"/>
    <n v="72000"/>
    <n v="48000"/>
    <n v="24000"/>
    <n v="168000"/>
    <n v="144000"/>
    <n v="14400"/>
    <n v="45360"/>
    <n v="32160"/>
    <n v="7720"/>
    <n v="145332"/>
    <n v="151177"/>
    <m/>
    <n v="0"/>
    <n v="146622.20000000001"/>
    <n v="425913.81"/>
    <n v="194725.40744523701"/>
    <n v="341347.60744523699"/>
    <n v="231188.40255476299"/>
    <n v="389309.48"/>
    <n v="177990.11287117773"/>
    <n v="409178.51542594074"/>
    <n v="211319.36712882225"/>
    <n v="0"/>
    <n v="0"/>
  </r>
  <r>
    <s v="Agrosuper Shanghai1022637"/>
    <x v="0"/>
    <x v="3"/>
    <n v="1022637"/>
    <s v="GO Hso Escapula@ Cj 15kg AS"/>
    <s v="Huesos"/>
    <s v="Huesos Cuarto Delant"/>
    <n v="0"/>
    <n v="0"/>
    <n v="0.45719439678473212"/>
    <n v="0"/>
    <n v="88381"/>
    <n v="29764"/>
    <n v="0"/>
    <n v="115168.6"/>
    <n v="0"/>
    <n v="24000"/>
    <n v="0"/>
    <m/>
    <n v="0"/>
    <n v="115168.6"/>
    <n v="0"/>
    <n v="0"/>
    <n v="0"/>
    <n v="115168.6"/>
    <n v="0"/>
    <n v="0"/>
    <n v="0"/>
    <n v="21210"/>
    <n v="21210"/>
    <n v="21210"/>
    <n v="21210"/>
    <n v="0"/>
    <n v="0"/>
    <n v="21210"/>
    <n v="0"/>
    <n v="0"/>
    <n v="0"/>
    <m/>
    <s v="No"/>
    <n v="0"/>
    <n v="0"/>
    <n v="0"/>
    <d v="2022-08-13T00:00:00"/>
    <n v="1.1545886731763355"/>
    <n v="1.1545886731763355"/>
    <n v="1.1545886731763355"/>
    <n v="24488.825758070077"/>
    <n v="1.1545886731763355"/>
    <n v="0"/>
    <n v="1.1545886731763355"/>
    <n v="1.1545886731763355"/>
    <m/>
    <s v="OK"/>
    <s v="OK"/>
    <n v="144000"/>
    <n v="144000"/>
    <n v="120000"/>
    <n v="144000"/>
    <n v="71100"/>
    <n v="72000"/>
    <n v="163350"/>
    <n v="144000"/>
    <n v="120000"/>
    <n v="142519"/>
    <n v="73751"/>
    <n v="79080"/>
    <m/>
    <n v="0"/>
    <n v="115168.6"/>
    <n v="0"/>
    <n v="0"/>
    <n v="115168.6"/>
    <n v="0"/>
    <n v="0"/>
    <n v="0"/>
    <n v="0"/>
    <n v="0"/>
    <n v="0"/>
    <n v="0"/>
  </r>
  <r>
    <s v="Agrosuper Shanghai1022748"/>
    <x v="0"/>
    <x v="3"/>
    <n v="1022748"/>
    <s v="GO Manos@ Cj 10k AS"/>
    <s v="Subprod"/>
    <s v="Subprod Patas-Manos"/>
    <n v="0"/>
    <n v="0"/>
    <n v="0.45719439678473212"/>
    <n v="0"/>
    <n v="109324"/>
    <n v="66347.78"/>
    <n v="0"/>
    <n v="169037.00200000001"/>
    <n v="0"/>
    <n v="24000"/>
    <n v="0"/>
    <m/>
    <n v="0"/>
    <n v="169037.00200000001"/>
    <n v="0"/>
    <n v="0"/>
    <n v="0"/>
    <n v="169037.0020000000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5.0594819447257233"/>
    <n v="0"/>
    <n v="0"/>
    <n v="0"/>
    <n v="5.0594819447257233"/>
    <s v="No Aplica"/>
    <n v="0"/>
    <n v="0"/>
    <m/>
    <s v="OK"/>
    <s v="OK"/>
    <n v="144000"/>
    <n v="0"/>
    <n v="84000"/>
    <n v="132000"/>
    <n v="96000"/>
    <n v="68000"/>
    <n v="636000"/>
    <n v="0"/>
    <n v="398160"/>
    <n v="623093"/>
    <n v="455946"/>
    <n v="342073"/>
    <m/>
    <n v="0"/>
    <n v="169037.00200000001"/>
    <n v="0"/>
    <n v="0"/>
    <n v="169037.00200000001"/>
    <n v="0"/>
    <n v="0"/>
    <n v="0"/>
    <n v="0"/>
    <n v="0"/>
    <n v="0"/>
    <n v="0"/>
  </r>
  <r>
    <s v="Agrosuper Shanghai1022851"/>
    <x v="0"/>
    <x v="3"/>
    <n v="1022851"/>
    <s v="GO Pal Nor@ Cj 20k AS"/>
    <s v="Paleta"/>
    <s v="Paleta Entera"/>
    <n v="0"/>
    <n v="0"/>
    <n v="0.45719439678473212"/>
    <n v="0"/>
    <n v="142992"/>
    <n v="59631.846092371845"/>
    <n v="24000"/>
    <n v="172660.66148313467"/>
    <n v="96000"/>
    <n v="24000"/>
    <n v="96000"/>
    <m/>
    <n v="96000"/>
    <n v="76660.661483134667"/>
    <n v="0"/>
    <n v="0"/>
    <n v="0"/>
    <n v="76660.661483134667"/>
    <n v="0"/>
    <n v="0"/>
    <n v="0"/>
    <n v="0"/>
    <n v="24000"/>
    <n v="96000"/>
    <n v="0"/>
    <n v="96000"/>
    <n v="0"/>
    <n v="96000"/>
    <n v="96000"/>
    <n v="0"/>
    <n v="0"/>
    <m/>
    <s v="Si"/>
    <n v="96000"/>
    <n v="96000"/>
    <n v="0"/>
    <d v="2022-08-13T00:00:00"/>
    <n v="1.7554097825706594"/>
    <n v="1.7755270833333325"/>
    <n v="1.7755270833333325"/>
    <n v="170450.59999999992"/>
    <n v="1.7554097825706594"/>
    <n v="1.1460173551734997E-2"/>
    <n v="1.7755270833333325"/>
    <n v="1.7755270833333325"/>
    <m/>
    <s v="OK"/>
    <s v="OK"/>
    <n v="8596"/>
    <n v="0"/>
    <n v="8956"/>
    <n v="0"/>
    <n v="0"/>
    <n v="0"/>
    <n v="9025.7999999999993"/>
    <n v="0"/>
    <n v="9255"/>
    <n v="0"/>
    <n v="0"/>
    <n v="0"/>
    <m/>
    <n v="0"/>
    <n v="76660.661483134667"/>
    <n v="0"/>
    <n v="0"/>
    <n v="76660.661483134667"/>
    <n v="0"/>
    <n v="0"/>
    <n v="0"/>
    <n v="0"/>
    <n v="0"/>
    <n v="0"/>
    <n v="0"/>
  </r>
  <r>
    <s v="Agrosuper Shanghai1022856"/>
    <x v="0"/>
    <x v="3"/>
    <n v="1022856"/>
    <s v="GO Reco 10/90 @ Cj 20k AS"/>
    <s v="Grasas"/>
    <s v="Grasa Gordura"/>
    <n v="165555"/>
    <n v="0"/>
    <n v="0.45719439678473212"/>
    <n v="75690.818359696321"/>
    <n v="60913"/>
    <n v="47647"/>
    <n v="0"/>
    <n v="179486.11835969629"/>
    <n v="72000"/>
    <n v="24000"/>
    <n v="72000"/>
    <m/>
    <n v="72000"/>
    <n v="107486.11835969629"/>
    <n v="0"/>
    <n v="0"/>
    <n v="0"/>
    <n v="107486.11835969629"/>
    <n v="0"/>
    <n v="0"/>
    <n v="0"/>
    <n v="48000"/>
    <n v="120000"/>
    <n v="120000"/>
    <n v="48000"/>
    <n v="72000"/>
    <n v="0"/>
    <n v="120000"/>
    <n v="72000"/>
    <n v="0"/>
    <n v="0"/>
    <m/>
    <s v="Si"/>
    <n v="72000"/>
    <n v="60913"/>
    <n v="11087"/>
    <d v="2022-08-13T00:00:00"/>
    <n v="1.0558560552502785"/>
    <n v="1.25833333333333"/>
    <n v="1.25833333333333"/>
    <n v="150999.99999999959"/>
    <n v="1.0558560552502785"/>
    <n v="0.19176598654355076"/>
    <n v="1.25833333333333"/>
    <n v="1.25833333333333"/>
    <m/>
    <s v="OK"/>
    <s v="OK"/>
    <n v="96000"/>
    <n v="24000"/>
    <n v="120000"/>
    <n v="120000"/>
    <n v="96000"/>
    <n v="73012"/>
    <n v="59626.666700000002"/>
    <n v="14400"/>
    <n v="90000"/>
    <n v="89108"/>
    <n v="84901"/>
    <n v="66191"/>
    <m/>
    <n v="89864.181640303679"/>
    <n v="197350.3"/>
    <n v="148367.47899999999"/>
    <n v="67832.780063876402"/>
    <n v="265183.0800638764"/>
    <n v="80534.69893612359"/>
    <n v="291656.76"/>
    <n v="133343.8364563894"/>
    <n v="213878.53539251297"/>
    <n v="158312.92354361061"/>
    <n v="165555"/>
    <n v="0"/>
  </r>
  <r>
    <s v="Agrosuper Shanghai1022945"/>
    <x v="0"/>
    <x v="3"/>
    <n v="1022945"/>
    <s v="GO Mantec@ Cj 20k AS"/>
    <s v="Grasas"/>
    <s v="Grasa Interior"/>
    <n v="0"/>
    <n v="0"/>
    <n v="0.45719439678473212"/>
    <n v="0"/>
    <n v="55720"/>
    <n v="33984"/>
    <n v="0"/>
    <n v="86305.600000000006"/>
    <n v="0"/>
    <n v="24000"/>
    <n v="0"/>
    <m/>
    <n v="0"/>
    <n v="86305.600000000006"/>
    <n v="0"/>
    <n v="0"/>
    <n v="0"/>
    <n v="86305.600000000006"/>
    <n v="0"/>
    <n v="0"/>
    <n v="0"/>
    <n v="24080"/>
    <n v="24080"/>
    <n v="24080"/>
    <n v="24080"/>
    <n v="0"/>
    <n v="0"/>
    <n v="24080"/>
    <n v="0"/>
    <n v="0"/>
    <n v="0"/>
    <m/>
    <s v="No"/>
    <n v="0"/>
    <n v="0"/>
    <n v="0"/>
    <d v="2022-08-13T00:00:00"/>
    <n v="1.2303454270274354"/>
    <n v="1.2303454270274354"/>
    <n v="1.2303454270274354"/>
    <n v="29626.717882820645"/>
    <n v="1.2303454270274354"/>
    <n v="0"/>
    <n v="1.2303454270274354"/>
    <n v="1.2303454270274354"/>
    <m/>
    <s v="OK"/>
    <s v="OK"/>
    <n v="144000"/>
    <n v="0"/>
    <n v="0"/>
    <n v="0"/>
    <n v="48000"/>
    <n v="48140"/>
    <n v="94200"/>
    <n v="0"/>
    <n v="0"/>
    <n v="0"/>
    <n v="46080"/>
    <n v="45412"/>
    <m/>
    <n v="0"/>
    <n v="86305.600000000006"/>
    <n v="0"/>
    <n v="0"/>
    <n v="86305.600000000006"/>
    <n v="0"/>
    <n v="0"/>
    <n v="0"/>
    <n v="0"/>
    <n v="0"/>
    <n v="0"/>
    <n v="0"/>
  </r>
  <r>
    <s v="Agrosuper Shanghai1023034"/>
    <x v="0"/>
    <x v="3"/>
    <n v="1023034"/>
    <s v="GO Forro Pal@ Bo Cj 20k AS"/>
    <s v="Cueros"/>
    <s v="Cuero Forro"/>
    <n v="0"/>
    <n v="0"/>
    <n v="0.45719439678473212"/>
    <n v="0"/>
    <n v="106146"/>
    <n v="20540"/>
    <n v="0"/>
    <n v="124632"/>
    <n v="48000"/>
    <n v="24000"/>
    <n v="48000"/>
    <m/>
    <n v="48000"/>
    <n v="76632"/>
    <n v="0"/>
    <n v="0"/>
    <n v="0"/>
    <n v="76632"/>
    <n v="0"/>
    <n v="0"/>
    <n v="0"/>
    <n v="0"/>
    <n v="24000"/>
    <n v="48000"/>
    <n v="0"/>
    <n v="48000"/>
    <n v="0"/>
    <n v="48000"/>
    <n v="48000"/>
    <n v="0"/>
    <n v="0"/>
    <m/>
    <s v="Si"/>
    <n v="48000"/>
    <n v="48000"/>
    <n v="0"/>
    <d v="2022-08-13T00:00:00"/>
    <n v="0.77811693854399577"/>
    <n v="0.73333333333333284"/>
    <n v="0.73333333333333284"/>
    <n v="35199.999999999978"/>
    <n v="0.77811693854399577"/>
    <n v="5.7553823843574908E-2"/>
    <n v="0.73333333333333284"/>
    <n v="0.73333333333333284"/>
    <m/>
    <s v="OK"/>
    <s v="OK"/>
    <n v="120000"/>
    <n v="96000"/>
    <n v="24000"/>
    <n v="120000"/>
    <n v="72100"/>
    <n v="72000"/>
    <n v="34000"/>
    <n v="29760"/>
    <n v="7039"/>
    <n v="42744"/>
    <n v="37227"/>
    <n v="54000"/>
    <m/>
    <n v="0"/>
    <n v="76632"/>
    <n v="0"/>
    <n v="0"/>
    <n v="76632"/>
    <n v="0"/>
    <n v="0"/>
    <n v="0"/>
    <n v="0"/>
    <n v="0"/>
    <n v="0"/>
    <n v="0"/>
  </r>
  <r>
    <s v="Agrosuper Shanghai1023093"/>
    <x v="0"/>
    <x v="3"/>
    <n v="1023093"/>
    <s v="GO Cordon Lom@ Bo Cj 20k AS"/>
    <s v="Recortes"/>
    <s v="Recortes No Magro"/>
    <n v="0"/>
    <n v="0"/>
    <n v="0.45719439678473212"/>
    <n v="0"/>
    <n v="38151"/>
    <n v="16028"/>
    <n v="0"/>
    <n v="52576.2"/>
    <n v="0"/>
    <n v="24000"/>
    <n v="0"/>
    <m/>
    <n v="0"/>
    <n v="52576.2"/>
    <n v="0"/>
    <n v="0"/>
    <n v="0"/>
    <n v="52576.2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3.8515081674227156"/>
    <n v="0"/>
    <n v="0"/>
    <n v="0"/>
    <n v="3.8515081674227156"/>
    <s v="No Aplica"/>
    <n v="0"/>
    <n v="0"/>
    <m/>
    <s v="OK"/>
    <s v="OK"/>
    <n v="0"/>
    <n v="0"/>
    <n v="12000"/>
    <n v="12000"/>
    <n v="0"/>
    <n v="0"/>
    <n v="0"/>
    <n v="0"/>
    <n v="41800"/>
    <n v="20940"/>
    <n v="0"/>
    <n v="0"/>
    <m/>
    <n v="0"/>
    <n v="52576.2"/>
    <n v="0"/>
    <n v="0"/>
    <n v="52576.2"/>
    <n v="0"/>
    <n v="0"/>
    <n v="0"/>
    <n v="0"/>
    <n v="0"/>
    <n v="0"/>
    <n v="0"/>
  </r>
  <r>
    <s v="Agrosuper Shanghai1023111"/>
    <x v="0"/>
    <x v="3"/>
    <n v="1023111"/>
    <s v="GO Grasa Forro Pna Limp@ Bo Cj 20k AS"/>
    <s v="Grasas"/>
    <s v="Grasa Forro"/>
    <n v="0"/>
    <n v="0"/>
    <n v="0.45719439678473212"/>
    <n v="0"/>
    <n v="6572"/>
    <n v="0"/>
    <n v="0"/>
    <n v="6572"/>
    <n v="0"/>
    <n v="24000"/>
    <n v="0"/>
    <m/>
    <n v="0"/>
    <n v="6572"/>
    <n v="0"/>
    <n v="0"/>
    <n v="0"/>
    <n v="6572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.83137958749093943"/>
    <n v="0"/>
    <n v="0"/>
    <n v="0"/>
    <n v="0.83137958749093943"/>
    <s v="No Aplica"/>
    <n v="0"/>
    <n v="0"/>
    <m/>
    <s v="OK"/>
    <s v="OK"/>
    <n v="48000"/>
    <n v="0"/>
    <n v="96000"/>
    <n v="0"/>
    <n v="24000"/>
    <n v="0"/>
    <n v="26400"/>
    <n v="0"/>
    <n v="58800"/>
    <n v="0"/>
    <n v="18800"/>
    <n v="0"/>
    <m/>
    <n v="0"/>
    <n v="6572"/>
    <n v="0"/>
    <n v="0"/>
    <n v="6572"/>
    <n v="0"/>
    <n v="0"/>
    <n v="0"/>
    <n v="0"/>
    <n v="0"/>
    <n v="0"/>
    <n v="0"/>
  </r>
  <r>
    <s v="Agrosuper Shanghai1023131"/>
    <x v="0"/>
    <x v="3"/>
    <n v="1023131"/>
    <s v="GO Pna S/Hso C/Cue@ Cj 20k AS"/>
    <s v="Pierna"/>
    <s v="Pierna Pulpa"/>
    <n v="0"/>
    <n v="0"/>
    <n v="0.45719439678473212"/>
    <n v="0"/>
    <n v="0"/>
    <n v="0"/>
    <n v="0"/>
    <n v="0"/>
    <n v="0"/>
    <n v="2400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4224"/>
    <n v="0"/>
    <n v="4200"/>
    <n v="0"/>
    <n v="0"/>
    <n v="0"/>
    <n v="5280"/>
    <n v="0"/>
    <n v="5180"/>
    <n v="0"/>
    <n v="0"/>
    <n v="0"/>
    <m/>
    <n v="0"/>
    <n v="0"/>
    <n v="0"/>
    <n v="0"/>
    <n v="0"/>
    <n v="0"/>
    <n v="0"/>
    <n v="0"/>
    <n v="0"/>
    <n v="0"/>
    <n v="0"/>
    <n v="0"/>
  </r>
  <r>
    <s v="Agrosuper Shanghai1023306"/>
    <x v="0"/>
    <x v="3"/>
    <n v="1023306"/>
    <s v="GO Cue granel@ Bo Cj 20k AS"/>
    <s v="Cueros"/>
    <s v="Cuero Mixto"/>
    <n v="0"/>
    <n v="0"/>
    <n v="0.45719439678473212"/>
    <n v="0"/>
    <n v="139060"/>
    <n v="94458"/>
    <n v="0"/>
    <n v="224072.2"/>
    <n v="96000"/>
    <n v="24000"/>
    <n v="96000"/>
    <m/>
    <n v="96000"/>
    <n v="128072.20000000001"/>
    <n v="0"/>
    <n v="0"/>
    <n v="0"/>
    <n v="128072.20000000001"/>
    <n v="0"/>
    <n v="0"/>
    <n v="0"/>
    <n v="0"/>
    <n v="96000"/>
    <n v="96000"/>
    <n v="0"/>
    <n v="96000"/>
    <n v="0"/>
    <n v="96000"/>
    <n v="96000"/>
    <n v="0"/>
    <n v="0"/>
    <m/>
    <s v="Si"/>
    <n v="96000"/>
    <n v="96000"/>
    <n v="0"/>
    <d v="2022-08-13T00:00:00"/>
    <n v="1.0098363402015376"/>
    <n v="1.00484611969389"/>
    <n v="1.00484611969389"/>
    <n v="96465.227490613441"/>
    <n v="1.0098363402015376"/>
    <n v="4.941613119856237E-3"/>
    <n v="1.00484611969389"/>
    <n v="1.00484611969389"/>
    <m/>
    <s v="OK"/>
    <s v="OK"/>
    <n v="144000"/>
    <n v="72000"/>
    <n v="72000"/>
    <n v="144000"/>
    <n v="96000"/>
    <n v="96000"/>
    <n v="83520"/>
    <n v="46800"/>
    <n v="59760"/>
    <n v="108784"/>
    <n v="85572"/>
    <n v="76800"/>
    <m/>
    <n v="0"/>
    <n v="128072.20000000001"/>
    <n v="0"/>
    <n v="0"/>
    <n v="128072.20000000001"/>
    <n v="0"/>
    <n v="0"/>
    <n v="0"/>
    <n v="0"/>
    <n v="0"/>
    <n v="0"/>
    <n v="0"/>
  </r>
  <r>
    <s v="Exportacion Directa1020105"/>
    <x v="0"/>
    <x v="4"/>
    <n v="1020105"/>
    <s v="GO Lom Tecla@ Cj Lom Ctro JP"/>
    <s v="Lomo"/>
    <s v="Lomo Centro"/>
    <n v="54186"/>
    <n v="60000"/>
    <n v="0.87158319035419651"/>
    <n v="47227.606752532491"/>
    <n v="55119"/>
    <n v="21201.674294425084"/>
    <n v="7000"/>
    <n v="114428.11361751508"/>
    <n v="75500"/>
    <n v="2419.3548387096776"/>
    <n v="75500"/>
    <n v="-38780"/>
    <n v="36720"/>
    <n v="77708.113617515075"/>
    <n v="77419.354838709682"/>
    <n v="-33240"/>
    <n v="44179.354838709682"/>
    <n v="33528.758778805393"/>
    <n v="0"/>
    <n v="0"/>
    <n v="0"/>
    <n v="0"/>
    <n v="104532.25806451612"/>
    <n v="152919.3548387097"/>
    <n v="0"/>
    <n v="36720"/>
    <n v="116199.3548387097"/>
    <n v="80899.354838709682"/>
    <n v="36720"/>
    <n v="44179.354838709682"/>
    <s v="Por atraso en ciertos productos del mix"/>
    <m/>
    <s v="Si"/>
    <n v="80899.354838709682"/>
    <n v="55119"/>
    <n v="25780.354838709682"/>
    <d v="2022-08-27T00:00:00"/>
    <n v="3.7440000000000002"/>
    <n v="3.8841560003642388"/>
    <n v="3.8076164323391155"/>
    <n v="308033.71284950391"/>
    <n v="3.7153977658440591"/>
    <n v="2.4820671246247109E-2"/>
    <n v="3.8076164323391155"/>
    <n v="3.8076164323391155"/>
    <m/>
    <s v="OK"/>
    <s v="OK"/>
    <n v="53000"/>
    <n v="35000"/>
    <n v="40000"/>
    <n v="55000"/>
    <n v="58500"/>
    <n v="40113"/>
    <n v="242802.9852"/>
    <n v="150434"/>
    <n v="172191"/>
    <n v="229340"/>
    <n v="240695"/>
    <n v="151021"/>
    <m/>
    <n v="6958.3932474675075"/>
    <n v="40487.152026272903"/>
    <n v="60000"/>
    <n v="52294.991421251791"/>
    <n v="92782.143447524693"/>
    <n v="7705.0085787482094"/>
    <n v="70000.000200000009"/>
    <n v="61010.823499110404"/>
    <n v="68715.83207785862"/>
    <n v="8989.1767008896059"/>
    <n v="54186"/>
    <n v="0"/>
  </r>
  <r>
    <s v="Exportacion Directa1020110"/>
    <x v="0"/>
    <x v="4"/>
    <n v="1020110"/>
    <s v="GO MM Loin L@ Cj 12k AP"/>
    <s v="Lomo"/>
    <s v="Lomo MM Loin"/>
    <n v="651088"/>
    <n v="420000"/>
    <n v="0.87158319035419651"/>
    <n v="567477.35624133307"/>
    <n v="338670"/>
    <n v="187309.35999298067"/>
    <n v="168620"/>
    <n v="906105.78023501579"/>
    <n v="546330"/>
    <n v="6247.0588235294117"/>
    <n v="546330"/>
    <n v="-132960"/>
    <n v="413370"/>
    <n v="492735.78023501579"/>
    <n v="487270.5882352941"/>
    <n v="-221600"/>
    <n v="265670.5882352941"/>
    <n v="227065.19199972169"/>
    <n v="0"/>
    <n v="0"/>
    <n v="0"/>
    <n v="0"/>
    <n v="839941.76470588241"/>
    <n v="1033600.5882352941"/>
    <n v="0"/>
    <n v="413370"/>
    <n v="620230.5882352941"/>
    <n v="679040.5882352941"/>
    <n v="413370"/>
    <n v="265670.5882352941"/>
    <s v="Por atraso en ciertos productos del mix"/>
    <m/>
    <s v="Si"/>
    <n v="679040.5882352941"/>
    <n v="338670"/>
    <n v="340370.5882352941"/>
    <d v="2022-08-27T00:00:00"/>
    <n v="3.3479999999999999"/>
    <n v="3.4455554112766871"/>
    <n v="3.407387437302158"/>
    <n v="2313754.3697712086"/>
    <n v="3.2717909100868034"/>
    <n v="4.1444129818111464E-2"/>
    <n v="3.407387437302158"/>
    <n v="3.407387437302158"/>
    <m/>
    <s v="OK"/>
    <s v="OK"/>
    <n v="412200"/>
    <n v="240000"/>
    <n v="400000"/>
    <n v="460000"/>
    <n v="600000"/>
    <n v="690745"/>
    <n v="1698264"/>
    <n v="924341"/>
    <n v="1528601"/>
    <n v="1681228"/>
    <n v="2172336"/>
    <n v="2287445"/>
    <m/>
    <n v="83610.643758666905"/>
    <n v="310675.83575838862"/>
    <n v="550000"/>
    <n v="479370.7546948081"/>
    <n v="790046.59045319678"/>
    <n v="70629.2453051919"/>
    <n v="400000"/>
    <n v="348633.27614167862"/>
    <n v="419262.52144687052"/>
    <n v="51366.723858321377"/>
    <n v="651088"/>
    <n v="0"/>
  </r>
  <r>
    <s v="Exportacion Directa1020284"/>
    <x v="0"/>
    <x v="4"/>
    <n v="1020284"/>
    <s v="GO Posta Negra 3P T@ Va Cj t-f JP"/>
    <s v="Pierna"/>
    <s v="Pierna Pulpa Fina"/>
    <n v="406"/>
    <n v="7000"/>
    <n v="0.87158319035419651"/>
    <n v="353.86277528380378"/>
    <n v="12841"/>
    <n v="0"/>
    <n v="0"/>
    <n v="13194.862775283804"/>
    <n v="7000"/>
    <n v="2333.3333333333335"/>
    <n v="7000"/>
    <n v="0"/>
    <n v="7000"/>
    <n v="6194.8627752838038"/>
    <n v="4666.666666666667"/>
    <n v="-4432"/>
    <n v="234.66666666666697"/>
    <n v="5960.1961086171368"/>
    <n v="0"/>
    <n v="0"/>
    <n v="0"/>
    <n v="0"/>
    <n v="16333.333333333334"/>
    <n v="11666.666666666668"/>
    <n v="0"/>
    <n v="7000"/>
    <n v="4666.6666666666679"/>
    <n v="7234.666666666667"/>
    <n v="7000"/>
    <n v="234.66666666666697"/>
    <s v="Por atraso en ciertos productos del mix"/>
    <m/>
    <s v="Si"/>
    <n v="7234.666666666667"/>
    <n v="7234.666666666667"/>
    <n v="0"/>
    <d v="2022-08-27T00:00:00"/>
    <n v="3.456"/>
    <n v="3.6973310142857101"/>
    <n v="3.6895031008109065"/>
    <n v="26692.325099999973"/>
    <n v="3.5821634141468106"/>
    <n v="2.996504465435219E-2"/>
    <n v="3.6895031008109065"/>
    <n v="3.6895031008109065"/>
    <s v="3,54 es nuestro último precio promedio entre ultima propuesta Nippon y la nuestra"/>
    <s v="OK"/>
    <s v="OK"/>
    <n v="11750"/>
    <n v="5750"/>
    <n v="4000"/>
    <n v="17000"/>
    <n v="23200"/>
    <n v="7667"/>
    <n v="50760"/>
    <n v="23396"/>
    <n v="16318"/>
    <n v="67201"/>
    <n v="89295"/>
    <n v="27627"/>
    <m/>
    <n v="52.137224716196215"/>
    <n v="6012.333333333333"/>
    <n v="10000"/>
    <n v="8715.8319035419645"/>
    <n v="14728.165236875298"/>
    <n v="1284.1680964580355"/>
    <n v="16000"/>
    <n v="13945.331045667144"/>
    <n v="15229.49914212518"/>
    <n v="2054.6689543328557"/>
    <n v="406"/>
    <n v="0"/>
  </r>
  <r>
    <s v="Exportacion Directa1020326"/>
    <x v="0"/>
    <x v="4"/>
    <n v="1020326"/>
    <s v="GO PpPal Pim@ Cj AP"/>
    <s v="Paleta"/>
    <s v="Paleta Pulpa"/>
    <n v="224894"/>
    <n v="264000"/>
    <n v="0.87158319035419651"/>
    <n v="196013.83001151666"/>
    <n v="110403"/>
    <n v="77155.199999999997"/>
    <n v="72000"/>
    <n v="303856.51001151669"/>
    <n v="96000"/>
    <n v="24000"/>
    <n v="96000"/>
    <n v="0"/>
    <n v="96000"/>
    <n v="207856.51001151669"/>
    <n v="192000"/>
    <n v="-72000"/>
    <n v="120000"/>
    <n v="87856.510011516686"/>
    <n v="0"/>
    <n v="0"/>
    <n v="0"/>
    <n v="0"/>
    <n v="240000"/>
    <n v="288000"/>
    <n v="0"/>
    <n v="96000"/>
    <n v="192000"/>
    <n v="216000"/>
    <n v="96000"/>
    <n v="120000"/>
    <s v="Por producción "/>
    <m/>
    <s v="Si"/>
    <n v="216000"/>
    <n v="110403"/>
    <n v="105597"/>
    <d v="2022-08-27T00:00:00"/>
    <n v="2.52"/>
    <n v="2.6569215234848498"/>
    <n v="2.5808540104377111"/>
    <n v="557464.46625454561"/>
    <n v="2.4069702179253767"/>
    <n v="7.2241771509000602E-2"/>
    <n v="2.5808540104377111"/>
    <n v="2.5808540104377111"/>
    <s v="2,59 precio promedio entre nuestra ultima propuesta y propuesta de Nippon"/>
    <s v="OK"/>
    <s v="OK"/>
    <n v="296000"/>
    <n v="264000"/>
    <n v="240000"/>
    <n v="408000"/>
    <n v="360000"/>
    <n v="312000"/>
    <n v="858400"/>
    <n v="679729"/>
    <n v="615492"/>
    <n v="1018883"/>
    <n v="897600"/>
    <n v="740745"/>
    <m/>
    <n v="28880.169988483329"/>
    <n v="116736.68000000002"/>
    <n v="264000"/>
    <n v="230097.96225350787"/>
    <n v="346834.64225350786"/>
    <n v="33902.037746492133"/>
    <n v="288000"/>
    <n v="251015.9588220086"/>
    <n v="284917.99656850076"/>
    <n v="36984.041177991399"/>
    <n v="224894"/>
    <n v="0"/>
  </r>
  <r>
    <s v="Exportacion Directa1020589"/>
    <x v="0"/>
    <x v="4"/>
    <n v="1020589"/>
    <s v="GO MM Loin S@ Fi Cj 12k AP"/>
    <s v="Lomo"/>
    <s v="Lomo MM Loin"/>
    <n v="114378"/>
    <n v="130000"/>
    <n v="0.87158319035419651"/>
    <n v="99689.942146332294"/>
    <n v="158236"/>
    <n v="50365.716106776556"/>
    <n v="10000"/>
    <n v="293255.08664243121"/>
    <n v="140200"/>
    <n v="3265.3061224489797"/>
    <n v="140200"/>
    <n v="-55000"/>
    <n v="85200"/>
    <n v="208055.08664243121"/>
    <n v="205714.28571428571"/>
    <n v="-120000"/>
    <n v="85714.28571428571"/>
    <n v="122340.8009281455"/>
    <n v="0"/>
    <n v="0"/>
    <n v="0"/>
    <n v="0"/>
    <n v="225097.95918367349"/>
    <n v="345914.28571428568"/>
    <n v="0"/>
    <n v="85200"/>
    <n v="260714.28571428568"/>
    <n v="170914.28571428571"/>
    <n v="85200"/>
    <n v="85714.28571428571"/>
    <s v="Por atraso en ciertos productos del mix"/>
    <m/>
    <s v="Si"/>
    <n v="170914.28571428571"/>
    <n v="158236"/>
    <n v="12678.28571428571"/>
    <d v="2022-08-27T00:00:00"/>
    <n v="3.528"/>
    <n v="3.6224449571089794"/>
    <n v="3.5750803848376762"/>
    <n v="611032.31034568511"/>
    <n v="3.4926585393851104"/>
    <n v="2.3598598180478401E-2"/>
    <n v="3.5750803848376762"/>
    <n v="3.5750803848376762"/>
    <m/>
    <s v="OK"/>
    <s v="OK"/>
    <n v="64100"/>
    <n v="43000"/>
    <n v="100000"/>
    <n v="110000"/>
    <n v="144100"/>
    <n v="156329"/>
    <n v="282040"/>
    <n v="174732"/>
    <n v="416231"/>
    <n v="439164"/>
    <n v="561670"/>
    <n v="552525"/>
    <m/>
    <n v="14688.057853667711"/>
    <n v="137028.85878181321"/>
    <n v="120000"/>
    <n v="104589.98284250358"/>
    <n v="241618.84162431679"/>
    <n v="15410.017157496419"/>
    <n v="120000"/>
    <n v="104589.98284250358"/>
    <n v="120000"/>
    <n v="15410.017157496419"/>
    <n v="114378"/>
    <n v="0"/>
  </r>
  <r>
    <s v="Exportacion Directa1020592"/>
    <x v="0"/>
    <x v="4"/>
    <n v="1020592"/>
    <s v="GO Lom Vet &gt;2.0@ Fi Cj Lom Vet AP"/>
    <s v="Lomo"/>
    <s v="Lomo Vetado"/>
    <n v="290787"/>
    <n v="210000"/>
    <n v="0.87158319035419651"/>
    <n v="253445.06117352576"/>
    <n v="219450"/>
    <n v="14940.170520464697"/>
    <n v="58200"/>
    <n v="428141.21464194398"/>
    <n v="219380"/>
    <n v="6485.6164383561645"/>
    <n v="219380"/>
    <n v="-70000"/>
    <n v="149380"/>
    <n v="278761.21464194398"/>
    <n v="272395.89041095891"/>
    <n v="-188360"/>
    <n v="84035.890410958906"/>
    <n v="194725.32423098508"/>
    <n v="0"/>
    <n v="0"/>
    <n v="0"/>
    <n v="0"/>
    <n v="420434.10958904109"/>
    <n v="491775.89041095891"/>
    <n v="0"/>
    <n v="149380"/>
    <n v="342395.89041095891"/>
    <n v="233415.89041095891"/>
    <n v="149380"/>
    <n v="84035.890410958906"/>
    <s v="Por atraso en ciertos productos del mix"/>
    <m/>
    <s v="Si"/>
    <n v="233415.89041095891"/>
    <n v="219450"/>
    <n v="13965.890410958906"/>
    <d v="2022-08-27T00:00:00"/>
    <n v="3.456"/>
    <n v="3.5675723760439277"/>
    <n v="3.5274033714846835"/>
    <n v="823351.99879371584"/>
    <n v="3.3829924780950753"/>
    <n v="4.268732322778452E-2"/>
    <n v="3.5274033714846835"/>
    <n v="3.5274033714846835"/>
    <m/>
    <s v="OK"/>
    <s v="OK"/>
    <n v="0"/>
    <n v="90000"/>
    <n v="280000"/>
    <n v="280000"/>
    <n v="270000"/>
    <n v="282647"/>
    <n v="0"/>
    <n v="178762"/>
    <n v="1095385"/>
    <n v="1052959"/>
    <n v="1004342"/>
    <n v="966406"/>
    <m/>
    <n v="37341.938826474259"/>
    <n v="232067.26305745932"/>
    <n v="170000"/>
    <n v="148169.14236021342"/>
    <n v="380236.40541767271"/>
    <n v="21830.857639786584"/>
    <n v="150000"/>
    <n v="130737.47855312948"/>
    <n v="152568.33619291606"/>
    <n v="19262.521446870524"/>
    <n v="290787"/>
    <n v="0"/>
  </r>
  <r>
    <s v="Exportacion Directa1020620"/>
    <x v="0"/>
    <x v="4"/>
    <n v="1020620"/>
    <s v="GO Lom Vet &lt;2.0@ Fi Cj AP"/>
    <s v="Lomo"/>
    <s v="Lomo Vetado"/>
    <n v="28424"/>
    <n v="30000"/>
    <n v="0.87158319035419651"/>
    <n v="24773.880602627683"/>
    <n v="16525"/>
    <n v="6606.7658037771944"/>
    <n v="6400"/>
    <n v="40844.969826027162"/>
    <n v="45000"/>
    <n v="3142.8571428571427"/>
    <n v="37714.28571428571"/>
    <n v="-22160"/>
    <n v="15554.28571428571"/>
    <n v="25290.684111741451"/>
    <n v="25142.857142857141"/>
    <n v="-11080"/>
    <n v="14062.857142857141"/>
    <n v="11227.82696888431"/>
    <n v="0"/>
    <n v="0"/>
    <n v="0"/>
    <n v="0"/>
    <n v="48142.857142857145"/>
    <n v="62857.142857142855"/>
    <n v="0"/>
    <n v="15554.28571428571"/>
    <n v="47302.857142857145"/>
    <n v="29617.142857142851"/>
    <n v="15554.28571428571"/>
    <n v="14062.857142857141"/>
    <s v="Por atraso en ciertos productos del mix"/>
    <m/>
    <s v="Si"/>
    <n v="29617.142857142851"/>
    <n v="16525"/>
    <n v="13092.142857142851"/>
    <d v="2022-08-27T00:00:00"/>
    <n v="3.456"/>
    <n v="3.5190013063703689"/>
    <n v="3.4890869295659162"/>
    <n v="103336.78603394366"/>
    <n v="3.3681845980130602"/>
    <n v="3.5895399445795784E-2"/>
    <n v="3.4890869295659162"/>
    <n v="3.4890869295659162"/>
    <m/>
    <s v="OK"/>
    <s v="OK"/>
    <n v="17000"/>
    <n v="3000"/>
    <n v="16000"/>
    <n v="30000"/>
    <n v="40857"/>
    <n v="48000"/>
    <n v="70380"/>
    <n v="11767"/>
    <n v="62416"/>
    <n v="112375"/>
    <n v="149276"/>
    <n v="164118"/>
    <m/>
    <n v="3650.1193973723184"/>
    <n v="14877.946366256629"/>
    <n v="30000"/>
    <n v="26147.495710625895"/>
    <n v="41025.442076882522"/>
    <n v="3852.5042893741047"/>
    <n v="50000.000400000004"/>
    <n v="43579.159866343107"/>
    <n v="47431.664155717212"/>
    <n v="6420.8405336568976"/>
    <n v="28424"/>
    <n v="0"/>
  </r>
  <r>
    <s v="Exportacion Directa1020636"/>
    <x v="0"/>
    <x v="4"/>
    <n v="1020636"/>
    <s v="GO File C/cab@ Va Cj 10k AP"/>
    <s v="Filete"/>
    <s v="Filete c/Cabeza"/>
    <n v="13582"/>
    <n v="13000"/>
    <n v="0.87158319035419651"/>
    <n v="11837.842891390697"/>
    <n v="24430"/>
    <n v="638.30331061601851"/>
    <n v="8250"/>
    <n v="28592.315870945116"/>
    <n v="21250"/>
    <n v="1333.3333333333333"/>
    <n v="21250"/>
    <n v="-11080"/>
    <n v="10170"/>
    <n v="18422.315870945116"/>
    <n v="17333.333333333332"/>
    <n v="-4432"/>
    <n v="12901.333333333332"/>
    <n v="5520.9825376117842"/>
    <n v="0"/>
    <n v="0"/>
    <n v="0"/>
    <n v="0"/>
    <n v="20000"/>
    <n v="38583.333333333328"/>
    <n v="0"/>
    <n v="10170"/>
    <n v="28413.333333333328"/>
    <n v="23071.333333333332"/>
    <n v="10170"/>
    <n v="12901.333333333332"/>
    <s v="Por atraso en ciertos productos del mix"/>
    <m/>
    <s v="Si"/>
    <n v="23071.333333333332"/>
    <n v="23071.333333333332"/>
    <n v="0"/>
    <d v="2022-08-27T00:00:00"/>
    <n v="4.1040000000000001"/>
    <n v="4.2524462458952828"/>
    <n v="4.1694361106461848"/>
    <n v="96194.450320755001"/>
    <n v="4.1243127727272721"/>
    <n v="1.0940813756245281E-2"/>
    <n v="4.1694361106461848"/>
    <n v="4.1694361106461848"/>
    <m/>
    <s v="OK"/>
    <s v="OK"/>
    <n v="14500"/>
    <n v="14500"/>
    <n v="15000"/>
    <n v="18000"/>
    <n v="20000"/>
    <n v="30333"/>
    <n v="73613.435800000007"/>
    <n v="69303"/>
    <n v="71866"/>
    <n v="83082"/>
    <n v="89555"/>
    <n v="127020"/>
    <m/>
    <n v="1744.1571086093029"/>
    <n v="7265.1396462210869"/>
    <n v="10000"/>
    <n v="8715.8319035419645"/>
    <n v="15980.971549763051"/>
    <n v="1284.1680964580355"/>
    <n v="15000"/>
    <n v="13073.747855312948"/>
    <n v="14357.915951770983"/>
    <n v="1926.2521446870524"/>
    <n v="13582"/>
    <n v="0"/>
  </r>
  <r>
    <s v="Exportacion Directa1020637"/>
    <x v="0"/>
    <x v="4"/>
    <n v="1020637"/>
    <s v="GO Panc Tec S/cue@ Fi Cj ch AP"/>
    <s v="Panceta"/>
    <s v="Panceta s/Cuero"/>
    <n v="247648"/>
    <n v="200000"/>
    <n v="0.87158319035419651"/>
    <n v="215845.83392483607"/>
    <n v="166537"/>
    <n v="73871.120460083199"/>
    <n v="56330"/>
    <n v="392536.84233891097"/>
    <n v="220290"/>
    <n v="4750"/>
    <n v="220290"/>
    <n v="-110800"/>
    <n v="109490"/>
    <n v="283046.84233891097"/>
    <n v="280250"/>
    <n v="-150000"/>
    <n v="130250"/>
    <n v="152796.84233891097"/>
    <n v="0"/>
    <n v="0"/>
    <n v="0"/>
    <n v="0"/>
    <n v="305790"/>
    <n v="500540"/>
    <n v="0"/>
    <n v="109490"/>
    <n v="391050"/>
    <n v="239740"/>
    <n v="109490"/>
    <n v="130250"/>
    <s v="Por atraso en ciertos productos del mix"/>
    <m/>
    <s v="Si"/>
    <n v="239740"/>
    <n v="166537"/>
    <n v="73203"/>
    <d v="2022-08-27T00:00:00"/>
    <n v="4.8239999999999998"/>
    <n v="4.9047618292413215"/>
    <n v="4.8608841773739559"/>
    <n v="1165348.3726836322"/>
    <n v="4.4705333395998155"/>
    <n v="8.7316391159960149E-2"/>
    <n v="4.8608841773739559"/>
    <n v="4.8608841773739559"/>
    <s v="4,91 precio promedio entre ultimas dos propuestas "/>
    <s v="OK"/>
    <s v="OK"/>
    <n v="193900"/>
    <n v="170000"/>
    <n v="190000"/>
    <n v="270000"/>
    <n v="253474"/>
    <n v="227600"/>
    <n v="942354"/>
    <n v="841715"/>
    <n v="947734"/>
    <n v="1311648"/>
    <n v="1212707"/>
    <n v="1012527"/>
    <m/>
    <n v="31802.166075163943"/>
    <n v="184599.00841407489"/>
    <n v="140000"/>
    <n v="122021.64664958751"/>
    <n v="306620.65506366239"/>
    <n v="17978.353350412493"/>
    <n v="200000"/>
    <n v="174316.63807083931"/>
    <n v="192294.99142125179"/>
    <n v="25683.361929160688"/>
    <n v="247648"/>
    <n v="0"/>
  </r>
  <r>
    <s v="Exportacion Directa1020662"/>
    <x v="0"/>
    <x v="4"/>
    <n v="1020662"/>
    <s v="GO Ganso C/asto 3P@ Va Cj t-f AP"/>
    <s v="Pierna"/>
    <s v="Pierna Pulpa Fina"/>
    <n v="0"/>
    <n v="10000"/>
    <n v="0.87158319035419651"/>
    <n v="0"/>
    <n v="33785"/>
    <n v="7037.3200000000006"/>
    <n v="0"/>
    <n v="40118.588000000003"/>
    <n v="13000"/>
    <n v="5000"/>
    <n v="13000"/>
    <n v="-5540"/>
    <n v="7460"/>
    <n v="32658.588000000003"/>
    <n v="30000"/>
    <n v="-10000"/>
    <n v="20000"/>
    <n v="12658.588000000003"/>
    <n v="0"/>
    <n v="0"/>
    <n v="0"/>
    <n v="0"/>
    <n v="18000"/>
    <n v="43000"/>
    <n v="0"/>
    <n v="7460"/>
    <n v="35540"/>
    <n v="27460"/>
    <n v="7460"/>
    <n v="20000"/>
    <s v="Por atraso en ciertos productos del mix"/>
    <m/>
    <s v="Si"/>
    <n v="27460"/>
    <n v="27460"/>
    <n v="0"/>
    <d v="2022-08-27T00:00:00"/>
    <n v="3.492"/>
    <n v="3.8103725784615388"/>
    <n v="3.5784916036170094"/>
    <n v="98265.379435323077"/>
    <n v="3.5728059297867252"/>
    <n v="1.5913749422778129E-3"/>
    <n v="3.5784916036170094"/>
    <n v="3.5784916036170094"/>
    <m/>
    <s v="OK"/>
    <s v="OK"/>
    <n v="30000"/>
    <n v="5000"/>
    <n v="4000"/>
    <n v="20000"/>
    <n v="22000"/>
    <n v="31500"/>
    <n v="139120.984"/>
    <n v="20587"/>
    <n v="16511"/>
    <n v="79963"/>
    <n v="84292"/>
    <n v="114721"/>
    <m/>
    <n v="0"/>
    <n v="12658.588000000003"/>
    <n v="20000"/>
    <n v="17431.663807083929"/>
    <n v="30090.251807083932"/>
    <n v="2568.336192916071"/>
    <n v="20000.000400000001"/>
    <n v="17431.664155717208"/>
    <n v="20000.000348633279"/>
    <n v="2568.3362442827929"/>
    <n v="0"/>
    <n v="0"/>
  </r>
  <r>
    <s v="Exportacion Directa1020664"/>
    <x v="0"/>
    <x v="4"/>
    <n v="1020664"/>
    <s v="GO Ganso C/asto C/abas S/g@ Va Cj JP"/>
    <s v="Pierna"/>
    <s v="Pierna Pulpa Fina"/>
    <n v="9087"/>
    <n v="8000"/>
    <n v="0.87158319035419651"/>
    <n v="7920.0764507485837"/>
    <n v="9461"/>
    <n v="0"/>
    <n v="0"/>
    <n v="17381.076450748584"/>
    <n v="11000"/>
    <n v="3000"/>
    <n v="11000"/>
    <n v="0"/>
    <n v="11000"/>
    <n v="6381.0764507485837"/>
    <n v="6000"/>
    <n v="0"/>
    <n v="6000"/>
    <n v="381.07645074858374"/>
    <n v="0"/>
    <n v="0"/>
    <n v="0"/>
    <n v="0"/>
    <n v="6000"/>
    <n v="17000"/>
    <n v="0"/>
    <n v="11000"/>
    <n v="6000"/>
    <n v="17000"/>
    <n v="11000"/>
    <n v="6000"/>
    <s v="Por atraso en ciertos productos del mix"/>
    <m/>
    <s v="Si"/>
    <n v="17000"/>
    <n v="9461"/>
    <n v="7539"/>
    <d v="2022-08-27T00:00:00"/>
    <n v="3.492"/>
    <n v="3.7112629636363637"/>
    <n v="3.6338760352941177"/>
    <n v="61775.892599999999"/>
    <n v="3.5036561927822345"/>
    <n v="3.7166843818792719E-2"/>
    <n v="3.6338760352941177"/>
    <n v="3.6338760352941177"/>
    <m/>
    <s v="OK"/>
    <s v="OK"/>
    <n v="0"/>
    <n v="3000"/>
    <n v="3000"/>
    <n v="3000"/>
    <n v="0"/>
    <n v="3000"/>
    <n v="0"/>
    <n v="12115"/>
    <n v="12506"/>
    <n v="12074"/>
    <n v="0"/>
    <n v="10926"/>
    <m/>
    <n v="1166.9235492514163"/>
    <n v="1548"/>
    <n v="3000"/>
    <n v="2614.7495710625894"/>
    <n v="4162.7495710625899"/>
    <n v="385.25042893741056"/>
    <n v="5000"/>
    <n v="4357.9159517709822"/>
    <n v="4743.1663807083933"/>
    <n v="642.08404822901775"/>
    <n v="9087"/>
    <n v="0"/>
  </r>
  <r>
    <s v="Exportacion Directa1020665"/>
    <x v="0"/>
    <x v="4"/>
    <n v="1020665"/>
    <s v="GO Posta Rosada 3P@ Va Cj t-f AP"/>
    <s v="Pierna"/>
    <s v="Pierna Pulpa Fina"/>
    <n v="0"/>
    <n v="11000"/>
    <n v="0.87158319035419651"/>
    <n v="0"/>
    <n v="14714"/>
    <n v="5477.4000000000005"/>
    <n v="6900"/>
    <n v="12743.66"/>
    <n v="13500"/>
    <n v="2333.3333333333335"/>
    <n v="11666.666666666668"/>
    <n v="0"/>
    <n v="11666.666666666668"/>
    <n v="1076.993333333332"/>
    <n v="0"/>
    <n v="0"/>
    <n v="0"/>
    <n v="1076.993333333332"/>
    <n v="0"/>
    <n v="0"/>
    <n v="0"/>
    <n v="0"/>
    <n v="7000"/>
    <n v="11666.666666666668"/>
    <n v="0"/>
    <n v="11666.666666666668"/>
    <n v="0"/>
    <n v="11666.666666666668"/>
    <n v="11666.666666666668"/>
    <n v="0"/>
    <s v="Por atraso en ciertos productos del mix"/>
    <m/>
    <s v="Si"/>
    <n v="11666.666666666668"/>
    <n v="11666.666666666668"/>
    <n v="0"/>
    <d v="2022-08-27T00:00:00"/>
    <n v="3.456"/>
    <n v="3.5993951333333323"/>
    <n v="3.5993951333333323"/>
    <n v="41992.943222222217"/>
    <n v="3.55705462935284"/>
    <n v="1.1903248162425771E-2"/>
    <n v="3.5993951333333323"/>
    <n v="3.5993951333333323"/>
    <s v="3,56 precio promedio ultimas dos propuestas"/>
    <s v="OK"/>
    <s v="OK"/>
    <n v="11750"/>
    <n v="4750"/>
    <n v="5000"/>
    <n v="15000"/>
    <n v="17000"/>
    <n v="9100"/>
    <n v="50760"/>
    <n v="19327"/>
    <n v="20397"/>
    <n v="59295"/>
    <n v="65444"/>
    <n v="32792"/>
    <m/>
    <n v="0"/>
    <n v="1076.993333333332"/>
    <n v="11000"/>
    <n v="9587.4150938961611"/>
    <n v="10664.408427229493"/>
    <n v="1412.5849061038389"/>
    <n v="15000"/>
    <n v="13073.747855312948"/>
    <n v="14486.332761416787"/>
    <n v="1926.2521446870524"/>
    <n v="0"/>
    <n v="0"/>
  </r>
  <r>
    <s v="Exportacion Directa1020678"/>
    <x v="0"/>
    <x v="4"/>
    <n v="1020678"/>
    <s v="GO Lom Tec@ Va Cj Lom Ctro AP"/>
    <s v="Lomo"/>
    <s v="Lomo Centro"/>
    <n v="0"/>
    <n v="0"/>
    <n v="0.87158319035419651"/>
    <n v="0"/>
    <n v="1268"/>
    <n v="0"/>
    <n v="0"/>
    <n v="1268"/>
    <n v="500"/>
    <n v="500"/>
    <n v="500"/>
    <n v="0"/>
    <n v="500"/>
    <n v="768"/>
    <n v="0"/>
    <n v="0"/>
    <n v="0"/>
    <n v="768"/>
    <n v="500"/>
    <n v="0"/>
    <n v="500"/>
    <n v="0"/>
    <n v="0"/>
    <n v="1000"/>
    <n v="0"/>
    <n v="500"/>
    <n v="500"/>
    <n v="1000"/>
    <n v="500"/>
    <n v="500"/>
    <n v="0"/>
    <m/>
    <s v="Si"/>
    <n v="1000"/>
    <n v="1000"/>
    <n v="0"/>
    <d v="2022-08-27T00:00:00"/>
    <n v="4.5102402320556001"/>
    <n v="4.7351428000000002"/>
    <n v="4.7351428000000002"/>
    <n v="4735.1428000000005"/>
    <n v="4.5102402320556001"/>
    <n v="4.9864875566040051E-2"/>
    <n v="4.7351428000000002"/>
    <n v="4.7351428000000002"/>
    <m/>
    <s v="OK"/>
    <s v="OK"/>
    <n v="0"/>
    <n v="500"/>
    <n v="0"/>
    <n v="500"/>
    <n v="500"/>
    <n v="0"/>
    <n v="0"/>
    <n v="2794"/>
    <n v="0"/>
    <n v="1255"/>
    <n v="2382"/>
    <n v="0"/>
    <m/>
    <n v="0"/>
    <n v="768"/>
    <n v="0"/>
    <n v="0"/>
    <n v="768"/>
    <n v="0"/>
    <n v="1000"/>
    <n v="871.58319035419652"/>
    <n v="871.58319035419652"/>
    <n v="128.41680964580348"/>
    <n v="0"/>
    <n v="0"/>
  </r>
  <r>
    <s v="Exportacion Directa1020681"/>
    <x v="0"/>
    <x v="4"/>
    <n v="1020681"/>
    <s v="GO MM Loin D@ Fi Cj 12k AP"/>
    <s v="Lomo"/>
    <s v="Lomo MM Loin"/>
    <n v="7332"/>
    <n v="12000"/>
    <n v="0.87158319035419651"/>
    <n v="6390.4479516769688"/>
    <n v="18398"/>
    <n v="2943.4221121450109"/>
    <n v="6000"/>
    <n v="21437.527852607476"/>
    <n v="14000"/>
    <n v="6666.666666666667"/>
    <n v="14000"/>
    <n v="-6648"/>
    <n v="7352"/>
    <n v="14085.527852607476"/>
    <n v="13333.333333333334"/>
    <n v="-3324"/>
    <n v="10009.333333333334"/>
    <n v="4076.1945192741423"/>
    <n v="0"/>
    <n v="0"/>
    <n v="0"/>
    <n v="0"/>
    <n v="14000"/>
    <n v="27333.333333333336"/>
    <n v="0"/>
    <n v="7352"/>
    <n v="19981.333333333336"/>
    <n v="17361.333333333336"/>
    <n v="7352"/>
    <n v="10009.333333333336"/>
    <s v="Por atraso en ciertos productos del mix"/>
    <m/>
    <s v="Si"/>
    <n v="17361.333333333336"/>
    <n v="17361.333333333336"/>
    <n v="0"/>
    <d v="2022-08-27T00:00:00"/>
    <n v="3.78"/>
    <n v="3.9155074657142852"/>
    <n v="3.8373833166383964"/>
    <n v="66622.090887931423"/>
    <n v="3.7248098191576111"/>
    <n v="3.0222616172721661E-2"/>
    <n v="3.8373833166383964"/>
    <n v="3.8373833166383964"/>
    <m/>
    <s v="OK"/>
    <s v="OK"/>
    <n v="14250"/>
    <n v="11250"/>
    <n v="15000"/>
    <n v="22000"/>
    <n v="20545"/>
    <n v="15000"/>
    <n v="62607.7163"/>
    <n v="48073"/>
    <n v="63995"/>
    <n v="91022"/>
    <n v="82702"/>
    <n v="56473"/>
    <m/>
    <n v="941.55204832303116"/>
    <n v="5017.7465675971735"/>
    <n v="15000.0005"/>
    <n v="13073.748291104543"/>
    <n v="18091.494858701717"/>
    <n v="1926.2522088954574"/>
    <n v="19999.9997"/>
    <n v="17431.663545608972"/>
    <n v="19357.915754504429"/>
    <n v="2568.3361543910287"/>
    <n v="7332"/>
    <n v="0"/>
  </r>
  <r>
    <s v="Exportacion Directa1020704"/>
    <x v="0"/>
    <x v="4"/>
    <n v="1020704"/>
    <s v="GO File N@ Va Cj File AP"/>
    <s v="Filete"/>
    <s v="Filete c/Cabeza"/>
    <n v="440"/>
    <n v="1000"/>
    <n v="0.87158319035419651"/>
    <n v="383.49660375584648"/>
    <n v="1280"/>
    <n v="0"/>
    <n v="0"/>
    <n v="1663.4966037558465"/>
    <n v="1000"/>
    <n v="500"/>
    <n v="1000"/>
    <n v="0"/>
    <n v="1000"/>
    <n v="663.49660375584654"/>
    <n v="500"/>
    <n v="0"/>
    <n v="500"/>
    <n v="163.49660375584654"/>
    <n v="0"/>
    <n v="0"/>
    <n v="0"/>
    <n v="0"/>
    <n v="1500"/>
    <n v="1500"/>
    <n v="0"/>
    <n v="1000"/>
    <n v="500"/>
    <n v="1500"/>
    <n v="1000"/>
    <n v="500"/>
    <n v="0"/>
    <m/>
    <s v="Si"/>
    <n v="1500"/>
    <n v="1280"/>
    <n v="220"/>
    <d v="2022-08-27T00:00:00"/>
    <n v="4.2480000000000002"/>
    <n v="4.5916537000000002"/>
    <n v="4.4771024666666666"/>
    <n v="6715.6536999999998"/>
    <n v="4.3189207977207982"/>
    <n v="3.6625276626824174E-2"/>
    <n v="4.4771024666666666"/>
    <n v="4.4771024666666666"/>
    <m/>
    <s v="OK"/>
    <s v="OK"/>
    <n v="0"/>
    <n v="500"/>
    <n v="500"/>
    <n v="1500"/>
    <n v="1500"/>
    <n v="2000"/>
    <n v="0"/>
    <n v="2544"/>
    <n v="2594"/>
    <n v="7446"/>
    <n v="7399"/>
    <n v="8913"/>
    <m/>
    <n v="56.503396244153535"/>
    <n v="220.00000000000006"/>
    <n v="1000"/>
    <n v="871.58319035419652"/>
    <n v="1091.5831903541966"/>
    <n v="128.41680964580348"/>
    <n v="1000"/>
    <n v="871.58319035419652"/>
    <n v="1000"/>
    <n v="128.41680964580348"/>
    <n v="440"/>
    <n v="0"/>
  </r>
  <r>
    <s v="Exportacion Directa1020715"/>
    <x v="0"/>
    <x v="4"/>
    <n v="1020715"/>
    <s v="GO Panc Tec C/cue@ Fi Cj Panc AP"/>
    <s v="Panceta"/>
    <s v="Panceta c/Cuero"/>
    <n v="4157"/>
    <n v="2000"/>
    <n v="0.87158319035419651"/>
    <n v="3623.1713223023949"/>
    <n v="1402"/>
    <n v="266.05994556795434"/>
    <n v="0"/>
    <n v="5264.6252733135534"/>
    <n v="4000"/>
    <n v="2000"/>
    <n v="4000"/>
    <n v="-2216"/>
    <n v="1784"/>
    <n v="3480.6252733135534"/>
    <n v="2000"/>
    <n v="-2216"/>
    <n v="-216"/>
    <n v="3696.6252733135534"/>
    <n v="0"/>
    <n v="0"/>
    <n v="0"/>
    <n v="0"/>
    <n v="6000"/>
    <n v="6000"/>
    <n v="0"/>
    <n v="1784"/>
    <n v="4216"/>
    <n v="1568"/>
    <n v="1784"/>
    <n v="-216"/>
    <s v="Por atraso en ciertos productos del mix"/>
    <m/>
    <s v="Si"/>
    <n v="1568"/>
    <n v="1402"/>
    <n v="166"/>
    <d v="2022-08-27T00:00:00"/>
    <n v="4.6440000000000001"/>
    <n v="4.5740240500000002"/>
    <n v="4.5643845058673467"/>
    <n v="7156.9549051999993"/>
    <n v="4.0621253287249228"/>
    <n v="0.12364443154689174"/>
    <n v="4.5643845058673467"/>
    <n v="4.5643845058673467"/>
    <m/>
    <s v="OK"/>
    <s v="OK"/>
    <n v="3000"/>
    <n v="2000"/>
    <n v="2000"/>
    <n v="4000"/>
    <n v="6000"/>
    <n v="2000"/>
    <n v="14885.3922"/>
    <n v="9329"/>
    <n v="9271"/>
    <n v="18229"/>
    <n v="26806"/>
    <n v="8421"/>
    <m/>
    <n v="533.82867769760514"/>
    <n v="4230.453951011159"/>
    <n v="2000"/>
    <n v="1743.166380708393"/>
    <n v="5973.6203317195523"/>
    <n v="256.83361929160696"/>
    <n v="2000"/>
    <n v="1743.166380708393"/>
    <n v="2000"/>
    <n v="256.83361929160696"/>
    <n v="4157"/>
    <n v="0"/>
  </r>
  <r>
    <s v="Exportacion Directa1020731"/>
    <x v="0"/>
    <x v="4"/>
    <n v="1020731"/>
    <s v="GO Panc S/tec/cue I@ Fi Cj Panc 4s AP"/>
    <s v="Panceta"/>
    <s v="Panceta s/Cuero"/>
    <n v="26440"/>
    <n v="25000"/>
    <n v="0.87158319035419651"/>
    <n v="23044.659552964957"/>
    <n v="3316"/>
    <n v="5430.3878089216096"/>
    <n v="0"/>
    <n v="31248.008580994407"/>
    <n v="30900"/>
    <n v="2500"/>
    <n v="30900"/>
    <n v="-13296"/>
    <n v="17604"/>
    <n v="13644.008580994407"/>
    <n v="12500"/>
    <n v="-8864"/>
    <n v="3636"/>
    <n v="10008.008580994407"/>
    <n v="0"/>
    <n v="0"/>
    <n v="0"/>
    <n v="0"/>
    <n v="33400"/>
    <n v="43400"/>
    <n v="0"/>
    <n v="17604"/>
    <n v="25796"/>
    <n v="21240"/>
    <n v="17604"/>
    <n v="3636"/>
    <s v="Por atraso en ciertos productos del mix"/>
    <m/>
    <s v="Si"/>
    <n v="21240"/>
    <n v="3316"/>
    <n v="17924"/>
    <d v="2022-08-27T00:00:00"/>
    <n v="5.1120000000000001"/>
    <n v="5.1522354432200652"/>
    <n v="5.1453476809061218"/>
    <n v="109287.18474244603"/>
    <n v="4.525062850902267"/>
    <n v="0.1370776164755754"/>
    <n v="5.1453476809061218"/>
    <n v="5.1453476809061218"/>
    <m/>
    <s v="OK"/>
    <s v="OK"/>
    <n v="18000"/>
    <n v="6000"/>
    <n v="10000"/>
    <n v="20000"/>
    <n v="18000"/>
    <n v="22000"/>
    <n v="99485.017300000007"/>
    <n v="31124"/>
    <n v="51494"/>
    <n v="100776"/>
    <n v="87382"/>
    <n v="101929"/>
    <m/>
    <n v="3395.3404470350442"/>
    <n v="13403.34902802945"/>
    <n v="20000"/>
    <n v="17431.663807083929"/>
    <n v="30835.012835113379"/>
    <n v="2568.336192916071"/>
    <n v="20000"/>
    <n v="17431.663807083929"/>
    <n v="20000"/>
    <n v="2568.336192916071"/>
    <n v="26440"/>
    <n v="0"/>
  </r>
  <r>
    <s v="Exportacion Directa1020758"/>
    <x v="0"/>
    <x v="4"/>
    <n v="1020758"/>
    <s v="GO Lom Vet S/g@ Va Cj ch AP"/>
    <s v="Lomo"/>
    <s v="Lomo Vetado"/>
    <n v="14148"/>
    <n v="9000"/>
    <n v="0.87158319035419651"/>
    <n v="12331.158977131172"/>
    <n v="4562"/>
    <n v="0"/>
    <n v="0"/>
    <n v="16893.15897713117"/>
    <n v="9000"/>
    <n v="3250"/>
    <n v="9000"/>
    <n v="-3324"/>
    <n v="5676"/>
    <n v="11217.15897713117"/>
    <n v="9750"/>
    <n v="-3324"/>
    <n v="6426"/>
    <n v="4791.1589771311701"/>
    <n v="0"/>
    <n v="0"/>
    <n v="0"/>
    <n v="0"/>
    <n v="12250"/>
    <n v="18750"/>
    <n v="0"/>
    <n v="5676"/>
    <n v="13074"/>
    <n v="12102"/>
    <n v="5676"/>
    <n v="6426"/>
    <s v="Por atraso en ciertos productos del mix"/>
    <m/>
    <s v="Si"/>
    <n v="12102"/>
    <n v="4562"/>
    <n v="7540"/>
    <d v="2022-08-27T00:00:00"/>
    <n v="3.78"/>
    <n v="3.9300091777777806"/>
    <n v="3.8503563124332079"/>
    <n v="46597.012093066682"/>
    <n v="3.6821191173697114"/>
    <n v="4.5690318455442899E-2"/>
    <n v="3.8503563124332079"/>
    <n v="3.8503563124332079"/>
    <m/>
    <s v="OK"/>
    <s v="OK"/>
    <n v="8000"/>
    <n v="5000"/>
    <n v="8000"/>
    <n v="12000"/>
    <n v="6000"/>
    <n v="3000"/>
    <n v="35636.778700000003"/>
    <n v="20917"/>
    <n v="33318"/>
    <n v="48487"/>
    <n v="23733"/>
    <n v="11179"/>
    <m/>
    <n v="1816.8410228688276"/>
    <n v="6607.9999999999982"/>
    <n v="3000"/>
    <n v="2614.7495710625894"/>
    <n v="9222.7495710625881"/>
    <n v="385.25042893741056"/>
    <n v="5000"/>
    <n v="4357.9159517709822"/>
    <n v="4743.1663807083933"/>
    <n v="642.08404822901775"/>
    <n v="14148"/>
    <n v="0"/>
  </r>
  <r>
    <s v="Exportacion Directa1020774"/>
    <x v="0"/>
    <x v="4"/>
    <n v="1020774"/>
    <s v="GO Malaya Japon@ Va Cj JP"/>
    <s v="Prolijado"/>
    <s v="Prolijado Malaya"/>
    <n v="11440"/>
    <n v="9000"/>
    <n v="0.87158319035419651"/>
    <n v="9970.9116976520072"/>
    <n v="3680"/>
    <n v="3207"/>
    <n v="0"/>
    <n v="16537.211697652008"/>
    <n v="10000"/>
    <n v="952.38095238095241"/>
    <n v="10000"/>
    <n v="-4432"/>
    <n v="5568"/>
    <n v="10969.211697652008"/>
    <n v="10476.190476190477"/>
    <n v="-5540"/>
    <n v="4936.1904761904771"/>
    <n v="6033.0212214615312"/>
    <n v="0"/>
    <n v="0"/>
    <n v="0"/>
    <n v="0"/>
    <n v="16666.666666666668"/>
    <n v="20476.190476190477"/>
    <n v="0"/>
    <n v="5568"/>
    <n v="14908.190476190477"/>
    <n v="10504.190476190477"/>
    <n v="5568"/>
    <n v="4936.1904761904771"/>
    <s v="Por atraso en ciertos productos del mix"/>
    <m/>
    <s v="Si"/>
    <n v="10504.190476190477"/>
    <n v="3680"/>
    <n v="6824.1904761904771"/>
    <d v="2022-08-27T00:00:00"/>
    <n v="5.76"/>
    <n v="5.9922204887499957"/>
    <n v="5.8830940817658233"/>
    <n v="61797.140824217124"/>
    <n v="5.5071172803195356"/>
    <n v="6.8271072197771066E-2"/>
    <n v="5.8830940817658233"/>
    <n v="5.8830940817658233"/>
    <m/>
    <s v="OK"/>
    <s v="OK"/>
    <n v="6500"/>
    <n v="9000"/>
    <n v="7000"/>
    <n v="7000"/>
    <n v="12778"/>
    <n v="13810"/>
    <n v="39650"/>
    <n v="55209"/>
    <n v="42742"/>
    <n v="42209"/>
    <n v="76257"/>
    <n v="77987"/>
    <m/>
    <n v="1469.0883023479919"/>
    <n v="7502.1095238095231"/>
    <n v="8000"/>
    <n v="6972.6655228335721"/>
    <n v="14474.775046643095"/>
    <n v="1027.3344771664279"/>
    <n v="10000"/>
    <n v="8715.8319035419645"/>
    <n v="9743.1663807083933"/>
    <n v="1284.1680964580355"/>
    <n v="11440"/>
    <n v="0"/>
  </r>
  <r>
    <s v="Exportacion Directa1020802"/>
    <x v="0"/>
    <x v="4"/>
    <n v="1020802"/>
    <s v="GO Panc S/tec N@ Fi Cj 20k AP"/>
    <s v="Panceta"/>
    <s v="Panceta s/Cuero"/>
    <n v="13111"/>
    <n v="41000"/>
    <n v="0.87158319035419651"/>
    <n v="11427.32720873387"/>
    <n v="78556"/>
    <n v="3692.4089590727685"/>
    <n v="30500"/>
    <n v="62806.495271899359"/>
    <n v="38900"/>
    <n v="8437.5"/>
    <n v="38900"/>
    <n v="-11080"/>
    <n v="27820"/>
    <n v="34986.495271899359"/>
    <n v="33750"/>
    <n v="-3324"/>
    <n v="30426"/>
    <n v="4560.4952718993591"/>
    <n v="0"/>
    <n v="0"/>
    <n v="0"/>
    <n v="0"/>
    <n v="25312.5"/>
    <n v="72650"/>
    <n v="0"/>
    <n v="27820"/>
    <n v="44830"/>
    <n v="58246"/>
    <n v="27820"/>
    <n v="30426"/>
    <s v="Por atraso en ciertos productos del mix"/>
    <m/>
    <s v="Si"/>
    <n v="58246"/>
    <n v="58246"/>
    <n v="0"/>
    <d v="2022-08-27T00:00:00"/>
    <n v="4.68"/>
    <n v="4.584109561641271"/>
    <n v="4.6341999108069256"/>
    <n v="269923.60800486017"/>
    <n v="4.21274936436141"/>
    <n v="0.10004168536843426"/>
    <n v="4.6341999108069256"/>
    <n v="4.6341999108069256"/>
    <s v="4,77 precio promedio ultimas dos propuestas"/>
    <s v="OK"/>
    <s v="OK"/>
    <n v="103000"/>
    <n v="47000"/>
    <n v="95000"/>
    <n v="130000"/>
    <n v="92821"/>
    <n v="95563"/>
    <n v="518029.43709999998"/>
    <n v="220820"/>
    <n v="445408"/>
    <n v="591029"/>
    <n v="410262"/>
    <n v="398697"/>
    <m/>
    <n v="1683.6727912661295"/>
    <n v="6244.168063165489"/>
    <n v="60000"/>
    <n v="52294.991421251791"/>
    <n v="58539.15948441728"/>
    <n v="7705.0085787482094"/>
    <n v="50000"/>
    <n v="43579.159517709828"/>
    <n v="51284.168096458037"/>
    <n v="6420.8404822901721"/>
    <n v="13111"/>
    <n v="0"/>
  </r>
  <r>
    <s v="Exportacion Directa1020810"/>
    <x v="0"/>
    <x v="4"/>
    <n v="1020810"/>
    <s v="GO Recto@ Cj File AP"/>
    <s v="Subprod"/>
    <s v="Subprod Tripa"/>
    <n v="1487"/>
    <n v="2000"/>
    <n v="0.87158319035419651"/>
    <n v="1296.0442040566902"/>
    <n v="1110"/>
    <n v="3500"/>
    <n v="0"/>
    <n v="5556.0442040566904"/>
    <n v="4330"/>
    <n v="1500"/>
    <n v="4330"/>
    <n v="0"/>
    <n v="4330"/>
    <n v="1226.0442040566904"/>
    <n v="0"/>
    <n v="0"/>
    <n v="0"/>
    <n v="1226.0442040566904"/>
    <n v="0"/>
    <n v="0"/>
    <n v="0"/>
    <n v="0"/>
    <n v="4330"/>
    <n v="4330"/>
    <n v="0"/>
    <n v="4330"/>
    <n v="0"/>
    <n v="4330"/>
    <n v="4330"/>
    <n v="0"/>
    <n v="0"/>
    <m/>
    <s v="Si"/>
    <n v="4330"/>
    <n v="1110"/>
    <n v="3220"/>
    <d v="2022-08-27T00:00:00"/>
    <n v="3.96"/>
    <n v="3.5806411476474156"/>
    <n v="3.5806411476474156"/>
    <n v="15504.17616931331"/>
    <n v="3.1091753473684212"/>
    <n v="0.15163692864027078"/>
    <n v="3.5806411476474156"/>
    <n v="3.5806411476474156"/>
    <m/>
    <s v="OK"/>
    <s v="OK"/>
    <n v="5000"/>
    <n v="6000"/>
    <n v="2500"/>
    <n v="0"/>
    <n v="6000"/>
    <n v="1500"/>
    <n v="17987.201300000001"/>
    <n v="21135"/>
    <n v="8690"/>
    <n v="0"/>
    <n v="20254"/>
    <n v="4841"/>
    <m/>
    <n v="190.95579594330979"/>
    <n v="1417.0000000000002"/>
    <n v="2000"/>
    <n v="1743.166380708393"/>
    <n v="3160.1663807083933"/>
    <n v="256.83361929160696"/>
    <n v="5000"/>
    <n v="4357.9159517709822"/>
    <n v="4614.749571062589"/>
    <n v="642.08404822901775"/>
    <n v="1487"/>
    <n v="0"/>
  </r>
  <r>
    <s v="Exportacion Directa1020914"/>
    <x v="0"/>
    <x v="4"/>
    <n v="1020914"/>
    <s v="GO Panc Lam 2.5mm@ Cj ch AP"/>
    <s v="Panceta"/>
    <s v="Panceta c/Cuero"/>
    <n v="23027"/>
    <n v="9000"/>
    <n v="0.87158319035419651"/>
    <n v="20069.946124286082"/>
    <n v="2501"/>
    <n v="2893"/>
    <n v="2000"/>
    <n v="23174.646124286082"/>
    <n v="17000"/>
    <n v="1285.7142857142858"/>
    <n v="17000"/>
    <n v="0"/>
    <n v="17000"/>
    <n v="6174.6461242860823"/>
    <n v="5142.8571428571431"/>
    <n v="0"/>
    <n v="5142.8571428571431"/>
    <n v="1031.7889814289392"/>
    <n v="0"/>
    <n v="0"/>
    <n v="0"/>
    <n v="0"/>
    <n v="22142.857142857145"/>
    <n v="22142.857142857145"/>
    <n v="0"/>
    <n v="17000"/>
    <n v="5142.8571428571449"/>
    <n v="22142.857142857145"/>
    <n v="17000"/>
    <n v="5142.8571428571449"/>
    <n v="0"/>
    <m/>
    <s v="Si"/>
    <n v="22142.857142857145"/>
    <n v="2501"/>
    <n v="19641.857142857145"/>
    <d v="2022-08-27T00:00:00"/>
    <n v="5.4"/>
    <n v="5.4333122729225023"/>
    <n v="5.4255752288888885"/>
    <n v="120137.73721111112"/>
    <n v="5.0523459553203995"/>
    <n v="7.3872469713887653E-2"/>
    <n v="5.4255752288888885"/>
    <n v="5.4255752288888885"/>
    <m/>
    <s v="OK"/>
    <s v="OK"/>
    <n v="3000"/>
    <n v="0"/>
    <n v="3000"/>
    <n v="15000"/>
    <n v="10000"/>
    <n v="12786"/>
    <n v="17508.131799999999"/>
    <n v="0"/>
    <n v="17286"/>
    <n v="84027"/>
    <n v="55306"/>
    <n v="65820"/>
    <m/>
    <n v="2957.053875713917"/>
    <n v="3988.8428571428562"/>
    <n v="10939.950800000001"/>
    <n v="9535.0772205819449"/>
    <n v="13523.920077724801"/>
    <n v="1404.8735794180557"/>
    <n v="7000"/>
    <n v="6101.0823324793755"/>
    <n v="7505.9559118974312"/>
    <n v="898.91766752062449"/>
    <n v="23027"/>
    <n v="0"/>
  </r>
  <r>
    <s v="Exportacion Directa1020990"/>
    <x v="0"/>
    <x v="4"/>
    <n v="1020990"/>
    <s v="GO Ganso S/g S/abst DA@ Cj 12k AP"/>
    <s v="Pierna"/>
    <s v="Pierna Pulpa Fina"/>
    <n v="1181"/>
    <n v="5000"/>
    <n v="0.87158319035419651"/>
    <n v="1029.3397478083061"/>
    <n v="8319"/>
    <n v="0"/>
    <n v="0"/>
    <n v="9348.3397478083061"/>
    <n v="5000"/>
    <n v="2666.6666666666665"/>
    <n v="5000"/>
    <n v="-1108"/>
    <n v="3892"/>
    <n v="5456.3397478083061"/>
    <n v="5333.333333333333"/>
    <n v="-3324"/>
    <n v="2009.333333333333"/>
    <n v="3447.0064144749731"/>
    <n v="0"/>
    <n v="0"/>
    <n v="0"/>
    <n v="0"/>
    <n v="15666.666666666666"/>
    <n v="10333.333333333332"/>
    <n v="0"/>
    <n v="3892"/>
    <n v="6441.3333333333321"/>
    <n v="5901.333333333333"/>
    <n v="3892"/>
    <n v="2009.333333333333"/>
    <s v="Por atraso en ciertos productos del mix"/>
    <m/>
    <s v="Si"/>
    <n v="5901.333333333333"/>
    <n v="5901.333333333333"/>
    <n v="0"/>
    <d v="2022-08-27T00:00:00"/>
    <n v="3.456"/>
    <n v="3.4698292199999998"/>
    <n v="3.4651205361906907"/>
    <n v="20448.831324239996"/>
    <n v="3.5768312487642095"/>
    <n v="3.1231753695988521E-2"/>
    <n v="3.4651205361906907"/>
    <n v="3.4651205361906907"/>
    <m/>
    <s v="OK"/>
    <s v="OK"/>
    <n v="8750"/>
    <n v="4750"/>
    <n v="7000"/>
    <n v="13000"/>
    <n v="13000"/>
    <n v="8000"/>
    <n v="36645.971899999997"/>
    <n v="19327"/>
    <n v="28598"/>
    <n v="51483"/>
    <n v="50072"/>
    <n v="28828"/>
    <m/>
    <n v="151.66025219169393"/>
    <n v="3598.666666666667"/>
    <n v="5000"/>
    <n v="4357.9159517709822"/>
    <n v="7956.5826184376492"/>
    <n v="642.08404822901775"/>
    <n v="10000"/>
    <n v="8715.8319035419645"/>
    <n v="9357.9159517709813"/>
    <n v="1284.1680964580355"/>
    <n v="1181"/>
    <n v="0"/>
  </r>
  <r>
    <s v="Exportacion Directa1020991"/>
    <x v="0"/>
    <x v="4"/>
    <n v="1020991"/>
    <s v="GO Asiento C/g DA@ Cj 12k JP"/>
    <s v="Pierna"/>
    <s v="Pierna Pulpa Fina"/>
    <n v="14017"/>
    <n v="9000"/>
    <n v="0.87158319035419651"/>
    <n v="12216.981579194773"/>
    <n v="7497"/>
    <n v="3438.93"/>
    <n v="12600"/>
    <n v="10209.018579194773"/>
    <n v="16500"/>
    <n v="3333.3333333333335"/>
    <n v="10000"/>
    <n v="0"/>
    <n v="10000"/>
    <n v="209.01857919477334"/>
    <n v="0"/>
    <n v="0"/>
    <n v="0"/>
    <n v="209.01857919477334"/>
    <n v="0"/>
    <n v="0"/>
    <n v="0"/>
    <n v="0"/>
    <n v="10000"/>
    <n v="10000"/>
    <n v="0"/>
    <n v="10000"/>
    <n v="0"/>
    <n v="10000"/>
    <n v="10000"/>
    <n v="0"/>
    <n v="0"/>
    <m/>
    <s v="Si"/>
    <n v="10000"/>
    <n v="7497"/>
    <n v="2503"/>
    <d v="2022-08-27T00:00:00"/>
    <n v="3.456"/>
    <n v="3.61048676969697"/>
    <n v="3.6104867696969696"/>
    <n v="36104.867696969697"/>
    <n v="3.5247410301291819"/>
    <n v="2.4326819710963291E-2"/>
    <n v="3.6104867696969696"/>
    <n v="3.6104867696969696"/>
    <m/>
    <s v="OK"/>
    <s v="OK"/>
    <n v="1250"/>
    <n v="5000"/>
    <n v="5000"/>
    <n v="60000"/>
    <n v="10000"/>
    <n v="10000"/>
    <n v="5233.6656000000003"/>
    <n v="20319"/>
    <n v="20402"/>
    <n v="237274"/>
    <n v="38437"/>
    <n v="36035"/>
    <m/>
    <n v="1800.0184208052274"/>
    <n v="2009.0370000000007"/>
    <n v="12399.94052"/>
    <n v="10807.579718623874"/>
    <n v="12816.616718623874"/>
    <n v="1592.3608013761259"/>
    <n v="10000"/>
    <n v="8715.8319035419645"/>
    <n v="10308.19270491809"/>
    <n v="1284.1680964580355"/>
    <n v="14017"/>
    <n v="0"/>
  </r>
  <r>
    <s v="Exportacion Directa1021136"/>
    <x v="0"/>
    <x v="4"/>
    <n v="1021136"/>
    <s v="GO Tráquea@ Cj Lom Ctro AP"/>
    <s v="Subprod"/>
    <s v="Subprod Visceras"/>
    <n v="0"/>
    <n v="2000"/>
    <n v="0.87158319035419651"/>
    <n v="0"/>
    <n v="6190"/>
    <n v="2456"/>
    <n v="0"/>
    <n v="8400.4"/>
    <n v="2000"/>
    <n v="2666.6666666666665"/>
    <n v="2000"/>
    <n v="0"/>
    <n v="2000"/>
    <n v="6400.4"/>
    <n v="0"/>
    <n v="0"/>
    <n v="0"/>
    <n v="6400.4"/>
    <n v="5333.333333333333"/>
    <n v="0"/>
    <n v="5333.333333333333"/>
    <n v="0"/>
    <n v="7333.333333333333"/>
    <n v="7333.333333333333"/>
    <n v="0"/>
    <n v="2000"/>
    <n v="5333.333333333333"/>
    <n v="7333.333333333333"/>
    <n v="2000"/>
    <n v="5333.333333333333"/>
    <n v="0"/>
    <m/>
    <s v="Si"/>
    <n v="7333.333333333333"/>
    <n v="6190"/>
    <n v="1143.333333333333"/>
    <d v="2022-08-27T00:00:00"/>
    <n v="2.6640000000000001"/>
    <n v="2.4264629499999999"/>
    <n v="2.4264629499999999"/>
    <n v="17794.061633333331"/>
    <n v="2.5154376166666665"/>
    <n v="3.5371446334881269E-2"/>
    <n v="2.4264629499999999"/>
    <n v="2.4264629499999999"/>
    <m/>
    <s v="OK"/>
    <s v="OK"/>
    <n v="5000"/>
    <n v="3000"/>
    <n v="4000"/>
    <n v="5000"/>
    <n v="7200"/>
    <n v="8000"/>
    <n v="14419.3794"/>
    <n v="6405"/>
    <n v="11558"/>
    <n v="13732"/>
    <n v="20064"/>
    <n v="19670"/>
    <m/>
    <n v="0"/>
    <n v="6400.4"/>
    <n v="0"/>
    <n v="0"/>
    <n v="6400.4"/>
    <n v="0"/>
    <n v="5000"/>
    <n v="4357.9159517709822"/>
    <n v="4357.9159517709822"/>
    <n v="642.08404822901775"/>
    <n v="0"/>
    <n v="0"/>
  </r>
  <r>
    <s v="Exportacion Directa1021533"/>
    <x v="0"/>
    <x v="4"/>
    <n v="1021533"/>
    <s v="GO Panc Mit@ Va Cj 20k AP"/>
    <s v="Panceta"/>
    <s v="Panceta s/Cuero"/>
    <n v="0"/>
    <n v="15000"/>
    <n v="0.87158319035419651"/>
    <n v="0"/>
    <n v="3744"/>
    <n v="0"/>
    <n v="5000"/>
    <n v="-1256"/>
    <n v="5000"/>
    <n v="3000"/>
    <n v="0"/>
    <n v="0"/>
    <n v="0"/>
    <n v="-1256"/>
    <n v="0"/>
    <n v="0"/>
    <n v="0"/>
    <n v="-1256"/>
    <n v="0"/>
    <n v="0"/>
    <n v="0"/>
    <n v="0"/>
    <n v="3000"/>
    <n v="0"/>
    <n v="0"/>
    <n v="0"/>
    <n v="0"/>
    <n v="0"/>
    <n v="0"/>
    <n v="0"/>
    <n v="0"/>
    <m/>
    <s v="No"/>
    <n v="0"/>
    <n v="0"/>
    <n v="0"/>
    <d v="2022-08-27T00:00:00"/>
    <n v="5.22"/>
    <n v="4.5563170949999998"/>
    <n v="0"/>
    <n v="0"/>
    <n v="4.6151599319709335"/>
    <s v="No Aplica"/>
    <n v="0"/>
    <n v="0"/>
    <m/>
    <s v="OK"/>
    <s v="OK"/>
    <n v="2000"/>
    <n v="18000"/>
    <n v="15000"/>
    <n v="10000"/>
    <n v="15400"/>
    <n v="3000"/>
    <n v="10613.774600000001"/>
    <n v="93240"/>
    <n v="77606"/>
    <n v="49787"/>
    <n v="75485"/>
    <n v="14015"/>
    <m/>
    <n v="0"/>
    <n v="-1256"/>
    <n v="0"/>
    <n v="0"/>
    <n v="-1256"/>
    <n v="0"/>
    <n v="0"/>
    <n v="0"/>
    <n v="0"/>
    <n v="0"/>
    <n v="0"/>
    <n v="0"/>
  </r>
  <r>
    <s v="Exportacion Directa1021603"/>
    <x v="0"/>
    <x v="4"/>
    <n v="1021603"/>
    <s v="GO MM Loin L (MC4-5)@ Fi Cj ch JP"/>
    <s v="Lomo"/>
    <s v="Lomo MM Loin"/>
    <n v="9817"/>
    <n v="7000"/>
    <n v="0.87158319035419651"/>
    <n v="8556.3321797071476"/>
    <n v="3486"/>
    <n v="620.03558269568566"/>
    <n v="0"/>
    <n v="12600.364204133264"/>
    <n v="10500"/>
    <n v="5000"/>
    <n v="10500"/>
    <n v="-3324"/>
    <n v="7176"/>
    <n v="5424.3642041332641"/>
    <n v="5000"/>
    <n v="-3324"/>
    <n v="1676"/>
    <n v="3748.3642041332641"/>
    <n v="0"/>
    <n v="0"/>
    <n v="0"/>
    <n v="0"/>
    <n v="10500"/>
    <n v="15500"/>
    <n v="0"/>
    <n v="7176"/>
    <n v="8324"/>
    <n v="8852"/>
    <n v="7176"/>
    <n v="1676"/>
    <s v="Por atraso en ciertos productos del mix"/>
    <m/>
    <s v="Si"/>
    <n v="8852"/>
    <n v="3486"/>
    <n v="5366"/>
    <d v="2022-08-27T00:00:00"/>
    <n v="3.78"/>
    <n v="3.8105075619047635"/>
    <n v="3.804731389994191"/>
    <n v="33679.48226422858"/>
    <n v="3.7091725570675766"/>
    <n v="2.5762843722256467E-2"/>
    <n v="3.804731389994191"/>
    <n v="3.804731389994191"/>
    <m/>
    <s v="OK"/>
    <s v="OK"/>
    <n v="5000"/>
    <n v="3000"/>
    <n v="4000"/>
    <n v="5000"/>
    <n v="7000"/>
    <n v="5500"/>
    <n v="22909.446899999999"/>
    <n v="12940"/>
    <n v="17412"/>
    <n v="20869"/>
    <n v="27713"/>
    <n v="20622"/>
    <m/>
    <n v="1260.6678202928529"/>
    <n v="5009.0320244261165"/>
    <n v="7000"/>
    <n v="6101.0823324793755"/>
    <n v="11110.114356905491"/>
    <n v="898.91766752062449"/>
    <n v="5000"/>
    <n v="4357.9159517709822"/>
    <n v="5256.8336192916067"/>
    <n v="642.08404822901775"/>
    <n v="9817"/>
    <n v="0"/>
  </r>
  <r>
    <s v="Exportacion Directa1021609"/>
    <x v="0"/>
    <x v="4"/>
    <n v="1021609"/>
    <s v="GO File C/cab@ IWP Cj 10k SC"/>
    <s v="Filete"/>
    <s v="Filete c/Cabeza"/>
    <n v="70488"/>
    <n v="20000"/>
    <n v="0.87158319035419651"/>
    <n v="61436.155921686601"/>
    <n v="13533"/>
    <n v="11056.291695533571"/>
    <n v="0"/>
    <n v="84919.81844766681"/>
    <n v="60000"/>
    <n v="8000"/>
    <n v="60000"/>
    <n v="-22160"/>
    <n v="37840"/>
    <n v="47079.81844766681"/>
    <n v="40000"/>
    <n v="-30000"/>
    <n v="10000"/>
    <n v="37079.81844766681"/>
    <n v="0"/>
    <n v="0"/>
    <n v="0"/>
    <n v="0"/>
    <n v="68000"/>
    <n v="100000"/>
    <n v="0"/>
    <n v="37840"/>
    <n v="62160"/>
    <n v="47840"/>
    <n v="37840"/>
    <n v="10000"/>
    <s v="Por atraso en ciertos productos del mix"/>
    <m/>
    <s v="Si"/>
    <n v="47840"/>
    <n v="13533"/>
    <n v="34307"/>
    <d v="2022-08-27T00:00:00"/>
    <n v="4.32"/>
    <n v="4.5044507433333338"/>
    <n v="4.465894985947604"/>
    <n v="213648.41612773339"/>
    <n v="4.3270620137560032"/>
    <n v="3.2084812223684818E-2"/>
    <n v="4.465894985947604"/>
    <n v="4.465894985947604"/>
    <m/>
    <s v="OK"/>
    <s v="OK"/>
    <n v="16500"/>
    <n v="6500"/>
    <n v="3000"/>
    <n v="5000"/>
    <n v="0"/>
    <n v="0"/>
    <n v="84517.474000000002"/>
    <n v="31345"/>
    <n v="14512"/>
    <n v="24062"/>
    <n v="0"/>
    <n v="0"/>
    <m/>
    <n v="9051.8440783133956"/>
    <n v="46131.662525980209"/>
    <n v="20000"/>
    <n v="17431.663807083929"/>
    <n v="63563.326333064135"/>
    <n v="2568.336192916071"/>
    <n v="20000"/>
    <n v="17431.663807083929"/>
    <n v="20000"/>
    <n v="2568.336192916071"/>
    <n v="70488"/>
    <n v="0"/>
  </r>
  <r>
    <s v="Exportacion Directa1022282"/>
    <x v="0"/>
    <x v="4"/>
    <n v="1022282"/>
    <s v="GO Malaya Japon@ Vp Fi Cj 20k AP"/>
    <s v="Prolijado"/>
    <s v="Prolijado Malaya"/>
    <n v="0"/>
    <n v="0"/>
    <n v="0.87158319035419651"/>
    <n v="0"/>
    <n v="0"/>
    <n v="0"/>
    <n v="0"/>
    <n v="0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27T00:00:00"/>
    <n v="0"/>
    <n v="0"/>
    <n v="0"/>
    <n v="0"/>
    <n v="0"/>
    <s v="No Aplica"/>
    <n v="0"/>
    <n v="0"/>
    <m/>
    <s v="OK"/>
    <s v="OK"/>
    <n v="0"/>
    <n v="0"/>
    <n v="0"/>
    <n v="3000"/>
    <n v="2000"/>
    <n v="0"/>
    <n v="0"/>
    <n v="0"/>
    <n v="0"/>
    <n v="18786"/>
    <n v="12524"/>
    <n v="0"/>
    <m/>
    <n v="0"/>
    <n v="0"/>
    <n v="0"/>
    <n v="0"/>
    <n v="0"/>
    <n v="0"/>
    <n v="0"/>
    <n v="0"/>
    <n v="0"/>
    <n v="0"/>
    <n v="0"/>
    <n v="0"/>
  </r>
  <r>
    <s v="Exportacion Directa1022313"/>
    <x v="0"/>
    <x v="4"/>
    <n v="1022313"/>
    <s v="GO CC Loin T@ Fi Cj AP"/>
    <s v="Lomo"/>
    <s v="Lomo CC Loin"/>
    <n v="7654"/>
    <n v="10000"/>
    <n v="0.87158319035419651"/>
    <n v="6671.0977389710197"/>
    <n v="5524"/>
    <n v="258.67273955010967"/>
    <n v="0"/>
    <n v="12427.903204566119"/>
    <n v="10000"/>
    <n v="2666.6666666666665"/>
    <n v="10000"/>
    <n v="-3324"/>
    <n v="6676"/>
    <n v="5751.9032045661188"/>
    <n v="5333.333333333333"/>
    <n v="-1108"/>
    <n v="4225.333333333333"/>
    <n v="1526.5698712327858"/>
    <n v="0"/>
    <n v="0"/>
    <n v="0"/>
    <n v="0"/>
    <n v="10000"/>
    <n v="15333.333333333332"/>
    <n v="0"/>
    <n v="6676"/>
    <n v="8657.3333333333321"/>
    <n v="10901.333333333332"/>
    <n v="6676"/>
    <n v="4225.3333333333321"/>
    <s v="Por atraso en ciertos productos del mix"/>
    <m/>
    <s v="Si"/>
    <n v="10901.333333333332"/>
    <n v="5524"/>
    <n v="5377.3333333333321"/>
    <d v="2022-08-27T00:00:00"/>
    <n v="3.8519999999999999"/>
    <n v="3.8676856000000002"/>
    <n v="3.8616058952054804"/>
    <n v="42096.653065600003"/>
    <n v="3.7486246501749259"/>
    <n v="3.0139385927924887E-2"/>
    <n v="3.8616058952054804"/>
    <n v="3.8616058952054804"/>
    <s v="3,84 precio promedio entre dos ultimas propuestas"/>
    <s v="OK"/>
    <s v="OK"/>
    <n v="17750"/>
    <n v="9000"/>
    <n v="8000"/>
    <n v="7000"/>
    <n v="7000"/>
    <n v="10000"/>
    <n v="81701.657600000006"/>
    <n v="39113"/>
    <n v="34968"/>
    <n v="28931"/>
    <n v="26913"/>
    <n v="37649"/>
    <m/>
    <n v="982.90226102897986"/>
    <n v="2509.4721322617656"/>
    <n v="7221.7505499999997"/>
    <n v="6294.3563843111733"/>
    <n v="8803.8285165729394"/>
    <n v="927.39416568882643"/>
    <n v="6671.5885000000007"/>
    <n v="5814.8443895603687"/>
    <n v="6742.2385552491951"/>
    <n v="856.7441104396321"/>
    <n v="7654"/>
    <n v="0"/>
  </r>
  <r>
    <s v="Exportacion Directa1022326"/>
    <x v="0"/>
    <x v="4"/>
    <n v="1022326"/>
    <s v="GO CC Loin L (S/T)@ Fi Cj AP"/>
    <s v="Lomo"/>
    <s v="Lomo CC Loin"/>
    <n v="13500"/>
    <n v="15000"/>
    <n v="0.87158319035419651"/>
    <n v="11766.373069781654"/>
    <n v="20238"/>
    <n v="5884.8749020828336"/>
    <n v="20000"/>
    <n v="17300.760481656202"/>
    <n v="10000"/>
    <n v="5833.333333333333"/>
    <n v="10000"/>
    <n v="-3324"/>
    <n v="6676"/>
    <n v="10624.760481656202"/>
    <n v="5833.333333333333"/>
    <n v="-5540"/>
    <n v="293.33333333333303"/>
    <n v="10331.427148322869"/>
    <n v="0"/>
    <n v="0"/>
    <n v="0"/>
    <n v="0"/>
    <n v="21666.666666666664"/>
    <n v="15833.333333333332"/>
    <n v="0"/>
    <n v="6676"/>
    <n v="9157.3333333333321"/>
    <n v="6969.333333333333"/>
    <n v="6676"/>
    <n v="293.33333333333303"/>
    <s v="Por atraso en ciertos productos del mix"/>
    <m/>
    <s v="Si"/>
    <n v="6969.333333333333"/>
    <n v="6969.333333333333"/>
    <n v="0"/>
    <d v="2022-08-27T00:00:00"/>
    <n v="3.492"/>
    <n v="3.3282738219999999"/>
    <n v="3.3351649180704035"/>
    <n v="23243.876035671998"/>
    <n v="3.120038282220281"/>
    <n v="6.894999881124346E-2"/>
    <n v="3.3351649180704035"/>
    <n v="3.3351649180704035"/>
    <m/>
    <s v="OK"/>
    <s v="OK"/>
    <n v="35000"/>
    <n v="23000"/>
    <n v="45000"/>
    <n v="30000"/>
    <n v="41343"/>
    <n v="41667"/>
    <n v="153650"/>
    <n v="87386"/>
    <n v="155377"/>
    <n v="103333"/>
    <n v="141388"/>
    <n v="134460"/>
    <m/>
    <n v="1733.6269302183471"/>
    <n v="12065.054078541216"/>
    <n v="25509.897580000001"/>
    <n v="22233.997918385197"/>
    <n v="34299.051996926413"/>
    <n v="3275.8996616148033"/>
    <n v="28072.926299999999"/>
    <n v="24467.890667132229"/>
    <n v="27743.790328747033"/>
    <n v="3605.0356328677699"/>
    <n v="13500"/>
    <n v="0"/>
  </r>
  <r>
    <s v="Exportacion Directa1022370"/>
    <x v="0"/>
    <x v="4"/>
    <n v="1022370"/>
    <s v="GO MM Loin LL (29-32 VP)@ Bo Cj AP"/>
    <s v="Lomo"/>
    <s v="Lomo MM Loin"/>
    <n v="25742"/>
    <n v="20000"/>
    <n v="0.87158319035419651"/>
    <n v="22436.294486097726"/>
    <n v="43877"/>
    <n v="17214.218854131188"/>
    <n v="14000"/>
    <n v="67806.091454815803"/>
    <n v="60000"/>
    <n v="2500"/>
    <n v="60000"/>
    <n v="-22160"/>
    <n v="37840"/>
    <n v="29966.091454815803"/>
    <n v="27500"/>
    <n v="-18000"/>
    <n v="9500"/>
    <n v="20466.091454815803"/>
    <n v="0"/>
    <n v="0"/>
    <n v="0"/>
    <n v="0"/>
    <n v="52500"/>
    <n v="87500"/>
    <n v="0"/>
    <n v="37840"/>
    <n v="49660"/>
    <n v="47340"/>
    <n v="37840"/>
    <n v="9500"/>
    <s v="Por atraso en ciertos productos del mix"/>
    <m/>
    <s v="Si"/>
    <n v="47340"/>
    <n v="43877"/>
    <n v="3463"/>
    <d v="2022-08-27T00:00:00"/>
    <n v="3.6"/>
    <n v="3.7137364816666669"/>
    <n v="3.6909123038924099"/>
    <n v="174727.78846626668"/>
    <n v="3.5265830863619825"/>
    <n v="4.6597290778692291E-2"/>
    <n v="3.6909123038924099"/>
    <n v="3.6909123038924099"/>
    <m/>
    <s v="OK"/>
    <s v="OK"/>
    <n v="30000"/>
    <n v="13000"/>
    <n v="18000"/>
    <n v="35000"/>
    <n v="30000"/>
    <n v="42500"/>
    <n v="126000"/>
    <n v="52063"/>
    <n v="72039"/>
    <n v="136267"/>
    <n v="110039"/>
    <n v="151844"/>
    <m/>
    <n v="3305.7055139022732"/>
    <n v="23771.796968718078"/>
    <n v="40000"/>
    <n v="34863.327614167858"/>
    <n v="58635.124582885939"/>
    <n v="5136.672385832142"/>
    <n v="35000"/>
    <n v="30505.411662396877"/>
    <n v="35642.084048229022"/>
    <n v="4494.5883376031234"/>
    <n v="25742"/>
    <n v="0"/>
  </r>
  <r>
    <s v="Exportacion Directa1022371"/>
    <x v="0"/>
    <x v="4"/>
    <n v="1022371"/>
    <s v="GO Panc S/tec SP@ Fi Cj AP"/>
    <s v="Panceta"/>
    <s v="Panceta s/Cuero"/>
    <n v="36965"/>
    <n v="19000"/>
    <n v="0.87158319035419651"/>
    <n v="32218.072631442876"/>
    <n v="5483"/>
    <n v="1052.4868171434778"/>
    <n v="0"/>
    <n v="38648.310766872004"/>
    <n v="28000"/>
    <n v="3900"/>
    <n v="28000"/>
    <n v="-11080"/>
    <n v="16920"/>
    <n v="21728.310766872004"/>
    <n v="19500"/>
    <n v="-11080"/>
    <n v="8420"/>
    <n v="13308.310766872004"/>
    <n v="0"/>
    <n v="0"/>
    <n v="0"/>
    <n v="0"/>
    <n v="43600"/>
    <n v="47500"/>
    <n v="0"/>
    <n v="16920"/>
    <n v="30580"/>
    <n v="25340"/>
    <n v="16920"/>
    <n v="8420"/>
    <s v="Por atraso en ciertos productos del mix"/>
    <m/>
    <s v="Si"/>
    <n v="25340"/>
    <n v="5483"/>
    <n v="19857"/>
    <d v="2022-08-27T00:00:00"/>
    <n v="4.68"/>
    <n v="4.6143291267857141"/>
    <n v="4.6361503088087712"/>
    <n v="117480.04882521427"/>
    <n v="4.1138976613085081"/>
    <n v="0.1269483809507673"/>
    <n v="4.6361503088087712"/>
    <n v="4.6361503088087712"/>
    <m/>
    <s v="OK"/>
    <s v="OK"/>
    <n v="15000"/>
    <n v="30000"/>
    <n v="25000"/>
    <n v="22000"/>
    <n v="12000"/>
    <n v="24700"/>
    <n v="73701.857300000003"/>
    <n v="106487"/>
    <n v="116125"/>
    <n v="98645"/>
    <n v="53380"/>
    <n v="103051"/>
    <m/>
    <n v="4746.9273685571261"/>
    <n v="18055.238135429128"/>
    <n v="8000"/>
    <n v="6972.6655228335721"/>
    <n v="25027.903658262701"/>
    <n v="1027.3344771664279"/>
    <n v="24000.0003"/>
    <n v="20917.996829975673"/>
    <n v="21945.3313071421"/>
    <n v="3082.0034700243268"/>
    <n v="36965"/>
    <n v="0"/>
  </r>
  <r>
    <s v="Exportacion Directa1022472"/>
    <x v="0"/>
    <x v="4"/>
    <n v="1022472"/>
    <s v="GO Lom Ctro S/Tecla(OY)Mit@ Cj Tf 20k AP"/>
    <s v="Lomo"/>
    <s v="Lomo Centro"/>
    <n v="0"/>
    <n v="0"/>
    <n v="0.87158319035419651"/>
    <n v="0"/>
    <n v="11718"/>
    <n v="0"/>
    <n v="0"/>
    <n v="11718"/>
    <n v="0"/>
    <n v="2500"/>
    <n v="0"/>
    <n v="0"/>
    <n v="0"/>
    <n v="11718"/>
    <n v="0"/>
    <n v="0"/>
    <n v="0"/>
    <n v="11718"/>
    <n v="10000"/>
    <n v="0"/>
    <n v="10000"/>
    <n v="0"/>
    <n v="20000"/>
    <n v="10000"/>
    <n v="0"/>
    <n v="0"/>
    <n v="10000"/>
    <n v="10000"/>
    <n v="0"/>
    <n v="10000"/>
    <n v="0"/>
    <m/>
    <s v="Si"/>
    <n v="10000"/>
    <n v="10000"/>
    <n v="0"/>
    <d v="2022-08-27T00:00:00"/>
    <n v="3.7775113372640718"/>
    <n v="3.7775113372640718"/>
    <n v="3.7775113372640718"/>
    <n v="37775.113372640721"/>
    <n v="3.7775113372640718"/>
    <n v="0"/>
    <n v="3.7775113372640718"/>
    <n v="3.7775113372640718"/>
    <m/>
    <s v="OK"/>
    <s v="OK"/>
    <n v="7000"/>
    <n v="5000"/>
    <n v="3000"/>
    <n v="10000"/>
    <n v="4333"/>
    <n v="18000"/>
    <n v="32709.190900000001"/>
    <n v="21977"/>
    <n v="13095"/>
    <n v="42120"/>
    <n v="17417"/>
    <n v="69842"/>
    <m/>
    <n v="0"/>
    <n v="11718"/>
    <n v="15000.0003"/>
    <n v="13073.748116787905"/>
    <n v="24791.748116787905"/>
    <n v="1926.2521832120947"/>
    <n v="5000"/>
    <n v="4357.9159517709822"/>
    <n v="6284.1681349830769"/>
    <n v="642.08404822901775"/>
    <n v="0"/>
    <n v="0"/>
  </r>
  <r>
    <s v="Exportacion Directa1022499"/>
    <x v="0"/>
    <x v="4"/>
    <n v="1022499"/>
    <s v="GO Lom Vet Mit@ 4 Bo Cj 10k AP"/>
    <s v="Lomo"/>
    <s v="Lomo Vetado"/>
    <n v="20626"/>
    <n v="27000"/>
    <n v="0.87158319035419651"/>
    <n v="17977.274884245657"/>
    <n v="7976"/>
    <n v="0"/>
    <n v="12000"/>
    <n v="13953.274884245657"/>
    <n v="30000"/>
    <n v="2500"/>
    <n v="12500"/>
    <n v="0"/>
    <n v="12500"/>
    <n v="1453.2748842456567"/>
    <n v="0"/>
    <n v="0"/>
    <n v="0"/>
    <n v="1453.2748842456567"/>
    <n v="0"/>
    <n v="0"/>
    <n v="0"/>
    <n v="0"/>
    <n v="10000"/>
    <n v="12500"/>
    <n v="0"/>
    <n v="12500"/>
    <n v="0"/>
    <n v="12500"/>
    <n v="12500"/>
    <n v="0"/>
    <n v="0"/>
    <m/>
    <s v="Si"/>
    <n v="12500"/>
    <n v="7976"/>
    <n v="4524"/>
    <d v="2022-08-27T00:00:00"/>
    <n v="3.8519999999999999"/>
    <n v="4.0434622209523807"/>
    <n v="4.0434622209523807"/>
    <n v="50543.277761904756"/>
    <n v="3.7856714340849646"/>
    <n v="6.809645035391898E-2"/>
    <n v="4.0434622209523807"/>
    <n v="4.0434622209523807"/>
    <m/>
    <s v="OK"/>
    <s v="OK"/>
    <n v="16000"/>
    <n v="3000"/>
    <n v="5000"/>
    <n v="20000"/>
    <n v="15000"/>
    <n v="23500"/>
    <n v="75542.537400000001"/>
    <n v="13294"/>
    <n v="22218"/>
    <n v="85842"/>
    <n v="61744"/>
    <n v="91183"/>
    <m/>
    <n v="2648.7251157543428"/>
    <n v="4102"/>
    <n v="20000"/>
    <n v="17431.663807083929"/>
    <n v="21533.663807083929"/>
    <n v="2568.336192916071"/>
    <n v="20000"/>
    <n v="17431.663807083929"/>
    <n v="20000"/>
    <n v="2568.336192916071"/>
    <n v="20626"/>
    <n v="0"/>
  </r>
  <r>
    <s v="Exportacion Directa1022587"/>
    <x v="0"/>
    <x v="4"/>
    <n v="1022587"/>
    <s v="GO CC Loin L (S/T) 45@ Fi Cj AP"/>
    <s v="Lomo"/>
    <s v="Lomo CC Loin"/>
    <n v="2573"/>
    <n v="3000"/>
    <n v="0.87158319035419651"/>
    <n v="2242.5835487813474"/>
    <n v="2717"/>
    <n v="0"/>
    <n v="0"/>
    <n v="4959.5835487813474"/>
    <n v="3000"/>
    <n v="3000"/>
    <n v="3000"/>
    <n v="0"/>
    <n v="3000"/>
    <n v="1959.5835487813474"/>
    <n v="0"/>
    <n v="0"/>
    <n v="0"/>
    <n v="1959.5835487813474"/>
    <n v="0"/>
    <n v="0"/>
    <n v="0"/>
    <n v="0"/>
    <n v="3000"/>
    <n v="3000"/>
    <n v="0"/>
    <n v="3000"/>
    <n v="0"/>
    <n v="3000"/>
    <n v="3000"/>
    <n v="0"/>
    <n v="0"/>
    <m/>
    <s v="Si"/>
    <n v="3000"/>
    <n v="2717"/>
    <n v="283"/>
    <d v="2022-08-27T00:00:00"/>
    <n v="3.8879999999999999"/>
    <n v="4.2024936666666699"/>
    <n v="4.2024936666666699"/>
    <n v="12607.481000000009"/>
    <n v="3.7343752598882016"/>
    <n v="0.1253538742628888"/>
    <n v="4.2024936666666699"/>
    <n v="4.2024936666666699"/>
    <m/>
    <s v="OK"/>
    <s v="OK"/>
    <n v="5000"/>
    <n v="5000"/>
    <n v="5000"/>
    <n v="6000"/>
    <n v="3000"/>
    <n v="6000"/>
    <n v="23140.260300000002"/>
    <n v="21784"/>
    <n v="21814"/>
    <n v="24491"/>
    <n v="11934"/>
    <n v="22820"/>
    <m/>
    <n v="330.41645121865236"/>
    <n v="2290"/>
    <n v="3000"/>
    <n v="2614.7495710625894"/>
    <n v="4904.7495710625899"/>
    <n v="385.25042893741056"/>
    <n v="4000"/>
    <n v="3486.3327614167861"/>
    <n v="3871.5831903541966"/>
    <n v="513.66723858321393"/>
    <n v="2573"/>
    <n v="0"/>
  </r>
  <r>
    <s v="Exportacion Directa1022600"/>
    <x v="0"/>
    <x v="4"/>
    <n v="1022600"/>
    <s v="GO Lom Vet 2 a 2,3k@ Fi Verd Cj AP"/>
    <s v="Lomo"/>
    <s v="Lomo Vetado"/>
    <n v="4658"/>
    <n v="10000"/>
    <n v="0.87158319035419651"/>
    <n v="4059.8345006698473"/>
    <n v="31623"/>
    <n v="0"/>
    <n v="5500"/>
    <n v="30182.834500669851"/>
    <n v="22500"/>
    <n v="2166.6666666666665"/>
    <n v="22500"/>
    <n v="0"/>
    <n v="22500"/>
    <n v="7682.834500669851"/>
    <n v="6500"/>
    <n v="0"/>
    <n v="6500"/>
    <n v="1182.834500669851"/>
    <n v="0"/>
    <n v="0"/>
    <n v="0"/>
    <n v="0"/>
    <n v="15166.666666666666"/>
    <n v="29000"/>
    <n v="0"/>
    <n v="22500"/>
    <n v="6500"/>
    <n v="29000"/>
    <n v="22500"/>
    <n v="6500"/>
    <s v="Por atraso en ciertos productos del mix"/>
    <m/>
    <s v="Si"/>
    <n v="29000"/>
    <n v="29000"/>
    <n v="0"/>
    <d v="2022-08-27T00:00:00"/>
    <n v="3.6"/>
    <n v="3.6250919335555563"/>
    <n v="3.6194678794827593"/>
    <n v="104964.56850500002"/>
    <n v="3.5412137344704799"/>
    <n v="2.2098114059184496E-2"/>
    <n v="3.6194678794827593"/>
    <n v="3.6194678794827593"/>
    <m/>
    <s v="OK"/>
    <s v="OK"/>
    <n v="18000"/>
    <n v="3000"/>
    <n v="11000"/>
    <n v="20000"/>
    <n v="19625"/>
    <n v="27333"/>
    <n v="78722.423299999995"/>
    <n v="12324"/>
    <n v="44841"/>
    <n v="78794"/>
    <n v="75391"/>
    <n v="97657"/>
    <m/>
    <n v="598.16549933015267"/>
    <n v="1781.0000000000036"/>
    <n v="15000"/>
    <n v="13073.747855312948"/>
    <n v="14854.747855312951"/>
    <n v="1926.2521446870524"/>
    <n v="13000"/>
    <n v="11330.581474604554"/>
    <n v="13256.833619291607"/>
    <n v="1669.4185253954456"/>
    <n v="4658"/>
    <n v="0"/>
  </r>
  <r>
    <s v="Exportacion Directa1022664"/>
    <x v="0"/>
    <x v="4"/>
    <n v="1022664"/>
    <s v="GO CC Loin L (S/T) (DF)@ Fi Cj AP"/>
    <s v="Lomo"/>
    <s v="Lomo CC Loin"/>
    <n v="107035"/>
    <n v="57000"/>
    <n v="0.87158319035419651"/>
    <n v="93289.906779561425"/>
    <n v="9867"/>
    <n v="11769.943747240315"/>
    <n v="18000"/>
    <n v="95749.856152077715"/>
    <n v="92000"/>
    <n v="3333.3333333333335"/>
    <n v="92000"/>
    <n v="-49860"/>
    <n v="42140"/>
    <n v="53609.856152077715"/>
    <n v="53333.333333333336"/>
    <n v="-44320"/>
    <n v="9013.3333333333358"/>
    <n v="44596.522818744379"/>
    <n v="0"/>
    <n v="0"/>
    <n v="0"/>
    <n v="0"/>
    <n v="115333.33333333334"/>
    <n v="145333.33333333334"/>
    <n v="0"/>
    <n v="42140"/>
    <n v="103193.33333333334"/>
    <n v="51153.333333333336"/>
    <n v="42140"/>
    <n v="9013.3333333333358"/>
    <s v="Por atraso en ciertos productos del mix"/>
    <m/>
    <s v="Si"/>
    <n v="51153.333333333336"/>
    <n v="9867"/>
    <n v="41286.333333333336"/>
    <d v="2022-08-27T00:00:00"/>
    <n v="3.6360000000000001"/>
    <n v="3.6490553347826093"/>
    <n v="3.6467549551884364"/>
    <n v="186543.67180773916"/>
    <n v="3.392574660437556"/>
    <n v="7.49225352989277E-2"/>
    <n v="3.6467549551884364"/>
    <n v="3.6467549551884364"/>
    <m/>
    <s v="OK"/>
    <s v="OK"/>
    <n v="43000"/>
    <n v="23700"/>
    <n v="17000"/>
    <n v="30000"/>
    <n v="35000"/>
    <n v="30667"/>
    <n v="175870"/>
    <n v="88630"/>
    <n v="59165"/>
    <n v="105866"/>
    <n v="122382"/>
    <n v="103440"/>
    <m/>
    <n v="13745.093220438575"/>
    <n v="58341.616039182954"/>
    <n v="56628.7"/>
    <n v="49356.623011610689"/>
    <n v="107698.23905079364"/>
    <n v="7272.0769883893081"/>
    <n v="20000"/>
    <n v="17431.663807083929"/>
    <n v="24703.740795473237"/>
    <n v="2568.336192916071"/>
    <n v="107035"/>
    <n v="0"/>
  </r>
  <r>
    <s v="Exportacion Directa1022817"/>
    <x v="0"/>
    <x v="4"/>
    <n v="1022817"/>
    <s v="GO Lom Vet L@ VP Cj Lom Vet Mad AP"/>
    <s v="Muestra"/>
    <s v="Muestra"/>
    <n v="0"/>
    <n v="0"/>
    <n v="0.87158319035419651"/>
    <n v="0"/>
    <n v="20"/>
    <n v="0"/>
    <n v="0"/>
    <n v="20"/>
    <n v="0"/>
    <n v="5000"/>
    <n v="0"/>
    <n v="0"/>
    <n v="0"/>
    <n v="20"/>
    <n v="0"/>
    <n v="0"/>
    <n v="0"/>
    <n v="2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27T00:00:00"/>
    <n v="3.5331456657730116"/>
    <n v="0"/>
    <n v="0"/>
    <n v="0"/>
    <n v="3.5331456657730116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20"/>
    <n v="0"/>
    <n v="0"/>
    <n v="20"/>
    <n v="0"/>
    <n v="0"/>
    <n v="0"/>
    <n v="0"/>
    <n v="0"/>
    <n v="0"/>
    <n v="0"/>
  </r>
  <r>
    <s v="Exportacion Directa1022869"/>
    <x v="0"/>
    <x v="4"/>
    <n v="1022869"/>
    <s v="GO Hso Pecho@ Cj 10k AP"/>
    <s v="Huesos"/>
    <s v="Huesos Cuarto Centra"/>
    <n v="0"/>
    <n v="0"/>
    <n v="0.87158319035419651"/>
    <n v="0"/>
    <n v="0"/>
    <n v="0"/>
    <n v="0"/>
    <n v="0"/>
    <n v="0"/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27T00:00:00"/>
    <n v="2.5326374074074072"/>
    <n v="0"/>
    <n v="0"/>
    <n v="0"/>
    <n v="2.5326374074074072"/>
    <s v="No Aplica"/>
    <n v="0"/>
    <n v="0"/>
    <m/>
    <s v="OK"/>
    <s v="OK"/>
    <n v="500"/>
    <n v="1300"/>
    <n v="2400"/>
    <n v="800"/>
    <n v="800"/>
    <n v="0"/>
    <n v="1446.6365000000001"/>
    <n v="3691"/>
    <n v="6801"/>
    <n v="2158"/>
    <n v="2158"/>
    <n v="0"/>
    <m/>
    <n v="0"/>
    <n v="0"/>
    <n v="0"/>
    <n v="0"/>
    <n v="0"/>
    <n v="0"/>
    <n v="0"/>
    <n v="0"/>
    <n v="0"/>
    <n v="0"/>
    <n v="0"/>
    <n v="0"/>
  </r>
  <r>
    <s v="Exportacion Directa1022901"/>
    <x v="0"/>
    <x v="4"/>
    <n v="1022901"/>
    <s v="GO Panc Tec S/Cue L@ Fi CJ Ch AP"/>
    <s v="Panceta"/>
    <s v="Panceta s/Cuero"/>
    <n v="0"/>
    <n v="0"/>
    <n v="0.87158319035419651"/>
    <n v="0"/>
    <n v="5297"/>
    <n v="698.6609890098099"/>
    <n v="0"/>
    <n v="5925.7948901088293"/>
    <n v="1000"/>
    <n v="5000"/>
    <n v="1000"/>
    <n v="0"/>
    <n v="1000"/>
    <n v="4925.7948901088293"/>
    <n v="0"/>
    <n v="0"/>
    <n v="0"/>
    <n v="4925.7948901088293"/>
    <n v="0"/>
    <n v="0"/>
    <n v="0"/>
    <n v="0"/>
    <n v="6000"/>
    <n v="1000"/>
    <n v="0"/>
    <n v="1000"/>
    <n v="0"/>
    <n v="1000"/>
    <n v="1000"/>
    <n v="0"/>
    <n v="0"/>
    <m/>
    <s v="Si"/>
    <n v="1000"/>
    <n v="1000"/>
    <n v="0"/>
    <d v="2022-08-27T00:00:00"/>
    <n v="4.3950615353047953"/>
    <n v="4.4589070199999998"/>
    <n v="4.4589070199999998"/>
    <n v="4458.9070199999996"/>
    <n v="4.3950615353047953"/>
    <n v="1.4526641818856108E-2"/>
    <n v="4.4589070199999998"/>
    <n v="4.4589070199999998"/>
    <m/>
    <s v="OK"/>
    <s v="OK"/>
    <n v="15000"/>
    <n v="12000"/>
    <n v="13000"/>
    <n v="18000"/>
    <n v="18000"/>
    <n v="13000"/>
    <n v="77324.533299999996"/>
    <n v="59373"/>
    <n v="64866"/>
    <n v="87127"/>
    <n v="85715"/>
    <n v="57833"/>
    <m/>
    <n v="0"/>
    <n v="4925.7948901088293"/>
    <n v="10000"/>
    <n v="8715.8319035419645"/>
    <n v="13641.626793650794"/>
    <n v="1284.1680964580355"/>
    <n v="10000"/>
    <n v="8715.8319035419645"/>
    <n v="10000"/>
    <n v="1284.1680964580355"/>
    <n v="0"/>
    <n v="0"/>
  </r>
  <r>
    <s v="Exportacion Directa1022919"/>
    <x v="0"/>
    <x v="4"/>
    <n v="1022919"/>
    <s v="GO MM LOIN S VP@ Cj 10k AP"/>
    <s v="Lomo"/>
    <s v="Lomo MM Loin"/>
    <n v="8057"/>
    <n v="0"/>
    <n v="0.87158319035419651"/>
    <n v="7022.3457646837614"/>
    <n v="16232"/>
    <n v="0"/>
    <n v="0"/>
    <n v="23254.345764683763"/>
    <n v="24000"/>
    <n v="12000"/>
    <n v="12000"/>
    <n v="0"/>
    <n v="12000"/>
    <n v="11254.345764683763"/>
    <n v="0"/>
    <n v="0"/>
    <n v="0"/>
    <n v="11254.345764683763"/>
    <n v="0"/>
    <n v="0"/>
    <n v="0"/>
    <n v="0"/>
    <n v="0"/>
    <n v="12000"/>
    <n v="0"/>
    <n v="12000"/>
    <n v="0"/>
    <n v="12000"/>
    <n v="12000"/>
    <n v="0"/>
    <n v="0"/>
    <m/>
    <s v="Si"/>
    <n v="12000"/>
    <n v="12000"/>
    <n v="0"/>
    <d v="2022-08-27T00:00:00"/>
    <n v="3.4949638377816412"/>
    <n v="4.0470470583333302"/>
    <n v="4.0470470583333302"/>
    <n v="48564.564699999966"/>
    <n v="3.4949638377816412"/>
    <n v="0.15796535992261163"/>
    <n v="4.0470470583333302"/>
    <n v="4.0470470583333302"/>
    <m/>
    <s v="OK"/>
    <s v="OK"/>
    <n v="15000"/>
    <n v="48000"/>
    <n v="5000"/>
    <n v="24000"/>
    <n v="23000"/>
    <n v="12000"/>
    <n v="61076.933900000004"/>
    <n v="200184"/>
    <n v="20962"/>
    <n v="92261"/>
    <n v="84285"/>
    <n v="42413"/>
    <m/>
    <n v="1034.6542353162388"/>
    <n v="12289.000000000002"/>
    <n v="24000"/>
    <n v="20917.996568500716"/>
    <n v="33206.996568500719"/>
    <n v="3082.0034314992845"/>
    <n v="24000"/>
    <n v="20917.996568500716"/>
    <n v="24000"/>
    <n v="3082.0034314992845"/>
    <n v="8057"/>
    <n v="0"/>
  </r>
  <r>
    <s v="Exportacion Directa1022931"/>
    <x v="0"/>
    <x v="4"/>
    <n v="1022931"/>
    <s v="GO File C/cab 6x1@ VP Cj AP"/>
    <s v="Filete"/>
    <s v="Filete c/Cabeza"/>
    <n v="33920"/>
    <n v="20000"/>
    <n v="0.87158319035419651"/>
    <n v="29564.101816814346"/>
    <n v="8194"/>
    <n v="6029.5318717303862"/>
    <n v="4000"/>
    <n v="39184.680501371695"/>
    <n v="28000"/>
    <n v="3000"/>
    <n v="28000"/>
    <n v="-11000"/>
    <n v="17000"/>
    <n v="22184.680501371695"/>
    <n v="21000"/>
    <n v="-10000"/>
    <n v="11000"/>
    <n v="11184.680501371695"/>
    <n v="0"/>
    <n v="0"/>
    <n v="0"/>
    <n v="0"/>
    <n v="70000"/>
    <n v="49000"/>
    <n v="0"/>
    <n v="17000"/>
    <n v="32000"/>
    <n v="28000"/>
    <n v="17000"/>
    <n v="11000"/>
    <s v="Por atraso en ciertos productos del mix"/>
    <m/>
    <s v="Si"/>
    <n v="28000"/>
    <n v="8194"/>
    <n v="19806"/>
    <d v="2022-08-27T00:00:00"/>
    <n v="4.1040000000000001"/>
    <n v="4.3744137811224491"/>
    <n v="4.2681797956814869"/>
    <n v="119509.03427908164"/>
    <n v="4.1606144980447475"/>
    <n v="2.5853223769539083E-2"/>
    <n v="4.2681797956814869"/>
    <n v="4.2681797956814869"/>
    <m/>
    <s v="OK"/>
    <s v="OK"/>
    <n v="0"/>
    <n v="0"/>
    <n v="0"/>
    <n v="20000"/>
    <n v="20182"/>
    <n v="24000"/>
    <n v="0"/>
    <n v="0"/>
    <n v="0"/>
    <n v="45277"/>
    <n v="89258"/>
    <n v="101421"/>
    <m/>
    <n v="4355.8981831856545"/>
    <n v="15540.578684557349"/>
    <n v="20000"/>
    <n v="17431.663807083929"/>
    <n v="32972.242491641278"/>
    <n v="2568.336192916071"/>
    <n v="25000"/>
    <n v="21789.579758854914"/>
    <n v="24357.915951770985"/>
    <n v="3210.420241145086"/>
    <n v="33920"/>
    <n v="0"/>
  </r>
  <r>
    <s v="Exportacion Directa1022987"/>
    <x v="0"/>
    <x v="4"/>
    <n v="1022987"/>
    <s v="GO Lom Tocino@ Bo Cj 20k AP"/>
    <s v="Plancha"/>
    <s v="Plancha s/Cuero"/>
    <n v="41771"/>
    <n v="24000"/>
    <n v="0.87158319035419651"/>
    <n v="36406.90144428514"/>
    <n v="12260"/>
    <n v="13358"/>
    <n v="0"/>
    <n v="60689.101444285145"/>
    <n v="48000"/>
    <n v="24000"/>
    <n v="48000"/>
    <n v="0"/>
    <n v="48000"/>
    <n v="12689.101444285145"/>
    <n v="0"/>
    <n v="0"/>
    <n v="0"/>
    <n v="12689.101444285145"/>
    <n v="0"/>
    <n v="0"/>
    <n v="0"/>
    <n v="0"/>
    <n v="48000"/>
    <n v="48000"/>
    <n v="0"/>
    <n v="48000"/>
    <n v="0"/>
    <n v="48000"/>
    <n v="48000"/>
    <n v="0"/>
    <s v="Por producción "/>
    <m/>
    <s v="Si"/>
    <n v="48000"/>
    <n v="12260"/>
    <n v="35740"/>
    <d v="2022-08-27T00:00:00"/>
    <n v="1.8"/>
    <n v="1.620076675"/>
    <n v="1.620076675"/>
    <n v="77763.680399999997"/>
    <n v="1.2403970291666668"/>
    <n v="0.30609525571696383"/>
    <n v="1.620076675"/>
    <n v="1.620076675"/>
    <m/>
    <s v="OK"/>
    <s v="OK"/>
    <n v="0"/>
    <n v="30000"/>
    <n v="24000"/>
    <n v="48000"/>
    <n v="24000"/>
    <n v="24000"/>
    <n v="0"/>
    <n v="39945"/>
    <n v="32309"/>
    <n v="64234"/>
    <n v="31541"/>
    <n v="32086"/>
    <m/>
    <n v="5364.0985557148579"/>
    <n v="18053.200000000004"/>
    <n v="24000"/>
    <n v="20917.996568500716"/>
    <n v="38971.196568500716"/>
    <n v="3082.0034314992845"/>
    <n v="48000"/>
    <n v="41835.993137001431"/>
    <n v="44917.996568500719"/>
    <n v="6164.006862998569"/>
    <n v="41771"/>
    <n v="0"/>
  </r>
  <r>
    <s v="Exportacion Directa1022990"/>
    <x v="0"/>
    <x v="4"/>
    <n v="1022990"/>
    <s v="GO Panc Tec S/cue VP@ Cj ch AP"/>
    <s v="Panceta"/>
    <s v="Panceta s/Cuero"/>
    <n v="0"/>
    <n v="0"/>
    <n v="0.87158319035419651"/>
    <n v="0"/>
    <n v="0"/>
    <n v="0"/>
    <n v="0"/>
    <n v="0"/>
    <n v="0"/>
    <n v="3571.4285714285716"/>
    <n v="0"/>
    <n v="0"/>
    <n v="0"/>
    <n v="0"/>
    <n v="0"/>
    <n v="0"/>
    <n v="0"/>
    <n v="0"/>
    <n v="0"/>
    <n v="0"/>
    <n v="0"/>
    <n v="0"/>
    <n v="25000"/>
    <n v="0"/>
    <n v="0"/>
    <n v="0"/>
    <n v="0"/>
    <n v="0"/>
    <n v="0"/>
    <n v="0"/>
    <n v="0"/>
    <m/>
    <s v="No"/>
    <n v="0"/>
    <n v="0"/>
    <n v="0"/>
    <d v="2022-08-27T00:00:00"/>
    <n v="0"/>
    <n v="4.8"/>
    <n v="0"/>
    <n v="0"/>
    <n v="0"/>
    <s v="No Aplica"/>
    <n v="0"/>
    <n v="0"/>
    <m/>
    <s v="OK"/>
    <s v="OK"/>
    <n v="10000"/>
    <n v="20000"/>
    <n v="13000"/>
    <n v="0"/>
    <n v="0"/>
    <n v="0"/>
    <n v="49521.519800000002"/>
    <n v="99032"/>
    <n v="64807"/>
    <n v="0"/>
    <n v="0"/>
    <n v="0"/>
    <m/>
    <n v="0"/>
    <n v="0"/>
    <n v="0"/>
    <n v="0"/>
    <n v="0"/>
    <n v="0"/>
    <n v="0"/>
    <n v="0"/>
    <n v="0"/>
    <n v="0"/>
    <n v="0"/>
    <n v="0"/>
  </r>
  <r>
    <s v="Exportacion Directa1023051"/>
    <x v="0"/>
    <x v="4"/>
    <n v="1023051"/>
    <s v="GO Lom Vet L@ Fi Cj Lom Vet AP"/>
    <s v="Lomo"/>
    <s v="Lomo Vetado"/>
    <n v="0"/>
    <n v="0"/>
    <n v="0.87158319035419651"/>
    <n v="0"/>
    <n v="9393"/>
    <n v="0"/>
    <n v="0"/>
    <n v="9393"/>
    <n v="5000"/>
    <n v="3000"/>
    <n v="5000"/>
    <n v="0"/>
    <n v="5000"/>
    <n v="4393"/>
    <n v="0"/>
    <n v="0"/>
    <n v="0"/>
    <n v="4393"/>
    <n v="3000"/>
    <n v="0"/>
    <n v="3000"/>
    <n v="0"/>
    <n v="0"/>
    <n v="8000"/>
    <n v="0"/>
    <n v="5000"/>
    <n v="3000"/>
    <n v="8000"/>
    <n v="5000"/>
    <n v="3000"/>
    <n v="0"/>
    <m/>
    <s v="Si"/>
    <n v="8000"/>
    <n v="8000"/>
    <n v="0"/>
    <d v="2022-08-27T00:00:00"/>
    <n v="3.3607963461471231"/>
    <n v="3.4832440599999979"/>
    <n v="3.4832440599999983"/>
    <n v="27865.952479999985"/>
    <n v="3.3607963461471231"/>
    <n v="3.64341368060732E-2"/>
    <n v="3.4832440599999983"/>
    <n v="3.4832440599999983"/>
    <m/>
    <s v="OK"/>
    <s v="OK"/>
    <n v="0"/>
    <n v="0"/>
    <n v="0"/>
    <n v="3000"/>
    <n v="2500"/>
    <n v="0"/>
    <n v="0"/>
    <n v="0"/>
    <n v="0"/>
    <n v="11945"/>
    <n v="9324"/>
    <n v="0"/>
    <m/>
    <n v="0"/>
    <n v="4393"/>
    <n v="0"/>
    <n v="0"/>
    <n v="4393"/>
    <n v="0"/>
    <n v="0"/>
    <n v="0"/>
    <n v="0"/>
    <n v="0"/>
    <n v="0"/>
    <n v="0"/>
  </r>
  <r>
    <s v="Exportacion Directa1023055"/>
    <x v="0"/>
    <x v="4"/>
    <n v="1023055"/>
    <s v="GO Lom Vet M@ Fi Cj Lom Vet AP"/>
    <s v="Lomo"/>
    <s v="Lomo Vetado"/>
    <n v="1384"/>
    <n v="0"/>
    <n v="0.87158319035419651"/>
    <n v="1206.271135450208"/>
    <n v="3616"/>
    <n v="0"/>
    <n v="0"/>
    <n v="4822.271135450208"/>
    <n v="10000"/>
    <n v="3500"/>
    <n v="3500"/>
    <n v="0"/>
    <n v="3500"/>
    <n v="1322.271135450208"/>
    <n v="0"/>
    <n v="0"/>
    <n v="0"/>
    <n v="1322.271135450208"/>
    <n v="0"/>
    <n v="0"/>
    <n v="0"/>
    <n v="0"/>
    <n v="0"/>
    <n v="3500"/>
    <n v="0"/>
    <n v="3500"/>
    <n v="0"/>
    <n v="3500"/>
    <n v="3500"/>
    <n v="0"/>
    <n v="0"/>
    <m/>
    <s v="Si"/>
    <n v="3500"/>
    <n v="3500"/>
    <n v="0"/>
    <d v="2022-08-27T00:00:00"/>
    <n v="3.3876708917926774"/>
    <n v="3.4865977499999992"/>
    <n v="3.4865977499999992"/>
    <n v="12203.092124999997"/>
    <n v="3.3876708917926774"/>
    <n v="2.9202027400888373E-2"/>
    <n v="3.4865977499999992"/>
    <n v="3.4865977499999992"/>
    <m/>
    <s v="OK"/>
    <s v="OK"/>
    <n v="0"/>
    <n v="0"/>
    <n v="5000"/>
    <n v="7000"/>
    <n v="5000"/>
    <n v="3500"/>
    <n v="0"/>
    <n v="0"/>
    <n v="9981"/>
    <n v="25759"/>
    <n v="17599"/>
    <n v="11967"/>
    <m/>
    <n v="177.72886454979204"/>
    <n v="1500"/>
    <n v="0"/>
    <n v="0"/>
    <n v="1500"/>
    <n v="0"/>
    <n v="0"/>
    <n v="0"/>
    <n v="0"/>
    <n v="0"/>
    <n v="1384"/>
    <n v="0"/>
  </r>
  <r>
    <s v="Exportacion Directa1023163"/>
    <x v="0"/>
    <x v="4"/>
    <n v="1023163"/>
    <s v="GO Lom Vet &gt;2.0@ Fi Cj 8k AP"/>
    <s v="Lomo"/>
    <s v="Lomo Vetado"/>
    <n v="27526"/>
    <n v="25000"/>
    <n v="0.87158319035419651"/>
    <n v="23991.198897689614"/>
    <n v="23427"/>
    <n v="5162.4898641656464"/>
    <n v="0"/>
    <n v="52064.439775438688"/>
    <n v="30000"/>
    <n v="5000"/>
    <n v="30000"/>
    <n v="-11080"/>
    <n v="18920"/>
    <n v="33144.439775438688"/>
    <n v="30000"/>
    <n v="-16620"/>
    <n v="13380"/>
    <n v="19764.439775438688"/>
    <n v="0"/>
    <n v="0"/>
    <n v="0"/>
    <n v="0"/>
    <n v="45000"/>
    <n v="60000"/>
    <n v="0"/>
    <n v="18920"/>
    <n v="41080"/>
    <n v="32300"/>
    <n v="18920"/>
    <n v="13380"/>
    <s v="Por atraso en ciertos productos del mix"/>
    <m/>
    <s v="Si"/>
    <n v="32300"/>
    <n v="23427"/>
    <n v="8873"/>
    <d v="2022-08-27T00:00:00"/>
    <n v="3.6720000000000002"/>
    <n v="3.7861838873333333"/>
    <n v="3.7388841841593394"/>
    <n v="120765.95914834666"/>
    <n v="3.4878734613363798"/>
    <n v="7.1966694206499343E-2"/>
    <n v="3.7388841841593394"/>
    <n v="3.7388841841593394"/>
    <m/>
    <s v="OK"/>
    <s v="OK"/>
    <n v="15000"/>
    <n v="7000"/>
    <n v="4000"/>
    <n v="20000"/>
    <n v="15000"/>
    <n v="36000"/>
    <n v="65452.199099999998"/>
    <n v="28910"/>
    <n v="15584"/>
    <n v="76644"/>
    <n v="56279"/>
    <n v="128621"/>
    <m/>
    <n v="3534.8011023103868"/>
    <n v="23299.240877749075"/>
    <n v="25000"/>
    <n v="21789.579758854914"/>
    <n v="45088.820636603989"/>
    <n v="3210.420241145086"/>
    <n v="20000"/>
    <n v="17431.663807083929"/>
    <n v="20642.084048229015"/>
    <n v="2568.336192916071"/>
    <n v="27526"/>
    <n v="0"/>
  </r>
  <r>
    <s v="Exportacion Directa1023194"/>
    <x v="0"/>
    <x v="4"/>
    <n v="1023194"/>
    <s v="GO Cne Falda Panc@ Bo Cj AP"/>
    <s v="Panceta"/>
    <s v="Panceta s/Cuero"/>
    <n v="9298"/>
    <n v="10000"/>
    <n v="0.87158319035419651"/>
    <n v="8103.9805039133189"/>
    <n v="13307"/>
    <n v="5345"/>
    <n v="4500"/>
    <n v="21721.480503913321"/>
    <n v="13500"/>
    <n v="2000"/>
    <n v="13500"/>
    <n v="-4432"/>
    <n v="9068"/>
    <n v="12653.480503913321"/>
    <n v="12000"/>
    <n v="-2216"/>
    <n v="9784"/>
    <n v="2869.4805039133207"/>
    <n v="0"/>
    <n v="0"/>
    <n v="0"/>
    <n v="0"/>
    <n v="13500"/>
    <n v="25500"/>
    <n v="0"/>
    <n v="9068"/>
    <n v="16432"/>
    <n v="18852"/>
    <n v="9068"/>
    <n v="9784"/>
    <s v="Por atraso en ciertos productos del mix"/>
    <m/>
    <s v="Si"/>
    <n v="18852"/>
    <n v="13307"/>
    <n v="5545"/>
    <d v="2022-08-27T00:00:00"/>
    <n v="2.88"/>
    <n v="2.97845876111111"/>
    <n v="2.9273596459662397"/>
    <n v="55186.584045755553"/>
    <n v="2.9266386969017866"/>
    <n v="2.463403033713369E-4"/>
    <n v="2.9273596459662397"/>
    <n v="2.9273596459662397"/>
    <s v="2,9 precio promedio entre dos ultimas propuestas"/>
    <s v="OK"/>
    <s v="OK"/>
    <n v="9000"/>
    <n v="5000"/>
    <n v="6000"/>
    <n v="12000"/>
    <n v="7000"/>
    <n v="12000"/>
    <n v="31228.744600000002"/>
    <n v="16284"/>
    <n v="19454"/>
    <n v="38303"/>
    <n v="21812"/>
    <n v="35498"/>
    <m/>
    <n v="1194.0194960866809"/>
    <n v="4063.5000000000018"/>
    <n v="10000"/>
    <n v="8715.8319035419645"/>
    <n v="12779.331903541966"/>
    <n v="1284.1680964580355"/>
    <n v="10000"/>
    <n v="8715.8319035419645"/>
    <n v="10000"/>
    <n v="1284.1680964580355"/>
    <n v="9298"/>
    <n v="0"/>
  </r>
  <r>
    <s v="Exportacion Directa1023301"/>
    <x v="0"/>
    <x v="4"/>
    <n v="1023301"/>
    <s v="GO CC Loin LL@ Bo Cj Lom Mad AP"/>
    <s v="Lomo"/>
    <s v="Lomo CC Loin"/>
    <n v="1331"/>
    <n v="0"/>
    <n v="0.87158319035419651"/>
    <n v="1160.0772263614356"/>
    <n v="23320"/>
    <n v="5094.9000000000005"/>
    <n v="0"/>
    <n v="29065.487226361434"/>
    <n v="23500"/>
    <n v="23500"/>
    <n v="23500"/>
    <n v="0"/>
    <n v="23500"/>
    <n v="5565.4872263614343"/>
    <n v="0"/>
    <n v="0"/>
    <n v="0"/>
    <n v="5565.4872263614343"/>
    <n v="0"/>
    <n v="0"/>
    <n v="0"/>
    <n v="0"/>
    <n v="23500"/>
    <n v="23500"/>
    <n v="0"/>
    <n v="23500"/>
    <n v="0"/>
    <n v="23500"/>
    <n v="23500"/>
    <n v="0"/>
    <s v="Por atraso en ciertos productos del mix"/>
    <m/>
    <s v="Si"/>
    <n v="23500"/>
    <n v="23320"/>
    <n v="180"/>
    <d v="2022-08-27T00:00:00"/>
    <n v="3.6024392572425428"/>
    <n v="3.6380178340425502"/>
    <n v="3.6380178340425502"/>
    <n v="85493.419099999926"/>
    <n v="3.6024392572425428"/>
    <n v="9.8762461375242593E-3"/>
    <n v="3.6380178340425502"/>
    <n v="3.6380178340425502"/>
    <m/>
    <s v="OK"/>
    <s v="OK"/>
    <n v="60000"/>
    <n v="70000"/>
    <n v="35000"/>
    <n v="23500"/>
    <n v="23500"/>
    <n v="30000"/>
    <n v="249969.11989999999"/>
    <n v="294283"/>
    <n v="148549"/>
    <n v="96585"/>
    <n v="90551"/>
    <n v="111333"/>
    <m/>
    <n v="170.92277363856445"/>
    <n v="5736.4099999999989"/>
    <n v="34999.999899999995"/>
    <n v="30505.411575238555"/>
    <n v="36241.821575238551"/>
    <n v="4494.5883247614402"/>
    <n v="52172.951999999997"/>
    <n v="45473.067954356353"/>
    <n v="49967.656279117793"/>
    <n v="6699.8840456436446"/>
    <n v="1331"/>
    <n v="0"/>
  </r>
  <r>
    <s v="Exportacion Directa1023349"/>
    <x v="0"/>
    <x v="4"/>
    <n v="1023349"/>
    <s v="GO Lom Tecla VP@ Cj Lom Ctro"/>
    <s v="Lomo"/>
    <s v="Lomo Centro"/>
    <n v="12866"/>
    <n v="5000"/>
    <n v="0.87158319035419651"/>
    <n v="11213.789327097093"/>
    <n v="9171"/>
    <n v="611.17269231705757"/>
    <n v="7500"/>
    <n v="13434.844750182445"/>
    <n v="5000"/>
    <n v="2500"/>
    <n v="5000"/>
    <n v="0"/>
    <n v="5000"/>
    <n v="8434.8447501824448"/>
    <n v="7500"/>
    <n v="0"/>
    <n v="7500"/>
    <n v="934.84475018244484"/>
    <n v="0"/>
    <n v="0"/>
    <n v="0"/>
    <n v="0"/>
    <n v="10000"/>
    <n v="12500"/>
    <n v="0"/>
    <n v="5000"/>
    <n v="7500"/>
    <n v="12500"/>
    <n v="5000"/>
    <n v="7500"/>
    <n v="0"/>
    <m/>
    <s v="Si"/>
    <n v="12500"/>
    <n v="9171"/>
    <n v="3329"/>
    <d v="2022-08-27T00:00:00"/>
    <n v="3.7440000000000002"/>
    <n v="3.7015324399999998"/>
    <n v="3.7270129759999997"/>
    <n v="46587.662199999999"/>
    <n v="3.7402780874156649"/>
    <n v="3.5465575301195621E-3"/>
    <n v="3.7270129759999997"/>
    <n v="3.7270129759999997"/>
    <m/>
    <s v="OK"/>
    <s v="OK"/>
    <n v="0"/>
    <n v="0"/>
    <n v="2000"/>
    <n v="5000"/>
    <n v="7500"/>
    <n v="12500"/>
    <n v="0"/>
    <n v="0"/>
    <n v="8694"/>
    <n v="20882"/>
    <n v="30493"/>
    <n v="47061"/>
    <m/>
    <n v="1652.2106729029076"/>
    <n v="2587.0554230853522"/>
    <n v="5000"/>
    <n v="4357.9159517709822"/>
    <n v="6944.9713748563345"/>
    <n v="642.08404822901775"/>
    <n v="5000"/>
    <n v="4357.9159517709822"/>
    <n v="5000"/>
    <n v="642.08404822901775"/>
    <n v="12866"/>
    <n v="0"/>
  </r>
  <r>
    <s v="Exportacion Directa1023350"/>
    <x v="0"/>
    <x v="4"/>
    <n v="1023350"/>
    <s v="Lom Vet &gt;2.0@ VP Cj Lom Vet AP"/>
    <s v="Lomo"/>
    <s v="Lomo Vetado"/>
    <n v="15398"/>
    <n v="20000"/>
    <n v="0.87158319035419651"/>
    <n v="13420.637965073918"/>
    <n v="13910"/>
    <n v="12451.553339192336"/>
    <n v="5000"/>
    <n v="33537.035970347017"/>
    <n v="20000"/>
    <n v="5000"/>
    <n v="20000"/>
    <n v="-11080"/>
    <n v="8920"/>
    <n v="24617.035970347017"/>
    <n v="20000"/>
    <n v="-16620"/>
    <n v="3380"/>
    <n v="21237.035970347017"/>
    <n v="0"/>
    <n v="0"/>
    <n v="0"/>
    <n v="0"/>
    <n v="35000"/>
    <n v="40000"/>
    <n v="0"/>
    <n v="8920"/>
    <n v="31080"/>
    <n v="12300"/>
    <n v="8920"/>
    <n v="3380"/>
    <s v="Por atraso en ciertos productos del mix"/>
    <m/>
    <s v="Si"/>
    <n v="12300"/>
    <n v="12300"/>
    <n v="0"/>
    <d v="2022-08-27T00:00:00"/>
    <n v="3.3839999999999999"/>
    <n v="3.5535312499999998"/>
    <n v="3.5069446138211378"/>
    <n v="43135.418749999997"/>
    <n v="3.3811098664638948"/>
    <n v="3.7216994515722787E-2"/>
    <n v="3.5069446138211378"/>
    <n v="3.5069446138211378"/>
    <m/>
    <s v="OK"/>
    <s v="OK"/>
    <n v="0"/>
    <n v="0"/>
    <n v="35000"/>
    <n v="15000"/>
    <n v="41143"/>
    <n v="26000"/>
    <n v="0"/>
    <n v="0"/>
    <n v="138326"/>
    <n v="56520"/>
    <n v="150241"/>
    <n v="88897"/>
    <m/>
    <n v="1977.3620349260821"/>
    <n v="23214.398005273099"/>
    <n v="20000"/>
    <n v="17431.663807083929"/>
    <n v="40646.061812357031"/>
    <n v="2568.336192916071"/>
    <n v="30000"/>
    <n v="26147.495710625895"/>
    <n v="28715.831903541966"/>
    <n v="3852.5042893741047"/>
    <n v="15398"/>
    <n v="0"/>
  </r>
  <r>
    <s v="Exportacion Directa1023351"/>
    <x v="0"/>
    <x v="4"/>
    <n v="1023351"/>
    <s v="GO Panc S/tec L @VP Cj AP"/>
    <s v="Panceta"/>
    <s v="Panceta s/Cuero"/>
    <n v="8327"/>
    <n v="5000"/>
    <n v="0.87158319035419651"/>
    <n v="7257.6732260793942"/>
    <n v="1260"/>
    <n v="11.868219998063868"/>
    <n v="0"/>
    <n v="8528.3546240776523"/>
    <n v="5000"/>
    <n v="10000"/>
    <n v="5000"/>
    <n v="0"/>
    <n v="5000"/>
    <n v="3528.3546240776523"/>
    <n v="0"/>
    <n v="0"/>
    <n v="0"/>
    <n v="3528.3546240776523"/>
    <n v="0"/>
    <n v="0"/>
    <n v="0"/>
    <n v="0"/>
    <n v="5000"/>
    <n v="5000"/>
    <n v="0"/>
    <n v="5000"/>
    <n v="0"/>
    <n v="5000"/>
    <n v="5000"/>
    <n v="0"/>
    <n v="0"/>
    <m/>
    <s v="Si"/>
    <n v="5000"/>
    <n v="1260"/>
    <n v="3740"/>
    <d v="2022-08-27T00:00:00"/>
    <n v="4.7519999999999998"/>
    <n v="4.2384909400000002"/>
    <n v="4.2384909400000002"/>
    <n v="21192.454700000002"/>
    <n v="4.2103815448219528"/>
    <n v="6.6762109036453176E-3"/>
    <n v="4.2384909400000002"/>
    <n v="4.2384909400000002"/>
    <m/>
    <s v="OK"/>
    <s v="OK"/>
    <n v="0"/>
    <n v="0"/>
    <n v="3000"/>
    <n v="8000"/>
    <n v="8214"/>
    <n v="5000"/>
    <n v="0"/>
    <n v="0"/>
    <n v="7484"/>
    <n v="37402"/>
    <n v="36664"/>
    <n v="20861"/>
    <m/>
    <n v="1069.3267739206055"/>
    <n v="4597.681397998258"/>
    <n v="0"/>
    <n v="0"/>
    <n v="4597.681397998258"/>
    <n v="0"/>
    <n v="0"/>
    <n v="0"/>
    <n v="0"/>
    <n v="0"/>
    <n v="8327"/>
    <n v="0"/>
  </r>
  <r>
    <s v="Exportacion Directa1023352"/>
    <x v="0"/>
    <x v="4"/>
    <n v="1023352"/>
    <s v="GO Panc Tec S/cue@ R VP Cj ch AP"/>
    <s v="Panceta"/>
    <s v="Panceta s/Cuero"/>
    <n v="26631"/>
    <n v="40000"/>
    <n v="0.87158319035419651"/>
    <n v="23211.131942322609"/>
    <n v="15606"/>
    <n v="34321.68572210722"/>
    <n v="12500"/>
    <n v="57206.649092219101"/>
    <n v="28000"/>
    <n v="6470.588235294118"/>
    <n v="28000"/>
    <n v="0"/>
    <n v="28000"/>
    <n v="29206.649092219101"/>
    <n v="25882.352941176472"/>
    <n v="-16620"/>
    <n v="9262.3529411764721"/>
    <n v="19944.296151042628"/>
    <n v="0"/>
    <n v="0"/>
    <n v="0"/>
    <n v="0"/>
    <n v="73294.117647058825"/>
    <n v="53882.352941176476"/>
    <n v="0"/>
    <n v="28000"/>
    <n v="25882.352941176476"/>
    <n v="37262.352941176476"/>
    <n v="28000"/>
    <n v="9262.3529411764757"/>
    <s v="Por atraso en ciertos productos del mix"/>
    <m/>
    <s v="Si"/>
    <n v="37262.352941176476"/>
    <n v="15606"/>
    <n v="21656.352941176476"/>
    <d v="2022-08-27T00:00:00"/>
    <n v="5.04"/>
    <n v="4.4167922974776781"/>
    <n v="4.571703870172346"/>
    <n v="170352.44315290439"/>
    <n v="4.3418110817669122"/>
    <n v="5.2948593127612152E-2"/>
    <n v="4.571703870172346"/>
    <n v="4.571703870172346"/>
    <m/>
    <s v="OK"/>
    <s v="OK"/>
    <n v="0"/>
    <n v="0"/>
    <n v="0"/>
    <n v="45000"/>
    <n v="118342"/>
    <n v="77647"/>
    <n v="0"/>
    <n v="0"/>
    <n v="0"/>
    <n v="217858"/>
    <n v="566146"/>
    <n v="344236"/>
    <m/>
    <n v="3419.8680576773927"/>
    <n v="23364.16420872002"/>
    <n v="0"/>
    <n v="0"/>
    <n v="23364.16420872002"/>
    <n v="0"/>
    <n v="48873.96"/>
    <n v="42597.721982043382"/>
    <n v="42597.721982043382"/>
    <n v="6276.2380179566171"/>
    <n v="26631"/>
    <n v="0"/>
  </r>
  <r>
    <s v="Agro Sudamerica1030224"/>
    <x v="1"/>
    <x v="0"/>
    <n v="1030224"/>
    <s v="PV Tru Larg@ Bo Cj 15k AS"/>
    <s v="Trutro"/>
    <s v="Trutro Largo"/>
    <n v="7249"/>
    <n v="24000"/>
    <n v="0.45719439678473212"/>
    <n v="3314.202182292523"/>
    <n v="10525"/>
    <n v="0"/>
    <n v="0"/>
    <n v="13839.202182292524"/>
    <n v="0"/>
    <n v="24000"/>
    <n v="0"/>
    <n v="0"/>
    <n v="0"/>
    <n v="13839.202182292524"/>
    <n v="0"/>
    <n v="0"/>
    <n v="0"/>
    <n v="13839.202182292524"/>
    <n v="0"/>
    <n v="0"/>
    <n v="0"/>
    <n v="0"/>
    <n v="72000"/>
    <n v="0"/>
    <n v="0"/>
    <n v="0"/>
    <n v="0"/>
    <n v="0"/>
    <n v="0"/>
    <n v="0"/>
    <n v="0"/>
    <m/>
    <s v="No"/>
    <n v="0"/>
    <n v="0"/>
    <n v="0"/>
    <d v="2022-08-16T00:00:00"/>
    <n v="2.1900416666666702"/>
    <n v="0"/>
    <n v="0"/>
    <n v="0"/>
    <n v="2.1436888501196272"/>
    <s v="No Aplica"/>
    <n v="0"/>
    <n v="0"/>
    <m/>
    <s v="OK"/>
    <s v="OK"/>
    <n v="48000"/>
    <n v="72000"/>
    <n v="48000"/>
    <n v="48000"/>
    <n v="48000"/>
    <n v="168009"/>
    <n v="96960"/>
    <n v="151019"/>
    <n v="91200"/>
    <n v="89040"/>
    <n v="96480"/>
    <n v="363684"/>
    <m/>
    <n v="3934.7978177074774"/>
    <n v="17774"/>
    <n v="0"/>
    <n v="0"/>
    <n v="17774"/>
    <n v="0"/>
    <n v="0"/>
    <n v="0"/>
    <n v="0"/>
    <n v="0"/>
    <n v="7249"/>
    <n v="0"/>
  </r>
  <r>
    <s v="Agro Sudamerica1030332"/>
    <x v="1"/>
    <x v="0"/>
    <n v="1030332"/>
    <s v="PV Tru Ala@ Ex Bo Cj AS"/>
    <s v="Ala"/>
    <s v="Ala Trutro"/>
    <n v="0"/>
    <n v="38160"/>
    <n v="0.45719439678473212"/>
    <n v="0"/>
    <n v="40160"/>
    <n v="0"/>
    <n v="0"/>
    <n v="40160"/>
    <n v="0"/>
    <n v="24000"/>
    <n v="0"/>
    <n v="0"/>
    <n v="0"/>
    <n v="40160"/>
    <n v="24000"/>
    <n v="-24000"/>
    <n v="0"/>
    <n v="40160"/>
    <n v="0"/>
    <n v="0"/>
    <n v="0"/>
    <n v="0"/>
    <n v="24000"/>
    <n v="24000"/>
    <n v="0"/>
    <n v="0"/>
    <n v="24000"/>
    <n v="0"/>
    <n v="0"/>
    <n v="0"/>
    <n v="0"/>
    <m/>
    <s v="No"/>
    <n v="0"/>
    <n v="0"/>
    <n v="0"/>
    <d v="2022-08-16T00:00:00"/>
    <n v="1.5866614255765199"/>
    <n v="0"/>
    <n v="0"/>
    <n v="0"/>
    <n v="1.4441284166666668"/>
    <s v="No Aplica"/>
    <n v="0"/>
    <n v="0"/>
    <m/>
    <s v="OK"/>
    <s v="OK"/>
    <n v="48000"/>
    <n v="168000"/>
    <n v="72000"/>
    <n v="48000"/>
    <n v="48000"/>
    <n v="0"/>
    <n v="72000"/>
    <n v="251769"/>
    <n v="111840"/>
    <n v="64800"/>
    <n v="72000"/>
    <n v="0"/>
    <m/>
    <n v="0"/>
    <n v="40160"/>
    <n v="72000"/>
    <n v="32917.996568500712"/>
    <n v="73077.996568500705"/>
    <n v="39082.003431499288"/>
    <n v="72000"/>
    <n v="32917.996568500712"/>
    <n v="72000"/>
    <n v="39082.003431499288"/>
    <n v="0"/>
    <n v="0"/>
  </r>
  <r>
    <s v="Agro Sudamerica1030498"/>
    <x v="1"/>
    <x v="0"/>
    <n v="1030498"/>
    <s v="PV Contre@ Bo Cj 10k AS"/>
    <s v="Menudencias"/>
    <s v="Menudencias Contre"/>
    <n v="0"/>
    <n v="0"/>
    <n v="0.45719439678473212"/>
    <n v="0"/>
    <n v="24060"/>
    <n v="4630.0856103238402"/>
    <n v="0"/>
    <n v="28227.077049291456"/>
    <n v="0"/>
    <n v="24000"/>
    <n v="0"/>
    <n v="0"/>
    <n v="0"/>
    <n v="28227.077049291456"/>
    <n v="0"/>
    <n v="0"/>
    <n v="0"/>
    <n v="28227.077049291456"/>
    <n v="24000"/>
    <n v="-24000"/>
    <n v="0"/>
    <n v="0"/>
    <n v="0"/>
    <n v="24000"/>
    <n v="0"/>
    <n v="0"/>
    <n v="24000"/>
    <n v="0"/>
    <n v="0"/>
    <n v="0"/>
    <n v="0"/>
    <m/>
    <s v="No"/>
    <n v="0"/>
    <n v="0"/>
    <n v="0"/>
    <d v="2022-08-16T00:00:00"/>
    <n v="1.8314070833333331"/>
    <n v="0"/>
    <n v="0"/>
    <n v="0"/>
    <n v="1.8314070833333331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28227.077049291456"/>
    <n v="12000"/>
    <n v="5486.3327614167856"/>
    <n v="33713.409810708239"/>
    <n v="6513.6672385832144"/>
    <n v="12000"/>
    <n v="5486.3327614167856"/>
    <n v="12000"/>
    <n v="6513.6672385832144"/>
    <n v="0"/>
    <n v="0"/>
  </r>
  <r>
    <s v="Agro Sudamerica1030545"/>
    <x v="1"/>
    <x v="0"/>
    <n v="1030545"/>
    <s v="PV TruDeh Cort S/h S/p@ Bo Cj AS"/>
    <s v="Trutro Desh"/>
    <s v="Trutro Desh Corto"/>
    <n v="0"/>
    <n v="0"/>
    <n v="0.45719439678473212"/>
    <n v="0"/>
    <n v="13920"/>
    <n v="0"/>
    <n v="0"/>
    <n v="13920"/>
    <n v="24000"/>
    <n v="24000"/>
    <n v="0"/>
    <n v="0"/>
    <n v="0"/>
    <n v="13920"/>
    <n v="0"/>
    <n v="0"/>
    <n v="0"/>
    <n v="1392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4.4541144444444445"/>
    <n v="4.5999999999999996"/>
    <n v="0"/>
    <n v="0"/>
    <n v="4.4541144444444445"/>
    <s v="No Aplica"/>
    <n v="0"/>
    <n v="0"/>
    <m/>
    <s v="OK"/>
    <s v="OK"/>
    <n v="24000"/>
    <n v="48000"/>
    <n v="44000"/>
    <n v="24000"/>
    <n v="72000"/>
    <n v="0"/>
    <n v="102960"/>
    <n v="198670"/>
    <n v="190200"/>
    <n v="104400"/>
    <n v="308400"/>
    <n v="0"/>
    <m/>
    <n v="0"/>
    <n v="13920"/>
    <n v="0"/>
    <n v="0"/>
    <n v="13920"/>
    <n v="0"/>
    <n v="0"/>
    <n v="0"/>
    <n v="0"/>
    <n v="0"/>
    <n v="0"/>
    <n v="0"/>
  </r>
  <r>
    <s v="Agro Sudamerica1030670"/>
    <x v="1"/>
    <x v="0"/>
    <n v="1030670"/>
    <s v="PV PchDeh S/p c/f MA@ Cj 15k AS"/>
    <s v="Pech Desh"/>
    <s v="Pech Desh s/Piel"/>
    <n v="0"/>
    <n v="0"/>
    <n v="0.45719439678473212"/>
    <n v="0"/>
    <n v="24915"/>
    <n v="0"/>
    <n v="0"/>
    <n v="24915"/>
    <n v="0"/>
    <n v="24000"/>
    <n v="0"/>
    <n v="0"/>
    <n v="0"/>
    <n v="24915"/>
    <n v="0"/>
    <n v="0"/>
    <n v="0"/>
    <n v="24915"/>
    <n v="24000"/>
    <n v="-24000"/>
    <n v="0"/>
    <n v="0"/>
    <n v="48000"/>
    <n v="24000"/>
    <n v="0"/>
    <n v="0"/>
    <n v="24000"/>
    <n v="0"/>
    <n v="0"/>
    <n v="0"/>
    <n v="0"/>
    <m/>
    <s v="No"/>
    <n v="0"/>
    <n v="0"/>
    <n v="0"/>
    <d v="2022-08-16T00:00:00"/>
    <n v="9.7603943229166656"/>
    <n v="9.7603943229166656"/>
    <n v="0"/>
    <n v="0"/>
    <n v="9.7603943229166656"/>
    <s v="No Aplica"/>
    <n v="0"/>
    <n v="0"/>
    <m/>
    <s v="OK"/>
    <s v="OK"/>
    <n v="24000"/>
    <n v="96000"/>
    <n v="48000"/>
    <n v="72000"/>
    <n v="72000"/>
    <n v="48000"/>
    <n v="170400"/>
    <n v="703800"/>
    <n v="393280"/>
    <n v="579360"/>
    <n v="752400"/>
    <n v="572402"/>
    <m/>
    <n v="0"/>
    <n v="24915"/>
    <n v="0"/>
    <n v="0"/>
    <n v="24915"/>
    <n v="0"/>
    <n v="0"/>
    <n v="0"/>
    <n v="0"/>
    <n v="0"/>
    <n v="0"/>
    <n v="0"/>
  </r>
  <r>
    <s v="Agro Sudamerica1030720"/>
    <x v="1"/>
    <x v="0"/>
    <n v="1030720"/>
    <s v="PV Piel Tru@ Bo Cj AS"/>
    <s v="Recortes"/>
    <s v="Recortes Piel"/>
    <n v="0"/>
    <n v="0"/>
    <n v="0.45719439678473212"/>
    <n v="0"/>
    <n v="15056"/>
    <n v="6000"/>
    <n v="0"/>
    <n v="20456"/>
    <n v="0"/>
    <n v="24000"/>
    <n v="0"/>
    <n v="0"/>
    <n v="0"/>
    <n v="20456"/>
    <n v="0"/>
    <n v="0"/>
    <n v="0"/>
    <n v="20456"/>
    <n v="0"/>
    <n v="0"/>
    <n v="0"/>
    <n v="0"/>
    <n v="24000"/>
    <n v="0"/>
    <n v="0"/>
    <n v="0"/>
    <n v="0"/>
    <n v="0"/>
    <n v="0"/>
    <n v="0"/>
    <n v="0"/>
    <m/>
    <s v="No"/>
    <n v="0"/>
    <n v="0"/>
    <n v="0"/>
    <d v="2022-08-16T00:00:00"/>
    <n v="0.54548816690382662"/>
    <n v="0.54548816690382662"/>
    <n v="0"/>
    <n v="0"/>
    <n v="0.54548816690382662"/>
    <s v="No Aplica"/>
    <n v="0"/>
    <n v="0"/>
    <m/>
    <s v="OK"/>
    <s v="OK"/>
    <n v="0"/>
    <n v="24000"/>
    <n v="24000"/>
    <n v="28001"/>
    <n v="48000"/>
    <n v="24000"/>
    <n v="0"/>
    <n v="12000"/>
    <n v="12469"/>
    <n v="12880"/>
    <n v="22427"/>
    <n v="12960"/>
    <m/>
    <n v="0"/>
    <n v="20456"/>
    <n v="48000"/>
    <n v="21945.331045667142"/>
    <n v="42401.331045667146"/>
    <n v="26054.668954332858"/>
    <n v="24000"/>
    <n v="10972.665522833571"/>
    <n v="37027.334477166427"/>
    <n v="13027.334477166429"/>
    <n v="0"/>
    <n v="0"/>
  </r>
  <r>
    <s v="Agro Sudamerica1030732"/>
    <x v="1"/>
    <x v="0"/>
    <n v="1030732"/>
    <s v="PV PchDeh Mrps C/piel@ Cj 18k AS"/>
    <s v="Pech Desh"/>
    <s v="Pech Desh c/Piel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30739"/>
    <x v="1"/>
    <x v="0"/>
    <n v="1030739"/>
    <s v="PV MA Tru Ala@ Bo Cj 15k AS"/>
    <s v="Ala"/>
    <s v="Ala Trutro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30780"/>
    <x v="1"/>
    <x v="0"/>
    <n v="1030780"/>
    <s v="PV Pch Ent c/p s/m@ Bo Cj 20k AS"/>
    <s v="Pech"/>
    <s v="Pech Entera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super Asia1030309"/>
    <x v="1"/>
    <x v="1"/>
    <n v="1030309"/>
    <s v="PV Cog MA 15 kg@ Bo Cj 15k SO"/>
    <s v="Menudencias"/>
    <s v="Menudencias Cogote"/>
    <n v="0"/>
    <n v="0"/>
    <n v="0.45719439678473212"/>
    <n v="0"/>
    <n v="0"/>
    <n v="0"/>
    <n v="0"/>
    <n v="0"/>
    <n v="0"/>
    <n v="2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16000"/>
    <n v="0"/>
    <n v="22000"/>
    <n v="0"/>
    <n v="0"/>
    <n v="0"/>
    <n v="21120"/>
    <n v="0"/>
    <n v="28600"/>
    <n v="0"/>
    <n v="0"/>
    <n v="0"/>
    <m/>
    <n v="0"/>
    <n v="0"/>
    <n v="0"/>
    <n v="0"/>
    <n v="0"/>
    <n v="0"/>
    <n v="0"/>
    <n v="0"/>
    <n v="0"/>
    <n v="0"/>
    <n v="0"/>
    <n v="0"/>
  </r>
  <r>
    <s v="Agrosuper Asia1030535"/>
    <x v="1"/>
    <x v="1"/>
    <n v="1030535"/>
    <s v="PV Tru Larg MA@ Bo Cj SO"/>
    <s v="Trutro"/>
    <s v="Trutro Largo"/>
    <n v="0"/>
    <n v="0"/>
    <n v="0.45719439678473212"/>
    <n v="0"/>
    <n v="15062"/>
    <n v="0"/>
    <n v="0"/>
    <n v="15062"/>
    <n v="19500"/>
    <n v="22000"/>
    <n v="0"/>
    <n v="0"/>
    <n v="0"/>
    <n v="15062"/>
    <n v="0"/>
    <n v="0"/>
    <n v="0"/>
    <n v="15062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2.3429269807958581"/>
    <n v="2.6"/>
    <n v="0"/>
    <n v="0"/>
    <n v="2.3429269807958581"/>
    <s v="No Aplica"/>
    <n v="0"/>
    <n v="0"/>
    <m/>
    <s v="OK"/>
    <s v="OK"/>
    <n v="6000"/>
    <n v="0"/>
    <n v="28000"/>
    <n v="44000"/>
    <n v="43998"/>
    <n v="22000"/>
    <n v="12420"/>
    <n v="0"/>
    <n v="58940"/>
    <n v="104751"/>
    <n v="49774"/>
    <n v="50891"/>
    <m/>
    <n v="0"/>
    <n v="15062"/>
    <n v="0"/>
    <n v="0"/>
    <n v="15062"/>
    <n v="0"/>
    <n v="0"/>
    <n v="0"/>
    <n v="0"/>
    <n v="0"/>
    <n v="0"/>
    <n v="0"/>
  </r>
  <r>
    <s v="Agrosuper Asia1030542"/>
    <x v="1"/>
    <x v="1"/>
    <n v="1030542"/>
    <s v="PV PchDeh S/p S/f@ Bo Cj 15k SO"/>
    <s v="Pech Desh"/>
    <s v="Pech Desh s/Piel"/>
    <n v="0"/>
    <n v="0"/>
    <n v="0.45719439678473212"/>
    <n v="0"/>
    <n v="68910"/>
    <n v="0"/>
    <n v="0"/>
    <n v="68910"/>
    <n v="2500"/>
    <n v="24000"/>
    <n v="2500"/>
    <n v="0"/>
    <n v="2500"/>
    <n v="66410"/>
    <n v="0"/>
    <n v="0"/>
    <n v="0"/>
    <n v="66410"/>
    <n v="48000"/>
    <n v="0"/>
    <n v="48000"/>
    <n v="0"/>
    <n v="0"/>
    <n v="50500"/>
    <n v="0"/>
    <n v="2500"/>
    <n v="48000"/>
    <n v="50500"/>
    <n v="2500"/>
    <n v="48000"/>
    <n v="0"/>
    <m/>
    <s v="Si"/>
    <n v="50500"/>
    <n v="50500"/>
    <n v="0"/>
    <d v="2022-08-13T00:00:00"/>
    <n v="10.789915670759438"/>
    <n v="12.580466530612201"/>
    <n v="12.580466530612203"/>
    <n v="635313.5597959162"/>
    <n v="10.789915670759438"/>
    <n v="0.16594669638662138"/>
    <n v="12.580466530612203"/>
    <n v="12.580466530612203"/>
    <m/>
    <s v="OK"/>
    <s v="OK"/>
    <n v="0"/>
    <n v="0"/>
    <n v="0"/>
    <n v="0"/>
    <n v="0"/>
    <n v="0"/>
    <n v="0"/>
    <n v="0"/>
    <n v="0"/>
    <n v="0"/>
    <n v="0"/>
    <n v="0"/>
    <m/>
    <n v="0"/>
    <n v="66410"/>
    <n v="88000"/>
    <n v="40233.10691705643"/>
    <n v="106643.10691705643"/>
    <n v="47766.89308294357"/>
    <n v="88000"/>
    <n v="40233.10691705643"/>
    <n v="88000"/>
    <n v="47766.89308294357"/>
    <n v="0"/>
    <n v="0"/>
  </r>
  <r>
    <s v="Agro Sudamerica1010877"/>
    <x v="2"/>
    <x v="0"/>
    <n v="1010877"/>
    <s v="PO Molleja Mrps@ Cj 10k AS"/>
    <s v="Menudencias"/>
    <s v="Menudencias Contre"/>
    <n v="118400"/>
    <n v="96263"/>
    <n v="0.45719439678473212"/>
    <n v="54131.816579312283"/>
    <n v="32170"/>
    <n v="6660"/>
    <n v="0"/>
    <n v="92295.81657931229"/>
    <n v="52590"/>
    <n v="24000"/>
    <n v="52590"/>
    <n v="0"/>
    <n v="52590"/>
    <n v="39705.81657931229"/>
    <n v="24000"/>
    <n v="0"/>
    <n v="24000"/>
    <n v="15705.81657931229"/>
    <n v="0"/>
    <n v="0"/>
    <n v="0"/>
    <n v="0"/>
    <n v="148590"/>
    <n v="76590"/>
    <n v="0"/>
    <n v="52590"/>
    <n v="24000"/>
    <n v="76590"/>
    <n v="52590"/>
    <n v="24000"/>
    <n v="0"/>
    <m/>
    <s v="Si"/>
    <n v="76590"/>
    <n v="32170"/>
    <n v="44420"/>
    <d v="2022-08-16T00:00:00"/>
    <n v="1.08666881356284"/>
    <n v="1.0866246355166032"/>
    <n v="1.0866384790093526"/>
    <n v="76768.851525508246"/>
    <n v="1.0571972388923516"/>
    <n v="2.7848389150020126E-2"/>
    <n v="1.0023351811660561"/>
    <n v="1.0866384790093526"/>
    <m/>
    <s v="OK"/>
    <s v="OK"/>
    <n v="96000"/>
    <n v="123000"/>
    <n v="95960"/>
    <n v="48000"/>
    <n v="115000"/>
    <n v="162334"/>
    <n v="106278.39999999999"/>
    <n v="135580"/>
    <n v="95964"/>
    <n v="44149"/>
    <n v="123460"/>
    <n v="173356"/>
    <m/>
    <n v="64268.183420687725"/>
    <n v="79974.000000000015"/>
    <n v="108250"/>
    <n v="49491.293451947255"/>
    <n v="129465.29345194728"/>
    <n v="58758.706548052745"/>
    <n v="99350"/>
    <n v="45422.263320563135"/>
    <n v="104180.96986861588"/>
    <n v="53927.736679436865"/>
    <n v="118400"/>
    <n v="0"/>
  </r>
  <r>
    <s v="Agro Sudamerica1011042"/>
    <x v="2"/>
    <x v="0"/>
    <n v="1011042"/>
    <s v="PO Pta Espinaz@ Cj 10k AS"/>
    <s v="Cazuela"/>
    <s v="Cazuela Espinazo"/>
    <n v="0"/>
    <n v="0"/>
    <n v="0.45719439678473212"/>
    <n v="0"/>
    <n v="68160"/>
    <n v="0"/>
    <n v="0"/>
    <n v="68160"/>
    <n v="55410"/>
    <n v="24000"/>
    <n v="55410"/>
    <n v="0"/>
    <n v="55410"/>
    <n v="12750"/>
    <n v="0"/>
    <n v="0"/>
    <n v="0"/>
    <n v="12750"/>
    <n v="0"/>
    <n v="0"/>
    <n v="0"/>
    <n v="0"/>
    <n v="24000"/>
    <n v="55410"/>
    <n v="0"/>
    <n v="55410"/>
    <n v="0"/>
    <n v="55410"/>
    <n v="55410"/>
    <n v="0"/>
    <n v="0"/>
    <m/>
    <s v="Si"/>
    <n v="55410"/>
    <n v="55410"/>
    <n v="0"/>
    <d v="2022-08-16T00:00:00"/>
    <n v="0.54709475221700576"/>
    <n v="0.68"/>
    <n v="0.68"/>
    <n v="36016.5"/>
    <n v="0.54709475221700576"/>
    <n v="0.24292912195633209"/>
    <n v="0.65"/>
    <n v="0.68"/>
    <m/>
    <s v="OK"/>
    <s v="OK"/>
    <n v="24000"/>
    <n v="0"/>
    <n v="23960"/>
    <n v="0"/>
    <n v="72000"/>
    <n v="36000"/>
    <n v="10800"/>
    <n v="0"/>
    <n v="9584"/>
    <n v="0"/>
    <n v="36177"/>
    <n v="20036"/>
    <m/>
    <n v="0"/>
    <n v="12750"/>
    <n v="96000"/>
    <n v="43890.662091334285"/>
    <n v="56640.662091334285"/>
    <n v="52109.337908665715"/>
    <n v="0"/>
    <n v="0"/>
    <n v="52109.337908665715"/>
    <n v="0"/>
    <n v="0"/>
    <n v="0"/>
  </r>
  <r>
    <s v="Agro Sudamerica1011047"/>
    <x v="2"/>
    <x v="0"/>
    <n v="1011047"/>
    <s v="PO PchDeh &gt;170g NMr@ Cj 10k SP"/>
    <s v="Pechuga Desh"/>
    <s v="Pechuga Desh s/Piel"/>
    <n v="0"/>
    <n v="0"/>
    <n v="0.45719439678473212"/>
    <n v="0"/>
    <n v="60"/>
    <n v="0"/>
    <n v="0"/>
    <n v="60"/>
    <n v="0"/>
    <n v="24000"/>
    <n v="0"/>
    <n v="0"/>
    <n v="0"/>
    <n v="60"/>
    <n v="0"/>
    <n v="0"/>
    <n v="0"/>
    <n v="6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60"/>
    <n v="0"/>
    <n v="0"/>
    <n v="60"/>
    <n v="0"/>
    <n v="0"/>
    <n v="0"/>
    <n v="0"/>
    <n v="0"/>
    <n v="0"/>
    <n v="0"/>
  </r>
  <r>
    <s v="Agro Sudamerica1011250"/>
    <x v="2"/>
    <x v="0"/>
    <n v="1011250"/>
    <s v="PO PchDeh NMr s/cal 4x10@ Cj 20k Am AS"/>
    <s v="Pechuga Desh"/>
    <s v="Pechuga Desh s/Piel"/>
    <n v="0"/>
    <n v="0"/>
    <n v="0.45719439678473212"/>
    <n v="0"/>
    <n v="1651"/>
    <n v="0"/>
    <n v="0"/>
    <n v="1651"/>
    <n v="0"/>
    <n v="24000"/>
    <n v="0"/>
    <n v="0"/>
    <n v="0"/>
    <n v="1651"/>
    <n v="0"/>
    <n v="0"/>
    <n v="0"/>
    <n v="165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1651"/>
    <n v="0"/>
    <n v="0"/>
    <n v="1651"/>
    <n v="0"/>
    <n v="0"/>
    <n v="0"/>
    <n v="0"/>
    <n v="0"/>
    <n v="0"/>
    <n v="0"/>
  </r>
  <r>
    <s v="Agro Sudamerica1011290"/>
    <x v="2"/>
    <x v="0"/>
    <n v="1011290"/>
    <s v="PO Pch Piel@ Cj 20k AS"/>
    <s v="Subprod"/>
    <s v="Subprod Piel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-0.1050591368323141"/>
    <n v="0"/>
    <n v="0"/>
    <n v="0"/>
    <n v="-0.1050591368323141"/>
    <s v="No Aplica"/>
    <n v="0"/>
    <n v="0"/>
    <m/>
    <s v="OK"/>
    <s v="OK"/>
    <n v="24000"/>
    <n v="23700"/>
    <n v="0"/>
    <n v="24000"/>
    <n v="0"/>
    <n v="8000"/>
    <n v="14800"/>
    <n v="14615"/>
    <n v="0"/>
    <n v="12000"/>
    <n v="0"/>
    <n v="3942"/>
    <m/>
    <n v="0"/>
    <n v="0"/>
    <n v="0"/>
    <n v="0"/>
    <n v="0"/>
    <n v="0"/>
    <n v="0"/>
    <n v="0"/>
    <n v="0"/>
    <n v="0"/>
    <n v="0"/>
    <n v="0"/>
  </r>
  <r>
    <s v="Agro Sudamerica1011421"/>
    <x v="2"/>
    <x v="0"/>
    <n v="1011421"/>
    <s v="PO Ppa Esp 50 Pim@ Cj 20k AS"/>
    <s v="Carne Recuperada"/>
    <s v="Carne Recuperada Pul"/>
    <n v="912643"/>
    <n v="826199"/>
    <n v="0.8"/>
    <n v="730114.4"/>
    <n v="219393"/>
    <n v="108000"/>
    <n v="0"/>
    <n v="1046707.4"/>
    <n v="596000"/>
    <n v="24000"/>
    <n v="596000"/>
    <n v="0"/>
    <n v="596000"/>
    <n v="450707.4"/>
    <n v="432000"/>
    <n v="0"/>
    <n v="432000"/>
    <n v="18707.400000000023"/>
    <n v="0"/>
    <n v="0"/>
    <n v="0"/>
    <n v="24000"/>
    <n v="908000"/>
    <n v="1052000"/>
    <n v="24000"/>
    <n v="596000"/>
    <n v="432000"/>
    <n v="1052000"/>
    <n v="596000"/>
    <n v="432000"/>
    <n v="0"/>
    <m/>
    <s v="Si"/>
    <n v="1028000"/>
    <n v="219393"/>
    <n v="808607"/>
    <d v="2022-08-16T00:00:00"/>
    <n v="0.91999990317102798"/>
    <n v="1.067787641236754"/>
    <n v="1.0070991404340983"/>
    <n v="956577.15443156636"/>
    <n v="0.94615263818406936"/>
    <n v="6.4415084617850116E-2"/>
    <n v="0.90929387303380838"/>
    <n v="1.0070991404340983"/>
    <m/>
    <s v="OK"/>
    <s v="OK"/>
    <n v="620000"/>
    <n v="696000"/>
    <n v="840000"/>
    <n v="720000"/>
    <n v="888000"/>
    <n v="647996"/>
    <n v="527000"/>
    <n v="487200"/>
    <n v="630000"/>
    <n v="562800"/>
    <n v="700080"/>
    <n v="639293"/>
    <m/>
    <n v="182528.59999999995"/>
    <n v="201235.99999999997"/>
    <n v="1000000"/>
    <n v="800000"/>
    <n v="1001236"/>
    <n v="200000"/>
    <n v="900000"/>
    <n v="720000"/>
    <n v="920000"/>
    <n v="180000"/>
    <n v="912643"/>
    <n v="0"/>
  </r>
  <r>
    <s v="Agro Sudamerica1011422"/>
    <x v="2"/>
    <x v="0"/>
    <n v="1011422"/>
    <s v="PO Pch Piel Pim 50 ppm@ Cj 14 AS"/>
    <s v="Subprod"/>
    <s v="Subprod Piel"/>
    <n v="0"/>
    <n v="1403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.58660014255167503"/>
    <n v="0"/>
    <n v="0"/>
    <n v="0"/>
    <n v="0"/>
    <s v="No Aplica"/>
    <n v="0"/>
    <n v="0"/>
    <m/>
    <s v="OK"/>
    <s v="OK"/>
    <n v="0"/>
    <n v="0"/>
    <n v="24000"/>
    <n v="0"/>
    <n v="0"/>
    <n v="0"/>
    <n v="0"/>
    <n v="0"/>
    <n v="12000"/>
    <n v="0"/>
    <n v="0"/>
    <n v="0"/>
    <m/>
    <n v="0"/>
    <n v="0"/>
    <n v="0"/>
    <n v="0"/>
    <n v="0"/>
    <n v="0"/>
    <n v="24000"/>
    <n v="10972.665522833571"/>
    <n v="10972.665522833571"/>
    <n v="13027.334477166429"/>
    <n v="0"/>
    <n v="0"/>
  </r>
  <r>
    <s v="Agro Sudamerica1011558"/>
    <x v="2"/>
    <x v="0"/>
    <n v="1011558"/>
    <s v="PO Ppa Esp@ 2 blo x 10k Cj AS"/>
    <s v="Carne Recuperada"/>
    <s v="Carne Recuperada Pul"/>
    <n v="96000"/>
    <n v="102583"/>
    <n v="0.8"/>
    <n v="76800"/>
    <n v="363111"/>
    <n v="0"/>
    <n v="0"/>
    <n v="439911"/>
    <n v="55000"/>
    <n v="24000"/>
    <n v="55000"/>
    <n v="0"/>
    <n v="55000"/>
    <n v="384911"/>
    <n v="384000"/>
    <n v="-190000"/>
    <n v="194000"/>
    <n v="190911"/>
    <n v="0"/>
    <n v="0"/>
    <n v="0"/>
    <n v="0"/>
    <n v="367000"/>
    <n v="439000"/>
    <n v="0"/>
    <n v="55000"/>
    <n v="384000"/>
    <n v="249000"/>
    <n v="55000"/>
    <n v="194000"/>
    <n v="0"/>
    <m/>
    <s v="Si"/>
    <n v="249000"/>
    <n v="249000"/>
    <n v="0"/>
    <d v="2022-08-16T00:00:00"/>
    <n v="0.93000789604515399"/>
    <n v="0.96350607314421466"/>
    <n v="0.93740709178992643"/>
    <n v="220889.64440527058"/>
    <n v="0.87728013195364896"/>
    <n v="6.8537924941236755E-2"/>
    <n v="0.88710700564365697"/>
    <n v="0.93740709178992643"/>
    <m/>
    <s v="OK"/>
    <s v="OK"/>
    <n v="192000"/>
    <n v="408000"/>
    <n v="288000"/>
    <n v="264000"/>
    <n v="168000"/>
    <n v="119997"/>
    <n v="172800"/>
    <n v="399280"/>
    <n v="225819"/>
    <n v="212400"/>
    <n v="115440"/>
    <n v="138381"/>
    <m/>
    <n v="19199.999999999996"/>
    <n v="210111"/>
    <n v="552000"/>
    <n v="441600"/>
    <n v="651711"/>
    <n v="110400"/>
    <n v="312000"/>
    <n v="249600"/>
    <n v="360000"/>
    <n v="62400"/>
    <n v="96000"/>
    <n v="0"/>
  </r>
  <r>
    <s v="Agro Sudamerica1011582"/>
    <x v="2"/>
    <x v="0"/>
    <n v="1011582"/>
    <s v="GA S/m@ Gr Cj bca AS"/>
    <s v="Reproductor"/>
    <s v="Reproductor Gallina"/>
    <n v="0"/>
    <n v="0"/>
    <n v="0.45719439678473212"/>
    <n v="0"/>
    <n v="15"/>
    <n v="0"/>
    <n v="0"/>
    <n v="15"/>
    <n v="0"/>
    <n v="24000"/>
    <n v="0"/>
    <n v="0"/>
    <n v="0"/>
    <n v="15"/>
    <n v="0"/>
    <n v="0"/>
    <n v="0"/>
    <n v="15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.9702636324027214"/>
    <n v="0"/>
    <n v="0"/>
    <n v="0"/>
    <n v="0.9702636324027214"/>
    <s v="No Aplica"/>
    <n v="0"/>
    <n v="0"/>
    <m/>
    <s v="OK"/>
    <s v="OK"/>
    <n v="24000"/>
    <n v="82000"/>
    <n v="60000"/>
    <n v="24000"/>
    <n v="46500"/>
    <n v="0"/>
    <n v="22240"/>
    <n v="79107"/>
    <n v="58200"/>
    <n v="19680"/>
    <n v="45105"/>
    <n v="0"/>
    <m/>
    <n v="0"/>
    <n v="15"/>
    <n v="0"/>
    <n v="0"/>
    <n v="15"/>
    <n v="0"/>
    <n v="35829.241999999998"/>
    <n v="16380.928683444188"/>
    <n v="16380.928683444188"/>
    <n v="19448.31331655581"/>
    <n v="0"/>
    <n v="0"/>
  </r>
  <r>
    <s v="Agro Sudamerica1011888"/>
    <x v="2"/>
    <x v="0"/>
    <n v="1011888"/>
    <s v="PO Piel de pollo@ CJ As"/>
    <s v="Subprod"/>
    <s v="Subprod Piel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11939"/>
    <x v="2"/>
    <x v="0"/>
    <n v="1011939"/>
    <s v="PO Tru Larg@ NNII Cj 15k"/>
    <s v="Trutro"/>
    <s v="Trutro Largo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12207"/>
    <x v="2"/>
    <x v="0"/>
    <n v="1012207"/>
    <s v="PO Ctre Mrps@ Bo 12x1k Cj AS"/>
    <s v="Menudencias"/>
    <s v="Menudencias Contre"/>
    <n v="0"/>
    <n v="0"/>
    <n v="0.45719439678473212"/>
    <n v="0"/>
    <n v="50436"/>
    <n v="31107"/>
    <n v="0"/>
    <n v="78432.3"/>
    <n v="24000"/>
    <n v="24000"/>
    <n v="24000"/>
    <n v="0"/>
    <n v="24000"/>
    <n v="54432.3"/>
    <n v="0"/>
    <n v="0"/>
    <n v="0"/>
    <n v="54432.3"/>
    <n v="48000"/>
    <n v="-30500"/>
    <n v="17500"/>
    <n v="0"/>
    <n v="24000"/>
    <n v="72000"/>
    <n v="0"/>
    <n v="24000"/>
    <n v="48000"/>
    <n v="41500"/>
    <n v="24000"/>
    <n v="17500"/>
    <n v="0"/>
    <m/>
    <s v="Si"/>
    <n v="41500"/>
    <n v="41500"/>
    <n v="0"/>
    <d v="2022-08-16T00:00:00"/>
    <n v="1.2563142474468441"/>
    <n v="1.20729166666667"/>
    <n v="1.20729166666667"/>
    <n v="27604.999999999996"/>
    <n v="1.2563142474468441"/>
    <n v="3.9020954255514217E-2"/>
    <n v="0.66518072289156616"/>
    <n v="1.20729166666667"/>
    <m/>
    <s v="OK"/>
    <s v="OK"/>
    <n v="24000"/>
    <n v="60000"/>
    <n v="55476"/>
    <n v="24000"/>
    <n v="48000"/>
    <n v="72000"/>
    <n v="31254.7673"/>
    <n v="73760"/>
    <n v="63571"/>
    <n v="22080"/>
    <n v="58667"/>
    <n v="90939"/>
    <m/>
    <n v="0"/>
    <n v="54432.3"/>
    <n v="44000"/>
    <n v="20116.553458528215"/>
    <n v="74548.853458528218"/>
    <n v="23883.446541471785"/>
    <n v="40500"/>
    <n v="18516.37306978165"/>
    <n v="42399.819611253435"/>
    <n v="21983.62693021835"/>
    <n v="0"/>
    <n v="0"/>
  </r>
  <r>
    <s v="Agro Sudamerica1012208"/>
    <x v="2"/>
    <x v="0"/>
    <n v="1012208"/>
    <s v="GA S/m@ Bo Cj AS"/>
    <s v="Reproductor"/>
    <s v="Reproductor Gallina"/>
    <n v="24000"/>
    <n v="6743"/>
    <n v="0.45719439678473212"/>
    <n v="10972.665522833571"/>
    <n v="31602"/>
    <n v="4000"/>
    <n v="0"/>
    <n v="46174.665522833573"/>
    <n v="48000"/>
    <n v="24000"/>
    <n v="24000"/>
    <n v="0"/>
    <n v="24000"/>
    <n v="22174.665522833573"/>
    <n v="0"/>
    <n v="0"/>
    <n v="0"/>
    <n v="22174.665522833573"/>
    <n v="0"/>
    <n v="0"/>
    <n v="0"/>
    <n v="0"/>
    <n v="24000"/>
    <n v="24000"/>
    <n v="0"/>
    <n v="24000"/>
    <n v="0"/>
    <n v="24000"/>
    <n v="24000"/>
    <n v="0"/>
    <n v="0"/>
    <m/>
    <s v="Si"/>
    <n v="24000"/>
    <n v="24000"/>
    <n v="0"/>
    <d v="2022-08-16T00:00:00"/>
    <n v="1.5312175589500201"/>
    <n v="1.5060833333333352"/>
    <n v="1.5060833333333352"/>
    <n v="33279.999999999993"/>
    <n v="1.4283910792944958"/>
    <n v="5.4391444447561783E-2"/>
    <n v="1.3866666666666663"/>
    <n v="1.5060833333333352"/>
    <m/>
    <s v="OK"/>
    <s v="OK"/>
    <n v="24000"/>
    <n v="120000"/>
    <n v="72000"/>
    <n v="0"/>
    <n v="24000"/>
    <n v="24000"/>
    <n v="34374.025999999998"/>
    <n v="172320"/>
    <n v="105840"/>
    <n v="0"/>
    <n v="34080"/>
    <n v="36052"/>
    <m/>
    <n v="13027.334477166431"/>
    <n v="35202"/>
    <n v="197523.37"/>
    <n v="90306.57799803745"/>
    <n v="125508.57799803745"/>
    <n v="107216.79200196255"/>
    <n v="416000"/>
    <n v="190192.86906244856"/>
    <n v="297409.66106441111"/>
    <n v="225807.13093755144"/>
    <n v="24000"/>
    <n v="0"/>
  </r>
  <r>
    <s v="Agro Sudamerica1012283"/>
    <x v="2"/>
    <x v="0"/>
    <n v="1012283"/>
    <s v="PO Pana S/Corazón@ Cj 20k AS"/>
    <s v="Menudencias"/>
    <s v="Menudencias Pana"/>
    <n v="48021"/>
    <n v="49802"/>
    <n v="0.45719439678473212"/>
    <n v="21954.932127999622"/>
    <n v="39188"/>
    <n v="0"/>
    <n v="0"/>
    <n v="61142.932127999622"/>
    <n v="23000"/>
    <n v="24000"/>
    <n v="23000"/>
    <n v="0"/>
    <n v="23000"/>
    <n v="38142.932127999622"/>
    <n v="24000"/>
    <n v="0"/>
    <n v="24000"/>
    <n v="14142.932127999622"/>
    <n v="0"/>
    <n v="0"/>
    <n v="0"/>
    <n v="0"/>
    <n v="47000"/>
    <n v="47000"/>
    <n v="0"/>
    <n v="23000"/>
    <n v="24000"/>
    <n v="47000"/>
    <n v="23000"/>
    <n v="24000"/>
    <n v="0"/>
    <m/>
    <s v="Si"/>
    <n v="47000"/>
    <n v="39188"/>
    <n v="7812"/>
    <d v="2022-08-16T00:00:00"/>
    <n v="0.786673611111111"/>
    <n v="0.852281437125749"/>
    <n v="0.81877956852252953"/>
    <n v="30550"/>
    <n v="0.83370492769172111"/>
    <n v="1.7902448064587333E-2"/>
    <n v="0.65"/>
    <n v="0.81877956852252953"/>
    <m/>
    <s v="OK"/>
    <s v="OK"/>
    <n v="72000"/>
    <n v="48000"/>
    <n v="60779"/>
    <n v="48000"/>
    <n v="48000"/>
    <n v="48000"/>
    <n v="50924.302000000003"/>
    <n v="34400"/>
    <n v="42545"/>
    <n v="36960"/>
    <n v="38133"/>
    <n v="38287"/>
    <m/>
    <n v="26066.067872000382"/>
    <n v="40209"/>
    <n v="42556"/>
    <n v="19456.364749571061"/>
    <n v="59665.364749571061"/>
    <n v="23099.635250428939"/>
    <n v="32333"/>
    <n v="14782.466431240744"/>
    <n v="37882.101681669679"/>
    <n v="17550.533568759256"/>
    <n v="48021"/>
    <n v="0"/>
  </r>
  <r>
    <s v="Agro Sudamerica1012362"/>
    <x v="2"/>
    <x v="0"/>
    <n v="1012362"/>
    <s v="PO Corazon@ Cj 18k AS"/>
    <s v="Menudencias"/>
    <s v="Menudencias Corazón"/>
    <n v="0"/>
    <n v="0"/>
    <n v="0.45719439678473212"/>
    <n v="0"/>
    <n v="66024"/>
    <n v="9020"/>
    <n v="0"/>
    <n v="74142"/>
    <n v="29000"/>
    <n v="24000"/>
    <n v="29000"/>
    <n v="0"/>
    <n v="29000"/>
    <n v="45142"/>
    <n v="0"/>
    <n v="0"/>
    <n v="0"/>
    <n v="45142"/>
    <n v="0"/>
    <n v="0"/>
    <n v="0"/>
    <n v="0"/>
    <n v="29000"/>
    <n v="29000"/>
    <n v="0"/>
    <n v="29000"/>
    <n v="0"/>
    <n v="29000"/>
    <n v="29000"/>
    <n v="0"/>
    <n v="0"/>
    <m/>
    <s v="Si"/>
    <n v="29000"/>
    <n v="29000"/>
    <n v="0"/>
    <d v="2022-08-16T00:00:00"/>
    <n v="0.76218269555862916"/>
    <n v="0.81251149310344795"/>
    <n v="0.81251149310344795"/>
    <n v="22620"/>
    <n v="0.76218269555862916"/>
    <n v="6.603245893418129E-2"/>
    <n v="0.78"/>
    <n v="0.81251149310344795"/>
    <m/>
    <s v="OK"/>
    <s v="OK"/>
    <n v="0"/>
    <n v="3000"/>
    <n v="0"/>
    <n v="0"/>
    <n v="13000"/>
    <n v="10000"/>
    <n v="0"/>
    <n v="1790"/>
    <n v="0"/>
    <n v="0"/>
    <n v="10310"/>
    <n v="7859"/>
    <m/>
    <n v="0"/>
    <n v="45142"/>
    <n v="0"/>
    <n v="0"/>
    <n v="45142"/>
    <n v="0"/>
    <n v="0"/>
    <n v="0"/>
    <n v="0"/>
    <n v="0"/>
    <n v="0"/>
    <n v="0"/>
  </r>
  <r>
    <s v="Agro Sudamerica1012552"/>
    <x v="2"/>
    <x v="0"/>
    <n v="1012552"/>
    <s v="PO PchDeh Random@ Cj 10k AS"/>
    <s v="Pechuga Desh"/>
    <s v="Pechuga Desh s/Piel"/>
    <n v="47900"/>
    <n v="48000"/>
    <n v="0.45719439678473212"/>
    <n v="21899.61160598867"/>
    <n v="41260"/>
    <n v="0"/>
    <n v="0"/>
    <n v="63159.61160598867"/>
    <n v="47000"/>
    <n v="24000"/>
    <n v="47000"/>
    <n v="0"/>
    <n v="47000"/>
    <n v="16159.61160598867"/>
    <n v="0"/>
    <n v="0"/>
    <n v="0"/>
    <n v="16159.61160598867"/>
    <n v="0"/>
    <n v="0"/>
    <n v="0"/>
    <n v="0"/>
    <n v="47000"/>
    <n v="47000"/>
    <n v="0"/>
    <n v="47000"/>
    <n v="0"/>
    <n v="47000"/>
    <n v="47000"/>
    <n v="0"/>
    <n v="0"/>
    <m/>
    <s v="Si"/>
    <n v="47000"/>
    <n v="41260"/>
    <n v="5740"/>
    <d v="2022-08-16T00:00:00"/>
    <n v="3.5"/>
    <n v="4.2734042553191491"/>
    <n v="4.2734042553191491"/>
    <n v="162150"/>
    <n v="4.4655941048034942"/>
    <n v="4.3037912755575496E-2"/>
    <n v="3.45"/>
    <n v="4.2734042553191491"/>
    <m/>
    <s v="OK"/>
    <s v="OK"/>
    <n v="48000"/>
    <n v="48000"/>
    <n v="48000"/>
    <n v="24000"/>
    <n v="72000"/>
    <n v="46000"/>
    <n v="168000"/>
    <n v="176400"/>
    <n v="194629"/>
    <n v="94080"/>
    <n v="321014"/>
    <n v="207000"/>
    <m/>
    <n v="26000.388394011334"/>
    <n v="42160"/>
    <n v="94000"/>
    <n v="42976.273297764819"/>
    <n v="85136.273297764827"/>
    <n v="51023.726702235181"/>
    <n v="94000"/>
    <n v="42976.273297764819"/>
    <n v="94000"/>
    <n v="51023.726702235181"/>
    <n v="47900"/>
    <n v="0"/>
  </r>
  <r>
    <s v="Agro Sudamerica1012556"/>
    <x v="2"/>
    <x v="0"/>
    <n v="1012556"/>
    <s v="PO CDM 14% proteina@ Cj 20k AS"/>
    <s v="Carne Recuperada"/>
    <s v="Carne Recuperada ADM"/>
    <n v="270907"/>
    <n v="240000"/>
    <n v="0.8"/>
    <n v="216725.6"/>
    <n v="31534"/>
    <n v="30000"/>
    <n v="0"/>
    <n v="275259.59999999998"/>
    <n v="148000"/>
    <n v="24000"/>
    <n v="148000"/>
    <n v="0"/>
    <n v="148000"/>
    <n v="127259.59999999998"/>
    <n v="120000"/>
    <n v="0"/>
    <n v="120000"/>
    <n v="7259.5999999999767"/>
    <n v="0"/>
    <n v="0"/>
    <n v="0"/>
    <n v="0"/>
    <n v="220000"/>
    <n v="268000"/>
    <n v="0"/>
    <n v="148000"/>
    <n v="120000"/>
    <n v="268000"/>
    <n v="148000"/>
    <n v="120000"/>
    <n v="0"/>
    <m/>
    <s v="Si"/>
    <n v="268000"/>
    <n v="31534"/>
    <n v="236466"/>
    <d v="2022-08-16T00:00:00"/>
    <n v="1"/>
    <n v="1.1676406040816301"/>
    <n v="1.092577647030154"/>
    <n v="260027.4375"/>
    <n v="1.0462301833087406"/>
    <n v="4.4299490170354179E-2"/>
    <n v="0.97025163246268653"/>
    <n v="1.092577647030154"/>
    <m/>
    <s v="OK"/>
    <s v="OK"/>
    <n v="0"/>
    <n v="0"/>
    <n v="24000"/>
    <n v="72000"/>
    <n v="48000"/>
    <n v="0"/>
    <n v="0"/>
    <n v="0"/>
    <n v="18950"/>
    <n v="57600"/>
    <n v="38400"/>
    <n v="0"/>
    <m/>
    <n v="54181.399999999987"/>
    <n v="61440.999999999964"/>
    <n v="252000"/>
    <n v="201600"/>
    <n v="263040.99999999994"/>
    <n v="50400"/>
    <n v="228000"/>
    <n v="182400"/>
    <n v="232800"/>
    <n v="45600"/>
    <n v="270907"/>
    <n v="0"/>
  </r>
  <r>
    <s v="Agro Sudamerica1012602"/>
    <x v="2"/>
    <x v="0"/>
    <n v="1012602"/>
    <s v="PO Ala Ctro NMr IQF@ Cj 20k AS"/>
    <s v="Ala"/>
    <s v="Ala Centro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12698"/>
    <x v="2"/>
    <x v="0"/>
    <n v="1012698"/>
    <s v="PO File 4x10 NMr SD@ CJ AS"/>
    <s v="Filete"/>
    <s v="Filete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.92774166666666658"/>
    <n v="0"/>
    <n v="0"/>
    <n v="0"/>
    <n v="0.92774166666666658"/>
    <s v="No Aplica"/>
    <n v="0"/>
    <n v="0"/>
    <m/>
    <s v="OK"/>
    <s v="OK"/>
    <n v="0"/>
    <n v="0"/>
    <n v="80"/>
    <n v="0"/>
    <n v="0"/>
    <n v="0"/>
    <n v="0"/>
    <n v="0"/>
    <n v="480"/>
    <n v="0"/>
    <n v="0"/>
    <n v="0"/>
    <m/>
    <n v="0"/>
    <n v="0"/>
    <n v="0"/>
    <n v="0"/>
    <n v="0"/>
    <n v="0"/>
    <n v="0"/>
    <n v="0"/>
    <n v="0"/>
    <n v="0"/>
    <n v="0"/>
    <n v="0"/>
  </r>
  <r>
    <s v="Agro Sudamerica1012699"/>
    <x v="2"/>
    <x v="0"/>
    <n v="1012699"/>
    <s v="PO Tru- Ctro Ala 4x10NMr@Bo Cj 20k SD"/>
    <s v="Ala"/>
    <s v="Ala Trutro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.92774166666666658"/>
    <n v="0"/>
    <n v="0"/>
    <n v="0"/>
    <n v="0.92774166666666658"/>
    <s v="No Aplica"/>
    <n v="0"/>
    <n v="0"/>
    <m/>
    <s v="OK"/>
    <s v="OK"/>
    <n v="0"/>
    <n v="0"/>
    <n v="80"/>
    <n v="0"/>
    <n v="0"/>
    <n v="0"/>
    <n v="0"/>
    <n v="0"/>
    <n v="520"/>
    <n v="0"/>
    <n v="0"/>
    <n v="0"/>
    <m/>
    <n v="0"/>
    <n v="0"/>
    <n v="0"/>
    <n v="0"/>
    <n v="0"/>
    <n v="0"/>
    <n v="0"/>
    <n v="0"/>
    <n v="0"/>
    <n v="0"/>
    <n v="0"/>
    <n v="0"/>
  </r>
  <r>
    <s v="Agro Sudamerica1012719"/>
    <x v="2"/>
    <x v="0"/>
    <n v="1012719"/>
    <s v="PO Ppa Esp@ 2 Blox10kg CJ AS SD"/>
    <s v="Carne Recuperada"/>
    <s v="Carne Recuperada ADM"/>
    <n v="348886"/>
    <n v="434000"/>
    <n v="0.8"/>
    <n v="279108.8"/>
    <n v="35516"/>
    <n v="78450"/>
    <n v="0"/>
    <n v="385229.8"/>
    <n v="45880"/>
    <n v="24000"/>
    <n v="45880"/>
    <n v="-24000"/>
    <n v="21880"/>
    <n v="363349.8"/>
    <n v="360000"/>
    <n v="-264000"/>
    <n v="96000"/>
    <n v="267349.8"/>
    <n v="0"/>
    <n v="0"/>
    <n v="0"/>
    <n v="0"/>
    <n v="381880"/>
    <n v="405880"/>
    <n v="0"/>
    <n v="21880"/>
    <n v="384000"/>
    <n v="117880"/>
    <n v="21880"/>
    <n v="96000"/>
    <n v="0"/>
    <m/>
    <s v="Si"/>
    <n v="117880"/>
    <n v="35516"/>
    <n v="82364"/>
    <d v="2022-08-16T00:00:00"/>
    <n v="0.92"/>
    <n v="0.60986732532150889"/>
    <n v="0.86243550286761639"/>
    <n v="103005.90632432527"/>
    <n v="0.62570987931720246"/>
    <n v="0.37833128639224556"/>
    <n v="0.87382004007741154"/>
    <n v="0.86243550286761639"/>
    <m/>
    <s v="OK"/>
    <s v="OK"/>
    <n v="192000"/>
    <n v="423600"/>
    <n v="357200"/>
    <n v="144000"/>
    <n v="358600"/>
    <n v="24000"/>
    <n v="134400"/>
    <n v="285844"/>
    <n v="241660"/>
    <n v="80640"/>
    <n v="251432"/>
    <n v="16965"/>
    <s v="revisar"/>
    <n v="69777.199999999983"/>
    <n v="337127"/>
    <n v="418551.72"/>
    <n v="334841.37599999999"/>
    <n v="671968.37599999993"/>
    <n v="83710.343999999983"/>
    <n v="0"/>
    <n v="0"/>
    <n v="83710.343999999983"/>
    <n v="0"/>
    <n v="348886"/>
    <n v="0"/>
  </r>
  <r>
    <s v="Agro Sudamerica1012744"/>
    <x v="2"/>
    <x v="0"/>
    <n v="1012744"/>
    <s v="PO Pch Deh NMr@SD Cj 20kg AS"/>
    <s v="Pechuga Desh"/>
    <s v="Pechuga Desh s/Piel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3.3862169089258183"/>
    <n v="0"/>
    <n v="0"/>
    <n v="0"/>
    <n v="3.3862169089258183"/>
    <s v="No Aplica"/>
    <n v="0"/>
    <n v="0"/>
    <m/>
    <s v="OK"/>
    <s v="OK"/>
    <n v="0"/>
    <n v="143000"/>
    <n v="72000"/>
    <n v="24000"/>
    <n v="24000"/>
    <n v="0"/>
    <n v="0"/>
    <n v="487469"/>
    <n v="249600"/>
    <n v="78000"/>
    <n v="81600"/>
    <n v="0"/>
    <m/>
    <n v="0"/>
    <n v="0"/>
    <n v="0"/>
    <n v="0"/>
    <n v="0"/>
    <n v="0"/>
    <n v="0"/>
    <n v="0"/>
    <n v="0"/>
    <n v="0"/>
    <n v="0"/>
    <n v="0"/>
  </r>
  <r>
    <s v="Agro Sudamerica1012763"/>
    <x v="2"/>
    <x v="0"/>
    <n v="1012763"/>
    <s v="PO Pana S/cora blo@Cj 20kg AS"/>
    <s v="Menudencias"/>
    <s v="Menudencias Pana"/>
    <n v="63748"/>
    <n v="48000"/>
    <n v="0.45719439678473212"/>
    <n v="29145.228406233102"/>
    <n v="15895"/>
    <n v="15000"/>
    <n v="0"/>
    <n v="58540.228406233102"/>
    <n v="48000"/>
    <n v="24000"/>
    <n v="48000"/>
    <n v="0"/>
    <n v="48000"/>
    <n v="10540.228406233102"/>
    <n v="0"/>
    <n v="0"/>
    <n v="0"/>
    <n v="10540.228406233102"/>
    <n v="0"/>
    <n v="0"/>
    <n v="0"/>
    <n v="0"/>
    <n v="48000"/>
    <n v="48000"/>
    <n v="0"/>
    <n v="48000"/>
    <n v="0"/>
    <n v="48000"/>
    <n v="48000"/>
    <n v="0"/>
    <n v="0"/>
    <m/>
    <s v="Si"/>
    <n v="48000"/>
    <n v="15895"/>
    <n v="32105"/>
    <d v="2022-08-16T00:00:00"/>
    <n v="0.76666666666666705"/>
    <n v="0.92248611111111101"/>
    <n v="0.92248611111111101"/>
    <n v="29120"/>
    <n v="0.74222288988175678"/>
    <n v="0.2428693909697017"/>
    <n v="0.60666666666666669"/>
    <n v="0.92248611111111101"/>
    <m/>
    <s v="OK"/>
    <s v="OK"/>
    <n v="0"/>
    <n v="0"/>
    <n v="48000"/>
    <n v="48000"/>
    <n v="48000"/>
    <n v="48000"/>
    <n v="0"/>
    <n v="0"/>
    <n v="33600"/>
    <n v="35760"/>
    <n v="33334"/>
    <n v="33539"/>
    <m/>
    <n v="34602.771593766898"/>
    <n v="45143"/>
    <n v="48000"/>
    <n v="21945.331045667142"/>
    <n v="67088.331045667146"/>
    <n v="26054.668954332858"/>
    <n v="48000"/>
    <n v="21945.331045667142"/>
    <n v="48000"/>
    <n v="26054.668954332858"/>
    <n v="63748"/>
    <n v="0"/>
  </r>
  <r>
    <s v="Agro Sudamerica1012778"/>
    <x v="2"/>
    <x v="0"/>
    <n v="1012778"/>
    <s v="PO Corazón@ Placa Cj 19kg SD"/>
    <s v="Menudencias"/>
    <s v="Menudencias Corazón"/>
    <n v="0"/>
    <n v="0"/>
    <n v="0.45719439678473212"/>
    <n v="0"/>
    <n v="23250"/>
    <n v="0"/>
    <n v="0"/>
    <n v="23250"/>
    <n v="17000"/>
    <n v="24000"/>
    <n v="17000"/>
    <n v="0"/>
    <n v="17000"/>
    <n v="6250"/>
    <n v="0"/>
    <n v="0"/>
    <n v="0"/>
    <n v="6250"/>
    <n v="0"/>
    <n v="0"/>
    <n v="0"/>
    <n v="0"/>
    <n v="17000"/>
    <n v="17000"/>
    <n v="0"/>
    <n v="17000"/>
    <n v="0"/>
    <n v="17000"/>
    <n v="17000"/>
    <n v="0"/>
    <n v="0"/>
    <m/>
    <s v="Si"/>
    <n v="17000"/>
    <n v="17000"/>
    <n v="0"/>
    <d v="2022-08-16T00:00:00"/>
    <n v="0.76394730256139576"/>
    <n v="0.76630116829268302"/>
    <n v="0.76630116829268302"/>
    <n v="12750"/>
    <n v="0.76394730256139576"/>
    <n v="3.0811886152292442E-3"/>
    <n v="0.75"/>
    <n v="0.76630116829268302"/>
    <m/>
    <s v="OK"/>
    <s v="OK"/>
    <n v="0"/>
    <n v="0"/>
    <n v="0"/>
    <n v="0"/>
    <n v="24000"/>
    <n v="24000"/>
    <n v="0"/>
    <n v="0"/>
    <n v="0"/>
    <n v="0"/>
    <n v="12000"/>
    <n v="16800"/>
    <m/>
    <n v="0"/>
    <n v="6250"/>
    <n v="0"/>
    <n v="0"/>
    <n v="6250"/>
    <n v="0"/>
    <n v="0"/>
    <n v="0"/>
    <n v="0"/>
    <n v="0"/>
    <n v="0"/>
    <n v="0"/>
  </r>
  <r>
    <s v="Agrosuper Asia1012012"/>
    <x v="2"/>
    <x v="1"/>
    <n v="1012012"/>
    <s v="PO Ala Ctro Mr@ Fi Cj 18k AS"/>
    <s v="Ala"/>
    <s v="Ala Centro"/>
    <n v="19677"/>
    <n v="20000"/>
    <n v="0.45719439678473212"/>
    <n v="8996.214145533173"/>
    <n v="23554"/>
    <n v="0"/>
    <n v="0"/>
    <n v="32550.214145533173"/>
    <n v="37000"/>
    <n v="22000"/>
    <n v="22000"/>
    <n v="-5000"/>
    <n v="17000"/>
    <n v="15550.214145533173"/>
    <n v="0"/>
    <n v="0"/>
    <n v="0"/>
    <n v="15550.214145533173"/>
    <n v="0"/>
    <n v="0"/>
    <n v="0"/>
    <n v="0"/>
    <n v="22000"/>
    <n v="22000"/>
    <n v="0"/>
    <n v="17000"/>
    <n v="5000"/>
    <n v="17000"/>
    <n v="17000"/>
    <n v="0"/>
    <s v="ajuste pedido mixto"/>
    <s v="Ajuste DI (mix de pedidos, tasa liberación de stock)"/>
    <s v="Si"/>
    <n v="17000"/>
    <n v="17000"/>
    <n v="0"/>
    <d v="2022-08-13T00:00:00"/>
    <n v="6.4665499999999998"/>
    <n v="6.5189189189189189"/>
    <n v="6.5189189189189189"/>
    <n v="110821.62162162163"/>
    <n v="7.1892472517020423"/>
    <n v="9.324040602782499E-2"/>
    <n v="6.5189189189189189"/>
    <n v="6.5189189189189189"/>
    <m/>
    <s v="OK"/>
    <s v="OK"/>
    <n v="108000"/>
    <n v="88000"/>
    <n v="0"/>
    <n v="0"/>
    <n v="0"/>
    <n v="19958"/>
    <n v="851564.46669999999"/>
    <n v="445280"/>
    <n v="0"/>
    <n v="0"/>
    <n v="0"/>
    <n v="146960"/>
    <m/>
    <n v="10680.785854466827"/>
    <n v="26231"/>
    <n v="40000"/>
    <n v="18287.775871389284"/>
    <n v="44518.775871389284"/>
    <n v="21712.224128610716"/>
    <n v="60000"/>
    <n v="27431.663807083925"/>
    <n v="49143.887935694642"/>
    <n v="32568.336192916075"/>
    <n v="19677"/>
    <n v="0"/>
  </r>
  <r>
    <s v="Agrosuper Asia1012612"/>
    <x v="2"/>
    <x v="1"/>
    <n v="1012612"/>
    <s v="PO Ppa Esp Blo@ Bo Cj 20k AS"/>
    <s v="Carne Recuperada"/>
    <s v="Carne Recuperada Pul"/>
    <n v="1503671"/>
    <n v="1300000"/>
    <n v="0.45719439678473212"/>
    <n v="687469.95580769493"/>
    <n v="64632"/>
    <n v="440000"/>
    <n v="0"/>
    <n v="1148101.9558076949"/>
    <n v="1100000"/>
    <n v="25000"/>
    <n v="1100000"/>
    <n v="-600000"/>
    <n v="500000"/>
    <n v="648101.95580769493"/>
    <n v="625000"/>
    <n v="-200000"/>
    <n v="425000"/>
    <n v="223101.95580769493"/>
    <n v="0"/>
    <n v="0"/>
    <n v="0"/>
    <n v="370324.5"/>
    <n v="1570324.5"/>
    <n v="2095324.5"/>
    <n v="370324.5"/>
    <n v="500000"/>
    <n v="1225000"/>
    <n v="1295324.5"/>
    <n v="500000"/>
    <n v="425000"/>
    <s v="comportamiento permisos y pagos "/>
    <s v="Permisos y pago"/>
    <s v="Si"/>
    <n v="925000"/>
    <n v="64632"/>
    <n v="860368"/>
    <d v="2022-08-13T00:00:00"/>
    <n v="1.03592"/>
    <n v="1.2275710285714301"/>
    <n v="1.1646897296051419"/>
    <n v="1508651.1416559156"/>
    <n v="1.0289914124159547"/>
    <n v="0.13187507257284395"/>
    <n v="1.1646897296051419"/>
    <n v="1.1646897296051419"/>
    <m/>
    <s v="OK"/>
    <s v="OK"/>
    <n v="625000"/>
    <n v="625000"/>
    <n v="950000"/>
    <n v="1100000"/>
    <n v="1291866"/>
    <n v="1074071"/>
    <n v="354215.07679999998"/>
    <n v="420938"/>
    <n v="695083"/>
    <n v="1039305"/>
    <n v="1122892"/>
    <n v="1235238"/>
    <m/>
    <n v="816201.04419230518"/>
    <n v="1039303.0000000001"/>
    <n v="850000"/>
    <n v="388615.23726702231"/>
    <n v="1427918.2372670225"/>
    <n v="461384.76273297769"/>
    <n v="971000"/>
    <n v="443935.7592779749"/>
    <n v="905320.52201095258"/>
    <n v="527064.24072202505"/>
    <n v="1503671"/>
    <n v="0"/>
  </r>
  <r>
    <s v="Agrosuper Brasil1011560"/>
    <x v="2"/>
    <x v="2"/>
    <n v="1011560"/>
    <s v="PO Corazón@ Bo Cj 18k AS"/>
    <s v="Menudencias"/>
    <s v="Menudencias Corazón"/>
    <n v="17570"/>
    <n v="0"/>
    <n v="0.81420840482290169"/>
    <n v="14305.641672738382"/>
    <n v="14328"/>
    <n v="11643.236615"/>
    <n v="0"/>
    <n v="39112.554626238387"/>
    <n v="48000"/>
    <n v="24000"/>
    <n v="24000"/>
    <n v="0"/>
    <n v="24000"/>
    <n v="15112.554626238387"/>
    <n v="0"/>
    <n v="0"/>
    <n v="0"/>
    <n v="15112.554626238387"/>
    <n v="0"/>
    <n v="0"/>
    <n v="0"/>
    <n v="0"/>
    <n v="24000"/>
    <n v="24000"/>
    <n v="0"/>
    <n v="24000"/>
    <n v="0"/>
    <n v="24000"/>
    <n v="24000"/>
    <n v="0"/>
    <n v="0"/>
    <m/>
    <s v="Si"/>
    <n v="24000"/>
    <n v="14328"/>
    <n v="9672"/>
    <d v="2022-08-25T00:00:00"/>
    <n v="2.601064701064701"/>
    <n v="2.8"/>
    <n v="2.8"/>
    <n v="64800.000000000007"/>
    <n v="2.601064701064701"/>
    <n v="7.6482256998016265E-2"/>
    <n v="2.7"/>
    <n v="2.8"/>
    <m/>
    <s v="OK"/>
    <s v="OK"/>
    <n v="0"/>
    <n v="24000"/>
    <n v="0"/>
    <n v="0"/>
    <n v="24000"/>
    <n v="24000"/>
    <n v="0"/>
    <n v="60000"/>
    <n v="0"/>
    <n v="0"/>
    <n v="60000"/>
    <n v="64134"/>
    <m/>
    <n v="3264.3583272616174"/>
    <n v="18376.912953500003"/>
    <n v="6700"/>
    <n v="5455.196312313441"/>
    <n v="23832.109265813444"/>
    <n v="1244.803687686559"/>
    <n v="1000"/>
    <n v="814.20840482290168"/>
    <n v="2059.0120925094607"/>
    <n v="185.79159517709832"/>
    <n v="17570"/>
    <n v="0"/>
  </r>
  <r>
    <s v="Agrosuper Brasil1012362"/>
    <x v="2"/>
    <x v="2"/>
    <n v="1012362"/>
    <s v="PO Corazon@ Cj 18k AS"/>
    <s v="Menudencias"/>
    <s v="Menudencias Corazón"/>
    <n v="25923"/>
    <n v="0"/>
    <n v="0.81420840482290169"/>
    <n v="21106.724478224081"/>
    <n v="66024"/>
    <n v="9020"/>
    <n v="0"/>
    <n v="95248.724478224089"/>
    <n v="71990"/>
    <n v="24000"/>
    <n v="71990"/>
    <n v="-48000"/>
    <n v="23990"/>
    <n v="71258.724478224089"/>
    <n v="0"/>
    <n v="0"/>
    <n v="0"/>
    <n v="71258.724478224089"/>
    <n v="0"/>
    <n v="0"/>
    <n v="0"/>
    <n v="0"/>
    <n v="48000"/>
    <n v="71990"/>
    <n v="0"/>
    <n v="23990"/>
    <n v="48000"/>
    <n v="23990"/>
    <n v="23990"/>
    <n v="0"/>
    <s v="TASA DE DISPONIBILIDAD DE STOCK APTO"/>
    <s v="Ajuste DI (mix de pedidos, tasa liberación de stock)"/>
    <s v="Si"/>
    <n v="23990"/>
    <n v="23990"/>
    <n v="0"/>
    <d v="2022-08-25T00:00:00"/>
    <n v="0"/>
    <n v="2.7000000000000006"/>
    <n v="2.7000000000000006"/>
    <n v="63573.5"/>
    <n v="2.7"/>
    <n v="1.6447748512965281E-16"/>
    <n v="2.65"/>
    <n v="2.7000000000000006"/>
    <m/>
    <s v="OK"/>
    <s v="OK"/>
    <n v="24000"/>
    <n v="24000"/>
    <n v="47990"/>
    <n v="23995"/>
    <n v="24000"/>
    <n v="24000"/>
    <n v="69600"/>
    <n v="66400"/>
    <n v="136772"/>
    <n v="70785"/>
    <n v="64800"/>
    <n v="64800"/>
    <m/>
    <n v="4816.2755217759195"/>
    <n v="76075.000000000015"/>
    <n v="72000"/>
    <n v="58623.005147248921"/>
    <n v="134698.00514724894"/>
    <n v="13376.994852751079"/>
    <n v="72000"/>
    <n v="58623.005147248921"/>
    <n v="72000"/>
    <n v="13376.994852751079"/>
    <n v="25923"/>
    <n v="0"/>
  </r>
  <r>
    <s v="Agrosuper Brasil1012674"/>
    <x v="2"/>
    <x v="2"/>
    <n v="1012674"/>
    <s v="PO Corazon@Pla Cj 19k"/>
    <s v="Menudencias"/>
    <s v="Menudencias Corazón"/>
    <n v="56200"/>
    <n v="0"/>
    <n v="0.81420840482290169"/>
    <n v="45758.512351047073"/>
    <n v="48540"/>
    <n v="15000"/>
    <n v="0"/>
    <n v="107798.51235104707"/>
    <n v="119980"/>
    <n v="24000"/>
    <n v="96000"/>
    <n v="-72000"/>
    <n v="24000"/>
    <n v="83798.512351047073"/>
    <n v="0"/>
    <n v="0"/>
    <n v="0"/>
    <n v="83798.512351047073"/>
    <n v="0"/>
    <n v="0"/>
    <n v="0"/>
    <n v="0"/>
    <n v="72000"/>
    <n v="96000"/>
    <n v="0"/>
    <n v="24000"/>
    <n v="72000"/>
    <n v="24000"/>
    <n v="24000"/>
    <n v="0"/>
    <s v="TASA DE DISPONIBILIDAD DE STOCK APTO"/>
    <s v="Ajuste DI (mix de pedidos, tasa liberación de stock)"/>
    <s v="Si"/>
    <n v="24000"/>
    <n v="24000"/>
    <n v="0"/>
    <d v="2022-08-25T00:00:00"/>
    <n v="2.4663739932253623"/>
    <n v="2.4800008334722454"/>
    <n v="2.4800008334722454"/>
    <n v="57600"/>
    <n v="2.4663739932253623"/>
    <n v="5.5250502496025792E-3"/>
    <n v="2.4"/>
    <n v="2.4800008334722454"/>
    <m/>
    <s v="OK"/>
    <s v="OK"/>
    <n v="24000"/>
    <n v="72000"/>
    <n v="24000"/>
    <n v="23995"/>
    <n v="24000"/>
    <n v="48000"/>
    <n v="64800"/>
    <n v="184509"/>
    <n v="64800"/>
    <n v="63587"/>
    <n v="60000"/>
    <n v="119200"/>
    <m/>
    <n v="10441.487648952925"/>
    <n v="94240"/>
    <n v="53700"/>
    <n v="43722.991338989821"/>
    <n v="137962.99133898981"/>
    <n v="9977.0086610101789"/>
    <n v="49000"/>
    <n v="39896.211836322182"/>
    <n v="49873.220497332361"/>
    <n v="9103.7881636778184"/>
    <n v="56200"/>
    <n v="0"/>
  </r>
  <r>
    <s v="Agrosuper Shanghai1011586"/>
    <x v="2"/>
    <x v="3"/>
    <n v="1011586"/>
    <s v="PO Ala Media B 4x10@ Cj 20k AS"/>
    <s v="Ala"/>
    <s v="Ala Centro"/>
    <n v="0"/>
    <n v="0"/>
    <n v="0.45719439678473212"/>
    <n v="0"/>
    <n v="34430"/>
    <n v="10000"/>
    <n v="0"/>
    <n v="43430"/>
    <n v="0"/>
    <n v="24000"/>
    <n v="0"/>
    <m/>
    <n v="0"/>
    <n v="43430"/>
    <n v="0"/>
    <n v="0"/>
    <n v="0"/>
    <n v="4343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3.5672511487960774"/>
    <n v="0"/>
    <n v="0"/>
    <n v="0"/>
    <n v="3.5672511487960774"/>
    <s v="No Aplica"/>
    <n v="0"/>
    <n v="0"/>
    <m/>
    <s v="OK"/>
    <s v="OK"/>
    <n v="96000"/>
    <n v="72000"/>
    <n v="48000"/>
    <n v="48000"/>
    <n v="48000"/>
    <n v="24000"/>
    <n v="231360"/>
    <n v="185400"/>
    <n v="112800"/>
    <n v="130080"/>
    <n v="145830"/>
    <n v="86400"/>
    <m/>
    <n v="0"/>
    <n v="43430"/>
    <n v="0"/>
    <n v="0"/>
    <n v="43430"/>
    <n v="0"/>
    <n v="0"/>
    <n v="0"/>
    <n v="0"/>
    <n v="0"/>
    <n v="0"/>
    <n v="0"/>
  </r>
  <r>
    <s v="Agrosuper Shanghai1011968"/>
    <x v="2"/>
    <x v="3"/>
    <n v="1011968"/>
    <s v="PO Garra L A@ Bo Cj 20k AS"/>
    <s v="Patas"/>
    <s v="Patas Garras"/>
    <n v="0"/>
    <n v="0"/>
    <n v="0.45719439678473212"/>
    <n v="0"/>
    <n v="10320"/>
    <n v="464"/>
    <n v="0"/>
    <n v="10737.6"/>
    <n v="0"/>
    <n v="24000"/>
    <n v="0"/>
    <m/>
    <n v="0"/>
    <n v="10737.6"/>
    <n v="0"/>
    <n v="0"/>
    <n v="0"/>
    <n v="10737.6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6.1013147108130763"/>
    <n v="0"/>
    <n v="0"/>
    <n v="0"/>
    <n v="6.1013147108130763"/>
    <s v="No Aplica"/>
    <n v="0"/>
    <n v="0"/>
    <m/>
    <s v="OK"/>
    <s v="OK"/>
    <n v="5660"/>
    <n v="0"/>
    <n v="0"/>
    <n v="0"/>
    <n v="0"/>
    <n v="0"/>
    <n v="20942"/>
    <n v="0"/>
    <n v="0"/>
    <n v="0"/>
    <n v="0"/>
    <n v="0"/>
    <m/>
    <n v="0"/>
    <n v="10737.6"/>
    <n v="0"/>
    <n v="0"/>
    <n v="10737.6"/>
    <n v="0"/>
    <n v="0"/>
    <n v="0"/>
    <n v="0"/>
    <n v="0"/>
    <n v="0"/>
    <n v="0"/>
  </r>
  <r>
    <s v="Agrosuper Shanghai1012312"/>
    <x v="2"/>
    <x v="3"/>
    <n v="1012312"/>
    <s v="PO Piel @ Cj 20k AS MUESTRA SAG"/>
    <s v="Muestra"/>
    <s v="Muestra"/>
    <n v="0"/>
    <n v="0"/>
    <n v="0.45719439678473212"/>
    <n v="0"/>
    <n v="0"/>
    <n v="0"/>
    <n v="0"/>
    <n v="0"/>
    <n v="0"/>
    <n v="2400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super Shanghai1012448"/>
    <x v="2"/>
    <x v="3"/>
    <n v="1012448"/>
    <s v="PO Garra Economy@ Cj 20k AS"/>
    <s v="Patas"/>
    <s v="Patas Garras"/>
    <n v="0"/>
    <n v="0"/>
    <n v="0.45719439678473212"/>
    <n v="0"/>
    <n v="48840"/>
    <n v="94319"/>
    <n v="0"/>
    <n v="133727.1"/>
    <n v="0"/>
    <n v="24000"/>
    <n v="0"/>
    <m/>
    <n v="0"/>
    <n v="133727.1"/>
    <n v="0"/>
    <n v="0"/>
    <n v="0"/>
    <n v="133727.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5.5967821456551832"/>
    <n v="0"/>
    <n v="0"/>
    <n v="0"/>
    <n v="5.5967821456551832"/>
    <s v="No Aplica"/>
    <n v="0"/>
    <n v="0"/>
    <m/>
    <s v="OK"/>
    <s v="OK"/>
    <n v="168000"/>
    <n v="144000"/>
    <n v="96000"/>
    <n v="144000"/>
    <n v="168000"/>
    <n v="96000"/>
    <n v="609560"/>
    <n v="518400"/>
    <n v="393600"/>
    <n v="661338"/>
    <n v="885718"/>
    <n v="532800"/>
    <m/>
    <n v="0"/>
    <n v="133727.1"/>
    <n v="0"/>
    <n v="0"/>
    <n v="133727.1"/>
    <n v="0"/>
    <n v="0"/>
    <n v="0"/>
    <n v="0"/>
    <n v="0"/>
    <n v="0"/>
    <n v="0"/>
  </r>
  <r>
    <s v="Agrosuper Shanghai1012452"/>
    <x v="2"/>
    <x v="3"/>
    <n v="1012452"/>
    <s v="PO Ala Media Grado B@ Cj AS"/>
    <s v="Ala"/>
    <s v="Ala Centro"/>
    <n v="0"/>
    <n v="0"/>
    <n v="0.45719439678473212"/>
    <n v="0"/>
    <n v="10097"/>
    <n v="8000"/>
    <n v="0"/>
    <n v="17297"/>
    <n v="0"/>
    <n v="24000"/>
    <n v="0"/>
    <m/>
    <n v="0"/>
    <n v="17297"/>
    <n v="0"/>
    <n v="0"/>
    <n v="0"/>
    <n v="17297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2.5790651301561871"/>
    <n v="0"/>
    <n v="0"/>
    <n v="0"/>
    <n v="2.5790651301561871"/>
    <s v="No Aplica"/>
    <n v="0"/>
    <n v="0"/>
    <m/>
    <s v="OK"/>
    <s v="OK"/>
    <n v="24000"/>
    <n v="72000"/>
    <n v="37721"/>
    <n v="0"/>
    <n v="24000"/>
    <n v="24000"/>
    <n v="59280"/>
    <n v="186120"/>
    <n v="99961"/>
    <n v="0"/>
    <n v="47293"/>
    <n v="63258"/>
    <m/>
    <n v="0"/>
    <n v="17297"/>
    <n v="0"/>
    <n v="0"/>
    <n v="17297"/>
    <n v="0"/>
    <n v="0"/>
    <n v="0"/>
    <n v="0"/>
    <n v="0"/>
    <n v="0"/>
    <n v="0"/>
  </r>
  <r>
    <s v="Agrosuper Shanghai1012455"/>
    <x v="2"/>
    <x v="3"/>
    <n v="1012455"/>
    <s v="PO Ctro Pta Ala Choice@ Cj 20k AS"/>
    <s v="Ala"/>
    <s v="Ala Centro-Punta"/>
    <n v="0"/>
    <n v="0"/>
    <n v="0.45719439678473212"/>
    <n v="0"/>
    <n v="67480"/>
    <n v="50000"/>
    <n v="0"/>
    <n v="112480"/>
    <n v="0"/>
    <n v="24000"/>
    <n v="0"/>
    <m/>
    <n v="0"/>
    <n v="112480"/>
    <n v="0"/>
    <n v="0"/>
    <n v="0"/>
    <n v="11248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2.9735763086061664"/>
    <n v="0"/>
    <n v="0"/>
    <n v="0"/>
    <n v="2.9735763086061664"/>
    <s v="No Aplica"/>
    <n v="0"/>
    <n v="0"/>
    <m/>
    <s v="OK"/>
    <s v="OK"/>
    <n v="144000"/>
    <n v="48000"/>
    <n v="48000"/>
    <n v="120000"/>
    <n v="120000"/>
    <n v="192000"/>
    <n v="312480"/>
    <n v="106800"/>
    <n v="115200"/>
    <n v="289800"/>
    <n v="323225"/>
    <n v="541042"/>
    <m/>
    <n v="0"/>
    <n v="112480"/>
    <n v="0"/>
    <n v="0"/>
    <n v="112480"/>
    <n v="0"/>
    <n v="0"/>
    <n v="0"/>
    <n v="0"/>
    <n v="0"/>
    <n v="0"/>
    <n v="0"/>
  </r>
  <r>
    <s v="Agrosuper Shanghai1012502"/>
    <x v="2"/>
    <x v="3"/>
    <n v="1012502"/>
    <s v="PO Garra Large B@ Cj 20k AS"/>
    <s v="Patas"/>
    <s v="Patas Garras"/>
    <n v="0"/>
    <n v="0"/>
    <n v="0.45719439678473212"/>
    <n v="0"/>
    <n v="6940"/>
    <n v="1800"/>
    <n v="0"/>
    <n v="8560"/>
    <n v="0"/>
    <n v="24000"/>
    <n v="0"/>
    <m/>
    <n v="0"/>
    <n v="8560"/>
    <n v="0"/>
    <n v="0"/>
    <n v="0"/>
    <n v="856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5.1840394995829859"/>
    <n v="0"/>
    <n v="0"/>
    <n v="0"/>
    <n v="5.1840394995829859"/>
    <s v="No Aplica"/>
    <n v="0"/>
    <n v="0"/>
    <m/>
    <s v="OK"/>
    <s v="OK"/>
    <n v="0"/>
    <n v="0"/>
    <n v="0"/>
    <n v="0"/>
    <n v="12000"/>
    <n v="0"/>
    <n v="0"/>
    <n v="0"/>
    <n v="0"/>
    <n v="0"/>
    <n v="52600"/>
    <n v="0"/>
    <m/>
    <n v="0"/>
    <n v="8560"/>
    <n v="0"/>
    <n v="0"/>
    <n v="8560"/>
    <n v="0"/>
    <n v="0"/>
    <n v="0"/>
    <n v="0"/>
    <n v="0"/>
    <n v="0"/>
    <n v="0"/>
  </r>
  <r>
    <s v="Agrosuper Shanghai1012503"/>
    <x v="2"/>
    <x v="3"/>
    <n v="1012503"/>
    <s v="PO Garra M B@ Cj 20k AS"/>
    <s v="Patas"/>
    <s v="Patas Garras"/>
    <n v="0"/>
    <n v="0"/>
    <n v="0.45719439678473212"/>
    <n v="0"/>
    <n v="8520"/>
    <n v="64000"/>
    <n v="0"/>
    <n v="66120"/>
    <n v="16500"/>
    <n v="24000"/>
    <n v="16500"/>
    <m/>
    <n v="16500"/>
    <n v="49620"/>
    <n v="0"/>
    <n v="0"/>
    <n v="0"/>
    <n v="49620"/>
    <n v="0"/>
    <n v="0"/>
    <n v="0"/>
    <n v="0"/>
    <n v="16500"/>
    <n v="16500"/>
    <n v="0"/>
    <n v="16500"/>
    <n v="0"/>
    <n v="16500"/>
    <n v="16500"/>
    <n v="0"/>
    <n v="0"/>
    <m/>
    <s v="Si"/>
    <n v="16500"/>
    <n v="8520"/>
    <n v="7980"/>
    <d v="2022-08-13T00:00:00"/>
    <n v="5.3949904181083079"/>
    <n v="4.3833333333333302"/>
    <n v="4.3833333333333302"/>
    <n v="72324.999999999942"/>
    <n v="5.3949904181083079"/>
    <n v="0.187517864976988"/>
    <n v="4.3833333333333302"/>
    <n v="4.3833333333333302"/>
    <m/>
    <s v="OK"/>
    <s v="OK"/>
    <n v="14000"/>
    <n v="0"/>
    <n v="0"/>
    <n v="0"/>
    <n v="12000"/>
    <n v="12000"/>
    <n v="46900"/>
    <n v="0"/>
    <n v="0"/>
    <n v="0"/>
    <n v="64578"/>
    <n v="56400"/>
    <m/>
    <n v="0"/>
    <n v="49620"/>
    <n v="0"/>
    <n v="0"/>
    <n v="49620"/>
    <n v="0"/>
    <n v="0"/>
    <n v="0"/>
    <n v="0"/>
    <n v="0"/>
    <n v="0"/>
    <n v="0"/>
  </r>
  <r>
    <s v="Agrosuper Shanghai1012504"/>
    <x v="2"/>
    <x v="3"/>
    <n v="1012504"/>
    <s v="PO Garra Economy@ Cj 20k AS"/>
    <s v="Patas"/>
    <s v="Patas Garras"/>
    <n v="0"/>
    <n v="0"/>
    <n v="0.45719439678473212"/>
    <n v="0"/>
    <n v="78400"/>
    <n v="11700"/>
    <n v="0"/>
    <n v="88930"/>
    <n v="0"/>
    <n v="24000"/>
    <n v="0"/>
    <m/>
    <n v="0"/>
    <n v="88930"/>
    <n v="0"/>
    <n v="0"/>
    <n v="0"/>
    <n v="8893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5.387454117154812"/>
    <n v="0"/>
    <n v="0"/>
    <n v="0"/>
    <n v="5.387454117154812"/>
    <s v="No Aplica"/>
    <n v="0"/>
    <n v="0"/>
    <m/>
    <s v="OK"/>
    <s v="OK"/>
    <n v="48000"/>
    <n v="72000"/>
    <n v="24000"/>
    <n v="24000"/>
    <n v="72000"/>
    <n v="48000"/>
    <n v="168720"/>
    <n v="254520"/>
    <n v="90000"/>
    <n v="51375"/>
    <n v="373545"/>
    <n v="176000"/>
    <m/>
    <n v="0"/>
    <n v="88930"/>
    <n v="0"/>
    <n v="0"/>
    <n v="88930"/>
    <n v="0"/>
    <n v="0"/>
    <n v="0"/>
    <n v="0"/>
    <n v="0"/>
    <n v="0"/>
    <n v="0"/>
  </r>
  <r>
    <s v="Agrosuper Shanghai1012598"/>
    <x v="2"/>
    <x v="3"/>
    <n v="1012598"/>
    <s v="GA Garra G Large B@ Cj 20k AS"/>
    <s v="Patas"/>
    <s v="Patas Garras"/>
    <n v="0"/>
    <n v="0"/>
    <n v="0.45719439678473212"/>
    <n v="0"/>
    <n v="9860"/>
    <n v="1000"/>
    <n v="0"/>
    <n v="10760"/>
    <n v="7500"/>
    <n v="24000"/>
    <n v="7500"/>
    <m/>
    <n v="7500"/>
    <n v="3260"/>
    <n v="0"/>
    <n v="0"/>
    <n v="0"/>
    <n v="3260"/>
    <n v="0"/>
    <n v="0"/>
    <n v="0"/>
    <n v="0"/>
    <n v="0"/>
    <n v="7500"/>
    <n v="0"/>
    <n v="7500"/>
    <n v="0"/>
    <n v="7500"/>
    <n v="7500"/>
    <n v="0"/>
    <n v="0"/>
    <m/>
    <s v="Si"/>
    <n v="7500"/>
    <n v="7500"/>
    <n v="0"/>
    <d v="2022-08-13T00:00:00"/>
    <n v="0"/>
    <n v="1.38333333333333"/>
    <n v="1.38333333333333"/>
    <n v="10374.999999999975"/>
    <n v="0"/>
    <s v="No Aplica"/>
    <n v="1.38333333333333"/>
    <n v="1.38333333333333"/>
    <m/>
    <s v="OK"/>
    <s v="OK"/>
    <n v="4340"/>
    <n v="0"/>
    <n v="10660"/>
    <n v="0"/>
    <n v="0"/>
    <n v="0"/>
    <n v="3906"/>
    <n v="0"/>
    <n v="10660"/>
    <n v="0"/>
    <n v="0"/>
    <n v="0"/>
    <m/>
    <n v="0"/>
    <n v="3260"/>
    <n v="0"/>
    <n v="0"/>
    <n v="3260"/>
    <n v="0"/>
    <n v="0"/>
    <n v="0"/>
    <n v="0"/>
    <n v="0"/>
    <n v="0"/>
    <n v="0"/>
  </r>
  <r>
    <s v="Agro Mexico1012764"/>
    <x v="2"/>
    <x v="5"/>
    <n v="1012764"/>
    <s v="PO Ppa Esp@ Bo Cj 20k AS"/>
    <s v="Carne Recuperada"/>
    <s v="Carne Recuperada Pulpa"/>
    <n v="96000"/>
    <n v="135684"/>
    <n v="0.8"/>
    <n v="76800"/>
    <n v="70143"/>
    <n v="66900"/>
    <n v="0"/>
    <n v="207153"/>
    <n v="72000"/>
    <n v="24000"/>
    <n v="72000"/>
    <m/>
    <n v="72000"/>
    <n v="135153"/>
    <n v="120000"/>
    <n v="144000"/>
    <n v="264000"/>
    <n v="-128847"/>
    <n v="0"/>
    <n v="0"/>
    <n v="0"/>
    <n v="23989.05"/>
    <n v="215989.05"/>
    <n v="215989.05"/>
    <n v="23989.05"/>
    <n v="72000"/>
    <n v="120000"/>
    <n v="359989.05"/>
    <n v="72000"/>
    <n v="264000"/>
    <n v="0"/>
    <m/>
    <s v="Si"/>
    <n v="336000"/>
    <n v="70143"/>
    <n v="265857"/>
    <d v="2022-08-20T00:00:00"/>
    <n v="0.72980601986969695"/>
    <n v="0.793366666666667"/>
    <n v="0.74675410788355934"/>
    <n v="268823.30188060005"/>
    <n v="0.84024053593225123"/>
    <n v="0.11126150673624455"/>
    <n v="0.74675410788355934"/>
    <n v="0.74675410788355934"/>
    <m/>
    <s v="OK"/>
    <s v="OK"/>
    <n v="0"/>
    <n v="0"/>
    <n v="0"/>
    <n v="0"/>
    <n v="0"/>
    <n v="312001"/>
    <n v="0"/>
    <n v="0"/>
    <n v="0"/>
    <n v="0"/>
    <n v="0"/>
    <n v="303633.28684000002"/>
    <m/>
    <n v="19199.999999999996"/>
    <n v="-109647"/>
    <n v="0"/>
    <n v="0"/>
    <n v="-109647"/>
    <n v="0"/>
    <n v="378689.66"/>
    <n v="302951.728"/>
    <n v="302951.728"/>
    <n v="75737.931999999972"/>
    <n v="96000"/>
    <n v="0"/>
  </r>
  <r>
    <s v="Agrosuper Shanghai1030525"/>
    <x v="1"/>
    <x v="3"/>
    <n v="1030525"/>
    <s v="PV Tru Ala@ Ex blo Cj 15k SO"/>
    <s v="Ala"/>
    <s v="Ala Trutro"/>
    <n v="88280"/>
    <n v="0"/>
    <n v="0.45719439678473212"/>
    <n v="40361.12134815615"/>
    <n v="43365"/>
    <n v="20632.494135661931"/>
    <n v="0"/>
    <n v="102295.3660702519"/>
    <n v="0"/>
    <n v="24000"/>
    <n v="0"/>
    <m/>
    <n v="0"/>
    <n v="102295.3660702519"/>
    <n v="0"/>
    <n v="0"/>
    <n v="0"/>
    <n v="102295.3660702519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7151091000000001"/>
    <n v="0"/>
    <n v="0"/>
    <n v="0"/>
    <n v="1.7151091000000001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47918.878651843857"/>
    <n v="150214.24472209575"/>
    <n v="65939.066999999995"/>
    <n v="30146.971961613035"/>
    <n v="180361.2166837088"/>
    <n v="35792.095038386964"/>
    <n v="33984.358"/>
    <n v="15537.458055926385"/>
    <n v="51329.553094313349"/>
    <n v="18446.899944073615"/>
    <n v="88280"/>
    <n v="0"/>
  </r>
  <r>
    <s v="Agro Sudamerica1030230"/>
    <x v="1"/>
    <x v="0"/>
    <n v="1030230"/>
    <s v="Pv Piel Tru@ Bo Cj So"/>
    <s v="Recortes"/>
    <s v="Recortes Piel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30672"/>
    <x v="1"/>
    <x v="0"/>
    <n v="1030672"/>
    <s v="PV Tru Larg He@ Ex Bo Cj 15K AS"/>
    <s v="Trutro"/>
    <s v="Trutro Largo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super Shanghai1021905"/>
    <x v="0"/>
    <x v="3"/>
    <n v="1021905"/>
    <s v="GO Triming 70/30@ Cj 20k AS"/>
    <s v="Recortes"/>
    <s v="Recortes No Magro"/>
    <n v="264991"/>
    <n v="0"/>
    <n v="0.45719439678473212"/>
    <n v="121152.40039838295"/>
    <n v="9089"/>
    <n v="0"/>
    <n v="0"/>
    <n v="130241.40039838295"/>
    <n v="0"/>
    <n v="24000"/>
    <n v="0"/>
    <m/>
    <n v="0"/>
    <n v="130241.40039838295"/>
    <n v="0"/>
    <n v="0"/>
    <n v="0"/>
    <n v="130241.40039838295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4083154265947304"/>
    <n v="0"/>
    <n v="0"/>
    <n v="0"/>
    <n v="1.4083154265947304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143838.59960161705"/>
    <n v="274080"/>
    <n v="239999.99699999997"/>
    <n v="109726.6538567525"/>
    <n v="383806.6538567525"/>
    <n v="130273.34314324748"/>
    <n v="240000"/>
    <n v="109726.6552283357"/>
    <n v="239999.99837158318"/>
    <n v="130273.3447716643"/>
    <n v="264991"/>
    <n v="0"/>
  </r>
  <r>
    <s v="Agrosuper Shanghai1021971"/>
    <x v="0"/>
    <x v="3"/>
    <n v="1021971"/>
    <s v="GO Cue Back@ Cj 20k bca AS"/>
    <s v="Cueros"/>
    <s v="Cuero Back"/>
    <n v="0"/>
    <n v="0"/>
    <n v="0.45719439678473212"/>
    <n v="0"/>
    <n v="11260"/>
    <n v="0"/>
    <n v="0"/>
    <n v="11260"/>
    <n v="0"/>
    <n v="24000"/>
    <n v="0"/>
    <m/>
    <n v="0"/>
    <n v="11260"/>
    <n v="0"/>
    <n v="0"/>
    <n v="0"/>
    <n v="1126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8746264163476694"/>
    <n v="0"/>
    <n v="0"/>
    <n v="0"/>
    <n v="1.8746264163476694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11260"/>
    <n v="0"/>
    <n v="0"/>
    <n v="11260"/>
    <n v="0"/>
    <n v="0"/>
    <n v="0"/>
    <n v="0"/>
    <n v="0"/>
    <n v="0"/>
    <n v="0"/>
  </r>
  <r>
    <s v="Agrosuper Shanghai1022418"/>
    <x v="0"/>
    <x v="3"/>
    <n v="1022418"/>
    <s v="GO Tripa s/Cal # Bidon AS"/>
    <s v="Subprod"/>
    <s v="Subprod Tripa"/>
    <n v="27912"/>
    <n v="0"/>
    <n v="0.45719439678473212"/>
    <n v="12761.210003055443"/>
    <n v="13860"/>
    <n v="7134"/>
    <n v="0"/>
    <n v="33041.810003055441"/>
    <n v="136800"/>
    <n v="24000"/>
    <n v="24000"/>
    <m/>
    <n v="24000"/>
    <n v="9041.8100030554415"/>
    <n v="0"/>
    <n v="0"/>
    <n v="0"/>
    <n v="9041.8100030554415"/>
    <n v="0"/>
    <n v="0"/>
    <n v="0"/>
    <n v="0"/>
    <n v="0"/>
    <n v="24000"/>
    <n v="0"/>
    <n v="24000"/>
    <n v="0"/>
    <n v="24000"/>
    <n v="24000"/>
    <n v="0"/>
    <n v="0"/>
    <m/>
    <s v="Si"/>
    <n v="24000"/>
    <n v="13860"/>
    <n v="10140"/>
    <d v="2022-08-13T00:00:00"/>
    <n v="0"/>
    <n v="5.4285714285714297"/>
    <n v="5.4285714285714297"/>
    <n v="130285.71428571432"/>
    <n v="0"/>
    <s v="No Aplica"/>
    <n v="5.4285714285714297"/>
    <n v="5.4285714285714297"/>
    <m/>
    <s v="OK"/>
    <s v="OK"/>
    <n v="0"/>
    <n v="0"/>
    <n v="0"/>
    <n v="0"/>
    <n v="0"/>
    <n v="0"/>
    <n v="0"/>
    <n v="0"/>
    <n v="0"/>
    <n v="0"/>
    <n v="0"/>
    <n v="0"/>
    <s v="Revisar precio"/>
    <n v="15150.789996944559"/>
    <n v="24192.6"/>
    <n v="42589.826999999997"/>
    <n v="19471.830264431097"/>
    <n v="43664.430264431096"/>
    <n v="23117.9967355689"/>
    <n v="39625.526599999997"/>
    <n v="18116.568731164356"/>
    <n v="41234.565466733256"/>
    <n v="21508.957868835641"/>
    <n v="27912"/>
    <n v="0"/>
  </r>
  <r>
    <s v="Agrosuper Asia1022605"/>
    <x v="0"/>
    <x v="1"/>
    <n v="1022605"/>
    <s v="GO Recto Tubo Crud@ Cj 10k AS"/>
    <s v="Subprod"/>
    <s v="Subprod Tripa"/>
    <n v="0"/>
    <n v="0"/>
    <n v="0.45719439678473212"/>
    <n v="0"/>
    <n v="0"/>
    <n v="0"/>
    <n v="0"/>
    <n v="0"/>
    <n v="0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7000"/>
    <n v="0"/>
    <n v="0"/>
    <n v="0"/>
    <n v="0"/>
    <n v="0"/>
    <n v="30191"/>
    <m/>
    <n v="0"/>
    <n v="0"/>
    <n v="0"/>
    <n v="0"/>
    <n v="0"/>
    <n v="0"/>
    <n v="0"/>
    <n v="0"/>
    <n v="0"/>
    <n v="0"/>
    <n v="0"/>
    <n v="0"/>
  </r>
  <r>
    <s v="Agro Sudamerica1022842"/>
    <x v="0"/>
    <x v="0"/>
    <n v="1022842"/>
    <s v="GO Triming Lomo@ Cj 20k AS"/>
    <s v="Recortes"/>
    <s v="Recortes Magro"/>
    <n v="2269"/>
    <n v="0"/>
    <n v="0.45719439678473212"/>
    <n v="1037.3740863045571"/>
    <n v="777"/>
    <n v="400"/>
    <n v="0"/>
    <n v="2174.3740863045568"/>
    <n v="72000"/>
    <n v="24000"/>
    <n v="0"/>
    <n v="0"/>
    <n v="0"/>
    <n v="2174.3740863045568"/>
    <n v="0"/>
    <n v="0"/>
    <n v="0"/>
    <n v="2174.3740863045568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2.5499999999999998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1231.6259136954429"/>
    <n v="3406"/>
    <n v="24000"/>
    <n v="10972.665522833571"/>
    <n v="14378.665522833571"/>
    <n v="13027.334477166429"/>
    <n v="24000"/>
    <n v="10972.665522833571"/>
    <n v="24000"/>
    <n v="13027.334477166429"/>
    <n v="2269"/>
    <n v="0"/>
  </r>
  <r>
    <s v="Agro Sudamerica1022844"/>
    <x v="0"/>
    <x v="0"/>
    <n v="1022844"/>
    <s v="GO Cordon Lom@ CJ 20k AS"/>
    <s v="Recortes"/>
    <s v="Recortes No Magro"/>
    <n v="17466"/>
    <n v="0"/>
    <n v="0.45719439678473212"/>
    <n v="7985.3573342421314"/>
    <n v="6285"/>
    <n v="0"/>
    <n v="0"/>
    <n v="14270.357334242131"/>
    <n v="24000"/>
    <n v="24000"/>
    <n v="0"/>
    <n v="0"/>
    <n v="0"/>
    <n v="14270.357334242131"/>
    <n v="0"/>
    <n v="0"/>
    <n v="0"/>
    <n v="14270.35733424213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1.9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9480.6426657578704"/>
    <n v="23751"/>
    <n v="24000"/>
    <n v="10972.665522833571"/>
    <n v="34723.665522833573"/>
    <n v="13027.334477166429"/>
    <n v="44957.567999999999"/>
    <n v="20554.348182668575"/>
    <n v="33581.682659835002"/>
    <n v="24403.219817331425"/>
    <n v="17466"/>
    <n v="0"/>
  </r>
  <r>
    <s v="Agrosuper Shanghai1022943"/>
    <x v="0"/>
    <x v="3"/>
    <n v="1022943"/>
    <s v="GO Lom Ctro@ Cj 16k AS"/>
    <s v="Lomo"/>
    <s v="Lomo Centro"/>
    <n v="0"/>
    <n v="0"/>
    <n v="0.45719439678473212"/>
    <n v="0"/>
    <n v="56"/>
    <n v="0"/>
    <n v="0"/>
    <n v="56"/>
    <n v="0"/>
    <n v="24000"/>
    <n v="0"/>
    <m/>
    <n v="0"/>
    <n v="56"/>
    <n v="0"/>
    <n v="0"/>
    <n v="0"/>
    <n v="56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2.5730293740572612"/>
    <n v="0"/>
    <n v="0"/>
    <n v="0"/>
    <n v="2.5730293740572612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56"/>
    <n v="0"/>
    <n v="0"/>
    <n v="56"/>
    <n v="0"/>
    <n v="0"/>
    <n v="0"/>
    <n v="0"/>
    <n v="0"/>
    <n v="0"/>
    <n v="0"/>
  </r>
  <r>
    <s v="Agrosuper Shanghai1022995"/>
    <x v="0"/>
    <x v="3"/>
    <n v="1022995"/>
    <s v="GO Panc Tec /C cue S/H@ Cj 20k AS"/>
    <s v="Panceta"/>
    <s v="Panceta c/Cuero"/>
    <n v="0"/>
    <n v="0"/>
    <n v="0.45719439678473212"/>
    <n v="0"/>
    <n v="964"/>
    <n v="0"/>
    <n v="0"/>
    <n v="964"/>
    <n v="0"/>
    <n v="24000"/>
    <n v="0"/>
    <m/>
    <n v="0"/>
    <n v="964"/>
    <n v="0"/>
    <n v="0"/>
    <n v="0"/>
    <n v="96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964"/>
    <n v="0"/>
    <n v="0"/>
    <n v="964"/>
    <n v="0"/>
    <n v="0"/>
    <n v="0"/>
    <n v="0"/>
    <n v="0"/>
    <n v="0"/>
    <n v="0"/>
  </r>
  <r>
    <s v="Agrosuper Shanghai1023110"/>
    <x v="0"/>
    <x v="3"/>
    <n v="1023110"/>
    <s v="GO Pna Forro@ Bo Cj 20k AS"/>
    <s v="Grasas"/>
    <s v="Cuero Forro"/>
    <n v="0"/>
    <n v="0"/>
    <n v="0.45719439678473212"/>
    <n v="0"/>
    <n v="35696"/>
    <n v="49909"/>
    <n v="0"/>
    <n v="80614.100000000006"/>
    <n v="0"/>
    <n v="24000"/>
    <n v="0"/>
    <m/>
    <n v="0"/>
    <n v="80614.100000000006"/>
    <n v="0"/>
    <n v="0"/>
    <n v="0"/>
    <n v="80614.100000000006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.7924618650032379"/>
    <n v="0"/>
    <n v="0"/>
    <n v="0"/>
    <n v="0.7924618650032379"/>
    <s v="No Aplica"/>
    <n v="0"/>
    <n v="0"/>
    <m/>
    <s v="OK"/>
    <s v="OK"/>
    <n v="0"/>
    <n v="0"/>
    <n v="0"/>
    <n v="0"/>
    <n v="0"/>
    <n v="48000"/>
    <n v="0"/>
    <n v="0"/>
    <n v="0"/>
    <n v="0"/>
    <n v="0"/>
    <n v="36000"/>
    <m/>
    <n v="0"/>
    <n v="80614.100000000006"/>
    <n v="0"/>
    <n v="0"/>
    <n v="80614.100000000006"/>
    <n v="0"/>
    <n v="0"/>
    <n v="0"/>
    <n v="0"/>
    <n v="0"/>
    <n v="0"/>
    <n v="0"/>
  </r>
  <r>
    <s v="Agrosuper Asia1023370"/>
    <x v="0"/>
    <x v="1"/>
    <n v="1023370"/>
    <s v="GO Pna Nor@ Cj 20k AS"/>
    <s v="Pierna"/>
    <s v="Pierna Entera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24000"/>
    <n v="0"/>
    <n v="0"/>
    <n v="0"/>
    <n v="0"/>
    <n v="0"/>
    <n v="33325"/>
    <m/>
    <n v="0"/>
    <n v="0"/>
    <n v="0"/>
    <n v="0"/>
    <n v="0"/>
    <n v="0"/>
    <n v="0"/>
    <n v="0"/>
    <n v="0"/>
    <n v="0"/>
    <n v="0"/>
    <n v="0"/>
  </r>
  <r>
    <s v="Agrosuper Asia1023371"/>
    <x v="0"/>
    <x v="1"/>
    <n v="1023371"/>
    <s v="GO Pal Nor@ Cj 20k AS"/>
    <s v="Paleta"/>
    <s v="Paleta Entera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24000"/>
    <n v="0"/>
    <n v="0"/>
    <n v="0"/>
    <n v="0"/>
    <n v="0"/>
    <n v="28525"/>
    <m/>
    <n v="0"/>
    <n v="0"/>
    <n v="0"/>
    <n v="0"/>
    <n v="0"/>
    <n v="0"/>
    <n v="0"/>
    <n v="0"/>
    <n v="0"/>
    <n v="0"/>
    <n v="0"/>
    <n v="0"/>
  </r>
  <r>
    <s v="Agrosuper Asia1023372"/>
    <x v="0"/>
    <x v="1"/>
    <n v="1023372"/>
    <s v="GO Lom Ctro 27@ Fi Cj 20k AS"/>
    <s v="Centro"/>
    <s v="Lomo Centro"/>
    <n v="27371"/>
    <n v="24000"/>
    <n v="0.45719439678473212"/>
    <n v="12513.867834394903"/>
    <n v="52111"/>
    <n v="0"/>
    <n v="0"/>
    <n v="64624.8678343949"/>
    <n v="48000"/>
    <n v="24000"/>
    <n v="48000"/>
    <n v="-24000"/>
    <n v="24000"/>
    <n v="40624.8678343949"/>
    <n v="24000"/>
    <n v="-24000"/>
    <n v="0"/>
    <n v="40624.8678343949"/>
    <n v="0"/>
    <n v="0"/>
    <n v="0"/>
    <n v="24000"/>
    <n v="24000"/>
    <n v="96000"/>
    <n v="24000"/>
    <n v="24000"/>
    <n v="48000"/>
    <n v="48000"/>
    <n v="24000"/>
    <n v="0"/>
    <s v="comportamiento permisos y pagos / SOLO HAY 24 TN ATRASADAS"/>
    <s v="Permisos y pago"/>
    <s v="Si"/>
    <n v="24000"/>
    <n v="24000"/>
    <n v="0"/>
    <d v="2022-08-13T00:00:00"/>
    <n v="2.89"/>
    <n v="2.8"/>
    <n v="2.8"/>
    <n v="134400"/>
    <n v="0"/>
    <s v="No Aplica"/>
    <n v="2.8"/>
    <n v="2.8"/>
    <m/>
    <s v="OK"/>
    <s v="OK"/>
    <n v="0"/>
    <n v="0"/>
    <n v="0"/>
    <n v="0"/>
    <n v="0"/>
    <n v="0"/>
    <n v="0"/>
    <n v="0"/>
    <n v="0"/>
    <n v="0"/>
    <n v="0"/>
    <n v="0"/>
    <m/>
    <n v="14857.132165605099"/>
    <n v="55482"/>
    <n v="40516.012000000002"/>
    <n v="18523.693666462968"/>
    <n v="74005.693666462961"/>
    <n v="21992.318333537034"/>
    <n v="48000"/>
    <n v="21945.331045667142"/>
    <n v="43937.649379204173"/>
    <n v="26054.668954332858"/>
    <n v="27371"/>
    <n v="0"/>
  </r>
  <r>
    <s v="Agrosuper Asia1023397"/>
    <x v="0"/>
    <x v="1"/>
    <n v="1023397"/>
    <s v="GO Gord Esp@ Cj 20k AS"/>
    <s v="Grasas"/>
    <s v="Grasa Gordura"/>
    <n v="0"/>
    <n v="0"/>
    <n v="0.45719439678473212"/>
    <n v="0"/>
    <n v="64320"/>
    <n v="0"/>
    <n v="0"/>
    <n v="64320"/>
    <n v="96000"/>
    <n v="24000"/>
    <n v="48000"/>
    <n v="0"/>
    <n v="48000"/>
    <n v="16320"/>
    <n v="0"/>
    <n v="0"/>
    <n v="0"/>
    <n v="16320"/>
    <n v="0"/>
    <n v="0"/>
    <n v="0"/>
    <n v="0"/>
    <n v="24000"/>
    <n v="48000"/>
    <n v="0"/>
    <n v="48000"/>
    <n v="0"/>
    <n v="48000"/>
    <n v="48000"/>
    <n v="0"/>
    <n v="0"/>
    <m/>
    <s v="Si"/>
    <n v="48000"/>
    <n v="48000"/>
    <n v="0"/>
    <d v="2022-08-13T00:00:00"/>
    <n v="0"/>
    <n v="1.1532326041666674"/>
    <n v="1.1532326041666674"/>
    <n v="50400"/>
    <n v="0.98973912625172378"/>
    <n v="0.1651884558046276"/>
    <n v="1.05"/>
    <n v="1.1532326041666674"/>
    <m/>
    <s v="OK"/>
    <s v="OK"/>
    <n v="0"/>
    <n v="0"/>
    <n v="0"/>
    <n v="0"/>
    <n v="0"/>
    <n v="48000"/>
    <n v="0"/>
    <n v="0"/>
    <n v="0"/>
    <n v="0"/>
    <n v="0"/>
    <n v="51325"/>
    <m/>
    <n v="0"/>
    <n v="16320"/>
    <n v="5240.7560000000003"/>
    <n v="2396.0442781159659"/>
    <n v="18716.044278115965"/>
    <n v="2844.7117218840344"/>
    <n v="28594.669400000002"/>
    <n v="13073.322627591839"/>
    <n v="15918.034349475873"/>
    <n v="15521.346772408164"/>
    <n v="0"/>
    <n v="0"/>
  </r>
  <r>
    <s v="Agro Sudamerica1100407"/>
    <x v="3"/>
    <x v="0"/>
    <n v="1100407"/>
    <s v="Nugg Pollo Uru@ Bo Cj 1k SH"/>
    <s v="Empanizado"/>
    <s v="Empanizados Nuggets"/>
    <n v="0"/>
    <n v="0"/>
    <n v="0.45719439678473212"/>
    <n v="0"/>
    <n v="13776"/>
    <n v="0"/>
    <n v="0"/>
    <n v="13776"/>
    <n v="12000"/>
    <n v="12000"/>
    <n v="12000"/>
    <n v="0"/>
    <n v="12000"/>
    <n v="1776"/>
    <n v="0"/>
    <n v="0"/>
    <n v="0"/>
    <n v="1776"/>
    <n v="0"/>
    <n v="0"/>
    <n v="0"/>
    <n v="0"/>
    <n v="0"/>
    <n v="12000"/>
    <n v="0"/>
    <n v="12000"/>
    <n v="0"/>
    <n v="12000"/>
    <n v="12000"/>
    <n v="0"/>
    <n v="0"/>
    <m/>
    <s v="Si"/>
    <n v="12000"/>
    <n v="12000"/>
    <n v="0"/>
    <d v="2022-08-16T00:00:00"/>
    <n v="0"/>
    <n v="3.9"/>
    <n v="3.9"/>
    <n v="43200"/>
    <n v="3.65842555"/>
    <n v="6.6032353726591456E-2"/>
    <n v="3.6"/>
    <n v="3.9"/>
    <m/>
    <s v="OK"/>
    <s v="OK"/>
    <n v="0"/>
    <n v="0"/>
    <n v="9000"/>
    <n v="12000"/>
    <n v="0"/>
    <n v="0"/>
    <n v="34512.5"/>
    <n v="0"/>
    <n v="26100"/>
    <n v="0"/>
    <n v="0"/>
    <n v="0"/>
    <m/>
    <n v="0"/>
    <n v="1776"/>
    <n v="0"/>
    <n v="0"/>
    <n v="1776"/>
    <n v="0"/>
    <n v="0"/>
    <n v="0"/>
    <n v="0"/>
    <n v="0"/>
    <n v="0"/>
    <n v="0"/>
  </r>
  <r>
    <s v="Agro Sudamerica1100408"/>
    <x v="3"/>
    <x v="0"/>
    <n v="1100408"/>
    <s v="Nugg Pollo Uru@ Film 2.5k SH"/>
    <s v="Empanizado"/>
    <s v="Empanizados Nuggets"/>
    <n v="0"/>
    <n v="0"/>
    <n v="0.45719439678473212"/>
    <n v="0"/>
    <n v="9210"/>
    <n v="0"/>
    <n v="0"/>
    <n v="9210"/>
    <n v="6000"/>
    <n v="6000"/>
    <n v="6000"/>
    <n v="0"/>
    <n v="6000"/>
    <n v="3210"/>
    <n v="0"/>
    <n v="0"/>
    <n v="0"/>
    <n v="3210"/>
    <n v="0"/>
    <n v="0"/>
    <n v="0"/>
    <n v="0"/>
    <n v="18000"/>
    <n v="6000"/>
    <n v="0"/>
    <n v="6000"/>
    <n v="0"/>
    <n v="6000"/>
    <n v="6000"/>
    <n v="0"/>
    <n v="0"/>
    <m/>
    <s v="Si"/>
    <n v="6000"/>
    <n v="6000"/>
    <n v="0"/>
    <d v="2022-08-16T00:00:00"/>
    <n v="0"/>
    <n v="3.9"/>
    <n v="3.9"/>
    <n v="21600"/>
    <n v="3.6584255666666667"/>
    <n v="6.6032348870074462E-2"/>
    <n v="3.6"/>
    <n v="3.9"/>
    <m/>
    <s v="OK"/>
    <s v="OK"/>
    <n v="0"/>
    <n v="0"/>
    <n v="9000"/>
    <n v="6000"/>
    <n v="0"/>
    <n v="6000"/>
    <n v="21962.5"/>
    <n v="0"/>
    <n v="26100"/>
    <n v="0"/>
    <n v="0"/>
    <n v="23400"/>
    <s v="Falta confirmar la venta"/>
    <n v="0"/>
    <n v="3210"/>
    <n v="0"/>
    <n v="0"/>
    <n v="3210"/>
    <n v="0"/>
    <n v="0"/>
    <n v="0"/>
    <n v="0"/>
    <n v="0"/>
    <n v="0"/>
    <n v="0"/>
  </r>
  <r>
    <s v="Agrosuper Shanghai1030419"/>
    <x v="1"/>
    <x v="3"/>
    <n v="1030419"/>
    <s v="PV Hígad@ Bo Cj 15k SO"/>
    <s v="Menudencias"/>
    <s v="Menudencias Hígado"/>
    <n v="0"/>
    <n v="0"/>
    <n v="0.45719439678473212"/>
    <n v="0"/>
    <n v="21360"/>
    <n v="4000"/>
    <n v="0"/>
    <n v="24960"/>
    <n v="48000"/>
    <n v="24000"/>
    <n v="24000"/>
    <m/>
    <n v="24000"/>
    <n v="960"/>
    <n v="0"/>
    <n v="0"/>
    <n v="0"/>
    <n v="960"/>
    <n v="0"/>
    <n v="0"/>
    <n v="0"/>
    <n v="0"/>
    <n v="0"/>
    <n v="24000"/>
    <n v="0"/>
    <n v="24000"/>
    <n v="0"/>
    <n v="24000"/>
    <n v="24000"/>
    <n v="0"/>
    <n v="0"/>
    <m/>
    <s v="Si"/>
    <n v="24000"/>
    <n v="21360"/>
    <n v="2640"/>
    <d v="2022-08-13T00:00:00"/>
    <n v="0"/>
    <n v="1.9"/>
    <n v="1.9"/>
    <n v="45600"/>
    <n v="0"/>
    <s v="No Aplica"/>
    <n v="1.9"/>
    <n v="1.9"/>
    <m/>
    <s v="OK"/>
    <s v="OK"/>
    <n v="0"/>
    <n v="0"/>
    <n v="0"/>
    <n v="0"/>
    <n v="0"/>
    <n v="0"/>
    <n v="0"/>
    <n v="0"/>
    <n v="0"/>
    <n v="0"/>
    <n v="0"/>
    <n v="0"/>
    <m/>
    <n v="0"/>
    <n v="960"/>
    <n v="0"/>
    <n v="0"/>
    <n v="960"/>
    <n v="0"/>
    <n v="0"/>
    <n v="0"/>
    <n v="0"/>
    <n v="0"/>
    <n v="0"/>
    <n v="0"/>
  </r>
  <r>
    <s v="Agrosuper Shanghai1012424"/>
    <x v="2"/>
    <x v="3"/>
    <n v="1012424"/>
    <s v="PO Ctro-Pta-Ala@ Cj 20k AS"/>
    <s v="Ala"/>
    <s v="Ala Centro-Punta"/>
    <n v="0"/>
    <n v="0"/>
    <n v="0.45719439678473212"/>
    <n v="0"/>
    <n v="0"/>
    <n v="0"/>
    <n v="0"/>
    <n v="0"/>
    <n v="0"/>
    <n v="2400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super Shanghai1012454"/>
    <x v="2"/>
    <x v="3"/>
    <n v="1012454"/>
    <s v="PO Ctro Pta Ala@ Cj 20k AS"/>
    <s v="Ala"/>
    <s v="Ala Centro-Punta"/>
    <n v="0"/>
    <n v="0"/>
    <n v="0.45719439678473212"/>
    <n v="0"/>
    <n v="0"/>
    <n v="0"/>
    <n v="0"/>
    <n v="0"/>
    <n v="0"/>
    <n v="2400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21005"/>
    <x v="0"/>
    <x v="0"/>
    <n v="1021005"/>
    <s v="GO PpPal 77@ Bo Cj 20k AS"/>
    <s v="Paleta"/>
    <s v="Paleta Pulpa"/>
    <n v="0"/>
    <n v="0"/>
    <n v="0.45719439678473212"/>
    <n v="0"/>
    <n v="0"/>
    <n v="0"/>
    <n v="0"/>
    <n v="0"/>
    <n v="10000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1.9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22102"/>
    <x v="0"/>
    <x v="0"/>
    <n v="1022102"/>
    <s v="GO Pecho S/cue K@ Cj 20k AS"/>
    <s v="Cost-Pec"/>
    <s v="Cost-Pec Entero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20993"/>
    <x v="0"/>
    <x v="0"/>
    <n v="1020993"/>
    <s v="GO Pal Nor@ Cj 20k AS"/>
    <s v="Paleta"/>
    <s v="Paleta Entera"/>
    <n v="8100"/>
    <n v="0"/>
    <n v="0.45719439678473212"/>
    <n v="3703.2746139563301"/>
    <n v="0"/>
    <n v="0"/>
    <n v="0"/>
    <n v="3703.2746139563301"/>
    <n v="8100"/>
    <n v="24000"/>
    <n v="0"/>
    <n v="0"/>
    <n v="0"/>
    <n v="3703.2746139563301"/>
    <n v="0"/>
    <n v="0"/>
    <n v="0"/>
    <n v="3703.274613956330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1.3941750987654309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4396.7253860436704"/>
    <n v="8100"/>
    <n v="0"/>
    <n v="0"/>
    <n v="8100"/>
    <n v="0"/>
    <n v="0"/>
    <n v="0"/>
    <n v="0"/>
    <n v="0"/>
    <n v="8100"/>
    <n v="0"/>
  </r>
  <r>
    <s v="Agrosuper Asia1022767"/>
    <x v="0"/>
    <x v="1"/>
    <n v="1022767"/>
    <s v="GO Gord Esp@ 20kg AA"/>
    <s v="Grasas"/>
    <s v="Grasa Gordura"/>
    <n v="0"/>
    <n v="0"/>
    <n v="0.45719439678473212"/>
    <n v="0"/>
    <n v="1000"/>
    <n v="0"/>
    <n v="0"/>
    <n v="1000"/>
    <n v="0"/>
    <n v="24000"/>
    <n v="0"/>
    <n v="0"/>
    <n v="0"/>
    <n v="1000"/>
    <n v="0"/>
    <n v="0"/>
    <n v="0"/>
    <n v="100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1000"/>
    <n v="0"/>
    <n v="0"/>
    <n v="1000"/>
    <n v="0"/>
    <n v="0"/>
    <n v="0"/>
    <n v="0"/>
    <n v="0"/>
    <n v="0"/>
    <n v="0"/>
  </r>
  <r>
    <s v="Agrosuper Shanghai1021740"/>
    <x v="0"/>
    <x v="3"/>
    <n v="1021740"/>
    <s v="GO Pana S/Corazón@ Cj 20k AS"/>
    <s v="Subprod"/>
    <s v="Subprod Visceras"/>
    <n v="0"/>
    <n v="0"/>
    <n v="0.45719439678473212"/>
    <n v="0"/>
    <n v="55750"/>
    <n v="94730"/>
    <n v="0"/>
    <n v="141007"/>
    <n v="33000"/>
    <n v="24000"/>
    <n v="33000"/>
    <m/>
    <n v="33000"/>
    <n v="108007"/>
    <n v="0"/>
    <n v="0"/>
    <n v="0"/>
    <n v="108007"/>
    <n v="0"/>
    <n v="0"/>
    <n v="0"/>
    <n v="0"/>
    <n v="33000"/>
    <n v="33000"/>
    <n v="0"/>
    <n v="33000"/>
    <n v="0"/>
    <n v="33000"/>
    <n v="33000"/>
    <n v="0"/>
    <n v="0"/>
    <m/>
    <s v="Si"/>
    <n v="33000"/>
    <n v="33000"/>
    <n v="0"/>
    <d v="2022-08-13T00:00:00"/>
    <n v="0.43338027277354196"/>
    <n v="0.41875000000000001"/>
    <n v="0.41875000000000001"/>
    <n v="13818.75"/>
    <n v="0.43338027277354196"/>
    <n v="3.3758511156752255E-2"/>
    <n v="0.41875000000000001"/>
    <n v="0.41875000000000001"/>
    <m/>
    <s v="OK"/>
    <s v="OK"/>
    <n v="0"/>
    <n v="0"/>
    <n v="0"/>
    <n v="0"/>
    <n v="0"/>
    <n v="0"/>
    <n v="0"/>
    <n v="0"/>
    <n v="0"/>
    <n v="0"/>
    <n v="0"/>
    <n v="0"/>
    <m/>
    <n v="0"/>
    <n v="108007"/>
    <n v="0"/>
    <n v="0"/>
    <n v="108007"/>
    <n v="0"/>
    <n v="0"/>
    <n v="0"/>
    <n v="0"/>
    <n v="0"/>
    <n v="0"/>
    <n v="0"/>
  </r>
  <r>
    <s v="Agrosuper Shanghai1022388"/>
    <x v="0"/>
    <x v="3"/>
    <n v="1022388"/>
    <s v="GO Mixto Hso@ Bo Cj 10k AS"/>
    <s v="Huesos"/>
    <s v="Huesos Cuarto Centra"/>
    <n v="0"/>
    <n v="0"/>
    <n v="0.45719439678473212"/>
    <n v="0"/>
    <n v="76856"/>
    <n v="34142"/>
    <n v="0"/>
    <n v="107583.8"/>
    <n v="0"/>
    <n v="24000"/>
    <n v="0"/>
    <m/>
    <n v="0"/>
    <n v="107583.8"/>
    <n v="0"/>
    <n v="0"/>
    <n v="0"/>
    <n v="107583.8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.5841624976098434"/>
    <n v="0"/>
    <n v="0"/>
    <n v="0"/>
    <n v="1.5841624976098434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107583.8"/>
    <n v="0"/>
    <n v="0"/>
    <n v="107583.8"/>
    <n v="0"/>
    <n v="0"/>
    <n v="0"/>
    <n v="0"/>
    <n v="0"/>
    <n v="0"/>
    <n v="0"/>
  </r>
  <r>
    <s v="Agrosuper Shanghai1022646"/>
    <x v="0"/>
    <x v="3"/>
    <n v="1022646"/>
    <s v="GO Pecho Belly S/p@ Vp Cj AS"/>
    <s v="Panceta"/>
    <s v="Panceta s/Cuero"/>
    <n v="0"/>
    <n v="0"/>
    <n v="0.45719439678473212"/>
    <n v="0"/>
    <n v="11894"/>
    <n v="4943.3286714544147"/>
    <n v="0"/>
    <n v="16342.995804308974"/>
    <n v="0"/>
    <n v="24000"/>
    <n v="0"/>
    <m/>
    <n v="0"/>
    <n v="16342.995804308974"/>
    <n v="0"/>
    <n v="0"/>
    <n v="0"/>
    <n v="16342.995804308974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5.4547211780949603"/>
    <n v="0"/>
    <n v="0"/>
    <n v="0"/>
    <n v="5.4547211780949603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16342.995804308974"/>
    <n v="0"/>
    <n v="0"/>
    <n v="16342.995804308974"/>
    <n v="0"/>
    <n v="0"/>
    <n v="0"/>
    <n v="0"/>
    <n v="0"/>
    <n v="0"/>
    <n v="0"/>
  </r>
  <r>
    <s v="Agrosuper Shanghai1023035"/>
    <x v="0"/>
    <x v="3"/>
    <n v="1023035"/>
    <s v="GO Belly Strip@ Cj 20k AS"/>
    <s v="Recortes"/>
    <s v="Recortes No Magro"/>
    <n v="0"/>
    <n v="0"/>
    <n v="0.45719439678473212"/>
    <n v="0"/>
    <n v="22278"/>
    <n v="2468"/>
    <n v="0"/>
    <n v="24499.200000000001"/>
    <n v="24000"/>
    <n v="24000"/>
    <n v="24000"/>
    <m/>
    <n v="24000"/>
    <n v="499.20000000000073"/>
    <n v="0"/>
    <n v="0"/>
    <n v="0"/>
    <n v="499.20000000000073"/>
    <n v="0"/>
    <n v="0"/>
    <n v="0"/>
    <n v="0"/>
    <n v="0"/>
    <n v="24000"/>
    <n v="0"/>
    <n v="24000"/>
    <n v="0"/>
    <n v="24000"/>
    <n v="24000"/>
    <n v="0"/>
    <n v="0"/>
    <m/>
    <s v="Si"/>
    <n v="24000"/>
    <n v="22278"/>
    <n v="1722"/>
    <d v="2022-08-13T00:00:00"/>
    <n v="0"/>
    <n v="0.93333333333333302"/>
    <n v="0.93333333333333302"/>
    <n v="22399.999999999993"/>
    <n v="0"/>
    <s v="No Aplica"/>
    <n v="0.93333333333333302"/>
    <n v="0.93333333333333302"/>
    <m/>
    <s v="OK"/>
    <s v="OK"/>
    <n v="0"/>
    <n v="0"/>
    <n v="0"/>
    <n v="0"/>
    <n v="0"/>
    <n v="0"/>
    <n v="0"/>
    <n v="0"/>
    <n v="0"/>
    <n v="0"/>
    <n v="0"/>
    <n v="0"/>
    <m/>
    <n v="0"/>
    <n v="499.20000000000073"/>
    <n v="0"/>
    <n v="0"/>
    <n v="499.20000000000073"/>
    <n v="0"/>
    <n v="0"/>
    <n v="0"/>
    <n v="0"/>
    <n v="0"/>
    <n v="0"/>
    <n v="0"/>
  </r>
  <r>
    <s v="Agrosuper Shanghai1023362"/>
    <x v="0"/>
    <x v="3"/>
    <n v="1023362"/>
    <s v="GO Cuarto Delant @ COM Cj AS"/>
    <s v="Vara Gordo"/>
    <s v="Vara Cuarto Delanter"/>
    <n v="0"/>
    <n v="0"/>
    <n v="0.45719439678473212"/>
    <n v="0"/>
    <n v="19"/>
    <n v="0"/>
    <n v="0"/>
    <n v="19"/>
    <n v="6949"/>
    <n v="7761"/>
    <n v="0"/>
    <m/>
    <n v="0"/>
    <n v="19"/>
    <n v="0"/>
    <n v="0"/>
    <n v="0"/>
    <n v="19"/>
    <n v="0"/>
    <n v="0"/>
    <n v="0"/>
    <n v="0"/>
    <n v="6949"/>
    <n v="0"/>
    <n v="0"/>
    <n v="0"/>
    <n v="0"/>
    <n v="0"/>
    <n v="0"/>
    <n v="0"/>
    <n v="0"/>
    <m/>
    <s v="No"/>
    <n v="0"/>
    <n v="0"/>
    <n v="0"/>
    <d v="2022-08-13T00:00:00"/>
    <n v="1.6326066589652759"/>
    <n v="1.6671556537924599"/>
    <n v="0"/>
    <n v="0"/>
    <n v="1.6326066589652759"/>
    <s v="No Aplica"/>
    <n v="0"/>
    <n v="0"/>
    <m/>
    <s v="OK"/>
    <s v="OK"/>
    <n v="0"/>
    <n v="0"/>
    <n v="0"/>
    <n v="0"/>
    <n v="0"/>
    <n v="7761"/>
    <n v="0"/>
    <n v="0"/>
    <n v="0"/>
    <n v="0"/>
    <n v="0"/>
    <n v="12805"/>
    <m/>
    <n v="0"/>
    <n v="19"/>
    <n v="0"/>
    <n v="0"/>
    <n v="19"/>
    <n v="0"/>
    <n v="0"/>
    <n v="0"/>
    <n v="0"/>
    <n v="0"/>
    <n v="0"/>
    <n v="0"/>
  </r>
  <r>
    <s v="Agrosuper Shanghai1023363"/>
    <x v="0"/>
    <x v="3"/>
    <n v="1023363"/>
    <s v="GO Cuarto Trasero @ COM Cj AS"/>
    <s v="Vara Gordo"/>
    <s v="Vara Cuarto Trasero"/>
    <n v="0"/>
    <n v="0"/>
    <n v="0.45719439678473212"/>
    <n v="0"/>
    <n v="30"/>
    <n v="0"/>
    <n v="0"/>
    <n v="30"/>
    <n v="6127"/>
    <n v="6843"/>
    <n v="0"/>
    <m/>
    <n v="0"/>
    <n v="30"/>
    <n v="0"/>
    <n v="0"/>
    <n v="0"/>
    <n v="30"/>
    <n v="0"/>
    <n v="0"/>
    <n v="0"/>
    <n v="0"/>
    <n v="6127"/>
    <n v="0"/>
    <n v="0"/>
    <n v="0"/>
    <n v="0"/>
    <n v="0"/>
    <n v="0"/>
    <n v="0"/>
    <n v="0"/>
    <m/>
    <s v="No"/>
    <n v="0"/>
    <n v="0"/>
    <n v="0"/>
    <d v="2022-08-13T00:00:00"/>
    <n v="1.6320950278744659"/>
    <n v="1.6651828334916503"/>
    <n v="0"/>
    <n v="0"/>
    <n v="1.6320950278744659"/>
    <s v="No Aplica"/>
    <n v="0"/>
    <n v="0"/>
    <m/>
    <s v="OK"/>
    <s v="OK"/>
    <n v="0"/>
    <n v="0"/>
    <n v="0"/>
    <n v="0"/>
    <n v="0"/>
    <n v="6843"/>
    <n v="0"/>
    <n v="0"/>
    <n v="0"/>
    <n v="0"/>
    <n v="0"/>
    <n v="11302"/>
    <m/>
    <n v="0"/>
    <n v="30"/>
    <n v="0"/>
    <n v="0"/>
    <n v="30"/>
    <n v="0"/>
    <n v="0"/>
    <n v="0"/>
    <n v="0"/>
    <n v="0"/>
    <n v="0"/>
    <n v="0"/>
  </r>
  <r>
    <s v="Agrosuper Shanghai1023364"/>
    <x v="0"/>
    <x v="3"/>
    <n v="1023364"/>
    <s v="GO Manos @ COM Cj 20k AS"/>
    <s v="Subprod"/>
    <s v="Subprod Patas-Manos"/>
    <n v="0"/>
    <n v="0"/>
    <n v="0.45719439678473212"/>
    <n v="0"/>
    <n v="436"/>
    <n v="0"/>
    <n v="0"/>
    <n v="436"/>
    <n v="500"/>
    <n v="500"/>
    <n v="0"/>
    <m/>
    <n v="0"/>
    <n v="436"/>
    <n v="0"/>
    <n v="0"/>
    <n v="0"/>
    <n v="436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4.75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436"/>
    <n v="0"/>
    <n v="0"/>
    <n v="436"/>
    <n v="0"/>
    <n v="0"/>
    <n v="0"/>
    <n v="0"/>
    <n v="0"/>
    <n v="0"/>
    <n v="0"/>
  </r>
  <r>
    <s v="Agrosuper Shanghai1023365"/>
    <x v="0"/>
    <x v="3"/>
    <n v="1023365"/>
    <s v="GO Mantec @ COM Cj AS"/>
    <s v="Grasas"/>
    <s v="Grasa Interior"/>
    <n v="0"/>
    <n v="0"/>
    <n v="0.45719439678473212"/>
    <n v="0"/>
    <n v="499"/>
    <n v="0"/>
    <n v="0"/>
    <n v="499"/>
    <n v="313"/>
    <n v="313"/>
    <n v="313"/>
    <m/>
    <n v="313"/>
    <n v="186"/>
    <n v="0"/>
    <n v="0"/>
    <n v="0"/>
    <n v="186"/>
    <n v="0"/>
    <n v="0"/>
    <n v="0"/>
    <n v="0"/>
    <n v="0"/>
    <n v="313"/>
    <n v="0"/>
    <n v="313"/>
    <n v="0"/>
    <n v="313"/>
    <n v="313"/>
    <n v="0"/>
    <n v="0"/>
    <m/>
    <s v="Si"/>
    <n v="313"/>
    <n v="313"/>
    <n v="0"/>
    <d v="2022-08-13T00:00:00"/>
    <n v="0"/>
    <n v="0.89999999999999991"/>
    <n v="0.89999999999999991"/>
    <n v="281.7"/>
    <n v="0"/>
    <s v="No Aplica"/>
    <n v="0.89999999999999991"/>
    <n v="0.89999999999999991"/>
    <m/>
    <s v="OK"/>
    <s v="OK"/>
    <n v="0"/>
    <n v="0"/>
    <n v="0"/>
    <n v="0"/>
    <n v="0"/>
    <n v="313"/>
    <n v="0"/>
    <n v="0"/>
    <n v="0"/>
    <n v="0"/>
    <n v="0"/>
    <n v="282"/>
    <m/>
    <n v="0"/>
    <n v="186"/>
    <n v="0"/>
    <n v="0"/>
    <n v="186"/>
    <n v="0"/>
    <n v="0"/>
    <n v="0"/>
    <n v="0"/>
    <n v="0"/>
    <n v="0"/>
    <n v="0"/>
  </r>
  <r>
    <s v="Agrosuper Shanghai1023366"/>
    <x v="0"/>
    <x v="3"/>
    <n v="1023366"/>
    <s v="GO Patas @ COM Cj 20k AS"/>
    <s v="Subprod"/>
    <s v="Subprod Patas-Manos"/>
    <n v="0"/>
    <n v="0"/>
    <n v="0.45719439678473212"/>
    <n v="0"/>
    <n v="370"/>
    <n v="0"/>
    <n v="0"/>
    <n v="370"/>
    <n v="557"/>
    <n v="557"/>
    <n v="0"/>
    <m/>
    <n v="0"/>
    <n v="370"/>
    <n v="0"/>
    <n v="0"/>
    <n v="0"/>
    <n v="37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4.5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370"/>
    <n v="0"/>
    <n v="0"/>
    <n v="370"/>
    <n v="0"/>
    <n v="0"/>
    <n v="0"/>
    <n v="0"/>
    <n v="0"/>
    <n v="0"/>
    <n v="0"/>
  </r>
  <r>
    <s v="Agrosuper Shanghai1023367"/>
    <x v="0"/>
    <x v="3"/>
    <n v="1023367"/>
    <s v="GO Cab Ent @ COM Cj 20k AS"/>
    <s v="Cabeza"/>
    <s v="Cabeza Entera"/>
    <n v="0"/>
    <n v="0"/>
    <n v="0.45719439678473212"/>
    <n v="0"/>
    <n v="2935"/>
    <n v="0"/>
    <n v="0"/>
    <n v="2935"/>
    <n v="3177"/>
    <n v="3177"/>
    <n v="0"/>
    <m/>
    <n v="0"/>
    <n v="2935"/>
    <n v="0"/>
    <n v="0"/>
    <n v="0"/>
    <n v="2935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1.55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2935"/>
    <n v="0"/>
    <n v="0"/>
    <n v="2935"/>
    <n v="0"/>
    <n v="0"/>
    <n v="0"/>
    <n v="0"/>
    <n v="0"/>
    <n v="0"/>
    <n v="0"/>
  </r>
  <r>
    <s v="Agrosuper Shanghai1023368"/>
    <x v="0"/>
    <x v="3"/>
    <n v="1023368"/>
    <s v="GO Cuarto Central @ COM Cj AS"/>
    <s v="Vara Gordo"/>
    <s v="Vara Cuarto Central"/>
    <n v="0"/>
    <n v="0"/>
    <n v="0.45719439678473212"/>
    <n v="0"/>
    <n v="551"/>
    <n v="0"/>
    <n v="0"/>
    <n v="551"/>
    <n v="6377"/>
    <n v="7122"/>
    <n v="0"/>
    <m/>
    <n v="0"/>
    <n v="551"/>
    <n v="0"/>
    <n v="0"/>
    <n v="0"/>
    <n v="551"/>
    <n v="0"/>
    <n v="0"/>
    <n v="0"/>
    <n v="0"/>
    <n v="6377"/>
    <n v="0"/>
    <n v="0"/>
    <n v="0"/>
    <n v="0"/>
    <n v="0"/>
    <n v="0"/>
    <n v="0"/>
    <n v="0"/>
    <m/>
    <s v="No"/>
    <n v="0"/>
    <n v="0"/>
    <n v="0"/>
    <d v="2022-08-13T00:00:00"/>
    <n v="1.6334451142837718"/>
    <n v="1.6675858256324101"/>
    <n v="0"/>
    <n v="0"/>
    <n v="1.6334451142837718"/>
    <s v="No Aplica"/>
    <n v="0"/>
    <n v="0"/>
    <m/>
    <s v="OK"/>
    <s v="OK"/>
    <n v="0"/>
    <n v="0"/>
    <n v="0"/>
    <n v="0"/>
    <n v="0"/>
    <n v="7122"/>
    <n v="0"/>
    <n v="0"/>
    <n v="0"/>
    <n v="0"/>
    <n v="0"/>
    <n v="11754"/>
    <m/>
    <n v="0"/>
    <n v="551"/>
    <n v="0"/>
    <n v="0"/>
    <n v="551"/>
    <n v="0"/>
    <n v="0"/>
    <n v="0"/>
    <n v="0"/>
    <n v="0"/>
    <n v="0"/>
    <n v="0"/>
  </r>
  <r>
    <s v="Exportacion Directa1023166"/>
    <x v="0"/>
    <x v="4"/>
    <n v="1023166"/>
    <s v="GO Lom Tocino@ Bo Cj 20k AP"/>
    <s v="Panceta"/>
    <s v="Panceta s/Cuero"/>
    <n v="0"/>
    <n v="0"/>
    <n v="0.87158319035419651"/>
    <n v="0"/>
    <n v="5"/>
    <n v="0"/>
    <n v="0"/>
    <n v="5"/>
    <n v="0"/>
    <n v="24000"/>
    <n v="0"/>
    <n v="0"/>
    <n v="0"/>
    <n v="5"/>
    <n v="0"/>
    <n v="0"/>
    <n v="0"/>
    <n v="5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27T00:00:00"/>
    <n v="1.365764"/>
    <n v="0"/>
    <n v="0"/>
    <n v="0"/>
    <n v="1.365764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5"/>
    <n v="0"/>
    <n v="0"/>
    <n v="5"/>
    <n v="0"/>
    <n v="0"/>
    <n v="0"/>
    <n v="0"/>
    <n v="0"/>
    <n v="0"/>
    <n v="0"/>
  </r>
  <r>
    <s v="Agro Sudamerica1011105"/>
    <x v="2"/>
    <x v="0"/>
    <n v="1011105"/>
    <s v="PO Tru-Ctro Ala 60-80 4x10 NMr@ Cj20k AS"/>
    <s v="Trutro"/>
    <s v="Trutro Largo"/>
    <n v="6000"/>
    <n v="6000"/>
    <n v="0.45719439678473212"/>
    <n v="2743.1663807083928"/>
    <n v="9868"/>
    <n v="5000"/>
    <n v="0"/>
    <n v="17111.166380708393"/>
    <n v="20000"/>
    <n v="24000"/>
    <n v="0"/>
    <n v="0"/>
    <n v="0"/>
    <n v="17111.166380708393"/>
    <n v="0"/>
    <n v="0"/>
    <n v="0"/>
    <n v="17111.166380708393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3.08666666666667"/>
    <n v="2.8348314700000001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3256.8336192916076"/>
    <n v="20368"/>
    <n v="6000"/>
    <n v="2743.1663807083928"/>
    <n v="23111.166380708393"/>
    <n v="3256.8336192916072"/>
    <n v="6000"/>
    <n v="2743.1663807083928"/>
    <n v="6000"/>
    <n v="3256.8336192916072"/>
    <n v="6000"/>
    <n v="0"/>
  </r>
  <r>
    <s v="Agro Sudamerica1030661"/>
    <x v="1"/>
    <x v="0"/>
    <n v="1030661"/>
    <s v="PV PchDeh S/p c/f MA@ Bo Cj 16k SO"/>
    <s v="Pech Desh"/>
    <s v="Pech Desh c/Piel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30736"/>
    <x v="1"/>
    <x v="0"/>
    <n v="1030736"/>
    <s v="PV PchDeh c/p@ Cj 17,5k AS"/>
    <s v="Pech Desh"/>
    <s v="Pech Desh c/Piel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30755"/>
    <x v="1"/>
    <x v="0"/>
    <n v="1030755"/>
    <s v="PV Osob@ Cj 14k AS"/>
    <s v="Trutro"/>
    <s v="Trutro Osobuco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super Asia1030576"/>
    <x v="1"/>
    <x v="1"/>
    <n v="1030576"/>
    <s v="PV Muestra Piel Tru Cor@ Bo Cj 15k AS"/>
    <s v="Muestras"/>
    <s v="Muestras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1"/>
    <n v="0"/>
    <n v="0"/>
    <n v="0"/>
    <n v="1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super Brasil1030740"/>
    <x v="1"/>
    <x v="2"/>
    <n v="1030740"/>
    <s v="PV PchDeh S/p S/ten C/f@ Cj 20k AS"/>
    <s v="Pech Desh"/>
    <s v="Pech Desh c/Piel"/>
    <n v="0"/>
    <n v="0"/>
    <n v="0.81420840482290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25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12342"/>
    <x v="2"/>
    <x v="0"/>
    <n v="1012342"/>
    <s v="PO Corazon@ Cj 18k AS"/>
    <s v="Menudencias"/>
    <s v="Menudencias Corazón"/>
    <n v="0"/>
    <n v="0"/>
    <n v="0.45719439678473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11431"/>
    <x v="2"/>
    <x v="0"/>
    <n v="1011431"/>
    <s v="PO Corazón@ Bo 20k Cj SP"/>
    <s v="Menudencias"/>
    <s v="Menudencias Corazón"/>
    <n v="0"/>
    <n v="0"/>
    <n v="0.45719439678473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11566"/>
    <x v="2"/>
    <x v="0"/>
    <n v="1011566"/>
    <s v="PO Garra Lag@Cj 20 kg Muestra"/>
    <s v="Muestra"/>
    <s v="Muestra"/>
    <n v="0"/>
    <n v="0"/>
    <n v="0.45719439678473212"/>
    <n v="0"/>
    <n v="0"/>
    <n v="0"/>
    <n v="0"/>
    <n v="0"/>
    <n v="0"/>
    <n v="210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.58101484042553198"/>
    <n v="0"/>
    <n v="0"/>
    <n v="0"/>
    <n v="0.58101484042553198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super Shanghai1012423"/>
    <x v="2"/>
    <x v="3"/>
    <n v="1012423"/>
    <s v="PO Ctro-Pta-Ala Choice@ Cj 20k AS"/>
    <s v="Ala"/>
    <s v="Ala Centro-Punta"/>
    <n v="0"/>
    <n v="0"/>
    <n v="0.45719439678473212"/>
    <n v="0"/>
    <n v="0"/>
    <n v="0"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3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22781"/>
    <x v="0"/>
    <x v="0"/>
    <n v="1022781"/>
    <s v="GO TRIPA CALIB 32/35# BO BIDON AS"/>
    <s v="Subprod"/>
    <s v="Subprod Tripa"/>
    <n v="8118"/>
    <n v="7000"/>
    <n v="0.45719439678473212"/>
    <n v="3711.5041130984555"/>
    <n v="0"/>
    <n v="0"/>
    <n v="0"/>
    <n v="3711.5041130984555"/>
    <n v="15555"/>
    <n v="24000"/>
    <n v="0"/>
    <n v="0"/>
    <n v="0"/>
    <n v="3711.5041130984555"/>
    <n v="0"/>
    <m/>
    <n v="0"/>
    <n v="3711.5041130984555"/>
    <n v="0"/>
    <n v="0"/>
    <n v="0"/>
    <n v="6120"/>
    <n v="6120"/>
    <n v="6120"/>
    <n v="6120"/>
    <n v="0"/>
    <n v="0"/>
    <n v="6120"/>
    <n v="0"/>
    <n v="0"/>
    <n v="0"/>
    <m/>
    <s v="No"/>
    <n v="0"/>
    <n v="0"/>
    <n v="0"/>
    <d v="2022-08-16T00:00:00"/>
    <n v="13.401"/>
    <n v="10.576208531078084"/>
    <n v="10.576208531078084"/>
    <n v="64260"/>
    <n v="10.12719360670194"/>
    <n v="4.433754718375247E-2"/>
    <n v="10.5"/>
    <n v="10.576208531078084"/>
    <m/>
    <s v="OK"/>
    <s v="OK"/>
    <n v="7067"/>
    <n v="3060"/>
    <n v="10282"/>
    <n v="1500"/>
    <n v="6600"/>
    <n v="15300"/>
    <n v="79009.06"/>
    <n v="39589"/>
    <n v="108578"/>
    <n v="22170"/>
    <n v="88521"/>
    <n v="198441"/>
    <m/>
    <n v="4406.4958869015454"/>
    <n v="8118.0000000000009"/>
    <n v="8200"/>
    <n v="3748.9940536348035"/>
    <n v="11866.994053634804"/>
    <n v="4451.005946365196"/>
    <n v="5411.1871999999994"/>
    <n v="2473.9644677932633"/>
    <n v="6924.9704141584589"/>
    <n v="2937.2227322067361"/>
    <n v="8118.0000000000009"/>
    <n v="0"/>
  </r>
  <r>
    <s v="Agro Sudamerica1022782"/>
    <x v="0"/>
    <x v="0"/>
    <n v="1022782"/>
    <s v="GO TRIPA CALIB 35/38# BO BIDON AS"/>
    <s v="Subprod"/>
    <s v="Subprod Tripa"/>
    <n v="0"/>
    <n v="0"/>
    <n v="0.45719439678473212"/>
    <n v="0"/>
    <n v="0"/>
    <n v="0"/>
    <n v="0"/>
    <n v="0"/>
    <n v="15600"/>
    <n v="2400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7.9970181242137652"/>
    <n v="0"/>
    <n v="0"/>
    <n v="8.1412094104940405"/>
    <s v="No Aplica"/>
    <n v="0"/>
    <n v="0"/>
    <m/>
    <s v="OK"/>
    <s v="OK"/>
    <n v="18796"/>
    <n v="3600"/>
    <n v="0"/>
    <n v="0"/>
    <n v="3600"/>
    <n v="11520"/>
    <n v="156946.6"/>
    <n v="36108"/>
    <n v="0"/>
    <n v="0"/>
    <n v="36360"/>
    <n v="120730"/>
    <m/>
    <n v="0"/>
    <n v="0"/>
    <n v="0"/>
    <n v="0"/>
    <n v="0"/>
    <n v="0"/>
    <n v="0"/>
    <n v="0"/>
    <n v="0"/>
    <n v="0"/>
    <n v="0"/>
    <n v="0"/>
  </r>
  <r>
    <s v="Agro Sudamerica1022783"/>
    <x v="0"/>
    <x v="0"/>
    <n v="1022783"/>
    <s v="GO TRIPA CALIB 38/40# BO BIDON AS"/>
    <s v="Subprod"/>
    <s v="Subprod Tripa"/>
    <n v="0"/>
    <n v="0"/>
    <n v="0.45719439678473212"/>
    <n v="0"/>
    <n v="0"/>
    <n v="0"/>
    <n v="0"/>
    <n v="0"/>
    <n v="7200"/>
    <n v="2400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7.8294573643410796"/>
    <n v="0"/>
    <n v="0"/>
    <n v="7.8173661121877691"/>
    <s v="No Aplica"/>
    <n v="0"/>
    <n v="0"/>
    <m/>
    <s v="OK"/>
    <s v="OK"/>
    <n v="0"/>
    <n v="15600"/>
    <n v="0"/>
    <n v="0"/>
    <n v="0"/>
    <n v="4800"/>
    <n v="0"/>
    <n v="156468"/>
    <n v="0"/>
    <n v="0"/>
    <n v="0"/>
    <n v="48384"/>
    <m/>
    <n v="0"/>
    <n v="0"/>
    <n v="1532.3462999999999"/>
    <n v="700.58014229381615"/>
    <n v="700.58014229381615"/>
    <n v="831.76615770618378"/>
    <n v="16989.378400000001"/>
    <n v="7767.4486093355581"/>
    <n v="8599.2147670417417"/>
    <n v="9221.9297906644424"/>
    <n v="0"/>
    <n v="0"/>
  </r>
  <r>
    <s v="Agro Sudamerica1022784"/>
    <x v="0"/>
    <x v="0"/>
    <n v="1022784"/>
    <s v="GO TRIPA CALIB 40/42# BO BIN AS"/>
    <s v="Subprod"/>
    <s v="Subprod Tripa"/>
    <n v="0"/>
    <n v="0"/>
    <n v="0.45719439678473212"/>
    <n v="0"/>
    <n v="0"/>
    <n v="0"/>
    <n v="0"/>
    <n v="0"/>
    <n v="0"/>
    <n v="350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7.6725485156912638"/>
    <n v="0"/>
    <n v="0"/>
    <n v="0"/>
    <n v="7.6725485156912638"/>
    <s v="No Aplica"/>
    <n v="0"/>
    <n v="0"/>
    <m/>
    <s v="OK"/>
    <s v="OK"/>
    <n v="0"/>
    <n v="0"/>
    <n v="0"/>
    <n v="0"/>
    <n v="0"/>
    <n v="900"/>
    <n v="0"/>
    <n v="0"/>
    <n v="0"/>
    <n v="0"/>
    <n v="0"/>
    <n v="9072"/>
    <m/>
    <n v="0"/>
    <n v="0"/>
    <n v="0"/>
    <n v="0"/>
    <n v="0"/>
    <n v="0"/>
    <n v="0"/>
    <n v="0"/>
    <n v="0"/>
    <n v="0"/>
    <n v="0"/>
    <n v="0"/>
  </r>
  <r>
    <s v="Agrosuper Brasil1022782"/>
    <x v="0"/>
    <x v="2"/>
    <n v="1022782"/>
    <s v="GO TRIPA CALIB 35/38# BO BIDON AS"/>
    <s v="Subprod"/>
    <s v="Subprod Tripa"/>
    <n v="9180"/>
    <n v="0"/>
    <n v="0.81420840482290169"/>
    <n v="7474.4331562742373"/>
    <n v="0"/>
    <n v="0"/>
    <n v="0"/>
    <n v="7474.4331562742373"/>
    <n v="0"/>
    <n v="24000"/>
    <n v="0"/>
    <n v="0"/>
    <n v="0"/>
    <n v="7474.4331562742373"/>
    <n v="0"/>
    <m/>
    <n v="0"/>
    <n v="7474.4331562742373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25T00:00:00"/>
    <n v="8.3464566929133852"/>
    <n v="0"/>
    <n v="0"/>
    <n v="0"/>
    <n v="8.3464566929133852"/>
    <s v="No Aplica"/>
    <n v="0"/>
    <n v="0"/>
    <m/>
    <s v="OK"/>
    <s v="OK"/>
    <n v="0"/>
    <n v="0"/>
    <n v="0"/>
    <n v="0"/>
    <n v="0"/>
    <n v="6240"/>
    <n v="0"/>
    <n v="0"/>
    <n v="0"/>
    <n v="0"/>
    <n v="0"/>
    <n v="66144"/>
    <m/>
    <n v="1705.5668437257625"/>
    <n v="9180"/>
    <n v="10336.284900000001"/>
    <n v="8415.890040224047"/>
    <n v="17595.890040224047"/>
    <n v="1920.3948597759536"/>
    <n v="0"/>
    <n v="0"/>
    <n v="1920.3948597759536"/>
    <n v="0"/>
    <n v="9180"/>
    <n v="0"/>
  </r>
  <r>
    <s v="Agrosuper Brasil1022783"/>
    <x v="0"/>
    <x v="2"/>
    <n v="1022783"/>
    <s v="GO TRIPA CALIB 38/40# BO BIDON AS"/>
    <s v="Subprod"/>
    <s v="Subprod Tripa"/>
    <n v="7200"/>
    <n v="0"/>
    <n v="0.81420840482290169"/>
    <n v="5862.3005147248923"/>
    <n v="0"/>
    <n v="0"/>
    <n v="0"/>
    <n v="5862.3005147248923"/>
    <n v="0"/>
    <n v="24000"/>
    <n v="0"/>
    <n v="0"/>
    <n v="0"/>
    <n v="5862.3005147248923"/>
    <n v="0"/>
    <m/>
    <n v="0"/>
    <n v="5862.3005147248923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25T00:00:00"/>
    <n v="8.2170542635658901"/>
    <n v="0"/>
    <n v="0"/>
    <n v="0"/>
    <n v="8.2170542635658901"/>
    <s v="No Aplica"/>
    <n v="0"/>
    <n v="0"/>
    <m/>
    <s v="OK"/>
    <s v="OK"/>
    <n v="0"/>
    <n v="0"/>
    <n v="0"/>
    <n v="0"/>
    <n v="0"/>
    <n v="6480"/>
    <n v="0"/>
    <n v="0"/>
    <n v="0"/>
    <n v="0"/>
    <n v="0"/>
    <n v="68688"/>
    <m/>
    <n v="1337.6994852751079"/>
    <n v="7200"/>
    <n v="2512.4488000000001"/>
    <n v="2045.6569296472137"/>
    <n v="9245.6569296472135"/>
    <n v="466.79187035278642"/>
    <n v="0"/>
    <n v="0"/>
    <n v="466.79187035278642"/>
    <n v="0"/>
    <n v="7200"/>
    <n v="0"/>
  </r>
  <r>
    <s v="Agrosuper Brasil1022784"/>
    <x v="0"/>
    <x v="2"/>
    <n v="1022784"/>
    <s v="GO TRIPA CALIB 40/42# BO BIN AS"/>
    <s v="Subprod"/>
    <s v="Subprod Tripa"/>
    <n v="0"/>
    <n v="0"/>
    <n v="0.81420840482290169"/>
    <n v="0"/>
    <n v="0"/>
    <n v="0"/>
    <n v="0"/>
    <n v="0"/>
    <n v="0"/>
    <n v="350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25T00:00:00"/>
    <n v="8.0916030534351151"/>
    <n v="0"/>
    <n v="0"/>
    <n v="0"/>
    <n v="8.0916030534351151"/>
    <s v="No Aplica"/>
    <n v="0"/>
    <n v="0"/>
    <m/>
    <s v="OK"/>
    <s v="OK"/>
    <n v="0"/>
    <n v="0"/>
    <n v="0"/>
    <n v="0"/>
    <n v="0"/>
    <n v="5175"/>
    <n v="0"/>
    <n v="0"/>
    <n v="0"/>
    <n v="0"/>
    <n v="0"/>
    <n v="54855"/>
    <m/>
    <n v="0"/>
    <n v="0"/>
    <n v="0"/>
    <n v="0"/>
    <n v="0"/>
    <n v="0"/>
    <n v="0"/>
    <n v="0"/>
    <n v="0"/>
    <n v="0"/>
    <n v="0"/>
    <n v="0"/>
  </r>
  <r>
    <s v="Agro Sudamerica1022786"/>
    <x v="0"/>
    <x v="0"/>
    <n v="1022786"/>
    <s v="GO Trip Calib Tub 35/39 Azul# Bidon AS"/>
    <s v="Subprod"/>
    <s v="Subprod Tripa"/>
    <n v="1200"/>
    <n v="0"/>
    <n v="0.45719439678473212"/>
    <n v="548.63327614167849"/>
    <n v="0"/>
    <n v="0"/>
    <n v="0"/>
    <n v="548.63327614167849"/>
    <n v="1200"/>
    <n v="24000"/>
    <n v="0"/>
    <n v="0"/>
    <n v="0"/>
    <n v="548.63327614167849"/>
    <n v="0"/>
    <m/>
    <n v="0"/>
    <n v="548.63327614167849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13.964497041420099"/>
    <n v="0"/>
    <n v="0"/>
    <n v="17.372897435897436"/>
    <s v="No Aplica"/>
    <n v="0"/>
    <n v="0"/>
    <m/>
    <s v="OK"/>
    <s v="OK"/>
    <n v="0"/>
    <n v="300"/>
    <n v="0"/>
    <n v="1500"/>
    <n v="1500"/>
    <n v="0"/>
    <n v="0"/>
    <n v="3450"/>
    <n v="0"/>
    <n v="22965"/>
    <n v="22965"/>
    <n v="0"/>
    <m/>
    <n v="651.36672385832151"/>
    <n v="1200"/>
    <n v="300"/>
    <n v="137.15831903541962"/>
    <n v="1337.1583190354197"/>
    <n v="162.84168096458038"/>
    <n v="312.18388000000004"/>
    <n v="142.72872070251722"/>
    <n v="305.5704016670976"/>
    <n v="169.45515929748282"/>
    <n v="1200"/>
    <n v="0"/>
  </r>
  <r>
    <s v="Agro Sudamerica1023295"/>
    <x v="0"/>
    <x v="0"/>
    <n v="1023295"/>
    <s v="GO Trip Calib Tub 37/40 Azul# Cj AS"/>
    <s v="Subprod"/>
    <s v="Subprod Tripa"/>
    <n v="1000"/>
    <n v="1000"/>
    <n v="0.45719439678473212"/>
    <n v="457.19439678473213"/>
    <n v="2282"/>
    <n v="0"/>
    <n v="0"/>
    <n v="2739.1943967847319"/>
    <n v="450"/>
    <n v="24000"/>
    <n v="450"/>
    <n v="0"/>
    <n v="450"/>
    <n v="2289.1943967847319"/>
    <n v="0"/>
    <m/>
    <n v="0"/>
    <n v="2289.1943967847319"/>
    <n v="0"/>
    <n v="0"/>
    <n v="0"/>
    <n v="0"/>
    <n v="450"/>
    <n v="450"/>
    <n v="0"/>
    <n v="450"/>
    <n v="0"/>
    <n v="450"/>
    <n v="450"/>
    <n v="0"/>
    <n v="0"/>
    <m/>
    <s v="Si"/>
    <n v="450"/>
    <n v="450"/>
    <n v="0"/>
    <d v="2022-08-16T00:00:00"/>
    <n v="12.287000000000001"/>
    <n v="14.556213017751501"/>
    <n v="14.556213017751501"/>
    <n v="5484.1500000000005"/>
    <n v="0"/>
    <s v="No Aplica"/>
    <n v="12.187000000000001"/>
    <n v="14.556213017751501"/>
    <m/>
    <s v="OK"/>
    <s v="OK"/>
    <n v="0"/>
    <n v="2700"/>
    <n v="0"/>
    <n v="0"/>
    <n v="0"/>
    <n v="0"/>
    <n v="0"/>
    <n v="33075"/>
    <n v="0"/>
    <n v="0"/>
    <n v="0"/>
    <n v="0"/>
    <m/>
    <n v="542.80560321526798"/>
    <n v="2832"/>
    <n v="1000"/>
    <n v="457.19439678473213"/>
    <n v="3289.1943967847319"/>
    <n v="542.80560321526787"/>
    <n v="1040.6128999999999"/>
    <n v="475.76238710191069"/>
    <n v="1018.5679903171786"/>
    <n v="564.85051289808916"/>
    <n v="1000.0000000000001"/>
    <n v="0"/>
  </r>
  <r>
    <s v="Agro Sudamerica1012782"/>
    <x v="2"/>
    <x v="0"/>
    <n v="1012782"/>
    <s v="PO Pch Piel@CF Cj 18 k"/>
    <s v="Subprod"/>
    <s v="Subprod Piel"/>
    <n v="0"/>
    <n v="0"/>
    <n v="0.45719439678473212"/>
    <n v="0"/>
    <n v="0"/>
    <n v="0"/>
    <n v="0"/>
    <n v="0"/>
    <n v="0"/>
    <n v="2400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.4753130482769119"/>
    <n v="0"/>
    <n v="0"/>
    <n v="0"/>
    <n v="0.4753130482769119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</r>
  <r>
    <s v="Agro Sudamerica1021864"/>
    <x v="0"/>
    <x v="0"/>
    <n v="1021864"/>
    <s v="GO Cue Papda CP@ Cj 20k AS"/>
    <s v="Cueros"/>
    <s v="Cuero Papada"/>
    <n v="0"/>
    <n v="0"/>
    <n v="0.45719439678473212"/>
    <n v="0"/>
    <n v="47845"/>
    <n v="0"/>
    <n v="0"/>
    <n v="47845"/>
    <n v="21961"/>
    <n v="24000"/>
    <n v="21961"/>
    <n v="0"/>
    <n v="21961"/>
    <n v="25884"/>
    <n v="0"/>
    <m/>
    <n v="0"/>
    <n v="25884"/>
    <n v="0"/>
    <n v="0"/>
    <n v="0"/>
    <n v="21961"/>
    <n v="21961"/>
    <n v="43922"/>
    <n v="21961"/>
    <n v="21961"/>
    <n v="0"/>
    <n v="43922"/>
    <n v="21961"/>
    <n v="0"/>
    <n v="0"/>
    <m/>
    <s v="Si"/>
    <n v="21961"/>
    <n v="21961"/>
    <n v="0"/>
    <d v="2022-08-16T00:00:00"/>
    <n v="0.61790148170838988"/>
    <n v="0.60416666818450904"/>
    <n v="0.60416666818450904"/>
    <n v="21961"/>
    <n v="0.61790148170838988"/>
    <n v="2.2228160848403334E-2"/>
    <n v="0.5"/>
    <n v="0.60416666818450904"/>
    <m/>
    <s v="OK"/>
    <s v="OK"/>
    <n v="0"/>
    <n v="0"/>
    <n v="0"/>
    <n v="0"/>
    <n v="0"/>
    <n v="0"/>
    <n v="0"/>
    <n v="0"/>
    <n v="0"/>
    <n v="0"/>
    <n v="0"/>
    <n v="0"/>
    <m/>
    <n v="0"/>
    <n v="25884"/>
    <n v="0"/>
    <n v="0"/>
    <n v="25884"/>
    <n v="0"/>
    <n v="0"/>
    <n v="0"/>
    <n v="0"/>
    <n v="0"/>
    <n v="0"/>
    <n v="0"/>
  </r>
  <r>
    <s v="Agro Sudamerica1030817"/>
    <x v="1"/>
    <x v="0"/>
    <n v="1030817"/>
    <s v="PV Tru Larg@ Bo Cj 15k AS"/>
    <s v="Trutro"/>
    <s v="Trutro Largo"/>
    <n v="54668"/>
    <n v="0"/>
    <n v="0.45719439678473212"/>
    <n v="24993.903283427735"/>
    <n v="22707"/>
    <n v="0"/>
    <n v="0"/>
    <n v="47700.903283427731"/>
    <n v="86000"/>
    <n v="24000"/>
    <n v="24000"/>
    <n v="0"/>
    <n v="24000"/>
    <n v="23700.903283427731"/>
    <n v="0"/>
    <m/>
    <n v="0"/>
    <n v="23700.903283427731"/>
    <n v="0"/>
    <n v="0"/>
    <n v="0"/>
    <n v="0"/>
    <n v="24000"/>
    <n v="24000"/>
    <n v="0"/>
    <n v="24000"/>
    <n v="0"/>
    <n v="24000"/>
    <n v="24000"/>
    <n v="0"/>
    <n v="0"/>
    <m/>
    <s v="Si"/>
    <n v="24000"/>
    <n v="22707"/>
    <n v="1293"/>
    <d v="2022-08-16T00:00:00"/>
    <n v="2.2363048549846316"/>
    <n v="2.2743602846673876"/>
    <n v="2.2743602846673876"/>
    <n v="54000"/>
    <n v="2.2363048549846316"/>
    <n v="1.7017102832796702E-2"/>
    <n v="2.25"/>
    <n v="2.2743602846673876"/>
    <m/>
    <s v="OK"/>
    <s v="OK"/>
    <n v="0"/>
    <n v="0"/>
    <n v="0"/>
    <n v="0"/>
    <n v="0"/>
    <n v="0"/>
    <n v="0"/>
    <n v="0"/>
    <n v="0"/>
    <n v="0"/>
    <n v="0"/>
    <n v="0"/>
    <m/>
    <n v="29674.096716572269"/>
    <n v="53375"/>
    <n v="0"/>
    <n v="0"/>
    <n v="53375"/>
    <n v="0"/>
    <n v="0"/>
    <n v="0"/>
    <n v="0"/>
    <n v="0"/>
    <n v="54668"/>
    <n v="0"/>
  </r>
  <r>
    <s v="Agro Sudamerica1030812"/>
    <x v="1"/>
    <x v="0"/>
    <n v="1030812"/>
    <s v=" PV TruDeh Cort S/h S/p@ Bo Cj AS"/>
    <s v="Trutro Desh"/>
    <s v="Trutro Desh Corto"/>
    <n v="24000"/>
    <n v="24000"/>
    <n v="0.45719439678473212"/>
    <n v="10972.665522833571"/>
    <n v="0"/>
    <n v="0"/>
    <n v="0"/>
    <n v="10972.665522833571"/>
    <n v="0"/>
    <n v="24000"/>
    <n v="0"/>
    <n v="0"/>
    <n v="0"/>
    <n v="10972.665522833571"/>
    <n v="0"/>
    <m/>
    <n v="0"/>
    <n v="10972.66552283357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4.4366666666666701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13027.334477166431"/>
    <n v="24000"/>
    <n v="0"/>
    <n v="0"/>
    <n v="24000"/>
    <n v="0"/>
    <n v="0"/>
    <n v="0"/>
    <n v="0"/>
    <n v="0"/>
    <n v="24000"/>
    <n v="0"/>
  </r>
  <r>
    <s v="Agro Sudamerica1030816"/>
    <x v="1"/>
    <x v="0"/>
    <n v="1030816"/>
    <s v="PV Tru Ala@ Ex Bo Cj AS"/>
    <s v="Ala"/>
    <s v="Ala Trutro"/>
    <n v="0"/>
    <n v="5655"/>
    <n v="0.45719439678473212"/>
    <n v="0"/>
    <n v="0"/>
    <n v="7255.1496791533682"/>
    <n v="0"/>
    <n v="6529.6347112380317"/>
    <n v="0"/>
    <n v="24000"/>
    <n v="0"/>
    <n v="0"/>
    <n v="0"/>
    <n v="6529.6347112380317"/>
    <n v="0"/>
    <m/>
    <n v="0"/>
    <n v="6529.6347112380317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1.5299734748010601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6529.6347112380317"/>
    <n v="0"/>
    <n v="0"/>
    <n v="6529.6347112380317"/>
    <n v="0"/>
    <n v="0"/>
    <n v="0"/>
    <n v="0"/>
    <n v="0"/>
    <n v="0"/>
    <n v="0"/>
  </r>
  <r>
    <s v="Agro Sudamerica1030821"/>
    <x v="1"/>
    <x v="0"/>
    <n v="1030821"/>
    <s v="PV PchDeh S/p c/f MA@ Cj 15k SO"/>
    <s v="Pech Desh"/>
    <s v="Pech Desh s/Piel"/>
    <n v="0"/>
    <n v="24000"/>
    <n v="0.45719439678473212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10.8866666666667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0"/>
    <n v="0"/>
    <n v="23130"/>
    <n v="10574.906397630853"/>
    <n v="10574.906397630853"/>
    <n v="12555.093602369147"/>
    <n v="24000"/>
    <n v="10972.665522833571"/>
    <n v="23527.75912520272"/>
    <n v="13027.334477166429"/>
    <n v="0"/>
    <n v="0"/>
  </r>
  <r>
    <s v="Agro Sudamerica1020086"/>
    <x v="0"/>
    <x v="0"/>
    <n v="1020086"/>
    <s v="GO Lom Ctro 27 S/f@ Va Cj t-f AS"/>
    <s v="Lomo"/>
    <s v="Lomo Centro"/>
    <n v="24000"/>
    <n v="24000"/>
    <n v="0.45719439678473212"/>
    <n v="10972.665522833571"/>
    <n v="0"/>
    <n v="0"/>
    <n v="0"/>
    <n v="10972.665522833571"/>
    <n v="0"/>
    <n v="24000"/>
    <n v="0"/>
    <n v="0"/>
    <n v="0"/>
    <n v="10972.665522833571"/>
    <n v="0"/>
    <m/>
    <n v="0"/>
    <n v="10972.66552283357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3.21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13027.334477166431"/>
    <n v="24000"/>
    <n v="96000"/>
    <n v="43890.662091334285"/>
    <n v="67890.662091334292"/>
    <n v="52109.337908665715"/>
    <n v="0"/>
    <n v="0"/>
    <n v="52109.337908665715"/>
    <n v="0"/>
    <n v="24000"/>
    <n v="0"/>
  </r>
  <r>
    <s v="Agro Sudamerica1022290"/>
    <x v="0"/>
    <x v="0"/>
    <n v="1022290"/>
    <s v="GO Lom Tocino S/cue@ Cj 20k AS"/>
    <s v="Grasas"/>
    <s v="Grasa Lomo Tocino"/>
    <n v="3702"/>
    <n v="0"/>
    <n v="0.45719439678473212"/>
    <n v="1692.5336568970783"/>
    <n v="20298"/>
    <n v="0"/>
    <n v="0"/>
    <n v="21990.533656897078"/>
    <n v="0"/>
    <n v="24000"/>
    <n v="0"/>
    <n v="0"/>
    <n v="0"/>
    <n v="21990.533656897078"/>
    <n v="0"/>
    <m/>
    <n v="0"/>
    <n v="21990.533656897078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16T00:00:00"/>
    <n v="0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2009.4663431029219"/>
    <n v="24000"/>
    <n v="0"/>
    <n v="0"/>
    <n v="24000"/>
    <n v="0"/>
    <n v="0"/>
    <n v="0"/>
    <n v="0"/>
    <n v="0"/>
    <n v="3702"/>
    <n v="0"/>
  </r>
  <r>
    <s v="Exportacion Directa1022346"/>
    <x v="0"/>
    <x v="4"/>
    <n v="1022346"/>
    <s v="GO PpPal 1P Ex@ Bo AP"/>
    <s v="Paleta"/>
    <s v="Paleta Pulpa"/>
    <n v="5371"/>
    <n v="5000"/>
    <n v="0.87158319035419651"/>
    <n v="4681.2733153923891"/>
    <n v="0"/>
    <n v="0"/>
    <n v="0"/>
    <n v="4681.2733153923891"/>
    <n v="0"/>
    <n v="24000"/>
    <n v="0"/>
    <n v="0"/>
    <n v="0"/>
    <n v="4681.2733153923891"/>
    <n v="0"/>
    <m/>
    <n v="0"/>
    <n v="4681.2733153923891"/>
    <n v="0"/>
    <n v="0"/>
    <n v="0"/>
    <n v="0"/>
    <n v="0"/>
    <n v="0"/>
    <n v="0"/>
    <n v="0"/>
    <n v="0"/>
    <n v="0"/>
    <n v="0"/>
    <n v="0"/>
    <n v="0"/>
    <m/>
    <s v="No"/>
    <n v="0"/>
    <n v="0"/>
    <n v="0"/>
    <d v="2022-08-27T00:00:00"/>
    <n v="2.59"/>
    <n v="0"/>
    <n v="0"/>
    <n v="0"/>
    <n v="0"/>
    <s v="No Aplica"/>
    <n v="0"/>
    <n v="0"/>
    <m/>
    <s v="OK"/>
    <s v="OK"/>
    <n v="0"/>
    <n v="0"/>
    <n v="0"/>
    <n v="0"/>
    <n v="0"/>
    <n v="0"/>
    <n v="0"/>
    <n v="0"/>
    <n v="0"/>
    <n v="0"/>
    <n v="0"/>
    <n v="0"/>
    <m/>
    <n v="689.72668460761054"/>
    <n v="5371"/>
    <n v="0"/>
    <n v="0"/>
    <n v="5371"/>
    <n v="0"/>
    <n v="0"/>
    <n v="0"/>
    <n v="0"/>
    <n v="0"/>
    <n v="5371"/>
    <n v="0"/>
  </r>
  <r>
    <s v="Exportacion Directa1023419"/>
    <x v="0"/>
    <x v="4"/>
    <n v="1023419"/>
    <s v="GO Lom Tocino@ Bo Cj 20k AP"/>
    <s v="Grasas"/>
    <s v="Grasa Lomo Tocino"/>
    <n v="24000"/>
    <n v="24000"/>
    <n v="0.87158319035419651"/>
    <n v="20917.996568500716"/>
    <n v="3260"/>
    <n v="0"/>
    <n v="0"/>
    <n v="24177.996568500716"/>
    <n v="0"/>
    <n v="24000"/>
    <n v="0"/>
    <n v="0"/>
    <n v="0"/>
    <n v="24177.996568500716"/>
    <n v="24000"/>
    <m/>
    <n v="24000"/>
    <n v="177.99656850071551"/>
    <n v="0"/>
    <n v="0"/>
    <n v="0"/>
    <n v="0"/>
    <n v="0"/>
    <n v="24000"/>
    <n v="0"/>
    <n v="0"/>
    <n v="24000"/>
    <n v="24000"/>
    <n v="0"/>
    <n v="24000"/>
    <n v="0"/>
    <m/>
    <s v="Si"/>
    <n v="24000"/>
    <n v="3260"/>
    <n v="20740"/>
    <d v="2022-08-27T00:00:00"/>
    <n v="1.8"/>
    <n v="0"/>
    <n v="1.8"/>
    <n v="43200"/>
    <n v="0"/>
    <s v="No Aplica"/>
    <n v="1.8"/>
    <n v="1.8"/>
    <m/>
    <s v="OK"/>
    <s v="OK"/>
    <n v="0"/>
    <n v="0"/>
    <n v="0"/>
    <n v="0"/>
    <n v="0"/>
    <n v="0"/>
    <n v="0"/>
    <n v="0"/>
    <n v="0"/>
    <n v="0"/>
    <n v="0"/>
    <n v="0"/>
    <m/>
    <n v="3082.0034314992836"/>
    <n v="3259.9999999999991"/>
    <n v="0"/>
    <n v="0"/>
    <n v="3259.9999999999991"/>
    <n v="0"/>
    <n v="0"/>
    <n v="0"/>
    <n v="0"/>
    <n v="0"/>
    <n v="24000"/>
    <n v="0"/>
  </r>
  <r>
    <s v="Agro Mexico1030802"/>
    <x v="1"/>
    <x v="5"/>
    <n v="1030802"/>
    <s v="PV PDM @ Bo Cj 15k AS"/>
    <s v="Carne Recuperada"/>
    <s v="Carne Recuperada"/>
    <n v="103000"/>
    <n v="96000"/>
    <n v="0.8"/>
    <n v="82400"/>
    <n v="12152"/>
    <n v="21000"/>
    <n v="0"/>
    <n v="113452"/>
    <n v="48000"/>
    <n v="24000"/>
    <n v="48000"/>
    <m/>
    <n v="48000"/>
    <n v="65452"/>
    <n v="48000"/>
    <m/>
    <n v="48000"/>
    <n v="17452"/>
    <n v="0"/>
    <n v="0"/>
    <n v="0"/>
    <n v="0"/>
    <n v="96000"/>
    <n v="96000"/>
    <n v="0"/>
    <n v="48000"/>
    <n v="48000"/>
    <n v="96000"/>
    <n v="48000"/>
    <n v="48000"/>
    <m/>
    <m/>
    <s v="Si"/>
    <n v="96000"/>
    <n v="12152"/>
    <n v="83848"/>
    <d v="2022-08-20T00:00:00"/>
    <n v="1.0016572778044111"/>
    <n v="1.34315875"/>
    <n v="1.1724080139022055"/>
    <n v="112551.16933461172"/>
    <n v="1.3406132738958436"/>
    <n v="0.12546889044655729"/>
    <n v="1.1724080139022055"/>
    <n v="1.1724080139022055"/>
    <m/>
    <s v="OK"/>
    <s v="OK"/>
    <n v="0"/>
    <n v="0"/>
    <n v="0"/>
    <n v="0"/>
    <n v="0"/>
    <n v="0"/>
    <n v="0"/>
    <n v="0"/>
    <n v="0"/>
    <n v="0"/>
    <n v="0"/>
    <n v="0"/>
    <m/>
    <n v="20599.999999999996"/>
    <n v="38052"/>
    <n v="0"/>
    <n v="0"/>
    <n v="38052"/>
    <n v="0"/>
    <n v="0"/>
    <n v="0"/>
    <n v="0"/>
    <n v="0"/>
    <n v="103000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s v="Agro Sudamerica1020017"/>
    <x v="0"/>
    <x v="0"/>
    <n v="1020017"/>
    <s v="GO Chu Ctro@ Fi Cj 20k AS"/>
    <x v="0"/>
    <x v="0"/>
    <n v="0"/>
    <n v="0"/>
    <n v="0.45719439678473212"/>
    <n v="0"/>
    <n v="4940.8119999999999"/>
    <n v="0"/>
    <n v="0"/>
    <n v="4940.8119999999999"/>
    <n v="8000"/>
    <n v="24000"/>
    <n v="0"/>
    <n v="0"/>
    <n v="0"/>
    <n v="4940.8119999999999"/>
    <n v="0"/>
    <n v="0"/>
    <n v="0"/>
    <n v="4940.8119999999999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3.0315414481892087"/>
    <n v="2.7558579380733956"/>
    <n v="0"/>
    <n v="0"/>
    <n v="3.0315414481892087"/>
    <s v="No Aplica"/>
    <m/>
    <n v="0"/>
    <m/>
    <s v="OK"/>
    <s v="OK"/>
    <n v="192000"/>
    <n v="108000"/>
    <n v="132000"/>
    <n v="96000"/>
    <n v="37000"/>
    <n v="0"/>
    <n v="518400"/>
    <n v="287900"/>
    <n v="363120"/>
    <n v="267600"/>
    <n v="105190"/>
    <n v="0"/>
    <m/>
  </r>
  <r>
    <s v="Agro Sudamerica1021279"/>
    <x v="0"/>
    <x v="0"/>
    <n v="1021279"/>
    <s v="GO Hso Pecho@ Cj 10k SC"/>
    <x v="1"/>
    <x v="1"/>
    <n v="19578"/>
    <n v="16178"/>
    <n v="0.45719439678473212"/>
    <n v="8950.9519002514862"/>
    <n v="0"/>
    <n v="7726"/>
    <n v="0"/>
    <n v="15904.351900251488"/>
    <n v="24000"/>
    <n v="24000"/>
    <n v="0"/>
    <n v="0"/>
    <n v="0"/>
    <n v="15904.351900251488"/>
    <n v="0"/>
    <n v="0"/>
    <n v="0"/>
    <n v="15904.351900251488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33662999134627"/>
    <n v="1.8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0339"/>
    <x v="0"/>
    <x v="0"/>
    <n v="1020339"/>
    <s v="GO Lom Tocino@ Cj 20k AS"/>
    <x v="2"/>
    <x v="2"/>
    <n v="142307"/>
    <n v="0"/>
    <n v="0.45719439678473212"/>
    <n v="65061.963023244876"/>
    <n v="156604.47999999992"/>
    <n v="10911"/>
    <n v="0"/>
    <n v="231486.34302324479"/>
    <n v="202500"/>
    <n v="24000"/>
    <n v="202500"/>
    <n v="0"/>
    <n v="202500"/>
    <n v="28986.343023244786"/>
    <n v="0"/>
    <n v="0"/>
    <n v="0"/>
    <n v="28986.343023244786"/>
    <n v="24000"/>
    <m/>
    <n v="24000"/>
    <n v="0"/>
    <n v="226500"/>
    <n v="226500"/>
    <n v="0"/>
    <n v="202500"/>
    <n v="24000"/>
    <n v="226500"/>
    <n v="202500"/>
    <n v="24000"/>
    <n v="0"/>
    <s v="Si"/>
    <n v="226500"/>
    <n v="156604.47999999992"/>
    <n v="69895.520000000077"/>
    <d v="2022-07-15T00:00:00"/>
    <n v="1.5047369176317809"/>
    <n v="1.5930907144190465"/>
    <n v="1.5930907144190465"/>
    <n v="360835.04681591404"/>
    <n v="1.5047369176317809"/>
    <n v="5.8717105795689922E-2"/>
    <m/>
    <n v="1.5930907144190465"/>
    <m/>
    <s v="OK"/>
    <s v="OK"/>
    <n v="34000"/>
    <n v="95000"/>
    <n v="85000"/>
    <n v="98500"/>
    <n v="130881"/>
    <n v="168000"/>
    <n v="54400"/>
    <n v="127400"/>
    <n v="115793"/>
    <n v="135470"/>
    <n v="186971"/>
    <n v="263881"/>
    <m/>
  </r>
  <r>
    <s v="Agro Sudamerica1020349"/>
    <x v="0"/>
    <x v="0"/>
    <n v="1020349"/>
    <s v="GO Papda@ Cj t-f AS"/>
    <x v="3"/>
    <x v="3"/>
    <n v="0"/>
    <n v="72000"/>
    <n v="0.45719439678473212"/>
    <n v="0"/>
    <n v="44608.501999999986"/>
    <n v="413"/>
    <n v="0"/>
    <n v="44980.201999999983"/>
    <n v="48000"/>
    <n v="24000"/>
    <n v="24000"/>
    <n v="0"/>
    <n v="24000"/>
    <n v="20980.201999999983"/>
    <n v="0"/>
    <n v="0"/>
    <n v="0"/>
    <n v="20980.201999999983"/>
    <n v="0"/>
    <m/>
    <n v="0"/>
    <n v="0"/>
    <n v="24000"/>
    <n v="24000"/>
    <n v="0"/>
    <n v="24000"/>
    <n v="0"/>
    <n v="24000"/>
    <n v="24000"/>
    <n v="0"/>
    <n v="0"/>
    <s v="Si"/>
    <n v="24000"/>
    <n v="24000"/>
    <n v="0"/>
    <d v="2022-07-15T00:00:00"/>
    <n v="1.99"/>
    <n v="1.7525208333333351"/>
    <n v="1.7525208333333351"/>
    <n v="42060.500000000044"/>
    <n v="1.6570701388107529"/>
    <n v="5.7602084719893185E-2"/>
    <m/>
    <n v="1.7525208333333351"/>
    <m/>
    <s v="OK"/>
    <s v="OK"/>
    <n v="120000"/>
    <n v="156000"/>
    <n v="228000"/>
    <n v="192000"/>
    <n v="0"/>
    <n v="24000"/>
    <n v="243200"/>
    <n v="302179"/>
    <n v="424800"/>
    <n v="335760"/>
    <n v="0"/>
    <n v="42186"/>
    <m/>
  </r>
  <r>
    <s v="Agro Sudamerica1020352"/>
    <x v="0"/>
    <x v="0"/>
    <n v="1020352"/>
    <s v="GO Cue 20@ Cj 20k AS"/>
    <x v="4"/>
    <x v="4"/>
    <n v="14677"/>
    <n v="0"/>
    <n v="0.45719439678473212"/>
    <n v="6710.2421616095135"/>
    <n v="48365.996000000021"/>
    <n v="15285"/>
    <n v="0"/>
    <n v="68832.738161609537"/>
    <n v="48000"/>
    <n v="24000"/>
    <n v="48000"/>
    <n v="0"/>
    <n v="48000"/>
    <n v="20832.738161609537"/>
    <n v="0"/>
    <n v="0"/>
    <n v="0"/>
    <n v="20832.738161609537"/>
    <n v="0"/>
    <m/>
    <n v="0"/>
    <n v="47966.82"/>
    <n v="95966.82"/>
    <n v="95966.82"/>
    <n v="47966.82"/>
    <n v="48000"/>
    <n v="0"/>
    <n v="95966.82"/>
    <n v="48000"/>
    <n v="0"/>
    <n v="0"/>
    <s v="Si"/>
    <n v="48000.000000000007"/>
    <n v="48000.000000000007"/>
    <n v="0"/>
    <d v="2022-07-15T00:00:00"/>
    <n v="1.3007738679535341"/>
    <n v="1.3508854166666651"/>
    <n v="1.3508854166666648"/>
    <n v="129640.17762187483"/>
    <n v="1.3007738679535341"/>
    <n v="3.8524412234671984E-2"/>
    <m/>
    <n v="1.3508854166666648"/>
    <m/>
    <s v="OK"/>
    <s v="OK"/>
    <n v="35000"/>
    <n v="0"/>
    <n v="48000"/>
    <n v="48000"/>
    <n v="24000"/>
    <n v="48000"/>
    <n v="47250"/>
    <n v="0"/>
    <n v="57310"/>
    <n v="50880"/>
    <n v="30240"/>
    <n v="60230"/>
    <m/>
  </r>
  <r>
    <s v="Agro Sudamerica1020367"/>
    <x v="0"/>
    <x v="0"/>
    <n v="1020367"/>
    <s v="GO Gord Lom Tocino@ Cj t-f AS"/>
    <x v="2"/>
    <x v="5"/>
    <n v="138208"/>
    <n v="144000"/>
    <n v="0.45719439678473212"/>
    <n v="63187.923190824258"/>
    <n v="85697.507000000041"/>
    <n v="30806"/>
    <n v="0"/>
    <n v="176610.83019082429"/>
    <n v="94000"/>
    <n v="24000"/>
    <n v="94000"/>
    <n v="0"/>
    <n v="94000"/>
    <n v="82610.830190824287"/>
    <n v="72000"/>
    <n v="0"/>
    <n v="72000"/>
    <n v="10610.830190824287"/>
    <n v="0"/>
    <m/>
    <n v="0"/>
    <n v="0"/>
    <n v="166000"/>
    <n v="166000"/>
    <n v="0"/>
    <n v="94000"/>
    <n v="72000"/>
    <n v="166000"/>
    <n v="94000"/>
    <n v="72000"/>
    <n v="0"/>
    <s v="Si"/>
    <n v="166000"/>
    <n v="85697.507000000041"/>
    <n v="80302.492999999959"/>
    <d v="2022-07-15T00:00:00"/>
    <n v="1.18667361111111"/>
    <n v="1.2115495218290797"/>
    <n v="1.2007599701923701"/>
    <n v="199326.15505193346"/>
    <n v="1.2147426377981603"/>
    <n v="1.1510806627431055E-2"/>
    <m/>
    <n v="1.2007599701923701"/>
    <m/>
    <s v="OK"/>
    <s v="OK"/>
    <n v="48000"/>
    <n v="72000"/>
    <n v="24000"/>
    <n v="48100"/>
    <n v="72000"/>
    <n v="145000"/>
    <n v="64800"/>
    <n v="89200"/>
    <n v="26400"/>
    <n v="53143"/>
    <n v="74627"/>
    <n v="166475"/>
    <m/>
  </r>
  <r>
    <s v="Agro Sudamerica1020412"/>
    <x v="0"/>
    <x v="0"/>
    <n v="1020412"/>
    <s v="GO Cne Long@ Cj t-f AS"/>
    <x v="5"/>
    <x v="6"/>
    <n v="73218"/>
    <n v="117630"/>
    <n v="0.45719439678473212"/>
    <n v="33474.859343784519"/>
    <n v="20968.184000000008"/>
    <n v="4593"/>
    <n v="0"/>
    <n v="58576.743343784525"/>
    <n v="48000"/>
    <n v="24000"/>
    <n v="48000"/>
    <n v="0"/>
    <n v="48000"/>
    <n v="10576.743343784525"/>
    <n v="0"/>
    <n v="0"/>
    <n v="0"/>
    <n v="10576.743343784525"/>
    <n v="0"/>
    <m/>
    <n v="0"/>
    <n v="0"/>
    <n v="48000"/>
    <n v="48000"/>
    <n v="0"/>
    <n v="48000"/>
    <n v="0"/>
    <n v="48000"/>
    <n v="48000"/>
    <n v="0"/>
    <n v="0"/>
    <s v="Si"/>
    <n v="48000"/>
    <n v="20968.184000000008"/>
    <n v="27031.815999999992"/>
    <d v="2022-07-15T00:00:00"/>
    <n v="1.84787894244666"/>
    <n v="1.8865238253205152"/>
    <n v="1.8865238253205152"/>
    <n v="90553.143615384732"/>
    <n v="1.7936265821825188"/>
    <n v="5.1792967421879575E-2"/>
    <m/>
    <n v="1.8865238253205152"/>
    <m/>
    <s v="OK"/>
    <s v="OK"/>
    <n v="48000"/>
    <n v="73000"/>
    <n v="96000"/>
    <n v="72000"/>
    <n v="72000"/>
    <n v="116000"/>
    <n v="67200"/>
    <n v="115910"/>
    <n v="139150"/>
    <n v="115909"/>
    <n v="121440"/>
    <n v="208322"/>
    <m/>
  </r>
  <r>
    <s v="Agro Sudamerica1021980"/>
    <x v="0"/>
    <x v="0"/>
    <n v="1021980"/>
    <s v="GO BB Ribs Grd B@ Fi Cj 20k AS"/>
    <x v="0"/>
    <x v="7"/>
    <n v="5544"/>
    <n v="4514"/>
    <n v="0.45719439678473212"/>
    <n v="2534.6857357745548"/>
    <n v="6952.536000000001"/>
    <n v="610"/>
    <n v="0"/>
    <n v="10036.221735774556"/>
    <n v="0"/>
    <n v="24000"/>
    <n v="0"/>
    <n v="0"/>
    <n v="0"/>
    <n v="10036.221735774556"/>
    <n v="0"/>
    <n v="0"/>
    <n v="0"/>
    <n v="10036.221735774556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5.4862649534780701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0848"/>
    <x v="0"/>
    <x v="0"/>
    <n v="1020848"/>
    <s v="GO Lom Ctro 27@ Cj 20k AS"/>
    <x v="6"/>
    <x v="8"/>
    <n v="0"/>
    <n v="36000"/>
    <n v="0.45719439678473212"/>
    <n v="0"/>
    <n v="45103.120999999999"/>
    <n v="11770.379223671147"/>
    <n v="0"/>
    <n v="55696.462301304033"/>
    <n v="96000"/>
    <n v="24000"/>
    <n v="48000"/>
    <n v="-24000"/>
    <n v="24000"/>
    <n v="31696.462301304033"/>
    <n v="24000"/>
    <n v="0"/>
    <n v="24000"/>
    <n v="7696.4623013040327"/>
    <n v="0"/>
    <m/>
    <n v="0"/>
    <n v="0"/>
    <n v="48000"/>
    <n v="72000"/>
    <n v="0"/>
    <n v="24000"/>
    <n v="48000"/>
    <n v="48000"/>
    <n v="24000"/>
    <n v="24000"/>
    <n v="0"/>
    <s v="Si"/>
    <n v="48000"/>
    <n v="45103.120999999999"/>
    <n v="2896.8790000000008"/>
    <d v="2022-07-15T00:00:00"/>
    <n v="3.22"/>
    <n v="3.2853593750000023"/>
    <n v="3.252679687500001"/>
    <n v="156128.62500000006"/>
    <n v="2.863039278779858"/>
    <n v="0.13609328087395162"/>
    <m/>
    <n v="3.252679687500001"/>
    <m/>
    <s v="OK"/>
    <s v="OK"/>
    <n v="240000"/>
    <n v="147000"/>
    <n v="360000"/>
    <n v="192000"/>
    <n v="72000"/>
    <n v="72000"/>
    <n v="684000"/>
    <n v="364350"/>
    <n v="949090"/>
    <n v="495200"/>
    <n v="201467"/>
    <n v="204416"/>
    <m/>
  </r>
  <r>
    <s v="Agro Sudamerica1020869"/>
    <x v="0"/>
    <x v="0"/>
    <n v="1020869"/>
    <s v="GO Cos 79@ Bo Cj 20k AS"/>
    <x v="7"/>
    <x v="9"/>
    <n v="0"/>
    <n v="24000"/>
    <n v="0.45719439678473212"/>
    <n v="0"/>
    <n v="23528.966000000004"/>
    <n v="0"/>
    <n v="0"/>
    <n v="23528.966000000004"/>
    <n v="43000"/>
    <n v="24000"/>
    <n v="0"/>
    <n v="0"/>
    <n v="0"/>
    <n v="23528.966000000004"/>
    <n v="0"/>
    <n v="0"/>
    <n v="0"/>
    <n v="23528.966000000004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4.1900000000000004"/>
    <n v="4.8824376166666692"/>
    <n v="0"/>
    <n v="0"/>
    <n v="0"/>
    <s v="No Aplica"/>
    <m/>
    <n v="0"/>
    <m/>
    <s v="OK"/>
    <s v="OK"/>
    <n v="0"/>
    <n v="0"/>
    <n v="24000"/>
    <n v="0"/>
    <n v="0"/>
    <n v="33000"/>
    <n v="0"/>
    <n v="0"/>
    <n v="120000"/>
    <n v="0"/>
    <n v="0"/>
    <n v="139067"/>
    <m/>
  </r>
  <r>
    <s v="Agro Sudamerica1020886"/>
    <x v="0"/>
    <x v="0"/>
    <n v="1020886"/>
    <s v="GO Panc Tecl Nor@ Cj 20k AS"/>
    <x v="8"/>
    <x v="10"/>
    <n v="3829"/>
    <n v="0"/>
    <n v="0.45719439678473212"/>
    <n v="1750.5973452887392"/>
    <n v="1441.788"/>
    <n v="0"/>
    <n v="0"/>
    <n v="3192.3853452887392"/>
    <n v="0"/>
    <n v="24000"/>
    <n v="0"/>
    <n v="0"/>
    <n v="0"/>
    <n v="3192.3853452887392"/>
    <n v="0"/>
    <n v="0"/>
    <n v="0"/>
    <n v="3192.3853452887392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10000"/>
    <n v="0"/>
    <n v="0"/>
    <n v="0"/>
    <n v="0"/>
    <n v="0"/>
    <n v="51667"/>
    <n v="0"/>
    <n v="0"/>
    <n v="0"/>
    <n v="0"/>
    <m/>
  </r>
  <r>
    <s v="Agro Sudamerica1020915"/>
    <x v="0"/>
    <x v="0"/>
    <n v="1020915"/>
    <s v="GO Pna Nor@ Bo Cj 20k AS"/>
    <x v="9"/>
    <x v="11"/>
    <n v="0"/>
    <n v="28652"/>
    <n v="0.45719439678473212"/>
    <n v="0"/>
    <n v="0"/>
    <n v="0"/>
    <n v="0"/>
    <n v="0"/>
    <n v="2800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98670249895295"/>
    <n v="2.3356785714285713"/>
    <n v="0"/>
    <n v="0"/>
    <n v="2.3858891943178095"/>
    <s v="No Aplica"/>
    <m/>
    <n v="0"/>
    <m/>
    <s v="OK"/>
    <s v="OK"/>
    <n v="10000"/>
    <n v="2000"/>
    <n v="0"/>
    <n v="0"/>
    <n v="0"/>
    <n v="0"/>
    <n v="17000"/>
    <n v="4300"/>
    <n v="0"/>
    <n v="0"/>
    <n v="0"/>
    <n v="0"/>
    <m/>
  </r>
  <r>
    <s v="Agro Sudamerica1020925"/>
    <x v="0"/>
    <x v="0"/>
    <n v="1020925"/>
    <s v="GO Grasa Forro Pna Limp@ Cj 20k AS"/>
    <x v="2"/>
    <x v="12"/>
    <n v="11897"/>
    <n v="0"/>
    <n v="0.45719439678473212"/>
    <n v="5439.2417385479575"/>
    <n v="60605.939999999995"/>
    <n v="3152"/>
    <n v="0"/>
    <n v="68881.981738547955"/>
    <n v="156000"/>
    <n v="24000"/>
    <n v="48000"/>
    <n v="-48000"/>
    <n v="0"/>
    <n v="68881.981738547955"/>
    <n v="0"/>
    <n v="0"/>
    <n v="0"/>
    <n v="68881.981738547955"/>
    <n v="0"/>
    <m/>
    <n v="0"/>
    <n v="0"/>
    <n v="48000"/>
    <n v="48000"/>
    <n v="0"/>
    <n v="0"/>
    <n v="48000"/>
    <n v="0"/>
    <n v="0"/>
    <n v="0"/>
    <n v="0"/>
    <s v="No"/>
    <n v="0"/>
    <n v="0"/>
    <n v="0"/>
    <d v="2022-07-15T00:00:00"/>
    <n v="1.4129406339524382"/>
    <n v="1.4945641025641048"/>
    <n v="0"/>
    <n v="0"/>
    <n v="1.4129406339524382"/>
    <s v="No Aplica"/>
    <m/>
    <n v="0"/>
    <m/>
    <s v="OK"/>
    <s v="OK"/>
    <n v="0"/>
    <n v="3000"/>
    <n v="14000"/>
    <n v="38000"/>
    <n v="48000"/>
    <n v="72000"/>
    <n v="0"/>
    <n v="3450"/>
    <n v="13300"/>
    <n v="44140"/>
    <n v="69120"/>
    <n v="103224"/>
    <m/>
  </r>
  <r>
    <s v="Agro Sudamerica1020944"/>
    <x v="0"/>
    <x v="0"/>
    <n v="1020944"/>
    <s v="GO PpPna 59@ Fi Cj 20k AS"/>
    <x v="9"/>
    <x v="13"/>
    <n v="120000"/>
    <n v="146353"/>
    <n v="0.45719439678473212"/>
    <n v="54863.327614167851"/>
    <n v="140694.019"/>
    <n v="90006.482900192263"/>
    <n v="0"/>
    <n v="276563.18122434092"/>
    <n v="238000"/>
    <n v="24000"/>
    <n v="238000"/>
    <n v="-60000"/>
    <n v="178000"/>
    <n v="98563.181224340922"/>
    <n v="96000"/>
    <n v="0"/>
    <n v="96000"/>
    <n v="2563.1812243409222"/>
    <n v="0"/>
    <m/>
    <n v="0"/>
    <n v="0"/>
    <n v="262000"/>
    <n v="334000"/>
    <n v="0"/>
    <n v="178000"/>
    <n v="156000"/>
    <n v="274000"/>
    <n v="178000"/>
    <n v="96000"/>
    <n v="0"/>
    <s v="Si"/>
    <n v="274000"/>
    <n v="140694.019"/>
    <n v="133305.981"/>
    <d v="2022-07-15T00:00:00"/>
    <n v="2.8276700853416101"/>
    <n v="2.8241846857105681"/>
    <n v="2.8254058476250941"/>
    <n v="774161.20224927575"/>
    <n v="2.5369445951503269"/>
    <n v="0.11370419875396387"/>
    <m/>
    <n v="2.8254058476250941"/>
    <m/>
    <s v="OK"/>
    <s v="OK"/>
    <n v="480000"/>
    <n v="508001"/>
    <n v="384000"/>
    <n v="188000"/>
    <n v="504000"/>
    <n v="262964"/>
    <n v="1248000"/>
    <n v="1281954"/>
    <n v="924000"/>
    <n v="424640"/>
    <n v="1231920"/>
    <n v="681801"/>
    <m/>
  </r>
  <r>
    <s v="Agro Sudamerica1021023"/>
    <x v="0"/>
    <x v="0"/>
    <n v="1021023"/>
    <s v="GO Gord rebaje@ Bo Cj 20k AS"/>
    <x v="2"/>
    <x v="5"/>
    <n v="94744"/>
    <n v="120000"/>
    <n v="0.45719439678473212"/>
    <n v="43316.425928972661"/>
    <n v="85078.995999999956"/>
    <n v="45048"/>
    <n v="0"/>
    <n v="168938.62192897263"/>
    <n v="23000"/>
    <n v="24000"/>
    <n v="23000"/>
    <n v="0"/>
    <n v="23000"/>
    <n v="145938.62192897263"/>
    <n v="144000"/>
    <n v="0"/>
    <n v="144000"/>
    <n v="1938.6219289726287"/>
    <n v="0"/>
    <m/>
    <n v="0"/>
    <n v="0"/>
    <n v="167000"/>
    <n v="167000"/>
    <n v="0"/>
    <n v="23000"/>
    <n v="144000"/>
    <n v="167000"/>
    <n v="23000"/>
    <n v="144000"/>
    <n v="0"/>
    <s v="Si"/>
    <n v="167000"/>
    <n v="85078.995999999956"/>
    <n v="81921.004000000044"/>
    <d v="2022-07-15T00:00:00"/>
    <n v="1.19"/>
    <n v="1.13041666638655"/>
    <n v="1.1817939121370697"/>
    <n v="197359.58332689066"/>
    <n v="1.0810421782488708"/>
    <n v="9.3198707613242143E-2"/>
    <m/>
    <n v="1.1817939121370697"/>
    <m/>
    <s v="OK"/>
    <s v="OK"/>
    <n v="120000"/>
    <n v="216000"/>
    <n v="264000"/>
    <n v="167000"/>
    <n v="96000"/>
    <n v="120000"/>
    <n v="141600"/>
    <n v="245849"/>
    <n v="290400"/>
    <n v="181920"/>
    <n v="95760"/>
    <n v="134889"/>
    <m/>
  </r>
  <r>
    <s v="Agro Sudamerica1021039"/>
    <x v="0"/>
    <x v="0"/>
    <n v="1021039"/>
    <s v="GO Cue Papda CP@ Cj 20k bca AS"/>
    <x v="4"/>
    <x v="14"/>
    <n v="54898"/>
    <n v="0"/>
    <n v="0.45719439678473212"/>
    <n v="25099.057994688224"/>
    <n v="33578.494000000013"/>
    <n v="16726"/>
    <n v="0"/>
    <n v="73730.951994688236"/>
    <n v="146039"/>
    <n v="24000"/>
    <n v="72000"/>
    <n v="-24000"/>
    <n v="48000"/>
    <n v="25730.951994688236"/>
    <n v="0"/>
    <n v="0"/>
    <n v="0"/>
    <n v="25730.951994688236"/>
    <n v="0"/>
    <m/>
    <n v="0"/>
    <n v="2039"/>
    <n v="74039"/>
    <n v="74039"/>
    <n v="2039"/>
    <n v="48000"/>
    <n v="24000"/>
    <n v="50039"/>
    <n v="48000"/>
    <n v="0"/>
    <n v="0"/>
    <s v="Si"/>
    <n v="48000"/>
    <n v="33578.494000000013"/>
    <n v="14421.505999999987"/>
    <d v="2022-07-15T00:00:00"/>
    <n v="0.6067727805124592"/>
    <n v="0.66492269736166365"/>
    <n v="0.66492269736166365"/>
    <n v="33272.066853280288"/>
    <n v="0.6067727805124592"/>
    <n v="9.5834748552980659E-2"/>
    <m/>
    <n v="0.66492269736166365"/>
    <m/>
    <s v="OK"/>
    <s v="OK"/>
    <n v="24000"/>
    <n v="24000"/>
    <n v="72000"/>
    <n v="0"/>
    <n v="48000"/>
    <n v="48000"/>
    <n v="12000"/>
    <n v="14400"/>
    <n v="38880"/>
    <n v="0"/>
    <n v="28787"/>
    <n v="30298"/>
    <m/>
  </r>
  <r>
    <s v="Agro Sudamerica1021077"/>
    <x v="0"/>
    <x v="0"/>
    <n v="1021077"/>
    <s v="GO Gord chic@ Cj 20k AS"/>
    <x v="2"/>
    <x v="5"/>
    <n v="8004"/>
    <n v="0"/>
    <n v="0.45719439678473212"/>
    <n v="3659.3839518649957"/>
    <n v="76502.83"/>
    <n v="0"/>
    <n v="0"/>
    <n v="80162.213951864993"/>
    <n v="53000"/>
    <n v="24000"/>
    <n v="53000"/>
    <n v="0"/>
    <n v="53000"/>
    <n v="27162.213951864993"/>
    <n v="0"/>
    <n v="0"/>
    <n v="0"/>
    <n v="27162.213951864993"/>
    <n v="24000"/>
    <m/>
    <n v="24000"/>
    <n v="0"/>
    <n v="77000"/>
    <n v="77000"/>
    <n v="0"/>
    <n v="53000"/>
    <n v="24000"/>
    <n v="77000"/>
    <n v="53000"/>
    <n v="24000"/>
    <n v="0"/>
    <s v="Si"/>
    <n v="77000"/>
    <n v="76502.83"/>
    <n v="497.16999999999825"/>
    <d v="2022-07-15T00:00:00"/>
    <n v="1.0959661435995247"/>
    <n v="1.234489302576889"/>
    <n v="1.2344893025768893"/>
    <n v="95055.676298420469"/>
    <n v="1.0959661435995247"/>
    <n v="0.12639364800303729"/>
    <m/>
    <n v="1.2344893025768893"/>
    <m/>
    <s v="OK"/>
    <s v="OK"/>
    <n v="0"/>
    <n v="24000"/>
    <n v="0"/>
    <n v="48000"/>
    <n v="0"/>
    <n v="48000"/>
    <n v="0"/>
    <n v="29259"/>
    <n v="0"/>
    <n v="60720"/>
    <n v="0"/>
    <n v="69235"/>
    <m/>
  </r>
  <r>
    <s v="Agro Sudamerica1021078"/>
    <x v="0"/>
    <x v="0"/>
    <n v="1021078"/>
    <s v="GO Triming 80/20@ Cj 20k AS"/>
    <x v="5"/>
    <x v="6"/>
    <n v="80028"/>
    <n v="96176"/>
    <n v="0.45719439678473212"/>
    <n v="36588.35318588854"/>
    <n v="93896.372000000076"/>
    <n v="33635"/>
    <n v="0"/>
    <n v="160756.22518588862"/>
    <n v="144000"/>
    <n v="24000"/>
    <n v="144000"/>
    <n v="0"/>
    <n v="144000"/>
    <n v="16756.225185888616"/>
    <n v="0"/>
    <n v="0"/>
    <n v="0"/>
    <n v="16756.225185888616"/>
    <n v="0"/>
    <m/>
    <n v="0"/>
    <n v="0"/>
    <n v="144000"/>
    <n v="144000"/>
    <n v="0"/>
    <n v="144000"/>
    <n v="0"/>
    <n v="144000"/>
    <n v="144000"/>
    <n v="0"/>
    <n v="0"/>
    <s v="Si"/>
    <n v="144000"/>
    <n v="93896.372000000076"/>
    <n v="50103.627999999924"/>
    <d v="2022-07-15T00:00:00"/>
    <n v="2.2700049908501101"/>
    <n v="2.266"/>
    <n v="2.266"/>
    <n v="326304"/>
    <n v="2.1807136021010445"/>
    <n v="3.9109398784317642E-2"/>
    <m/>
    <n v="2.266"/>
    <m/>
    <s v="OK"/>
    <s v="OK"/>
    <n v="48000"/>
    <n v="107000"/>
    <n v="143000"/>
    <n v="96000"/>
    <n v="96000"/>
    <n v="96000"/>
    <n v="97440"/>
    <n v="222108"/>
    <n v="309400"/>
    <n v="198480"/>
    <n v="209280"/>
    <n v="209605"/>
    <m/>
  </r>
  <r>
    <s v="Agro Sudamerica1021082"/>
    <x v="0"/>
    <x v="0"/>
    <n v="1021082"/>
    <s v="GO Triming 70/30@ Cj 20k AS"/>
    <x v="5"/>
    <x v="6"/>
    <n v="117869"/>
    <n v="96000"/>
    <n v="0.45719439678473212"/>
    <n v="53889.04635461959"/>
    <n v="28340.631999999991"/>
    <n v="0"/>
    <n v="0"/>
    <n v="82229.67835461958"/>
    <n v="49500"/>
    <n v="24000"/>
    <n v="49500"/>
    <n v="0"/>
    <n v="49500"/>
    <n v="32729.67835461958"/>
    <n v="24000"/>
    <n v="0"/>
    <n v="24000"/>
    <n v="8729.6783546195802"/>
    <n v="0"/>
    <m/>
    <n v="0"/>
    <n v="0"/>
    <n v="73500"/>
    <n v="73500"/>
    <n v="0"/>
    <n v="49500"/>
    <n v="24000"/>
    <n v="73500"/>
    <n v="49500"/>
    <n v="24000"/>
    <n v="0"/>
    <s v="Si"/>
    <n v="73500"/>
    <n v="28340.631999999991"/>
    <n v="45159.368000000009"/>
    <d v="2022-07-15T00:00:00"/>
    <n v="1.6491770833333299"/>
    <n v="1.571007181259402"/>
    <n v="1.5965320472427253"/>
    <n v="117345.10547234031"/>
    <n v="1.7421205135415334"/>
    <n v="8.3569687152608763E-2"/>
    <m/>
    <n v="1.5965320472427253"/>
    <m/>
    <s v="OK"/>
    <s v="OK"/>
    <n v="0"/>
    <n v="0"/>
    <n v="0"/>
    <n v="0"/>
    <n v="2500"/>
    <n v="48000"/>
    <n v="0"/>
    <n v="0"/>
    <n v="0"/>
    <n v="0"/>
    <n v="5125"/>
    <n v="86646"/>
    <m/>
  </r>
  <r>
    <s v="Agro Sudamerica1021085"/>
    <x v="0"/>
    <x v="0"/>
    <n v="1021085"/>
    <s v="GO Gord Esp@ Cj 20k AS"/>
    <x v="2"/>
    <x v="5"/>
    <n v="22880"/>
    <n v="24000"/>
    <n v="0.45719439678473212"/>
    <n v="10460.60779843467"/>
    <n v="18853.066999999992"/>
    <n v="0"/>
    <n v="0"/>
    <n v="29313.674798434662"/>
    <n v="21300"/>
    <n v="24000"/>
    <n v="21300"/>
    <n v="0"/>
    <n v="21300"/>
    <n v="8013.6747984346621"/>
    <n v="0"/>
    <n v="0"/>
    <n v="0"/>
    <n v="8013.6747984346621"/>
    <n v="0"/>
    <m/>
    <n v="0"/>
    <n v="0"/>
    <n v="21300"/>
    <n v="21300"/>
    <n v="0"/>
    <n v="21300"/>
    <n v="0"/>
    <n v="21300"/>
    <n v="21300"/>
    <n v="0"/>
    <n v="0"/>
    <s v="Si"/>
    <n v="21300"/>
    <n v="18853.066999999992"/>
    <n v="2446.9330000000082"/>
    <d v="2022-07-15T00:00:00"/>
    <n v="1.0900000000000001"/>
    <n v="1"/>
    <n v="1"/>
    <n v="21300"/>
    <n v="0.89590850528896471"/>
    <n v="0.11618540743450338"/>
    <m/>
    <n v="1"/>
    <m/>
    <s v="OK"/>
    <s v="OK"/>
    <n v="24000"/>
    <n v="24000"/>
    <n v="0"/>
    <n v="0"/>
    <n v="24000"/>
    <n v="0"/>
    <n v="28800"/>
    <n v="21600"/>
    <n v="0"/>
    <n v="0"/>
    <n v="20400"/>
    <n v="0"/>
    <m/>
  </r>
  <r>
    <s v="Agro Sudamerica1021092"/>
    <x v="0"/>
    <x v="0"/>
    <n v="1021092"/>
    <s v="GO Triming 85/15@ Cj t-f 20k AS"/>
    <x v="5"/>
    <x v="6"/>
    <n v="157799"/>
    <n v="138989"/>
    <n v="0.45719439678473212"/>
    <n v="72144.818618233941"/>
    <n v="71424.009000000005"/>
    <n v="34154"/>
    <n v="0"/>
    <n v="174307.42761823395"/>
    <n v="122000"/>
    <n v="24000"/>
    <n v="122000"/>
    <n v="-24000"/>
    <n v="98000"/>
    <n v="76307.427618233953"/>
    <n v="72000"/>
    <n v="0"/>
    <n v="72000"/>
    <n v="4307.4276182339527"/>
    <n v="0"/>
    <m/>
    <n v="0"/>
    <n v="0"/>
    <n v="170000"/>
    <n v="194000"/>
    <n v="0"/>
    <n v="98000"/>
    <n v="96000"/>
    <n v="170000"/>
    <n v="98000"/>
    <n v="72000"/>
    <n v="0"/>
    <s v="Si"/>
    <n v="170000"/>
    <n v="71424.009000000005"/>
    <n v="98575.990999999995"/>
    <d v="2022-07-15T00:00:00"/>
    <n v="2.4694040535582"/>
    <n v="2.3902238715849329"/>
    <n v="2.423759007479493"/>
    <n v="412039.03127151384"/>
    <n v="2.3534101775580347"/>
    <n v="2.9892294421219105E-2"/>
    <m/>
    <n v="2.423759007479493"/>
    <m/>
    <s v="OK"/>
    <s v="OK"/>
    <n v="48000"/>
    <n v="79070"/>
    <n v="0"/>
    <n v="72000"/>
    <n v="144000"/>
    <n v="121000"/>
    <n v="120000"/>
    <n v="149977"/>
    <n v="0"/>
    <n v="130800"/>
    <n v="337200"/>
    <n v="290729"/>
    <m/>
  </r>
  <r>
    <s v="Agro Sudamerica1021101"/>
    <x v="0"/>
    <x v="0"/>
    <n v="1021101"/>
    <s v="GO Corazón Partido@ Cj t-f 20k AS"/>
    <x v="10"/>
    <x v="15"/>
    <n v="2189"/>
    <n v="3458"/>
    <n v="0.45719439678473212"/>
    <n v="1000.7985345617786"/>
    <n v="22169.49700000001"/>
    <n v="0"/>
    <n v="0"/>
    <n v="23170.295534561788"/>
    <n v="33000"/>
    <n v="24000"/>
    <n v="0"/>
    <n v="0"/>
    <n v="0"/>
    <n v="23170.295534561788"/>
    <n v="0"/>
    <n v="0"/>
    <n v="0"/>
    <n v="23170.295534561788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09022556390977"/>
    <n v="1.23833333333333"/>
    <n v="0"/>
    <n v="0"/>
    <n v="1.1512926625443076"/>
    <s v="No Aplica"/>
    <m/>
    <n v="0"/>
    <m/>
    <s v="OK"/>
    <s v="OK"/>
    <n v="12000"/>
    <n v="48000"/>
    <n v="24000"/>
    <n v="24000"/>
    <n v="28000"/>
    <n v="24000"/>
    <n v="14040"/>
    <n v="56000"/>
    <n v="26400"/>
    <n v="24720"/>
    <n v="32800"/>
    <n v="29445"/>
    <m/>
  </r>
  <r>
    <s v="Agro Sudamerica1021105"/>
    <x v="0"/>
    <x v="0"/>
    <n v="1021105"/>
    <s v="GO Pulmon@ Cj 20k bca AS"/>
    <x v="10"/>
    <x v="15"/>
    <n v="40510"/>
    <n v="32611"/>
    <n v="0.45719439678473212"/>
    <n v="18520.945013749497"/>
    <n v="11187.452000000001"/>
    <n v="7500"/>
    <n v="0"/>
    <n v="36458.397013749498"/>
    <n v="53211"/>
    <n v="24000"/>
    <n v="24000"/>
    <n v="0"/>
    <n v="24000"/>
    <n v="12458.397013749498"/>
    <n v="0"/>
    <n v="0"/>
    <n v="0"/>
    <n v="12458.397013749498"/>
    <n v="0"/>
    <m/>
    <n v="0"/>
    <n v="0"/>
    <n v="24000"/>
    <n v="24000"/>
    <n v="0"/>
    <n v="24000"/>
    <n v="0"/>
    <n v="24000"/>
    <n v="24000"/>
    <n v="0"/>
    <n v="0"/>
    <s v="Si"/>
    <n v="24000"/>
    <n v="11187.452000000001"/>
    <n v="12812.547999999999"/>
    <d v="2022-07-15T00:00:00"/>
    <n v="0.73668394100150303"/>
    <n v="0.75703384638514604"/>
    <n v="0.75703384638514615"/>
    <n v="18168.812313243507"/>
    <n v="0.53438084959056242"/>
    <n v="0.41665601782919121"/>
    <m/>
    <n v="0.75703384638514615"/>
    <m/>
    <s v="OK"/>
    <s v="OK"/>
    <n v="24000"/>
    <n v="24000"/>
    <n v="24000"/>
    <n v="24000"/>
    <n v="0"/>
    <n v="0"/>
    <n v="12960"/>
    <n v="12960"/>
    <n v="12000"/>
    <n v="11760"/>
    <n v="0"/>
    <n v="0"/>
    <m/>
  </r>
  <r>
    <s v="Agro Sudamerica1021106"/>
    <x v="0"/>
    <x v="0"/>
    <n v="1021106"/>
    <s v="GO Pana S/Corazón@ Cj 20k AS"/>
    <x v="10"/>
    <x v="15"/>
    <n v="0"/>
    <n v="0"/>
    <n v="0.45719439678473212"/>
    <n v="0"/>
    <n v="100886.14799999999"/>
    <n v="0"/>
    <n v="0"/>
    <n v="100886.14799999999"/>
    <n v="0"/>
    <n v="24000"/>
    <n v="0"/>
    <n v="0"/>
    <n v="0"/>
    <n v="100886.14799999999"/>
    <n v="0"/>
    <n v="0"/>
    <n v="0"/>
    <n v="100886.14799999999"/>
    <n v="96000"/>
    <m/>
    <n v="96000"/>
    <n v="0"/>
    <n v="96000"/>
    <n v="96000"/>
    <n v="0"/>
    <n v="0"/>
    <n v="96000"/>
    <n v="96000"/>
    <n v="0"/>
    <n v="96000"/>
    <n v="0"/>
    <s v="Si"/>
    <n v="96000"/>
    <n v="96000"/>
    <n v="0"/>
    <d v="2022-07-15T00:00:00"/>
    <n v="0.5368797236944659"/>
    <n v="0.5368797236944659"/>
    <n v="0.5368797236944659"/>
    <n v="51540.453474668728"/>
    <n v="0.5368797236944659"/>
    <n v="0"/>
    <m/>
    <n v="0.5368797236944659"/>
    <m/>
    <s v="OK"/>
    <s v="OK"/>
    <n v="96000"/>
    <n v="144000"/>
    <n v="96000"/>
    <n v="120000"/>
    <n v="48000"/>
    <n v="120000"/>
    <n v="67008"/>
    <n v="102640"/>
    <n v="67579"/>
    <n v="84720"/>
    <n v="30827"/>
    <n v="80334"/>
    <m/>
  </r>
  <r>
    <s v="Agro Sudamerica1021111"/>
    <x v="0"/>
    <x v="0"/>
    <n v="1021111"/>
    <s v="GO Epiplón@ Cj 20k AS"/>
    <x v="2"/>
    <x v="16"/>
    <n v="4543"/>
    <n v="3000"/>
    <n v="0.45719439678473212"/>
    <n v="2077.034144593038"/>
    <n v="2854.5570000000002"/>
    <n v="1057"/>
    <n v="0"/>
    <n v="5882.891144593038"/>
    <n v="9262"/>
    <n v="24000"/>
    <n v="0"/>
    <n v="0"/>
    <n v="0"/>
    <n v="5882.891144593038"/>
    <n v="0"/>
    <n v="0"/>
    <n v="0"/>
    <n v="5882.891144593038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28666666666667"/>
    <n v="1.3176095875620817"/>
    <n v="0"/>
    <n v="0"/>
    <n v="1.6000000000000003"/>
    <s v="No Aplica"/>
    <m/>
    <n v="0"/>
    <m/>
    <s v="OK"/>
    <s v="OK"/>
    <n v="3000"/>
    <n v="2500"/>
    <n v="0"/>
    <n v="0"/>
    <n v="0"/>
    <n v="0"/>
    <n v="3900"/>
    <n v="3220"/>
    <n v="0"/>
    <n v="0"/>
    <n v="0"/>
    <n v="0"/>
    <m/>
  </r>
  <r>
    <s v="Agro Sudamerica1021187"/>
    <x v="0"/>
    <x v="0"/>
    <n v="1021187"/>
    <s v="GO Cue Back@ Cj 20k t-f AS"/>
    <x v="4"/>
    <x v="17"/>
    <n v="56914"/>
    <n v="48000"/>
    <n v="0.45719439678473212"/>
    <n v="26020.761898606244"/>
    <n v="45175.617000000006"/>
    <n v="12759"/>
    <n v="0"/>
    <n v="82679.478898606263"/>
    <n v="72000"/>
    <n v="24000"/>
    <n v="72000"/>
    <n v="0"/>
    <n v="72000"/>
    <n v="10679.478898606263"/>
    <n v="0"/>
    <n v="0"/>
    <n v="0"/>
    <n v="10679.478898606263"/>
    <n v="0"/>
    <m/>
    <n v="0"/>
    <n v="0"/>
    <n v="72000"/>
    <n v="72000"/>
    <n v="0"/>
    <n v="72000"/>
    <n v="0"/>
    <n v="72000"/>
    <n v="72000"/>
    <n v="0"/>
    <n v="0"/>
    <s v="Si"/>
    <n v="72000"/>
    <n v="45175.617000000006"/>
    <n v="26824.382999999994"/>
    <d v="2022-07-15T00:00:00"/>
    <n v="2.08666666666667"/>
    <n v="2.098888888888887"/>
    <n v="2.098888888888887"/>
    <n v="151119.99999999985"/>
    <n v="1.9749710713503257"/>
    <n v="6.2744117792994478E-2"/>
    <m/>
    <n v="2.098888888888887"/>
    <m/>
    <s v="OK"/>
    <s v="OK"/>
    <n v="72000"/>
    <n v="24000"/>
    <n v="48000"/>
    <n v="24000"/>
    <n v="88000"/>
    <n v="69000"/>
    <n v="147600"/>
    <n v="50100"/>
    <n v="90190"/>
    <n v="48240"/>
    <n v="173280"/>
    <n v="143717"/>
    <m/>
  </r>
  <r>
    <s v="Agro Sudamerica1021237"/>
    <x v="0"/>
    <x v="0"/>
    <n v="1021237"/>
    <s v="GO Triming 80/20@ Bo c/f Cj 20k AS"/>
    <x v="5"/>
    <x v="6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9267113364485982"/>
    <n v="0"/>
    <n v="0"/>
    <n v="0"/>
    <n v="1.9267113364485982"/>
    <s v="No Aplica"/>
    <m/>
    <n v="0"/>
    <m/>
    <s v="OK"/>
    <s v="OK"/>
    <n v="0"/>
    <n v="0"/>
    <n v="0"/>
    <n v="61042"/>
    <n v="13042"/>
    <n v="0"/>
    <n v="0"/>
    <n v="0"/>
    <n v="0"/>
    <n v="112844"/>
    <n v="25041"/>
    <n v="0"/>
    <m/>
  </r>
  <r>
    <s v="Agro Sudamerica1021263"/>
    <x v="0"/>
    <x v="0"/>
    <n v="1021263"/>
    <s v="GO PpPna 59@ Fi Cj 20k AS"/>
    <x v="9"/>
    <x v="13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8927390960124557"/>
    <n v="0"/>
    <n v="0"/>
    <n v="0"/>
    <n v="1.8927390960124557"/>
    <s v="No Aplica"/>
    <m/>
    <n v="0"/>
    <m/>
    <s v="OK"/>
    <s v="OK"/>
    <n v="0"/>
    <n v="0"/>
    <n v="0"/>
    <n v="72000"/>
    <n v="48000"/>
    <n v="0"/>
    <n v="0"/>
    <n v="0"/>
    <n v="0"/>
    <n v="132240"/>
    <n v="92880"/>
    <n v="0"/>
    <m/>
  </r>
  <r>
    <s v="Agro Sudamerica1021287"/>
    <x v="0"/>
    <x v="0"/>
    <n v="1021287"/>
    <s v="GO Lom Tocino@ Bo Cj AS"/>
    <x v="2"/>
    <x v="2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5000"/>
    <n v="0"/>
    <n v="0"/>
    <n v="0"/>
    <n v="0"/>
    <n v="0"/>
    <n v="6833"/>
    <n v="0"/>
    <n v="0"/>
    <n v="0"/>
    <n v="0"/>
    <m/>
  </r>
  <r>
    <s v="Agro Sudamerica1021385"/>
    <x v="0"/>
    <x v="0"/>
    <n v="1021385"/>
    <s v="GO Cue granel Esp CC@ Cj 20k AS"/>
    <x v="4"/>
    <x v="18"/>
    <n v="113824"/>
    <n v="120000"/>
    <n v="0.45719439678473212"/>
    <n v="52039.695019625346"/>
    <n v="299611.9150000001"/>
    <n v="0"/>
    <n v="0"/>
    <n v="351651.61001962546"/>
    <n v="150400"/>
    <n v="24000"/>
    <n v="150400"/>
    <n v="0"/>
    <n v="150400"/>
    <n v="201251.61001962546"/>
    <n v="192000"/>
    <n v="0"/>
    <n v="192000"/>
    <n v="9251.6100196254556"/>
    <n v="0"/>
    <m/>
    <n v="0"/>
    <n v="0"/>
    <n v="342400"/>
    <n v="342400"/>
    <n v="0"/>
    <n v="150400"/>
    <n v="192000"/>
    <n v="342400"/>
    <n v="150400"/>
    <n v="192000"/>
    <n v="0"/>
    <s v="Si"/>
    <n v="342400"/>
    <n v="299611.9150000001"/>
    <n v="42788.084999999905"/>
    <d v="2022-07-15T00:00:00"/>
    <n v="1.0716749999999999"/>
    <n v="0.99227921371780503"/>
    <n v="1.0368002153713722"/>
    <n v="355000.39374315785"/>
    <n v="0.99703409030199475"/>
    <n v="3.9884418653461089E-2"/>
    <m/>
    <n v="1.0368002153713722"/>
    <m/>
    <s v="OK"/>
    <s v="OK"/>
    <n v="120000"/>
    <n v="96000"/>
    <n v="144000"/>
    <n v="24000"/>
    <n v="144000"/>
    <n v="250000"/>
    <n v="114138.1036"/>
    <n v="93960"/>
    <n v="139920"/>
    <n v="21600"/>
    <n v="140160"/>
    <n v="257478"/>
    <m/>
  </r>
  <r>
    <s v="Agro Sudamerica1021435"/>
    <x v="0"/>
    <x v="0"/>
    <n v="1021435"/>
    <s v="GO Gord Lom Tocino@ Cj 20k AS"/>
    <x v="2"/>
    <x v="5"/>
    <n v="0"/>
    <n v="0"/>
    <n v="0.45719439678473212"/>
    <n v="0"/>
    <n v="1183.153"/>
    <n v="0"/>
    <n v="0"/>
    <n v="1183.153"/>
    <n v="0"/>
    <n v="24000"/>
    <n v="0"/>
    <n v="0"/>
    <n v="0"/>
    <n v="1183.153"/>
    <n v="0"/>
    <n v="0"/>
    <n v="0"/>
    <n v="1183.153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24000"/>
    <n v="0"/>
    <n v="12000"/>
    <n v="0"/>
    <n v="0"/>
    <n v="0"/>
    <n v="26800"/>
    <n v="0"/>
    <n v="10440"/>
    <n v="0"/>
    <n v="0"/>
    <m/>
  </r>
  <r>
    <s v="Agro Sudamerica1021550"/>
    <x v="0"/>
    <x v="0"/>
    <n v="1021550"/>
    <s v="GO Triming 85/15@ Cj 20k AS"/>
    <x v="5"/>
    <x v="6"/>
    <n v="0"/>
    <n v="0"/>
    <n v="0.45719439678473212"/>
    <n v="0"/>
    <n v="700"/>
    <n v="0"/>
    <n v="0"/>
    <n v="700"/>
    <n v="1160"/>
    <n v="24000"/>
    <n v="0"/>
    <n v="0"/>
    <n v="0"/>
    <n v="700"/>
    <n v="0"/>
    <n v="0"/>
    <n v="0"/>
    <n v="70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9267113322368421"/>
    <n v="1.8470828974735802"/>
    <n v="0"/>
    <n v="0"/>
    <n v="1.9267113322368421"/>
    <s v="No Aplica"/>
    <m/>
    <n v="0"/>
    <m/>
    <s v="OK"/>
    <s v="OK"/>
    <n v="0"/>
    <n v="5780"/>
    <n v="0"/>
    <n v="70958"/>
    <n v="34958"/>
    <n v="0"/>
    <n v="0"/>
    <n v="10500"/>
    <n v="0"/>
    <n v="130996"/>
    <n v="67119"/>
    <n v="0"/>
    <m/>
  </r>
  <r>
    <s v="Agro Sudamerica1021622"/>
    <x v="0"/>
    <x v="0"/>
    <n v="1021622"/>
    <s v="GO BB Ribs 20-24 Oz@ Cj 10k AS"/>
    <x v="0"/>
    <x v="7"/>
    <n v="2826"/>
    <n v="2826"/>
    <n v="0.45719439678473212"/>
    <n v="1292.0313653136529"/>
    <n v="10870"/>
    <n v="15961"/>
    <n v="0"/>
    <n v="26526.931365313652"/>
    <n v="36000"/>
    <n v="24000"/>
    <n v="24000"/>
    <n v="0"/>
    <n v="24000"/>
    <n v="2526.9313653136523"/>
    <n v="0"/>
    <n v="0"/>
    <n v="0"/>
    <n v="2526.9313653136523"/>
    <n v="0"/>
    <m/>
    <n v="0"/>
    <n v="0"/>
    <n v="24000"/>
    <n v="24000"/>
    <n v="0"/>
    <n v="24000"/>
    <n v="0"/>
    <n v="24000"/>
    <n v="24000"/>
    <n v="0"/>
    <n v="0"/>
    <s v="Si"/>
    <n v="24000"/>
    <n v="10870"/>
    <n v="13130"/>
    <d v="2022-07-15T00:00:00"/>
    <n v="6.4865534324132996"/>
    <n v="6.4045555555555573"/>
    <n v="6.4045555555555573"/>
    <n v="153709.33333333337"/>
    <n v="3.4203345454545455"/>
    <n v="0.87249389509774511"/>
    <m/>
    <n v="6.4045555555555573"/>
    <m/>
    <s v="OK"/>
    <s v="OK"/>
    <n v="0"/>
    <n v="6790"/>
    <n v="0"/>
    <n v="18000"/>
    <n v="110"/>
    <n v="0"/>
    <n v="0"/>
    <n v="53075"/>
    <n v="0"/>
    <n v="131760"/>
    <n v="374"/>
    <n v="0"/>
    <m/>
  </r>
  <r>
    <s v="Agro Sudamerica1021623"/>
    <x v="0"/>
    <x v="0"/>
    <n v="1021623"/>
    <s v="GO BB Ribs 24 oz@ Cj 10k AS"/>
    <x v="0"/>
    <x v="7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3.4203349056603773"/>
    <n v="0"/>
    <n v="0"/>
    <n v="0"/>
    <n v="3.4203349056603773"/>
    <s v="No Aplica"/>
    <m/>
    <n v="0"/>
    <m/>
    <s v="OK"/>
    <s v="OK"/>
    <n v="2000"/>
    <n v="0"/>
    <n v="0"/>
    <n v="0"/>
    <n v="530"/>
    <n v="0"/>
    <n v="10600"/>
    <n v="0"/>
    <n v="0"/>
    <n v="0"/>
    <n v="1802"/>
    <n v="0"/>
    <m/>
  </r>
  <r>
    <s v="Agro Sudamerica1021639"/>
    <x v="0"/>
    <x v="0"/>
    <n v="1021639"/>
    <s v="GO File C/cab@ Cj 5k AS"/>
    <x v="11"/>
    <x v="19"/>
    <n v="0"/>
    <n v="0"/>
    <n v="0.45719439678473212"/>
    <n v="0"/>
    <n v="1775"/>
    <n v="0"/>
    <n v="0"/>
    <n v="1775"/>
    <n v="1000"/>
    <n v="24000"/>
    <n v="1000"/>
    <n v="-1000"/>
    <n v="0"/>
    <n v="1775"/>
    <n v="0"/>
    <n v="0"/>
    <n v="0"/>
    <n v="1775"/>
    <n v="0"/>
    <m/>
    <n v="0"/>
    <n v="0"/>
    <n v="1000"/>
    <n v="1000"/>
    <n v="0"/>
    <n v="0"/>
    <n v="1000"/>
    <n v="0"/>
    <n v="0"/>
    <n v="0"/>
    <n v="0"/>
    <s v="No"/>
    <n v="0"/>
    <n v="0"/>
    <n v="0"/>
    <d v="2022-07-15T00:00:00"/>
    <n v="3.0789500139178845"/>
    <n v="2.8"/>
    <n v="0"/>
    <n v="0"/>
    <n v="3.0789500139178845"/>
    <s v="No Aplica"/>
    <m/>
    <n v="0"/>
    <m/>
    <s v="OK"/>
    <s v="OK"/>
    <n v="0"/>
    <n v="48000"/>
    <n v="24000"/>
    <n v="24000"/>
    <n v="24000"/>
    <n v="25000"/>
    <n v="0"/>
    <n v="147200"/>
    <n v="72000"/>
    <n v="69600"/>
    <n v="73200"/>
    <n v="76334"/>
    <m/>
  </r>
  <r>
    <s v="Agro Sudamerica1021819"/>
    <x v="0"/>
    <x v="0"/>
    <n v="1021819"/>
    <s v="GO Lom Ctro 27@ Fi Cj 20k AS"/>
    <x v="6"/>
    <x v="8"/>
    <n v="0"/>
    <n v="0"/>
    <n v="0.45719439678473212"/>
    <n v="0"/>
    <n v="41.9"/>
    <n v="0"/>
    <n v="0"/>
    <n v="41.9"/>
    <n v="72000"/>
    <n v="24000"/>
    <n v="0"/>
    <n v="0"/>
    <n v="0"/>
    <n v="41.9"/>
    <n v="0"/>
    <n v="0"/>
    <n v="0"/>
    <n v="41.9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8496310297501142"/>
    <n v="1.8496250000000001"/>
    <n v="0"/>
    <n v="0"/>
    <n v="1.8496310297501142"/>
    <s v="No Aplica"/>
    <m/>
    <n v="0"/>
    <m/>
    <s v="OK"/>
    <s v="OK"/>
    <n v="0"/>
    <n v="0"/>
    <n v="0"/>
    <n v="0"/>
    <n v="48000"/>
    <n v="0"/>
    <n v="0"/>
    <n v="0"/>
    <n v="0"/>
    <n v="0"/>
    <n v="96000"/>
    <n v="0"/>
    <m/>
  </r>
  <r>
    <s v="Agro Sudamerica1021820"/>
    <x v="0"/>
    <x v="0"/>
    <n v="1021820"/>
    <s v="GO Lom Vet 44@ Fi Cj 20k AS"/>
    <x v="6"/>
    <x v="20"/>
    <n v="0"/>
    <n v="0"/>
    <n v="0.45719439678473212"/>
    <n v="0"/>
    <n v="0"/>
    <n v="0"/>
    <n v="0"/>
    <n v="0"/>
    <n v="1400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2.5683539254002845"/>
    <n v="2.1654552374999998"/>
    <n v="0"/>
    <n v="0"/>
    <n v="2.5683539254002845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1868"/>
    <x v="0"/>
    <x v="0"/>
    <n v="1021868"/>
    <s v="GO PpPna 54@ Cj 20k AS"/>
    <x v="9"/>
    <x v="21"/>
    <n v="28483"/>
    <n v="31422"/>
    <n v="0.45719439678473212"/>
    <n v="13022.268003619525"/>
    <n v="121044.33800000002"/>
    <n v="0"/>
    <n v="0"/>
    <n v="134066.60600361956"/>
    <n v="49000"/>
    <n v="24000"/>
    <n v="49000"/>
    <n v="0"/>
    <n v="49000"/>
    <n v="85066.606003619556"/>
    <n v="72000"/>
    <n v="0"/>
    <n v="72000"/>
    <n v="13066.606003619556"/>
    <n v="0"/>
    <m/>
    <n v="0"/>
    <n v="0"/>
    <n v="121000"/>
    <n v="121000"/>
    <n v="0"/>
    <n v="49000"/>
    <n v="72000"/>
    <n v="121000"/>
    <n v="49000"/>
    <n v="72000"/>
    <n v="0"/>
    <s v="Si"/>
    <n v="121000"/>
    <n v="121000"/>
    <n v="0"/>
    <d v="2022-07-15T00:00:00"/>
    <n v="2.8900133664311598"/>
    <n v="2.9712448979591799"/>
    <n v="2.9229087800251516"/>
    <n v="353671.96238304337"/>
    <n v="2.8663291730140399"/>
    <n v="1.9739396139075133E-2"/>
    <m/>
    <n v="2.9229087800251516"/>
    <m/>
    <s v="OK"/>
    <s v="OK"/>
    <n v="24000"/>
    <n v="48000"/>
    <n v="48000"/>
    <n v="34000"/>
    <n v="24000"/>
    <n v="24000"/>
    <n v="66000"/>
    <n v="134400"/>
    <n v="119520"/>
    <n v="86500"/>
    <n v="60000"/>
    <n v="73172"/>
    <m/>
  </r>
  <r>
    <s v="Agro Sudamerica1021903"/>
    <x v="0"/>
    <x v="0"/>
    <n v="1021903"/>
    <s v="GO Corazón Partido@ Cj 10k AS"/>
    <x v="10"/>
    <x v="15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2161043669806706"/>
    <n v="0"/>
    <n v="0"/>
    <n v="0"/>
    <n v="1.2161043669806706"/>
    <s v="No Aplica"/>
    <m/>
    <n v="0"/>
    <m/>
    <s v="OK"/>
    <s v="OK"/>
    <n v="0"/>
    <n v="0"/>
    <n v="0"/>
    <n v="0"/>
    <n v="24000"/>
    <n v="0"/>
    <n v="0"/>
    <n v="0"/>
    <n v="0"/>
    <n v="0"/>
    <n v="29280"/>
    <n v="0"/>
    <m/>
  </r>
  <r>
    <s v="Agro Sudamerica1021976"/>
    <x v="0"/>
    <x v="0"/>
    <n v="1021976"/>
    <s v="GO PpPal 77@ Cj 20k AS"/>
    <x v="12"/>
    <x v="22"/>
    <n v="96000"/>
    <n v="96000"/>
    <n v="0.45719439678473212"/>
    <n v="43890.662091334285"/>
    <n v="188151.79899999988"/>
    <n v="22217.200131800517"/>
    <n v="0"/>
    <n v="252037.94120995465"/>
    <n v="219000"/>
    <n v="24000"/>
    <n v="219000"/>
    <n v="-72000"/>
    <n v="147000"/>
    <n v="105037.94120995465"/>
    <n v="96000"/>
    <n v="0"/>
    <n v="96000"/>
    <n v="9037.9412099546462"/>
    <n v="0"/>
    <m/>
    <n v="0"/>
    <n v="0"/>
    <n v="243000"/>
    <n v="315000"/>
    <n v="0"/>
    <n v="147000"/>
    <n v="168000"/>
    <n v="243000"/>
    <n v="147000"/>
    <n v="96000"/>
    <n v="0"/>
    <s v="Si"/>
    <n v="243000"/>
    <n v="188151.79899999988"/>
    <n v="54848.201000000117"/>
    <d v="2022-07-15T00:00:00"/>
    <n v="2.6"/>
    <n v="2.4901004123221568"/>
    <n v="2.5335175333800701"/>
    <n v="615644.76061135705"/>
    <n v="2.3261498959070961"/>
    <n v="8.9146291835208571E-2"/>
    <m/>
    <n v="2.5335175333800701"/>
    <m/>
    <s v="OK"/>
    <s v="OK"/>
    <n v="80000"/>
    <n v="187000"/>
    <n v="312000"/>
    <n v="168000"/>
    <n v="340000"/>
    <n v="254000"/>
    <n v="179200"/>
    <n v="405233"/>
    <n v="682914"/>
    <n v="369600"/>
    <n v="769345"/>
    <n v="595202"/>
    <m/>
  </r>
  <r>
    <s v="Agro Sudamerica1022047"/>
    <x v="0"/>
    <x v="0"/>
    <n v="1022047"/>
    <s v="GO Triming Panc@ Cj 20k AS"/>
    <x v="5"/>
    <x v="6"/>
    <n v="0"/>
    <n v="1807"/>
    <n v="0.45719439678473212"/>
    <n v="0"/>
    <n v="14521.869999999997"/>
    <n v="0"/>
    <n v="0"/>
    <n v="14521.869999999997"/>
    <n v="0"/>
    <n v="24000"/>
    <n v="0"/>
    <n v="0"/>
    <n v="0"/>
    <n v="14521.869999999997"/>
    <n v="0"/>
    <n v="0"/>
    <n v="0"/>
    <n v="14521.869999999997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64028776978417"/>
    <n v="0"/>
    <n v="0"/>
    <n v="0"/>
    <n v="1.3361597521241988"/>
    <s v="No Aplica"/>
    <m/>
    <n v="0"/>
    <m/>
    <s v="OK"/>
    <s v="OK"/>
    <n v="0"/>
    <n v="0"/>
    <n v="0"/>
    <n v="48000"/>
    <n v="0"/>
    <n v="0"/>
    <n v="0"/>
    <n v="0"/>
    <n v="0"/>
    <n v="63600"/>
    <n v="0"/>
    <n v="0"/>
    <m/>
  </r>
  <r>
    <s v="Agro Sudamerica1022149"/>
    <x v="0"/>
    <x v="0"/>
    <n v="1022149"/>
    <s v="GO Plancha Rebaje Ent@ Cj 20k AS"/>
    <x v="3"/>
    <x v="3"/>
    <n v="24206"/>
    <n v="36000"/>
    <n v="0.45719439678473212"/>
    <n v="11066.847568571226"/>
    <n v="1020.921"/>
    <n v="1339"/>
    <n v="0"/>
    <n v="13292.868568571226"/>
    <n v="24000"/>
    <n v="24000"/>
    <n v="0"/>
    <n v="0"/>
    <n v="0"/>
    <n v="13292.868568571226"/>
    <n v="0"/>
    <n v="0"/>
    <n v="0"/>
    <n v="13292.868568571226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2.0099999999999998"/>
    <n v="2.4"/>
    <n v="0"/>
    <n v="0"/>
    <n v="1.8919193781798003"/>
    <s v="No Aplica"/>
    <m/>
    <n v="0"/>
    <m/>
    <s v="OK"/>
    <s v="OK"/>
    <n v="72000"/>
    <n v="36000"/>
    <n v="48000"/>
    <n v="24000"/>
    <n v="24000"/>
    <n v="24000"/>
    <n v="149040"/>
    <n v="81300"/>
    <n v="86400"/>
    <n v="41040"/>
    <n v="44640"/>
    <n v="44765"/>
    <m/>
  </r>
  <r>
    <s v="Agro Sudamerica1022150"/>
    <x v="0"/>
    <x v="0"/>
    <n v="1022150"/>
    <s v="GO Gord chic@ Cj 20k AS"/>
    <x v="2"/>
    <x v="5"/>
    <n v="164294"/>
    <n v="95219"/>
    <n v="0.45719439678473212"/>
    <n v="75114.296225350772"/>
    <n v="36386.845999999983"/>
    <n v="11644"/>
    <n v="0"/>
    <n v="121980.74222535075"/>
    <n v="168000"/>
    <n v="24000"/>
    <n v="120000"/>
    <n v="-24000"/>
    <n v="96000"/>
    <n v="25980.742225350754"/>
    <n v="24000"/>
    <n v="0"/>
    <n v="24000"/>
    <n v="1980.7422253507539"/>
    <n v="0"/>
    <m/>
    <n v="0"/>
    <n v="23989.89"/>
    <n v="143989.89000000001"/>
    <n v="167989.89"/>
    <n v="23989.89"/>
    <n v="96000"/>
    <n v="48000"/>
    <n v="143989.89000000001"/>
    <n v="96000"/>
    <n v="24000.000000000015"/>
    <n v="0"/>
    <s v="Si"/>
    <n v="120000.00000000001"/>
    <n v="36386.845999999983"/>
    <n v="83613.154000000039"/>
    <d v="2022-07-15T00:00:00"/>
    <n v="1.2866759785337001"/>
    <n v="1.3466275797940799"/>
    <n v="1.3366349446844263"/>
    <n v="192461.91865526667"/>
    <n v="1.2258767054957871"/>
    <n v="9.0350227467488081E-2"/>
    <m/>
    <n v="1.3366349446844263"/>
    <m/>
    <s v="OK"/>
    <s v="OK"/>
    <n v="120000"/>
    <n v="174000"/>
    <n v="132000"/>
    <n v="96000"/>
    <n v="168000"/>
    <n v="168000"/>
    <n v="124800"/>
    <n v="183900"/>
    <n v="127200"/>
    <n v="88560"/>
    <n v="187440"/>
    <n v="218215"/>
    <m/>
  </r>
  <r>
    <s v="Agro Sudamerica1022196"/>
    <x v="0"/>
    <x v="0"/>
    <n v="1022196"/>
    <s v="GO Forro Pal@ Cj 20k AS"/>
    <x v="4"/>
    <x v="23"/>
    <n v="48306"/>
    <n v="48000"/>
    <n v="0.45719439678473212"/>
    <n v="22085.232531083271"/>
    <n v="37334.689999999995"/>
    <n v="59009"/>
    <n v="0"/>
    <n v="112528.02253108326"/>
    <n v="143800"/>
    <n v="24000"/>
    <n v="96000"/>
    <n v="0"/>
    <n v="96000"/>
    <n v="16528.022531083261"/>
    <n v="0"/>
    <n v="0"/>
    <n v="0"/>
    <n v="16528.022531083261"/>
    <n v="0"/>
    <m/>
    <n v="0"/>
    <n v="0"/>
    <n v="96000"/>
    <n v="96000"/>
    <n v="0"/>
    <n v="96000"/>
    <n v="0"/>
    <n v="96000"/>
    <n v="96000"/>
    <n v="0"/>
    <n v="0"/>
    <s v="Si"/>
    <n v="96000"/>
    <n v="37334.689999999995"/>
    <n v="58665.310000000005"/>
    <d v="2022-07-15T00:00:00"/>
    <n v="1.1866666666666701"/>
    <n v="1.0811543810848436"/>
    <n v="1.0811543810848436"/>
    <n v="103790.82058414498"/>
    <n v="0.5348884251148559"/>
    <n v="1.0212708488741156"/>
    <m/>
    <n v="1.0811543810848436"/>
    <m/>
    <s v="OK"/>
    <s v="OK"/>
    <n v="0"/>
    <n v="24000"/>
    <n v="48000"/>
    <n v="0"/>
    <n v="24000"/>
    <n v="24000"/>
    <n v="0"/>
    <n v="15600"/>
    <n v="31200"/>
    <n v="0"/>
    <n v="10800"/>
    <n v="16440"/>
    <m/>
  </r>
  <r>
    <s v="Agro Sudamerica1022197"/>
    <x v="0"/>
    <x v="0"/>
    <n v="1022197"/>
    <s v="GO Pna Forro@ Cj 20k AS"/>
    <x v="4"/>
    <x v="23"/>
    <n v="0"/>
    <n v="0"/>
    <n v="0.45719439678473212"/>
    <n v="0"/>
    <n v="13297.205000000002"/>
    <n v="0"/>
    <n v="0"/>
    <n v="13297.205000000002"/>
    <n v="4698"/>
    <n v="24000"/>
    <n v="4698"/>
    <n v="0"/>
    <n v="4698"/>
    <n v="8599.2050000000017"/>
    <n v="0"/>
    <n v="0"/>
    <n v="0"/>
    <n v="8599.2050000000017"/>
    <n v="0"/>
    <m/>
    <n v="0"/>
    <n v="0"/>
    <n v="4698"/>
    <n v="4698"/>
    <n v="0"/>
    <n v="4698"/>
    <n v="0"/>
    <n v="4698"/>
    <n v="4698"/>
    <n v="0"/>
    <n v="0"/>
    <s v="Si"/>
    <n v="4698"/>
    <n v="4698"/>
    <n v="0"/>
    <d v="2022-07-15T00:00:00"/>
    <n v="0"/>
    <n v="0.52987190293742004"/>
    <n v="0.52987190293742004"/>
    <n v="2489.3381999999992"/>
    <n v="0"/>
    <s v="No Aplica"/>
    <m/>
    <n v="0.52987190293742004"/>
    <m/>
    <s v="OK"/>
    <s v="OK"/>
    <n v="0"/>
    <n v="0"/>
    <n v="24000"/>
    <n v="24000"/>
    <n v="0"/>
    <n v="0"/>
    <n v="0"/>
    <n v="0"/>
    <n v="21600"/>
    <n v="18240"/>
    <n v="0"/>
    <n v="0"/>
    <m/>
  </r>
  <r>
    <s v="Agro Sudamerica1022247"/>
    <x v="0"/>
    <x v="0"/>
    <n v="1022247"/>
    <s v="GO Triming 60/40@ Bo Cj AS"/>
    <x v="5"/>
    <x v="6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48000"/>
    <n v="0"/>
    <n v="0"/>
    <n v="0"/>
    <n v="0"/>
    <n v="0"/>
    <n v="64560"/>
    <n v="0"/>
    <n v="0"/>
    <m/>
  </r>
  <r>
    <s v="Agro Sudamerica1022384"/>
    <x v="0"/>
    <x v="0"/>
    <n v="1022384"/>
    <s v="GO BB Ribs Grd B@ Fi Cj 10k AS"/>
    <x v="0"/>
    <x v="7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3.4203347712697036"/>
    <n v="0"/>
    <n v="0"/>
    <n v="0"/>
    <n v="3.4203347712697036"/>
    <s v="No Aplica"/>
    <m/>
    <n v="0"/>
    <m/>
    <s v="OK"/>
    <s v="OK"/>
    <n v="2947"/>
    <n v="0"/>
    <n v="0"/>
    <n v="0"/>
    <n v="619"/>
    <n v="0"/>
    <n v="15619.1"/>
    <n v="0"/>
    <n v="0"/>
    <n v="0"/>
    <n v="2105"/>
    <n v="0"/>
    <m/>
  </r>
  <r>
    <s v="Agro Sudamerica1022406"/>
    <x v="0"/>
    <x v="0"/>
    <n v="1022406"/>
    <s v="GO Patas B@ Bo Cj 20 k AS"/>
    <x v="10"/>
    <x v="24"/>
    <n v="0"/>
    <n v="0"/>
    <n v="0.45719439678473212"/>
    <n v="0"/>
    <n v="7865.3429999999971"/>
    <n v="0"/>
    <n v="0"/>
    <n v="7865.3429999999971"/>
    <n v="8000"/>
    <n v="24000"/>
    <n v="0"/>
    <n v="0"/>
    <n v="0"/>
    <n v="7865.3429999999971"/>
    <n v="0"/>
    <n v="0"/>
    <n v="0"/>
    <n v="7865.3429999999971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3.85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2409"/>
    <x v="0"/>
    <x v="0"/>
    <n v="1022409"/>
    <s v="GO Tripa s/Cal# Bidon AS"/>
    <x v="10"/>
    <x v="25"/>
    <n v="0"/>
    <n v="0"/>
    <n v="0.45719439678473212"/>
    <n v="0"/>
    <n v="4095"/>
    <n v="0"/>
    <n v="0"/>
    <n v="4095"/>
    <n v="27360"/>
    <n v="24000"/>
    <n v="0"/>
    <n v="0"/>
    <n v="0"/>
    <n v="4095"/>
    <n v="0"/>
    <n v="0"/>
    <n v="0"/>
    <n v="4095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4.7931700083542195"/>
    <n v="4.8652203425229699"/>
    <n v="0"/>
    <n v="0"/>
    <n v="4.7931700083542195"/>
    <s v="No Aplica"/>
    <n v="4.7500000000000001E-2"/>
    <n v="0"/>
    <m/>
    <s v="OK"/>
    <s v="OK"/>
    <n v="23940"/>
    <n v="13680"/>
    <n v="23940"/>
    <n v="13680"/>
    <n v="0"/>
    <n v="13680"/>
    <n v="113715"/>
    <n v="114912"/>
    <n v="116348"/>
    <n v="114228"/>
    <n v="0"/>
    <n v="115520"/>
    <m/>
  </r>
  <r>
    <s v="Agro Sudamerica1022569"/>
    <x v="0"/>
    <x v="0"/>
    <n v="1022569"/>
    <s v="GO BB Ribs 24-28 Oz@ Cj 10k AS"/>
    <x v="0"/>
    <x v="7"/>
    <n v="0"/>
    <n v="0"/>
    <n v="0.45719439678473212"/>
    <n v="0"/>
    <n v="5110"/>
    <n v="0"/>
    <n v="0"/>
    <n v="5110"/>
    <n v="0"/>
    <n v="24000"/>
    <n v="0"/>
    <n v="0"/>
    <n v="0"/>
    <n v="5110"/>
    <n v="0"/>
    <n v="0"/>
    <n v="0"/>
    <n v="511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7.0788385399999996"/>
    <n v="0"/>
    <n v="0"/>
    <n v="0"/>
    <n v="7.0788385399999996"/>
    <s v="No Aplica"/>
    <m/>
    <n v="0"/>
    <m/>
    <s v="OK"/>
    <s v="OK"/>
    <n v="0"/>
    <n v="5000"/>
    <n v="0"/>
    <n v="0"/>
    <n v="5000"/>
    <n v="5000"/>
    <n v="0"/>
    <n v="35667"/>
    <n v="0"/>
    <n v="0"/>
    <n v="35400"/>
    <n v="35437"/>
    <m/>
  </r>
  <r>
    <s v="Agro Sudamerica1022654"/>
    <x v="0"/>
    <x v="0"/>
    <n v="1022654"/>
    <s v="GO Triming 90/10@ Cj 20k AS"/>
    <x v="5"/>
    <x v="6"/>
    <n v="0"/>
    <n v="0"/>
    <n v="0.45719439678473212"/>
    <n v="0"/>
    <n v="120"/>
    <n v="4"/>
    <n v="0"/>
    <n v="123.6"/>
    <n v="46840"/>
    <n v="24000"/>
    <n v="0"/>
    <n v="0"/>
    <n v="0"/>
    <n v="123.6"/>
    <n v="0"/>
    <n v="0"/>
    <n v="0"/>
    <n v="123.6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1.81078633005978"/>
    <n v="0"/>
    <n v="0"/>
    <n v="0"/>
    <s v="No Aplica"/>
    <m/>
    <n v="0"/>
    <m/>
    <s v="OK"/>
    <s v="OK"/>
    <n v="0"/>
    <n v="3360"/>
    <n v="0"/>
    <n v="0"/>
    <n v="0"/>
    <n v="0"/>
    <n v="0"/>
    <n v="6104"/>
    <n v="0"/>
    <n v="0"/>
    <n v="0"/>
    <n v="0"/>
    <m/>
  </r>
  <r>
    <s v="Agro Sudamerica1022705"/>
    <x v="0"/>
    <x v="0"/>
    <n v="1022705"/>
    <s v="GO Mantec@ Cj 20k AS"/>
    <x v="2"/>
    <x v="16"/>
    <n v="0"/>
    <n v="0"/>
    <n v="0.45719439678473212"/>
    <n v="0"/>
    <n v="40.08"/>
    <n v="0"/>
    <n v="0"/>
    <n v="40.08"/>
    <n v="0"/>
    <n v="24000"/>
    <n v="0"/>
    <n v="0"/>
    <n v="0"/>
    <n v="40.08"/>
    <n v="0"/>
    <n v="0"/>
    <n v="0"/>
    <n v="40.08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2709"/>
    <x v="0"/>
    <x v="0"/>
    <n v="1022709"/>
    <s v="GO PpPna 57@ Bo Cj AS"/>
    <x v="9"/>
    <x v="13"/>
    <n v="145034"/>
    <n v="144000"/>
    <n v="0.45719439678473212"/>
    <n v="66308.732143276837"/>
    <n v="151479.97300000003"/>
    <n v="21643.382856457469"/>
    <n v="0"/>
    <n v="237267.7497140886"/>
    <n v="60000"/>
    <n v="24000"/>
    <n v="60000"/>
    <n v="0"/>
    <n v="60000"/>
    <n v="177267.7497140886"/>
    <n v="168000"/>
    <n v="0"/>
    <n v="168000"/>
    <n v="9267.7497140885971"/>
    <n v="0"/>
    <m/>
    <n v="0"/>
    <n v="23991.64"/>
    <n v="251991.64"/>
    <n v="251991.64"/>
    <n v="23991.64"/>
    <n v="60000"/>
    <n v="168000"/>
    <n v="251991.64"/>
    <n v="60000"/>
    <n v="168000"/>
    <n v="0"/>
    <s v="Si"/>
    <n v="228000"/>
    <n v="151479.97300000003"/>
    <n v="76520.026999999973"/>
    <d v="2022-07-15T00:00:00"/>
    <n v="2.8833402777777799"/>
    <n v="2.8165400962264062"/>
    <n v="2.8610750280226789"/>
    <n v="720966.98847448081"/>
    <n v="2.7739555333805583"/>
    <n v="3.1406233298898606E-2"/>
    <m/>
    <n v="2.8610750280226789"/>
    <m/>
    <s v="OK"/>
    <s v="OK"/>
    <n v="0"/>
    <n v="65000"/>
    <n v="48000"/>
    <n v="120000"/>
    <n v="83000"/>
    <n v="419000"/>
    <n v="0"/>
    <n v="171870"/>
    <n v="122400"/>
    <n v="301920"/>
    <n v="224037"/>
    <n v="1168954"/>
    <m/>
  </r>
  <r>
    <s v="Agro Sudamerica1022847"/>
    <x v="0"/>
    <x v="0"/>
    <n v="1022847"/>
    <s v="GO Cne Falda Pan@ CJ 20k AS"/>
    <x v="8"/>
    <x v="10"/>
    <n v="18180"/>
    <n v="0"/>
    <n v="0.45719439678473212"/>
    <n v="8311.7941335464293"/>
    <n v="29150.314000000009"/>
    <n v="0"/>
    <n v="0"/>
    <n v="37462.108133546441"/>
    <n v="48000"/>
    <n v="24000"/>
    <n v="24000"/>
    <n v="0"/>
    <n v="24000"/>
    <n v="13462.108133546441"/>
    <n v="0"/>
    <n v="0"/>
    <n v="0"/>
    <n v="13462.108133546441"/>
    <n v="0"/>
    <m/>
    <n v="0"/>
    <n v="0"/>
    <n v="24000"/>
    <n v="24000"/>
    <n v="0"/>
    <n v="24000"/>
    <n v="0"/>
    <n v="24000"/>
    <n v="24000"/>
    <n v="0"/>
    <n v="0"/>
    <s v="Si"/>
    <n v="24000"/>
    <n v="24000"/>
    <n v="0"/>
    <d v="2022-07-15T00:00:00"/>
    <n v="1.4079562631883433"/>
    <n v="1.58960416666667"/>
    <n v="1.58960416666667"/>
    <n v="38150.50000000008"/>
    <n v="1.4079562631883433"/>
    <n v="0.12901530269625111"/>
    <m/>
    <n v="1.58960416666667"/>
    <m/>
    <s v="OK"/>
    <s v="OK"/>
    <n v="28000"/>
    <n v="72000"/>
    <n v="60000"/>
    <n v="24000"/>
    <n v="24000"/>
    <n v="48000"/>
    <n v="36776.119400000003"/>
    <n v="95110"/>
    <n v="77274"/>
    <n v="28800"/>
    <n v="31440"/>
    <n v="67857"/>
    <m/>
  </r>
  <r>
    <s v="Agro Sudamerica1022855"/>
    <x v="0"/>
    <x v="0"/>
    <n v="1022855"/>
    <s v="GO Grasa Forro Pal@ Cj 20k AS"/>
    <x v="2"/>
    <x v="12"/>
    <n v="143355"/>
    <n v="24000"/>
    <n v="0.45719439678473212"/>
    <n v="65541.102751075276"/>
    <n v="23796.738000000001"/>
    <n v="5709"/>
    <n v="0"/>
    <n v="94475.940751075279"/>
    <n v="24000"/>
    <n v="24000"/>
    <n v="24000"/>
    <n v="0"/>
    <n v="24000"/>
    <n v="70475.940751075279"/>
    <n v="48000"/>
    <n v="0"/>
    <n v="48000"/>
    <n v="22475.940751075279"/>
    <n v="0"/>
    <m/>
    <n v="0"/>
    <n v="0"/>
    <n v="72000"/>
    <n v="72000"/>
    <n v="0"/>
    <n v="24000"/>
    <n v="48000"/>
    <n v="72000"/>
    <n v="24000"/>
    <n v="48000"/>
    <n v="0"/>
    <s v="Si"/>
    <n v="72000"/>
    <n v="23796.738000000001"/>
    <n v="48203.262000000002"/>
    <d v="2022-07-15T00:00:00"/>
    <n v="1.0900000000000001"/>
    <n v="1.57"/>
    <n v="1.25"/>
    <n v="90000"/>
    <n v="1.4075576951496656"/>
    <n v="0.11193693565286676"/>
    <m/>
    <n v="1.25"/>
    <m/>
    <s v="OK"/>
    <s v="OK"/>
    <n v="16600"/>
    <n v="24000"/>
    <n v="0"/>
    <n v="24000"/>
    <n v="24000"/>
    <n v="48000"/>
    <n v="25937.5"/>
    <n v="33060"/>
    <n v="0"/>
    <n v="30240"/>
    <n v="33840"/>
    <n v="67900"/>
    <m/>
  </r>
  <r>
    <s v="Agro Sudamerica1022920"/>
    <x v="0"/>
    <x v="0"/>
    <n v="1022920"/>
    <s v="GO Gord rebaje@ Cj 20k AS"/>
    <x v="2"/>
    <x v="5"/>
    <n v="0"/>
    <n v="6425"/>
    <n v="0.45719439678473212"/>
    <n v="0"/>
    <n v="0"/>
    <n v="5345"/>
    <n v="0"/>
    <n v="4810.5"/>
    <n v="24000"/>
    <n v="24000"/>
    <n v="0"/>
    <n v="0"/>
    <n v="0"/>
    <n v="4810.5"/>
    <n v="0"/>
    <n v="0"/>
    <n v="0"/>
    <n v="4810.5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13665369649805"/>
    <n v="0.97040708333333392"/>
    <n v="0"/>
    <n v="0"/>
    <n v="0"/>
    <s v="No Aplica"/>
    <m/>
    <n v="0"/>
    <m/>
    <s v="OK"/>
    <s v="OK"/>
    <n v="0"/>
    <n v="0"/>
    <n v="0"/>
    <n v="0"/>
    <n v="4619"/>
    <n v="0"/>
    <n v="0"/>
    <n v="0"/>
    <n v="0"/>
    <n v="0"/>
    <n v="4249"/>
    <n v="0"/>
    <m/>
  </r>
  <r>
    <s v="Agro Sudamerica1022921"/>
    <x v="0"/>
    <x v="0"/>
    <n v="1022921"/>
    <s v="GO Gord chic@ Cj 20k AS"/>
    <x v="2"/>
    <x v="5"/>
    <n v="46202"/>
    <n v="23000"/>
    <n v="0.45719439678473212"/>
    <n v="21123.295520248193"/>
    <n v="3760.7809999999999"/>
    <n v="0"/>
    <n v="0"/>
    <n v="24884.076520248193"/>
    <n v="27500"/>
    <n v="24000"/>
    <n v="24000"/>
    <n v="0"/>
    <n v="24000"/>
    <n v="884.07652024819254"/>
    <n v="0"/>
    <n v="0"/>
    <n v="0"/>
    <n v="884.07652024819254"/>
    <n v="0"/>
    <m/>
    <n v="0"/>
    <n v="0"/>
    <n v="24000"/>
    <n v="24000"/>
    <n v="0"/>
    <n v="24000"/>
    <n v="0"/>
    <n v="24000"/>
    <n v="24000"/>
    <n v="0"/>
    <n v="0"/>
    <s v="Si"/>
    <n v="24000"/>
    <n v="3760.7809999999999"/>
    <n v="20239.219000000001"/>
    <d v="2022-07-15T00:00:00"/>
    <n v="1.39"/>
    <n v="1.3263933884297519"/>
    <n v="1.3263933884297519"/>
    <n v="31833.441322314044"/>
    <n v="1.0162708342333415"/>
    <n v="0.3051573889064344"/>
    <m/>
    <n v="1.3263933884297519"/>
    <m/>
    <s v="OK"/>
    <s v="OK"/>
    <n v="10000"/>
    <n v="48000"/>
    <n v="10000"/>
    <n v="12000"/>
    <n v="47000"/>
    <n v="0"/>
    <n v="10000"/>
    <n v="45600"/>
    <n v="10500"/>
    <n v="8040"/>
    <n v="46740"/>
    <n v="0"/>
    <m/>
  </r>
  <r>
    <s v="Agro Sudamerica1022922"/>
    <x v="0"/>
    <x v="0"/>
    <n v="1022922"/>
    <s v="GO Triming Panc@ Cj 20k AS"/>
    <x v="5"/>
    <x v="6"/>
    <n v="0"/>
    <n v="0"/>
    <n v="0.45719439678473212"/>
    <n v="0"/>
    <n v="683.71799999999996"/>
    <n v="0"/>
    <n v="0"/>
    <n v="683.71799999999996"/>
    <n v="684"/>
    <n v="24000"/>
    <n v="0"/>
    <n v="0"/>
    <n v="0"/>
    <n v="683.71799999999996"/>
    <n v="0"/>
    <n v="0"/>
    <n v="0"/>
    <n v="683.71799999999996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4"/>
    <n v="1.4791994152046799"/>
    <n v="0"/>
    <n v="0"/>
    <n v="1.4"/>
    <s v="No Aplica"/>
    <m/>
    <n v="0"/>
    <m/>
    <s v="OK"/>
    <s v="OK"/>
    <n v="0"/>
    <n v="0"/>
    <n v="0"/>
    <n v="17000"/>
    <n v="6000"/>
    <n v="0"/>
    <n v="0"/>
    <n v="0"/>
    <n v="0"/>
    <n v="20740"/>
    <n v="7320"/>
    <n v="0"/>
    <m/>
  </r>
  <r>
    <s v="Agro Sudamerica1022928"/>
    <x v="0"/>
    <x v="0"/>
    <n v="1022928"/>
    <s v="GO Cue Granel Esp CC@Cj 20k AS"/>
    <x v="4"/>
    <x v="18"/>
    <n v="0"/>
    <n v="0"/>
    <n v="0.45719439678473212"/>
    <n v="0"/>
    <n v="3386.2580000000003"/>
    <n v="0"/>
    <n v="0"/>
    <n v="3386.2580000000003"/>
    <n v="0"/>
    <n v="24000"/>
    <n v="0"/>
    <n v="0"/>
    <n v="0"/>
    <n v="3386.2580000000003"/>
    <n v="0"/>
    <n v="0"/>
    <n v="0"/>
    <n v="3386.2580000000003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.9"/>
    <n v="0"/>
    <n v="0"/>
    <n v="0"/>
    <n v="0.9"/>
    <s v="No Aplica"/>
    <m/>
    <n v="0"/>
    <m/>
    <s v="OK"/>
    <s v="OK"/>
    <n v="0"/>
    <n v="0"/>
    <n v="0"/>
    <n v="16000"/>
    <n v="5000"/>
    <n v="0"/>
    <n v="0"/>
    <n v="0"/>
    <n v="0"/>
    <n v="9870"/>
    <n v="3600"/>
    <n v="0"/>
    <m/>
  </r>
  <r>
    <s v="Agro Sudamerica1022996"/>
    <x v="0"/>
    <x v="0"/>
    <n v="1022996"/>
    <s v="GO Visual Triming@ Cj 20k AS"/>
    <x v="2"/>
    <x v="5"/>
    <n v="6307"/>
    <n v="0"/>
    <n v="0.45719439678473212"/>
    <n v="2883.5250605213055"/>
    <n v="6307.3410000000003"/>
    <n v="0"/>
    <n v="0"/>
    <n v="9190.8660605213063"/>
    <n v="6307"/>
    <n v="24000"/>
    <n v="6307"/>
    <n v="0"/>
    <n v="6307"/>
    <n v="2883.8660605213063"/>
    <n v="0"/>
    <n v="0"/>
    <n v="0"/>
    <n v="2883.8660605213063"/>
    <n v="0"/>
    <m/>
    <n v="0"/>
    <n v="0"/>
    <n v="6307"/>
    <n v="6307"/>
    <n v="0"/>
    <n v="6307"/>
    <n v="0"/>
    <n v="6307"/>
    <n v="6307"/>
    <n v="0"/>
    <n v="0"/>
    <s v="Si"/>
    <n v="6307"/>
    <n v="6307"/>
    <n v="0"/>
    <d v="2022-07-15T00:00:00"/>
    <n v="0"/>
    <n v="0.97955335341683814"/>
    <n v="0.97955335341683814"/>
    <n v="6178.0429999999978"/>
    <n v="0"/>
    <s v="No Aplica"/>
    <m/>
    <n v="0.97955335341683814"/>
    <m/>
    <s v="OK"/>
    <s v="OK"/>
    <n v="36000"/>
    <n v="24000"/>
    <n v="24000"/>
    <n v="0"/>
    <n v="0"/>
    <n v="0"/>
    <n v="44712"/>
    <n v="26640"/>
    <n v="25200"/>
    <n v="0"/>
    <n v="0"/>
    <n v="0"/>
    <m/>
  </r>
  <r>
    <s v="Agro Sudamerica1023312"/>
    <x v="0"/>
    <x v="0"/>
    <n v="1023312"/>
    <s v="GO File C/cab@Cj 20k AS"/>
    <x v="11"/>
    <x v="19"/>
    <n v="0"/>
    <n v="0"/>
    <n v="0.45719439678473212"/>
    <n v="0"/>
    <n v="11367.695"/>
    <n v="0"/>
    <n v="0"/>
    <n v="11367.695"/>
    <n v="0"/>
    <n v="24000"/>
    <n v="0"/>
    <n v="0"/>
    <n v="0"/>
    <n v="11367.695"/>
    <n v="0"/>
    <n v="0"/>
    <n v="0"/>
    <n v="11367.695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10221"/>
    <n v="0"/>
    <n v="0"/>
    <n v="0"/>
    <n v="0"/>
    <n v="0"/>
    <n v="28823"/>
    <n v="0"/>
    <n v="0"/>
    <n v="0"/>
    <m/>
  </r>
  <r>
    <s v="Agro Sudamerica1023331"/>
    <x v="0"/>
    <x v="0"/>
    <n v="1023331"/>
    <s v="GO Lom Vet 44@ Bo Cj 20k AS"/>
    <x v="6"/>
    <x v="20"/>
    <n v="0"/>
    <n v="94"/>
    <n v="0.45719439678473212"/>
    <n v="0"/>
    <n v="6060.3810000000012"/>
    <n v="0"/>
    <n v="0"/>
    <n v="6060.3810000000012"/>
    <n v="6000"/>
    <n v="24000"/>
    <n v="6000"/>
    <n v="0"/>
    <n v="6000"/>
    <n v="60.381000000001222"/>
    <n v="0"/>
    <n v="0"/>
    <n v="0"/>
    <n v="60.381000000001222"/>
    <n v="0"/>
    <m/>
    <n v="0"/>
    <n v="0"/>
    <n v="6000"/>
    <n v="6000"/>
    <n v="0"/>
    <n v="6000"/>
    <n v="0"/>
    <n v="6000"/>
    <n v="6000"/>
    <n v="0"/>
    <n v="0"/>
    <s v="Si"/>
    <n v="6000"/>
    <n v="6000"/>
    <n v="0"/>
    <d v="2022-07-15T00:00:00"/>
    <n v="2.3829787234042601"/>
    <n v="2.8"/>
    <n v="2.8"/>
    <n v="16800"/>
    <n v="2.5683539416941024"/>
    <n v="9.0192420345734076E-2"/>
    <m/>
    <n v="2.8"/>
    <m/>
    <s v="OK"/>
    <s v="OK"/>
    <n v="0"/>
    <n v="23000"/>
    <n v="0"/>
    <n v="23000"/>
    <n v="0"/>
    <n v="0"/>
    <n v="0"/>
    <n v="59608"/>
    <n v="0"/>
    <n v="57730"/>
    <n v="0"/>
    <n v="0"/>
    <m/>
  </r>
  <r>
    <s v="Agro Sudamerica1023355"/>
    <x v="0"/>
    <x v="0"/>
    <n v="1023355"/>
    <s v="GO Pulmon@ Cj 20k AS"/>
    <x v="10"/>
    <x v="15"/>
    <n v="30736"/>
    <n v="51378"/>
    <n v="0.45719439678473212"/>
    <n v="14052.326979575526"/>
    <n v="9335.1060000000034"/>
    <n v="8160"/>
    <n v="0"/>
    <n v="30731.432979575529"/>
    <n v="22500"/>
    <n v="24000"/>
    <n v="22500"/>
    <n v="0"/>
    <n v="22500"/>
    <n v="8231.4329795755293"/>
    <n v="0"/>
    <n v="0"/>
    <n v="0"/>
    <n v="8231.4329795755293"/>
    <n v="0"/>
    <m/>
    <n v="0"/>
    <n v="0"/>
    <n v="22500"/>
    <n v="22500"/>
    <n v="0"/>
    <n v="22500"/>
    <n v="0"/>
    <n v="22500"/>
    <n v="22500"/>
    <n v="0"/>
    <n v="0"/>
    <s v="Si"/>
    <n v="22500"/>
    <n v="9335.1060000000034"/>
    <n v="13164.893999999997"/>
    <d v="2022-07-15T00:00:00"/>
    <n v="0.65999065747985497"/>
    <n v="0.76349999999999996"/>
    <n v="0.76349999999999996"/>
    <n v="17178.75"/>
    <n v="0.6447876174053605"/>
    <n v="0.18411082872890872"/>
    <m/>
    <n v="0.76349999999999996"/>
    <m/>
    <s v="OK"/>
    <s v="OK"/>
    <n v="0"/>
    <n v="0"/>
    <n v="0"/>
    <n v="0"/>
    <n v="24000"/>
    <n v="24000"/>
    <n v="0"/>
    <n v="0"/>
    <n v="0"/>
    <n v="0"/>
    <n v="12240"/>
    <n v="15157"/>
    <m/>
  </r>
  <r>
    <s v="Agrosuper Asia1020860"/>
    <x v="0"/>
    <x v="1"/>
    <n v="1020860"/>
    <s v="GO Lom Vet@ Cj 12k AK"/>
    <x v="6"/>
    <x v="20"/>
    <n v="145086"/>
    <n v="132000"/>
    <n v="0.45719439678473212"/>
    <n v="66332.506251909639"/>
    <n v="100678.59900000003"/>
    <n v="18677.83240762608"/>
    <n v="0"/>
    <n v="183821.15441877313"/>
    <n v="66000"/>
    <n v="22000"/>
    <n v="66000"/>
    <n v="0"/>
    <n v="66000"/>
    <n v="117821.15441877313"/>
    <n v="110000"/>
    <n v="0"/>
    <n v="110000"/>
    <n v="7821.1544187731342"/>
    <n v="0"/>
    <m/>
    <n v="0"/>
    <n v="0"/>
    <n v="176000"/>
    <n v="176000"/>
    <n v="0"/>
    <n v="66000"/>
    <n v="110000"/>
    <n v="176000"/>
    <n v="66000"/>
    <n v="110000"/>
    <n v="0"/>
    <s v="Si"/>
    <n v="176000"/>
    <n v="100678.59900000003"/>
    <n v="75321.400999999969"/>
    <d v="2022-07-12T00:00:00"/>
    <n v="4.17"/>
    <n v="4.1875"/>
    <n v="4.1765625000000002"/>
    <n v="735075"/>
    <n v="4.1215984150877043"/>
    <n v="1.3335623555922365E-2"/>
    <m/>
    <n v="4.1765625000000002"/>
    <m/>
    <s v="OK"/>
    <s v="OK"/>
    <n v="154000"/>
    <n v="66000"/>
    <n v="88000"/>
    <n v="154000"/>
    <n v="176000"/>
    <n v="187000"/>
    <n v="643647.0895"/>
    <n v="265650"/>
    <n v="335280"/>
    <n v="607165"/>
    <n v="682827"/>
    <n v="786186"/>
    <m/>
  </r>
  <r>
    <s v="Agrosuper Asia1020861"/>
    <x v="0"/>
    <x v="1"/>
    <n v="1020861"/>
    <s v="GO Lom Vet@ Cj 12k TJ"/>
    <x v="6"/>
    <x v="20"/>
    <n v="127630"/>
    <n v="132000"/>
    <n v="0.45719439678473212"/>
    <n v="58351.72086163536"/>
    <n v="71523.474999999962"/>
    <n v="57019.324670239352"/>
    <n v="0"/>
    <n v="181192.58806485074"/>
    <n v="100000"/>
    <n v="22000"/>
    <n v="100000"/>
    <n v="0"/>
    <n v="100000"/>
    <n v="81192.588064850745"/>
    <n v="66000"/>
    <n v="0"/>
    <n v="66000"/>
    <n v="15192.588064850745"/>
    <n v="0"/>
    <m/>
    <n v="0"/>
    <n v="22000"/>
    <n v="188000"/>
    <n v="188000"/>
    <n v="22000"/>
    <n v="100000"/>
    <n v="66000"/>
    <n v="188000"/>
    <n v="100000"/>
    <n v="66000"/>
    <n v="0"/>
    <s v="Si"/>
    <n v="166000"/>
    <n v="71523.474999999962"/>
    <n v="94476.525000000038"/>
    <d v="2022-07-12T00:00:00"/>
    <n v="4.17"/>
    <n v="4.1899506024096391"/>
    <n v="4.1829466675211489"/>
    <n v="786393.97349397594"/>
    <n v="4.0975974893624603"/>
    <n v="2.0829078107417513E-2"/>
    <m/>
    <n v="4.1829466675211489"/>
    <m/>
    <s v="OK"/>
    <s v="OK"/>
    <n v="88000"/>
    <n v="66000"/>
    <n v="66000"/>
    <n v="154000"/>
    <n v="153860"/>
    <n v="198044"/>
    <n v="375760"/>
    <n v="264000"/>
    <n v="252780"/>
    <n v="601865"/>
    <n v="601173"/>
    <n v="832508"/>
    <m/>
  </r>
  <r>
    <s v="Agrosuper Asia1020904"/>
    <x v="0"/>
    <x v="1"/>
    <n v="1020904"/>
    <s v="GO Panc C/cue@ Cj Panc 230 TJ"/>
    <x v="8"/>
    <x v="26"/>
    <n v="88346"/>
    <n v="0"/>
    <n v="0.45719439678473212"/>
    <n v="40391.296178343946"/>
    <n v="6607.1390000000001"/>
    <n v="0"/>
    <n v="0"/>
    <n v="46998.435178343949"/>
    <n v="66000"/>
    <n v="22000"/>
    <n v="44000"/>
    <n v="0"/>
    <n v="44000"/>
    <n v="2998.4351783439488"/>
    <n v="0"/>
    <n v="0"/>
    <n v="0"/>
    <n v="2998.4351783439488"/>
    <n v="0"/>
    <m/>
    <n v="0"/>
    <n v="0"/>
    <n v="44000"/>
    <n v="44000"/>
    <n v="0"/>
    <n v="44000"/>
    <n v="0"/>
    <n v="44000"/>
    <n v="44000"/>
    <n v="0"/>
    <n v="0"/>
    <s v="Si"/>
    <n v="44000"/>
    <n v="6607.1390000000001"/>
    <n v="37392.860999999997"/>
    <d v="2022-07-12T00:00:00"/>
    <n v="6.2596318710630809"/>
    <n v="6"/>
    <n v="6"/>
    <n v="264000"/>
    <n v="6.2596318710630809"/>
    <n v="4.1477178915792591E-2"/>
    <m/>
    <n v="6"/>
    <m/>
    <s v="OK"/>
    <s v="OK"/>
    <n v="22000"/>
    <n v="154000"/>
    <n v="66000"/>
    <n v="22000"/>
    <n v="22000"/>
    <n v="0"/>
    <n v="147276.35709999999"/>
    <n v="970200"/>
    <n v="412500"/>
    <n v="140295"/>
    <n v="139028"/>
    <n v="0"/>
    <m/>
  </r>
  <r>
    <s v="Agrosuper Asia1020905"/>
    <x v="0"/>
    <x v="1"/>
    <n v="1020905"/>
    <s v="GO Panc C/cue@ Cj Panc 230 AK"/>
    <x v="8"/>
    <x v="26"/>
    <n v="55720"/>
    <n v="0"/>
    <n v="0.45719439678473212"/>
    <n v="25474.871788845274"/>
    <n v="15046.431999999999"/>
    <n v="6988.8375759485771"/>
    <n v="0"/>
    <n v="46811.257607198997"/>
    <n v="22000"/>
    <n v="22000"/>
    <n v="22000"/>
    <n v="0"/>
    <n v="22000"/>
    <n v="24811.257607198997"/>
    <n v="0"/>
    <n v="0"/>
    <n v="0"/>
    <n v="24811.257607198997"/>
    <n v="22000"/>
    <m/>
    <n v="22000"/>
    <n v="0"/>
    <n v="44000"/>
    <n v="44000"/>
    <n v="0"/>
    <n v="22000"/>
    <n v="22000"/>
    <n v="44000"/>
    <n v="22000"/>
    <n v="22000"/>
    <n v="0"/>
    <s v="Si"/>
    <n v="44000"/>
    <n v="15046.431999999999"/>
    <n v="28953.567999999999"/>
    <d v="2022-07-12T00:00:00"/>
    <n v="0"/>
    <n v="6"/>
    <n v="6"/>
    <n v="264000"/>
    <n v="6.2485737093146936"/>
    <n v="3.9780871744242524E-2"/>
    <m/>
    <n v="6"/>
    <m/>
    <s v="OK"/>
    <s v="OK"/>
    <n v="22000"/>
    <n v="22000"/>
    <n v="0"/>
    <n v="44000"/>
    <n v="22000"/>
    <n v="0"/>
    <n v="153120"/>
    <n v="138600"/>
    <n v="0"/>
    <n v="281600"/>
    <n v="139661"/>
    <n v="0"/>
    <m/>
  </r>
  <r>
    <s v="Agrosuper Asia1021012"/>
    <x v="0"/>
    <x v="1"/>
    <n v="1021012"/>
    <s v="GO Papda K@ Cj 20k AK"/>
    <x v="3"/>
    <x v="3"/>
    <n v="114630"/>
    <n v="198000"/>
    <n v="0.45719439678473212"/>
    <n v="52408.193703433841"/>
    <n v="87998.944000000018"/>
    <n v="54977"/>
    <n v="0"/>
    <n v="189886.43770343385"/>
    <n v="0"/>
    <n v="22000"/>
    <n v="0"/>
    <n v="0"/>
    <n v="0"/>
    <n v="189886.43770343385"/>
    <n v="176000"/>
    <n v="0"/>
    <n v="176000"/>
    <n v="13886.437703433854"/>
    <n v="0"/>
    <m/>
    <n v="0"/>
    <n v="0"/>
    <n v="176000"/>
    <n v="176000"/>
    <n v="0"/>
    <n v="0"/>
    <n v="176000"/>
    <n v="176000"/>
    <n v="0"/>
    <n v="176000"/>
    <n v="0"/>
    <s v="Si"/>
    <n v="176000"/>
    <n v="87998.944000000018"/>
    <n v="88001.055999999982"/>
    <d v="2022-07-12T00:00:00"/>
    <n v="1.92"/>
    <n v="0"/>
    <n v="1.92"/>
    <n v="337920"/>
    <n v="1.976849652487759"/>
    <n v="2.8757701637156297E-2"/>
    <m/>
    <n v="1.92"/>
    <m/>
    <s v="OK"/>
    <s v="OK"/>
    <n v="110000"/>
    <n v="66000"/>
    <n v="0"/>
    <n v="22000"/>
    <n v="176010"/>
    <n v="219933"/>
    <n v="247500"/>
    <n v="108240"/>
    <n v="0"/>
    <n v="38720"/>
    <n v="346371"/>
    <n v="424319"/>
    <m/>
  </r>
  <r>
    <s v="Agrosuper Asia1021045"/>
    <x v="0"/>
    <x v="1"/>
    <n v="1021045"/>
    <s v="GO PernilM C/M@ Cj 15k AK"/>
    <x v="13"/>
    <x v="27"/>
    <n v="89147"/>
    <n v="44000"/>
    <n v="0.45719439678473212"/>
    <n v="40757.508890168516"/>
    <n v="23438.233999999997"/>
    <n v="0"/>
    <n v="0"/>
    <n v="64195.742890168513"/>
    <n v="66000"/>
    <n v="22000"/>
    <n v="44000"/>
    <n v="0"/>
    <n v="44000"/>
    <n v="20195.742890168513"/>
    <n v="0"/>
    <n v="0"/>
    <n v="0"/>
    <n v="20195.742890168513"/>
    <n v="0"/>
    <m/>
    <n v="0"/>
    <n v="0"/>
    <n v="44000"/>
    <n v="44000"/>
    <n v="0"/>
    <n v="44000"/>
    <n v="0"/>
    <n v="44000"/>
    <n v="44000"/>
    <n v="0"/>
    <n v="0"/>
    <s v="Si"/>
    <n v="44000"/>
    <n v="23438.233999999997"/>
    <n v="20561.766000000003"/>
    <d v="2022-07-12T00:00:00"/>
    <n v="2.02"/>
    <n v="2.1335303030303034"/>
    <n v="2.1335303030303034"/>
    <n v="93875.333333333358"/>
    <n v="2.0066029892027277"/>
    <n v="6.3254821462220098E-2"/>
    <m/>
    <n v="2.1335303030303034"/>
    <m/>
    <s v="OK"/>
    <s v="OK"/>
    <n v="88000"/>
    <n v="44000"/>
    <n v="22000"/>
    <n v="44000"/>
    <n v="22000"/>
    <n v="22000"/>
    <n v="237667.5"/>
    <n v="114400"/>
    <n v="43120"/>
    <n v="91571"/>
    <n v="45756"/>
    <n v="42091"/>
    <m/>
  </r>
  <r>
    <s v="Agrosuper Asia1021046"/>
    <x v="0"/>
    <x v="1"/>
    <n v="1021046"/>
    <s v="GO PernilM C/M@ Cj 15k TJ"/>
    <x v="13"/>
    <x v="27"/>
    <n v="0"/>
    <n v="0"/>
    <n v="0.45719439678473212"/>
    <n v="0"/>
    <n v="2069.3720000000003"/>
    <n v="0"/>
    <n v="0"/>
    <n v="2069.3720000000003"/>
    <n v="0"/>
    <n v="22000"/>
    <n v="0"/>
    <n v="0"/>
    <n v="0"/>
    <n v="2069.3720000000003"/>
    <n v="0"/>
    <n v="0"/>
    <n v="0"/>
    <n v="2069.3720000000003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2.0099957123970191"/>
    <n v="0"/>
    <n v="0"/>
    <n v="0"/>
    <n v="2.0099957123970191"/>
    <s v="No Aplica"/>
    <m/>
    <n v="0"/>
    <m/>
    <s v="OK"/>
    <s v="OK"/>
    <n v="88000"/>
    <n v="66000"/>
    <n v="44000"/>
    <n v="44000"/>
    <n v="22105"/>
    <n v="44022"/>
    <n v="227040"/>
    <n v="171600"/>
    <n v="99220"/>
    <n v="88542"/>
    <n v="45973"/>
    <n v="42091"/>
    <m/>
  </r>
  <r>
    <s v="Agrosuper Asia1021149"/>
    <x v="0"/>
    <x v="1"/>
    <n v="1021149"/>
    <s v="GO Tira Hso Ctro@ Cj 20k TJ"/>
    <x v="1"/>
    <x v="1"/>
    <n v="47984"/>
    <n v="44000"/>
    <n v="0.45719439678473212"/>
    <n v="21938.015935318585"/>
    <n v="41728.19"/>
    <n v="0"/>
    <n v="0"/>
    <n v="63666.20593531859"/>
    <n v="22000"/>
    <n v="22000"/>
    <n v="22000"/>
    <n v="0"/>
    <n v="22000"/>
    <n v="41666.20593531859"/>
    <n v="22000"/>
    <n v="0"/>
    <n v="22000"/>
    <n v="19666.20593531859"/>
    <n v="0"/>
    <m/>
    <n v="0"/>
    <n v="0"/>
    <n v="44000"/>
    <n v="44000"/>
    <n v="0"/>
    <n v="22000"/>
    <n v="22000"/>
    <n v="44000"/>
    <n v="22000"/>
    <n v="22000"/>
    <n v="0"/>
    <s v="Si"/>
    <n v="44000"/>
    <n v="41728.19"/>
    <n v="2271.8099999999977"/>
    <d v="2022-07-12T00:00:00"/>
    <n v="0.72"/>
    <n v="0.77812499999999996"/>
    <n v="0.74906249999999996"/>
    <n v="32958.75"/>
    <n v="0.77837931425976381"/>
    <n v="3.7663917479158655E-2"/>
    <m/>
    <n v="0.74906249999999996"/>
    <m/>
    <s v="OK"/>
    <s v="OK"/>
    <n v="66000"/>
    <n v="44000"/>
    <n v="66000"/>
    <n v="44000"/>
    <n v="66000"/>
    <n v="110000"/>
    <n v="75240"/>
    <n v="72160"/>
    <n v="67980"/>
    <n v="46640"/>
    <n v="54659"/>
    <n v="81377"/>
    <m/>
  </r>
  <r>
    <s v="Agrosuper Asia1021150"/>
    <x v="0"/>
    <x v="1"/>
    <n v="1021150"/>
    <s v="GO Tira Hso Ctro@ Cj 20k AK"/>
    <x v="1"/>
    <x v="1"/>
    <n v="45056"/>
    <n v="22000"/>
    <n v="0.45719439678473212"/>
    <n v="20599.35074153289"/>
    <n v="7440"/>
    <n v="0"/>
    <n v="0"/>
    <n v="28039.35074153289"/>
    <n v="66000"/>
    <n v="22000"/>
    <n v="22000"/>
    <n v="0"/>
    <n v="22000"/>
    <n v="6039.3507415328895"/>
    <n v="0"/>
    <n v="0"/>
    <n v="0"/>
    <n v="6039.3507415328895"/>
    <n v="0"/>
    <m/>
    <n v="0"/>
    <n v="0"/>
    <n v="22000"/>
    <n v="22000"/>
    <n v="0"/>
    <n v="22000"/>
    <n v="0"/>
    <n v="22000"/>
    <n v="22000"/>
    <n v="0"/>
    <n v="0"/>
    <s v="Si"/>
    <n v="22000"/>
    <n v="7440"/>
    <n v="14560"/>
    <d v="2022-07-12T00:00:00"/>
    <n v="0.72"/>
    <n v="0.85019696969696967"/>
    <n v="0.85019696969696967"/>
    <n v="18704.333333333332"/>
    <n v="0.82956818181818182"/>
    <n v="2.4866898623781972E-2"/>
    <m/>
    <n v="0.85019696969696967"/>
    <m/>
    <s v="OK"/>
    <s v="OK"/>
    <n v="44000"/>
    <n v="66000"/>
    <n v="22000"/>
    <n v="44000"/>
    <n v="22000"/>
    <n v="88000"/>
    <n v="49824.5"/>
    <n v="108240"/>
    <n v="23100"/>
    <n v="49060"/>
    <n v="23341"/>
    <n v="65304"/>
    <m/>
  </r>
  <r>
    <s v="Agrosuper Asia1021151"/>
    <x v="0"/>
    <x v="1"/>
    <n v="1021151"/>
    <s v="GO Hso Cogote@ Bo Cj 20k TJ"/>
    <x v="1"/>
    <x v="28"/>
    <n v="70886"/>
    <n v="44000"/>
    <n v="0.45719439678473212"/>
    <n v="32408.68201048252"/>
    <n v="30507.43"/>
    <n v="0"/>
    <n v="0"/>
    <n v="62916.112010482524"/>
    <n v="44000"/>
    <n v="22000"/>
    <n v="44000"/>
    <n v="0"/>
    <n v="44000"/>
    <n v="18916.112010482524"/>
    <n v="0"/>
    <n v="0"/>
    <n v="0"/>
    <n v="18916.112010482524"/>
    <n v="0"/>
    <m/>
    <n v="0"/>
    <n v="0"/>
    <n v="44000"/>
    <n v="44000"/>
    <n v="0"/>
    <n v="44000"/>
    <n v="0"/>
    <n v="44000"/>
    <n v="44000"/>
    <n v="0"/>
    <n v="0"/>
    <s v="Si"/>
    <n v="44000"/>
    <n v="30507.43"/>
    <n v="13492.57"/>
    <d v="2022-07-12T00:00:00"/>
    <n v="1.1200000000000001"/>
    <n v="1.3"/>
    <n v="1.3"/>
    <n v="57200"/>
    <n v="1.3518370316478718"/>
    <n v="3.8345621871804417E-2"/>
    <m/>
    <n v="1.3"/>
    <m/>
    <s v="OK"/>
    <s v="OK"/>
    <n v="44000"/>
    <n v="22000"/>
    <n v="22000"/>
    <n v="44000"/>
    <n v="44000"/>
    <n v="22000"/>
    <n v="73726.666700000002"/>
    <n v="35200"/>
    <n v="34100"/>
    <n v="71771"/>
    <n v="70197"/>
    <n v="24490"/>
    <m/>
  </r>
  <r>
    <s v="Agrosuper Asia1021152"/>
    <x v="0"/>
    <x v="1"/>
    <n v="1021152"/>
    <s v="GO Hso Cogote@ Bo Cj 20k AK"/>
    <x v="1"/>
    <x v="28"/>
    <n v="22560"/>
    <n v="22000"/>
    <n v="0.45719439678473212"/>
    <n v="10314.305591463557"/>
    <n v="4256"/>
    <n v="0"/>
    <n v="0"/>
    <n v="14570.305591463557"/>
    <n v="22000"/>
    <n v="22000"/>
    <n v="0"/>
    <n v="0"/>
    <n v="0"/>
    <n v="14570.305591463557"/>
    <n v="0"/>
    <n v="0"/>
    <n v="0"/>
    <n v="14570.305591463557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1200000000000001"/>
    <n v="1.3"/>
    <n v="0"/>
    <n v="0"/>
    <n v="0"/>
    <s v="No Aplica"/>
    <m/>
    <n v="0"/>
    <m/>
    <s v="OK"/>
    <s v="OK"/>
    <n v="44000"/>
    <n v="22000"/>
    <n v="44000"/>
    <n v="22000"/>
    <n v="0"/>
    <n v="22000"/>
    <n v="71559.5"/>
    <n v="35200"/>
    <n v="68200"/>
    <n v="34320"/>
    <n v="0"/>
    <n v="24491"/>
    <m/>
  </r>
  <r>
    <s v="Agrosuper Asia1021156"/>
    <x v="0"/>
    <x v="1"/>
    <n v="1021156"/>
    <s v="GO Hso Pecho@ Cj Lom Vet TJ"/>
    <x v="1"/>
    <x v="1"/>
    <n v="37553"/>
    <n v="24000"/>
    <n v="0.45719439678473212"/>
    <n v="17169.021182457043"/>
    <n v="19999.97"/>
    <n v="454"/>
    <n v="0"/>
    <n v="37577.591182457043"/>
    <n v="24000"/>
    <n v="23000"/>
    <n v="24000"/>
    <n v="0"/>
    <n v="24000"/>
    <n v="13577.591182457043"/>
    <n v="0"/>
    <n v="0"/>
    <n v="0"/>
    <n v="13577.591182457043"/>
    <n v="0"/>
    <m/>
    <n v="0"/>
    <n v="0"/>
    <n v="24000"/>
    <n v="24000"/>
    <n v="0"/>
    <n v="24000"/>
    <n v="0"/>
    <n v="24000"/>
    <n v="24000"/>
    <n v="0"/>
    <n v="0"/>
    <s v="Si"/>
    <n v="24000"/>
    <n v="19999.97"/>
    <n v="4000.0299999999988"/>
    <d v="2022-07-12T00:00:00"/>
    <n v="2.57"/>
    <n v="2.9"/>
    <n v="2.9"/>
    <n v="69600"/>
    <n v="2.7381864799999995"/>
    <n v="5.9095142417035236E-2"/>
    <m/>
    <n v="2.9"/>
    <m/>
    <s v="OK"/>
    <s v="OK"/>
    <n v="46000"/>
    <n v="72000"/>
    <n v="7000"/>
    <n v="14000"/>
    <n v="24000"/>
    <n v="24000"/>
    <n v="134780"/>
    <n v="181080"/>
    <n v="17570"/>
    <n v="35840"/>
    <n v="86720"/>
    <n v="65716"/>
    <m/>
  </r>
  <r>
    <s v="Agrosuper Asia1021204"/>
    <x v="0"/>
    <x v="1"/>
    <n v="1021204"/>
    <s v="GO Lom Tocino@ Cj 20k AS"/>
    <x v="2"/>
    <x v="2"/>
    <n v="26980"/>
    <n v="48000"/>
    <n v="0.45719439678473212"/>
    <n v="12335.104825252072"/>
    <n v="49961.05"/>
    <n v="0"/>
    <n v="0"/>
    <n v="62296.154825252073"/>
    <n v="24000"/>
    <n v="24000"/>
    <n v="24000"/>
    <n v="0"/>
    <n v="24000"/>
    <n v="38296.154825252073"/>
    <n v="24000"/>
    <n v="-24000"/>
    <n v="0"/>
    <n v="38296.154825252073"/>
    <n v="0"/>
    <m/>
    <n v="0"/>
    <n v="0"/>
    <n v="48000"/>
    <n v="48000"/>
    <n v="0"/>
    <n v="24000"/>
    <n v="24000"/>
    <n v="24000"/>
    <n v="24000"/>
    <n v="0"/>
    <n v="0"/>
    <s v="Si"/>
    <n v="24000"/>
    <n v="24000"/>
    <n v="0"/>
    <d v="2022-07-12T00:00:00"/>
    <n v="1.29"/>
    <n v="1.4274512500000001"/>
    <n v="1.4274512500000001"/>
    <n v="34258.83"/>
    <n v="1.3549024999999999"/>
    <n v="5.3545365810455117E-2"/>
    <m/>
    <n v="1.4274512500000001"/>
    <m/>
    <s v="OK"/>
    <s v="OK"/>
    <n v="24000"/>
    <n v="0"/>
    <n v="0"/>
    <n v="0"/>
    <n v="0"/>
    <n v="24000"/>
    <n v="32880"/>
    <n v="0"/>
    <n v="0"/>
    <n v="0"/>
    <n v="0"/>
    <n v="30925"/>
    <m/>
  </r>
  <r>
    <s v="Agrosuper Asia1021470"/>
    <x v="0"/>
    <x v="1"/>
    <n v="1021470"/>
    <s v="GO PernilM@ Cj 20k AK"/>
    <x v="13"/>
    <x v="27"/>
    <n v="24543"/>
    <n v="22000"/>
    <n v="0.45719439678473212"/>
    <n v="11220.922080287681"/>
    <n v="171.31099999999998"/>
    <n v="0"/>
    <n v="0"/>
    <n v="11392.23308028768"/>
    <n v="22000"/>
    <n v="22000"/>
    <n v="0"/>
    <n v="0"/>
    <n v="0"/>
    <n v="11392.23308028768"/>
    <n v="0"/>
    <n v="0"/>
    <n v="0"/>
    <n v="11392.23308028768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32"/>
    <n v="1.6"/>
    <n v="0"/>
    <n v="0"/>
    <n v="1.6593443781464239"/>
    <s v="No Aplica"/>
    <m/>
    <n v="0"/>
    <m/>
    <s v="OK"/>
    <s v="OK"/>
    <n v="22000"/>
    <n v="22000"/>
    <n v="0"/>
    <n v="22000"/>
    <n v="0"/>
    <n v="22000"/>
    <n v="41800"/>
    <n v="45540"/>
    <n v="0"/>
    <n v="39600"/>
    <n v="0"/>
    <n v="36511"/>
    <m/>
  </r>
  <r>
    <s v="Agrosuper Asia1021655"/>
    <x v="0"/>
    <x v="1"/>
    <n v="1021655"/>
    <s v="GO Estómago Pouch@ Bo Cj 10k AS"/>
    <x v="10"/>
    <x v="15"/>
    <n v="0"/>
    <n v="0"/>
    <n v="0.45719439678473212"/>
    <n v="0"/>
    <n v="25800.35"/>
    <n v="10000"/>
    <n v="0"/>
    <n v="34800.35"/>
    <n v="24000"/>
    <n v="24000"/>
    <n v="24000"/>
    <n v="0"/>
    <n v="24000"/>
    <n v="10800.349999999999"/>
    <n v="0"/>
    <n v="0"/>
    <n v="0"/>
    <n v="10800.349999999999"/>
    <n v="0"/>
    <m/>
    <n v="0"/>
    <n v="0"/>
    <n v="24000"/>
    <n v="24000"/>
    <n v="0"/>
    <n v="24000"/>
    <n v="0"/>
    <n v="24000"/>
    <n v="24000"/>
    <n v="0"/>
    <n v="0"/>
    <s v="Si"/>
    <n v="24000"/>
    <n v="24000"/>
    <n v="0"/>
    <d v="2022-07-12T00:00:00"/>
    <n v="1.8645504166666667"/>
    <n v="1.86455041666667"/>
    <n v="1.86455041666667"/>
    <n v="44749.210000000079"/>
    <n v="1.8645504166666667"/>
    <n v="1.7863121555221037E-15"/>
    <m/>
    <n v="1.86455041666667"/>
    <m/>
    <s v="OK"/>
    <s v="OK"/>
    <n v="0"/>
    <n v="0"/>
    <n v="0"/>
    <n v="0"/>
    <n v="48000"/>
    <n v="24000"/>
    <n v="0"/>
    <n v="0"/>
    <n v="0"/>
    <n v="0"/>
    <n v="96000"/>
    <n v="46375"/>
    <m/>
  </r>
  <r>
    <s v="Agrosuper Asia1021664"/>
    <x v="0"/>
    <x v="1"/>
    <n v="1021664"/>
    <s v="GO Pecho S/cue K@ Cj 20k TJ"/>
    <x v="7"/>
    <x v="9"/>
    <n v="0"/>
    <n v="0"/>
    <n v="0.45719439678473212"/>
    <n v="0"/>
    <n v="24334.135999999999"/>
    <n v="0"/>
    <n v="0"/>
    <n v="24334.135999999999"/>
    <n v="39000"/>
    <n v="22000"/>
    <n v="22000"/>
    <n v="0"/>
    <n v="22000"/>
    <n v="2334.1359999999986"/>
    <n v="0"/>
    <n v="0"/>
    <n v="0"/>
    <n v="2334.1359999999986"/>
    <n v="0"/>
    <m/>
    <n v="0"/>
    <n v="0"/>
    <n v="22000"/>
    <n v="22000"/>
    <n v="0"/>
    <n v="22000"/>
    <n v="0"/>
    <n v="22000"/>
    <n v="22000"/>
    <n v="0"/>
    <n v="0"/>
    <s v="Si"/>
    <n v="22000"/>
    <n v="22000"/>
    <n v="0"/>
    <d v="2022-07-12T00:00:00"/>
    <n v="5.532529901428699"/>
    <n v="5.7157179487179501"/>
    <n v="5.7157179487179501"/>
    <n v="125745.7948717949"/>
    <n v="5.532529901428699"/>
    <n v="3.3111081287051938E-2"/>
    <m/>
    <n v="5.7157179487179501"/>
    <m/>
    <s v="OK"/>
    <s v="OK"/>
    <n v="154000"/>
    <n v="66000"/>
    <n v="66000"/>
    <n v="66000"/>
    <n v="44000"/>
    <n v="0"/>
    <n v="927442.25"/>
    <n v="349140"/>
    <n v="364980"/>
    <n v="362785"/>
    <n v="242281"/>
    <n v="0"/>
    <m/>
  </r>
  <r>
    <s v="Agrosuper Asia1021665"/>
    <x v="0"/>
    <x v="1"/>
    <n v="1021665"/>
    <s v="GO Pecho S/cue K@ Cj 20k AK"/>
    <x v="7"/>
    <x v="9"/>
    <n v="0"/>
    <n v="0"/>
    <n v="0.45719439678473212"/>
    <n v="0"/>
    <n v="2430.1260000000002"/>
    <n v="0"/>
    <n v="0"/>
    <n v="2430.1260000000002"/>
    <n v="0"/>
    <n v="22000"/>
    <n v="0"/>
    <n v="0"/>
    <n v="0"/>
    <n v="2430.1260000000002"/>
    <n v="0"/>
    <n v="0"/>
    <n v="0"/>
    <n v="2430.1260000000002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5.4593786987635893"/>
    <n v="0"/>
    <n v="0"/>
    <n v="0"/>
    <n v="5.4593786987635893"/>
    <s v="No Aplica"/>
    <m/>
    <n v="0"/>
    <m/>
    <s v="OK"/>
    <s v="OK"/>
    <n v="44000"/>
    <n v="110000"/>
    <n v="44000"/>
    <n v="66000"/>
    <n v="44061"/>
    <n v="21786"/>
    <n v="265776"/>
    <n v="584650"/>
    <n v="243320"/>
    <n v="366571"/>
    <n v="243648"/>
    <n v="118940"/>
    <m/>
  </r>
  <r>
    <s v="Agrosuper Asia1022182"/>
    <x v="0"/>
    <x v="1"/>
    <n v="1022182"/>
    <s v="GO BB Ribs 20-24 Oz@ Cj 10k AS"/>
    <x v="0"/>
    <x v="7"/>
    <n v="0"/>
    <n v="0"/>
    <n v="0.45719439678473212"/>
    <n v="0"/>
    <n v="370"/>
    <n v="0"/>
    <n v="0"/>
    <n v="370"/>
    <n v="0"/>
    <n v="22000"/>
    <n v="0"/>
    <n v="0"/>
    <n v="0"/>
    <n v="370"/>
    <n v="0"/>
    <n v="0"/>
    <n v="0"/>
    <n v="37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5.3595909090909091"/>
    <n v="0"/>
    <n v="0"/>
    <n v="0"/>
    <n v="5.3595909090909091"/>
    <s v="No Aplica"/>
    <m/>
    <n v="0"/>
    <m/>
    <s v="OK"/>
    <s v="OK"/>
    <n v="0"/>
    <n v="0"/>
    <n v="0"/>
    <n v="22000"/>
    <n v="0"/>
    <n v="22000"/>
    <n v="0"/>
    <n v="0"/>
    <n v="0"/>
    <n v="121000"/>
    <n v="0"/>
    <n v="116891"/>
    <m/>
  </r>
  <r>
    <s v="Agrosuper Asia1022283"/>
    <x v="0"/>
    <x v="1"/>
    <n v="1022283"/>
    <s v="GO Malaya 5-6mm@ Bo Cj 9k AS"/>
    <x v="14"/>
    <x v="29"/>
    <n v="0"/>
    <n v="0"/>
    <n v="0.45719439678473212"/>
    <n v="0"/>
    <n v="8015.243999999997"/>
    <n v="0"/>
    <n v="0"/>
    <n v="8015.243999999997"/>
    <n v="5000"/>
    <n v="5000"/>
    <n v="5000"/>
    <n v="0"/>
    <n v="5000"/>
    <n v="3015.243999999997"/>
    <n v="0"/>
    <n v="0"/>
    <n v="0"/>
    <n v="3015.243999999997"/>
    <n v="0"/>
    <m/>
    <n v="0"/>
    <n v="0"/>
    <n v="5000"/>
    <n v="5000"/>
    <n v="0"/>
    <n v="5000"/>
    <n v="0"/>
    <n v="5000"/>
    <n v="5000"/>
    <n v="0"/>
    <n v="0"/>
    <s v="Si"/>
    <n v="5000"/>
    <n v="5000"/>
    <n v="0"/>
    <d v="2022-07-12T00:00:00"/>
    <n v="5.8383791875325235"/>
    <n v="6.5"/>
    <n v="6.5"/>
    <n v="32500"/>
    <n v="5.8383791875325235"/>
    <n v="0.11332268617980902"/>
    <m/>
    <n v="6.5"/>
    <m/>
    <s v="OK"/>
    <s v="OK"/>
    <n v="11000"/>
    <n v="9000"/>
    <n v="0"/>
    <n v="5000"/>
    <n v="6000"/>
    <n v="10000"/>
    <n v="62981.599999999999"/>
    <n v="48600"/>
    <n v="0"/>
    <n v="28500"/>
    <n v="32760"/>
    <n v="60298"/>
    <m/>
  </r>
  <r>
    <s v="Agrosuper Asia1022607"/>
    <x v="0"/>
    <x v="1"/>
    <n v="1022607"/>
    <s v="GO Platead Lom TF@ Cj 10k AK (TS)"/>
    <x v="14"/>
    <x v="30"/>
    <n v="27461"/>
    <n v="22000"/>
    <n v="0.45719439678473212"/>
    <n v="12555.015330105529"/>
    <n v="15860.777000000004"/>
    <n v="6809"/>
    <n v="0"/>
    <n v="34543.892330105533"/>
    <n v="22000"/>
    <n v="22000"/>
    <n v="22000"/>
    <n v="0"/>
    <n v="22000"/>
    <n v="12543.892330105533"/>
    <n v="0"/>
    <n v="0"/>
    <n v="0"/>
    <n v="12543.892330105533"/>
    <n v="0"/>
    <m/>
    <n v="0"/>
    <n v="0"/>
    <n v="22000"/>
    <n v="22000"/>
    <n v="0"/>
    <n v="22000"/>
    <n v="0"/>
    <n v="22000"/>
    <n v="22000"/>
    <n v="0"/>
    <n v="0"/>
    <s v="Si"/>
    <n v="22000"/>
    <n v="15860.777000000004"/>
    <n v="6139.2229999999963"/>
    <d v="2022-07-12T00:00:00"/>
    <n v="5.32"/>
    <n v="5.5"/>
    <n v="5.5"/>
    <n v="121000"/>
    <n v="5.1535673362446408"/>
    <n v="6.722191467625252E-2"/>
    <m/>
    <n v="5.5"/>
    <m/>
    <s v="OK"/>
    <s v="OK"/>
    <n v="22000"/>
    <n v="22000"/>
    <n v="22000"/>
    <n v="44000"/>
    <n v="44001"/>
    <n v="22000"/>
    <n v="126060"/>
    <n v="114400"/>
    <n v="112860"/>
    <n v="233200"/>
    <n v="233204"/>
    <n v="116600"/>
    <m/>
  </r>
  <r>
    <s v="Agrosuper Asia1022885"/>
    <x v="0"/>
    <x v="1"/>
    <n v="1022885"/>
    <s v="GO Panc S/cue@ Cj Panc TJ"/>
    <x v="8"/>
    <x v="10"/>
    <n v="584437"/>
    <n v="637000"/>
    <n v="0.45719439678473212"/>
    <n v="267201.32167367847"/>
    <n v="138801.05900000004"/>
    <n v="135172.75213819137"/>
    <n v="0"/>
    <n v="527657.85759805073"/>
    <n v="154000"/>
    <n v="22000"/>
    <n v="154000"/>
    <n v="-66000"/>
    <n v="88000"/>
    <n v="439657.85759805073"/>
    <n v="418000"/>
    <n v="0"/>
    <n v="418000"/>
    <n v="21657.85759805073"/>
    <n v="0"/>
    <m/>
    <n v="0"/>
    <n v="66004.149999999994"/>
    <n v="572004.15"/>
    <n v="638004.15"/>
    <n v="66004.149999999994"/>
    <n v="88000"/>
    <n v="484000"/>
    <n v="572004.15"/>
    <n v="88000"/>
    <n v="418000"/>
    <n v="0"/>
    <s v="Si"/>
    <n v="506000"/>
    <n v="138801.05900000004"/>
    <n v="367198.94099999999"/>
    <d v="2022-07-12T00:00:00"/>
    <n v="6.12"/>
    <n v="6.0501548672566399"/>
    <n v="6.1011951708745844"/>
    <n v="3489908.9577002213"/>
    <n v="6.0085021215701131"/>
    <n v="1.5426981205799958E-2"/>
    <m/>
    <n v="6.1011951708745844"/>
    <m/>
    <s v="OK"/>
    <s v="OK"/>
    <n v="660000"/>
    <n v="597000"/>
    <n v="476000"/>
    <n v="702000"/>
    <n v="615555"/>
    <n v="469016"/>
    <n v="4448231.7450000001"/>
    <n v="3883485"/>
    <n v="2975000"/>
    <n v="4283678"/>
    <n v="3723805"/>
    <n v="2830975"/>
    <m/>
  </r>
  <r>
    <s v="Agrosuper Asia1022887"/>
    <x v="0"/>
    <x v="1"/>
    <n v="1022887"/>
    <s v="GO Panc S/cue@ Cj Panc AK"/>
    <x v="8"/>
    <x v="10"/>
    <n v="343870"/>
    <n v="360000"/>
    <n v="0.45719439678473212"/>
    <n v="157215.43722236584"/>
    <n v="7519.4009999999998"/>
    <n v="66161"/>
    <n v="0"/>
    <n v="224279.73822236585"/>
    <n v="110000"/>
    <n v="22000"/>
    <n v="110000"/>
    <n v="0"/>
    <n v="110000"/>
    <n v="114279.73822236585"/>
    <n v="110000"/>
    <n v="0"/>
    <n v="110000"/>
    <n v="4279.7382223658497"/>
    <n v="0"/>
    <m/>
    <n v="0"/>
    <n v="0"/>
    <n v="220000"/>
    <n v="220000"/>
    <n v="0"/>
    <n v="110000"/>
    <n v="110000"/>
    <n v="220000"/>
    <n v="110000"/>
    <n v="110000"/>
    <n v="0"/>
    <s v="Si"/>
    <n v="220000"/>
    <n v="7519.4009999999998"/>
    <n v="212480.59899999999"/>
    <d v="2022-07-12T00:00:00"/>
    <n v="6.12"/>
    <n v="6.05104166666667"/>
    <n v="6.0855208333333355"/>
    <n v="1338814.5833333337"/>
    <n v="6.0096655216865917"/>
    <n v="1.2622218553264047E-2"/>
    <m/>
    <n v="6.0855208333333355"/>
    <m/>
    <s v="OK"/>
    <s v="OK"/>
    <n v="198000"/>
    <n v="275000"/>
    <n v="385000"/>
    <n v="352000"/>
    <n v="308028"/>
    <n v="209000"/>
    <n v="1378080"/>
    <n v="1761375"/>
    <n v="2321550"/>
    <n v="2089499"/>
    <n v="1830564"/>
    <n v="1258453"/>
    <m/>
  </r>
  <r>
    <s v="Agrosuper Asia1022930"/>
    <x v="0"/>
    <x v="1"/>
    <n v="1022930"/>
    <s v="GO Panc S/cue Hem@ Cj Panc TJ AS"/>
    <x v="8"/>
    <x v="10"/>
    <n v="191803"/>
    <n v="154000"/>
    <n v="0.45719439678473212"/>
    <n v="87691.256886501971"/>
    <n v="20885.060999999998"/>
    <n v="68023.349837159374"/>
    <n v="0"/>
    <n v="169797.33273994541"/>
    <n v="176000"/>
    <n v="22000"/>
    <n v="154000"/>
    <n v="0"/>
    <n v="154000"/>
    <n v="15797.332739945414"/>
    <n v="0"/>
    <n v="0"/>
    <n v="0"/>
    <n v="15797.332739945414"/>
    <n v="0"/>
    <m/>
    <n v="0"/>
    <n v="44031.5"/>
    <n v="198031.5"/>
    <n v="198031.5"/>
    <n v="44031.5"/>
    <n v="154000"/>
    <n v="0"/>
    <n v="198031.5"/>
    <n v="154000"/>
    <n v="0"/>
    <n v="0"/>
    <s v="Si"/>
    <n v="154000"/>
    <n v="20885.060999999998"/>
    <n v="133114.93900000001"/>
    <d v="2022-07-12T00:00:00"/>
    <n v="6.32"/>
    <n v="6.3071428571428552"/>
    <n v="6.3071428571428552"/>
    <n v="1249012.9607142853"/>
    <n v="6.2269615738783433"/>
    <n v="1.2876469898395814E-2"/>
    <m/>
    <n v="6.3071428571428552"/>
    <m/>
    <s v="OK"/>
    <s v="OK"/>
    <n v="154000"/>
    <n v="44000"/>
    <n v="44000"/>
    <n v="88000"/>
    <n v="65946"/>
    <n v="22000"/>
    <n v="1083909.05"/>
    <n v="286440"/>
    <n v="264440"/>
    <n v="533280"/>
    <n v="273348"/>
    <n v="138292"/>
    <m/>
  </r>
  <r>
    <s v="Agrosuper Asia1022985"/>
    <x v="0"/>
    <x v="1"/>
    <n v="1022985"/>
    <s v="GO Lom Vet Mad@ Cj 8,5k TJ"/>
    <x v="6"/>
    <x v="20"/>
    <n v="2858"/>
    <n v="5000"/>
    <n v="0.45719439678473212"/>
    <n v="1306.6615860107645"/>
    <n v="4951.9970000000003"/>
    <n v="5750.5109687184604"/>
    <n v="0"/>
    <n v="11434.118457857378"/>
    <n v="5000"/>
    <n v="5000"/>
    <n v="5000"/>
    <n v="0"/>
    <n v="5000"/>
    <n v="6434.1184578573775"/>
    <n v="5000"/>
    <n v="0"/>
    <n v="5000"/>
    <n v="1434.1184578573775"/>
    <n v="0"/>
    <m/>
    <n v="0"/>
    <n v="0"/>
    <n v="10000"/>
    <n v="10000"/>
    <n v="0"/>
    <n v="5000"/>
    <n v="5000"/>
    <n v="10000"/>
    <n v="5000"/>
    <n v="5000"/>
    <n v="0"/>
    <s v="Si"/>
    <n v="10000"/>
    <n v="4951.9970000000003"/>
    <n v="5048.0029999999997"/>
    <d v="2022-07-12T00:00:00"/>
    <n v="4.17"/>
    <n v="4.3499999999999996"/>
    <n v="4.26"/>
    <n v="42600"/>
    <n v="4.0589279470551549"/>
    <n v="4.9538216880821266E-2"/>
    <m/>
    <n v="4.26"/>
    <m/>
    <s v="OK"/>
    <s v="OK"/>
    <n v="10000"/>
    <n v="10000"/>
    <n v="17000"/>
    <n v="12000"/>
    <n v="8000"/>
    <n v="5000"/>
    <n v="42616"/>
    <n v="41000"/>
    <n v="66243"/>
    <n v="49200"/>
    <n v="31677"/>
    <n v="19798"/>
    <m/>
  </r>
  <r>
    <s v="Agrosuper Asia1022986"/>
    <x v="0"/>
    <x v="1"/>
    <n v="1022986"/>
    <s v="GO Panc S/cue Mad@ Cj 16,4k Panc TJ"/>
    <x v="8"/>
    <x v="10"/>
    <n v="3271"/>
    <n v="0"/>
    <n v="0.45719439678473212"/>
    <n v="1495.4828718828587"/>
    <n v="6028.639000000001"/>
    <n v="0"/>
    <n v="0"/>
    <n v="7524.1218718828595"/>
    <n v="5000"/>
    <n v="5000"/>
    <n v="5000"/>
    <n v="0"/>
    <n v="5000"/>
    <n v="2524.1218718828595"/>
    <n v="0"/>
    <n v="0"/>
    <n v="0"/>
    <n v="2524.1218718828595"/>
    <n v="0"/>
    <m/>
    <n v="0"/>
    <n v="0"/>
    <n v="5000"/>
    <n v="5000"/>
    <n v="0"/>
    <n v="5000"/>
    <n v="0"/>
    <n v="5000"/>
    <n v="5000"/>
    <n v="0"/>
    <n v="0"/>
    <s v="Si"/>
    <n v="5000"/>
    <n v="5000"/>
    <n v="0"/>
    <d v="2022-07-12T00:00:00"/>
    <n v="6.5595730487613233"/>
    <n v="6.2"/>
    <n v="6.2"/>
    <n v="31000"/>
    <n v="6.5595730487613233"/>
    <n v="5.4816532431058614E-2"/>
    <m/>
    <n v="6.2"/>
    <m/>
    <s v="OK"/>
    <s v="OK"/>
    <n v="20000"/>
    <n v="17000"/>
    <n v="0"/>
    <n v="5000"/>
    <n v="7500"/>
    <n v="0"/>
    <n v="137818.6667"/>
    <n v="113900"/>
    <n v="0"/>
    <n v="32500"/>
    <n v="48822"/>
    <n v="0"/>
    <m/>
  </r>
  <r>
    <s v="Agrosuper Asia1023037"/>
    <x v="0"/>
    <x v="1"/>
    <n v="1023037"/>
    <s v="GO Panc S/cue@ Cj Panc 16k AS"/>
    <x v="8"/>
    <x v="10"/>
    <n v="121214"/>
    <n v="143000"/>
    <n v="0.45719439678473212"/>
    <n v="55418.361611864522"/>
    <n v="44946.490999999995"/>
    <n v="0"/>
    <n v="0"/>
    <n v="100364.85261186451"/>
    <n v="11000"/>
    <n v="22000"/>
    <n v="11000"/>
    <n v="0"/>
    <n v="11000"/>
    <n v="89364.85261186451"/>
    <n v="88000"/>
    <n v="0"/>
    <n v="88000"/>
    <n v="1364.8526118645095"/>
    <n v="0"/>
    <m/>
    <n v="0"/>
    <n v="0"/>
    <n v="99000"/>
    <n v="99000"/>
    <n v="0"/>
    <n v="11000"/>
    <n v="88000"/>
    <n v="99000"/>
    <n v="11000"/>
    <n v="88000"/>
    <n v="0"/>
    <s v="Si"/>
    <n v="99000"/>
    <n v="44946.490999999995"/>
    <n v="54053.509000000005"/>
    <d v="2022-07-12T00:00:00"/>
    <n v="6.32"/>
    <n v="6.2682692307692305"/>
    <n v="6.3142521367521365"/>
    <n v="625110.9615384615"/>
    <n v="6.2689980775175602"/>
    <n v="7.2187068292252953E-3"/>
    <m/>
    <n v="6.3142521367521365"/>
    <m/>
    <s v="OK"/>
    <s v="OK"/>
    <n v="66000"/>
    <n v="110000"/>
    <n v="176000"/>
    <n v="176000"/>
    <n v="99000"/>
    <n v="143000"/>
    <n v="465306.14689999999"/>
    <n v="743600"/>
    <n v="1096480"/>
    <n v="1099808"/>
    <n v="613267"/>
    <n v="899875"/>
    <m/>
  </r>
  <r>
    <s v="Agrosuper Asia1023038"/>
    <x v="0"/>
    <x v="1"/>
    <n v="1023038"/>
    <s v="GO Lom Vet@ Cj 8k AS"/>
    <x v="6"/>
    <x v="20"/>
    <n v="150411"/>
    <n v="141000"/>
    <n v="0.45719439678473212"/>
    <n v="68767.066414788336"/>
    <n v="46170.541999999979"/>
    <n v="26559"/>
    <n v="0"/>
    <n v="138840.70841478833"/>
    <n v="55000"/>
    <n v="22000"/>
    <n v="55000"/>
    <n v="0"/>
    <n v="55000"/>
    <n v="83840.708414788329"/>
    <n v="66000"/>
    <n v="0"/>
    <n v="66000"/>
    <n v="17840.708414788329"/>
    <n v="0"/>
    <m/>
    <n v="0"/>
    <n v="22010.71"/>
    <n v="143010.71"/>
    <n v="143010.71"/>
    <n v="22010.71"/>
    <n v="55000"/>
    <n v="66000"/>
    <n v="143010.71"/>
    <n v="55000"/>
    <n v="66000"/>
    <n v="0"/>
    <s v="Si"/>
    <n v="121000"/>
    <n v="46170.541999999979"/>
    <n v="74829.458000000013"/>
    <d v="2022-07-12T00:00:00"/>
    <n v="4.2699999999999996"/>
    <n v="4.4443181818181801"/>
    <n v="4.3638696615639994"/>
    <n v="624080.09864772717"/>
    <n v="4.2883433178692458"/>
    <n v="1.7612009602878623E-2"/>
    <m/>
    <n v="4.3638696615639994"/>
    <m/>
    <s v="OK"/>
    <s v="OK"/>
    <n v="66000"/>
    <n v="77000"/>
    <n v="77000"/>
    <n v="66000"/>
    <n v="113643"/>
    <n v="77000"/>
    <n v="290424.40000000002"/>
    <n v="315700"/>
    <n v="310310"/>
    <n v="272657"/>
    <n v="467607"/>
    <n v="330247"/>
    <m/>
  </r>
  <r>
    <s v="Agrosuper Asia1023090"/>
    <x v="0"/>
    <x v="1"/>
    <n v="1023090"/>
    <s v="GO Panc S/cue S/h@ Cj Panc 16k AS"/>
    <x v="8"/>
    <x v="10"/>
    <n v="21208"/>
    <n v="22000"/>
    <n v="0.45719439678473212"/>
    <n v="9696.1787670105987"/>
    <n v="1151.895"/>
    <n v="10842.823014839933"/>
    <n v="0"/>
    <n v="20606.614480366537"/>
    <n v="22000"/>
    <n v="22000"/>
    <n v="0"/>
    <n v="0"/>
    <n v="0"/>
    <n v="20606.614480366537"/>
    <n v="0"/>
    <n v="0"/>
    <n v="0"/>
    <n v="20606.614480366537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6.42"/>
    <n v="6.5"/>
    <n v="0"/>
    <n v="0"/>
    <n v="6.2849355137695815"/>
    <s v="No Aplica"/>
    <m/>
    <n v="0"/>
    <m/>
    <s v="OK"/>
    <s v="OK"/>
    <n v="22000"/>
    <n v="22000"/>
    <n v="22000"/>
    <n v="22000"/>
    <n v="22008"/>
    <n v="22000"/>
    <n v="149600"/>
    <n v="147400"/>
    <n v="144100"/>
    <n v="137060"/>
    <n v="138925"/>
    <n v="143000"/>
    <m/>
  </r>
  <r>
    <s v="Agrosuper Asia1023144"/>
    <x v="0"/>
    <x v="1"/>
    <n v="1023144"/>
    <s v="GO Papda C/Cue granel@ Bo Cj AS"/>
    <x v="3"/>
    <x v="31"/>
    <n v="74390"/>
    <n v="44000"/>
    <n v="0.45719439678473212"/>
    <n v="34010.691176816224"/>
    <n v="26811.575999999997"/>
    <n v="10684"/>
    <n v="0"/>
    <n v="70437.867176816231"/>
    <n v="96000"/>
    <n v="24000"/>
    <n v="48000"/>
    <n v="0"/>
    <n v="48000"/>
    <n v="22437.867176816231"/>
    <n v="0"/>
    <n v="0"/>
    <n v="0"/>
    <n v="22437.867176816231"/>
    <n v="0"/>
    <m/>
    <n v="0"/>
    <n v="0"/>
    <n v="48000"/>
    <n v="48000"/>
    <n v="0"/>
    <n v="48000"/>
    <n v="0"/>
    <n v="48000"/>
    <n v="48000"/>
    <n v="0"/>
    <n v="0"/>
    <s v="Si"/>
    <n v="48000"/>
    <n v="26811.575999999997"/>
    <n v="21188.424000000003"/>
    <d v="2022-07-12T00:00:00"/>
    <n v="1.94"/>
    <n v="2.191071666666665"/>
    <n v="2.191071666666665"/>
    <n v="105171.43999999992"/>
    <n v="1.9893465052049255"/>
    <n v="0.10140272744539265"/>
    <m/>
    <n v="2.191071666666665"/>
    <m/>
    <s v="OK"/>
    <s v="OK"/>
    <n v="0"/>
    <n v="0"/>
    <n v="0"/>
    <n v="0"/>
    <n v="24000"/>
    <n v="48000"/>
    <n v="0"/>
    <n v="0"/>
    <n v="0"/>
    <n v="0"/>
    <n v="42907"/>
    <n v="103200"/>
    <m/>
  </r>
  <r>
    <s v="Agrosuper Asia1023183"/>
    <x v="0"/>
    <x v="1"/>
    <n v="1023183"/>
    <s v="GO Pech S/Cue@ Vp Cj AS"/>
    <x v="7"/>
    <x v="9"/>
    <n v="0"/>
    <n v="0"/>
    <n v="0.45719439678473212"/>
    <n v="0"/>
    <n v="44177.251000000018"/>
    <n v="0"/>
    <n v="0"/>
    <n v="44177.251000000018"/>
    <n v="0"/>
    <n v="22000"/>
    <n v="0"/>
    <n v="0"/>
    <n v="0"/>
    <n v="44177.251000000018"/>
    <n v="0"/>
    <n v="0"/>
    <n v="0"/>
    <n v="44177.251000000018"/>
    <n v="44000"/>
    <n v="-44000"/>
    <n v="0"/>
    <n v="0"/>
    <n v="44000"/>
    <n v="44000"/>
    <n v="0"/>
    <n v="0"/>
    <n v="44000"/>
    <n v="0"/>
    <n v="0"/>
    <n v="0"/>
    <n v="0"/>
    <s v="No"/>
    <n v="0"/>
    <n v="0"/>
    <n v="0"/>
    <d v="2022-07-12T00:00:00"/>
    <n v="5.7898820069821229"/>
    <n v="0"/>
    <n v="0"/>
    <n v="0"/>
    <n v="5.7898820069821229"/>
    <s v="No Aplica"/>
    <m/>
    <n v="0"/>
    <m/>
    <s v="OK"/>
    <s v="OK"/>
    <n v="22000"/>
    <n v="44000"/>
    <n v="66000"/>
    <n v="0"/>
    <n v="22000"/>
    <n v="22000"/>
    <n v="136200.5"/>
    <n v="259600"/>
    <n v="378180"/>
    <n v="0"/>
    <n v="124511"/>
    <n v="126688"/>
    <m/>
  </r>
  <r>
    <s v="Agrosuper Asia1023283"/>
    <x v="0"/>
    <x v="1"/>
    <n v="1023283"/>
    <s v="GO Grasa Chaleco@ Cj 10k AS"/>
    <x v="10"/>
    <x v="32"/>
    <n v="94845"/>
    <n v="72000"/>
    <n v="0.45719439678473212"/>
    <n v="43362.60256304792"/>
    <n v="35764.856000000007"/>
    <n v="21440"/>
    <n v="0"/>
    <n v="98423.458563047927"/>
    <n v="96000"/>
    <n v="24000"/>
    <n v="96000"/>
    <n v="-24000"/>
    <n v="72000"/>
    <n v="26423.458563047927"/>
    <n v="24000"/>
    <n v="0"/>
    <n v="24000"/>
    <n v="2423.4585630479269"/>
    <n v="0"/>
    <m/>
    <n v="0"/>
    <n v="0"/>
    <n v="96000"/>
    <n v="120000"/>
    <n v="0"/>
    <n v="72000"/>
    <n v="48000"/>
    <n v="96000"/>
    <n v="72000"/>
    <n v="24000"/>
    <n v="0"/>
    <s v="Si"/>
    <n v="96000"/>
    <n v="35764.856000000007"/>
    <n v="60235.143999999993"/>
    <d v="2022-07-12T00:00:00"/>
    <n v="0.77"/>
    <n v="1.0649650520833331"/>
    <n v="0.99122378906249986"/>
    <n v="95157.483749999985"/>
    <n v="0.87631195748132384"/>
    <n v="0.13113119203742582"/>
    <m/>
    <n v="0.99122378906249986"/>
    <m/>
    <s v="OK"/>
    <s v="OK"/>
    <n v="120000"/>
    <n v="96000"/>
    <n v="178000"/>
    <n v="216000"/>
    <n v="144149"/>
    <n v="72000"/>
    <n v="107052.12119999999"/>
    <n v="89280"/>
    <n v="157911"/>
    <n v="220922"/>
    <n v="136463"/>
    <n v="70008"/>
    <m/>
  </r>
  <r>
    <s v="Agrosuper Asia1023305"/>
    <x v="0"/>
    <x v="1"/>
    <n v="1023305"/>
    <s v="GO Mucosa # Isotanque AS"/>
    <x v="10"/>
    <x v="33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Asia1023307"/>
    <x v="0"/>
    <x v="1"/>
    <n v="1023307"/>
    <s v="GO Pulmon@ Cj 20k AS"/>
    <x v="10"/>
    <x v="15"/>
    <n v="5000"/>
    <n v="0"/>
    <n v="0.45719439678473212"/>
    <n v="2285.9719839236604"/>
    <n v="7160.3789999999999"/>
    <n v="5700"/>
    <n v="0"/>
    <n v="14576.350983923661"/>
    <n v="48000"/>
    <n v="24000"/>
    <n v="0"/>
    <n v="0"/>
    <n v="0"/>
    <n v="14576.350983923661"/>
    <n v="0"/>
    <n v="0"/>
    <n v="0"/>
    <n v="14576.350983923661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.67313869304418494"/>
    <n v="0.76571666666666705"/>
    <n v="0"/>
    <n v="0"/>
    <n v="0.67313869304418494"/>
    <s v="No Aplica"/>
    <m/>
    <n v="0"/>
    <m/>
    <s v="OK"/>
    <s v="OK"/>
    <n v="22000"/>
    <n v="24000"/>
    <n v="22000"/>
    <n v="48000"/>
    <n v="24000"/>
    <n v="48000"/>
    <n v="16376.75"/>
    <n v="16800"/>
    <n v="14667"/>
    <n v="35843"/>
    <n v="17322"/>
    <n v="40800"/>
    <m/>
  </r>
  <r>
    <s v="Agrosuper Asia1023326"/>
    <x v="0"/>
    <x v="1"/>
    <n v="1023326"/>
    <s v="GO Corazón Partido@ Cj 10k AS"/>
    <x v="10"/>
    <x v="15"/>
    <n v="48000"/>
    <n v="48000"/>
    <n v="0.45719439678473212"/>
    <n v="21945.331045667142"/>
    <n v="30107.131000000016"/>
    <n v="10805"/>
    <n v="0"/>
    <n v="61776.962045667155"/>
    <n v="48000"/>
    <n v="24000"/>
    <n v="48000"/>
    <n v="0"/>
    <n v="48000"/>
    <n v="13776.962045667155"/>
    <n v="0"/>
    <n v="0"/>
    <n v="0"/>
    <n v="13776.962045667155"/>
    <n v="0"/>
    <m/>
    <n v="0"/>
    <n v="0"/>
    <n v="48000"/>
    <n v="48000"/>
    <n v="0"/>
    <n v="48000"/>
    <n v="0"/>
    <n v="48000"/>
    <n v="48000"/>
    <n v="0"/>
    <n v="0"/>
    <s v="Si"/>
    <n v="48000"/>
    <n v="30107.131000000016"/>
    <n v="17892.868999999984"/>
    <d v="2022-07-12T00:00:00"/>
    <n v="0.72"/>
    <n v="0.95"/>
    <n v="0.95"/>
    <n v="45600"/>
    <n v="0.79070160687496116"/>
    <n v="0.20146461287036399"/>
    <m/>
    <n v="0.95"/>
    <m/>
    <s v="OK"/>
    <s v="OK"/>
    <n v="0"/>
    <n v="0"/>
    <n v="44000"/>
    <n v="48000"/>
    <n v="48003"/>
    <n v="48000"/>
    <n v="0"/>
    <n v="0"/>
    <n v="35200"/>
    <n v="45600"/>
    <n v="37999"/>
    <n v="39917"/>
    <m/>
  </r>
  <r>
    <s v="Agrosuper Brasil1021864"/>
    <x v="0"/>
    <x v="2"/>
    <n v="1021864"/>
    <s v="GO Cue Papda CP@ Cj 20k AS"/>
    <x v="4"/>
    <x v="14"/>
    <n v="72187"/>
    <n v="0"/>
    <n v="0.81420840482290169"/>
    <n v="58775.262118950806"/>
    <n v="20426.214999999993"/>
    <n v="0"/>
    <n v="0"/>
    <n v="79201.477118950803"/>
    <n v="72000"/>
    <n v="24000"/>
    <n v="72000"/>
    <n v="0"/>
    <n v="72000"/>
    <n v="7201.4771189508028"/>
    <n v="0"/>
    <n v="0"/>
    <n v="0"/>
    <n v="7201.4771189508028"/>
    <n v="0"/>
    <m/>
    <n v="0"/>
    <n v="0"/>
    <n v="72000"/>
    <n v="72000"/>
    <n v="0"/>
    <n v="72000"/>
    <n v="0"/>
    <n v="72000"/>
    <n v="72000"/>
    <n v="0"/>
    <n v="0"/>
    <s v="Si"/>
    <n v="72000"/>
    <n v="20426.214999999993"/>
    <n v="51573.785000000003"/>
    <d v="2022-07-22T00:00:00"/>
    <n v="0.55000000000000004"/>
    <n v="0.55000000000000004"/>
    <n v="0.55000000000000004"/>
    <n v="39600"/>
    <n v="0.55000000000000004"/>
    <n v="0"/>
    <m/>
    <n v="0.55000000000000004"/>
    <m/>
    <s v="OK"/>
    <s v="OK"/>
    <n v="48000"/>
    <n v="48000"/>
    <n v="48000"/>
    <n v="24000"/>
    <n v="48000"/>
    <n v="48000"/>
    <n v="26400"/>
    <n v="26400"/>
    <n v="26400"/>
    <n v="12000"/>
    <n v="26400"/>
    <n v="23734"/>
    <m/>
  </r>
  <r>
    <s v="Agrosuper Brasil1022217"/>
    <x v="0"/>
    <x v="2"/>
    <n v="1022217"/>
    <s v="GO Lom Tocino@ Bo Cj 20k AS"/>
    <x v="2"/>
    <x v="2"/>
    <n v="265077"/>
    <n v="262107"/>
    <n v="0.81420840482290169"/>
    <n v="215827.92132524031"/>
    <n v="98668.527000000016"/>
    <n v="10362"/>
    <n v="24000"/>
    <n v="299822.24832524033"/>
    <n v="144000"/>
    <n v="24000"/>
    <n v="144000"/>
    <n v="0"/>
    <n v="144000"/>
    <n v="155822.24832524033"/>
    <n v="144000"/>
    <n v="-96000"/>
    <n v="48000"/>
    <n v="107822.24832524033"/>
    <n v="0"/>
    <m/>
    <n v="0"/>
    <n v="0"/>
    <n v="288000"/>
    <n v="288000"/>
    <n v="0"/>
    <n v="144000"/>
    <n v="144000"/>
    <n v="192000"/>
    <n v="144000"/>
    <n v="48000"/>
    <n v="0"/>
    <s v="Si"/>
    <n v="192000"/>
    <n v="98668.527000000016"/>
    <n v="93331.472999999984"/>
    <d v="2022-07-22T00:00:00"/>
    <n v="1.69999656628781"/>
    <n v="1.6190464173611101"/>
    <n v="1.6392839545927851"/>
    <n v="314742.51928181475"/>
    <n v="1.5862987992388995"/>
    <n v="3.3401749644712382E-2"/>
    <m/>
    <n v="1.6392839545927851"/>
    <m/>
    <s v="OK"/>
    <s v="OK"/>
    <n v="96000"/>
    <n v="47994"/>
    <n v="72000"/>
    <n v="264000"/>
    <n v="168000"/>
    <n v="216000"/>
    <n v="153600"/>
    <n v="64392"/>
    <n v="103820"/>
    <n v="414000"/>
    <n v="279600"/>
    <n v="335772"/>
    <m/>
  </r>
  <r>
    <s v="Agrosuper Brasil1022218"/>
    <x v="0"/>
    <x v="2"/>
    <n v="1022218"/>
    <s v="GO Grasa Forro Pna Limp@ Cj 20k AS"/>
    <x v="2"/>
    <x v="12"/>
    <n v="56208"/>
    <n v="24004"/>
    <n v="0.81420840482290169"/>
    <n v="45765.026018285658"/>
    <n v="8377.7629999999972"/>
    <n v="10801"/>
    <n v="0"/>
    <n v="63863.689018285659"/>
    <n v="96000"/>
    <n v="24000"/>
    <n v="48000"/>
    <n v="0"/>
    <n v="48000"/>
    <n v="15863.689018285659"/>
    <n v="0"/>
    <n v="0"/>
    <n v="0"/>
    <n v="15863.689018285659"/>
    <n v="0"/>
    <m/>
    <n v="0"/>
    <n v="0"/>
    <n v="48000"/>
    <n v="48000"/>
    <n v="0"/>
    <n v="48000"/>
    <n v="0"/>
    <n v="48000"/>
    <n v="48000"/>
    <n v="0"/>
    <n v="0"/>
    <s v="Si"/>
    <n v="48000"/>
    <n v="8377.7629999999972"/>
    <n v="39622.237000000001"/>
    <d v="2022-07-22T00:00:00"/>
    <n v="1.5499916680553201"/>
    <n v="1.51875"/>
    <n v="1.51875"/>
    <n v="72900"/>
    <n v="1.5"/>
    <n v="1.250000000000003E-2"/>
    <m/>
    <n v="1.51875"/>
    <m/>
    <s v="OK"/>
    <s v="OK"/>
    <n v="120000"/>
    <n v="48000"/>
    <n v="96000"/>
    <n v="96000"/>
    <n v="96000"/>
    <n v="48000"/>
    <n v="180000"/>
    <n v="69600"/>
    <n v="140400"/>
    <n v="136320"/>
    <n v="145200"/>
    <n v="72686"/>
    <m/>
  </r>
  <r>
    <s v="Agrosuper Brasil1022273"/>
    <x v="0"/>
    <x v="2"/>
    <n v="1022273"/>
    <s v="GO Grasa Forro Pna Limp@ Bo Cj AS"/>
    <x v="2"/>
    <x v="12"/>
    <n v="211117"/>
    <n v="211608"/>
    <n v="0.81420840482290169"/>
    <n v="171893.23580099654"/>
    <n v="72889.000000000044"/>
    <n v="51627"/>
    <n v="48000"/>
    <n v="243246.53580099659"/>
    <n v="142000"/>
    <n v="24000"/>
    <n v="142000"/>
    <n v="0"/>
    <n v="142000"/>
    <n v="101246.53580099659"/>
    <n v="96000"/>
    <n v="-48000"/>
    <n v="48000"/>
    <n v="53246.535800996586"/>
    <n v="0"/>
    <m/>
    <n v="0"/>
    <n v="0"/>
    <n v="238000"/>
    <n v="238000"/>
    <n v="0"/>
    <n v="142000"/>
    <n v="96000"/>
    <n v="190000"/>
    <n v="142000"/>
    <n v="48000"/>
    <n v="0"/>
    <s v="Si"/>
    <n v="190000"/>
    <n v="72889.000000000044"/>
    <n v="117110.99999999996"/>
    <d v="2022-07-22T00:00:00"/>
    <n v="1.55000283543155"/>
    <n v="1.5010348415492947"/>
    <n v="1.5134057031616539"/>
    <n v="287547.08360071422"/>
    <n v="1.4600254665786263"/>
    <n v="3.6561168147372806E-2"/>
    <m/>
    <n v="1.5134057031616539"/>
    <m/>
    <s v="OK"/>
    <s v="OK"/>
    <n v="0"/>
    <n v="144000"/>
    <n v="144000"/>
    <n v="120000"/>
    <n v="168000"/>
    <n v="48000"/>
    <n v="0"/>
    <n v="208800"/>
    <n v="208800"/>
    <n v="180000"/>
    <n v="252000"/>
    <n v="68267"/>
    <m/>
  </r>
  <r>
    <s v="Agrosuper Brasil1023329"/>
    <x v="0"/>
    <x v="2"/>
    <n v="1023329"/>
    <s v="GO Cue Papda CP@ Cj 20k AS"/>
    <x v="4"/>
    <x v="14"/>
    <n v="0"/>
    <n v="38659"/>
    <n v="0.81420840482290169"/>
    <n v="0"/>
    <n v="25178.467000000004"/>
    <n v="11876"/>
    <n v="0"/>
    <n v="35866.867000000006"/>
    <n v="48000"/>
    <n v="24000"/>
    <n v="24000"/>
    <n v="0"/>
    <n v="24000"/>
    <n v="11866.867000000006"/>
    <n v="0"/>
    <n v="0"/>
    <n v="0"/>
    <n v="11866.867000000006"/>
    <n v="0"/>
    <m/>
    <n v="0"/>
    <n v="0"/>
    <n v="24000"/>
    <n v="24000"/>
    <n v="0"/>
    <n v="24000"/>
    <n v="0"/>
    <n v="24000"/>
    <n v="24000"/>
    <n v="0"/>
    <n v="0"/>
    <s v="Si"/>
    <n v="24000"/>
    <n v="24000"/>
    <n v="0"/>
    <d v="2022-07-22T00:00:00"/>
    <n v="0.53666675289065902"/>
    <n v="0.55000000000000004"/>
    <n v="0.55000000000000004"/>
    <n v="13200.000000000002"/>
    <n v="0.55000000000000004"/>
    <n v="0"/>
    <m/>
    <n v="0.55000000000000004"/>
    <m/>
    <s v="OK"/>
    <s v="OK"/>
    <n v="0"/>
    <n v="24000"/>
    <n v="72000"/>
    <n v="24000"/>
    <n v="72000"/>
    <n v="72000"/>
    <n v="0"/>
    <n v="13200"/>
    <n v="39600"/>
    <n v="12000"/>
    <n v="39600"/>
    <n v="39600"/>
    <m/>
  </r>
  <r>
    <s v="Agrosuper Brasil1023334"/>
    <x v="0"/>
    <x v="2"/>
    <n v="1023334"/>
    <s v="Cue granel Esp CC@ Cj 20k AS"/>
    <x v="4"/>
    <x v="18"/>
    <n v="0"/>
    <n v="1069"/>
    <n v="0.81420840482290169"/>
    <n v="0"/>
    <n v="34630.538999999997"/>
    <n v="0"/>
    <n v="0"/>
    <n v="34630.538999999997"/>
    <n v="120000"/>
    <n v="24000"/>
    <n v="24000"/>
    <n v="0"/>
    <n v="24000"/>
    <n v="10630.538999999997"/>
    <n v="0"/>
    <n v="0"/>
    <n v="0"/>
    <n v="10630.538999999997"/>
    <n v="0"/>
    <m/>
    <n v="0"/>
    <n v="0"/>
    <n v="24000"/>
    <n v="24000"/>
    <n v="0"/>
    <n v="24000"/>
    <n v="0"/>
    <n v="24000"/>
    <n v="24000"/>
    <n v="0"/>
    <n v="0"/>
    <s v="Si"/>
    <n v="24000"/>
    <n v="24000"/>
    <n v="0"/>
    <d v="2022-07-22T00:00:00"/>
    <n v="0.53975678203928901"/>
    <n v="0.65"/>
    <n v="0.65"/>
    <n v="15600"/>
    <n v="0.64999999999999991"/>
    <n v="1.7080354225002412E-16"/>
    <m/>
    <n v="0.65"/>
    <m/>
    <s v="OK"/>
    <s v="OK"/>
    <n v="0"/>
    <n v="72000"/>
    <n v="144000"/>
    <n v="168000"/>
    <n v="48000"/>
    <n v="72000"/>
    <n v="0"/>
    <n v="46800"/>
    <n v="93600"/>
    <n v="100800"/>
    <n v="29760"/>
    <n v="46800"/>
    <m/>
  </r>
  <r>
    <s v="Agrosuper Brasil1023336"/>
    <x v="0"/>
    <x v="2"/>
    <n v="1023336"/>
    <s v="Cue granel Esp CC@ Cj 20k AS"/>
    <x v="4"/>
    <x v="18"/>
    <n v="0"/>
    <n v="0"/>
    <n v="0.81420840482290169"/>
    <n v="0"/>
    <n v="43980.885000000002"/>
    <n v="0"/>
    <n v="0"/>
    <n v="43980.885000000002"/>
    <n v="0"/>
    <n v="24000"/>
    <n v="0"/>
    <n v="0"/>
    <n v="0"/>
    <n v="43980.885000000002"/>
    <n v="0"/>
    <n v="0"/>
    <n v="0"/>
    <n v="43980.885000000002"/>
    <n v="24000"/>
    <m/>
    <n v="24000"/>
    <n v="0"/>
    <n v="24000"/>
    <n v="24000"/>
    <n v="0"/>
    <n v="0"/>
    <n v="24000"/>
    <n v="24000"/>
    <n v="0"/>
    <n v="24000"/>
    <n v="0"/>
    <s v="Si"/>
    <n v="24000"/>
    <n v="24000"/>
    <n v="0"/>
    <d v="2022-07-22T00:00:00"/>
    <n v="0.64999999999999991"/>
    <n v="0.64999999999999991"/>
    <n v="0.64999999999999991"/>
    <n v="15599.999999999998"/>
    <n v="0.64999999999999991"/>
    <n v="0"/>
    <m/>
    <n v="0.64999999999999991"/>
    <m/>
    <s v="OK"/>
    <s v="OK"/>
    <n v="0"/>
    <n v="24000"/>
    <n v="24000"/>
    <n v="24000"/>
    <n v="72000"/>
    <n v="0"/>
    <n v="0"/>
    <n v="15600"/>
    <n v="15600"/>
    <n v="14400"/>
    <n v="46800"/>
    <n v="0"/>
    <m/>
  </r>
  <r>
    <s v="Agrosuper Shanghai1023109"/>
    <x v="0"/>
    <x v="3"/>
    <n v="1023109"/>
    <s v="GO Reco 20/80 @ Cj 20k AS"/>
    <x v="2"/>
    <x v="5"/>
    <n v="0"/>
    <n v="0"/>
    <n v="0.45719439678473212"/>
    <n v="0"/>
    <n v="0"/>
    <n v="819"/>
    <n v="0"/>
    <n v="737.1"/>
    <n v="0"/>
    <n v="24000"/>
    <n v="0"/>
    <n v="0"/>
    <n v="0"/>
    <n v="737.1"/>
    <n v="0"/>
    <n v="0"/>
    <n v="0"/>
    <n v="737.1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1115"/>
    <x v="0"/>
    <x v="3"/>
    <n v="1021115"/>
    <s v="GO Estómago Pouch@ 20k bca AS"/>
    <x v="10"/>
    <x v="15"/>
    <n v="6260"/>
    <n v="0"/>
    <n v="0.45719439678473212"/>
    <n v="2862.0369238724229"/>
    <n v="34320"/>
    <n v="0"/>
    <n v="0"/>
    <n v="37182.036923872423"/>
    <n v="0"/>
    <n v="24000"/>
    <n v="0"/>
    <n v="0"/>
    <n v="0"/>
    <n v="37182.036923872423"/>
    <n v="0"/>
    <n v="0"/>
    <n v="0"/>
    <n v="37182.036923872423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.27288702928870295"/>
    <n v="0"/>
    <n v="0"/>
    <n v="0"/>
    <n v="0.27288702928870295"/>
    <s v="No Aplica"/>
    <m/>
    <n v="0"/>
    <m/>
    <s v="OK"/>
    <s v="OK"/>
    <n v="72000"/>
    <n v="48000"/>
    <n v="24000"/>
    <n v="48000"/>
    <n v="48000"/>
    <n v="0"/>
    <n v="21480"/>
    <n v="14400"/>
    <n v="6640"/>
    <n v="6480"/>
    <n v="12640"/>
    <n v="0"/>
    <m/>
  </r>
  <r>
    <s v="Agrosuper Shanghai1021731"/>
    <x v="0"/>
    <x v="3"/>
    <n v="1021731"/>
    <s v="GO PernilM@ Cj 20k AS"/>
    <x v="13"/>
    <x v="27"/>
    <n v="0"/>
    <n v="0"/>
    <n v="0.45719439678473212"/>
    <n v="0"/>
    <n v="75369.05887304018"/>
    <n v="50576.52"/>
    <n v="0"/>
    <n v="120887.92687304018"/>
    <n v="0"/>
    <n v="24000"/>
    <n v="0"/>
    <n v="0"/>
    <n v="0"/>
    <n v="120887.92687304018"/>
    <n v="0"/>
    <n v="0"/>
    <n v="0"/>
    <n v="120887.92687304018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2.0792263838322689"/>
    <n v="0"/>
    <n v="0"/>
    <n v="0"/>
    <n v="2.0792263838322689"/>
    <s v="No Aplica"/>
    <m/>
    <n v="0"/>
    <m/>
    <s v="OK"/>
    <s v="OK"/>
    <n v="312000"/>
    <n v="216000"/>
    <n v="216000"/>
    <n v="144000"/>
    <n v="168000"/>
    <n v="264000"/>
    <n v="623108.57140000002"/>
    <n v="406080"/>
    <n v="403920"/>
    <n v="265334"/>
    <n v="325720"/>
    <n v="540233"/>
    <m/>
  </r>
  <r>
    <s v="Agrosuper Shanghai1021733"/>
    <x v="0"/>
    <x v="3"/>
    <n v="1021733"/>
    <s v="GO PpPna 59@ Cj 20k AS"/>
    <x v="9"/>
    <x v="13"/>
    <n v="0"/>
    <n v="0"/>
    <n v="0.45719439678473212"/>
    <n v="0"/>
    <n v="3816.6660000000002"/>
    <n v="36246"/>
    <n v="0"/>
    <n v="36438.065999999999"/>
    <n v="72000"/>
    <n v="24000"/>
    <n v="24000"/>
    <n v="0"/>
    <n v="24000"/>
    <n v="12438.065999999999"/>
    <n v="0"/>
    <n v="0"/>
    <n v="0"/>
    <n v="12438.065999999999"/>
    <n v="0"/>
    <m/>
    <n v="0"/>
    <n v="0"/>
    <n v="24000"/>
    <n v="24000"/>
    <n v="0"/>
    <n v="24000"/>
    <n v="0"/>
    <n v="24000"/>
    <n v="24000"/>
    <n v="0"/>
    <n v="0"/>
    <s v="Si"/>
    <n v="24000"/>
    <n v="3816.6660000000002"/>
    <n v="20183.333999999999"/>
    <d v="2022-07-12T00:00:00"/>
    <n v="2.2713662648232575"/>
    <n v="2.8455833333333298"/>
    <n v="2.8455833333333298"/>
    <n v="68293.999999999913"/>
    <n v="2.2713662648232575"/>
    <n v="0.25280690190877425"/>
    <m/>
    <n v="2.8455833333333298"/>
    <m/>
    <s v="OK"/>
    <s v="OK"/>
    <n v="96000"/>
    <n v="0"/>
    <n v="0"/>
    <n v="72000"/>
    <n v="24000"/>
    <n v="0"/>
    <n v="169760"/>
    <n v="0"/>
    <n v="0"/>
    <n v="65368"/>
    <n v="43579"/>
    <n v="0"/>
    <m/>
  </r>
  <r>
    <s v="Agrosuper Shanghai1021735"/>
    <x v="0"/>
    <x v="3"/>
    <n v="1021735"/>
    <s v="GO Patas@ Cj 20k AS"/>
    <x v="10"/>
    <x v="24"/>
    <n v="0"/>
    <n v="0"/>
    <n v="0.45719439678473212"/>
    <n v="0"/>
    <n v="30112.668394175627"/>
    <n v="46045.799999999996"/>
    <n v="0"/>
    <n v="71553.888394175621"/>
    <n v="0"/>
    <n v="24000"/>
    <n v="0"/>
    <n v="0"/>
    <n v="0"/>
    <n v="71553.888394175621"/>
    <n v="0"/>
    <n v="0"/>
    <n v="0"/>
    <n v="71553.888394175621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4.6119607297658494"/>
    <n v="0"/>
    <n v="0"/>
    <n v="0"/>
    <n v="4.6119607297658494"/>
    <s v="No Aplica"/>
    <m/>
    <n v="0"/>
    <m/>
    <s v="OK"/>
    <s v="OK"/>
    <n v="240000"/>
    <n v="96000"/>
    <n v="96000"/>
    <n v="0"/>
    <n v="186020"/>
    <n v="72000"/>
    <n v="982080"/>
    <n v="384000"/>
    <n v="393600"/>
    <n v="0"/>
    <n v="791853"/>
    <n v="325592"/>
    <m/>
  </r>
  <r>
    <s v="Agrosuper Shanghai1021738"/>
    <x v="0"/>
    <x v="3"/>
    <n v="1021738"/>
    <s v="GO Patas B@ Cj 20k AS"/>
    <x v="10"/>
    <x v="24"/>
    <n v="0"/>
    <n v="0"/>
    <n v="0.45719439678473212"/>
    <n v="0"/>
    <n v="0"/>
    <n v="23536.395"/>
    <n v="0"/>
    <n v="21182.755499999999"/>
    <n v="0"/>
    <n v="24000"/>
    <n v="0"/>
    <n v="0"/>
    <n v="0"/>
    <n v="21182.755499999999"/>
    <n v="0"/>
    <n v="0"/>
    <n v="0"/>
    <n v="21182.755499999999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4.605370087355559"/>
    <n v="0"/>
    <n v="0"/>
    <n v="0"/>
    <n v="4.605370087355559"/>
    <s v="No Aplica"/>
    <m/>
    <n v="0"/>
    <m/>
    <s v="OK"/>
    <s v="OK"/>
    <n v="48000"/>
    <n v="0"/>
    <n v="0"/>
    <n v="24000"/>
    <n v="0"/>
    <n v="0"/>
    <n v="177600"/>
    <n v="0"/>
    <n v="0"/>
    <n v="46600"/>
    <n v="0"/>
    <n v="0"/>
    <m/>
  </r>
  <r>
    <s v="Agrosuper Shanghai1021765"/>
    <x v="0"/>
    <x v="3"/>
    <n v="1021765"/>
    <s v="GO Pna Nor@ Bo Cj 20k AS"/>
    <x v="9"/>
    <x v="11"/>
    <n v="2"/>
    <n v="0"/>
    <n v="0.45719439678473212"/>
    <n v="0.91438879356946423"/>
    <n v="0"/>
    <n v="0"/>
    <n v="0"/>
    <n v="0.91438879356946423"/>
    <n v="0"/>
    <n v="24000"/>
    <n v="0"/>
    <n v="0"/>
    <n v="0"/>
    <n v="0.91438879356946423"/>
    <n v="0"/>
    <n v="0"/>
    <n v="0"/>
    <n v="0.91438879356946423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6760"/>
    <n v="0"/>
    <n v="0"/>
    <n v="0"/>
    <n v="0"/>
    <n v="0"/>
    <n v="7323"/>
    <n v="0"/>
    <n v="0"/>
    <n v="0"/>
    <m/>
  </r>
  <r>
    <s v="Agrosuper Shanghai1021992"/>
    <x v="0"/>
    <x v="3"/>
    <n v="1021992"/>
    <s v="GO Lom Tocino@ Cj 20k AS"/>
    <x v="2"/>
    <x v="2"/>
    <n v="0"/>
    <n v="0"/>
    <n v="0.45719439678473212"/>
    <n v="0"/>
    <n v="0"/>
    <n v="74378"/>
    <n v="0"/>
    <n v="66940.2"/>
    <n v="48000"/>
    <n v="24000"/>
    <n v="48000"/>
    <n v="0"/>
    <n v="48000"/>
    <n v="18940.199999999997"/>
    <n v="0"/>
    <n v="0"/>
    <n v="0"/>
    <n v="18940.199999999997"/>
    <n v="0"/>
    <m/>
    <n v="0"/>
    <n v="0"/>
    <n v="48000"/>
    <n v="48000"/>
    <n v="0"/>
    <n v="48000"/>
    <n v="0"/>
    <n v="48000"/>
    <n v="48000"/>
    <n v="0"/>
    <n v="0"/>
    <s v="Si"/>
    <n v="48000"/>
    <n v="0"/>
    <n v="48000"/>
    <d v="2022-07-12T00:00:00"/>
    <n v="1.5492318581632651"/>
    <n v="1.6387662656249997"/>
    <n v="1.6387662656249997"/>
    <n v="78660.780749999991"/>
    <n v="1.5492318581632651"/>
    <n v="5.7792774522391101E-2"/>
    <m/>
    <n v="1.6387662656249997"/>
    <m/>
    <s v="OK"/>
    <s v="OK"/>
    <n v="96000"/>
    <n v="72000"/>
    <n v="120000"/>
    <n v="0"/>
    <n v="0"/>
    <n v="0"/>
    <n v="91200"/>
    <n v="63360"/>
    <n v="181390"/>
    <n v="0"/>
    <n v="0"/>
    <n v="0"/>
    <m/>
  </r>
  <r>
    <s v="Agrosuper Shanghai1022073"/>
    <x v="0"/>
    <x v="3"/>
    <n v="1022073"/>
    <s v="GO Mantec@ Cj 20k AS"/>
    <x v="2"/>
    <x v="16"/>
    <n v="0"/>
    <n v="0"/>
    <n v="0.45719439678473212"/>
    <n v="0"/>
    <n v="7022.7885006559563"/>
    <n v="47566"/>
    <n v="0"/>
    <n v="49832.188500655961"/>
    <n v="0"/>
    <n v="24000"/>
    <n v="0"/>
    <n v="0"/>
    <n v="0"/>
    <n v="49832.188500655961"/>
    <n v="0"/>
    <n v="0"/>
    <n v="0"/>
    <n v="49832.188500655961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2403552627004117"/>
    <n v="0"/>
    <n v="0"/>
    <n v="0"/>
    <n v="1.2403552627004117"/>
    <s v="No Aplica"/>
    <m/>
    <n v="0"/>
    <m/>
    <s v="OK"/>
    <s v="OK"/>
    <n v="72000"/>
    <n v="0"/>
    <n v="0"/>
    <n v="0"/>
    <n v="24000"/>
    <n v="48000"/>
    <n v="48600"/>
    <n v="0"/>
    <n v="0"/>
    <n v="0"/>
    <n v="22800"/>
    <n v="52800"/>
    <m/>
  </r>
  <r>
    <s v="Agrosuper Shanghai1022096"/>
    <x v="0"/>
    <x v="3"/>
    <n v="1022096"/>
    <s v="GO Sternum Bones@ Bo Cj 10k AS"/>
    <x v="1"/>
    <x v="28"/>
    <n v="0"/>
    <n v="0"/>
    <n v="0.45719439678473212"/>
    <n v="0"/>
    <n v="60887.101726867477"/>
    <n v="56950"/>
    <n v="0"/>
    <n v="112142.10172686748"/>
    <n v="0"/>
    <n v="24000"/>
    <n v="0"/>
    <n v="0"/>
    <n v="0"/>
    <n v="112142.10172686748"/>
    <n v="0"/>
    <n v="0"/>
    <n v="0"/>
    <n v="112142.10172686748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3862411995135377"/>
    <n v="0"/>
    <n v="0"/>
    <n v="0"/>
    <n v="1.3862411995135377"/>
    <s v="No Aplica"/>
    <m/>
    <n v="0"/>
    <m/>
    <s v="OK"/>
    <s v="OK"/>
    <n v="192000"/>
    <n v="264000"/>
    <n v="216000"/>
    <n v="192000"/>
    <n v="164571"/>
    <n v="168000"/>
    <n v="270080"/>
    <n v="312840"/>
    <n v="248400"/>
    <n v="222459"/>
    <n v="194168"/>
    <n v="223136"/>
    <m/>
  </r>
  <r>
    <s v="Agrosuper Shanghai1022125"/>
    <x v="0"/>
    <x v="3"/>
    <n v="1022125"/>
    <s v="GO PernilM C/M@ Cj 20k AS"/>
    <x v="13"/>
    <x v="27"/>
    <n v="0"/>
    <n v="0"/>
    <n v="0.45719439678473212"/>
    <n v="0"/>
    <n v="16364.917952633603"/>
    <n v="105670.05200000001"/>
    <n v="0"/>
    <n v="111467.96475263362"/>
    <n v="0"/>
    <n v="24000"/>
    <n v="0"/>
    <n v="0"/>
    <n v="0"/>
    <n v="111467.96475263362"/>
    <n v="0"/>
    <n v="0"/>
    <n v="0"/>
    <n v="111467.96475263362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2.9342941921335979"/>
    <n v="0"/>
    <n v="0"/>
    <n v="0"/>
    <n v="2.9342941921335979"/>
    <s v="No Aplica"/>
    <m/>
    <n v="0"/>
    <m/>
    <s v="OK"/>
    <s v="OK"/>
    <n v="216000"/>
    <n v="96000"/>
    <n v="96000"/>
    <n v="120000"/>
    <n v="96000"/>
    <n v="72000"/>
    <n v="586500"/>
    <n v="239040"/>
    <n v="233280"/>
    <n v="304970"/>
    <n v="246850"/>
    <n v="186360"/>
    <m/>
  </r>
  <r>
    <s v="Agrosuper Shanghai1022183"/>
    <x v="0"/>
    <x v="3"/>
    <n v="1022183"/>
    <s v="GO PernilP@ Bo Cj 20k AS"/>
    <x v="13"/>
    <x v="34"/>
    <n v="0"/>
    <n v="0"/>
    <n v="0.45719439678473212"/>
    <n v="0"/>
    <n v="114526.99723983377"/>
    <n v="200010.16199999998"/>
    <n v="0"/>
    <n v="294536.14303983375"/>
    <n v="0"/>
    <n v="24000"/>
    <n v="0"/>
    <n v="0"/>
    <n v="0"/>
    <n v="294536.14303983375"/>
    <n v="0"/>
    <n v="0"/>
    <n v="0"/>
    <n v="294536.14303983375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2.0464840967297055"/>
    <n v="0"/>
    <n v="0"/>
    <n v="0"/>
    <n v="2.0464840967297055"/>
    <s v="No Aplica"/>
    <m/>
    <n v="0"/>
    <m/>
    <s v="OK"/>
    <s v="OK"/>
    <n v="456000"/>
    <n v="408000"/>
    <n v="360000"/>
    <n v="551000"/>
    <n v="484400"/>
    <n v="360000"/>
    <n v="825106.66669999994"/>
    <n v="634440"/>
    <n v="601200"/>
    <n v="931630"/>
    <n v="890457"/>
    <n v="731662"/>
    <m/>
  </r>
  <r>
    <s v="Agrosuper Shanghai1022186"/>
    <x v="0"/>
    <x v="3"/>
    <n v="1022186"/>
    <s v="GO Resto Tira Hso Ctro@ Bo Cj 20k AS"/>
    <x v="1"/>
    <x v="1"/>
    <n v="0"/>
    <n v="0"/>
    <n v="0.45719439678473212"/>
    <n v="0"/>
    <n v="13061.999834575534"/>
    <n v="16353"/>
    <n v="0"/>
    <n v="27779.699834575535"/>
    <n v="0"/>
    <n v="24000"/>
    <n v="0"/>
    <n v="0"/>
    <n v="0"/>
    <n v="27779.699834575535"/>
    <n v="0"/>
    <n v="0"/>
    <n v="0"/>
    <n v="27779.699834575535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0342096944393466"/>
    <n v="0"/>
    <n v="0"/>
    <n v="0"/>
    <n v="1.0342096944393466"/>
    <s v="No Aplica"/>
    <m/>
    <n v="0"/>
    <m/>
    <s v="OK"/>
    <s v="OK"/>
    <n v="48000"/>
    <n v="48000"/>
    <n v="24000"/>
    <n v="48000"/>
    <n v="48000"/>
    <n v="24000"/>
    <n v="40800"/>
    <n v="31200"/>
    <n v="19200"/>
    <n v="43458"/>
    <n v="38400"/>
    <n v="18796"/>
    <m/>
  </r>
  <r>
    <s v="Agrosuper Shanghai1022291"/>
    <x v="0"/>
    <x v="3"/>
    <n v="1022291"/>
    <s v="GO PernilM B@ Bo Cj 20k AS"/>
    <x v="13"/>
    <x v="27"/>
    <n v="0"/>
    <n v="0"/>
    <n v="0.45719439678473212"/>
    <n v="0"/>
    <n v="41506.422438338748"/>
    <n v="6866.16"/>
    <n v="0"/>
    <n v="47685.96643833875"/>
    <n v="0"/>
    <n v="24000"/>
    <n v="0"/>
    <n v="0"/>
    <n v="0"/>
    <n v="47685.96643833875"/>
    <n v="0"/>
    <n v="0"/>
    <n v="0"/>
    <n v="47685.96643833875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876585191883178"/>
    <n v="0"/>
    <n v="0"/>
    <n v="0"/>
    <n v="1.876585191883178"/>
    <s v="No Aplica"/>
    <m/>
    <n v="0"/>
    <m/>
    <s v="OK"/>
    <s v="OK"/>
    <n v="48000"/>
    <n v="48000"/>
    <n v="48000"/>
    <n v="72000"/>
    <n v="119757"/>
    <n v="48000"/>
    <n v="77760"/>
    <n v="80400"/>
    <n v="82560"/>
    <n v="121706"/>
    <n v="206659"/>
    <n v="94133"/>
    <m/>
  </r>
  <r>
    <s v="Agrosuper Shanghai1022373"/>
    <x v="0"/>
    <x v="3"/>
    <n v="1022373"/>
    <s v="GO Reco 60/40 @ Cj 20k AS"/>
    <x v="5"/>
    <x v="6"/>
    <n v="0"/>
    <n v="0"/>
    <n v="0.45719439678473212"/>
    <n v="0"/>
    <n v="19663.751849159984"/>
    <n v="12338"/>
    <n v="0"/>
    <n v="30767.951849159985"/>
    <n v="24000"/>
    <n v="24000"/>
    <n v="24000"/>
    <n v="0"/>
    <n v="24000"/>
    <n v="6767.9518491599847"/>
    <n v="0"/>
    <n v="0"/>
    <n v="0"/>
    <n v="6767.9518491599847"/>
    <n v="0"/>
    <m/>
    <n v="0"/>
    <n v="0"/>
    <n v="24000"/>
    <n v="24000"/>
    <n v="0"/>
    <n v="24000"/>
    <n v="0"/>
    <n v="24000"/>
    <n v="24000"/>
    <n v="0"/>
    <n v="0"/>
    <s v="Si"/>
    <n v="24000"/>
    <n v="19663.751849159984"/>
    <n v="4336.248150840016"/>
    <d v="2022-07-12T00:00:00"/>
    <n v="1.2899202272029422"/>
    <n v="1.4497916666666699"/>
    <n v="1.4497916666666699"/>
    <n v="34795.00000000008"/>
    <n v="1.2899202272029422"/>
    <n v="0.12393901273289769"/>
    <m/>
    <n v="1.4497916666666699"/>
    <m/>
    <s v="OK"/>
    <s v="OK"/>
    <n v="96000"/>
    <n v="96000"/>
    <n v="48000"/>
    <n v="0"/>
    <n v="48000"/>
    <n v="23984"/>
    <n v="84000"/>
    <n v="81600"/>
    <n v="40800"/>
    <n v="0"/>
    <n v="50400"/>
    <n v="23025"/>
    <m/>
  </r>
  <r>
    <s v="Agrosuper Shanghai1022378"/>
    <x v="0"/>
    <x v="3"/>
    <n v="1022378"/>
    <s v="GO Resto Tira Hso@ Fi Cj 10k AS"/>
    <x v="1"/>
    <x v="1"/>
    <n v="0"/>
    <n v="0"/>
    <n v="0.45719439678473212"/>
    <n v="0"/>
    <n v="24466.492641618977"/>
    <n v="26134"/>
    <n v="0"/>
    <n v="47987.092641618976"/>
    <n v="0"/>
    <n v="24000"/>
    <n v="0"/>
    <n v="0"/>
    <n v="0"/>
    <n v="47987.092641618976"/>
    <n v="0"/>
    <n v="0"/>
    <n v="0"/>
    <n v="47987.092641618976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2.0124565473181044"/>
    <n v="0"/>
    <n v="0"/>
    <n v="0"/>
    <n v="2.0124565473181044"/>
    <s v="No Aplica"/>
    <m/>
    <n v="0"/>
    <m/>
    <s v="OK"/>
    <s v="OK"/>
    <n v="72000"/>
    <n v="72000"/>
    <n v="96000"/>
    <n v="96000"/>
    <n v="96000"/>
    <n v="72290"/>
    <n v="168000"/>
    <n v="151200"/>
    <n v="187200"/>
    <n v="179840"/>
    <n v="177168"/>
    <n v="142066"/>
    <m/>
  </r>
  <r>
    <s v="Agrosuper Shanghai1022379"/>
    <x v="0"/>
    <x v="3"/>
    <n v="1022379"/>
    <s v="GO PpPal 77@ Bo Cj AS"/>
    <x v="12"/>
    <x v="22"/>
    <n v="0"/>
    <n v="0"/>
    <n v="0.45719439678473212"/>
    <n v="0"/>
    <n v="7803.2761512491224"/>
    <n v="107143.35167548108"/>
    <n v="0"/>
    <n v="104232.2926591821"/>
    <n v="48000"/>
    <n v="24000"/>
    <n v="48000"/>
    <n v="0"/>
    <n v="48000"/>
    <n v="56232.292659182101"/>
    <n v="0"/>
    <n v="0"/>
    <n v="0"/>
    <n v="56232.292659182101"/>
    <n v="0"/>
    <m/>
    <n v="0"/>
    <n v="0"/>
    <n v="48000"/>
    <n v="48000"/>
    <n v="0"/>
    <n v="48000"/>
    <n v="0"/>
    <n v="48000"/>
    <n v="48000"/>
    <n v="0"/>
    <n v="0"/>
    <s v="Si"/>
    <n v="48000"/>
    <n v="7803.2761512491224"/>
    <n v="40196.72384875088"/>
    <d v="2022-07-12T00:00:00"/>
    <n v="2.3923437502167748"/>
    <n v="2.4993472222222199"/>
    <n v="2.4993472222222199"/>
    <n v="119968.66666666656"/>
    <n v="2.3923437502167748"/>
    <n v="4.4727465271556126E-2"/>
    <m/>
    <n v="2.4993472222222199"/>
    <m/>
    <s v="OK"/>
    <s v="OK"/>
    <n v="48000"/>
    <n v="0"/>
    <n v="0"/>
    <n v="0"/>
    <n v="0"/>
    <n v="0"/>
    <n v="79200"/>
    <n v="0"/>
    <n v="0"/>
    <n v="0"/>
    <n v="0"/>
    <n v="0"/>
    <m/>
  </r>
  <r>
    <s v="Agrosuper Shanghai1022381"/>
    <x v="0"/>
    <x v="3"/>
    <n v="1022381"/>
    <s v="GO Gord Esp@ Bo Cj 10k AS"/>
    <x v="2"/>
    <x v="5"/>
    <n v="0"/>
    <n v="0"/>
    <n v="0.45719439678473212"/>
    <n v="0"/>
    <n v="35365.00595552384"/>
    <n v="31745"/>
    <n v="0"/>
    <n v="63935.50595552384"/>
    <n v="96000"/>
    <n v="24000"/>
    <n v="48000"/>
    <n v="0"/>
    <n v="48000"/>
    <n v="15935.50595552384"/>
    <n v="0"/>
    <n v="0"/>
    <n v="0"/>
    <n v="15935.50595552384"/>
    <n v="0"/>
    <m/>
    <n v="0"/>
    <n v="0"/>
    <n v="48000"/>
    <n v="48000"/>
    <n v="0"/>
    <n v="48000"/>
    <n v="0"/>
    <n v="48000"/>
    <n v="48000"/>
    <n v="0"/>
    <n v="0"/>
    <s v="Si"/>
    <n v="48000"/>
    <n v="35365.00595552384"/>
    <n v="12634.99404447616"/>
    <d v="2022-07-12T00:00:00"/>
    <n v="1.028963807628217"/>
    <n v="1.3325"/>
    <n v="1.3325"/>
    <n v="63960"/>
    <n v="1.028963807628217"/>
    <n v="0.29499209799365073"/>
    <m/>
    <n v="1.3325"/>
    <m/>
    <s v="OK"/>
    <s v="OK"/>
    <n v="24000"/>
    <n v="48000"/>
    <n v="72000"/>
    <n v="96000"/>
    <n v="96000"/>
    <n v="72000"/>
    <n v="14400"/>
    <n v="30240"/>
    <n v="52560"/>
    <n v="73280"/>
    <n v="83353"/>
    <n v="62400"/>
    <m/>
  </r>
  <r>
    <s v="Agrosuper Shanghai1022389"/>
    <x v="0"/>
    <x v="3"/>
    <n v="1022389"/>
    <s v="GO Cue 20@ Bo Cj 20k AS"/>
    <x v="4"/>
    <x v="4"/>
    <n v="0"/>
    <n v="0"/>
    <n v="0.45719439678473212"/>
    <n v="0"/>
    <n v="316"/>
    <n v="0"/>
    <n v="0"/>
    <n v="316"/>
    <n v="0"/>
    <n v="24000"/>
    <n v="0"/>
    <n v="0"/>
    <n v="0"/>
    <n v="316"/>
    <n v="0"/>
    <n v="0"/>
    <n v="0"/>
    <n v="316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0931462000000001"/>
    <n v="0"/>
    <n v="0"/>
    <n v="0"/>
    <n v="1.0931462000000001"/>
    <s v="No Aplica"/>
    <m/>
    <n v="0"/>
    <m/>
    <s v="OK"/>
    <s v="OK"/>
    <n v="72000"/>
    <n v="0"/>
    <n v="0"/>
    <n v="0"/>
    <n v="0"/>
    <n v="0"/>
    <n v="72000"/>
    <n v="0"/>
    <n v="0"/>
    <n v="0"/>
    <n v="0"/>
    <n v="0"/>
    <m/>
  </r>
  <r>
    <s v="Agrosuper Shanghai1022414"/>
    <x v="0"/>
    <x v="3"/>
    <n v="1022414"/>
    <s v="GO Caz Ent@ Bo Cj 10k AS"/>
    <x v="0"/>
    <x v="35"/>
    <n v="0"/>
    <n v="0"/>
    <n v="0.45719439678473212"/>
    <n v="0"/>
    <n v="59547.671828399914"/>
    <n v="45307"/>
    <n v="0"/>
    <n v="100323.97182839992"/>
    <n v="24000"/>
    <n v="24000"/>
    <n v="24000"/>
    <n v="0"/>
    <n v="24000"/>
    <n v="76323.971828399925"/>
    <n v="0"/>
    <n v="0"/>
    <n v="0"/>
    <n v="76323.971828399925"/>
    <n v="0"/>
    <m/>
    <n v="0"/>
    <n v="0"/>
    <n v="24000"/>
    <n v="24000"/>
    <n v="0"/>
    <n v="24000"/>
    <n v="0"/>
    <n v="24000"/>
    <n v="24000"/>
    <n v="0"/>
    <n v="0"/>
    <s v="Si"/>
    <n v="24000"/>
    <n v="24000"/>
    <n v="0"/>
    <d v="2022-07-12T00:00:00"/>
    <n v="1.0824749720877898"/>
    <n v="1.1083333333333301"/>
    <n v="1.1083333333333301"/>
    <n v="26599.99999999992"/>
    <n v="1.0824749720877898"/>
    <n v="2.388818394171904E-2"/>
    <m/>
    <n v="1.1083333333333301"/>
    <m/>
    <s v="OK"/>
    <s v="OK"/>
    <n v="192000"/>
    <n v="192000"/>
    <n v="192000"/>
    <n v="120000"/>
    <n v="120000"/>
    <n v="144000"/>
    <n v="154240"/>
    <n v="158400"/>
    <n v="157440"/>
    <n v="100645"/>
    <n v="105556"/>
    <n v="133889"/>
    <m/>
  </r>
  <r>
    <s v="Agrosuper Shanghai1022415"/>
    <x v="0"/>
    <x v="3"/>
    <n v="1022415"/>
    <s v="GO Reco 85/15 @ Cj 20k AS"/>
    <x v="5"/>
    <x v="6"/>
    <n v="0"/>
    <n v="0"/>
    <n v="0.45719439678473212"/>
    <n v="0"/>
    <n v="44"/>
    <n v="0"/>
    <n v="0"/>
    <n v="44"/>
    <n v="0"/>
    <n v="24000"/>
    <n v="0"/>
    <n v="0"/>
    <n v="0"/>
    <n v="44"/>
    <n v="0"/>
    <n v="0"/>
    <n v="0"/>
    <n v="44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4084"/>
    <n v="0"/>
    <n v="0"/>
    <n v="0"/>
    <n v="0"/>
    <n v="0"/>
    <n v="3608"/>
    <n v="0"/>
    <n v="0"/>
    <n v="0"/>
    <m/>
  </r>
  <r>
    <s v="Agrosuper Shanghai1022417"/>
    <x v="0"/>
    <x v="3"/>
    <n v="1022417"/>
    <s v="GO Cue granel@ Bo Cj 20k AS"/>
    <x v="4"/>
    <x v="18"/>
    <n v="0"/>
    <n v="0"/>
    <n v="0.45719439678473212"/>
    <n v="0"/>
    <n v="1048.801872074883"/>
    <n v="120561"/>
    <n v="0"/>
    <n v="109553.70187207489"/>
    <n v="72000"/>
    <n v="24000"/>
    <n v="72000"/>
    <n v="0"/>
    <n v="72000"/>
    <n v="37553.701872074889"/>
    <n v="0"/>
    <n v="0"/>
    <n v="0"/>
    <n v="37553.701872074889"/>
    <n v="0"/>
    <m/>
    <n v="0"/>
    <n v="25000"/>
    <n v="97000"/>
    <n v="97000"/>
    <n v="25000"/>
    <n v="72000"/>
    <n v="0"/>
    <n v="97000"/>
    <n v="72000"/>
    <n v="0"/>
    <n v="0"/>
    <s v="Si"/>
    <n v="72000"/>
    <n v="1048.801872074883"/>
    <n v="70951.198127925119"/>
    <d v="2022-07-12T00:00:00"/>
    <n v="0.79489634126843134"/>
    <n v="0.79995833333333299"/>
    <n v="0.79995833333333299"/>
    <n v="77595.958333333299"/>
    <n v="0.79489634126843134"/>
    <n v="6.368115944305564E-3"/>
    <m/>
    <n v="0.79995833333333299"/>
    <m/>
    <s v="OK"/>
    <s v="OK"/>
    <n v="0"/>
    <n v="0"/>
    <n v="24000"/>
    <n v="48000"/>
    <n v="24000"/>
    <n v="96000"/>
    <n v="0"/>
    <n v="0"/>
    <n v="19920"/>
    <n v="24960"/>
    <n v="15600"/>
    <n v="62400"/>
    <m/>
  </r>
  <r>
    <s v="Agrosuper Shanghai1022541"/>
    <x v="0"/>
    <x v="3"/>
    <n v="1022541"/>
    <s v="GO Reco 20/80 @ Cj 20k AS"/>
    <x v="2"/>
    <x v="5"/>
    <n v="0"/>
    <n v="0"/>
    <n v="0.45719439678473212"/>
    <n v="0"/>
    <n v="135191.614"/>
    <n v="30848"/>
    <n v="0"/>
    <n v="162954.81400000001"/>
    <n v="0"/>
    <n v="24000"/>
    <n v="0"/>
    <n v="0"/>
    <n v="0"/>
    <n v="162954.81400000001"/>
    <n v="0"/>
    <n v="0"/>
    <n v="0"/>
    <n v="162954.81400000001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1260808074982969"/>
    <n v="0"/>
    <n v="0"/>
    <n v="0"/>
    <n v="1.1260808074982969"/>
    <s v="No Aplica"/>
    <m/>
    <n v="0"/>
    <m/>
    <s v="OK"/>
    <s v="OK"/>
    <n v="24000"/>
    <n v="72000"/>
    <n v="48000"/>
    <n v="24000"/>
    <n v="168000"/>
    <n v="144000"/>
    <n v="14400"/>
    <n v="45360"/>
    <n v="32160"/>
    <n v="7720"/>
    <n v="145332"/>
    <n v="151177"/>
    <m/>
  </r>
  <r>
    <s v="Agrosuper Shanghai1022637"/>
    <x v="0"/>
    <x v="3"/>
    <n v="1022637"/>
    <s v="GO Hso Escapula@ Cj 15kg AS"/>
    <x v="1"/>
    <x v="28"/>
    <n v="0"/>
    <n v="0"/>
    <n v="0.45719439678473212"/>
    <n v="0"/>
    <n v="61396.334876648965"/>
    <n v="29764"/>
    <n v="0"/>
    <n v="88183.934876648971"/>
    <n v="0"/>
    <n v="24000"/>
    <n v="0"/>
    <n v="0"/>
    <n v="0"/>
    <n v="88183.934876648971"/>
    <n v="0"/>
    <n v="0"/>
    <n v="0"/>
    <n v="88183.934876648971"/>
    <n v="0"/>
    <m/>
    <n v="0"/>
    <n v="21210"/>
    <n v="21210"/>
    <n v="21210"/>
    <n v="21210"/>
    <n v="0"/>
    <n v="0"/>
    <n v="21210"/>
    <n v="0"/>
    <n v="0"/>
    <n v="0"/>
    <s v="No"/>
    <n v="0"/>
    <n v="0"/>
    <n v="0"/>
    <d v="2022-07-12T00:00:00"/>
    <n v="1.1545886731763355"/>
    <n v="1.1545886731763355"/>
    <n v="1.1545886731763355"/>
    <n v="24488.825758070077"/>
    <n v="1.1545886731763355"/>
    <n v="0"/>
    <m/>
    <n v="1.1545886731763355"/>
    <m/>
    <s v="OK"/>
    <s v="OK"/>
    <n v="144000"/>
    <n v="144000"/>
    <n v="120000"/>
    <n v="144000"/>
    <n v="71100"/>
    <n v="72000"/>
    <n v="163350"/>
    <n v="144000"/>
    <n v="120000"/>
    <n v="142519"/>
    <n v="73751"/>
    <n v="79080"/>
    <m/>
  </r>
  <r>
    <s v="Agrosuper Shanghai1022748"/>
    <x v="0"/>
    <x v="3"/>
    <n v="1022748"/>
    <s v="GO Manos@ Cj 10k AS"/>
    <x v="10"/>
    <x v="24"/>
    <n v="0"/>
    <n v="0"/>
    <n v="0.45719439678473212"/>
    <n v="0"/>
    <n v="40161.792632125886"/>
    <n v="66347.78"/>
    <n v="0"/>
    <n v="99874.794632125879"/>
    <n v="0"/>
    <n v="24000"/>
    <n v="0"/>
    <n v="0"/>
    <n v="0"/>
    <n v="99874.794632125879"/>
    <n v="0"/>
    <n v="0"/>
    <n v="0"/>
    <n v="99874.794632125879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5.0594819447257233"/>
    <n v="0"/>
    <n v="0"/>
    <n v="0"/>
    <n v="5.0594819447257233"/>
    <s v="No Aplica"/>
    <m/>
    <n v="0"/>
    <m/>
    <s v="OK"/>
    <s v="OK"/>
    <n v="144000"/>
    <n v="0"/>
    <n v="84000"/>
    <n v="132000"/>
    <n v="96000"/>
    <n v="68000"/>
    <n v="636000"/>
    <n v="0"/>
    <n v="398160"/>
    <n v="623093"/>
    <n v="455946"/>
    <n v="342073"/>
    <m/>
  </r>
  <r>
    <s v="Agrosuper Shanghai1022851"/>
    <x v="0"/>
    <x v="3"/>
    <n v="1022851"/>
    <s v="GO Pal Nor@ Cj 20k AS"/>
    <x v="12"/>
    <x v="36"/>
    <n v="0"/>
    <n v="0"/>
    <n v="0.45719439678473212"/>
    <n v="0"/>
    <n v="0"/>
    <n v="59631.846092371845"/>
    <n v="24000"/>
    <n v="29668.66148313466"/>
    <n v="96000"/>
    <n v="24000"/>
    <n v="24000"/>
    <n v="0"/>
    <n v="24000"/>
    <n v="5668.6614831346596"/>
    <n v="0"/>
    <n v="0"/>
    <n v="0"/>
    <n v="5668.6614831346596"/>
    <n v="0"/>
    <m/>
    <n v="0"/>
    <n v="0"/>
    <n v="24000"/>
    <n v="24000"/>
    <n v="0"/>
    <n v="24000"/>
    <n v="0"/>
    <n v="24000"/>
    <n v="24000"/>
    <n v="0"/>
    <n v="0"/>
    <s v="Si"/>
    <n v="24000"/>
    <n v="0"/>
    <n v="24000"/>
    <d v="2022-07-12T00:00:00"/>
    <n v="1.7554097825706594"/>
    <n v="1.7755270833333325"/>
    <n v="1.7755270833333325"/>
    <n v="42612.64999999998"/>
    <n v="1.7554097825706594"/>
    <n v="1.1460173551734997E-2"/>
    <m/>
    <n v="1.7755270833333325"/>
    <m/>
    <s v="OK"/>
    <s v="OK"/>
    <n v="8596"/>
    <n v="0"/>
    <n v="8956"/>
    <n v="0"/>
    <n v="0"/>
    <n v="0"/>
    <n v="9025.7999999999993"/>
    <n v="0"/>
    <n v="9255"/>
    <n v="0"/>
    <n v="0"/>
    <n v="0"/>
    <m/>
  </r>
  <r>
    <s v="Agrosuper Shanghai1022856"/>
    <x v="0"/>
    <x v="3"/>
    <n v="1022856"/>
    <s v="GO Reco 10/90 @ Cj 20k AS"/>
    <x v="2"/>
    <x v="5"/>
    <n v="165555"/>
    <n v="0"/>
    <n v="0.45719439678473212"/>
    <n v="75690.818359696321"/>
    <n v="20750.067963235211"/>
    <n v="47647"/>
    <n v="0"/>
    <n v="139323.18632293155"/>
    <n v="72000"/>
    <n v="24000"/>
    <n v="72000"/>
    <n v="0"/>
    <n v="72000"/>
    <n v="67323.18632293155"/>
    <n v="0"/>
    <n v="0"/>
    <n v="0"/>
    <n v="67323.18632293155"/>
    <n v="0"/>
    <m/>
    <n v="0"/>
    <n v="48000"/>
    <n v="120000"/>
    <n v="120000"/>
    <n v="48000"/>
    <n v="72000"/>
    <n v="0"/>
    <n v="120000"/>
    <n v="72000"/>
    <n v="0"/>
    <n v="0"/>
    <s v="Si"/>
    <n v="72000"/>
    <n v="20750.067963235211"/>
    <n v="51249.932036764789"/>
    <d v="2022-07-12T00:00:00"/>
    <n v="1.0558560552502785"/>
    <n v="1.25833333333333"/>
    <n v="1.25833333333333"/>
    <n v="150999.99999999959"/>
    <n v="1.0558560552502785"/>
    <n v="0.19176598654355076"/>
    <m/>
    <n v="1.25833333333333"/>
    <m/>
    <s v="OK"/>
    <s v="OK"/>
    <n v="96000"/>
    <n v="24000"/>
    <n v="120000"/>
    <n v="120000"/>
    <n v="96000"/>
    <n v="73012"/>
    <n v="59626.666700000002"/>
    <n v="14400"/>
    <n v="90000"/>
    <n v="89108"/>
    <n v="84901"/>
    <n v="66191"/>
    <m/>
  </r>
  <r>
    <s v="Agrosuper Shanghai1022945"/>
    <x v="0"/>
    <x v="3"/>
    <n v="1022945"/>
    <s v="GO Mantec@ Cj 20k AS"/>
    <x v="2"/>
    <x v="16"/>
    <n v="0"/>
    <n v="0"/>
    <n v="0.45719439678473212"/>
    <n v="0"/>
    <n v="31712.082588748188"/>
    <n v="33984"/>
    <n v="0"/>
    <n v="62297.68258874819"/>
    <n v="0"/>
    <n v="24000"/>
    <n v="0"/>
    <n v="0"/>
    <n v="0"/>
    <n v="62297.68258874819"/>
    <n v="0"/>
    <n v="0"/>
    <n v="0"/>
    <n v="62297.68258874819"/>
    <n v="0"/>
    <m/>
    <n v="0"/>
    <n v="24080"/>
    <n v="24080"/>
    <n v="24080"/>
    <n v="24080"/>
    <n v="0"/>
    <n v="0"/>
    <n v="24080"/>
    <n v="0"/>
    <n v="0"/>
    <n v="0"/>
    <s v="No"/>
    <n v="0"/>
    <n v="0"/>
    <n v="0"/>
    <d v="2022-07-12T00:00:00"/>
    <n v="1.2303454270274354"/>
    <n v="1.2303454270274354"/>
    <n v="1.2303454270274354"/>
    <n v="29626.717882820645"/>
    <n v="1.2303454270274354"/>
    <n v="0"/>
    <m/>
    <n v="1.2303454270274354"/>
    <m/>
    <s v="OK"/>
    <s v="OK"/>
    <n v="144000"/>
    <n v="0"/>
    <n v="0"/>
    <n v="0"/>
    <n v="48000"/>
    <n v="48140"/>
    <n v="94200"/>
    <n v="0"/>
    <n v="0"/>
    <n v="0"/>
    <n v="46080"/>
    <n v="45412"/>
    <m/>
  </r>
  <r>
    <s v="Agrosuper Shanghai1023034"/>
    <x v="0"/>
    <x v="3"/>
    <n v="1023034"/>
    <s v="GO Forro Pal@ Bo Cj 20k AS"/>
    <x v="4"/>
    <x v="23"/>
    <n v="0"/>
    <n v="0"/>
    <n v="0.45719439678473212"/>
    <n v="0"/>
    <n v="21955.589366489392"/>
    <n v="20540"/>
    <n v="0"/>
    <n v="40441.589366489396"/>
    <n v="48000"/>
    <n v="24000"/>
    <n v="24000"/>
    <n v="0"/>
    <n v="24000"/>
    <n v="16441.589366489396"/>
    <n v="0"/>
    <n v="0"/>
    <n v="0"/>
    <n v="16441.589366489396"/>
    <n v="0"/>
    <m/>
    <n v="0"/>
    <n v="0"/>
    <n v="24000"/>
    <n v="24000"/>
    <n v="0"/>
    <n v="24000"/>
    <n v="0"/>
    <n v="24000"/>
    <n v="24000"/>
    <n v="0"/>
    <n v="0"/>
    <s v="Si"/>
    <n v="24000"/>
    <n v="21955.589366489392"/>
    <n v="2044.410633510608"/>
    <d v="2022-07-12T00:00:00"/>
    <n v="0.77811693854399577"/>
    <n v="0.73333333333333284"/>
    <n v="0.73333333333333284"/>
    <n v="17599.999999999989"/>
    <n v="0.77811693854399577"/>
    <n v="5.7553823843574908E-2"/>
    <m/>
    <n v="0.73333333333333284"/>
    <m/>
    <s v="OK"/>
    <s v="OK"/>
    <n v="120000"/>
    <n v="96000"/>
    <n v="24000"/>
    <n v="120000"/>
    <n v="72100"/>
    <n v="72000"/>
    <n v="34000"/>
    <n v="29760"/>
    <n v="7039"/>
    <n v="42744"/>
    <n v="37227"/>
    <n v="54000"/>
    <m/>
  </r>
  <r>
    <s v="Agrosuper Shanghai1023093"/>
    <x v="0"/>
    <x v="3"/>
    <n v="1023093"/>
    <s v="GO Cordon Lom@ Bo Cj 20k AS"/>
    <x v="5"/>
    <x v="6"/>
    <n v="0"/>
    <n v="0"/>
    <n v="0.45719439678473212"/>
    <n v="0"/>
    <n v="6359.6440000000002"/>
    <n v="16028"/>
    <n v="0"/>
    <n v="20784.844000000001"/>
    <n v="0"/>
    <n v="24000"/>
    <n v="0"/>
    <n v="0"/>
    <n v="0"/>
    <n v="20784.844000000001"/>
    <n v="0"/>
    <n v="0"/>
    <n v="0"/>
    <n v="20784.844000000001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3.8515081674227156"/>
    <n v="0"/>
    <n v="0"/>
    <n v="0"/>
    <n v="3.8515081674227156"/>
    <s v="No Aplica"/>
    <m/>
    <n v="0"/>
    <m/>
    <s v="OK"/>
    <s v="OK"/>
    <n v="0"/>
    <n v="0"/>
    <n v="12000"/>
    <n v="12000"/>
    <n v="0"/>
    <n v="0"/>
    <n v="0"/>
    <n v="0"/>
    <n v="41800"/>
    <n v="20940"/>
    <n v="0"/>
    <n v="0"/>
    <m/>
  </r>
  <r>
    <s v="Agrosuper Shanghai1023111"/>
    <x v="0"/>
    <x v="3"/>
    <n v="1023111"/>
    <s v="GO Grasa Forro Pna Limp@ Bo Cj 20k AS"/>
    <x v="2"/>
    <x v="12"/>
    <n v="0"/>
    <n v="0"/>
    <n v="0.45719439678473212"/>
    <n v="0"/>
    <n v="1702.3545907995949"/>
    <n v="0"/>
    <n v="0"/>
    <n v="1702.3545907995949"/>
    <n v="0"/>
    <n v="24000"/>
    <n v="0"/>
    <n v="0"/>
    <n v="0"/>
    <n v="1702.3545907995949"/>
    <n v="0"/>
    <n v="0"/>
    <n v="0"/>
    <n v="1702.3545907995949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.83137958749093943"/>
    <n v="0"/>
    <n v="0"/>
    <n v="0"/>
    <n v="0.83137958749093943"/>
    <s v="No Aplica"/>
    <m/>
    <n v="0"/>
    <m/>
    <s v="OK"/>
    <s v="OK"/>
    <n v="48000"/>
    <n v="0"/>
    <n v="96000"/>
    <n v="0"/>
    <n v="24000"/>
    <n v="0"/>
    <n v="26400"/>
    <n v="0"/>
    <n v="58800"/>
    <n v="0"/>
    <n v="18800"/>
    <n v="0"/>
    <m/>
  </r>
  <r>
    <s v="Agrosuper Shanghai1023131"/>
    <x v="0"/>
    <x v="3"/>
    <n v="1023131"/>
    <s v="GO Pna S/Hso C/Cue@ Cj 20k AS"/>
    <x v="9"/>
    <x v="13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4224"/>
    <n v="0"/>
    <n v="4200"/>
    <n v="0"/>
    <n v="0"/>
    <n v="0"/>
    <n v="5280"/>
    <n v="0"/>
    <n v="5180"/>
    <n v="0"/>
    <n v="0"/>
    <n v="0"/>
    <m/>
  </r>
  <r>
    <s v="Agrosuper Shanghai1023306"/>
    <x v="0"/>
    <x v="3"/>
    <n v="1023306"/>
    <s v="GO Cue granel@ Bo Cj 20k AS"/>
    <x v="4"/>
    <x v="18"/>
    <n v="0"/>
    <n v="0"/>
    <n v="0.45719439678473212"/>
    <n v="0"/>
    <n v="15167.254797845711"/>
    <n v="94458"/>
    <n v="0"/>
    <n v="100179.45479784571"/>
    <n v="96000"/>
    <n v="24000"/>
    <n v="96000"/>
    <n v="0"/>
    <n v="96000"/>
    <n v="4179.4547978457122"/>
    <n v="0"/>
    <n v="0"/>
    <n v="0"/>
    <n v="4179.4547978457122"/>
    <n v="0"/>
    <m/>
    <n v="0"/>
    <n v="0"/>
    <n v="96000"/>
    <n v="96000"/>
    <n v="0"/>
    <n v="96000"/>
    <n v="0"/>
    <n v="96000"/>
    <n v="96000"/>
    <n v="0"/>
    <n v="0"/>
    <s v="Si"/>
    <n v="96000"/>
    <n v="15167.254797845711"/>
    <n v="80832.745202154285"/>
    <d v="2022-07-12T00:00:00"/>
    <n v="1.0098363402015376"/>
    <n v="1.00484611969389"/>
    <n v="1.00484611969389"/>
    <n v="96465.227490613441"/>
    <n v="1.0098363402015376"/>
    <n v="4.941613119856237E-3"/>
    <m/>
    <n v="1.00484611969389"/>
    <m/>
    <s v="OK"/>
    <s v="OK"/>
    <n v="144000"/>
    <n v="72000"/>
    <n v="72000"/>
    <n v="144000"/>
    <n v="96000"/>
    <n v="96000"/>
    <n v="83520"/>
    <n v="46800"/>
    <n v="59760"/>
    <n v="108784"/>
    <n v="85572"/>
    <n v="76800"/>
    <m/>
  </r>
  <r>
    <s v="Exportacion Directa1020105"/>
    <x v="0"/>
    <x v="4"/>
    <n v="1020105"/>
    <s v="GO Lom Tecla@ Cj Lom Ctro JP"/>
    <x v="6"/>
    <x v="8"/>
    <n v="54186"/>
    <n v="60000"/>
    <n v="0.87158319035419651"/>
    <n v="47227.606752532491"/>
    <n v="46134.966000000022"/>
    <n v="21201.674294425084"/>
    <n v="7000"/>
    <n v="105444.07961751509"/>
    <n v="75500"/>
    <n v="2419.3548387096776"/>
    <n v="75500"/>
    <n v="-35000"/>
    <n v="40500"/>
    <n v="64944.07961751509"/>
    <n v="62903.225806451614"/>
    <n v="-30000"/>
    <n v="32903.225806451614"/>
    <n v="32040.853811063476"/>
    <n v="0"/>
    <m/>
    <n v="0"/>
    <n v="0"/>
    <n v="104532.25806451612"/>
    <n v="138403.22580645161"/>
    <n v="0"/>
    <n v="40500"/>
    <n v="97903.225806451606"/>
    <n v="73403.225806451606"/>
    <n v="40500"/>
    <n v="32903.225806451606"/>
    <s v="Por atraso en ciertos productos del mix"/>
    <s v="Si"/>
    <n v="73403.225806451606"/>
    <n v="46134.966000000022"/>
    <n v="27268.259806451584"/>
    <d v="2022-07-23T00:00:00"/>
    <n v="3.7440000000000002"/>
    <n v="3.8841560003642388"/>
    <n v="3.8213306343473099"/>
    <n v="280497.99543410656"/>
    <n v="3.7153977658440591"/>
    <n v="2.8511851268550541E-2"/>
    <m/>
    <n v="3.8213306343473099"/>
    <m/>
    <s v="OK"/>
    <s v="OK"/>
    <n v="53000"/>
    <n v="35000"/>
    <n v="40000"/>
    <n v="55000"/>
    <n v="58500"/>
    <n v="40113"/>
    <n v="242802.9852"/>
    <n v="150434"/>
    <n v="172191"/>
    <n v="229340"/>
    <n v="240695"/>
    <n v="151021"/>
    <m/>
  </r>
  <r>
    <s v="Exportacion Directa1020110"/>
    <x v="0"/>
    <x v="4"/>
    <n v="1020110"/>
    <s v="GO MM Loin L@ Cj 12k AP"/>
    <x v="6"/>
    <x v="37"/>
    <n v="651088"/>
    <n v="420000"/>
    <n v="0.87158319035419651"/>
    <n v="567477.35624133307"/>
    <n v="276000.68599999993"/>
    <n v="187309.35999298067"/>
    <n v="168620"/>
    <n v="843436.46623501566"/>
    <n v="546330"/>
    <n v="6247.0588235294117"/>
    <n v="546330"/>
    <n v="-120000"/>
    <n v="426330"/>
    <n v="417106.46623501566"/>
    <n v="412305.88235294115"/>
    <n v="-200000"/>
    <n v="212305.88235294115"/>
    <n v="204800.58388207451"/>
    <n v="0"/>
    <m/>
    <n v="0"/>
    <n v="0"/>
    <n v="839941.76470588241"/>
    <n v="958635.8823529412"/>
    <n v="0"/>
    <n v="426330"/>
    <n v="532305.8823529412"/>
    <n v="638635.8823529412"/>
    <n v="426330"/>
    <n v="212305.8823529412"/>
    <s v="Por atraso en ciertos productos del mix"/>
    <s v="Si"/>
    <n v="638635.8823529412"/>
    <n v="276000.68599999993"/>
    <n v="362635.19635294128"/>
    <d v="2022-07-23T00:00:00"/>
    <n v="3.3479999999999999"/>
    <n v="3.4455554112766871"/>
    <n v="3.4131244310550732"/>
    <n v="2179743.7326072371"/>
    <n v="3.2717909100868034"/>
    <n v="4.3197601818791072E-2"/>
    <m/>
    <n v="3.4131244310550732"/>
    <m/>
    <s v="OK"/>
    <s v="OK"/>
    <n v="412200"/>
    <n v="240000"/>
    <n v="400000"/>
    <n v="460000"/>
    <n v="600000"/>
    <n v="690745"/>
    <n v="1698264"/>
    <n v="924341"/>
    <n v="1528601"/>
    <n v="1681228"/>
    <n v="2172336"/>
    <n v="2287445"/>
    <m/>
  </r>
  <r>
    <s v="Exportacion Directa1020284"/>
    <x v="0"/>
    <x v="4"/>
    <n v="1020284"/>
    <s v="GO Posta Negra 3P T@ Va Cj t-f JP"/>
    <x v="9"/>
    <x v="21"/>
    <n v="406"/>
    <n v="7000"/>
    <n v="0.87158319035419651"/>
    <n v="353.86277528380378"/>
    <n v="16116.352999999997"/>
    <n v="0"/>
    <n v="0"/>
    <n v="16470.215775283803"/>
    <n v="7000"/>
    <n v="2333.3333333333335"/>
    <n v="7000"/>
    <n v="0"/>
    <n v="7000"/>
    <n v="9470.2157752838029"/>
    <n v="9333.3333333333339"/>
    <n v="-4000"/>
    <n v="5333.3333333333339"/>
    <n v="4136.882441950469"/>
    <n v="0"/>
    <m/>
    <n v="0"/>
    <n v="0"/>
    <n v="16333.333333333334"/>
    <n v="16333.333333333334"/>
    <n v="0"/>
    <n v="7000"/>
    <n v="9333.3333333333339"/>
    <n v="12333.333333333334"/>
    <n v="7000"/>
    <n v="5333.3333333333339"/>
    <s v="Por atraso en ciertos productos del mix"/>
    <s v="Si"/>
    <n v="12333.333333333334"/>
    <n v="12333.333333333334"/>
    <n v="0"/>
    <d v="2022-07-23T00:00:00"/>
    <n v="3.456"/>
    <n v="3.6973310142857101"/>
    <n v="3.5929716567567542"/>
    <n v="44313.317099999971"/>
    <n v="3.5821634141468106"/>
    <n v="3.0172388471333589E-3"/>
    <m/>
    <n v="3.5929716567567542"/>
    <s v="3,54 es nuestro último precio promedio entre ultima propuesta Nippon y la nuestra"/>
    <s v="OK"/>
    <s v="OK"/>
    <n v="11750"/>
    <n v="5750"/>
    <n v="4000"/>
    <n v="17000"/>
    <n v="23200"/>
    <n v="7667"/>
    <n v="50760"/>
    <n v="23396"/>
    <n v="16318"/>
    <n v="67201"/>
    <n v="89295"/>
    <n v="27627"/>
    <m/>
  </r>
  <r>
    <s v="Exportacion Directa1020326"/>
    <x v="0"/>
    <x v="4"/>
    <n v="1020326"/>
    <s v="GO PpPal Pim@ Cj AP"/>
    <x v="12"/>
    <x v="22"/>
    <n v="224894"/>
    <n v="264000"/>
    <n v="0.87158319035419651"/>
    <n v="196013.83001151666"/>
    <n v="57625.84"/>
    <n v="77155.199999999997"/>
    <n v="72000"/>
    <n v="251079.35001151665"/>
    <n v="96000"/>
    <n v="24000"/>
    <n v="96000"/>
    <n v="-96000"/>
    <n v="0"/>
    <n v="251079.35001151665"/>
    <n v="240000"/>
    <n v="-24000"/>
    <n v="216000"/>
    <n v="35079.350011516653"/>
    <n v="0"/>
    <m/>
    <n v="0"/>
    <n v="0"/>
    <n v="240000"/>
    <n v="336000"/>
    <n v="0"/>
    <n v="0"/>
    <n v="336000"/>
    <n v="216000"/>
    <n v="0"/>
    <n v="216000"/>
    <s v="Por producción "/>
    <s v="Si"/>
    <n v="216000"/>
    <n v="57625.84"/>
    <n v="158374.16"/>
    <d v="2022-07-23T00:00:00"/>
    <n v="2.52"/>
    <n v="2.6569215234848498"/>
    <n v="2.52"/>
    <n v="544320"/>
    <n v="2.4069702179253767"/>
    <n v="4.6959360457748546E-2"/>
    <m/>
    <n v="2.52"/>
    <s v="2,59 precio promedio entre nuestra ultima propuesta y propuesta de Nippon"/>
    <s v="OK"/>
    <s v="OK"/>
    <n v="296000"/>
    <n v="264000"/>
    <n v="240000"/>
    <n v="408000"/>
    <n v="360000"/>
    <n v="312000"/>
    <n v="858400"/>
    <n v="679729"/>
    <n v="615492"/>
    <n v="1018883"/>
    <n v="897600"/>
    <n v="740745"/>
    <m/>
  </r>
  <r>
    <s v="Exportacion Directa1020589"/>
    <x v="0"/>
    <x v="4"/>
    <n v="1020589"/>
    <s v="GO MM Loin S@ Fi Cj 12k AP"/>
    <x v="6"/>
    <x v="37"/>
    <n v="114378"/>
    <n v="130000"/>
    <n v="0.87158319035419651"/>
    <n v="99689.942146332294"/>
    <n v="91438.850000000035"/>
    <n v="50365.716106776556"/>
    <n v="10000"/>
    <n v="226457.93664243125"/>
    <n v="140200"/>
    <n v="3265.3061224489797"/>
    <n v="140200"/>
    <n v="-40000"/>
    <n v="100200"/>
    <n v="126257.93664243125"/>
    <n v="124081.63265306123"/>
    <n v="-60000"/>
    <n v="64081.632653061228"/>
    <n v="62176.303989370019"/>
    <n v="0"/>
    <m/>
    <n v="0"/>
    <n v="0"/>
    <n v="225097.95918367349"/>
    <n v="264281.63265306124"/>
    <n v="0"/>
    <n v="100200"/>
    <n v="164081.63265306124"/>
    <n v="164281.63265306124"/>
    <n v="100200"/>
    <n v="64081.632653061242"/>
    <s v="Por atraso en ciertos productos del mix"/>
    <s v="Si"/>
    <n v="164281.63265306124"/>
    <n v="91438.850000000035"/>
    <n v="72842.782653061207"/>
    <d v="2022-07-23T00:00:00"/>
    <n v="3.528"/>
    <n v="3.6224449571089794"/>
    <n v="3.5856046424027506"/>
    <n v="589048.98470231972"/>
    <n v="3.4926585393851104"/>
    <n v="2.6611849389091301E-2"/>
    <m/>
    <n v="3.5856046424027506"/>
    <m/>
    <s v="OK"/>
    <s v="OK"/>
    <n v="64100"/>
    <n v="43000"/>
    <n v="100000"/>
    <n v="110000"/>
    <n v="144100"/>
    <n v="156329"/>
    <n v="282040"/>
    <n v="174732"/>
    <n v="416231"/>
    <n v="439164"/>
    <n v="561670"/>
    <n v="552525"/>
    <m/>
  </r>
  <r>
    <s v="Exportacion Directa1020592"/>
    <x v="0"/>
    <x v="4"/>
    <n v="1020592"/>
    <s v="GO Lom Vet &gt;2.0@ Fi Cj Lom Vet AP"/>
    <x v="6"/>
    <x v="20"/>
    <n v="290787"/>
    <n v="210000"/>
    <n v="0.87158319035419651"/>
    <n v="253445.06117352576"/>
    <n v="212087.21599999996"/>
    <n v="14940.170520464697"/>
    <n v="58200"/>
    <n v="420778.43064194394"/>
    <n v="219380"/>
    <n v="6485.6164383561645"/>
    <n v="219380"/>
    <n v="-50000"/>
    <n v="169380"/>
    <n v="251398.43064194394"/>
    <n v="246453.42465753425"/>
    <n v="-170000"/>
    <n v="76453.424657534255"/>
    <n v="174945.00598440968"/>
    <n v="0"/>
    <m/>
    <n v="0"/>
    <n v="0"/>
    <n v="420434.10958904109"/>
    <n v="465833.42465753423"/>
    <n v="0"/>
    <n v="169380"/>
    <n v="296453.42465753423"/>
    <n v="245833.42465753425"/>
    <n v="169380"/>
    <n v="76453.424657534255"/>
    <s v="Por atraso en ciertos productos del mix"/>
    <s v="Si"/>
    <n v="245833.42465753425"/>
    <n v="212087.21599999996"/>
    <n v="33746.208657534298"/>
    <d v="2022-07-23T00:00:00"/>
    <n v="3.456"/>
    <n v="3.5675723760439277"/>
    <n v="3.5328737167480262"/>
    <n v="868498.44467075891"/>
    <n v="3.3829924780950753"/>
    <n v="4.4304336951215252E-2"/>
    <m/>
    <n v="3.5328737167480262"/>
    <m/>
    <s v="OK"/>
    <s v="OK"/>
    <n v="0"/>
    <n v="90000"/>
    <n v="280000"/>
    <n v="280000"/>
    <n v="270000"/>
    <n v="282647"/>
    <n v="0"/>
    <n v="178762"/>
    <n v="1095385"/>
    <n v="1052959"/>
    <n v="1004342"/>
    <n v="966406"/>
    <m/>
  </r>
  <r>
    <s v="Exportacion Directa1020620"/>
    <x v="0"/>
    <x v="4"/>
    <n v="1020620"/>
    <s v="GO Lom Vet &lt;2.0@ Fi Cj AP"/>
    <x v="6"/>
    <x v="20"/>
    <n v="28424"/>
    <n v="30000"/>
    <n v="0.87158319035419651"/>
    <n v="24773.880602627683"/>
    <n v="24215.04700000001"/>
    <n v="6606.7658037771944"/>
    <n v="6400"/>
    <n v="48535.016826027168"/>
    <n v="45000"/>
    <n v="3142.8571428571427"/>
    <n v="45000"/>
    <n v="-20000"/>
    <n v="25000"/>
    <n v="23535.016826027168"/>
    <n v="22000"/>
    <n v="-10000"/>
    <n v="12000"/>
    <n v="11535.016826027168"/>
    <n v="0"/>
    <m/>
    <n v="0"/>
    <n v="0"/>
    <n v="48142.857142857145"/>
    <n v="67000"/>
    <n v="0"/>
    <n v="25000"/>
    <n v="42000"/>
    <n v="37000"/>
    <n v="25000"/>
    <n v="12000"/>
    <s v="Por atraso en ciertos productos del mix"/>
    <s v="Si"/>
    <n v="37000"/>
    <n v="24215.04700000001"/>
    <n v="12784.95299999999"/>
    <d v="2022-07-23T00:00:00"/>
    <n v="3.456"/>
    <n v="3.5190013063703689"/>
    <n v="3.4985684502502492"/>
    <n v="129447.03265925922"/>
    <n v="3.3681845980130602"/>
    <n v="3.8710423506509779E-2"/>
    <m/>
    <n v="3.4985684502502492"/>
    <m/>
    <s v="OK"/>
    <s v="OK"/>
    <n v="17000"/>
    <n v="3000"/>
    <n v="16000"/>
    <n v="30000"/>
    <n v="40857"/>
    <n v="48000"/>
    <n v="70380"/>
    <n v="11767"/>
    <n v="62416"/>
    <n v="112375"/>
    <n v="149276"/>
    <n v="164118"/>
    <m/>
  </r>
  <r>
    <s v="Exportacion Directa1020636"/>
    <x v="0"/>
    <x v="4"/>
    <n v="1020636"/>
    <s v="GO File C/cab@ Va Cj 10k AP"/>
    <x v="11"/>
    <x v="19"/>
    <n v="13582"/>
    <n v="13000"/>
    <n v="0.87158319035419651"/>
    <n v="11837.842891390697"/>
    <n v="15850"/>
    <n v="638.30331061601851"/>
    <n v="8250"/>
    <n v="20012.315870945113"/>
    <n v="21250"/>
    <n v="1333.3333333333333"/>
    <n v="20000"/>
    <n v="-10000"/>
    <n v="10000"/>
    <n v="10012.315870945113"/>
    <n v="9333.3333333333321"/>
    <n v="-4000"/>
    <n v="5333.3333333333321"/>
    <n v="4678.9825376117806"/>
    <n v="0"/>
    <m/>
    <n v="0"/>
    <n v="0"/>
    <n v="20000"/>
    <n v="29333.333333333332"/>
    <n v="0"/>
    <n v="10000"/>
    <n v="19333.333333333332"/>
    <n v="15333.333333333332"/>
    <n v="10000"/>
    <n v="5333.3333333333321"/>
    <s v="Por atraso en ciertos productos del mix"/>
    <s v="Si"/>
    <n v="15333.333333333332"/>
    <n v="15333.333333333332"/>
    <n v="0"/>
    <d v="2022-07-23T00:00:00"/>
    <n v="4.1040000000000001"/>
    <n v="4.2524462458952828"/>
    <n v="4.2008127690621411"/>
    <n v="64412.462458952825"/>
    <n v="4.1243127727272721"/>
    <n v="1.8548543854563677E-2"/>
    <m/>
    <n v="4.2008127690621411"/>
    <m/>
    <s v="OK"/>
    <s v="OK"/>
    <n v="14500"/>
    <n v="14500"/>
    <n v="15000"/>
    <n v="18000"/>
    <n v="20000"/>
    <n v="30333"/>
    <n v="73613.435800000007"/>
    <n v="69303"/>
    <n v="71866"/>
    <n v="83082"/>
    <n v="89555"/>
    <n v="127020"/>
    <m/>
  </r>
  <r>
    <s v="Exportacion Directa1020637"/>
    <x v="0"/>
    <x v="4"/>
    <n v="1020637"/>
    <s v="GO Panc Tec S/cue@ Fi Cj ch AP"/>
    <x v="8"/>
    <x v="10"/>
    <n v="247648"/>
    <n v="200000"/>
    <n v="0.87158319035419651"/>
    <n v="215845.83392483607"/>
    <n v="83307.762000000017"/>
    <n v="73871.120460083199"/>
    <n v="56330"/>
    <n v="309307.60433891101"/>
    <n v="220290"/>
    <n v="4750"/>
    <n v="220290"/>
    <n v="-100000"/>
    <n v="120290"/>
    <n v="189017.60433891101"/>
    <n v="185250"/>
    <n v="-100000"/>
    <n v="85250"/>
    <n v="103767.60433891101"/>
    <n v="0"/>
    <m/>
    <n v="0"/>
    <n v="0"/>
    <n v="305790"/>
    <n v="405540"/>
    <n v="0"/>
    <n v="120290"/>
    <n v="285250"/>
    <n v="205540"/>
    <n v="120290"/>
    <n v="85250"/>
    <s v="Por atraso en ciertos productos del mix"/>
    <s v="Si"/>
    <n v="205540"/>
    <n v="83307.762000000017"/>
    <n v="122232.23799999998"/>
    <d v="2022-07-23T00:00:00"/>
    <n v="4.8239999999999998"/>
    <n v="4.9047618292413215"/>
    <n v="4.8712649627295832"/>
    <n v="1001239.8004394385"/>
    <n v="4.4705333395998155"/>
    <n v="8.9638437449979888E-2"/>
    <m/>
    <n v="4.8712649627295832"/>
    <s v="4,91 precio promedio entre ultimas dos propuestas "/>
    <s v="OK"/>
    <s v="OK"/>
    <n v="193900"/>
    <n v="170000"/>
    <n v="190000"/>
    <n v="270000"/>
    <n v="253474"/>
    <n v="227600"/>
    <n v="942354"/>
    <n v="841715"/>
    <n v="947734"/>
    <n v="1311648"/>
    <n v="1212707"/>
    <n v="1012527"/>
    <m/>
  </r>
  <r>
    <s v="Exportacion Directa1020662"/>
    <x v="0"/>
    <x v="4"/>
    <n v="1020662"/>
    <s v="GO Ganso C/asto 3P@ Va Cj t-f AP"/>
    <x v="9"/>
    <x v="21"/>
    <n v="0"/>
    <n v="10000"/>
    <n v="0.87158319035419651"/>
    <n v="0"/>
    <n v="12619.973"/>
    <n v="7037.3200000000006"/>
    <n v="0"/>
    <n v="18953.561000000002"/>
    <n v="13000"/>
    <n v="5000"/>
    <n v="13000"/>
    <n v="-5000"/>
    <n v="8000"/>
    <n v="10953.561000000002"/>
    <n v="10000"/>
    <n v="-5000"/>
    <n v="5000"/>
    <n v="5953.5610000000015"/>
    <n v="0"/>
    <m/>
    <n v="0"/>
    <n v="0"/>
    <n v="18000"/>
    <n v="23000"/>
    <n v="0"/>
    <n v="8000"/>
    <n v="15000"/>
    <n v="13000"/>
    <n v="8000"/>
    <n v="5000"/>
    <s v="Por atraso en ciertos productos del mix"/>
    <s v="Si"/>
    <n v="13000"/>
    <n v="12619.973"/>
    <n v="380.02700000000004"/>
    <d v="2022-07-23T00:00:00"/>
    <n v="3.492"/>
    <n v="3.8103725784615388"/>
    <n v="3.6879215867455626"/>
    <n v="47942.980627692312"/>
    <n v="3.5728059297867252"/>
    <n v="3.2219957988512717E-2"/>
    <m/>
    <n v="3.6879215867455626"/>
    <m/>
    <s v="OK"/>
    <s v="OK"/>
    <n v="30000"/>
    <n v="5000"/>
    <n v="4000"/>
    <n v="20000"/>
    <n v="22000"/>
    <n v="31500"/>
    <n v="139120.984"/>
    <n v="20587"/>
    <n v="16511"/>
    <n v="79963"/>
    <n v="84292"/>
    <n v="114721"/>
    <m/>
  </r>
  <r>
    <s v="Exportacion Directa1020664"/>
    <x v="0"/>
    <x v="4"/>
    <n v="1020664"/>
    <s v="GO Ganso C/asto C/abas S/g@ Va Cj JP"/>
    <x v="9"/>
    <x v="21"/>
    <n v="9087"/>
    <n v="8000"/>
    <n v="0.87158319035419651"/>
    <n v="7920.0764507485837"/>
    <n v="1040.576"/>
    <n v="0"/>
    <n v="0"/>
    <n v="8960.6524507485847"/>
    <n v="11000"/>
    <n v="3000"/>
    <n v="6000"/>
    <n v="-3000"/>
    <n v="3000"/>
    <n v="5960.6524507485847"/>
    <n v="3000"/>
    <n v="0"/>
    <n v="3000"/>
    <n v="2960.6524507485847"/>
    <n v="0"/>
    <m/>
    <n v="0"/>
    <n v="0"/>
    <n v="6000"/>
    <n v="9000"/>
    <n v="0"/>
    <n v="3000"/>
    <n v="6000"/>
    <n v="6000"/>
    <n v="3000"/>
    <n v="3000"/>
    <s v="Por atraso en ciertos productos del mix"/>
    <s v="Si"/>
    <n v="6000"/>
    <n v="1040.576"/>
    <n v="4959.424"/>
    <d v="2022-07-23T00:00:00"/>
    <n v="3.492"/>
    <n v="3.7112629636363637"/>
    <n v="3.6016314818181816"/>
    <n v="21609.788890909091"/>
    <n v="3.5036561927822345"/>
    <n v="2.7963728072915011E-2"/>
    <m/>
    <n v="3.6016314818181816"/>
    <m/>
    <s v="OK"/>
    <s v="OK"/>
    <n v="0"/>
    <n v="3000"/>
    <n v="3000"/>
    <n v="3000"/>
    <n v="0"/>
    <n v="3000"/>
    <n v="0"/>
    <n v="12115"/>
    <n v="12506"/>
    <n v="12074"/>
    <n v="0"/>
    <n v="10926"/>
    <m/>
  </r>
  <r>
    <s v="Exportacion Directa1020665"/>
    <x v="0"/>
    <x v="4"/>
    <n v="1020665"/>
    <s v="GO Posta Rosada 3P@ Va Cj t-f AP"/>
    <x v="9"/>
    <x v="21"/>
    <n v="0"/>
    <n v="11000"/>
    <n v="0.87158319035419651"/>
    <n v="0"/>
    <n v="9790.9099999999962"/>
    <n v="5477.4000000000005"/>
    <n v="6900"/>
    <n v="7820.5699999999961"/>
    <n v="13500"/>
    <n v="2333.3333333333335"/>
    <n v="7000"/>
    <n v="-4000"/>
    <n v="3000"/>
    <n v="4820.5699999999961"/>
    <n v="4666.666666666667"/>
    <n v="0"/>
    <n v="4666.666666666667"/>
    <n v="153.9033333333291"/>
    <n v="0"/>
    <m/>
    <n v="0"/>
    <n v="0"/>
    <n v="7000"/>
    <n v="11666.666666666668"/>
    <n v="0"/>
    <n v="3000"/>
    <n v="8666.6666666666679"/>
    <n v="7666.666666666667"/>
    <n v="3000"/>
    <n v="4666.666666666667"/>
    <s v="Por atraso en ciertos productos del mix"/>
    <s v="Si"/>
    <n v="7666.666666666667"/>
    <n v="7666.666666666667"/>
    <n v="0"/>
    <d v="2022-07-23T00:00:00"/>
    <n v="3.456"/>
    <n v="3.5993951333333323"/>
    <n v="3.5121111391304338"/>
    <n v="26926.185399999995"/>
    <n v="3.55705462935284"/>
    <n v="1.263502951333167E-2"/>
    <m/>
    <n v="3.5121111391304338"/>
    <s v="3,56 precio promedio ultimas dos propuestas"/>
    <s v="OK"/>
    <s v="OK"/>
    <n v="11750"/>
    <n v="4750"/>
    <n v="5000"/>
    <n v="15000"/>
    <n v="17000"/>
    <n v="9100"/>
    <n v="50760"/>
    <n v="19327"/>
    <n v="20397"/>
    <n v="59295"/>
    <n v="65444"/>
    <n v="32792"/>
    <m/>
  </r>
  <r>
    <s v="Exportacion Directa1020678"/>
    <x v="0"/>
    <x v="4"/>
    <n v="1020678"/>
    <s v="GO Lom Tec@ Va Cj Lom Ctro AP"/>
    <x v="6"/>
    <x v="8"/>
    <n v="0"/>
    <n v="0"/>
    <n v="0.87158319035419651"/>
    <n v="0"/>
    <n v="0"/>
    <n v="0"/>
    <n v="0"/>
    <n v="0"/>
    <n v="500"/>
    <n v="5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4.5102402320556001"/>
    <n v="4.7351428000000002"/>
    <n v="0"/>
    <n v="0"/>
    <n v="4.5102402320556001"/>
    <s v="No Aplica"/>
    <m/>
    <n v="0"/>
    <m/>
    <s v="OK"/>
    <s v="OK"/>
    <n v="0"/>
    <n v="500"/>
    <n v="0"/>
    <n v="500"/>
    <n v="500"/>
    <n v="0"/>
    <n v="0"/>
    <n v="2794"/>
    <n v="0"/>
    <n v="1255"/>
    <n v="2382"/>
    <n v="0"/>
    <m/>
  </r>
  <r>
    <s v="Exportacion Directa1020681"/>
    <x v="0"/>
    <x v="4"/>
    <n v="1020681"/>
    <s v="GO MM Loin D@ Fi Cj 12k AP"/>
    <x v="6"/>
    <x v="37"/>
    <n v="7332"/>
    <n v="12000"/>
    <n v="0.87158319035419651"/>
    <n v="6390.4479516769688"/>
    <n v="14161.431000000004"/>
    <n v="2943.4221121450109"/>
    <n v="6000"/>
    <n v="17200.95885260748"/>
    <n v="14000"/>
    <n v="6666.666666666667"/>
    <n v="14000"/>
    <n v="-6000"/>
    <n v="8000"/>
    <n v="9200.9588526074804"/>
    <n v="6666.666666666667"/>
    <n v="-3000"/>
    <n v="3666.666666666667"/>
    <n v="5534.2921859408134"/>
    <n v="0"/>
    <m/>
    <n v="0"/>
    <n v="0"/>
    <n v="14000"/>
    <n v="20666.666666666668"/>
    <n v="0"/>
    <n v="8000"/>
    <n v="12666.666666666668"/>
    <n v="11666.666666666668"/>
    <n v="8000"/>
    <n v="3666.6666666666679"/>
    <s v="Por atraso en ciertos productos del mix"/>
    <s v="Si"/>
    <n v="11666.666666666668"/>
    <n v="11666.666666666668"/>
    <n v="0"/>
    <d v="2022-07-23T00:00:00"/>
    <n v="3.78"/>
    <n v="3.9155074657142852"/>
    <n v="3.8729194050612237"/>
    <n v="45184.05972571428"/>
    <n v="3.7248098191576111"/>
    <n v="3.9762992768610256E-2"/>
    <m/>
    <n v="3.8729194050612237"/>
    <m/>
    <s v="OK"/>
    <s v="OK"/>
    <n v="14250"/>
    <n v="11250"/>
    <n v="15000"/>
    <n v="22000"/>
    <n v="20545"/>
    <n v="15000"/>
    <n v="62607.7163"/>
    <n v="48073"/>
    <n v="63995"/>
    <n v="91022"/>
    <n v="82702"/>
    <n v="56473"/>
    <m/>
  </r>
  <r>
    <s v="Exportacion Directa1020704"/>
    <x v="0"/>
    <x v="4"/>
    <n v="1020704"/>
    <s v="GO File N@ Va Cj File AP"/>
    <x v="11"/>
    <x v="19"/>
    <n v="440"/>
    <n v="1000"/>
    <n v="0.87158319035419651"/>
    <n v="383.49660375584648"/>
    <n v="1200"/>
    <n v="0"/>
    <n v="0"/>
    <n v="1583.4966037558465"/>
    <n v="1000"/>
    <n v="500"/>
    <n v="1000"/>
    <n v="0"/>
    <n v="1000"/>
    <n v="583.49660375584654"/>
    <n v="500"/>
    <n v="0"/>
    <n v="500"/>
    <n v="83.496603755846536"/>
    <n v="0"/>
    <m/>
    <n v="0"/>
    <n v="0"/>
    <n v="1500"/>
    <n v="1500"/>
    <n v="0"/>
    <n v="1000"/>
    <n v="500"/>
    <n v="1500"/>
    <n v="1000"/>
    <n v="500"/>
    <n v="0"/>
    <s v="Si"/>
    <n v="1500"/>
    <n v="1200"/>
    <n v="300"/>
    <d v="2022-07-23T00:00:00"/>
    <n v="4.2480000000000002"/>
    <n v="4.5916537000000002"/>
    <n v="4.4771024666666666"/>
    <n v="6715.6536999999998"/>
    <n v="4.3189207977207982"/>
    <n v="3.6625276626824174E-2"/>
    <m/>
    <n v="4.4771024666666666"/>
    <m/>
    <s v="OK"/>
    <s v="OK"/>
    <n v="0"/>
    <n v="500"/>
    <n v="500"/>
    <n v="1500"/>
    <n v="1500"/>
    <n v="2000"/>
    <n v="0"/>
    <n v="2544"/>
    <n v="2594"/>
    <n v="7446"/>
    <n v="7399"/>
    <n v="8913"/>
    <m/>
  </r>
  <r>
    <s v="Exportacion Directa1020715"/>
    <x v="0"/>
    <x v="4"/>
    <n v="1020715"/>
    <s v="GO Panc Tec C/cue@ Fi Cj Panc AP"/>
    <x v="8"/>
    <x v="26"/>
    <n v="4157"/>
    <n v="2000"/>
    <n v="0.87158319035419651"/>
    <n v="3623.1713223023949"/>
    <n v="2149.701"/>
    <n v="266.05994556795434"/>
    <n v="0"/>
    <n v="6012.3262733135543"/>
    <n v="4000"/>
    <n v="2000"/>
    <n v="4000"/>
    <n v="-2000"/>
    <n v="2000"/>
    <n v="4012.3262733135543"/>
    <n v="4000"/>
    <n v="-2000"/>
    <n v="2000"/>
    <n v="2012.3262733135543"/>
    <n v="0"/>
    <m/>
    <n v="0"/>
    <n v="0"/>
    <n v="6000"/>
    <n v="8000"/>
    <n v="0"/>
    <n v="2000"/>
    <n v="6000"/>
    <n v="4000"/>
    <n v="2000"/>
    <n v="2000"/>
    <s v="Por atraso en ciertos productos del mix"/>
    <s v="Si"/>
    <n v="4000"/>
    <n v="2149.701"/>
    <n v="1850.299"/>
    <d v="2022-07-23T00:00:00"/>
    <n v="4.6440000000000001"/>
    <n v="4.5740240500000002"/>
    <n v="4.6090120250000002"/>
    <n v="18436.0481"/>
    <n v="4.0621253287249228"/>
    <n v="0.13463068025199063"/>
    <m/>
    <n v="4.6090120250000002"/>
    <m/>
    <s v="OK"/>
    <s v="OK"/>
    <n v="3000"/>
    <n v="2000"/>
    <n v="2000"/>
    <n v="4000"/>
    <n v="6000"/>
    <n v="2000"/>
    <n v="14885.3922"/>
    <n v="9329"/>
    <n v="9271"/>
    <n v="18229"/>
    <n v="26806"/>
    <n v="8421"/>
    <m/>
  </r>
  <r>
    <s v="Exportacion Directa1020731"/>
    <x v="0"/>
    <x v="4"/>
    <n v="1020731"/>
    <s v="GO Panc S/tec/cue I@ Fi Cj Panc 4s AP"/>
    <x v="8"/>
    <x v="10"/>
    <n v="26440"/>
    <n v="25000"/>
    <n v="0.87158319035419651"/>
    <n v="23044.659552964957"/>
    <n v="6286.2269999999999"/>
    <n v="5430.3878089216096"/>
    <n v="0"/>
    <n v="34218.235580994406"/>
    <n v="30900"/>
    <n v="2500"/>
    <n v="30900"/>
    <n v="-12000"/>
    <n v="18900"/>
    <n v="15318.235580994406"/>
    <n v="15000"/>
    <n v="-8000"/>
    <n v="7000"/>
    <n v="8318.2355809944056"/>
    <n v="0"/>
    <m/>
    <n v="0"/>
    <n v="0"/>
    <n v="33400"/>
    <n v="45900"/>
    <n v="0"/>
    <n v="18900"/>
    <n v="27000"/>
    <n v="25900"/>
    <n v="18900"/>
    <n v="7000"/>
    <s v="Por atraso en ciertos productos del mix"/>
    <s v="Si"/>
    <n v="25900"/>
    <n v="6286.2269999999999"/>
    <n v="19613.773000000001"/>
    <d v="2022-07-23T00:00:00"/>
    <n v="5.1120000000000001"/>
    <n v="5.1522354432200652"/>
    <n v="5.141360999106535"/>
    <n v="133161.24987685925"/>
    <n v="4.525062850902267"/>
    <n v="0.13619659406087195"/>
    <m/>
    <n v="5.141360999106535"/>
    <m/>
    <s v="OK"/>
    <s v="OK"/>
    <n v="18000"/>
    <n v="6000"/>
    <n v="10000"/>
    <n v="20000"/>
    <n v="18000"/>
    <n v="22000"/>
    <n v="99485.017300000007"/>
    <n v="31124"/>
    <n v="51494"/>
    <n v="100776"/>
    <n v="87382"/>
    <n v="101929"/>
    <m/>
  </r>
  <r>
    <s v="Exportacion Directa1020758"/>
    <x v="0"/>
    <x v="4"/>
    <n v="1020758"/>
    <s v="GO Lom Vet S/g@ Va Cj ch AP"/>
    <x v="6"/>
    <x v="20"/>
    <n v="14148"/>
    <n v="9000"/>
    <n v="0.87158319035419651"/>
    <n v="12331.158977131172"/>
    <n v="605.85599999999999"/>
    <n v="0"/>
    <n v="0"/>
    <n v="12937.014977131172"/>
    <n v="9000"/>
    <n v="3250"/>
    <n v="9000"/>
    <n v="-3000"/>
    <n v="6000"/>
    <n v="6937.0149771311717"/>
    <n v="6500"/>
    <n v="-3000"/>
    <n v="3500"/>
    <n v="3437.0149771311717"/>
    <n v="0"/>
    <m/>
    <n v="0"/>
    <n v="0"/>
    <n v="12250"/>
    <n v="15500"/>
    <n v="0"/>
    <n v="6000"/>
    <n v="9500"/>
    <n v="9500"/>
    <n v="6000"/>
    <n v="3500"/>
    <s v="Por atraso en ciertos productos del mix"/>
    <s v="Si"/>
    <n v="9500"/>
    <n v="605.85599999999999"/>
    <n v="8894.1440000000002"/>
    <d v="2022-07-23T00:00:00"/>
    <n v="3.78"/>
    <n v="3.9300091777777806"/>
    <n v="3.8747426385964929"/>
    <n v="36810.055066666682"/>
    <n v="3.6821191173697114"/>
    <n v="5.2313223740675825E-2"/>
    <m/>
    <n v="3.8747426385964929"/>
    <m/>
    <s v="OK"/>
    <s v="OK"/>
    <n v="8000"/>
    <n v="5000"/>
    <n v="8000"/>
    <n v="12000"/>
    <n v="6000"/>
    <n v="3000"/>
    <n v="35636.778700000003"/>
    <n v="20917"/>
    <n v="33318"/>
    <n v="48487"/>
    <n v="23733"/>
    <n v="11179"/>
    <m/>
  </r>
  <r>
    <s v="Exportacion Directa1020774"/>
    <x v="0"/>
    <x v="4"/>
    <n v="1020774"/>
    <s v="GO Malaya Japon@ Va Cj JP"/>
    <x v="14"/>
    <x v="29"/>
    <n v="11440"/>
    <n v="9000"/>
    <n v="0.87158319035419651"/>
    <n v="9970.9116976520072"/>
    <n v="4205"/>
    <n v="3207"/>
    <n v="0"/>
    <n v="17062.211697652008"/>
    <n v="10000"/>
    <n v="952.38095238095241"/>
    <n v="10000"/>
    <n v="-4000"/>
    <n v="6000"/>
    <n v="11062.211697652008"/>
    <n v="10476.190476190477"/>
    <n v="-5000"/>
    <n v="5476.1904761904771"/>
    <n v="5586.0212214615312"/>
    <n v="0"/>
    <m/>
    <n v="0"/>
    <n v="0"/>
    <n v="16666.666666666668"/>
    <n v="20476.190476190477"/>
    <n v="0"/>
    <n v="6000"/>
    <n v="14476.190476190477"/>
    <n v="11476.190476190477"/>
    <n v="6000"/>
    <n v="5476.1904761904771"/>
    <s v="Por atraso en ciertos productos del mix"/>
    <s v="Si"/>
    <n v="11476.190476190477"/>
    <n v="4205"/>
    <n v="7271.1904761904771"/>
    <d v="2022-07-23T00:00:00"/>
    <n v="5.76"/>
    <n v="5.9922204887499957"/>
    <n v="5.8814098820850598"/>
    <n v="67496.180075357115"/>
    <n v="5.5071172803195356"/>
    <n v="6.7965249823734794E-2"/>
    <m/>
    <n v="5.8814098820850598"/>
    <m/>
    <s v="OK"/>
    <s v="OK"/>
    <n v="6500"/>
    <n v="9000"/>
    <n v="7000"/>
    <n v="7000"/>
    <n v="12778"/>
    <n v="13810"/>
    <n v="39650"/>
    <n v="55209"/>
    <n v="42742"/>
    <n v="42209"/>
    <n v="76257"/>
    <n v="77987"/>
    <m/>
  </r>
  <r>
    <s v="Exportacion Directa1020802"/>
    <x v="0"/>
    <x v="4"/>
    <n v="1020802"/>
    <s v="GO Panc S/tec N@ Fi Cj 20k AP"/>
    <x v="8"/>
    <x v="10"/>
    <n v="13111"/>
    <n v="41000"/>
    <n v="0.87158319035419651"/>
    <n v="11427.32720873387"/>
    <n v="45186.582999999991"/>
    <n v="3692.4089590727685"/>
    <n v="30500"/>
    <n v="29437.078271899351"/>
    <n v="38900"/>
    <n v="8437.5"/>
    <n v="25312.5"/>
    <n v="-10000"/>
    <n v="15312.5"/>
    <n v="14124.578271899351"/>
    <n v="8437.5"/>
    <n v="-3000"/>
    <n v="5437.5"/>
    <n v="8687.0782718993505"/>
    <n v="0"/>
    <m/>
    <n v="0"/>
    <n v="0"/>
    <n v="25312.5"/>
    <n v="33750"/>
    <n v="0"/>
    <n v="15312.5"/>
    <n v="18437.5"/>
    <n v="20750"/>
    <n v="15312.5"/>
    <n v="5437.5"/>
    <s v="Por atraso en ciertos productos del mix"/>
    <s v="Si"/>
    <n v="20750"/>
    <n v="20750"/>
    <n v="0"/>
    <d v="2022-07-23T00:00:00"/>
    <n v="4.68"/>
    <n v="4.584109561641271"/>
    <n v="4.6092374777172029"/>
    <n v="95641.677662631962"/>
    <n v="4.21274936436141"/>
    <n v="9.4116235993045985E-2"/>
    <m/>
    <n v="4.6092374777172029"/>
    <s v="4,77 precio promedio ultimas dos propuestas"/>
    <s v="OK"/>
    <s v="OK"/>
    <n v="103000"/>
    <n v="47000"/>
    <n v="95000"/>
    <n v="130000"/>
    <n v="92821"/>
    <n v="95563"/>
    <n v="518029.43709999998"/>
    <n v="220820"/>
    <n v="445408"/>
    <n v="591029"/>
    <n v="410262"/>
    <n v="398697"/>
    <m/>
  </r>
  <r>
    <s v="Exportacion Directa1020810"/>
    <x v="0"/>
    <x v="4"/>
    <n v="1020810"/>
    <s v="GO Recto@ Cj File AP"/>
    <x v="10"/>
    <x v="25"/>
    <n v="1487"/>
    <n v="2000"/>
    <n v="0.87158319035419651"/>
    <n v="1296.0442040566902"/>
    <n v="950.17"/>
    <n v="3500"/>
    <n v="0"/>
    <n v="5396.2142040566905"/>
    <n v="4330"/>
    <n v="1500"/>
    <n v="4330"/>
    <n v="0"/>
    <n v="4330"/>
    <n v="1066.2142040566905"/>
    <n v="0"/>
    <n v="0"/>
    <n v="0"/>
    <n v="1066.2142040566905"/>
    <n v="0"/>
    <m/>
    <n v="0"/>
    <n v="0"/>
    <n v="4330"/>
    <n v="4330"/>
    <n v="0"/>
    <n v="4330"/>
    <n v="0"/>
    <n v="4330"/>
    <n v="4330"/>
    <n v="0"/>
    <n v="0"/>
    <s v="Si"/>
    <n v="4330"/>
    <n v="950.17"/>
    <n v="3379.83"/>
    <d v="2022-07-23T00:00:00"/>
    <n v="3.96"/>
    <n v="3.5806411476474156"/>
    <n v="3.5806411476474156"/>
    <n v="15504.17616931331"/>
    <n v="3.1091753473684212"/>
    <n v="0.15163692864027078"/>
    <m/>
    <n v="3.5806411476474156"/>
    <m/>
    <s v="OK"/>
    <s v="OK"/>
    <n v="5000"/>
    <n v="6000"/>
    <n v="2500"/>
    <n v="0"/>
    <n v="6000"/>
    <n v="1500"/>
    <n v="17987.201300000001"/>
    <n v="21135"/>
    <n v="8690"/>
    <n v="0"/>
    <n v="20254"/>
    <n v="4841"/>
    <m/>
  </r>
  <r>
    <s v="Exportacion Directa1020914"/>
    <x v="0"/>
    <x v="4"/>
    <n v="1020914"/>
    <s v="GO Panc Lam 2.5mm@ Cj ch AP"/>
    <x v="8"/>
    <x v="26"/>
    <n v="23027"/>
    <n v="9000"/>
    <n v="0.87158319035419651"/>
    <n v="20069.946124286082"/>
    <n v="1720"/>
    <n v="2893"/>
    <n v="2000"/>
    <n v="22393.646124286082"/>
    <n v="17000"/>
    <n v="1285.7142857142858"/>
    <n v="17000"/>
    <n v="-17000"/>
    <n v="0"/>
    <n v="22393.646124286082"/>
    <n v="21857.142857142859"/>
    <n v="-21857"/>
    <n v="0.14285714285870199"/>
    <n v="22393.503267143224"/>
    <n v="0"/>
    <m/>
    <n v="0"/>
    <n v="0"/>
    <n v="22142.857142857145"/>
    <n v="38857.142857142855"/>
    <n v="0"/>
    <n v="0"/>
    <n v="38857.142857142855"/>
    <n v="0.14285714285870199"/>
    <n v="0"/>
    <n v="0.14285714285870199"/>
    <n v="0"/>
    <s v="Si"/>
    <n v="0.14285714285870199"/>
    <n v="0.14285714285870199"/>
    <n v="0"/>
    <d v="2022-07-23T00:00:00"/>
    <n v="5.4"/>
    <n v="5.4333122729225023"/>
    <n v="5.4"/>
    <n v="0.77142857143699084"/>
    <n v="5.0523459553203995"/>
    <n v="6.8810419506902906E-2"/>
    <m/>
    <n v="5.4"/>
    <m/>
    <s v="OK"/>
    <s v="OK"/>
    <n v="3000"/>
    <n v="0"/>
    <n v="3000"/>
    <n v="15000"/>
    <n v="10000"/>
    <n v="12786"/>
    <n v="17508.131799999999"/>
    <n v="0"/>
    <n v="17286"/>
    <n v="84027"/>
    <n v="55306"/>
    <n v="65820"/>
    <m/>
  </r>
  <r>
    <s v="Exportacion Directa1020990"/>
    <x v="0"/>
    <x v="4"/>
    <n v="1020990"/>
    <s v="GO Ganso S/g S/abst DA@ Cj 12k AP"/>
    <x v="9"/>
    <x v="21"/>
    <n v="1181"/>
    <n v="5000"/>
    <n v="0.87158319035419651"/>
    <n v="1029.3397478083061"/>
    <n v="15808.163999999999"/>
    <n v="0"/>
    <n v="0"/>
    <n v="16837.503747808303"/>
    <n v="5000"/>
    <n v="2666.6666666666665"/>
    <n v="5000"/>
    <n v="-1000"/>
    <n v="4000"/>
    <n v="12837.503747808303"/>
    <n v="10666.666666666666"/>
    <n v="-3000"/>
    <n v="7666.6666666666661"/>
    <n v="5170.8370811416371"/>
    <n v="0"/>
    <m/>
    <n v="0"/>
    <n v="0"/>
    <n v="15666.666666666666"/>
    <n v="15666.666666666666"/>
    <n v="0"/>
    <n v="4000"/>
    <n v="11666.666666666666"/>
    <n v="11666.666666666666"/>
    <n v="4000"/>
    <n v="7666.6666666666661"/>
    <s v="Por atraso en ciertos productos del mix"/>
    <s v="Si"/>
    <n v="11666.666666666666"/>
    <n v="11666.666666666666"/>
    <n v="0"/>
    <d v="2022-07-23T00:00:00"/>
    <n v="3.456"/>
    <n v="3.4698292199999998"/>
    <n v="3.4607414468571429"/>
    <n v="40375.316879999998"/>
    <n v="3.5768312487642095"/>
    <n v="3.2456046660623288E-2"/>
    <m/>
    <n v="3.4607414468571429"/>
    <m/>
    <s v="OK"/>
    <s v="OK"/>
    <n v="8750"/>
    <n v="4750"/>
    <n v="7000"/>
    <n v="13000"/>
    <n v="13000"/>
    <n v="8000"/>
    <n v="36645.971899999997"/>
    <n v="19327"/>
    <n v="28598"/>
    <n v="51483"/>
    <n v="50072"/>
    <n v="28828"/>
    <m/>
  </r>
  <r>
    <s v="Exportacion Directa1020991"/>
    <x v="0"/>
    <x v="4"/>
    <n v="1020991"/>
    <s v="GO Asiento C/g DA@ Cj 12k JP"/>
    <x v="9"/>
    <x v="21"/>
    <n v="14017"/>
    <n v="9000"/>
    <n v="0.87158319035419651"/>
    <n v="12216.981579194773"/>
    <n v="7361.6999999999989"/>
    <n v="3438.93"/>
    <n v="12600"/>
    <n v="10073.718579194774"/>
    <n v="16500"/>
    <n v="3333.3333333333335"/>
    <n v="10000"/>
    <n v="-10000"/>
    <n v="0"/>
    <n v="10073.718579194774"/>
    <n v="10000"/>
    <n v="-10000"/>
    <n v="0"/>
    <n v="10073.718579194774"/>
    <n v="0"/>
    <m/>
    <n v="0"/>
    <n v="0"/>
    <n v="10000"/>
    <n v="20000"/>
    <n v="0"/>
    <n v="0"/>
    <n v="20000"/>
    <n v="0"/>
    <n v="0"/>
    <n v="0"/>
    <n v="0"/>
    <s v="No"/>
    <n v="0"/>
    <n v="0"/>
    <n v="0"/>
    <d v="2022-07-23T00:00:00"/>
    <n v="3.456"/>
    <n v="3.61048676969697"/>
    <n v="0"/>
    <n v="0"/>
    <n v="3.5247410301291819"/>
    <s v="No Aplica"/>
    <m/>
    <n v="0"/>
    <m/>
    <s v="OK"/>
    <s v="OK"/>
    <n v="1250"/>
    <n v="5000"/>
    <n v="5000"/>
    <n v="60000"/>
    <n v="10000"/>
    <n v="10000"/>
    <n v="5233.6656000000003"/>
    <n v="20319"/>
    <n v="20402"/>
    <n v="237274"/>
    <n v="38437"/>
    <n v="36035"/>
    <m/>
  </r>
  <r>
    <s v="Exportacion Directa1021136"/>
    <x v="0"/>
    <x v="4"/>
    <n v="1021136"/>
    <s v="GO Tráquea@ Cj Lom Ctro AP"/>
    <x v="10"/>
    <x v="15"/>
    <n v="0"/>
    <n v="2000"/>
    <n v="0.87158319035419651"/>
    <n v="0"/>
    <n v="5970.04"/>
    <n v="2456"/>
    <n v="0"/>
    <n v="8180.4400000000005"/>
    <n v="2000"/>
    <n v="2666.6666666666665"/>
    <n v="2000"/>
    <n v="0"/>
    <n v="2000"/>
    <n v="6180.4400000000005"/>
    <n v="0"/>
    <n v="0"/>
    <n v="0"/>
    <n v="6180.4400000000005"/>
    <n v="5333.333333333333"/>
    <m/>
    <n v="5333.333333333333"/>
    <n v="0"/>
    <n v="7333.333333333333"/>
    <n v="7333.333333333333"/>
    <n v="0"/>
    <n v="2000"/>
    <n v="5333.333333333333"/>
    <n v="7333.333333333333"/>
    <n v="2000"/>
    <n v="5333.333333333333"/>
    <n v="0"/>
    <s v="Si"/>
    <n v="7333.333333333333"/>
    <n v="5970.04"/>
    <n v="1363.2933333333331"/>
    <d v="2022-07-23T00:00:00"/>
    <n v="2.6640000000000001"/>
    <n v="2.4264629499999999"/>
    <n v="2.4264629499999999"/>
    <n v="17794.061633333331"/>
    <n v="2.5154376166666665"/>
    <n v="3.5371446334881269E-2"/>
    <m/>
    <n v="2.4264629499999999"/>
    <m/>
    <s v="OK"/>
    <s v="OK"/>
    <n v="5000"/>
    <n v="3000"/>
    <n v="4000"/>
    <n v="5000"/>
    <n v="7200"/>
    <n v="8000"/>
    <n v="14419.3794"/>
    <n v="6405"/>
    <n v="11558"/>
    <n v="13732"/>
    <n v="20064"/>
    <n v="19670"/>
    <m/>
  </r>
  <r>
    <s v="Exportacion Directa1021533"/>
    <x v="0"/>
    <x v="4"/>
    <n v="1021533"/>
    <s v="GO Panc Mit@ Va Cj 20k AP"/>
    <x v="8"/>
    <x v="10"/>
    <n v="0"/>
    <n v="15000"/>
    <n v="0.87158319035419651"/>
    <n v="0"/>
    <n v="8474.2780000000002"/>
    <n v="0"/>
    <n v="5000"/>
    <n v="3474.2780000000002"/>
    <n v="5000"/>
    <n v="3000"/>
    <n v="3000"/>
    <n v="0"/>
    <n v="3000"/>
    <n v="474.27800000000025"/>
    <n v="0"/>
    <n v="0"/>
    <n v="0"/>
    <n v="474.27800000000025"/>
    <n v="0"/>
    <m/>
    <n v="0"/>
    <n v="0"/>
    <n v="3000"/>
    <n v="3000"/>
    <n v="0"/>
    <n v="3000"/>
    <n v="0"/>
    <n v="3000"/>
    <n v="3000"/>
    <n v="0"/>
    <n v="0"/>
    <s v="Si"/>
    <n v="3000"/>
    <n v="3000"/>
    <n v="0"/>
    <d v="2022-07-23T00:00:00"/>
    <n v="5.22"/>
    <n v="4.5563170949999998"/>
    <n v="4.5563170949999998"/>
    <n v="13668.951284999999"/>
    <n v="4.6151599319709335"/>
    <n v="1.2749902026863134E-2"/>
    <m/>
    <n v="4.5563170949999998"/>
    <m/>
    <s v="OK"/>
    <s v="OK"/>
    <n v="2000"/>
    <n v="18000"/>
    <n v="15000"/>
    <n v="10000"/>
    <n v="15400"/>
    <n v="3000"/>
    <n v="10613.774600000001"/>
    <n v="93240"/>
    <n v="77606"/>
    <n v="49787"/>
    <n v="75485"/>
    <n v="14015"/>
    <m/>
  </r>
  <r>
    <s v="Exportacion Directa1021603"/>
    <x v="0"/>
    <x v="4"/>
    <n v="1021603"/>
    <s v="GO MM Loin L (MC4-5)@ Fi Cj ch JP"/>
    <x v="6"/>
    <x v="37"/>
    <n v="9817"/>
    <n v="7000"/>
    <n v="0.87158319035419651"/>
    <n v="8556.3321797071476"/>
    <n v="5009.6920000000009"/>
    <n v="620.03558269568566"/>
    <n v="0"/>
    <n v="14124.056204133265"/>
    <n v="10500"/>
    <n v="5000"/>
    <n v="10500"/>
    <n v="-3000"/>
    <n v="7500"/>
    <n v="6624.0562041332651"/>
    <n v="5000"/>
    <n v="-3000"/>
    <n v="2000"/>
    <n v="4624.0562041332651"/>
    <n v="0"/>
    <m/>
    <n v="0"/>
    <n v="0"/>
    <n v="10500"/>
    <n v="15500"/>
    <n v="0"/>
    <n v="7500"/>
    <n v="8000"/>
    <n v="9500"/>
    <n v="7500"/>
    <n v="2000"/>
    <s v="Por atraso en ciertos productos del mix"/>
    <s v="Si"/>
    <n v="9500"/>
    <n v="5009.6920000000009"/>
    <n v="4490.3079999999991"/>
    <d v="2022-07-23T00:00:00"/>
    <n v="3.78"/>
    <n v="3.8105075619047635"/>
    <n v="3.8040849172932343"/>
    <n v="36138.806714285725"/>
    <n v="3.7091725570675766"/>
    <n v="2.5588553448344851E-2"/>
    <m/>
    <n v="3.8040849172932343"/>
    <m/>
    <s v="OK"/>
    <s v="OK"/>
    <n v="5000"/>
    <n v="3000"/>
    <n v="4000"/>
    <n v="5000"/>
    <n v="7000"/>
    <n v="5500"/>
    <n v="22909.446899999999"/>
    <n v="12940"/>
    <n v="17412"/>
    <n v="20869"/>
    <n v="27713"/>
    <n v="20622"/>
    <m/>
  </r>
  <r>
    <s v="Exportacion Directa1021609"/>
    <x v="0"/>
    <x v="4"/>
    <n v="1021609"/>
    <s v="GO File C/cab@ IWP Cj 10k SC"/>
    <x v="11"/>
    <x v="19"/>
    <n v="70488"/>
    <n v="20000"/>
    <n v="0.87158319035419651"/>
    <n v="61436.155921686601"/>
    <n v="3625.7219999999993"/>
    <n v="11056.291695533571"/>
    <n v="0"/>
    <n v="75012.540447666819"/>
    <n v="60000"/>
    <n v="8000"/>
    <n v="60000"/>
    <n v="-20000"/>
    <n v="40000"/>
    <n v="35012.540447666819"/>
    <n v="32000"/>
    <n v="-20000"/>
    <n v="12000"/>
    <n v="23012.540447666819"/>
    <n v="0"/>
    <m/>
    <n v="0"/>
    <n v="0"/>
    <n v="68000"/>
    <n v="92000"/>
    <n v="0"/>
    <n v="40000"/>
    <n v="52000"/>
    <n v="52000"/>
    <n v="40000"/>
    <n v="12000"/>
    <s v="Por atraso en ciertos productos del mix"/>
    <s v="Si"/>
    <n v="52000"/>
    <n v="3625.7219999999993"/>
    <n v="48374.277999999998"/>
    <d v="2022-07-23T00:00:00"/>
    <n v="4.32"/>
    <n v="4.5044507433333338"/>
    <n v="4.4618851871794876"/>
    <n v="232018.02973333336"/>
    <n v="4.3270620137560032"/>
    <n v="3.1158132930582692E-2"/>
    <m/>
    <n v="4.4618851871794876"/>
    <m/>
    <s v="OK"/>
    <s v="OK"/>
    <n v="16500"/>
    <n v="6500"/>
    <n v="3000"/>
    <n v="5000"/>
    <n v="0"/>
    <n v="0"/>
    <n v="84517.474000000002"/>
    <n v="31345"/>
    <n v="14512"/>
    <n v="24062"/>
    <n v="0"/>
    <n v="0"/>
    <m/>
  </r>
  <r>
    <s v="Exportacion Directa1022282"/>
    <x v="0"/>
    <x v="4"/>
    <n v="1022282"/>
    <s v="GO Malaya Japon@ Vp Fi Cj 20k AP"/>
    <x v="14"/>
    <x v="29"/>
    <n v="0"/>
    <n v="0"/>
    <n v="0.87158319035419651"/>
    <n v="0"/>
    <n v="0"/>
    <n v="0"/>
    <n v="0"/>
    <n v="0"/>
    <n v="0"/>
    <n v="2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0"/>
    <n v="0"/>
    <n v="0"/>
    <n v="0"/>
    <n v="0"/>
    <s v="No Aplica"/>
    <m/>
    <n v="0"/>
    <m/>
    <s v="OK"/>
    <s v="OK"/>
    <n v="0"/>
    <n v="0"/>
    <n v="0"/>
    <n v="3000"/>
    <n v="2000"/>
    <n v="0"/>
    <n v="0"/>
    <n v="0"/>
    <n v="0"/>
    <n v="18786"/>
    <n v="12524"/>
    <n v="0"/>
    <m/>
  </r>
  <r>
    <s v="Exportacion Directa1022313"/>
    <x v="0"/>
    <x v="4"/>
    <n v="1022313"/>
    <s v="GO CC Loin T@ Fi Cj AP"/>
    <x v="6"/>
    <x v="38"/>
    <n v="7654"/>
    <n v="10000"/>
    <n v="0.87158319035419651"/>
    <n v="6671.0977389710197"/>
    <n v="5324.0709999999999"/>
    <n v="258.67273955010967"/>
    <n v="0"/>
    <n v="12227.974204566119"/>
    <n v="10000"/>
    <n v="2666.6666666666665"/>
    <n v="10000"/>
    <n v="-3000"/>
    <n v="7000"/>
    <n v="5227.9742045661187"/>
    <n v="2666.6666666666665"/>
    <n v="-1000"/>
    <n v="1666.6666666666665"/>
    <n v="3561.3075378994522"/>
    <n v="0"/>
    <m/>
    <n v="0"/>
    <n v="0"/>
    <n v="10000"/>
    <n v="12666.666666666666"/>
    <n v="0"/>
    <n v="7000"/>
    <n v="5666.6666666666661"/>
    <n v="8666.6666666666661"/>
    <n v="7000"/>
    <n v="1666.6666666666661"/>
    <s v="Por atraso en ciertos productos del mix"/>
    <s v="Si"/>
    <n v="8666.6666666666661"/>
    <n v="5324.0709999999999"/>
    <n v="3342.5956666666661"/>
    <d v="2022-07-23T00:00:00"/>
    <n v="3.8519999999999999"/>
    <n v="3.8676856000000002"/>
    <n v="3.8646691384615388"/>
    <n v="33493.799200000001"/>
    <n v="3.7486246501749259"/>
    <n v="3.0956550499447271E-2"/>
    <m/>
    <n v="3.8646691384615388"/>
    <s v="3,84 precio promedio entre dos ultimas propuestas"/>
    <s v="OK"/>
    <s v="OK"/>
    <n v="17750"/>
    <n v="9000"/>
    <n v="8000"/>
    <n v="7000"/>
    <n v="7000"/>
    <n v="10000"/>
    <n v="81701.657600000006"/>
    <n v="39113"/>
    <n v="34968"/>
    <n v="28931"/>
    <n v="26913"/>
    <n v="37649"/>
    <m/>
  </r>
  <r>
    <s v="Exportacion Directa1022326"/>
    <x v="0"/>
    <x v="4"/>
    <n v="1022326"/>
    <s v="GO CC Loin L (S/T)@ Fi Cj AP"/>
    <x v="6"/>
    <x v="38"/>
    <n v="13500"/>
    <n v="15000"/>
    <n v="0.87158319035419651"/>
    <n v="11766.373069781654"/>
    <n v="26930.624000000003"/>
    <n v="5884.8749020828336"/>
    <n v="20000"/>
    <n v="23993.384481656212"/>
    <n v="10000"/>
    <n v="5833.333333333333"/>
    <n v="10000"/>
    <n v="-3000"/>
    <n v="7000"/>
    <n v="16993.384481656212"/>
    <n v="11666.666666666666"/>
    <n v="-5000"/>
    <n v="6666.6666666666661"/>
    <n v="10326.717814989546"/>
    <n v="0"/>
    <m/>
    <n v="0"/>
    <n v="0"/>
    <n v="21666.666666666664"/>
    <n v="21666.666666666664"/>
    <n v="0"/>
    <n v="7000"/>
    <n v="14666.666666666664"/>
    <n v="13666.666666666666"/>
    <n v="7000"/>
    <n v="6666.6666666666661"/>
    <s v="Por atraso en ciertos productos del mix"/>
    <s v="Si"/>
    <n v="13666.666666666666"/>
    <n v="13666.666666666666"/>
    <n v="0"/>
    <d v="2022-07-23T00:00:00"/>
    <n v="3.492"/>
    <n v="3.3282738219999999"/>
    <n v="3.4081402502926825"/>
    <n v="46577.916753999991"/>
    <n v="3.2010175362574982"/>
    <n v="6.4705273148032774E-2"/>
    <m/>
    <n v="3.4081402502926825"/>
    <m/>
    <s v="OK"/>
    <s v="OK"/>
    <n v="35000"/>
    <n v="23000"/>
    <n v="45000"/>
    <n v="30000"/>
    <n v="41343"/>
    <n v="41667"/>
    <n v="153650"/>
    <n v="87386"/>
    <n v="155377"/>
    <n v="103333"/>
    <n v="141388"/>
    <n v="134460"/>
    <m/>
  </r>
  <r>
    <s v="Exportacion Directa1022370"/>
    <x v="0"/>
    <x v="4"/>
    <n v="1022370"/>
    <s v="GO MM Loin LL (29-32 VP)@ Bo Cj AP"/>
    <x v="6"/>
    <x v="37"/>
    <n v="25742"/>
    <n v="20000"/>
    <n v="0.87158319035419651"/>
    <n v="22436.294486097726"/>
    <n v="28902.286999999993"/>
    <n v="17214.218854131188"/>
    <n v="14000"/>
    <n v="52831.378454815786"/>
    <n v="60000"/>
    <n v="2500"/>
    <n v="52500"/>
    <n v="-20000"/>
    <n v="32500"/>
    <n v="20331.378454815786"/>
    <n v="20000"/>
    <n v="-10000"/>
    <n v="10000"/>
    <n v="10331.378454815786"/>
    <n v="0"/>
    <m/>
    <n v="0"/>
    <n v="0"/>
    <n v="52500"/>
    <n v="72500"/>
    <n v="0"/>
    <n v="32500"/>
    <n v="40000"/>
    <n v="42500"/>
    <n v="32500"/>
    <n v="10000"/>
    <s v="Por atraso en ciertos productos del mix"/>
    <s v="Si"/>
    <n v="42500"/>
    <n v="28902.286999999993"/>
    <n v="13597.713000000007"/>
    <d v="2022-07-23T00:00:00"/>
    <n v="3.6"/>
    <n v="3.7137364816666669"/>
    <n v="3.6869749565686276"/>
    <n v="156696.43565416668"/>
    <n v="3.5265830863619825"/>
    <n v="4.5480814226925001E-2"/>
    <m/>
    <n v="3.6869749565686276"/>
    <m/>
    <s v="OK"/>
    <s v="OK"/>
    <n v="30000"/>
    <n v="13000"/>
    <n v="18000"/>
    <n v="35000"/>
    <n v="30000"/>
    <n v="42500"/>
    <n v="126000"/>
    <n v="52063"/>
    <n v="72039"/>
    <n v="136267"/>
    <n v="110039"/>
    <n v="151844"/>
    <m/>
  </r>
  <r>
    <s v="Exportacion Directa1022371"/>
    <x v="0"/>
    <x v="4"/>
    <n v="1022371"/>
    <s v="GO Panc S/tec SP@ Fi Cj AP"/>
    <x v="8"/>
    <x v="10"/>
    <n v="36965"/>
    <n v="19000"/>
    <n v="0.87158319035419651"/>
    <n v="32218.072631442876"/>
    <n v="11577.777"/>
    <n v="1052.4868171434778"/>
    <n v="0"/>
    <n v="44743.087766872006"/>
    <n v="28000"/>
    <n v="3900"/>
    <n v="28000"/>
    <n v="-10000"/>
    <n v="18000"/>
    <n v="26743.087766872006"/>
    <n v="23400"/>
    <n v="-10000"/>
    <n v="13400"/>
    <n v="13343.087766872006"/>
    <n v="0"/>
    <m/>
    <n v="0"/>
    <n v="0"/>
    <n v="43600"/>
    <n v="51400"/>
    <n v="0"/>
    <n v="18000"/>
    <n v="33400"/>
    <n v="31400"/>
    <n v="18000"/>
    <n v="13400"/>
    <s v="Por atraso en ciertos productos del mix"/>
    <s v="Si"/>
    <n v="31400"/>
    <n v="11577.777"/>
    <n v="19822.222999999998"/>
    <d v="2022-07-23T00:00:00"/>
    <n v="4.68"/>
    <n v="4.6143291267857141"/>
    <n v="4.6423542765013641"/>
    <n v="145769.92428214283"/>
    <n v="4.1138976613085081"/>
    <n v="0.12845643200194964"/>
    <m/>
    <n v="4.6423542765013641"/>
    <m/>
    <s v="OK"/>
    <s v="OK"/>
    <n v="15000"/>
    <n v="30000"/>
    <n v="25000"/>
    <n v="22000"/>
    <n v="12000"/>
    <n v="24700"/>
    <n v="73701.857300000003"/>
    <n v="106487"/>
    <n v="116125"/>
    <n v="98645"/>
    <n v="53380"/>
    <n v="103051"/>
    <m/>
  </r>
  <r>
    <s v="Exportacion Directa1022472"/>
    <x v="0"/>
    <x v="4"/>
    <n v="1022472"/>
    <s v="GO Lom Ctro S/Tecla(OY)Mit@ Cj Tf 20k AP"/>
    <x v="6"/>
    <x v="8"/>
    <n v="0"/>
    <n v="0"/>
    <n v="0.87158319035419651"/>
    <n v="0"/>
    <n v="20160.351999999995"/>
    <n v="0"/>
    <n v="0"/>
    <n v="20160.351999999995"/>
    <n v="0"/>
    <n v="2500"/>
    <n v="0"/>
    <n v="0"/>
    <n v="0"/>
    <n v="20160.351999999995"/>
    <n v="0"/>
    <n v="0"/>
    <n v="0"/>
    <n v="20160.351999999995"/>
    <n v="20000"/>
    <m/>
    <n v="20000"/>
    <n v="0"/>
    <n v="20000"/>
    <n v="20000"/>
    <n v="0"/>
    <n v="0"/>
    <n v="20000"/>
    <n v="20000"/>
    <n v="0"/>
    <n v="20000"/>
    <n v="0"/>
    <s v="Si"/>
    <n v="20000"/>
    <n v="20000"/>
    <n v="0"/>
    <d v="2022-07-23T00:00:00"/>
    <n v="3.7775113372640718"/>
    <n v="3.7775113372640718"/>
    <n v="3.7775113372640718"/>
    <n v="75550.226745281441"/>
    <n v="3.7775113372640718"/>
    <n v="0"/>
    <m/>
    <n v="3.7775113372640718"/>
    <m/>
    <s v="OK"/>
    <s v="OK"/>
    <n v="7000"/>
    <n v="5000"/>
    <n v="3000"/>
    <n v="10000"/>
    <n v="4333"/>
    <n v="18000"/>
    <n v="32709.190900000001"/>
    <n v="21977"/>
    <n v="13095"/>
    <n v="42120"/>
    <n v="17417"/>
    <n v="69842"/>
    <m/>
  </r>
  <r>
    <s v="Exportacion Directa1022499"/>
    <x v="0"/>
    <x v="4"/>
    <n v="1022499"/>
    <s v="GO Lom Vet Mit@ 4 Bo Cj 10k AP"/>
    <x v="6"/>
    <x v="20"/>
    <n v="20626"/>
    <n v="27000"/>
    <n v="0.87158319035419651"/>
    <n v="17977.274884245657"/>
    <n v="6206.4009999999998"/>
    <n v="0"/>
    <n v="12000"/>
    <n v="12183.675884245655"/>
    <n v="30000"/>
    <n v="2500"/>
    <n v="10000"/>
    <n v="-10000"/>
    <n v="0"/>
    <n v="12183.675884245655"/>
    <n v="10000"/>
    <n v="-10000"/>
    <n v="0"/>
    <n v="12183.675884245655"/>
    <n v="0"/>
    <m/>
    <n v="0"/>
    <n v="0"/>
    <n v="10000"/>
    <n v="20000"/>
    <n v="0"/>
    <n v="0"/>
    <n v="20000"/>
    <n v="0"/>
    <n v="0"/>
    <n v="0"/>
    <n v="0"/>
    <s v="No"/>
    <n v="0"/>
    <n v="0"/>
    <n v="0"/>
    <d v="2022-07-23T00:00:00"/>
    <n v="3.8519999999999999"/>
    <n v="4.0434622209523807"/>
    <n v="0"/>
    <n v="0"/>
    <n v="3.7856714340849646"/>
    <s v="No Aplica"/>
    <m/>
    <n v="0"/>
    <m/>
    <s v="OK"/>
    <s v="OK"/>
    <n v="16000"/>
    <n v="3000"/>
    <n v="5000"/>
    <n v="20000"/>
    <n v="15000"/>
    <n v="23500"/>
    <n v="75542.537400000001"/>
    <n v="13294"/>
    <n v="22218"/>
    <n v="85842"/>
    <n v="61744"/>
    <n v="91183"/>
    <m/>
  </r>
  <r>
    <s v="Exportacion Directa1022587"/>
    <x v="0"/>
    <x v="4"/>
    <n v="1022587"/>
    <s v="GO CC Loin L (S/T) 45@ Fi Cj AP"/>
    <x v="6"/>
    <x v="38"/>
    <n v="2573"/>
    <n v="3000"/>
    <n v="0.87158319035419651"/>
    <n v="2242.5835487813474"/>
    <n v="2974.8369999999995"/>
    <n v="0"/>
    <n v="0"/>
    <n v="5217.420548781347"/>
    <n v="3000"/>
    <n v="3000"/>
    <n v="3000"/>
    <n v="0"/>
    <n v="3000"/>
    <n v="2217.420548781347"/>
    <n v="0"/>
    <n v="0"/>
    <n v="0"/>
    <n v="2217.420548781347"/>
    <n v="0"/>
    <m/>
    <n v="0"/>
    <n v="0"/>
    <n v="3000"/>
    <n v="3000"/>
    <n v="0"/>
    <n v="3000"/>
    <n v="0"/>
    <n v="3000"/>
    <n v="3000"/>
    <n v="0"/>
    <n v="0"/>
    <s v="Si"/>
    <n v="3000"/>
    <n v="2974.8369999999995"/>
    <n v="25.163000000000466"/>
    <d v="2022-07-23T00:00:00"/>
    <n v="3.8879999999999999"/>
    <n v="4.2024936666666699"/>
    <n v="4.2024936666666699"/>
    <n v="12607.481000000009"/>
    <n v="3.7343752598882016"/>
    <n v="0.1253538742628888"/>
    <m/>
    <n v="4.2024936666666699"/>
    <m/>
    <s v="OK"/>
    <s v="OK"/>
    <n v="5000"/>
    <n v="5000"/>
    <n v="5000"/>
    <n v="6000"/>
    <n v="3000"/>
    <n v="6000"/>
    <n v="23140.260300000002"/>
    <n v="21784"/>
    <n v="21814"/>
    <n v="24491"/>
    <n v="11934"/>
    <n v="22820"/>
    <m/>
  </r>
  <r>
    <s v="Exportacion Directa1022600"/>
    <x v="0"/>
    <x v="4"/>
    <n v="1022600"/>
    <s v="GO Lom Vet 2 a 2,3k@ Fi Verd Cj AP"/>
    <x v="6"/>
    <x v="20"/>
    <n v="4658"/>
    <n v="10000"/>
    <n v="0.87158319035419651"/>
    <n v="4059.8345006698473"/>
    <n v="17708.169999999998"/>
    <n v="0"/>
    <n v="5500"/>
    <n v="16268.004500669846"/>
    <n v="22500"/>
    <n v="2166.6666666666665"/>
    <n v="15166.666666666666"/>
    <n v="-3000"/>
    <n v="12166.666666666666"/>
    <n v="4101.3378340031795"/>
    <n v="2166.6666666666665"/>
    <n v="0"/>
    <n v="2166.6666666666665"/>
    <n v="1934.671167336513"/>
    <n v="0"/>
    <m/>
    <n v="0"/>
    <n v="0"/>
    <n v="15166.666666666666"/>
    <n v="17333.333333333332"/>
    <n v="0"/>
    <n v="12166.666666666666"/>
    <n v="5166.6666666666661"/>
    <n v="14333.333333333332"/>
    <n v="12166.666666666666"/>
    <n v="2166.6666666666661"/>
    <s v="Por atraso en ciertos productos del mix"/>
    <s v="Si"/>
    <n v="14333.333333333332"/>
    <n v="14333.333333333332"/>
    <n v="0"/>
    <d v="2022-07-23T00:00:00"/>
    <n v="3.6"/>
    <n v="3.6250919335555563"/>
    <n v="3.621298966855298"/>
    <n v="51905.2851915926"/>
    <n v="3.5412137344704799"/>
    <n v="2.2615193091922541E-2"/>
    <m/>
    <n v="3.621298966855298"/>
    <m/>
    <s v="OK"/>
    <s v="OK"/>
    <n v="18000"/>
    <n v="3000"/>
    <n v="11000"/>
    <n v="20000"/>
    <n v="19625"/>
    <n v="27333"/>
    <n v="78722.423299999995"/>
    <n v="12324"/>
    <n v="44841"/>
    <n v="78794"/>
    <n v="75391"/>
    <n v="97657"/>
    <m/>
  </r>
  <r>
    <s v="Exportacion Directa1022664"/>
    <x v="0"/>
    <x v="4"/>
    <n v="1022664"/>
    <s v="GO CC Loin L (S/T) (DF)@ Fi Cj AP"/>
    <x v="6"/>
    <x v="38"/>
    <n v="107035"/>
    <n v="57000"/>
    <n v="0.87158319035419651"/>
    <n v="93289.906779561425"/>
    <n v="30324.214999999986"/>
    <n v="11769.943747240315"/>
    <n v="18000"/>
    <n v="116207.0711520777"/>
    <n v="92000"/>
    <n v="3333.3333333333335"/>
    <n v="92000"/>
    <n v="-45000"/>
    <n v="47000"/>
    <n v="69207.071152077697"/>
    <n v="66666.666666666672"/>
    <n v="-40000"/>
    <n v="26666.666666666672"/>
    <n v="42540.404485411025"/>
    <n v="0"/>
    <m/>
    <n v="0"/>
    <n v="0"/>
    <n v="115333.33333333334"/>
    <n v="158666.66666666669"/>
    <n v="0"/>
    <n v="47000"/>
    <n v="111666.66666666669"/>
    <n v="73666.666666666672"/>
    <n v="47000"/>
    <n v="26666.666666666672"/>
    <s v="Por atraso en ciertos productos del mix"/>
    <s v="Si"/>
    <n v="73666.666666666672"/>
    <n v="30324.214999999986"/>
    <n v="43342.45166666669"/>
    <d v="2022-07-23T00:00:00"/>
    <n v="3.6360000000000001"/>
    <n v="3.6490553347826093"/>
    <n v="3.6443294217391307"/>
    <n v="268465.60073478264"/>
    <n v="3.392574660437556"/>
    <n v="7.4207581704069187E-2"/>
    <m/>
    <n v="3.6443294217391307"/>
    <m/>
    <s v="OK"/>
    <s v="OK"/>
    <n v="43000"/>
    <n v="23700"/>
    <n v="17000"/>
    <n v="30000"/>
    <n v="35000"/>
    <n v="30667"/>
    <n v="175870"/>
    <n v="88630"/>
    <n v="59165"/>
    <n v="105866"/>
    <n v="122382"/>
    <n v="103440"/>
    <m/>
  </r>
  <r>
    <s v="Exportacion Directa1022817"/>
    <x v="0"/>
    <x v="4"/>
    <n v="1022817"/>
    <s v="GO Lom Vet L@ VP Cj Lom Vet Mad AP"/>
    <x v="15"/>
    <x v="39"/>
    <n v="0"/>
    <n v="0"/>
    <n v="0.87158319035419651"/>
    <n v="0"/>
    <n v="0"/>
    <n v="0"/>
    <n v="0"/>
    <n v="0"/>
    <n v="0"/>
    <n v="5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3.5331456657730116"/>
    <n v="0"/>
    <n v="0"/>
    <n v="0"/>
    <n v="3.5331456657730116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Exportacion Directa1022869"/>
    <x v="0"/>
    <x v="4"/>
    <n v="1022869"/>
    <s v="GO Hso Pecho@ Cj 10k AP"/>
    <x v="1"/>
    <x v="1"/>
    <n v="0"/>
    <n v="0"/>
    <n v="0.87158319035419651"/>
    <n v="0"/>
    <n v="0"/>
    <n v="0"/>
    <n v="0"/>
    <n v="0"/>
    <n v="0"/>
    <n v="8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2.5326374074074072"/>
    <n v="0"/>
    <n v="0"/>
    <n v="0"/>
    <n v="2.5326374074074072"/>
    <s v="No Aplica"/>
    <m/>
    <n v="0"/>
    <m/>
    <s v="OK"/>
    <s v="OK"/>
    <n v="500"/>
    <n v="1300"/>
    <n v="2400"/>
    <n v="800"/>
    <n v="800"/>
    <n v="0"/>
    <n v="1446.6365000000001"/>
    <n v="3691"/>
    <n v="6801"/>
    <n v="2158"/>
    <n v="2158"/>
    <n v="0"/>
    <m/>
  </r>
  <r>
    <s v="Exportacion Directa1022901"/>
    <x v="0"/>
    <x v="4"/>
    <n v="1022901"/>
    <s v="GO Panc Tec S/Cue L@ Fi CJ Ch AP"/>
    <x v="8"/>
    <x v="10"/>
    <n v="0"/>
    <n v="0"/>
    <n v="0.87158319035419651"/>
    <n v="0"/>
    <n v="7281.8429999999989"/>
    <n v="698.6609890098099"/>
    <n v="0"/>
    <n v="7910.6378901088283"/>
    <n v="1000"/>
    <n v="5000"/>
    <n v="1000"/>
    <n v="0"/>
    <n v="1000"/>
    <n v="6910.6378901088283"/>
    <n v="0"/>
    <n v="0"/>
    <n v="0"/>
    <n v="6910.6378901088283"/>
    <n v="5000"/>
    <m/>
    <n v="5000"/>
    <n v="0"/>
    <n v="6000"/>
    <n v="6000"/>
    <n v="0"/>
    <n v="1000"/>
    <n v="5000"/>
    <n v="6000"/>
    <n v="1000"/>
    <n v="5000"/>
    <n v="0"/>
    <s v="Si"/>
    <n v="6000"/>
    <n v="6000"/>
    <n v="0"/>
    <d v="2022-07-23T00:00:00"/>
    <n v="4.3950615353047953"/>
    <n v="4.4589070199999998"/>
    <n v="4.4589070199999998"/>
    <n v="26753.44212"/>
    <n v="4.3950615353047953"/>
    <n v="1.4526641818856108E-2"/>
    <m/>
    <n v="4.4589070199999998"/>
    <m/>
    <s v="OK"/>
    <s v="OK"/>
    <n v="15000"/>
    <n v="12000"/>
    <n v="13000"/>
    <n v="18000"/>
    <n v="18000"/>
    <n v="13000"/>
    <n v="77324.533299999996"/>
    <n v="59373"/>
    <n v="64866"/>
    <n v="87127"/>
    <n v="85715"/>
    <n v="57833"/>
    <m/>
  </r>
  <r>
    <s v="Exportacion Directa1022919"/>
    <x v="0"/>
    <x v="4"/>
    <n v="1022919"/>
    <s v="GO MM LOIN S VP@ Cj 10k AP"/>
    <x v="6"/>
    <x v="37"/>
    <n v="8057"/>
    <n v="0"/>
    <n v="0.87158319035419651"/>
    <n v="7022.3457646837614"/>
    <n v="3766.3409999999994"/>
    <n v="0"/>
    <n v="0"/>
    <n v="10788.68676468376"/>
    <n v="24000"/>
    <n v="12000"/>
    <n v="0"/>
    <n v="0"/>
    <n v="0"/>
    <n v="10788.68676468376"/>
    <n v="0"/>
    <n v="0"/>
    <n v="0"/>
    <n v="10788.68676468376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3.4949638377816412"/>
    <n v="4.0470470583333302"/>
    <n v="0"/>
    <n v="0"/>
    <n v="3.4949638377816412"/>
    <s v="No Aplica"/>
    <m/>
    <n v="0"/>
    <m/>
    <s v="OK"/>
    <s v="OK"/>
    <n v="15000"/>
    <n v="48000"/>
    <n v="5000"/>
    <n v="24000"/>
    <n v="23000"/>
    <n v="12000"/>
    <n v="61076.933900000004"/>
    <n v="200184"/>
    <n v="20962"/>
    <n v="92261"/>
    <n v="84285"/>
    <n v="42413"/>
    <m/>
  </r>
  <r>
    <s v="Exportacion Directa1022931"/>
    <x v="0"/>
    <x v="4"/>
    <n v="1022931"/>
    <s v="GO File C/cab 6x1@ VP Cj AP"/>
    <x v="11"/>
    <x v="19"/>
    <n v="33920"/>
    <n v="20000"/>
    <n v="0.87158319035419651"/>
    <n v="29564.101816814346"/>
    <n v="41516.490999999995"/>
    <n v="6029.5318717303862"/>
    <n v="4000"/>
    <n v="72507.171501371689"/>
    <n v="28000"/>
    <n v="3000"/>
    <n v="28000"/>
    <n v="-10000"/>
    <n v="18000"/>
    <n v="54507.171501371689"/>
    <n v="54000"/>
    <n v="-30000"/>
    <n v="24000"/>
    <n v="30507.171501371689"/>
    <n v="0"/>
    <m/>
    <n v="0"/>
    <n v="0"/>
    <n v="70000"/>
    <n v="82000"/>
    <n v="0"/>
    <n v="18000"/>
    <n v="64000"/>
    <n v="42000"/>
    <n v="18000"/>
    <n v="24000"/>
    <s v="Por atraso en ciertos productos del mix"/>
    <s v="Si"/>
    <n v="42000"/>
    <n v="41516.490999999995"/>
    <n v="483.50900000000547"/>
    <d v="2022-07-23T00:00:00"/>
    <n v="4.1040000000000001"/>
    <n v="4.3744137811224491"/>
    <n v="4.2198916204810502"/>
    <n v="177235.4480602041"/>
    <n v="4.1606144980447475"/>
    <n v="1.4247203739774391E-2"/>
    <m/>
    <n v="4.2198916204810502"/>
    <m/>
    <s v="OK"/>
    <s v="OK"/>
    <n v="0"/>
    <n v="0"/>
    <n v="0"/>
    <n v="20000"/>
    <n v="20182"/>
    <n v="24000"/>
    <n v="0"/>
    <n v="0"/>
    <n v="0"/>
    <n v="45277"/>
    <n v="89258"/>
    <n v="101421"/>
    <m/>
  </r>
  <r>
    <s v="Exportacion Directa1022987"/>
    <x v="0"/>
    <x v="4"/>
    <n v="1022987"/>
    <s v="GO Lom Tocino@ Bo Cj 20k AP"/>
    <x v="3"/>
    <x v="3"/>
    <n v="41771"/>
    <n v="24000"/>
    <n v="0.87158319035419651"/>
    <n v="36406.90144428514"/>
    <n v="2660"/>
    <n v="13358"/>
    <n v="0"/>
    <n v="51089.101444285145"/>
    <n v="48000"/>
    <n v="24000"/>
    <n v="48000"/>
    <n v="-24000"/>
    <n v="24000"/>
    <n v="27089.101444285145"/>
    <n v="24000"/>
    <n v="0"/>
    <n v="24000"/>
    <n v="3089.1014442851447"/>
    <n v="0"/>
    <m/>
    <n v="0"/>
    <n v="0"/>
    <n v="48000"/>
    <n v="72000"/>
    <n v="0"/>
    <n v="24000"/>
    <n v="48000"/>
    <n v="48000"/>
    <n v="24000"/>
    <n v="24000"/>
    <s v="Por produccion a contenedor completo"/>
    <s v="Si"/>
    <n v="48000"/>
    <n v="2660"/>
    <n v="45340"/>
    <d v="2022-07-23T00:00:00"/>
    <n v="1.8"/>
    <n v="1.620076675"/>
    <n v="1.7100383375000001"/>
    <n v="82081.840200000006"/>
    <n v="1.2403970291666668"/>
    <n v="0.37862176165388867"/>
    <m/>
    <n v="1.7100383375000001"/>
    <m/>
    <s v="OK"/>
    <s v="OK"/>
    <n v="0"/>
    <n v="30000"/>
    <n v="24000"/>
    <n v="48000"/>
    <n v="24000"/>
    <n v="24000"/>
    <n v="0"/>
    <n v="39945"/>
    <n v="32309"/>
    <n v="64234"/>
    <n v="31541"/>
    <n v="32086"/>
    <m/>
  </r>
  <r>
    <s v="Exportacion Directa1022990"/>
    <x v="0"/>
    <x v="4"/>
    <n v="1022990"/>
    <s v="GO Panc Tec S/cue VP@ Cj ch AP"/>
    <x v="8"/>
    <x v="10"/>
    <n v="0"/>
    <n v="0"/>
    <n v="0.87158319035419651"/>
    <n v="0"/>
    <n v="25041.455000000005"/>
    <n v="0"/>
    <n v="0"/>
    <n v="25041.455000000005"/>
    <n v="0"/>
    <n v="3571.4285714285716"/>
    <n v="0"/>
    <n v="0"/>
    <n v="0"/>
    <n v="25041.455000000005"/>
    <n v="0"/>
    <n v="0"/>
    <n v="0"/>
    <n v="25041.455000000005"/>
    <n v="25000"/>
    <m/>
    <n v="25000"/>
    <n v="0"/>
    <n v="25000"/>
    <n v="25000"/>
    <n v="0"/>
    <n v="0"/>
    <n v="25000"/>
    <n v="25000"/>
    <n v="0"/>
    <n v="25000"/>
    <n v="0"/>
    <s v="Si"/>
    <n v="25000"/>
    <n v="25000"/>
    <n v="0"/>
    <d v="2022-07-23T00:00:00"/>
    <n v="0"/>
    <n v="4.8"/>
    <n v="4.8"/>
    <n v="120000"/>
    <n v="0"/>
    <s v="No Aplica"/>
    <m/>
    <n v="4.8"/>
    <m/>
    <s v="OK"/>
    <s v="OK"/>
    <n v="10000"/>
    <n v="20000"/>
    <n v="13000"/>
    <n v="0"/>
    <n v="0"/>
    <n v="0"/>
    <n v="49521.519800000002"/>
    <n v="99032"/>
    <n v="64807"/>
    <n v="0"/>
    <n v="0"/>
    <n v="0"/>
    <m/>
  </r>
  <r>
    <s v="Exportacion Directa1023051"/>
    <x v="0"/>
    <x v="4"/>
    <n v="1023051"/>
    <s v="GO Lom Vet L@ Fi Cj Lom Vet AP"/>
    <x v="6"/>
    <x v="20"/>
    <n v="0"/>
    <n v="0"/>
    <n v="0.87158319035419651"/>
    <n v="0"/>
    <n v="752.61300000000006"/>
    <n v="0"/>
    <n v="0"/>
    <n v="752.61300000000006"/>
    <n v="5000"/>
    <n v="3000"/>
    <n v="0"/>
    <n v="0"/>
    <n v="0"/>
    <n v="752.61300000000006"/>
    <n v="0"/>
    <n v="0"/>
    <n v="0"/>
    <n v="752.61300000000006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3.3607963461471231"/>
    <n v="3.4832440599999979"/>
    <n v="0"/>
    <n v="0"/>
    <n v="3.3607963461471231"/>
    <s v="No Aplica"/>
    <m/>
    <n v="0"/>
    <m/>
    <s v="OK"/>
    <s v="OK"/>
    <n v="0"/>
    <n v="0"/>
    <n v="0"/>
    <n v="3000"/>
    <n v="2500"/>
    <n v="0"/>
    <n v="0"/>
    <n v="0"/>
    <n v="0"/>
    <n v="11945"/>
    <n v="9324"/>
    <n v="0"/>
    <m/>
  </r>
  <r>
    <s v="Exportacion Directa1023055"/>
    <x v="0"/>
    <x v="4"/>
    <n v="1023055"/>
    <s v="GO Lom Vet M@ Fi Cj Lom Vet AP"/>
    <x v="6"/>
    <x v="20"/>
    <n v="1384"/>
    <n v="0"/>
    <n v="0.87158319035419651"/>
    <n v="1206.271135450208"/>
    <n v="724.0920000000001"/>
    <n v="0"/>
    <n v="0"/>
    <n v="1930.3631354502081"/>
    <n v="10000"/>
    <n v="3500"/>
    <n v="0"/>
    <n v="0"/>
    <n v="0"/>
    <n v="1930.3631354502081"/>
    <n v="0"/>
    <n v="0"/>
    <n v="0"/>
    <n v="1930.3631354502081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3.3876708917926774"/>
    <n v="3.4865977499999992"/>
    <n v="0"/>
    <n v="0"/>
    <n v="3.3876708917926774"/>
    <s v="No Aplica"/>
    <m/>
    <n v="0"/>
    <m/>
    <s v="OK"/>
    <s v="OK"/>
    <n v="0"/>
    <n v="0"/>
    <n v="5000"/>
    <n v="7000"/>
    <n v="5000"/>
    <n v="3500"/>
    <n v="0"/>
    <n v="0"/>
    <n v="9981"/>
    <n v="25759"/>
    <n v="17599"/>
    <n v="11967"/>
    <m/>
  </r>
  <r>
    <s v="Exportacion Directa1023163"/>
    <x v="0"/>
    <x v="4"/>
    <n v="1023163"/>
    <s v="GO Lom Vet &gt;2.0@ Fi Cj 8k AP"/>
    <x v="6"/>
    <x v="20"/>
    <n v="27526"/>
    <n v="25000"/>
    <n v="0.87158319035419651"/>
    <n v="23991.198897689614"/>
    <n v="17589.546000000006"/>
    <n v="5162.4898641656464"/>
    <n v="0"/>
    <n v="46226.985775438705"/>
    <n v="30000"/>
    <n v="5000"/>
    <n v="30000"/>
    <n v="-10000"/>
    <n v="20000"/>
    <n v="26226.985775438705"/>
    <n v="25000"/>
    <n v="-15000"/>
    <n v="10000"/>
    <n v="16226.985775438705"/>
    <n v="0"/>
    <m/>
    <n v="0"/>
    <n v="0"/>
    <n v="45000"/>
    <n v="55000"/>
    <n v="0"/>
    <n v="20000"/>
    <n v="35000"/>
    <n v="30000"/>
    <n v="20000"/>
    <n v="10000"/>
    <s v="Por atraso en ciertos productos del mix"/>
    <s v="Si"/>
    <n v="30000"/>
    <n v="17589.546000000006"/>
    <n v="12410.453999999994"/>
    <d v="2022-07-23T00:00:00"/>
    <n v="3.6720000000000002"/>
    <n v="3.7861838873333333"/>
    <n v="3.7481225915555556"/>
    <n v="112443.67774666667"/>
    <n v="3.4878734613363798"/>
    <n v="7.4615416271283333E-2"/>
    <m/>
    <n v="3.7481225915555556"/>
    <m/>
    <s v="OK"/>
    <s v="OK"/>
    <n v="15000"/>
    <n v="7000"/>
    <n v="4000"/>
    <n v="20000"/>
    <n v="15000"/>
    <n v="36000"/>
    <n v="65452.199099999998"/>
    <n v="28910"/>
    <n v="15584"/>
    <n v="76644"/>
    <n v="56279"/>
    <n v="128621"/>
    <m/>
  </r>
  <r>
    <s v="Exportacion Directa1023194"/>
    <x v="0"/>
    <x v="4"/>
    <n v="1023194"/>
    <s v="GO Cne Falda Panc@ Bo Cj AP"/>
    <x v="8"/>
    <x v="10"/>
    <n v="9298"/>
    <n v="10000"/>
    <n v="0.87158319035419651"/>
    <n v="8103.9805039133189"/>
    <n v="6705.5779999999995"/>
    <n v="5345"/>
    <n v="4500"/>
    <n v="15120.058503913318"/>
    <n v="13500"/>
    <n v="2000"/>
    <n v="13500"/>
    <n v="-4000"/>
    <n v="9500"/>
    <n v="5620.0585039133184"/>
    <n v="4000"/>
    <n v="-2000"/>
    <n v="2000"/>
    <n v="3620.0585039133184"/>
    <n v="0"/>
    <m/>
    <n v="0"/>
    <n v="0"/>
    <n v="13500"/>
    <n v="17500"/>
    <n v="0"/>
    <n v="9500"/>
    <n v="8000"/>
    <n v="11500"/>
    <n v="9500"/>
    <n v="2000"/>
    <s v="Por atraso en ciertos productos del mix"/>
    <s v="Si"/>
    <n v="11500"/>
    <n v="6705.5779999999995"/>
    <n v="4794.4220000000005"/>
    <d v="2022-07-23T00:00:00"/>
    <n v="2.88"/>
    <n v="2.97845876111111"/>
    <n v="2.961335498309178"/>
    <n v="34055.358230555546"/>
    <n v="2.9266386969017866"/>
    <n v="1.1855512415701434E-2"/>
    <m/>
    <n v="2.961335498309178"/>
    <s v="2,9 precio promedio entre dos ultimas propuestas"/>
    <s v="OK"/>
    <s v="OK"/>
    <n v="9000"/>
    <n v="5000"/>
    <n v="6000"/>
    <n v="12000"/>
    <n v="7000"/>
    <n v="12000"/>
    <n v="31228.744600000002"/>
    <n v="16284"/>
    <n v="19454"/>
    <n v="38303"/>
    <n v="21812"/>
    <n v="35498"/>
    <m/>
  </r>
  <r>
    <s v="Exportacion Directa1023301"/>
    <x v="0"/>
    <x v="4"/>
    <n v="1023301"/>
    <s v="GO CC Loin LL@ Bo Cj Lom Mad AP"/>
    <x v="6"/>
    <x v="38"/>
    <n v="1331"/>
    <n v="0"/>
    <n v="0.87158319035419651"/>
    <n v="1160.0772263614356"/>
    <n v="32737.43199999999"/>
    <n v="5094.9000000000005"/>
    <n v="0"/>
    <n v="38482.919226361431"/>
    <n v="23500"/>
    <n v="23500"/>
    <n v="23500"/>
    <n v="-10000"/>
    <n v="13500"/>
    <n v="24982.919226361431"/>
    <n v="0"/>
    <n v="0"/>
    <n v="0"/>
    <n v="24982.919226361431"/>
    <n v="23500"/>
    <m/>
    <n v="23500"/>
    <n v="0"/>
    <n v="23500"/>
    <n v="47000"/>
    <n v="0"/>
    <n v="13500"/>
    <n v="33500"/>
    <n v="37000"/>
    <n v="13500"/>
    <n v="23500"/>
    <s v="Por atraso en ciertos productos del mix"/>
    <s v="Si"/>
    <n v="37000"/>
    <n v="32737.43199999999"/>
    <n v="4262.5680000000102"/>
    <d v="2022-07-23T00:00:00"/>
    <n v="3.6024392572425428"/>
    <n v="3.6380178340425502"/>
    <n v="3.6380178340425497"/>
    <n v="134606.65985957434"/>
    <n v="3.6024392572425428"/>
    <n v="9.8762461375241362E-3"/>
    <m/>
    <n v="3.6380178340425497"/>
    <m/>
    <s v="OK"/>
    <s v="OK"/>
    <n v="60000"/>
    <n v="70000"/>
    <n v="35000"/>
    <n v="23500"/>
    <n v="23500"/>
    <n v="30000"/>
    <n v="249969.11989999999"/>
    <n v="294283"/>
    <n v="148549"/>
    <n v="96585"/>
    <n v="90551"/>
    <n v="111333"/>
    <m/>
  </r>
  <r>
    <s v="Exportacion Directa1023349"/>
    <x v="0"/>
    <x v="4"/>
    <n v="1023349"/>
    <s v="GO Lom Tecla VP@ Cj Lom Ctro"/>
    <x v="6"/>
    <x v="8"/>
    <n v="12866"/>
    <n v="5000"/>
    <n v="0.87158319035419651"/>
    <n v="11213.789327097093"/>
    <n v="6264.6100000000006"/>
    <n v="611.17269231705757"/>
    <n v="7500"/>
    <n v="10528.454750182445"/>
    <n v="5000"/>
    <n v="2500"/>
    <n v="5000"/>
    <n v="-5000"/>
    <n v="0"/>
    <n v="10528.454750182445"/>
    <n v="10000"/>
    <n v="-10000"/>
    <n v="0"/>
    <n v="10528.454750182445"/>
    <n v="0"/>
    <m/>
    <n v="0"/>
    <n v="0"/>
    <n v="10000"/>
    <n v="15000"/>
    <n v="0"/>
    <n v="0"/>
    <n v="15000"/>
    <n v="0"/>
    <n v="0"/>
    <n v="0"/>
    <n v="0"/>
    <s v="No"/>
    <n v="0"/>
    <n v="0"/>
    <n v="0"/>
    <d v="2022-07-23T00:00:00"/>
    <n v="3.7440000000000002"/>
    <n v="3.7015324399999998"/>
    <n v="0"/>
    <n v="0"/>
    <n v="3.7402780874156649"/>
    <s v="No Aplica"/>
    <m/>
    <n v="0"/>
    <m/>
    <s v="OK"/>
    <s v="OK"/>
    <n v="0"/>
    <n v="0"/>
    <n v="2000"/>
    <n v="5000"/>
    <n v="7500"/>
    <n v="12500"/>
    <n v="0"/>
    <n v="0"/>
    <n v="8694"/>
    <n v="20882"/>
    <n v="30493"/>
    <n v="47061"/>
    <m/>
  </r>
  <r>
    <s v="Exportacion Directa1023350"/>
    <x v="0"/>
    <x v="4"/>
    <n v="1023350"/>
    <s v="Lom Vet &gt;2.0@ VP Cj Lom Vet AP"/>
    <x v="6"/>
    <x v="20"/>
    <n v="15398"/>
    <n v="20000"/>
    <n v="0.87158319035419651"/>
    <n v="13420.637965073918"/>
    <n v="19054.394999999997"/>
    <n v="12451.553339192336"/>
    <n v="5000"/>
    <n v="38681.430970347021"/>
    <n v="20000"/>
    <n v="5000"/>
    <n v="20000"/>
    <n v="-10000"/>
    <n v="10000"/>
    <n v="28681.430970347021"/>
    <n v="25000"/>
    <n v="-15000"/>
    <n v="10000"/>
    <n v="18681.430970347021"/>
    <n v="0"/>
    <m/>
    <n v="0"/>
    <n v="0"/>
    <n v="35000"/>
    <n v="45000"/>
    <n v="0"/>
    <n v="10000"/>
    <n v="35000"/>
    <n v="20000"/>
    <n v="10000"/>
    <n v="10000"/>
    <s v="Por atraso en ciertos productos del mix"/>
    <s v="Si"/>
    <n v="20000"/>
    <n v="19054.394999999997"/>
    <n v="945.6050000000032"/>
    <d v="2022-07-23T00:00:00"/>
    <n v="3.3839999999999999"/>
    <n v="3.5535312499999998"/>
    <n v="3.4687656250000001"/>
    <n v="69375.3125"/>
    <n v="3.3811098664638948"/>
    <n v="2.5925143517379793E-2"/>
    <m/>
    <n v="3.4687656250000001"/>
    <m/>
    <s v="OK"/>
    <s v="OK"/>
    <n v="0"/>
    <n v="0"/>
    <n v="35000"/>
    <n v="15000"/>
    <n v="41143"/>
    <n v="26000"/>
    <n v="0"/>
    <n v="0"/>
    <n v="138326"/>
    <n v="56520"/>
    <n v="150241"/>
    <n v="88897"/>
    <m/>
  </r>
  <r>
    <s v="Exportacion Directa1023351"/>
    <x v="0"/>
    <x v="4"/>
    <n v="1023351"/>
    <s v="GO Panc S/tec L @VP Cj AP"/>
    <x v="8"/>
    <x v="10"/>
    <n v="8327"/>
    <n v="5000"/>
    <n v="0.87158319035419651"/>
    <n v="7257.6732260793942"/>
    <n v="2433.4389999999999"/>
    <n v="11.868219998063868"/>
    <n v="0"/>
    <n v="9701.7936240776526"/>
    <n v="5000"/>
    <n v="10000"/>
    <n v="5000"/>
    <n v="0"/>
    <n v="5000"/>
    <n v="4701.7936240776526"/>
    <n v="0"/>
    <n v="0"/>
    <n v="0"/>
    <n v="4701.7936240776526"/>
    <n v="0"/>
    <m/>
    <n v="0"/>
    <n v="0"/>
    <n v="5000"/>
    <n v="5000"/>
    <n v="0"/>
    <n v="5000"/>
    <n v="0"/>
    <n v="5000"/>
    <n v="5000"/>
    <n v="0"/>
    <n v="0"/>
    <s v="Si"/>
    <n v="5000"/>
    <n v="2433.4389999999999"/>
    <n v="2566.5610000000001"/>
    <d v="2022-07-23T00:00:00"/>
    <n v="4.7519999999999998"/>
    <n v="4.2384909400000002"/>
    <n v="4.2384909400000002"/>
    <n v="21192.454700000002"/>
    <n v="4.2103815448219528"/>
    <n v="6.6762109036453176E-3"/>
    <m/>
    <n v="4.2384909400000002"/>
    <m/>
    <s v="OK"/>
    <s v="OK"/>
    <n v="0"/>
    <n v="0"/>
    <n v="3000"/>
    <n v="8000"/>
    <n v="8214"/>
    <n v="5000"/>
    <n v="0"/>
    <n v="0"/>
    <n v="7484"/>
    <n v="37402"/>
    <n v="36664"/>
    <n v="20861"/>
    <m/>
  </r>
  <r>
    <s v="Exportacion Directa1023352"/>
    <x v="0"/>
    <x v="4"/>
    <n v="1023352"/>
    <s v="GO Panc Tec S/cue@ R VP Cj ch AP"/>
    <x v="8"/>
    <x v="10"/>
    <n v="26631"/>
    <n v="40000"/>
    <n v="0.87158319035419651"/>
    <n v="23211.131942322609"/>
    <n v="35045.349999999984"/>
    <n v="34321.68572210722"/>
    <n v="12500"/>
    <n v="76645.999092219092"/>
    <n v="28000"/>
    <n v="6470.588235294118"/>
    <n v="28000"/>
    <n v="0"/>
    <n v="28000"/>
    <n v="48645.999092219092"/>
    <n v="45294.117647058825"/>
    <n v="-15000"/>
    <n v="30294.117647058825"/>
    <n v="18351.881445160267"/>
    <n v="0"/>
    <m/>
    <n v="0"/>
    <n v="0"/>
    <n v="73294.117647058825"/>
    <n v="73294.117647058825"/>
    <n v="0"/>
    <n v="28000"/>
    <n v="45294.117647058825"/>
    <n v="58294.117647058825"/>
    <n v="28000"/>
    <n v="30294.117647058825"/>
    <s v="Por atraso en ciertos productos del mix"/>
    <s v="Si"/>
    <n v="58294.117647058825"/>
    <n v="35045.349999999984"/>
    <n v="23248.767647058841"/>
    <d v="2022-07-23T00:00:00"/>
    <n v="5.04"/>
    <n v="4.4167922974776781"/>
    <n v="4.7406590651860485"/>
    <n v="276352.53727055143"/>
    <n v="4.3418110817669122"/>
    <n v="9.1862122950044159E-2"/>
    <m/>
    <n v="4.7406590651860485"/>
    <m/>
    <s v="OK"/>
    <s v="OK"/>
    <n v="0"/>
    <n v="0"/>
    <n v="0"/>
    <n v="45000"/>
    <n v="118342"/>
    <n v="77647"/>
    <n v="0"/>
    <n v="0"/>
    <n v="0"/>
    <n v="217858"/>
    <n v="566146"/>
    <n v="344236"/>
    <m/>
  </r>
  <r>
    <s v="Agro Sudamerica1030224"/>
    <x v="1"/>
    <x v="0"/>
    <n v="1030224"/>
    <s v="PV Tru Larg@ Bo Cj 15k AS"/>
    <x v="16"/>
    <x v="40"/>
    <n v="7249"/>
    <n v="24000"/>
    <n v="0.45719439678473212"/>
    <n v="3314.202182292523"/>
    <n v="76971.372000000003"/>
    <n v="0"/>
    <n v="0"/>
    <n v="80285.574182292519"/>
    <n v="0"/>
    <n v="24000"/>
    <n v="0"/>
    <n v="0"/>
    <n v="0"/>
    <n v="80285.574182292519"/>
    <n v="72000"/>
    <n v="0"/>
    <n v="72000"/>
    <n v="8285.5741822925193"/>
    <n v="0"/>
    <m/>
    <n v="0"/>
    <n v="0"/>
    <n v="72000"/>
    <n v="72000"/>
    <n v="0"/>
    <n v="0"/>
    <n v="72000"/>
    <n v="72000"/>
    <n v="0"/>
    <n v="72000"/>
    <n v="0"/>
    <s v="Si"/>
    <n v="72000"/>
    <n v="72000"/>
    <n v="0"/>
    <d v="2022-07-15T00:00:00"/>
    <n v="2.1900416666666702"/>
    <n v="0"/>
    <n v="2.1900416666666702"/>
    <n v="157683.00000000026"/>
    <n v="2.1436888501196272"/>
    <n v="2.1622921882742615E-2"/>
    <m/>
    <n v="2.1900416666666702"/>
    <m/>
    <s v="OK"/>
    <s v="OK"/>
    <n v="48000"/>
    <n v="72000"/>
    <n v="48000"/>
    <n v="48000"/>
    <n v="48000"/>
    <n v="168009"/>
    <n v="96960"/>
    <n v="151019"/>
    <n v="91200"/>
    <n v="89040"/>
    <n v="96480"/>
    <n v="363684"/>
    <m/>
  </r>
  <r>
    <s v="Agro Sudamerica1030332"/>
    <x v="1"/>
    <x v="0"/>
    <n v="1030332"/>
    <s v="PV Tru Ala@ Ex Bo Cj AS"/>
    <x v="17"/>
    <x v="41"/>
    <n v="0"/>
    <n v="38160"/>
    <n v="0.45719439678473212"/>
    <n v="0"/>
    <n v="44680"/>
    <n v="0"/>
    <n v="0"/>
    <n v="44680"/>
    <n v="0"/>
    <n v="24000"/>
    <n v="0"/>
    <n v="0"/>
    <n v="0"/>
    <n v="44680"/>
    <n v="24000"/>
    <n v="0"/>
    <n v="24000"/>
    <n v="20680"/>
    <n v="0"/>
    <m/>
    <n v="0"/>
    <n v="0"/>
    <n v="24000"/>
    <n v="24000"/>
    <n v="0"/>
    <n v="0"/>
    <n v="24000"/>
    <n v="24000"/>
    <n v="0"/>
    <n v="24000"/>
    <n v="0"/>
    <s v="Si"/>
    <n v="24000"/>
    <n v="24000"/>
    <n v="0"/>
    <d v="2022-07-15T00:00:00"/>
    <n v="1.5866614255765199"/>
    <n v="0"/>
    <n v="1.5866614255765199"/>
    <n v="38079.874213836476"/>
    <n v="1.4441284166666668"/>
    <n v="9.8698292523629855E-2"/>
    <m/>
    <n v="1.5866614255765199"/>
    <m/>
    <s v="OK"/>
    <s v="OK"/>
    <n v="48000"/>
    <n v="168000"/>
    <n v="72000"/>
    <n v="48000"/>
    <n v="48000"/>
    <n v="0"/>
    <n v="72000"/>
    <n v="251769"/>
    <n v="111840"/>
    <n v="64800"/>
    <n v="72000"/>
    <n v="0"/>
    <m/>
  </r>
  <r>
    <s v="Agro Sudamerica1030498"/>
    <x v="1"/>
    <x v="0"/>
    <n v="1030498"/>
    <s v="PV Contre@ Bo Cj 10k AS"/>
    <x v="18"/>
    <x v="42"/>
    <n v="0"/>
    <n v="0"/>
    <n v="0.45719439678473212"/>
    <n v="0"/>
    <n v="15690"/>
    <n v="4630.0856103238402"/>
    <n v="0"/>
    <n v="19857.077049291456"/>
    <n v="0"/>
    <n v="24000"/>
    <n v="0"/>
    <n v="0"/>
    <n v="0"/>
    <n v="19857.077049291456"/>
    <n v="0"/>
    <n v="0"/>
    <n v="0"/>
    <n v="19857.077049291456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8314070833333331"/>
    <n v="0"/>
    <n v="0"/>
    <n v="0"/>
    <n v="1.8314070833333331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545"/>
    <x v="1"/>
    <x v="0"/>
    <n v="1030545"/>
    <s v="PV TruDeh Cort S/h S/p@ Bo Cj AS"/>
    <x v="19"/>
    <x v="43"/>
    <n v="0"/>
    <n v="0"/>
    <n v="0.45719439678473212"/>
    <n v="0"/>
    <n v="11550"/>
    <n v="0"/>
    <n v="0"/>
    <n v="11550"/>
    <n v="24000"/>
    <n v="24000"/>
    <n v="0"/>
    <n v="0"/>
    <n v="0"/>
    <n v="11550"/>
    <n v="0"/>
    <n v="0"/>
    <n v="0"/>
    <n v="1155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4.4541144444444445"/>
    <n v="4.5999999999999996"/>
    <n v="0"/>
    <n v="0"/>
    <n v="4.4541144444444445"/>
    <s v="No Aplica"/>
    <m/>
    <n v="0"/>
    <m/>
    <s v="OK"/>
    <s v="OK"/>
    <n v="24000"/>
    <n v="48000"/>
    <n v="44000"/>
    <n v="24000"/>
    <n v="72000"/>
    <n v="0"/>
    <n v="102960"/>
    <n v="198670"/>
    <n v="190200"/>
    <n v="104400"/>
    <n v="308400"/>
    <n v="0"/>
    <m/>
  </r>
  <r>
    <s v="Agro Sudamerica1030670"/>
    <x v="1"/>
    <x v="0"/>
    <n v="1030670"/>
    <s v="PV PchDeh S/p c/f MA@ Cj 15k AS"/>
    <x v="20"/>
    <x v="44"/>
    <n v="0"/>
    <n v="0"/>
    <n v="0.45719439678473212"/>
    <n v="0"/>
    <n v="51045"/>
    <n v="0"/>
    <n v="0"/>
    <n v="51045"/>
    <n v="0"/>
    <n v="24000"/>
    <n v="0"/>
    <n v="0"/>
    <n v="0"/>
    <n v="51045"/>
    <n v="0"/>
    <n v="0"/>
    <n v="0"/>
    <n v="51045"/>
    <n v="48000"/>
    <m/>
    <n v="48000"/>
    <n v="0"/>
    <n v="48000"/>
    <n v="48000"/>
    <n v="0"/>
    <n v="0"/>
    <n v="48000"/>
    <n v="48000"/>
    <n v="0"/>
    <n v="48000"/>
    <n v="0"/>
    <s v="Si"/>
    <n v="48000"/>
    <n v="48000"/>
    <n v="0"/>
    <d v="2022-07-15T00:00:00"/>
    <n v="9.7603943229166656"/>
    <n v="9.7603943229166656"/>
    <n v="9.7603943229166656"/>
    <n v="468498.92749999993"/>
    <n v="9.7603943229166656"/>
    <n v="0"/>
    <m/>
    <n v="9.7603943229166656"/>
    <m/>
    <s v="OK"/>
    <s v="OK"/>
    <n v="24000"/>
    <n v="96000"/>
    <n v="48000"/>
    <n v="72000"/>
    <n v="72000"/>
    <n v="48000"/>
    <n v="170400"/>
    <n v="703800"/>
    <n v="393280"/>
    <n v="579360"/>
    <n v="752400"/>
    <n v="572402"/>
    <m/>
  </r>
  <r>
    <s v="Agro Sudamerica1030720"/>
    <x v="1"/>
    <x v="0"/>
    <n v="1030720"/>
    <s v="PV Piel Tru@ Bo Cj AS"/>
    <x v="5"/>
    <x v="45"/>
    <n v="0"/>
    <n v="0"/>
    <n v="0.45719439678473212"/>
    <n v="0"/>
    <n v="19812.350000000002"/>
    <n v="6000"/>
    <n v="0"/>
    <n v="25212.350000000002"/>
    <n v="0"/>
    <n v="24000"/>
    <n v="0"/>
    <n v="0"/>
    <n v="0"/>
    <n v="25212.350000000002"/>
    <n v="0"/>
    <n v="0"/>
    <n v="0"/>
    <n v="25212.350000000002"/>
    <n v="24000"/>
    <m/>
    <n v="24000"/>
    <n v="0"/>
    <n v="24000"/>
    <n v="24000"/>
    <n v="0"/>
    <n v="0"/>
    <n v="24000"/>
    <n v="24000"/>
    <n v="0"/>
    <n v="24000"/>
    <n v="0"/>
    <s v="Si"/>
    <n v="24000"/>
    <n v="19812.350000000002"/>
    <n v="4187.6499999999978"/>
    <d v="2022-07-15T00:00:00"/>
    <n v="0.54548816690382662"/>
    <n v="0.54548816690382662"/>
    <n v="0.54548816690382662"/>
    <n v="13091.716005691838"/>
    <n v="0.54548816690382662"/>
    <n v="0"/>
    <m/>
    <n v="0.54548816690382662"/>
    <m/>
    <s v="OK"/>
    <s v="OK"/>
    <n v="0"/>
    <n v="24000"/>
    <n v="24000"/>
    <n v="28001"/>
    <n v="48000"/>
    <n v="24000"/>
    <n v="0"/>
    <n v="12000"/>
    <n v="12469"/>
    <n v="12880"/>
    <n v="22427"/>
    <n v="12960"/>
    <m/>
  </r>
  <r>
    <s v="Agro Sudamerica1030732"/>
    <x v="1"/>
    <x v="0"/>
    <n v="1030732"/>
    <s v="PV PchDeh Mrps C/piel@ Cj 18k AS"/>
    <x v="20"/>
    <x v="46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739"/>
    <x v="1"/>
    <x v="0"/>
    <n v="1030739"/>
    <s v="PV MA Tru Ala@ Bo Cj 15k AS"/>
    <x v="17"/>
    <x v="41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780"/>
    <x v="1"/>
    <x v="0"/>
    <n v="1030780"/>
    <s v="PV Pch Ent c/p s/m@ Bo Cj 20k AS"/>
    <x v="21"/>
    <x v="47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Asia1030309"/>
    <x v="1"/>
    <x v="1"/>
    <n v="1030309"/>
    <s v="PV Cog MA 15 kg@ Bo Cj 15k SO"/>
    <x v="18"/>
    <x v="48"/>
    <n v="0"/>
    <n v="0"/>
    <n v="0.45719439678473212"/>
    <n v="0"/>
    <n v="0"/>
    <n v="0"/>
    <n v="0"/>
    <n v="0"/>
    <n v="0"/>
    <n v="22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16000"/>
    <n v="0"/>
    <n v="22000"/>
    <n v="0"/>
    <n v="0"/>
    <n v="0"/>
    <n v="21120"/>
    <n v="0"/>
    <n v="28600"/>
    <n v="0"/>
    <n v="0"/>
    <n v="0"/>
    <m/>
  </r>
  <r>
    <s v="Agrosuper Asia1030535"/>
    <x v="1"/>
    <x v="1"/>
    <n v="1030535"/>
    <s v="PV Tru Larg MA@ Bo Cj SO"/>
    <x v="16"/>
    <x v="40"/>
    <n v="0"/>
    <n v="0"/>
    <n v="0.45719439678473212"/>
    <n v="0"/>
    <n v="150.96600000000001"/>
    <n v="0"/>
    <n v="0"/>
    <n v="150.96600000000001"/>
    <n v="19500"/>
    <n v="22000"/>
    <n v="0"/>
    <n v="0"/>
    <n v="0"/>
    <n v="150.96600000000001"/>
    <n v="0"/>
    <n v="0"/>
    <n v="0"/>
    <n v="150.96600000000001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2.3429269807958581"/>
    <n v="2.6"/>
    <n v="0"/>
    <n v="0"/>
    <n v="2.3429269807958581"/>
    <s v="No Aplica"/>
    <m/>
    <n v="0"/>
    <m/>
    <s v="OK"/>
    <s v="OK"/>
    <n v="6000"/>
    <n v="0"/>
    <n v="28000"/>
    <n v="44000"/>
    <n v="43998"/>
    <n v="22000"/>
    <n v="12420"/>
    <n v="0"/>
    <n v="58940"/>
    <n v="104751"/>
    <n v="49774"/>
    <n v="50891"/>
    <m/>
  </r>
  <r>
    <s v="Agrosuper Asia1030542"/>
    <x v="1"/>
    <x v="1"/>
    <n v="1030542"/>
    <s v="PV PchDeh S/p S/f@ Bo Cj 15k SO"/>
    <x v="20"/>
    <x v="44"/>
    <n v="0"/>
    <n v="0"/>
    <n v="0.45719439678473212"/>
    <n v="0"/>
    <n v="1050"/>
    <n v="0"/>
    <n v="0"/>
    <n v="1050"/>
    <n v="2500"/>
    <n v="24000"/>
    <n v="0"/>
    <n v="0"/>
    <n v="0"/>
    <n v="1050"/>
    <n v="0"/>
    <n v="0"/>
    <n v="0"/>
    <n v="105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0.789915670759438"/>
    <n v="12.580466530612201"/>
    <n v="0"/>
    <n v="0"/>
    <n v="10.789915670759438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0877"/>
    <x v="2"/>
    <x v="0"/>
    <n v="1010877"/>
    <s v="PO Molleja Mrps@ Cj 10k AS"/>
    <x v="18"/>
    <x v="42"/>
    <n v="118400"/>
    <n v="96263"/>
    <n v="0.45719439678473212"/>
    <n v="54131.816579312283"/>
    <n v="107870"/>
    <n v="6660"/>
    <n v="0"/>
    <n v="167995.81657931229"/>
    <n v="52590"/>
    <n v="24000"/>
    <n v="52590"/>
    <n v="0"/>
    <n v="52590"/>
    <n v="115405.81657931229"/>
    <n v="96000"/>
    <n v="0"/>
    <n v="96000"/>
    <n v="19405.81657931229"/>
    <n v="0"/>
    <m/>
    <n v="0"/>
    <n v="0"/>
    <n v="148590"/>
    <n v="148590"/>
    <n v="0"/>
    <n v="52590"/>
    <n v="96000"/>
    <n v="148590"/>
    <n v="52590"/>
    <n v="96000"/>
    <n v="0"/>
    <s v="Si"/>
    <n v="148590"/>
    <n v="107870"/>
    <n v="40720"/>
    <d v="2022-07-15T00:00:00"/>
    <n v="1.08666881356284"/>
    <n v="1.0866246355166032"/>
    <n v="1.0866531777633137"/>
    <n v="161465.7956838508"/>
    <n v="1.0571972388923516"/>
    <n v="2.7862292661512925E-2"/>
    <m/>
    <n v="1.0866531777633137"/>
    <m/>
    <s v="OK"/>
    <s v="OK"/>
    <n v="96000"/>
    <n v="123000"/>
    <n v="95960"/>
    <n v="48000"/>
    <n v="115000"/>
    <n v="162334"/>
    <n v="106278.39999999999"/>
    <n v="135580"/>
    <n v="95964"/>
    <n v="44149"/>
    <n v="123460"/>
    <n v="173356"/>
    <m/>
  </r>
  <r>
    <s v="Agro Sudamerica1011042"/>
    <x v="2"/>
    <x v="0"/>
    <n v="1011042"/>
    <s v="PO Pta Espinaz@ Cj 10k AS"/>
    <x v="22"/>
    <x v="49"/>
    <n v="0"/>
    <n v="0"/>
    <n v="0.45719439678473212"/>
    <n v="0"/>
    <n v="35030"/>
    <n v="0"/>
    <n v="0"/>
    <n v="35030"/>
    <n v="55410"/>
    <n v="24000"/>
    <n v="24000"/>
    <n v="0"/>
    <n v="24000"/>
    <n v="11030"/>
    <n v="0"/>
    <n v="0"/>
    <n v="0"/>
    <n v="11030"/>
    <n v="0"/>
    <m/>
    <n v="0"/>
    <n v="0"/>
    <n v="24000"/>
    <n v="24000"/>
    <n v="0"/>
    <n v="24000"/>
    <n v="0"/>
    <n v="24000"/>
    <n v="24000"/>
    <n v="0"/>
    <n v="0"/>
    <s v="Si"/>
    <n v="24000"/>
    <n v="24000"/>
    <n v="0"/>
    <d v="2022-07-15T00:00:00"/>
    <n v="0.54709475221700576"/>
    <n v="0.68"/>
    <n v="0.68"/>
    <n v="16320.000000000002"/>
    <n v="0.54709475221700576"/>
    <n v="0.24292912195633209"/>
    <m/>
    <n v="0.68"/>
    <m/>
    <s v="OK"/>
    <s v="OK"/>
    <n v="24000"/>
    <n v="0"/>
    <n v="23960"/>
    <n v="0"/>
    <n v="72000"/>
    <n v="36000"/>
    <n v="10800"/>
    <n v="0"/>
    <n v="9584"/>
    <n v="0"/>
    <n v="36177"/>
    <n v="20036"/>
    <m/>
  </r>
  <r>
    <s v="Agro Sudamerica1011047"/>
    <x v="2"/>
    <x v="0"/>
    <n v="1011047"/>
    <s v="PO PchDeh &gt;170g NMr@ Cj 10k SP"/>
    <x v="23"/>
    <x v="50"/>
    <n v="0"/>
    <n v="0"/>
    <n v="0.45719439678473212"/>
    <n v="0"/>
    <n v="120"/>
    <n v="0"/>
    <n v="0"/>
    <n v="120"/>
    <n v="0"/>
    <n v="24000"/>
    <n v="0"/>
    <n v="0"/>
    <n v="0"/>
    <n v="120"/>
    <n v="0"/>
    <n v="0"/>
    <n v="0"/>
    <n v="12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1250"/>
    <x v="2"/>
    <x v="0"/>
    <n v="1011250"/>
    <s v="PO PchDeh NMr s/cal 4x10@ Cj 20k Am AS"/>
    <x v="23"/>
    <x v="50"/>
    <n v="0"/>
    <n v="0"/>
    <n v="0.45719439678473212"/>
    <n v="0"/>
    <n v="11591.46"/>
    <n v="0"/>
    <n v="0"/>
    <n v="11591.46"/>
    <n v="0"/>
    <n v="24000"/>
    <n v="0"/>
    <n v="0"/>
    <n v="0"/>
    <n v="11591.46"/>
    <n v="0"/>
    <n v="0"/>
    <n v="0"/>
    <n v="11591.46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1290"/>
    <x v="2"/>
    <x v="0"/>
    <n v="1011290"/>
    <s v="PO Pch Piel@ Cj 20k AS"/>
    <x v="10"/>
    <x v="51"/>
    <n v="0"/>
    <n v="0"/>
    <n v="0.45719439678473212"/>
    <n v="0"/>
    <n v="499.31"/>
    <n v="0"/>
    <n v="0"/>
    <n v="499.31"/>
    <n v="0"/>
    <n v="24000"/>
    <n v="0"/>
    <n v="0"/>
    <n v="0"/>
    <n v="499.31"/>
    <n v="0"/>
    <n v="0"/>
    <n v="0"/>
    <n v="499.31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-0.1050591368323141"/>
    <n v="0"/>
    <n v="0"/>
    <n v="0"/>
    <n v="-0.1050591368323141"/>
    <s v="No Aplica"/>
    <m/>
    <n v="0"/>
    <m/>
    <s v="OK"/>
    <s v="OK"/>
    <n v="24000"/>
    <n v="23700"/>
    <n v="0"/>
    <n v="24000"/>
    <n v="0"/>
    <n v="8000"/>
    <n v="14800"/>
    <n v="14615"/>
    <n v="0"/>
    <n v="12000"/>
    <n v="0"/>
    <n v="3942"/>
    <m/>
  </r>
  <r>
    <s v="Agro Sudamerica1011421"/>
    <x v="2"/>
    <x v="0"/>
    <n v="1011421"/>
    <s v="PO Ppa Esp 50 Pim@ Cj 20k AS"/>
    <x v="24"/>
    <x v="52"/>
    <n v="912643"/>
    <n v="826199"/>
    <n v="0.8"/>
    <n v="730114.4"/>
    <n v="70233.347999999969"/>
    <n v="108000"/>
    <n v="0"/>
    <n v="897547.74800000002"/>
    <n v="596000"/>
    <n v="24000"/>
    <n v="596000"/>
    <n v="0"/>
    <n v="596000"/>
    <n v="301547.74800000002"/>
    <n v="288000"/>
    <n v="0"/>
    <n v="288000"/>
    <n v="13547.748000000021"/>
    <n v="0"/>
    <m/>
    <n v="0"/>
    <n v="24000"/>
    <n v="908000"/>
    <n v="908000"/>
    <n v="24000"/>
    <n v="596000"/>
    <n v="288000"/>
    <n v="908000"/>
    <n v="596000"/>
    <n v="288000"/>
    <n v="0"/>
    <s v="Si"/>
    <n v="884000"/>
    <n v="70233.347999999969"/>
    <n v="813766.652"/>
    <d v="2022-07-15T00:00:00"/>
    <n v="0.91999990317102798"/>
    <n v="1.067787641236754"/>
    <n v="1.0209122353304443"/>
    <n v="926988.30968004337"/>
    <n v="0.94615263818406936"/>
    <n v="7.9014309244922074E-2"/>
    <m/>
    <n v="1.0209122353304443"/>
    <m/>
    <s v="OK"/>
    <s v="OK"/>
    <n v="620000"/>
    <n v="696000"/>
    <n v="840000"/>
    <n v="720000"/>
    <n v="888000"/>
    <n v="647996"/>
    <n v="527000"/>
    <n v="487200"/>
    <n v="630000"/>
    <n v="562800"/>
    <n v="700080"/>
    <n v="639293"/>
    <m/>
  </r>
  <r>
    <s v="Agro Sudamerica1011422"/>
    <x v="2"/>
    <x v="0"/>
    <n v="1011422"/>
    <s v="PO Pch Piel Pim 50 ppm@ Cj 14 AS"/>
    <x v="10"/>
    <x v="51"/>
    <n v="0"/>
    <n v="1403"/>
    <n v="0.45719439678473212"/>
    <n v="0"/>
    <n v="1251.9760000000001"/>
    <n v="0"/>
    <n v="0"/>
    <n v="1251.9760000000001"/>
    <n v="0"/>
    <n v="24000"/>
    <n v="0"/>
    <n v="0"/>
    <n v="0"/>
    <n v="1251.9760000000001"/>
    <n v="0"/>
    <n v="0"/>
    <n v="0"/>
    <n v="1251.9760000000001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.58660014255167503"/>
    <n v="0"/>
    <n v="0"/>
    <n v="0"/>
    <n v="0"/>
    <s v="No Aplica"/>
    <m/>
    <n v="0"/>
    <m/>
    <s v="OK"/>
    <s v="OK"/>
    <n v="0"/>
    <n v="0"/>
    <n v="24000"/>
    <n v="0"/>
    <n v="0"/>
    <n v="0"/>
    <n v="0"/>
    <n v="0"/>
    <n v="12000"/>
    <n v="0"/>
    <n v="0"/>
    <n v="0"/>
    <m/>
  </r>
  <r>
    <s v="Agro Sudamerica1011558"/>
    <x v="2"/>
    <x v="0"/>
    <n v="1011558"/>
    <s v="PO Ppa Esp@ 2 blo x 10k Cj AS"/>
    <x v="24"/>
    <x v="52"/>
    <n v="96000"/>
    <n v="102583"/>
    <n v="0.8"/>
    <n v="76800"/>
    <n v="310349.745"/>
    <n v="0"/>
    <n v="0"/>
    <n v="387149.745"/>
    <n v="55000"/>
    <n v="24000"/>
    <n v="55000"/>
    <n v="0"/>
    <n v="55000"/>
    <n v="332149.745"/>
    <n v="312000"/>
    <n v="-120000"/>
    <n v="192000"/>
    <n v="140149.745"/>
    <n v="0"/>
    <m/>
    <n v="0"/>
    <n v="0"/>
    <n v="367000"/>
    <n v="367000"/>
    <n v="0"/>
    <n v="55000"/>
    <n v="312000"/>
    <n v="247000"/>
    <n v="55000"/>
    <n v="192000"/>
    <n v="0"/>
    <s v="Si"/>
    <n v="247000"/>
    <n v="247000"/>
    <n v="0"/>
    <d v="2022-07-15T00:00:00"/>
    <n v="0.93000789604515399"/>
    <n v="0.96350607314421466"/>
    <n v="0.93746700430607854"/>
    <n v="231554.35006360139"/>
    <n v="0.87728013195364896"/>
    <n v="6.8606218424663426E-2"/>
    <m/>
    <n v="0.93746700430607854"/>
    <m/>
    <s v="OK"/>
    <s v="OK"/>
    <n v="192000"/>
    <n v="408000"/>
    <n v="288000"/>
    <n v="264000"/>
    <n v="168000"/>
    <n v="119997"/>
    <n v="172800"/>
    <n v="399280"/>
    <n v="225819"/>
    <n v="212400"/>
    <n v="115440"/>
    <n v="138381"/>
    <m/>
  </r>
  <r>
    <s v="Agro Sudamerica1011582"/>
    <x v="2"/>
    <x v="0"/>
    <n v="1011582"/>
    <s v="GA S/m@ Gr Cj bca AS"/>
    <x v="25"/>
    <x v="53"/>
    <n v="0"/>
    <n v="0"/>
    <n v="0.45719439678473212"/>
    <n v="0"/>
    <n v="1545.6689999999999"/>
    <n v="0"/>
    <n v="0"/>
    <n v="1545.6689999999999"/>
    <n v="0"/>
    <n v="24000"/>
    <n v="0"/>
    <n v="0"/>
    <n v="0"/>
    <n v="1545.6689999999999"/>
    <n v="0"/>
    <n v="0"/>
    <n v="0"/>
    <n v="1545.6689999999999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.9702636324027214"/>
    <n v="0"/>
    <n v="0"/>
    <n v="0"/>
    <n v="0.9702636324027214"/>
    <s v="No Aplica"/>
    <m/>
    <n v="0"/>
    <m/>
    <s v="OK"/>
    <s v="OK"/>
    <n v="24000"/>
    <n v="82000"/>
    <n v="60000"/>
    <n v="24000"/>
    <n v="46500"/>
    <n v="0"/>
    <n v="22240"/>
    <n v="79107"/>
    <n v="58200"/>
    <n v="19680"/>
    <n v="45105"/>
    <n v="0"/>
    <m/>
  </r>
  <r>
    <s v="Agro Sudamerica1011888"/>
    <x v="2"/>
    <x v="0"/>
    <n v="1011888"/>
    <s v="PO Piel de pollo@ CJ As"/>
    <x v="10"/>
    <x v="51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1939"/>
    <x v="2"/>
    <x v="0"/>
    <n v="1011939"/>
    <s v="PO Tru Larg@ NNII Cj 15k"/>
    <x v="16"/>
    <x v="40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2207"/>
    <x v="2"/>
    <x v="0"/>
    <n v="1012207"/>
    <s v="PO Ctre Mrps@ Bo 12x1k Cj AS"/>
    <x v="18"/>
    <x v="42"/>
    <n v="0"/>
    <n v="0"/>
    <n v="0.45719439678473212"/>
    <n v="0"/>
    <n v="7152"/>
    <n v="31107"/>
    <n v="0"/>
    <n v="35148.300000000003"/>
    <n v="24000"/>
    <n v="24000"/>
    <n v="24000"/>
    <n v="0"/>
    <n v="24000"/>
    <n v="11148.300000000003"/>
    <n v="0"/>
    <n v="0"/>
    <n v="0"/>
    <n v="11148.300000000003"/>
    <n v="0"/>
    <m/>
    <n v="0"/>
    <n v="0"/>
    <n v="24000"/>
    <n v="24000"/>
    <n v="0"/>
    <n v="24000"/>
    <n v="0"/>
    <n v="24000"/>
    <n v="24000"/>
    <n v="0"/>
    <n v="0"/>
    <s v="Si"/>
    <n v="24000"/>
    <n v="7152"/>
    <n v="16848"/>
    <d v="2022-07-15T00:00:00"/>
    <n v="1.2563142474468441"/>
    <n v="1.20729166666667"/>
    <n v="1.20729166666667"/>
    <n v="28975.00000000008"/>
    <n v="1.2563142474468441"/>
    <n v="3.9020954255514217E-2"/>
    <m/>
    <n v="1.20729166666667"/>
    <m/>
    <s v="OK"/>
    <s v="OK"/>
    <n v="24000"/>
    <n v="60000"/>
    <n v="55476"/>
    <n v="24000"/>
    <n v="48000"/>
    <n v="72000"/>
    <n v="31254.7673"/>
    <n v="73760"/>
    <n v="63571"/>
    <n v="22080"/>
    <n v="58667"/>
    <n v="90939"/>
    <m/>
  </r>
  <r>
    <s v="Agro Sudamerica1012208"/>
    <x v="2"/>
    <x v="0"/>
    <n v="1012208"/>
    <s v="GA S/m@ Bo Cj AS"/>
    <x v="25"/>
    <x v="53"/>
    <n v="24000"/>
    <n v="6743"/>
    <n v="0.45719439678473212"/>
    <n v="10972.665522833571"/>
    <n v="17467.392999999996"/>
    <n v="4000"/>
    <n v="0"/>
    <n v="32040.058522833569"/>
    <n v="48000"/>
    <n v="24000"/>
    <n v="24000"/>
    <n v="0"/>
    <n v="24000"/>
    <n v="8040.0585228335694"/>
    <n v="0"/>
    <n v="0"/>
    <n v="0"/>
    <n v="8040.0585228335694"/>
    <n v="0"/>
    <m/>
    <n v="0"/>
    <n v="0"/>
    <n v="24000"/>
    <n v="24000"/>
    <n v="0"/>
    <n v="24000"/>
    <n v="0"/>
    <n v="24000"/>
    <n v="24000"/>
    <n v="0"/>
    <n v="0"/>
    <s v="Si"/>
    <n v="24000"/>
    <n v="17467.392999999996"/>
    <n v="6532.6070000000036"/>
    <d v="2022-07-15T00:00:00"/>
    <n v="1.5312175589500201"/>
    <n v="1.5060833333333352"/>
    <n v="1.5060833333333352"/>
    <n v="36146.000000000044"/>
    <n v="1.4283910792944958"/>
    <n v="5.4391444447561783E-2"/>
    <m/>
    <n v="1.5060833333333352"/>
    <m/>
    <s v="OK"/>
    <s v="OK"/>
    <n v="24000"/>
    <n v="120000"/>
    <n v="72000"/>
    <n v="0"/>
    <n v="24000"/>
    <n v="24000"/>
    <n v="34374.025999999998"/>
    <n v="172320"/>
    <n v="105840"/>
    <n v="0"/>
    <n v="34080"/>
    <n v="36052"/>
    <m/>
  </r>
  <r>
    <s v="Agro Sudamerica1012283"/>
    <x v="2"/>
    <x v="0"/>
    <n v="1012283"/>
    <s v="PO Pana S/Corazón@ Cj 20k AS"/>
    <x v="18"/>
    <x v="54"/>
    <n v="48021"/>
    <n v="49802"/>
    <n v="0.45719439678473212"/>
    <n v="21954.932127999622"/>
    <n v="34541.485000000008"/>
    <n v="0"/>
    <n v="0"/>
    <n v="56496.41712799963"/>
    <n v="23000"/>
    <n v="24000"/>
    <n v="23000"/>
    <n v="0"/>
    <n v="23000"/>
    <n v="33496.41712799963"/>
    <n v="24000"/>
    <n v="0"/>
    <n v="24000"/>
    <n v="9496.4171279996299"/>
    <n v="0"/>
    <m/>
    <n v="0"/>
    <n v="0"/>
    <n v="47000"/>
    <n v="47000"/>
    <n v="0"/>
    <n v="23000"/>
    <n v="24000"/>
    <n v="47000"/>
    <n v="23000"/>
    <n v="24000"/>
    <n v="0"/>
    <s v="Si"/>
    <n v="47000"/>
    <n v="34541.485000000008"/>
    <n v="12458.514999999992"/>
    <d v="2022-07-15T00:00:00"/>
    <n v="0.786673611111111"/>
    <n v="0.852281437125749"/>
    <n v="0.81877956852252953"/>
    <n v="38482.639720558887"/>
    <n v="0.83370492769172111"/>
    <n v="1.7902448064587333E-2"/>
    <m/>
    <n v="0.81877956852252953"/>
    <m/>
    <s v="OK"/>
    <s v="OK"/>
    <n v="72000"/>
    <n v="48000"/>
    <n v="60779"/>
    <n v="48000"/>
    <n v="48000"/>
    <n v="48000"/>
    <n v="50924.302000000003"/>
    <n v="34400"/>
    <n v="42545"/>
    <n v="36960"/>
    <n v="38133"/>
    <n v="38287"/>
    <m/>
  </r>
  <r>
    <s v="Agro Sudamerica1012362"/>
    <x v="2"/>
    <x v="0"/>
    <n v="1012362"/>
    <s v="PO Corazon@ Cj 18k AS"/>
    <x v="18"/>
    <x v="55"/>
    <n v="0"/>
    <n v="0"/>
    <n v="0.45719439678473212"/>
    <n v="0"/>
    <n v="36936"/>
    <n v="9020"/>
    <n v="0"/>
    <n v="45054"/>
    <n v="29000"/>
    <n v="24000"/>
    <n v="29000"/>
    <n v="0"/>
    <n v="29000"/>
    <n v="16054"/>
    <n v="0"/>
    <n v="0"/>
    <n v="0"/>
    <n v="16054"/>
    <n v="0"/>
    <m/>
    <n v="0"/>
    <n v="0"/>
    <n v="29000"/>
    <n v="29000"/>
    <n v="0"/>
    <n v="29000"/>
    <n v="0"/>
    <n v="29000"/>
    <n v="29000"/>
    <n v="0"/>
    <n v="0"/>
    <s v="Si"/>
    <n v="29000"/>
    <n v="29000"/>
    <n v="0"/>
    <d v="2022-07-15T00:00:00"/>
    <n v="0.76218269555862916"/>
    <n v="0.81251149310344795"/>
    <n v="0.81251149310344795"/>
    <n v="23562.833299999991"/>
    <n v="0.76218269555862916"/>
    <n v="6.603245893418129E-2"/>
    <m/>
    <n v="0.81251149310344795"/>
    <m/>
    <s v="OK"/>
    <s v="OK"/>
    <n v="0"/>
    <n v="3000"/>
    <n v="0"/>
    <n v="0"/>
    <n v="13000"/>
    <n v="10000"/>
    <n v="0"/>
    <n v="1790"/>
    <n v="0"/>
    <n v="0"/>
    <n v="10310"/>
    <n v="7859"/>
    <m/>
  </r>
  <r>
    <s v="Agro Sudamerica1012552"/>
    <x v="2"/>
    <x v="0"/>
    <n v="1012552"/>
    <s v="PO PchDeh Random@ Cj 10k AS"/>
    <x v="23"/>
    <x v="50"/>
    <n v="47900"/>
    <n v="48000"/>
    <n v="0.45719439678473212"/>
    <n v="21899.61160598867"/>
    <n v="45820"/>
    <n v="0"/>
    <n v="0"/>
    <n v="67719.61160598867"/>
    <n v="47000"/>
    <n v="24000"/>
    <n v="47000"/>
    <n v="0"/>
    <n v="47000"/>
    <n v="20719.61160598867"/>
    <n v="0"/>
    <n v="0"/>
    <n v="0"/>
    <n v="20719.61160598867"/>
    <n v="0"/>
    <m/>
    <n v="0"/>
    <n v="0"/>
    <n v="47000"/>
    <n v="47000"/>
    <n v="0"/>
    <n v="47000"/>
    <n v="0"/>
    <n v="47000"/>
    <n v="47000"/>
    <n v="0"/>
    <n v="0"/>
    <s v="Si"/>
    <n v="47000"/>
    <n v="45820"/>
    <n v="1180"/>
    <d v="2022-07-15T00:00:00"/>
    <n v="3.5"/>
    <n v="4.2734042553191491"/>
    <n v="4.2734042553191491"/>
    <n v="200850"/>
    <n v="4.4655941048034942"/>
    <n v="4.3037912755575496E-2"/>
    <m/>
    <n v="4.2734042553191491"/>
    <m/>
    <s v="OK"/>
    <s v="OK"/>
    <n v="48000"/>
    <n v="48000"/>
    <n v="48000"/>
    <n v="24000"/>
    <n v="72000"/>
    <n v="46000"/>
    <n v="168000"/>
    <n v="176400"/>
    <n v="194629"/>
    <n v="94080"/>
    <n v="321014"/>
    <n v="207000"/>
    <m/>
  </r>
  <r>
    <s v="Agro Sudamerica1012556"/>
    <x v="2"/>
    <x v="0"/>
    <n v="1012556"/>
    <s v="PO CDM 14% proteina@ Cj 20k AS"/>
    <x v="24"/>
    <x v="56"/>
    <n v="270907"/>
    <n v="240000"/>
    <n v="0.8"/>
    <n v="216725.6"/>
    <n v="0"/>
    <n v="30000"/>
    <n v="0"/>
    <n v="243725.6"/>
    <n v="148000"/>
    <n v="24000"/>
    <n v="148000"/>
    <n v="0"/>
    <n v="148000"/>
    <n v="95725.6"/>
    <n v="72000"/>
    <n v="0"/>
    <n v="72000"/>
    <n v="23725.600000000006"/>
    <n v="0"/>
    <m/>
    <n v="0"/>
    <n v="0"/>
    <n v="220000"/>
    <n v="220000"/>
    <n v="0"/>
    <n v="148000"/>
    <n v="72000"/>
    <n v="220000"/>
    <n v="148000"/>
    <n v="72000"/>
    <n v="0"/>
    <s v="Si"/>
    <n v="220000"/>
    <n v="0"/>
    <n v="220000"/>
    <d v="2022-07-15T00:00:00"/>
    <n v="1"/>
    <n v="1.1676406040816301"/>
    <n v="1.1127764063821874"/>
    <n v="244810.80940408123"/>
    <n v="1.0462301833087406"/>
    <n v="6.3605719023505897E-2"/>
    <m/>
    <n v="1.1127764063821874"/>
    <m/>
    <s v="OK"/>
    <s v="OK"/>
    <n v="0"/>
    <n v="0"/>
    <n v="24000"/>
    <n v="72000"/>
    <n v="48000"/>
    <n v="0"/>
    <n v="0"/>
    <n v="0"/>
    <n v="18950"/>
    <n v="57600"/>
    <n v="38400"/>
    <n v="0"/>
    <m/>
  </r>
  <r>
    <s v="Agro Sudamerica1012602"/>
    <x v="2"/>
    <x v="0"/>
    <n v="1012602"/>
    <s v="PO Ala Ctro NMr IQF@ Cj 20k AS"/>
    <x v="17"/>
    <x v="57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2698"/>
    <x v="2"/>
    <x v="0"/>
    <n v="1012698"/>
    <s v="PO File 4x10 NMr SD@ CJ AS"/>
    <x v="11"/>
    <x v="58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.92774166666666658"/>
    <n v="0"/>
    <n v="0"/>
    <n v="0"/>
    <n v="0.92774166666666658"/>
    <s v="No Aplica"/>
    <m/>
    <n v="0"/>
    <m/>
    <s v="OK"/>
    <s v="OK"/>
    <n v="0"/>
    <n v="0"/>
    <n v="80"/>
    <n v="0"/>
    <n v="0"/>
    <n v="0"/>
    <n v="0"/>
    <n v="0"/>
    <n v="480"/>
    <n v="0"/>
    <n v="0"/>
    <n v="0"/>
    <m/>
  </r>
  <r>
    <s v="Agro Sudamerica1012699"/>
    <x v="2"/>
    <x v="0"/>
    <n v="1012699"/>
    <s v="PO Tru- Ctro Ala 4x10NMr@Bo Cj 20k SD"/>
    <x v="17"/>
    <x v="41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.92774166666666658"/>
    <n v="0"/>
    <n v="0"/>
    <n v="0"/>
    <n v="0.92774166666666658"/>
    <s v="No Aplica"/>
    <m/>
    <n v="0"/>
    <m/>
    <s v="OK"/>
    <s v="OK"/>
    <n v="0"/>
    <n v="0"/>
    <n v="80"/>
    <n v="0"/>
    <n v="0"/>
    <n v="0"/>
    <n v="0"/>
    <n v="0"/>
    <n v="520"/>
    <n v="0"/>
    <n v="0"/>
    <n v="0"/>
    <m/>
  </r>
  <r>
    <s v="Agro Sudamerica1012719"/>
    <x v="2"/>
    <x v="0"/>
    <n v="1012719"/>
    <s v="PO Ppa Esp@ 2 Blox10kg CJ AS SD"/>
    <x v="24"/>
    <x v="56"/>
    <n v="348886"/>
    <n v="434000"/>
    <n v="0.8"/>
    <n v="279108.8"/>
    <n v="39995.399999999987"/>
    <n v="78450"/>
    <n v="0"/>
    <n v="389709.19999999995"/>
    <n v="45880"/>
    <n v="24000"/>
    <n v="45880"/>
    <n v="0"/>
    <n v="45880"/>
    <n v="343829.19999999995"/>
    <n v="336000"/>
    <n v="0"/>
    <n v="336000"/>
    <n v="7829.1999999999534"/>
    <n v="0"/>
    <m/>
    <n v="0"/>
    <n v="0"/>
    <n v="381880"/>
    <n v="381880"/>
    <n v="0"/>
    <n v="45880"/>
    <n v="336000"/>
    <n v="381880"/>
    <n v="45880"/>
    <n v="336000"/>
    <n v="0"/>
    <s v="Si"/>
    <n v="381880"/>
    <n v="39995.399999999987"/>
    <n v="341884.60000000003"/>
    <d v="2022-07-15T00:00:00"/>
    <n v="0.92"/>
    <n v="0.60986732532150889"/>
    <n v="0.88273989966940092"/>
    <n v="337100.71288575081"/>
    <n v="0.62570987931720246"/>
    <n v="0.41078146413906558"/>
    <m/>
    <n v="0.88273989966940092"/>
    <m/>
    <s v="OK"/>
    <s v="OK"/>
    <n v="192000"/>
    <n v="423600"/>
    <n v="357200"/>
    <n v="144000"/>
    <n v="358600"/>
    <n v="24000"/>
    <n v="134400"/>
    <n v="285844"/>
    <n v="241660"/>
    <n v="80640"/>
    <n v="251432"/>
    <n v="16965"/>
    <s v="revisar"/>
  </r>
  <r>
    <s v="Agro Sudamerica1012744"/>
    <x v="2"/>
    <x v="0"/>
    <n v="1012744"/>
    <s v="PO Pch Deh NMr@SD Cj 20kg AS"/>
    <x v="23"/>
    <x v="50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3.3862169089258183"/>
    <n v="0"/>
    <n v="0"/>
    <n v="0"/>
    <n v="3.3862169089258183"/>
    <s v="No Aplica"/>
    <m/>
    <n v="0"/>
    <m/>
    <s v="OK"/>
    <s v="OK"/>
    <n v="0"/>
    <n v="143000"/>
    <n v="72000"/>
    <n v="24000"/>
    <n v="24000"/>
    <n v="0"/>
    <n v="0"/>
    <n v="487469"/>
    <n v="249600"/>
    <n v="78000"/>
    <n v="81600"/>
    <n v="0"/>
    <m/>
  </r>
  <r>
    <s v="Agro Sudamerica1012763"/>
    <x v="2"/>
    <x v="0"/>
    <n v="1012763"/>
    <s v="PO Pana S/cora blo@Cj 20kg AS"/>
    <x v="18"/>
    <x v="54"/>
    <n v="63748"/>
    <n v="48000"/>
    <n v="0.45719439678473212"/>
    <n v="29145.228406233102"/>
    <n v="12761.287"/>
    <n v="15000"/>
    <n v="0"/>
    <n v="55406.515406233098"/>
    <n v="48000"/>
    <n v="24000"/>
    <n v="48000"/>
    <n v="0"/>
    <n v="48000"/>
    <n v="7406.5154062330985"/>
    <n v="0"/>
    <n v="0"/>
    <n v="0"/>
    <n v="7406.5154062330985"/>
    <n v="0"/>
    <m/>
    <n v="0"/>
    <n v="0"/>
    <n v="48000"/>
    <n v="48000"/>
    <n v="0"/>
    <n v="48000"/>
    <n v="0"/>
    <n v="48000"/>
    <n v="48000"/>
    <n v="0"/>
    <n v="0"/>
    <s v="Si"/>
    <n v="48000"/>
    <n v="12761.287"/>
    <n v="35238.713000000003"/>
    <d v="2022-07-15T00:00:00"/>
    <n v="0.76666666666666705"/>
    <n v="0.92248611111111101"/>
    <n v="0.92248611111111101"/>
    <n v="44279.333333333328"/>
    <n v="0.74222288988175678"/>
    <n v="0.2428693909697017"/>
    <m/>
    <n v="0.92248611111111101"/>
    <m/>
    <s v="OK"/>
    <s v="OK"/>
    <n v="0"/>
    <n v="0"/>
    <n v="48000"/>
    <n v="48000"/>
    <n v="48000"/>
    <n v="48000"/>
    <n v="0"/>
    <n v="0"/>
    <n v="33600"/>
    <n v="35760"/>
    <n v="33334"/>
    <n v="33539"/>
    <m/>
  </r>
  <r>
    <s v="Agro Sudamerica1012778"/>
    <x v="2"/>
    <x v="0"/>
    <n v="1012778"/>
    <s v="PO Corazón@ Placa Cj 19kg SD"/>
    <x v="18"/>
    <x v="55"/>
    <n v="0"/>
    <n v="0"/>
    <n v="0.45719439678473212"/>
    <n v="0"/>
    <n v="32712.170000000009"/>
    <n v="0"/>
    <n v="0"/>
    <n v="32712.170000000009"/>
    <n v="17000"/>
    <n v="24000"/>
    <n v="17000"/>
    <n v="0"/>
    <n v="17000"/>
    <n v="15712.170000000009"/>
    <n v="0"/>
    <n v="0"/>
    <n v="0"/>
    <n v="15712.170000000009"/>
    <n v="0"/>
    <m/>
    <n v="0"/>
    <n v="0"/>
    <n v="17000"/>
    <n v="17000"/>
    <n v="0"/>
    <n v="17000"/>
    <n v="0"/>
    <n v="17000"/>
    <n v="17000"/>
    <n v="0"/>
    <n v="0"/>
    <s v="Si"/>
    <n v="17000"/>
    <n v="17000"/>
    <n v="0"/>
    <d v="2022-07-15T00:00:00"/>
    <n v="0.76394730256139576"/>
    <n v="0.76630116829268302"/>
    <n v="0.76630116829268302"/>
    <n v="13027.119860975612"/>
    <n v="0.76394730256139576"/>
    <n v="3.0811886152292442E-3"/>
    <m/>
    <n v="0.76630116829268302"/>
    <m/>
    <s v="OK"/>
    <s v="OK"/>
    <n v="0"/>
    <n v="0"/>
    <n v="0"/>
    <n v="0"/>
    <n v="24000"/>
    <n v="24000"/>
    <n v="0"/>
    <n v="0"/>
    <n v="0"/>
    <n v="0"/>
    <n v="12000"/>
    <n v="16800"/>
    <m/>
  </r>
  <r>
    <s v="Agrosuper Asia1012012"/>
    <x v="2"/>
    <x v="1"/>
    <n v="1012012"/>
    <s v="PO Ala Ctro Mr@ Fi Cj 18k AS"/>
    <x v="17"/>
    <x v="57"/>
    <n v="19677"/>
    <n v="20000"/>
    <n v="0.45719439678473212"/>
    <n v="8996.214145533173"/>
    <n v="22627.360000000001"/>
    <n v="0"/>
    <n v="0"/>
    <n v="31623.574145533174"/>
    <n v="37000"/>
    <n v="22000"/>
    <n v="22000"/>
    <n v="0"/>
    <n v="22000"/>
    <n v="9623.5741455331736"/>
    <n v="0"/>
    <n v="0"/>
    <n v="0"/>
    <n v="9623.5741455331736"/>
    <n v="0"/>
    <m/>
    <n v="0"/>
    <n v="0"/>
    <n v="22000"/>
    <n v="22000"/>
    <n v="0"/>
    <n v="22000"/>
    <n v="0"/>
    <n v="22000"/>
    <n v="22000"/>
    <n v="0"/>
    <n v="0"/>
    <s v="Si"/>
    <n v="22000"/>
    <n v="22000"/>
    <n v="0"/>
    <d v="2022-07-12T00:00:00"/>
    <n v="6.4665499999999998"/>
    <n v="6.5189189189189189"/>
    <n v="6.5189189189189189"/>
    <n v="143416.21621621621"/>
    <n v="7.1892472517020423"/>
    <n v="9.324040602782499E-2"/>
    <m/>
    <n v="6.5189189189189189"/>
    <m/>
    <s v="OK"/>
    <s v="OK"/>
    <n v="108000"/>
    <n v="88000"/>
    <n v="0"/>
    <n v="0"/>
    <n v="0"/>
    <n v="19958"/>
    <n v="851564.46669999999"/>
    <n v="445280"/>
    <n v="0"/>
    <n v="0"/>
    <n v="0"/>
    <n v="146960"/>
    <m/>
  </r>
  <r>
    <s v="Agrosuper Asia1012612"/>
    <x v="2"/>
    <x v="1"/>
    <n v="1012612"/>
    <s v="PO Ppa Esp Blo@ Bo Cj 20k AS"/>
    <x v="24"/>
    <x v="52"/>
    <n v="1503671"/>
    <n v="1300000"/>
    <n v="0.45719439678473212"/>
    <n v="687469.95580769493"/>
    <n v="135355.07999999999"/>
    <n v="440000"/>
    <n v="0"/>
    <n v="1218825.0358076948"/>
    <n v="1100000"/>
    <n v="25000"/>
    <n v="1100000"/>
    <n v="-600000"/>
    <n v="500000"/>
    <n v="718825.03580769477"/>
    <n v="700000"/>
    <n v="-200000"/>
    <n v="500000"/>
    <n v="218825.03580769477"/>
    <n v="0"/>
    <m/>
    <n v="0"/>
    <n v="370324.5"/>
    <n v="1570324.5"/>
    <n v="2170324.5"/>
    <n v="370324.5"/>
    <n v="500000"/>
    <n v="1300000"/>
    <n v="1370324.5"/>
    <n v="500000"/>
    <n v="500000"/>
    <n v="0"/>
    <s v="Si"/>
    <n v="1000000"/>
    <n v="135355.07999999999"/>
    <n v="864644.92"/>
    <d v="2022-07-12T00:00:00"/>
    <n v="1.03592"/>
    <n v="1.2275710285714301"/>
    <n v="1.1576419611967206"/>
    <n v="1586345.1416559154"/>
    <n v="1.0289914124159547"/>
    <n v="0.12502587215835848"/>
    <m/>
    <n v="1.1576419611967206"/>
    <m/>
    <s v="OK"/>
    <s v="OK"/>
    <n v="625000"/>
    <n v="625000"/>
    <n v="950000"/>
    <n v="1100000"/>
    <n v="1291866"/>
    <n v="1074071"/>
    <n v="354215.07679999998"/>
    <n v="420938"/>
    <n v="695083"/>
    <n v="1039305"/>
    <n v="1122892"/>
    <n v="1235238"/>
    <m/>
  </r>
  <r>
    <s v="Agrosuper Brasil1011560"/>
    <x v="2"/>
    <x v="2"/>
    <n v="1011560"/>
    <s v="PO Corazón@ Bo Cj 18k AS"/>
    <x v="18"/>
    <x v="55"/>
    <n v="17570"/>
    <n v="0"/>
    <n v="0.81420840482290169"/>
    <n v="14305.641672738382"/>
    <n v="17856"/>
    <n v="11643.236615"/>
    <n v="0"/>
    <n v="42640.554626238387"/>
    <n v="48000"/>
    <n v="24000"/>
    <n v="24000"/>
    <n v="0"/>
    <n v="24000"/>
    <n v="18640.554626238387"/>
    <n v="0"/>
    <n v="0"/>
    <n v="0"/>
    <n v="18640.554626238387"/>
    <n v="0"/>
    <m/>
    <n v="0"/>
    <n v="0"/>
    <n v="24000"/>
    <n v="24000"/>
    <n v="0"/>
    <n v="24000"/>
    <n v="0"/>
    <n v="24000"/>
    <n v="24000"/>
    <n v="0"/>
    <n v="0"/>
    <s v="Si"/>
    <n v="24000"/>
    <n v="17856"/>
    <n v="6144"/>
    <d v="2022-07-22T00:00:00"/>
    <n v="2.601064701064701"/>
    <n v="2.8"/>
    <n v="2.8"/>
    <n v="67200"/>
    <n v="2.601064701064701"/>
    <n v="7.6482256998016265E-2"/>
    <m/>
    <n v="2.8"/>
    <m/>
    <s v="OK"/>
    <s v="OK"/>
    <n v="0"/>
    <n v="24000"/>
    <n v="0"/>
    <n v="0"/>
    <n v="24000"/>
    <n v="24000"/>
    <n v="0"/>
    <n v="60000"/>
    <n v="0"/>
    <n v="0"/>
    <n v="60000"/>
    <n v="64134"/>
    <m/>
  </r>
  <r>
    <s v="Agrosuper Brasil1012362"/>
    <x v="2"/>
    <x v="2"/>
    <n v="1012362"/>
    <s v="PO Corazon@ Cj 18k AS"/>
    <x v="18"/>
    <x v="55"/>
    <n v="25923"/>
    <n v="0"/>
    <n v="0.81420840482290169"/>
    <n v="21106.724478224081"/>
    <n v="36936"/>
    <n v="9020"/>
    <n v="0"/>
    <n v="66160.724478224089"/>
    <n v="71990"/>
    <n v="24000"/>
    <n v="48000"/>
    <n v="-24000"/>
    <n v="24000"/>
    <n v="42160.724478224089"/>
    <n v="0"/>
    <n v="0"/>
    <n v="0"/>
    <n v="42160.724478224089"/>
    <n v="0"/>
    <m/>
    <n v="0"/>
    <n v="0"/>
    <n v="48000"/>
    <n v="48000"/>
    <n v="0"/>
    <n v="24000"/>
    <n v="24000"/>
    <n v="24000"/>
    <n v="24000"/>
    <n v="0"/>
    <n v="0"/>
    <s v="Si"/>
    <n v="24000"/>
    <n v="24000"/>
    <n v="0"/>
    <d v="2022-07-22T00:00:00"/>
    <n v="0"/>
    <n v="2.7000000000000006"/>
    <n v="2.7000000000000006"/>
    <n v="64800.000000000015"/>
    <n v="2.7"/>
    <n v="1.6447748512965281E-16"/>
    <m/>
    <n v="2.7000000000000006"/>
    <m/>
    <s v="OK"/>
    <s v="OK"/>
    <n v="24000"/>
    <n v="24000"/>
    <n v="47990"/>
    <n v="23995"/>
    <n v="24000"/>
    <n v="24000"/>
    <n v="69600"/>
    <n v="66400"/>
    <n v="136772"/>
    <n v="70785"/>
    <n v="64800"/>
    <n v="64800"/>
    <m/>
  </r>
  <r>
    <s v="Agrosuper Brasil1012674"/>
    <x v="2"/>
    <x v="2"/>
    <n v="1012674"/>
    <s v="PO Corazon@Pla Cj 19k"/>
    <x v="18"/>
    <x v="55"/>
    <n v="56200"/>
    <n v="0"/>
    <n v="0.81420840482290169"/>
    <n v="45758.512351047073"/>
    <n v="24418.751"/>
    <n v="15000"/>
    <n v="0"/>
    <n v="83677.263351047077"/>
    <n v="119980"/>
    <n v="24000"/>
    <n v="72000"/>
    <n v="-24000"/>
    <n v="48000"/>
    <n v="35677.263351047077"/>
    <n v="0"/>
    <n v="0"/>
    <n v="0"/>
    <n v="35677.263351047077"/>
    <n v="0"/>
    <m/>
    <n v="0"/>
    <n v="0"/>
    <n v="72000"/>
    <n v="72000"/>
    <n v="0"/>
    <n v="48000"/>
    <n v="24000"/>
    <n v="48000"/>
    <n v="48000"/>
    <n v="0"/>
    <n v="0"/>
    <s v="Si"/>
    <n v="48000"/>
    <n v="24418.751"/>
    <n v="23581.249"/>
    <d v="2022-07-22T00:00:00"/>
    <n v="2.4663739932253623"/>
    <n v="2.4800008334722454"/>
    <n v="2.4800008334722454"/>
    <n v="119040.04000666778"/>
    <n v="2.4663739932253623"/>
    <n v="5.5250502496025792E-3"/>
    <m/>
    <n v="2.4800008334722454"/>
    <m/>
    <s v="OK"/>
    <s v="OK"/>
    <n v="24000"/>
    <n v="72000"/>
    <n v="24000"/>
    <n v="23995"/>
    <n v="24000"/>
    <n v="48000"/>
    <n v="64800"/>
    <n v="184509"/>
    <n v="64800"/>
    <n v="63587"/>
    <n v="60000"/>
    <n v="119200"/>
    <m/>
  </r>
  <r>
    <s v="Agrosuper Shanghai1011586"/>
    <x v="2"/>
    <x v="3"/>
    <n v="1011586"/>
    <s v="PO Ala Media B 4x10@ Cj 20k AS"/>
    <x v="17"/>
    <x v="57"/>
    <n v="0"/>
    <n v="0"/>
    <n v="0.45719439678473212"/>
    <n v="0"/>
    <n v="7749.4079999999985"/>
    <n v="10000"/>
    <n v="0"/>
    <n v="16749.407999999999"/>
    <n v="0"/>
    <n v="24000"/>
    <n v="0"/>
    <n v="0"/>
    <n v="0"/>
    <n v="16749.407999999999"/>
    <n v="0"/>
    <n v="0"/>
    <n v="0"/>
    <n v="16749.407999999999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3.5672511487960774"/>
    <n v="0"/>
    <n v="0"/>
    <n v="0"/>
    <n v="3.5672511487960774"/>
    <s v="No Aplica"/>
    <m/>
    <n v="0"/>
    <m/>
    <s v="OK"/>
    <s v="OK"/>
    <n v="96000"/>
    <n v="72000"/>
    <n v="48000"/>
    <n v="48000"/>
    <n v="48000"/>
    <n v="24000"/>
    <n v="231360"/>
    <n v="185400"/>
    <n v="112800"/>
    <n v="130080"/>
    <n v="145830"/>
    <n v="86400"/>
    <m/>
  </r>
  <r>
    <s v="Agrosuper Shanghai1011968"/>
    <x v="2"/>
    <x v="3"/>
    <n v="1011968"/>
    <s v="PO Garra L A@ Bo Cj 20k AS"/>
    <x v="26"/>
    <x v="59"/>
    <n v="0"/>
    <n v="0"/>
    <n v="0.45719439678473212"/>
    <n v="0"/>
    <n v="0"/>
    <n v="464"/>
    <n v="0"/>
    <n v="417.6"/>
    <n v="0"/>
    <n v="24000"/>
    <n v="0"/>
    <n v="0"/>
    <n v="0"/>
    <n v="417.6"/>
    <n v="0"/>
    <n v="0"/>
    <n v="0"/>
    <n v="417.6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6.1013147108130763"/>
    <n v="0"/>
    <n v="0"/>
    <n v="0"/>
    <n v="6.1013147108130763"/>
    <s v="No Aplica"/>
    <m/>
    <n v="0"/>
    <m/>
    <s v="OK"/>
    <s v="OK"/>
    <n v="5660"/>
    <n v="0"/>
    <n v="0"/>
    <n v="0"/>
    <n v="0"/>
    <n v="0"/>
    <n v="20942"/>
    <n v="0"/>
    <n v="0"/>
    <n v="0"/>
    <n v="0"/>
    <n v="0"/>
    <m/>
  </r>
  <r>
    <s v="Agrosuper Shanghai1012312"/>
    <x v="2"/>
    <x v="3"/>
    <n v="1012312"/>
    <s v="PO Piel @ Cj 20k AS MUESTRA SAG"/>
    <x v="15"/>
    <x v="39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12448"/>
    <x v="2"/>
    <x v="3"/>
    <n v="1012448"/>
    <s v="PO Garra Economy@ Cj 20k AS"/>
    <x v="26"/>
    <x v="59"/>
    <n v="0"/>
    <n v="0"/>
    <n v="0.45719439678473212"/>
    <n v="0"/>
    <n v="20352.079895233328"/>
    <n v="94319"/>
    <n v="0"/>
    <n v="105239.17989523333"/>
    <n v="0"/>
    <n v="24000"/>
    <n v="0"/>
    <n v="0"/>
    <n v="0"/>
    <n v="105239.17989523333"/>
    <n v="0"/>
    <n v="0"/>
    <n v="0"/>
    <n v="105239.17989523333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5.5967821456551832"/>
    <n v="0"/>
    <n v="0"/>
    <n v="0"/>
    <n v="5.5967821456551832"/>
    <s v="No Aplica"/>
    <m/>
    <n v="0"/>
    <m/>
    <s v="OK"/>
    <s v="OK"/>
    <n v="168000"/>
    <n v="144000"/>
    <n v="96000"/>
    <n v="144000"/>
    <n v="168000"/>
    <n v="96000"/>
    <n v="609560"/>
    <n v="518400"/>
    <n v="393600"/>
    <n v="661338"/>
    <n v="885718"/>
    <n v="532800"/>
    <m/>
  </r>
  <r>
    <s v="Agrosuper Shanghai1012452"/>
    <x v="2"/>
    <x v="3"/>
    <n v="1012452"/>
    <s v="PO Ala Media Grado B@ Cj AS"/>
    <x v="17"/>
    <x v="57"/>
    <n v="0"/>
    <n v="0"/>
    <n v="0.45719439678473212"/>
    <n v="0"/>
    <n v="22754.479999999989"/>
    <n v="8000"/>
    <n v="0"/>
    <n v="29954.479999999989"/>
    <n v="0"/>
    <n v="24000"/>
    <n v="0"/>
    <n v="0"/>
    <n v="0"/>
    <n v="29954.479999999989"/>
    <n v="0"/>
    <n v="0"/>
    <n v="0"/>
    <n v="29954.479999999989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2.5790651301561871"/>
    <n v="0"/>
    <n v="0"/>
    <n v="0"/>
    <n v="2.5790651301561871"/>
    <s v="No Aplica"/>
    <m/>
    <n v="0"/>
    <m/>
    <s v="OK"/>
    <s v="OK"/>
    <n v="24000"/>
    <n v="72000"/>
    <n v="37721"/>
    <n v="0"/>
    <n v="24000"/>
    <n v="24000"/>
    <n v="59280"/>
    <n v="186120"/>
    <n v="99961"/>
    <n v="0"/>
    <n v="47293"/>
    <n v="63258"/>
    <m/>
  </r>
  <r>
    <s v="Agrosuper Shanghai1012455"/>
    <x v="2"/>
    <x v="3"/>
    <n v="1012455"/>
    <s v="PO Ctro Pta Ala Choice@ Cj 20k AS"/>
    <x v="17"/>
    <x v="60"/>
    <n v="0"/>
    <n v="0"/>
    <n v="0.45719439678473212"/>
    <n v="0"/>
    <n v="37346.245104962443"/>
    <n v="50000"/>
    <n v="0"/>
    <n v="82346.245104962436"/>
    <n v="0"/>
    <n v="24000"/>
    <n v="0"/>
    <n v="0"/>
    <n v="0"/>
    <n v="82346.245104962436"/>
    <n v="0"/>
    <n v="0"/>
    <n v="0"/>
    <n v="82346.245104962436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2.9735763086061664"/>
    <n v="0"/>
    <n v="0"/>
    <n v="0"/>
    <n v="2.9735763086061664"/>
    <s v="No Aplica"/>
    <m/>
    <n v="0"/>
    <m/>
    <s v="OK"/>
    <s v="OK"/>
    <n v="144000"/>
    <n v="48000"/>
    <n v="48000"/>
    <n v="120000"/>
    <n v="120000"/>
    <n v="192000"/>
    <n v="312480"/>
    <n v="106800"/>
    <n v="115200"/>
    <n v="289800"/>
    <n v="323225"/>
    <n v="541042"/>
    <m/>
  </r>
  <r>
    <s v="Agrosuper Shanghai1012502"/>
    <x v="2"/>
    <x v="3"/>
    <n v="1012502"/>
    <s v="PO Garra Large B@ Cj 20k AS"/>
    <x v="26"/>
    <x v="59"/>
    <n v="0"/>
    <n v="0"/>
    <n v="0.45719439678473212"/>
    <n v="0"/>
    <n v="9681.9182652210184"/>
    <n v="1800"/>
    <n v="0"/>
    <n v="11301.918265221018"/>
    <n v="0"/>
    <n v="24000"/>
    <n v="0"/>
    <n v="0"/>
    <n v="0"/>
    <n v="11301.918265221018"/>
    <n v="0"/>
    <n v="0"/>
    <n v="0"/>
    <n v="11301.918265221018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5.1840394995829859"/>
    <n v="0"/>
    <n v="0"/>
    <n v="0"/>
    <n v="5.1840394995829859"/>
    <s v="No Aplica"/>
    <m/>
    <n v="0"/>
    <m/>
    <s v="OK"/>
    <s v="OK"/>
    <n v="0"/>
    <n v="0"/>
    <n v="0"/>
    <n v="0"/>
    <n v="12000"/>
    <n v="0"/>
    <n v="0"/>
    <n v="0"/>
    <n v="0"/>
    <n v="0"/>
    <n v="52600"/>
    <n v="0"/>
    <m/>
  </r>
  <r>
    <s v="Agrosuper Shanghai1012503"/>
    <x v="2"/>
    <x v="3"/>
    <n v="1012503"/>
    <s v="PO Garra M B@ Cj 20k AS"/>
    <x v="26"/>
    <x v="59"/>
    <n v="0"/>
    <n v="0"/>
    <n v="0.45719439678473212"/>
    <n v="0"/>
    <n v="0"/>
    <n v="64000"/>
    <n v="0"/>
    <n v="57600"/>
    <n v="16500"/>
    <n v="24000"/>
    <n v="16500"/>
    <n v="0"/>
    <n v="16500"/>
    <n v="41100"/>
    <n v="0"/>
    <n v="0"/>
    <n v="0"/>
    <n v="41100"/>
    <n v="0"/>
    <m/>
    <n v="0"/>
    <n v="0"/>
    <n v="16500"/>
    <n v="16500"/>
    <n v="0"/>
    <n v="16500"/>
    <n v="0"/>
    <n v="16500"/>
    <n v="16500"/>
    <n v="0"/>
    <n v="0"/>
    <s v="Si"/>
    <n v="16500"/>
    <n v="0"/>
    <n v="16500"/>
    <d v="2022-07-12T00:00:00"/>
    <n v="5.3949904181083079"/>
    <n v="4.3833333333333302"/>
    <n v="4.3833333333333302"/>
    <n v="72324.999999999942"/>
    <n v="5.3949904181083079"/>
    <n v="0.187517864976988"/>
    <m/>
    <n v="4.3833333333333302"/>
    <m/>
    <s v="OK"/>
    <s v="OK"/>
    <n v="14000"/>
    <n v="0"/>
    <n v="0"/>
    <n v="0"/>
    <n v="12000"/>
    <n v="12000"/>
    <n v="46900"/>
    <n v="0"/>
    <n v="0"/>
    <n v="0"/>
    <n v="64578"/>
    <n v="56400"/>
    <m/>
  </r>
  <r>
    <s v="Agrosuper Shanghai1012504"/>
    <x v="2"/>
    <x v="3"/>
    <n v="1012504"/>
    <s v="PO Garra Economy@ Cj 20k AS"/>
    <x v="26"/>
    <x v="59"/>
    <n v="0"/>
    <n v="0"/>
    <n v="0.45719439678473212"/>
    <n v="0"/>
    <n v="6199.5673412421493"/>
    <n v="11700"/>
    <n v="0"/>
    <n v="16729.567341242149"/>
    <n v="0"/>
    <n v="24000"/>
    <n v="0"/>
    <n v="0"/>
    <n v="0"/>
    <n v="16729.567341242149"/>
    <n v="0"/>
    <n v="0"/>
    <n v="0"/>
    <n v="16729.567341242149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5.387454117154812"/>
    <n v="0"/>
    <n v="0"/>
    <n v="0"/>
    <n v="5.387454117154812"/>
    <s v="No Aplica"/>
    <m/>
    <n v="0"/>
    <m/>
    <s v="OK"/>
    <s v="OK"/>
    <n v="48000"/>
    <n v="72000"/>
    <n v="24000"/>
    <n v="24000"/>
    <n v="72000"/>
    <n v="48000"/>
    <n v="168720"/>
    <n v="254520"/>
    <n v="90000"/>
    <n v="51375"/>
    <n v="373545"/>
    <n v="176000"/>
    <m/>
  </r>
  <r>
    <s v="Agrosuper Shanghai1012598"/>
    <x v="2"/>
    <x v="3"/>
    <n v="1012598"/>
    <s v="GA Garra G Large B@ Cj 20k AS"/>
    <x v="26"/>
    <x v="59"/>
    <n v="0"/>
    <n v="0"/>
    <n v="0.45719439678473212"/>
    <n v="0"/>
    <n v="800"/>
    <n v="1000"/>
    <n v="0"/>
    <n v="1700"/>
    <n v="7500"/>
    <n v="24000"/>
    <n v="0"/>
    <n v="0"/>
    <n v="0"/>
    <n v="1700"/>
    <n v="0"/>
    <n v="0"/>
    <n v="0"/>
    <n v="170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1.38333333333333"/>
    <n v="0"/>
    <n v="0"/>
    <n v="0"/>
    <s v="No Aplica"/>
    <m/>
    <n v="0"/>
    <m/>
    <s v="OK"/>
    <s v="OK"/>
    <n v="4340"/>
    <n v="0"/>
    <n v="10660"/>
    <n v="0"/>
    <n v="0"/>
    <n v="0"/>
    <n v="3906"/>
    <n v="0"/>
    <n v="10660"/>
    <n v="0"/>
    <n v="0"/>
    <n v="0"/>
    <m/>
  </r>
  <r>
    <s v="Agro Mexico1012764"/>
    <x v="2"/>
    <x v="5"/>
    <n v="1012764"/>
    <s v="PO Ppa Esp@ Bo Cj 20k AS"/>
    <x v="24"/>
    <x v="61"/>
    <n v="96000"/>
    <n v="135684"/>
    <n v="0.8"/>
    <n v="76800"/>
    <n v="62544.360999999997"/>
    <n v="66900"/>
    <n v="0"/>
    <n v="199554.361"/>
    <n v="72000"/>
    <n v="24000"/>
    <n v="72000"/>
    <n v="0"/>
    <n v="72000"/>
    <n v="127554.361"/>
    <n v="120000"/>
    <n v="144000"/>
    <n v="264000"/>
    <n v="-136445.639"/>
    <n v="0"/>
    <m/>
    <n v="0"/>
    <n v="23989.05"/>
    <n v="215989.05"/>
    <n v="215989.05"/>
    <n v="23989.05"/>
    <n v="72000"/>
    <n v="120000"/>
    <n v="359989.05"/>
    <n v="72000"/>
    <n v="264000"/>
    <n v="0"/>
    <s v="Si"/>
    <n v="336000"/>
    <n v="62544.360999999997"/>
    <n v="273455.63900000002"/>
    <d v="2022-07-15T00:00:00"/>
    <n v="0.72980601986969695"/>
    <n v="0.793366666666667"/>
    <n v="0.74675410788355934"/>
    <n v="268823.30188060005"/>
    <n v="0.84024053593225123"/>
    <n v="0.11126150673624455"/>
    <m/>
    <n v="0.74675410788355934"/>
    <m/>
    <s v="OK"/>
    <s v="OK"/>
    <n v="0"/>
    <n v="0"/>
    <n v="0"/>
    <n v="0"/>
    <n v="0"/>
    <n v="312001"/>
    <n v="0"/>
    <n v="0"/>
    <n v="0"/>
    <n v="0"/>
    <n v="0"/>
    <n v="303633.28684000002"/>
    <m/>
  </r>
  <r>
    <s v="Agrosuper Shanghai1030525"/>
    <x v="1"/>
    <x v="3"/>
    <n v="1030525"/>
    <s v="PV Tru Ala@ Ex blo Cj 15k SO"/>
    <x v="17"/>
    <x v="41"/>
    <n v="88280"/>
    <n v="0"/>
    <n v="0.45719439678473212"/>
    <n v="40361.12134815615"/>
    <n v="6759"/>
    <n v="20632.494135661931"/>
    <n v="0"/>
    <n v="65689.366070251883"/>
    <n v="0"/>
    <n v="24000"/>
    <n v="0"/>
    <n v="0"/>
    <n v="0"/>
    <n v="65689.366070251883"/>
    <n v="0"/>
    <n v="0"/>
    <n v="0"/>
    <n v="65689.366070251883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7151091000000001"/>
    <n v="0"/>
    <n v="0"/>
    <n v="0"/>
    <n v="1.7151091000000001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230"/>
    <x v="1"/>
    <x v="0"/>
    <n v="1030230"/>
    <s v="Pv Piel Tru@ Bo Cj So"/>
    <x v="5"/>
    <x v="45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672"/>
    <x v="1"/>
    <x v="0"/>
    <n v="1030672"/>
    <s v="PV Tru Larg He@ Ex Bo Cj 15K AS"/>
    <x v="16"/>
    <x v="40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1905"/>
    <x v="0"/>
    <x v="3"/>
    <n v="1021905"/>
    <s v="GO Triming 70/30@ Cj 20k AS"/>
    <x v="5"/>
    <x v="6"/>
    <n v="264991"/>
    <n v="0"/>
    <n v="0.45719439678473212"/>
    <n v="121152.40039838295"/>
    <n v="10244.625999999998"/>
    <n v="0"/>
    <n v="0"/>
    <n v="131397.02639838294"/>
    <n v="0"/>
    <n v="24000"/>
    <n v="0"/>
    <n v="0"/>
    <n v="0"/>
    <n v="131397.02639838294"/>
    <n v="0"/>
    <n v="0"/>
    <n v="0"/>
    <n v="131397.02639838294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4083154265947304"/>
    <n v="0"/>
    <n v="0"/>
    <n v="0"/>
    <n v="1.4083154265947304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1971"/>
    <x v="0"/>
    <x v="3"/>
    <n v="1021971"/>
    <s v="GO Cue Back@ Cj 20k bca AS"/>
    <x v="4"/>
    <x v="17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8746264163476694"/>
    <n v="0"/>
    <n v="0"/>
    <n v="0"/>
    <n v="1.8746264163476694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2418"/>
    <x v="0"/>
    <x v="3"/>
    <n v="1022418"/>
    <s v="GO Tripa s/Cal # Bidon AS"/>
    <x v="10"/>
    <x v="25"/>
    <n v="27912"/>
    <n v="0"/>
    <n v="0.45719439678473212"/>
    <n v="12761.210003055443"/>
    <n v="0"/>
    <n v="7134"/>
    <n v="0"/>
    <n v="19181.810003055441"/>
    <n v="136800"/>
    <n v="24000"/>
    <n v="0"/>
    <n v="0"/>
    <n v="0"/>
    <n v="19181.810003055441"/>
    <n v="0"/>
    <n v="0"/>
    <n v="0"/>
    <n v="19181.810003055441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5.4285714285714297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s v="Revisar precio"/>
  </r>
  <r>
    <s v="Agrosuper Asia1022605"/>
    <x v="0"/>
    <x v="1"/>
    <n v="1022605"/>
    <s v="GO Recto Tubo Crud@ Cj 10k AS"/>
    <x v="10"/>
    <x v="25"/>
    <n v="0"/>
    <n v="0"/>
    <n v="0.45719439678473212"/>
    <n v="0"/>
    <n v="0"/>
    <n v="0"/>
    <n v="0"/>
    <n v="0"/>
    <n v="0"/>
    <n v="7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7000"/>
    <n v="0"/>
    <n v="0"/>
    <n v="0"/>
    <n v="0"/>
    <n v="0"/>
    <n v="30191"/>
    <m/>
  </r>
  <r>
    <s v="Agro Sudamerica1022842"/>
    <x v="0"/>
    <x v="0"/>
    <n v="1022842"/>
    <s v="GO Triming Lomo@ Cj 20k AS"/>
    <x v="5"/>
    <x v="62"/>
    <n v="2269"/>
    <n v="0"/>
    <n v="0.45719439678473212"/>
    <n v="1037.3740863045571"/>
    <n v="0"/>
    <n v="400"/>
    <n v="0"/>
    <n v="1397.3740863045571"/>
    <n v="72000"/>
    <n v="24000"/>
    <n v="0"/>
    <n v="0"/>
    <n v="0"/>
    <n v="1397.3740863045571"/>
    <n v="0"/>
    <n v="0"/>
    <n v="0"/>
    <n v="1397.3740863045571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2.5499999999999998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2844"/>
    <x v="0"/>
    <x v="0"/>
    <n v="1022844"/>
    <s v="GO Cordon Lom@ CJ 20k AS"/>
    <x v="5"/>
    <x v="6"/>
    <n v="17466"/>
    <n v="0"/>
    <n v="0.45719439678473212"/>
    <n v="7985.3573342421314"/>
    <n v="0"/>
    <n v="0"/>
    <n v="0"/>
    <n v="7985.3573342421314"/>
    <n v="24000"/>
    <n v="24000"/>
    <n v="0"/>
    <n v="0"/>
    <n v="0"/>
    <n v="7985.3573342421314"/>
    <n v="0"/>
    <n v="0"/>
    <n v="0"/>
    <n v="7985.3573342421314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1.9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2943"/>
    <x v="0"/>
    <x v="3"/>
    <n v="1022943"/>
    <s v="GO Lom Ctro@ Cj 16k AS"/>
    <x v="6"/>
    <x v="8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2.5730293740572612"/>
    <n v="0"/>
    <n v="0"/>
    <n v="0"/>
    <n v="2.5730293740572612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2995"/>
    <x v="0"/>
    <x v="3"/>
    <n v="1022995"/>
    <s v="GO Panc Tec /C cue S/H@ Cj 20k AS"/>
    <x v="8"/>
    <x v="26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3110"/>
    <x v="0"/>
    <x v="3"/>
    <n v="1023110"/>
    <s v="GO Pna Forro@ Bo Cj 20k AS"/>
    <x v="2"/>
    <x v="23"/>
    <n v="0"/>
    <n v="0"/>
    <n v="0.45719439678473212"/>
    <n v="0"/>
    <n v="10248.483"/>
    <n v="49909"/>
    <n v="0"/>
    <n v="55166.582999999999"/>
    <n v="0"/>
    <n v="24000"/>
    <n v="0"/>
    <n v="0"/>
    <n v="0"/>
    <n v="55166.582999999999"/>
    <n v="0"/>
    <n v="0"/>
    <n v="0"/>
    <n v="55166.582999999999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.7924618650032379"/>
    <n v="0"/>
    <n v="0"/>
    <n v="0"/>
    <n v="0.7924618650032379"/>
    <s v="No Aplica"/>
    <m/>
    <n v="0"/>
    <m/>
    <s v="OK"/>
    <s v="OK"/>
    <n v="0"/>
    <n v="0"/>
    <n v="0"/>
    <n v="0"/>
    <n v="0"/>
    <n v="48000"/>
    <n v="0"/>
    <n v="0"/>
    <n v="0"/>
    <n v="0"/>
    <n v="0"/>
    <n v="36000"/>
    <m/>
  </r>
  <r>
    <s v="Agrosuper Asia1023370"/>
    <x v="0"/>
    <x v="1"/>
    <n v="1023370"/>
    <s v="GO Pna Nor@ Cj 20k AS"/>
    <x v="9"/>
    <x v="11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24000"/>
    <n v="0"/>
    <n v="0"/>
    <n v="0"/>
    <n v="0"/>
    <n v="0"/>
    <n v="33325"/>
    <m/>
  </r>
  <r>
    <s v="Agrosuper Asia1023371"/>
    <x v="0"/>
    <x v="1"/>
    <n v="1023371"/>
    <s v="GO Pal Nor@ Cj 20k AS"/>
    <x v="12"/>
    <x v="36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24000"/>
    <n v="0"/>
    <n v="0"/>
    <n v="0"/>
    <n v="0"/>
    <n v="0"/>
    <n v="28525"/>
    <m/>
  </r>
  <r>
    <s v="Agrosuper Asia1023372"/>
    <x v="0"/>
    <x v="1"/>
    <n v="1023372"/>
    <s v="GO Lom Ctro 27@ Fi Cj 20k AS"/>
    <x v="27"/>
    <x v="8"/>
    <n v="27371"/>
    <n v="24000"/>
    <n v="0.45719439678473212"/>
    <n v="12513.867834394903"/>
    <n v="0"/>
    <n v="0"/>
    <n v="0"/>
    <n v="12513.867834394903"/>
    <n v="48000"/>
    <n v="24000"/>
    <n v="0"/>
    <n v="0"/>
    <n v="0"/>
    <n v="12513.867834394903"/>
    <n v="0"/>
    <n v="0"/>
    <n v="0"/>
    <n v="12513.867834394903"/>
    <n v="0"/>
    <m/>
    <n v="0"/>
    <n v="24000"/>
    <n v="24000"/>
    <n v="24000"/>
    <n v="24000"/>
    <n v="0"/>
    <n v="0"/>
    <n v="24000"/>
    <n v="0"/>
    <n v="0"/>
    <n v="0"/>
    <s v="No"/>
    <n v="0"/>
    <n v="0"/>
    <n v="0"/>
    <d v="2022-07-12T00:00:00"/>
    <n v="2.89"/>
    <n v="2.8"/>
    <n v="2.8"/>
    <n v="67200"/>
    <n v="0"/>
    <s v="No Aplica"/>
    <m/>
    <n v="2.8"/>
    <m/>
    <s v="OK"/>
    <s v="OK"/>
    <n v="0"/>
    <n v="0"/>
    <n v="0"/>
    <n v="0"/>
    <n v="0"/>
    <n v="0"/>
    <n v="0"/>
    <n v="0"/>
    <n v="0"/>
    <n v="0"/>
    <n v="0"/>
    <n v="0"/>
    <m/>
  </r>
  <r>
    <s v="Agrosuper Asia1023397"/>
    <x v="0"/>
    <x v="1"/>
    <n v="1023397"/>
    <s v="GO Gord Esp@ Cj 20k AS"/>
    <x v="2"/>
    <x v="5"/>
    <n v="0"/>
    <n v="0"/>
    <n v="0.45719439678473212"/>
    <n v="0"/>
    <n v="39779.025999999998"/>
    <n v="0"/>
    <n v="0"/>
    <n v="39779.025999999998"/>
    <n v="96000"/>
    <n v="24000"/>
    <n v="24000"/>
    <n v="0"/>
    <n v="24000"/>
    <n v="15779.025999999998"/>
    <n v="0"/>
    <n v="0"/>
    <n v="0"/>
    <n v="15779.025999999998"/>
    <n v="0"/>
    <m/>
    <n v="0"/>
    <n v="0"/>
    <n v="24000"/>
    <n v="24000"/>
    <n v="0"/>
    <n v="24000"/>
    <n v="0"/>
    <n v="24000"/>
    <n v="24000"/>
    <n v="0"/>
    <n v="0"/>
    <s v="Si"/>
    <n v="24000"/>
    <n v="24000"/>
    <n v="0"/>
    <d v="2022-07-12T00:00:00"/>
    <n v="0"/>
    <n v="1.1532326041666674"/>
    <n v="1.1532326041666674"/>
    <n v="27677.582500000019"/>
    <n v="0.98973912625172378"/>
    <n v="0.1651884558046276"/>
    <m/>
    <n v="1.1532326041666674"/>
    <m/>
    <s v="OK"/>
    <s v="OK"/>
    <n v="0"/>
    <n v="0"/>
    <n v="0"/>
    <n v="0"/>
    <n v="0"/>
    <n v="48000"/>
    <n v="0"/>
    <n v="0"/>
    <n v="0"/>
    <n v="0"/>
    <n v="0"/>
    <n v="51325"/>
    <m/>
  </r>
  <r>
    <s v="Agro Sudamerica1100407"/>
    <x v="3"/>
    <x v="0"/>
    <n v="1100407"/>
    <s v="Nugg Pollo Uru@ Bo Cj 1k SH"/>
    <x v="28"/>
    <x v="63"/>
    <n v="0"/>
    <n v="0"/>
    <n v="0.45719439678473212"/>
    <n v="0"/>
    <n v="2796"/>
    <n v="0"/>
    <n v="0"/>
    <n v="2796"/>
    <n v="12000"/>
    <n v="12000"/>
    <n v="0"/>
    <n v="0"/>
    <n v="0"/>
    <n v="2796"/>
    <n v="0"/>
    <n v="0"/>
    <n v="0"/>
    <n v="2796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3.9"/>
    <n v="0"/>
    <n v="0"/>
    <n v="3.65842555"/>
    <s v="No Aplica"/>
    <m/>
    <n v="0"/>
    <m/>
    <s v="OK"/>
    <s v="OK"/>
    <n v="0"/>
    <n v="0"/>
    <n v="9000"/>
    <n v="12000"/>
    <n v="0"/>
    <n v="0"/>
    <n v="34512.5"/>
    <n v="0"/>
    <n v="26100"/>
    <n v="0"/>
    <n v="0"/>
    <n v="0"/>
    <m/>
  </r>
  <r>
    <s v="Agro Sudamerica1100408"/>
    <x v="3"/>
    <x v="0"/>
    <n v="1100408"/>
    <s v="Nugg Pollo Uru@ Film 2.5k SH"/>
    <x v="28"/>
    <x v="63"/>
    <n v="0"/>
    <n v="0"/>
    <n v="0.45719439678473212"/>
    <n v="0"/>
    <n v="23810"/>
    <n v="0"/>
    <n v="0"/>
    <n v="23810"/>
    <n v="6000"/>
    <n v="6000"/>
    <n v="6000"/>
    <n v="0"/>
    <n v="6000"/>
    <n v="17810"/>
    <n v="0"/>
    <n v="0"/>
    <n v="0"/>
    <n v="17810"/>
    <n v="12000"/>
    <m/>
    <n v="12000"/>
    <n v="0"/>
    <n v="18000"/>
    <n v="18000"/>
    <n v="0"/>
    <n v="6000"/>
    <n v="12000"/>
    <n v="18000"/>
    <n v="6000"/>
    <n v="12000"/>
    <n v="0"/>
    <s v="Si"/>
    <n v="18000"/>
    <n v="18000"/>
    <n v="0"/>
    <d v="2022-07-15T00:00:00"/>
    <n v="0"/>
    <n v="3.9"/>
    <n v="3.9"/>
    <n v="70200"/>
    <n v="3.6584255666666667"/>
    <n v="6.6032348870074462E-2"/>
    <m/>
    <n v="3.9"/>
    <m/>
    <s v="OK"/>
    <s v="OK"/>
    <n v="0"/>
    <n v="0"/>
    <n v="9000"/>
    <n v="6000"/>
    <n v="0"/>
    <n v="6000"/>
    <n v="21962.5"/>
    <n v="0"/>
    <n v="26100"/>
    <n v="0"/>
    <n v="0"/>
    <n v="23400"/>
    <s v="Falta confirmar la venta"/>
  </r>
  <r>
    <s v="Agrosuper Shanghai1030419"/>
    <x v="1"/>
    <x v="3"/>
    <n v="1030419"/>
    <s v="PV Hígad@ Bo Cj 15k SO"/>
    <x v="18"/>
    <x v="64"/>
    <n v="0"/>
    <n v="0"/>
    <n v="0.45719439678473212"/>
    <n v="0"/>
    <n v="1245"/>
    <n v="4000"/>
    <n v="0"/>
    <n v="4845"/>
    <n v="48000"/>
    <n v="24000"/>
    <n v="0"/>
    <n v="0"/>
    <n v="0"/>
    <n v="4845"/>
    <n v="0"/>
    <n v="0"/>
    <n v="0"/>
    <n v="4845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1.9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12424"/>
    <x v="2"/>
    <x v="3"/>
    <n v="1012424"/>
    <s v="PO Ctro-Pta-Ala@ Cj 20k AS"/>
    <x v="17"/>
    <x v="60"/>
    <n v="0"/>
    <n v="0"/>
    <n v="0.45719439678473212"/>
    <n v="0"/>
    <n v="424"/>
    <n v="0"/>
    <n v="0"/>
    <n v="424"/>
    <n v="0"/>
    <n v="24000"/>
    <n v="0"/>
    <n v="0"/>
    <n v="0"/>
    <n v="424"/>
    <n v="0"/>
    <n v="0"/>
    <n v="0"/>
    <n v="424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12454"/>
    <x v="2"/>
    <x v="3"/>
    <n v="1012454"/>
    <s v="PO Ctro Pta Ala@ Cj 20k AS"/>
    <x v="17"/>
    <x v="60"/>
    <n v="0"/>
    <n v="0"/>
    <n v="0.45719439678473212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1005"/>
    <x v="0"/>
    <x v="0"/>
    <n v="1021005"/>
    <s v="GO PpPal 77@ Bo Cj 20k AS"/>
    <x v="12"/>
    <x v="22"/>
    <n v="0"/>
    <n v="0"/>
    <n v="0.45719439678473212"/>
    <n v="0"/>
    <n v="0"/>
    <n v="0"/>
    <n v="0"/>
    <n v="0"/>
    <n v="1000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1.9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2102"/>
    <x v="0"/>
    <x v="0"/>
    <n v="1022102"/>
    <s v="GO Pecho S/cue K@ Cj 20k AS"/>
    <x v="7"/>
    <x v="9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0993"/>
    <x v="0"/>
    <x v="0"/>
    <n v="1020993"/>
    <s v="GO Pal Nor@ Cj 20k AS"/>
    <x v="12"/>
    <x v="36"/>
    <n v="8100"/>
    <n v="0"/>
    <n v="0.45719439678473212"/>
    <n v="3703.2746139563301"/>
    <n v="0"/>
    <n v="0"/>
    <n v="0"/>
    <n v="3703.2746139563301"/>
    <n v="8100"/>
    <n v="24000"/>
    <n v="0"/>
    <n v="0"/>
    <n v="0"/>
    <n v="3703.2746139563301"/>
    <n v="0"/>
    <n v="0"/>
    <n v="0"/>
    <n v="3703.2746139563301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1.3941750987654309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Asia1022767"/>
    <x v="0"/>
    <x v="1"/>
    <n v="1022767"/>
    <s v="GO Gord Esp@ 20kg AA"/>
    <x v="2"/>
    <x v="5"/>
    <n v="0"/>
    <n v="0"/>
    <n v="0.45719439678473212"/>
    <n v="0"/>
    <n v="5340"/>
    <n v="0"/>
    <n v="0"/>
    <n v="5340"/>
    <n v="0"/>
    <n v="24000"/>
    <n v="0"/>
    <n v="0"/>
    <n v="0"/>
    <n v="5340"/>
    <n v="0"/>
    <n v="0"/>
    <n v="0"/>
    <n v="534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1740"/>
    <x v="0"/>
    <x v="3"/>
    <n v="1021740"/>
    <s v="GO Pana S/Corazón@ Cj 20k AS"/>
    <x v="10"/>
    <x v="15"/>
    <n v="0"/>
    <n v="0"/>
    <n v="0.45719439678473212"/>
    <n v="0"/>
    <n v="0"/>
    <n v="94730"/>
    <n v="0"/>
    <n v="85257"/>
    <n v="33000"/>
    <n v="24000"/>
    <n v="33000"/>
    <n v="0"/>
    <n v="33000"/>
    <n v="52257"/>
    <n v="0"/>
    <n v="0"/>
    <n v="0"/>
    <n v="52257"/>
    <n v="0"/>
    <m/>
    <n v="0"/>
    <n v="0"/>
    <n v="33000"/>
    <n v="33000"/>
    <n v="0"/>
    <n v="33000"/>
    <n v="0"/>
    <n v="33000"/>
    <n v="33000"/>
    <n v="0"/>
    <n v="0"/>
    <s v="Si"/>
    <n v="33000"/>
    <n v="0"/>
    <n v="33000"/>
    <d v="2022-07-12T00:00:00"/>
    <n v="0.43338027277354196"/>
    <n v="0.41875000000000001"/>
    <n v="0.41875000000000001"/>
    <n v="13818.75"/>
    <n v="0.43338027277354196"/>
    <n v="3.3758511156752255E-2"/>
    <m/>
    <n v="0.41875000000000001"/>
    <m/>
    <s v="OK"/>
    <s v="OK"/>
    <n v="0"/>
    <n v="0"/>
    <n v="0"/>
    <n v="0"/>
    <n v="0"/>
    <n v="0"/>
    <n v="0"/>
    <n v="0"/>
    <n v="0"/>
    <n v="0"/>
    <n v="0"/>
    <n v="0"/>
    <m/>
  </r>
  <r>
    <s v="Agrosuper Shanghai1022388"/>
    <x v="0"/>
    <x v="3"/>
    <n v="1022388"/>
    <s v="GO Mixto Hso@ Bo Cj 10k AS"/>
    <x v="1"/>
    <x v="1"/>
    <n v="0"/>
    <n v="0"/>
    <n v="0.45719439678473212"/>
    <n v="0"/>
    <n v="0"/>
    <n v="34142"/>
    <n v="0"/>
    <n v="30727.8"/>
    <n v="0"/>
    <n v="24000"/>
    <n v="0"/>
    <n v="0"/>
    <n v="0"/>
    <n v="30727.8"/>
    <n v="0"/>
    <n v="0"/>
    <n v="0"/>
    <n v="30727.8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.5841624976098434"/>
    <n v="0"/>
    <n v="0"/>
    <n v="0"/>
    <n v="1.5841624976098434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2646"/>
    <x v="0"/>
    <x v="3"/>
    <n v="1022646"/>
    <s v="GO Pecho Belly S/p@ Vp Cj AS"/>
    <x v="8"/>
    <x v="10"/>
    <n v="0"/>
    <n v="0"/>
    <n v="0.45719439678473212"/>
    <n v="0"/>
    <n v="0"/>
    <n v="4943.3286714544147"/>
    <n v="0"/>
    <n v="4448.9958043089737"/>
    <n v="0"/>
    <n v="24000"/>
    <n v="0"/>
    <n v="0"/>
    <n v="0"/>
    <n v="4448.9958043089737"/>
    <n v="0"/>
    <n v="0"/>
    <n v="0"/>
    <n v="4448.9958043089737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5.4547211780949603"/>
    <n v="0"/>
    <n v="0"/>
    <n v="0"/>
    <n v="5.4547211780949603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3035"/>
    <x v="0"/>
    <x v="3"/>
    <n v="1023035"/>
    <s v="GO Belly Strip@ Cj 20k AS"/>
    <x v="5"/>
    <x v="6"/>
    <n v="0"/>
    <n v="0"/>
    <n v="0.45719439678473212"/>
    <n v="0"/>
    <n v="3455.3979999999992"/>
    <n v="2468"/>
    <n v="0"/>
    <n v="5676.598"/>
    <n v="24000"/>
    <n v="24000"/>
    <n v="0"/>
    <n v="0"/>
    <n v="0"/>
    <n v="5676.598"/>
    <n v="0"/>
    <n v="0"/>
    <n v="0"/>
    <n v="5676.598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.93333333333333302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3362"/>
    <x v="0"/>
    <x v="3"/>
    <n v="1023362"/>
    <s v="GO Cuarto Delant @ COM Cj AS"/>
    <x v="29"/>
    <x v="65"/>
    <n v="0"/>
    <n v="0"/>
    <n v="0.45719439678473212"/>
    <n v="0"/>
    <n v="8116.5509999999995"/>
    <n v="0"/>
    <n v="0"/>
    <n v="8116.5509999999995"/>
    <n v="6949"/>
    <n v="7761"/>
    <n v="6949"/>
    <n v="0"/>
    <n v="6949"/>
    <n v="1167.5509999999995"/>
    <n v="0"/>
    <n v="0"/>
    <n v="0"/>
    <n v="1167.5509999999995"/>
    <n v="0"/>
    <m/>
    <n v="0"/>
    <n v="0"/>
    <n v="6949"/>
    <n v="6949"/>
    <n v="0"/>
    <n v="6949"/>
    <n v="0"/>
    <n v="6949"/>
    <n v="6949"/>
    <n v="0"/>
    <n v="0"/>
    <s v="Si"/>
    <n v="6949"/>
    <n v="6949"/>
    <n v="0"/>
    <d v="2022-07-12T00:00:00"/>
    <n v="1.6326066589652759"/>
    <n v="1.6671556537924599"/>
    <n v="1.6671556537924599"/>
    <n v="11585.064638203803"/>
    <n v="1.6326066589652759"/>
    <n v="2.1161860781016704E-2"/>
    <m/>
    <n v="1.6671556537924599"/>
    <m/>
    <s v="OK"/>
    <s v="OK"/>
    <n v="0"/>
    <n v="0"/>
    <n v="0"/>
    <n v="0"/>
    <n v="0"/>
    <n v="7761"/>
    <n v="0"/>
    <n v="0"/>
    <n v="0"/>
    <n v="0"/>
    <n v="0"/>
    <n v="12805"/>
    <m/>
  </r>
  <r>
    <s v="Agrosuper Shanghai1023363"/>
    <x v="0"/>
    <x v="3"/>
    <n v="1023363"/>
    <s v="GO Cuarto Trasero @ COM Cj AS"/>
    <x v="29"/>
    <x v="66"/>
    <n v="0"/>
    <n v="0"/>
    <n v="0.45719439678473212"/>
    <n v="0"/>
    <n v="8420.9369999999999"/>
    <n v="0"/>
    <n v="0"/>
    <n v="8420.9369999999999"/>
    <n v="6127"/>
    <n v="6843"/>
    <n v="6127"/>
    <n v="0"/>
    <n v="6127"/>
    <n v="2293.9369999999999"/>
    <n v="0"/>
    <n v="0"/>
    <n v="0"/>
    <n v="2293.9369999999999"/>
    <n v="0"/>
    <m/>
    <n v="0"/>
    <n v="0"/>
    <n v="6127"/>
    <n v="6127"/>
    <n v="0"/>
    <n v="6127"/>
    <n v="0"/>
    <n v="6127"/>
    <n v="6127"/>
    <n v="0"/>
    <n v="0"/>
    <s v="Si"/>
    <n v="6127"/>
    <n v="6127"/>
    <n v="0"/>
    <d v="2022-07-12T00:00:00"/>
    <n v="1.6320950278744659"/>
    <n v="1.6651828334916503"/>
    <n v="1.6651828334916503"/>
    <n v="10202.575220803341"/>
    <n v="1.6320950278744659"/>
    <n v="2.0273210231070787E-2"/>
    <m/>
    <n v="1.6651828334916503"/>
    <m/>
    <s v="OK"/>
    <s v="OK"/>
    <n v="0"/>
    <n v="0"/>
    <n v="0"/>
    <n v="0"/>
    <n v="0"/>
    <n v="6843"/>
    <n v="0"/>
    <n v="0"/>
    <n v="0"/>
    <n v="0"/>
    <n v="0"/>
    <n v="11302"/>
    <m/>
  </r>
  <r>
    <s v="Agrosuper Shanghai1023364"/>
    <x v="0"/>
    <x v="3"/>
    <n v="1023364"/>
    <s v="GO Manos @ COM Cj 20k AS"/>
    <x v="10"/>
    <x v="24"/>
    <n v="0"/>
    <n v="0"/>
    <n v="0.45719439678473212"/>
    <n v="0"/>
    <n v="61.015200000000007"/>
    <n v="0"/>
    <n v="0"/>
    <n v="61.015200000000007"/>
    <n v="500"/>
    <n v="500"/>
    <n v="0"/>
    <n v="0"/>
    <n v="0"/>
    <n v="61.015200000000007"/>
    <n v="0"/>
    <n v="0"/>
    <n v="0"/>
    <n v="61.015200000000007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4.75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3365"/>
    <x v="0"/>
    <x v="3"/>
    <n v="1023365"/>
    <s v="GO Mantec @ COM Cj AS"/>
    <x v="2"/>
    <x v="16"/>
    <n v="0"/>
    <n v="0"/>
    <n v="0.45719439678473212"/>
    <n v="0"/>
    <n v="58.7866"/>
    <n v="0"/>
    <n v="0"/>
    <n v="58.7866"/>
    <n v="313"/>
    <n v="313"/>
    <n v="0"/>
    <n v="0"/>
    <n v="0"/>
    <n v="58.7866"/>
    <n v="0"/>
    <n v="0"/>
    <n v="0"/>
    <n v="58.7866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.89999999999999991"/>
    <n v="0"/>
    <n v="0"/>
    <n v="0"/>
    <s v="No Aplica"/>
    <m/>
    <n v="0"/>
    <m/>
    <s v="OK"/>
    <s v="OK"/>
    <n v="0"/>
    <n v="0"/>
    <n v="0"/>
    <n v="0"/>
    <n v="0"/>
    <n v="313"/>
    <n v="0"/>
    <n v="0"/>
    <n v="0"/>
    <n v="0"/>
    <n v="0"/>
    <n v="282"/>
    <m/>
  </r>
  <r>
    <s v="Agrosuper Shanghai1023366"/>
    <x v="0"/>
    <x v="3"/>
    <n v="1023366"/>
    <s v="GO Patas @ COM Cj 20k AS"/>
    <x v="10"/>
    <x v="24"/>
    <n v="0"/>
    <n v="0"/>
    <n v="0.45719439678473212"/>
    <n v="0"/>
    <n v="63.94"/>
    <n v="0"/>
    <n v="0"/>
    <n v="63.94"/>
    <n v="557"/>
    <n v="557"/>
    <n v="0"/>
    <n v="0"/>
    <n v="0"/>
    <n v="63.94"/>
    <n v="0"/>
    <n v="0"/>
    <n v="0"/>
    <n v="63.94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4.5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3367"/>
    <x v="0"/>
    <x v="3"/>
    <n v="1023367"/>
    <s v="GO Cab Ent @ COM Cj 20k AS"/>
    <x v="30"/>
    <x v="67"/>
    <n v="0"/>
    <n v="0"/>
    <n v="0.45719439678473212"/>
    <n v="0"/>
    <n v="566.14459999999997"/>
    <n v="0"/>
    <n v="0"/>
    <n v="566.14459999999997"/>
    <n v="3177"/>
    <n v="3177"/>
    <n v="0"/>
    <n v="0"/>
    <n v="0"/>
    <n v="566.14459999999997"/>
    <n v="0"/>
    <n v="0"/>
    <n v="0"/>
    <n v="566.14459999999997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1.55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23368"/>
    <x v="0"/>
    <x v="3"/>
    <n v="1023368"/>
    <s v="GO Cuarto Central @ COM Cj AS"/>
    <x v="29"/>
    <x v="68"/>
    <n v="0"/>
    <n v="0"/>
    <n v="0.45719439678473212"/>
    <n v="0"/>
    <n v="7181.1750000000011"/>
    <n v="0"/>
    <n v="0"/>
    <n v="7181.1750000000011"/>
    <n v="6377"/>
    <n v="7122"/>
    <n v="6377"/>
    <n v="0"/>
    <n v="6377"/>
    <n v="804.17500000000109"/>
    <n v="0"/>
    <n v="0"/>
    <n v="0"/>
    <n v="804.17500000000109"/>
    <n v="0"/>
    <m/>
    <n v="0"/>
    <n v="0"/>
    <n v="6377"/>
    <n v="6377"/>
    <n v="0"/>
    <n v="6377"/>
    <n v="0"/>
    <n v="6377"/>
    <n v="6377"/>
    <n v="0"/>
    <n v="0"/>
    <s v="Si"/>
    <n v="6377"/>
    <n v="6377"/>
    <n v="0"/>
    <d v="2022-07-12T00:00:00"/>
    <n v="1.6334451142837718"/>
    <n v="1.6675858256324101"/>
    <n v="1.6675858256324101"/>
    <n v="10634.194810057879"/>
    <n v="1.6334451142837718"/>
    <n v="2.090104592440389E-2"/>
    <m/>
    <n v="1.6675858256324101"/>
    <m/>
    <s v="OK"/>
    <s v="OK"/>
    <n v="0"/>
    <n v="0"/>
    <n v="0"/>
    <n v="0"/>
    <n v="0"/>
    <n v="7122"/>
    <n v="0"/>
    <n v="0"/>
    <n v="0"/>
    <n v="0"/>
    <n v="0"/>
    <n v="11754"/>
    <m/>
  </r>
  <r>
    <s v="Exportacion Directa1023166"/>
    <x v="0"/>
    <x v="4"/>
    <n v="1023166"/>
    <s v="GO Lom Tocino@ Bo Cj 20k AP"/>
    <x v="8"/>
    <x v="10"/>
    <n v="0"/>
    <n v="0"/>
    <n v="0.87158319035419651"/>
    <n v="0"/>
    <n v="0"/>
    <n v="0"/>
    <n v="0"/>
    <n v="0"/>
    <n v="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1.365764"/>
    <n v="0"/>
    <n v="0"/>
    <n v="0"/>
    <n v="1.365764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1105"/>
    <x v="2"/>
    <x v="0"/>
    <n v="1011105"/>
    <s v="PO Tru-Ctro Ala 60-80 4x10 NMr@ Cj20k AS"/>
    <x v="16"/>
    <x v="40"/>
    <n v="6000"/>
    <n v="6000"/>
    <n v="0.45719439678473212"/>
    <n v="2743.1663807083928"/>
    <n v="0"/>
    <n v="5000"/>
    <n v="0"/>
    <n v="7243.1663807083933"/>
    <n v="20000"/>
    <n v="24000"/>
    <n v="0"/>
    <n v="0"/>
    <n v="0"/>
    <n v="7243.1663807083933"/>
    <n v="0"/>
    <n v="0"/>
    <n v="0"/>
    <n v="7243.1663807083933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3.08666666666667"/>
    <n v="2.8348314700000001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661"/>
    <x v="1"/>
    <x v="0"/>
    <n v="1030661"/>
    <s v="PV PchDeh S/p c/f MA@ Bo Cj 16k SO"/>
    <x v="20"/>
    <x v="46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736"/>
    <x v="1"/>
    <x v="0"/>
    <n v="1030736"/>
    <s v="PV PchDeh c/p@ Cj 17,5k AS"/>
    <x v="20"/>
    <x v="46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755"/>
    <x v="1"/>
    <x v="0"/>
    <n v="1030755"/>
    <s v="PV Osob@ Cj 14k AS"/>
    <x v="16"/>
    <x v="69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Asia1030576"/>
    <x v="1"/>
    <x v="1"/>
    <n v="1030576"/>
    <s v="PV Muestra Piel Tru Cor@ Bo Cj 15k AS"/>
    <x v="31"/>
    <x v="70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1"/>
    <n v="0"/>
    <n v="0"/>
    <n v="0"/>
    <n v="1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Brasil1030740"/>
    <x v="1"/>
    <x v="2"/>
    <n v="1030740"/>
    <s v="PV PchDeh S/p S/ten C/f@ Cj 20k AS"/>
    <x v="20"/>
    <x v="46"/>
    <n v="0"/>
    <n v="0"/>
    <n v="0.81420840482290169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22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2342"/>
    <x v="2"/>
    <x v="0"/>
    <n v="1012342"/>
    <s v="PO Corazon@ Cj 18k AS"/>
    <x v="18"/>
    <x v="55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1431"/>
    <x v="2"/>
    <x v="0"/>
    <n v="1011431"/>
    <s v="PO Corazón@ Bo 20k Cj SP"/>
    <x v="18"/>
    <x v="55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11566"/>
    <x v="2"/>
    <x v="0"/>
    <n v="1011566"/>
    <s v="PO Garra Lag@Cj 20 kg Muestra"/>
    <x v="15"/>
    <x v="39"/>
    <n v="0"/>
    <n v="0"/>
    <n v="0.45719439678473212"/>
    <n v="0"/>
    <n v="0"/>
    <n v="0"/>
    <n v="0"/>
    <n v="0"/>
    <n v="0"/>
    <n v="21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.58101484042553198"/>
    <n v="0"/>
    <n v="0"/>
    <n v="0"/>
    <n v="0.58101484042553198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super Shanghai1012423"/>
    <x v="2"/>
    <x v="3"/>
    <n v="1012423"/>
    <s v="PO Ctro-Pta-Ala Choice@ Cj 20k AS"/>
    <x v="17"/>
    <x v="60"/>
    <n v="0"/>
    <n v="0"/>
    <n v="0.45719439678473212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2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2781"/>
    <x v="0"/>
    <x v="0"/>
    <n v="1022781"/>
    <s v="GO TRIPA CALIB 32/35# BO BIDON AS"/>
    <x v="10"/>
    <x v="25"/>
    <n v="8118"/>
    <n v="7000"/>
    <n v="0.45719439678473212"/>
    <n v="3711.5041130984555"/>
    <n v="0"/>
    <n v="0"/>
    <n v="0"/>
    <n v="3711.5041130984555"/>
    <n v="15555"/>
    <n v="24000"/>
    <n v="0"/>
    <n v="0"/>
    <n v="0"/>
    <n v="3711.5041130984555"/>
    <n v="0"/>
    <n v="0"/>
    <n v="0"/>
    <n v="3711.5041130984555"/>
    <n v="0"/>
    <m/>
    <n v="0"/>
    <n v="6120"/>
    <n v="6120"/>
    <n v="6120"/>
    <n v="6120"/>
    <n v="0"/>
    <n v="0"/>
    <n v="6120"/>
    <n v="0"/>
    <n v="0"/>
    <n v="0"/>
    <s v="No"/>
    <n v="0"/>
    <n v="0"/>
    <n v="0"/>
    <d v="2022-07-15T00:00:00"/>
    <n v="13.401"/>
    <n v="10.576208531078084"/>
    <n v="10.576208531078084"/>
    <n v="64726.396210197876"/>
    <n v="10.12719360670194"/>
    <n v="4.433754718375247E-2"/>
    <n v="0.1056"/>
    <n v="10.576208531078084"/>
    <m/>
    <s v="OK"/>
    <s v="OK"/>
    <n v="7067"/>
    <n v="3060"/>
    <n v="10282"/>
    <n v="1500"/>
    <n v="6600"/>
    <n v="15300"/>
    <n v="79009.06"/>
    <n v="39589"/>
    <n v="108578"/>
    <n v="22170"/>
    <n v="88521"/>
    <n v="198441"/>
    <m/>
  </r>
  <r>
    <s v="Agro Sudamerica1022782"/>
    <x v="0"/>
    <x v="0"/>
    <n v="1022782"/>
    <s v="GO TRIPA CALIB 35/38# BO BIDON AS"/>
    <x v="10"/>
    <x v="25"/>
    <n v="0"/>
    <n v="0"/>
    <n v="0.45719439678473212"/>
    <n v="0"/>
    <n v="0"/>
    <n v="0"/>
    <n v="0"/>
    <n v="0"/>
    <n v="1560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7.9970181242137652"/>
    <n v="0"/>
    <n v="0"/>
    <n v="8.1412094104940405"/>
    <s v="No Aplica"/>
    <m/>
    <n v="0"/>
    <m/>
    <s v="OK"/>
    <s v="OK"/>
    <n v="18796"/>
    <n v="3600"/>
    <n v="0"/>
    <n v="0"/>
    <n v="3600"/>
    <n v="11520"/>
    <n v="156946.6"/>
    <n v="36108"/>
    <n v="0"/>
    <n v="0"/>
    <n v="36360"/>
    <n v="120730"/>
    <m/>
  </r>
  <r>
    <s v="Agro Sudamerica1022783"/>
    <x v="0"/>
    <x v="0"/>
    <n v="1022783"/>
    <s v="GO TRIPA CALIB 38/40# BO BIDON AS"/>
    <x v="10"/>
    <x v="25"/>
    <n v="0"/>
    <n v="0"/>
    <n v="0.45719439678473212"/>
    <n v="0"/>
    <n v="0"/>
    <n v="0"/>
    <n v="0"/>
    <n v="0"/>
    <n v="7200"/>
    <n v="240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7.8294573643410796"/>
    <n v="0"/>
    <n v="0"/>
    <n v="7.8173661121877691"/>
    <s v="No Aplica"/>
    <m/>
    <n v="0"/>
    <m/>
    <s v="OK"/>
    <s v="OK"/>
    <n v="0"/>
    <n v="15600"/>
    <n v="0"/>
    <n v="0"/>
    <n v="0"/>
    <n v="4800"/>
    <n v="0"/>
    <n v="156468"/>
    <n v="0"/>
    <n v="0"/>
    <n v="0"/>
    <n v="48384"/>
    <m/>
  </r>
  <r>
    <s v="Agro Sudamerica1022784"/>
    <x v="0"/>
    <x v="0"/>
    <n v="1022784"/>
    <s v="GO TRIPA CALIB 40/42# BO BIN AS"/>
    <x v="10"/>
    <x v="25"/>
    <n v="0"/>
    <n v="0"/>
    <n v="0.45719439678473212"/>
    <n v="0"/>
    <n v="0"/>
    <n v="0"/>
    <n v="0"/>
    <n v="0"/>
    <n v="0"/>
    <n v="35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7.6725485156912638"/>
    <n v="0"/>
    <n v="0"/>
    <n v="0"/>
    <n v="7.6725485156912638"/>
    <s v="No Aplica"/>
    <m/>
    <n v="0"/>
    <m/>
    <s v="OK"/>
    <s v="OK"/>
    <n v="0"/>
    <n v="0"/>
    <n v="0"/>
    <n v="0"/>
    <n v="0"/>
    <n v="900"/>
    <n v="0"/>
    <n v="0"/>
    <n v="0"/>
    <n v="0"/>
    <n v="0"/>
    <n v="9072"/>
    <m/>
  </r>
  <r>
    <s v="Agrosuper Brasil1022782"/>
    <x v="0"/>
    <x v="2"/>
    <n v="1022782"/>
    <s v="GO TRIPA CALIB 35/38# BO BIDON AS"/>
    <x v="10"/>
    <x v="25"/>
    <n v="9180"/>
    <n v="0"/>
    <n v="0.81420840482290169"/>
    <n v="7474.4331562742373"/>
    <n v="0"/>
    <n v="0"/>
    <n v="0"/>
    <n v="7474.4331562742373"/>
    <n v="0"/>
    <n v="24000"/>
    <n v="0"/>
    <n v="0"/>
    <n v="0"/>
    <n v="7474.4331562742373"/>
    <n v="0"/>
    <n v="0"/>
    <n v="0"/>
    <n v="7474.4331562742373"/>
    <n v="0"/>
    <m/>
    <n v="0"/>
    <n v="0"/>
    <n v="0"/>
    <n v="0"/>
    <n v="0"/>
    <n v="0"/>
    <n v="0"/>
    <n v="0"/>
    <n v="0"/>
    <n v="0"/>
    <n v="0"/>
    <s v="No"/>
    <n v="0"/>
    <n v="0"/>
    <n v="0"/>
    <d v="2022-07-22T00:00:00"/>
    <n v="8.3464566929133852"/>
    <n v="0"/>
    <n v="0"/>
    <n v="0"/>
    <n v="8.3464566929133852"/>
    <s v="No Aplica"/>
    <m/>
    <n v="0"/>
    <m/>
    <s v="OK"/>
    <s v="OK"/>
    <n v="0"/>
    <n v="0"/>
    <n v="0"/>
    <n v="0"/>
    <n v="0"/>
    <n v="6240"/>
    <n v="0"/>
    <n v="0"/>
    <n v="0"/>
    <n v="0"/>
    <n v="0"/>
    <n v="66144"/>
    <m/>
  </r>
  <r>
    <s v="Agrosuper Brasil1022783"/>
    <x v="0"/>
    <x v="2"/>
    <n v="1022783"/>
    <s v="GO TRIPA CALIB 38/40# BO BIDON AS"/>
    <x v="10"/>
    <x v="25"/>
    <n v="7200"/>
    <n v="0"/>
    <n v="0.81420840482290169"/>
    <n v="5862.3005147248923"/>
    <n v="0"/>
    <n v="0"/>
    <n v="0"/>
    <n v="5862.3005147248923"/>
    <n v="0"/>
    <n v="24000"/>
    <n v="0"/>
    <n v="0"/>
    <n v="0"/>
    <n v="5862.3005147248923"/>
    <n v="0"/>
    <n v="0"/>
    <n v="0"/>
    <n v="5862.3005147248923"/>
    <n v="0"/>
    <m/>
    <n v="0"/>
    <n v="0"/>
    <n v="0"/>
    <n v="0"/>
    <n v="0"/>
    <n v="0"/>
    <n v="0"/>
    <n v="0"/>
    <n v="0"/>
    <n v="0"/>
    <n v="0"/>
    <s v="No"/>
    <n v="0"/>
    <n v="0"/>
    <n v="0"/>
    <d v="2022-07-22T00:00:00"/>
    <n v="8.2170542635658901"/>
    <n v="0"/>
    <n v="0"/>
    <n v="0"/>
    <n v="8.2170542635658901"/>
    <s v="No Aplica"/>
    <m/>
    <n v="0"/>
    <m/>
    <s v="OK"/>
    <s v="OK"/>
    <n v="0"/>
    <n v="0"/>
    <n v="0"/>
    <n v="0"/>
    <n v="0"/>
    <n v="6480"/>
    <n v="0"/>
    <n v="0"/>
    <n v="0"/>
    <n v="0"/>
    <n v="0"/>
    <n v="68688"/>
    <m/>
  </r>
  <r>
    <s v="Agrosuper Brasil1022784"/>
    <x v="0"/>
    <x v="2"/>
    <n v="1022784"/>
    <s v="GO TRIPA CALIB 40/42# BO BIN AS"/>
    <x v="10"/>
    <x v="25"/>
    <n v="0"/>
    <n v="0"/>
    <n v="0.81420840482290169"/>
    <n v="0"/>
    <n v="0"/>
    <n v="0"/>
    <n v="0"/>
    <n v="0"/>
    <n v="0"/>
    <n v="350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22T00:00:00"/>
    <n v="8.0916030534351151"/>
    <n v="0"/>
    <n v="0"/>
    <n v="0"/>
    <n v="8.0916030534351151"/>
    <s v="No Aplica"/>
    <m/>
    <n v="0"/>
    <m/>
    <s v="OK"/>
    <s v="OK"/>
    <n v="0"/>
    <n v="0"/>
    <n v="0"/>
    <n v="0"/>
    <n v="0"/>
    <n v="5175"/>
    <n v="0"/>
    <n v="0"/>
    <n v="0"/>
    <n v="0"/>
    <n v="0"/>
    <n v="54855"/>
    <m/>
  </r>
  <r>
    <s v="Agro Sudamerica1022786"/>
    <x v="0"/>
    <x v="0"/>
    <n v="1022786"/>
    <s v="GO Trip Calib Tub 35/39 Azul# Bidon AS"/>
    <x v="10"/>
    <x v="25"/>
    <n v="1200"/>
    <n v="0"/>
    <n v="0.45719439678473212"/>
    <n v="548.63327614167849"/>
    <n v="0"/>
    <n v="0"/>
    <n v="0"/>
    <n v="548.63327614167849"/>
    <n v="1200"/>
    <n v="24000"/>
    <n v="0"/>
    <n v="0"/>
    <n v="0"/>
    <n v="548.63327614167849"/>
    <n v="0"/>
    <n v="0"/>
    <n v="0"/>
    <n v="548.63327614167849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13.964497041420099"/>
    <n v="0"/>
    <n v="0"/>
    <n v="17.372897435897436"/>
    <s v="No Aplica"/>
    <m/>
    <n v="0"/>
    <m/>
    <s v="OK"/>
    <s v="OK"/>
    <n v="0"/>
    <n v="300"/>
    <n v="0"/>
    <n v="1500"/>
    <n v="1500"/>
    <n v="0"/>
    <n v="0"/>
    <n v="3450"/>
    <n v="0"/>
    <n v="22965"/>
    <n v="22965"/>
    <n v="0"/>
    <m/>
  </r>
  <r>
    <s v="Agro Sudamerica1023295"/>
    <x v="0"/>
    <x v="0"/>
    <n v="1023295"/>
    <s v="GO Trip Calib Tub 37/40 Azul# Cj AS"/>
    <x v="10"/>
    <x v="25"/>
    <n v="1000"/>
    <n v="1000"/>
    <n v="0.45719439678473212"/>
    <n v="457.19439678473213"/>
    <n v="50.7"/>
    <n v="0"/>
    <n v="0"/>
    <n v="507.89439678473212"/>
    <n v="450"/>
    <n v="24000"/>
    <n v="450"/>
    <n v="0"/>
    <n v="450"/>
    <n v="57.894396784732123"/>
    <n v="0"/>
    <n v="0"/>
    <n v="0"/>
    <n v="57.894396784732123"/>
    <n v="0"/>
    <m/>
    <n v="0"/>
    <n v="0"/>
    <n v="450"/>
    <n v="450"/>
    <n v="0"/>
    <n v="450"/>
    <n v="0"/>
    <n v="450"/>
    <n v="450"/>
    <n v="0"/>
    <n v="0"/>
    <s v="Si"/>
    <n v="450"/>
    <n v="50.7"/>
    <n v="399.3"/>
    <d v="2022-07-15T00:00:00"/>
    <n v="12.287000000000001"/>
    <n v="14.556213017751501"/>
    <n v="14.556213017751501"/>
    <n v="6550.2958579881752"/>
    <n v="0"/>
    <s v="No Aplica"/>
    <m/>
    <n v="14.556213017751501"/>
    <m/>
    <s v="OK"/>
    <s v="OK"/>
    <n v="0"/>
    <n v="2700"/>
    <n v="0"/>
    <n v="0"/>
    <n v="0"/>
    <n v="0"/>
    <n v="0"/>
    <n v="33075"/>
    <n v="0"/>
    <n v="0"/>
    <n v="0"/>
    <n v="0"/>
    <m/>
  </r>
  <r>
    <s v="Agro Sudamerica1012782"/>
    <x v="2"/>
    <x v="0"/>
    <n v="1012782"/>
    <s v="PO Pch Piel@CF Cj 18 k"/>
    <x v="10"/>
    <x v="51"/>
    <n v="0"/>
    <n v="0"/>
    <n v="0.45719439678473212"/>
    <n v="0"/>
    <n v="2627.569"/>
    <n v="0"/>
    <n v="0"/>
    <n v="2627.569"/>
    <n v="0"/>
    <n v="24000"/>
    <n v="0"/>
    <n v="0"/>
    <n v="0"/>
    <n v="2627.569"/>
    <n v="0"/>
    <n v="0"/>
    <n v="0"/>
    <n v="2627.569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.4753130482769119"/>
    <n v="0"/>
    <n v="0"/>
    <n v="0"/>
    <n v="0.4753130482769119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1864"/>
    <x v="0"/>
    <x v="0"/>
    <n v="1021864"/>
    <s v="GO Cue Papda CP@ Cj 20k AS"/>
    <x v="4"/>
    <x v="14"/>
    <n v="0"/>
    <n v="0"/>
    <n v="0.45719439678473212"/>
    <n v="0"/>
    <n v="20426.214999999993"/>
    <n v="0"/>
    <n v="0"/>
    <n v="20426.214999999993"/>
    <n v="21961"/>
    <n v="24000"/>
    <n v="0"/>
    <n v="0"/>
    <n v="0"/>
    <n v="20426.214999999993"/>
    <n v="0"/>
    <n v="0"/>
    <n v="0"/>
    <n v="20426.214999999993"/>
    <n v="0"/>
    <m/>
    <n v="0"/>
    <n v="21961"/>
    <n v="21961"/>
    <n v="21961"/>
    <n v="21961"/>
    <n v="0"/>
    <n v="0"/>
    <n v="21961"/>
    <n v="0"/>
    <n v="0"/>
    <n v="0"/>
    <s v="No"/>
    <n v="0"/>
    <n v="0"/>
    <n v="0"/>
    <d v="2022-07-15T00:00:00"/>
    <n v="0.61790148170838988"/>
    <n v="0.60416666818450904"/>
    <n v="0.60416666818450904"/>
    <n v="13268.104200000003"/>
    <n v="0.61790148170838988"/>
    <n v="2.2228160848403334E-2"/>
    <m/>
    <n v="0.60416666818450904"/>
    <m/>
    <s v="OK"/>
    <s v="OK"/>
    <n v="0"/>
    <n v="0"/>
    <n v="0"/>
    <n v="0"/>
    <n v="0"/>
    <n v="0"/>
    <n v="0"/>
    <n v="0"/>
    <n v="0"/>
    <n v="0"/>
    <n v="0"/>
    <n v="0"/>
    <m/>
  </r>
  <r>
    <s v="Agro Sudamerica1030817"/>
    <x v="1"/>
    <x v="0"/>
    <n v="1030817"/>
    <s v="PV Tru Larg@ Bo Cj 15k AS"/>
    <x v="16"/>
    <x v="40"/>
    <n v="54668"/>
    <n v="0"/>
    <n v="0.45719439678473212"/>
    <n v="24993.903283427735"/>
    <n v="0"/>
    <n v="0"/>
    <n v="0"/>
    <n v="24993.903283427735"/>
    <n v="86000"/>
    <n v="24000"/>
    <n v="24000"/>
    <n v="86000"/>
    <n v="110000"/>
    <n v="-85006.096716572269"/>
    <n v="0"/>
    <n v="0"/>
    <n v="0"/>
    <n v="-85006.096716572269"/>
    <n v="0"/>
    <m/>
    <n v="0"/>
    <n v="0"/>
    <n v="24000"/>
    <n v="24000"/>
    <n v="0"/>
    <n v="110000"/>
    <n v="-86000"/>
    <n v="110000"/>
    <n v="110000"/>
    <n v="0"/>
    <n v="0"/>
    <s v="Si"/>
    <n v="110000"/>
    <n v="0"/>
    <n v="110000"/>
    <d v="2022-07-15T00:00:00"/>
    <n v="2.2363048549846316"/>
    <n v="2.2743602846673876"/>
    <n v="2.2743602846673876"/>
    <n v="250179.63131341262"/>
    <n v="2.2363048549846316"/>
    <n v="1.7017102832796702E-2"/>
    <m/>
    <n v="2.2743602846673876"/>
    <m/>
    <s v="OK"/>
    <s v="OK"/>
    <n v="0"/>
    <n v="0"/>
    <n v="0"/>
    <n v="0"/>
    <n v="0"/>
    <n v="0"/>
    <n v="0"/>
    <n v="0"/>
    <n v="0"/>
    <n v="0"/>
    <n v="0"/>
    <n v="0"/>
    <m/>
  </r>
  <r>
    <s v="Agro Sudamerica1030812"/>
    <x v="1"/>
    <x v="0"/>
    <n v="1030812"/>
    <s v=" PV TruDeh Cort S/h S/p@ Bo Cj AS"/>
    <x v="19"/>
    <x v="43"/>
    <n v="24000"/>
    <n v="24000"/>
    <n v="0.45719439678473212"/>
    <n v="10972.665522833571"/>
    <n v="0"/>
    <n v="0"/>
    <n v="0"/>
    <n v="10972.665522833571"/>
    <n v="0"/>
    <n v="24000"/>
    <n v="0"/>
    <n v="0"/>
    <n v="0"/>
    <n v="10972.665522833571"/>
    <n v="0"/>
    <n v="0"/>
    <n v="0"/>
    <n v="10972.665522833571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4.4366666666666701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816"/>
    <x v="1"/>
    <x v="0"/>
    <n v="1030816"/>
    <s v="PV Tru Ala@ Ex Bo Cj AS"/>
    <x v="17"/>
    <x v="41"/>
    <n v="0"/>
    <n v="5655"/>
    <n v="0.45719439678473212"/>
    <n v="0"/>
    <n v="0"/>
    <n v="7255.1496791533682"/>
    <n v="0"/>
    <n v="6529.6347112380317"/>
    <n v="0"/>
    <n v="24000"/>
    <n v="0"/>
    <n v="0"/>
    <n v="0"/>
    <n v="6529.6347112380317"/>
    <n v="0"/>
    <n v="0"/>
    <n v="0"/>
    <n v="6529.6347112380317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.5299734748010601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30821"/>
    <x v="1"/>
    <x v="0"/>
    <n v="1030821"/>
    <s v="PV PchDeh S/p c/f MA@ Cj 15k SO"/>
    <x v="20"/>
    <x v="44"/>
    <n v="0"/>
    <n v="24000"/>
    <n v="0.45719439678473212"/>
    <n v="0"/>
    <n v="0"/>
    <n v="0"/>
    <n v="0"/>
    <n v="0"/>
    <n v="0"/>
    <m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10.8866666666667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0086"/>
    <x v="0"/>
    <x v="0"/>
    <n v="1020086"/>
    <s v="GO Lom Ctro 27 S/f@ Va Cj t-f AS"/>
    <x v="6"/>
    <x v="8"/>
    <n v="24000"/>
    <n v="24000"/>
    <n v="0.45719439678473212"/>
    <n v="10972.665522833571"/>
    <n v="0"/>
    <n v="0"/>
    <n v="0"/>
    <n v="10972.665522833571"/>
    <n v="0"/>
    <n v="24000"/>
    <n v="0"/>
    <n v="0"/>
    <n v="0"/>
    <n v="10972.665522833571"/>
    <n v="0"/>
    <n v="0"/>
    <n v="0"/>
    <n v="10972.665522833571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3.21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Sudamerica1022290"/>
    <x v="0"/>
    <x v="0"/>
    <n v="1022290"/>
    <s v="GO Lom Tocino S/cue@ Cj 20k AS"/>
    <x v="2"/>
    <x v="2"/>
    <n v="3702"/>
    <n v="0"/>
    <n v="0.45719439678473212"/>
    <n v="1692.5336568970783"/>
    <n v="0"/>
    <n v="0"/>
    <n v="0"/>
    <n v="1692.5336568970783"/>
    <n v="0"/>
    <n v="24000"/>
    <n v="0"/>
    <n v="0"/>
    <n v="0"/>
    <n v="1692.5336568970783"/>
    <n v="0"/>
    <n v="0"/>
    <n v="0"/>
    <n v="1692.5336568970783"/>
    <n v="0"/>
    <m/>
    <n v="0"/>
    <n v="0"/>
    <n v="0"/>
    <n v="0"/>
    <n v="0"/>
    <n v="0"/>
    <n v="0"/>
    <n v="0"/>
    <n v="0"/>
    <n v="0"/>
    <n v="0"/>
    <s v="No"/>
    <n v="0"/>
    <n v="0"/>
    <n v="0"/>
    <d v="2022-07-15T00:00:00"/>
    <n v="0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Exportacion Directa1022346"/>
    <x v="0"/>
    <x v="4"/>
    <n v="1022346"/>
    <s v="GO PpPal 1P Ex@ Bo AP"/>
    <x v="12"/>
    <x v="22"/>
    <n v="5371"/>
    <n v="5000"/>
    <n v="0.87158319035419651"/>
    <n v="4681.2733153923891"/>
    <n v="0"/>
    <n v="0"/>
    <n v="0"/>
    <n v="4681.2733153923891"/>
    <n v="0"/>
    <n v="24000"/>
    <n v="0"/>
    <n v="0"/>
    <n v="0"/>
    <n v="4681.2733153923891"/>
    <n v="0"/>
    <n v="0"/>
    <n v="0"/>
    <n v="4681.2733153923891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2.59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Exportacion Directa1023419"/>
    <x v="0"/>
    <x v="4"/>
    <n v="1023419"/>
    <s v="GO Lom Tocino@ Bo Cj 20k AP"/>
    <x v="2"/>
    <x v="2"/>
    <n v="24000"/>
    <n v="24000"/>
    <n v="0.87158319035419651"/>
    <n v="20917.996568500716"/>
    <n v="0"/>
    <n v="0"/>
    <n v="0"/>
    <n v="20917.996568500716"/>
    <n v="0"/>
    <n v="24000"/>
    <n v="0"/>
    <n v="0"/>
    <n v="0"/>
    <n v="20917.996568500716"/>
    <n v="0"/>
    <n v="0"/>
    <n v="0"/>
    <n v="20917.996568500716"/>
    <n v="0"/>
    <m/>
    <n v="0"/>
    <n v="0"/>
    <n v="0"/>
    <n v="0"/>
    <n v="0"/>
    <n v="0"/>
    <n v="0"/>
    <n v="0"/>
    <n v="0"/>
    <n v="0"/>
    <n v="0"/>
    <s v="No"/>
    <n v="0"/>
    <n v="0"/>
    <n v="0"/>
    <d v="2022-07-23T00:00:00"/>
    <n v="1.8"/>
    <n v="0"/>
    <n v="0"/>
    <n v="0"/>
    <n v="0"/>
    <s v="No Aplica"/>
    <m/>
    <n v="0"/>
    <m/>
    <s v="OK"/>
    <s v="OK"/>
    <n v="0"/>
    <n v="0"/>
    <n v="0"/>
    <n v="0"/>
    <n v="0"/>
    <n v="0"/>
    <n v="0"/>
    <n v="0"/>
    <n v="0"/>
    <n v="0"/>
    <n v="0"/>
    <n v="0"/>
    <m/>
  </r>
  <r>
    <s v="Agro Mexico1030802"/>
    <x v="1"/>
    <x v="5"/>
    <n v="1030802"/>
    <s v="PV PDM @ Bo Cj 15k AS"/>
    <x v="24"/>
    <x v="71"/>
    <n v="103000"/>
    <n v="96000"/>
    <n v="0.8"/>
    <n v="82400"/>
    <n v="0"/>
    <n v="21000"/>
    <n v="0"/>
    <n v="101300"/>
    <n v="48000"/>
    <n v="24000"/>
    <n v="48000"/>
    <n v="0"/>
    <n v="48000"/>
    <n v="53300"/>
    <n v="48000"/>
    <n v="0"/>
    <n v="48000"/>
    <n v="5300"/>
    <n v="0"/>
    <m/>
    <n v="0"/>
    <n v="0"/>
    <n v="96000"/>
    <n v="96000"/>
    <n v="0"/>
    <n v="48000"/>
    <n v="48000"/>
    <n v="96000"/>
    <n v="48000"/>
    <n v="48000"/>
    <m/>
    <s v="Si"/>
    <n v="96000"/>
    <n v="0"/>
    <n v="96000"/>
    <d v="2022-07-15T00:00:00"/>
    <n v="1.0016572778044111"/>
    <n v="1.34315875"/>
    <n v="1.1724080139022055"/>
    <n v="112551.16933461172"/>
    <n v="1.3406132738958436"/>
    <n v="0.12546889044655729"/>
    <m/>
    <n v="1.1724080139022055"/>
    <m/>
    <s v="OK"/>
    <s v="OK"/>
    <n v="0"/>
    <n v="0"/>
    <n v="0"/>
    <n v="0"/>
    <n v="0"/>
    <n v="0"/>
    <n v="0"/>
    <n v="0"/>
    <n v="0"/>
    <n v="0"/>
    <n v="0"/>
    <n v="0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">
  <r>
    <s v="Agro Sudamerica1020017"/>
    <x v="0"/>
    <x v="0"/>
    <n v="1020017"/>
    <s v="GO Chu Ctro@ Fi Cj 20k AS"/>
    <x v="0"/>
    <x v="0"/>
    <n v="0"/>
    <n v="0"/>
    <n v="0.3545854356400317"/>
    <n v="0"/>
    <n v="7463.3590000000004"/>
    <n v="0"/>
    <n v="0"/>
    <n v="7463.3590000000004"/>
    <n v="0"/>
    <n v="23000"/>
    <n v="0"/>
    <n v="0"/>
    <n v="0"/>
    <n v="7463.3590000000004"/>
    <n v="0"/>
    <n v="0"/>
    <n v="0"/>
    <n v="7463.3590000000004"/>
    <n v="0"/>
    <n v="0"/>
    <n v="0"/>
    <n v="4001.22"/>
    <n v="4001.22"/>
    <n v="4001.22"/>
    <n v="4001.22"/>
    <n v="0"/>
    <n v="0"/>
    <x v="0"/>
    <n v="0"/>
    <n v="0"/>
    <x v="0"/>
    <x v="0"/>
    <s v="No"/>
    <n v="0"/>
    <n v="0"/>
    <n v="0"/>
    <d v="2022-09-09T00:00:00"/>
    <n v="0"/>
    <n v="0"/>
    <n v="0"/>
    <n v="9682.9524000000001"/>
    <n v="2.7713806580000813"/>
    <s v="No Aplica"/>
    <n v="0"/>
    <n v="2.7713806580000813"/>
    <n v="2.4200000000000004"/>
    <n v="2.4200000000000004"/>
    <m/>
    <s v="OK"/>
    <s v="OK"/>
    <n v="192000"/>
    <n v="108000"/>
    <n v="132000"/>
    <n v="96000"/>
    <n v="37000"/>
    <n v="0"/>
    <n v="0"/>
    <n v="0"/>
    <n v="518400"/>
    <n v="287900"/>
    <n v="363120"/>
    <n v="267600"/>
    <n v="105190"/>
    <n v="0"/>
    <m/>
    <n v="0"/>
    <m/>
    <m/>
    <m/>
    <m/>
    <m/>
    <m/>
    <m/>
    <m/>
  </r>
  <r>
    <s v="Agro Sudamerica1021279"/>
    <x v="0"/>
    <x v="0"/>
    <n v="1021279"/>
    <s v="GO Hso Pecho@ Cj 10k SC"/>
    <x v="1"/>
    <x v="1"/>
    <n v="869"/>
    <n v="0"/>
    <n v="0.3545854356400317"/>
    <n v="308.13474357118753"/>
    <n v="28052.41"/>
    <n v="9064.5"/>
    <n v="0"/>
    <n v="36518.594743571186"/>
    <n v="48000"/>
    <n v="23000"/>
    <n v="23000"/>
    <n v="0"/>
    <n v="23000"/>
    <n v="13518.594743571186"/>
    <n v="0"/>
    <n v="0"/>
    <n v="0"/>
    <n v="13518.594743571186"/>
    <n v="0"/>
    <n v="0"/>
    <n v="0"/>
    <n v="0"/>
    <n v="23000"/>
    <n v="23000"/>
    <n v="0"/>
    <n v="23000"/>
    <n v="0"/>
    <x v="1"/>
    <n v="23000"/>
    <n v="0"/>
    <x v="0"/>
    <x v="1"/>
    <s v="Si"/>
    <n v="23000"/>
    <n v="23000"/>
    <n v="0"/>
    <d v="2022-09-09T00:00:00"/>
    <n v="0"/>
    <n v="1.7201041666666648"/>
    <n v="1.7201041666666648"/>
    <n v="30742.489800964271"/>
    <n v="0"/>
    <s v="No Aplica"/>
    <n v="1.2366666666666666"/>
    <n v="1.7201041666666648"/>
    <n v="1.3366299913462727"/>
    <n v="1.3366299913462727"/>
    <m/>
    <s v="OK"/>
    <s v="OK"/>
    <n v="0"/>
    <n v="0"/>
    <n v="0"/>
    <n v="0"/>
    <n v="0"/>
    <n v="0"/>
    <n v="0"/>
    <n v="24000"/>
    <n v="0"/>
    <n v="0"/>
    <n v="0"/>
    <n v="0"/>
    <n v="0"/>
    <n v="0"/>
    <m/>
    <n v="560.86525642881247"/>
    <m/>
    <m/>
    <m/>
    <m/>
    <m/>
    <m/>
    <m/>
    <m/>
  </r>
  <r>
    <s v="Agro Sudamerica1020339"/>
    <x v="0"/>
    <x v="0"/>
    <n v="1020339"/>
    <s v="GO Lom Tocino@ Cj 20k AS"/>
    <x v="2"/>
    <x v="2"/>
    <n v="137834"/>
    <n v="96000"/>
    <n v="0.3545854356400317"/>
    <n v="48873.928936008131"/>
    <n v="109538.932"/>
    <n v="33293.324708693217"/>
    <n v="24000"/>
    <n v="164376.85317383203"/>
    <n v="24000"/>
    <n v="23000"/>
    <n v="24000"/>
    <n v="0"/>
    <n v="24000"/>
    <n v="140376.85317383203"/>
    <n v="138000"/>
    <n v="-42000"/>
    <n v="96000"/>
    <n v="44376.853173832031"/>
    <n v="0"/>
    <n v="0"/>
    <n v="0"/>
    <n v="2518.3200000000002"/>
    <n v="164518.32"/>
    <n v="164518.32"/>
    <n v="2518.3200000000002"/>
    <n v="24000"/>
    <n v="138000"/>
    <x v="2"/>
    <n v="24000"/>
    <n v="96000"/>
    <x v="0"/>
    <x v="2"/>
    <s v="Si"/>
    <n v="120000"/>
    <n v="109538.932"/>
    <n v="10461.067999999999"/>
    <d v="2022-09-09T00:00:00"/>
    <n v="1.68667708333333"/>
    <n v="1.95"/>
    <n v="1.743671672938379"/>
    <n v="205676.228"/>
    <n v="1.4936306219854043"/>
    <n v="0.16740487726517572"/>
    <n v="1.4866666666666666"/>
    <n v="1.743671672938379"/>
    <n v="1.6787385592619943"/>
    <n v="1.6787385592619943"/>
    <m/>
    <s v="OK"/>
    <s v="OK"/>
    <n v="34000"/>
    <n v="95000"/>
    <n v="85000"/>
    <n v="98500"/>
    <n v="130881"/>
    <n v="168000"/>
    <n v="48000"/>
    <n v="96000"/>
    <n v="54400"/>
    <n v="127400"/>
    <n v="115793"/>
    <n v="135470"/>
    <n v="186971"/>
    <n v="263881"/>
    <m/>
    <n v="88960.071063991869"/>
    <m/>
    <m/>
    <m/>
    <m/>
    <m/>
    <m/>
    <m/>
    <m/>
  </r>
  <r>
    <s v="Agro Sudamerica1020349"/>
    <x v="0"/>
    <x v="0"/>
    <n v="1020349"/>
    <s v="GO Papda@ Cj t-f AS"/>
    <x v="3"/>
    <x v="3"/>
    <n v="0"/>
    <n v="0"/>
    <n v="0.3545854356400317"/>
    <n v="0"/>
    <n v="28922.355"/>
    <n v="0"/>
    <n v="0"/>
    <n v="28922.355"/>
    <n v="24000"/>
    <n v="23000"/>
    <n v="24000"/>
    <n v="0"/>
    <n v="24000"/>
    <n v="4922.3549999999996"/>
    <n v="0"/>
    <n v="0"/>
    <n v="0"/>
    <n v="4922.3549999999996"/>
    <n v="0"/>
    <n v="0"/>
    <n v="0"/>
    <n v="0"/>
    <n v="24000"/>
    <n v="24000"/>
    <n v="0"/>
    <n v="24000"/>
    <n v="0"/>
    <x v="3"/>
    <n v="24000"/>
    <n v="0"/>
    <x v="0"/>
    <x v="1"/>
    <s v="Si"/>
    <n v="24000"/>
    <n v="24000"/>
    <n v="0"/>
    <d v="2022-09-09T00:00:00"/>
    <n v="0"/>
    <n v="1.7388888888888898"/>
    <n v="1.7388888888888898"/>
    <n v="41520"/>
    <n v="1.7744762868547115"/>
    <n v="2.005515555741853E-2"/>
    <n v="0"/>
    <n v="1.7388888888888898"/>
    <n v="1.73"/>
    <n v="1.73"/>
    <m/>
    <s v="OK"/>
    <s v="OK"/>
    <n v="120000"/>
    <n v="156000"/>
    <n v="228000"/>
    <n v="192000"/>
    <n v="0"/>
    <n v="24000"/>
    <n v="0"/>
    <n v="0"/>
    <n v="243200"/>
    <n v="302179"/>
    <n v="424800"/>
    <n v="335760"/>
    <n v="0"/>
    <n v="42186"/>
    <m/>
    <n v="0"/>
    <m/>
    <m/>
    <m/>
    <m/>
    <m/>
    <m/>
    <m/>
    <m/>
  </r>
  <r>
    <s v="Agro Sudamerica1020352"/>
    <x v="0"/>
    <x v="0"/>
    <n v="1020352"/>
    <s v="GO Cue 20@ Cj 20k AS"/>
    <x v="4"/>
    <x v="4"/>
    <n v="37238"/>
    <n v="48000"/>
    <n v="0.3545854356400317"/>
    <n v="13204.052452363501"/>
    <n v="65313.456999999995"/>
    <n v="9839"/>
    <n v="0"/>
    <n v="87372.609452363497"/>
    <n v="72000"/>
    <n v="23000"/>
    <n v="72000"/>
    <n v="0"/>
    <n v="72000"/>
    <n v="15372.609452363497"/>
    <n v="0"/>
    <n v="0"/>
    <n v="0"/>
    <n v="15372.609452363497"/>
    <n v="0"/>
    <n v="0"/>
    <n v="0"/>
    <n v="0"/>
    <n v="72000"/>
    <n v="72000"/>
    <n v="0"/>
    <n v="72000"/>
    <n v="0"/>
    <x v="4"/>
    <n v="72000"/>
    <n v="0"/>
    <x v="0"/>
    <x v="1"/>
    <s v="Si"/>
    <n v="72000"/>
    <n v="65313.456999999995"/>
    <n v="6686.5430000000051"/>
    <d v="2022-09-09T00:00:00"/>
    <n v="1.38666666666667"/>
    <n v="1.4205902777777766"/>
    <n v="1.4205902777777766"/>
    <n v="102240"/>
    <n v="1.2933397315970714"/>
    <n v="9.8389110820534961E-2"/>
    <n v="1.2991666666666666"/>
    <n v="1.4205902777777766"/>
    <n v="1.42"/>
    <n v="1.42"/>
    <m/>
    <s v="OK"/>
    <s v="OK"/>
    <n v="35000"/>
    <n v="0"/>
    <n v="48000"/>
    <n v="48000"/>
    <n v="24000"/>
    <n v="48000"/>
    <n v="0"/>
    <n v="71966.820000000007"/>
    <n v="47250"/>
    <n v="0"/>
    <n v="57310"/>
    <n v="50880"/>
    <n v="30240"/>
    <n v="60230"/>
    <m/>
    <n v="24033.947547636497"/>
    <m/>
    <m/>
    <m/>
    <m/>
    <m/>
    <m/>
    <m/>
    <m/>
  </r>
  <r>
    <s v="Agro Sudamerica1020367"/>
    <x v="0"/>
    <x v="0"/>
    <n v="1020367"/>
    <s v="GO Gord Lom Tocino@ Cj t-f AS"/>
    <x v="2"/>
    <x v="5"/>
    <n v="96000"/>
    <n v="120000"/>
    <n v="0.3545854356400317"/>
    <n v="34040.201821443043"/>
    <n v="100070.492"/>
    <n v="8772.9384062002591"/>
    <n v="24000"/>
    <n v="118006.33838702328"/>
    <n v="72000"/>
    <n v="23000"/>
    <n v="72000"/>
    <n v="0"/>
    <n v="72000"/>
    <n v="46006.338387023279"/>
    <n v="46000"/>
    <n v="0"/>
    <n v="46000"/>
    <n v="6.3383870232792106"/>
    <n v="0"/>
    <n v="0"/>
    <n v="0"/>
    <n v="24000"/>
    <n v="142000"/>
    <n v="142000"/>
    <n v="24000"/>
    <n v="72000"/>
    <n v="46000"/>
    <x v="5"/>
    <n v="72000"/>
    <n v="46000"/>
    <x v="0"/>
    <x v="1"/>
    <s v="Si"/>
    <n v="118000"/>
    <n v="100070.492"/>
    <n v="17929.508000000002"/>
    <d v="2022-09-09T00:00:00"/>
    <n v="1.3366750000000001"/>
    <n v="1.2202895918399692"/>
    <n v="1.2579919071594159"/>
    <n v="175407.71666666665"/>
    <n v="1.2121438720873106"/>
    <n v="3.782392183623802E-2"/>
    <n v="1.1083623242971887"/>
    <n v="1.2579919071594159"/>
    <n v="1.2352656103286384"/>
    <n v="1.2352656103286384"/>
    <m/>
    <s v="OK"/>
    <s v="OK"/>
    <n v="48000"/>
    <n v="72000"/>
    <n v="24000"/>
    <n v="48100"/>
    <n v="72000"/>
    <n v="145000"/>
    <n v="239000"/>
    <n v="166000"/>
    <n v="64800"/>
    <n v="89200"/>
    <n v="26400"/>
    <n v="53143"/>
    <n v="74627"/>
    <n v="166475"/>
    <m/>
    <n v="61959.798178556957"/>
    <m/>
    <m/>
    <m/>
    <m/>
    <m/>
    <m/>
    <m/>
    <m/>
  </r>
  <r>
    <s v="Agro Sudamerica1020412"/>
    <x v="0"/>
    <x v="0"/>
    <n v="1020412"/>
    <s v="GO Cne Long@ Cj t-f AS"/>
    <x v="5"/>
    <x v="6"/>
    <n v="212933"/>
    <n v="264000"/>
    <n v="0.3545854356400317"/>
    <n v="75502.940567138867"/>
    <n v="31690.139000000003"/>
    <n v="44406.725745334203"/>
    <n v="0"/>
    <n v="147159.13273793965"/>
    <n v="36000"/>
    <n v="23000"/>
    <n v="36000"/>
    <n v="0"/>
    <n v="36000"/>
    <n v="111159.13273793965"/>
    <n v="92000"/>
    <n v="0"/>
    <n v="92000"/>
    <n v="19159.132737939653"/>
    <n v="0"/>
    <n v="0"/>
    <n v="0"/>
    <n v="0"/>
    <n v="128000"/>
    <n v="128000"/>
    <n v="0"/>
    <n v="36000"/>
    <n v="92000"/>
    <x v="6"/>
    <n v="36000"/>
    <n v="92000"/>
    <x v="0"/>
    <x v="1"/>
    <s v="Si"/>
    <n v="128000"/>
    <n v="31690.139000000003"/>
    <n v="96309.861000000004"/>
    <d v="2022-09-09T00:00:00"/>
    <n v="1.75030681818182"/>
    <n v="1.6701662668674699"/>
    <n v="1.7277672881246591"/>
    <n v="227551.86920080683"/>
    <n v="1.7801020566349952"/>
    <n v="2.9399869695823418E-2"/>
    <n v="1.7722769712233275"/>
    <n v="1.7277672881246591"/>
    <n v="1.7777489781313034"/>
    <n v="1.7777489781313034"/>
    <m/>
    <s v="OK"/>
    <s v="OK"/>
    <n v="48000"/>
    <n v="73000"/>
    <n v="96000"/>
    <n v="72000"/>
    <n v="72000"/>
    <n v="116000"/>
    <n v="263000"/>
    <n v="96000"/>
    <n v="67200"/>
    <n v="115910"/>
    <n v="139150"/>
    <n v="115909"/>
    <n v="121440"/>
    <n v="208322"/>
    <m/>
    <n v="137430.05943286113"/>
    <m/>
    <m/>
    <m/>
    <m/>
    <m/>
    <m/>
    <m/>
    <m/>
  </r>
  <r>
    <s v="Agro Sudamerica1021980"/>
    <x v="0"/>
    <x v="0"/>
    <n v="1021980"/>
    <s v="GO BB Ribs Grd B@ Fi Cj 20k AS"/>
    <x v="0"/>
    <x v="7"/>
    <n v="0"/>
    <n v="5500"/>
    <n v="0.3545854356400317"/>
    <n v="0"/>
    <n v="10674.676000000007"/>
    <n v="790"/>
    <n v="0"/>
    <n v="11385.676000000007"/>
    <n v="0"/>
    <n v="23000"/>
    <n v="0"/>
    <n v="0"/>
    <n v="0"/>
    <n v="11385.676000000007"/>
    <n v="0"/>
    <n v="0"/>
    <n v="0"/>
    <n v="11385.676000000007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4.9867272727272702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20848"/>
    <x v="0"/>
    <x v="0"/>
    <n v="1020848"/>
    <s v="GO Lom Ctro 27@ Cj 20k AS"/>
    <x v="6"/>
    <x v="8"/>
    <n v="121861"/>
    <n v="96000"/>
    <n v="0.3545854356400317"/>
    <n v="43210.135772529902"/>
    <n v="86253.915000000023"/>
    <n v="19096.033842128214"/>
    <n v="0"/>
    <n v="146650.48123044532"/>
    <n v="84000"/>
    <n v="23000"/>
    <n v="84000"/>
    <n v="0"/>
    <n v="84000"/>
    <n v="62650.481230445323"/>
    <n v="46000"/>
    <n v="0"/>
    <n v="46000"/>
    <n v="16650.481230445323"/>
    <n v="0"/>
    <n v="0"/>
    <n v="0"/>
    <n v="23796.98"/>
    <n v="153796.98000000001"/>
    <n v="153796.98000000001"/>
    <n v="23796.98"/>
    <n v="84000"/>
    <n v="46000.000000000015"/>
    <x v="8"/>
    <n v="84000"/>
    <n v="46000.000000000015"/>
    <x v="0"/>
    <x v="1"/>
    <s v="Si"/>
    <n v="130000.00000000001"/>
    <n v="86253.915000000023"/>
    <n v="43746.084999999992"/>
    <d v="2022-09-09T00:00:00"/>
    <n v="3.20667708333333"/>
    <n v="3.3145773809523802"/>
    <n v="3.2823048767037513"/>
    <n v="494613.42143333331"/>
    <n v="2.7010263567894919"/>
    <n v="0.21520653378783824"/>
    <n v="3.1433333333333335"/>
    <n v="3.2823048767037513"/>
    <n v="3.2160151742468108"/>
    <n v="3.2160151742468108"/>
    <m/>
    <s v="OK"/>
    <s v="OK"/>
    <n v="240000"/>
    <n v="147000"/>
    <n v="360000"/>
    <n v="192000"/>
    <n v="72000"/>
    <n v="72000"/>
    <n v="48000"/>
    <n v="72000"/>
    <n v="684000"/>
    <n v="364350"/>
    <n v="949090"/>
    <n v="495200"/>
    <n v="201467"/>
    <n v="204416"/>
    <m/>
    <n v="78650.864227470098"/>
    <m/>
    <m/>
    <m/>
    <m/>
    <m/>
    <m/>
    <m/>
    <m/>
  </r>
  <r>
    <s v="Agro Sudamerica1020869"/>
    <x v="0"/>
    <x v="0"/>
    <n v="1020869"/>
    <s v="GO Cos 79@ Bo Cj 20k AS"/>
    <x v="7"/>
    <x v="9"/>
    <n v="0"/>
    <n v="0"/>
    <n v="0.3545854356400317"/>
    <n v="0"/>
    <n v="45120.754000000008"/>
    <n v="3025.5904013062973"/>
    <n v="0"/>
    <n v="47843.785361175673"/>
    <n v="48000"/>
    <n v="23000"/>
    <n v="46000"/>
    <n v="0"/>
    <n v="46000"/>
    <n v="1843.7853611756727"/>
    <n v="0"/>
    <n v="0"/>
    <n v="0"/>
    <n v="1843.7853611756727"/>
    <n v="0"/>
    <n v="0"/>
    <n v="0"/>
    <n v="0"/>
    <n v="46000"/>
    <n v="46000"/>
    <n v="0"/>
    <n v="46000"/>
    <n v="0"/>
    <x v="9"/>
    <n v="46000"/>
    <n v="0"/>
    <x v="0"/>
    <x v="1"/>
    <s v="Si"/>
    <n v="46000"/>
    <n v="45120.754000000008"/>
    <n v="879.24599999999191"/>
    <d v="2022-09-09T00:00:00"/>
    <n v="0"/>
    <n v="4.7720256812499997"/>
    <n v="4.7720256812499997"/>
    <n v="192740.00000000003"/>
    <n v="4.8511556546752237"/>
    <n v="1.6311571728061074E-2"/>
    <n v="4.2"/>
    <n v="4.7720256812499997"/>
    <n v="4.1900000000000004"/>
    <n v="4.1900000000000004"/>
    <m/>
    <s v="OK"/>
    <s v="OK"/>
    <n v="0"/>
    <n v="0"/>
    <n v="24000"/>
    <n v="0"/>
    <n v="0"/>
    <n v="33000"/>
    <n v="0"/>
    <n v="67000"/>
    <n v="0"/>
    <n v="0"/>
    <n v="120000"/>
    <n v="0"/>
    <n v="0"/>
    <n v="139067"/>
    <m/>
    <n v="0"/>
    <m/>
    <m/>
    <m/>
    <m/>
    <m/>
    <m/>
    <m/>
    <m/>
  </r>
  <r>
    <s v="Agro Sudamerica1020886"/>
    <x v="0"/>
    <x v="0"/>
    <n v="1020886"/>
    <s v="GO Panc Tecl Nor@ Cj 20k AS"/>
    <x v="8"/>
    <x v="10"/>
    <n v="5273"/>
    <n v="0"/>
    <n v="0.3545854356400317"/>
    <n v="1869.7290021298872"/>
    <n v="17991.988999999998"/>
    <n v="0"/>
    <n v="0"/>
    <n v="19861.718002129885"/>
    <n v="18700"/>
    <n v="23000"/>
    <n v="18700"/>
    <n v="0"/>
    <n v="18700"/>
    <n v="1161.7180021298846"/>
    <n v="0"/>
    <n v="0"/>
    <n v="0"/>
    <n v="1161.7180021298846"/>
    <n v="0"/>
    <n v="0"/>
    <n v="0"/>
    <n v="0"/>
    <n v="18700"/>
    <n v="18700"/>
    <n v="0"/>
    <n v="18700"/>
    <n v="0"/>
    <x v="10"/>
    <n v="18700"/>
    <n v="0"/>
    <x v="0"/>
    <x v="1"/>
    <s v="Si"/>
    <n v="18700"/>
    <n v="17991.988999999998"/>
    <n v="708.01100000000224"/>
    <d v="2022-09-09T00:00:00"/>
    <n v="0"/>
    <n v="3.3516119358288798"/>
    <n v="3.3516119358288798"/>
    <n v="62645"/>
    <n v="0"/>
    <s v="No Aplica"/>
    <n v="0"/>
    <n v="3.3516119358288798"/>
    <n v="3.35"/>
    <n v="3.35"/>
    <m/>
    <s v="OK"/>
    <s v="OK"/>
    <n v="0"/>
    <n v="10000"/>
    <n v="0"/>
    <n v="0"/>
    <n v="0"/>
    <n v="0"/>
    <n v="0"/>
    <n v="0"/>
    <n v="0"/>
    <n v="51667"/>
    <n v="0"/>
    <n v="0"/>
    <n v="0"/>
    <n v="0"/>
    <m/>
    <n v="3403.2709978701128"/>
    <m/>
    <m/>
    <m/>
    <m/>
    <m/>
    <m/>
    <m/>
    <m/>
  </r>
  <r>
    <s v="Agro Sudamerica1020915"/>
    <x v="0"/>
    <x v="0"/>
    <n v="1020915"/>
    <s v="GO Pna Nor@ Bo Cj 20k AS"/>
    <x v="9"/>
    <x v="11"/>
    <n v="0"/>
    <n v="0"/>
    <n v="0.3545854356400317"/>
    <n v="0"/>
    <n v="14598.939000000002"/>
    <n v="0"/>
    <n v="0"/>
    <n v="14598.939000000002"/>
    <n v="12530"/>
    <n v="23000"/>
    <n v="12530"/>
    <n v="0"/>
    <n v="12530"/>
    <n v="2068.9390000000021"/>
    <n v="0"/>
    <n v="0"/>
    <n v="0"/>
    <n v="2068.9390000000021"/>
    <n v="0"/>
    <n v="0"/>
    <n v="0"/>
    <n v="0"/>
    <n v="12530"/>
    <n v="12530"/>
    <n v="0"/>
    <n v="12530"/>
    <n v="0"/>
    <x v="11"/>
    <n v="12530"/>
    <n v="0"/>
    <x v="0"/>
    <x v="1"/>
    <s v="Si"/>
    <n v="12530"/>
    <n v="12530"/>
    <n v="0"/>
    <d v="2022-09-09T00:00:00"/>
    <n v="0"/>
    <n v="1.92752964584996"/>
    <n v="1.92752964584996"/>
    <n v="24893.382311880498"/>
    <n v="2.2697888366895929"/>
    <n v="0.15078900085648753"/>
    <n v="1.9"/>
    <n v="1.92752964584996"/>
    <n v="1.9867024989529527"/>
    <n v="1.9867024989529527"/>
    <m/>
    <s v="OK"/>
    <s v="OK"/>
    <n v="10000"/>
    <n v="2000"/>
    <n v="0"/>
    <n v="0"/>
    <n v="0"/>
    <n v="0"/>
    <n v="48000"/>
    <n v="52000"/>
    <n v="17000"/>
    <n v="4300"/>
    <n v="0"/>
    <n v="0"/>
    <n v="0"/>
    <n v="0"/>
    <m/>
    <n v="0"/>
    <m/>
    <m/>
    <m/>
    <m/>
    <m/>
    <m/>
    <m/>
    <m/>
  </r>
  <r>
    <s v="Agro Sudamerica1020925"/>
    <x v="0"/>
    <x v="0"/>
    <n v="1020925"/>
    <s v="GO Grasa Forro Pna Limp@ Cj 20k AS"/>
    <x v="2"/>
    <x v="12"/>
    <n v="18363"/>
    <n v="0"/>
    <n v="0.3545854356400317"/>
    <n v="6511.2523546579023"/>
    <n v="90717.78300000001"/>
    <n v="0"/>
    <n v="0"/>
    <n v="97229.035354657914"/>
    <n v="150200"/>
    <n v="23000"/>
    <n v="92000"/>
    <n v="0"/>
    <n v="92000"/>
    <n v="5229.0353546579136"/>
    <n v="0"/>
    <n v="0"/>
    <n v="0"/>
    <n v="5229.0353546579136"/>
    <n v="0"/>
    <n v="0"/>
    <n v="0"/>
    <n v="0"/>
    <n v="92000"/>
    <n v="92000"/>
    <n v="0"/>
    <n v="92000"/>
    <n v="0"/>
    <x v="12"/>
    <n v="92000"/>
    <n v="0"/>
    <x v="0"/>
    <x v="4"/>
    <s v="Si"/>
    <n v="92000"/>
    <n v="90717.78300000001"/>
    <n v="1282.2169999999896"/>
    <d v="2022-09-09T00:00:00"/>
    <n v="0"/>
    <n v="1.4488861961113477"/>
    <n v="1.4488861961113479"/>
    <n v="100280.00000000001"/>
    <n v="1.3330788976691959"/>
    <n v="8.687205134267284E-2"/>
    <n v="1.45"/>
    <n v="1.4488861961113479"/>
    <n v="1.0900000000000001"/>
    <n v="1.0900000000000001"/>
    <m/>
    <s v="OK"/>
    <s v="OK"/>
    <n v="0"/>
    <n v="3000"/>
    <n v="14000"/>
    <n v="38000"/>
    <n v="48000"/>
    <n v="72000"/>
    <n v="144000"/>
    <n v="96000"/>
    <n v="0"/>
    <n v="3450"/>
    <n v="13300"/>
    <n v="44140"/>
    <n v="69120"/>
    <n v="103224"/>
    <m/>
    <n v="11851.747645342097"/>
    <m/>
    <m/>
    <m/>
    <m/>
    <m/>
    <m/>
    <m/>
    <m/>
  </r>
  <r>
    <s v="Agro Sudamerica1020944"/>
    <x v="0"/>
    <x v="0"/>
    <n v="1020944"/>
    <s v="GO PpPna 59@ Fi Cj 20k AS"/>
    <x v="9"/>
    <x v="13"/>
    <n v="221194"/>
    <n v="168000"/>
    <n v="0.3545854356400317"/>
    <n v="78432.170850961178"/>
    <n v="70183.689999999973"/>
    <n v="0"/>
    <n v="0"/>
    <n v="148615.86085096115"/>
    <n v="132700"/>
    <n v="23000"/>
    <n v="132700"/>
    <n v="0"/>
    <n v="132700"/>
    <n v="15915.860850961151"/>
    <n v="0"/>
    <n v="0"/>
    <n v="0"/>
    <n v="15915.860850961151"/>
    <n v="0"/>
    <n v="0"/>
    <n v="0"/>
    <n v="47974.38"/>
    <n v="180674.38"/>
    <n v="180674.38"/>
    <n v="47974.38"/>
    <n v="132700"/>
    <n v="0"/>
    <x v="13"/>
    <n v="132700"/>
    <n v="0"/>
    <x v="0"/>
    <x v="1"/>
    <s v="Si"/>
    <n v="132700"/>
    <n v="70183.689999999973"/>
    <n v="62516.310000000027"/>
    <d v="2022-09-09T00:00:00"/>
    <n v="2.8366726190476199"/>
    <n v="2.8675804246973859"/>
    <n v="2.8675804246973859"/>
    <n v="510887.53951364174"/>
    <n v="2.4869559132430363"/>
    <n v="0.15304835498993957"/>
    <n v="2.6849973460509213"/>
    <n v="2.8675804246973859"/>
    <n v="2.8276700853416057"/>
    <n v="2.8276700853416057"/>
    <m/>
    <s v="OK"/>
    <s v="OK"/>
    <n v="480000"/>
    <n v="508001"/>
    <n v="384000"/>
    <n v="188000"/>
    <n v="504000"/>
    <n v="262964"/>
    <n v="382300"/>
    <n v="226000"/>
    <n v="1248000"/>
    <n v="1281954"/>
    <n v="924000"/>
    <n v="424640"/>
    <n v="1231920"/>
    <n v="681801"/>
    <m/>
    <n v="142761.82914903882"/>
    <m/>
    <m/>
    <m/>
    <m/>
    <m/>
    <m/>
    <m/>
    <m/>
  </r>
  <r>
    <s v="Agro Sudamerica1021023"/>
    <x v="0"/>
    <x v="0"/>
    <n v="1021023"/>
    <s v="GO Gord rebaje@ Bo Cj 20k AS"/>
    <x v="2"/>
    <x v="5"/>
    <n v="182908"/>
    <n v="192000"/>
    <n v="0.3545854356400317"/>
    <n v="64856.512862046919"/>
    <n v="44736.615999999965"/>
    <n v="0"/>
    <n v="0"/>
    <n v="109593.12886204688"/>
    <n v="38000"/>
    <n v="23000"/>
    <n v="38000"/>
    <n v="0"/>
    <n v="38000"/>
    <n v="71593.128862046884"/>
    <n v="69000"/>
    <n v="0"/>
    <n v="69000"/>
    <n v="2593.128862046884"/>
    <n v="0"/>
    <n v="0"/>
    <n v="0"/>
    <n v="23997.03"/>
    <n v="130997.03"/>
    <n v="130997.03"/>
    <n v="23997.03"/>
    <n v="38000"/>
    <n v="69000"/>
    <x v="14"/>
    <n v="38000"/>
    <n v="69000"/>
    <x v="0"/>
    <x v="1"/>
    <s v="Si"/>
    <n v="107000"/>
    <n v="44736.615999999965"/>
    <n v="62263.384000000035"/>
    <d v="2022-09-09T00:00:00"/>
    <n v="1.2366718750000001"/>
    <n v="1.1840985686980601"/>
    <n v="1.2117904799943227"/>
    <n v="159106.825075"/>
    <n v="1.1075126748274666"/>
    <n v="9.4154954193279003E-2"/>
    <n v="1.1219623949579831"/>
    <n v="1.2117904799943227"/>
    <n v="1.2145834533424156"/>
    <n v="1.2145834533424156"/>
    <m/>
    <s v="OK"/>
    <s v="OK"/>
    <n v="120000"/>
    <n v="216000"/>
    <n v="264000"/>
    <n v="167000"/>
    <n v="96000"/>
    <n v="120000"/>
    <n v="118000"/>
    <n v="119000"/>
    <n v="141600"/>
    <n v="245849"/>
    <n v="290400"/>
    <n v="181920"/>
    <n v="95760"/>
    <n v="134889"/>
    <m/>
    <n v="118051.48713795308"/>
    <m/>
    <m/>
    <m/>
    <m/>
    <m/>
    <m/>
    <m/>
    <m/>
  </r>
  <r>
    <s v="Agro Sudamerica1021039"/>
    <x v="0"/>
    <x v="0"/>
    <n v="1021039"/>
    <s v="GO Cue Papda CP@ Cj 20k bca AS"/>
    <x v="4"/>
    <x v="14"/>
    <n v="19000"/>
    <n v="48000"/>
    <n v="0.3545854356400317"/>
    <n v="6737.1232771606019"/>
    <n v="56502.628000000019"/>
    <n v="0"/>
    <n v="0"/>
    <n v="63239.75127716062"/>
    <n v="33271"/>
    <n v="23000"/>
    <n v="33271"/>
    <n v="0"/>
    <n v="33271"/>
    <n v="29968.75127716062"/>
    <n v="23000"/>
    <n v="-23000"/>
    <n v="0"/>
    <n v="29968.75127716062"/>
    <n v="0"/>
    <n v="0"/>
    <n v="0"/>
    <n v="0"/>
    <n v="56271"/>
    <n v="56271"/>
    <n v="0"/>
    <n v="33271"/>
    <n v="23000"/>
    <x v="15"/>
    <n v="33271"/>
    <n v="0"/>
    <x v="1"/>
    <x v="5"/>
    <s v="Si"/>
    <n v="33271"/>
    <n v="33271"/>
    <n v="0"/>
    <d v="2022-09-09T00:00:00"/>
    <n v="0.60666666666666702"/>
    <n v="0.55002397214819854"/>
    <n v="0.55002397214819854"/>
    <n v="17633.63"/>
    <n v="0.59102965302721577"/>
    <n v="6.9380073688331517E-2"/>
    <n v="0.50666666666666671"/>
    <n v="0.55002397214819854"/>
    <n v="0.53"/>
    <n v="0.53"/>
    <m/>
    <s v="OK"/>
    <s v="OK"/>
    <n v="24000"/>
    <n v="24000"/>
    <n v="72000"/>
    <n v="0"/>
    <n v="48000"/>
    <n v="48000"/>
    <n v="24000"/>
    <n v="50039"/>
    <n v="12000"/>
    <n v="14400"/>
    <n v="38880"/>
    <n v="0"/>
    <n v="28787"/>
    <n v="30298"/>
    <m/>
    <n v="12262.876722839399"/>
    <m/>
    <m/>
    <m/>
    <m/>
    <m/>
    <m/>
    <m/>
    <m/>
  </r>
  <r>
    <s v="Agro Sudamerica1021077"/>
    <x v="0"/>
    <x v="0"/>
    <n v="1021077"/>
    <s v="GO Gord chic@ Cj 20k AS"/>
    <x v="2"/>
    <x v="5"/>
    <n v="2061"/>
    <n v="0"/>
    <n v="0.3545854356400317"/>
    <n v="730.8005828541053"/>
    <n v="26416.789000000001"/>
    <n v="0"/>
    <n v="0"/>
    <n v="27147.589582854107"/>
    <n v="24000"/>
    <n v="23000"/>
    <n v="24000"/>
    <n v="0"/>
    <n v="24000"/>
    <n v="3147.589582854107"/>
    <n v="0"/>
    <n v="0"/>
    <n v="0"/>
    <n v="3147.589582854107"/>
    <n v="0"/>
    <n v="0"/>
    <n v="0"/>
    <n v="0"/>
    <n v="24000"/>
    <n v="24000"/>
    <n v="0"/>
    <n v="24000"/>
    <n v="0"/>
    <x v="3"/>
    <n v="24000"/>
    <n v="0"/>
    <x v="0"/>
    <x v="6"/>
    <s v="Si"/>
    <n v="24000"/>
    <n v="24000"/>
    <n v="0"/>
    <d v="2022-09-09T00:00:00"/>
    <n v="0"/>
    <n v="1.4141027837209301"/>
    <n v="1.4141027837209301"/>
    <n v="27359.999999999996"/>
    <n v="1.1064481911376645"/>
    <n v="0.27805603104374116"/>
    <n v="1.2"/>
    <n v="1.4141027837209301"/>
    <n v="1.1399999999999999"/>
    <n v="1.1399999999999999"/>
    <m/>
    <s v="OK"/>
    <s v="OK"/>
    <n v="0"/>
    <n v="24000"/>
    <n v="0"/>
    <n v="48000"/>
    <n v="0"/>
    <n v="48000"/>
    <n v="35000"/>
    <n v="48000"/>
    <n v="0"/>
    <n v="29259"/>
    <n v="0"/>
    <n v="60720"/>
    <n v="0"/>
    <n v="69235"/>
    <m/>
    <n v="1330.1994171458946"/>
    <m/>
    <m/>
    <m/>
    <m/>
    <m/>
    <m/>
    <m/>
    <m/>
  </r>
  <r>
    <s v="Agro Sudamerica1021078"/>
    <x v="0"/>
    <x v="0"/>
    <n v="1021078"/>
    <s v="GO Triming 80/20@ Cj 20k AS"/>
    <x v="5"/>
    <x v="6"/>
    <n v="55716"/>
    <n v="48000"/>
    <n v="0.3545854356400317"/>
    <n v="19756.082132120006"/>
    <n v="72222.813999999984"/>
    <n v="23730.447871558776"/>
    <n v="0"/>
    <n v="113336.29921652289"/>
    <n v="182000"/>
    <n v="23000"/>
    <n v="92000"/>
    <n v="-72000"/>
    <n v="20000"/>
    <n v="93336.299216522893"/>
    <n v="92000"/>
    <n v="-24000"/>
    <n v="68000"/>
    <n v="25336.299216522893"/>
    <n v="0"/>
    <n v="0"/>
    <n v="0"/>
    <n v="0"/>
    <n v="184000"/>
    <n v="92000"/>
    <n v="0"/>
    <n v="20000"/>
    <n v="72000"/>
    <x v="16"/>
    <n v="20000"/>
    <n v="68000"/>
    <x v="2"/>
    <x v="7"/>
    <s v="Si"/>
    <n v="88000"/>
    <n v="72222.813999999984"/>
    <n v="15777.186000000016"/>
    <d v="2022-09-09T00:00:00"/>
    <n v="2.2866666666666702"/>
    <n v="2.3055464504356675"/>
    <n v="2.2909575266141693"/>
    <n v="200893.33333333337"/>
    <n v="2.1677225776250446"/>
    <n v="5.6849963303025983E-2"/>
    <n v="2.1033402777777779"/>
    <n v="2.2909575266141693"/>
    <n v="2.2828787878787882"/>
    <n v="2.2828787878787882"/>
    <m/>
    <s v="OK"/>
    <s v="OK"/>
    <n v="48000"/>
    <n v="107000"/>
    <n v="143000"/>
    <n v="96000"/>
    <n v="96000"/>
    <n v="96000"/>
    <n v="96000"/>
    <n v="144000"/>
    <n v="97440"/>
    <n v="222108"/>
    <n v="309400"/>
    <n v="198480"/>
    <n v="209280"/>
    <n v="209605"/>
    <m/>
    <n v="35959.917867879994"/>
    <m/>
    <m/>
    <m/>
    <m/>
    <m/>
    <m/>
    <m/>
    <m/>
  </r>
  <r>
    <s v="Agro Sudamerica1021082"/>
    <x v="0"/>
    <x v="0"/>
    <n v="1021082"/>
    <s v="GO Triming 70/30@ Cj 20k AS"/>
    <x v="5"/>
    <x v="6"/>
    <n v="0"/>
    <n v="0"/>
    <n v="0.3545854356400317"/>
    <n v="0"/>
    <n v="1099.4390000000001"/>
    <n v="0"/>
    <n v="0"/>
    <n v="1099.4390000000001"/>
    <n v="143000"/>
    <n v="23000"/>
    <n v="0"/>
    <n v="0"/>
    <n v="0"/>
    <n v="1099.4390000000001"/>
    <n v="0"/>
    <n v="0"/>
    <n v="0"/>
    <n v="1099.4390000000001"/>
    <n v="0"/>
    <n v="0"/>
    <n v="0"/>
    <n v="2505.58"/>
    <n v="2505.58"/>
    <n v="2505.58"/>
    <n v="2505.58"/>
    <n v="0"/>
    <n v="0"/>
    <x v="17"/>
    <n v="0"/>
    <n v="0"/>
    <x v="0"/>
    <x v="1"/>
    <s v="No"/>
    <n v="0"/>
    <n v="0"/>
    <n v="0"/>
    <d v="2022-09-09T00:00:00"/>
    <n v="0"/>
    <n v="1.7200192858205645"/>
    <n v="1.7200192858205645"/>
    <n v="4134.2069999999994"/>
    <n v="1.7154057164580345"/>
    <n v="2.6894916568519292E-3"/>
    <n v="1.5"/>
    <n v="1.7200192858205645"/>
    <n v="1.65"/>
    <n v="1.65"/>
    <m/>
    <s v="OK"/>
    <s v="OK"/>
    <n v="0"/>
    <n v="0"/>
    <n v="0"/>
    <n v="0"/>
    <n v="2500"/>
    <n v="48000"/>
    <n v="24000"/>
    <n v="73500"/>
    <n v="0"/>
    <n v="0"/>
    <n v="0"/>
    <n v="0"/>
    <n v="5125"/>
    <n v="86646"/>
    <m/>
    <n v="0"/>
    <m/>
    <m/>
    <m/>
    <m/>
    <m/>
    <m/>
    <m/>
    <m/>
  </r>
  <r>
    <s v="Agro Sudamerica1021085"/>
    <x v="0"/>
    <x v="0"/>
    <n v="1021085"/>
    <s v="GO Gord Esp@ Cj 20k AS"/>
    <x v="2"/>
    <x v="5"/>
    <n v="0"/>
    <n v="0"/>
    <n v="0.3545854356400317"/>
    <n v="0"/>
    <n v="50589.191000000028"/>
    <n v="0"/>
    <n v="0"/>
    <n v="50589.191000000028"/>
    <n v="45300"/>
    <n v="23000"/>
    <n v="45300"/>
    <n v="0"/>
    <n v="45300"/>
    <n v="5289.191000000028"/>
    <n v="0"/>
    <n v="0"/>
    <n v="0"/>
    <n v="5289.191000000028"/>
    <n v="0"/>
    <n v="0"/>
    <n v="0"/>
    <n v="0"/>
    <n v="45300"/>
    <n v="45300"/>
    <n v="0"/>
    <n v="45300"/>
    <n v="0"/>
    <x v="18"/>
    <n v="45300"/>
    <n v="0"/>
    <x v="0"/>
    <x v="1"/>
    <s v="Si"/>
    <n v="45300"/>
    <n v="45300"/>
    <n v="0"/>
    <d v="2022-09-09T00:00:00"/>
    <n v="0"/>
    <n v="0.98297578807946817"/>
    <n v="0.98297578807946817"/>
    <n v="49377"/>
    <n v="0.90077098827902713"/>
    <n v="9.1260487815552169E-2"/>
    <n v="0.95"/>
    <n v="0.98297578807946817"/>
    <n v="1.0900000000000001"/>
    <n v="1.0900000000000001"/>
    <m/>
    <s v="OK"/>
    <s v="OK"/>
    <n v="24000"/>
    <n v="24000"/>
    <n v="0"/>
    <n v="0"/>
    <n v="24000"/>
    <n v="0"/>
    <n v="0"/>
    <n v="21300"/>
    <n v="28800"/>
    <n v="21600"/>
    <n v="0"/>
    <n v="0"/>
    <n v="20400"/>
    <n v="0"/>
    <m/>
    <n v="0"/>
    <m/>
    <m/>
    <m/>
    <m/>
    <m/>
    <m/>
    <m/>
    <m/>
  </r>
  <r>
    <s v="Agro Sudamerica1021092"/>
    <x v="0"/>
    <x v="0"/>
    <n v="1021092"/>
    <s v="GO Triming 85/15@ Cj t-f 20k AS"/>
    <x v="5"/>
    <x v="6"/>
    <n v="129511"/>
    <n v="120000"/>
    <n v="0.3545854356400317"/>
    <n v="45922.714355176147"/>
    <n v="62516.365000000056"/>
    <n v="31814.486472340832"/>
    <n v="0"/>
    <n v="137072.11718028295"/>
    <n v="120000"/>
    <n v="23000"/>
    <n v="120000"/>
    <n v="-48000"/>
    <n v="72000"/>
    <n v="65072.117180282949"/>
    <n v="46000"/>
    <n v="-46000"/>
    <n v="0"/>
    <n v="65072.117180282949"/>
    <n v="0"/>
    <n v="0"/>
    <n v="0"/>
    <n v="24016.53"/>
    <n v="190016.53"/>
    <n v="144016.53"/>
    <n v="24016.53"/>
    <n v="72000"/>
    <n v="48000"/>
    <x v="19"/>
    <n v="72000"/>
    <n v="0"/>
    <x v="2"/>
    <x v="8"/>
    <s v="Si"/>
    <n v="72000"/>
    <n v="62516.365000000056"/>
    <n v="9483.6349999999438"/>
    <d v="2022-09-09T00:00:00"/>
    <n v="2.5866750000000001"/>
    <n v="2.5402572326249104"/>
    <n v="2.5402572326249104"/>
    <n v="237161.49588145834"/>
    <n v="2.2749987627241022"/>
    <n v="0.11659719303899119"/>
    <n v="2.3252058033246348"/>
    <n v="2.5402572326249104"/>
    <n v="2.4700069444444446"/>
    <n v="2.4700069444444446"/>
    <m/>
    <s v="OK"/>
    <s v="OK"/>
    <n v="48000"/>
    <n v="79070"/>
    <n v="0"/>
    <n v="72000"/>
    <n v="144000"/>
    <n v="121000"/>
    <n v="169000"/>
    <n v="146000"/>
    <n v="120000"/>
    <n v="149977"/>
    <n v="0"/>
    <n v="130800"/>
    <n v="337200"/>
    <n v="290729"/>
    <m/>
    <n v="83588.28564482386"/>
    <m/>
    <m/>
    <m/>
    <m/>
    <m/>
    <m/>
    <m/>
    <m/>
  </r>
  <r>
    <s v="Agro Sudamerica1021101"/>
    <x v="0"/>
    <x v="0"/>
    <n v="1021101"/>
    <s v="GO Corazón Partido@ Cj t-f 20k AS"/>
    <x v="10"/>
    <x v="15"/>
    <n v="27354"/>
    <n v="24000"/>
    <n v="0.3545854356400317"/>
    <n v="9699.3300064974264"/>
    <n v="23911.156000000006"/>
    <n v="0"/>
    <n v="0"/>
    <n v="33610.486006497435"/>
    <n v="24000"/>
    <n v="23000"/>
    <n v="24000"/>
    <n v="0"/>
    <n v="24000"/>
    <n v="9610.4860064974346"/>
    <n v="0"/>
    <n v="0"/>
    <n v="0"/>
    <n v="9610.4860064974346"/>
    <n v="0"/>
    <n v="0"/>
    <n v="0"/>
    <n v="0"/>
    <n v="24000"/>
    <n v="24000"/>
    <n v="0"/>
    <n v="24000"/>
    <n v="0"/>
    <x v="3"/>
    <n v="24000"/>
    <n v="0"/>
    <x v="0"/>
    <x v="1"/>
    <s v="Si"/>
    <n v="24000"/>
    <n v="23911.156000000006"/>
    <n v="88.843999999993684"/>
    <d v="2022-09-09T00:00:00"/>
    <n v="1.1866666666666701"/>
    <n v="1.1103030303030299"/>
    <n v="1.1103030303030299"/>
    <n v="26640.000000000004"/>
    <n v="1.1504196393336146"/>
    <n v="3.487128319003871E-2"/>
    <n v="1.0866666666666667"/>
    <n v="1.1103030303030299"/>
    <n v="1.1100000000000001"/>
    <n v="1.1100000000000001"/>
    <m/>
    <s v="OK"/>
    <s v="OK"/>
    <n v="12000"/>
    <n v="48000"/>
    <n v="24000"/>
    <n v="24000"/>
    <n v="28000"/>
    <n v="24000"/>
    <n v="0"/>
    <n v="24000"/>
    <n v="14040"/>
    <n v="56000"/>
    <n v="26400"/>
    <n v="24720"/>
    <n v="32800"/>
    <n v="29445"/>
    <m/>
    <n v="17654.669993502575"/>
    <m/>
    <m/>
    <m/>
    <m/>
    <m/>
    <m/>
    <m/>
    <m/>
  </r>
  <r>
    <s v="Agro Sudamerica1021105"/>
    <x v="0"/>
    <x v="0"/>
    <n v="1021105"/>
    <s v="GO Pulmon@ Cj 20k bca AS"/>
    <x v="10"/>
    <x v="15"/>
    <n v="54217"/>
    <n v="48000"/>
    <n v="0.3545854356400317"/>
    <n v="19224.558564095598"/>
    <n v="27955.643000000007"/>
    <n v="11763"/>
    <n v="0"/>
    <n v="57766.901564095606"/>
    <n v="70500"/>
    <n v="23000"/>
    <n v="46000"/>
    <n v="-24000"/>
    <n v="22000"/>
    <n v="35766.901564095606"/>
    <n v="23000"/>
    <n v="-24000"/>
    <n v="-1000"/>
    <n v="36766.901564095606"/>
    <n v="0"/>
    <n v="0"/>
    <n v="0"/>
    <n v="0"/>
    <n v="69000"/>
    <n v="46000"/>
    <n v="0"/>
    <n v="22000"/>
    <n v="24000"/>
    <x v="20"/>
    <n v="22000"/>
    <n v="-1000"/>
    <x v="2"/>
    <x v="1"/>
    <s v="Si"/>
    <n v="21000"/>
    <n v="21000"/>
    <n v="0"/>
    <d v="2022-09-09T00:00:00"/>
    <n v="0.76666666666666705"/>
    <n v="0.76824113475177325"/>
    <n v="0.76831610942249262"/>
    <n v="15440.380035366388"/>
    <n v="0.55910825477008652"/>
    <n v="0.37418130186333132"/>
    <n v="0.63666666666666683"/>
    <n v="0.76831610942249262"/>
    <n v="0.73525619216030424"/>
    <n v="0.73525619216030424"/>
    <m/>
    <s v="OK"/>
    <s v="OK"/>
    <n v="24000"/>
    <n v="24000"/>
    <n v="24000"/>
    <n v="24000"/>
    <n v="0"/>
    <n v="0"/>
    <n v="29211"/>
    <n v="53211"/>
    <n v="12960"/>
    <n v="12960"/>
    <n v="12000"/>
    <n v="11760"/>
    <n v="0"/>
    <n v="0"/>
    <m/>
    <n v="34992.441435904402"/>
    <m/>
    <m/>
    <m/>
    <m/>
    <m/>
    <m/>
    <m/>
    <m/>
  </r>
  <r>
    <s v="Agro Sudamerica1021106"/>
    <x v="0"/>
    <x v="0"/>
    <n v="1021106"/>
    <s v="GO Pana S/Corazón@ Cj 20k AS"/>
    <x v="10"/>
    <x v="15"/>
    <n v="0"/>
    <n v="9312"/>
    <n v="0.3545854356400317"/>
    <n v="0"/>
    <n v="10377.531000000001"/>
    <n v="0"/>
    <n v="0"/>
    <n v="10377.531000000001"/>
    <n v="11000"/>
    <n v="23000"/>
    <n v="0"/>
    <n v="0"/>
    <n v="0"/>
    <n v="10377.531000000001"/>
    <n v="0"/>
    <n v="0"/>
    <n v="0"/>
    <n v="10377.531000000001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.48668384879725102"/>
    <n v="0.9686591363636361"/>
    <n v="0"/>
    <n v="0"/>
    <n v="0.69633615561945283"/>
    <s v="No Aplica"/>
    <n v="0"/>
    <n v="0"/>
    <n v="0"/>
    <n v="0"/>
    <m/>
    <s v="OK"/>
    <s v="OK"/>
    <n v="96000"/>
    <n v="144000"/>
    <n v="96000"/>
    <n v="120000"/>
    <n v="48000"/>
    <n v="120000"/>
    <n v="0"/>
    <n v="0"/>
    <n v="67008"/>
    <n v="102640"/>
    <n v="67579"/>
    <n v="84720"/>
    <n v="30827"/>
    <n v="80334"/>
    <m/>
    <n v="0"/>
    <m/>
    <m/>
    <m/>
    <m/>
    <m/>
    <m/>
    <m/>
    <m/>
  </r>
  <r>
    <s v="Agro Sudamerica1021111"/>
    <x v="0"/>
    <x v="0"/>
    <n v="1021111"/>
    <s v="GO Epiplón@ Cj 20k AS"/>
    <x v="2"/>
    <x v="16"/>
    <n v="4533"/>
    <n v="0"/>
    <n v="0.3545854356400317"/>
    <n v="1607.3357797562637"/>
    <n v="5027.8799999999992"/>
    <n v="904"/>
    <n v="0"/>
    <n v="7448.8157797562635"/>
    <n v="9000"/>
    <n v="23000"/>
    <n v="0"/>
    <n v="0"/>
    <n v="0"/>
    <n v="7448.8157797562635"/>
    <n v="0"/>
    <n v="0"/>
    <n v="0"/>
    <n v="7448.8157797562635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1.3402777777777766"/>
    <n v="0"/>
    <n v="0"/>
    <n v="1.3914103930129227"/>
    <s v="No Aplica"/>
    <n v="1.1866666666666665"/>
    <n v="0"/>
    <n v="0"/>
    <n v="0"/>
    <m/>
    <s v="OK"/>
    <s v="OK"/>
    <n v="3000"/>
    <n v="2500"/>
    <n v="0"/>
    <n v="0"/>
    <n v="0"/>
    <n v="0"/>
    <n v="0"/>
    <n v="9262"/>
    <n v="3900"/>
    <n v="3220"/>
    <n v="0"/>
    <n v="0"/>
    <n v="0"/>
    <n v="0"/>
    <m/>
    <n v="2925.6642202437361"/>
    <m/>
    <m/>
    <m/>
    <m/>
    <m/>
    <m/>
    <m/>
    <m/>
  </r>
  <r>
    <s v="Agro Sudamerica1021187"/>
    <x v="0"/>
    <x v="0"/>
    <n v="1021187"/>
    <s v="GO Cue Back@ Cj 20k t-f AS"/>
    <x v="4"/>
    <x v="17"/>
    <n v="52215"/>
    <n v="48000"/>
    <n v="0.3545854356400317"/>
    <n v="18514.678521944254"/>
    <n v="63815.234999999928"/>
    <n v="11543.6532375732"/>
    <n v="0"/>
    <n v="92719.201435760056"/>
    <n v="96000"/>
    <n v="23000"/>
    <n v="92000"/>
    <n v="0"/>
    <n v="92000"/>
    <n v="719.20143576005648"/>
    <n v="0"/>
    <n v="0"/>
    <n v="0"/>
    <n v="719.20143576005648"/>
    <n v="0"/>
    <n v="0"/>
    <n v="0"/>
    <n v="0"/>
    <n v="92000"/>
    <n v="92000"/>
    <n v="0"/>
    <n v="92000"/>
    <n v="0"/>
    <x v="12"/>
    <n v="92000"/>
    <n v="0"/>
    <x v="0"/>
    <x v="9"/>
    <s v="Si"/>
    <n v="92000"/>
    <n v="63815.234999999928"/>
    <n v="28184.765000000072"/>
    <d v="2022-09-09T00:00:00"/>
    <n v="2.08666666666667"/>
    <n v="2.1945833333333327"/>
    <n v="2.1945833333333327"/>
    <n v="191973.33333333331"/>
    <n v="1.965779500954816"/>
    <n v="0.11639343693806062"/>
    <n v="1.9866666666666664"/>
    <n v="2.1945833333333327"/>
    <n v="2.0866666666666664"/>
    <n v="2.0866666666666664"/>
    <m/>
    <s v="OK"/>
    <s v="OK"/>
    <n v="72000"/>
    <n v="24000"/>
    <n v="48000"/>
    <n v="24000"/>
    <n v="88000"/>
    <n v="69000"/>
    <n v="96000"/>
    <n v="72000"/>
    <n v="147600"/>
    <n v="50100"/>
    <n v="90190"/>
    <n v="48240"/>
    <n v="173280"/>
    <n v="143717"/>
    <m/>
    <n v="33700.321478055746"/>
    <m/>
    <m/>
    <m/>
    <m/>
    <m/>
    <m/>
    <m/>
    <m/>
  </r>
  <r>
    <s v="Agro Sudamerica1021237"/>
    <x v="0"/>
    <x v="0"/>
    <n v="1021237"/>
    <s v="GO Triming 80/20@ Bo c/f Cj 20k AS"/>
    <x v="5"/>
    <x v="6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1.8243151654160983"/>
    <s v="No Aplica"/>
    <n v="0"/>
    <n v="1.8243151654160983"/>
    <n v="0"/>
    <n v="1.8243151654160983"/>
    <m/>
    <s v="OK"/>
    <s v="OK"/>
    <n v="0"/>
    <n v="0"/>
    <n v="0"/>
    <n v="61042"/>
    <n v="13042"/>
    <n v="0"/>
    <n v="0"/>
    <n v="0"/>
    <n v="0"/>
    <n v="0"/>
    <n v="0"/>
    <n v="112844"/>
    <n v="25041"/>
    <n v="0"/>
    <m/>
    <n v="0"/>
    <m/>
    <m/>
    <m/>
    <m/>
    <m/>
    <m/>
    <m/>
    <m/>
  </r>
  <r>
    <s v="Agro Sudamerica1021263"/>
    <x v="0"/>
    <x v="0"/>
    <n v="1021263"/>
    <s v="GO PpPna 59@ Fi Cj 20k AS"/>
    <x v="9"/>
    <x v="13"/>
    <n v="0"/>
    <n v="0"/>
    <n v="0.3545854356400317"/>
    <n v="0"/>
    <n v="40.200000000000003"/>
    <n v="0"/>
    <n v="0"/>
    <n v="40.200000000000003"/>
    <n v="0"/>
    <n v="23000"/>
    <n v="0"/>
    <n v="0"/>
    <n v="0"/>
    <n v="40.200000000000003"/>
    <n v="0"/>
    <n v="0"/>
    <n v="0"/>
    <n v="40.200000000000003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1.8072700223872662"/>
    <s v="No Aplica"/>
    <n v="0"/>
    <n v="0"/>
    <n v="0"/>
    <n v="0"/>
    <m/>
    <s v="OK"/>
    <s v="OK"/>
    <n v="0"/>
    <n v="0"/>
    <n v="0"/>
    <n v="72000"/>
    <n v="48000"/>
    <n v="0"/>
    <n v="0"/>
    <n v="0"/>
    <n v="0"/>
    <n v="0"/>
    <n v="0"/>
    <n v="132240"/>
    <n v="92880"/>
    <n v="0"/>
    <m/>
    <n v="0"/>
    <m/>
    <m/>
    <m/>
    <m/>
    <m/>
    <m/>
    <m/>
    <m/>
  </r>
  <r>
    <s v="Agro Sudamerica1021287"/>
    <x v="0"/>
    <x v="0"/>
    <n v="1021287"/>
    <s v="GO Lom Tocino@ Bo Cj AS"/>
    <x v="2"/>
    <x v="2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0"/>
    <s v="No Aplica"/>
    <n v="0"/>
    <n v="0"/>
    <n v="0"/>
    <n v="0"/>
    <m/>
    <s v="OK"/>
    <s v="OK"/>
    <n v="0"/>
    <n v="5000"/>
    <n v="0"/>
    <n v="0"/>
    <n v="0"/>
    <n v="0"/>
    <n v="0"/>
    <n v="0"/>
    <n v="0"/>
    <n v="6833"/>
    <n v="0"/>
    <n v="0"/>
    <n v="0"/>
    <n v="0"/>
    <m/>
    <n v="0"/>
    <m/>
    <m/>
    <m/>
    <m/>
    <m/>
    <m/>
    <m/>
    <m/>
  </r>
  <r>
    <s v="Agro Sudamerica1021385"/>
    <x v="0"/>
    <x v="0"/>
    <n v="1021385"/>
    <s v="GO Cue granel Esp CC@ Cj 20k AS"/>
    <x v="4"/>
    <x v="18"/>
    <n v="150837"/>
    <n v="144000"/>
    <n v="0.3545854356400317"/>
    <n v="53484.60335563546"/>
    <n v="154744.80599999995"/>
    <n v="0"/>
    <n v="0"/>
    <n v="208229.40935563541"/>
    <n v="127200"/>
    <n v="23000"/>
    <n v="127200"/>
    <n v="0"/>
    <n v="127200"/>
    <n v="81029.409355635406"/>
    <n v="69000"/>
    <n v="-69000"/>
    <n v="0"/>
    <n v="81029.409355635406"/>
    <n v="0"/>
    <n v="0"/>
    <n v="0"/>
    <n v="0"/>
    <n v="196200"/>
    <n v="196200"/>
    <n v="0"/>
    <n v="127200"/>
    <n v="69000"/>
    <x v="21"/>
    <n v="127200"/>
    <n v="0"/>
    <x v="3"/>
    <x v="10"/>
    <s v="Si"/>
    <n v="127200"/>
    <n v="127200"/>
    <n v="0"/>
    <d v="2022-09-09T00:00:00"/>
    <n v="1.00334027777778"/>
    <n v="0.8880645412264786"/>
    <n v="0.8880645412264786"/>
    <n v="136317.06"/>
    <n v="0.92736124842586087"/>
    <n v="4.2374756618400906E-2"/>
    <n v="0.99087375764525998"/>
    <n v="0.8880645412264786"/>
    <n v="1.0716749999999999"/>
    <n v="1.0716749999999999"/>
    <m/>
    <s v="OK"/>
    <s v="OK"/>
    <n v="120000"/>
    <n v="96000"/>
    <n v="144000"/>
    <n v="24000"/>
    <n v="144000"/>
    <n v="250000"/>
    <n v="150200"/>
    <n v="174400"/>
    <n v="114138.1036"/>
    <n v="93960"/>
    <n v="139920"/>
    <n v="21600"/>
    <n v="140160"/>
    <n v="257478"/>
    <m/>
    <n v="97352.396644364548"/>
    <m/>
    <m/>
    <m/>
    <m/>
    <m/>
    <m/>
    <m/>
    <m/>
  </r>
  <r>
    <s v="Agro Sudamerica1021435"/>
    <x v="0"/>
    <x v="0"/>
    <n v="1021435"/>
    <s v="GO Gord Lom Tocino@ Cj 20k AS"/>
    <x v="2"/>
    <x v="5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1.0082721879869079"/>
    <s v="No Aplica"/>
    <n v="0"/>
    <n v="1.0082721879869079"/>
    <n v="0"/>
    <n v="1.0082721879869079"/>
    <m/>
    <s v="OK"/>
    <s v="OK"/>
    <n v="0"/>
    <n v="24000"/>
    <n v="0"/>
    <n v="12000"/>
    <n v="0"/>
    <n v="0"/>
    <n v="0"/>
    <n v="0"/>
    <n v="0"/>
    <n v="26800"/>
    <n v="0"/>
    <n v="10440"/>
    <n v="0"/>
    <n v="0"/>
    <m/>
    <n v="0"/>
    <m/>
    <m/>
    <m/>
    <m/>
    <m/>
    <m/>
    <m/>
    <m/>
  </r>
  <r>
    <s v="Agro Sudamerica1021550"/>
    <x v="0"/>
    <x v="0"/>
    <n v="1021550"/>
    <s v="GO Triming 85/15@ Cj 20k AS"/>
    <x v="5"/>
    <x v="6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1.8473233587468809"/>
    <s v="No Aplica"/>
    <n v="0"/>
    <n v="1.8473233587468809"/>
    <n v="0"/>
    <n v="1.8473233587468809"/>
    <m/>
    <s v="OK"/>
    <s v="OK"/>
    <n v="0"/>
    <n v="5780"/>
    <n v="0"/>
    <n v="70958"/>
    <n v="34958"/>
    <n v="0"/>
    <n v="0"/>
    <n v="0"/>
    <n v="0"/>
    <n v="10500"/>
    <n v="0"/>
    <n v="130996"/>
    <n v="67119"/>
    <n v="0"/>
    <m/>
    <n v="0"/>
    <m/>
    <m/>
    <m/>
    <m/>
    <m/>
    <m/>
    <m/>
    <m/>
  </r>
  <r>
    <s v="Agro Sudamerica1021622"/>
    <x v="0"/>
    <x v="0"/>
    <n v="1021622"/>
    <s v="GO BB Ribs 20-24 Oz@ Cj 10k AS"/>
    <x v="0"/>
    <x v="7"/>
    <n v="5011"/>
    <n v="0"/>
    <n v="0.3545854356400317"/>
    <n v="1776.8276179921988"/>
    <n v="21704.05"/>
    <n v="0"/>
    <n v="0"/>
    <n v="23480.877617992199"/>
    <n v="24000"/>
    <n v="23000"/>
    <n v="23000"/>
    <n v="0"/>
    <n v="23000"/>
    <n v="480.87761799219879"/>
    <n v="0"/>
    <n v="0"/>
    <n v="0"/>
    <n v="480.87761799219879"/>
    <n v="0"/>
    <n v="0"/>
    <n v="0"/>
    <n v="0"/>
    <n v="23000"/>
    <n v="23000"/>
    <n v="0"/>
    <n v="23000"/>
    <n v="0"/>
    <x v="1"/>
    <n v="23000"/>
    <n v="0"/>
    <x v="0"/>
    <x v="1"/>
    <s v="Si"/>
    <n v="23000"/>
    <n v="21704.05"/>
    <n v="1295.9500000000007"/>
    <d v="2022-09-09T00:00:00"/>
    <n v="0"/>
    <n v="6.3522916666666687"/>
    <n v="6.3522916666666687"/>
    <n v="146050"/>
    <n v="6.8628427781523937"/>
    <n v="7.4393531658782222E-2"/>
    <n v="6.3866666666666667"/>
    <n v="6.3522916666666687"/>
    <n v="6.35"/>
    <n v="6.35"/>
    <m/>
    <s v="OK"/>
    <s v="OK"/>
    <n v="0"/>
    <n v="6790"/>
    <n v="0"/>
    <n v="18000"/>
    <n v="110"/>
    <n v="0"/>
    <n v="26000"/>
    <n v="24000"/>
    <n v="0"/>
    <n v="53075"/>
    <n v="0"/>
    <n v="131760"/>
    <n v="374"/>
    <n v="0"/>
    <m/>
    <n v="3234.1723820078014"/>
    <m/>
    <m/>
    <m/>
    <m/>
    <m/>
    <m/>
    <m/>
    <m/>
  </r>
  <r>
    <s v="Agro Sudamerica1021623"/>
    <x v="0"/>
    <x v="0"/>
    <n v="1021623"/>
    <s v="GO BB Ribs 24 oz@ Cj 10k AS"/>
    <x v="0"/>
    <x v="7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3.4203349056603773"/>
    <s v="No Aplica"/>
    <n v="0"/>
    <n v="3.4203349056603773"/>
    <n v="0"/>
    <n v="3.4203349056603773"/>
    <m/>
    <s v="OK"/>
    <s v="OK"/>
    <n v="2000"/>
    <n v="0"/>
    <n v="0"/>
    <n v="0"/>
    <n v="530"/>
    <n v="0"/>
    <n v="0"/>
    <n v="0"/>
    <n v="10600"/>
    <n v="0"/>
    <n v="0"/>
    <n v="0"/>
    <n v="1802"/>
    <n v="0"/>
    <m/>
    <n v="0"/>
    <m/>
    <m/>
    <m/>
    <m/>
    <m/>
    <m/>
    <m/>
    <m/>
  </r>
  <r>
    <s v="Agro Sudamerica1021639"/>
    <x v="0"/>
    <x v="0"/>
    <n v="1021639"/>
    <s v="GO File C/cab@ Cj 5k AS"/>
    <x v="11"/>
    <x v="19"/>
    <n v="0"/>
    <n v="0"/>
    <n v="0.3545854356400317"/>
    <n v="0"/>
    <n v="0"/>
    <n v="0"/>
    <n v="0"/>
    <n v="0"/>
    <n v="2115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3.15"/>
    <n v="0"/>
    <n v="0"/>
    <n v="3.0789500139178845"/>
    <s v="No Aplica"/>
    <n v="0"/>
    <n v="3.0789500139178845"/>
    <n v="0"/>
    <n v="3.0789500139178845"/>
    <m/>
    <s v="OK"/>
    <s v="OK"/>
    <n v="0"/>
    <n v="48000"/>
    <n v="24000"/>
    <n v="24000"/>
    <n v="24000"/>
    <n v="25000"/>
    <n v="0"/>
    <n v="0"/>
    <n v="0"/>
    <n v="147200"/>
    <n v="72000"/>
    <n v="69600"/>
    <n v="73200"/>
    <n v="76334"/>
    <m/>
    <n v="0"/>
    <m/>
    <m/>
    <m/>
    <m/>
    <m/>
    <m/>
    <m/>
    <m/>
  </r>
  <r>
    <s v="Agro Sudamerica1021819"/>
    <x v="0"/>
    <x v="0"/>
    <n v="1021819"/>
    <s v="GO Lom Ctro 27@ Fi Cj 20k AS"/>
    <x v="6"/>
    <x v="8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1"/>
    <b v="0"/>
    <b v="0"/>
    <n v="1"/>
    <n v="0"/>
    <n v="-1"/>
    <x v="22"/>
    <n v="0"/>
    <n v="0"/>
    <x v="0"/>
    <x v="1"/>
    <s v="No"/>
    <n v="0"/>
    <n v="0"/>
    <n v="0"/>
    <d v="2022-09-09T00:00:00"/>
    <n v="0"/>
    <n v="0"/>
    <n v="0"/>
    <n v="1.8496507215087774"/>
    <n v="1.8496507215087774"/>
    <s v="No Aplica"/>
    <n v="0"/>
    <n v="1.8496507215087774"/>
    <n v="0"/>
    <n v="1.8496507215087774"/>
    <m/>
    <s v="OK"/>
    <s v="OK"/>
    <n v="0"/>
    <n v="0"/>
    <n v="0"/>
    <n v="0"/>
    <n v="48000"/>
    <n v="0"/>
    <n v="0"/>
    <n v="0"/>
    <n v="0"/>
    <n v="0"/>
    <n v="0"/>
    <n v="0"/>
    <n v="96000"/>
    <n v="0"/>
    <m/>
    <n v="0"/>
    <m/>
    <m/>
    <m/>
    <m/>
    <m/>
    <m/>
    <m/>
    <m/>
  </r>
  <r>
    <s v="Agro Sudamerica1021820"/>
    <x v="0"/>
    <x v="0"/>
    <n v="1021820"/>
    <s v="GO Lom Vet 44@ Fi Cj 20k AS"/>
    <x v="6"/>
    <x v="20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2.1166914882926338"/>
    <s v="No Aplica"/>
    <n v="0"/>
    <n v="2.1166914882926338"/>
    <n v="0"/>
    <n v="2.1166914882926338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21868"/>
    <x v="0"/>
    <x v="0"/>
    <n v="1021868"/>
    <s v="GO PpPna 54@ Cj 20k AS"/>
    <x v="9"/>
    <x v="21"/>
    <n v="60279"/>
    <n v="48000"/>
    <n v="0.3545854356400317"/>
    <n v="21374.055474945471"/>
    <n v="19678.294000000002"/>
    <n v="0"/>
    <n v="0"/>
    <n v="41052.349474945469"/>
    <n v="37000"/>
    <n v="23000"/>
    <n v="37000"/>
    <n v="0"/>
    <n v="37000"/>
    <n v="4052.3494749454694"/>
    <n v="0"/>
    <n v="0"/>
    <n v="0"/>
    <n v="4052.3494749454694"/>
    <n v="0"/>
    <n v="0"/>
    <n v="0"/>
    <n v="0"/>
    <n v="37000"/>
    <n v="37000"/>
    <n v="0"/>
    <n v="37000"/>
    <n v="0"/>
    <x v="23"/>
    <n v="37000"/>
    <n v="0"/>
    <x v="0"/>
    <x v="1"/>
    <s v="Si"/>
    <n v="37000"/>
    <n v="19678.294000000002"/>
    <n v="17321.705999999998"/>
    <d v="2022-09-09T00:00:00"/>
    <n v="3"/>
    <n v="2.9977363485934894"/>
    <n v="2.9977363485934894"/>
    <n v="106930"/>
    <n v="2.7651993616343189"/>
    <n v="8.4094112773747301E-2"/>
    <n v="2.9066666666666663"/>
    <n v="2.9977363485934894"/>
    <n v="2.89"/>
    <n v="2.89"/>
    <m/>
    <s v="OK"/>
    <s v="OK"/>
    <n v="24000"/>
    <n v="48000"/>
    <n v="48000"/>
    <n v="34000"/>
    <n v="24000"/>
    <n v="24000"/>
    <n v="142000"/>
    <n v="49000"/>
    <n v="66000"/>
    <n v="134400"/>
    <n v="119520"/>
    <n v="86500"/>
    <n v="60000"/>
    <n v="73172"/>
    <m/>
    <n v="38904.944525054525"/>
    <m/>
    <m/>
    <m/>
    <m/>
    <m/>
    <m/>
    <m/>
    <m/>
  </r>
  <r>
    <s v="Agro Sudamerica1021903"/>
    <x v="0"/>
    <x v="0"/>
    <n v="1021903"/>
    <s v="GO Corazón Partido@ Cj 10k AS"/>
    <x v="10"/>
    <x v="15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1.2161043669806706"/>
    <s v="No Aplica"/>
    <n v="0"/>
    <n v="1.2161043669806706"/>
    <n v="0"/>
    <n v="1.2161043669806706"/>
    <m/>
    <s v="OK"/>
    <s v="OK"/>
    <n v="0"/>
    <n v="0"/>
    <n v="0"/>
    <n v="0"/>
    <n v="24000"/>
    <n v="0"/>
    <n v="0"/>
    <n v="0"/>
    <n v="0"/>
    <n v="0"/>
    <n v="0"/>
    <n v="0"/>
    <n v="29280"/>
    <n v="0"/>
    <m/>
    <n v="0"/>
    <m/>
    <m/>
    <m/>
    <m/>
    <m/>
    <m/>
    <m/>
    <m/>
  </r>
  <r>
    <s v="Agro Sudamerica1021976"/>
    <x v="0"/>
    <x v="0"/>
    <n v="1021976"/>
    <s v="GO PpPal 77@ Cj 20k AS"/>
    <x v="12"/>
    <x v="22"/>
    <n v="55532"/>
    <n v="120000"/>
    <n v="0.3545854356400317"/>
    <n v="19690.838411962239"/>
    <n v="93731.432000000001"/>
    <n v="50032.588711942568"/>
    <n v="0"/>
    <n v="158451.60025271054"/>
    <n v="202859"/>
    <n v="23000"/>
    <n v="138000"/>
    <n v="0"/>
    <n v="138000"/>
    <n v="20451.600252710545"/>
    <n v="0"/>
    <n v="0"/>
    <n v="0"/>
    <n v="20451.600252710545"/>
    <n v="0"/>
    <n v="0"/>
    <n v="0"/>
    <n v="4003.94"/>
    <n v="142003.94"/>
    <n v="142003.94"/>
    <n v="4003.94"/>
    <n v="138000"/>
    <n v="0"/>
    <x v="24"/>
    <n v="138000"/>
    <n v="0"/>
    <x v="0"/>
    <x v="1"/>
    <s v="Si"/>
    <n v="138000"/>
    <n v="93731.432000000001"/>
    <n v="44268.567999999999"/>
    <d v="2022-09-09T00:00:00"/>
    <n v="2.6"/>
    <n v="2.6388972150927668"/>
    <n v="2.6388972150927668"/>
    <n v="369210.24400000001"/>
    <n v="2.2858013679076996"/>
    <n v="0.15447354793923856"/>
    <n v="2.4333370535714285"/>
    <n v="2.6388972150927668"/>
    <n v="2.6"/>
    <n v="2.6"/>
    <m/>
    <s v="OK"/>
    <s v="OK"/>
    <n v="80000"/>
    <n v="187000"/>
    <n v="312000"/>
    <n v="168000"/>
    <n v="340000"/>
    <n v="254000"/>
    <n v="220000"/>
    <n v="168000"/>
    <n v="179200"/>
    <n v="405233"/>
    <n v="682914"/>
    <n v="369600"/>
    <n v="769345"/>
    <n v="595202"/>
    <m/>
    <n v="35841.161588037765"/>
    <m/>
    <m/>
    <m/>
    <m/>
    <m/>
    <m/>
    <m/>
    <m/>
  </r>
  <r>
    <s v="Agro Sudamerica1022047"/>
    <x v="0"/>
    <x v="0"/>
    <n v="1022047"/>
    <s v="GO Triming Panc@ Cj 20k AS"/>
    <x v="5"/>
    <x v="6"/>
    <n v="24000"/>
    <n v="24000"/>
    <n v="0.3545854356400317"/>
    <n v="8510.0504553607607"/>
    <n v="1603.085"/>
    <n v="0"/>
    <n v="0"/>
    <n v="10113.13545536076"/>
    <n v="0"/>
    <n v="23000"/>
    <n v="0"/>
    <n v="0"/>
    <n v="0"/>
    <n v="10113.13545536076"/>
    <n v="0"/>
    <n v="0"/>
    <n v="0"/>
    <n v="10113.13545536076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1.4866666666666699"/>
    <n v="0"/>
    <n v="0"/>
    <n v="0"/>
    <n v="1.3361597521241988"/>
    <s v="No Aplica"/>
    <n v="0"/>
    <n v="0"/>
    <n v="0"/>
    <n v="0"/>
    <m/>
    <s v="OK"/>
    <s v="OK"/>
    <n v="0"/>
    <n v="0"/>
    <n v="0"/>
    <n v="48000"/>
    <n v="0"/>
    <n v="0"/>
    <n v="24000"/>
    <n v="0"/>
    <n v="0"/>
    <n v="0"/>
    <n v="0"/>
    <n v="63600"/>
    <n v="0"/>
    <n v="0"/>
    <m/>
    <n v="15489.949544639239"/>
    <m/>
    <m/>
    <m/>
    <m/>
    <m/>
    <m/>
    <m/>
    <m/>
  </r>
  <r>
    <s v="Agro Sudamerica1022149"/>
    <x v="0"/>
    <x v="0"/>
    <n v="1022149"/>
    <s v="GO Plancha Rebaje Ent@ Cj 20k AS"/>
    <x v="3"/>
    <x v="3"/>
    <n v="0"/>
    <n v="0"/>
    <n v="0.3545854356400317"/>
    <n v="0"/>
    <n v="19080.382999999994"/>
    <n v="11200"/>
    <n v="0"/>
    <n v="29160.382999999994"/>
    <n v="60000"/>
    <n v="23000"/>
    <n v="23000"/>
    <n v="0"/>
    <n v="23000"/>
    <n v="6160.3829999999944"/>
    <n v="0"/>
    <n v="0"/>
    <n v="0"/>
    <n v="6160.3829999999944"/>
    <n v="0"/>
    <n v="0"/>
    <n v="0"/>
    <n v="0"/>
    <n v="23000"/>
    <n v="23000"/>
    <n v="0"/>
    <n v="23000"/>
    <n v="0"/>
    <x v="1"/>
    <n v="23000"/>
    <n v="0"/>
    <x v="0"/>
    <x v="1"/>
    <s v="Si"/>
    <n v="23000"/>
    <n v="19080.382999999994"/>
    <n v="3919.6170000000056"/>
    <d v="2022-09-09T00:00:00"/>
    <n v="0"/>
    <n v="2.2946469449999998"/>
    <n v="2.2946469449999998"/>
    <n v="46229.999999999993"/>
    <n v="1.9971284910800347"/>
    <n v="0.14897311577537456"/>
    <n v="0"/>
    <n v="2.2946469449999998"/>
    <n v="2.0099999999999998"/>
    <n v="2.0099999999999998"/>
    <m/>
    <s v="OK"/>
    <s v="OK"/>
    <n v="72000"/>
    <n v="36000"/>
    <n v="48000"/>
    <n v="24000"/>
    <n v="24000"/>
    <n v="24000"/>
    <n v="14000"/>
    <n v="0"/>
    <n v="149040"/>
    <n v="81300"/>
    <n v="86400"/>
    <n v="41040"/>
    <n v="44640"/>
    <n v="44765"/>
    <m/>
    <n v="0"/>
    <m/>
    <m/>
    <m/>
    <m/>
    <m/>
    <m/>
    <m/>
    <m/>
  </r>
  <r>
    <s v="Agro Sudamerica1022150"/>
    <x v="0"/>
    <x v="0"/>
    <n v="1022150"/>
    <s v="GO Gord chic@ Cj 20k AS"/>
    <x v="2"/>
    <x v="5"/>
    <n v="113453"/>
    <n v="52932"/>
    <n v="0.3545854356400317"/>
    <n v="40228.781429668517"/>
    <n v="86445.472000000009"/>
    <n v="23513.777967470342"/>
    <n v="0"/>
    <n v="147836.65360039182"/>
    <n v="180000"/>
    <n v="23000"/>
    <n v="138000"/>
    <n v="0"/>
    <n v="138000"/>
    <n v="9836.6536003918154"/>
    <n v="0"/>
    <n v="0"/>
    <n v="0"/>
    <n v="9836.6536003918154"/>
    <n v="0"/>
    <n v="0"/>
    <n v="0"/>
    <n v="0"/>
    <n v="138000"/>
    <n v="138000"/>
    <n v="0"/>
    <n v="138000"/>
    <n v="0"/>
    <x v="25"/>
    <n v="138000"/>
    <n v="0"/>
    <x v="0"/>
    <x v="4"/>
    <s v="Si"/>
    <n v="138000"/>
    <n v="86445.472000000009"/>
    <n v="51554.527999999991"/>
    <d v="2022-09-09T00:00:00"/>
    <n v="1.28666968941283"/>
    <n v="1.2106149381600977"/>
    <n v="1.2106149381600977"/>
    <n v="177561.28503765006"/>
    <n v="1.1398270374000383"/>
    <n v="6.2104072317434734E-2"/>
    <n v="1.2029273995328864"/>
    <n v="1.2106149381600977"/>
    <n v="1.2866759785336961"/>
    <n v="1.2866759785336961"/>
    <m/>
    <s v="OK"/>
    <s v="OK"/>
    <n v="120000"/>
    <n v="174000"/>
    <n v="132000"/>
    <n v="96000"/>
    <n v="168000"/>
    <n v="168000"/>
    <n v="197000"/>
    <n v="191989.89"/>
    <n v="124800"/>
    <n v="183900"/>
    <n v="127200"/>
    <n v="88560"/>
    <n v="187440"/>
    <n v="218215"/>
    <m/>
    <n v="73224.21857033149"/>
    <m/>
    <m/>
    <m/>
    <m/>
    <m/>
    <m/>
    <m/>
    <m/>
  </r>
  <r>
    <s v="Agro Sudamerica1022196"/>
    <x v="0"/>
    <x v="0"/>
    <n v="1022196"/>
    <s v="GO Forro Pal@ Cj 20k AS"/>
    <x v="4"/>
    <x v="23"/>
    <n v="32990"/>
    <n v="0"/>
    <n v="0.3545854356400317"/>
    <n v="11697.773521764646"/>
    <n v="47704.794000000009"/>
    <n v="10061"/>
    <n v="0"/>
    <n v="68457.467521764658"/>
    <n v="96800"/>
    <n v="23000"/>
    <n v="46000"/>
    <n v="0"/>
    <n v="46000"/>
    <n v="22457.467521764658"/>
    <n v="0"/>
    <n v="0"/>
    <n v="0"/>
    <n v="22457.467521764658"/>
    <n v="0"/>
    <n v="0"/>
    <n v="0"/>
    <n v="0"/>
    <n v="46000"/>
    <n v="46000"/>
    <n v="0"/>
    <n v="46000"/>
    <n v="0"/>
    <x v="9"/>
    <n v="46000"/>
    <n v="0"/>
    <x v="0"/>
    <x v="1"/>
    <s v="Si"/>
    <n v="46000"/>
    <n v="46000"/>
    <n v="0"/>
    <d v="2022-09-09T00:00:00"/>
    <n v="0"/>
    <n v="1.0060697216998211"/>
    <n v="1.0060697216998211"/>
    <n v="54586.666666666672"/>
    <n v="0.71656003675645841"/>
    <n v="0.40402711579317407"/>
    <n v="0.81166666666666665"/>
    <n v="1.0060697216998211"/>
    <n v="1.1866666666666668"/>
    <n v="1.1866666666666668"/>
    <m/>
    <s v="OK"/>
    <s v="OK"/>
    <n v="0"/>
    <n v="24000"/>
    <n v="48000"/>
    <n v="0"/>
    <n v="24000"/>
    <n v="24000"/>
    <n v="72000"/>
    <n v="96000"/>
    <n v="0"/>
    <n v="15600"/>
    <n v="31200"/>
    <n v="0"/>
    <n v="10800"/>
    <n v="16440"/>
    <m/>
    <n v="21292.226478235352"/>
    <m/>
    <m/>
    <m/>
    <m/>
    <m/>
    <m/>
    <m/>
    <m/>
  </r>
  <r>
    <s v="Agro Sudamerica1022197"/>
    <x v="0"/>
    <x v="0"/>
    <n v="1022197"/>
    <s v="GO Pna Forro@ Cj 20k AS"/>
    <x v="4"/>
    <x v="23"/>
    <n v="0"/>
    <n v="0"/>
    <n v="0.3545854356400317"/>
    <n v="0"/>
    <n v="9433.0899999999983"/>
    <n v="0"/>
    <n v="0"/>
    <n v="9433.0899999999983"/>
    <n v="0"/>
    <n v="23000"/>
    <n v="0"/>
    <n v="0"/>
    <n v="0"/>
    <n v="9433.0899999999983"/>
    <n v="0"/>
    <n v="0"/>
    <n v="0"/>
    <n v="9433.0899999999983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0.8368374268383223"/>
    <s v="No Aplica"/>
    <n v="0.5"/>
    <n v="0"/>
    <n v="0"/>
    <n v="0"/>
    <m/>
    <s v="OK"/>
    <s v="OK"/>
    <n v="0"/>
    <n v="0"/>
    <n v="24000"/>
    <n v="24000"/>
    <n v="0"/>
    <n v="0"/>
    <n v="0"/>
    <n v="4698"/>
    <n v="0"/>
    <n v="0"/>
    <n v="21600"/>
    <n v="18240"/>
    <n v="0"/>
    <n v="0"/>
    <m/>
    <n v="0"/>
    <m/>
    <m/>
    <m/>
    <m/>
    <m/>
    <m/>
    <m/>
    <m/>
  </r>
  <r>
    <s v="Agro Sudamerica1022247"/>
    <x v="0"/>
    <x v="0"/>
    <n v="1022247"/>
    <s v="GO Triming 60/40@ Bo Cj AS"/>
    <x v="5"/>
    <x v="6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0"/>
    <s v="No Aplica"/>
    <n v="0"/>
    <n v="0"/>
    <n v="0"/>
    <n v="0"/>
    <m/>
    <s v="OK"/>
    <s v="OK"/>
    <n v="0"/>
    <n v="0"/>
    <n v="0"/>
    <n v="48000"/>
    <n v="0"/>
    <n v="0"/>
    <n v="0"/>
    <n v="0"/>
    <n v="0"/>
    <n v="0"/>
    <n v="0"/>
    <n v="64560"/>
    <n v="0"/>
    <n v="0"/>
    <m/>
    <n v="0"/>
    <m/>
    <m/>
    <m/>
    <m/>
    <m/>
    <m/>
    <m/>
    <m/>
  </r>
  <r>
    <s v="Agro Sudamerica1022384"/>
    <x v="0"/>
    <x v="0"/>
    <n v="1022384"/>
    <s v="GO BB Ribs Grd B@ Fi Cj 10k AS"/>
    <x v="0"/>
    <x v="7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4.5641475029685861"/>
    <s v="No Aplica"/>
    <n v="0"/>
    <n v="4.5641475029685861"/>
    <n v="0"/>
    <n v="4.5641475029685861"/>
    <m/>
    <s v="OK"/>
    <s v="OK"/>
    <n v="2947"/>
    <n v="0"/>
    <n v="0"/>
    <n v="0"/>
    <n v="619"/>
    <n v="0"/>
    <n v="0"/>
    <n v="0"/>
    <n v="15619.1"/>
    <n v="0"/>
    <n v="0"/>
    <n v="0"/>
    <n v="2105"/>
    <n v="0"/>
    <m/>
    <n v="0"/>
    <m/>
    <m/>
    <m/>
    <m/>
    <m/>
    <m/>
    <m/>
    <m/>
  </r>
  <r>
    <s v="Agro Sudamerica1022406"/>
    <x v="0"/>
    <x v="0"/>
    <n v="1022406"/>
    <s v="GO Patas B@ Bo Cj 20 k AS"/>
    <x v="10"/>
    <x v="24"/>
    <n v="0"/>
    <n v="0"/>
    <n v="0.3545854356400317"/>
    <n v="0"/>
    <n v="19092.253000000015"/>
    <n v="0"/>
    <n v="0"/>
    <n v="19092.253000000015"/>
    <n v="20000"/>
    <n v="23000"/>
    <n v="0"/>
    <n v="0"/>
    <n v="0"/>
    <n v="19092.253000000015"/>
    <n v="0"/>
    <n v="0"/>
    <n v="0"/>
    <n v="19092.253000000015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0.8"/>
    <n v="0"/>
    <n v="0"/>
    <n v="2.1843070367596704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22409"/>
    <x v="0"/>
    <x v="0"/>
    <n v="1022409"/>
    <s v="GO Tripa s/Cal# Bidon AS"/>
    <x v="10"/>
    <x v="25"/>
    <n v="24171"/>
    <n v="0"/>
    <n v="0.3545854356400317"/>
    <n v="8570.6845648552062"/>
    <n v="18585"/>
    <n v="1200"/>
    <n v="0"/>
    <n v="28235.684564855204"/>
    <n v="47880"/>
    <n v="23000"/>
    <n v="23000"/>
    <n v="0"/>
    <n v="23000"/>
    <n v="5235.6845648552044"/>
    <n v="0"/>
    <n v="0"/>
    <n v="0"/>
    <n v="5235.6845648552044"/>
    <n v="0"/>
    <n v="0"/>
    <n v="0"/>
    <n v="0"/>
    <n v="23000"/>
    <n v="23000"/>
    <n v="0"/>
    <n v="23000"/>
    <n v="0"/>
    <x v="1"/>
    <n v="23000"/>
    <n v="0"/>
    <x v="0"/>
    <x v="1"/>
    <s v="Si"/>
    <n v="23000"/>
    <n v="18585"/>
    <n v="4415"/>
    <d v="2022-09-09T00:00:00"/>
    <n v="0"/>
    <n v="4.8652203425229699"/>
    <n v="4.8652203425229699"/>
    <n v="112930"/>
    <n v="4.767687552213868"/>
    <n v="2.0457043218742952E-2"/>
    <n v="0"/>
    <n v="4.8652203425229699"/>
    <n v="4.91"/>
    <n v="4.91"/>
    <m/>
    <s v="OK"/>
    <s v="OK"/>
    <n v="23940"/>
    <n v="13680"/>
    <n v="23940"/>
    <n v="13680"/>
    <n v="0"/>
    <n v="13680"/>
    <n v="23940"/>
    <n v="0"/>
    <n v="113715"/>
    <n v="114912"/>
    <n v="116348"/>
    <n v="114228"/>
    <n v="0"/>
    <n v="115520"/>
    <m/>
    <n v="15600.315435144794"/>
    <m/>
    <m/>
    <m/>
    <m/>
    <m/>
    <m/>
    <m/>
    <m/>
  </r>
  <r>
    <s v="Agro Sudamerica1022569"/>
    <x v="0"/>
    <x v="0"/>
    <n v="1022569"/>
    <s v="GO BB Ribs 24-28 Oz@ Cj 10k AS"/>
    <x v="0"/>
    <x v="7"/>
    <n v="0"/>
    <n v="0"/>
    <n v="0.3545854356400317"/>
    <n v="0"/>
    <n v="80"/>
    <n v="0"/>
    <n v="0"/>
    <n v="80"/>
    <n v="0"/>
    <n v="23000"/>
    <n v="0"/>
    <n v="0"/>
    <n v="0"/>
    <n v="80"/>
    <n v="0"/>
    <n v="0"/>
    <n v="0"/>
    <n v="80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7.0788385399999996"/>
    <s v="No Aplica"/>
    <n v="0"/>
    <n v="0"/>
    <n v="0"/>
    <n v="0"/>
    <m/>
    <s v="OK"/>
    <s v="OK"/>
    <n v="0"/>
    <n v="5000"/>
    <n v="0"/>
    <n v="0"/>
    <n v="5000"/>
    <n v="5000"/>
    <n v="0"/>
    <n v="0"/>
    <n v="0"/>
    <n v="35667"/>
    <n v="0"/>
    <n v="0"/>
    <n v="35400"/>
    <n v="35437"/>
    <m/>
    <n v="0"/>
    <m/>
    <m/>
    <m/>
    <m/>
    <m/>
    <m/>
    <m/>
    <m/>
  </r>
  <r>
    <s v="Agro Sudamerica1022654"/>
    <x v="0"/>
    <x v="0"/>
    <n v="1022654"/>
    <s v="GO Triming 90/10@ Cj 20k AS"/>
    <x v="5"/>
    <x v="6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0"/>
    <s v="No Aplica"/>
    <n v="0"/>
    <n v="0"/>
    <n v="0"/>
    <n v="0"/>
    <m/>
    <s v="OK"/>
    <s v="OK"/>
    <n v="0"/>
    <n v="3360"/>
    <n v="0"/>
    <n v="0"/>
    <n v="0"/>
    <n v="0"/>
    <n v="0"/>
    <n v="0"/>
    <n v="0"/>
    <n v="6104"/>
    <n v="0"/>
    <n v="0"/>
    <n v="0"/>
    <n v="0"/>
    <m/>
    <n v="0"/>
    <m/>
    <m/>
    <m/>
    <m/>
    <m/>
    <m/>
    <m/>
    <m/>
  </r>
  <r>
    <s v="Agro Sudamerica1022705"/>
    <x v="0"/>
    <x v="0"/>
    <n v="1022705"/>
    <s v="GO Mantec@ Cj 20k AS"/>
    <x v="2"/>
    <x v="16"/>
    <n v="24000"/>
    <n v="24000"/>
    <n v="0.3545854356400317"/>
    <n v="8510.0504553607607"/>
    <n v="0"/>
    <n v="0"/>
    <n v="0"/>
    <n v="8510.0504553607607"/>
    <n v="0"/>
    <n v="23000"/>
    <n v="0"/>
    <n v="0"/>
    <n v="0"/>
    <n v="8510.0504553607607"/>
    <n v="0"/>
    <n v="0"/>
    <n v="0"/>
    <n v="8510.0504553607607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.99666666666666703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15489.949544639239"/>
    <m/>
    <m/>
    <m/>
    <m/>
    <m/>
    <m/>
    <m/>
    <m/>
  </r>
  <r>
    <s v="Agro Sudamerica1022709"/>
    <x v="0"/>
    <x v="0"/>
    <n v="1022709"/>
    <s v="GO PpPna 57@ Bo Cj AS"/>
    <x v="9"/>
    <x v="13"/>
    <n v="288000"/>
    <n v="240000"/>
    <n v="0.3545854356400317"/>
    <n v="102120.60546432913"/>
    <n v="70743.286999999997"/>
    <n v="0"/>
    <n v="0"/>
    <n v="172863.89246432914"/>
    <n v="118000"/>
    <n v="23000"/>
    <n v="118000"/>
    <n v="0"/>
    <n v="118000"/>
    <n v="54863.892464329139"/>
    <n v="46000"/>
    <n v="0"/>
    <n v="46000"/>
    <n v="8863.8924643291393"/>
    <n v="0"/>
    <n v="0"/>
    <n v="0"/>
    <n v="11011.61"/>
    <n v="175011.61"/>
    <n v="175011.61"/>
    <n v="11011.61"/>
    <n v="118000"/>
    <n v="46000"/>
    <x v="26"/>
    <n v="118000"/>
    <n v="45999.999999999985"/>
    <x v="0"/>
    <x v="1"/>
    <s v="Si"/>
    <n v="164000"/>
    <n v="70743.286999999997"/>
    <n v="93256.713000000003"/>
    <d v="2022-09-09T00:00:00"/>
    <n v="2.96"/>
    <n v="2.9352430442107402"/>
    <n v="2.9417501551750131"/>
    <n v="508144.37141395832"/>
    <n v="2.7396977497390669"/>
    <n v="7.3749889182188097E-2"/>
    <n v="2.8208964939072234"/>
    <n v="2.9417501551750131"/>
    <n v="2.9034894965765892"/>
    <n v="2.9034894965765892"/>
    <m/>
    <s v="OK"/>
    <s v="OK"/>
    <n v="0"/>
    <n v="65000"/>
    <n v="48000"/>
    <n v="120000"/>
    <n v="83000"/>
    <n v="419000"/>
    <n v="179000"/>
    <n v="179991.64"/>
    <n v="0"/>
    <n v="171870"/>
    <n v="122400"/>
    <n v="301920"/>
    <n v="224037"/>
    <n v="1168954"/>
    <m/>
    <n v="185879.39453567087"/>
    <m/>
    <m/>
    <m/>
    <m/>
    <m/>
    <m/>
    <m/>
    <m/>
  </r>
  <r>
    <s v="Agro Sudamerica1022847"/>
    <x v="0"/>
    <x v="0"/>
    <n v="1022847"/>
    <s v="GO Cne Falda Pan@ CJ 20k AS"/>
    <x v="8"/>
    <x v="10"/>
    <n v="24220"/>
    <n v="24000"/>
    <n v="0.3545854356400317"/>
    <n v="8588.0592512015683"/>
    <n v="23193.885000000002"/>
    <n v="5249"/>
    <n v="0"/>
    <n v="36506.044251201572"/>
    <n v="24000"/>
    <n v="23000"/>
    <n v="24000"/>
    <n v="0"/>
    <n v="24000"/>
    <n v="12506.044251201572"/>
    <n v="0"/>
    <n v="0"/>
    <n v="0"/>
    <n v="12506.044251201572"/>
    <n v="0"/>
    <n v="0"/>
    <n v="0"/>
    <n v="0"/>
    <n v="24000"/>
    <n v="24000"/>
    <n v="0"/>
    <n v="24000"/>
    <n v="0"/>
    <x v="3"/>
    <n v="24000"/>
    <n v="0"/>
    <x v="0"/>
    <x v="1"/>
    <s v="Si"/>
    <n v="24000"/>
    <n v="23193.885000000002"/>
    <n v="806.11499999999796"/>
    <d v="2022-09-09T00:00:00"/>
    <n v="1.53666666666667"/>
    <n v="1.58960416666667"/>
    <n v="1.58960416666667"/>
    <n v="36957.888120678821"/>
    <n v="1.3661233038687408"/>
    <n v="0.16358762211657696"/>
    <n v="1.4166666666666667"/>
    <n v="1.58960416666667"/>
    <n v="1.5399120050282842"/>
    <n v="1.5399120050282842"/>
    <m/>
    <s v="OK"/>
    <s v="OK"/>
    <n v="28000"/>
    <n v="72000"/>
    <n v="60000"/>
    <n v="24000"/>
    <n v="24000"/>
    <n v="48000"/>
    <n v="48000"/>
    <n v="24000"/>
    <n v="36776.119400000003"/>
    <n v="95110"/>
    <n v="77274"/>
    <n v="28800"/>
    <n v="31440"/>
    <n v="67857"/>
    <m/>
    <n v="15631.940748798432"/>
    <m/>
    <m/>
    <m/>
    <m/>
    <m/>
    <m/>
    <m/>
    <m/>
  </r>
  <r>
    <s v="Agro Sudamerica1022855"/>
    <x v="0"/>
    <x v="0"/>
    <n v="1022855"/>
    <s v="GO Grasa Forro Pal@ Cj 20k AS"/>
    <x v="2"/>
    <x v="12"/>
    <n v="17929"/>
    <n v="9529"/>
    <n v="0.3545854356400317"/>
    <n v="6357.3622755901288"/>
    <n v="23921.142999999993"/>
    <n v="4748"/>
    <n v="0"/>
    <n v="34551.705275590117"/>
    <n v="47000"/>
    <n v="23000"/>
    <n v="23000"/>
    <n v="0"/>
    <n v="23000"/>
    <n v="11551.705275590117"/>
    <n v="0"/>
    <n v="0"/>
    <n v="0"/>
    <n v="11551.705275590117"/>
    <n v="0"/>
    <n v="0"/>
    <n v="0"/>
    <n v="0"/>
    <n v="23000"/>
    <n v="23000"/>
    <n v="0"/>
    <n v="23000"/>
    <n v="0"/>
    <x v="1"/>
    <n v="23000"/>
    <n v="0"/>
    <x v="0"/>
    <x v="1"/>
    <s v="Si"/>
    <n v="23000"/>
    <n v="23000"/>
    <n v="0"/>
    <d v="2022-09-09T00:00:00"/>
    <n v="1.40675831671739"/>
    <n v="1.4182978723404256"/>
    <n v="1.4182978723404256"/>
    <n v="25070.000000000004"/>
    <n v="1.4075576951496656"/>
    <n v="7.6303637341260345E-3"/>
    <n v="1.04"/>
    <n v="1.4182978723404256"/>
    <n v="1.0900000000000001"/>
    <n v="1.0900000000000001"/>
    <m/>
    <s v="OK"/>
    <s v="OK"/>
    <n v="16600"/>
    <n v="24000"/>
    <n v="0"/>
    <n v="24000"/>
    <n v="24000"/>
    <n v="48000"/>
    <n v="24000"/>
    <n v="72000"/>
    <n v="25937.5"/>
    <n v="33060"/>
    <n v="0"/>
    <n v="30240"/>
    <n v="33840"/>
    <n v="67900"/>
    <m/>
    <n v="11571.637724409871"/>
    <m/>
    <m/>
    <m/>
    <m/>
    <m/>
    <m/>
    <m/>
    <m/>
  </r>
  <r>
    <s v="Agro Sudamerica1022920"/>
    <x v="0"/>
    <x v="0"/>
    <n v="1022920"/>
    <s v="GO Gord rebaje@ Cj 20k AS"/>
    <x v="2"/>
    <x v="5"/>
    <n v="0"/>
    <n v="0"/>
    <n v="0.3545854356400317"/>
    <n v="0"/>
    <n v="25660.548999999992"/>
    <n v="4560"/>
    <n v="24000"/>
    <n v="5764.5489999999918"/>
    <n v="6425"/>
    <n v="23000"/>
    <n v="0"/>
    <n v="0"/>
    <n v="0"/>
    <n v="5764.5489999999918"/>
    <n v="0"/>
    <n v="0"/>
    <n v="0"/>
    <n v="5764.5489999999918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1.1708333385214"/>
    <n v="0"/>
    <n v="0"/>
    <n v="0.92024489751700844"/>
    <s v="No Aplica"/>
    <n v="1.0866536964980544"/>
    <n v="0"/>
    <n v="0"/>
    <n v="0"/>
    <m/>
    <s v="OK"/>
    <s v="OK"/>
    <n v="0"/>
    <n v="0"/>
    <n v="0"/>
    <n v="0"/>
    <n v="4619"/>
    <n v="0"/>
    <n v="0"/>
    <n v="24000"/>
    <n v="0"/>
    <n v="0"/>
    <n v="0"/>
    <n v="0"/>
    <n v="4249"/>
    <n v="0"/>
    <m/>
    <n v="0"/>
    <m/>
    <m/>
    <m/>
    <m/>
    <m/>
    <m/>
    <m/>
    <m/>
  </r>
  <r>
    <s v="Agro Sudamerica1022921"/>
    <x v="0"/>
    <x v="0"/>
    <n v="1022921"/>
    <s v="GO Gord chic@ Cj 20k AS"/>
    <x v="2"/>
    <x v="5"/>
    <n v="19082"/>
    <n v="21452"/>
    <n v="0.3545854356400317"/>
    <n v="6766.1992828830853"/>
    <n v="30213.228000000003"/>
    <n v="9350"/>
    <n v="0"/>
    <n v="45394.427282883087"/>
    <n v="37575"/>
    <n v="23000"/>
    <n v="37575"/>
    <n v="0"/>
    <n v="37575"/>
    <n v="7819.4272828830872"/>
    <n v="0"/>
    <n v="0"/>
    <n v="0"/>
    <n v="7819.4272828830872"/>
    <n v="0"/>
    <n v="0"/>
    <n v="0"/>
    <n v="0"/>
    <n v="37575"/>
    <n v="37575"/>
    <n v="0"/>
    <n v="37575"/>
    <n v="0"/>
    <x v="27"/>
    <n v="37575"/>
    <n v="0"/>
    <x v="0"/>
    <x v="1"/>
    <s v="Si"/>
    <n v="37575"/>
    <n v="30213.228000000003"/>
    <n v="7361.7719999999972"/>
    <d v="2022-09-09T00:00:00"/>
    <n v="1.38667723289204"/>
    <n v="1.3964443326679963"/>
    <n v="1.3964443326679963"/>
    <n v="52229.249999999993"/>
    <n v="1.0165138595666714"/>
    <n v="0.37375828133153544"/>
    <n v="1.2999999999999998"/>
    <n v="1.3964443326679963"/>
    <n v="1.39"/>
    <n v="1.39"/>
    <m/>
    <s v="OK"/>
    <s v="OK"/>
    <n v="10000"/>
    <n v="48000"/>
    <n v="10000"/>
    <n v="12000"/>
    <n v="47000"/>
    <n v="0"/>
    <n v="0"/>
    <n v="24000"/>
    <n v="10000"/>
    <n v="45600"/>
    <n v="10500"/>
    <n v="8040"/>
    <n v="46740"/>
    <n v="0"/>
    <m/>
    <n v="12315.800717116916"/>
    <m/>
    <m/>
    <m/>
    <m/>
    <m/>
    <m/>
    <m/>
    <m/>
  </r>
  <r>
    <s v="Agro Sudamerica1022922"/>
    <x v="0"/>
    <x v="0"/>
    <n v="1022922"/>
    <s v="GO Triming Panc@ Cj 20k AS"/>
    <x v="5"/>
    <x v="6"/>
    <n v="0"/>
    <n v="0"/>
    <n v="0.3545854356400317"/>
    <n v="0"/>
    <n v="46.56"/>
    <n v="0"/>
    <n v="0"/>
    <n v="46.56"/>
    <n v="0"/>
    <n v="23000"/>
    <n v="0"/>
    <n v="0"/>
    <n v="0"/>
    <n v="46.56"/>
    <n v="0"/>
    <n v="0"/>
    <n v="0"/>
    <n v="46.56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1.4005937318696935"/>
    <s v="No Aplica"/>
    <n v="0"/>
    <n v="0"/>
    <n v="0"/>
    <n v="0"/>
    <m/>
    <s v="OK"/>
    <s v="OK"/>
    <n v="0"/>
    <n v="0"/>
    <n v="0"/>
    <n v="17000"/>
    <n v="6000"/>
    <n v="0"/>
    <n v="0"/>
    <n v="0"/>
    <n v="0"/>
    <n v="0"/>
    <n v="0"/>
    <n v="20740"/>
    <n v="7320"/>
    <n v="0"/>
    <m/>
    <n v="0"/>
    <m/>
    <m/>
    <m/>
    <m/>
    <m/>
    <m/>
    <m/>
    <m/>
  </r>
  <r>
    <s v="Agro Sudamerica1022928"/>
    <x v="0"/>
    <x v="0"/>
    <n v="1022928"/>
    <s v="GO Cue Granel Esp CC@Cj 20k AS"/>
    <x v="4"/>
    <x v="18"/>
    <n v="22"/>
    <n v="0"/>
    <n v="0.3545854356400317"/>
    <n v="7.8008795840806977"/>
    <n v="5781.8189999999995"/>
    <n v="0"/>
    <n v="0"/>
    <n v="5789.6198795840801"/>
    <n v="0"/>
    <n v="23000"/>
    <n v="0"/>
    <n v="0"/>
    <n v="0"/>
    <n v="5789.6198795840801"/>
    <n v="0"/>
    <n v="0"/>
    <n v="0"/>
    <n v="5789.6198795840801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0.9"/>
    <s v="No Aplica"/>
    <n v="0"/>
    <n v="0"/>
    <n v="0"/>
    <n v="0"/>
    <m/>
    <s v="OK"/>
    <s v="OK"/>
    <n v="0"/>
    <n v="0"/>
    <n v="0"/>
    <n v="16000"/>
    <n v="5000"/>
    <n v="0"/>
    <n v="0"/>
    <n v="0"/>
    <n v="0"/>
    <n v="0"/>
    <n v="0"/>
    <n v="9870"/>
    <n v="3600"/>
    <n v="0"/>
    <m/>
    <n v="14.199120415919303"/>
    <m/>
    <m/>
    <m/>
    <m/>
    <m/>
    <m/>
    <m/>
    <m/>
  </r>
  <r>
    <s v="Agro Sudamerica1022996"/>
    <x v="0"/>
    <x v="0"/>
    <n v="1022996"/>
    <s v="GO Visual Triming@ Cj 20k AS"/>
    <x v="2"/>
    <x v="5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1.0351744554482312"/>
    <s v="No Aplica"/>
    <n v="0"/>
    <n v="1.0351744554482312"/>
    <n v="0"/>
    <n v="1.0351744554482312"/>
    <m/>
    <s v="OK"/>
    <s v="OK"/>
    <n v="36000"/>
    <n v="24000"/>
    <n v="24000"/>
    <n v="0"/>
    <n v="0"/>
    <n v="0"/>
    <n v="0"/>
    <n v="0"/>
    <n v="44712"/>
    <n v="26640"/>
    <n v="25200"/>
    <n v="0"/>
    <n v="0"/>
    <n v="0"/>
    <m/>
    <n v="0"/>
    <m/>
    <m/>
    <m/>
    <m/>
    <m/>
    <m/>
    <m/>
    <m/>
  </r>
  <r>
    <s v="Agro Sudamerica1023312"/>
    <x v="0"/>
    <x v="0"/>
    <n v="1023312"/>
    <s v="GO File C/cab@Cj 20k AS"/>
    <x v="11"/>
    <x v="19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0"/>
    <s v="No Aplica"/>
    <n v="0"/>
    <n v="0"/>
    <n v="0"/>
    <n v="0"/>
    <m/>
    <s v="OK"/>
    <s v="OK"/>
    <n v="0"/>
    <n v="0"/>
    <n v="10221"/>
    <n v="0"/>
    <n v="0"/>
    <n v="0"/>
    <n v="0"/>
    <n v="0"/>
    <n v="0"/>
    <n v="0"/>
    <n v="28823"/>
    <n v="0"/>
    <n v="0"/>
    <n v="0"/>
    <m/>
    <n v="0"/>
    <m/>
    <m/>
    <m/>
    <m/>
    <m/>
    <m/>
    <m/>
    <m/>
  </r>
  <r>
    <s v="Agro Sudamerica1023331"/>
    <x v="0"/>
    <x v="0"/>
    <n v="1023331"/>
    <s v="GO Lom Vet 44@ Bo Cj 20k AS"/>
    <x v="6"/>
    <x v="20"/>
    <n v="0"/>
    <n v="0"/>
    <n v="0.3545854356400317"/>
    <n v="0"/>
    <n v="9829.9619999999995"/>
    <n v="0"/>
    <n v="0"/>
    <n v="9829.9619999999995"/>
    <n v="17900"/>
    <n v="23000"/>
    <n v="0"/>
    <n v="0"/>
    <n v="0"/>
    <n v="9829.9619999999995"/>
    <n v="0"/>
    <n v="0"/>
    <n v="0"/>
    <n v="9829.9619999999995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2.2000000000000002"/>
    <n v="0"/>
    <n v="0"/>
    <n v="2.5677309441596563"/>
    <s v="No Aplica"/>
    <n v="0"/>
    <n v="0"/>
    <n v="0"/>
    <n v="0"/>
    <m/>
    <s v="OK"/>
    <s v="OK"/>
    <n v="0"/>
    <n v="23000"/>
    <n v="0"/>
    <n v="23000"/>
    <n v="0"/>
    <n v="0"/>
    <n v="0"/>
    <n v="0"/>
    <n v="0"/>
    <n v="59608"/>
    <n v="0"/>
    <n v="57730"/>
    <n v="0"/>
    <n v="0"/>
    <m/>
    <n v="0"/>
    <m/>
    <m/>
    <m/>
    <m/>
    <m/>
    <m/>
    <m/>
    <m/>
  </r>
  <r>
    <s v="Agro Sudamerica1023355"/>
    <x v="0"/>
    <x v="0"/>
    <n v="1023355"/>
    <s v="GO Pulmon@ Cj 20k AS"/>
    <x v="10"/>
    <x v="15"/>
    <n v="24500"/>
    <n v="24000"/>
    <n v="0.3545854356400317"/>
    <n v="8687.3431731807759"/>
    <n v="4644.9089999999997"/>
    <n v="6200"/>
    <n v="0"/>
    <n v="18912.252173180776"/>
    <n v="1000"/>
    <n v="23000"/>
    <n v="1000"/>
    <n v="0"/>
    <n v="1000"/>
    <n v="17912.252173180776"/>
    <n v="0"/>
    <n v="0"/>
    <n v="0"/>
    <n v="17912.252173180776"/>
    <n v="0"/>
    <n v="0"/>
    <n v="0"/>
    <n v="22500.02"/>
    <n v="23500.02"/>
    <n v="23500.02"/>
    <n v="22500.02"/>
    <n v="1000"/>
    <n v="0"/>
    <x v="28"/>
    <n v="1000"/>
    <n v="0"/>
    <x v="0"/>
    <x v="1"/>
    <s v="Si"/>
    <n v="1000"/>
    <n v="1000"/>
    <n v="0"/>
    <d v="2022-09-09T00:00:00"/>
    <n v="0.73666666666666702"/>
    <n v="0.70695652173913004"/>
    <n v="0.70695652173913004"/>
    <n v="15509.793650589747"/>
    <n v="0.65103105102954539"/>
    <n v="8.5902923710234225E-2"/>
    <n v="0.62451130708637681"/>
    <n v="0.70695652173913004"/>
    <n v="0.65999065747985519"/>
    <n v="0.65999065747985519"/>
    <m/>
    <s v="OK"/>
    <s v="OK"/>
    <n v="0"/>
    <n v="0"/>
    <n v="0"/>
    <n v="0"/>
    <n v="24000"/>
    <n v="24000"/>
    <n v="69000"/>
    <n v="46500"/>
    <n v="0"/>
    <n v="0"/>
    <n v="0"/>
    <n v="0"/>
    <n v="12240"/>
    <n v="15157"/>
    <m/>
    <n v="15812.656826819224"/>
    <m/>
    <m/>
    <m/>
    <m/>
    <m/>
    <m/>
    <m/>
    <m/>
  </r>
  <r>
    <s v="Agrosuper Asia1020860"/>
    <x v="0"/>
    <x v="1"/>
    <n v="1020860"/>
    <s v="GO Lom Vet@ Cj 12k AK"/>
    <x v="6"/>
    <x v="20"/>
    <n v="57661"/>
    <n v="57474"/>
    <n v="0.38476266834449474"/>
    <n v="22185.800219411911"/>
    <n v="44155.947999999989"/>
    <n v="0"/>
    <n v="0"/>
    <n v="66341.748219411907"/>
    <n v="44000"/>
    <n v="22000"/>
    <n v="44000"/>
    <n v="0"/>
    <n v="44000"/>
    <n v="22341.748219411907"/>
    <n v="22000"/>
    <n v="0"/>
    <n v="22000"/>
    <n v="341.74821941190748"/>
    <n v="0"/>
    <n v="0"/>
    <n v="0"/>
    <n v="22009.75"/>
    <n v="88009.75"/>
    <n v="88009.75"/>
    <n v="22009.75"/>
    <n v="44000"/>
    <n v="22000"/>
    <x v="29"/>
    <n v="44000"/>
    <n v="22000"/>
    <x v="0"/>
    <x v="11"/>
    <s v="Si"/>
    <n v="66000"/>
    <n v="44155.947999999989"/>
    <n v="21844.052000000011"/>
    <d v="2022-09-10T00:00:00"/>
    <n v="3.9636183317674099"/>
    <n v="4.2103863636363599"/>
    <n v="4.1487011901059621"/>
    <n v="365126.15456592821"/>
    <n v="4.07112515479088"/>
    <n v="1.905518311658657E-2"/>
    <n v="4.1805000000000003"/>
    <n v="4.1487011901059621"/>
    <n v="0"/>
    <n v="4.1487011901059621"/>
    <m/>
    <s v="OK"/>
    <s v="OK"/>
    <n v="154000"/>
    <n v="66000"/>
    <n v="88000"/>
    <n v="154000"/>
    <n v="176000"/>
    <n v="187000"/>
    <n v="88000"/>
    <n v="110000"/>
    <n v="643647.0895"/>
    <n v="265650"/>
    <n v="335280"/>
    <n v="607165"/>
    <n v="682827"/>
    <n v="786186"/>
    <m/>
    <n v="35475.199780588089"/>
    <m/>
    <m/>
    <m/>
    <m/>
    <m/>
    <m/>
    <m/>
    <m/>
  </r>
  <r>
    <s v="Agrosuper Asia1020861"/>
    <x v="0"/>
    <x v="1"/>
    <n v="1020861"/>
    <s v="GO Lom Vet@ Cj 12k TJ"/>
    <x v="6"/>
    <x v="20"/>
    <n v="127021"/>
    <n v="110000"/>
    <n v="0.38476266834449474"/>
    <n v="48872.938895786065"/>
    <n v="48332.861000000004"/>
    <n v="8669.0785707958166"/>
    <n v="0"/>
    <n v="105007.9706095023"/>
    <n v="100000"/>
    <n v="22000"/>
    <n v="100000"/>
    <n v="0"/>
    <n v="100000"/>
    <n v="5007.9706095022993"/>
    <n v="0"/>
    <n v="0"/>
    <n v="0"/>
    <n v="5007.9706095022993"/>
    <n v="0"/>
    <n v="0"/>
    <n v="0"/>
    <n v="22010.87"/>
    <n v="122010.87"/>
    <n v="122010.87"/>
    <n v="22010.87"/>
    <n v="100000"/>
    <n v="0"/>
    <x v="30"/>
    <n v="100000"/>
    <n v="0"/>
    <x v="0"/>
    <x v="11"/>
    <s v="Si"/>
    <n v="100000"/>
    <n v="48332.861000000004"/>
    <n v="51667.138999999996"/>
    <d v="2022-09-10T00:00:00"/>
    <n v="3.96360909090909"/>
    <n v="4.1677906024096369"/>
    <n v="4.1677906024096369"/>
    <n v="508515.75737782387"/>
    <n v="4.0593452788958864"/>
    <n v="2.6714978909911046E-2"/>
    <n v="4.1846624909275665"/>
    <n v="4.1677906024096369"/>
    <n v="0"/>
    <n v="4.1677906024096369"/>
    <m/>
    <s v="OK"/>
    <s v="OK"/>
    <n v="88000"/>
    <n v="66000"/>
    <n v="66000"/>
    <n v="154000"/>
    <n v="153860"/>
    <n v="198044"/>
    <n v="144000"/>
    <n v="166000"/>
    <n v="375760"/>
    <n v="264000"/>
    <n v="252780"/>
    <n v="601865"/>
    <n v="601173"/>
    <n v="832508"/>
    <m/>
    <n v="78148.061104213935"/>
    <m/>
    <m/>
    <m/>
    <m/>
    <m/>
    <m/>
    <m/>
    <m/>
  </r>
  <r>
    <s v="Agrosuper Asia1020904"/>
    <x v="0"/>
    <x v="1"/>
    <n v="1020904"/>
    <s v="GO Panc C/cue@ Cj Panc 230 TJ"/>
    <x v="8"/>
    <x v="26"/>
    <n v="0"/>
    <n v="9371"/>
    <n v="0.38476266834449474"/>
    <n v="0"/>
    <n v="28607.257999999994"/>
    <n v="9696.4277981498471"/>
    <n v="0"/>
    <n v="37334.043018334858"/>
    <n v="66000"/>
    <n v="22000"/>
    <n v="22000"/>
    <n v="0"/>
    <n v="22000"/>
    <n v="15334.043018334858"/>
    <n v="0"/>
    <n v="0"/>
    <n v="0"/>
    <n v="15334.043018334858"/>
    <n v="0"/>
    <n v="0"/>
    <n v="0"/>
    <n v="22012.3"/>
    <n v="44012.3"/>
    <n v="44012.3"/>
    <n v="22012.3"/>
    <n v="22000"/>
    <n v="0"/>
    <x v="31"/>
    <n v="22000"/>
    <n v="0"/>
    <x v="0"/>
    <x v="11"/>
    <s v="Si"/>
    <n v="22000.000000000004"/>
    <n v="22000.000000000004"/>
    <n v="0"/>
    <d v="2022-09-10T00:00:00"/>
    <n v="5.5633336890406602"/>
    <n v="5.9374393939393943"/>
    <n v="5.9374393939393935"/>
    <n v="261320.36383787877"/>
    <n v="6.2549065063738905"/>
    <n v="5.0754893316309502E-2"/>
    <n v="6"/>
    <n v="5.9374393939393935"/>
    <n v="0"/>
    <n v="5.9374393939393935"/>
    <m/>
    <s v="OK"/>
    <s v="OK"/>
    <n v="22000"/>
    <n v="154000"/>
    <n v="66000"/>
    <n v="22000"/>
    <n v="22000"/>
    <n v="0"/>
    <n v="44000"/>
    <n v="44000"/>
    <n v="147276.35709999999"/>
    <n v="970200"/>
    <n v="412500"/>
    <n v="140295"/>
    <n v="139028"/>
    <n v="0"/>
    <m/>
    <n v="0"/>
    <m/>
    <m/>
    <m/>
    <m/>
    <m/>
    <m/>
    <m/>
    <m/>
  </r>
  <r>
    <s v="Agrosuper Asia1020905"/>
    <x v="0"/>
    <x v="1"/>
    <n v="1020905"/>
    <s v="GO Panc C/cue@ Cj Panc 230 AK"/>
    <x v="8"/>
    <x v="26"/>
    <n v="0"/>
    <n v="8517"/>
    <n v="0.38476266834449474"/>
    <n v="0"/>
    <n v="17253.326000000005"/>
    <n v="0"/>
    <n v="0"/>
    <n v="17253.326000000005"/>
    <n v="44000"/>
    <n v="22000"/>
    <n v="0"/>
    <n v="0"/>
    <n v="0"/>
    <n v="17253.326000000005"/>
    <n v="0"/>
    <n v="0"/>
    <n v="0"/>
    <n v="17253.326000000005"/>
    <n v="0"/>
    <n v="0"/>
    <n v="0"/>
    <n v="22010.02"/>
    <n v="22010.02"/>
    <n v="22010.02"/>
    <n v="22010.02"/>
    <n v="0"/>
    <n v="0"/>
    <x v="32"/>
    <n v="0"/>
    <n v="0"/>
    <x v="0"/>
    <x v="11"/>
    <s v="No"/>
    <n v="0"/>
    <n v="0"/>
    <n v="0"/>
    <d v="2022-09-10T00:00:00"/>
    <n v="5.56369613713749"/>
    <n v="6"/>
    <n v="6"/>
    <n v="132060.12"/>
    <n v="6.1031511748444016"/>
    <n v="1.6901297688571744E-2"/>
    <n v="6"/>
    <n v="6"/>
    <n v="0"/>
    <n v="6"/>
    <m/>
    <s v="OK"/>
    <s v="OK"/>
    <n v="22000"/>
    <n v="22000"/>
    <n v="0"/>
    <n v="44000"/>
    <n v="22000"/>
    <n v="0"/>
    <n v="22000"/>
    <n v="22000"/>
    <n v="153120"/>
    <n v="138600"/>
    <n v="0"/>
    <n v="281600"/>
    <n v="139661"/>
    <n v="0"/>
    <m/>
    <n v="0"/>
    <m/>
    <m/>
    <m/>
    <m/>
    <m/>
    <m/>
    <m/>
    <m/>
  </r>
  <r>
    <s v="Agrosuper Asia1021012"/>
    <x v="0"/>
    <x v="1"/>
    <n v="1021012"/>
    <s v="GO Papda K@ Cj 20k AK"/>
    <x v="3"/>
    <x v="3"/>
    <n v="144763"/>
    <n v="198000"/>
    <n v="0.38476266834449474"/>
    <n v="55699.398157554089"/>
    <n v="59559.228999999985"/>
    <n v="23256.79237396258"/>
    <n v="0"/>
    <n v="136189.74029412039"/>
    <n v="0"/>
    <n v="22000"/>
    <n v="0"/>
    <n v="0"/>
    <n v="0"/>
    <n v="136189.74029412039"/>
    <n v="132000"/>
    <n v="0"/>
    <n v="132000"/>
    <n v="4189.7402941203909"/>
    <n v="0"/>
    <n v="0"/>
    <n v="0"/>
    <n v="66222.06"/>
    <n v="198222.06"/>
    <n v="198222.06"/>
    <n v="66222.06"/>
    <n v="0"/>
    <n v="132000"/>
    <x v="33"/>
    <n v="0"/>
    <n v="132000"/>
    <x v="0"/>
    <x v="11"/>
    <s v="Si"/>
    <n v="132000"/>
    <n v="59559.228999999985"/>
    <n v="72440.771000000008"/>
    <d v="2022-09-10T00:00:00"/>
    <n v="1.6636060606060601"/>
    <n v="0"/>
    <n v="1.107828260890841"/>
    <n v="219595.99999999994"/>
    <n v="1.9705036714707902"/>
    <n v="0.43779436855149101"/>
    <n v="1.92"/>
    <n v="1.107828260890841"/>
    <n v="0"/>
    <n v="1.107828260890841"/>
    <m/>
    <s v="OK"/>
    <s v="OK"/>
    <n v="110000"/>
    <n v="66000"/>
    <n v="0"/>
    <n v="22000"/>
    <n v="176010"/>
    <n v="219933"/>
    <n v="143000"/>
    <n v="154000"/>
    <n v="247500"/>
    <n v="108240"/>
    <n v="0"/>
    <n v="38720"/>
    <n v="346371"/>
    <n v="424319"/>
    <m/>
    <n v="89063.601842445903"/>
    <m/>
    <m/>
    <m/>
    <m/>
    <m/>
    <m/>
    <m/>
    <m/>
  </r>
  <r>
    <s v="Agrosuper Asia1021045"/>
    <x v="0"/>
    <x v="1"/>
    <n v="1021045"/>
    <s v="GO PernilM C/M@ Cj 15k AK"/>
    <x v="13"/>
    <x v="27"/>
    <n v="88340"/>
    <n v="86000"/>
    <n v="0.38476266834449474"/>
    <n v="33989.934121552666"/>
    <n v="23028.943999999992"/>
    <n v="0"/>
    <n v="0"/>
    <n v="57018.878121552654"/>
    <n v="44000"/>
    <n v="22000"/>
    <n v="44000"/>
    <n v="-22000"/>
    <n v="22000"/>
    <n v="35018.878121552654"/>
    <n v="22000"/>
    <n v="-22000"/>
    <n v="0"/>
    <n v="35018.878121552654"/>
    <n v="0"/>
    <n v="0"/>
    <n v="0"/>
    <n v="22004.639999999999"/>
    <n v="88004.64"/>
    <n v="66004.639999999999"/>
    <n v="22004.639999999999"/>
    <n v="22000"/>
    <n v="22000"/>
    <x v="34"/>
    <n v="22000"/>
    <n v="0"/>
    <x v="4"/>
    <x v="11"/>
    <s v="Si"/>
    <n v="22000"/>
    <n v="22000"/>
    <n v="0"/>
    <d v="2022-09-10T00:00:00"/>
    <n v="1.96360465116279"/>
    <n v="2.0123181818181801"/>
    <n v="2.0123181818181801"/>
    <n v="88551.337156363559"/>
    <n v="2.0113766220216358"/>
    <n v="4.6811710260306639E-4"/>
    <n v="2.1335303030303034"/>
    <n v="2.0123181818181801"/>
    <n v="0"/>
    <n v="2.0123181818181801"/>
    <m/>
    <s v="OK"/>
    <s v="OK"/>
    <n v="88000"/>
    <n v="44000"/>
    <n v="22000"/>
    <n v="44000"/>
    <n v="22000"/>
    <n v="22000"/>
    <n v="66000"/>
    <n v="44000"/>
    <n v="237667.5"/>
    <n v="114400"/>
    <n v="43120"/>
    <n v="91571"/>
    <n v="45756"/>
    <n v="42091"/>
    <m/>
    <n v="54350.065878447334"/>
    <m/>
    <m/>
    <m/>
    <m/>
    <m/>
    <m/>
    <m/>
    <m/>
  </r>
  <r>
    <s v="Agrosuper Asia1021046"/>
    <x v="0"/>
    <x v="1"/>
    <n v="1021046"/>
    <s v="GO PernilM C/M@ Cj 15k TJ"/>
    <x v="13"/>
    <x v="27"/>
    <n v="42000"/>
    <n v="48641"/>
    <n v="0.38476266834449474"/>
    <n v="16160.032070468778"/>
    <n v="40688.584999999999"/>
    <n v="74663.056800000006"/>
    <n v="0"/>
    <n v="124045.36819046878"/>
    <n v="154000"/>
    <n v="22000"/>
    <n v="110000"/>
    <n v="-22000"/>
    <n v="88000"/>
    <n v="36045.368190468784"/>
    <n v="22000"/>
    <n v="-22000"/>
    <n v="0"/>
    <n v="36045.368190468784"/>
    <n v="0"/>
    <n v="0"/>
    <n v="0"/>
    <n v="22011.06"/>
    <n v="154011.06"/>
    <n v="132011.06"/>
    <n v="22011.06"/>
    <n v="88000"/>
    <n v="22000"/>
    <x v="35"/>
    <n v="88000"/>
    <n v="0"/>
    <x v="4"/>
    <x v="11"/>
    <s v="Si"/>
    <n v="88000"/>
    <n v="40688.584999999999"/>
    <n v="47311.415000000001"/>
    <d v="2022-09-10T00:00:00"/>
    <n v="1.9636109454986499"/>
    <n v="1.5530795454545501"/>
    <n v="1.5530795454545501"/>
    <n v="170855.92705977324"/>
    <n v="2.1213245413754449"/>
    <n v="0.26787272990885713"/>
    <n v="0"/>
    <n v="1.5530795454545501"/>
    <n v="0"/>
    <n v="1.5530795454545501"/>
    <m/>
    <s v="OK"/>
    <s v="OK"/>
    <n v="88000"/>
    <n v="66000"/>
    <n v="44000"/>
    <n v="44000"/>
    <n v="22105"/>
    <n v="44022"/>
    <n v="0"/>
    <n v="0"/>
    <n v="227040"/>
    <n v="171600"/>
    <n v="99220"/>
    <n v="88542"/>
    <n v="45973"/>
    <n v="42091"/>
    <m/>
    <n v="25839.967929531223"/>
    <m/>
    <m/>
    <m/>
    <m/>
    <m/>
    <m/>
    <m/>
    <m/>
  </r>
  <r>
    <s v="Agrosuper Asia1021149"/>
    <x v="0"/>
    <x v="1"/>
    <n v="1021149"/>
    <s v="GO Tira Hso Ctro@ Cj 20k TJ"/>
    <x v="1"/>
    <x v="1"/>
    <n v="150836"/>
    <n v="154000"/>
    <n v="0.38476266834449474"/>
    <n v="58036.061842410207"/>
    <n v="33872.85"/>
    <n v="22300"/>
    <n v="0"/>
    <n v="111978.91184241021"/>
    <n v="35000"/>
    <n v="22000"/>
    <n v="35000"/>
    <n v="8000"/>
    <n v="43000"/>
    <n v="68978.911842410205"/>
    <n v="66000"/>
    <n v="-44000"/>
    <n v="22000"/>
    <n v="46978.911842410205"/>
    <n v="0"/>
    <n v="0"/>
    <n v="0"/>
    <n v="0"/>
    <n v="101000"/>
    <n v="101000"/>
    <n v="0"/>
    <n v="43000"/>
    <n v="58000"/>
    <x v="36"/>
    <n v="43000"/>
    <n v="22000"/>
    <x v="5"/>
    <x v="11"/>
    <s v="Si"/>
    <n v="65000"/>
    <n v="33872.85"/>
    <n v="31127.15"/>
    <d v="2022-09-10T00:00:00"/>
    <n v="0.66360389610389603"/>
    <n v="0.673035941860465"/>
    <n v="0.66984355714285704"/>
    <n v="43539.83121428571"/>
    <n v="0.84587359159195552"/>
    <n v="0.20810442151031752"/>
    <n v="0.77812499999999996"/>
    <n v="0.66984355714285704"/>
    <n v="0"/>
    <n v="0.66984355714285704"/>
    <m/>
    <s v="OK"/>
    <s v="OK"/>
    <n v="66000"/>
    <n v="44000"/>
    <n v="66000"/>
    <n v="44000"/>
    <n v="66000"/>
    <n v="110000"/>
    <n v="44000"/>
    <n v="22000"/>
    <n v="75240"/>
    <n v="72160"/>
    <n v="67980"/>
    <n v="46640"/>
    <n v="54659"/>
    <n v="81377"/>
    <m/>
    <n v="92799.938157589786"/>
    <m/>
    <m/>
    <m/>
    <m/>
    <m/>
    <m/>
    <m/>
    <m/>
  </r>
  <r>
    <s v="Agrosuper Asia1021150"/>
    <x v="0"/>
    <x v="1"/>
    <n v="1021150"/>
    <s v="GO Tira Hso Ctro@ Cj 20k AK"/>
    <x v="1"/>
    <x v="1"/>
    <n v="3581"/>
    <n v="15768"/>
    <n v="0.38476266834449474"/>
    <n v="1377.8351153416356"/>
    <n v="50293.22"/>
    <n v="0"/>
    <n v="0"/>
    <n v="51671.055115341638"/>
    <n v="44000"/>
    <n v="22000"/>
    <n v="44000"/>
    <n v="-22000"/>
    <n v="22000"/>
    <n v="29671.055115341638"/>
    <n v="0"/>
    <n v="0"/>
    <n v="0"/>
    <n v="29671.055115341638"/>
    <n v="22000"/>
    <n v="0"/>
    <n v="22000"/>
    <n v="66000"/>
    <n v="132000"/>
    <n v="110000"/>
    <n v="66000"/>
    <n v="22000"/>
    <n v="22000"/>
    <x v="37"/>
    <n v="22000"/>
    <n v="22000"/>
    <x v="4"/>
    <x v="11"/>
    <s v="Si"/>
    <n v="44000"/>
    <n v="44000"/>
    <n v="0"/>
    <d v="2022-09-10T00:00:00"/>
    <n v="0.66362252663622501"/>
    <n v="0.77487878787878794"/>
    <n v="0.77487878787878806"/>
    <n v="85236.666666666686"/>
    <n v="0.92425965578539115"/>
    <n v="0.16162218806323042"/>
    <n v="0.85019696969696967"/>
    <n v="0.77487878787878806"/>
    <n v="0"/>
    <n v="0.77487878787878806"/>
    <m/>
    <s v="OK"/>
    <s v="OK"/>
    <n v="44000"/>
    <n v="66000"/>
    <n v="22000"/>
    <n v="44000"/>
    <n v="22000"/>
    <n v="88000"/>
    <n v="44000"/>
    <n v="22000"/>
    <n v="49824.5"/>
    <n v="108240"/>
    <n v="23100"/>
    <n v="49060"/>
    <n v="23341"/>
    <n v="65304"/>
    <m/>
    <n v="2203.1648846583644"/>
    <m/>
    <m/>
    <m/>
    <m/>
    <m/>
    <m/>
    <m/>
    <m/>
  </r>
  <r>
    <s v="Agrosuper Asia1021151"/>
    <x v="0"/>
    <x v="1"/>
    <n v="1021151"/>
    <s v="GO Hso Cogote@ Bo Cj 20k TJ"/>
    <x v="1"/>
    <x v="28"/>
    <n v="0"/>
    <n v="28442"/>
    <n v="0.38476266834449474"/>
    <n v="0"/>
    <n v="40243.300000000003"/>
    <n v="23079"/>
    <n v="0"/>
    <n v="61014.400000000009"/>
    <n v="22000"/>
    <n v="22000"/>
    <n v="22000"/>
    <n v="0"/>
    <n v="22000"/>
    <n v="39014.400000000009"/>
    <n v="22000"/>
    <n v="-22000"/>
    <n v="0"/>
    <n v="39014.400000000009"/>
    <n v="0"/>
    <n v="0"/>
    <n v="0"/>
    <n v="66000"/>
    <n v="110000"/>
    <n v="110000"/>
    <n v="66000"/>
    <n v="22000"/>
    <n v="22000"/>
    <x v="16"/>
    <n v="22000"/>
    <n v="0"/>
    <x v="4"/>
    <x v="11"/>
    <s v="Si"/>
    <n v="22000"/>
    <n v="22000"/>
    <n v="0"/>
    <d v="2022-09-10T00:00:00"/>
    <n v="1.06360312214331"/>
    <n v="1.06966322272727"/>
    <n v="1.06966322272727"/>
    <n v="94130.363599999764"/>
    <n v="1.4685055358008727"/>
    <n v="0.27159741883852534"/>
    <n v="1.3"/>
    <n v="1.06966322272727"/>
    <n v="0"/>
    <n v="1.06966322272727"/>
    <m/>
    <s v="OK"/>
    <s v="OK"/>
    <n v="44000"/>
    <n v="22000"/>
    <n v="22000"/>
    <n v="44000"/>
    <n v="44000"/>
    <n v="22000"/>
    <n v="44000"/>
    <n v="22000"/>
    <n v="73726.666700000002"/>
    <n v="35200"/>
    <n v="34100"/>
    <n v="71771"/>
    <n v="70197"/>
    <n v="24490"/>
    <m/>
    <n v="0"/>
    <m/>
    <m/>
    <m/>
    <m/>
    <m/>
    <m/>
    <m/>
    <m/>
  </r>
  <r>
    <s v="Agrosuper Asia1021152"/>
    <x v="0"/>
    <x v="1"/>
    <n v="1021152"/>
    <s v="GO Hso Cogote@ Bo Cj 20k AK"/>
    <x v="1"/>
    <x v="28"/>
    <n v="57578"/>
    <n v="36000"/>
    <n v="0.38476266834449474"/>
    <n v="22153.864917939318"/>
    <n v="44514.83"/>
    <n v="0"/>
    <n v="0"/>
    <n v="66668.694917939312"/>
    <n v="66000"/>
    <n v="22000"/>
    <n v="66000"/>
    <n v="-22000"/>
    <n v="44000"/>
    <n v="22668.694917939312"/>
    <n v="22000"/>
    <n v="-22000"/>
    <n v="0"/>
    <n v="22668.694917939312"/>
    <n v="0"/>
    <n v="0"/>
    <n v="0"/>
    <n v="0"/>
    <n v="88000"/>
    <n v="66000"/>
    <n v="0"/>
    <n v="44000"/>
    <n v="22000"/>
    <x v="38"/>
    <n v="44000"/>
    <n v="0"/>
    <x v="6"/>
    <x v="11"/>
    <s v="Si"/>
    <n v="44000"/>
    <n v="44000"/>
    <n v="0"/>
    <d v="2022-09-10T00:00:00"/>
    <n v="1.06361111111111"/>
    <n v="1.0832727272727267"/>
    <n v="1.0832727272727267"/>
    <n v="47663.999999999978"/>
    <n v="1.5623181818181817"/>
    <n v="0.30662477088243029"/>
    <n v="1.3"/>
    <n v="1.0832727272727267"/>
    <n v="0"/>
    <n v="1.0832727272727267"/>
    <m/>
    <s v="OK"/>
    <s v="OK"/>
    <n v="44000"/>
    <n v="22000"/>
    <n v="44000"/>
    <n v="22000"/>
    <n v="0"/>
    <n v="22000"/>
    <n v="0"/>
    <n v="22000"/>
    <n v="71559.5"/>
    <n v="35200"/>
    <n v="68200"/>
    <n v="34320"/>
    <n v="0"/>
    <n v="24491"/>
    <m/>
    <n v="35424.135082060682"/>
    <m/>
    <m/>
    <m/>
    <m/>
    <m/>
    <m/>
    <m/>
    <m/>
  </r>
  <r>
    <s v="Agrosuper Asia1021156"/>
    <x v="0"/>
    <x v="1"/>
    <n v="1021156"/>
    <s v="GO Hso Pecho@ Cj Lom Vet TJ"/>
    <x v="1"/>
    <x v="1"/>
    <n v="48465"/>
    <n v="48000"/>
    <n v="0.38476266834449474"/>
    <n v="18647.522721315938"/>
    <n v="25530.58"/>
    <n v="2909.64"/>
    <n v="0"/>
    <n v="46796.778721315939"/>
    <n v="24000"/>
    <n v="23000"/>
    <n v="24000"/>
    <n v="0"/>
    <n v="24000"/>
    <n v="22796.778721315939"/>
    <n v="0"/>
    <n v="0"/>
    <n v="0"/>
    <n v="22796.778721315939"/>
    <n v="0"/>
    <n v="0"/>
    <n v="0"/>
    <n v="24000"/>
    <n v="48000"/>
    <n v="48000"/>
    <n v="24000"/>
    <n v="24000"/>
    <n v="0"/>
    <x v="39"/>
    <n v="24000"/>
    <n v="0"/>
    <x v="0"/>
    <x v="11"/>
    <s v="Si"/>
    <n v="24000"/>
    <n v="24000"/>
    <n v="0"/>
    <d v="2022-09-10T00:00:00"/>
    <n v="2.42566666666667"/>
    <n v="2.9"/>
    <n v="2.9"/>
    <n v="139200"/>
    <n v="2.7171174416666668"/>
    <n v="6.7307564821767085E-2"/>
    <n v="2.7385106382978726"/>
    <n v="2.9"/>
    <n v="0"/>
    <n v="2.9"/>
    <m/>
    <s v="OK"/>
    <s v="OK"/>
    <n v="46000"/>
    <n v="72000"/>
    <n v="7000"/>
    <n v="14000"/>
    <n v="24000"/>
    <n v="24000"/>
    <n v="24000"/>
    <n v="47000"/>
    <n v="134780"/>
    <n v="181080"/>
    <n v="17570"/>
    <n v="35840"/>
    <n v="86720"/>
    <n v="65716"/>
    <m/>
    <n v="29817.477278684062"/>
    <m/>
    <m/>
    <m/>
    <m/>
    <m/>
    <m/>
    <m/>
    <m/>
  </r>
  <r>
    <s v="Agrosuper Asia1021204"/>
    <x v="0"/>
    <x v="1"/>
    <n v="1021204"/>
    <s v="GO Lom Tocino@ Cj 20k AS"/>
    <x v="2"/>
    <x v="2"/>
    <n v="0"/>
    <n v="14545"/>
    <n v="0.38476266834449474"/>
    <n v="0"/>
    <n v="34300"/>
    <n v="0"/>
    <n v="0"/>
    <n v="34300"/>
    <n v="48000"/>
    <n v="23000"/>
    <n v="23000"/>
    <n v="1000"/>
    <n v="24000"/>
    <n v="10300"/>
    <n v="0"/>
    <n v="0"/>
    <n v="0"/>
    <n v="10300"/>
    <n v="0"/>
    <n v="0"/>
    <n v="0"/>
    <n v="0"/>
    <n v="23000"/>
    <n v="23000"/>
    <n v="0"/>
    <n v="24000"/>
    <n v="-1000"/>
    <x v="3"/>
    <n v="24000"/>
    <n v="0"/>
    <x v="5"/>
    <x v="11"/>
    <s v="Si"/>
    <n v="24000"/>
    <n v="24000"/>
    <n v="0"/>
    <d v="2022-09-10T00:00:00"/>
    <n v="1.1135097971811601"/>
    <n v="1.4637256250000001"/>
    <n v="1.4637256250000001"/>
    <n v="35129.415000000001"/>
    <n v="1.3549024999999999"/>
    <n v="8.0318048715682683E-2"/>
    <n v="1.35"/>
    <n v="1.4637256250000001"/>
    <n v="0"/>
    <n v="1.4637256250000001"/>
    <m/>
    <s v="OK"/>
    <s v="OK"/>
    <n v="24000"/>
    <n v="0"/>
    <n v="0"/>
    <n v="0"/>
    <n v="0"/>
    <n v="24000"/>
    <n v="24000"/>
    <n v="24000"/>
    <n v="32880"/>
    <n v="0"/>
    <n v="0"/>
    <n v="0"/>
    <n v="0"/>
    <n v="30925"/>
    <m/>
    <n v="0"/>
    <m/>
    <m/>
    <m/>
    <m/>
    <m/>
    <m/>
    <m/>
    <m/>
  </r>
  <r>
    <s v="Agrosuper Asia1021470"/>
    <x v="0"/>
    <x v="1"/>
    <n v="1021470"/>
    <s v="GO PernilM@ Cj 20k AK"/>
    <x v="13"/>
    <x v="27"/>
    <n v="38202"/>
    <n v="44000"/>
    <n v="0.38476266834449474"/>
    <n v="14698.703456096388"/>
    <n v="10167.202000000001"/>
    <n v="0"/>
    <n v="0"/>
    <n v="24865.905456096389"/>
    <n v="0"/>
    <n v="22000"/>
    <n v="0"/>
    <n v="0"/>
    <n v="0"/>
    <n v="24865.905456096389"/>
    <n v="22000"/>
    <n v="0"/>
    <n v="22000"/>
    <n v="2865.9054560963887"/>
    <n v="0"/>
    <n v="0"/>
    <n v="0"/>
    <n v="44011.659999999996"/>
    <n v="66011.66"/>
    <n v="66011.66"/>
    <n v="44011.659999999996"/>
    <n v="0"/>
    <n v="22000.000000000007"/>
    <x v="40"/>
    <n v="0"/>
    <n v="22000.000000000007"/>
    <x v="0"/>
    <x v="11"/>
    <s v="Si"/>
    <n v="22000.000000000007"/>
    <n v="10167.202000000001"/>
    <n v="11832.798000000006"/>
    <d v="2022-09-10T00:00:00"/>
    <n v="1.16361363636364"/>
    <n v="0"/>
    <n v="0.38780270031082509"/>
    <n v="25599.50000000008"/>
    <n v="1.7281294102637377"/>
    <n v="0.77559394683778871"/>
    <n v="1.6"/>
    <n v="0.38780270031082509"/>
    <n v="0"/>
    <n v="0.38780270031082509"/>
    <m/>
    <s v="OK"/>
    <s v="OK"/>
    <n v="22000"/>
    <n v="22000"/>
    <n v="0"/>
    <n v="22000"/>
    <n v="0"/>
    <n v="22000"/>
    <n v="0"/>
    <n v="22000"/>
    <n v="41800"/>
    <n v="45540"/>
    <n v="0"/>
    <n v="39600"/>
    <n v="0"/>
    <n v="36511"/>
    <m/>
    <n v="23503.296543903612"/>
    <m/>
    <m/>
    <m/>
    <m/>
    <m/>
    <m/>
    <m/>
    <m/>
  </r>
  <r>
    <s v="Agrosuper Asia1021655"/>
    <x v="0"/>
    <x v="1"/>
    <n v="1021655"/>
    <s v="GO Estómago Pouch@ Bo Cj 10k AS"/>
    <x v="10"/>
    <x v="15"/>
    <n v="0"/>
    <n v="0"/>
    <n v="0.38476266834449474"/>
    <n v="0"/>
    <n v="3020"/>
    <n v="5825"/>
    <n v="0"/>
    <n v="8262.5"/>
    <n v="0"/>
    <n v="23000"/>
    <n v="0"/>
    <n v="0"/>
    <n v="0"/>
    <n v="8262.5"/>
    <n v="0"/>
    <n v="0"/>
    <n v="0"/>
    <n v="8262.5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8645504166666667"/>
    <s v="No Aplica"/>
    <n v="0"/>
    <n v="0"/>
    <n v="0"/>
    <n v="0"/>
    <m/>
    <s v="OK"/>
    <s v="OK"/>
    <n v="0"/>
    <n v="0"/>
    <n v="0"/>
    <n v="0"/>
    <n v="48000"/>
    <n v="24000"/>
    <n v="0"/>
    <n v="0"/>
    <n v="0"/>
    <n v="0"/>
    <n v="0"/>
    <n v="0"/>
    <n v="96000"/>
    <n v="46375"/>
    <m/>
    <n v="0"/>
    <m/>
    <m/>
    <m/>
    <m/>
    <m/>
    <m/>
    <m/>
    <m/>
  </r>
  <r>
    <s v="Agrosuper Asia1021664"/>
    <x v="0"/>
    <x v="1"/>
    <n v="1021664"/>
    <s v="GO Pecho S/cue K@ Cj 20k TJ"/>
    <x v="7"/>
    <x v="9"/>
    <n v="0"/>
    <n v="11484"/>
    <n v="0.38476266834449474"/>
    <n v="0"/>
    <n v="28484.276000000002"/>
    <n v="0"/>
    <n v="0"/>
    <n v="28484.276000000002"/>
    <n v="17000"/>
    <n v="22000"/>
    <n v="17000"/>
    <n v="0"/>
    <n v="17000"/>
    <n v="11484.276000000002"/>
    <n v="0"/>
    <n v="0"/>
    <n v="0"/>
    <n v="11484.276000000002"/>
    <n v="0"/>
    <n v="0"/>
    <n v="0"/>
    <n v="0"/>
    <n v="17000"/>
    <n v="17000"/>
    <n v="0"/>
    <n v="17000"/>
    <n v="0"/>
    <x v="41"/>
    <n v="17000"/>
    <n v="0"/>
    <x v="0"/>
    <x v="11"/>
    <s v="Si"/>
    <n v="17000"/>
    <n v="17000"/>
    <n v="0"/>
    <d v="2022-09-10T00:00:00"/>
    <n v="5.0635667014977397"/>
    <n v="5.6448846153846199"/>
    <n v="5.6448846153846199"/>
    <n v="95963.038461538541"/>
    <n v="5.5295502933023597"/>
    <n v="2.0857812292974055E-2"/>
    <n v="5.7157179487179501"/>
    <n v="5.6448846153846199"/>
    <n v="0"/>
    <n v="5.6448846153846199"/>
    <m/>
    <s v="OK"/>
    <s v="OK"/>
    <n v="154000"/>
    <n v="66000"/>
    <n v="66000"/>
    <n v="66000"/>
    <n v="44000"/>
    <n v="0"/>
    <n v="0"/>
    <n v="22000"/>
    <n v="927442.25"/>
    <n v="349140"/>
    <n v="364980"/>
    <n v="362785"/>
    <n v="242281"/>
    <n v="0"/>
    <m/>
    <n v="0"/>
    <m/>
    <m/>
    <m/>
    <m/>
    <m/>
    <m/>
    <m/>
    <m/>
  </r>
  <r>
    <s v="Agrosuper Asia1021665"/>
    <x v="0"/>
    <x v="1"/>
    <n v="1021665"/>
    <s v="GO Pecho S/cue K@ Cj 20k AK"/>
    <x v="7"/>
    <x v="9"/>
    <n v="0"/>
    <n v="1774"/>
    <n v="0.38476266834449474"/>
    <n v="0"/>
    <n v="1774.02"/>
    <n v="0"/>
    <n v="0"/>
    <n v="1774.02"/>
    <n v="0"/>
    <n v="22000"/>
    <n v="0"/>
    <n v="0"/>
    <n v="0"/>
    <n v="1774.02"/>
    <n v="0"/>
    <n v="0"/>
    <n v="0"/>
    <n v="1774.0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5.0636978579481404"/>
    <n v="0"/>
    <n v="0"/>
    <n v="0"/>
    <n v="5.4951879051817549"/>
    <s v="No Aplica"/>
    <n v="0"/>
    <n v="0"/>
    <n v="0"/>
    <n v="0"/>
    <m/>
    <s v="OK"/>
    <s v="OK"/>
    <n v="44000"/>
    <n v="110000"/>
    <n v="44000"/>
    <n v="66000"/>
    <n v="44061"/>
    <n v="21786"/>
    <n v="0"/>
    <n v="0"/>
    <n v="265776"/>
    <n v="584650"/>
    <n v="243320"/>
    <n v="366571"/>
    <n v="243648"/>
    <n v="118940"/>
    <m/>
    <n v="0"/>
    <m/>
    <m/>
    <m/>
    <m/>
    <m/>
    <m/>
    <m/>
    <m/>
  </r>
  <r>
    <s v="Agrosuper Asia1022182"/>
    <x v="0"/>
    <x v="1"/>
    <n v="1022182"/>
    <s v="GO BB Ribs 20-24 Oz@ Cj 10k AS"/>
    <x v="0"/>
    <x v="7"/>
    <n v="0"/>
    <n v="1150"/>
    <n v="0.38476266834449474"/>
    <n v="0"/>
    <n v="1150"/>
    <n v="0"/>
    <n v="0"/>
    <n v="1150"/>
    <n v="0"/>
    <n v="22000"/>
    <n v="0"/>
    <n v="0"/>
    <n v="0"/>
    <n v="1150"/>
    <n v="0"/>
    <n v="0"/>
    <n v="0"/>
    <n v="115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5.2634782608695598"/>
    <n v="0"/>
    <n v="0"/>
    <n v="0"/>
    <n v="5.3605"/>
    <s v="No Aplica"/>
    <n v="0"/>
    <n v="0"/>
    <n v="0"/>
    <n v="0"/>
    <m/>
    <s v="OK"/>
    <s v="OK"/>
    <n v="0"/>
    <n v="0"/>
    <n v="0"/>
    <n v="22000"/>
    <n v="0"/>
    <n v="22000"/>
    <n v="0"/>
    <n v="0"/>
    <n v="0"/>
    <n v="0"/>
    <n v="0"/>
    <n v="121000"/>
    <n v="0"/>
    <n v="116891"/>
    <m/>
    <n v="0"/>
    <m/>
    <m/>
    <m/>
    <m/>
    <m/>
    <m/>
    <m/>
    <m/>
  </r>
  <r>
    <s v="Agrosuper Asia1022283"/>
    <x v="0"/>
    <x v="1"/>
    <n v="1022283"/>
    <s v="GO Malaya 5-6mm@ Bo Cj 9k AS"/>
    <x v="14"/>
    <x v="29"/>
    <n v="0"/>
    <n v="828"/>
    <n v="0.38476266834449474"/>
    <n v="0"/>
    <n v="7750.8890000000019"/>
    <n v="0"/>
    <n v="0"/>
    <n v="7750.8890000000019"/>
    <n v="7000"/>
    <n v="5000"/>
    <n v="7000"/>
    <n v="0"/>
    <n v="7000"/>
    <n v="750.88900000000194"/>
    <n v="0"/>
    <n v="0"/>
    <n v="0"/>
    <n v="750.88900000000194"/>
    <n v="0"/>
    <n v="0"/>
    <n v="0"/>
    <n v="0"/>
    <n v="7000"/>
    <n v="7000"/>
    <n v="0"/>
    <n v="7000"/>
    <n v="0"/>
    <x v="42"/>
    <n v="7000"/>
    <n v="0"/>
    <x v="0"/>
    <x v="11"/>
    <s v="Si"/>
    <n v="7000"/>
    <n v="7000"/>
    <n v="0"/>
    <d v="2022-09-10T00:00:00"/>
    <n v="6.2657004830917904"/>
    <n v="6.473162342857143"/>
    <n v="6.473162342857143"/>
    <n v="45312.136400000003"/>
    <n v="5.7817064004038814"/>
    <n v="0.11959374872528289"/>
    <n v="6.5"/>
    <n v="6.473162342857143"/>
    <n v="0"/>
    <n v="6.473162342857143"/>
    <m/>
    <s v="OK"/>
    <s v="OK"/>
    <n v="11000"/>
    <n v="9000"/>
    <n v="0"/>
    <n v="5000"/>
    <n v="6000"/>
    <n v="10000"/>
    <n v="10000"/>
    <n v="5000"/>
    <n v="62981.599999999999"/>
    <n v="48600"/>
    <n v="0"/>
    <n v="28500"/>
    <n v="32760"/>
    <n v="60298"/>
    <m/>
    <n v="0"/>
    <m/>
    <m/>
    <m/>
    <m/>
    <m/>
    <m/>
    <m/>
    <m/>
  </r>
  <r>
    <s v="Agrosuper Asia1022607"/>
    <x v="0"/>
    <x v="1"/>
    <n v="1022607"/>
    <s v="GO Platead Lom TF@ Cj 10k AK (TS)"/>
    <x v="14"/>
    <x v="30"/>
    <n v="27022"/>
    <n v="44000"/>
    <n v="0.38476266834449474"/>
    <n v="10397.056824004936"/>
    <n v="26027.268000000011"/>
    <n v="4946"/>
    <n v="0"/>
    <n v="40875.724824004945"/>
    <n v="22000"/>
    <n v="22000"/>
    <n v="22000"/>
    <n v="0"/>
    <n v="22000"/>
    <n v="18875.724824004945"/>
    <n v="0"/>
    <n v="0"/>
    <n v="0"/>
    <n v="18875.724824004945"/>
    <n v="0"/>
    <n v="0"/>
    <n v="0"/>
    <n v="0"/>
    <n v="22000"/>
    <n v="22000"/>
    <n v="0"/>
    <n v="22000"/>
    <n v="0"/>
    <x v="43"/>
    <n v="22000"/>
    <n v="0"/>
    <x v="0"/>
    <x v="11"/>
    <s v="Si"/>
    <n v="22000"/>
    <n v="22000"/>
    <n v="0"/>
    <d v="2022-09-10T00:00:00"/>
    <n v="5.0636363636363599"/>
    <n v="5.3123181818181804"/>
    <n v="5.3123181818181804"/>
    <n v="116870.99999999997"/>
    <n v="5.1823690857706888"/>
    <n v="2.5075229860469578E-2"/>
    <n v="5.5"/>
    <n v="5.3123181818181804"/>
    <n v="0"/>
    <n v="5.3123181818181804"/>
    <m/>
    <s v="OK"/>
    <s v="OK"/>
    <n v="22000"/>
    <n v="22000"/>
    <n v="22000"/>
    <n v="44000"/>
    <n v="44001"/>
    <n v="22000"/>
    <n v="22000"/>
    <n v="22000"/>
    <n v="126060"/>
    <n v="114400"/>
    <n v="112860"/>
    <n v="233200"/>
    <n v="233204"/>
    <n v="116600"/>
    <m/>
    <n v="16624.943175995064"/>
    <m/>
    <m/>
    <m/>
    <m/>
    <m/>
    <m/>
    <m/>
    <m/>
  </r>
  <r>
    <s v="Agrosuper Asia1022885"/>
    <x v="0"/>
    <x v="1"/>
    <n v="1022885"/>
    <s v="GO Panc S/cue@ Cj Panc TJ"/>
    <x v="8"/>
    <x v="10"/>
    <n v="517682"/>
    <n v="550000"/>
    <n v="0.38476266834449474"/>
    <n v="199184.70767391473"/>
    <n v="148634.766"/>
    <n v="147581.47196012054"/>
    <n v="0"/>
    <n v="480642.79843802319"/>
    <n v="257000"/>
    <n v="22000"/>
    <n v="257000"/>
    <n v="0"/>
    <n v="257000"/>
    <n v="223642.79843802319"/>
    <n v="220000"/>
    <n v="0"/>
    <n v="220000"/>
    <n v="3642.7984380231937"/>
    <n v="0"/>
    <n v="0"/>
    <n v="0"/>
    <n v="176027.80000000002"/>
    <n v="653027.80000000005"/>
    <n v="653027.80000000005"/>
    <n v="176027.80000000002"/>
    <n v="257000"/>
    <n v="220000"/>
    <x v="44"/>
    <n v="257000"/>
    <n v="220000.00000000003"/>
    <x v="0"/>
    <x v="11"/>
    <s v="Si"/>
    <n v="477000"/>
    <n v="148634.766"/>
    <n v="328365.234"/>
    <d v="2022-09-10T00:00:00"/>
    <n v="5.7636072727272696"/>
    <n v="6.0123181817699098"/>
    <n v="5.9285294058718838"/>
    <n v="3871494.5151518239"/>
    <n v="6.0372157568540956"/>
    <n v="1.8002727641267313E-2"/>
    <n v="6.04"/>
    <n v="5.9285294058718838"/>
    <n v="0"/>
    <n v="5.9285294058718838"/>
    <m/>
    <s v="OK"/>
    <s v="OK"/>
    <n v="660000"/>
    <n v="597000"/>
    <n v="476000"/>
    <n v="702000"/>
    <n v="615555"/>
    <n v="469016"/>
    <n v="352000"/>
    <n v="528004.15"/>
    <n v="4448231.7450000001"/>
    <n v="3883485"/>
    <n v="2975000"/>
    <n v="4283678"/>
    <n v="3723805"/>
    <n v="2830975"/>
    <m/>
    <n v="318497.29232608527"/>
    <m/>
    <m/>
    <m/>
    <m/>
    <m/>
    <m/>
    <m/>
    <m/>
  </r>
  <r>
    <s v="Agrosuper Asia1022887"/>
    <x v="0"/>
    <x v="1"/>
    <n v="1022887"/>
    <s v="GO Panc S/cue@ Cj Panc AK"/>
    <x v="8"/>
    <x v="10"/>
    <n v="63649"/>
    <n v="154000"/>
    <n v="0.38476266834449474"/>
    <n v="24489.759077458744"/>
    <n v="93007.912000000011"/>
    <n v="24046.716341179294"/>
    <n v="0"/>
    <n v="139139.71578452011"/>
    <n v="0"/>
    <n v="22000"/>
    <n v="0"/>
    <n v="0"/>
    <n v="0"/>
    <n v="139139.71578452011"/>
    <n v="132000"/>
    <n v="0"/>
    <n v="132000"/>
    <n v="7139.7157845201145"/>
    <n v="0"/>
    <n v="0"/>
    <n v="0"/>
    <n v="22011.200000000001"/>
    <n v="154011.20000000001"/>
    <n v="154011.20000000001"/>
    <n v="22011.200000000001"/>
    <n v="0"/>
    <n v="132000"/>
    <x v="45"/>
    <n v="0"/>
    <n v="132000"/>
    <x v="0"/>
    <x v="11"/>
    <s v="Si"/>
    <n v="132000"/>
    <n v="93007.912000000011"/>
    <n v="38992.087999999989"/>
    <d v="2022-09-10T00:00:00"/>
    <n v="5.7636038961039002"/>
    <n v="0"/>
    <n v="4.9398726474809278"/>
    <n v="760795.71428571467"/>
    <n v="6.0227654675665612"/>
    <n v="0.17979993176177347"/>
    <n v="6.0912673611111128"/>
    <n v="4.9398726474809278"/>
    <n v="0"/>
    <n v="4.9398726474809278"/>
    <m/>
    <s v="OK"/>
    <s v="OK"/>
    <n v="198000"/>
    <n v="275000"/>
    <n v="385000"/>
    <n v="352000"/>
    <n v="308028"/>
    <n v="209000"/>
    <n v="198000"/>
    <n v="264000"/>
    <n v="1378080"/>
    <n v="1761375"/>
    <n v="2321550"/>
    <n v="2089499"/>
    <n v="1830564"/>
    <n v="1258453"/>
    <m/>
    <n v="39159.240922541256"/>
    <m/>
    <m/>
    <m/>
    <m/>
    <m/>
    <m/>
    <m/>
    <m/>
  </r>
  <r>
    <s v="Agrosuper Asia1022930"/>
    <x v="0"/>
    <x v="1"/>
    <n v="1022930"/>
    <s v="GO Panc S/cue Hem@ Cj Panc TJ AS"/>
    <x v="8"/>
    <x v="10"/>
    <n v="222261"/>
    <n v="220000"/>
    <n v="0.38476266834449474"/>
    <n v="85517.735428915752"/>
    <n v="68062.732000000018"/>
    <n v="38273.540112621515"/>
    <n v="0"/>
    <n v="188026.65353027516"/>
    <n v="88000"/>
    <n v="22000"/>
    <n v="88000"/>
    <n v="0"/>
    <n v="88000"/>
    <n v="100026.65353027516"/>
    <n v="88000"/>
    <n v="-66000"/>
    <n v="22000"/>
    <n v="78026.653530275158"/>
    <n v="0"/>
    <n v="0"/>
    <n v="0"/>
    <n v="22016.21"/>
    <n v="198016.21"/>
    <n v="198016.21"/>
    <n v="22016.21"/>
    <n v="88000"/>
    <n v="88000"/>
    <x v="46"/>
    <n v="88000"/>
    <n v="21999.999999999993"/>
    <x v="4"/>
    <x v="11"/>
    <s v="Si"/>
    <n v="110000"/>
    <n v="68062.732000000018"/>
    <n v="41937.267999999982"/>
    <d v="2022-09-10T00:00:00"/>
    <n v="5.9636045454545501"/>
    <n v="6.2123181818181807"/>
    <n v="6.1708709989305657"/>
    <n v="814655.00167772733"/>
    <n v="6.1824058765919077"/>
    <n v="1.8657587178182256E-3"/>
    <n v="6.3083115361902395"/>
    <n v="6.1708709989305657"/>
    <n v="0"/>
    <n v="6.1708709989305657"/>
    <m/>
    <s v="OK"/>
    <s v="OK"/>
    <n v="154000"/>
    <n v="44000"/>
    <n v="44000"/>
    <n v="88000"/>
    <n v="65946"/>
    <n v="22000"/>
    <n v="110000"/>
    <n v="242031.5"/>
    <n v="1083909.05"/>
    <n v="286440"/>
    <n v="264440"/>
    <n v="533280"/>
    <n v="273348"/>
    <n v="138292"/>
    <m/>
    <n v="136743.26457108423"/>
    <m/>
    <m/>
    <m/>
    <m/>
    <m/>
    <m/>
    <m/>
    <m/>
  </r>
  <r>
    <s v="Agrosuper Asia1022985"/>
    <x v="0"/>
    <x v="1"/>
    <n v="1022985"/>
    <s v="GO Lom Vet Mad@ Cj 8,5k TJ"/>
    <x v="6"/>
    <x v="20"/>
    <n v="0"/>
    <n v="5000"/>
    <n v="0.38476266834449474"/>
    <n v="0"/>
    <n v="12955.874000000002"/>
    <n v="991.19302614766548"/>
    <n v="0"/>
    <n v="13847.947723532901"/>
    <n v="10000"/>
    <n v="5000"/>
    <n v="10000"/>
    <n v="0"/>
    <n v="10000"/>
    <n v="3847.9477235329014"/>
    <n v="0"/>
    <n v="0"/>
    <n v="0"/>
    <n v="3847.9477235329014"/>
    <n v="0"/>
    <n v="0"/>
    <n v="0"/>
    <n v="0"/>
    <n v="10000"/>
    <n v="10000"/>
    <n v="0"/>
    <n v="10000"/>
    <n v="0"/>
    <x v="47"/>
    <n v="10000"/>
    <n v="0"/>
    <x v="0"/>
    <x v="11"/>
    <s v="Si"/>
    <n v="10000"/>
    <n v="10000"/>
    <n v="0"/>
    <d v="2022-09-10T00:00:00"/>
    <n v="3.9636"/>
    <n v="4.2811590899999992"/>
    <n v="4.2811590899999992"/>
    <n v="42811.590899999988"/>
    <n v="4.0226816865344555"/>
    <n v="6.4254997936021699E-2"/>
    <n v="4.26"/>
    <n v="4.2811590899999992"/>
    <n v="0"/>
    <n v="4.2811590899999992"/>
    <m/>
    <s v="OK"/>
    <s v="OK"/>
    <n v="10000"/>
    <n v="10000"/>
    <n v="17000"/>
    <n v="12000"/>
    <n v="8000"/>
    <n v="5000"/>
    <n v="5000"/>
    <n v="10000"/>
    <n v="42616"/>
    <n v="41000"/>
    <n v="66243"/>
    <n v="49200"/>
    <n v="31677"/>
    <n v="19798"/>
    <m/>
    <n v="0"/>
    <m/>
    <m/>
    <m/>
    <m/>
    <m/>
    <m/>
    <m/>
    <m/>
  </r>
  <r>
    <s v="Agrosuper Asia1022986"/>
    <x v="0"/>
    <x v="1"/>
    <n v="1022986"/>
    <s v="GO Panc S/cue Mad@ Cj 16,4k Panc TJ"/>
    <x v="8"/>
    <x v="10"/>
    <n v="3528"/>
    <n v="0"/>
    <n v="0.38476266834449474"/>
    <n v="1357.4426939193775"/>
    <n v="1545.742"/>
    <n v="0"/>
    <n v="0"/>
    <n v="2903.1846939193774"/>
    <n v="5000"/>
    <n v="5000"/>
    <n v="0"/>
    <n v="0"/>
    <n v="0"/>
    <n v="2903.1846939193774"/>
    <n v="0"/>
    <n v="0"/>
    <n v="0"/>
    <n v="2903.1846939193774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6.2"/>
    <n v="0"/>
    <n v="0"/>
    <n v="6.5106754042781025"/>
    <s v="No Aplica"/>
    <n v="0"/>
    <n v="0"/>
    <n v="0"/>
    <n v="0"/>
    <m/>
    <s v="OK"/>
    <s v="OK"/>
    <n v="20000"/>
    <n v="17000"/>
    <n v="0"/>
    <n v="5000"/>
    <n v="7500"/>
    <n v="0"/>
    <n v="0"/>
    <n v="0"/>
    <n v="137818.6667"/>
    <n v="113900"/>
    <n v="0"/>
    <n v="32500"/>
    <n v="48822"/>
    <n v="0"/>
    <m/>
    <n v="2170.5573060806228"/>
    <m/>
    <m/>
    <m/>
    <m/>
    <m/>
    <m/>
    <m/>
    <m/>
  </r>
  <r>
    <s v="Agrosuper Asia1023037"/>
    <x v="0"/>
    <x v="1"/>
    <n v="1023037"/>
    <s v="GO Panc S/cue@ Cj Panc 16k AS"/>
    <x v="8"/>
    <x v="10"/>
    <n v="72440"/>
    <n v="88000"/>
    <n v="0.38476266834449474"/>
    <n v="27872.2076948752"/>
    <n v="16004.743999999997"/>
    <n v="0"/>
    <n v="0"/>
    <n v="43876.951694875199"/>
    <n v="0"/>
    <n v="22000"/>
    <n v="0"/>
    <n v="0"/>
    <n v="0"/>
    <n v="43876.951694875199"/>
    <n v="22000"/>
    <n v="0"/>
    <n v="22000"/>
    <n v="21876.951694875199"/>
    <n v="0"/>
    <n v="0"/>
    <n v="0"/>
    <n v="0"/>
    <n v="22000"/>
    <n v="22000"/>
    <n v="0"/>
    <n v="0"/>
    <n v="22000"/>
    <x v="43"/>
    <n v="0"/>
    <n v="22000"/>
    <x v="0"/>
    <x v="11"/>
    <s v="Si"/>
    <n v="22000"/>
    <n v="16004.743999999997"/>
    <n v="5995.256000000003"/>
    <d v="2022-09-10T00:00:00"/>
    <n v="6.1636022727272701"/>
    <n v="0"/>
    <n v="6.1636022727272701"/>
    <n v="135599.24999999994"/>
    <n v="6.2516628229335334"/>
    <n v="1.4085940445032138E-2"/>
    <n v="6.3126098901098899"/>
    <n v="6.1636022727272701"/>
    <n v="0"/>
    <n v="6.1636022727272701"/>
    <m/>
    <s v="OK"/>
    <s v="OK"/>
    <n v="66000"/>
    <n v="110000"/>
    <n v="176000"/>
    <n v="176000"/>
    <n v="99000"/>
    <n v="143000"/>
    <n v="198000"/>
    <n v="77000"/>
    <n v="465306.14689999999"/>
    <n v="743600"/>
    <n v="1096480"/>
    <n v="1099808"/>
    <n v="613267"/>
    <n v="899875"/>
    <m/>
    <n v="44567.7923051248"/>
    <m/>
    <m/>
    <m/>
    <m/>
    <m/>
    <m/>
    <m/>
    <m/>
  </r>
  <r>
    <s v="Agrosuper Asia1023038"/>
    <x v="0"/>
    <x v="1"/>
    <n v="1023038"/>
    <s v="GO Lom Vet@ Cj 8k AS"/>
    <x v="6"/>
    <x v="20"/>
    <n v="123314"/>
    <n v="110000"/>
    <n v="0.38476266834449474"/>
    <n v="47446.623684233025"/>
    <n v="9734.69"/>
    <n v="11239.472897861195"/>
    <n v="0"/>
    <n v="67296.839292308097"/>
    <n v="44000"/>
    <n v="22000"/>
    <n v="44000"/>
    <n v="0"/>
    <n v="44000"/>
    <n v="23296.839292308097"/>
    <n v="22000"/>
    <n v="0"/>
    <n v="22000"/>
    <n v="1296.8392923080974"/>
    <n v="0"/>
    <n v="0"/>
    <n v="0"/>
    <n v="22009.96"/>
    <n v="88009.959999999992"/>
    <n v="88009.959999999992"/>
    <n v="22009.96"/>
    <n v="44000"/>
    <n v="22000"/>
    <x v="48"/>
    <n v="44000"/>
    <n v="21999.999999999993"/>
    <x v="0"/>
    <x v="11"/>
    <s v="Si"/>
    <n v="66000"/>
    <n v="9734.69"/>
    <n v="56265.31"/>
    <d v="2022-09-10T00:00:00"/>
    <n v="4.1636090909090901"/>
    <n v="4.4624173553719002"/>
    <n v="4.3877237432150284"/>
    <n v="386163.3911314049"/>
    <n v="4.2907324198450656"/>
    <n v="2.2604840824230452E-2"/>
    <n v="4.3809353622313862"/>
    <n v="4.3877237432150284"/>
    <n v="0"/>
    <n v="4.3877237432150284"/>
    <m/>
    <s v="OK"/>
    <s v="OK"/>
    <n v="66000"/>
    <n v="77000"/>
    <n v="77000"/>
    <n v="66000"/>
    <n v="113643"/>
    <n v="77000"/>
    <n v="88000"/>
    <n v="121010.71"/>
    <n v="290424.40000000002"/>
    <n v="315700"/>
    <n v="310310"/>
    <n v="272657"/>
    <n v="467607"/>
    <n v="330247"/>
    <m/>
    <n v="75867.376315766975"/>
    <m/>
    <m/>
    <m/>
    <m/>
    <m/>
    <m/>
    <m/>
    <m/>
  </r>
  <r>
    <s v="Agrosuper Asia1023090"/>
    <x v="0"/>
    <x v="1"/>
    <n v="1023090"/>
    <s v="GO Panc S/cue S/h@ Cj Panc 16k AS"/>
    <x v="8"/>
    <x v="10"/>
    <n v="6766"/>
    <n v="0"/>
    <n v="0.38476266834449474"/>
    <n v="2603.3042140188513"/>
    <n v="21124.760999999999"/>
    <n v="8909.4342435484177"/>
    <n v="0"/>
    <n v="31746.556033212426"/>
    <n v="44000"/>
    <n v="22000"/>
    <n v="22000"/>
    <n v="0"/>
    <n v="22000"/>
    <n v="9746.556033212426"/>
    <n v="0"/>
    <n v="0"/>
    <n v="0"/>
    <n v="9746.556033212426"/>
    <n v="0"/>
    <n v="0"/>
    <n v="0"/>
    <n v="0"/>
    <n v="22000"/>
    <n v="22000"/>
    <n v="0"/>
    <n v="22000"/>
    <n v="0"/>
    <x v="43"/>
    <n v="22000"/>
    <n v="0"/>
    <x v="0"/>
    <x v="11"/>
    <s v="Si"/>
    <n v="22000"/>
    <n v="21124.760999999999"/>
    <n v="875.2390000000014"/>
    <d v="2022-09-10T00:00:00"/>
    <n v="0"/>
    <n v="6.4187500000000002"/>
    <n v="6.4187500000000002"/>
    <n v="141212.5"/>
    <n v="6.315884412690874"/>
    <n v="1.6286806500516761E-2"/>
    <n v="6.5"/>
    <n v="6.4187500000000002"/>
    <n v="0"/>
    <n v="6.4187500000000002"/>
    <m/>
    <s v="OK"/>
    <s v="OK"/>
    <n v="22000"/>
    <n v="22000"/>
    <n v="22000"/>
    <n v="22000"/>
    <n v="22008"/>
    <n v="22000"/>
    <n v="0"/>
    <n v="22000"/>
    <n v="149600"/>
    <n v="147400"/>
    <n v="144100"/>
    <n v="137060"/>
    <n v="138925"/>
    <n v="143000"/>
    <m/>
    <n v="4162.6957859811482"/>
    <m/>
    <m/>
    <m/>
    <m/>
    <m/>
    <m/>
    <m/>
    <m/>
  </r>
  <r>
    <s v="Agrosuper Asia1023144"/>
    <x v="0"/>
    <x v="1"/>
    <n v="1023144"/>
    <s v="GO Papda C/Cue granel@ Bo Cj AS"/>
    <x v="3"/>
    <x v="31"/>
    <n v="0"/>
    <n v="0"/>
    <n v="0.38476266834449474"/>
    <n v="0"/>
    <n v="37675.527000000009"/>
    <n v="21073"/>
    <n v="0"/>
    <n v="56641.227000000014"/>
    <n v="96000"/>
    <n v="23000"/>
    <n v="46000"/>
    <n v="-22000"/>
    <n v="24000"/>
    <n v="32641.227000000014"/>
    <n v="0"/>
    <n v="0"/>
    <n v="0"/>
    <n v="32641.227000000014"/>
    <n v="0"/>
    <n v="0"/>
    <n v="0"/>
    <n v="0"/>
    <n v="46000"/>
    <n v="46000"/>
    <n v="0"/>
    <n v="24000"/>
    <n v="22000"/>
    <x v="3"/>
    <n v="24000"/>
    <n v="0"/>
    <x v="7"/>
    <x v="11"/>
    <s v="Si"/>
    <n v="24000"/>
    <n v="24000"/>
    <n v="0"/>
    <d v="2022-09-10T00:00:00"/>
    <n v="0"/>
    <n v="2.1825036791666648"/>
    <n v="2.1825036791666648"/>
    <n v="52380.088299999952"/>
    <n v="1.9921693228570512"/>
    <n v="9.5541254513771615E-2"/>
    <n v="2.191071666666665"/>
    <n v="2.1825036791666648"/>
    <n v="0"/>
    <n v="2.1825036791666648"/>
    <m/>
    <s v="OK"/>
    <s v="OK"/>
    <n v="0"/>
    <n v="0"/>
    <n v="0"/>
    <n v="0"/>
    <n v="24000"/>
    <n v="48000"/>
    <n v="48000"/>
    <n v="72000"/>
    <n v="0"/>
    <n v="0"/>
    <n v="0"/>
    <n v="0"/>
    <n v="42907"/>
    <n v="103200"/>
    <m/>
    <n v="0"/>
    <m/>
    <m/>
    <m/>
    <m/>
    <m/>
    <m/>
    <m/>
    <m/>
  </r>
  <r>
    <s v="Agrosuper Asia1023183"/>
    <x v="0"/>
    <x v="1"/>
    <n v="1023183"/>
    <s v="GO Pech S/Cue@ Vp Cj AS"/>
    <x v="7"/>
    <x v="9"/>
    <n v="32000"/>
    <n v="44000"/>
    <n v="0.38476266834449474"/>
    <n v="12312.405387023831"/>
    <n v="8516.6299999999992"/>
    <n v="0"/>
    <n v="0"/>
    <n v="20829.035387023832"/>
    <n v="0"/>
    <n v="22000"/>
    <n v="0"/>
    <n v="0"/>
    <n v="0"/>
    <n v="20829.035387023832"/>
    <n v="0"/>
    <n v="0"/>
    <n v="0"/>
    <n v="20829.03538702383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5.2636590909090897"/>
    <n v="0"/>
    <n v="0"/>
    <n v="0"/>
    <n v="5.7930188267373666"/>
    <s v="No Aplica"/>
    <n v="0"/>
    <n v="0"/>
    <n v="0"/>
    <n v="0"/>
    <m/>
    <s v="OK"/>
    <s v="OK"/>
    <n v="22000"/>
    <n v="44000"/>
    <n v="66000"/>
    <n v="0"/>
    <n v="22000"/>
    <n v="22000"/>
    <n v="44000"/>
    <n v="0"/>
    <n v="136200.5"/>
    <n v="259600"/>
    <n v="378180"/>
    <n v="0"/>
    <n v="124511"/>
    <n v="126688"/>
    <m/>
    <n v="19687.594612976169"/>
    <m/>
    <m/>
    <m/>
    <m/>
    <m/>
    <m/>
    <m/>
    <m/>
  </r>
  <r>
    <s v="Agrosuper Asia1023283"/>
    <x v="0"/>
    <x v="1"/>
    <n v="1023283"/>
    <s v="GO Grasa Chaleco@ Cj 10k AS"/>
    <x v="10"/>
    <x v="32"/>
    <n v="84038"/>
    <n v="72000"/>
    <n v="0.38476266834449474"/>
    <n v="32334.685122334649"/>
    <n v="26279.275999999991"/>
    <n v="19066"/>
    <n v="0"/>
    <n v="75773.361122334638"/>
    <n v="72000"/>
    <n v="23000"/>
    <n v="72000"/>
    <n v="-24000"/>
    <n v="48000"/>
    <n v="27773.361122334638"/>
    <n v="23000"/>
    <n v="-23000"/>
    <n v="0"/>
    <n v="27773.361122334638"/>
    <n v="0"/>
    <n v="0"/>
    <n v="0"/>
    <n v="47976.12"/>
    <n v="142976.12"/>
    <n v="119976.12"/>
    <n v="47976.12"/>
    <n v="48000"/>
    <n v="24000"/>
    <x v="49"/>
    <n v="48000"/>
    <n v="0"/>
    <x v="7"/>
    <x v="11"/>
    <s v="Si"/>
    <n v="47999.999999999993"/>
    <n v="26279.275999999991"/>
    <n v="21720.724000000002"/>
    <d v="2022-09-10T00:00:00"/>
    <n v="0.71361111111111097"/>
    <n v="1.0099200925925911"/>
    <n v="1.0099200925925913"/>
    <n v="96928.211997077655"/>
    <n v="0.88880537752916122"/>
    <n v="0.136266856755664"/>
    <n v="0.88798602083333322"/>
    <n v="1.0099200925925913"/>
    <n v="0"/>
    <n v="1.0099200925925913"/>
    <m/>
    <s v="OK"/>
    <s v="OK"/>
    <n v="120000"/>
    <n v="96000"/>
    <n v="178000"/>
    <n v="216000"/>
    <n v="144149"/>
    <n v="72000"/>
    <n v="120000"/>
    <n v="120000"/>
    <n v="107052.12119999999"/>
    <n v="89280"/>
    <n v="157911"/>
    <n v="220922"/>
    <n v="136463"/>
    <n v="70008"/>
    <m/>
    <n v="51703.314877665354"/>
    <m/>
    <m/>
    <m/>
    <m/>
    <m/>
    <m/>
    <m/>
    <m/>
  </r>
  <r>
    <s v="Agrosuper Asia1023305"/>
    <x v="0"/>
    <x v="1"/>
    <n v="1023305"/>
    <s v="GO Mucosa # Isotanque AS"/>
    <x v="10"/>
    <x v="33"/>
    <n v="0"/>
    <n v="0"/>
    <n v="0.3847626683444947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7623119232692395"/>
    <s v="No Aplica"/>
    <n v="0"/>
    <n v="1.7623119232692395"/>
    <n v="0"/>
    <n v="1.7623119232692395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Asia1023307"/>
    <x v="0"/>
    <x v="1"/>
    <n v="1023307"/>
    <s v="GO Pulmon@ Cj 20k AS"/>
    <x v="10"/>
    <x v="15"/>
    <n v="1274"/>
    <n v="0"/>
    <n v="0.38476266834449474"/>
    <n v="490.18763947088632"/>
    <n v="23995.88700000001"/>
    <n v="0"/>
    <n v="0"/>
    <n v="24486.074639470895"/>
    <n v="24000"/>
    <n v="23000"/>
    <n v="24000"/>
    <n v="0"/>
    <n v="24000"/>
    <n v="486.07463947089491"/>
    <n v="0"/>
    <n v="0"/>
    <n v="0"/>
    <n v="486.07463947089491"/>
    <n v="0"/>
    <n v="0"/>
    <n v="0"/>
    <n v="0"/>
    <n v="24000"/>
    <n v="24000"/>
    <n v="0"/>
    <n v="24000"/>
    <n v="0"/>
    <x v="3"/>
    <n v="24000"/>
    <n v="0"/>
    <x v="0"/>
    <x v="11"/>
    <s v="Si"/>
    <n v="24000"/>
    <n v="23995.88700000001"/>
    <n v="4.1129999999902793"/>
    <d v="2022-09-10T00:00:00"/>
    <n v="0"/>
    <n v="0.67419916666666702"/>
    <n v="0.67419916666666702"/>
    <n v="16180.780000000008"/>
    <n v="0.67256219584883381"/>
    <n v="2.433932248849047E-3"/>
    <n v="0.76571666666666705"/>
    <n v="0.67419916666666702"/>
    <n v="0"/>
    <n v="0.67419916666666702"/>
    <m/>
    <s v="OK"/>
    <s v="OK"/>
    <n v="22000"/>
    <n v="24000"/>
    <n v="22000"/>
    <n v="48000"/>
    <n v="24000"/>
    <n v="48000"/>
    <n v="48000"/>
    <n v="24000"/>
    <n v="16376.75"/>
    <n v="16800"/>
    <n v="14667"/>
    <n v="35843"/>
    <n v="17322"/>
    <n v="40800"/>
    <m/>
    <n v="783.81236052911368"/>
    <m/>
    <m/>
    <m/>
    <m/>
    <m/>
    <m/>
    <m/>
    <m/>
  </r>
  <r>
    <s v="Agrosuper Asia1023326"/>
    <x v="0"/>
    <x v="1"/>
    <n v="1023326"/>
    <s v="GO Corazón Partido@ Cj 10k AS"/>
    <x v="10"/>
    <x v="15"/>
    <n v="20997"/>
    <n v="0"/>
    <n v="0.38476266834449474"/>
    <n v="8078.8617472293563"/>
    <n v="51007.450999999979"/>
    <n v="11867.955403606347"/>
    <n v="0"/>
    <n v="69767.472610475044"/>
    <n v="96000"/>
    <n v="23000"/>
    <n v="69000"/>
    <n v="-45000"/>
    <n v="24000"/>
    <n v="45767.472610475044"/>
    <n v="0"/>
    <n v="0"/>
    <n v="0"/>
    <n v="45767.472610475044"/>
    <n v="0"/>
    <n v="0"/>
    <n v="0"/>
    <n v="0"/>
    <n v="69000"/>
    <n v="69000"/>
    <n v="0"/>
    <n v="24000"/>
    <n v="45000"/>
    <x v="3"/>
    <n v="24000"/>
    <n v="0"/>
    <x v="7"/>
    <x v="11"/>
    <s v="Si"/>
    <n v="24000"/>
    <n v="24000"/>
    <n v="0"/>
    <d v="2022-09-10T00:00:00"/>
    <n v="0"/>
    <n v="0.80698593749999992"/>
    <n v="0.80698593749999992"/>
    <n v="19367.662499999999"/>
    <n v="0.79162784757732074"/>
    <n v="1.9400643837480847E-2"/>
    <n v="0.95"/>
    <n v="0.80698593749999992"/>
    <n v="0"/>
    <n v="0.80698593749999992"/>
    <m/>
    <s v="OK"/>
    <s v="OK"/>
    <n v="0"/>
    <n v="0"/>
    <n v="44000"/>
    <n v="48000"/>
    <n v="48003"/>
    <n v="48000"/>
    <n v="24000"/>
    <n v="48000"/>
    <n v="0"/>
    <n v="0"/>
    <n v="35200"/>
    <n v="45600"/>
    <n v="37999"/>
    <n v="39917"/>
    <m/>
    <n v="12918.138252770645"/>
    <m/>
    <m/>
    <m/>
    <m/>
    <m/>
    <m/>
    <m/>
    <m/>
  </r>
  <r>
    <s v="Agrosuper Brasil1021864"/>
    <x v="0"/>
    <x v="2"/>
    <n v="1021864"/>
    <s v="GO Cue Papda CP@ Cj 20k AS"/>
    <x v="4"/>
    <x v="14"/>
    <n v="61480"/>
    <n v="48000"/>
    <n v="0.77338883776001444"/>
    <n v="47547.945745485689"/>
    <n v="13477.258000000002"/>
    <n v="13025.359886711134"/>
    <n v="0"/>
    <n v="72748.027643525711"/>
    <n v="24000"/>
    <n v="23000"/>
    <n v="24000"/>
    <n v="0"/>
    <n v="24000"/>
    <n v="48748.027643525711"/>
    <n v="46000"/>
    <n v="-46000"/>
    <n v="0"/>
    <n v="48748.027643525711"/>
    <n v="0"/>
    <n v="0"/>
    <n v="0"/>
    <n v="0"/>
    <n v="70000"/>
    <n v="70000"/>
    <n v="0"/>
    <n v="24000"/>
    <n v="46000"/>
    <x v="3"/>
    <n v="24000"/>
    <n v="0"/>
    <x v="5"/>
    <x v="12"/>
    <s v="Si"/>
    <n v="24000"/>
    <n v="13477.258000000002"/>
    <n v="10522.741999999998"/>
    <d v="2022-09-13T00:00:00"/>
    <n v="0.63666666666666705"/>
    <n v="0.55000000000000004"/>
    <n v="0.55000000000000004"/>
    <n v="13200.000000000002"/>
    <n v="0.55000000000000004"/>
    <n v="0"/>
    <n v="0.5"/>
    <n v="0.55000000000000004"/>
    <n v="0.55000000000000004"/>
    <n v="0.55000000000000004"/>
    <m/>
    <s v="OK"/>
    <s v="OK"/>
    <n v="48000"/>
    <n v="48000"/>
    <n v="48000"/>
    <n v="24000"/>
    <n v="48000"/>
    <n v="48000"/>
    <n v="0"/>
    <n v="72000"/>
    <n v="26400"/>
    <n v="26400"/>
    <n v="26400"/>
    <n v="12000"/>
    <n v="26400"/>
    <n v="23734"/>
    <m/>
    <n v="13932.054254514311"/>
    <m/>
    <m/>
    <m/>
    <m/>
    <m/>
    <m/>
    <m/>
    <m/>
  </r>
  <r>
    <s v="Agrosuper Brasil1022217"/>
    <x v="0"/>
    <x v="2"/>
    <n v="1022217"/>
    <s v="GO Lom Tocino@ Bo Cj 20k AS"/>
    <x v="2"/>
    <x v="2"/>
    <n v="363942"/>
    <n v="312000"/>
    <n v="0.77338883776001444"/>
    <n v="281468.68039205519"/>
    <n v="180863.94400000016"/>
    <n v="12861.67327406388"/>
    <n v="0"/>
    <n v="473908.13033871283"/>
    <n v="264000"/>
    <n v="23000"/>
    <n v="264000"/>
    <n v="0"/>
    <n v="264000"/>
    <n v="209908.13033871283"/>
    <n v="207000"/>
    <n v="-207000"/>
    <n v="0"/>
    <n v="209908.13033871283"/>
    <n v="0"/>
    <n v="0"/>
    <n v="0"/>
    <n v="0"/>
    <n v="471000"/>
    <n v="471000"/>
    <n v="0"/>
    <n v="264000"/>
    <n v="207000"/>
    <x v="50"/>
    <n v="264000"/>
    <n v="0"/>
    <x v="5"/>
    <x v="13"/>
    <s v="Si"/>
    <n v="264000"/>
    <n v="180863.94400000016"/>
    <n v="83136.055999999837"/>
    <d v="2022-09-13T00:00:00"/>
    <n v="1.73667307692308"/>
    <n v="1.85663704545455"/>
    <n v="1.85663704545455"/>
    <n v="448799.34374067816"/>
    <n v="1.5892208235126042"/>
    <n v="0.16826876289657736"/>
    <n v="1.5"/>
    <n v="1.85663704545455"/>
    <n v="1.6999975141692354"/>
    <n v="1.6999975141692354"/>
    <m/>
    <s v="OK"/>
    <s v="OK"/>
    <n v="96000"/>
    <n v="47994"/>
    <n v="72000"/>
    <n v="264000"/>
    <n v="168000"/>
    <n v="216000"/>
    <n v="168000"/>
    <n v="192000"/>
    <n v="153600"/>
    <n v="64392"/>
    <n v="103820"/>
    <n v="414000"/>
    <n v="279600"/>
    <n v="335772"/>
    <m/>
    <n v="82473.31960794481"/>
    <m/>
    <m/>
    <m/>
    <m/>
    <m/>
    <m/>
    <m/>
    <m/>
  </r>
  <r>
    <s v="Agrosuper Brasil1022218"/>
    <x v="0"/>
    <x v="2"/>
    <n v="1022218"/>
    <s v="GO Grasa Forro Pna Limp@ Cj 20k AS"/>
    <x v="2"/>
    <x v="12"/>
    <n v="71836"/>
    <n v="72000"/>
    <n v="0.77338883776001444"/>
    <n v="55557.160549328401"/>
    <n v="88441.50499999999"/>
    <n v="14343.854117008967"/>
    <n v="24000"/>
    <n v="132908.13425463645"/>
    <n v="72000"/>
    <n v="23000"/>
    <n v="72000"/>
    <n v="-48000"/>
    <n v="24000"/>
    <n v="108908.13425463645"/>
    <n v="92000"/>
    <n v="-92000"/>
    <n v="0"/>
    <n v="108908.13425463645"/>
    <n v="0"/>
    <n v="0"/>
    <n v="0"/>
    <n v="0"/>
    <n v="164000"/>
    <n v="118000"/>
    <n v="0"/>
    <n v="24000"/>
    <n v="94000"/>
    <x v="3"/>
    <n v="24000"/>
    <n v="0"/>
    <x v="5"/>
    <x v="13"/>
    <s v="Si"/>
    <n v="24000"/>
    <n v="24000"/>
    <n v="0"/>
    <d v="2022-09-13T00:00:00"/>
    <n v="1.53666666666667"/>
    <n v="1.5916666666666666"/>
    <n v="1.5916666666666666"/>
    <n v="37199.800033327774"/>
    <n v="1.4780444199175597"/>
    <n v="7.6873364032891703E-2"/>
    <n v="1.5"/>
    <n v="1.5916666666666666"/>
    <n v="1.5499916680553238"/>
    <n v="1.5499916680553238"/>
    <m/>
    <s v="OK"/>
    <s v="OK"/>
    <n v="120000"/>
    <n v="48000"/>
    <n v="96000"/>
    <n v="96000"/>
    <n v="96000"/>
    <n v="48000"/>
    <n v="48000"/>
    <n v="96000"/>
    <n v="180000"/>
    <n v="69600"/>
    <n v="140400"/>
    <n v="136320"/>
    <n v="145200"/>
    <n v="72686"/>
    <m/>
    <n v="16278.839450671599"/>
    <m/>
    <m/>
    <m/>
    <m/>
    <m/>
    <m/>
    <m/>
    <m/>
  </r>
  <r>
    <s v="Agrosuper Brasil1022273"/>
    <x v="0"/>
    <x v="2"/>
    <n v="1022273"/>
    <s v="GO Grasa Forro Pna Limp@ Bo Cj AS"/>
    <x v="2"/>
    <x v="12"/>
    <n v="195308"/>
    <n v="192000"/>
    <n v="0.77338883776001444"/>
    <n v="151049.02712523291"/>
    <n v="246974.92399999991"/>
    <n v="60281.5573381625"/>
    <n v="48000"/>
    <n v="404277.35272957908"/>
    <n v="214000"/>
    <n v="23000"/>
    <n v="214000"/>
    <n v="0"/>
    <n v="214000"/>
    <n v="190277.35272957908"/>
    <n v="184000"/>
    <n v="-160000"/>
    <n v="24000"/>
    <n v="166277.35272957908"/>
    <n v="0"/>
    <n v="0"/>
    <n v="0"/>
    <n v="0"/>
    <n v="398000"/>
    <n v="398000"/>
    <n v="0"/>
    <n v="214000"/>
    <n v="184000"/>
    <x v="51"/>
    <n v="214000"/>
    <n v="24000"/>
    <x v="5"/>
    <x v="13"/>
    <s v="Si"/>
    <n v="238000"/>
    <n v="238000"/>
    <n v="0"/>
    <d v="2022-09-13T00:00:00"/>
    <n v="1.5679218749999999"/>
    <n v="1.6526683254323029"/>
    <n v="1.6441224648845076"/>
    <n v="369330.73178235226"/>
    <n v="1.4578467213218094"/>
    <n v="0.12777457385492808"/>
    <n v="1.4"/>
    <n v="1.6441224648845076"/>
    <n v="1.5518097974048415"/>
    <n v="1.5518097974048415"/>
    <m/>
    <s v="OK"/>
    <s v="OK"/>
    <n v="0"/>
    <n v="144000"/>
    <n v="144000"/>
    <n v="120000"/>
    <n v="168000"/>
    <n v="48000"/>
    <n v="48000"/>
    <n v="190000"/>
    <n v="0"/>
    <n v="208800"/>
    <n v="208800"/>
    <n v="180000"/>
    <n v="252000"/>
    <n v="68267"/>
    <m/>
    <n v="44258.972874767089"/>
    <m/>
    <m/>
    <m/>
    <m/>
    <m/>
    <m/>
    <m/>
    <m/>
  </r>
  <r>
    <s v="Agrosuper Brasil1023329"/>
    <x v="0"/>
    <x v="2"/>
    <n v="1023329"/>
    <s v="GO Cue Papda CP@ Cj 20k AS"/>
    <x v="4"/>
    <x v="14"/>
    <n v="14737"/>
    <n v="0"/>
    <n v="0.77338883776001444"/>
    <n v="11397.431302069333"/>
    <n v="26708.362000000001"/>
    <n v="8494.3889407874431"/>
    <n v="24000"/>
    <n v="21750.743348778029"/>
    <n v="48000"/>
    <n v="23000"/>
    <n v="0"/>
    <n v="0"/>
    <n v="0"/>
    <n v="21750.743348778029"/>
    <n v="0"/>
    <n v="0"/>
    <n v="0"/>
    <n v="21750.743348778029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.55000000000000004"/>
    <n v="0"/>
    <n v="0"/>
    <n v="0.55000000000000004"/>
    <s v="No Aplica"/>
    <n v="0.5"/>
    <n v="0"/>
    <n v="0"/>
    <n v="0"/>
    <m/>
    <s v="OK"/>
    <s v="OK"/>
    <n v="0"/>
    <n v="24000"/>
    <n v="72000"/>
    <n v="24000"/>
    <n v="72000"/>
    <n v="72000"/>
    <n v="24000"/>
    <n v="24000"/>
    <n v="0"/>
    <n v="13200"/>
    <n v="39600"/>
    <n v="12000"/>
    <n v="39600"/>
    <n v="39600"/>
    <m/>
    <n v="3339.5686979306665"/>
    <m/>
    <m/>
    <m/>
    <m/>
    <m/>
    <m/>
    <m/>
    <m/>
  </r>
  <r>
    <s v="Agrosuper Brasil1023334"/>
    <x v="0"/>
    <x v="2"/>
    <n v="1023334"/>
    <s v="Cue granel Esp CC@ Cj 20k AS"/>
    <x v="4"/>
    <x v="18"/>
    <n v="40297"/>
    <n v="0"/>
    <n v="0.77338883776001444"/>
    <n v="31165.249995215301"/>
    <n v="47122.715999999993"/>
    <n v="0"/>
    <n v="48000"/>
    <n v="30287.965995215287"/>
    <n v="48000"/>
    <n v="23000"/>
    <n v="23000"/>
    <n v="1000"/>
    <n v="24000"/>
    <n v="6287.965995215287"/>
    <n v="0"/>
    <n v="0"/>
    <n v="0"/>
    <n v="6287.965995215287"/>
    <n v="0"/>
    <n v="0"/>
    <n v="0"/>
    <n v="0"/>
    <n v="23000"/>
    <n v="23000"/>
    <n v="0"/>
    <n v="24000"/>
    <n v="-1000"/>
    <x v="3"/>
    <n v="24000"/>
    <n v="0"/>
    <x v="5"/>
    <x v="11"/>
    <s v="Si"/>
    <n v="24000"/>
    <n v="24000"/>
    <n v="0"/>
    <d v="2022-09-13T00:00:00"/>
    <n v="0"/>
    <n v="0.75"/>
    <n v="0.75"/>
    <n v="18005.612722170252"/>
    <n v="0.65"/>
    <n v="0.1538461538461538"/>
    <n v="0.6"/>
    <n v="0.75"/>
    <n v="0.75023386342376053"/>
    <n v="0.75023386342376053"/>
    <m/>
    <s v="OK"/>
    <s v="OK"/>
    <n v="0"/>
    <n v="72000"/>
    <n v="144000"/>
    <n v="168000"/>
    <n v="48000"/>
    <n v="72000"/>
    <n v="168000"/>
    <n v="72000"/>
    <n v="0"/>
    <n v="46800"/>
    <n v="93600"/>
    <n v="100800"/>
    <n v="29760"/>
    <n v="46800"/>
    <m/>
    <n v="9131.7500047846988"/>
    <m/>
    <m/>
    <m/>
    <m/>
    <m/>
    <m/>
    <m/>
    <m/>
  </r>
  <r>
    <s v="Agrosuper Brasil1023336"/>
    <x v="0"/>
    <x v="2"/>
    <n v="1023336"/>
    <s v="Cue granel Esp CC@ Cj 20k AS"/>
    <x v="4"/>
    <x v="18"/>
    <n v="34000"/>
    <n v="48000"/>
    <n v="0.77338883776001444"/>
    <n v="26295.22048384049"/>
    <n v="51628.131000000001"/>
    <n v="75962.546651540513"/>
    <n v="24000"/>
    <n v="122289.64347022696"/>
    <n v="120000"/>
    <n v="23000"/>
    <n v="120000"/>
    <n v="0"/>
    <n v="120000"/>
    <n v="2289.6434702269617"/>
    <n v="0"/>
    <n v="0"/>
    <n v="0"/>
    <n v="2289.6434702269617"/>
    <n v="0"/>
    <n v="0"/>
    <n v="0"/>
    <n v="0"/>
    <n v="120000"/>
    <n v="120000"/>
    <n v="0"/>
    <n v="120000"/>
    <n v="0"/>
    <x v="52"/>
    <n v="120000"/>
    <n v="0"/>
    <x v="0"/>
    <x v="11"/>
    <s v="Si"/>
    <n v="120000"/>
    <n v="51628.131000000001"/>
    <n v="68371.869000000006"/>
    <d v="2022-09-13T00:00:00"/>
    <n v="0.73666666666666702"/>
    <n v="0.75"/>
    <n v="0.75"/>
    <n v="96000"/>
    <n v="0.65"/>
    <n v="0.1538461538461538"/>
    <n v="0"/>
    <n v="0.75"/>
    <n v="0.8"/>
    <n v="0.8"/>
    <m/>
    <s v="OK"/>
    <s v="OK"/>
    <n v="0"/>
    <n v="24000"/>
    <n v="24000"/>
    <n v="24000"/>
    <n v="72000"/>
    <n v="0"/>
    <n v="0"/>
    <n v="0"/>
    <n v="0"/>
    <n v="15600"/>
    <n v="15600"/>
    <n v="14400"/>
    <n v="46800"/>
    <n v="0"/>
    <m/>
    <n v="7704.7795161595095"/>
    <m/>
    <m/>
    <m/>
    <m/>
    <m/>
    <m/>
    <m/>
    <m/>
  </r>
  <r>
    <s v="Agrosuper Shanghai1023109"/>
    <x v="0"/>
    <x v="3"/>
    <n v="1023109"/>
    <s v="GO Reco 20/80 @ Cj 20k AS"/>
    <x v="2"/>
    <x v="5"/>
    <n v="21578"/>
    <n v="0"/>
    <n v="0.38476266834449474"/>
    <n v="8302.4088575375081"/>
    <n v="46341.107000000004"/>
    <n v="39167.461449075992"/>
    <n v="0"/>
    <n v="89894.231161705902"/>
    <n v="0"/>
    <n v="23000"/>
    <n v="0"/>
    <n v="0"/>
    <n v="0"/>
    <n v="89894.231161705902"/>
    <n v="0"/>
    <n v="0"/>
    <n v="0"/>
    <n v="89894.23116170590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13275.591142462492"/>
    <m/>
    <m/>
    <m/>
    <m/>
    <m/>
    <m/>
    <m/>
    <m/>
  </r>
  <r>
    <s v="Agrosuper Shanghai1021115"/>
    <x v="0"/>
    <x v="3"/>
    <n v="1021115"/>
    <s v="GO Estómago Pouch@ 20k bca AS"/>
    <x v="10"/>
    <x v="15"/>
    <n v="3680"/>
    <n v="0"/>
    <n v="0.38476266834449474"/>
    <n v="1415.9266195077407"/>
    <n v="3460"/>
    <n v="0"/>
    <n v="0"/>
    <n v="4875.9266195077407"/>
    <n v="48000"/>
    <n v="23000"/>
    <n v="0"/>
    <n v="0"/>
    <n v="0"/>
    <n v="4875.9266195077407"/>
    <n v="0"/>
    <n v="0"/>
    <n v="0"/>
    <n v="4875.9266195077407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.32166666666666699"/>
    <n v="0"/>
    <n v="0"/>
    <n v="0.27311064718162842"/>
    <s v="No Aplica"/>
    <n v="0"/>
    <n v="0"/>
    <n v="0"/>
    <n v="0"/>
    <m/>
    <s v="OK"/>
    <s v="OK"/>
    <n v="72000"/>
    <n v="48000"/>
    <n v="24000"/>
    <n v="48000"/>
    <n v="48000"/>
    <n v="0"/>
    <n v="0"/>
    <n v="0"/>
    <n v="21480"/>
    <n v="14400"/>
    <n v="6640"/>
    <n v="6480"/>
    <n v="12640"/>
    <n v="0"/>
    <m/>
    <n v="2264.0733804922593"/>
    <m/>
    <m/>
    <m/>
    <m/>
    <m/>
    <m/>
    <m/>
    <m/>
  </r>
  <r>
    <s v="Agrosuper Shanghai1021731"/>
    <x v="0"/>
    <x v="3"/>
    <n v="1021731"/>
    <s v="GO PernilM@ Cj 20k AS"/>
    <x v="13"/>
    <x v="27"/>
    <n v="91000"/>
    <n v="0"/>
    <n v="0.38476266834449474"/>
    <n v="35013.402819349023"/>
    <n v="91941.36"/>
    <n v="12949.419999999998"/>
    <n v="0"/>
    <n v="138609.24081934901"/>
    <n v="0"/>
    <n v="23000"/>
    <n v="0"/>
    <n v="0"/>
    <n v="0"/>
    <n v="138609.24081934901"/>
    <n v="0"/>
    <n v="0"/>
    <n v="0"/>
    <n v="138609.24081934901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2.027044580218202"/>
    <s v="No Aplica"/>
    <n v="0"/>
    <n v="0"/>
    <n v="0"/>
    <n v="0"/>
    <m/>
    <s v="OK"/>
    <s v="OK"/>
    <n v="312000"/>
    <n v="216000"/>
    <n v="216000"/>
    <n v="144000"/>
    <n v="168000"/>
    <n v="264000"/>
    <n v="289000"/>
    <n v="0"/>
    <n v="623108.57140000002"/>
    <n v="406080"/>
    <n v="403920"/>
    <n v="265334"/>
    <n v="325720"/>
    <n v="540233"/>
    <m/>
    <n v="55986.597180650977"/>
    <m/>
    <m/>
    <m/>
    <m/>
    <m/>
    <m/>
    <m/>
    <m/>
  </r>
  <r>
    <s v="Agrosuper Shanghai1021733"/>
    <x v="0"/>
    <x v="3"/>
    <n v="1021733"/>
    <s v="GO PpPna 59@ Cj 20k AS"/>
    <x v="9"/>
    <x v="13"/>
    <n v="127297"/>
    <n v="0"/>
    <n v="0.38476266834449474"/>
    <n v="48979.133392249147"/>
    <n v="13828.603999999999"/>
    <n v="203662.15692061905"/>
    <n v="0"/>
    <n v="246103.67862080628"/>
    <n v="0"/>
    <n v="23000"/>
    <n v="0"/>
    <n v="0"/>
    <n v="0"/>
    <n v="246103.67862080628"/>
    <n v="0"/>
    <n v="0"/>
    <n v="0"/>
    <n v="246103.67862080628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2.3915819483973553"/>
    <s v="No Aplica"/>
    <n v="2.8455833333333298"/>
    <n v="0"/>
    <n v="0"/>
    <n v="0"/>
    <m/>
    <s v="OK"/>
    <s v="OK"/>
    <n v="96000"/>
    <n v="0"/>
    <n v="0"/>
    <n v="72000"/>
    <n v="24000"/>
    <n v="0"/>
    <n v="24000"/>
    <n v="144000"/>
    <n v="169760"/>
    <n v="0"/>
    <n v="0"/>
    <n v="65368"/>
    <n v="43579"/>
    <n v="0"/>
    <m/>
    <n v="78317.866607750853"/>
    <m/>
    <m/>
    <m/>
    <m/>
    <m/>
    <m/>
    <m/>
    <m/>
  </r>
  <r>
    <s v="Agrosuper Shanghai1021735"/>
    <x v="0"/>
    <x v="3"/>
    <n v="1021735"/>
    <s v="GO Patas@ Cj 20k AS"/>
    <x v="10"/>
    <x v="24"/>
    <n v="123751"/>
    <n v="0"/>
    <n v="0.38476266834449474"/>
    <n v="47614.76497029957"/>
    <n v="50882.080000000002"/>
    <n v="21467.699999999997"/>
    <n v="0"/>
    <n v="117817.77497029956"/>
    <n v="0"/>
    <n v="23000"/>
    <n v="0"/>
    <n v="0"/>
    <n v="0"/>
    <n v="117817.77497029956"/>
    <n v="0"/>
    <n v="0"/>
    <n v="0"/>
    <n v="117817.77497029956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4.5709100369670814"/>
    <s v="No Aplica"/>
    <n v="0"/>
    <n v="0"/>
    <n v="0"/>
    <n v="0"/>
    <m/>
    <s v="OK"/>
    <s v="OK"/>
    <n v="240000"/>
    <n v="96000"/>
    <n v="96000"/>
    <n v="0"/>
    <n v="186020"/>
    <n v="72000"/>
    <n v="217140"/>
    <n v="83860"/>
    <n v="982080"/>
    <n v="384000"/>
    <n v="393600"/>
    <n v="0"/>
    <n v="791853"/>
    <n v="325592"/>
    <m/>
    <n v="76136.23502970043"/>
    <m/>
    <m/>
    <m/>
    <m/>
    <m/>
    <m/>
    <m/>
    <m/>
  </r>
  <r>
    <s v="Agrosuper Shanghai1021738"/>
    <x v="0"/>
    <x v="3"/>
    <n v="1021738"/>
    <s v="GO Patas B@ Cj 20k AS"/>
    <x v="10"/>
    <x v="24"/>
    <n v="57322"/>
    <n v="0"/>
    <n v="0.38476266834449474"/>
    <n v="22055.365674843128"/>
    <n v="23221.41"/>
    <n v="17793.754000000001"/>
    <n v="0"/>
    <n v="61291.154274843131"/>
    <n v="0"/>
    <n v="23000"/>
    <n v="0"/>
    <n v="0"/>
    <n v="0"/>
    <n v="61291.154274843131"/>
    <n v="0"/>
    <n v="0"/>
    <n v="0"/>
    <n v="61291.154274843131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4.6108252378721257"/>
    <s v="No Aplica"/>
    <n v="0"/>
    <n v="0"/>
    <n v="0"/>
    <n v="0"/>
    <m/>
    <s v="OK"/>
    <s v="OK"/>
    <n v="48000"/>
    <n v="0"/>
    <n v="0"/>
    <n v="24000"/>
    <n v="0"/>
    <n v="0"/>
    <n v="72020"/>
    <n v="73000"/>
    <n v="177600"/>
    <n v="0"/>
    <n v="0"/>
    <n v="46600"/>
    <n v="0"/>
    <n v="0"/>
    <m/>
    <n v="35266.634325156876"/>
    <m/>
    <m/>
    <m/>
    <m/>
    <m/>
    <m/>
    <m/>
    <m/>
  </r>
  <r>
    <s v="Agrosuper Shanghai1021765"/>
    <x v="0"/>
    <x v="3"/>
    <n v="1021765"/>
    <s v="GO Pna Nor@ Bo Cj 20k AS"/>
    <x v="9"/>
    <x v="11"/>
    <n v="0"/>
    <n v="0"/>
    <n v="0.3847626683444947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0792734517433147"/>
    <s v="No Aplica"/>
    <n v="0"/>
    <n v="0"/>
    <n v="0"/>
    <n v="0"/>
    <m/>
    <s v="OK"/>
    <s v="OK"/>
    <n v="0"/>
    <n v="0"/>
    <n v="6760"/>
    <n v="0"/>
    <n v="0"/>
    <n v="0"/>
    <n v="0"/>
    <n v="0"/>
    <n v="0"/>
    <n v="0"/>
    <n v="7323"/>
    <n v="0"/>
    <n v="0"/>
    <n v="0"/>
    <m/>
    <n v="0"/>
    <m/>
    <m/>
    <m/>
    <m/>
    <m/>
    <m/>
    <m/>
    <m/>
  </r>
  <r>
    <s v="Agrosuper Shanghai1021992"/>
    <x v="0"/>
    <x v="3"/>
    <n v="1021992"/>
    <s v="GO Lom Tocino@ Cj 20k AS"/>
    <x v="2"/>
    <x v="2"/>
    <n v="0"/>
    <n v="0"/>
    <n v="0.38476266834449474"/>
    <n v="0"/>
    <n v="23142.5"/>
    <n v="55368.705246937781"/>
    <n v="0"/>
    <n v="72974.334722244006"/>
    <n v="22000"/>
    <n v="23000"/>
    <n v="22000"/>
    <n v="0"/>
    <n v="22000"/>
    <n v="50974.334722244006"/>
    <n v="0"/>
    <n v="0"/>
    <n v="0"/>
    <n v="50974.334722244006"/>
    <n v="0"/>
    <n v="0"/>
    <n v="0"/>
    <n v="0"/>
    <n v="22000"/>
    <n v="22000"/>
    <n v="0"/>
    <n v="22000"/>
    <n v="0"/>
    <x v="43"/>
    <n v="22000"/>
    <n v="0"/>
    <x v="0"/>
    <x v="11"/>
    <s v="Si"/>
    <n v="22000"/>
    <n v="22000"/>
    <n v="0"/>
    <d v="2022-09-10T00:00:00"/>
    <n v="0"/>
    <n v="1.6387662656249999"/>
    <n v="1.6387662656249999"/>
    <n v="36052.857843749996"/>
    <n v="1.32025540701486"/>
    <n v="0.24124942561705032"/>
    <n v="1.6387662656249997"/>
    <n v="1.6387662656249999"/>
    <n v="0"/>
    <n v="1.6387662656249999"/>
    <m/>
    <s v="OK"/>
    <s v="OK"/>
    <n v="96000"/>
    <n v="72000"/>
    <n v="120000"/>
    <n v="0"/>
    <n v="0"/>
    <n v="0"/>
    <n v="48420"/>
    <n v="48000"/>
    <n v="91200"/>
    <n v="63360"/>
    <n v="181390"/>
    <n v="0"/>
    <n v="0"/>
    <n v="0"/>
    <m/>
    <n v="0"/>
    <m/>
    <m/>
    <m/>
    <m/>
    <m/>
    <m/>
    <m/>
    <m/>
  </r>
  <r>
    <s v="Agrosuper Shanghai1022073"/>
    <x v="0"/>
    <x v="3"/>
    <n v="1022073"/>
    <s v="GO Mantec@ Cj 20k AS"/>
    <x v="2"/>
    <x v="16"/>
    <n v="0"/>
    <n v="0"/>
    <n v="0.38476266834449474"/>
    <n v="0"/>
    <n v="0"/>
    <n v="14976.000000000036"/>
    <n v="0"/>
    <n v="13478.400000000032"/>
    <n v="0"/>
    <n v="23000"/>
    <n v="0"/>
    <n v="0"/>
    <n v="0"/>
    <n v="13478.400000000032"/>
    <n v="0"/>
    <n v="0"/>
    <n v="0"/>
    <n v="13478.40000000003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1385503377996782"/>
    <s v="No Aplica"/>
    <n v="0"/>
    <n v="0"/>
    <n v="0"/>
    <n v="0"/>
    <m/>
    <s v="OK"/>
    <s v="OK"/>
    <n v="72000"/>
    <n v="0"/>
    <n v="0"/>
    <n v="0"/>
    <n v="24000"/>
    <n v="48000"/>
    <n v="120017"/>
    <n v="48016"/>
    <n v="48600"/>
    <n v="0"/>
    <n v="0"/>
    <n v="0"/>
    <n v="22800"/>
    <n v="52800"/>
    <m/>
    <n v="0"/>
    <m/>
    <m/>
    <m/>
    <m/>
    <m/>
    <m/>
    <m/>
    <m/>
  </r>
  <r>
    <s v="Agrosuper Shanghai1022096"/>
    <x v="0"/>
    <x v="3"/>
    <n v="1022096"/>
    <s v="GO Sternum Bones@ Bo Cj 10k AS"/>
    <x v="1"/>
    <x v="28"/>
    <n v="107734"/>
    <n v="0"/>
    <n v="0.38476266834449474"/>
    <n v="41452.021311425793"/>
    <n v="48138.979999999996"/>
    <n v="25614.634146341461"/>
    <n v="0"/>
    <n v="112644.17204313311"/>
    <n v="0"/>
    <n v="23000"/>
    <n v="0"/>
    <n v="0"/>
    <n v="0"/>
    <n v="112644.17204313311"/>
    <n v="0"/>
    <n v="0"/>
    <n v="0"/>
    <n v="112644.17204313311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3502934734459686"/>
    <s v="No Aplica"/>
    <n v="0"/>
    <n v="0"/>
    <n v="0"/>
    <n v="0"/>
    <m/>
    <s v="OK"/>
    <s v="OK"/>
    <n v="192000"/>
    <n v="264000"/>
    <n v="216000"/>
    <n v="192000"/>
    <n v="164571"/>
    <n v="168000"/>
    <n v="144260"/>
    <n v="72280"/>
    <n v="270080"/>
    <n v="312840"/>
    <n v="248400"/>
    <n v="222459"/>
    <n v="194168"/>
    <n v="223136"/>
    <m/>
    <n v="66281.978688574207"/>
    <m/>
    <m/>
    <m/>
    <m/>
    <m/>
    <m/>
    <m/>
    <m/>
  </r>
  <r>
    <s v="Agrosuper Shanghai1022125"/>
    <x v="0"/>
    <x v="3"/>
    <n v="1022125"/>
    <s v="GO PernilM C/M@ Cj 20k AS"/>
    <x v="13"/>
    <x v="27"/>
    <n v="173053"/>
    <n v="0"/>
    <n v="0.38476266834449474"/>
    <n v="66584.334045019845"/>
    <n v="60638.481000000029"/>
    <n v="61270.640000000007"/>
    <n v="0"/>
    <n v="182366.39104501987"/>
    <n v="0"/>
    <n v="23000"/>
    <n v="0"/>
    <n v="0"/>
    <n v="0"/>
    <n v="182366.39104501987"/>
    <n v="0"/>
    <n v="0"/>
    <n v="0"/>
    <n v="182366.39104501987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2.9062861035260745"/>
    <s v="No Aplica"/>
    <n v="0"/>
    <n v="0"/>
    <n v="0"/>
    <n v="0"/>
    <m/>
    <s v="OK"/>
    <s v="OK"/>
    <n v="216000"/>
    <n v="96000"/>
    <n v="96000"/>
    <n v="120000"/>
    <n v="96000"/>
    <n v="72000"/>
    <n v="119969"/>
    <n v="48170"/>
    <n v="586500"/>
    <n v="239040"/>
    <n v="233280"/>
    <n v="304970"/>
    <n v="246850"/>
    <n v="186360"/>
    <m/>
    <n v="106468.66595498016"/>
    <m/>
    <m/>
    <m/>
    <m/>
    <m/>
    <m/>
    <m/>
    <m/>
  </r>
  <r>
    <s v="Agrosuper Shanghai1022183"/>
    <x v="0"/>
    <x v="3"/>
    <n v="1022183"/>
    <s v="GO PernilP@ Bo Cj 20k AS"/>
    <x v="13"/>
    <x v="34"/>
    <n v="514700"/>
    <n v="0"/>
    <n v="0.38476266834449474"/>
    <n v="198037.34539691143"/>
    <n v="124039.133"/>
    <n v="113928.91"/>
    <n v="0"/>
    <n v="424612.49739691138"/>
    <n v="0"/>
    <n v="23000"/>
    <n v="0"/>
    <n v="0"/>
    <n v="0"/>
    <n v="424612.49739691138"/>
    <n v="0"/>
    <n v="0"/>
    <n v="0"/>
    <n v="424612.49739691138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996143349312969"/>
    <s v="No Aplica"/>
    <n v="0"/>
    <n v="0"/>
    <n v="0"/>
    <n v="0"/>
    <m/>
    <s v="OK"/>
    <s v="OK"/>
    <n v="456000"/>
    <n v="408000"/>
    <n v="360000"/>
    <n v="551000"/>
    <n v="484400"/>
    <n v="360000"/>
    <n v="553414"/>
    <n v="291002"/>
    <n v="825106.66669999994"/>
    <n v="634440"/>
    <n v="601200"/>
    <n v="931630"/>
    <n v="890457"/>
    <n v="731662"/>
    <m/>
    <n v="316662.65460308857"/>
    <m/>
    <m/>
    <m/>
    <m/>
    <m/>
    <m/>
    <m/>
    <m/>
  </r>
  <r>
    <s v="Agrosuper Shanghai1022186"/>
    <x v="0"/>
    <x v="3"/>
    <n v="1022186"/>
    <s v="GO Resto Tira Hso Ctro@ Bo Cj 20k AS"/>
    <x v="1"/>
    <x v="1"/>
    <n v="47327"/>
    <n v="0"/>
    <n v="0.38476266834449474"/>
    <n v="18209.662804739903"/>
    <n v="51776.68"/>
    <n v="10664.202747792506"/>
    <n v="0"/>
    <n v="79584.125277753163"/>
    <n v="0"/>
    <n v="23000"/>
    <n v="0"/>
    <n v="0"/>
    <n v="0"/>
    <n v="79584.125277753163"/>
    <n v="0"/>
    <n v="0"/>
    <n v="0"/>
    <n v="79584.125277753163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.95632338440399156"/>
    <s v="No Aplica"/>
    <n v="0"/>
    <n v="0"/>
    <n v="0"/>
    <n v="0"/>
    <m/>
    <s v="OK"/>
    <s v="OK"/>
    <n v="48000"/>
    <n v="48000"/>
    <n v="24000"/>
    <n v="48000"/>
    <n v="48000"/>
    <n v="24000"/>
    <n v="96024"/>
    <n v="0"/>
    <n v="40800"/>
    <n v="31200"/>
    <n v="19200"/>
    <n v="43458"/>
    <n v="38400"/>
    <n v="18796"/>
    <m/>
    <n v="29117.337195260097"/>
    <m/>
    <m/>
    <m/>
    <m/>
    <m/>
    <m/>
    <m/>
    <m/>
  </r>
  <r>
    <s v="Agrosuper Shanghai1022291"/>
    <x v="0"/>
    <x v="3"/>
    <n v="1022291"/>
    <s v="GO PernilM B@ Bo Cj 20k AS"/>
    <x v="13"/>
    <x v="27"/>
    <n v="17368"/>
    <n v="0"/>
    <n v="0.38476266834449474"/>
    <n v="6682.5580238071843"/>
    <n v="32395.882000000016"/>
    <n v="3809.0399999999995"/>
    <n v="0"/>
    <n v="42506.576023807196"/>
    <n v="0"/>
    <n v="23000"/>
    <n v="0"/>
    <n v="0"/>
    <n v="0"/>
    <n v="42506.576023807196"/>
    <n v="0"/>
    <n v="0"/>
    <n v="0"/>
    <n v="42506.576023807196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8560866560447178"/>
    <s v="No Aplica"/>
    <n v="0"/>
    <n v="0"/>
    <n v="0"/>
    <n v="0"/>
    <m/>
    <s v="OK"/>
    <s v="OK"/>
    <n v="48000"/>
    <n v="48000"/>
    <n v="48000"/>
    <n v="72000"/>
    <n v="119757"/>
    <n v="48000"/>
    <n v="24000"/>
    <n v="24024"/>
    <n v="77760"/>
    <n v="80400"/>
    <n v="82560"/>
    <n v="121706"/>
    <n v="206659"/>
    <n v="94133"/>
    <m/>
    <n v="10685.441976192815"/>
    <m/>
    <m/>
    <m/>
    <m/>
    <m/>
    <m/>
    <m/>
    <m/>
  </r>
  <r>
    <s v="Agrosuper Shanghai1022373"/>
    <x v="0"/>
    <x v="3"/>
    <n v="1022373"/>
    <s v="GO Reco 60/40 @ Cj 20k AS"/>
    <x v="5"/>
    <x v="6"/>
    <n v="72000"/>
    <n v="0"/>
    <n v="0.38476266834449474"/>
    <n v="27702.912120803623"/>
    <n v="55270.602999999996"/>
    <n v="53489"/>
    <n v="0"/>
    <n v="131113.61512080362"/>
    <n v="0"/>
    <n v="23000"/>
    <n v="0"/>
    <n v="0"/>
    <n v="0"/>
    <n v="131113.61512080362"/>
    <n v="0"/>
    <n v="0"/>
    <n v="0"/>
    <n v="131113.6151208036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2425567117466458"/>
    <s v="No Aplica"/>
    <n v="1.4497916666666699"/>
    <n v="0"/>
    <n v="0"/>
    <n v="0"/>
    <m/>
    <s v="OK"/>
    <s v="OK"/>
    <n v="96000"/>
    <n v="96000"/>
    <n v="48000"/>
    <n v="0"/>
    <n v="48000"/>
    <n v="23984"/>
    <n v="48100"/>
    <n v="48206"/>
    <n v="84000"/>
    <n v="81600"/>
    <n v="40800"/>
    <n v="0"/>
    <n v="50400"/>
    <n v="23025"/>
    <m/>
    <n v="44297.087879196377"/>
    <m/>
    <m/>
    <m/>
    <m/>
    <m/>
    <m/>
    <m/>
    <m/>
  </r>
  <r>
    <s v="Agrosuper Shanghai1022378"/>
    <x v="0"/>
    <x v="3"/>
    <n v="1022378"/>
    <s v="GO Resto Tira Hso@ Fi Cj 10k AS"/>
    <x v="1"/>
    <x v="1"/>
    <n v="57311"/>
    <n v="0"/>
    <n v="0.38476266834449474"/>
    <n v="22051.133285491338"/>
    <n v="48427.199999999997"/>
    <n v="15523.403086598568"/>
    <n v="0"/>
    <n v="84449.396063430046"/>
    <n v="0"/>
    <n v="23000"/>
    <n v="0"/>
    <n v="0"/>
    <n v="0"/>
    <n v="84449.396063430046"/>
    <n v="0"/>
    <n v="0"/>
    <n v="0"/>
    <n v="84449.396063430046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9728670264988897"/>
    <s v="No Aplica"/>
    <n v="0"/>
    <n v="0"/>
    <n v="0"/>
    <n v="0"/>
    <m/>
    <s v="OK"/>
    <s v="OK"/>
    <n v="72000"/>
    <n v="72000"/>
    <n v="96000"/>
    <n v="96000"/>
    <n v="96000"/>
    <n v="72290"/>
    <n v="144000"/>
    <n v="24000"/>
    <n v="168000"/>
    <n v="151200"/>
    <n v="187200"/>
    <n v="179840"/>
    <n v="177168"/>
    <n v="142066"/>
    <m/>
    <n v="35259.866714508666"/>
    <m/>
    <m/>
    <m/>
    <m/>
    <m/>
    <m/>
    <m/>
    <m/>
  </r>
  <r>
    <s v="Agrosuper Shanghai1022379"/>
    <x v="0"/>
    <x v="3"/>
    <n v="1022379"/>
    <s v="GO PpPal 77@ Bo Cj AS"/>
    <x v="12"/>
    <x v="22"/>
    <n v="0"/>
    <n v="0"/>
    <n v="0.38476266834449474"/>
    <n v="0"/>
    <n v="50264.173000000017"/>
    <n v="41747.13986464234"/>
    <n v="0"/>
    <n v="87836.598878178134"/>
    <n v="0"/>
    <n v="23000"/>
    <n v="0"/>
    <n v="0"/>
    <n v="0"/>
    <n v="87836.598878178134"/>
    <n v="0"/>
    <n v="0"/>
    <n v="0"/>
    <n v="87836.598878178134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2.4256048984242096"/>
    <s v="No Aplica"/>
    <n v="2.4993472222222199"/>
    <n v="0"/>
    <n v="0"/>
    <n v="0"/>
    <m/>
    <s v="OK"/>
    <s v="OK"/>
    <n v="48000"/>
    <n v="0"/>
    <n v="0"/>
    <n v="0"/>
    <n v="0"/>
    <n v="0"/>
    <n v="24000"/>
    <n v="120000"/>
    <n v="79200"/>
    <n v="0"/>
    <n v="0"/>
    <n v="0"/>
    <n v="0"/>
    <n v="0"/>
    <m/>
    <n v="0"/>
    <m/>
    <m/>
    <m/>
    <m/>
    <m/>
    <m/>
    <m/>
    <m/>
  </r>
  <r>
    <s v="Agrosuper Shanghai1022381"/>
    <x v="0"/>
    <x v="3"/>
    <n v="1022381"/>
    <s v="GO Gord Esp@ Bo Cj 10k AS"/>
    <x v="2"/>
    <x v="5"/>
    <n v="65792"/>
    <n v="0"/>
    <n v="0.38476266834449474"/>
    <n v="25314.305475720997"/>
    <n v="11690"/>
    <n v="20068.961846862767"/>
    <n v="0"/>
    <n v="55066.371137897484"/>
    <n v="0"/>
    <n v="23000"/>
    <n v="0"/>
    <n v="0"/>
    <n v="0"/>
    <n v="55066.371137897484"/>
    <n v="0"/>
    <n v="0"/>
    <n v="0"/>
    <n v="55066.371137897484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0371699456307273"/>
    <s v="No Aplica"/>
    <n v="1.3325"/>
    <n v="0"/>
    <n v="0"/>
    <n v="0"/>
    <m/>
    <s v="OK"/>
    <s v="OK"/>
    <n v="24000"/>
    <n v="48000"/>
    <n v="72000"/>
    <n v="96000"/>
    <n v="96000"/>
    <n v="72000"/>
    <n v="24370"/>
    <n v="120000"/>
    <n v="14400"/>
    <n v="30240"/>
    <n v="52560"/>
    <n v="73280"/>
    <n v="83353"/>
    <n v="62400"/>
    <m/>
    <n v="40477.694524279003"/>
    <m/>
    <m/>
    <m/>
    <m/>
    <m/>
    <m/>
    <m/>
    <m/>
  </r>
  <r>
    <s v="Agrosuper Shanghai1022389"/>
    <x v="0"/>
    <x v="3"/>
    <n v="1022389"/>
    <s v="GO Cue 20@ Bo Cj 20k AS"/>
    <x v="4"/>
    <x v="4"/>
    <n v="0"/>
    <n v="0"/>
    <n v="0.38476266834449474"/>
    <n v="0"/>
    <n v="13700"/>
    <n v="0"/>
    <n v="0"/>
    <n v="13700"/>
    <n v="0"/>
    <n v="23000"/>
    <n v="0"/>
    <n v="0"/>
    <n v="0"/>
    <n v="13700"/>
    <n v="0"/>
    <n v="0"/>
    <n v="0"/>
    <n v="1370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0931462000000001"/>
    <s v="No Aplica"/>
    <n v="0"/>
    <n v="0"/>
    <n v="0"/>
    <n v="0"/>
    <m/>
    <s v="OK"/>
    <s v="OK"/>
    <n v="72000"/>
    <n v="0"/>
    <n v="0"/>
    <n v="0"/>
    <n v="0"/>
    <n v="0"/>
    <n v="24000"/>
    <n v="0"/>
    <n v="72000"/>
    <n v="0"/>
    <n v="0"/>
    <n v="0"/>
    <n v="0"/>
    <n v="0"/>
    <m/>
    <n v="0"/>
    <m/>
    <m/>
    <m/>
    <m/>
    <m/>
    <m/>
    <m/>
    <m/>
  </r>
  <r>
    <s v="Agrosuper Shanghai1022414"/>
    <x v="0"/>
    <x v="3"/>
    <n v="1022414"/>
    <s v="GO Caz Ent@ Bo Cj 10k AS"/>
    <x v="0"/>
    <x v="35"/>
    <n v="116000"/>
    <n v="0"/>
    <n v="0.38476266834449474"/>
    <n v="44632.469527961388"/>
    <n v="97622.959999999992"/>
    <n v="34677"/>
    <n v="0"/>
    <n v="173464.72952796138"/>
    <n v="0"/>
    <n v="23000"/>
    <n v="0"/>
    <n v="0"/>
    <n v="0"/>
    <n v="173464.72952796138"/>
    <n v="0"/>
    <n v="0"/>
    <n v="0"/>
    <n v="173464.72952796138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0367536337129226"/>
    <s v="No Aplica"/>
    <n v="1.1083333333333301"/>
    <n v="0"/>
    <n v="0"/>
    <n v="0"/>
    <m/>
    <s v="OK"/>
    <s v="OK"/>
    <n v="192000"/>
    <n v="192000"/>
    <n v="192000"/>
    <n v="120000"/>
    <n v="120000"/>
    <n v="144000"/>
    <n v="216205"/>
    <n v="119750"/>
    <n v="154240"/>
    <n v="158400"/>
    <n v="157440"/>
    <n v="100645"/>
    <n v="105556"/>
    <n v="133889"/>
    <m/>
    <n v="71367.530472038605"/>
    <m/>
    <m/>
    <m/>
    <m/>
    <m/>
    <m/>
    <m/>
    <m/>
  </r>
  <r>
    <s v="Agrosuper Shanghai1022415"/>
    <x v="0"/>
    <x v="3"/>
    <n v="1022415"/>
    <s v="GO Reco 85/15 @ Cj 20k AS"/>
    <x v="5"/>
    <x v="6"/>
    <n v="0"/>
    <n v="0"/>
    <n v="0.3847626683444947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.88378860975609752"/>
    <s v="No Aplica"/>
    <n v="0"/>
    <n v="0"/>
    <n v="0"/>
    <n v="0"/>
    <m/>
    <s v="OK"/>
    <s v="OK"/>
    <n v="0"/>
    <n v="0"/>
    <n v="4084"/>
    <n v="0"/>
    <n v="0"/>
    <n v="0"/>
    <n v="0"/>
    <n v="0"/>
    <n v="0"/>
    <n v="0"/>
    <n v="3608"/>
    <n v="0"/>
    <n v="0"/>
    <n v="0"/>
    <m/>
    <n v="0"/>
    <m/>
    <m/>
    <m/>
    <m/>
    <m/>
    <m/>
    <m/>
    <m/>
  </r>
  <r>
    <s v="Agrosuper Shanghai1022417"/>
    <x v="0"/>
    <x v="3"/>
    <n v="1022417"/>
    <s v="GO Cue granel@ Bo Cj 20k AS"/>
    <x v="4"/>
    <x v="18"/>
    <n v="489284"/>
    <n v="0"/>
    <n v="0.38476266834449474"/>
    <n v="188258.21741826777"/>
    <n v="109071.18"/>
    <n v="103370.42662267726"/>
    <n v="0"/>
    <n v="390362.78137867735"/>
    <n v="0"/>
    <n v="23000"/>
    <n v="0"/>
    <n v="0"/>
    <n v="0"/>
    <n v="390362.78137867735"/>
    <n v="0"/>
    <n v="0"/>
    <n v="0"/>
    <n v="390362.78137867735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.78919672655778561"/>
    <s v="No Aplica"/>
    <n v="0.79995833333333299"/>
    <n v="0"/>
    <n v="0"/>
    <n v="0"/>
    <m/>
    <s v="OK"/>
    <s v="OK"/>
    <n v="0"/>
    <n v="0"/>
    <n v="24000"/>
    <n v="48000"/>
    <n v="24000"/>
    <n v="96000"/>
    <n v="168980"/>
    <n v="193380"/>
    <n v="0"/>
    <n v="0"/>
    <n v="19920"/>
    <n v="24960"/>
    <n v="15600"/>
    <n v="62400"/>
    <m/>
    <n v="301025.78258173226"/>
    <m/>
    <m/>
    <m/>
    <m/>
    <m/>
    <m/>
    <m/>
    <m/>
  </r>
  <r>
    <s v="Agrosuper Shanghai1022541"/>
    <x v="0"/>
    <x v="3"/>
    <n v="1022541"/>
    <s v="GO Reco 20/80 @ Cj 20k AS"/>
    <x v="2"/>
    <x v="5"/>
    <n v="405100"/>
    <n v="0"/>
    <n v="0.38476266834449474"/>
    <n v="155867.35694635482"/>
    <n v="44982.555999999982"/>
    <n v="2000"/>
    <n v="0"/>
    <n v="202649.9129463548"/>
    <n v="0"/>
    <n v="23000"/>
    <n v="0"/>
    <n v="0"/>
    <n v="0"/>
    <n v="202649.9129463548"/>
    <n v="0"/>
    <n v="0"/>
    <n v="0"/>
    <n v="202649.9129463548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1355042113809437"/>
    <s v="No Aplica"/>
    <n v="0"/>
    <n v="0"/>
    <n v="0"/>
    <n v="0"/>
    <m/>
    <s v="OK"/>
    <s v="OK"/>
    <n v="24000"/>
    <n v="72000"/>
    <n v="48000"/>
    <n v="24000"/>
    <n v="168000"/>
    <n v="144000"/>
    <n v="261907"/>
    <n v="49026"/>
    <n v="14400"/>
    <n v="45360"/>
    <n v="32160"/>
    <n v="7720"/>
    <n v="145332"/>
    <n v="151177"/>
    <m/>
    <n v="249232.64305364518"/>
    <m/>
    <m/>
    <m/>
    <m/>
    <m/>
    <m/>
    <m/>
    <m/>
  </r>
  <r>
    <s v="Agrosuper Shanghai1022637"/>
    <x v="0"/>
    <x v="3"/>
    <n v="1022637"/>
    <s v="GO Hso Escapula@ Cj 15kg AS"/>
    <x v="1"/>
    <x v="28"/>
    <n v="67834"/>
    <n v="0"/>
    <n v="0.38476266834449474"/>
    <n v="26099.990844480457"/>
    <n v="47626.34"/>
    <n v="18465.219000000001"/>
    <n v="0"/>
    <n v="90345.027944480462"/>
    <n v="0"/>
    <n v="23000"/>
    <n v="0"/>
    <n v="0"/>
    <n v="0"/>
    <n v="90345.027944480462"/>
    <n v="0"/>
    <n v="0"/>
    <n v="0"/>
    <n v="90345.02794448046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1374107699502487"/>
    <s v="No Aplica"/>
    <n v="1.1545886731763355"/>
    <n v="0"/>
    <n v="0"/>
    <n v="0"/>
    <m/>
    <s v="OK"/>
    <s v="OK"/>
    <n v="144000"/>
    <n v="144000"/>
    <n v="120000"/>
    <n v="144000"/>
    <n v="71100"/>
    <n v="72000"/>
    <n v="113205"/>
    <n v="87300"/>
    <n v="163350"/>
    <n v="144000"/>
    <n v="120000"/>
    <n v="142519"/>
    <n v="73751"/>
    <n v="79080"/>
    <m/>
    <n v="41734.009155519539"/>
    <m/>
    <m/>
    <m/>
    <m/>
    <m/>
    <m/>
    <m/>
    <m/>
  </r>
  <r>
    <s v="Agrosuper Shanghai1022748"/>
    <x v="0"/>
    <x v="3"/>
    <n v="1022748"/>
    <s v="GO Manos@ Cj 10k AS"/>
    <x v="10"/>
    <x v="24"/>
    <n v="136999"/>
    <n v="0"/>
    <n v="0.38476266834449474"/>
    <n v="52712.100800527434"/>
    <n v="64325.7"/>
    <n v="23893.200000000001"/>
    <n v="0"/>
    <n v="138541.68080052742"/>
    <n v="0"/>
    <n v="23000"/>
    <n v="0"/>
    <n v="0"/>
    <n v="0"/>
    <n v="138541.68080052742"/>
    <n v="0"/>
    <n v="0"/>
    <n v="0"/>
    <n v="138541.6808005274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5.1230665429541196"/>
    <s v="No Aplica"/>
    <n v="0"/>
    <n v="0"/>
    <n v="0"/>
    <n v="0"/>
    <m/>
    <s v="OK"/>
    <s v="OK"/>
    <n v="144000"/>
    <n v="0"/>
    <n v="84000"/>
    <n v="132000"/>
    <n v="96000"/>
    <n v="68000"/>
    <n v="240290"/>
    <n v="180280"/>
    <n v="636000"/>
    <n v="0"/>
    <n v="398160"/>
    <n v="623093"/>
    <n v="455946"/>
    <n v="342073"/>
    <m/>
    <n v="84286.899199472566"/>
    <m/>
    <m/>
    <m/>
    <m/>
    <m/>
    <m/>
    <m/>
    <m/>
  </r>
  <r>
    <s v="Agrosuper Shanghai1022851"/>
    <x v="0"/>
    <x v="3"/>
    <n v="1022851"/>
    <s v="GO Pal Nor@ Cj 20k AS"/>
    <x v="12"/>
    <x v="36"/>
    <n v="0"/>
    <n v="0"/>
    <n v="0.38476266834449474"/>
    <n v="0"/>
    <n v="58740.849000000017"/>
    <n v="15825.733636697067"/>
    <n v="0"/>
    <n v="72984.009273027375"/>
    <n v="0"/>
    <n v="23000"/>
    <n v="0"/>
    <n v="0"/>
    <n v="0"/>
    <n v="72984.009273027375"/>
    <n v="0"/>
    <n v="0"/>
    <n v="0"/>
    <n v="72984.009273027375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7376307295444997"/>
    <s v="No Aplica"/>
    <n v="1.7755270833333325"/>
    <n v="0"/>
    <n v="0"/>
    <n v="0"/>
    <m/>
    <s v="OK"/>
    <s v="OK"/>
    <n v="8596"/>
    <n v="0"/>
    <n v="8956"/>
    <n v="0"/>
    <n v="0"/>
    <n v="0"/>
    <n v="48000"/>
    <n v="96000"/>
    <n v="9025.7999999999993"/>
    <n v="0"/>
    <n v="9255"/>
    <n v="0"/>
    <n v="0"/>
    <n v="0"/>
    <m/>
    <n v="0"/>
    <m/>
    <m/>
    <m/>
    <m/>
    <m/>
    <m/>
    <m/>
    <m/>
  </r>
  <r>
    <s v="Agrosuper Shanghai1022856"/>
    <x v="0"/>
    <x v="3"/>
    <n v="1022856"/>
    <s v="GO Reco 10/90 @ Cj 20k AS"/>
    <x v="2"/>
    <x v="5"/>
    <n v="136422"/>
    <n v="0"/>
    <n v="0.38476266834449474"/>
    <n v="52490.092740892658"/>
    <n v="38319.00499999999"/>
    <n v="50478.071942095048"/>
    <n v="0"/>
    <n v="136239.36248877819"/>
    <n v="0"/>
    <n v="23000"/>
    <n v="0"/>
    <n v="0"/>
    <n v="0"/>
    <n v="136239.36248877819"/>
    <n v="0"/>
    <n v="0"/>
    <n v="0"/>
    <n v="136239.36248877819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.96277822676154889"/>
    <s v="No Aplica"/>
    <n v="1.25833333333333"/>
    <n v="0"/>
    <n v="0"/>
    <n v="0"/>
    <m/>
    <s v="OK"/>
    <s v="OK"/>
    <n v="96000"/>
    <n v="24000"/>
    <n v="120000"/>
    <n v="120000"/>
    <n v="96000"/>
    <n v="73012"/>
    <n v="97015"/>
    <n v="120000"/>
    <n v="59626.666700000002"/>
    <n v="14400"/>
    <n v="90000"/>
    <n v="89108"/>
    <n v="84901"/>
    <n v="66191"/>
    <m/>
    <n v="83931.907259107335"/>
    <m/>
    <m/>
    <m/>
    <m/>
    <m/>
    <m/>
    <m/>
    <m/>
  </r>
  <r>
    <s v="Agrosuper Shanghai1022945"/>
    <x v="0"/>
    <x v="3"/>
    <n v="1022945"/>
    <s v="GO Mantec@ Cj 20k AS"/>
    <x v="2"/>
    <x v="16"/>
    <n v="307160"/>
    <n v="0"/>
    <n v="0.38476266834449474"/>
    <n v="118183.701208695"/>
    <n v="67545.149999999994"/>
    <n v="48101.357815844269"/>
    <n v="0"/>
    <n v="229020.07324295482"/>
    <n v="0"/>
    <n v="23000"/>
    <n v="0"/>
    <n v="0"/>
    <n v="0"/>
    <n v="229020.07324295482"/>
    <n v="0"/>
    <n v="0"/>
    <n v="0"/>
    <n v="229020.0732429548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1966437737237294"/>
    <s v="No Aplica"/>
    <n v="1.2303454270274354"/>
    <n v="0"/>
    <n v="0"/>
    <n v="0"/>
    <m/>
    <s v="OK"/>
    <s v="OK"/>
    <n v="144000"/>
    <n v="0"/>
    <n v="0"/>
    <n v="0"/>
    <n v="48000"/>
    <n v="48140"/>
    <n v="120040"/>
    <n v="96600"/>
    <n v="94200"/>
    <n v="0"/>
    <n v="0"/>
    <n v="0"/>
    <n v="46080"/>
    <n v="45412"/>
    <m/>
    <n v="188976.29879130499"/>
    <m/>
    <m/>
    <m/>
    <m/>
    <m/>
    <m/>
    <m/>
    <m/>
  </r>
  <r>
    <s v="Agrosuper Shanghai1023034"/>
    <x v="0"/>
    <x v="3"/>
    <n v="1023034"/>
    <s v="GO Forro Pal@ Bo Cj 20k AS"/>
    <x v="4"/>
    <x v="23"/>
    <n v="71359"/>
    <n v="0"/>
    <n v="0.38476266834449474"/>
    <n v="27456.2792503948"/>
    <n v="10160"/>
    <n v="0"/>
    <n v="0"/>
    <n v="37616.2792503948"/>
    <n v="0"/>
    <n v="23000"/>
    <n v="0"/>
    <n v="0"/>
    <n v="0"/>
    <n v="37616.2792503948"/>
    <n v="0"/>
    <n v="0"/>
    <n v="0"/>
    <n v="37616.2792503948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.71877046736891992"/>
    <s v="No Aplica"/>
    <n v="0.73333333333333284"/>
    <n v="0"/>
    <n v="0"/>
    <n v="0"/>
    <m/>
    <s v="OK"/>
    <s v="OK"/>
    <n v="120000"/>
    <n v="96000"/>
    <n v="24000"/>
    <n v="120000"/>
    <n v="72100"/>
    <n v="72000"/>
    <n v="217320"/>
    <n v="168240"/>
    <n v="34000"/>
    <n v="29760"/>
    <n v="7039"/>
    <n v="42744"/>
    <n v="37227"/>
    <n v="54000"/>
    <m/>
    <n v="43902.7207496052"/>
    <m/>
    <m/>
    <m/>
    <m/>
    <m/>
    <m/>
    <m/>
    <m/>
  </r>
  <r>
    <s v="Agrosuper Shanghai1023093"/>
    <x v="0"/>
    <x v="3"/>
    <n v="1023093"/>
    <s v="GO Cordon Lom@ Bo Cj 20k AS"/>
    <x v="5"/>
    <x v="6"/>
    <n v="64626"/>
    <n v="0"/>
    <n v="0.38476266834449474"/>
    <n v="24865.672204431317"/>
    <n v="28383.17"/>
    <n v="14243"/>
    <n v="0"/>
    <n v="66067.542204431316"/>
    <n v="0"/>
    <n v="23000"/>
    <n v="0"/>
    <n v="0"/>
    <n v="0"/>
    <n v="66067.542204431316"/>
    <n v="0"/>
    <n v="0"/>
    <n v="0"/>
    <n v="66067.542204431316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3.8624169164742792"/>
    <s v="No Aplica"/>
    <n v="0"/>
    <n v="0"/>
    <n v="0"/>
    <n v="0"/>
    <m/>
    <s v="OK"/>
    <s v="OK"/>
    <n v="0"/>
    <n v="0"/>
    <n v="12000"/>
    <n v="12000"/>
    <n v="0"/>
    <n v="0"/>
    <n v="90500"/>
    <n v="0"/>
    <n v="0"/>
    <n v="0"/>
    <n v="41800"/>
    <n v="20940"/>
    <n v="0"/>
    <n v="0"/>
    <m/>
    <n v="39760.327795568679"/>
    <m/>
    <m/>
    <m/>
    <m/>
    <m/>
    <m/>
    <m/>
    <m/>
  </r>
  <r>
    <s v="Agrosuper Shanghai1023111"/>
    <x v="0"/>
    <x v="3"/>
    <n v="1023111"/>
    <s v="GO Grasa Forro Pna Limp@ Bo Cj 20k AS"/>
    <x v="2"/>
    <x v="12"/>
    <n v="8073"/>
    <n v="0"/>
    <n v="0.38476266834449474"/>
    <n v="3106.1890215451062"/>
    <n v="0"/>
    <n v="0"/>
    <n v="0"/>
    <n v="3106.1890215451062"/>
    <n v="0"/>
    <n v="23000"/>
    <n v="0"/>
    <n v="0"/>
    <n v="0"/>
    <n v="3106.1890215451062"/>
    <n v="0"/>
    <n v="0"/>
    <n v="0"/>
    <n v="3106.189021545106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.66175301342866966"/>
    <s v="No Aplica"/>
    <n v="0"/>
    <n v="0"/>
    <n v="0"/>
    <n v="0"/>
    <m/>
    <s v="OK"/>
    <s v="OK"/>
    <n v="48000"/>
    <n v="0"/>
    <n v="96000"/>
    <n v="0"/>
    <n v="24000"/>
    <n v="0"/>
    <n v="0"/>
    <n v="0"/>
    <n v="26400"/>
    <n v="0"/>
    <n v="58800"/>
    <n v="0"/>
    <n v="18800"/>
    <n v="0"/>
    <m/>
    <n v="4966.8109784548942"/>
    <m/>
    <m/>
    <m/>
    <m/>
    <m/>
    <m/>
    <m/>
    <m/>
  </r>
  <r>
    <s v="Agrosuper Shanghai1023131"/>
    <x v="0"/>
    <x v="3"/>
    <n v="1023131"/>
    <s v="GO Pna S/Hso C/Cue@ Cj 20k AS"/>
    <x v="9"/>
    <x v="13"/>
    <n v="0"/>
    <n v="0"/>
    <n v="0.3847626683444947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2301029646377153"/>
    <s v="No Aplica"/>
    <n v="0"/>
    <n v="0"/>
    <n v="0"/>
    <n v="0"/>
    <m/>
    <s v="OK"/>
    <s v="OK"/>
    <n v="4224"/>
    <n v="0"/>
    <n v="4200"/>
    <n v="0"/>
    <n v="0"/>
    <n v="0"/>
    <n v="0"/>
    <n v="0"/>
    <n v="5280"/>
    <n v="0"/>
    <n v="5180"/>
    <n v="0"/>
    <n v="0"/>
    <n v="0"/>
    <m/>
    <n v="0"/>
    <m/>
    <m/>
    <m/>
    <m/>
    <m/>
    <m/>
    <m/>
    <m/>
  </r>
  <r>
    <s v="Agrosuper Shanghai1023306"/>
    <x v="0"/>
    <x v="3"/>
    <n v="1023306"/>
    <s v="GO Cue granel@ Bo Cj 20k AS"/>
    <x v="4"/>
    <x v="18"/>
    <n v="0"/>
    <n v="0"/>
    <n v="0.38476266834449474"/>
    <n v="0"/>
    <n v="20"/>
    <n v="0"/>
    <n v="0"/>
    <n v="20"/>
    <n v="0"/>
    <n v="23000"/>
    <n v="0"/>
    <n v="0"/>
    <n v="0"/>
    <n v="20"/>
    <n v="0"/>
    <n v="0"/>
    <n v="0"/>
    <n v="2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.99529127087621494"/>
    <s v="No Aplica"/>
    <n v="1.00484611969389"/>
    <n v="0"/>
    <n v="0"/>
    <n v="0"/>
    <m/>
    <s v="OK"/>
    <s v="OK"/>
    <n v="144000"/>
    <n v="72000"/>
    <n v="72000"/>
    <n v="144000"/>
    <n v="96000"/>
    <n v="96000"/>
    <n v="312160"/>
    <n v="312020"/>
    <n v="83520"/>
    <n v="46800"/>
    <n v="59760"/>
    <n v="108784"/>
    <n v="85572"/>
    <n v="76800"/>
    <m/>
    <n v="0"/>
    <m/>
    <m/>
    <m/>
    <m/>
    <m/>
    <m/>
    <m/>
    <m/>
  </r>
  <r>
    <s v="Exportacion Directa1020105"/>
    <x v="0"/>
    <x v="4"/>
    <n v="1020105"/>
    <s v="GO Lom Tecla@ Cj Lom Ctro JP"/>
    <x v="6"/>
    <x v="8"/>
    <n v="81138"/>
    <n v="60000"/>
    <n v="0.77338883776001444"/>
    <n v="62751.223518172053"/>
    <n v="32204.545000000006"/>
    <n v="13678.828682601785"/>
    <n v="5500"/>
    <n v="101766.71433251367"/>
    <n v="61000"/>
    <n v="2419.3548387096776"/>
    <n v="61000"/>
    <n v="-31000"/>
    <n v="30000"/>
    <n v="71766.714332513671"/>
    <n v="70161.290322580651"/>
    <n v="-35000"/>
    <n v="35161.290322580651"/>
    <n v="36605.42400993302"/>
    <n v="0"/>
    <n v="0"/>
    <n v="0"/>
    <n v="0"/>
    <n v="131161.29032258067"/>
    <n v="99709.677419354848"/>
    <n v="0"/>
    <n v="30000"/>
    <n v="69709.677419354848"/>
    <x v="53"/>
    <n v="30000"/>
    <n v="35161.290322580651"/>
    <x v="0"/>
    <x v="11"/>
    <s v="Si"/>
    <n v="65161.290322580651"/>
    <n v="32204.545000000006"/>
    <n v="32956.745322580646"/>
    <d v="2022-09-13T00:00:00"/>
    <n v="3.90906666666667"/>
    <n v="3.8493484744672135"/>
    <n v="3.8815726474857319"/>
    <n v="252928.28219100577"/>
    <n v="3.8362522068920182"/>
    <n v="1.1813728125667371E-2"/>
    <n v="3.8076164323391155"/>
    <n v="3.8815726474857319"/>
    <n v="0"/>
    <n v="3.8815726474857319"/>
    <m/>
    <s v="OK"/>
    <s v="OK"/>
    <n v="53000"/>
    <n v="35000"/>
    <n v="40000"/>
    <n v="55000"/>
    <n v="58500"/>
    <n v="40113"/>
    <n v="66935"/>
    <n v="80899.350000000006"/>
    <n v="242802.9852"/>
    <n v="150434"/>
    <n v="172191"/>
    <n v="229340"/>
    <n v="240695"/>
    <n v="151021"/>
    <m/>
    <n v="18386.776481827947"/>
    <m/>
    <m/>
    <m/>
    <m/>
    <m/>
    <m/>
    <m/>
    <m/>
  </r>
  <r>
    <s v="Exportacion Directa1020110"/>
    <x v="0"/>
    <x v="4"/>
    <n v="1020110"/>
    <s v="GO MM Loin L@ Cj 12k AP"/>
    <x v="6"/>
    <x v="37"/>
    <n v="482625"/>
    <n v="420000"/>
    <n v="0.77338883776001444"/>
    <n v="373256.78782392695"/>
    <n v="196112.05299999996"/>
    <n v="144677.41173769889"/>
    <n v="1800"/>
    <n v="697778.51138785598"/>
    <n v="438660"/>
    <n v="6247.0588235294117"/>
    <n v="438660"/>
    <n v="-200000"/>
    <n v="238660"/>
    <n v="459118.51138785598"/>
    <n v="456035.29411764705"/>
    <n v="-250000"/>
    <n v="206035.29411764705"/>
    <n v="253083.21727020893"/>
    <n v="0"/>
    <n v="0"/>
    <n v="0"/>
    <n v="0"/>
    <n v="894695.29411764699"/>
    <n v="694789.4117647059"/>
    <n v="0"/>
    <n v="238660"/>
    <n v="456129.4117647059"/>
    <x v="54"/>
    <n v="238660"/>
    <n v="206035.29411764705"/>
    <x v="0"/>
    <x v="11"/>
    <s v="Si"/>
    <n v="444695.29411764705"/>
    <n v="196112.05299999996"/>
    <n v="248583.24111764709"/>
    <d v="2022-09-13T00:00:00"/>
    <n v="3.4975714285714301"/>
    <n v="3.4421764759367353"/>
    <n v="3.4678419495985793"/>
    <n v="1542132.9957302548"/>
    <n v="3.3377215677232455"/>
    <n v="3.8984792240801744E-2"/>
    <n v="3.407387437302158"/>
    <n v="3.4678419495985793"/>
    <n v="0"/>
    <n v="3.4678419495985793"/>
    <m/>
    <s v="OK"/>
    <s v="OK"/>
    <n v="412200"/>
    <n v="240000"/>
    <n v="400000"/>
    <n v="460000"/>
    <n v="600000"/>
    <n v="690745"/>
    <n v="724953"/>
    <n v="679040.59"/>
    <n v="1698264"/>
    <n v="924341"/>
    <n v="1528601"/>
    <n v="1681228"/>
    <n v="2172336"/>
    <n v="2287445"/>
    <m/>
    <n v="109368.21217607305"/>
    <m/>
    <m/>
    <m/>
    <m/>
    <m/>
    <m/>
    <m/>
    <m/>
  </r>
  <r>
    <s v="Exportacion Directa1020284"/>
    <x v="0"/>
    <x v="4"/>
    <n v="1020284"/>
    <s v="GO Posta Negra 3P T@ Va Cj t-f JP"/>
    <x v="9"/>
    <x v="21"/>
    <n v="5241"/>
    <n v="7000"/>
    <n v="0.77338883776001444"/>
    <n v="4053.3308987002356"/>
    <n v="12962.795000000002"/>
    <n v="0"/>
    <n v="0"/>
    <n v="17016.125898700237"/>
    <n v="11500"/>
    <n v="2333.3333333333335"/>
    <n v="11500"/>
    <n v="-5000"/>
    <n v="6500"/>
    <n v="10516.125898700237"/>
    <n v="9333.3333333333339"/>
    <n v="-6000"/>
    <n v="3333.3333333333339"/>
    <n v="7182.7925653669026"/>
    <n v="0"/>
    <n v="0"/>
    <n v="0"/>
    <n v="0"/>
    <n v="20833.333333333336"/>
    <n v="16166.666666666668"/>
    <n v="0"/>
    <n v="6500"/>
    <n v="9666.6666666666679"/>
    <x v="55"/>
    <n v="6500"/>
    <n v="3333.3333333333339"/>
    <x v="0"/>
    <x v="11"/>
    <s v="Si"/>
    <n v="9833.3333333333339"/>
    <n v="9833.3333333333339"/>
    <n v="0"/>
    <d v="2022-09-13T00:00:00"/>
    <n v="3.6098571428571402"/>
    <n v="3.6184437708074504"/>
    <n v="3.6155330494683624"/>
    <n v="35552.741653105564"/>
    <n v="3.6560115307590015"/>
    <n v="1.107175974421384E-2"/>
    <n v="3.6895031008109065"/>
    <n v="3.6155330494683624"/>
    <n v="0"/>
    <n v="3.6155330494683624"/>
    <s v="3,54 es nuestro último precio promedio entre ultima propuesta Nippon y la nuestra"/>
    <s v="OK"/>
    <s v="OK"/>
    <n v="11750"/>
    <n v="5750"/>
    <n v="4000"/>
    <n v="17000"/>
    <n v="23200"/>
    <n v="7667"/>
    <n v="11833"/>
    <n v="7234.67"/>
    <n v="50760"/>
    <n v="23396"/>
    <n v="16318"/>
    <n v="67201"/>
    <n v="89295"/>
    <n v="27627"/>
    <m/>
    <n v="1187.6691012997644"/>
    <m/>
    <m/>
    <m/>
    <m/>
    <m/>
    <m/>
    <m/>
    <m/>
  </r>
  <r>
    <s v="Exportacion Directa1020326"/>
    <x v="0"/>
    <x v="4"/>
    <n v="1020326"/>
    <s v="GO PpPal Pim@ Cj AP"/>
    <x v="12"/>
    <x v="22"/>
    <n v="244547"/>
    <n v="264000"/>
    <n v="0.77338883776001444"/>
    <n v="189129.92010769824"/>
    <n v="72123.8"/>
    <n v="0"/>
    <n v="24000"/>
    <n v="237253.72010769823"/>
    <n v="48000"/>
    <n v="23000"/>
    <n v="48000"/>
    <n v="0"/>
    <n v="48000"/>
    <n v="189253.72010769823"/>
    <n v="184000"/>
    <n v="12000"/>
    <n v="196000"/>
    <n v="-6746.279892301769"/>
    <n v="0"/>
    <n v="0"/>
    <n v="0"/>
    <n v="0"/>
    <n v="232000"/>
    <n v="232000"/>
    <n v="0"/>
    <n v="48000"/>
    <n v="184000"/>
    <x v="56"/>
    <n v="48000"/>
    <n v="196000"/>
    <x v="0"/>
    <x v="11"/>
    <s v="Si"/>
    <n v="244000"/>
    <n v="72123.8"/>
    <n v="171876.2"/>
    <d v="2022-09-13T00:00:00"/>
    <n v="2.6371893939393898"/>
    <n v="2.5998890739606502"/>
    <n v="2.6298516260747196"/>
    <n v="641683.79676223162"/>
    <n v="2.4170818591050018"/>
    <n v="8.8027538731560467E-2"/>
    <n v="2.5808540104377111"/>
    <n v="2.6298516260747196"/>
    <n v="0"/>
    <n v="2.6298516260747196"/>
    <s v="2,59 precio promedio entre nuestra ultima propuesta y propuesta de Nippon"/>
    <s v="OK"/>
    <s v="OK"/>
    <n v="296000"/>
    <n v="264000"/>
    <n v="240000"/>
    <n v="408000"/>
    <n v="360000"/>
    <n v="312000"/>
    <n v="240000"/>
    <n v="216000"/>
    <n v="858400"/>
    <n v="679729"/>
    <n v="615492"/>
    <n v="1018883"/>
    <n v="897600"/>
    <n v="740745"/>
    <m/>
    <n v="55417.079892301757"/>
    <m/>
    <m/>
    <m/>
    <m/>
    <m/>
    <m/>
    <m/>
    <m/>
  </r>
  <r>
    <s v="Exportacion Directa1020589"/>
    <x v="0"/>
    <x v="4"/>
    <n v="1020589"/>
    <s v="GO MM Loin S@ Fi Cj 12k AP"/>
    <x v="6"/>
    <x v="37"/>
    <n v="32869"/>
    <n v="130000"/>
    <n v="0.77338883776001444"/>
    <n v="25420.517708333915"/>
    <n v="129372.52199999985"/>
    <n v="18200.441754415344"/>
    <n v="5000"/>
    <n v="166173.43728730758"/>
    <n v="110000"/>
    <n v="3265.3061224489797"/>
    <n v="110000"/>
    <n v="-50000"/>
    <n v="60000"/>
    <n v="106173.43728730758"/>
    <n v="104489.79591836735"/>
    <n v="-40000"/>
    <n v="64489.795918367352"/>
    <n v="41683.641368940225"/>
    <n v="0"/>
    <n v="0"/>
    <n v="0"/>
    <n v="0"/>
    <n v="214489.79591836734"/>
    <n v="165510.20408163266"/>
    <n v="0"/>
    <n v="60000"/>
    <n v="105510.20408163266"/>
    <x v="57"/>
    <n v="60000"/>
    <n v="64489.795918367352"/>
    <x v="0"/>
    <x v="11"/>
    <s v="Si"/>
    <n v="124489.79591836735"/>
    <n v="124489.79591836735"/>
    <n v="0"/>
    <d v="2022-09-13T00:00:00"/>
    <n v="3.68460769230769"/>
    <n v="3.6404234521538466"/>
    <n v="3.6633123372171492"/>
    <n v="456045.00524540024"/>
    <n v="3.6351188872995008"/>
    <n v="7.7558536025194649E-3"/>
    <n v="3.5750803848376762"/>
    <n v="3.6633123372171492"/>
    <n v="0"/>
    <n v="3.6633123372171492"/>
    <m/>
    <s v="OK"/>
    <s v="OK"/>
    <n v="64100"/>
    <n v="43000"/>
    <n v="100000"/>
    <n v="110000"/>
    <n v="144100"/>
    <n v="156329"/>
    <n v="119539"/>
    <n v="170914.29"/>
    <n v="282040"/>
    <n v="174732"/>
    <n v="416231"/>
    <n v="439164"/>
    <n v="561670"/>
    <n v="552525"/>
    <m/>
    <n v="7448.4822916660851"/>
    <m/>
    <m/>
    <m/>
    <m/>
    <m/>
    <m/>
    <m/>
    <m/>
  </r>
  <r>
    <s v="Exportacion Directa1020592"/>
    <x v="0"/>
    <x v="4"/>
    <n v="1020592"/>
    <s v="GO Lom Vet &gt;2.0@ Fi Cj Lom Vet AP"/>
    <x v="6"/>
    <x v="20"/>
    <n v="187358"/>
    <n v="210000"/>
    <n v="0.77338883776001444"/>
    <n v="144900.58586504078"/>
    <n v="156051.64899999983"/>
    <n v="46510.473476999206"/>
    <n v="15800"/>
    <n v="327011.66099433991"/>
    <n v="219730"/>
    <n v="6485.6164383561645"/>
    <n v="219730"/>
    <n v="-120000"/>
    <n v="99730"/>
    <n v="227281.66099433991"/>
    <n v="226996.57534246575"/>
    <n v="-140000"/>
    <n v="86996.575342465745"/>
    <n v="140285.08565187416"/>
    <n v="0"/>
    <n v="0"/>
    <n v="0"/>
    <n v="0"/>
    <n v="446726.57534246577"/>
    <n v="323499.8630136986"/>
    <n v="0"/>
    <n v="99730"/>
    <n v="223769.8630136986"/>
    <x v="58"/>
    <n v="99730"/>
    <n v="86996.575342465745"/>
    <x v="0"/>
    <x v="11"/>
    <s v="Si"/>
    <n v="186726.57534246575"/>
    <n v="156051.64899999983"/>
    <n v="30674.926342465915"/>
    <d v="2022-09-13T00:00:00"/>
    <n v="3.6097952380952401"/>
    <n v="3.5580632875715814"/>
    <n v="3.5821653872490913"/>
    <n v="668885.47507134045"/>
    <n v="3.5074788751133763"/>
    <n v="2.1293503053044276E-2"/>
    <n v="3.5274033714846835"/>
    <n v="3.5821653872490913"/>
    <n v="0"/>
    <n v="3.5821653872490913"/>
    <m/>
    <s v="OK"/>
    <s v="OK"/>
    <n v="0"/>
    <n v="90000"/>
    <n v="280000"/>
    <n v="280000"/>
    <n v="270000"/>
    <n v="282647"/>
    <n v="254664"/>
    <n v="233415.89"/>
    <n v="0"/>
    <n v="178762"/>
    <n v="1095385"/>
    <n v="1052959"/>
    <n v="1004342"/>
    <n v="966406"/>
    <m/>
    <n v="42457.414134959225"/>
    <m/>
    <m/>
    <m/>
    <m/>
    <m/>
    <m/>
    <m/>
    <m/>
  </r>
  <r>
    <s v="Exportacion Directa1020620"/>
    <x v="0"/>
    <x v="4"/>
    <n v="1020620"/>
    <s v="GO Lom Vet &lt;2.0@ Fi Cj AP"/>
    <x v="6"/>
    <x v="20"/>
    <n v="26564"/>
    <n v="30000"/>
    <n v="0.77338883776001444"/>
    <n v="20544.301086257023"/>
    <n v="7410.8929999999982"/>
    <n v="11390.512555308527"/>
    <n v="0"/>
    <n v="38206.65538603469"/>
    <n v="64700"/>
    <n v="3142.8571428571427"/>
    <n v="37714.28571428571"/>
    <n v="-17000"/>
    <n v="20714.28571428571"/>
    <n v="17492.36967174898"/>
    <n v="15714.285714285714"/>
    <n v="-9000"/>
    <n v="6714.2857142857138"/>
    <n v="10778.083957463266"/>
    <n v="0"/>
    <n v="0"/>
    <n v="0"/>
    <n v="0"/>
    <n v="53428.57142857142"/>
    <n v="37714.28571428571"/>
    <n v="0"/>
    <n v="20714.28571428571"/>
    <n v="17000"/>
    <x v="59"/>
    <n v="20714.28571428571"/>
    <n v="6714.2857142857138"/>
    <x v="0"/>
    <x v="11"/>
    <s v="Si"/>
    <n v="27428.571428571424"/>
    <n v="7410.8929999999982"/>
    <n v="20017.678428571424"/>
    <d v="2022-09-13T00:00:00"/>
    <n v="3.6097999999999999"/>
    <n v="3.4237607499085931"/>
    <n v="3.4693016080038857"/>
    <n v="95157.986962392271"/>
    <n v="3.4526044209162774"/>
    <n v="4.8361135687757231E-3"/>
    <n v="3.4890869295659162"/>
    <n v="3.4693016080038857"/>
    <n v="0"/>
    <n v="3.4693016080038857"/>
    <m/>
    <s v="OK"/>
    <s v="OK"/>
    <n v="17000"/>
    <n v="3000"/>
    <n v="16000"/>
    <n v="30000"/>
    <n v="40857"/>
    <n v="48000"/>
    <n v="52971"/>
    <n v="29617.14"/>
    <n v="70380"/>
    <n v="11767"/>
    <n v="62416"/>
    <n v="112375"/>
    <n v="149276"/>
    <n v="164118"/>
    <m/>
    <n v="6019.6989137429773"/>
    <m/>
    <m/>
    <m/>
    <m/>
    <m/>
    <m/>
    <m/>
    <m/>
  </r>
  <r>
    <s v="Exportacion Directa1020636"/>
    <x v="0"/>
    <x v="4"/>
    <n v="1020636"/>
    <s v="GO File C/cab@ Va Cj 10k AP"/>
    <x v="11"/>
    <x v="19"/>
    <n v="20905"/>
    <n v="13000"/>
    <n v="0.77338883776001444"/>
    <n v="16167.693653373102"/>
    <n v="5870.98"/>
    <n v="4077.1953641297828"/>
    <n v="2500"/>
    <n v="23208.149481089906"/>
    <n v="16800"/>
    <n v="1333.3333333333333"/>
    <n v="16800"/>
    <n v="-9000"/>
    <n v="7800"/>
    <n v="15408.149481089906"/>
    <n v="14666.666666666666"/>
    <n v="-9000"/>
    <n v="5666.6666666666661"/>
    <n v="9741.4828144232397"/>
    <n v="0"/>
    <n v="0"/>
    <n v="0"/>
    <n v="0"/>
    <n v="31466.666666666664"/>
    <n v="22133.333333333332"/>
    <n v="0"/>
    <n v="7800"/>
    <n v="14333.333333333332"/>
    <x v="60"/>
    <n v="7800"/>
    <n v="5666.6666666666661"/>
    <x v="0"/>
    <x v="11"/>
    <s v="Si"/>
    <n v="13466.666666666666"/>
    <n v="5870.98"/>
    <n v="7595.6866666666665"/>
    <d v="2022-09-13T00:00:00"/>
    <n v="4.2831538461538496"/>
    <n v="4.1490924520866068"/>
    <n v="4.2055044248376747"/>
    <n v="56634.126254480681"/>
    <n v="4.2774670760424121"/>
    <n v="1.6823659872870007E-2"/>
    <n v="4.1694361106461848"/>
    <n v="4.2055044248376747"/>
    <n v="0"/>
    <n v="4.2055044248376747"/>
    <m/>
    <s v="OK"/>
    <s v="OK"/>
    <n v="14500"/>
    <n v="14500"/>
    <n v="15000"/>
    <n v="18000"/>
    <n v="20000"/>
    <n v="30333"/>
    <n v="25800"/>
    <n v="23071.33"/>
    <n v="73613.435800000007"/>
    <n v="69303"/>
    <n v="71866"/>
    <n v="83082"/>
    <n v="89555"/>
    <n v="127020"/>
    <m/>
    <n v="4737.3063466268977"/>
    <m/>
    <m/>
    <m/>
    <m/>
    <m/>
    <m/>
    <m/>
    <m/>
  </r>
  <r>
    <s v="Exportacion Directa1020637"/>
    <x v="0"/>
    <x v="4"/>
    <n v="1020637"/>
    <s v="GO Panc Tec S/cue@ Fi Cj ch AP"/>
    <x v="8"/>
    <x v="10"/>
    <n v="219578"/>
    <n v="233000"/>
    <n v="0.77338883776001444"/>
    <n v="169819.17421766845"/>
    <n v="149893.242"/>
    <n v="32251.765625930908"/>
    <n v="10860"/>
    <n v="337879.00528100628"/>
    <n v="196410"/>
    <n v="4750"/>
    <n v="196410"/>
    <n v="-96000"/>
    <n v="100410"/>
    <n v="237469.00528100628"/>
    <n v="232750"/>
    <n v="-130000"/>
    <n v="102750"/>
    <n v="134719.00528100628"/>
    <n v="0"/>
    <n v="0"/>
    <n v="0"/>
    <n v="0"/>
    <n v="429160"/>
    <n v="334160"/>
    <n v="0"/>
    <n v="100410"/>
    <n v="233750"/>
    <x v="61"/>
    <n v="100410"/>
    <n v="102750"/>
    <x v="0"/>
    <x v="11"/>
    <s v="Si"/>
    <n v="203160"/>
    <n v="149893.242"/>
    <n v="53266.758000000002"/>
    <d v="2022-09-13T00:00:00"/>
    <n v="5.0312961373390603"/>
    <n v="4.9487679723333962"/>
    <n v="4.9905073351722038"/>
    <n v="1013871.470213585"/>
    <n v="4.5964683118190974"/>
    <n v="8.5726474462990823E-2"/>
    <n v="4.8608841773739559"/>
    <n v="4.9905073351722038"/>
    <n v="0"/>
    <n v="4.9905073351722038"/>
    <s v="4,91 precio promedio entre ultimas dos propuestas "/>
    <s v="OK"/>
    <s v="OK"/>
    <n v="193900"/>
    <n v="170000"/>
    <n v="190000"/>
    <n v="270000"/>
    <n v="253474"/>
    <n v="227600"/>
    <n v="217050"/>
    <n v="239740"/>
    <n v="942354"/>
    <n v="841715"/>
    <n v="947734"/>
    <n v="1311648"/>
    <n v="1212707"/>
    <n v="1012527"/>
    <m/>
    <n v="49758.825782331551"/>
    <m/>
    <m/>
    <m/>
    <m/>
    <m/>
    <m/>
    <m/>
    <m/>
  </r>
  <r>
    <s v="Exportacion Directa1020662"/>
    <x v="0"/>
    <x v="4"/>
    <n v="1020662"/>
    <s v="GO Ganso C/asto 3P@ Va Cj t-f AP"/>
    <x v="9"/>
    <x v="21"/>
    <n v="0"/>
    <n v="10000"/>
    <n v="0.77338883776001444"/>
    <n v="0"/>
    <n v="12915.093000000003"/>
    <n v="0"/>
    <n v="0"/>
    <n v="12915.093000000003"/>
    <n v="0"/>
    <n v="5000"/>
    <n v="0"/>
    <n v="0"/>
    <n v="0"/>
    <n v="12915.093000000003"/>
    <n v="10000"/>
    <n v="-5000"/>
    <n v="5000"/>
    <n v="7915.0930000000026"/>
    <n v="0"/>
    <n v="0"/>
    <n v="0"/>
    <n v="0"/>
    <n v="10000"/>
    <n v="10000"/>
    <n v="0"/>
    <n v="0"/>
    <n v="10000"/>
    <x v="62"/>
    <n v="0"/>
    <n v="5000"/>
    <x v="0"/>
    <x v="11"/>
    <s v="Si"/>
    <n v="5000"/>
    <n v="5000"/>
    <n v="0"/>
    <d v="2022-09-13T00:00:00"/>
    <n v="3.6472000000000002"/>
    <n v="0"/>
    <n v="3.6472000000000002"/>
    <n v="18236"/>
    <n v="3.6287107044202598"/>
    <n v="5.0952795871045823E-3"/>
    <n v="3.5784916036170094"/>
    <n v="3.6472000000000002"/>
    <n v="0"/>
    <n v="3.6472000000000002"/>
    <m/>
    <s v="OK"/>
    <s v="OK"/>
    <n v="30000"/>
    <n v="5000"/>
    <n v="4000"/>
    <n v="20000"/>
    <n v="22000"/>
    <n v="31500"/>
    <n v="38000"/>
    <n v="27460"/>
    <n v="139120.984"/>
    <n v="20587"/>
    <n v="16511"/>
    <n v="79963"/>
    <n v="84292"/>
    <n v="114721"/>
    <m/>
    <n v="0"/>
    <m/>
    <m/>
    <m/>
    <m/>
    <m/>
    <m/>
    <m/>
    <m/>
  </r>
  <r>
    <s v="Exportacion Directa1020664"/>
    <x v="0"/>
    <x v="4"/>
    <n v="1020664"/>
    <s v="GO Ganso C/asto C/abas S/g@ Va Cj JP"/>
    <x v="9"/>
    <x v="21"/>
    <n v="990"/>
    <n v="6000"/>
    <n v="0.77338883776001444"/>
    <n v="765.65494938241432"/>
    <n v="11330.813000000002"/>
    <n v="2620"/>
    <n v="0"/>
    <n v="14454.467949382417"/>
    <n v="10000"/>
    <n v="3000"/>
    <n v="10000"/>
    <n v="-5000"/>
    <n v="5000"/>
    <n v="9454.4679493824169"/>
    <n v="9000"/>
    <n v="-5000"/>
    <n v="4000"/>
    <n v="5454.4679493824169"/>
    <n v="0"/>
    <n v="0"/>
    <n v="0"/>
    <n v="0"/>
    <n v="19000"/>
    <n v="13000"/>
    <n v="0"/>
    <n v="5000"/>
    <n v="8000"/>
    <x v="63"/>
    <n v="5000"/>
    <n v="4000"/>
    <x v="0"/>
    <x v="11"/>
    <s v="Si"/>
    <n v="9000"/>
    <n v="9000"/>
    <n v="0"/>
    <d v="2022-09-13T00:00:00"/>
    <n v="3.6471666666666702"/>
    <n v="3.6026992350000002"/>
    <n v="3.6224625379629645"/>
    <n v="32602.162841666679"/>
    <n v="3.6628625872497613"/>
    <n v="1.1029638247262503E-2"/>
    <n v="3.6338760352941177"/>
    <n v="3.6224625379629645"/>
    <n v="0"/>
    <n v="3.6224625379629645"/>
    <m/>
    <s v="OK"/>
    <s v="OK"/>
    <n v="0"/>
    <n v="3000"/>
    <n v="3000"/>
    <n v="3000"/>
    <n v="0"/>
    <n v="3000"/>
    <n v="7000"/>
    <n v="17000"/>
    <n v="0"/>
    <n v="12115"/>
    <n v="12506"/>
    <n v="12074"/>
    <n v="0"/>
    <n v="10926"/>
    <m/>
    <n v="224.34505061758568"/>
    <m/>
    <m/>
    <m/>
    <m/>
    <m/>
    <m/>
    <m/>
    <m/>
  </r>
  <r>
    <s v="Exportacion Directa1020665"/>
    <x v="0"/>
    <x v="4"/>
    <n v="1020665"/>
    <s v="GO Posta Rosada 3P@ Va Cj t-f AP"/>
    <x v="9"/>
    <x v="21"/>
    <n v="11700"/>
    <n v="9000"/>
    <n v="0.77338883776001444"/>
    <n v="9048.6494017921686"/>
    <n v="14375.192000000001"/>
    <n v="0"/>
    <n v="0"/>
    <n v="23423.841401792168"/>
    <n v="19500"/>
    <n v="2333.3333333333335"/>
    <n v="19500"/>
    <n v="-12000"/>
    <n v="7500"/>
    <n v="15923.841401792168"/>
    <n v="14000"/>
    <n v="-10000"/>
    <n v="4000"/>
    <n v="11923.841401792168"/>
    <n v="0"/>
    <n v="0"/>
    <n v="0"/>
    <n v="0"/>
    <n v="33500"/>
    <n v="21833.333333333332"/>
    <n v="0"/>
    <n v="7500"/>
    <n v="14333.333333333332"/>
    <x v="64"/>
    <n v="7500"/>
    <n v="4000"/>
    <x v="0"/>
    <x v="11"/>
    <s v="Si"/>
    <n v="11500"/>
    <n v="11500"/>
    <n v="0"/>
    <d v="2022-09-13T00:00:00"/>
    <n v="3.6097777777777802"/>
    <n v="3.584969136596734"/>
    <n v="3.5935982291814454"/>
    <n v="41326.379635586622"/>
    <n v="3.6290607430446027"/>
    <n v="9.7718160080742938E-3"/>
    <n v="3.5993951333333323"/>
    <n v="3.5935982291814454"/>
    <n v="0"/>
    <n v="3.5935982291814454"/>
    <s v="3,56 precio promedio ultimas dos propuestas"/>
    <s v="OK"/>
    <s v="OK"/>
    <n v="11750"/>
    <n v="4750"/>
    <n v="5000"/>
    <n v="15000"/>
    <n v="17000"/>
    <n v="9100"/>
    <n v="13733"/>
    <n v="11666.67"/>
    <n v="50760"/>
    <n v="19327"/>
    <n v="20397"/>
    <n v="59295"/>
    <n v="65444"/>
    <n v="32792"/>
    <m/>
    <n v="2651.3505982078314"/>
    <m/>
    <m/>
    <m/>
    <m/>
    <m/>
    <m/>
    <m/>
    <m/>
  </r>
  <r>
    <s v="Exportacion Directa1020678"/>
    <x v="0"/>
    <x v="4"/>
    <n v="1020678"/>
    <s v="GO Lom Tec@ Va Cj Lom Ctro AP"/>
    <x v="6"/>
    <x v="8"/>
    <n v="0"/>
    <n v="0"/>
    <n v="0.77338883776001444"/>
    <n v="0"/>
    <n v="1268.1559999999999"/>
    <n v="0"/>
    <n v="0"/>
    <n v="1268.1559999999999"/>
    <n v="500"/>
    <n v="500"/>
    <n v="500"/>
    <n v="0"/>
    <n v="500"/>
    <n v="768.15599999999995"/>
    <n v="0"/>
    <n v="0"/>
    <n v="0"/>
    <n v="768.15599999999995"/>
    <n v="500"/>
    <n v="-500"/>
    <n v="0"/>
    <n v="0"/>
    <n v="1000"/>
    <n v="1000"/>
    <n v="0"/>
    <n v="500"/>
    <n v="500"/>
    <x v="65"/>
    <n v="500"/>
    <n v="0"/>
    <x v="0"/>
    <x v="11"/>
    <s v="Si"/>
    <n v="500"/>
    <n v="500"/>
    <n v="0"/>
    <d v="2022-09-13T00:00:00"/>
    <n v="0"/>
    <n v="4.7710151999999999"/>
    <n v="4.7710151999999999"/>
    <n v="2385.5075999999999"/>
    <n v="4.5102402320556001"/>
    <n v="5.7818420866142702E-2"/>
    <n v="4.7351428000000002"/>
    <n v="4.7710151999999999"/>
    <n v="0"/>
    <n v="4.7710151999999999"/>
    <m/>
    <s v="OK"/>
    <s v="OK"/>
    <n v="0"/>
    <n v="500"/>
    <n v="0"/>
    <n v="500"/>
    <n v="500"/>
    <n v="0"/>
    <n v="500"/>
    <n v="1000"/>
    <n v="0"/>
    <n v="2794"/>
    <n v="0"/>
    <n v="1255"/>
    <n v="2382"/>
    <n v="0"/>
    <m/>
    <n v="0"/>
    <m/>
    <m/>
    <m/>
    <m/>
    <m/>
    <m/>
    <m/>
    <m/>
  </r>
  <r>
    <s v="Exportacion Directa1020681"/>
    <x v="0"/>
    <x v="4"/>
    <n v="1020681"/>
    <s v="GO MM Loin D@ Fi Cj 12k AP"/>
    <x v="6"/>
    <x v="37"/>
    <n v="3391"/>
    <n v="10000"/>
    <n v="0.77338883776001444"/>
    <n v="2622.561548844209"/>
    <n v="16059.090000000007"/>
    <n v="1110.4839028818496"/>
    <n v="0"/>
    <n v="19681.08706143788"/>
    <n v="19500"/>
    <n v="6666.666666666667"/>
    <n v="19500"/>
    <n v="-10000"/>
    <n v="9500"/>
    <n v="10181.08706143788"/>
    <n v="6666.666666666667"/>
    <n v="-4667"/>
    <n v="1999.666666666667"/>
    <n v="8181.4203947712131"/>
    <n v="0"/>
    <n v="0"/>
    <n v="0"/>
    <n v="0"/>
    <n v="26166.666666666668"/>
    <n v="19500"/>
    <n v="0"/>
    <n v="9500"/>
    <n v="10000"/>
    <x v="66"/>
    <n v="9500"/>
    <n v="1999.6666666666679"/>
    <x v="0"/>
    <x v="11"/>
    <s v="Si"/>
    <n v="11499.666666666668"/>
    <n v="11499.666666666668"/>
    <n v="0"/>
    <d v="2022-09-13T00:00:00"/>
    <n v="3.9464999999999999"/>
    <n v="3.9219253602564121"/>
    <n v="3.926198622200868"/>
    <n v="45149.97542243592"/>
    <n v="3.8465315744997439"/>
    <n v="2.0711398348909976E-2"/>
    <n v="3.8373833166383964"/>
    <n v="3.926198622200868"/>
    <n v="0"/>
    <n v="3.926198622200868"/>
    <m/>
    <s v="OK"/>
    <s v="OK"/>
    <n v="14250"/>
    <n v="11250"/>
    <n v="15000"/>
    <n v="22000"/>
    <n v="20545"/>
    <n v="15000"/>
    <n v="16667"/>
    <n v="17361.330000000002"/>
    <n v="62607.7163"/>
    <n v="48073"/>
    <n v="63995"/>
    <n v="91022"/>
    <n v="82702"/>
    <n v="56473"/>
    <m/>
    <n v="768.43845115579097"/>
    <m/>
    <m/>
    <m/>
    <m/>
    <m/>
    <m/>
    <m/>
    <m/>
  </r>
  <r>
    <s v="Exportacion Directa1020704"/>
    <x v="0"/>
    <x v="4"/>
    <n v="1020704"/>
    <s v="GO File N@ Va Cj File AP"/>
    <x v="11"/>
    <x v="19"/>
    <n v="1004"/>
    <n v="1000"/>
    <n v="0.77338883776001444"/>
    <n v="776.48239311105453"/>
    <n v="825"/>
    <n v="156.44580937304605"/>
    <n v="0"/>
    <n v="1742.283621546796"/>
    <n v="1000"/>
    <n v="500"/>
    <n v="1000"/>
    <n v="0"/>
    <n v="1000"/>
    <n v="742.28362154679598"/>
    <n v="500"/>
    <n v="-500"/>
    <n v="0"/>
    <n v="742.28362154679598"/>
    <n v="0"/>
    <n v="0"/>
    <n v="0"/>
    <n v="0"/>
    <n v="1500"/>
    <n v="1500"/>
    <n v="0"/>
    <n v="1000"/>
    <n v="500"/>
    <x v="67"/>
    <n v="1000"/>
    <n v="0"/>
    <x v="0"/>
    <x v="11"/>
    <s v="Si"/>
    <n v="1000"/>
    <n v="825"/>
    <n v="175"/>
    <d v="2022-09-13T00:00:00"/>
    <n v="4.4329999999999998"/>
    <n v="4.3995506000000004"/>
    <n v="4.3995506000000004"/>
    <n v="4399.5506000000005"/>
    <n v="4.3982075249500996"/>
    <n v="3.0536873084815856E-4"/>
    <n v="4.4771024666666666"/>
    <n v="4.3995506000000004"/>
    <n v="0"/>
    <n v="4.3995506000000004"/>
    <m/>
    <s v="OK"/>
    <s v="OK"/>
    <n v="0"/>
    <n v="500"/>
    <n v="500"/>
    <n v="1500"/>
    <n v="1500"/>
    <n v="2000"/>
    <n v="2000"/>
    <n v="1500"/>
    <n v="0"/>
    <n v="2544"/>
    <n v="2594"/>
    <n v="7446"/>
    <n v="7399"/>
    <n v="8913"/>
    <m/>
    <n v="227.51760688894547"/>
    <m/>
    <m/>
    <m/>
    <m/>
    <m/>
    <m/>
    <m/>
    <m/>
  </r>
  <r>
    <s v="Exportacion Directa1020715"/>
    <x v="0"/>
    <x v="4"/>
    <n v="1020715"/>
    <s v="GO Panc Tec C/cue@ Fi Cj Panc AP"/>
    <x v="8"/>
    <x v="26"/>
    <n v="1628"/>
    <n v="2000"/>
    <n v="0.77338883776001444"/>
    <n v="1259.0770278733035"/>
    <n v="1866.3159999999998"/>
    <n v="1184.8943927191649"/>
    <n v="0"/>
    <n v="4191.797981320552"/>
    <n v="2000"/>
    <n v="2000"/>
    <n v="2000"/>
    <n v="0"/>
    <n v="2000"/>
    <n v="2191.797981320552"/>
    <n v="2000"/>
    <n v="-2000"/>
    <n v="0"/>
    <n v="2191.797981320552"/>
    <n v="0"/>
    <n v="0"/>
    <n v="0"/>
    <n v="0"/>
    <n v="4000"/>
    <n v="4000"/>
    <n v="0"/>
    <n v="2000"/>
    <n v="2000"/>
    <x v="68"/>
    <n v="2000"/>
    <n v="0"/>
    <x v="0"/>
    <x v="11"/>
    <s v="Si"/>
    <n v="2000"/>
    <n v="1866.3159999999998"/>
    <n v="133.6840000000002"/>
    <d v="2022-09-13T00:00:00"/>
    <n v="4.8445"/>
    <n v="4.8104249499999998"/>
    <n v="4.8104249499999998"/>
    <n v="9620.8498999999993"/>
    <n v="4.263710328272837"/>
    <n v="0.12822508557907319"/>
    <n v="4.5643845058673467"/>
    <n v="4.8104249499999998"/>
    <n v="0"/>
    <n v="4.8104249499999998"/>
    <m/>
    <s v="OK"/>
    <s v="OK"/>
    <n v="3000"/>
    <n v="2000"/>
    <n v="2000"/>
    <n v="4000"/>
    <n v="6000"/>
    <n v="2000"/>
    <n v="2000"/>
    <n v="1568"/>
    <n v="14885.3922"/>
    <n v="9329"/>
    <n v="9271"/>
    <n v="18229"/>
    <n v="26806"/>
    <n v="8421"/>
    <m/>
    <n v="368.92297212669655"/>
    <m/>
    <m/>
    <m/>
    <m/>
    <m/>
    <m/>
    <m/>
    <m/>
  </r>
  <r>
    <s v="Exportacion Directa1020731"/>
    <x v="0"/>
    <x v="4"/>
    <n v="1020731"/>
    <s v="GO Panc S/tec/cue I@ Fi Cj Panc 4s AP"/>
    <x v="8"/>
    <x v="10"/>
    <n v="44417"/>
    <n v="25000"/>
    <n v="0.77338883776001444"/>
    <n v="34351.612006786563"/>
    <n v="12118.880000000005"/>
    <n v="4030.9709659899463"/>
    <n v="3000"/>
    <n v="47098.365876177522"/>
    <n v="44000"/>
    <n v="2500"/>
    <n v="44000"/>
    <n v="-34000"/>
    <n v="10000"/>
    <n v="37098.365876177522"/>
    <n v="35000"/>
    <n v="-30000"/>
    <n v="5000"/>
    <n v="32098.365876177522"/>
    <n v="0"/>
    <n v="0"/>
    <n v="0"/>
    <n v="0"/>
    <n v="79000"/>
    <n v="46500"/>
    <n v="0"/>
    <n v="10000"/>
    <n v="36500"/>
    <x v="69"/>
    <n v="10000"/>
    <n v="5000"/>
    <x v="0"/>
    <x v="11"/>
    <s v="Si"/>
    <n v="15000"/>
    <n v="12118.880000000005"/>
    <n v="2881.1199999999953"/>
    <d v="2022-09-13T00:00:00"/>
    <n v="5.3305600000000002"/>
    <n v="5.274766144818182"/>
    <n v="5.2933640965454538"/>
    <n v="79400.461448181813"/>
    <n v="4.6909003988665523"/>
    <n v="0.12843242159319199"/>
    <n v="5.1453476809061218"/>
    <n v="5.2933640965454538"/>
    <n v="0"/>
    <n v="5.2933640965454538"/>
    <m/>
    <s v="OK"/>
    <s v="OK"/>
    <n v="18000"/>
    <n v="6000"/>
    <n v="10000"/>
    <n v="20000"/>
    <n v="18000"/>
    <n v="22000"/>
    <n v="18300"/>
    <n v="21240"/>
    <n v="99485.017300000007"/>
    <n v="31124"/>
    <n v="51494"/>
    <n v="100776"/>
    <n v="87382"/>
    <n v="101929"/>
    <m/>
    <n v="10065.387993213437"/>
    <m/>
    <m/>
    <m/>
    <m/>
    <m/>
    <m/>
    <m/>
    <m/>
  </r>
  <r>
    <s v="Exportacion Directa1020758"/>
    <x v="0"/>
    <x v="4"/>
    <n v="1020758"/>
    <s v="GO Lom Vet S/g@ Va Cj ch AP"/>
    <x v="6"/>
    <x v="20"/>
    <n v="13882"/>
    <n v="9000"/>
    <n v="0.77338883776001444"/>
    <n v="10736.183845784521"/>
    <n v="3715.645"/>
    <n v="6617.3915687229237"/>
    <n v="0"/>
    <n v="20407.481257635154"/>
    <n v="9200"/>
    <n v="3250"/>
    <n v="9200"/>
    <n v="-4200"/>
    <n v="5000"/>
    <n v="15407.481257635154"/>
    <n v="13000"/>
    <n v="-8000"/>
    <n v="5000"/>
    <n v="10407.481257635154"/>
    <n v="0"/>
    <n v="0"/>
    <n v="0"/>
    <n v="0"/>
    <n v="22200"/>
    <n v="18950"/>
    <n v="0"/>
    <n v="5000"/>
    <n v="13950"/>
    <x v="47"/>
    <n v="5000"/>
    <n v="5000"/>
    <x v="0"/>
    <x v="11"/>
    <s v="Si"/>
    <n v="10000"/>
    <n v="3715.645"/>
    <n v="6284.3549999999996"/>
    <d v="2022-09-13T00:00:00"/>
    <n v="3.94644444444444"/>
    <n v="3.8701557830917874"/>
    <n v="3.9083001137681137"/>
    <n v="39083.001137681138"/>
    <n v="3.8340117762394943"/>
    <n v="1.9376137024149542E-2"/>
    <n v="3.8503563124332079"/>
    <n v="3.9083001137681137"/>
    <n v="0"/>
    <n v="3.9083001137681137"/>
    <m/>
    <s v="OK"/>
    <s v="OK"/>
    <n v="8000"/>
    <n v="5000"/>
    <n v="8000"/>
    <n v="12000"/>
    <n v="6000"/>
    <n v="3000"/>
    <n v="3000"/>
    <n v="12102"/>
    <n v="35636.778700000003"/>
    <n v="20917"/>
    <n v="33318"/>
    <n v="48487"/>
    <n v="23733"/>
    <n v="11179"/>
    <m/>
    <n v="3145.8161542154794"/>
    <m/>
    <m/>
    <m/>
    <m/>
    <m/>
    <m/>
    <m/>
    <m/>
  </r>
  <r>
    <s v="Exportacion Directa1020774"/>
    <x v="0"/>
    <x v="4"/>
    <n v="1020774"/>
    <s v="GO Malaya Japon@ Va Cj JP"/>
    <x v="14"/>
    <x v="29"/>
    <n v="8844"/>
    <n v="9000"/>
    <n v="0.77338883776001444"/>
    <n v="6839.8508811495676"/>
    <n v="5640"/>
    <n v="2092"/>
    <n v="0"/>
    <n v="14362.650881149566"/>
    <n v="9000"/>
    <n v="952.38095238095241"/>
    <n v="9000"/>
    <n v="-4000"/>
    <n v="5000"/>
    <n v="9362.650881149566"/>
    <n v="8571.4285714285725"/>
    <n v="-3571"/>
    <n v="5000.4285714285725"/>
    <n v="4362.2223097209935"/>
    <n v="0"/>
    <n v="0"/>
    <n v="0"/>
    <n v="0"/>
    <n v="17571.428571428572"/>
    <n v="13761.904761904763"/>
    <n v="0"/>
    <n v="5000"/>
    <n v="8761.9047619047633"/>
    <x v="70"/>
    <n v="5000"/>
    <n v="5000.4285714285725"/>
    <x v="0"/>
    <x v="11"/>
    <s v="Si"/>
    <n v="10000.428571428572"/>
    <n v="5640"/>
    <n v="4360.4285714285725"/>
    <d v="2022-09-13T00:00:00"/>
    <n v="6.0038888888888904"/>
    <n v="5.9408461222222266"/>
    <n v="5.9723688564140938"/>
    <n v="59726.24815079369"/>
    <n v="5.6729462993861182"/>
    <n v="5.2780784662174E-2"/>
    <n v="5.8830940817658233"/>
    <n v="5.9723688564140938"/>
    <n v="0"/>
    <n v="5.9723688564140938"/>
    <m/>
    <s v="OK"/>
    <s v="OK"/>
    <n v="6500"/>
    <n v="9000"/>
    <n v="7000"/>
    <n v="7000"/>
    <n v="12778"/>
    <n v="13810"/>
    <n v="10667"/>
    <n v="10504.19"/>
    <n v="39650"/>
    <n v="55209"/>
    <n v="42742"/>
    <n v="42209"/>
    <n v="76257"/>
    <n v="77987"/>
    <m/>
    <n v="2004.1491188504324"/>
    <m/>
    <m/>
    <m/>
    <m/>
    <m/>
    <m/>
    <m/>
    <m/>
  </r>
  <r>
    <s v="Exportacion Directa1020802"/>
    <x v="0"/>
    <x v="4"/>
    <n v="1020802"/>
    <s v="GO Panc S/tec N@ Fi Cj 20k AP"/>
    <x v="8"/>
    <x v="10"/>
    <n v="45291"/>
    <n v="38000"/>
    <n v="0.77338883776001444"/>
    <n v="35027.553850988814"/>
    <n v="3576.5110000000004"/>
    <n v="8044.7458094280755"/>
    <n v="3000"/>
    <n v="42844.33607947408"/>
    <n v="10000"/>
    <n v="8437.5"/>
    <n v="10000"/>
    <n v="0"/>
    <n v="10000"/>
    <n v="32844.33607947408"/>
    <n v="25312.5"/>
    <n v="-10000"/>
    <n v="15312.5"/>
    <n v="17531.83607947408"/>
    <n v="0"/>
    <n v="0"/>
    <n v="0"/>
    <n v="0"/>
    <n v="35312.5"/>
    <n v="35312.5"/>
    <n v="0"/>
    <n v="10000"/>
    <n v="25312.5"/>
    <x v="71"/>
    <n v="10000"/>
    <n v="15312.5"/>
    <x v="0"/>
    <x v="11"/>
    <s v="Si"/>
    <n v="25312.5"/>
    <n v="3576.5110000000004"/>
    <n v="21735.989000000001"/>
    <d v="2022-09-13T00:00:00"/>
    <n v="4.8816578947368399"/>
    <n v="4.8284526121951199"/>
    <n v="4.8606385238561609"/>
    <n v="123034.91263510907"/>
    <n v="4.3342186644834548"/>
    <n v="0.12145669153391547"/>
    <n v="4.6341999108069256"/>
    <n v="4.8606385238561609"/>
    <n v="0"/>
    <n v="4.8606385238561609"/>
    <s v="4,77 precio promedio ultimas dos propuestas"/>
    <s v="OK"/>
    <s v="OK"/>
    <n v="103000"/>
    <n v="47000"/>
    <n v="95000"/>
    <n v="130000"/>
    <n v="92821"/>
    <n v="95563"/>
    <n v="73025"/>
    <n v="58246"/>
    <n v="518029.43709999998"/>
    <n v="220820"/>
    <n v="445408"/>
    <n v="591029"/>
    <n v="410262"/>
    <n v="398697"/>
    <m/>
    <n v="10263.446149011186"/>
    <m/>
    <m/>
    <m/>
    <m/>
    <m/>
    <m/>
    <m/>
    <m/>
  </r>
  <r>
    <s v="Exportacion Directa1020810"/>
    <x v="0"/>
    <x v="4"/>
    <n v="1020810"/>
    <s v="GO Recto@ Cj File AP"/>
    <x v="10"/>
    <x v="25"/>
    <n v="621"/>
    <n v="2000"/>
    <n v="0.77338883776001444"/>
    <n v="480.27446824896896"/>
    <n v="720"/>
    <n v="0"/>
    <n v="0"/>
    <n v="1200.274468248969"/>
    <n v="3000"/>
    <n v="1500"/>
    <n v="0"/>
    <n v="0"/>
    <n v="0"/>
    <n v="1200.274468248969"/>
    <n v="0"/>
    <n v="0"/>
    <n v="0"/>
    <n v="1200.274468248969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4.1334999999999997"/>
    <n v="4.0376912000000003"/>
    <n v="0"/>
    <n v="0"/>
    <n v="3.243279405128205"/>
    <s v="No Aplica"/>
    <n v="3.5806411476474156"/>
    <n v="0"/>
    <n v="0"/>
    <n v="0"/>
    <m/>
    <s v="OK"/>
    <s v="OK"/>
    <n v="5000"/>
    <n v="6000"/>
    <n v="2500"/>
    <n v="0"/>
    <n v="6000"/>
    <n v="1500"/>
    <n v="3000"/>
    <n v="4330"/>
    <n v="17987.201300000001"/>
    <n v="21135"/>
    <n v="8690"/>
    <n v="0"/>
    <n v="20254"/>
    <n v="4841"/>
    <m/>
    <n v="140.72553175103104"/>
    <m/>
    <m/>
    <m/>
    <m/>
    <m/>
    <m/>
    <m/>
    <m/>
  </r>
  <r>
    <s v="Exportacion Directa1020914"/>
    <x v="0"/>
    <x v="4"/>
    <n v="1020914"/>
    <s v="GO Panc Lam 2.5mm@ Cj ch AP"/>
    <x v="8"/>
    <x v="26"/>
    <n v="12618"/>
    <n v="9000"/>
    <n v="0.77338883776001444"/>
    <n v="9758.6203548558624"/>
    <n v="3831.4700000000003"/>
    <n v="2618"/>
    <n v="0"/>
    <n v="15946.290354855864"/>
    <n v="25500"/>
    <n v="1285.7142857142858"/>
    <n v="15428.571428571429"/>
    <n v="-8429"/>
    <n v="6999.5714285714294"/>
    <n v="8946.7189262844349"/>
    <n v="7714.2857142857147"/>
    <n v="-5714"/>
    <n v="2000.2857142857147"/>
    <n v="6946.4332119987203"/>
    <n v="0"/>
    <n v="0"/>
    <n v="0"/>
    <n v="0"/>
    <n v="23142.857142857145"/>
    <n v="15428.571428571429"/>
    <n v="0"/>
    <n v="6999.5714285714294"/>
    <n v="8429"/>
    <x v="72"/>
    <n v="6999.5714285714294"/>
    <n v="2000.2857142857156"/>
    <x v="0"/>
    <x v="11"/>
    <s v="Si"/>
    <n v="8999.8571428571449"/>
    <n v="3831.4700000000003"/>
    <n v="5168.3871428571447"/>
    <d v="2022-09-13T00:00:00"/>
    <n v="5.6297777777777798"/>
    <n v="5.44755668235294"/>
    <n v="5.4880566867679086"/>
    <n v="49391.726172813076"/>
    <n v="5.1318059372396556"/>
    <n v="6.9420152259279805E-2"/>
    <n v="5.4255752288888885"/>
    <n v="5.4880566867679086"/>
    <n v="0"/>
    <n v="5.4880566867679086"/>
    <m/>
    <s v="OK"/>
    <s v="OK"/>
    <n v="3000"/>
    <n v="0"/>
    <n v="3000"/>
    <n v="15000"/>
    <n v="10000"/>
    <n v="12786"/>
    <n v="14143"/>
    <n v="22142.86"/>
    <n v="17508.131799999999"/>
    <n v="0"/>
    <n v="17286"/>
    <n v="84027"/>
    <n v="55306"/>
    <n v="65820"/>
    <m/>
    <n v="2859.3796451441376"/>
    <m/>
    <m/>
    <m/>
    <m/>
    <m/>
    <m/>
    <m/>
    <m/>
  </r>
  <r>
    <s v="Exportacion Directa1020990"/>
    <x v="0"/>
    <x v="4"/>
    <n v="1020990"/>
    <s v="GO Ganso S/g S/abst DA@ Cj 12k AP"/>
    <x v="9"/>
    <x v="21"/>
    <n v="158"/>
    <n v="5000"/>
    <n v="0.77338883776001444"/>
    <n v="122.19543636608228"/>
    <n v="12622.341000000008"/>
    <n v="0"/>
    <n v="0"/>
    <n v="12744.53643636609"/>
    <n v="10000"/>
    <n v="2666.6666666666665"/>
    <n v="10000"/>
    <n v="-6000"/>
    <n v="4000"/>
    <n v="8744.5364363660901"/>
    <n v="8000"/>
    <n v="-5000"/>
    <n v="3000"/>
    <n v="5744.5364363660901"/>
    <n v="0"/>
    <n v="0"/>
    <n v="0"/>
    <n v="0"/>
    <n v="18000"/>
    <n v="12666.666666666666"/>
    <n v="0"/>
    <n v="4000"/>
    <n v="8666.6666666666661"/>
    <x v="42"/>
    <n v="4000"/>
    <n v="3000"/>
    <x v="0"/>
    <x v="11"/>
    <s v="Si"/>
    <n v="7000"/>
    <n v="7000"/>
    <n v="0"/>
    <d v="2022-09-13T00:00:00"/>
    <n v="3.6097999999999999"/>
    <n v="3.5164814700000004"/>
    <n v="3.5564751257142864"/>
    <n v="24895.325880000004"/>
    <n v="3.6921862292727035"/>
    <n v="3.6756299691077562E-2"/>
    <n v="3.4651205361906907"/>
    <n v="3.5564751257142864"/>
    <n v="0"/>
    <n v="3.5564751257142864"/>
    <m/>
    <s v="OK"/>
    <s v="OK"/>
    <n v="8750"/>
    <n v="4750"/>
    <n v="7000"/>
    <n v="13000"/>
    <n v="13000"/>
    <n v="8000"/>
    <n v="7833"/>
    <n v="5901.33"/>
    <n v="36645.971899999997"/>
    <n v="19327"/>
    <n v="28598"/>
    <n v="51483"/>
    <n v="50072"/>
    <n v="28828"/>
    <m/>
    <n v="35.804563633917724"/>
    <m/>
    <m/>
    <m/>
    <m/>
    <m/>
    <m/>
    <m/>
    <m/>
  </r>
  <r>
    <s v="Exportacion Directa1020991"/>
    <x v="0"/>
    <x v="4"/>
    <n v="1020991"/>
    <s v="GO Asiento C/g DA@ Cj 12k JP"/>
    <x v="9"/>
    <x v="21"/>
    <n v="13000"/>
    <n v="8000"/>
    <n v="0.77338883776001444"/>
    <n v="10054.054890880188"/>
    <n v="4837.8780000000006"/>
    <n v="2874.9"/>
    <n v="0"/>
    <n v="17479.342890880191"/>
    <n v="15000"/>
    <n v="3333.3333333333335"/>
    <n v="15000"/>
    <n v="-7000"/>
    <n v="8000"/>
    <n v="9479.3428908801907"/>
    <n v="6666.666666666667"/>
    <n v="-3667"/>
    <n v="2999.666666666667"/>
    <n v="6479.6762242135237"/>
    <n v="0"/>
    <n v="0"/>
    <n v="0"/>
    <n v="0"/>
    <n v="21666.666666666668"/>
    <n v="15000"/>
    <n v="0"/>
    <n v="8000"/>
    <n v="7000"/>
    <x v="73"/>
    <n v="8000"/>
    <n v="2999.6666666666679"/>
    <x v="0"/>
    <x v="11"/>
    <s v="Si"/>
    <n v="10999.666666666668"/>
    <n v="4837.8780000000006"/>
    <n v="6161.7886666666673"/>
    <d v="2022-09-13T00:00:00"/>
    <n v="3.60975"/>
    <n v="3.6122765822222203"/>
    <n v="3.6115875700273725"/>
    <n v="39726.259407777761"/>
    <n v="3.5987652719465575"/>
    <n v="3.5629714949092809E-3"/>
    <n v="3.6104867696969696"/>
    <n v="3.6115875700273725"/>
    <n v="0"/>
    <n v="3.6115875700273725"/>
    <m/>
    <s v="OK"/>
    <s v="OK"/>
    <n v="1250"/>
    <n v="5000"/>
    <n v="5000"/>
    <n v="60000"/>
    <n v="10000"/>
    <n v="10000"/>
    <n v="8000"/>
    <n v="10000"/>
    <n v="5233.6656000000003"/>
    <n v="20319"/>
    <n v="20402"/>
    <n v="237274"/>
    <n v="38437"/>
    <n v="36035"/>
    <m/>
    <n v="2945.9451091198116"/>
    <m/>
    <m/>
    <m/>
    <m/>
    <m/>
    <m/>
    <m/>
    <m/>
  </r>
  <r>
    <s v="Exportacion Directa1021136"/>
    <x v="0"/>
    <x v="4"/>
    <n v="1021136"/>
    <s v="GO Tráquea@ Cj Lom Ctro AP"/>
    <x v="10"/>
    <x v="15"/>
    <n v="9800"/>
    <n v="13090"/>
    <n v="0.77338883776001444"/>
    <n v="7579.2106100481415"/>
    <n v="5290"/>
    <n v="0"/>
    <n v="0"/>
    <n v="12869.210610048141"/>
    <n v="2000"/>
    <n v="2666.6666666666665"/>
    <n v="2000"/>
    <n v="0"/>
    <n v="2000"/>
    <n v="10869.210610048141"/>
    <n v="10666.666666666666"/>
    <n v="-6667"/>
    <n v="3999.6666666666661"/>
    <n v="6869.5439433814754"/>
    <n v="0"/>
    <n v="0"/>
    <n v="0"/>
    <n v="0"/>
    <n v="12666.666666666666"/>
    <n v="12666.666666666666"/>
    <n v="0"/>
    <n v="2000"/>
    <n v="10666.666666666666"/>
    <x v="74"/>
    <n v="2000"/>
    <n v="3999.6666666666661"/>
    <x v="0"/>
    <x v="11"/>
    <s v="Si"/>
    <n v="5999.6666666666661"/>
    <n v="5290"/>
    <n v="709.66666666666606"/>
    <d v="2022-09-13T00:00:00"/>
    <n v="2.7867838044308599"/>
    <n v="2.7263114000000002"/>
    <n v="2.7666252163656808"/>
    <n v="16598.829089788629"/>
    <n v="2.5468413105263159"/>
    <n v="8.6296662823466458E-2"/>
    <n v="2.4264629499999999"/>
    <n v="2.7666252163656808"/>
    <n v="0"/>
    <n v="2.7666252163656808"/>
    <m/>
    <s v="OK"/>
    <s v="OK"/>
    <n v="5000"/>
    <n v="3000"/>
    <n v="4000"/>
    <n v="5000"/>
    <n v="7200"/>
    <n v="8000"/>
    <n v="4000"/>
    <n v="7333.33"/>
    <n v="14419.3794"/>
    <n v="6405"/>
    <n v="11558"/>
    <n v="13732"/>
    <n v="20064"/>
    <n v="19670"/>
    <m/>
    <n v="2220.7893899518585"/>
    <m/>
    <m/>
    <m/>
    <m/>
    <m/>
    <m/>
    <m/>
    <m/>
  </r>
  <r>
    <s v="Exportacion Directa1021533"/>
    <x v="0"/>
    <x v="4"/>
    <n v="1021533"/>
    <s v="GO Panc Mit@ Va Cj 20k AP"/>
    <x v="8"/>
    <x v="10"/>
    <n v="0"/>
    <n v="5000"/>
    <n v="0.77338883776001444"/>
    <n v="0"/>
    <n v="1609.6469999999999"/>
    <n v="6233.8731641135209"/>
    <n v="0"/>
    <n v="7220.1328477021689"/>
    <n v="20000"/>
    <n v="3000"/>
    <n v="6000"/>
    <n v="0"/>
    <n v="6000"/>
    <n v="1220.1328477021689"/>
    <n v="0"/>
    <n v="0"/>
    <n v="0"/>
    <n v="1220.1328477021689"/>
    <n v="0"/>
    <n v="0"/>
    <n v="0"/>
    <n v="0"/>
    <n v="6000"/>
    <n v="6000"/>
    <n v="0"/>
    <n v="6000"/>
    <n v="0"/>
    <x v="75"/>
    <n v="6000"/>
    <n v="0"/>
    <x v="0"/>
    <x v="11"/>
    <s v="Si"/>
    <n v="6000"/>
    <n v="1609.6469999999999"/>
    <n v="4390.3530000000001"/>
    <d v="2022-09-13T00:00:00"/>
    <n v="5.4428000000000001"/>
    <n v="5.1863163587499974"/>
    <n v="5.1863163587499974"/>
    <n v="31117.898152499984"/>
    <n v="4.7062714353962054"/>
    <n v="0.10200111275846516"/>
    <n v="0"/>
    <n v="5.1863163587499974"/>
    <n v="0"/>
    <n v="5.1863163587499974"/>
    <m/>
    <s v="OK"/>
    <s v="OK"/>
    <n v="2000"/>
    <n v="18000"/>
    <n v="15000"/>
    <n v="10000"/>
    <n v="15400"/>
    <n v="3000"/>
    <n v="0"/>
    <n v="0"/>
    <n v="10613.774600000001"/>
    <n v="93240"/>
    <n v="77606"/>
    <n v="49787"/>
    <n v="75485"/>
    <n v="14015"/>
    <m/>
    <n v="0"/>
    <m/>
    <m/>
    <m/>
    <m/>
    <m/>
    <m/>
    <m/>
    <m/>
  </r>
  <r>
    <s v="Exportacion Directa1021603"/>
    <x v="0"/>
    <x v="4"/>
    <n v="1021603"/>
    <s v="GO MM Loin L (MC4-5)@ Fi Cj ch JP"/>
    <x v="6"/>
    <x v="37"/>
    <n v="14792"/>
    <n v="7000"/>
    <n v="0.77338883776001444"/>
    <n v="11439.967688146133"/>
    <n v="3190.4580000000005"/>
    <n v="3464.7323933748771"/>
    <n v="0"/>
    <n v="17748.684842183524"/>
    <n v="14000"/>
    <n v="5000"/>
    <n v="14000"/>
    <n v="-7000"/>
    <n v="7000"/>
    <n v="10748.684842183524"/>
    <n v="10000"/>
    <n v="-7000"/>
    <n v="3000"/>
    <n v="7748.6848421835239"/>
    <n v="0"/>
    <n v="0"/>
    <n v="0"/>
    <n v="0"/>
    <n v="24000"/>
    <n v="14000"/>
    <n v="0"/>
    <n v="7000"/>
    <n v="7000"/>
    <x v="47"/>
    <n v="7000"/>
    <n v="3000"/>
    <x v="0"/>
    <x v="11"/>
    <s v="Si"/>
    <n v="10000"/>
    <n v="3190.4580000000005"/>
    <n v="6809.5419999999995"/>
    <d v="2022-09-13T00:00:00"/>
    <n v="3.9464285714285698"/>
    <n v="3.8464061642857104"/>
    <n v="3.8764128864285681"/>
    <n v="38764.128864285682"/>
    <n v="3.8470577949383378"/>
    <n v="7.6305304092008884E-3"/>
    <n v="3.804731389994191"/>
    <n v="3.8764128864285681"/>
    <n v="0"/>
    <n v="3.8764128864285681"/>
    <m/>
    <s v="OK"/>
    <s v="OK"/>
    <n v="5000"/>
    <n v="3000"/>
    <n v="4000"/>
    <n v="5000"/>
    <n v="7000"/>
    <n v="5500"/>
    <n v="7000"/>
    <n v="8852"/>
    <n v="22909.446899999999"/>
    <n v="12940"/>
    <n v="17412"/>
    <n v="20869"/>
    <n v="27713"/>
    <n v="20622"/>
    <m/>
    <n v="3352.0323118538672"/>
    <m/>
    <m/>
    <m/>
    <m/>
    <m/>
    <m/>
    <m/>
    <m/>
  </r>
  <r>
    <s v="Exportacion Directa1021609"/>
    <x v="0"/>
    <x v="4"/>
    <n v="1021609"/>
    <s v="GO File C/cab@ IWP Cj 10k SC"/>
    <x v="11"/>
    <x v="19"/>
    <n v="43774"/>
    <n v="20000"/>
    <n v="0.77338883776001444"/>
    <n v="33854.322984106875"/>
    <n v="10207.208000000001"/>
    <n v="8770.6982491654271"/>
    <n v="0"/>
    <n v="51955.159408355757"/>
    <n v="50000"/>
    <n v="8000"/>
    <n v="50000"/>
    <n v="-25000"/>
    <n v="25000"/>
    <n v="26955.159408355757"/>
    <n v="24000"/>
    <n v="-8000"/>
    <n v="16000"/>
    <n v="10955.159408355757"/>
    <n v="0"/>
    <n v="0"/>
    <n v="0"/>
    <n v="0"/>
    <n v="74000"/>
    <n v="50000"/>
    <n v="0"/>
    <n v="25000"/>
    <n v="25000"/>
    <x v="76"/>
    <n v="25000"/>
    <n v="16000"/>
    <x v="0"/>
    <x v="11"/>
    <s v="Si"/>
    <n v="41000"/>
    <n v="10207.208000000001"/>
    <n v="30792.792000000001"/>
    <d v="2022-09-13T00:00:00"/>
    <n v="4.5076000000000001"/>
    <n v="4.4873831544444442"/>
    <n v="4.4952726551490514"/>
    <n v="184306.17886111111"/>
    <n v="4.4282683686810635"/>
    <n v="1.5131035630513223E-2"/>
    <n v="4.465894985947604"/>
    <n v="4.4952726551490514"/>
    <n v="0"/>
    <n v="4.4952726551490514"/>
    <m/>
    <s v="OK"/>
    <s v="OK"/>
    <n v="16500"/>
    <n v="6500"/>
    <n v="3000"/>
    <n v="5000"/>
    <n v="0"/>
    <n v="0"/>
    <n v="26000"/>
    <n v="47840"/>
    <n v="84517.474000000002"/>
    <n v="31345"/>
    <n v="14512"/>
    <n v="24062"/>
    <n v="0"/>
    <n v="0"/>
    <m/>
    <n v="9919.6770158931249"/>
    <m/>
    <m/>
    <m/>
    <m/>
    <m/>
    <m/>
    <m/>
    <m/>
  </r>
  <r>
    <s v="Exportacion Directa1022282"/>
    <x v="0"/>
    <x v="4"/>
    <n v="1022282"/>
    <s v="GO Malaya Japon@ Vp Fi Cj 20k AP"/>
    <x v="14"/>
    <x v="29"/>
    <n v="0"/>
    <n v="0"/>
    <n v="0.77338883776001444"/>
    <n v="0"/>
    <n v="0"/>
    <n v="0"/>
    <n v="0"/>
    <n v="0"/>
    <n v="0"/>
    <n v="2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3000"/>
    <n v="2000"/>
    <n v="0"/>
    <n v="0"/>
    <n v="0"/>
    <n v="0"/>
    <n v="0"/>
    <n v="0"/>
    <n v="18786"/>
    <n v="12524"/>
    <n v="0"/>
    <m/>
    <n v="0"/>
    <m/>
    <m/>
    <m/>
    <m/>
    <m/>
    <m/>
    <m/>
    <m/>
  </r>
  <r>
    <s v="Exportacion Directa1022313"/>
    <x v="0"/>
    <x v="4"/>
    <n v="1022313"/>
    <s v="GO CC Loin T@ Fi Cj AP"/>
    <x v="6"/>
    <x v="38"/>
    <n v="7069"/>
    <n v="7000"/>
    <n v="0.77338883776001444"/>
    <n v="5467.0856941255424"/>
    <n v="8672.4879999999994"/>
    <n v="2008.5426975999744"/>
    <n v="0"/>
    <n v="15947.262121965519"/>
    <n v="20000"/>
    <n v="2666.6666666666665"/>
    <n v="13333.333333333332"/>
    <n v="-6333"/>
    <n v="7000.3333333333321"/>
    <n v="8946.9287886321872"/>
    <n v="8000"/>
    <n v="-5000"/>
    <n v="3000"/>
    <n v="5946.9287886321872"/>
    <n v="0"/>
    <n v="0"/>
    <n v="0"/>
    <n v="0"/>
    <n v="21333.333333333332"/>
    <n v="13333.333333333332"/>
    <n v="0"/>
    <n v="7000.3333333333321"/>
    <n v="6333"/>
    <x v="77"/>
    <n v="7000.3333333333321"/>
    <n v="3000"/>
    <x v="0"/>
    <x v="11"/>
    <s v="Si"/>
    <n v="10000.333333333332"/>
    <n v="8672.4879999999994"/>
    <n v="1327.8453333333327"/>
    <d v="2022-09-13T00:00:00"/>
    <n v="4.0212857142857104"/>
    <n v="3.9123860500000003"/>
    <n v="3.945054860325369"/>
    <n v="39451.863621540462"/>
    <n v="3.9109571706657729"/>
    <n v="8.7185024462417219E-3"/>
    <n v="3.8616058952054804"/>
    <n v="3.945054860325369"/>
    <n v="0"/>
    <n v="3.945054860325369"/>
    <s v="3,84 precio promedio entre dos ultimas propuestas"/>
    <s v="OK"/>
    <s v="OK"/>
    <n v="17750"/>
    <n v="9000"/>
    <n v="8000"/>
    <n v="7000"/>
    <n v="7000"/>
    <n v="10000"/>
    <n v="5333"/>
    <n v="10901.33"/>
    <n v="81701.657600000006"/>
    <n v="39113"/>
    <n v="34968"/>
    <n v="28931"/>
    <n v="26913"/>
    <n v="37649"/>
    <m/>
    <n v="1601.9143058744576"/>
    <m/>
    <m/>
    <m/>
    <m/>
    <m/>
    <m/>
    <m/>
    <m/>
  </r>
  <r>
    <s v="Exportacion Directa1022326"/>
    <x v="0"/>
    <x v="4"/>
    <n v="1022326"/>
    <s v="GO CC Loin L (S/T)@ Fi Cj AP"/>
    <x v="6"/>
    <x v="38"/>
    <n v="17089"/>
    <n v="15000"/>
    <n v="0.77338883776001444"/>
    <n v="13216.441848480887"/>
    <n v="11352.485000000002"/>
    <n v="3694.1680716087503"/>
    <n v="0"/>
    <n v="27893.678112928763"/>
    <n v="10000"/>
    <n v="5833.333333333333"/>
    <n v="10000"/>
    <n v="-3000"/>
    <n v="7000"/>
    <n v="20893.678112928763"/>
    <n v="17500"/>
    <n v="-7000"/>
    <n v="10500"/>
    <n v="10393.678112928763"/>
    <n v="0"/>
    <n v="0"/>
    <n v="0"/>
    <n v="0"/>
    <n v="27500"/>
    <n v="27500"/>
    <n v="0"/>
    <n v="7000"/>
    <n v="20500"/>
    <x v="78"/>
    <n v="7000"/>
    <n v="10500"/>
    <x v="0"/>
    <x v="11"/>
    <s v="Si"/>
    <n v="17500"/>
    <n v="11352.485000000002"/>
    <n v="6147.5149999999976"/>
    <d v="2022-09-13T00:00:00"/>
    <n v="3.6472000000000002"/>
    <n v="3.5884499799999996"/>
    <n v="3.6236999920000001"/>
    <n v="63414.749860000004"/>
    <n v="3.2422517287046131"/>
    <n v="0.11764918186898099"/>
    <n v="3.3351649180704035"/>
    <n v="3.6236999920000001"/>
    <n v="0"/>
    <n v="3.6236999920000001"/>
    <m/>
    <s v="OK"/>
    <s v="OK"/>
    <n v="35000"/>
    <n v="23000"/>
    <n v="45000"/>
    <n v="30000"/>
    <n v="41343"/>
    <n v="41667"/>
    <n v="39667"/>
    <n v="6969.33"/>
    <n v="153650"/>
    <n v="87386"/>
    <n v="155377"/>
    <n v="103333"/>
    <n v="141388"/>
    <n v="134460"/>
    <m/>
    <n v="3872.5581515191134"/>
    <m/>
    <m/>
    <m/>
    <m/>
    <m/>
    <m/>
    <m/>
    <m/>
  </r>
  <r>
    <s v="Exportacion Directa1022370"/>
    <x v="0"/>
    <x v="4"/>
    <n v="1022370"/>
    <s v="GO MM Loin LL (29-32 VP)@ Bo Cj AP"/>
    <x v="6"/>
    <x v="37"/>
    <n v="19574"/>
    <n v="20000"/>
    <n v="0.77338883776001444"/>
    <n v="15138.313110314522"/>
    <n v="44066.147999999994"/>
    <n v="7684.6269784606056"/>
    <n v="0"/>
    <n v="66120.625390929054"/>
    <n v="58000"/>
    <n v="2500"/>
    <n v="58000"/>
    <n v="-30000"/>
    <n v="28000"/>
    <n v="38120.625390929054"/>
    <n v="37500"/>
    <n v="-25000"/>
    <n v="12500"/>
    <n v="25620.625390929054"/>
    <n v="0"/>
    <n v="0"/>
    <n v="0"/>
    <n v="0"/>
    <n v="95500"/>
    <n v="65500"/>
    <n v="0"/>
    <n v="28000"/>
    <n v="37500"/>
    <x v="79"/>
    <n v="28000"/>
    <n v="12500"/>
    <x v="0"/>
    <x v="11"/>
    <s v="Si"/>
    <n v="40500"/>
    <n v="40500"/>
    <n v="0"/>
    <d v="2022-09-13T00:00:00"/>
    <n v="3.7594500000000002"/>
    <n v="3.754728281982759"/>
    <n v="3.7561856023584506"/>
    <n v="152125.51689551724"/>
    <n v="3.5816533000515935"/>
    <n v="4.8729535687986013E-2"/>
    <n v="3.6909123038924099"/>
    <n v="3.7561856023584506"/>
    <n v="0"/>
    <n v="3.7561856023584506"/>
    <m/>
    <s v="OK"/>
    <s v="OK"/>
    <n v="30000"/>
    <n v="13000"/>
    <n v="18000"/>
    <n v="35000"/>
    <n v="30000"/>
    <n v="42500"/>
    <n v="39500"/>
    <n v="47340"/>
    <n v="126000"/>
    <n v="52063"/>
    <n v="72039"/>
    <n v="136267"/>
    <n v="110039"/>
    <n v="151844"/>
    <m/>
    <n v="4435.6868896854776"/>
    <m/>
    <m/>
    <m/>
    <m/>
    <m/>
    <m/>
    <m/>
    <m/>
  </r>
  <r>
    <s v="Exportacion Directa1022371"/>
    <x v="0"/>
    <x v="4"/>
    <n v="1022371"/>
    <s v="GO Panc S/tec SP@ Fi Cj AP"/>
    <x v="8"/>
    <x v="10"/>
    <n v="27899"/>
    <n v="19000"/>
    <n v="0.77338883776001444"/>
    <n v="21576.775184666643"/>
    <n v="24387.348999999987"/>
    <n v="5762.3262826220744"/>
    <n v="0"/>
    <n v="51150.217839026496"/>
    <n v="38000"/>
    <n v="3900"/>
    <n v="38000"/>
    <n v="-28000"/>
    <n v="10000"/>
    <n v="41150.217839026496"/>
    <n v="39000"/>
    <n v="-25000"/>
    <n v="14000"/>
    <n v="27150.217839026496"/>
    <n v="0"/>
    <n v="0"/>
    <n v="0"/>
    <n v="0"/>
    <n v="77000"/>
    <n v="49700"/>
    <n v="0"/>
    <n v="10000"/>
    <n v="39700"/>
    <x v="3"/>
    <n v="10000"/>
    <n v="14000"/>
    <x v="0"/>
    <x v="11"/>
    <s v="Si"/>
    <n v="24000"/>
    <n v="24000"/>
    <n v="0"/>
    <d v="2022-09-13T00:00:00"/>
    <n v="4.8816842105263198"/>
    <n v="4.8393591763157904"/>
    <n v="4.864048779605266"/>
    <n v="116737.17071052639"/>
    <n v="4.3143990845145517"/>
    <n v="0.12739889943504379"/>
    <n v="4.6361503088087712"/>
    <n v="4.864048779605266"/>
    <n v="0"/>
    <n v="4.864048779605266"/>
    <m/>
    <s v="OK"/>
    <s v="OK"/>
    <n v="15000"/>
    <n v="30000"/>
    <n v="25000"/>
    <n v="22000"/>
    <n v="12000"/>
    <n v="24700"/>
    <n v="14500"/>
    <n v="25340"/>
    <n v="73701.857300000003"/>
    <n v="106487"/>
    <n v="116125"/>
    <n v="98645"/>
    <n v="53380"/>
    <n v="103051"/>
    <m/>
    <n v="6322.2248153333567"/>
    <m/>
    <m/>
    <m/>
    <m/>
    <m/>
    <m/>
    <m/>
    <m/>
  </r>
  <r>
    <s v="Exportacion Directa1022472"/>
    <x v="0"/>
    <x v="4"/>
    <n v="1022472"/>
    <s v="GO Lom Ctro S/Tecla(OY)Mit@ Cj Tf 20k AP"/>
    <x v="6"/>
    <x v="8"/>
    <n v="0"/>
    <n v="0"/>
    <n v="0.77338883776001444"/>
    <n v="0"/>
    <n v="11779.782999999996"/>
    <n v="0"/>
    <n v="0"/>
    <n v="11779.782999999996"/>
    <n v="0"/>
    <n v="2500"/>
    <n v="0"/>
    <n v="0"/>
    <n v="0"/>
    <n v="11779.782999999996"/>
    <n v="0"/>
    <n v="0"/>
    <n v="0"/>
    <n v="11779.782999999996"/>
    <n v="10000"/>
    <n v="-10000"/>
    <n v="0"/>
    <n v="0"/>
    <n v="10000"/>
    <n v="10000"/>
    <n v="0"/>
    <n v="0"/>
    <n v="10000"/>
    <x v="7"/>
    <n v="0"/>
    <n v="0"/>
    <x v="0"/>
    <x v="11"/>
    <s v="No"/>
    <n v="0"/>
    <n v="0"/>
    <n v="0"/>
    <d v="2022-09-13T00:00:00"/>
    <n v="0"/>
    <n v="0"/>
    <n v="0"/>
    <n v="0"/>
    <n v="3.7963107231352309"/>
    <s v="No Aplica"/>
    <n v="3.7775113372640718"/>
    <n v="3.7963107231352309"/>
    <n v="0"/>
    <n v="3.7963107231352309"/>
    <m/>
    <s v="OK"/>
    <s v="OK"/>
    <n v="7000"/>
    <n v="5000"/>
    <n v="3000"/>
    <n v="10000"/>
    <n v="4333"/>
    <n v="18000"/>
    <n v="21500"/>
    <n v="10000"/>
    <n v="32709.190900000001"/>
    <n v="21977"/>
    <n v="13095"/>
    <n v="42120"/>
    <n v="17417"/>
    <n v="69842"/>
    <m/>
    <n v="0"/>
    <m/>
    <m/>
    <m/>
    <m/>
    <m/>
    <m/>
    <m/>
    <m/>
  </r>
  <r>
    <s v="Exportacion Directa1022499"/>
    <x v="0"/>
    <x v="4"/>
    <n v="1022499"/>
    <s v="GO Lom Vet Mit@ 4 Bo Cj 10k AP"/>
    <x v="6"/>
    <x v="20"/>
    <n v="23736"/>
    <n v="27000"/>
    <n v="0.77338883776001444"/>
    <n v="18357.157453071704"/>
    <n v="4883.5339999999997"/>
    <n v="3028.5890790763774"/>
    <n v="0"/>
    <n v="25966.421624240444"/>
    <n v="54000"/>
    <n v="2500"/>
    <n v="25000"/>
    <n v="-15000"/>
    <n v="10000"/>
    <n v="15966.421624240444"/>
    <n v="15000"/>
    <n v="-10000"/>
    <n v="5000"/>
    <n v="10966.421624240444"/>
    <n v="0"/>
    <n v="0"/>
    <n v="0"/>
    <n v="0"/>
    <n v="40000"/>
    <n v="25000"/>
    <n v="0"/>
    <n v="10000"/>
    <n v="15000"/>
    <x v="69"/>
    <n v="10000"/>
    <n v="5000"/>
    <x v="0"/>
    <x v="11"/>
    <s v="Si"/>
    <n v="15000"/>
    <n v="4883.5339999999997"/>
    <n v="10116.466"/>
    <d v="2022-09-13T00:00:00"/>
    <n v="4.0212962962962999"/>
    <n v="3.7142341000000005"/>
    <n v="3.8165881654321003"/>
    <n v="57248.822481481504"/>
    <n v="3.9018611014260087"/>
    <n v="2.1854426330743498E-2"/>
    <n v="4.0434622209523807"/>
    <n v="3.8165881654321003"/>
    <n v="0"/>
    <n v="3.8165881654321003"/>
    <m/>
    <s v="OK"/>
    <s v="OK"/>
    <n v="16000"/>
    <n v="3000"/>
    <n v="5000"/>
    <n v="20000"/>
    <n v="15000"/>
    <n v="23500"/>
    <n v="14500"/>
    <n v="12500"/>
    <n v="75542.537400000001"/>
    <n v="13294"/>
    <n v="22218"/>
    <n v="85842"/>
    <n v="61744"/>
    <n v="91183"/>
    <m/>
    <n v="5378.8425469282956"/>
    <m/>
    <m/>
    <m/>
    <m/>
    <m/>
    <m/>
    <m/>
    <m/>
  </r>
  <r>
    <s v="Exportacion Directa1022587"/>
    <x v="0"/>
    <x v="4"/>
    <n v="1022587"/>
    <s v="GO CC Loin L (S/T) 45@ Fi Cj AP"/>
    <x v="6"/>
    <x v="38"/>
    <n v="4017"/>
    <n v="3000"/>
    <n v="0.77338883776001444"/>
    <n v="3106.7029612819779"/>
    <n v="2213.8820000000001"/>
    <n v="856.09695854160429"/>
    <n v="0"/>
    <n v="6091.0722239694223"/>
    <n v="6000"/>
    <n v="3000"/>
    <n v="6000"/>
    <n v="-3000"/>
    <n v="3000"/>
    <n v="3091.0722239694223"/>
    <n v="3000"/>
    <n v="0"/>
    <n v="3000"/>
    <n v="91.072223969422339"/>
    <n v="0"/>
    <n v="0"/>
    <n v="0"/>
    <n v="0"/>
    <n v="9000"/>
    <n v="6000"/>
    <n v="0"/>
    <n v="3000"/>
    <n v="3000"/>
    <x v="75"/>
    <n v="3000"/>
    <n v="3000"/>
    <x v="0"/>
    <x v="11"/>
    <s v="Si"/>
    <n v="6000"/>
    <n v="2213.8820000000001"/>
    <n v="3786.1179999999999"/>
    <d v="2022-09-13T00:00:00"/>
    <n v="4.05866666666667"/>
    <n v="4.0911787500000001"/>
    <n v="4.074922708333335"/>
    <n v="24449.536250000012"/>
    <n v="3.9239751912689664"/>
    <n v="3.8468010042528832E-2"/>
    <n v="4.2024936666666699"/>
    <n v="4.074922708333335"/>
    <n v="0"/>
    <n v="4.074922708333335"/>
    <m/>
    <s v="OK"/>
    <s v="OK"/>
    <n v="5000"/>
    <n v="5000"/>
    <n v="5000"/>
    <n v="6000"/>
    <n v="3000"/>
    <n v="6000"/>
    <n v="3000"/>
    <n v="3000"/>
    <n v="23140.260300000002"/>
    <n v="21784"/>
    <n v="21814"/>
    <n v="24491"/>
    <n v="11934"/>
    <n v="22820"/>
    <m/>
    <n v="910.29703871802212"/>
    <m/>
    <m/>
    <m/>
    <m/>
    <m/>
    <m/>
    <m/>
    <m/>
  </r>
  <r>
    <s v="Exportacion Directa1022600"/>
    <x v="0"/>
    <x v="4"/>
    <n v="1022600"/>
    <s v="GO Lom Vet 2 a 2,3k@ Fi Verd Cj AP"/>
    <x v="6"/>
    <x v="20"/>
    <n v="15692"/>
    <n v="10000"/>
    <n v="0.77338883776001444"/>
    <n v="12136.017642130146"/>
    <n v="7078.4589999999989"/>
    <n v="0"/>
    <n v="2500"/>
    <n v="16714.476642130147"/>
    <n v="11000"/>
    <n v="2166.6666666666665"/>
    <n v="11000"/>
    <n v="-4000"/>
    <n v="7000"/>
    <n v="9714.4766421301465"/>
    <n v="8666.6666666666661"/>
    <n v="-3000"/>
    <n v="5666.6666666666661"/>
    <n v="4047.8099754634804"/>
    <n v="0"/>
    <n v="0"/>
    <n v="0"/>
    <n v="0"/>
    <n v="19666.666666666664"/>
    <n v="15333.333333333332"/>
    <n v="0"/>
    <n v="7000"/>
    <n v="8333.3333333333321"/>
    <x v="80"/>
    <n v="7000"/>
    <n v="5666.6666666666661"/>
    <x v="0"/>
    <x v="11"/>
    <s v="Si"/>
    <n v="12666.666666666666"/>
    <n v="7078.4589999999989"/>
    <n v="5588.2076666666671"/>
    <d v="2022-09-13T00:00:00"/>
    <n v="3.7593999999999999"/>
    <n v="3.6058726490909097"/>
    <n v="3.6745559376555024"/>
    <n v="46544.375210303027"/>
    <n v="3.6468606392292067"/>
    <n v="7.5942848290877722E-3"/>
    <n v="3.6194678794827593"/>
    <n v="3.6745559376555024"/>
    <n v="0"/>
    <n v="3.6745559376555024"/>
    <m/>
    <s v="OK"/>
    <s v="OK"/>
    <n v="18000"/>
    <n v="3000"/>
    <n v="11000"/>
    <n v="20000"/>
    <n v="19625"/>
    <n v="27333"/>
    <n v="32999"/>
    <n v="29000"/>
    <n v="78722.423299999995"/>
    <n v="12324"/>
    <n v="44841"/>
    <n v="78794"/>
    <n v="75391"/>
    <n v="97657"/>
    <m/>
    <n v="3555.9823578698542"/>
    <m/>
    <m/>
    <m/>
    <m/>
    <m/>
    <m/>
    <m/>
    <m/>
  </r>
  <r>
    <s v="Exportacion Directa1022664"/>
    <x v="0"/>
    <x v="4"/>
    <n v="1022664"/>
    <s v="GO CC Loin L (S/T) (DF)@ Fi Cj AP"/>
    <x v="6"/>
    <x v="38"/>
    <n v="66114"/>
    <n v="56000"/>
    <n v="0.77338883776001444"/>
    <n v="51131.829619665594"/>
    <n v="19099.946000000004"/>
    <n v="13008.822538658269"/>
    <n v="0"/>
    <n v="81939.715904458048"/>
    <n v="108000"/>
    <n v="3333.3333333333335"/>
    <n v="80000"/>
    <n v="-40000"/>
    <n v="40000"/>
    <n v="41939.715904458048"/>
    <n v="40000"/>
    <n v="-25000"/>
    <n v="15000"/>
    <n v="26939.715904458048"/>
    <n v="0"/>
    <n v="0"/>
    <n v="0"/>
    <n v="0"/>
    <n v="120000"/>
    <n v="80000"/>
    <n v="0"/>
    <n v="40000"/>
    <n v="40000"/>
    <x v="81"/>
    <n v="40000"/>
    <n v="15000"/>
    <x v="0"/>
    <x v="11"/>
    <s v="Si"/>
    <n v="55000"/>
    <n v="19099.946000000004"/>
    <n v="35900.053999999996"/>
    <d v="2022-09-13T00:00:00"/>
    <n v="3.7968392857142899"/>
    <n v="3.7739258677875229"/>
    <n v="3.7801749817675505"/>
    <n v="207909.62399721527"/>
    <n v="3.3810340079353502"/>
    <n v="0.11805293081803049"/>
    <n v="3.6467549551884364"/>
    <n v="3.7801749817675505"/>
    <n v="0"/>
    <n v="3.7801749817675505"/>
    <m/>
    <s v="OK"/>
    <s v="OK"/>
    <n v="43000"/>
    <n v="23700"/>
    <n v="17000"/>
    <n v="30000"/>
    <n v="35000"/>
    <n v="30667"/>
    <n v="35000"/>
    <n v="51153.33"/>
    <n v="175870"/>
    <n v="88630"/>
    <n v="59165"/>
    <n v="105866"/>
    <n v="122382"/>
    <n v="103440"/>
    <m/>
    <n v="14982.170380334406"/>
    <m/>
    <m/>
    <m/>
    <m/>
    <m/>
    <m/>
    <m/>
    <m/>
  </r>
  <r>
    <s v="Exportacion Directa1022817"/>
    <x v="0"/>
    <x v="4"/>
    <n v="1022817"/>
    <s v="GO Lom Vet L@ VP Cj Lom Vet Mad AP"/>
    <x v="15"/>
    <x v="39"/>
    <n v="0"/>
    <n v="0"/>
    <n v="0.77338883776001444"/>
    <n v="0"/>
    <n v="0"/>
    <n v="0"/>
    <n v="0"/>
    <n v="0"/>
    <n v="0"/>
    <n v="5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3.5331456657730116"/>
    <s v="No Aplica"/>
    <n v="0"/>
    <n v="3.5331456657730116"/>
    <n v="0"/>
    <n v="3.5331456657730116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Exportacion Directa1022869"/>
    <x v="0"/>
    <x v="4"/>
    <n v="1022869"/>
    <s v="GO Hso Pecho@ Cj 10k AP"/>
    <x v="1"/>
    <x v="1"/>
    <n v="0"/>
    <n v="0"/>
    <n v="0.77338883776001444"/>
    <n v="0"/>
    <n v="0"/>
    <n v="0"/>
    <n v="0"/>
    <n v="0"/>
    <n v="0"/>
    <n v="8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2.705669670781893"/>
    <s v="No Aplica"/>
    <n v="0"/>
    <n v="2.705669670781893"/>
    <n v="0"/>
    <n v="2.705669670781893"/>
    <m/>
    <s v="OK"/>
    <s v="OK"/>
    <n v="500"/>
    <n v="1300"/>
    <n v="2400"/>
    <n v="800"/>
    <n v="800"/>
    <n v="0"/>
    <n v="0"/>
    <n v="0"/>
    <n v="1446.6365000000001"/>
    <n v="3691"/>
    <n v="6801"/>
    <n v="2158"/>
    <n v="2158"/>
    <n v="0"/>
    <m/>
    <n v="0"/>
    <m/>
    <m/>
    <m/>
    <m/>
    <m/>
    <m/>
    <m/>
    <m/>
  </r>
  <r>
    <s v="Exportacion Directa1022901"/>
    <x v="0"/>
    <x v="4"/>
    <n v="1022901"/>
    <s v="GO Panc Tec S/Cue L@ Fi CJ Ch AP"/>
    <x v="8"/>
    <x v="10"/>
    <n v="0"/>
    <n v="0"/>
    <n v="0.77338883776001444"/>
    <n v="0"/>
    <n v="9334.9130000000005"/>
    <n v="0"/>
    <n v="0"/>
    <n v="9334.9130000000005"/>
    <n v="0"/>
    <n v="5000"/>
    <n v="0"/>
    <n v="0"/>
    <n v="0"/>
    <n v="9334.9130000000005"/>
    <n v="0"/>
    <n v="0"/>
    <n v="0"/>
    <n v="9334.9130000000005"/>
    <n v="5000"/>
    <n v="-5000"/>
    <n v="0"/>
    <n v="0"/>
    <n v="5000"/>
    <n v="5000"/>
    <n v="0"/>
    <n v="0"/>
    <n v="5000"/>
    <x v="7"/>
    <n v="0"/>
    <n v="0"/>
    <x v="0"/>
    <x v="11"/>
    <s v="No"/>
    <n v="0"/>
    <n v="0"/>
    <n v="0"/>
    <d v="2022-09-13T00:00:00"/>
    <n v="0"/>
    <n v="0"/>
    <n v="0"/>
    <n v="0"/>
    <n v="4.5450262641281531"/>
    <s v="No Aplica"/>
    <n v="4.4589070199999998"/>
    <n v="4.5450262641281531"/>
    <n v="0"/>
    <n v="4.5450262641281531"/>
    <m/>
    <s v="OK"/>
    <s v="OK"/>
    <n v="15000"/>
    <n v="12000"/>
    <n v="13000"/>
    <n v="18000"/>
    <n v="18000"/>
    <n v="13000"/>
    <n v="8000"/>
    <n v="1000"/>
    <n v="77324.533299999996"/>
    <n v="59373"/>
    <n v="64866"/>
    <n v="87127"/>
    <n v="85715"/>
    <n v="57833"/>
    <m/>
    <n v="0"/>
    <m/>
    <m/>
    <m/>
    <m/>
    <m/>
    <m/>
    <m/>
    <m/>
  </r>
  <r>
    <s v="Exportacion Directa1022919"/>
    <x v="0"/>
    <x v="4"/>
    <n v="1022919"/>
    <s v="GO MM LOIN S VP@ Cj 10k AP"/>
    <x v="6"/>
    <x v="37"/>
    <n v="0"/>
    <n v="0"/>
    <n v="0.77338883776001444"/>
    <n v="0"/>
    <n v="59651.452000000005"/>
    <n v="15924.026333492035"/>
    <n v="0"/>
    <n v="73983.075700142828"/>
    <n v="23000"/>
    <n v="12000"/>
    <n v="23000"/>
    <n v="-10000"/>
    <n v="13000"/>
    <n v="60983.075700142828"/>
    <n v="0"/>
    <n v="0"/>
    <n v="0"/>
    <n v="60983.075700142828"/>
    <n v="60000"/>
    <n v="-40000"/>
    <n v="20000"/>
    <n v="0"/>
    <n v="83000"/>
    <n v="71000"/>
    <n v="0"/>
    <n v="13000"/>
    <n v="58000"/>
    <x v="82"/>
    <n v="13000"/>
    <n v="20000"/>
    <x v="0"/>
    <x v="11"/>
    <s v="Si"/>
    <n v="33000"/>
    <n v="33000"/>
    <n v="0"/>
    <d v="2022-09-13T00:00:00"/>
    <n v="0"/>
    <n v="1.3776772833333299"/>
    <n v="1.3776772833333299"/>
    <n v="45463.350349999891"/>
    <n v="3.6177795658399878"/>
    <n v="0.61919258532451349"/>
    <n v="4.0470470583333302"/>
    <n v="1.3776772833333299"/>
    <n v="0"/>
    <n v="1.3776772833333299"/>
    <m/>
    <s v="OK"/>
    <s v="OK"/>
    <n v="15000"/>
    <n v="48000"/>
    <n v="5000"/>
    <n v="24000"/>
    <n v="23000"/>
    <n v="12000"/>
    <n v="35000"/>
    <n v="12000"/>
    <n v="61076.933900000004"/>
    <n v="200184"/>
    <n v="20962"/>
    <n v="92261"/>
    <n v="84285"/>
    <n v="42413"/>
    <m/>
    <n v="0"/>
    <m/>
    <m/>
    <m/>
    <m/>
    <m/>
    <m/>
    <m/>
    <m/>
  </r>
  <r>
    <s v="Exportacion Directa1022931"/>
    <x v="0"/>
    <x v="4"/>
    <n v="1022931"/>
    <s v="GO File C/cab 6x1@ VP Cj AP"/>
    <x v="11"/>
    <x v="19"/>
    <n v="26565"/>
    <n v="20000"/>
    <n v="0.77338883776001444"/>
    <n v="20545.074475094785"/>
    <n v="11168.086000000001"/>
    <n v="9223.6848236508213"/>
    <n v="0"/>
    <n v="40014.476816380527"/>
    <n v="25000"/>
    <n v="3000"/>
    <n v="25000"/>
    <n v="-10000"/>
    <n v="15000"/>
    <n v="25014.476816380527"/>
    <n v="24000"/>
    <n v="-17000"/>
    <n v="7000"/>
    <n v="18014.476816380527"/>
    <n v="0"/>
    <n v="0"/>
    <n v="0"/>
    <n v="0"/>
    <n v="49000"/>
    <n v="40000"/>
    <n v="0"/>
    <n v="15000"/>
    <n v="25000"/>
    <x v="43"/>
    <n v="15000"/>
    <n v="7000"/>
    <x v="0"/>
    <x v="11"/>
    <s v="Si"/>
    <n v="22000"/>
    <n v="11168.086000000001"/>
    <n v="10831.913999999999"/>
    <d v="2022-09-13T00:00:00"/>
    <n v="4.28315"/>
    <n v="4.3107655339999997"/>
    <n v="4.3019787731818182"/>
    <n v="94643.533009999999"/>
    <n v="4.1706834574325811"/>
    <n v="3.1480527613587064E-2"/>
    <n v="4.2681797956814869"/>
    <n v="4.3019787731818182"/>
    <n v="0"/>
    <n v="4.3019787731818182"/>
    <m/>
    <s v="OK"/>
    <s v="OK"/>
    <n v="0"/>
    <n v="0"/>
    <n v="0"/>
    <n v="20000"/>
    <n v="20182"/>
    <n v="24000"/>
    <n v="20500"/>
    <n v="28000"/>
    <n v="0"/>
    <n v="0"/>
    <n v="0"/>
    <n v="45277"/>
    <n v="89258"/>
    <n v="101421"/>
    <m/>
    <n v="6019.9255249052148"/>
    <m/>
    <m/>
    <m/>
    <m/>
    <m/>
    <m/>
    <m/>
    <m/>
  </r>
  <r>
    <s v="Exportacion Directa1022987"/>
    <x v="0"/>
    <x v="4"/>
    <n v="1022987"/>
    <s v="GO Lom Tocino@ Bo Cj 20k AP"/>
    <x v="3"/>
    <x v="3"/>
    <n v="38592"/>
    <n v="24000"/>
    <n v="0.77338883776001444"/>
    <n v="29846.622026834477"/>
    <n v="19880"/>
    <n v="9948.5253037473722"/>
    <n v="0"/>
    <n v="58680.294800207113"/>
    <n v="48000"/>
    <n v="23000"/>
    <n v="48000"/>
    <n v="-24000"/>
    <n v="24000"/>
    <n v="34680.294800207113"/>
    <n v="23000"/>
    <n v="-23000"/>
    <n v="0"/>
    <n v="34680.294800207113"/>
    <n v="0"/>
    <n v="0"/>
    <n v="0"/>
    <n v="0"/>
    <n v="71000"/>
    <n v="48000"/>
    <n v="0"/>
    <n v="24000"/>
    <n v="24000"/>
    <x v="3"/>
    <n v="24000"/>
    <n v="0"/>
    <x v="0"/>
    <x v="11"/>
    <s v="Si"/>
    <n v="24000"/>
    <n v="19880"/>
    <n v="4120"/>
    <d v="2022-09-13T00:00:00"/>
    <n v="1.8890416666666701"/>
    <n v="1.8943382833333351"/>
    <n v="1.8943382833333351"/>
    <n v="45464.11880000004"/>
    <n v="1.2680407029761904"/>
    <n v="0.49390968198984103"/>
    <n v="1.620076675"/>
    <n v="1.8943382833333351"/>
    <n v="0"/>
    <n v="1.8943382833333351"/>
    <m/>
    <s v="OK"/>
    <s v="OK"/>
    <n v="0"/>
    <n v="30000"/>
    <n v="24000"/>
    <n v="48000"/>
    <n v="24000"/>
    <n v="24000"/>
    <n v="24000"/>
    <n v="48000"/>
    <n v="0"/>
    <n v="39945"/>
    <n v="32309"/>
    <n v="64234"/>
    <n v="31541"/>
    <n v="32086"/>
    <m/>
    <n v="8745.3779731655231"/>
    <m/>
    <m/>
    <m/>
    <m/>
    <m/>
    <m/>
    <m/>
    <m/>
  </r>
  <r>
    <s v="Exportacion Directa1022990"/>
    <x v="0"/>
    <x v="4"/>
    <n v="1022990"/>
    <s v="GO Panc Tec S/cue VP@ Cj ch AP"/>
    <x v="8"/>
    <x v="10"/>
    <n v="0"/>
    <n v="0"/>
    <n v="0.77338883776001444"/>
    <n v="0"/>
    <n v="6984"/>
    <n v="0"/>
    <n v="0"/>
    <n v="6984"/>
    <n v="0"/>
    <n v="3571.4285714285716"/>
    <n v="0"/>
    <n v="0"/>
    <n v="0"/>
    <n v="6984"/>
    <n v="0"/>
    <n v="0"/>
    <n v="0"/>
    <n v="6984"/>
    <n v="3571.4285714285716"/>
    <n v="-3571"/>
    <n v="0.4285714285715585"/>
    <n v="0"/>
    <n v="3571.4285714285716"/>
    <n v="3571.4285714285716"/>
    <n v="0"/>
    <n v="0"/>
    <n v="3571.4285714285716"/>
    <x v="83"/>
    <n v="0"/>
    <n v="0.4285714285715585"/>
    <x v="0"/>
    <x v="11"/>
    <s v="Si"/>
    <n v="0.4285714285715585"/>
    <n v="0.4285714285715585"/>
    <n v="0"/>
    <d v="2022-09-13T00:00:00"/>
    <n v="0"/>
    <n v="0"/>
    <n v="0"/>
    <n v="2.1424453147499798"/>
    <n v="4.9990390677484369"/>
    <s v="No Aplica"/>
    <n v="0"/>
    <n v="4.9990390677484369"/>
    <n v="0"/>
    <n v="4.9990390677484369"/>
    <m/>
    <s v="OK"/>
    <s v="OK"/>
    <n v="10000"/>
    <n v="20000"/>
    <n v="13000"/>
    <n v="0"/>
    <n v="0"/>
    <n v="0"/>
    <n v="0"/>
    <n v="0"/>
    <n v="49521.519800000002"/>
    <n v="99032"/>
    <n v="64807"/>
    <n v="0"/>
    <n v="0"/>
    <n v="0"/>
    <m/>
    <n v="0"/>
    <m/>
    <m/>
    <m/>
    <m/>
    <m/>
    <m/>
    <m/>
    <m/>
  </r>
  <r>
    <s v="Exportacion Directa1023051"/>
    <x v="0"/>
    <x v="4"/>
    <n v="1023051"/>
    <s v="GO Lom Vet L@ Fi Cj Lom Vet AP"/>
    <x v="6"/>
    <x v="20"/>
    <n v="0"/>
    <n v="0"/>
    <n v="0.77338883776001444"/>
    <n v="0"/>
    <n v="6509.0389999999989"/>
    <n v="0"/>
    <n v="0"/>
    <n v="6509.0389999999989"/>
    <n v="2000"/>
    <n v="3000"/>
    <n v="2000"/>
    <n v="0"/>
    <n v="2000"/>
    <n v="4509.0389999999989"/>
    <n v="0"/>
    <n v="0"/>
    <n v="0"/>
    <n v="4509.0389999999989"/>
    <n v="3000"/>
    <n v="-3000"/>
    <n v="0"/>
    <n v="0"/>
    <n v="5000"/>
    <n v="5000"/>
    <n v="0"/>
    <n v="2000"/>
    <n v="3000"/>
    <x v="68"/>
    <n v="2000"/>
    <n v="0"/>
    <x v="0"/>
    <x v="11"/>
    <s v="Si"/>
    <n v="2000"/>
    <n v="2000"/>
    <n v="0"/>
    <d v="2022-09-13T00:00:00"/>
    <n v="0"/>
    <n v="3.5033663000000002"/>
    <n v="3.5033663000000002"/>
    <n v="7006.7326000000003"/>
    <n v="3.5398638326943392"/>
    <n v="1.0310434078634962E-2"/>
    <n v="3.4832440599999983"/>
    <n v="3.5033663000000002"/>
    <n v="0"/>
    <n v="3.5033663000000002"/>
    <m/>
    <s v="OK"/>
    <s v="OK"/>
    <n v="0"/>
    <n v="0"/>
    <n v="0"/>
    <n v="3000"/>
    <n v="2500"/>
    <n v="0"/>
    <n v="0"/>
    <n v="0"/>
    <n v="0"/>
    <n v="0"/>
    <n v="0"/>
    <n v="11945"/>
    <n v="9324"/>
    <n v="0"/>
    <m/>
    <n v="0"/>
    <m/>
    <m/>
    <m/>
    <m/>
    <m/>
    <m/>
    <m/>
    <m/>
  </r>
  <r>
    <s v="Exportacion Directa1023055"/>
    <x v="0"/>
    <x v="4"/>
    <n v="1023055"/>
    <s v="GO Lom Vet M@ Fi Cj Lom Vet AP"/>
    <x v="6"/>
    <x v="20"/>
    <n v="10538"/>
    <n v="0"/>
    <n v="0.77338883776001444"/>
    <n v="8149.9715723150321"/>
    <n v="6216.7919999999995"/>
    <n v="0"/>
    <n v="0"/>
    <n v="14366.763572315031"/>
    <n v="15000"/>
    <n v="3500"/>
    <n v="14000"/>
    <n v="-7000"/>
    <n v="7000"/>
    <n v="7366.7635723150306"/>
    <n v="0"/>
    <n v="0"/>
    <n v="0"/>
    <n v="7366.7635723150306"/>
    <n v="0"/>
    <n v="0"/>
    <n v="0"/>
    <n v="0"/>
    <n v="14000"/>
    <n v="14000"/>
    <n v="0"/>
    <n v="7000"/>
    <n v="7000"/>
    <x v="42"/>
    <n v="7000"/>
    <n v="0"/>
    <x v="0"/>
    <x v="11"/>
    <s v="Si"/>
    <n v="7000"/>
    <n v="6216.7919999999995"/>
    <n v="783.20800000000054"/>
    <d v="2022-09-13T00:00:00"/>
    <n v="0"/>
    <n v="3.5121097466666669"/>
    <n v="3.5121097466666669"/>
    <n v="24584.768226666667"/>
    <n v="3.5226289691535433"/>
    <n v="2.9861851983247895E-3"/>
    <n v="3.4865977499999992"/>
    <n v="3.5121097466666669"/>
    <n v="0"/>
    <n v="3.5121097466666669"/>
    <m/>
    <s v="OK"/>
    <s v="OK"/>
    <n v="0"/>
    <n v="0"/>
    <n v="5000"/>
    <n v="7000"/>
    <n v="5000"/>
    <n v="3500"/>
    <n v="0"/>
    <n v="0"/>
    <n v="0"/>
    <n v="0"/>
    <n v="9981"/>
    <n v="25759"/>
    <n v="17599"/>
    <n v="11967"/>
    <m/>
    <n v="2388.0284276849679"/>
    <m/>
    <m/>
    <m/>
    <m/>
    <m/>
    <m/>
    <m/>
    <m/>
  </r>
  <r>
    <s v="Exportacion Directa1023163"/>
    <x v="0"/>
    <x v="4"/>
    <n v="1023163"/>
    <s v="GO Lom Vet &gt;2.0@ Fi Cj 8k AP"/>
    <x v="6"/>
    <x v="20"/>
    <n v="15836"/>
    <n v="25000"/>
    <n v="0.77338883776001444"/>
    <n v="12247.385634767588"/>
    <n v="34738.571999999993"/>
    <n v="4803.6495192514885"/>
    <n v="0"/>
    <n v="51309.242202093927"/>
    <n v="35000"/>
    <n v="5000"/>
    <n v="35000"/>
    <n v="-20000"/>
    <n v="15000"/>
    <n v="36309.242202093927"/>
    <n v="35000"/>
    <n v="-25000"/>
    <n v="10000"/>
    <n v="26309.242202093927"/>
    <n v="0"/>
    <n v="0"/>
    <n v="0"/>
    <n v="0"/>
    <n v="70000"/>
    <n v="50000"/>
    <n v="0"/>
    <n v="15000"/>
    <n v="35000"/>
    <x v="84"/>
    <n v="15000"/>
    <n v="10000"/>
    <x v="0"/>
    <x v="11"/>
    <s v="Si"/>
    <n v="25000"/>
    <n v="25000"/>
    <n v="0"/>
    <d v="2022-09-13T00:00:00"/>
    <n v="3.8342399999999999"/>
    <n v="3.7892872022857143"/>
    <n v="3.8072683213714291"/>
    <n v="95181.708034285723"/>
    <n v="3.5821976468831527"/>
    <n v="6.2830333966666804E-2"/>
    <n v="3.7388841841593394"/>
    <n v="3.8072683213714291"/>
    <n v="0"/>
    <n v="3.8072683213714291"/>
    <m/>
    <s v="OK"/>
    <s v="OK"/>
    <n v="15000"/>
    <n v="7000"/>
    <n v="4000"/>
    <n v="20000"/>
    <n v="15000"/>
    <n v="36000"/>
    <n v="0"/>
    <n v="0"/>
    <n v="65452.199099999998"/>
    <n v="28910"/>
    <n v="15584"/>
    <n v="76644"/>
    <n v="56279"/>
    <n v="128621"/>
    <m/>
    <n v="3588.6143652324117"/>
    <m/>
    <m/>
    <m/>
    <m/>
    <m/>
    <m/>
    <m/>
    <m/>
  </r>
  <r>
    <s v="Exportacion Directa1023194"/>
    <x v="0"/>
    <x v="4"/>
    <n v="1023194"/>
    <s v="GO Cne Falda Panc@ Bo Cj AP"/>
    <x v="8"/>
    <x v="10"/>
    <n v="8936"/>
    <n v="10000"/>
    <n v="0.77338883776001444"/>
    <n v="6911.0026542234891"/>
    <n v="10250.008"/>
    <n v="0"/>
    <n v="2500"/>
    <n v="14661.01065422349"/>
    <n v="9000"/>
    <n v="2000"/>
    <n v="9000"/>
    <n v="-3000"/>
    <n v="6000"/>
    <n v="8661.0106542234898"/>
    <n v="8000"/>
    <n v="-3000"/>
    <n v="5000"/>
    <n v="3661.0106542234898"/>
    <n v="0"/>
    <n v="0"/>
    <n v="0"/>
    <n v="0"/>
    <n v="17000"/>
    <n v="13000"/>
    <n v="0"/>
    <n v="6000"/>
    <n v="7000"/>
    <x v="85"/>
    <n v="6000"/>
    <n v="5000"/>
    <x v="0"/>
    <x v="11"/>
    <s v="Si"/>
    <n v="11000"/>
    <n v="10250.008"/>
    <n v="749.99200000000019"/>
    <d v="2022-09-13T00:00:00"/>
    <n v="3.0112999999999999"/>
    <n v="2.9180247259259242"/>
    <n v="2.9604225777777771"/>
    <n v="32564.648355555546"/>
    <n v="2.9803342754671172"/>
    <n v="6.6810283172746678E-3"/>
    <n v="2.9273596459662397"/>
    <n v="2.9604225777777771"/>
    <n v="0"/>
    <n v="2.9604225777777771"/>
    <s v="2,9 precio promedio entre dos ultimas propuestas"/>
    <s v="OK"/>
    <s v="OK"/>
    <n v="9000"/>
    <n v="5000"/>
    <n v="6000"/>
    <n v="12000"/>
    <n v="7000"/>
    <n v="12000"/>
    <n v="0"/>
    <n v="0"/>
    <n v="31228.744600000002"/>
    <n v="16284"/>
    <n v="19454"/>
    <n v="38303"/>
    <n v="21812"/>
    <n v="35498"/>
    <m/>
    <n v="2024.9973457765109"/>
    <m/>
    <m/>
    <m/>
    <m/>
    <m/>
    <m/>
    <m/>
    <m/>
  </r>
  <r>
    <s v="Exportacion Directa1023301"/>
    <x v="0"/>
    <x v="4"/>
    <n v="1023301"/>
    <s v="GO CC Loin LL@ Bo Cj Lom Mad AP"/>
    <x v="6"/>
    <x v="38"/>
    <n v="0"/>
    <n v="0"/>
    <n v="0.77338883776001444"/>
    <n v="0"/>
    <n v="5928.277"/>
    <n v="0"/>
    <n v="0"/>
    <n v="5928.277"/>
    <n v="0"/>
    <n v="23500"/>
    <n v="0"/>
    <n v="0"/>
    <n v="0"/>
    <n v="5928.277"/>
    <n v="0"/>
    <n v="0"/>
    <n v="0"/>
    <n v="5928.277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3.8371083868837044"/>
    <s v="No Aplica"/>
    <n v="3.6380178340425502"/>
    <n v="0"/>
    <n v="0"/>
    <n v="0"/>
    <m/>
    <s v="OK"/>
    <s v="OK"/>
    <n v="60000"/>
    <n v="70000"/>
    <n v="35000"/>
    <n v="23500"/>
    <n v="23500"/>
    <n v="30000"/>
    <n v="0"/>
    <n v="0"/>
    <n v="249969.11989999999"/>
    <n v="294283"/>
    <n v="148549"/>
    <n v="96585"/>
    <n v="90551"/>
    <n v="111333"/>
    <m/>
    <n v="0"/>
    <m/>
    <m/>
    <m/>
    <m/>
    <m/>
    <m/>
    <m/>
    <m/>
  </r>
  <r>
    <s v="Exportacion Directa1023349"/>
    <x v="0"/>
    <x v="4"/>
    <n v="1023349"/>
    <s v="GO Lom Tecla VP@ Cj Lom Ctro"/>
    <x v="6"/>
    <x v="8"/>
    <n v="4393"/>
    <n v="5000"/>
    <n v="0.77338883776001444"/>
    <n v="3397.4971642797436"/>
    <n v="6487.9960000000001"/>
    <n v="0"/>
    <n v="0"/>
    <n v="9885.4931642797437"/>
    <n v="5000"/>
    <n v="2500"/>
    <n v="5000"/>
    <n v="-2000"/>
    <n v="3000"/>
    <n v="6885.4931642797437"/>
    <n v="5000"/>
    <n v="-2000"/>
    <n v="3000"/>
    <n v="3885.4931642797437"/>
    <n v="0"/>
    <n v="0"/>
    <n v="0"/>
    <n v="0"/>
    <n v="10000"/>
    <n v="7500"/>
    <n v="0"/>
    <n v="3000"/>
    <n v="4500"/>
    <x v="75"/>
    <n v="3000"/>
    <n v="3000"/>
    <x v="0"/>
    <x v="11"/>
    <s v="Si"/>
    <n v="6000"/>
    <n v="6000"/>
    <n v="0"/>
    <d v="2022-09-13T00:00:00"/>
    <n v="3.9089999999999998"/>
    <n v="3.83225748"/>
    <n v="3.8706287399999999"/>
    <n v="23223.772440000001"/>
    <n v="3.7802830970233039"/>
    <n v="2.3899173860242526E-2"/>
    <n v="3.7270129759999997"/>
    <n v="3.8706287399999999"/>
    <n v="0"/>
    <n v="3.8706287399999999"/>
    <m/>
    <s v="OK"/>
    <s v="OK"/>
    <n v="0"/>
    <n v="0"/>
    <n v="2000"/>
    <n v="5000"/>
    <n v="7500"/>
    <n v="12500"/>
    <n v="0"/>
    <n v="0"/>
    <n v="0"/>
    <n v="0"/>
    <n v="8694"/>
    <n v="20882"/>
    <n v="30493"/>
    <n v="47061"/>
    <m/>
    <n v="995.50283572025637"/>
    <m/>
    <m/>
    <m/>
    <m/>
    <m/>
    <m/>
    <m/>
    <m/>
  </r>
  <r>
    <s v="Exportacion Directa1023350"/>
    <x v="0"/>
    <x v="4"/>
    <n v="1023350"/>
    <s v="Lom Vet &gt;2.0@ VP Cj Lom Vet AP"/>
    <x v="6"/>
    <x v="20"/>
    <n v="15287"/>
    <n v="20000"/>
    <n v="0.77338883776001444"/>
    <n v="11822.795162837341"/>
    <n v="24526.330999999991"/>
    <n v="1002.5590944954307"/>
    <n v="0"/>
    <n v="37251.429347883219"/>
    <n v="27500"/>
    <n v="5000"/>
    <n v="27500"/>
    <n v="-12000"/>
    <n v="15500"/>
    <n v="21751.429347883219"/>
    <n v="20000"/>
    <n v="-10000"/>
    <n v="10000"/>
    <n v="11751.429347883219"/>
    <n v="0"/>
    <n v="0"/>
    <n v="0"/>
    <n v="0"/>
    <n v="47500"/>
    <n v="32500"/>
    <n v="0"/>
    <n v="15500"/>
    <n v="17000"/>
    <x v="86"/>
    <n v="15500"/>
    <n v="10000"/>
    <x v="0"/>
    <x v="11"/>
    <s v="Si"/>
    <n v="25500"/>
    <n v="24526.330999999991"/>
    <n v="973.66900000000896"/>
    <d v="2022-09-13T00:00:00"/>
    <n v="3.5350000000000001"/>
    <n v="3.483973331818182"/>
    <n v="3.5039837899286992"/>
    <n v="89351.586643181829"/>
    <n v="3.4435291759521225"/>
    <n v="1.7556004577734187E-2"/>
    <n v="3.5069446138211378"/>
    <n v="3.5039837899286992"/>
    <n v="0"/>
    <n v="3.5039837899286992"/>
    <m/>
    <s v="OK"/>
    <s v="OK"/>
    <n v="0"/>
    <n v="0"/>
    <n v="35000"/>
    <n v="15000"/>
    <n v="41143"/>
    <n v="26000"/>
    <n v="0"/>
    <n v="0"/>
    <n v="0"/>
    <n v="0"/>
    <n v="138326"/>
    <n v="56520"/>
    <n v="150241"/>
    <n v="88897"/>
    <m/>
    <n v="3464.2048371626588"/>
    <m/>
    <m/>
    <m/>
    <m/>
    <m/>
    <m/>
    <m/>
    <m/>
  </r>
  <r>
    <s v="Exportacion Directa1023351"/>
    <x v="0"/>
    <x v="4"/>
    <n v="1023351"/>
    <s v="GO Panc S/tec L @VP Cj AP"/>
    <x v="8"/>
    <x v="10"/>
    <n v="6152"/>
    <n v="5000"/>
    <n v="0.77338883776001444"/>
    <n v="4757.8881298996084"/>
    <n v="3203.7890000000002"/>
    <n v="2162.2880732146141"/>
    <n v="0"/>
    <n v="9907.736395792761"/>
    <n v="5000"/>
    <n v="10000"/>
    <n v="5000"/>
    <n v="-2000"/>
    <n v="3000"/>
    <n v="6907.736395792761"/>
    <n v="0"/>
    <n v="0"/>
    <n v="0"/>
    <n v="6907.736395792761"/>
    <n v="0"/>
    <n v="0"/>
    <n v="0"/>
    <n v="0"/>
    <n v="5000"/>
    <n v="5000"/>
    <n v="0"/>
    <n v="3000"/>
    <n v="2000"/>
    <x v="87"/>
    <n v="3000"/>
    <n v="0"/>
    <x v="0"/>
    <x v="11"/>
    <s v="Si"/>
    <n v="3000"/>
    <n v="3000"/>
    <n v="0"/>
    <d v="2022-09-13T00:00:00"/>
    <n v="4.9564000000000004"/>
    <n v="4.8632988800000003"/>
    <n v="4.8632988800000003"/>
    <n v="14589.896640000001"/>
    <n v="4.3200179318768388"/>
    <n v="0.12575895671968479"/>
    <n v="4.2384909400000002"/>
    <n v="4.8632988800000003"/>
    <n v="0"/>
    <n v="4.8632988800000003"/>
    <m/>
    <s v="OK"/>
    <s v="OK"/>
    <n v="0"/>
    <n v="0"/>
    <n v="3000"/>
    <n v="8000"/>
    <n v="8214"/>
    <n v="5000"/>
    <n v="0"/>
    <n v="0"/>
    <n v="0"/>
    <n v="0"/>
    <n v="7484"/>
    <n v="37402"/>
    <n v="36664"/>
    <n v="20861"/>
    <m/>
    <n v="1394.1118701003916"/>
    <m/>
    <m/>
    <m/>
    <m/>
    <m/>
    <m/>
    <m/>
    <m/>
  </r>
  <r>
    <s v="Exportacion Directa1023352"/>
    <x v="0"/>
    <x v="4"/>
    <n v="1023352"/>
    <s v="GO Panc Tec S/cue@ R VP Cj ch AP"/>
    <x v="8"/>
    <x v="10"/>
    <n v="51787"/>
    <n v="60000"/>
    <n v="0.77338883776001444"/>
    <n v="40051.487741077864"/>
    <n v="35436.981000000014"/>
    <n v="2147.0078794001315"/>
    <n v="3000"/>
    <n v="74420.775832537984"/>
    <n v="38500"/>
    <n v="6470.588235294118"/>
    <n v="38500"/>
    <n v="-12000"/>
    <n v="26500"/>
    <n v="47920.775832537984"/>
    <n v="45294.117647058825"/>
    <n v="-20000"/>
    <n v="25294.117647058825"/>
    <n v="22626.658185479158"/>
    <n v="0"/>
    <n v="0"/>
    <n v="0"/>
    <n v="0"/>
    <n v="83794.117647058825"/>
    <n v="70852.941176470587"/>
    <n v="0"/>
    <n v="26500"/>
    <n v="44352.941176470587"/>
    <x v="88"/>
    <n v="26500"/>
    <n v="25294.117647058825"/>
    <x v="0"/>
    <x v="11"/>
    <s v="Si"/>
    <n v="51794.117647058825"/>
    <n v="35436.981000000014"/>
    <n v="16357.136647058811"/>
    <d v="2022-09-13T00:00:00"/>
    <n v="5.2557499999999999"/>
    <n v="5.0474944500206869"/>
    <n v="5.1491978986193292"/>
    <n v="266698.16174907761"/>
    <n v="4.4209225537576984"/>
    <n v="0.16473379390973744"/>
    <n v="4.571703870172346"/>
    <n v="5.1491978986193292"/>
    <n v="0"/>
    <n v="5.1491978986193292"/>
    <m/>
    <s v="OK"/>
    <s v="OK"/>
    <n v="0"/>
    <n v="0"/>
    <n v="0"/>
    <n v="45000"/>
    <n v="118342"/>
    <n v="77647"/>
    <n v="0"/>
    <n v="0"/>
    <n v="0"/>
    <n v="0"/>
    <n v="0"/>
    <n v="217858"/>
    <n v="566146"/>
    <n v="344236"/>
    <m/>
    <n v="11735.512258922136"/>
    <m/>
    <m/>
    <m/>
    <m/>
    <m/>
    <m/>
    <m/>
    <m/>
  </r>
  <r>
    <s v="Agro Sudamerica1030224"/>
    <x v="1"/>
    <x v="0"/>
    <n v="1030224"/>
    <s v="PV Tru Larg@ Bo Cj 15k AS"/>
    <x v="16"/>
    <x v="40"/>
    <n v="0"/>
    <n v="0"/>
    <n v="0.47745072632608576"/>
    <n v="0"/>
    <n v="10525.078999999998"/>
    <n v="0"/>
    <n v="0"/>
    <n v="10525.078999999998"/>
    <n v="0"/>
    <n v="23000"/>
    <n v="0"/>
    <n v="0"/>
    <n v="0"/>
    <n v="10525.078999999998"/>
    <n v="0"/>
    <n v="0"/>
    <n v="0"/>
    <n v="10525.078999999998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1.9830595639172326"/>
    <s v="No Aplica"/>
    <n v="0"/>
    <n v="0"/>
    <n v="0"/>
    <n v="0"/>
    <m/>
    <s v="OK"/>
    <s v="OK"/>
    <n v="48000"/>
    <n v="72000"/>
    <n v="48000"/>
    <n v="48000"/>
    <n v="48000"/>
    <n v="168009"/>
    <n v="0"/>
    <n v="0"/>
    <n v="96960"/>
    <n v="151019"/>
    <n v="91200"/>
    <n v="89040"/>
    <n v="96480"/>
    <n v="363684"/>
    <m/>
    <n v="0"/>
    <m/>
    <m/>
    <m/>
    <m/>
    <m/>
    <m/>
    <m/>
    <m/>
  </r>
  <r>
    <s v="Agro Sudamerica1030332"/>
    <x v="1"/>
    <x v="0"/>
    <n v="1030332"/>
    <s v="PV Tru Ala@ Ex Bo Cj AS"/>
    <x v="17"/>
    <x v="41"/>
    <n v="0"/>
    <n v="0"/>
    <n v="0.47745072632608576"/>
    <n v="0"/>
    <n v="48010"/>
    <n v="0"/>
    <n v="0"/>
    <n v="48010"/>
    <n v="0"/>
    <n v="23000"/>
    <n v="0"/>
    <n v="0"/>
    <n v="0"/>
    <n v="48010"/>
    <n v="0"/>
    <n v="0"/>
    <n v="0"/>
    <n v="48010"/>
    <n v="46000"/>
    <n v="-46000"/>
    <n v="0"/>
    <n v="0"/>
    <n v="46000"/>
    <n v="46000"/>
    <n v="0"/>
    <n v="0"/>
    <n v="46000"/>
    <x v="7"/>
    <n v="0"/>
    <n v="0"/>
    <x v="8"/>
    <x v="14"/>
    <s v="No"/>
    <n v="0"/>
    <n v="0"/>
    <n v="0"/>
    <d v="2022-09-13T00:00:00"/>
    <n v="0"/>
    <n v="0"/>
    <n v="0"/>
    <n v="0"/>
    <n v="1.4685837500000001"/>
    <s v="No Aplica"/>
    <n v="0"/>
    <n v="1.4685837500000001"/>
    <n v="0"/>
    <n v="1.4685837500000001"/>
    <m/>
    <s v="OK"/>
    <s v="OK"/>
    <n v="48000"/>
    <n v="168000"/>
    <n v="72000"/>
    <n v="48000"/>
    <n v="48000"/>
    <n v="0"/>
    <n v="0"/>
    <n v="0"/>
    <n v="72000"/>
    <n v="251769"/>
    <n v="111840"/>
    <n v="64800"/>
    <n v="72000"/>
    <n v="0"/>
    <m/>
    <n v="0"/>
    <m/>
    <m/>
    <m/>
    <m/>
    <m/>
    <m/>
    <m/>
    <m/>
  </r>
  <r>
    <s v="Agro Sudamerica1030498"/>
    <x v="1"/>
    <x v="0"/>
    <n v="1030498"/>
    <s v="PV Contre@ Bo Cj 10k AS"/>
    <x v="18"/>
    <x v="42"/>
    <n v="0"/>
    <n v="0"/>
    <n v="0.47745072632608576"/>
    <n v="0"/>
    <n v="22080"/>
    <n v="0"/>
    <n v="0"/>
    <n v="22080"/>
    <n v="0"/>
    <n v="23000"/>
    <n v="0"/>
    <n v="0"/>
    <n v="0"/>
    <n v="22080"/>
    <n v="0"/>
    <n v="0"/>
    <n v="0"/>
    <n v="22080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1.8314070833333331"/>
    <s v="No Aplica"/>
    <n v="0"/>
    <n v="0"/>
    <n v="0"/>
    <n v="0"/>
    <m/>
    <s v="OK"/>
    <s v="OK"/>
    <n v="0"/>
    <n v="0"/>
    <n v="0"/>
    <n v="0"/>
    <n v="0"/>
    <n v="0"/>
    <n v="24000"/>
    <n v="0"/>
    <n v="0"/>
    <n v="0"/>
    <n v="0"/>
    <n v="0"/>
    <n v="0"/>
    <n v="0"/>
    <m/>
    <n v="0"/>
    <m/>
    <m/>
    <m/>
    <m/>
    <m/>
    <m/>
    <m/>
    <m/>
  </r>
  <r>
    <s v="Agro Sudamerica1030545"/>
    <x v="1"/>
    <x v="0"/>
    <n v="1030545"/>
    <s v="PV TruDeh Cort S/h S/p@ Bo Cj AS"/>
    <x v="19"/>
    <x v="43"/>
    <n v="0"/>
    <n v="0"/>
    <n v="0.47745072632608576"/>
    <n v="0"/>
    <n v="60"/>
    <n v="0"/>
    <n v="0"/>
    <n v="60"/>
    <n v="0"/>
    <n v="23000"/>
    <n v="0"/>
    <n v="0"/>
    <n v="0"/>
    <n v="60"/>
    <n v="0"/>
    <n v="0"/>
    <n v="0"/>
    <n v="60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4.434040416666666"/>
    <s v="No Aplica"/>
    <n v="0"/>
    <n v="0"/>
    <n v="0"/>
    <n v="0"/>
    <m/>
    <s v="OK"/>
    <s v="OK"/>
    <n v="24000"/>
    <n v="48000"/>
    <n v="44000"/>
    <n v="24000"/>
    <n v="72000"/>
    <n v="0"/>
    <n v="0"/>
    <n v="0"/>
    <n v="102960"/>
    <n v="198670"/>
    <n v="190200"/>
    <n v="104400"/>
    <n v="308400"/>
    <n v="0"/>
    <m/>
    <n v="0"/>
    <m/>
    <m/>
    <m/>
    <m/>
    <m/>
    <m/>
    <m/>
    <m/>
  </r>
  <r>
    <s v="Agro Sudamerica1030670"/>
    <x v="1"/>
    <x v="0"/>
    <n v="1030670"/>
    <s v="PV PchDeh S/p c/f MA@ Cj 15k AS"/>
    <x v="20"/>
    <x v="44"/>
    <n v="0"/>
    <n v="0"/>
    <n v="0.47745072632608576"/>
    <n v="0"/>
    <n v="330"/>
    <n v="25000"/>
    <n v="0"/>
    <n v="22830"/>
    <n v="0"/>
    <n v="23000"/>
    <n v="0"/>
    <n v="0"/>
    <n v="0"/>
    <n v="22830"/>
    <n v="0"/>
    <n v="0"/>
    <n v="0"/>
    <n v="22830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9.2431968452380939"/>
    <s v="No Aplica"/>
    <n v="0"/>
    <n v="0"/>
    <n v="0"/>
    <n v="0"/>
    <m/>
    <s v="OK"/>
    <s v="OK"/>
    <n v="24000"/>
    <n v="96000"/>
    <n v="48000"/>
    <n v="72000"/>
    <n v="72000"/>
    <n v="48000"/>
    <n v="24000"/>
    <n v="0"/>
    <n v="170400"/>
    <n v="703800"/>
    <n v="393280"/>
    <n v="579360"/>
    <n v="752400"/>
    <n v="572402"/>
    <m/>
    <n v="0"/>
    <m/>
    <m/>
    <m/>
    <m/>
    <m/>
    <m/>
    <m/>
    <m/>
  </r>
  <r>
    <s v="Agro Sudamerica1030720"/>
    <x v="1"/>
    <x v="0"/>
    <n v="1030720"/>
    <s v="PV Piel Tru@ Bo Cj AS"/>
    <x v="5"/>
    <x v="45"/>
    <n v="0"/>
    <n v="0"/>
    <n v="0.47745072632608576"/>
    <n v="0"/>
    <n v="17451.648000000001"/>
    <n v="6000"/>
    <n v="0"/>
    <n v="22851.648000000001"/>
    <n v="0"/>
    <n v="23000"/>
    <n v="0"/>
    <n v="0"/>
    <n v="0"/>
    <n v="22851.648000000001"/>
    <n v="0"/>
    <n v="0"/>
    <n v="0"/>
    <n v="22851.648000000001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.55210199730274134"/>
    <s v="No Aplica"/>
    <n v="0"/>
    <n v="0"/>
    <n v="0"/>
    <n v="0"/>
    <m/>
    <s v="OK"/>
    <s v="OK"/>
    <n v="0"/>
    <n v="24000"/>
    <n v="24000"/>
    <n v="28001"/>
    <n v="48000"/>
    <n v="24000"/>
    <n v="24000"/>
    <n v="0"/>
    <n v="0"/>
    <n v="12000"/>
    <n v="12469"/>
    <n v="12880"/>
    <n v="22427"/>
    <n v="12960"/>
    <m/>
    <n v="0"/>
    <m/>
    <m/>
    <m/>
    <m/>
    <m/>
    <m/>
    <m/>
    <m/>
  </r>
  <r>
    <s v="Agro Sudamerica1030732"/>
    <x v="1"/>
    <x v="0"/>
    <n v="1030732"/>
    <s v="PV PchDeh Mrps C/piel@ Cj 18k AS"/>
    <x v="20"/>
    <x v="46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4.4073391337950358"/>
    <s v="No Aplica"/>
    <n v="0"/>
    <n v="4.4073391337950358"/>
    <n v="0"/>
    <n v="4.4073391337950358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30739"/>
    <x v="1"/>
    <x v="0"/>
    <n v="1030739"/>
    <s v="PV MA Tru Ala@ Bo Cj 15k AS"/>
    <x v="17"/>
    <x v="41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30780"/>
    <x v="1"/>
    <x v="0"/>
    <n v="1030780"/>
    <s v="PV Pch Ent c/p s/m@ Bo Cj 20k AS"/>
    <x v="21"/>
    <x v="47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4.4073392249438417"/>
    <s v="No Aplica"/>
    <n v="0"/>
    <n v="4.4073392249438417"/>
    <n v="0"/>
    <n v="4.4073392249438417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Asia1030309"/>
    <x v="1"/>
    <x v="1"/>
    <n v="1030309"/>
    <s v="PV Cog MA 15 kg@ Bo Cj 15k SO"/>
    <x v="18"/>
    <x v="48"/>
    <n v="0"/>
    <n v="0"/>
    <n v="0.47745072632608576"/>
    <n v="0"/>
    <n v="0"/>
    <n v="0"/>
    <n v="0"/>
    <n v="0"/>
    <n v="0"/>
    <n v="22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1.3082260734693878"/>
    <s v="No Aplica"/>
    <n v="0"/>
    <n v="1.3082260734693878"/>
    <n v="0"/>
    <n v="1.3082260734693878"/>
    <m/>
    <s v="OK"/>
    <s v="OK"/>
    <n v="16000"/>
    <n v="0"/>
    <n v="22000"/>
    <n v="0"/>
    <n v="0"/>
    <n v="0"/>
    <n v="0"/>
    <n v="0"/>
    <n v="21120"/>
    <n v="0"/>
    <n v="28600"/>
    <n v="0"/>
    <n v="0"/>
    <n v="0"/>
    <m/>
    <n v="0"/>
    <m/>
    <m/>
    <m/>
    <m/>
    <m/>
    <m/>
    <m/>
    <m/>
  </r>
  <r>
    <s v="Agrosuper Asia1030535"/>
    <x v="1"/>
    <x v="1"/>
    <n v="1030535"/>
    <s v="PV Tru Larg MA@ Bo Cj SO"/>
    <x v="16"/>
    <x v="40"/>
    <n v="0"/>
    <n v="0"/>
    <n v="0.47745072632608576"/>
    <n v="0"/>
    <n v="1080.895"/>
    <n v="0"/>
    <n v="0"/>
    <n v="1080.895"/>
    <n v="66000"/>
    <n v="22000"/>
    <n v="0"/>
    <n v="0"/>
    <n v="0"/>
    <n v="1080.895"/>
    <n v="0"/>
    <n v="0"/>
    <n v="0"/>
    <n v="1080.895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2.5"/>
    <n v="0"/>
    <n v="0"/>
    <n v="2.3329240227442081"/>
    <s v="No Aplica"/>
    <n v="0"/>
    <n v="0"/>
    <n v="0"/>
    <n v="0"/>
    <m/>
    <s v="OK"/>
    <s v="OK"/>
    <n v="6000"/>
    <n v="0"/>
    <n v="28000"/>
    <n v="44000"/>
    <n v="43998"/>
    <n v="22000"/>
    <n v="22000"/>
    <n v="0"/>
    <n v="12420"/>
    <n v="0"/>
    <n v="58940"/>
    <n v="104751"/>
    <n v="49774"/>
    <n v="50891"/>
    <m/>
    <n v="0"/>
    <m/>
    <m/>
    <m/>
    <m/>
    <m/>
    <m/>
    <m/>
    <m/>
  </r>
  <r>
    <s v="Agrosuper Asia1030542"/>
    <x v="1"/>
    <x v="1"/>
    <n v="1030542"/>
    <s v="PV PchDeh S/p S/f@ Bo Cj 15k SO"/>
    <x v="20"/>
    <x v="44"/>
    <n v="0"/>
    <n v="0"/>
    <n v="0.47745072632608576"/>
    <n v="0"/>
    <n v="73470"/>
    <n v="0"/>
    <n v="0"/>
    <n v="73470"/>
    <n v="0"/>
    <n v="23000"/>
    <n v="0"/>
    <n v="0"/>
    <n v="0"/>
    <n v="73470"/>
    <n v="0"/>
    <n v="0"/>
    <n v="0"/>
    <n v="73470"/>
    <n v="69000"/>
    <n v="0"/>
    <n v="69000"/>
    <n v="0"/>
    <n v="69000"/>
    <n v="69000"/>
    <n v="0"/>
    <n v="0"/>
    <n v="69000"/>
    <x v="89"/>
    <n v="0"/>
    <n v="69000"/>
    <x v="9"/>
    <x v="11"/>
    <s v="Si"/>
    <n v="69000"/>
    <n v="69000"/>
    <n v="0"/>
    <d v="2022-09-13T00:00:00"/>
    <n v="0"/>
    <n v="0"/>
    <n v="0"/>
    <n v="703745.82546750666"/>
    <n v="10.199214861847922"/>
    <s v="No Aplica"/>
    <n v="12.580466530612203"/>
    <n v="10.199214861847922"/>
    <n v="0"/>
    <n v="10.199214861847922"/>
    <m/>
    <s v="OK"/>
    <s v="OK"/>
    <n v="0"/>
    <n v="0"/>
    <n v="0"/>
    <n v="0"/>
    <n v="0"/>
    <n v="0"/>
    <n v="24000"/>
    <n v="50500"/>
    <n v="0"/>
    <n v="0"/>
    <n v="0"/>
    <n v="0"/>
    <n v="0"/>
    <n v="0"/>
    <m/>
    <n v="0"/>
    <m/>
    <m/>
    <m/>
    <m/>
    <m/>
    <m/>
    <m/>
    <m/>
  </r>
  <r>
    <s v="Agro Sudamerica1010877"/>
    <x v="2"/>
    <x v="0"/>
    <n v="1010877"/>
    <s v="PO Molleja Mrps@ Cj 10k AS"/>
    <x v="18"/>
    <x v="42"/>
    <n v="124984"/>
    <n v="135072"/>
    <n v="0.47745072632608576"/>
    <n v="59673.701579139502"/>
    <n v="17820"/>
    <n v="38599"/>
    <n v="0"/>
    <n v="112232.80157913952"/>
    <n v="89000"/>
    <n v="23000"/>
    <n v="89000"/>
    <n v="0"/>
    <n v="89000"/>
    <n v="23232.801579139516"/>
    <n v="23000"/>
    <n v="0"/>
    <n v="23000"/>
    <n v="232.80157913951552"/>
    <n v="0"/>
    <n v="0"/>
    <n v="0"/>
    <n v="24000"/>
    <n v="136000"/>
    <n v="136000"/>
    <n v="24000"/>
    <n v="89000"/>
    <n v="23000"/>
    <x v="90"/>
    <n v="89000"/>
    <n v="23000"/>
    <x v="0"/>
    <x v="1"/>
    <s v="Si"/>
    <n v="112000"/>
    <n v="17820"/>
    <n v="94180"/>
    <d v="2022-09-13T00:00:00"/>
    <n v="0.98667377398720701"/>
    <n v="0.89231055900621103"/>
    <n v="0.90826904389270313"/>
    <n v="145487.61485726133"/>
    <n v="1.0253207113973615"/>
    <n v="0.11416102903562156"/>
    <n v="1.0023351811660561"/>
    <n v="0.90826904389270313"/>
    <n v="1.0697618739504509"/>
    <n v="1.0697618739504509"/>
    <m/>
    <s v="OK"/>
    <s v="OK"/>
    <n v="96000"/>
    <n v="123000"/>
    <n v="95960"/>
    <n v="48000"/>
    <n v="115000"/>
    <n v="162334"/>
    <n v="180000"/>
    <n v="76590"/>
    <n v="106278.39999999999"/>
    <n v="135580"/>
    <n v="95964"/>
    <n v="44149"/>
    <n v="123460"/>
    <n v="173356"/>
    <m/>
    <n v="65310.298420860498"/>
    <m/>
    <m/>
    <m/>
    <m/>
    <m/>
    <m/>
    <m/>
    <m/>
  </r>
  <r>
    <s v="Agro Sudamerica1011042"/>
    <x v="2"/>
    <x v="0"/>
    <n v="1011042"/>
    <s v="PO Pta Espinaz@ Cj 10k AS"/>
    <x v="22"/>
    <x v="49"/>
    <n v="0"/>
    <n v="2200"/>
    <n v="0.47745072632608576"/>
    <n v="0"/>
    <n v="27930"/>
    <n v="0"/>
    <n v="0"/>
    <n v="27930"/>
    <n v="24000"/>
    <n v="23000"/>
    <n v="24000"/>
    <n v="0"/>
    <n v="24000"/>
    <n v="3930"/>
    <n v="0"/>
    <n v="0"/>
    <n v="0"/>
    <n v="3930"/>
    <n v="0"/>
    <n v="0"/>
    <n v="0"/>
    <n v="0"/>
    <n v="24000"/>
    <n v="24000"/>
    <n v="0"/>
    <n v="24000"/>
    <n v="0"/>
    <x v="3"/>
    <n v="24000"/>
    <n v="0"/>
    <x v="0"/>
    <x v="1"/>
    <s v="Si"/>
    <n v="24000"/>
    <n v="24000"/>
    <n v="0"/>
    <d v="2022-09-13T00:00:00"/>
    <n v="0"/>
    <n v="0.56429956325573005"/>
    <n v="0.56429956325573005"/>
    <n v="14400"/>
    <n v="0.50865314388899452"/>
    <n v="0.10939953883167089"/>
    <n v="0.65"/>
    <n v="0.56429956325573005"/>
    <n v="0.6"/>
    <n v="0.6"/>
    <m/>
    <s v="OK"/>
    <s v="OK"/>
    <n v="24000"/>
    <n v="0"/>
    <n v="23960"/>
    <n v="0"/>
    <n v="72000"/>
    <n v="36000"/>
    <n v="36000"/>
    <n v="55410"/>
    <n v="10800"/>
    <n v="0"/>
    <n v="9584"/>
    <n v="0"/>
    <n v="36177"/>
    <n v="20036"/>
    <m/>
    <n v="0"/>
    <m/>
    <m/>
    <m/>
    <m/>
    <m/>
    <m/>
    <m/>
    <m/>
  </r>
  <r>
    <s v="Agro Sudamerica1011047"/>
    <x v="2"/>
    <x v="0"/>
    <n v="1011047"/>
    <s v="PO PchDeh &gt;170g NMr@ Cj 10k SP"/>
    <x v="23"/>
    <x v="50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11250"/>
    <x v="2"/>
    <x v="0"/>
    <n v="1011250"/>
    <s v="PO PchDeh NMr s/cal 4x10@ Cj 20k Am AS"/>
    <x v="23"/>
    <x v="50"/>
    <n v="0"/>
    <n v="0"/>
    <n v="0.47745072632608576"/>
    <n v="0"/>
    <n v="1650.74"/>
    <n v="0"/>
    <n v="0"/>
    <n v="1650.74"/>
    <n v="0"/>
    <n v="23000"/>
    <n v="0"/>
    <n v="0"/>
    <n v="0"/>
    <n v="1650.74"/>
    <n v="0"/>
    <n v="0"/>
    <n v="0"/>
    <n v="1650.74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3.3855725381418802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11290"/>
    <x v="2"/>
    <x v="0"/>
    <n v="1011290"/>
    <s v="PO Pch Piel@ Cj 20k AS"/>
    <x v="10"/>
    <x v="51"/>
    <n v="0"/>
    <n v="0"/>
    <n v="0.47745072632608576"/>
    <n v="0"/>
    <n v="21530.669000000002"/>
    <n v="2470"/>
    <n v="0"/>
    <n v="23753.669000000002"/>
    <n v="24000"/>
    <n v="23000"/>
    <n v="23000"/>
    <n v="0"/>
    <n v="23000"/>
    <n v="753.66900000000169"/>
    <n v="0"/>
    <n v="0"/>
    <n v="0"/>
    <n v="753.66900000000169"/>
    <n v="0"/>
    <n v="0"/>
    <n v="0"/>
    <n v="0"/>
    <n v="23000"/>
    <n v="23000"/>
    <n v="0"/>
    <n v="23000"/>
    <n v="0"/>
    <x v="1"/>
    <n v="23000"/>
    <n v="0"/>
    <x v="0"/>
    <x v="1"/>
    <s v="Si"/>
    <n v="23000"/>
    <n v="21530.669000000002"/>
    <n v="1469.3309999999983"/>
    <d v="2022-09-13T00:00:00"/>
    <n v="0"/>
    <n v="0.43354166666666699"/>
    <n v="0.43354166666666699"/>
    <n v="13339.999999999998"/>
    <n v="0.33913127577993563"/>
    <n v="0.2783889237865364"/>
    <n v="0"/>
    <n v="0.43354166666666699"/>
    <n v="0.57999999999999996"/>
    <n v="0.57999999999999996"/>
    <m/>
    <s v="OK"/>
    <s v="OK"/>
    <n v="24000"/>
    <n v="23700"/>
    <n v="0"/>
    <n v="24000"/>
    <n v="0"/>
    <n v="8000"/>
    <n v="500"/>
    <n v="0"/>
    <n v="14800"/>
    <n v="14615"/>
    <n v="0"/>
    <n v="12000"/>
    <n v="0"/>
    <n v="3942"/>
    <m/>
    <n v="0"/>
    <m/>
    <m/>
    <m/>
    <m/>
    <m/>
    <m/>
    <m/>
    <m/>
  </r>
  <r>
    <s v="Agro Sudamerica1011421"/>
    <x v="2"/>
    <x v="0"/>
    <n v="1011421"/>
    <s v="PO Ppa Esp 50 Pim@ Cj 20k AS"/>
    <x v="24"/>
    <x v="52"/>
    <n v="604441"/>
    <n v="538009"/>
    <n v="0.47745072632608576"/>
    <n v="288590.79447126563"/>
    <n v="221448.97900000005"/>
    <n v="25000"/>
    <n v="0"/>
    <n v="532539.77347126568"/>
    <n v="312000"/>
    <n v="23000"/>
    <n v="312000"/>
    <n v="0"/>
    <n v="312000"/>
    <n v="220539.77347126568"/>
    <n v="207000"/>
    <n v="-72000"/>
    <n v="135000"/>
    <n v="85539.773471265682"/>
    <n v="0"/>
    <n v="0"/>
    <n v="0"/>
    <n v="311848.69999999995"/>
    <n v="830848.7"/>
    <n v="830848.7"/>
    <n v="311848.69999999995"/>
    <n v="312000"/>
    <n v="207000"/>
    <x v="91"/>
    <n v="312000"/>
    <n v="135000"/>
    <x v="2"/>
    <x v="15"/>
    <s v="Si"/>
    <n v="447000"/>
    <n v="221448.97900000005"/>
    <n v="225551.02099999995"/>
    <d v="2022-09-13T00:00:00"/>
    <n v="0.83667187723625402"/>
    <n v="1.0457222703472746"/>
    <n v="1.0085319805438027"/>
    <n v="686891.50742689427"/>
    <n v="0.88706680368727775"/>
    <n v="0.13692900732124078"/>
    <n v="0.90929387303380838"/>
    <n v="1.0085319805438027"/>
    <n v="0.90517583732685358"/>
    <n v="0.90517583732685358"/>
    <m/>
    <s v="OK"/>
    <s v="OK"/>
    <n v="620000"/>
    <n v="696000"/>
    <n v="840000"/>
    <n v="720000"/>
    <n v="888000"/>
    <n v="647996"/>
    <n v="582000"/>
    <n v="1052000"/>
    <n v="527000"/>
    <n v="487200"/>
    <n v="630000"/>
    <n v="562800"/>
    <n v="700080"/>
    <n v="639293"/>
    <m/>
    <n v="315850.20552873437"/>
    <m/>
    <m/>
    <m/>
    <m/>
    <m/>
    <m/>
    <m/>
    <m/>
  </r>
  <r>
    <s v="Agro Sudamerica1011422"/>
    <x v="2"/>
    <x v="0"/>
    <n v="1011422"/>
    <s v="PO Pch Piel Pim 50 ppm@ Cj 14 AS"/>
    <x v="10"/>
    <x v="51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.49996981893025388"/>
    <s v="No Aplica"/>
    <n v="0"/>
    <n v="0.49996981893025388"/>
    <n v="0"/>
    <n v="0.49996981893025388"/>
    <m/>
    <s v="OK"/>
    <s v="OK"/>
    <n v="0"/>
    <n v="0"/>
    <n v="24000"/>
    <n v="0"/>
    <n v="0"/>
    <n v="0"/>
    <n v="0"/>
    <n v="0"/>
    <n v="0"/>
    <n v="0"/>
    <n v="12000"/>
    <n v="0"/>
    <n v="0"/>
    <n v="0"/>
    <m/>
    <n v="0"/>
    <m/>
    <m/>
    <m/>
    <m/>
    <m/>
    <m/>
    <m/>
    <m/>
  </r>
  <r>
    <s v="Agro Sudamerica1011558"/>
    <x v="2"/>
    <x v="0"/>
    <n v="1011558"/>
    <s v="PO Ppa Esp@ 2 blo x 10k Cj AS"/>
    <x v="24"/>
    <x v="52"/>
    <n v="241117"/>
    <n v="241154"/>
    <n v="0.47745072632608576"/>
    <n v="115121.48677956683"/>
    <n v="23881.508999999984"/>
    <n v="0"/>
    <n v="0"/>
    <n v="139002.99577956682"/>
    <n v="72000"/>
    <n v="23000"/>
    <n v="72000"/>
    <n v="0"/>
    <n v="72000"/>
    <n v="67002.995779566816"/>
    <n v="46000"/>
    <n v="0"/>
    <n v="46000"/>
    <n v="21002.995779566816"/>
    <n v="0"/>
    <n v="0"/>
    <n v="0"/>
    <n v="0"/>
    <n v="118000"/>
    <n v="118000"/>
    <n v="0"/>
    <n v="72000"/>
    <n v="46000"/>
    <x v="92"/>
    <n v="72000"/>
    <n v="46000"/>
    <x v="0"/>
    <x v="1"/>
    <s v="Si"/>
    <n v="118000"/>
    <n v="23881.508999999984"/>
    <n v="94118.491000000009"/>
    <d v="2022-09-13T00:00:00"/>
    <n v="0.88667407548703303"/>
    <n v="1.06334375"/>
    <n v="0.99447252095257221"/>
    <n v="107747.00747240352"/>
    <n v="0.8810934502253609"/>
    <n v="0.12867996090336603"/>
    <n v="0.88710700564365697"/>
    <n v="0.99447252095257221"/>
    <n v="0.91311023281697901"/>
    <n v="0.91311023281697901"/>
    <m/>
    <s v="OK"/>
    <s v="OK"/>
    <n v="192000"/>
    <n v="408000"/>
    <n v="288000"/>
    <n v="264000"/>
    <n v="168000"/>
    <n v="119997"/>
    <n v="154410"/>
    <n v="249000"/>
    <n v="172800"/>
    <n v="399280"/>
    <n v="225819"/>
    <n v="212400"/>
    <n v="115440"/>
    <n v="138381"/>
    <m/>
    <n v="125995.51322043317"/>
    <m/>
    <m/>
    <m/>
    <m/>
    <m/>
    <m/>
    <m/>
    <m/>
  </r>
  <r>
    <s v="Agro Sudamerica1011582"/>
    <x v="2"/>
    <x v="0"/>
    <n v="1011582"/>
    <s v="GA S/m@ Gr Cj bca AS"/>
    <x v="25"/>
    <x v="53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.97356360829804833"/>
    <s v="No Aplica"/>
    <n v="0"/>
    <n v="0.97356360829804833"/>
    <n v="0"/>
    <n v="0.97356360829804833"/>
    <m/>
    <s v="OK"/>
    <s v="OK"/>
    <n v="24000"/>
    <n v="82000"/>
    <n v="60000"/>
    <n v="24000"/>
    <n v="46500"/>
    <n v="0"/>
    <n v="0"/>
    <n v="0"/>
    <n v="22240"/>
    <n v="79107"/>
    <n v="58200"/>
    <n v="19680"/>
    <n v="45105"/>
    <n v="0"/>
    <m/>
    <n v="0"/>
    <m/>
    <m/>
    <m/>
    <m/>
    <m/>
    <m/>
    <m/>
    <m/>
  </r>
  <r>
    <s v="Agro Sudamerica1011888"/>
    <x v="2"/>
    <x v="0"/>
    <n v="1011888"/>
    <s v="PO Piel de pollo@ CJ As"/>
    <x v="10"/>
    <x v="51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11939"/>
    <x v="2"/>
    <x v="0"/>
    <n v="1011939"/>
    <s v="PO Tru Larg@ NNII Cj 15k"/>
    <x v="16"/>
    <x v="40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12207"/>
    <x v="2"/>
    <x v="0"/>
    <n v="1012207"/>
    <s v="PO Ctre Mrps@ Bo 12x1k Cj AS"/>
    <x v="18"/>
    <x v="42"/>
    <n v="41500"/>
    <n v="41500"/>
    <n v="0.47745072632608576"/>
    <n v="19814.205142532559"/>
    <n v="63336"/>
    <n v="0"/>
    <n v="0"/>
    <n v="83150.205142532563"/>
    <n v="48000"/>
    <n v="23000"/>
    <n v="48000"/>
    <n v="0"/>
    <n v="48000"/>
    <n v="35150.205142532563"/>
    <n v="23000"/>
    <n v="0"/>
    <n v="23000"/>
    <n v="12150.205142532563"/>
    <n v="0"/>
    <n v="0"/>
    <n v="0"/>
    <n v="0"/>
    <n v="71000"/>
    <n v="71000"/>
    <n v="0"/>
    <n v="48000"/>
    <n v="23000"/>
    <x v="93"/>
    <n v="48000"/>
    <n v="23000"/>
    <x v="0"/>
    <x v="1"/>
    <s v="Si"/>
    <n v="71000"/>
    <n v="63336"/>
    <n v="7664"/>
    <d v="2022-09-13T00:00:00"/>
    <n v="0.93667469879518095"/>
    <n v="0.853291666666667"/>
    <n v="0.88030307144069264"/>
    <n v="82503.518072289153"/>
    <n v="1.2396354139619969"/>
    <n v="0.28986937487760434"/>
    <n v="0.66518072289156616"/>
    <n v="0.88030307144069264"/>
    <n v="1.1620213812998472"/>
    <n v="1.1620213812998472"/>
    <m/>
    <s v="OK"/>
    <s v="OK"/>
    <n v="24000"/>
    <n v="60000"/>
    <n v="55476"/>
    <n v="24000"/>
    <n v="48000"/>
    <n v="72000"/>
    <n v="48000"/>
    <n v="41500"/>
    <n v="31254.7673"/>
    <n v="73760"/>
    <n v="63571"/>
    <n v="22080"/>
    <n v="58667"/>
    <n v="90939"/>
    <m/>
    <n v="21685.794857467441"/>
    <m/>
    <m/>
    <m/>
    <m/>
    <m/>
    <m/>
    <m/>
    <m/>
  </r>
  <r>
    <s v="Agro Sudamerica1012208"/>
    <x v="2"/>
    <x v="0"/>
    <n v="1012208"/>
    <s v="GA S/m@ Bo Cj AS"/>
    <x v="25"/>
    <x v="53"/>
    <n v="20493"/>
    <n v="0"/>
    <n v="0.47745072632608576"/>
    <n v="9784.3977346004758"/>
    <n v="8794.0509999999977"/>
    <n v="600"/>
    <n v="0"/>
    <n v="19118.448734600475"/>
    <n v="48000"/>
    <n v="23000"/>
    <n v="0"/>
    <n v="0"/>
    <n v="0"/>
    <n v="19118.448734600475"/>
    <n v="0"/>
    <n v="0"/>
    <n v="0"/>
    <n v="19118.448734600475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1.5060833333333352"/>
    <n v="0"/>
    <n v="0"/>
    <n v="1.451056198695132"/>
    <s v="No Aplica"/>
    <n v="1.3866666666666663"/>
    <n v="0"/>
    <n v="0"/>
    <n v="0"/>
    <m/>
    <s v="OK"/>
    <s v="OK"/>
    <n v="24000"/>
    <n v="120000"/>
    <n v="72000"/>
    <n v="0"/>
    <n v="24000"/>
    <n v="24000"/>
    <n v="24000"/>
    <n v="24000"/>
    <n v="34374.025999999998"/>
    <n v="172320"/>
    <n v="105840"/>
    <n v="0"/>
    <n v="34080"/>
    <n v="36052"/>
    <m/>
    <n v="10708.602265399524"/>
    <m/>
    <m/>
    <m/>
    <m/>
    <m/>
    <m/>
    <m/>
    <m/>
  </r>
  <r>
    <s v="Agro Sudamerica1012283"/>
    <x v="2"/>
    <x v="0"/>
    <n v="1012283"/>
    <s v="PO Pana S/Corazón@ Cj 20k AS"/>
    <x v="18"/>
    <x v="54"/>
    <n v="16654"/>
    <n v="16654"/>
    <n v="0.47745072632608576"/>
    <n v="7951.4643962346327"/>
    <n v="19295.451000000001"/>
    <n v="0"/>
    <n v="0"/>
    <n v="27246.915396234632"/>
    <n v="0"/>
    <n v="23000"/>
    <n v="0"/>
    <n v="0"/>
    <n v="0"/>
    <n v="27246.915396234632"/>
    <n v="0"/>
    <n v="0"/>
    <n v="0"/>
    <n v="27246.915396234632"/>
    <n v="23000"/>
    <n v="0"/>
    <n v="23000"/>
    <n v="0"/>
    <n v="23000"/>
    <n v="23000"/>
    <n v="0"/>
    <n v="0"/>
    <n v="23000"/>
    <x v="1"/>
    <n v="0"/>
    <n v="23000"/>
    <x v="0"/>
    <x v="0"/>
    <s v="Si"/>
    <n v="23000"/>
    <n v="19295.451000000001"/>
    <n v="3704.5489999999991"/>
    <d v="2022-09-13T00:00:00"/>
    <n v="0.68668187822745297"/>
    <n v="0"/>
    <n v="0"/>
    <n v="15793.683199231416"/>
    <n v="0.82966486310629084"/>
    <s v="No Aplica"/>
    <n v="0.65"/>
    <n v="0.82966486310629084"/>
    <n v="0.68668187822745286"/>
    <n v="0.68668187822745286"/>
    <m/>
    <s v="OK"/>
    <s v="OK"/>
    <n v="72000"/>
    <n v="48000"/>
    <n v="60779"/>
    <n v="48000"/>
    <n v="48000"/>
    <n v="48000"/>
    <n v="72000"/>
    <n v="47000"/>
    <n v="50924.302000000003"/>
    <n v="34400"/>
    <n v="42545"/>
    <n v="36960"/>
    <n v="38133"/>
    <n v="38287"/>
    <m/>
    <n v="8702.5356037653673"/>
    <m/>
    <m/>
    <m/>
    <m/>
    <m/>
    <m/>
    <m/>
    <m/>
  </r>
  <r>
    <s v="Agro Sudamerica1012362"/>
    <x v="2"/>
    <x v="0"/>
    <n v="1012362"/>
    <s v="PO Corazon@ Cj 18k AS"/>
    <x v="18"/>
    <x v="55"/>
    <n v="0"/>
    <n v="0"/>
    <n v="0.47745072632608576"/>
    <n v="0"/>
    <n v="9810"/>
    <n v="0"/>
    <n v="0"/>
    <n v="9810"/>
    <n v="18205"/>
    <n v="23000"/>
    <n v="0"/>
    <n v="0"/>
    <n v="0"/>
    <n v="9810"/>
    <n v="0"/>
    <n v="0"/>
    <n v="0"/>
    <n v="9810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0.82894743202416898"/>
    <n v="0"/>
    <n v="0"/>
    <n v="0.70593220424209169"/>
    <s v="No Aplica"/>
    <n v="0.78"/>
    <n v="0"/>
    <n v="0"/>
    <n v="0"/>
    <m/>
    <s v="OK"/>
    <s v="OK"/>
    <n v="0"/>
    <n v="3000"/>
    <n v="0"/>
    <n v="0"/>
    <n v="13000"/>
    <n v="10000"/>
    <n v="29000"/>
    <n v="29000"/>
    <n v="0"/>
    <n v="1790"/>
    <n v="0"/>
    <n v="0"/>
    <n v="10310"/>
    <n v="7859"/>
    <m/>
    <n v="0"/>
    <m/>
    <m/>
    <m/>
    <m/>
    <m/>
    <m/>
    <m/>
    <m/>
  </r>
  <r>
    <s v="Agro Sudamerica1012552"/>
    <x v="2"/>
    <x v="0"/>
    <n v="1012552"/>
    <s v="PO PchDeh Random@ Cj 10k AS"/>
    <x v="23"/>
    <x v="50"/>
    <n v="390"/>
    <n v="0"/>
    <n v="0.47745072632608576"/>
    <n v="186.20578326717344"/>
    <n v="80700"/>
    <n v="0"/>
    <n v="24000"/>
    <n v="56886.205783267171"/>
    <n v="57000"/>
    <n v="23000"/>
    <n v="46000"/>
    <n v="0"/>
    <n v="46000"/>
    <n v="10886.205783267171"/>
    <n v="0"/>
    <n v="0"/>
    <n v="0"/>
    <n v="10886.205783267171"/>
    <n v="0"/>
    <n v="0"/>
    <n v="0"/>
    <n v="0"/>
    <n v="46000"/>
    <n v="46000"/>
    <n v="0"/>
    <n v="46000"/>
    <n v="0"/>
    <x v="9"/>
    <n v="46000"/>
    <n v="0"/>
    <x v="0"/>
    <x v="1"/>
    <s v="Si"/>
    <n v="46000"/>
    <n v="46000"/>
    <n v="0"/>
    <d v="2022-09-13T00:00:00"/>
    <n v="0"/>
    <n v="3.6469135802469101"/>
    <n v="3.6469135802469101"/>
    <n v="161000"/>
    <n v="4.0301468478826594"/>
    <n v="9.5091638617855981E-2"/>
    <n v="3.45"/>
    <n v="3.6469135802469101"/>
    <n v="3.5"/>
    <n v="3.5"/>
    <m/>
    <s v="OK"/>
    <s v="OK"/>
    <n v="48000"/>
    <n v="48000"/>
    <n v="48000"/>
    <n v="24000"/>
    <n v="72000"/>
    <n v="46000"/>
    <n v="0"/>
    <n v="47000"/>
    <n v="168000"/>
    <n v="176400"/>
    <n v="194629"/>
    <n v="94080"/>
    <n v="321014"/>
    <n v="207000"/>
    <m/>
    <n v="203.79421673282656"/>
    <m/>
    <m/>
    <m/>
    <m/>
    <m/>
    <m/>
    <m/>
    <m/>
  </r>
  <r>
    <s v="Agro Sudamerica1012556"/>
    <x v="2"/>
    <x v="0"/>
    <n v="1012556"/>
    <s v="PO CDM 14% proteina@ Cj 20k AS"/>
    <x v="24"/>
    <x v="56"/>
    <n v="240000"/>
    <n v="153862"/>
    <n v="0.47745072632608576"/>
    <n v="114588.17431826059"/>
    <n v="34016.912000000004"/>
    <n v="45000"/>
    <n v="0"/>
    <n v="189105.08631826058"/>
    <n v="120000"/>
    <n v="23000"/>
    <n v="120000"/>
    <n v="0"/>
    <n v="120000"/>
    <n v="69105.086318260583"/>
    <n v="69000"/>
    <n v="-69000"/>
    <n v="0"/>
    <n v="69105.086318260583"/>
    <n v="0"/>
    <n v="0"/>
    <n v="0"/>
    <n v="52002.509999999995"/>
    <n v="241002.51"/>
    <n v="241002.51"/>
    <n v="52002.509999999995"/>
    <n v="120000"/>
    <n v="69000"/>
    <x v="94"/>
    <n v="120000"/>
    <n v="0"/>
    <x v="10"/>
    <x v="16"/>
    <s v="Si"/>
    <n v="120000.00000000001"/>
    <n v="34016.912000000004"/>
    <n v="85983.088000000018"/>
    <d v="2022-09-13T00:00:00"/>
    <n v="0.98666987300308095"/>
    <n v="1.07557083333333"/>
    <n v="1.07557083333333"/>
    <n v="172002.51"/>
    <n v="1.0177098867856129"/>
    <n v="5.6854067449878178E-2"/>
    <n v="0.97025163246268653"/>
    <n v="1.07557083333333"/>
    <n v="1"/>
    <n v="1"/>
    <m/>
    <s v="OK"/>
    <s v="OK"/>
    <n v="0"/>
    <n v="0"/>
    <n v="24000"/>
    <n v="72000"/>
    <n v="48000"/>
    <n v="0"/>
    <n v="96000"/>
    <n v="268000"/>
    <n v="0"/>
    <n v="0"/>
    <n v="18950"/>
    <n v="57600"/>
    <n v="38400"/>
    <n v="0"/>
    <m/>
    <n v="125411.82568173941"/>
    <m/>
    <m/>
    <m/>
    <m/>
    <m/>
    <m/>
    <m/>
    <m/>
  </r>
  <r>
    <s v="Agro Sudamerica1012602"/>
    <x v="2"/>
    <x v="0"/>
    <n v="1012602"/>
    <s v="PO Ala Ctro NMr IQF@ Cj 20k AS"/>
    <x v="17"/>
    <x v="57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12698"/>
    <x v="2"/>
    <x v="0"/>
    <n v="1012698"/>
    <s v="PO File 4x10 NMr SD@ CJ AS"/>
    <x v="11"/>
    <x v="58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.92774166666666658"/>
    <s v="No Aplica"/>
    <n v="0"/>
    <n v="0.92774166666666658"/>
    <n v="0"/>
    <n v="0.92774166666666658"/>
    <m/>
    <s v="OK"/>
    <s v="OK"/>
    <n v="0"/>
    <n v="0"/>
    <n v="80"/>
    <n v="0"/>
    <n v="0"/>
    <n v="0"/>
    <n v="0"/>
    <n v="0"/>
    <n v="0"/>
    <n v="0"/>
    <n v="480"/>
    <n v="0"/>
    <n v="0"/>
    <n v="0"/>
    <m/>
    <n v="0"/>
    <m/>
    <m/>
    <m/>
    <m/>
    <m/>
    <m/>
    <m/>
    <m/>
  </r>
  <r>
    <s v="Agro Sudamerica1012699"/>
    <x v="2"/>
    <x v="0"/>
    <n v="1012699"/>
    <s v="PO Tru- Ctro Ala 4x10NMr@Bo Cj 20k SD"/>
    <x v="17"/>
    <x v="41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.92774166666666658"/>
    <s v="No Aplica"/>
    <n v="0"/>
    <n v="0.92774166666666658"/>
    <n v="0"/>
    <n v="0.92774166666666658"/>
    <m/>
    <s v="OK"/>
    <s v="OK"/>
    <n v="0"/>
    <n v="0"/>
    <n v="80"/>
    <n v="0"/>
    <n v="0"/>
    <n v="0"/>
    <n v="0"/>
    <n v="0"/>
    <n v="0"/>
    <n v="0"/>
    <n v="520"/>
    <n v="0"/>
    <n v="0"/>
    <n v="0"/>
    <m/>
    <n v="0"/>
    <m/>
    <m/>
    <m/>
    <m/>
    <m/>
    <m/>
    <m/>
    <m/>
  </r>
  <r>
    <s v="Agro Sudamerica1012719"/>
    <x v="2"/>
    <x v="0"/>
    <n v="1012719"/>
    <s v="PO Ppa Esp@ 2 Blox10kg CJ AS SD"/>
    <x v="24"/>
    <x v="56"/>
    <n v="192000"/>
    <n v="214716"/>
    <n v="0.47745072632608576"/>
    <n v="91670.539454608472"/>
    <n v="24127.624"/>
    <n v="0"/>
    <n v="0"/>
    <n v="115798.16345460847"/>
    <n v="24000"/>
    <n v="23000"/>
    <n v="24000"/>
    <n v="0"/>
    <n v="24000"/>
    <n v="91798.163454608468"/>
    <n v="69000"/>
    <n v="0"/>
    <n v="69000"/>
    <n v="22798.163454608468"/>
    <n v="0"/>
    <n v="0"/>
    <n v="0"/>
    <n v="22590.38"/>
    <n v="115590.38"/>
    <n v="115590.38"/>
    <n v="22590.38"/>
    <n v="24000"/>
    <n v="69000"/>
    <x v="95"/>
    <n v="24000"/>
    <n v="69000"/>
    <x v="0"/>
    <x v="1"/>
    <s v="Si"/>
    <n v="93000"/>
    <n v="24127.624"/>
    <n v="68872.376000000004"/>
    <d v="2022-09-13T00:00:00"/>
    <n v="0.69999906853704397"/>
    <n v="0.62929166666666703"/>
    <n v="0.67149942417257724"/>
    <n v="91163.085329056063"/>
    <n v="0.6535970937088772"/>
    <n v="2.7390468280867285E-2"/>
    <n v="0.87382004007741154"/>
    <n v="0.67149942417257724"/>
    <n v="0.7886736364138266"/>
    <n v="0.7886736364138266"/>
    <m/>
    <s v="OK"/>
    <s v="OK"/>
    <n v="192000"/>
    <n v="423600"/>
    <n v="357200"/>
    <n v="144000"/>
    <n v="358600"/>
    <n v="24000"/>
    <n v="136446"/>
    <n v="117880"/>
    <n v="134400"/>
    <n v="285844"/>
    <n v="241660"/>
    <n v="80640"/>
    <n v="251432"/>
    <n v="16965"/>
    <s v="revisar"/>
    <n v="100329.46054539153"/>
    <m/>
    <m/>
    <m/>
    <m/>
    <m/>
    <m/>
    <m/>
    <m/>
  </r>
  <r>
    <s v="Agro Sudamerica1012744"/>
    <x v="2"/>
    <x v="0"/>
    <n v="1012744"/>
    <s v="PO Pch Deh NMr@SD Cj 20kg AS"/>
    <x v="23"/>
    <x v="50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3.4128200397882997"/>
    <s v="No Aplica"/>
    <n v="0"/>
    <n v="3.4128200397882997"/>
    <n v="0"/>
    <n v="3.4128200397882997"/>
    <m/>
    <s v="OK"/>
    <s v="OK"/>
    <n v="0"/>
    <n v="143000"/>
    <n v="72000"/>
    <n v="24000"/>
    <n v="24000"/>
    <n v="0"/>
    <n v="0"/>
    <n v="0"/>
    <n v="0"/>
    <n v="487469"/>
    <n v="249600"/>
    <n v="78000"/>
    <n v="81600"/>
    <n v="0"/>
    <m/>
    <n v="0"/>
    <m/>
    <m/>
    <m/>
    <m/>
    <m/>
    <m/>
    <m/>
    <m/>
  </r>
  <r>
    <s v="Agro Sudamerica1012763"/>
    <x v="2"/>
    <x v="0"/>
    <n v="1012763"/>
    <s v="PO Pana S/cora blo@Cj 20kg AS"/>
    <x v="18"/>
    <x v="54"/>
    <n v="74419"/>
    <n v="106945"/>
    <n v="0.47745072632608576"/>
    <n v="35531.405602460974"/>
    <n v="8372.7860000000001"/>
    <n v="3000"/>
    <n v="0"/>
    <n v="46604.191602460975"/>
    <n v="24000"/>
    <n v="23000"/>
    <n v="24000"/>
    <n v="0"/>
    <n v="24000"/>
    <n v="22604.191602460975"/>
    <n v="0"/>
    <n v="0"/>
    <n v="0"/>
    <n v="22604.191602460975"/>
    <n v="0"/>
    <n v="0"/>
    <n v="0"/>
    <n v="23982.75"/>
    <n v="47982.75"/>
    <n v="47982.75"/>
    <n v="23982.75"/>
    <n v="24000"/>
    <n v="0"/>
    <x v="96"/>
    <n v="24000"/>
    <n v="0"/>
    <x v="0"/>
    <x v="1"/>
    <s v="Si"/>
    <n v="24000"/>
    <n v="8372.7860000000001"/>
    <n v="15627.214"/>
    <d v="2022-09-13T00:00:00"/>
    <n v="0.70667165365374696"/>
    <n v="0.85164583333333299"/>
    <n v="0.85164583333333299"/>
    <n v="36786.775000000001"/>
    <n v="0.74240492269485137"/>
    <n v="0.14714464748152353"/>
    <n v="0.60666666666666669"/>
    <n v="0.85164583333333299"/>
    <n v="0.76666666666666672"/>
    <n v="0.76666666666666672"/>
    <m/>
    <s v="OK"/>
    <s v="OK"/>
    <n v="0"/>
    <n v="0"/>
    <n v="48000"/>
    <n v="48000"/>
    <n v="48000"/>
    <n v="48000"/>
    <n v="72000"/>
    <n v="48000"/>
    <n v="0"/>
    <n v="0"/>
    <n v="33600"/>
    <n v="35760"/>
    <n v="33334"/>
    <n v="33539"/>
    <m/>
    <n v="38887.594397539026"/>
    <m/>
    <m/>
    <m/>
    <m/>
    <m/>
    <m/>
    <m/>
    <m/>
  </r>
  <r>
    <s v="Agro Sudamerica1012778"/>
    <x v="2"/>
    <x v="0"/>
    <n v="1012778"/>
    <s v="PO Corazón@ Placa Cj 19kg SD"/>
    <x v="18"/>
    <x v="55"/>
    <n v="0"/>
    <n v="13231"/>
    <n v="0.47745072632608576"/>
    <n v="0"/>
    <n v="38017.277999999991"/>
    <n v="0"/>
    <n v="0"/>
    <n v="38017.277999999991"/>
    <n v="12000"/>
    <n v="23000"/>
    <n v="12000"/>
    <n v="0"/>
    <n v="12000"/>
    <n v="26017.277999999991"/>
    <n v="0"/>
    <n v="0"/>
    <n v="0"/>
    <n v="26017.277999999991"/>
    <n v="23000"/>
    <n v="0"/>
    <n v="23000"/>
    <n v="0"/>
    <n v="35000"/>
    <n v="35000"/>
    <n v="0"/>
    <n v="12000"/>
    <n v="23000"/>
    <x v="97"/>
    <n v="12000"/>
    <n v="23000"/>
    <x v="0"/>
    <x v="0"/>
    <s v="Si"/>
    <n v="35000"/>
    <n v="35000"/>
    <n v="0"/>
    <d v="2022-09-13T00:00:00"/>
    <n v="0"/>
    <n v="0.60750000000000004"/>
    <n v="0.60750000000000015"/>
    <n v="31500"/>
    <n v="0.75885421527489794"/>
    <n v="0.19945097784041316"/>
    <n v="0.75"/>
    <n v="0.60750000000000015"/>
    <n v="0.9"/>
    <n v="0.9"/>
    <m/>
    <s v="OK"/>
    <s v="OK"/>
    <n v="0"/>
    <n v="0"/>
    <n v="0"/>
    <n v="0"/>
    <n v="24000"/>
    <n v="24000"/>
    <n v="5000"/>
    <n v="17000"/>
    <n v="0"/>
    <n v="0"/>
    <n v="0"/>
    <n v="0"/>
    <n v="12000"/>
    <n v="16800"/>
    <m/>
    <n v="0"/>
    <m/>
    <m/>
    <m/>
    <m/>
    <m/>
    <m/>
    <m/>
    <m/>
  </r>
  <r>
    <s v="Agrosuper Asia1012012"/>
    <x v="2"/>
    <x v="1"/>
    <n v="1012012"/>
    <s v="PO Ala Ctro Mr@ Fi Cj 18k AS"/>
    <x v="17"/>
    <x v="57"/>
    <n v="57357"/>
    <n v="60000"/>
    <n v="0.47745072632608576"/>
    <n v="27385.141309885301"/>
    <n v="36229.200000000004"/>
    <n v="0"/>
    <n v="0"/>
    <n v="63614.341309885305"/>
    <n v="37000"/>
    <n v="22000"/>
    <n v="37000"/>
    <n v="0"/>
    <n v="37000"/>
    <n v="26614.341309885305"/>
    <n v="22000"/>
    <n v="0"/>
    <n v="22000"/>
    <n v="4614.3413098853052"/>
    <n v="0"/>
    <n v="0"/>
    <n v="0"/>
    <n v="0"/>
    <n v="59000"/>
    <n v="59000"/>
    <n v="0"/>
    <n v="37000"/>
    <n v="22000"/>
    <x v="98"/>
    <n v="37000"/>
    <n v="22000"/>
    <x v="0"/>
    <x v="11"/>
    <s v="Si"/>
    <n v="59000"/>
    <n v="36229.200000000004"/>
    <n v="22770.799999999996"/>
    <d v="2022-09-13T00:00:00"/>
    <n v="5.1929333333333298"/>
    <n v="6.5189189189189189"/>
    <n v="6.0244836158192081"/>
    <n v="355444.53333333327"/>
    <n v="7.2771865449742155"/>
    <n v="0.17214110445198791"/>
    <n v="6.5189189189189189"/>
    <n v="6.0244836158192081"/>
    <n v="0"/>
    <n v="6.0244836158192081"/>
    <m/>
    <s v="OK"/>
    <s v="OK"/>
    <n v="108000"/>
    <n v="88000"/>
    <n v="0"/>
    <n v="0"/>
    <n v="0"/>
    <n v="19958"/>
    <n v="17000"/>
    <n v="17000"/>
    <n v="851564.46669999999"/>
    <n v="445280"/>
    <n v="0"/>
    <n v="0"/>
    <n v="0"/>
    <n v="146960"/>
    <m/>
    <n v="29971.858690114699"/>
    <m/>
    <m/>
    <m/>
    <m/>
    <m/>
    <m/>
    <m/>
    <m/>
  </r>
  <r>
    <s v="Agrosuper Asia1012612"/>
    <x v="2"/>
    <x v="1"/>
    <n v="1012612"/>
    <s v="PO Ppa Esp Blo@ Bo Cj 20k AS"/>
    <x v="24"/>
    <x v="52"/>
    <n v="1107947"/>
    <n v="689747"/>
    <n v="0.47745072632608576"/>
    <n v="528990.09988080768"/>
    <n v="75655.587"/>
    <n v="409000"/>
    <n v="0"/>
    <n v="972745.68688080763"/>
    <n v="950000"/>
    <n v="23000"/>
    <n v="950000"/>
    <n v="0"/>
    <n v="950000"/>
    <n v="22745.686880807625"/>
    <n v="0"/>
    <n v="0"/>
    <n v="0"/>
    <n v="22745.686880807625"/>
    <n v="0"/>
    <n v="0"/>
    <n v="0"/>
    <n v="143866.23999999999"/>
    <n v="1093866.24"/>
    <n v="1093866.24"/>
    <n v="143866.23999999999"/>
    <n v="950000"/>
    <n v="0"/>
    <x v="99"/>
    <n v="950000"/>
    <n v="0"/>
    <x v="11"/>
    <x v="11"/>
    <s v="Si"/>
    <n v="950000"/>
    <n v="75655.587"/>
    <n v="874344.41299999994"/>
    <d v="2022-09-13T00:00:00"/>
    <n v="0.85000007249034804"/>
    <n v="1.1203949107534898"/>
    <n v="1.1203949107534898"/>
    <n v="1225562.1683410555"/>
    <n v="0.94791242465055459"/>
    <n v="0.18196036006862182"/>
    <n v="1.1646897296051419"/>
    <n v="1.1203949107534898"/>
    <n v="0"/>
    <n v="1.1203949107534898"/>
    <m/>
    <s v="OK"/>
    <s v="OK"/>
    <n v="625000"/>
    <n v="625000"/>
    <n v="950000"/>
    <n v="1100000"/>
    <n v="1291866"/>
    <n v="1074071"/>
    <n v="1125000"/>
    <n v="1295324.5"/>
    <n v="354215.07679999998"/>
    <n v="420938"/>
    <n v="695083"/>
    <n v="1039305"/>
    <n v="1122892"/>
    <n v="1235238"/>
    <m/>
    <n v="578956.90011919232"/>
    <m/>
    <m/>
    <m/>
    <m/>
    <m/>
    <m/>
    <m/>
    <m/>
  </r>
  <r>
    <s v="Agrosuper Brasil1011560"/>
    <x v="2"/>
    <x v="2"/>
    <n v="1011560"/>
    <s v="PO Corazón@ Bo Cj 18k AS"/>
    <x v="18"/>
    <x v="55"/>
    <n v="24465"/>
    <n v="10216"/>
    <n v="0.81973286675080992"/>
    <n v="20054.764585058565"/>
    <n v="17118"/>
    <n v="17923.399177904153"/>
    <n v="0"/>
    <n v="53303.823845172308"/>
    <n v="48000"/>
    <n v="23000"/>
    <n v="48000"/>
    <n v="-24000"/>
    <n v="24000"/>
    <n v="29303.823845172308"/>
    <n v="0"/>
    <n v="0"/>
    <n v="0"/>
    <n v="29303.823845172308"/>
    <n v="23000"/>
    <n v="-23000"/>
    <n v="0"/>
    <n v="0"/>
    <n v="71000"/>
    <n v="48000"/>
    <n v="0"/>
    <n v="24000"/>
    <n v="24000"/>
    <x v="3"/>
    <n v="24000"/>
    <n v="0"/>
    <x v="12"/>
    <x v="11"/>
    <s v="Si"/>
    <n v="24000"/>
    <n v="17118"/>
    <n v="6882"/>
    <d v="2022-09-13T00:00:00"/>
    <n v="0"/>
    <n v="2.8"/>
    <n v="2.8"/>
    <n v="67200"/>
    <n v="2.601064701064701"/>
    <n v="7.6482256998016265E-2"/>
    <n v="2.7"/>
    <n v="2.8"/>
    <n v="2.8"/>
    <n v="2.8"/>
    <m/>
    <s v="OK"/>
    <s v="OK"/>
    <n v="0"/>
    <n v="24000"/>
    <n v="0"/>
    <n v="0"/>
    <n v="24000"/>
    <n v="24000"/>
    <n v="24000"/>
    <n v="24000"/>
    <n v="0"/>
    <n v="60000"/>
    <n v="0"/>
    <n v="0"/>
    <n v="60000"/>
    <n v="64134"/>
    <m/>
    <n v="4410.235414941435"/>
    <m/>
    <m/>
    <m/>
    <m/>
    <m/>
    <m/>
    <m/>
    <m/>
  </r>
  <r>
    <s v="Agrosuper Brasil1012362"/>
    <x v="2"/>
    <x v="2"/>
    <n v="1012362"/>
    <s v="PO Corazon@ Cj 18k AS"/>
    <x v="18"/>
    <x v="55"/>
    <n v="68626"/>
    <n v="68626"/>
    <n v="0.81973286675080992"/>
    <n v="56254.98771364108"/>
    <n v="9810"/>
    <n v="0"/>
    <n v="0"/>
    <n v="66064.98771364108"/>
    <n v="24000"/>
    <n v="23000"/>
    <n v="24000"/>
    <n v="0"/>
    <n v="24000"/>
    <n v="42064.98771364108"/>
    <n v="23000"/>
    <n v="-23000"/>
    <n v="0"/>
    <n v="42064.98771364108"/>
    <n v="0"/>
    <n v="0"/>
    <n v="0"/>
    <n v="0"/>
    <n v="47000"/>
    <n v="47000"/>
    <n v="0"/>
    <n v="24000"/>
    <n v="23000"/>
    <x v="3"/>
    <n v="24000"/>
    <n v="0"/>
    <x v="12"/>
    <x v="11"/>
    <s v="Si"/>
    <n v="24000"/>
    <n v="9810"/>
    <n v="14190"/>
    <d v="2022-09-13T00:00:00"/>
    <n v="2.6866930900824801"/>
    <n v="2.7"/>
    <n v="2.7"/>
    <n v="64800.000000000007"/>
    <n v="2.7450484764542935"/>
    <n v="1.6410812719956501E-2"/>
    <n v="2.65"/>
    <n v="2.7"/>
    <n v="2.7"/>
    <n v="2.7"/>
    <m/>
    <s v="OK"/>
    <s v="OK"/>
    <n v="24000"/>
    <n v="24000"/>
    <n v="47990"/>
    <n v="23995"/>
    <n v="24000"/>
    <n v="24000"/>
    <n v="23990"/>
    <n v="23990"/>
    <n v="69600"/>
    <n v="66400"/>
    <n v="136772"/>
    <n v="70785"/>
    <n v="64800"/>
    <n v="64800"/>
    <m/>
    <n v="12371.01228635892"/>
    <m/>
    <m/>
    <m/>
    <m/>
    <m/>
    <m/>
    <m/>
    <m/>
  </r>
  <r>
    <s v="Agrosuper Brasil1012674"/>
    <x v="2"/>
    <x v="2"/>
    <n v="1012674"/>
    <s v="PO Corazon@Pla Cj 19k"/>
    <x v="18"/>
    <x v="55"/>
    <n v="47206"/>
    <n v="19440"/>
    <n v="0.81973286675080992"/>
    <n v="38696.309707838736"/>
    <n v="21567.302999999996"/>
    <n v="9000"/>
    <n v="0"/>
    <n v="68363.612707838736"/>
    <n v="71985"/>
    <n v="23000"/>
    <n v="46000"/>
    <n v="-22000"/>
    <n v="24000"/>
    <n v="44363.612707838736"/>
    <n v="0"/>
    <n v="0"/>
    <n v="0"/>
    <n v="44363.612707838736"/>
    <n v="0"/>
    <n v="0"/>
    <n v="0"/>
    <n v="0"/>
    <n v="46000"/>
    <n v="46000"/>
    <n v="0"/>
    <n v="24000"/>
    <n v="22000"/>
    <x v="3"/>
    <n v="24000"/>
    <n v="0"/>
    <x v="12"/>
    <x v="11"/>
    <s v="Si"/>
    <n v="24000"/>
    <n v="21567.302999999996"/>
    <n v="2432.6970000000038"/>
    <d v="2022-09-13T00:00:00"/>
    <n v="2.48667695473251"/>
    <n v="2.4666666666666668"/>
    <n v="2.4666666666666668"/>
    <n v="57600"/>
    <n v="2.5971795312677273"/>
    <n v="5.0251768516501032E-2"/>
    <n v="2.4"/>
    <n v="2.4666666666666668"/>
    <n v="2.4"/>
    <n v="2.4"/>
    <m/>
    <s v="OK"/>
    <s v="OK"/>
    <n v="24000"/>
    <n v="72000"/>
    <n v="24000"/>
    <n v="23995"/>
    <n v="24000"/>
    <n v="48000"/>
    <n v="24000"/>
    <n v="24000"/>
    <n v="64800"/>
    <n v="184509"/>
    <n v="64800"/>
    <n v="63587"/>
    <n v="60000"/>
    <n v="119200"/>
    <m/>
    <n v="8509.6902921612636"/>
    <m/>
    <m/>
    <m/>
    <m/>
    <m/>
    <m/>
    <m/>
    <m/>
  </r>
  <r>
    <s v="Agrosuper Shanghai1011586"/>
    <x v="2"/>
    <x v="3"/>
    <n v="1011586"/>
    <s v="PO Ala Media B 4x10@ Cj 20k AS"/>
    <x v="17"/>
    <x v="57"/>
    <n v="116482"/>
    <n v="0"/>
    <n v="0.47745072632608576"/>
    <n v="55614.415503915123"/>
    <n v="33522.720000000001"/>
    <n v="23000"/>
    <n v="0"/>
    <n v="109837.13550391512"/>
    <n v="0"/>
    <n v="23000"/>
    <n v="0"/>
    <n v="0"/>
    <n v="0"/>
    <n v="109837.13550391512"/>
    <n v="0"/>
    <n v="0"/>
    <n v="0"/>
    <n v="109837.1355039151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3.2645010141507287"/>
    <s v="No Aplica"/>
    <n v="0"/>
    <n v="0"/>
    <n v="0"/>
    <n v="0"/>
    <m/>
    <s v="OK"/>
    <s v="OK"/>
    <n v="96000"/>
    <n v="72000"/>
    <n v="48000"/>
    <n v="48000"/>
    <n v="48000"/>
    <n v="24000"/>
    <n v="63908"/>
    <n v="0"/>
    <n v="231360"/>
    <n v="185400"/>
    <n v="112800"/>
    <n v="130080"/>
    <n v="145830"/>
    <n v="86400"/>
    <m/>
    <n v="60867.584496084877"/>
    <m/>
    <m/>
    <m/>
    <m/>
    <m/>
    <m/>
    <m/>
    <m/>
  </r>
  <r>
    <s v="Agrosuper Shanghai1011968"/>
    <x v="2"/>
    <x v="3"/>
    <n v="1011968"/>
    <s v="PO Garra L A@ Bo Cj 20k AS"/>
    <x v="26"/>
    <x v="59"/>
    <n v="1631"/>
    <n v="0"/>
    <n v="0.47745072632608576"/>
    <n v="778.7221346378459"/>
    <n v="12600"/>
    <n v="420"/>
    <n v="0"/>
    <n v="13756.722134637846"/>
    <n v="0"/>
    <n v="23000"/>
    <n v="0"/>
    <n v="0"/>
    <n v="0"/>
    <n v="13756.722134637846"/>
    <n v="0"/>
    <n v="0"/>
    <n v="0"/>
    <n v="13756.722134637846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5.9127161015058549"/>
    <s v="No Aplica"/>
    <n v="0"/>
    <n v="0"/>
    <n v="0"/>
    <n v="0"/>
    <m/>
    <s v="OK"/>
    <s v="OK"/>
    <n v="5660"/>
    <n v="0"/>
    <n v="0"/>
    <n v="0"/>
    <n v="0"/>
    <n v="0"/>
    <n v="24000"/>
    <n v="0"/>
    <n v="20942"/>
    <n v="0"/>
    <n v="0"/>
    <n v="0"/>
    <n v="0"/>
    <n v="0"/>
    <m/>
    <n v="852.2778653621541"/>
    <m/>
    <m/>
    <m/>
    <m/>
    <m/>
    <m/>
    <m/>
    <m/>
  </r>
  <r>
    <s v="Agrosuper Shanghai1012312"/>
    <x v="2"/>
    <x v="3"/>
    <n v="1012312"/>
    <s v="PO Piel @ Cj 20k AS MUESTRA SAG"/>
    <x v="15"/>
    <x v="39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Shanghai1012448"/>
    <x v="2"/>
    <x v="3"/>
    <n v="1012448"/>
    <s v="PO Garra Economy@ Cj 20k AS"/>
    <x v="26"/>
    <x v="59"/>
    <n v="267290"/>
    <n v="0"/>
    <n v="0.47745072632608576"/>
    <n v="127617.80463969946"/>
    <n v="31500"/>
    <n v="74785"/>
    <n v="0"/>
    <n v="226424.30463969946"/>
    <n v="0"/>
    <n v="23000"/>
    <n v="0"/>
    <n v="0"/>
    <n v="0"/>
    <n v="226424.30463969946"/>
    <n v="0"/>
    <n v="0"/>
    <n v="0"/>
    <n v="226424.30463969946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5.330158672610315"/>
    <s v="No Aplica"/>
    <n v="0"/>
    <n v="0"/>
    <n v="0"/>
    <n v="0"/>
    <m/>
    <s v="OK"/>
    <s v="OK"/>
    <n v="168000"/>
    <n v="144000"/>
    <n v="96000"/>
    <n v="144000"/>
    <n v="168000"/>
    <n v="96000"/>
    <n v="240000"/>
    <n v="263035"/>
    <n v="609560"/>
    <n v="518400"/>
    <n v="393600"/>
    <n v="661338"/>
    <n v="885718"/>
    <n v="532800"/>
    <m/>
    <n v="139672.19536030054"/>
    <m/>
    <m/>
    <m/>
    <m/>
    <m/>
    <m/>
    <m/>
    <m/>
  </r>
  <r>
    <s v="Agrosuper Shanghai1012452"/>
    <x v="2"/>
    <x v="3"/>
    <n v="1012452"/>
    <s v="PO Ala Media Grado B@ Cj AS"/>
    <x v="17"/>
    <x v="57"/>
    <n v="12346"/>
    <n v="0"/>
    <n v="0.47745072632608576"/>
    <n v="5894.6066672218549"/>
    <n v="16943.279999999995"/>
    <n v="8000"/>
    <n v="0"/>
    <n v="30037.88666722185"/>
    <n v="0"/>
    <n v="23000"/>
    <n v="0"/>
    <n v="0"/>
    <n v="0"/>
    <n v="30037.88666722185"/>
    <n v="0"/>
    <n v="0"/>
    <n v="0"/>
    <n v="30037.88666722185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2.5667479499063663"/>
    <s v="No Aplica"/>
    <n v="0"/>
    <n v="0"/>
    <n v="0"/>
    <n v="0"/>
    <m/>
    <s v="OK"/>
    <s v="OK"/>
    <n v="24000"/>
    <n v="72000"/>
    <n v="37721"/>
    <n v="0"/>
    <n v="24000"/>
    <n v="24000"/>
    <n v="24000"/>
    <n v="0"/>
    <n v="59280"/>
    <n v="186120"/>
    <n v="99961"/>
    <n v="0"/>
    <n v="47293"/>
    <n v="63258"/>
    <m/>
    <n v="6451.3933327781451"/>
    <m/>
    <m/>
    <m/>
    <m/>
    <m/>
    <m/>
    <m/>
    <m/>
  </r>
  <r>
    <s v="Agrosuper Shanghai1012455"/>
    <x v="2"/>
    <x v="3"/>
    <n v="1012455"/>
    <s v="PO Ctro Pta Ala Choice@ Cj 20k AS"/>
    <x v="17"/>
    <x v="60"/>
    <n v="157453"/>
    <n v="0"/>
    <n v="0.47745072632608576"/>
    <n v="75176.049212221187"/>
    <n v="30640"/>
    <n v="3200"/>
    <n v="0"/>
    <n v="108696.04921222119"/>
    <n v="0"/>
    <n v="23000"/>
    <n v="0"/>
    <n v="0"/>
    <n v="0"/>
    <n v="108696.04921222119"/>
    <n v="0"/>
    <n v="0"/>
    <n v="0"/>
    <n v="108696.04921222119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2.84789143552702"/>
    <s v="No Aplica"/>
    <n v="0"/>
    <n v="0"/>
    <n v="0"/>
    <n v="0"/>
    <m/>
    <s v="OK"/>
    <s v="OK"/>
    <n v="144000"/>
    <n v="48000"/>
    <n v="48000"/>
    <n v="120000"/>
    <n v="120000"/>
    <n v="192000"/>
    <n v="168000"/>
    <n v="24000"/>
    <n v="312480"/>
    <n v="106800"/>
    <n v="115200"/>
    <n v="289800"/>
    <n v="323225"/>
    <n v="541042"/>
    <m/>
    <n v="82276.950787778813"/>
    <m/>
    <m/>
    <m/>
    <m/>
    <m/>
    <m/>
    <m/>
    <m/>
  </r>
  <r>
    <s v="Agrosuper Shanghai1012502"/>
    <x v="2"/>
    <x v="3"/>
    <n v="1012502"/>
    <s v="PO Garra Large B@ Cj 20k AS"/>
    <x v="26"/>
    <x v="59"/>
    <n v="8088"/>
    <n v="0"/>
    <n v="0.47745072632608576"/>
    <n v="3861.6214745253815"/>
    <n v="15320"/>
    <n v="1500"/>
    <n v="0"/>
    <n v="20531.621474525382"/>
    <n v="0"/>
    <n v="23000"/>
    <n v="0"/>
    <n v="0"/>
    <n v="0"/>
    <n v="20531.621474525382"/>
    <n v="0"/>
    <n v="0"/>
    <n v="0"/>
    <n v="20531.62147452538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5.3695260885045784"/>
    <s v="No Aplica"/>
    <n v="0"/>
    <n v="0"/>
    <n v="0"/>
    <n v="0"/>
    <m/>
    <s v="OK"/>
    <s v="OK"/>
    <n v="0"/>
    <n v="0"/>
    <n v="0"/>
    <n v="0"/>
    <n v="12000"/>
    <n v="0"/>
    <n v="0"/>
    <n v="23920"/>
    <n v="0"/>
    <n v="0"/>
    <n v="0"/>
    <n v="0"/>
    <n v="52600"/>
    <n v="0"/>
    <m/>
    <n v="4226.3785254746181"/>
    <m/>
    <m/>
    <m/>
    <m/>
    <m/>
    <m/>
    <m/>
    <m/>
  </r>
  <r>
    <s v="Agrosuper Shanghai1012503"/>
    <x v="2"/>
    <x v="3"/>
    <n v="1012503"/>
    <s v="PO Garra M B@ Cj 20k AS"/>
    <x v="26"/>
    <x v="59"/>
    <n v="59797"/>
    <n v="0"/>
    <n v="0.47745072632608576"/>
    <n v="28550.12108212095"/>
    <n v="2640"/>
    <n v="6500"/>
    <n v="0"/>
    <n v="37040.121082120953"/>
    <n v="0"/>
    <n v="23000"/>
    <n v="0"/>
    <n v="0"/>
    <n v="0"/>
    <n v="37040.121082120953"/>
    <n v="0"/>
    <n v="0"/>
    <n v="0"/>
    <n v="37040.121082120953"/>
    <n v="0"/>
    <n v="0"/>
    <n v="0"/>
    <n v="16500"/>
    <n v="16500"/>
    <n v="16500"/>
    <n v="16500"/>
    <n v="0"/>
    <n v="0"/>
    <x v="100"/>
    <n v="0"/>
    <n v="0"/>
    <x v="0"/>
    <x v="11"/>
    <s v="No"/>
    <n v="0"/>
    <n v="0"/>
    <n v="0"/>
    <d v="2022-09-13T00:00:00"/>
    <n v="0"/>
    <n v="0"/>
    <n v="0"/>
    <n v="84782.079900798417"/>
    <n v="5.1383078727756617"/>
    <s v="No Aplica"/>
    <n v="4.3833333333333302"/>
    <n v="5.1383078727756617"/>
    <n v="0"/>
    <n v="5.1383078727756617"/>
    <m/>
    <s v="OK"/>
    <s v="OK"/>
    <n v="14000"/>
    <n v="0"/>
    <n v="0"/>
    <n v="0"/>
    <n v="12000"/>
    <n v="12000"/>
    <n v="312000"/>
    <n v="280460"/>
    <n v="46900"/>
    <n v="0"/>
    <n v="0"/>
    <n v="0"/>
    <n v="64578"/>
    <n v="56400"/>
    <m/>
    <n v="31246.87891787905"/>
    <m/>
    <m/>
    <m/>
    <m/>
    <m/>
    <m/>
    <m/>
    <m/>
  </r>
  <r>
    <s v="Agrosuper Shanghai1012504"/>
    <x v="2"/>
    <x v="3"/>
    <n v="1012504"/>
    <s v="PO Garra Economy@ Cj 20k AS"/>
    <x v="26"/>
    <x v="59"/>
    <n v="281240"/>
    <n v="0"/>
    <n v="0.47745072632608576"/>
    <n v="134278.24227194837"/>
    <n v="178700"/>
    <n v="61000"/>
    <n v="0"/>
    <n v="367878.24227194837"/>
    <n v="0"/>
    <n v="23000"/>
    <n v="0"/>
    <n v="0"/>
    <n v="0"/>
    <n v="367878.24227194837"/>
    <n v="0"/>
    <n v="0"/>
    <n v="0"/>
    <n v="367878.24227194837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4.9304461587743731"/>
    <s v="No Aplica"/>
    <n v="0"/>
    <n v="0"/>
    <n v="0"/>
    <n v="0"/>
    <m/>
    <s v="OK"/>
    <s v="OK"/>
    <n v="48000"/>
    <n v="72000"/>
    <n v="24000"/>
    <n v="24000"/>
    <n v="72000"/>
    <n v="48000"/>
    <n v="24000"/>
    <n v="23900"/>
    <n v="168720"/>
    <n v="254520"/>
    <n v="90000"/>
    <n v="51375"/>
    <n v="373545"/>
    <n v="176000"/>
    <m/>
    <n v="146961.75772805163"/>
    <m/>
    <m/>
    <m/>
    <m/>
    <m/>
    <m/>
    <m/>
    <m/>
  </r>
  <r>
    <s v="Agrosuper Shanghai1012598"/>
    <x v="2"/>
    <x v="3"/>
    <n v="1012598"/>
    <s v="GA Garra G Large B@ Cj 20k AS"/>
    <x v="26"/>
    <x v="59"/>
    <n v="4647"/>
    <n v="0"/>
    <n v="0.47745072632608576"/>
    <n v="2218.7135252373205"/>
    <n v="3820"/>
    <n v="1000"/>
    <n v="0"/>
    <n v="6938.7135252373209"/>
    <n v="0"/>
    <n v="23000"/>
    <n v="0"/>
    <n v="0"/>
    <n v="0"/>
    <n v="6938.7135252373209"/>
    <n v="0"/>
    <n v="0"/>
    <n v="0"/>
    <n v="6938.7135252373209"/>
    <n v="0"/>
    <n v="0"/>
    <n v="0"/>
    <n v="7640"/>
    <n v="7640"/>
    <n v="7640"/>
    <n v="7640"/>
    <n v="0"/>
    <n v="0"/>
    <x v="101"/>
    <n v="0"/>
    <n v="0"/>
    <x v="0"/>
    <x v="11"/>
    <s v="No"/>
    <n v="0"/>
    <n v="0"/>
    <n v="0"/>
    <d v="2022-09-13T00:00:00"/>
    <n v="0"/>
    <n v="0"/>
    <n v="0"/>
    <n v="8248.7256905965605"/>
    <n v="1.0796761375126389"/>
    <s v="No Aplica"/>
    <n v="1.38333333333333"/>
    <n v="1.0796761375126389"/>
    <n v="0"/>
    <n v="1.0796761375126389"/>
    <m/>
    <s v="OK"/>
    <s v="OK"/>
    <n v="4340"/>
    <n v="0"/>
    <n v="10660"/>
    <n v="0"/>
    <n v="0"/>
    <n v="0"/>
    <n v="0"/>
    <n v="7500"/>
    <n v="3906"/>
    <n v="0"/>
    <n v="10660"/>
    <n v="0"/>
    <n v="0"/>
    <n v="0"/>
    <m/>
    <n v="2428.2864747626795"/>
    <m/>
    <m/>
    <m/>
    <m/>
    <m/>
    <m/>
    <m/>
    <m/>
  </r>
  <r>
    <s v="Agro Mexico1012764"/>
    <x v="2"/>
    <x v="5"/>
    <n v="1012764"/>
    <s v="PO Ppa Esp@ Bo Cj 20k AS"/>
    <x v="24"/>
    <x v="61"/>
    <n v="189434"/>
    <n v="120001"/>
    <n v="0.52379475531688124"/>
    <n v="99224.535678698085"/>
    <n v="17749.162"/>
    <n v="60000"/>
    <n v="0"/>
    <n v="170973.69767869808"/>
    <n v="192000"/>
    <n v="23000"/>
    <n v="161000"/>
    <n v="0"/>
    <n v="161000"/>
    <n v="9973.6976786980813"/>
    <n v="0"/>
    <n v="0"/>
    <n v="0"/>
    <n v="9973.6976786980813"/>
    <n v="0"/>
    <n v="0"/>
    <n v="0"/>
    <n v="143799.72000000003"/>
    <n v="304799.72000000003"/>
    <n v="304799.72000000003"/>
    <n v="143799.72000000003"/>
    <n v="161000"/>
    <n v="0"/>
    <x v="102"/>
    <n v="161000"/>
    <n v="0"/>
    <x v="0"/>
    <x v="11"/>
    <s v="Si"/>
    <n v="161000"/>
    <n v="17749.162"/>
    <n v="143250.83799999999"/>
    <d v="2022-08-14T00:00:00"/>
    <n v="0.68207764935292203"/>
    <n v="0.76217570833333392"/>
    <n v="0.76217570833333392"/>
    <n v="232310.94249080186"/>
    <n v="0.81651936514029222"/>
    <n v="6.65552577526696E-2"/>
    <n v="0.74675410788355934"/>
    <n v="0.76217570833333392"/>
    <n v="0"/>
    <n v="0.76217570833333392"/>
    <m/>
    <s v="OK"/>
    <s v="OK"/>
    <n v="0"/>
    <n v="0"/>
    <n v="0"/>
    <n v="0"/>
    <n v="0"/>
    <n v="312001"/>
    <n v="192000"/>
    <n v="359989.05"/>
    <n v="0"/>
    <n v="0"/>
    <n v="0"/>
    <n v="0"/>
    <n v="0"/>
    <n v="303633.28684000002"/>
    <m/>
    <n v="90209.464321301915"/>
    <m/>
    <m/>
    <m/>
    <m/>
    <m/>
    <m/>
    <m/>
    <m/>
  </r>
  <r>
    <s v="Agrosuper Shanghai1030525"/>
    <x v="1"/>
    <x v="3"/>
    <n v="1030525"/>
    <s v="PV Tru Ala@ Ex blo Cj 15k SO"/>
    <x v="17"/>
    <x v="41"/>
    <n v="114204"/>
    <n v="0"/>
    <n v="0.47745072632608576"/>
    <n v="54526.782749344296"/>
    <n v="29685"/>
    <n v="21030.816039306366"/>
    <n v="0"/>
    <n v="103139.51718472003"/>
    <n v="0"/>
    <n v="23000"/>
    <n v="0"/>
    <n v="0"/>
    <n v="0"/>
    <n v="103139.51718472003"/>
    <n v="0"/>
    <n v="0"/>
    <n v="0"/>
    <n v="103139.51718472003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1.8726789500000001"/>
    <s v="No Aplica"/>
    <n v="0"/>
    <n v="0"/>
    <n v="0"/>
    <n v="0"/>
    <m/>
    <s v="OK"/>
    <s v="OK"/>
    <n v="0"/>
    <n v="0"/>
    <n v="0"/>
    <n v="0"/>
    <n v="0"/>
    <n v="0"/>
    <n v="24000"/>
    <n v="24000"/>
    <n v="0"/>
    <n v="0"/>
    <n v="0"/>
    <n v="0"/>
    <n v="0"/>
    <n v="0"/>
    <m/>
    <n v="59677.217250655704"/>
    <m/>
    <m/>
    <m/>
    <m/>
    <m/>
    <m/>
    <m/>
    <m/>
  </r>
  <r>
    <s v="Agro Sudamerica1030230"/>
    <x v="1"/>
    <x v="0"/>
    <n v="1030230"/>
    <s v="Pv Piel Tru@ Bo Cj So"/>
    <x v="5"/>
    <x v="45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30672"/>
    <x v="1"/>
    <x v="0"/>
    <n v="1030672"/>
    <s v="PV Tru Larg He@ Ex Bo Cj 15K AS"/>
    <x v="16"/>
    <x v="40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Shanghai1021905"/>
    <x v="0"/>
    <x v="3"/>
    <n v="1021905"/>
    <s v="GO Triming 70/30@ Cj 20k AS"/>
    <x v="5"/>
    <x v="6"/>
    <n v="0"/>
    <n v="0"/>
    <n v="0.3847626683444947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4083154265947304"/>
    <s v="No Aplica"/>
    <n v="0"/>
    <n v="0"/>
    <n v="0"/>
    <n v="0"/>
    <m/>
    <s v="OK"/>
    <s v="OK"/>
    <n v="0"/>
    <n v="0"/>
    <n v="0"/>
    <n v="0"/>
    <n v="0"/>
    <n v="0"/>
    <n v="24008"/>
    <n v="0"/>
    <n v="0"/>
    <n v="0"/>
    <n v="0"/>
    <n v="0"/>
    <n v="0"/>
    <n v="0"/>
    <m/>
    <n v="0"/>
    <m/>
    <m/>
    <m/>
    <m/>
    <m/>
    <m/>
    <m/>
    <m/>
  </r>
  <r>
    <s v="Agrosuper Shanghai1021971"/>
    <x v="0"/>
    <x v="3"/>
    <n v="1021971"/>
    <s v="GO Cue Back@ Cj 20k bca AS"/>
    <x v="4"/>
    <x v="17"/>
    <n v="0"/>
    <n v="0"/>
    <n v="0.38476266834449474"/>
    <n v="0"/>
    <n v="9380"/>
    <n v="0"/>
    <n v="0"/>
    <n v="9380"/>
    <n v="0"/>
    <n v="23000"/>
    <n v="0"/>
    <n v="0"/>
    <n v="0"/>
    <n v="9380"/>
    <n v="0"/>
    <n v="0"/>
    <n v="0"/>
    <n v="938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8032367974564296"/>
    <s v="No Aplica"/>
    <n v="0"/>
    <n v="0"/>
    <n v="0"/>
    <n v="0"/>
    <m/>
    <s v="OK"/>
    <s v="OK"/>
    <n v="0"/>
    <n v="0"/>
    <n v="0"/>
    <n v="0"/>
    <n v="0"/>
    <n v="0"/>
    <n v="41000"/>
    <n v="0"/>
    <n v="0"/>
    <n v="0"/>
    <n v="0"/>
    <n v="0"/>
    <n v="0"/>
    <n v="0"/>
    <m/>
    <n v="0"/>
    <m/>
    <m/>
    <m/>
    <m/>
    <m/>
    <m/>
    <m/>
    <m/>
  </r>
  <r>
    <s v="Agrosuper Shanghai1022418"/>
    <x v="0"/>
    <x v="3"/>
    <n v="1022418"/>
    <s v="GO Tripa s/Cal # Bidon AS"/>
    <x v="10"/>
    <x v="25"/>
    <n v="0"/>
    <n v="0"/>
    <n v="0.38476266834449474"/>
    <n v="0"/>
    <n v="33705"/>
    <n v="3600"/>
    <n v="0"/>
    <n v="36945"/>
    <n v="47880"/>
    <n v="23000"/>
    <n v="23000"/>
    <n v="0"/>
    <n v="23000"/>
    <n v="13945"/>
    <n v="0"/>
    <n v="0"/>
    <n v="0"/>
    <n v="13945"/>
    <n v="0"/>
    <n v="0"/>
    <n v="0"/>
    <n v="0"/>
    <n v="23000"/>
    <n v="23000"/>
    <n v="0"/>
    <n v="23000"/>
    <n v="0"/>
    <x v="1"/>
    <n v="23000"/>
    <n v="0"/>
    <x v="0"/>
    <x v="11"/>
    <s v="Si"/>
    <n v="23000"/>
    <n v="23000"/>
    <n v="0"/>
    <d v="2022-09-10T00:00:00"/>
    <n v="0"/>
    <n v="5.2697172619047601"/>
    <n v="5.2697172619047601"/>
    <n v="121203.49702380948"/>
    <n v="0"/>
    <s v="No Aplica"/>
    <n v="5.4285714285714297"/>
    <n v="5.2697172619047601"/>
    <n v="0"/>
    <n v="5.2697172619047601"/>
    <m/>
    <s v="OK"/>
    <s v="OK"/>
    <n v="0"/>
    <n v="0"/>
    <n v="0"/>
    <n v="0"/>
    <n v="0"/>
    <n v="0"/>
    <n v="0"/>
    <n v="24000"/>
    <n v="0"/>
    <n v="0"/>
    <n v="0"/>
    <n v="0"/>
    <n v="0"/>
    <n v="0"/>
    <s v="Revisar precio"/>
    <n v="0"/>
    <m/>
    <m/>
    <m/>
    <m/>
    <m/>
    <m/>
    <m/>
    <m/>
  </r>
  <r>
    <s v="Agrosuper Asia1022605"/>
    <x v="0"/>
    <x v="1"/>
    <n v="1022605"/>
    <s v="GO Recto Tubo Crud@ Cj 10k AS"/>
    <x v="10"/>
    <x v="25"/>
    <n v="19657"/>
    <n v="24000"/>
    <n v="0.38476266834449474"/>
    <n v="7563.2797716477335"/>
    <n v="2430"/>
    <n v="700"/>
    <n v="0"/>
    <n v="10623.279771647733"/>
    <n v="0"/>
    <n v="7000"/>
    <n v="0"/>
    <n v="0"/>
    <n v="0"/>
    <n v="10623.279771647733"/>
    <n v="7000"/>
    <n v="-7000"/>
    <n v="0"/>
    <n v="10623.279771647733"/>
    <n v="0"/>
    <n v="0"/>
    <n v="0"/>
    <n v="0"/>
    <n v="7000"/>
    <n v="7000"/>
    <n v="0"/>
    <n v="0"/>
    <n v="7000"/>
    <x v="7"/>
    <n v="0"/>
    <n v="0"/>
    <x v="9"/>
    <x v="11"/>
    <s v="No"/>
    <n v="0"/>
    <n v="0"/>
    <n v="0"/>
    <d v="2022-09-10T00:00:00"/>
    <n v="4.2636250000000002"/>
    <n v="0"/>
    <n v="0"/>
    <n v="0"/>
    <n v="0"/>
    <s v="No Aplica"/>
    <n v="0"/>
    <n v="0"/>
    <n v="0"/>
    <n v="0"/>
    <m/>
    <s v="OK"/>
    <s v="OK"/>
    <n v="0"/>
    <n v="0"/>
    <n v="0"/>
    <n v="0"/>
    <n v="0"/>
    <n v="7000"/>
    <n v="0"/>
    <n v="0"/>
    <n v="0"/>
    <n v="0"/>
    <n v="0"/>
    <n v="0"/>
    <n v="0"/>
    <n v="30191"/>
    <m/>
    <n v="12093.720228352267"/>
    <m/>
    <m/>
    <m/>
    <m/>
    <m/>
    <m/>
    <m/>
    <m/>
  </r>
  <r>
    <s v="Agro Sudamerica1022842"/>
    <x v="0"/>
    <x v="0"/>
    <n v="1022842"/>
    <s v="GO Triming Lomo@ Cj 20k AS"/>
    <x v="5"/>
    <x v="62"/>
    <n v="0"/>
    <n v="0"/>
    <n v="0.3545854356400317"/>
    <n v="0"/>
    <n v="520.84"/>
    <n v="471"/>
    <n v="0"/>
    <n v="944.74"/>
    <n v="48000"/>
    <n v="23000"/>
    <n v="0"/>
    <n v="0"/>
    <n v="0"/>
    <n v="944.74"/>
    <n v="0"/>
    <n v="0"/>
    <n v="0"/>
    <n v="944.74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2.5249999999999999"/>
    <n v="0"/>
    <n v="0"/>
    <n v="0"/>
    <s v="No Aplica"/>
    <n v="0"/>
    <n v="0"/>
    <n v="0"/>
    <n v="0"/>
    <m/>
    <s v="OK"/>
    <s v="OK"/>
    <n v="0"/>
    <n v="0"/>
    <n v="0"/>
    <n v="0"/>
    <n v="0"/>
    <n v="0"/>
    <n v="24000"/>
    <n v="0"/>
    <n v="0"/>
    <n v="0"/>
    <n v="0"/>
    <n v="0"/>
    <n v="0"/>
    <n v="0"/>
    <m/>
    <n v="0"/>
    <m/>
    <m/>
    <m/>
    <m/>
    <m/>
    <m/>
    <m/>
    <m/>
  </r>
  <r>
    <s v="Agro Sudamerica1022844"/>
    <x v="0"/>
    <x v="0"/>
    <n v="1022844"/>
    <s v="GO Cordon Lom@ CJ 20k AS"/>
    <x v="5"/>
    <x v="6"/>
    <n v="541"/>
    <n v="0"/>
    <n v="0.3545854356400317"/>
    <n v="191.83072068125716"/>
    <n v="24736.058999999983"/>
    <n v="0"/>
    <n v="0"/>
    <n v="24927.88972068124"/>
    <n v="24000"/>
    <n v="23000"/>
    <n v="24000"/>
    <n v="0"/>
    <n v="24000"/>
    <n v="927.88972068123985"/>
    <n v="0"/>
    <n v="0"/>
    <n v="0"/>
    <n v="927.88972068123985"/>
    <n v="0"/>
    <n v="0"/>
    <n v="0"/>
    <n v="0"/>
    <n v="24000"/>
    <n v="24000"/>
    <n v="0"/>
    <n v="24000"/>
    <n v="0"/>
    <x v="3"/>
    <n v="24000"/>
    <n v="0"/>
    <x v="0"/>
    <x v="1"/>
    <s v="Si"/>
    <n v="24000"/>
    <n v="24000"/>
    <n v="0"/>
    <d v="2022-09-09T00:00:00"/>
    <n v="0"/>
    <n v="1.7235416666666701"/>
    <n v="1.7235416666666701"/>
    <n v="41280"/>
    <n v="0"/>
    <s v="No Aplica"/>
    <n v="0"/>
    <n v="1.7235416666666701"/>
    <n v="1.72"/>
    <n v="1.72"/>
    <m/>
    <s v="OK"/>
    <s v="OK"/>
    <n v="0"/>
    <n v="0"/>
    <n v="0"/>
    <n v="0"/>
    <n v="0"/>
    <n v="0"/>
    <n v="0"/>
    <n v="0"/>
    <n v="0"/>
    <n v="0"/>
    <n v="0"/>
    <n v="0"/>
    <n v="0"/>
    <n v="0"/>
    <m/>
    <n v="349.16927931874284"/>
    <m/>
    <m/>
    <m/>
    <m/>
    <m/>
    <m/>
    <m/>
    <m/>
  </r>
  <r>
    <s v="Agrosuper Shanghai1022943"/>
    <x v="0"/>
    <x v="3"/>
    <n v="1022943"/>
    <s v="GO Lom Ctro@ Cj 16k AS"/>
    <x v="6"/>
    <x v="8"/>
    <n v="53674"/>
    <n v="0"/>
    <n v="0.38476266834449474"/>
    <n v="20651.751460722411"/>
    <n v="32"/>
    <n v="0"/>
    <n v="0"/>
    <n v="20683.751460722411"/>
    <n v="0"/>
    <n v="23000"/>
    <n v="0"/>
    <n v="0"/>
    <n v="0"/>
    <n v="20683.751460722411"/>
    <n v="0"/>
    <n v="0"/>
    <n v="0"/>
    <n v="20683.751460722411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2.4003255462422346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33022.248539277585"/>
    <m/>
    <m/>
    <m/>
    <m/>
    <m/>
    <m/>
    <m/>
    <m/>
  </r>
  <r>
    <s v="Agrosuper Shanghai1022995"/>
    <x v="0"/>
    <x v="3"/>
    <n v="1022995"/>
    <s v="GO Panc Tec /C cue S/H@ Cj 20k AS"/>
    <x v="8"/>
    <x v="26"/>
    <n v="0"/>
    <n v="0"/>
    <n v="0.3847626683444947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Shanghai1023110"/>
    <x v="0"/>
    <x v="3"/>
    <n v="1023110"/>
    <s v="GO Pna Forro@ Bo Cj 20k AS"/>
    <x v="2"/>
    <x v="23"/>
    <n v="0"/>
    <n v="0"/>
    <n v="0.38476266834449474"/>
    <n v="0"/>
    <n v="67021.793000000005"/>
    <n v="41782.40332190528"/>
    <n v="0"/>
    <n v="104625.95598971476"/>
    <n v="0"/>
    <n v="23000"/>
    <n v="0"/>
    <n v="0"/>
    <n v="0"/>
    <n v="104625.95598971476"/>
    <n v="0"/>
    <n v="0"/>
    <n v="0"/>
    <n v="104625.95598971476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.86936289702296099"/>
    <s v="No Aplica"/>
    <n v="0"/>
    <n v="0"/>
    <n v="0"/>
    <n v="0"/>
    <m/>
    <s v="OK"/>
    <s v="OK"/>
    <n v="0"/>
    <n v="0"/>
    <n v="0"/>
    <n v="0"/>
    <n v="0"/>
    <n v="48000"/>
    <n v="24007"/>
    <n v="73326"/>
    <n v="0"/>
    <n v="0"/>
    <n v="0"/>
    <n v="0"/>
    <n v="0"/>
    <n v="36000"/>
    <m/>
    <n v="0"/>
    <m/>
    <m/>
    <m/>
    <m/>
    <m/>
    <m/>
    <m/>
    <m/>
  </r>
  <r>
    <s v="Agrosuper Asia1023370"/>
    <x v="0"/>
    <x v="1"/>
    <n v="1023370"/>
    <s v="GO Pna Nor@ Cj 20k AS"/>
    <x v="9"/>
    <x v="11"/>
    <n v="0"/>
    <n v="0"/>
    <n v="0.3847626683444947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24000"/>
    <n v="0"/>
    <n v="0"/>
    <n v="0"/>
    <n v="0"/>
    <n v="0"/>
    <n v="0"/>
    <n v="0"/>
    <n v="33325"/>
    <m/>
    <n v="0"/>
    <m/>
    <m/>
    <m/>
    <m/>
    <m/>
    <m/>
    <m/>
    <m/>
  </r>
  <r>
    <s v="Agrosuper Asia1023371"/>
    <x v="0"/>
    <x v="1"/>
    <n v="1023371"/>
    <s v="GO Pal Nor@ Cj 20k AS"/>
    <x v="12"/>
    <x v="36"/>
    <n v="0"/>
    <n v="0"/>
    <n v="0.3847626683444947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24000"/>
    <n v="0"/>
    <n v="0"/>
    <n v="0"/>
    <n v="0"/>
    <n v="0"/>
    <n v="0"/>
    <n v="0"/>
    <n v="28525"/>
    <m/>
    <n v="0"/>
    <m/>
    <m/>
    <m/>
    <m/>
    <m/>
    <m/>
    <m/>
    <m/>
  </r>
  <r>
    <s v="Agrosuper Asia1023372"/>
    <x v="0"/>
    <x v="1"/>
    <n v="1023372"/>
    <s v="GO Lom Ctro 27@ Fi Cj 20k AS"/>
    <x v="27"/>
    <x v="8"/>
    <n v="0"/>
    <n v="5707"/>
    <n v="0.38476266834449474"/>
    <n v="0"/>
    <n v="80975.061000000002"/>
    <n v="0"/>
    <n v="0"/>
    <n v="80975.061000000002"/>
    <n v="24000"/>
    <n v="23000"/>
    <n v="24000"/>
    <n v="0"/>
    <n v="24000"/>
    <n v="56975.061000000002"/>
    <n v="0"/>
    <n v="0"/>
    <n v="0"/>
    <n v="56975.061000000002"/>
    <n v="46000"/>
    <n v="0"/>
    <n v="46000"/>
    <n v="0"/>
    <n v="70000"/>
    <n v="70000"/>
    <n v="0"/>
    <n v="24000"/>
    <n v="46000"/>
    <x v="103"/>
    <n v="24000"/>
    <n v="46000"/>
    <x v="5"/>
    <x v="11"/>
    <s v="Si"/>
    <n v="70000"/>
    <n v="70000"/>
    <n v="0"/>
    <d v="2022-09-10T00:00:00"/>
    <n v="2.7135097248992501"/>
    <n v="3"/>
    <n v="3"/>
    <n v="210000"/>
    <n v="2.5999999999999996"/>
    <n v="0.15384615384615399"/>
    <n v="2.8"/>
    <n v="3"/>
    <n v="0"/>
    <n v="3"/>
    <m/>
    <s v="OK"/>
    <s v="OK"/>
    <n v="0"/>
    <n v="0"/>
    <n v="0"/>
    <n v="0"/>
    <n v="0"/>
    <n v="0"/>
    <n v="24000"/>
    <n v="48000"/>
    <n v="0"/>
    <n v="0"/>
    <n v="0"/>
    <n v="0"/>
    <n v="0"/>
    <n v="0"/>
    <m/>
    <n v="0"/>
    <m/>
    <m/>
    <m/>
    <m/>
    <m/>
    <m/>
    <m/>
    <m/>
  </r>
  <r>
    <s v="Agrosuper Asia1023397"/>
    <x v="0"/>
    <x v="1"/>
    <n v="1023397"/>
    <s v="GO Gord Esp@ Cj 20k AS"/>
    <x v="2"/>
    <x v="5"/>
    <n v="0"/>
    <n v="11650"/>
    <n v="0.38476266834449474"/>
    <n v="0"/>
    <n v="97244.641000000091"/>
    <n v="9898.7534536709682"/>
    <n v="0"/>
    <n v="106153.51910830397"/>
    <n v="120000"/>
    <n v="23000"/>
    <n v="92000"/>
    <n v="-44000"/>
    <n v="48000"/>
    <n v="58153.519108303968"/>
    <n v="0"/>
    <n v="0"/>
    <n v="0"/>
    <n v="58153.519108303968"/>
    <n v="0"/>
    <n v="0"/>
    <n v="0"/>
    <n v="0"/>
    <n v="92000"/>
    <n v="92000"/>
    <n v="0"/>
    <n v="48000"/>
    <n v="44000"/>
    <x v="39"/>
    <n v="48000"/>
    <n v="0"/>
    <x v="7"/>
    <x v="11"/>
    <s v="Si"/>
    <n v="48000"/>
    <n v="48000"/>
    <n v="0"/>
    <d v="2022-09-10T00:00:00"/>
    <n v="0.91356223175965701"/>
    <n v="1.1535082916666666"/>
    <n v="1.1535082916666666"/>
    <n v="55368.397999999994"/>
    <n v="0.98973912625172378"/>
    <n v="0.16546700142608167"/>
    <n v="1.05"/>
    <n v="1.1535082916666666"/>
    <n v="0"/>
    <n v="1.1535082916666666"/>
    <m/>
    <s v="OK"/>
    <s v="OK"/>
    <n v="0"/>
    <n v="0"/>
    <n v="0"/>
    <n v="0"/>
    <n v="0"/>
    <n v="48000"/>
    <n v="96000"/>
    <n v="48000"/>
    <n v="0"/>
    <n v="0"/>
    <n v="0"/>
    <n v="0"/>
    <n v="0"/>
    <n v="51325"/>
    <m/>
    <n v="0"/>
    <m/>
    <m/>
    <m/>
    <m/>
    <m/>
    <m/>
    <m/>
    <m/>
  </r>
  <r>
    <s v="Agro Sudamerica1100407"/>
    <x v="3"/>
    <x v="0"/>
    <n v="1100407"/>
    <s v="Nugg Pollo Uru@ Bo Cj 1k SH"/>
    <x v="28"/>
    <x v="63"/>
    <n v="0"/>
    <n v="0"/>
    <n v="0.4"/>
    <n v="0"/>
    <n v="13776"/>
    <n v="0"/>
    <n v="0"/>
    <n v="13776"/>
    <n v="9000"/>
    <n v="12000"/>
    <n v="9000"/>
    <n v="0"/>
    <n v="9000"/>
    <n v="4776"/>
    <n v="0"/>
    <n v="0"/>
    <n v="0"/>
    <n v="4776"/>
    <n v="0"/>
    <n v="0"/>
    <n v="0"/>
    <n v="0"/>
    <n v="9000"/>
    <n v="9000"/>
    <n v="0"/>
    <n v="9000"/>
    <n v="0"/>
    <x v="63"/>
    <n v="9000"/>
    <n v="0"/>
    <x v="0"/>
    <x v="1"/>
    <s v="Si"/>
    <n v="9000"/>
    <n v="9000"/>
    <n v="0"/>
    <d v="2022-09-13T00:00:00"/>
    <n v="0"/>
    <n v="3.9"/>
    <n v="3.9"/>
    <n v="33120"/>
    <n v="3.5806491192982453"/>
    <n v="8.9187985212117835E-2"/>
    <n v="3.6"/>
    <n v="3.9"/>
    <n v="3.68"/>
    <n v="3.68"/>
    <m/>
    <s v="OK"/>
    <s v="OK"/>
    <n v="0"/>
    <n v="0"/>
    <n v="9000"/>
    <n v="12000"/>
    <n v="0"/>
    <n v="0"/>
    <n v="24000"/>
    <n v="12000"/>
    <n v="34512.5"/>
    <n v="0"/>
    <n v="26100"/>
    <n v="0"/>
    <n v="0"/>
    <n v="0"/>
    <m/>
    <n v="0"/>
    <m/>
    <m/>
    <m/>
    <m/>
    <m/>
    <m/>
    <m/>
    <m/>
  </r>
  <r>
    <s v="Agro Sudamerica1100408"/>
    <x v="3"/>
    <x v="0"/>
    <n v="1100408"/>
    <s v="Nugg Pollo Uru@ Film 2.5k SH"/>
    <x v="28"/>
    <x v="63"/>
    <n v="0"/>
    <n v="0"/>
    <n v="0.4"/>
    <n v="0"/>
    <n v="20390"/>
    <n v="0"/>
    <n v="0"/>
    <n v="20390"/>
    <n v="9000"/>
    <n v="6000"/>
    <n v="9000"/>
    <n v="0"/>
    <n v="9000"/>
    <n v="11390"/>
    <n v="0"/>
    <n v="0"/>
    <n v="0"/>
    <n v="11390"/>
    <n v="6000"/>
    <n v="-6000"/>
    <n v="0"/>
    <n v="0"/>
    <n v="15000"/>
    <n v="15000"/>
    <n v="0"/>
    <n v="9000"/>
    <n v="6000"/>
    <x v="63"/>
    <n v="9000"/>
    <n v="0"/>
    <x v="0"/>
    <x v="1"/>
    <s v="Si"/>
    <n v="9000"/>
    <n v="9000"/>
    <n v="0"/>
    <d v="2022-09-13T00:00:00"/>
    <n v="0"/>
    <n v="3.9"/>
    <n v="3.9"/>
    <n v="33120"/>
    <n v="3.4833666740740741"/>
    <n v="0.11960650856162669"/>
    <n v="3.6"/>
    <n v="3.9"/>
    <n v="3.68"/>
    <n v="3.68"/>
    <m/>
    <s v="OK"/>
    <s v="OK"/>
    <n v="0"/>
    <n v="0"/>
    <n v="9000"/>
    <n v="6000"/>
    <n v="0"/>
    <n v="6000"/>
    <n v="12000"/>
    <n v="0"/>
    <n v="21962.5"/>
    <n v="0"/>
    <n v="26100"/>
    <n v="0"/>
    <n v="0"/>
    <n v="23400"/>
    <s v="Falta confirmar la venta"/>
    <n v="0"/>
    <m/>
    <m/>
    <m/>
    <m/>
    <m/>
    <m/>
    <m/>
    <m/>
  </r>
  <r>
    <s v="Agrosuper Shanghai1030419"/>
    <x v="1"/>
    <x v="3"/>
    <n v="1030419"/>
    <s v="PV Hígad@ Bo Cj 15k SO"/>
    <x v="18"/>
    <x v="64"/>
    <n v="10280"/>
    <n v="0"/>
    <n v="0.47745072632608576"/>
    <n v="4908.1934666321613"/>
    <n v="12330"/>
    <n v="4000"/>
    <n v="0"/>
    <n v="20838.193466632161"/>
    <n v="24000"/>
    <n v="20000"/>
    <n v="20000"/>
    <n v="0"/>
    <n v="20000"/>
    <n v="838.19346663216129"/>
    <n v="0"/>
    <n v="0"/>
    <n v="0"/>
    <n v="838.19346663216129"/>
    <n v="0"/>
    <n v="0"/>
    <n v="0"/>
    <n v="0"/>
    <n v="20000"/>
    <n v="20000"/>
    <n v="0"/>
    <n v="20000"/>
    <n v="0"/>
    <x v="104"/>
    <n v="20000"/>
    <n v="0"/>
    <x v="0"/>
    <x v="11"/>
    <s v="Si"/>
    <n v="20000"/>
    <n v="12330"/>
    <n v="7670"/>
    <d v="2022-09-13T00:00:00"/>
    <n v="0"/>
    <n v="1.7749999999999999"/>
    <n v="1.7749999999999999"/>
    <n v="35500"/>
    <n v="1.7749999999999999"/>
    <n v="0"/>
    <n v="1.9"/>
    <n v="1.7749999999999999"/>
    <n v="0"/>
    <n v="1.7749999999999999"/>
    <m/>
    <s v="OK"/>
    <s v="OK"/>
    <n v="0"/>
    <n v="0"/>
    <n v="0"/>
    <n v="0"/>
    <n v="0"/>
    <n v="0"/>
    <n v="0"/>
    <n v="24000"/>
    <n v="0"/>
    <n v="0"/>
    <n v="0"/>
    <n v="0"/>
    <n v="0"/>
    <n v="0"/>
    <m/>
    <n v="5371.8065333678387"/>
    <m/>
    <m/>
    <m/>
    <m/>
    <m/>
    <m/>
    <m/>
    <m/>
  </r>
  <r>
    <s v="Agrosuper Shanghai1012424"/>
    <x v="2"/>
    <x v="3"/>
    <n v="1012424"/>
    <s v="PO Ctro-Pta-Ala@ Cj 20k AS"/>
    <x v="17"/>
    <x v="60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Shanghai1012454"/>
    <x v="2"/>
    <x v="3"/>
    <n v="1012454"/>
    <s v="PO Ctro Pta Ala@ Cj 20k AS"/>
    <x v="17"/>
    <x v="60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21005"/>
    <x v="0"/>
    <x v="0"/>
    <n v="1021005"/>
    <s v="GO PpPal 77@ Bo Cj 20k AS"/>
    <x v="12"/>
    <x v="22"/>
    <n v="0"/>
    <n v="0"/>
    <n v="0.3545854356400317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22102"/>
    <x v="0"/>
    <x v="0"/>
    <n v="1022102"/>
    <s v="GO Pecho S/cue K@ Cj 20k AS"/>
    <x v="7"/>
    <x v="9"/>
    <n v="0"/>
    <n v="0"/>
    <n v="0.354585435640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20993"/>
    <x v="0"/>
    <x v="0"/>
    <n v="1020993"/>
    <s v="GO Pal Nor@ Cj 20k AS"/>
    <x v="12"/>
    <x v="36"/>
    <n v="0"/>
    <n v="0"/>
    <n v="0.3545854356400317"/>
    <n v="0"/>
    <n v="3934.2810000000004"/>
    <n v="0"/>
    <n v="0"/>
    <n v="3934.2810000000004"/>
    <n v="2900"/>
    <n v="23000"/>
    <n v="2900"/>
    <n v="0"/>
    <n v="2900"/>
    <n v="1034.2810000000004"/>
    <n v="0"/>
    <n v="0"/>
    <n v="0"/>
    <n v="1034.2810000000004"/>
    <n v="0"/>
    <n v="0"/>
    <n v="0"/>
    <n v="0"/>
    <n v="2900"/>
    <n v="2900"/>
    <n v="0"/>
    <n v="2900"/>
    <n v="0"/>
    <x v="105"/>
    <n v="2900"/>
    <n v="0"/>
    <x v="0"/>
    <x v="0"/>
    <s v="Si"/>
    <n v="2900"/>
    <n v="2900"/>
    <n v="0"/>
    <d v="2022-09-09T00:00:00"/>
    <n v="0"/>
    <n v="1.9"/>
    <n v="1.9"/>
    <n v="5510"/>
    <n v="1.3138131134145701"/>
    <n v="0.44617219953144144"/>
    <n v="0"/>
    <n v="1.9"/>
    <n v="1.9"/>
    <n v="1.9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Asia1022767"/>
    <x v="0"/>
    <x v="1"/>
    <n v="1022767"/>
    <s v="GO Gord Esp@ 20kg AA"/>
    <x v="2"/>
    <x v="5"/>
    <n v="0"/>
    <n v="0"/>
    <n v="0.38476266834449474"/>
    <n v="0"/>
    <n v="1480"/>
    <n v="0"/>
    <n v="0"/>
    <n v="1480"/>
    <n v="0"/>
    <n v="23000"/>
    <n v="0"/>
    <n v="0"/>
    <n v="0"/>
    <n v="1480"/>
    <n v="0"/>
    <n v="0"/>
    <n v="0"/>
    <n v="148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Shanghai1021740"/>
    <x v="0"/>
    <x v="3"/>
    <n v="1021740"/>
    <s v="GO Pana S/Corazón@ Cj 20k AS"/>
    <x v="10"/>
    <x v="15"/>
    <n v="106687"/>
    <n v="0"/>
    <n v="0.38476266834449474"/>
    <n v="41049.174797669111"/>
    <n v="75653.84000000004"/>
    <n v="45680"/>
    <n v="0"/>
    <n v="157815.01479766914"/>
    <n v="0"/>
    <n v="23000"/>
    <n v="0"/>
    <n v="0"/>
    <n v="0"/>
    <n v="157815.01479766914"/>
    <n v="0"/>
    <n v="0"/>
    <n v="0"/>
    <n v="157815.01479766914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.43339239832268295"/>
    <s v="No Aplica"/>
    <n v="0.41875000000000001"/>
    <n v="0"/>
    <n v="0"/>
    <n v="0"/>
    <m/>
    <s v="OK"/>
    <s v="OK"/>
    <n v="0"/>
    <n v="0"/>
    <n v="0"/>
    <n v="0"/>
    <n v="0"/>
    <n v="0"/>
    <n v="0"/>
    <n v="33000"/>
    <n v="0"/>
    <n v="0"/>
    <n v="0"/>
    <n v="0"/>
    <n v="0"/>
    <n v="0"/>
    <m/>
    <n v="65637.825202330889"/>
    <m/>
    <m/>
    <m/>
    <m/>
    <m/>
    <m/>
    <m/>
    <m/>
  </r>
  <r>
    <s v="Agrosuper Shanghai1022388"/>
    <x v="0"/>
    <x v="3"/>
    <n v="1022388"/>
    <s v="GO Mixto Hso@ Bo Cj 10k AS"/>
    <x v="1"/>
    <x v="1"/>
    <n v="54736"/>
    <n v="0"/>
    <n v="0.38476266834449474"/>
    <n v="21060.369414504265"/>
    <n v="37531.21"/>
    <n v="15947.686187410558"/>
    <n v="0"/>
    <n v="72944.496983173769"/>
    <n v="0"/>
    <n v="23000"/>
    <n v="0"/>
    <n v="0"/>
    <n v="0"/>
    <n v="72944.496983173769"/>
    <n v="0"/>
    <n v="0"/>
    <n v="0"/>
    <n v="72944.496983173769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5884216940914322"/>
    <s v="No Aplica"/>
    <n v="0"/>
    <n v="0"/>
    <n v="0"/>
    <n v="0"/>
    <m/>
    <s v="OK"/>
    <s v="OK"/>
    <n v="0"/>
    <n v="0"/>
    <n v="0"/>
    <n v="0"/>
    <n v="0"/>
    <n v="0"/>
    <n v="168420"/>
    <n v="192160"/>
    <n v="0"/>
    <n v="0"/>
    <n v="0"/>
    <n v="0"/>
    <n v="0"/>
    <n v="0"/>
    <m/>
    <n v="33675.630585495732"/>
    <m/>
    <m/>
    <m/>
    <m/>
    <m/>
    <m/>
    <m/>
    <m/>
  </r>
  <r>
    <s v="Agrosuper Shanghai1022646"/>
    <x v="0"/>
    <x v="3"/>
    <n v="1022646"/>
    <s v="GO Pecho Belly S/p@ Vp Cj AS"/>
    <x v="8"/>
    <x v="10"/>
    <n v="11072"/>
    <n v="0"/>
    <n v="0.38476266834449474"/>
    <n v="4260.0922639102455"/>
    <n v="25019.167999999998"/>
    <n v="17031.759691435676"/>
    <n v="0"/>
    <n v="44607.843986202352"/>
    <n v="0"/>
    <n v="23000"/>
    <n v="0"/>
    <n v="0"/>
    <n v="0"/>
    <n v="44607.843986202352"/>
    <n v="0"/>
    <n v="0"/>
    <n v="0"/>
    <n v="44607.84398620235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5.4547211780949603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6811.9077360897545"/>
    <m/>
    <m/>
    <m/>
    <m/>
    <m/>
    <m/>
    <m/>
    <m/>
  </r>
  <r>
    <s v="Agrosuper Shanghai1023035"/>
    <x v="0"/>
    <x v="3"/>
    <n v="1023035"/>
    <s v="GO Belly Strip@ Cj 20k AS"/>
    <x v="5"/>
    <x v="6"/>
    <n v="0"/>
    <n v="0"/>
    <n v="0.38476266834449474"/>
    <n v="0"/>
    <n v="15837.322000000004"/>
    <n v="6000"/>
    <n v="0"/>
    <n v="21237.322000000004"/>
    <n v="24000"/>
    <n v="20000"/>
    <n v="20000"/>
    <n v="0"/>
    <n v="20000"/>
    <n v="1237.3220000000038"/>
    <n v="0"/>
    <n v="0"/>
    <n v="0"/>
    <n v="1237.3220000000038"/>
    <n v="0"/>
    <n v="0"/>
    <n v="0"/>
    <n v="0"/>
    <n v="20000"/>
    <n v="20000"/>
    <n v="0"/>
    <n v="20000"/>
    <n v="0"/>
    <x v="104"/>
    <n v="20000"/>
    <n v="0"/>
    <x v="0"/>
    <x v="11"/>
    <s v="Si"/>
    <n v="20000"/>
    <n v="15837.322000000004"/>
    <n v="4162.6779999999962"/>
    <d v="2022-09-10T00:00:00"/>
    <n v="0"/>
    <n v="0.92500000000000004"/>
    <n v="0.92500000000000004"/>
    <n v="18500"/>
    <n v="0"/>
    <s v="No Aplica"/>
    <n v="0.93333333333333302"/>
    <n v="0.92500000000000004"/>
    <n v="0"/>
    <n v="0.92500000000000004"/>
    <m/>
    <s v="OK"/>
    <s v="OK"/>
    <n v="0"/>
    <n v="0"/>
    <n v="0"/>
    <n v="0"/>
    <n v="0"/>
    <n v="0"/>
    <n v="0"/>
    <n v="24000"/>
    <n v="0"/>
    <n v="0"/>
    <n v="0"/>
    <n v="0"/>
    <n v="0"/>
    <n v="0"/>
    <m/>
    <n v="0"/>
    <m/>
    <m/>
    <m/>
    <m/>
    <m/>
    <m/>
    <m/>
    <m/>
  </r>
  <r>
    <s v="Agrosuper Shanghai1023362"/>
    <x v="0"/>
    <x v="3"/>
    <n v="1023362"/>
    <s v="GO Cuarto Delant @ COM Cj AS"/>
    <x v="29"/>
    <x v="65"/>
    <n v="0"/>
    <n v="0"/>
    <n v="0.38476266834449474"/>
    <n v="0"/>
    <n v="19.04"/>
    <n v="0"/>
    <n v="0"/>
    <n v="19.04"/>
    <n v="0"/>
    <n v="7761"/>
    <n v="0"/>
    <n v="0"/>
    <n v="0"/>
    <n v="19.04"/>
    <n v="0"/>
    <n v="0"/>
    <n v="0"/>
    <n v="19.04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6326066589652759"/>
    <s v="No Aplica"/>
    <n v="0"/>
    <n v="0"/>
    <n v="0"/>
    <n v="0"/>
    <m/>
    <s v="OK"/>
    <s v="OK"/>
    <n v="0"/>
    <n v="0"/>
    <n v="0"/>
    <n v="0"/>
    <n v="0"/>
    <n v="7761"/>
    <n v="0"/>
    <n v="0"/>
    <n v="0"/>
    <n v="0"/>
    <n v="0"/>
    <n v="0"/>
    <n v="0"/>
    <n v="12805"/>
    <m/>
    <n v="0"/>
    <m/>
    <m/>
    <m/>
    <m/>
    <m/>
    <m/>
    <m/>
    <m/>
  </r>
  <r>
    <s v="Agrosuper Shanghai1023363"/>
    <x v="0"/>
    <x v="3"/>
    <n v="1023363"/>
    <s v="GO Cuarto Trasero @ COM Cj AS"/>
    <x v="29"/>
    <x v="66"/>
    <n v="0"/>
    <n v="0"/>
    <n v="0.38476266834449474"/>
    <n v="0"/>
    <n v="14.89"/>
    <n v="0"/>
    <n v="0"/>
    <n v="14.89"/>
    <n v="0"/>
    <n v="6843"/>
    <n v="0"/>
    <n v="0"/>
    <n v="0"/>
    <n v="14.89"/>
    <n v="0"/>
    <n v="0"/>
    <n v="0"/>
    <n v="14.89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6320950278744659"/>
    <s v="No Aplica"/>
    <n v="0"/>
    <n v="0"/>
    <n v="0"/>
    <n v="0"/>
    <m/>
    <s v="OK"/>
    <s v="OK"/>
    <n v="0"/>
    <n v="0"/>
    <n v="0"/>
    <n v="0"/>
    <n v="0"/>
    <n v="6843"/>
    <n v="0"/>
    <n v="0"/>
    <n v="0"/>
    <n v="0"/>
    <n v="0"/>
    <n v="0"/>
    <n v="0"/>
    <n v="11302"/>
    <m/>
    <n v="0"/>
    <m/>
    <m/>
    <m/>
    <m/>
    <m/>
    <m/>
    <m/>
    <m/>
  </r>
  <r>
    <s v="Agrosuper Shanghai1023364"/>
    <x v="0"/>
    <x v="3"/>
    <n v="1023364"/>
    <s v="GO Manos @ COM Cj 20k AS"/>
    <x v="10"/>
    <x v="24"/>
    <n v="0"/>
    <n v="0"/>
    <n v="0.38476266834449474"/>
    <n v="0"/>
    <n v="436.053"/>
    <n v="0"/>
    <n v="0"/>
    <n v="436.053"/>
    <n v="0"/>
    <n v="500"/>
    <n v="0"/>
    <n v="0"/>
    <n v="0"/>
    <n v="436.053"/>
    <n v="0"/>
    <n v="0"/>
    <n v="0"/>
    <n v="436.053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Shanghai1023365"/>
    <x v="0"/>
    <x v="3"/>
    <n v="1023365"/>
    <s v="GO Mantec @ COM Cj AS"/>
    <x v="2"/>
    <x v="16"/>
    <n v="0"/>
    <n v="0"/>
    <n v="0.38476266834449474"/>
    <n v="0"/>
    <n v="499.072"/>
    <n v="0"/>
    <n v="0"/>
    <n v="499.072"/>
    <n v="0"/>
    <n v="313"/>
    <n v="0"/>
    <n v="0"/>
    <n v="0"/>
    <n v="499.072"/>
    <n v="0"/>
    <n v="0"/>
    <n v="0"/>
    <n v="499.07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"/>
    <s v="No Aplica"/>
    <n v="0.89999999999999991"/>
    <n v="0"/>
    <n v="0"/>
    <n v="0"/>
    <m/>
    <s v="OK"/>
    <s v="OK"/>
    <n v="0"/>
    <n v="0"/>
    <n v="0"/>
    <n v="0"/>
    <n v="0"/>
    <n v="313"/>
    <n v="0"/>
    <n v="313"/>
    <n v="0"/>
    <n v="0"/>
    <n v="0"/>
    <n v="0"/>
    <n v="0"/>
    <n v="282"/>
    <m/>
    <n v="0"/>
    <m/>
    <m/>
    <m/>
    <m/>
    <m/>
    <m/>
    <m/>
    <m/>
  </r>
  <r>
    <s v="Agrosuper Shanghai1023366"/>
    <x v="0"/>
    <x v="3"/>
    <n v="1023366"/>
    <s v="GO Patas @ COM Cj 20k AS"/>
    <x v="10"/>
    <x v="24"/>
    <n v="0"/>
    <n v="0"/>
    <n v="0.38476266834449474"/>
    <n v="0"/>
    <n v="370.072"/>
    <n v="0"/>
    <n v="0"/>
    <n v="370.072"/>
    <n v="0"/>
    <n v="557"/>
    <n v="0"/>
    <n v="0"/>
    <n v="0"/>
    <n v="370.072"/>
    <n v="0"/>
    <n v="0"/>
    <n v="0"/>
    <n v="370.07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Shanghai1023367"/>
    <x v="0"/>
    <x v="3"/>
    <n v="1023367"/>
    <s v="GO Cab Ent @ COM Cj 20k AS"/>
    <x v="30"/>
    <x v="67"/>
    <n v="0"/>
    <n v="0"/>
    <n v="0.38476266834449474"/>
    <n v="0"/>
    <n v="2934.873"/>
    <n v="0"/>
    <n v="0"/>
    <n v="2934.873"/>
    <n v="0"/>
    <n v="3177"/>
    <n v="0"/>
    <n v="0"/>
    <n v="0"/>
    <n v="2934.873"/>
    <n v="0"/>
    <n v="0"/>
    <n v="0"/>
    <n v="2934.873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Shanghai1023368"/>
    <x v="0"/>
    <x v="3"/>
    <n v="1023368"/>
    <s v="GO Cuarto Central @ COM Cj AS"/>
    <x v="29"/>
    <x v="68"/>
    <n v="0"/>
    <n v="0"/>
    <n v="0.38476266834449474"/>
    <n v="0"/>
    <n v="551.35500000000002"/>
    <n v="0"/>
    <n v="0"/>
    <n v="551.35500000000002"/>
    <n v="0"/>
    <n v="7122"/>
    <n v="0"/>
    <n v="0"/>
    <n v="0"/>
    <n v="551.35500000000002"/>
    <n v="0"/>
    <n v="0"/>
    <n v="0"/>
    <n v="551.35500000000002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0T00:00:00"/>
    <n v="0"/>
    <n v="0"/>
    <n v="0"/>
    <n v="0"/>
    <n v="1.6334451142837718"/>
    <s v="No Aplica"/>
    <n v="0"/>
    <n v="0"/>
    <n v="0"/>
    <n v="0"/>
    <m/>
    <s v="OK"/>
    <s v="OK"/>
    <n v="0"/>
    <n v="0"/>
    <n v="0"/>
    <n v="0"/>
    <n v="0"/>
    <n v="7122"/>
    <n v="0"/>
    <n v="0"/>
    <n v="0"/>
    <n v="0"/>
    <n v="0"/>
    <n v="0"/>
    <n v="0"/>
    <n v="11754"/>
    <m/>
    <n v="0"/>
    <m/>
    <m/>
    <m/>
    <m/>
    <m/>
    <m/>
    <m/>
    <m/>
  </r>
  <r>
    <s v="Exportacion Directa1023166"/>
    <x v="0"/>
    <x v="4"/>
    <n v="1023166"/>
    <s v="GO Lom Tocino@ Bo Cj 20k AP"/>
    <x v="8"/>
    <x v="10"/>
    <n v="0"/>
    <n v="0"/>
    <n v="0.7733888377600144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1.365764"/>
    <s v="No Aplica"/>
    <n v="0"/>
    <n v="1.365764"/>
    <n v="0"/>
    <n v="1.365764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11105"/>
    <x v="2"/>
    <x v="0"/>
    <n v="1011105"/>
    <s v="PO Tru-Ctro Ala 60-80 4x10 NMr@ Cj20k AS"/>
    <x v="16"/>
    <x v="40"/>
    <n v="0"/>
    <n v="0"/>
    <n v="0.47745072632608576"/>
    <n v="0"/>
    <n v="13949.66"/>
    <n v="0"/>
    <n v="0"/>
    <n v="13949.66"/>
    <n v="14000"/>
    <n v="23000"/>
    <n v="0"/>
    <n v="0"/>
    <n v="0"/>
    <n v="13949.66"/>
    <n v="0"/>
    <n v="0"/>
    <n v="0"/>
    <n v="13949.66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2.5477857142857103"/>
    <n v="0"/>
    <n v="0"/>
    <n v="2.9489460476487226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30661"/>
    <x v="1"/>
    <x v="0"/>
    <n v="1030661"/>
    <s v="PV PchDeh S/p c/f MA@ Bo Cj 16k SO"/>
    <x v="20"/>
    <x v="46"/>
    <n v="0"/>
    <n v="0"/>
    <n v="0.47745072632608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30736"/>
    <x v="1"/>
    <x v="0"/>
    <n v="1030736"/>
    <s v="PV PchDeh c/p@ Cj 17,5k AS"/>
    <x v="20"/>
    <x v="46"/>
    <n v="0"/>
    <n v="0"/>
    <n v="0.47745072632608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30755"/>
    <x v="1"/>
    <x v="0"/>
    <n v="1030755"/>
    <s v="PV Osob@ Cj 14k AS"/>
    <x v="16"/>
    <x v="69"/>
    <n v="0"/>
    <n v="0"/>
    <n v="0.47745072632608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Asia1030576"/>
    <x v="1"/>
    <x v="1"/>
    <n v="1030576"/>
    <s v="PV Muestra Piel Tru Cor@ Bo Cj 15k AS"/>
    <x v="31"/>
    <x v="70"/>
    <n v="0"/>
    <n v="0"/>
    <n v="0.47745072632608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1"/>
    <s v="No Aplica"/>
    <n v="0"/>
    <n v="1"/>
    <n v="0"/>
    <n v="1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Brasil1030740"/>
    <x v="1"/>
    <x v="2"/>
    <n v="1030740"/>
    <s v="PV PchDeh S/p S/ten C/f@ Cj 20k AS"/>
    <x v="20"/>
    <x v="46"/>
    <n v="0"/>
    <n v="0"/>
    <n v="0.81973286675080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12342"/>
    <x v="2"/>
    <x v="0"/>
    <n v="1012342"/>
    <s v="PO Corazon@ Cj 18k AS"/>
    <x v="18"/>
    <x v="55"/>
    <n v="0"/>
    <n v="0"/>
    <n v="0.47745072632608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11431"/>
    <x v="2"/>
    <x v="0"/>
    <n v="1011431"/>
    <s v="PO Corazón@ Bo 20k Cj SP"/>
    <x v="18"/>
    <x v="55"/>
    <n v="0"/>
    <n v="0"/>
    <n v="0.47745072632608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11566"/>
    <x v="2"/>
    <x v="0"/>
    <n v="1011566"/>
    <s v="PO Garra Lag@Cj 20 kg Muestra"/>
    <x v="15"/>
    <x v="39"/>
    <n v="0"/>
    <n v="0"/>
    <n v="0.47745072632608576"/>
    <n v="0"/>
    <n v="0"/>
    <n v="0"/>
    <n v="0"/>
    <n v="0"/>
    <n v="0"/>
    <n v="21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.58101484042553198"/>
    <s v="No Aplica"/>
    <n v="0"/>
    <n v="0.58101484042553198"/>
    <n v="0"/>
    <n v="0.58101484042553198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super Shanghai1012423"/>
    <x v="2"/>
    <x v="3"/>
    <n v="1012423"/>
    <s v="PO Ctro-Pta-Ala Choice@ Cj 20k AS"/>
    <x v="17"/>
    <x v="60"/>
    <n v="0"/>
    <n v="0"/>
    <n v="0.47745072632608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22781"/>
    <x v="0"/>
    <x v="0"/>
    <n v="1022781"/>
    <s v="GO TRIPA CALIB 32/35# BO BIDON AS"/>
    <x v="10"/>
    <x v="25"/>
    <n v="14087"/>
    <n v="0"/>
    <n v="0.3545854356400317"/>
    <n v="4995.0450318611265"/>
    <n v="0"/>
    <n v="0"/>
    <n v="0"/>
    <n v="4995.0450318611265"/>
    <n v="14086.8"/>
    <n v="23000"/>
    <n v="0"/>
    <n v="0"/>
    <n v="0"/>
    <n v="4995.0450318611265"/>
    <n v="0"/>
    <n v="0"/>
    <n v="0"/>
    <n v="4995.0450318611265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11.053309329774484"/>
    <n v="0"/>
    <n v="0"/>
    <n v="10.083610299857648"/>
    <s v="No Aplica"/>
    <n v="10.5"/>
    <n v="0"/>
    <n v="0"/>
    <n v="0"/>
    <m/>
    <s v="OK"/>
    <s v="OK"/>
    <n v="7067"/>
    <n v="3060"/>
    <n v="10282"/>
    <n v="1500"/>
    <n v="6600"/>
    <n v="15300"/>
    <n v="6120"/>
    <n v="6120"/>
    <n v="79009.06"/>
    <n v="39589"/>
    <n v="108578"/>
    <n v="22170"/>
    <n v="88521"/>
    <n v="198441"/>
    <m/>
    <n v="9091.9549681388744"/>
    <m/>
    <m/>
    <m/>
    <m/>
    <m/>
    <m/>
    <m/>
    <m/>
  </r>
  <r>
    <s v="Agro Sudamerica1022782"/>
    <x v="0"/>
    <x v="0"/>
    <n v="1022782"/>
    <s v="GO TRIPA CALIB 35/38# BO BIDON AS"/>
    <x v="10"/>
    <x v="25"/>
    <n v="2868"/>
    <n v="0"/>
    <n v="0.3545854356400317"/>
    <n v="1016.9510294156109"/>
    <n v="0"/>
    <n v="0"/>
    <n v="0"/>
    <n v="1016.9510294156109"/>
    <n v="17068.8"/>
    <n v="23000"/>
    <n v="0"/>
    <n v="0"/>
    <n v="0"/>
    <n v="1016.9510294156109"/>
    <n v="0"/>
    <n v="0"/>
    <n v="0"/>
    <n v="1016.9510294156109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7.9176040494938134"/>
    <n v="0"/>
    <n v="0"/>
    <n v="8.0710707864912834"/>
    <s v="No Aplica"/>
    <n v="0"/>
    <n v="0"/>
    <n v="0"/>
    <n v="0"/>
    <m/>
    <s v="OK"/>
    <s v="OK"/>
    <n v="18796"/>
    <n v="3600"/>
    <n v="0"/>
    <n v="0"/>
    <n v="3600"/>
    <n v="11520"/>
    <n v="0"/>
    <n v="0"/>
    <n v="156946.6"/>
    <n v="36108"/>
    <n v="0"/>
    <n v="0"/>
    <n v="36360"/>
    <n v="120730"/>
    <m/>
    <n v="1851.0489705843891"/>
    <m/>
    <m/>
    <m/>
    <m/>
    <m/>
    <m/>
    <m/>
    <m/>
  </r>
  <r>
    <s v="Agro Sudamerica1022783"/>
    <x v="0"/>
    <x v="0"/>
    <n v="1022783"/>
    <s v="GO TRIPA CALIB 38/40# BO BIDON AS"/>
    <x v="10"/>
    <x v="25"/>
    <n v="0"/>
    <n v="0"/>
    <n v="0.3545854356400317"/>
    <n v="0"/>
    <n v="0"/>
    <n v="0"/>
    <n v="0"/>
    <n v="0"/>
    <n v="774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09T00:00:00"/>
    <n v="0"/>
    <n v="7.8294573643410796"/>
    <n v="0"/>
    <n v="0"/>
    <n v="7.8038713556981198"/>
    <s v="No Aplica"/>
    <n v="0"/>
    <n v="7.8038713556981198"/>
    <n v="0"/>
    <n v="7.8038713556981198"/>
    <m/>
    <s v="OK"/>
    <s v="OK"/>
    <n v="0"/>
    <n v="15600"/>
    <n v="0"/>
    <n v="0"/>
    <n v="0"/>
    <n v="4800"/>
    <n v="0"/>
    <n v="0"/>
    <n v="0"/>
    <n v="156468"/>
    <n v="0"/>
    <n v="0"/>
    <n v="0"/>
    <n v="48384"/>
    <m/>
    <n v="0"/>
    <m/>
    <m/>
    <m/>
    <m/>
    <m/>
    <m/>
    <m/>
    <m/>
  </r>
  <r>
    <s v="Agro Sudamerica1022784"/>
    <x v="0"/>
    <x v="0"/>
    <n v="1022784"/>
    <s v="GO TRIPA CALIB 40/42# BO BIN AS"/>
    <x v="10"/>
    <x v="25"/>
    <n v="5895"/>
    <n v="0"/>
    <n v="0.3545854356400317"/>
    <n v="2090.2811430979868"/>
    <n v="0"/>
    <n v="0"/>
    <n v="0"/>
    <n v="2090.2811430979868"/>
    <n v="5895"/>
    <n v="3500"/>
    <n v="0"/>
    <n v="0"/>
    <n v="0"/>
    <n v="2090.2811430979868"/>
    <n v="0"/>
    <n v="0"/>
    <n v="0"/>
    <n v="2090.2811430979868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7.7099236641221403"/>
    <n v="0"/>
    <n v="0"/>
    <n v="7.6725485156912638"/>
    <s v="No Aplica"/>
    <n v="0"/>
    <n v="0"/>
    <n v="0"/>
    <n v="0"/>
    <m/>
    <s v="OK"/>
    <s v="OK"/>
    <n v="0"/>
    <n v="0"/>
    <n v="0"/>
    <n v="0"/>
    <n v="0"/>
    <n v="900"/>
    <n v="0"/>
    <n v="0"/>
    <n v="0"/>
    <n v="0"/>
    <n v="0"/>
    <n v="0"/>
    <n v="0"/>
    <n v="9072"/>
    <m/>
    <n v="3804.7188569020132"/>
    <m/>
    <m/>
    <m/>
    <m/>
    <m/>
    <m/>
    <m/>
    <m/>
  </r>
  <r>
    <s v="Agrosuper Brasil1022782"/>
    <x v="0"/>
    <x v="2"/>
    <n v="1022782"/>
    <s v="GO TRIPA CALIB 35/38# BO BIDON AS"/>
    <x v="10"/>
    <x v="25"/>
    <n v="0"/>
    <n v="0"/>
    <n v="0.77338883776001444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8.3464566929133852"/>
    <s v="No Aplica"/>
    <n v="0"/>
    <n v="8.3464566929133852"/>
    <n v="0"/>
    <n v="8.3464566929133852"/>
    <m/>
    <s v="OK"/>
    <s v="OK"/>
    <n v="0"/>
    <n v="0"/>
    <n v="0"/>
    <n v="0"/>
    <n v="0"/>
    <n v="6240"/>
    <n v="0"/>
    <n v="0"/>
    <n v="0"/>
    <n v="0"/>
    <n v="0"/>
    <n v="0"/>
    <n v="0"/>
    <n v="66144"/>
    <m/>
    <n v="0"/>
    <m/>
    <m/>
    <m/>
    <m/>
    <m/>
    <m/>
    <m/>
    <m/>
  </r>
  <r>
    <s v="Agrosuper Brasil1022783"/>
    <x v="0"/>
    <x v="2"/>
    <n v="1022783"/>
    <s v="GO TRIPA CALIB 38/40# BO BIDON AS"/>
    <x v="10"/>
    <x v="25"/>
    <n v="811"/>
    <n v="0"/>
    <n v="0.77338883776001444"/>
    <n v="627.21834742337171"/>
    <n v="0"/>
    <n v="0"/>
    <n v="0"/>
    <n v="627.21834742337171"/>
    <n v="0"/>
    <n v="23000"/>
    <n v="0"/>
    <n v="0"/>
    <n v="0"/>
    <n v="627.21834742337171"/>
    <n v="0"/>
    <n v="0"/>
    <n v="0"/>
    <n v="627.21834742337171"/>
    <n v="0"/>
    <n v="0"/>
    <n v="0"/>
    <n v="0"/>
    <n v="0"/>
    <n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8.2170542635658901"/>
    <s v="No Aplica"/>
    <n v="0"/>
    <n v="0"/>
    <n v="0"/>
    <n v="0"/>
    <m/>
    <s v="OK"/>
    <s v="OK"/>
    <n v="0"/>
    <n v="0"/>
    <n v="0"/>
    <n v="0"/>
    <n v="0"/>
    <n v="6480"/>
    <n v="0"/>
    <n v="0"/>
    <n v="0"/>
    <n v="0"/>
    <n v="0"/>
    <n v="0"/>
    <n v="0"/>
    <n v="68688"/>
    <m/>
    <n v="183.78165257662829"/>
    <m/>
    <m/>
    <m/>
    <m/>
    <m/>
    <m/>
    <m/>
    <m/>
  </r>
  <r>
    <s v="Agrosuper Brasil1022784"/>
    <x v="0"/>
    <x v="2"/>
    <n v="1022784"/>
    <s v="GO TRIPA CALIB 40/42# BO BIN AS"/>
    <x v="10"/>
    <x v="25"/>
    <n v="0"/>
    <n v="0"/>
    <n v="0.77338883776001444"/>
    <n v="0"/>
    <n v="0"/>
    <n v="0"/>
    <n v="0"/>
    <n v="0"/>
    <n v="0"/>
    <n v="35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11"/>
    <s v="No"/>
    <n v="0"/>
    <n v="0"/>
    <n v="0"/>
    <d v="2022-09-13T00:00:00"/>
    <n v="0"/>
    <n v="0"/>
    <n v="0"/>
    <n v="0"/>
    <n v="8.0916030534351151"/>
    <s v="No Aplica"/>
    <n v="0"/>
    <n v="8.0916030534351151"/>
    <n v="0"/>
    <n v="8.0916030534351151"/>
    <m/>
    <s v="OK"/>
    <s v="OK"/>
    <n v="0"/>
    <n v="0"/>
    <n v="0"/>
    <n v="0"/>
    <n v="0"/>
    <n v="5175"/>
    <n v="0"/>
    <n v="0"/>
    <n v="0"/>
    <n v="0"/>
    <n v="0"/>
    <n v="0"/>
    <n v="0"/>
    <n v="54855"/>
    <m/>
    <n v="0"/>
    <m/>
    <m/>
    <m/>
    <m/>
    <m/>
    <m/>
    <m/>
    <m/>
  </r>
  <r>
    <s v="Agro Sudamerica1022786"/>
    <x v="0"/>
    <x v="0"/>
    <n v="1022786"/>
    <s v="GO Trip Calib Tub 35/39 Azul# Bidon AS"/>
    <x v="10"/>
    <x v="25"/>
    <n v="300"/>
    <n v="0"/>
    <n v="0.3545854356400317"/>
    <n v="106.37563069200951"/>
    <n v="0"/>
    <n v="0"/>
    <n v="0"/>
    <n v="106.37563069200951"/>
    <n v="2704"/>
    <n v="23000"/>
    <n v="0"/>
    <n v="0"/>
    <n v="0"/>
    <n v="106.37563069200951"/>
    <n v="0"/>
    <n v="0"/>
    <n v="0"/>
    <n v="106.37563069200951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0"/>
    <n v="17.1449704142012"/>
    <n v="0"/>
    <n v="0"/>
    <n v="17.385145364891518"/>
    <s v="No Aplica"/>
    <n v="0"/>
    <n v="0"/>
    <n v="0"/>
    <n v="0"/>
    <m/>
    <s v="OK"/>
    <s v="OK"/>
    <n v="0"/>
    <n v="300"/>
    <n v="0"/>
    <n v="1500"/>
    <n v="1500"/>
    <n v="0"/>
    <n v="0"/>
    <n v="0"/>
    <n v="0"/>
    <n v="3450"/>
    <n v="0"/>
    <n v="22965"/>
    <n v="22965"/>
    <n v="0"/>
    <m/>
    <n v="193.62436930799049"/>
    <m/>
    <m/>
    <m/>
    <m/>
    <m/>
    <m/>
    <m/>
    <m/>
  </r>
  <r>
    <s v="Agro Sudamerica1023295"/>
    <x v="0"/>
    <x v="0"/>
    <n v="1023295"/>
    <s v="GO Trip Calib Tub 37/40 Azul# Cj AS"/>
    <x v="10"/>
    <x v="25"/>
    <n v="1000"/>
    <n v="1000"/>
    <n v="0.3545854356400317"/>
    <n v="354.58543564003168"/>
    <n v="1901.2499999999975"/>
    <n v="0"/>
    <n v="0"/>
    <n v="2255.8354356400291"/>
    <n v="0"/>
    <n v="23000"/>
    <n v="0"/>
    <n v="0"/>
    <n v="0"/>
    <n v="2255.8354356400291"/>
    <n v="0"/>
    <n v="0"/>
    <n v="0"/>
    <n v="2255.8354356400291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12.287000000000001"/>
    <n v="0"/>
    <n v="0"/>
    <n v="0"/>
    <n v="14.505494505494505"/>
    <s v="No Aplica"/>
    <n v="12.187000000000001"/>
    <n v="0"/>
    <n v="0"/>
    <n v="0"/>
    <m/>
    <s v="OK"/>
    <s v="OK"/>
    <n v="0"/>
    <n v="2700"/>
    <n v="0"/>
    <n v="0"/>
    <n v="0"/>
    <n v="0"/>
    <n v="0"/>
    <n v="450"/>
    <n v="0"/>
    <n v="33075"/>
    <n v="0"/>
    <n v="0"/>
    <n v="0"/>
    <n v="0"/>
    <m/>
    <n v="645.41456435996838"/>
    <m/>
    <m/>
    <m/>
    <m/>
    <m/>
    <m/>
    <m/>
    <m/>
  </r>
  <r>
    <s v="Agro Sudamerica1012782"/>
    <x v="2"/>
    <x v="0"/>
    <n v="1012782"/>
    <s v="PO Pch Piel@CF Cj 18 k"/>
    <x v="10"/>
    <x v="51"/>
    <n v="0"/>
    <n v="0"/>
    <n v="0.47745072632608576"/>
    <n v="0"/>
    <n v="0"/>
    <n v="0"/>
    <n v="0"/>
    <n v="0"/>
    <n v="0"/>
    <n v="23000"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.4753130482769119"/>
    <s v="No Aplica"/>
    <n v="0"/>
    <n v="0.4753130482769119"/>
    <n v="0"/>
    <n v="0.4753130482769119"/>
    <m/>
    <s v="OK"/>
    <s v="OK"/>
    <n v="0"/>
    <n v="0"/>
    <n v="0"/>
    <n v="0"/>
    <n v="0"/>
    <n v="0"/>
    <n v="2628"/>
    <n v="0"/>
    <n v="0"/>
    <n v="0"/>
    <n v="0"/>
    <n v="0"/>
    <n v="0"/>
    <n v="0"/>
    <m/>
    <n v="0"/>
    <m/>
    <m/>
    <m/>
    <m/>
    <m/>
    <m/>
    <m/>
    <m/>
  </r>
  <r>
    <s v="Agro Sudamerica1021864"/>
    <x v="0"/>
    <x v="0"/>
    <n v="1021864"/>
    <s v="GO Cue Papda CP@ Cj 20k AS"/>
    <x v="4"/>
    <x v="14"/>
    <n v="0"/>
    <n v="0"/>
    <n v="0.3545854356400317"/>
    <n v="0"/>
    <n v="13477.258000000002"/>
    <n v="13025.359886711134"/>
    <n v="0"/>
    <n v="25200.081898040022"/>
    <n v="24000"/>
    <n v="23000"/>
    <n v="24000"/>
    <n v="0"/>
    <n v="24000"/>
    <n v="1200.0818980400218"/>
    <n v="0"/>
    <n v="0"/>
    <n v="0"/>
    <n v="1200.0818980400218"/>
    <n v="0"/>
    <n v="0"/>
    <n v="0"/>
    <n v="0"/>
    <n v="24000"/>
    <n v="24000"/>
    <n v="0"/>
    <n v="24000"/>
    <n v="0"/>
    <x v="3"/>
    <n v="24000"/>
    <n v="0"/>
    <x v="0"/>
    <x v="1"/>
    <s v="Si"/>
    <n v="24000"/>
    <n v="13477.258000000002"/>
    <n v="10522.741999999998"/>
    <d v="2022-09-09T00:00:00"/>
    <n v="0"/>
    <n v="0.78"/>
    <n v="0.78"/>
    <n v="16800"/>
    <n v="0.57009589070684785"/>
    <n v="0.36819088282305851"/>
    <n v="0.5"/>
    <n v="0.78"/>
    <n v="0.7"/>
    <n v="0.7"/>
    <m/>
    <s v="OK"/>
    <s v="OK"/>
    <n v="0"/>
    <n v="0"/>
    <n v="0"/>
    <n v="0"/>
    <n v="0"/>
    <n v="0"/>
    <n v="0"/>
    <n v="43922"/>
    <n v="0"/>
    <n v="0"/>
    <n v="0"/>
    <n v="0"/>
    <n v="0"/>
    <n v="0"/>
    <m/>
    <n v="0"/>
    <m/>
    <m/>
    <m/>
    <m/>
    <m/>
    <m/>
    <m/>
    <m/>
  </r>
  <r>
    <s v="Agro Sudamerica1030817"/>
    <x v="1"/>
    <x v="0"/>
    <n v="1030817"/>
    <s v="PV Tru Larg@ Bo Cj 15k AS"/>
    <x v="16"/>
    <x v="40"/>
    <n v="0"/>
    <n v="0"/>
    <n v="0.47745072632608576"/>
    <n v="0"/>
    <n v="3667.7460000000001"/>
    <n v="0"/>
    <n v="0"/>
    <n v="3667.7460000000001"/>
    <n v="3703"/>
    <n v="23000"/>
    <n v="0"/>
    <n v="0"/>
    <n v="0"/>
    <n v="3667.7460000000001"/>
    <n v="0"/>
    <n v="0"/>
    <n v="0"/>
    <n v="3667.7460000000001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2.35"/>
    <n v="0"/>
    <n v="0"/>
    <n v="2.1856964087091555"/>
    <s v="No Aplica"/>
    <n v="2.25"/>
    <n v="0"/>
    <n v="0"/>
    <n v="0"/>
    <m/>
    <s v="OK"/>
    <s v="OK"/>
    <n v="0"/>
    <n v="0"/>
    <n v="0"/>
    <n v="0"/>
    <n v="0"/>
    <n v="0"/>
    <n v="0"/>
    <n v="24000"/>
    <n v="0"/>
    <n v="0"/>
    <n v="0"/>
    <n v="0"/>
    <n v="0"/>
    <n v="0"/>
    <m/>
    <n v="0"/>
    <m/>
    <m/>
    <m/>
    <m/>
    <m/>
    <m/>
    <m/>
    <m/>
  </r>
  <r>
    <s v="Agro Sudamerica1030812"/>
    <x v="1"/>
    <x v="0"/>
    <n v="1030812"/>
    <s v=" PV TruDeh Cort S/h S/p@ Bo Cj AS"/>
    <x v="19"/>
    <x v="43"/>
    <n v="0"/>
    <n v="0"/>
    <n v="0.47745072632608576"/>
    <n v="0"/>
    <n v="25005"/>
    <n v="0"/>
    <n v="0"/>
    <n v="25005"/>
    <n v="24000"/>
    <n v="23000"/>
    <n v="24000"/>
    <n v="0"/>
    <n v="24000"/>
    <n v="1005"/>
    <n v="0"/>
    <n v="0"/>
    <n v="0"/>
    <n v="1005"/>
    <n v="0"/>
    <n v="0"/>
    <n v="0"/>
    <n v="0"/>
    <n v="24000"/>
    <n v="24000"/>
    <n v="0"/>
    <n v="24000"/>
    <n v="0"/>
    <x v="3"/>
    <n v="24000"/>
    <n v="0"/>
    <x v="0"/>
    <x v="1"/>
    <s v="Si"/>
    <n v="24000"/>
    <n v="24000"/>
    <n v="0"/>
    <d v="2022-09-13T00:00:00"/>
    <n v="0"/>
    <n v="4.55104166666667"/>
    <n v="4.55104166666667"/>
    <n v="106480"/>
    <n v="0"/>
    <s v="No Aplica"/>
    <n v="0"/>
    <n v="4.55104166666667"/>
    <n v="4.4366666666666665"/>
    <n v="4.4366666666666665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30816"/>
    <x v="1"/>
    <x v="0"/>
    <n v="1030816"/>
    <s v="PV Tru Ala@ Ex Bo Cj AS"/>
    <x v="17"/>
    <x v="41"/>
    <n v="0"/>
    <n v="0"/>
    <n v="0.47745072632608576"/>
    <n v="0"/>
    <n v="1541.2560000000001"/>
    <n v="0"/>
    <n v="0"/>
    <n v="1541.2560000000001"/>
    <n v="14409"/>
    <n v="23000"/>
    <n v="0"/>
    <n v="0"/>
    <n v="0"/>
    <n v="1541.2560000000001"/>
    <n v="0"/>
    <n v="0"/>
    <n v="0"/>
    <n v="1541.2560000000001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13T00:00:00"/>
    <n v="0"/>
    <n v="1.6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30821"/>
    <x v="1"/>
    <x v="0"/>
    <n v="1030821"/>
    <s v="PV PchDeh S/p c/f MA@ Cj 15k SO"/>
    <x v="20"/>
    <x v="44"/>
    <n v="0"/>
    <n v="0"/>
    <n v="0.47745072632608576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b v="0"/>
    <b v="0"/>
    <n v="0"/>
    <n v="0"/>
    <n v="0"/>
    <x v="7"/>
    <n v="0"/>
    <n v="0"/>
    <x v="0"/>
    <x v="3"/>
    <s v="No"/>
    <n v="0"/>
    <n v="0"/>
    <n v="0"/>
    <d v="2022-09-13T00:00:00"/>
    <n v="0"/>
    <n v="0"/>
    <n v="0"/>
    <n v="0"/>
    <n v="0"/>
    <s v="No Aplica"/>
    <n v="0"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Agro Sudamerica1020086"/>
    <x v="0"/>
    <x v="0"/>
    <n v="1020086"/>
    <s v="GO Lom Ctro 27 S/f@ Va Cj t-f AS"/>
    <x v="6"/>
    <x v="8"/>
    <n v="106118"/>
    <n v="96000"/>
    <n v="0.3545854356400317"/>
    <n v="37627.897259248886"/>
    <n v="20.14"/>
    <n v="0"/>
    <n v="0"/>
    <n v="37648.037259248886"/>
    <n v="24000"/>
    <n v="23000"/>
    <n v="24000"/>
    <n v="0"/>
    <n v="24000"/>
    <n v="13648.037259248886"/>
    <n v="0"/>
    <n v="0"/>
    <n v="0"/>
    <n v="13648.037259248886"/>
    <n v="0"/>
    <n v="0"/>
    <n v="0"/>
    <n v="0"/>
    <n v="24000"/>
    <n v="24000"/>
    <n v="0"/>
    <n v="24000"/>
    <n v="0"/>
    <x v="3"/>
    <n v="24000"/>
    <n v="0"/>
    <x v="0"/>
    <x v="1"/>
    <s v="Si"/>
    <n v="24000"/>
    <n v="20.14"/>
    <n v="23979.86"/>
    <d v="2022-09-09T00:00:00"/>
    <n v="3.20667708333333"/>
    <n v="3.2722916666666695"/>
    <n v="3.2722916666666695"/>
    <n v="77040"/>
    <n v="0"/>
    <s v="No Aplica"/>
    <n v="0"/>
    <n v="3.2722916666666695"/>
    <n v="3.21"/>
    <n v="3.21"/>
    <m/>
    <s v="OK"/>
    <s v="OK"/>
    <n v="0"/>
    <n v="0"/>
    <n v="0"/>
    <n v="0"/>
    <n v="0"/>
    <n v="0"/>
    <n v="0"/>
    <n v="0"/>
    <n v="0"/>
    <n v="0"/>
    <n v="0"/>
    <n v="0"/>
    <n v="0"/>
    <n v="0"/>
    <m/>
    <n v="68490.102740751114"/>
    <m/>
    <m/>
    <m/>
    <m/>
    <m/>
    <m/>
    <m/>
    <m/>
  </r>
  <r>
    <s v="Agro Sudamerica1022290"/>
    <x v="0"/>
    <x v="0"/>
    <n v="1022290"/>
    <s v="GO Lom Tocino S/cue@ Cj 20k AS"/>
    <x v="2"/>
    <x v="2"/>
    <n v="0"/>
    <n v="0"/>
    <n v="0.3545854356400317"/>
    <n v="0"/>
    <n v="27440.932000000008"/>
    <n v="0"/>
    <n v="0"/>
    <n v="27440.932000000008"/>
    <n v="24000"/>
    <n v="23000"/>
    <n v="24000"/>
    <n v="0"/>
    <n v="24000"/>
    <n v="3440.932000000008"/>
    <n v="0"/>
    <n v="0"/>
    <n v="0"/>
    <n v="3440.932000000008"/>
    <n v="0"/>
    <n v="0"/>
    <n v="0"/>
    <n v="0"/>
    <n v="24000"/>
    <n v="24000"/>
    <n v="0"/>
    <n v="24000"/>
    <n v="0"/>
    <x v="3"/>
    <n v="24000"/>
    <n v="0"/>
    <x v="0"/>
    <x v="1"/>
    <s v="Si"/>
    <n v="24000"/>
    <n v="24000"/>
    <n v="0"/>
    <d v="2022-09-09T00:00:00"/>
    <n v="0"/>
    <n v="1.75270833333333"/>
    <n v="1.75270833333333"/>
    <n v="43200"/>
    <n v="0"/>
    <s v="No Aplica"/>
    <n v="0"/>
    <n v="1.75270833333333"/>
    <n v="1.8"/>
    <n v="1.8"/>
    <m/>
    <s v="OK"/>
    <s v="OK"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</r>
  <r>
    <s v="Exportacion Directa1022346"/>
    <x v="0"/>
    <x v="4"/>
    <n v="1022346"/>
    <s v="GO PpPal 1P Ex@ Bo AP"/>
    <x v="12"/>
    <x v="22"/>
    <n v="9480"/>
    <n v="5000"/>
    <n v="0.77338883776001444"/>
    <n v="7331.7261819649366"/>
    <n v="0"/>
    <n v="0"/>
    <n v="0"/>
    <n v="7331.7261819649366"/>
    <n v="5000"/>
    <n v="23000"/>
    <n v="5000"/>
    <n v="0"/>
    <n v="5000"/>
    <n v="2331.7261819649366"/>
    <n v="0"/>
    <n v="0"/>
    <n v="0"/>
    <n v="2331.7261819649366"/>
    <n v="0"/>
    <n v="0"/>
    <n v="0"/>
    <n v="0"/>
    <n v="5000"/>
    <n v="5000"/>
    <n v="0"/>
    <n v="5000"/>
    <n v="0"/>
    <x v="62"/>
    <n v="5000"/>
    <n v="0"/>
    <x v="0"/>
    <x v="11"/>
    <s v="Si"/>
    <n v="5000"/>
    <n v="0"/>
    <n v="5000"/>
    <d v="2022-09-13T00:00:00"/>
    <n v="2.7120000000000002"/>
    <n v="2.66848054"/>
    <n v="2.66848054"/>
    <n v="13342.402700000001"/>
    <n v="0"/>
    <s v="No Aplica"/>
    <n v="0"/>
    <n v="2.66848054"/>
    <n v="0"/>
    <n v="2.66848054"/>
    <m/>
    <s v="OK"/>
    <s v="OK"/>
    <n v="0"/>
    <n v="0"/>
    <n v="0"/>
    <n v="0"/>
    <n v="0"/>
    <n v="0"/>
    <n v="0"/>
    <n v="0"/>
    <n v="0"/>
    <n v="0"/>
    <n v="0"/>
    <n v="0"/>
    <n v="0"/>
    <n v="0"/>
    <m/>
    <n v="2148.2738180350634"/>
    <m/>
    <m/>
    <m/>
    <m/>
    <m/>
    <m/>
    <m/>
    <m/>
  </r>
  <r>
    <s v="Exportacion Directa1023419"/>
    <x v="0"/>
    <x v="4"/>
    <n v="1023419"/>
    <s v="GO Lom Tocino@ Bo Cj 20k AP"/>
    <x v="2"/>
    <x v="2"/>
    <n v="19418"/>
    <n v="24000"/>
    <n v="0.77338883776001444"/>
    <n v="15017.664451623961"/>
    <n v="21620.39"/>
    <n v="3000"/>
    <n v="0"/>
    <n v="39338.054451623961"/>
    <n v="24000"/>
    <n v="23000"/>
    <n v="24000"/>
    <n v="0"/>
    <n v="24000"/>
    <n v="15338.054451623961"/>
    <n v="0"/>
    <n v="0"/>
    <n v="0"/>
    <n v="15338.054451623961"/>
    <n v="0"/>
    <n v="0"/>
    <n v="0"/>
    <n v="0"/>
    <n v="24000"/>
    <n v="24000"/>
    <n v="0"/>
    <n v="24000"/>
    <n v="0"/>
    <x v="3"/>
    <n v="24000"/>
    <n v="0"/>
    <x v="0"/>
    <x v="11"/>
    <s v="Si"/>
    <n v="24000"/>
    <n v="21620.39"/>
    <n v="2379.6100000000006"/>
    <d v="2022-09-13T00:00:00"/>
    <n v="1.8890416666666701"/>
    <n v="1.84287634166667"/>
    <n v="1.84287634166667"/>
    <n v="44229.032200000082"/>
    <n v="0"/>
    <s v="No Aplica"/>
    <n v="1.8"/>
    <n v="1.84287634166667"/>
    <n v="0"/>
    <n v="1.84287634166667"/>
    <m/>
    <s v="OK"/>
    <s v="OK"/>
    <n v="0"/>
    <n v="0"/>
    <n v="0"/>
    <n v="0"/>
    <n v="0"/>
    <n v="0"/>
    <n v="0"/>
    <n v="0"/>
    <n v="0"/>
    <n v="0"/>
    <n v="0"/>
    <n v="0"/>
    <n v="0"/>
    <n v="0"/>
    <m/>
    <n v="4400.3355483760388"/>
    <m/>
    <m/>
    <m/>
    <m/>
    <m/>
    <m/>
    <m/>
    <m/>
  </r>
  <r>
    <s v="Agro Mexico1030802"/>
    <x v="1"/>
    <x v="5"/>
    <n v="1030802"/>
    <s v="PV PDM @ Bo Cj 15k AS"/>
    <x v="24"/>
    <x v="71"/>
    <n v="153669"/>
    <n v="144000"/>
    <n v="0.52379475531688124"/>
    <n v="80491.016254789822"/>
    <n v="16287.806999999999"/>
    <n v="22500"/>
    <n v="0"/>
    <n v="117028.82325478982"/>
    <n v="48000"/>
    <n v="23000"/>
    <n v="48000"/>
    <n v="0"/>
    <n v="48000"/>
    <n v="69028.823254789822"/>
    <n v="69000"/>
    <n v="0"/>
    <n v="69000"/>
    <n v="28.823254789822386"/>
    <n v="0"/>
    <n v="0"/>
    <n v="0"/>
    <n v="48008.182000000001"/>
    <n v="165008.182"/>
    <n v="165008.182"/>
    <n v="48008.182000000001"/>
    <n v="48000"/>
    <n v="69000"/>
    <x v="106"/>
    <n v="48000"/>
    <n v="69000"/>
    <x v="0"/>
    <x v="11"/>
    <s v="Si"/>
    <n v="117000"/>
    <n v="16287.806999999999"/>
    <n v="100712.193"/>
    <d v="2022-08-14T00:00:00"/>
    <n v="1.2437708333333299"/>
    <n v="1.3022750000000001"/>
    <n v="1.2778108343382013"/>
    <n v="210849.24271404976"/>
    <n v="1.3423074825049206"/>
    <n v="4.8049086373533542E-2"/>
    <n v="1.1724080139022055"/>
    <n v="1.2778108343382013"/>
    <n v="0"/>
    <n v="1.2778108343382013"/>
    <m/>
    <s v="OK"/>
    <s v="OK"/>
    <n v="0"/>
    <n v="0"/>
    <n v="0"/>
    <n v="0"/>
    <n v="0"/>
    <n v="0"/>
    <n v="0"/>
    <n v="96000"/>
    <n v="0"/>
    <n v="0"/>
    <n v="0"/>
    <n v="0"/>
    <n v="0"/>
    <n v="0"/>
    <m/>
    <n v="73177.983745210178"/>
    <m/>
    <m/>
    <m/>
    <m/>
    <m/>
    <m/>
    <m/>
    <m/>
  </r>
  <r>
    <s v="Agro Sudamerica1023433"/>
    <x v="0"/>
    <x v="0"/>
    <n v="1023433"/>
    <s v="GO Papda Cab@ Cj 20k AS"/>
    <x v="3"/>
    <x v="3"/>
    <n v="110455"/>
    <n v="48000"/>
    <n v="0.3545854356400317"/>
    <n v="39165.734293619702"/>
    <n v="19.52"/>
    <n v="15936.82559759888"/>
    <n v="0"/>
    <n v="53528.397331458691"/>
    <n v="72000"/>
    <n v="23000"/>
    <n v="46000"/>
    <n v="0"/>
    <n v="46000"/>
    <n v="7528.397331458691"/>
    <n v="0"/>
    <n v="0"/>
    <n v="0"/>
    <n v="7528.397331458691"/>
    <n v="0"/>
    <n v="0"/>
    <n v="0"/>
    <n v="0"/>
    <n v="46000"/>
    <n v="46000"/>
    <n v="0"/>
    <n v="46000"/>
    <n v="0"/>
    <x v="9"/>
    <n v="46000"/>
    <n v="0"/>
    <x v="0"/>
    <x v="1"/>
    <s v="Si"/>
    <n v="46000"/>
    <n v="19.52"/>
    <n v="45980.480000000003"/>
    <d v="2022-09-09T00:00:00"/>
    <n v="1.88666666666667"/>
    <n v="2.19"/>
    <n v="2.19"/>
    <n v="91540"/>
    <n v="0"/>
    <s v="No Aplica"/>
    <m/>
    <n v="2.19"/>
    <n v="1.99"/>
    <n v="1.99"/>
    <m/>
    <s v="OK"/>
    <s v="OK"/>
    <n v="0"/>
    <n v="0"/>
    <n v="0"/>
    <n v="0"/>
    <n v="0"/>
    <n v="0"/>
    <n v="0"/>
    <n v="0"/>
    <n v="0"/>
    <n v="0"/>
    <n v="0"/>
    <n v="0"/>
    <n v="0"/>
    <n v="0"/>
    <m/>
    <n v="71289.265706380305"/>
    <m/>
    <m/>
    <m/>
    <m/>
    <m/>
    <m/>
    <m/>
    <m/>
  </r>
  <r>
    <s v="Agro Sudamerica1023436"/>
    <x v="0"/>
    <x v="0"/>
    <n v="1023436"/>
    <s v="GO Manos@ Cj 20k AS"/>
    <x v="10"/>
    <x v="24"/>
    <n v="24000"/>
    <n v="24000"/>
    <n v="0.3545854356400317"/>
    <n v="8510.0504553607607"/>
    <n v="9340"/>
    <n v="6440.3680000000004"/>
    <n v="0"/>
    <n v="23646.381655360761"/>
    <n v="24000"/>
    <n v="23000"/>
    <n v="23000"/>
    <n v="0"/>
    <n v="23000"/>
    <n v="646.38165536076121"/>
    <n v="0"/>
    <n v="0"/>
    <n v="0"/>
    <n v="646.38165536076121"/>
    <n v="0"/>
    <n v="0"/>
    <n v="0"/>
    <n v="0"/>
    <n v="23000"/>
    <n v="23000"/>
    <n v="0"/>
    <n v="23000"/>
    <n v="0"/>
    <x v="1"/>
    <n v="23000"/>
    <n v="0"/>
    <x v="0"/>
    <x v="1"/>
    <s v="Si"/>
    <n v="23000"/>
    <n v="9340"/>
    <n v="13660"/>
    <d v="2022-09-09T00:00:00"/>
    <n v="0.5"/>
    <n v="0.8"/>
    <n v="0.8"/>
    <n v="11500"/>
    <n v="0"/>
    <s v="No Aplica"/>
    <m/>
    <n v="0.8"/>
    <n v="0.5"/>
    <n v="0.5"/>
    <m/>
    <s v="OK"/>
    <s v="OK"/>
    <n v="0"/>
    <n v="0"/>
    <n v="0"/>
    <n v="0"/>
    <n v="0"/>
    <n v="0"/>
    <n v="0"/>
    <n v="0"/>
    <n v="0"/>
    <n v="0"/>
    <n v="0"/>
    <n v="0"/>
    <n v="0"/>
    <n v="0"/>
    <m/>
    <n v="15489.949544639239"/>
    <m/>
    <m/>
    <m/>
    <m/>
    <m/>
    <m/>
    <m/>
    <m/>
  </r>
  <r>
    <s v="Agro Sudamerica1012375"/>
    <x v="2"/>
    <x v="0"/>
    <n v="1012375"/>
    <s v="PO Pech c/h c/p@ Cj 16k AS"/>
    <x v="32"/>
    <x v="72"/>
    <n v="48000"/>
    <n v="48000"/>
    <n v="0.47745072632608576"/>
    <n v="22917.634863652118"/>
    <n v="0"/>
    <n v="0"/>
    <n v="0"/>
    <n v="22917.634863652118"/>
    <n v="0"/>
    <n v="22000"/>
    <n v="0"/>
    <n v="0"/>
    <n v="0"/>
    <n v="22917.634863652118"/>
    <n v="22000"/>
    <n v="0"/>
    <n v="22000"/>
    <n v="917.63486365211793"/>
    <n v="0"/>
    <n v="0"/>
    <n v="0"/>
    <n v="0"/>
    <n v="22000"/>
    <n v="22000"/>
    <n v="0"/>
    <n v="0"/>
    <n v="22000"/>
    <x v="43"/>
    <n v="0"/>
    <n v="22000"/>
    <x v="0"/>
    <x v="1"/>
    <s v="Si"/>
    <n v="22000"/>
    <n v="0"/>
    <n v="22000"/>
    <d v="2022-09-13T00:00:00"/>
    <n v="2.1"/>
    <n v="0"/>
    <n v="2.1"/>
    <n v="46200"/>
    <n v="0"/>
    <s v="No Aplica"/>
    <m/>
    <n v="2.1"/>
    <n v="2.1"/>
    <n v="2.1"/>
    <m/>
    <s v="OK"/>
    <s v="OK"/>
    <n v="0"/>
    <n v="0"/>
    <n v="0"/>
    <n v="0"/>
    <n v="0"/>
    <n v="0"/>
    <n v="0"/>
    <n v="0"/>
    <n v="0"/>
    <n v="0"/>
    <n v="0"/>
    <n v="0"/>
    <n v="0"/>
    <n v="0"/>
    <m/>
    <n v="25082.365136347882"/>
    <m/>
    <m/>
    <m/>
    <m/>
    <m/>
    <m/>
    <m/>
    <m/>
  </r>
  <r>
    <s v="Agro Sudamerica1023420"/>
    <x v="0"/>
    <x v="0"/>
    <n v="1023420"/>
    <s v=" GO PpPna 59@ Cj 20k AS"/>
    <x v="9"/>
    <x v="13"/>
    <n v="48000"/>
    <n v="48000"/>
    <n v="0.3545854356400317"/>
    <n v="17020.100910721521"/>
    <n v="0"/>
    <n v="0"/>
    <n v="0"/>
    <n v="17020.100910721521"/>
    <n v="0"/>
    <n v="23000"/>
    <n v="0"/>
    <n v="0"/>
    <n v="0"/>
    <n v="17020.100910721521"/>
    <n v="0"/>
    <n v="0"/>
    <n v="0"/>
    <n v="17020.100910721521"/>
    <n v="0"/>
    <n v="0"/>
    <n v="0"/>
    <n v="0"/>
    <n v="0"/>
    <n v="0"/>
    <n v="0"/>
    <n v="0"/>
    <n v="0"/>
    <x v="7"/>
    <n v="0"/>
    <n v="0"/>
    <x v="0"/>
    <x v="3"/>
    <s v="No"/>
    <n v="0"/>
    <n v="0"/>
    <n v="0"/>
    <d v="2022-09-09T00:00:00"/>
    <n v="2.83666666666667"/>
    <n v="0"/>
    <n v="0"/>
    <n v="0"/>
    <n v="0"/>
    <s v="No Aplica"/>
    <m/>
    <n v="0"/>
    <n v="0"/>
    <n v="0"/>
    <m/>
    <s v="OK"/>
    <s v="OK"/>
    <n v="0"/>
    <n v="0"/>
    <n v="0"/>
    <n v="0"/>
    <n v="0"/>
    <n v="0"/>
    <n v="0"/>
    <n v="0"/>
    <n v="0"/>
    <n v="0"/>
    <n v="0"/>
    <n v="0"/>
    <n v="0"/>
    <n v="0"/>
    <m/>
    <n v="30979.899089278479"/>
    <m/>
    <m/>
    <m/>
    <m/>
    <m/>
    <m/>
    <m/>
    <m/>
  </r>
  <r>
    <s v="Agrosuper Asia1020660"/>
    <x v="0"/>
    <x v="1"/>
    <n v="1020660"/>
    <s v="GO PernilP@ Bo Cj 20k AS"/>
    <x v="13"/>
    <x v="34"/>
    <n v="132000"/>
    <n v="132000"/>
    <n v="0.38476266834449474"/>
    <n v="50788.672221473309"/>
    <n v="62666.198999999986"/>
    <n v="59956.416000000005"/>
    <n v="0"/>
    <n v="167415.64562147329"/>
    <n v="115000"/>
    <n v="23000"/>
    <n v="115000"/>
    <n v="-67000"/>
    <n v="48000"/>
    <n v="119415.64562147329"/>
    <n v="115000"/>
    <n v="-71000"/>
    <n v="44000"/>
    <n v="75415.64562147329"/>
    <n v="0"/>
    <n v="0"/>
    <n v="0"/>
    <n v="0"/>
    <n v="230000"/>
    <n v="161000"/>
    <n v="0"/>
    <n v="48000"/>
    <n v="113000"/>
    <x v="12"/>
    <n v="48000"/>
    <n v="44000"/>
    <x v="7"/>
    <x v="11"/>
    <s v="Si"/>
    <n v="92000"/>
    <n v="62666.198999999986"/>
    <n v="29333.801000000014"/>
    <d v="2022-09-10T00:00:00"/>
    <n v="1"/>
    <n v="1.2"/>
    <n v="1.1043478260869566"/>
    <n v="101600"/>
    <n v="0"/>
    <s v="No Aplica"/>
    <m/>
    <n v="1.1043478260869566"/>
    <n v="0"/>
    <n v="1.1043478260869566"/>
    <m/>
    <s v="OK"/>
    <s v="OK"/>
    <n v="0"/>
    <n v="0"/>
    <n v="0"/>
    <n v="0"/>
    <n v="0"/>
    <n v="0"/>
    <n v="0"/>
    <n v="0"/>
    <n v="0"/>
    <n v="0"/>
    <n v="0"/>
    <n v="0"/>
    <n v="0"/>
    <n v="0"/>
    <m/>
    <n v="81211.327778526698"/>
    <m/>
    <m/>
    <m/>
    <m/>
    <m/>
    <m/>
    <m/>
    <m/>
  </r>
  <r>
    <s v="Agrosuper Asia1023435"/>
    <x v="0"/>
    <x v="1"/>
    <n v="1023435"/>
    <s v="GO Cab Ent@ Cj 20k AS"/>
    <x v="30"/>
    <x v="67"/>
    <n v="315194"/>
    <n v="335809"/>
    <n v="0.38476266834449474"/>
    <n v="121274.88448617468"/>
    <n v="91072.715999999957"/>
    <n v="142965.66556535978"/>
    <n v="0"/>
    <n v="341016.69949499844"/>
    <n v="336000"/>
    <n v="23000"/>
    <n v="336000"/>
    <n v="-240000"/>
    <n v="96000"/>
    <n v="245016.69949499844"/>
    <n v="230000"/>
    <n v="-230000"/>
    <n v="0"/>
    <n v="245016.69949499844"/>
    <n v="0"/>
    <n v="0"/>
    <n v="0"/>
    <n v="0"/>
    <n v="566000"/>
    <n v="336000"/>
    <n v="0"/>
    <n v="96000"/>
    <n v="240000"/>
    <x v="107"/>
    <n v="96000"/>
    <n v="0"/>
    <x v="7"/>
    <x v="11"/>
    <s v="Si"/>
    <n v="96000"/>
    <n v="91072.715999999957"/>
    <n v="4927.2840000000433"/>
    <d v="2022-09-10T00:00:00"/>
    <n v="0.59999880884669599"/>
    <n v="0.85357142857142887"/>
    <n v="0.85357142857142887"/>
    <n v="81942.857142857174"/>
    <n v="0"/>
    <s v="No Aplica"/>
    <m/>
    <n v="0.85357142857142887"/>
    <n v="0"/>
    <n v="0.85357142857142887"/>
    <m/>
    <s v="OK"/>
    <s v="OK"/>
    <n v="0"/>
    <n v="0"/>
    <n v="0"/>
    <n v="0"/>
    <n v="0"/>
    <n v="0"/>
    <n v="0"/>
    <n v="0"/>
    <n v="0"/>
    <n v="0"/>
    <n v="0"/>
    <n v="0"/>
    <n v="0"/>
    <n v="0"/>
    <m/>
    <n v="193919.11551382532"/>
    <m/>
    <m/>
    <m/>
    <m/>
    <m/>
    <m/>
    <m/>
    <m/>
  </r>
  <r>
    <s v="Agrosuper Asia1023438"/>
    <x v="0"/>
    <x v="1"/>
    <n v="1023438"/>
    <s v="GO Pana S/Corazón@ Cj 20k AS"/>
    <x v="10"/>
    <x v="15"/>
    <n v="150000"/>
    <n v="201433"/>
    <n v="0.38476266834449474"/>
    <n v="57714.400251674211"/>
    <n v="25240.115999999998"/>
    <n v="36750.491942748107"/>
    <n v="0"/>
    <n v="116029.9590001475"/>
    <n v="141000"/>
    <n v="23000"/>
    <n v="115000"/>
    <n v="-40000"/>
    <n v="75000"/>
    <n v="41029.959000147501"/>
    <n v="23000"/>
    <n v="-23000"/>
    <n v="0"/>
    <n v="41029.959000147501"/>
    <n v="0"/>
    <n v="0"/>
    <n v="0"/>
    <n v="0"/>
    <n v="138000"/>
    <n v="115000"/>
    <n v="0"/>
    <n v="75000"/>
    <n v="40000"/>
    <x v="108"/>
    <n v="75000"/>
    <n v="0"/>
    <x v="7"/>
    <x v="11"/>
    <s v="Si"/>
    <n v="75000"/>
    <n v="25240.115999999998"/>
    <n v="49759.884000000005"/>
    <d v="2022-09-10T00:00:00"/>
    <n v="1"/>
    <n v="1.3"/>
    <n v="1.3"/>
    <n v="97500"/>
    <n v="0"/>
    <s v="No Aplica"/>
    <m/>
    <n v="1.3"/>
    <n v="0"/>
    <n v="1.3"/>
    <m/>
    <s v="OK"/>
    <s v="OK"/>
    <n v="0"/>
    <n v="0"/>
    <n v="0"/>
    <n v="0"/>
    <n v="0"/>
    <n v="0"/>
    <n v="0"/>
    <n v="0"/>
    <n v="0"/>
    <n v="0"/>
    <n v="0"/>
    <n v="0"/>
    <n v="0"/>
    <n v="0"/>
    <m/>
    <n v="92285.599748325796"/>
    <m/>
    <m/>
    <m/>
    <m/>
    <m/>
    <m/>
    <m/>
    <m/>
  </r>
  <r>
    <s v="Agrosuper Asia1023439"/>
    <x v="0"/>
    <x v="1"/>
    <n v="1023439"/>
    <s v="GO Hso femur@ Cj 20k AS"/>
    <x v="1"/>
    <x v="73"/>
    <n v="100000"/>
    <n v="100000"/>
    <n v="0.38476266834449474"/>
    <n v="38476.266834449474"/>
    <n v="24020"/>
    <n v="25772.612999999998"/>
    <n v="0"/>
    <n v="85691.618534449473"/>
    <n v="32000"/>
    <n v="23000"/>
    <n v="32000"/>
    <n v="0"/>
    <n v="32000"/>
    <n v="53691.618534449473"/>
    <n v="46000"/>
    <n v="-46000"/>
    <n v="0"/>
    <n v="53691.618534449473"/>
    <n v="0"/>
    <n v="0"/>
    <n v="0"/>
    <n v="0"/>
    <n v="78000"/>
    <n v="78000"/>
    <n v="0"/>
    <n v="32000"/>
    <n v="46000"/>
    <x v="109"/>
    <n v="32000"/>
    <n v="0"/>
    <x v="13"/>
    <x v="11"/>
    <s v="Si"/>
    <n v="32000"/>
    <n v="24020"/>
    <n v="7980"/>
    <d v="2022-09-10T00:00:00"/>
    <n v="0.5"/>
    <n v="0.7"/>
    <n v="0.7"/>
    <n v="22400"/>
    <n v="0"/>
    <s v="No Aplica"/>
    <m/>
    <n v="0.7"/>
    <n v="0"/>
    <n v="0.7"/>
    <m/>
    <s v="OK"/>
    <s v="OK"/>
    <n v="0"/>
    <n v="0"/>
    <n v="0"/>
    <n v="0"/>
    <n v="0"/>
    <n v="0"/>
    <n v="0"/>
    <n v="0"/>
    <n v="0"/>
    <n v="0"/>
    <n v="0"/>
    <n v="0"/>
    <n v="0"/>
    <n v="0"/>
    <m/>
    <n v="61523.733165550526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8D83E-BEE6-4FE8-A0D5-25B1ED5DC4B2}" name="TablaDinámica5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17:H22" firstHeaderRow="0" firstDataRow="1" firstDataCol="1" rowPageCount="1" colPageCount="1"/>
  <pivotFields count="55">
    <pivotField compact="0" outline="0" showAll="0"/>
    <pivotField axis="axisPage" compact="0" outline="0" showAll="0">
      <items count="5">
        <item x="0"/>
        <item x="3"/>
        <item x="1"/>
        <item x="2"/>
        <item t="default"/>
      </items>
    </pivotField>
    <pivotField axis="axisRow" compact="0" outline="0" showAll="0">
      <items count="9">
        <item h="1" m="1" x="7"/>
        <item x="5"/>
        <item x="0"/>
        <item x="1"/>
        <item x="2"/>
        <item x="3"/>
        <item x="4"/>
        <item h="1" m="1" x="6"/>
        <item t="default"/>
      </items>
    </pivotField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dataField="1" compact="0" numFmtId="165" outline="0" showAll="0"/>
    <pivotField compact="0" numFmtId="165" outline="0" showAll="0"/>
    <pivotField dataField="1" compact="0" numFmtId="9" outline="0" showAll="0"/>
    <pivotField dataField="1" compact="0" numFmtId="165" outline="0" showAll="0"/>
    <pivotField dataField="1" compact="0" numFmtId="165" outline="0" showAll="0"/>
    <pivotField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"/>
  </rowFields>
  <rowItems count="5">
    <i>
      <x v="2"/>
    </i>
    <i>
      <x v="3"/>
    </i>
    <i>
      <x v="4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item="2" hier="-1"/>
  </pageFields>
  <dataFields count="6">
    <dataField name=" Stock al día" fld="12" baseField="0" baseItem="0"/>
    <dataField name=" Producción por despachar mes N" fld="14" baseField="0" baseItem="0"/>
    <dataField name="  RV Producción mes n+1" fld="8" baseField="0" baseItem="0"/>
    <dataField name=" % Uti. producción" fld="10" subtotal="average" baseField="2" baseItem="5" numFmtId="9"/>
    <dataField name=" Producción disponible" fld="11" baseField="0" baseItem="0"/>
    <dataField name="Volumen disponible" fld="15" baseField="0" baseItem="0"/>
  </dataFields>
  <formats count="4">
    <format dxfId="423">
      <pivotArea field="2" type="button" dataOnly="0" labelOnly="1" outline="0" axis="axisRow" fieldPosition="0"/>
    </format>
    <format dxfId="422">
      <pivotArea outline="0" collapsedLevelsAreSubtotals="1" fieldPosition="0"/>
    </format>
    <format dxfId="421">
      <pivotArea outline="0" fieldPosition="0">
        <references count="1">
          <reference field="4294967294" count="1">
            <x v="3"/>
          </reference>
        </references>
      </pivotArea>
    </format>
    <format dxfId="420">
      <pivotArea dataOnly="0" labelOnly="1" outline="0" fieldPosition="0">
        <references count="1">
          <reference field="4294967294" count="1">
            <x v="5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801FAB-531A-44AB-BADA-D8BA07DB1279}" name="TablaDinámica1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6:H12" firstHeaderRow="0" firstDataRow="1" firstDataCol="1" rowPageCount="1" colPageCount="1"/>
  <pivotFields count="55">
    <pivotField compact="0" outline="0" showAll="0"/>
    <pivotField axis="axisPage" compact="0" outline="0" showAll="0">
      <items count="5">
        <item x="0"/>
        <item x="3"/>
        <item x="1"/>
        <item x="2"/>
        <item t="default"/>
      </items>
    </pivotField>
    <pivotField axis="axisRow" compact="0" outline="0" showAll="0">
      <items count="9">
        <item h="1" m="1" x="7"/>
        <item x="5"/>
        <item x="0"/>
        <item x="1"/>
        <item x="2"/>
        <item x="3"/>
        <item x="4"/>
        <item h="1" m="1" x="6"/>
        <item t="default"/>
      </items>
    </pivotField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item="3" hier="-1"/>
  </pageFields>
  <dataFields count="6">
    <dataField name="Volumen disponible" fld="15" baseField="0" baseItem="0"/>
    <dataField name=" Atraso a facturar" fld="18" baseField="0" baseItem="0"/>
    <dataField name=" Venta nueva a facturar" fld="22" baseField="0" baseItem="0"/>
    <dataField name=" En puerto a facturar" fld="27" baseField="0" baseItem="0"/>
    <dataField name=" Plan Irrestricto" fld="28" baseField="0" baseItem="0"/>
    <dataField name=" Plan ajustado" fld="29" baseField="1" baseItem="1"/>
  </dataFields>
  <formats count="3">
    <format dxfId="426">
      <pivotArea field="2" type="button" dataOnly="0" labelOnly="1" outline="0" axis="axisRow" fieldPosition="0"/>
    </format>
    <format dxfId="425">
      <pivotArea outline="0" collapsedLevelsAreSubtotals="1" fieldPosition="0"/>
    </format>
    <format dxfId="424">
      <pivotArea dataOnly="0" labelOnly="1" outline="0" fieldPosition="0">
        <references count="1">
          <reference field="4294967294" count="1">
            <x v="5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7C5FD-CB5B-4C84-88E4-6CECFC6C48D6}" name="TablaDinámica6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30:I50" firstHeaderRow="0" firstDataRow="1" firstDataCol="2"/>
  <pivotFields count="55">
    <pivotField compact="0" outline="0" showAll="0"/>
    <pivotField axis="axisRow" compact="0" outline="0" showAll="0">
      <items count="5">
        <item x="0"/>
        <item x="3"/>
        <item x="1"/>
        <item x="2"/>
        <item t="default"/>
      </items>
    </pivotField>
    <pivotField axis="axisRow" compact="0" outline="0" multipleItemSelectionAllowed="1" showAll="0">
      <items count="9">
        <item h="1" m="1" x="7"/>
        <item x="5"/>
        <item x="0"/>
        <item x="1"/>
        <item x="2"/>
        <item x="3"/>
        <item x="4"/>
        <item h="1" m="1" x="6"/>
        <item t="default"/>
      </items>
    </pivotField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"/>
    <field x="2"/>
  </rowFields>
  <rowItems count="20">
    <i>
      <x/>
      <x v="2"/>
    </i>
    <i r="1">
      <x v="3"/>
    </i>
    <i r="1">
      <x v="4"/>
    </i>
    <i r="1">
      <x v="5"/>
    </i>
    <i r="1">
      <x v="6"/>
    </i>
    <i t="default">
      <x/>
    </i>
    <i>
      <x v="1"/>
      <x v="2"/>
    </i>
    <i t="default">
      <x v="1"/>
    </i>
    <i>
      <x v="2"/>
      <x v="2"/>
    </i>
    <i r="1">
      <x v="3"/>
    </i>
    <i r="1">
      <x v="4"/>
    </i>
    <i r="1">
      <x v="5"/>
    </i>
    <i t="default">
      <x v="2"/>
    </i>
    <i>
      <x v="3"/>
      <x v="1"/>
    </i>
    <i r="1">
      <x v="2"/>
    </i>
    <i r="1">
      <x v="3"/>
    </i>
    <i r="1">
      <x v="4"/>
    </i>
    <i r="1">
      <x v="5"/>
    </i>
    <i t="default"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Volumen disponible" fld="15" baseField="0" baseItem="0"/>
    <dataField name=" Atraso a facturar" fld="18" baseField="0" baseItem="0"/>
    <dataField name=" Venta nueva a facturar" fld="22" baseField="0" baseItem="0"/>
    <dataField name=" En puerto a facturar" fld="27" baseField="0" baseItem="0"/>
    <dataField name=" Plan Irrestricto" fld="28" baseField="0" baseItem="0"/>
    <dataField name=" Plan ajustado" fld="29" baseField="1" baseItem="1"/>
  </dataFields>
  <formats count="3">
    <format dxfId="429">
      <pivotArea field="2" type="button" dataOnly="0" labelOnly="1" outline="0" axis="axisRow" fieldPosition="1"/>
    </format>
    <format dxfId="428">
      <pivotArea outline="0" collapsedLevelsAreSubtotals="1" fieldPosition="0"/>
    </format>
    <format dxfId="427">
      <pivotArea dataOnly="0" labelOnly="1" outline="0" fieldPosition="0">
        <references count="1">
          <reference field="4294967294" count="1">
            <x v="5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4DEC1-1085-4680-9D78-861F87162DA7}" name="TablaDinámica3" cacheId="1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796" firstHeaderRow="1" firstDataRow="1" firstDataCol="1"/>
  <pivotFields count="5">
    <pivotField showAll="0"/>
    <pivotField showAll="0">
      <items count="21">
        <item x="0"/>
        <item x="1"/>
        <item x="2"/>
        <item x="3"/>
        <item x="4"/>
        <item x="5"/>
        <item x="11"/>
        <item x="12"/>
        <item x="13"/>
        <item x="6"/>
        <item x="7"/>
        <item x="8"/>
        <item x="9"/>
        <item x="14"/>
        <item x="15"/>
        <item x="10"/>
        <item x="16"/>
        <item x="17"/>
        <item x="18"/>
        <item x="19"/>
        <item t="default"/>
      </items>
    </pivotField>
    <pivotField axis="axisRow" showAll="0">
      <items count="793">
        <item x="144"/>
        <item x="101"/>
        <item x="148"/>
        <item x="102"/>
        <item x="103"/>
        <item x="104"/>
        <item x="152"/>
        <item x="160"/>
        <item x="105"/>
        <item x="106"/>
        <item x="145"/>
        <item x="155"/>
        <item x="107"/>
        <item x="50"/>
        <item x="3"/>
        <item x="44"/>
        <item x="45"/>
        <item x="0"/>
        <item x="96"/>
        <item x="93"/>
        <item x="108"/>
        <item x="109"/>
        <item x="110"/>
        <item x="111"/>
        <item x="112"/>
        <item x="113"/>
        <item x="114"/>
        <item x="115"/>
        <item x="116"/>
        <item x="97"/>
        <item x="117"/>
        <item x="118"/>
        <item x="4"/>
        <item x="51"/>
        <item x="119"/>
        <item x="120"/>
        <item x="164"/>
        <item x="91"/>
        <item x="65"/>
        <item x="52"/>
        <item x="53"/>
        <item x="1"/>
        <item x="63"/>
        <item x="62"/>
        <item x="60"/>
        <item x="66"/>
        <item x="94"/>
        <item x="121"/>
        <item x="122"/>
        <item x="123"/>
        <item x="124"/>
        <item x="141"/>
        <item x="125"/>
        <item x="126"/>
        <item x="127"/>
        <item x="140"/>
        <item x="128"/>
        <item x="5"/>
        <item x="85"/>
        <item x="129"/>
        <item x="47"/>
        <item x="147"/>
        <item x="67"/>
        <item x="68"/>
        <item x="69"/>
        <item x="70"/>
        <item x="92"/>
        <item x="130"/>
        <item x="131"/>
        <item x="36"/>
        <item x="153"/>
        <item x="6"/>
        <item x="7"/>
        <item x="8"/>
        <item x="9"/>
        <item x="10"/>
        <item x="11"/>
        <item x="49"/>
        <item x="89"/>
        <item x="12"/>
        <item x="13"/>
        <item x="14"/>
        <item x="15"/>
        <item x="16"/>
        <item x="17"/>
        <item x="18"/>
        <item x="19"/>
        <item x="20"/>
        <item x="21"/>
        <item x="35"/>
        <item x="22"/>
        <item x="157"/>
        <item x="2"/>
        <item x="54"/>
        <item x="143"/>
        <item x="98"/>
        <item x="57"/>
        <item x="46"/>
        <item x="41"/>
        <item x="90"/>
        <item x="132"/>
        <item x="55"/>
        <item x="170"/>
        <item x="163"/>
        <item x="133"/>
        <item x="43"/>
        <item x="42"/>
        <item x="48"/>
        <item x="83"/>
        <item x="71"/>
        <item x="72"/>
        <item x="84"/>
        <item x="73"/>
        <item x="74"/>
        <item x="23"/>
        <item x="59"/>
        <item x="171"/>
        <item x="75"/>
        <item x="76"/>
        <item x="77"/>
        <item x="24"/>
        <item x="25"/>
        <item x="26"/>
        <item x="27"/>
        <item x="28"/>
        <item x="29"/>
        <item x="30"/>
        <item x="78"/>
        <item x="79"/>
        <item x="80"/>
        <item x="31"/>
        <item x="95"/>
        <item x="56"/>
        <item x="134"/>
        <item x="135"/>
        <item x="154"/>
        <item x="146"/>
        <item x="81"/>
        <item x="32"/>
        <item x="33"/>
        <item x="136"/>
        <item x="172"/>
        <item x="38"/>
        <item x="39"/>
        <item x="40"/>
        <item x="34"/>
        <item x="162"/>
        <item x="137"/>
        <item x="138"/>
        <item x="64"/>
        <item x="82"/>
        <item x="150"/>
        <item x="149"/>
        <item x="151"/>
        <item x="142"/>
        <item x="37"/>
        <item x="139"/>
        <item x="58"/>
        <item x="86"/>
        <item x="100"/>
        <item x="87"/>
        <item x="88"/>
        <item x="165"/>
        <item x="166"/>
        <item x="156"/>
        <item x="159"/>
        <item x="61"/>
        <item x="99"/>
        <item x="169"/>
        <item x="158"/>
        <item x="161"/>
        <item x="168"/>
        <item x="167"/>
        <item x="456"/>
        <item x="449"/>
        <item x="447"/>
        <item x="469"/>
        <item x="472"/>
        <item x="188"/>
        <item x="406"/>
        <item x="450"/>
        <item x="407"/>
        <item x="525"/>
        <item x="473"/>
        <item x="458"/>
        <item x="408"/>
        <item x="474"/>
        <item x="409"/>
        <item x="475"/>
        <item x="410"/>
        <item x="476"/>
        <item x="526"/>
        <item x="527"/>
        <item x="508"/>
        <item x="511"/>
        <item x="509"/>
        <item x="411"/>
        <item x="412"/>
        <item x="477"/>
        <item x="492"/>
        <item x="460"/>
        <item x="467"/>
        <item x="478"/>
        <item x="535"/>
        <item x="501"/>
        <item x="413"/>
        <item x="479"/>
        <item x="528"/>
        <item x="480"/>
        <item x="189"/>
        <item x="504"/>
        <item x="518"/>
        <item x="190"/>
        <item x="481"/>
        <item x="191"/>
        <item x="507"/>
        <item x="192"/>
        <item x="496"/>
        <item x="414"/>
        <item x="482"/>
        <item x="193"/>
        <item x="459"/>
        <item x="470"/>
        <item x="483"/>
        <item x="497"/>
        <item x="502"/>
        <item x="415"/>
        <item x="493"/>
        <item x="510"/>
        <item x="454"/>
        <item x="416"/>
        <item x="529"/>
        <item x="530"/>
        <item x="484"/>
        <item x="503"/>
        <item x="531"/>
        <item x="485"/>
        <item x="532"/>
        <item x="533"/>
        <item x="536"/>
        <item x="573"/>
        <item x="537"/>
        <item x="538"/>
        <item x="539"/>
        <item x="540"/>
        <item x="541"/>
        <item x="542"/>
        <item x="543"/>
        <item x="544"/>
        <item x="545"/>
        <item x="546"/>
        <item x="173"/>
        <item x="174"/>
        <item x="392"/>
        <item x="221"/>
        <item x="310"/>
        <item x="357"/>
        <item x="358"/>
        <item x="194"/>
        <item x="183"/>
        <item x="195"/>
        <item x="359"/>
        <item x="381"/>
        <item x="547"/>
        <item x="196"/>
        <item x="197"/>
        <item x="548"/>
        <item x="549"/>
        <item x="233"/>
        <item x="360"/>
        <item x="198"/>
        <item x="386"/>
        <item x="199"/>
        <item x="361"/>
        <item x="362"/>
        <item x="226"/>
        <item x="200"/>
        <item x="201"/>
        <item x="220"/>
        <item x="217"/>
        <item x="222"/>
        <item x="202"/>
        <item x="203"/>
        <item x="204"/>
        <item x="316"/>
        <item x="550"/>
        <item x="186"/>
        <item x="363"/>
        <item x="364"/>
        <item x="365"/>
        <item x="366"/>
        <item x="367"/>
        <item x="205"/>
        <item x="580"/>
        <item x="182"/>
        <item x="581"/>
        <item x="486"/>
        <item x="387"/>
        <item x="388"/>
        <item x="464"/>
        <item x="206"/>
        <item x="417"/>
        <item x="184"/>
        <item x="313"/>
        <item x="582"/>
        <item x="368"/>
        <item x="418"/>
        <item x="516"/>
        <item x="551"/>
        <item x="175"/>
        <item x="176"/>
        <item x="583"/>
        <item x="389"/>
        <item x="419"/>
        <item x="397"/>
        <item x="552"/>
        <item x="553"/>
        <item x="420"/>
        <item x="207"/>
        <item x="592"/>
        <item x="223"/>
        <item x="587"/>
        <item x="369"/>
        <item x="370"/>
        <item x="244"/>
        <item x="245"/>
        <item x="246"/>
        <item x="247"/>
        <item x="248"/>
        <item x="249"/>
        <item x="250"/>
        <item x="251"/>
        <item x="252"/>
        <item x="421"/>
        <item x="422"/>
        <item x="423"/>
        <item x="253"/>
        <item x="584"/>
        <item x="237"/>
        <item x="227"/>
        <item x="394"/>
        <item x="254"/>
        <item x="318"/>
        <item x="319"/>
        <item x="320"/>
        <item x="337"/>
        <item x="338"/>
        <item x="339"/>
        <item x="355"/>
        <item x="356"/>
        <item x="340"/>
        <item x="255"/>
        <item x="219"/>
        <item x="396"/>
        <item x="341"/>
        <item x="256"/>
        <item x="424"/>
        <item x="522"/>
        <item x="257"/>
        <item x="236"/>
        <item x="258"/>
        <item x="259"/>
        <item x="452"/>
        <item x="515"/>
        <item x="260"/>
        <item x="261"/>
        <item x="309"/>
        <item x="342"/>
        <item x="425"/>
        <item x="393"/>
        <item x="262"/>
        <item x="321"/>
        <item x="322"/>
        <item x="323"/>
        <item x="311"/>
        <item x="208"/>
        <item x="209"/>
        <item x="263"/>
        <item x="385"/>
        <item x="264"/>
        <item x="265"/>
        <item x="266"/>
        <item x="210"/>
        <item x="211"/>
        <item x="267"/>
        <item x="238"/>
        <item x="239"/>
        <item x="487"/>
        <item x="488"/>
        <item x="240"/>
        <item x="513"/>
        <item x="371"/>
        <item x="268"/>
        <item x="324"/>
        <item x="489"/>
        <item x="312"/>
        <item x="554"/>
        <item x="555"/>
        <item x="426"/>
        <item x="269"/>
        <item x="427"/>
        <item x="490"/>
        <item x="586"/>
        <item x="556"/>
        <item x="557"/>
        <item x="270"/>
        <item x="271"/>
        <item x="272"/>
        <item x="443"/>
        <item x="273"/>
        <item x="218"/>
        <item x="274"/>
        <item x="304"/>
        <item x="465"/>
        <item x="466"/>
        <item x="325"/>
        <item x="231"/>
        <item x="225"/>
        <item x="343"/>
        <item x="275"/>
        <item x="276"/>
        <item x="277"/>
        <item x="278"/>
        <item x="499"/>
        <item x="558"/>
        <item x="428"/>
        <item x="559"/>
        <item x="326"/>
        <item x="446"/>
        <item x="279"/>
        <item x="429"/>
        <item x="353"/>
        <item x="448"/>
        <item x="430"/>
        <item x="327"/>
        <item x="303"/>
        <item x="232"/>
        <item x="352"/>
        <item x="560"/>
        <item x="561"/>
        <item x="372"/>
        <item x="177"/>
        <item x="328"/>
        <item x="280"/>
        <item x="281"/>
        <item x="431"/>
        <item x="282"/>
        <item x="283"/>
        <item x="432"/>
        <item x="284"/>
        <item x="285"/>
        <item x="585"/>
        <item x="433"/>
        <item x="405"/>
        <item x="562"/>
        <item x="461"/>
        <item x="462"/>
        <item x="224"/>
        <item x="230"/>
        <item x="463"/>
        <item x="286"/>
        <item x="344"/>
        <item x="329"/>
        <item x="287"/>
        <item x="187"/>
        <item x="434"/>
        <item x="350"/>
        <item x="445"/>
        <item x="601"/>
        <item x="336"/>
        <item x="306"/>
        <item x="444"/>
        <item x="212"/>
        <item x="455"/>
        <item x="390"/>
        <item x="213"/>
        <item x="288"/>
        <item x="512"/>
        <item x="315"/>
        <item x="330"/>
        <item x="331"/>
        <item x="332"/>
        <item x="333"/>
        <item x="574"/>
        <item x="178"/>
        <item x="373"/>
        <item x="374"/>
        <item x="457"/>
        <item x="571"/>
        <item x="534"/>
        <item x="399"/>
        <item x="345"/>
        <item x="346"/>
        <item x="563"/>
        <item x="214"/>
        <item x="215"/>
        <item x="588"/>
        <item x="375"/>
        <item x="564"/>
        <item x="435"/>
        <item x="436"/>
        <item x="289"/>
        <item x="290"/>
        <item x="291"/>
        <item x="292"/>
        <item x="293"/>
        <item x="294"/>
        <item x="376"/>
        <item x="377"/>
        <item x="565"/>
        <item x="347"/>
        <item x="566"/>
        <item x="216"/>
        <item x="295"/>
        <item x="296"/>
        <item x="378"/>
        <item x="379"/>
        <item x="185"/>
        <item x="567"/>
        <item x="568"/>
        <item x="491"/>
        <item x="382"/>
        <item x="495"/>
        <item x="297"/>
        <item x="348"/>
        <item x="437"/>
        <item x="298"/>
        <item x="299"/>
        <item x="438"/>
        <item x="334"/>
        <item x="593"/>
        <item x="300"/>
        <item x="301"/>
        <item x="439"/>
        <item x="380"/>
        <item x="494"/>
        <item x="440"/>
        <item x="302"/>
        <item x="569"/>
        <item x="354"/>
        <item x="383"/>
        <item x="441"/>
        <item x="317"/>
        <item x="335"/>
        <item x="179"/>
        <item x="570"/>
        <item x="603"/>
        <item x="604"/>
        <item x="349"/>
        <item x="442"/>
        <item x="391"/>
        <item x="519"/>
        <item x="314"/>
        <item x="351"/>
        <item x="453"/>
        <item x="451"/>
        <item x="181"/>
        <item x="180"/>
        <item x="514"/>
        <item x="590"/>
        <item x="468"/>
        <item x="384"/>
        <item x="500"/>
        <item x="305"/>
        <item x="308"/>
        <item x="234"/>
        <item x="471"/>
        <item x="498"/>
        <item x="505"/>
        <item x="572"/>
        <item x="395"/>
        <item x="506"/>
        <item x="307"/>
        <item x="606"/>
        <item x="591"/>
        <item x="520"/>
        <item x="521"/>
        <item x="228"/>
        <item x="589"/>
        <item x="400"/>
        <item x="398"/>
        <item x="401"/>
        <item x="607"/>
        <item x="241"/>
        <item x="229"/>
        <item x="243"/>
        <item x="242"/>
        <item x="517"/>
        <item x="523"/>
        <item x="524"/>
        <item x="402"/>
        <item x="576"/>
        <item x="575"/>
        <item x="578"/>
        <item x="579"/>
        <item x="577"/>
        <item x="235"/>
        <item x="594"/>
        <item x="595"/>
        <item x="596"/>
        <item x="597"/>
        <item x="598"/>
        <item x="599"/>
        <item x="600"/>
        <item x="404"/>
        <item x="403"/>
        <item x="602"/>
        <item x="605"/>
        <item x="655"/>
        <item x="673"/>
        <item x="679"/>
        <item x="656"/>
        <item x="670"/>
        <item x="657"/>
        <item x="658"/>
        <item x="659"/>
        <item x="676"/>
        <item x="634"/>
        <item x="675"/>
        <item x="668"/>
        <item x="631"/>
        <item x="615"/>
        <item x="616"/>
        <item x="660"/>
        <item x="646"/>
        <item x="661"/>
        <item x="627"/>
        <item x="653"/>
        <item x="608"/>
        <item x="651"/>
        <item x="609"/>
        <item x="622"/>
        <item x="617"/>
        <item x="623"/>
        <item x="610"/>
        <item x="618"/>
        <item x="635"/>
        <item x="636"/>
        <item x="619"/>
        <item x="662"/>
        <item x="674"/>
        <item x="663"/>
        <item x="664"/>
        <item x="682"/>
        <item x="629"/>
        <item x="628"/>
        <item x="611"/>
        <item x="643"/>
        <item x="645"/>
        <item x="637"/>
        <item x="650"/>
        <item x="632"/>
        <item x="649"/>
        <item x="638"/>
        <item x="612"/>
        <item x="667"/>
        <item x="652"/>
        <item x="633"/>
        <item x="639"/>
        <item x="640"/>
        <item x="641"/>
        <item x="642"/>
        <item x="672"/>
        <item x="647"/>
        <item x="648"/>
        <item x="613"/>
        <item x="671"/>
        <item x="678"/>
        <item x="620"/>
        <item x="614"/>
        <item x="669"/>
        <item x="665"/>
        <item x="666"/>
        <item x="621"/>
        <item x="630"/>
        <item x="626"/>
        <item x="624"/>
        <item x="625"/>
        <item x="677"/>
        <item x="680"/>
        <item x="644"/>
        <item x="654"/>
        <item x="683"/>
        <item x="681"/>
        <item x="684"/>
        <item x="685"/>
        <item x="686"/>
        <item x="697"/>
        <item x="698"/>
        <item x="699"/>
        <item x="700"/>
        <item x="78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695"/>
        <item x="715"/>
        <item x="716"/>
        <item x="692"/>
        <item x="693"/>
        <item x="717"/>
        <item x="718"/>
        <item x="719"/>
        <item x="720"/>
        <item x="721"/>
        <item x="722"/>
        <item x="723"/>
        <item x="724"/>
        <item x="696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689"/>
        <item x="687"/>
        <item x="691"/>
        <item x="690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68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87"/>
        <item x="694"/>
        <item x="776"/>
        <item x="777"/>
        <item x="778"/>
        <item x="779"/>
        <item x="780"/>
        <item x="781"/>
        <item x="782"/>
        <item x="783"/>
        <item x="788"/>
        <item x="789"/>
        <item x="786"/>
        <item x="784"/>
        <item x="790"/>
        <item x="791"/>
        <item t="default"/>
      </items>
    </pivotField>
    <pivotField showAll="0"/>
    <pivotField dataField="1" showAll="0"/>
  </pivotFields>
  <rowFields count="1">
    <field x="2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dataFields count="1">
    <dataField name="Suma de Kilos" fld="4" baseField="2" baseItem="4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240D7-484F-4013-A81D-B47E59DE6A03}" name="TablaDinámica9" cacheId="10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20:B27" firstHeaderRow="2" firstDataRow="2" firstDataCol="1" rowPageCount="1" colPageCount="1"/>
  <pivotFields count="80">
    <pivotField compact="0" outline="0" showAll="0"/>
    <pivotField axis="axisPage" compact="0" outline="0" showAll="0">
      <items count="5">
        <item x="0"/>
        <item x="3"/>
        <item x="1"/>
        <item x="2"/>
        <item t="default"/>
      </items>
    </pivotField>
    <pivotField axis="axisRow" compact="0" outline="0" showAll="0">
      <items count="7">
        <item x="5"/>
        <item x="0"/>
        <item x="1"/>
        <item x="2"/>
        <item h="1"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4" outline="0" showAll="0"/>
    <pivotField compact="0" numFmtId="166" outline="0" showAll="0"/>
    <pivotField compact="0" numFmtId="166" outline="0" showAll="0"/>
    <pivotField compact="0" numFmtId="166" outline="0" showAll="0"/>
    <pivotField compact="0" numFmtId="165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</pivotFields>
  <rowFields count="1">
    <field x="2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1">
    <pageField fld="1" hier="-1"/>
  </pageFields>
  <dataFields count="1">
    <dataField name="Suma de Plan Irrestricto Inicial" fld="29" baseField="2" baseItem="2" numFmtId="3"/>
  </dataFields>
  <formats count="1">
    <format dxfId="32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52AA0-C02F-45D0-8F42-76AC7D5C89D6}" name="TablaDinámica6" cacheId="1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I9" firstHeaderRow="1" firstDataRow="2" firstDataCol="1" rowPageCount="1" colPageCount="1"/>
  <pivotFields count="90">
    <pivotField compact="0" outline="0" showAll="0"/>
    <pivotField axis="axisPage" compact="0" outline="0" showAll="0">
      <items count="5">
        <item x="0"/>
        <item x="3"/>
        <item x="1"/>
        <item x="2"/>
        <item t="default"/>
      </items>
    </pivotField>
    <pivotField axis="axisRow" compact="0" outline="0" showAll="0">
      <items count="7">
        <item x="5"/>
        <item x="0"/>
        <item x="1"/>
        <item x="2"/>
        <item h="1"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numFmtId="165" outline="0" showAll="0"/>
    <pivotField compact="0" numFmtId="165" outline="0" showAll="0"/>
    <pivotField compact="0" numFmtId="9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dataField="1" compact="0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4" outline="0" showAll="0"/>
    <pivotField compact="0" numFmtId="166" outline="0" showAll="0"/>
    <pivotField compact="0" numFmtId="166" outline="0" showAll="0"/>
    <pivotField compact="0" numFmtId="166" outline="0" showAll="0"/>
    <pivotField compact="0" numFmtId="165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"/>
  </rowFields>
  <rowItems count="5">
    <i>
      <x v="1"/>
    </i>
    <i>
      <x v="2"/>
    </i>
    <i>
      <x v="3"/>
    </i>
    <i>
      <x v="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1" item="0" hier="-1"/>
  </pageFields>
  <dataFields count="8">
    <dataField name="Suma de  RV Producción mes n+1" fld="7" baseField="2" baseItem="2" numFmtId="3"/>
    <dataField name=" Producción disponible" fld="10" baseField="2" baseItem="2" numFmtId="3"/>
    <dataField name="Suma de Stock al día" fld="11" baseField="2" baseItem="4" numFmtId="3"/>
    <dataField name="Suma de Total disponible" fld="14" baseField="2" baseItem="3" numFmtId="3"/>
    <dataField name=" Puerto " fld="31" baseField="2" baseItem="2" numFmtId="3"/>
    <dataField name="Suma de Plan Irrestricto (DATO)" fld="30" baseField="2" baseItem="2" numFmtId="165"/>
    <dataField name=" Plan Ajustado" fld="34" baseField="2" baseItem="1" numFmtId="3"/>
    <dataField name="Suma de Saldo mes n-1" fld="72" baseField="2" baseItem="2" numFmtId="3"/>
  </dataFields>
  <formats count="3">
    <format dxfId="331">
      <pivotArea collapsedLevelsAreSubtotals="1" fieldPosition="0">
        <references count="2">
          <reference field="4294967294" count="1" selected="0">
            <x v="3"/>
          </reference>
          <reference field="2" count="4">
            <x v="1"/>
            <x v="2"/>
            <x v="3"/>
            <x v="5"/>
          </reference>
        </references>
      </pivotArea>
    </format>
    <format dxfId="330">
      <pivotArea outline="0" fieldPosition="0">
        <references count="2">
          <reference field="4294967294" count="1" selected="0">
            <x v="3"/>
          </reference>
          <reference field="2" count="5" selected="0">
            <x v="1"/>
            <x v="2"/>
            <x v="3"/>
            <x v="4"/>
            <x v="5"/>
          </reference>
        </references>
      </pivotArea>
    </format>
    <format dxfId="329">
      <pivotArea outline="0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FA5CF-DAF8-4CFD-9A9D-D3B8A20A1BC3}" name="TablaDinámica9" cacheId="11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Oficina">
  <location ref="B37:F44" firstHeaderRow="0" firstDataRow="1" firstDataCol="1" rowPageCount="1" colPageCount="1"/>
  <pivotFields count="90">
    <pivotField showAll="0"/>
    <pivotField showAll="0"/>
    <pivotField axis="axisRow" showAll="0">
      <items count="7">
        <item x="5"/>
        <item x="0"/>
        <item x="1"/>
        <item x="2"/>
        <item x="3"/>
        <item x="4"/>
        <item t="default"/>
      </items>
    </pivotField>
    <pivotField showAll="0"/>
    <pivotField showAll="0"/>
    <pivotField multipleItemSelectionAllowed="1" showAll="0"/>
    <pivotField showAll="0"/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dataField="1" numFmtId="165" showAll="0"/>
    <pivotField numFmtId="165" showAll="0"/>
    <pivotField showAll="0"/>
    <pivotField numFmtId="165" showAll="0"/>
    <pivotField numFmtId="165" showAll="0"/>
    <pivotField numFmtId="165" showAll="0"/>
    <pivotField axis="axisPage" dataField="1" numFmtId="165" multipleItemSelectionAllowed="1" showAll="0">
      <items count="260">
        <item h="1" x="7"/>
        <item x="87"/>
        <item x="62"/>
        <item m="1" x="190"/>
        <item m="1" x="152"/>
        <item m="1" x="120"/>
        <item x="47"/>
        <item m="1" x="191"/>
        <item x="41"/>
        <item x="43"/>
        <item m="1" x="131"/>
        <item x="3"/>
        <item m="1" x="140"/>
        <item x="38"/>
        <item x="39"/>
        <item x="4"/>
        <item x="107"/>
        <item x="37"/>
        <item x="52"/>
        <item m="1" x="219"/>
        <item m="1" x="110"/>
        <item m="1" x="138"/>
        <item m="1" x="181"/>
        <item m="1" x="239"/>
        <item m="1" x="195"/>
        <item m="1" x="245"/>
        <item m="1" x="145"/>
        <item m="1" x="159"/>
        <item x="67"/>
        <item m="1" x="231"/>
        <item x="75"/>
        <item m="1" x="185"/>
        <item m="1" x="130"/>
        <item x="100"/>
        <item m="1" x="205"/>
        <item m="1" x="240"/>
        <item m="1" x="123"/>
        <item m="1" x="173"/>
        <item m="1" x="156"/>
        <item m="1" x="184"/>
        <item m="1" x="179"/>
        <item m="1" x="114"/>
        <item x="82"/>
        <item m="1" x="243"/>
        <item m="1" x="235"/>
        <item m="1" x="199"/>
        <item m="1" x="241"/>
        <item m="1" x="153"/>
        <item m="1" x="210"/>
        <item m="1" x="151"/>
        <item m="1" x="165"/>
        <item m="1" x="135"/>
        <item m="1" x="204"/>
        <item m="1" x="124"/>
        <item m="1" x="186"/>
        <item m="1" x="174"/>
        <item m="1" x="125"/>
        <item m="1" x="214"/>
        <item m="1" x="233"/>
        <item m="1" x="230"/>
        <item m="1" x="193"/>
        <item m="1" x="149"/>
        <item x="50"/>
        <item m="1" x="196"/>
        <item m="1" x="212"/>
        <item m="1" x="255"/>
        <item m="1" x="139"/>
        <item m="1" x="111"/>
        <item m="1" x="257"/>
        <item m="1" x="246"/>
        <item m="1" x="229"/>
        <item m="1" x="221"/>
        <item m="1" x="172"/>
        <item m="1" x="115"/>
        <item m="1" x="216"/>
        <item m="1" x="136"/>
        <item m="1" x="158"/>
        <item m="1" x="175"/>
        <item m="1" x="206"/>
        <item m="1" x="223"/>
        <item m="1" x="220"/>
        <item m="1" x="143"/>
        <item m="1" x="217"/>
        <item m="1" x="137"/>
        <item m="1" x="200"/>
        <item m="1" x="176"/>
        <item m="1" x="118"/>
        <item m="1" x="250"/>
        <item m="1" x="189"/>
        <item m="1" x="226"/>
        <item m="1" x="242"/>
        <item m="1" x="213"/>
        <item m="1" x="170"/>
        <item m="1" x="154"/>
        <item m="1" x="201"/>
        <item m="1" x="182"/>
        <item m="1" x="197"/>
        <item m="1" x="169"/>
        <item m="1" x="218"/>
        <item m="1" x="155"/>
        <item m="1" x="211"/>
        <item m="1" x="144"/>
        <item m="1" x="113"/>
        <item m="1" x="166"/>
        <item m="1" x="244"/>
        <item x="1"/>
        <item h="1" m="1" x="119"/>
        <item x="5"/>
        <item x="6"/>
        <item x="8"/>
        <item x="9"/>
        <item x="12"/>
        <item x="13"/>
        <item x="14"/>
        <item h="1" m="1" x="203"/>
        <item x="18"/>
        <item h="1" m="1" x="253"/>
        <item h="1" m="1" x="183"/>
        <item x="23"/>
        <item x="24"/>
        <item x="25"/>
        <item x="26"/>
        <item x="27"/>
        <item x="29"/>
        <item x="30"/>
        <item x="31"/>
        <item x="33"/>
        <item h="1" m="1" x="164"/>
        <item h="1" m="1" x="192"/>
        <item h="1" m="1" x="160"/>
        <item h="1" m="1" x="258"/>
        <item x="40"/>
        <item x="42"/>
        <item x="44"/>
        <item x="45"/>
        <item h="1" m="1" x="126"/>
        <item x="48"/>
        <item h="1" m="1" x="232"/>
        <item x="89"/>
        <item x="103"/>
        <item h="1" m="1" x="161"/>
        <item x="92"/>
        <item h="1" m="1" x="202"/>
        <item h="1" m="1" x="198"/>
        <item h="1" m="1" x="180"/>
        <item h="1" m="1" x="256"/>
        <item h="1" m="1" x="187"/>
        <item h="1" m="1" x="162"/>
        <item h="1" m="1" x="252"/>
        <item h="1" m="1" x="168"/>
        <item h="1" m="1" x="222"/>
        <item h="1" m="1" x="237"/>
        <item h="1" m="1" x="163"/>
        <item h="1" m="1" x="234"/>
        <item h="1" m="1" x="238"/>
        <item h="1" m="1" x="178"/>
        <item h="1" m="1" x="251"/>
        <item h="1" m="1" x="117"/>
        <item h="1" m="1" x="188"/>
        <item h="1" m="1" x="208"/>
        <item h="1" m="1" x="248"/>
        <item x="80"/>
        <item x="69"/>
        <item h="1" m="1" x="127"/>
        <item h="1" m="1" x="150"/>
        <item h="1" m="1" x="207"/>
        <item h="1" m="1" x="167"/>
        <item h="1" m="1" x="132"/>
        <item h="1" m="1" x="116"/>
        <item x="84"/>
        <item h="1" m="1" x="133"/>
        <item h="1" m="1" x="249"/>
        <item x="93"/>
        <item h="1" m="1" x="141"/>
        <item h="1" m="1" x="227"/>
        <item h="1" m="1" x="171"/>
        <item h="1" m="1" x="129"/>
        <item h="1" m="1" x="236"/>
        <item x="90"/>
        <item h="1" m="1" x="228"/>
        <item h="1" m="1" x="177"/>
        <item x="95"/>
        <item x="96"/>
        <item x="97"/>
        <item x="98"/>
        <item x="99"/>
        <item x="102"/>
        <item x="63"/>
        <item x="106"/>
        <item h="1" m="1" x="147"/>
        <item h="1" m="1" x="209"/>
        <item h="1" m="1" x="142"/>
        <item h="1" m="1" x="134"/>
        <item x="0"/>
        <item x="10"/>
        <item x="11"/>
        <item x="17"/>
        <item x="22"/>
        <item x="28"/>
        <item x="32"/>
        <item x="105"/>
        <item x="101"/>
        <item x="104"/>
        <item h="1" m="1" x="128"/>
        <item h="1" m="1" x="215"/>
        <item h="1" m="1" x="148"/>
        <item h="1" m="1" x="254"/>
        <item h="1" m="1" x="225"/>
        <item h="1" m="1" x="146"/>
        <item h="1" m="1" x="112"/>
        <item h="1" m="1" x="194"/>
        <item h="1" m="1" x="122"/>
        <item h="1" m="1" x="157"/>
        <item h="1" m="1" x="224"/>
        <item x="2"/>
        <item x="15"/>
        <item x="16"/>
        <item x="19"/>
        <item x="20"/>
        <item x="21"/>
        <item x="34"/>
        <item x="35"/>
        <item x="36"/>
        <item x="46"/>
        <item x="49"/>
        <item h="1" m="1" x="247"/>
        <item h="1" m="1" x="121"/>
        <item x="53"/>
        <item x="54"/>
        <item x="55"/>
        <item x="56"/>
        <item x="57"/>
        <item x="58"/>
        <item x="59"/>
        <item x="60"/>
        <item x="61"/>
        <item x="64"/>
        <item x="65"/>
        <item x="66"/>
        <item x="68"/>
        <item x="70"/>
        <item x="71"/>
        <item x="72"/>
        <item x="73"/>
        <item x="74"/>
        <item x="76"/>
        <item x="77"/>
        <item x="78"/>
        <item x="79"/>
        <item x="81"/>
        <item x="83"/>
        <item x="85"/>
        <item x="86"/>
        <item x="88"/>
        <item x="91"/>
        <item x="108"/>
        <item x="109"/>
        <item x="94"/>
        <item x="51"/>
        <item t="default"/>
      </items>
    </pivotField>
    <pivotField showAll="0"/>
    <pivotField showAll="0"/>
    <pivotField showAll="0"/>
    <pivotField showAll="0"/>
    <pivotField showAll="0"/>
    <pivotField numFmtId="165" showAll="0"/>
    <pivotField dataField="1" numFmtId="165" showAll="0"/>
    <pivotField name="Producción nueva2" dataField="1" numFmtId="165" showAll="0"/>
    <pivotField numFmtId="14" showAll="0"/>
    <pivotField numFmtId="166" showAll="0"/>
    <pivotField showAll="0"/>
    <pivotField numFmtId="166" showAll="0"/>
    <pivotField numFmtId="166"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4" hier="-1"/>
  </pageFields>
  <dataFields count="4">
    <dataField name=" Plan Final (Kilos)" fld="34" baseField="2" baseItem="2" numFmtId="3"/>
    <dataField name=" Producción nueva" fld="42" baseField="0" baseItem="0" numFmtId="165"/>
    <dataField name=" Stock Plan" fld="41" baseField="0" baseItem="0" numFmtId="165"/>
    <dataField name=" En puerto a facturar" fld="28" baseField="0" baseItem="0" numFmtId="165"/>
  </dataFields>
  <formats count="16">
    <format dxfId="286">
      <pivotArea field="2" type="button" dataOnly="0" labelOnly="1" outline="0" axis="axisRow" fieldPosition="0"/>
    </format>
    <format dxfId="2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4">
      <pivotArea collapsedLevelsAreSubtotals="1" fieldPosition="0">
        <references count="2">
          <reference field="4294967294" count="1" selected="0">
            <x v="0"/>
          </reference>
          <reference field="2" count="0"/>
        </references>
      </pivotArea>
    </format>
    <format dxfId="28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8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8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7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78">
      <pivotArea collapsedLevelsAreSubtotals="1" fieldPosition="0">
        <references count="2">
          <reference field="4294967294" count="1" selected="0">
            <x v="1"/>
          </reference>
          <reference field="2" count="0"/>
        </references>
      </pivotArea>
    </format>
    <format dxfId="27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6">
      <pivotArea collapsedLevelsAreSubtotals="1" fieldPosition="0">
        <references count="2">
          <reference field="4294967294" count="1" selected="0">
            <x v="1"/>
          </reference>
          <reference field="2" count="0"/>
        </references>
      </pivotArea>
    </format>
    <format dxfId="27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74">
      <pivotArea field="2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7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7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95E45-A263-459B-8123-952265A4BAAD}" name="TablaDinámica8" cacheId="11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Oficina">
  <location ref="B20:F27" firstHeaderRow="0" firstDataRow="1" firstDataCol="1"/>
  <pivotFields count="90">
    <pivotField showAll="0"/>
    <pivotField showAll="0"/>
    <pivotField axis="axisRow" showAll="0">
      <items count="7">
        <item x="5"/>
        <item x="0"/>
        <item x="1"/>
        <item x="2"/>
        <item x="3"/>
        <item x="4"/>
        <item t="default"/>
      </items>
    </pivotField>
    <pivotField showAll="0"/>
    <pivotField showAll="0"/>
    <pivotField multipleItemSelectionAllowed="1" showAll="0"/>
    <pivotField showAll="0"/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dataField="1"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dataField="1" showAll="0"/>
    <pivotField dataField="1" showAll="0"/>
    <pivotField showAll="0"/>
    <pivotField showAll="0"/>
    <pivotField showAll="0"/>
    <pivotField numFmtId="165" showAll="0"/>
    <pivotField numFmtId="165" showAll="0"/>
    <pivotField numFmtId="165" showAll="0"/>
    <pivotField numFmtId="14" showAll="0"/>
    <pivotField numFmtId="166" showAll="0"/>
    <pivotField showAll="0"/>
    <pivotField numFmtId="166" showAll="0"/>
    <pivotField numFmtId="166"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Plan Final (Kilos)" fld="34" baseField="2" baseItem="2" numFmtId="3"/>
    <dataField name=" Volumen en puerto" fld="28" baseField="2" baseItem="2" numFmtId="3"/>
    <dataField name=" Pedidos atrasados" fld="35" baseField="0" baseItem="0" numFmtId="165"/>
    <dataField name=" Nuevos pedidos" fld="36" baseField="0" baseItem="0" numFmtId="165"/>
  </dataFields>
  <formats count="12">
    <format dxfId="298">
      <pivotArea field="2" type="button" dataOnly="0" labelOnly="1" outline="0" axis="axisRow" fieldPosition="0"/>
    </format>
    <format dxfId="2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6">
      <pivotArea outline="0" fieldPosition="0">
        <references count="1">
          <reference field="4294967294" count="1">
            <x v="1"/>
          </reference>
        </references>
      </pivotArea>
    </format>
    <format dxfId="2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3">
      <pivotArea collapsedLevelsAreSubtotals="1" fieldPosition="0">
        <references count="2">
          <reference field="4294967294" count="1" selected="0">
            <x v="0"/>
          </reference>
          <reference field="2" count="0"/>
        </references>
      </pivotArea>
    </format>
    <format dxfId="292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29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29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9">
      <pivotArea field="2" type="button" dataOnly="0" labelOnly="1" outline="0" axis="axisRow" fieldPosition="0"/>
    </format>
    <format dxfId="2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8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0DB9A-5CD9-498F-861A-A2A9FC600E5F}" name="TablaDinámica1" cacheId="11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Oficina">
  <location ref="H7:J12" firstHeaderRow="0" firstDataRow="1" firstDataCol="1"/>
  <pivotFields count="90">
    <pivotField showAll="0"/>
    <pivotField axis="axisRow" showAll="0">
      <items count="5">
        <item x="0"/>
        <item x="1"/>
        <item x="2"/>
        <item x="3"/>
        <item t="default"/>
      </items>
    </pivotField>
    <pivotField multipleItemSelectionAllowed="1" showAll="0">
      <items count="7">
        <item x="5"/>
        <item x="0"/>
        <item x="1"/>
        <item x="2"/>
        <item x="3"/>
        <item x="4"/>
        <item t="default"/>
      </items>
    </pivotField>
    <pivotField showAll="0"/>
    <pivotField showAll="0"/>
    <pivotField multipleItemSelectionAllowed="1" showAll="0"/>
    <pivotField showAll="0"/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4" showAll="0"/>
    <pivotField numFmtId="166" showAll="0"/>
    <pivotField showAll="0"/>
    <pivotField numFmtId="166" showAll="0"/>
    <pivotField dataField="1" numFmtId="166"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Plan Final (Kilos)" fld="34" baseField="2" baseItem="2" numFmtId="3"/>
    <dataField name="USD Neto" fld="47" baseField="1" baseItem="3" numFmtId="171"/>
  </dataFields>
  <formats count="8">
    <format dxfId="306">
      <pivotArea field="2" type="button" dataOnly="0" labelOnly="1" outline="0"/>
    </format>
    <format dxfId="30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4">
      <pivotArea field="1" type="button" dataOnly="0" labelOnly="1" outline="0" axis="axisRow" fieldPosition="0"/>
    </format>
    <format dxfId="303">
      <pivotArea dataOnly="0" labelOnly="1" outline="0" axis="axisValues" fieldPosition="0"/>
    </format>
    <format dxfId="302">
      <pivotArea outline="0" fieldPosition="0">
        <references count="1">
          <reference field="4294967294" count="1">
            <x v="1"/>
          </reference>
        </references>
      </pivotArea>
    </format>
    <format dxfId="30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37B7F4-6D15-4671-A07A-493246B85209}" name="TablaDinámica3" cacheId="11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Oficina">
  <location ref="H37:J42" firstHeaderRow="0" firstDataRow="1" firstDataCol="1" rowPageCount="1" colPageCount="1"/>
  <pivotFields count="90">
    <pivotField showAll="0"/>
    <pivotField axis="axisRow" showAll="0">
      <items count="5">
        <item x="0"/>
        <item x="3"/>
        <item x="1"/>
        <item x="2"/>
        <item t="default"/>
      </items>
    </pivotField>
    <pivotField showAll="0">
      <items count="7">
        <item x="5"/>
        <item x="0"/>
        <item x="1"/>
        <item x="2"/>
        <item x="3"/>
        <item x="4"/>
        <item t="default"/>
      </items>
    </pivotField>
    <pivotField showAll="0"/>
    <pivotField showAll="0"/>
    <pivotField multipleItemSelectionAllowed="1" showAll="0"/>
    <pivotField showAll="0"/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axis="axisPage" dataField="1" numFmtId="165" multipleItemSelectionAllowed="1" showAll="0">
      <items count="260">
        <item h="1" x="7"/>
        <item x="87"/>
        <item x="62"/>
        <item m="1" x="190"/>
        <item m="1" x="152"/>
        <item m="1" x="120"/>
        <item x="47"/>
        <item m="1" x="191"/>
        <item x="41"/>
        <item x="43"/>
        <item m="1" x="131"/>
        <item x="3"/>
        <item m="1" x="140"/>
        <item x="38"/>
        <item x="39"/>
        <item x="4"/>
        <item x="107"/>
        <item x="37"/>
        <item x="52"/>
        <item m="1" x="219"/>
        <item m="1" x="110"/>
        <item m="1" x="138"/>
        <item m="1" x="181"/>
        <item m="1" x="239"/>
        <item m="1" x="195"/>
        <item m="1" x="245"/>
        <item m="1" x="145"/>
        <item m="1" x="159"/>
        <item x="67"/>
        <item m="1" x="231"/>
        <item x="75"/>
        <item m="1" x="185"/>
        <item m="1" x="130"/>
        <item x="100"/>
        <item m="1" x="205"/>
        <item m="1" x="240"/>
        <item m="1" x="123"/>
        <item m="1" x="173"/>
        <item m="1" x="156"/>
        <item m="1" x="184"/>
        <item m="1" x="179"/>
        <item m="1" x="114"/>
        <item x="82"/>
        <item m="1" x="243"/>
        <item m="1" x="235"/>
        <item m="1" x="199"/>
        <item m="1" x="241"/>
        <item m="1" x="153"/>
        <item m="1" x="210"/>
        <item m="1" x="151"/>
        <item m="1" x="165"/>
        <item m="1" x="135"/>
        <item m="1" x="204"/>
        <item m="1" x="124"/>
        <item m="1" x="186"/>
        <item m="1" x="174"/>
        <item m="1" x="125"/>
        <item m="1" x="214"/>
        <item m="1" x="233"/>
        <item m="1" x="230"/>
        <item m="1" x="193"/>
        <item m="1" x="149"/>
        <item x="50"/>
        <item m="1" x="196"/>
        <item m="1" x="212"/>
        <item m="1" x="255"/>
        <item m="1" x="139"/>
        <item m="1" x="111"/>
        <item m="1" x="257"/>
        <item m="1" x="246"/>
        <item m="1" x="229"/>
        <item m="1" x="221"/>
        <item m="1" x="172"/>
        <item m="1" x="115"/>
        <item m="1" x="216"/>
        <item m="1" x="136"/>
        <item m="1" x="158"/>
        <item m="1" x="175"/>
        <item m="1" x="206"/>
        <item m="1" x="223"/>
        <item m="1" x="220"/>
        <item m="1" x="143"/>
        <item m="1" x="217"/>
        <item m="1" x="137"/>
        <item m="1" x="200"/>
        <item m="1" x="176"/>
        <item m="1" x="118"/>
        <item m="1" x="250"/>
        <item m="1" x="189"/>
        <item m="1" x="226"/>
        <item m="1" x="242"/>
        <item m="1" x="213"/>
        <item m="1" x="170"/>
        <item m="1" x="154"/>
        <item m="1" x="201"/>
        <item m="1" x="182"/>
        <item m="1" x="197"/>
        <item m="1" x="169"/>
        <item m="1" x="218"/>
        <item m="1" x="155"/>
        <item m="1" x="211"/>
        <item m="1" x="144"/>
        <item m="1" x="113"/>
        <item m="1" x="166"/>
        <item m="1" x="244"/>
        <item x="1"/>
        <item h="1" m="1" x="119"/>
        <item x="5"/>
        <item x="6"/>
        <item x="8"/>
        <item x="9"/>
        <item x="12"/>
        <item x="13"/>
        <item x="14"/>
        <item h="1" m="1" x="203"/>
        <item x="18"/>
        <item h="1" m="1" x="253"/>
        <item h="1" m="1" x="183"/>
        <item x="23"/>
        <item x="24"/>
        <item x="25"/>
        <item x="26"/>
        <item x="27"/>
        <item x="29"/>
        <item x="30"/>
        <item x="31"/>
        <item x="33"/>
        <item h="1" m="1" x="164"/>
        <item h="1" m="1" x="192"/>
        <item h="1" m="1" x="160"/>
        <item h="1" m="1" x="258"/>
        <item x="40"/>
        <item x="42"/>
        <item x="44"/>
        <item x="45"/>
        <item h="1" m="1" x="126"/>
        <item x="48"/>
        <item h="1" m="1" x="232"/>
        <item x="89"/>
        <item x="103"/>
        <item h="1" m="1" x="161"/>
        <item x="92"/>
        <item h="1" m="1" x="202"/>
        <item h="1" m="1" x="198"/>
        <item h="1" m="1" x="180"/>
        <item h="1" m="1" x="256"/>
        <item h="1" m="1" x="187"/>
        <item h="1" m="1" x="162"/>
        <item h="1" m="1" x="252"/>
        <item h="1" m="1" x="168"/>
        <item h="1" m="1" x="222"/>
        <item h="1" m="1" x="237"/>
        <item h="1" m="1" x="163"/>
        <item h="1" m="1" x="234"/>
        <item h="1" m="1" x="238"/>
        <item h="1" m="1" x="178"/>
        <item h="1" m="1" x="251"/>
        <item h="1" m="1" x="117"/>
        <item h="1" m="1" x="188"/>
        <item h="1" m="1" x="208"/>
        <item h="1" m="1" x="248"/>
        <item x="80"/>
        <item x="69"/>
        <item h="1" m="1" x="127"/>
        <item h="1" m="1" x="150"/>
        <item h="1" m="1" x="207"/>
        <item h="1" m="1" x="167"/>
        <item h="1" m="1" x="132"/>
        <item h="1" m="1" x="116"/>
        <item x="84"/>
        <item h="1" m="1" x="133"/>
        <item h="1" m="1" x="249"/>
        <item x="93"/>
        <item h="1" m="1" x="141"/>
        <item h="1" m="1" x="227"/>
        <item h="1" m="1" x="171"/>
        <item h="1" m="1" x="129"/>
        <item h="1" m="1" x="236"/>
        <item x="90"/>
        <item h="1" m="1" x="228"/>
        <item h="1" m="1" x="177"/>
        <item x="95"/>
        <item x="96"/>
        <item x="97"/>
        <item x="98"/>
        <item x="99"/>
        <item x="102"/>
        <item x="63"/>
        <item x="106"/>
        <item h="1" m="1" x="147"/>
        <item h="1" m="1" x="209"/>
        <item h="1" m="1" x="142"/>
        <item h="1" m="1" x="134"/>
        <item x="0"/>
        <item x="10"/>
        <item x="11"/>
        <item x="17"/>
        <item x="22"/>
        <item x="28"/>
        <item x="32"/>
        <item x="105"/>
        <item x="101"/>
        <item x="104"/>
        <item h="1" m="1" x="128"/>
        <item h="1" m="1" x="215"/>
        <item h="1" m="1" x="148"/>
        <item h="1" m="1" x="254"/>
        <item h="1" m="1" x="225"/>
        <item h="1" m="1" x="146"/>
        <item h="1" m="1" x="112"/>
        <item h="1" m="1" x="194"/>
        <item h="1" m="1" x="122"/>
        <item h="1" m="1" x="157"/>
        <item h="1" m="1" x="224"/>
        <item x="2"/>
        <item x="15"/>
        <item x="16"/>
        <item x="19"/>
        <item x="20"/>
        <item x="21"/>
        <item x="34"/>
        <item x="35"/>
        <item x="36"/>
        <item x="46"/>
        <item x="49"/>
        <item h="1" m="1" x="247"/>
        <item h="1" m="1" x="121"/>
        <item x="53"/>
        <item x="54"/>
        <item x="55"/>
        <item x="56"/>
        <item x="57"/>
        <item x="58"/>
        <item x="59"/>
        <item x="60"/>
        <item x="61"/>
        <item x="64"/>
        <item x="65"/>
        <item x="66"/>
        <item x="68"/>
        <item x="70"/>
        <item x="71"/>
        <item x="72"/>
        <item x="73"/>
        <item x="74"/>
        <item x="76"/>
        <item x="77"/>
        <item x="78"/>
        <item x="79"/>
        <item x="81"/>
        <item x="83"/>
        <item x="85"/>
        <item x="86"/>
        <item x="88"/>
        <item x="91"/>
        <item x="108"/>
        <item x="109"/>
        <item x="94"/>
        <item x="51"/>
        <item t="default"/>
      </items>
    </pivotField>
    <pivotField showAll="0"/>
    <pivotField showAll="0"/>
    <pivotField showAll="0"/>
    <pivotField showAll="0"/>
    <pivotField showAll="0"/>
    <pivotField numFmtId="165" showAll="0"/>
    <pivotField numFmtId="165" showAll="0"/>
    <pivotField name="Producción nueva2" dataField="1" numFmtId="165" showAll="0"/>
    <pivotField numFmtId="14" showAll="0"/>
    <pivotField numFmtId="166" showAll="0"/>
    <pivotField showAll="0"/>
    <pivotField numFmtId="166" showAll="0"/>
    <pivotField numFmtId="166"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34" hier="-1"/>
  </pageFields>
  <dataFields count="2">
    <dataField name=" Plan Final (Kilos)" fld="34" baseField="2" baseItem="2" numFmtId="3"/>
    <dataField name=" Producción nueva" fld="42" baseField="0" baseItem="0" numFmtId="165"/>
  </dataFields>
  <formats count="9">
    <format dxfId="315">
      <pivotArea field="2" type="button" dataOnly="0" labelOnly="1" outline="0"/>
    </format>
    <format dxfId="3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9">
      <pivotArea field="2" grandRow="1" outline="0" collapsedLevelsAreSubtotals="1">
        <references count="1">
          <reference field="4294967294" count="1" selected="0">
            <x v="1"/>
          </reference>
        </references>
      </pivotArea>
    </format>
    <format dxfId="308">
      <pivotArea collapsedLevelsAreSubtotals="1" fieldPosition="0">
        <references count="2">
          <reference field="4294967294" count="1" selected="0">
            <x v="1"/>
          </reference>
          <reference field="1" count="4">
            <x v="0"/>
            <x v="1"/>
            <x v="2"/>
            <x v="3"/>
          </reference>
        </references>
      </pivotArea>
    </format>
    <format dxfId="307">
      <pivotArea collapsedLevelsAreSubtotals="1" fieldPosition="0">
        <references count="2">
          <reference field="4294967294" count="1" selected="0">
            <x v="1"/>
          </reference>
          <reference field="1" count="0"/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9E6B3-137D-48C2-A4BF-9629CD5C69D3}" name="TablaDinámica6" cacheId="11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Oficina">
  <location ref="B7:F13" firstHeaderRow="0" firstDataRow="1" firstDataCol="1" rowPageCount="1" colPageCount="1"/>
  <pivotFields count="90">
    <pivotField showAll="0"/>
    <pivotField axis="axisPage" showAll="0">
      <items count="5">
        <item x="0"/>
        <item x="3"/>
        <item x="1"/>
        <item x="2"/>
        <item t="default"/>
      </items>
    </pivotField>
    <pivotField axis="axisRow" showAll="0">
      <items count="7">
        <item x="5"/>
        <item x="0"/>
        <item x="1"/>
        <item x="2"/>
        <item x="3"/>
        <item x="4"/>
        <item t="default"/>
      </items>
    </pivotField>
    <pivotField showAll="0"/>
    <pivotField showAll="0"/>
    <pivotField multipleItemSelectionAllowed="1" showAll="0"/>
    <pivotField showAll="0"/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numFmtId="165" showAll="0"/>
    <pivotField numFmtId="165" showAll="0"/>
    <pivotField dataField="1" showAll="0"/>
    <pivotField numFmtId="165" showAll="0"/>
    <pivotField numFmtId="165" showAll="0"/>
    <pivotField numFmtId="165" showAll="0"/>
    <pivotField dataField="1" numFmtId="165"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4" showAll="0"/>
    <pivotField numFmtId="166" showAll="0"/>
    <pivotField showAll="0"/>
    <pivotField numFmtId="166" showAll="0"/>
    <pivotField dataField="1" numFmtId="166"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item="0" hier="-1"/>
  </pageFields>
  <dataFields count="4">
    <dataField name=" Plan Irrestricto " fld="30" baseField="2" baseItem="3" numFmtId="3"/>
    <dataField name="Ajuste" fld="89" baseField="2" baseItem="2" numFmtId="169"/>
    <dataField name=" Plan Final (Kilos)" fld="34" baseField="2" baseItem="2" numFmtId="3"/>
    <dataField name="FOB USD" fld="47" baseField="2" baseItem="2" numFmtId="171"/>
  </dataFields>
  <formats count="12">
    <format dxfId="32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26">
      <pivotArea collapsedLevelsAreSubtotals="1" fieldPosition="0">
        <references count="2">
          <reference field="4294967294" count="1" selected="0">
            <x v="2"/>
          </reference>
          <reference field="2" count="0"/>
        </references>
      </pivotArea>
    </format>
    <format dxfId="325">
      <pivotArea outline="0" fieldPosition="0">
        <references count="1">
          <reference field="4294967294" count="1">
            <x v="1"/>
          </reference>
        </references>
      </pivotArea>
    </format>
    <format dxfId="3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2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2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21">
      <pivotArea field="2" type="button" dataOnly="0" labelOnly="1" outline="0" axis="axisRow" fieldPosition="0"/>
    </format>
    <format dxfId="32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1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18">
      <pivotArea outline="0" fieldPosition="0">
        <references count="1">
          <reference field="4294967294" count="1">
            <x v="3"/>
          </reference>
        </references>
      </pivotArea>
    </format>
    <format dxfId="317">
      <pivotArea outline="0" fieldPosition="0">
        <references count="1">
          <reference field="4294967294" count="1">
            <x v="0"/>
          </reference>
        </references>
      </pivotArea>
    </format>
    <format dxfId="316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8C3CC3-EDBC-49A7-BF41-8CB75D694379}" name="TablaDinámica6" cacheId="111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gridDropZones="1" multipleFieldFilters="0">
  <location ref="B7:J15" firstHeaderRow="1" firstDataRow="2" firstDataCol="1" rowPageCount="3" colPageCount="1"/>
  <pivotFields count="90">
    <pivotField compact="0" outline="0" showAll="0"/>
    <pivotField axis="axisPage" compact="0" outline="0" multipleItemSelectionAllowed="1" showAll="0">
      <items count="5">
        <item x="0"/>
        <item x="1"/>
        <item x="2"/>
        <item x="3"/>
        <item t="default"/>
      </items>
    </pivotField>
    <pivotField axis="axisRow" compact="0" outline="0" showAll="0">
      <items count="7">
        <item x="5"/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34">
        <item x="17"/>
        <item x="24"/>
        <item x="22"/>
        <item x="27"/>
        <item x="0"/>
        <item x="7"/>
        <item x="4"/>
        <item x="11"/>
        <item x="2"/>
        <item x="1"/>
        <item x="6"/>
        <item x="18"/>
        <item x="15"/>
        <item x="12"/>
        <item x="8"/>
        <item x="26"/>
        <item x="21"/>
        <item x="20"/>
        <item x="23"/>
        <item x="13"/>
        <item x="9"/>
        <item x="3"/>
        <item x="14"/>
        <item x="5"/>
        <item x="25"/>
        <item x="10"/>
        <item x="16"/>
        <item x="19"/>
        <item x="28"/>
        <item x="29"/>
        <item x="30"/>
        <item x="31"/>
        <item x="32"/>
        <item t="default"/>
      </items>
    </pivotField>
    <pivotField axis="axisPage" compact="0" outline="0" showAll="0">
      <items count="75">
        <item x="57"/>
        <item x="60"/>
        <item x="41"/>
        <item x="67"/>
        <item x="56"/>
        <item x="52"/>
        <item x="61"/>
        <item x="49"/>
        <item x="35"/>
        <item x="0"/>
        <item x="7"/>
        <item x="9"/>
        <item x="17"/>
        <item x="23"/>
        <item x="18"/>
        <item x="4"/>
        <item x="14"/>
        <item x="63"/>
        <item x="58"/>
        <item x="19"/>
        <item x="12"/>
        <item x="5"/>
        <item x="16"/>
        <item x="2"/>
        <item x="1"/>
        <item x="28"/>
        <item x="38"/>
        <item x="8"/>
        <item x="37"/>
        <item x="20"/>
        <item x="48"/>
        <item x="42"/>
        <item x="55"/>
        <item x="64"/>
        <item x="54"/>
        <item x="39"/>
        <item x="70"/>
        <item x="36"/>
        <item x="22"/>
        <item x="26"/>
        <item x="10"/>
        <item x="59"/>
        <item x="46"/>
        <item x="44"/>
        <item x="47"/>
        <item x="50"/>
        <item x="27"/>
        <item x="34"/>
        <item x="11"/>
        <item x="13"/>
        <item x="21"/>
        <item x="31"/>
        <item x="3"/>
        <item x="29"/>
        <item x="30"/>
        <item x="62"/>
        <item x="6"/>
        <item x="45"/>
        <item x="53"/>
        <item x="32"/>
        <item x="24"/>
        <item x="51"/>
        <item x="33"/>
        <item x="25"/>
        <item x="15"/>
        <item x="43"/>
        <item x="40"/>
        <item x="69"/>
        <item x="68"/>
        <item x="65"/>
        <item x="66"/>
        <item x="71"/>
        <item x="72"/>
        <item x="73"/>
        <item t="default"/>
      </items>
    </pivotField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dataField="1"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4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outline="0" showAll="0"/>
    <pivotField compact="0" numFmtId="166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dataField="1" compact="0" outline="0" showAll="0"/>
    <pivotField dataField="1" compact="0" numFmtId="165" outline="0" showAll="0"/>
    <pivotField dataField="1"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3">
    <pageField fld="6" hier="-1"/>
    <pageField fld="5" hier="-1"/>
    <pageField fld="1" hier="-1"/>
  </pageFields>
  <dataFields count="8">
    <dataField name=" Plan Irrestricto (DATO)" fld="30" baseField="2" baseItem="4" numFmtId="3"/>
    <dataField name=" Puerto + Programado en planta" fld="31" baseField="0" baseItem="0" numFmtId="165"/>
    <dataField name=" Atraso" fld="32" baseField="0" baseItem="0" numFmtId="165"/>
    <dataField name=" Venta nueva" fld="33" baseField="0" baseItem="0" numFmtId="165"/>
    <dataField name=" Plan Mayo" fld="61" baseField="2" baseItem="0" numFmtId="3"/>
    <dataField name=" Plan Jun" fld="62" baseField="2" baseItem="3" numFmtId="3"/>
    <dataField name=" Plan Julio" fld="63" baseField="2" baseItem="1" numFmtId="3"/>
    <dataField name=" Plan Agosto" fld="64" baseField="2" baseItem="1" numFmtId="3"/>
  </dataFields>
  <formats count="21">
    <format dxfId="27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6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68">
      <pivotArea field="2" type="button" dataOnly="0" labelOnly="1" outline="0" axis="axisRow" fieldPosition="0"/>
    </format>
    <format dxfId="2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6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65">
      <pivotArea outline="0" fieldPosition="0">
        <references count="1">
          <reference field="4294967294" count="1">
            <x v="5"/>
          </reference>
        </references>
      </pivotArea>
    </format>
    <format dxfId="26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63">
      <pivotArea outline="0" fieldPosition="0">
        <references count="1">
          <reference field="4294967294" count="1" selected="0">
            <x v="5"/>
          </reference>
        </references>
      </pivotArea>
    </format>
    <format dxfId="262">
      <pivotArea outline="0" fieldPosition="0">
        <references count="2">
          <reference field="4294967294" count="1" selected="0">
            <x v="4"/>
          </reference>
          <reference field="2" count="1" selected="0">
            <x v="0"/>
          </reference>
        </references>
      </pivotArea>
    </format>
    <format dxfId="261">
      <pivotArea outline="0" fieldPosition="0">
        <references count="1">
          <reference field="4294967294" count="1">
            <x v="6"/>
          </reference>
        </references>
      </pivotArea>
    </format>
    <format dxfId="260">
      <pivotArea outline="0" fieldPosition="0">
        <references count="1">
          <reference field="4294967294" count="1">
            <x v="7"/>
          </reference>
        </references>
      </pivotArea>
    </format>
    <format dxfId="259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  <format dxfId="258">
      <pivotArea outline="0" fieldPosition="0">
        <references count="2">
          <reference field="4294967294" count="3" selected="0">
            <x v="5"/>
            <x v="6"/>
            <x v="7"/>
          </reference>
          <reference field="2" count="1" selected="0">
            <x v="0"/>
          </reference>
        </references>
      </pivotArea>
    </format>
    <format dxfId="257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256">
      <pivotArea outline="0" fieldPosition="0">
        <references count="2">
          <reference field="4294967294" count="3" selected="0">
            <x v="5"/>
            <x v="6"/>
            <x v="7"/>
          </reference>
          <reference field="2" count="5" selected="0">
            <x v="1"/>
            <x v="2"/>
            <x v="3"/>
            <x v="4"/>
            <x v="5"/>
          </reference>
        </references>
      </pivotArea>
    </format>
    <format dxfId="255">
      <pivotArea field="2" grandRow="1" outline="0" axis="axisRow" fieldPosition="0">
        <references count="1">
          <reference field="4294967294" count="3" selected="0">
            <x v="5"/>
            <x v="6"/>
            <x v="7"/>
          </reference>
        </references>
      </pivotArea>
    </format>
    <format dxfId="254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53">
      <pivotArea outline="0" fieldPosition="0">
        <references count="1">
          <reference field="4294967294" count="1">
            <x v="0"/>
          </reference>
        </references>
      </pivotArea>
    </format>
    <format dxfId="2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50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3970E-B5A3-4104-B01D-10C9FEDCEA90}" name="TablaDinámica5" cacheId="111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gridDropZones="1" multipleFieldFilters="0">
  <location ref="B6:E22" firstHeaderRow="1" firstDataRow="2" firstDataCol="1" rowPageCount="3" colPageCount="1"/>
  <pivotFields count="90">
    <pivotField compact="0" outline="0" showAll="0"/>
    <pivotField axis="axisPage" compact="0" outline="0" multipleItemSelectionAllowed="1" showAll="0">
      <items count="5">
        <item x="0"/>
        <item x="1"/>
        <item x="2"/>
        <item x="3"/>
        <item t="default"/>
      </items>
    </pivotField>
    <pivotField compact="0" outline="0" showAll="0">
      <items count="7">
        <item x="5"/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34">
        <item x="17"/>
        <item x="24"/>
        <item x="22"/>
        <item x="27"/>
        <item x="0"/>
        <item x="7"/>
        <item x="4"/>
        <item x="11"/>
        <item x="2"/>
        <item x="1"/>
        <item x="6"/>
        <item x="18"/>
        <item x="15"/>
        <item x="12"/>
        <item x="8"/>
        <item x="26"/>
        <item x="21"/>
        <item x="20"/>
        <item x="23"/>
        <item x="13"/>
        <item x="9"/>
        <item x="3"/>
        <item x="14"/>
        <item x="5"/>
        <item x="25"/>
        <item x="10"/>
        <item x="16"/>
        <item x="19"/>
        <item x="28"/>
        <item x="29"/>
        <item x="30"/>
        <item x="31"/>
        <item x="32"/>
        <item t="default"/>
      </items>
    </pivotField>
    <pivotField axis="axisPage" compact="0" outline="0" showAll="0">
      <items count="75">
        <item x="57"/>
        <item x="60"/>
        <item x="41"/>
        <item x="67"/>
        <item x="56"/>
        <item x="52"/>
        <item x="61"/>
        <item x="49"/>
        <item x="35"/>
        <item x="0"/>
        <item x="7"/>
        <item x="9"/>
        <item x="17"/>
        <item x="23"/>
        <item x="18"/>
        <item x="4"/>
        <item x="14"/>
        <item x="63"/>
        <item x="58"/>
        <item x="19"/>
        <item x="12"/>
        <item x="5"/>
        <item x="16"/>
        <item x="2"/>
        <item x="1"/>
        <item x="28"/>
        <item x="38"/>
        <item x="8"/>
        <item x="37"/>
        <item x="20"/>
        <item x="48"/>
        <item x="42"/>
        <item x="55"/>
        <item x="64"/>
        <item x="54"/>
        <item x="39"/>
        <item x="70"/>
        <item x="36"/>
        <item x="22"/>
        <item x="26"/>
        <item x="10"/>
        <item x="59"/>
        <item x="46"/>
        <item x="44"/>
        <item x="47"/>
        <item x="50"/>
        <item x="27"/>
        <item x="34"/>
        <item x="11"/>
        <item x="13"/>
        <item x="21"/>
        <item x="31"/>
        <item x="3"/>
        <item x="29"/>
        <item x="30"/>
        <item x="62"/>
        <item x="6"/>
        <item x="45"/>
        <item x="53"/>
        <item x="32"/>
        <item x="24"/>
        <item x="51"/>
        <item x="33"/>
        <item x="25"/>
        <item x="15"/>
        <item x="43"/>
        <item x="40"/>
        <item x="69"/>
        <item x="68"/>
        <item x="65"/>
        <item x="66"/>
        <item x="71"/>
        <item x="72"/>
        <item x="73"/>
        <item t="default"/>
      </items>
    </pivotField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dataField="1" compact="0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outline="0" showAll="0"/>
    <pivotField axis="axisRow" compact="0" outline="0" showAll="0">
      <items count="15">
        <item x="0"/>
        <item x="6"/>
        <item x="10"/>
        <item x="3"/>
        <item x="5"/>
        <item x="12"/>
        <item x="11"/>
        <item x="13"/>
        <item x="1"/>
        <item x="7"/>
        <item x="4"/>
        <item x="9"/>
        <item x="8"/>
        <item x="2"/>
        <item t="default"/>
      </items>
    </pivotField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4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outline="0" showAll="0"/>
    <pivotField compact="0" numFmtId="166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</pivotFields>
  <rowFields count="1">
    <field x="3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5" hier="-1"/>
    <pageField fld="1" hier="-1"/>
  </pageFields>
  <dataFields count="3">
    <dataField name=" Plan Irrestricto" fld="30" baseField="2" baseItem="4" numFmtId="3"/>
    <dataField name=" Ajuste Total" fld="89" baseField="2" baseItem="2" numFmtId="3"/>
    <dataField name=" Plan Ajustado" fld="34" baseField="2" baseItem="1" numFmtId="3"/>
  </dataFields>
  <formats count="6">
    <format dxfId="249">
      <pivotArea field="2" type="button" dataOnly="0" labelOnly="1" outline="0"/>
    </format>
    <format dxfId="248">
      <pivotArea outline="0" fieldPosition="0">
        <references count="1">
          <reference field="4294967294" count="1">
            <x v="0"/>
          </reference>
        </references>
      </pivotArea>
    </format>
    <format dxfId="247">
      <pivotArea outline="0" fieldPosition="0">
        <references count="1">
          <reference field="4294967294" count="1">
            <x v="2"/>
          </reference>
        </references>
      </pivotArea>
    </format>
    <format dxfId="246">
      <pivotArea outline="0" fieldPosition="0">
        <references count="1">
          <reference field="4294967294" count="1">
            <x v="1"/>
          </reference>
        </references>
      </pivotArea>
    </format>
    <format dxfId="245">
      <pivotArea outline="0" fieldPosition="0">
        <references count="1">
          <reference field="4294967294" count="1" selected="0">
            <x v="0"/>
          </reference>
        </references>
      </pivotArea>
    </format>
    <format dxfId="24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03884-0891-4BFF-9CA0-DA70C662E8CE}" name="TablaDinámica6" cacheId="10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I10" firstHeaderRow="1" firstDataRow="2" firstDataCol="1" rowPageCount="1" colPageCount="1"/>
  <pivotFields count="80">
    <pivotField compact="0" outline="0" showAll="0"/>
    <pivotField axis="axisPage" compact="0" outline="0" showAll="0">
      <items count="5">
        <item x="0"/>
        <item x="3"/>
        <item x="1"/>
        <item x="2"/>
        <item t="default"/>
      </items>
    </pivotField>
    <pivotField axis="axisRow" compact="0" outline="0" showAll="0">
      <items count="7">
        <item x="5"/>
        <item x="0"/>
        <item x="1"/>
        <item x="2"/>
        <item h="1"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numFmtId="165" outline="0" showAll="0"/>
    <pivotField compact="0" numFmtId="165" outline="0" showAll="0"/>
    <pivotField compact="0" numFmtId="9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4" outline="0" showAll="0"/>
    <pivotField compact="0" numFmtId="166" outline="0" showAll="0"/>
    <pivotField compact="0" numFmtId="166" outline="0" showAll="0"/>
    <pivotField compact="0" numFmtId="166" outline="0" showAll="0"/>
    <pivotField compact="0" numFmtId="165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</pivotFields>
  <rowFields count="1">
    <field x="2"/>
  </rowFields>
  <rowItems count="6">
    <i>
      <x/>
    </i>
    <i>
      <x v="1"/>
    </i>
    <i>
      <x v="2"/>
    </i>
    <i>
      <x v="3"/>
    </i>
    <i>
      <x v="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1" hier="-1"/>
  </pageFields>
  <dataFields count="8">
    <dataField name="Suma de  RV Producción mes n+1" fld="7" baseField="2" baseItem="2" numFmtId="3"/>
    <dataField name=" Producción disponible" fld="10" baseField="2" baseItem="2" numFmtId="3"/>
    <dataField name="Suma de Stock al día" fld="11" baseField="2" baseItem="4" numFmtId="3"/>
    <dataField name="Suma de Total disponible" fld="14" baseField="2" baseItem="3" numFmtId="3"/>
    <dataField name=" Puerto " fld="31" baseField="2" baseItem="2" numFmtId="3"/>
    <dataField name="Suma de Plan Irrestricto" fld="30" baseField="0" baseItem="0"/>
    <dataField name=" Plan Ajustado" fld="34" baseField="2" baseItem="1" numFmtId="3"/>
    <dataField name="Suma de Saldo mes n-1" fld="69" baseField="2" baseItem="2" numFmtId="3"/>
  </dataFields>
  <formats count="2">
    <format dxfId="242">
      <pivotArea collapsedLevelsAreSubtotals="1" fieldPosition="0">
        <references count="2">
          <reference field="4294967294" count="1" selected="0">
            <x v="3"/>
          </reference>
          <reference field="2" count="4">
            <x v="1"/>
            <x v="2"/>
            <x v="3"/>
            <x v="5"/>
          </reference>
        </references>
      </pivotArea>
    </format>
    <format dxfId="241">
      <pivotArea outline="0" fieldPosition="0">
        <references count="2">
          <reference field="4294967294" count="1" selected="0">
            <x v="3"/>
          </reference>
          <reference field="2" count="5" selected="0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EA760-BD8B-496F-91D3-6D2088DA56B8}" name="TablaDinámica9" cacheId="10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20:B27" firstHeaderRow="2" firstDataRow="2" firstDataCol="1" rowPageCount="1" colPageCount="1"/>
  <pivotFields count="80">
    <pivotField compact="0" outline="0" showAll="0"/>
    <pivotField axis="axisPage" compact="0" outline="0" showAll="0">
      <items count="5">
        <item x="0"/>
        <item x="3"/>
        <item x="1"/>
        <item x="2"/>
        <item t="default"/>
      </items>
    </pivotField>
    <pivotField axis="axisRow" compact="0" outline="0" showAll="0">
      <items count="7">
        <item x="5"/>
        <item x="0"/>
        <item x="1"/>
        <item x="2"/>
        <item h="1"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4" outline="0" showAll="0"/>
    <pivotField compact="0" numFmtId="166" outline="0" showAll="0"/>
    <pivotField compact="0" numFmtId="166" outline="0" showAll="0"/>
    <pivotField compact="0" numFmtId="166" outline="0" showAll="0"/>
    <pivotField compact="0" numFmtId="165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</pivotFields>
  <rowFields count="1">
    <field x="2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1">
    <pageField fld="1" hier="-1"/>
  </pageFields>
  <dataFields count="1">
    <dataField name="Suma de Plan Irrestricto Inicial" fld="29" baseField="2" baseItem="2" numFmtId="3"/>
  </dataFields>
  <formats count="1">
    <format dxfId="24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C8745-5BF4-4959-BBB2-62DACD4BD405}" name="TablaDinámica6" cacheId="11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Oficina">
  <location ref="G7:I22" firstHeaderRow="0" firstDataRow="1" firstDataCol="1" rowPageCount="2" colPageCount="1"/>
  <pivotFields count="90">
    <pivotField showAll="0"/>
    <pivotField axis="axisPage" showAll="0">
      <items count="5">
        <item x="0"/>
        <item x="3"/>
        <item x="1"/>
        <item x="2"/>
        <item t="default"/>
      </items>
    </pivotField>
    <pivotField axis="axisPage" showAll="0">
      <items count="7">
        <item x="5"/>
        <item x="0"/>
        <item x="1"/>
        <item x="2"/>
        <item x="3"/>
        <item x="4"/>
        <item t="default"/>
      </items>
    </pivotField>
    <pivotField showAll="0"/>
    <pivotField showAll="0"/>
    <pivotField multipleItemSelectionAllowed="1" showAll="0"/>
    <pivotField showAll="0"/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showAll="0"/>
    <pivotField showAll="0"/>
    <pivotField showAll="0"/>
    <pivotField axis="axisRow" showAll="0" sortType="descending">
      <items count="19">
        <item m="1" x="17"/>
        <item x="0"/>
        <item x="1"/>
        <item x="2"/>
        <item x="4"/>
        <item x="5"/>
        <item x="6"/>
        <item x="7"/>
        <item x="8"/>
        <item x="9"/>
        <item x="10"/>
        <item x="14"/>
        <item x="15"/>
        <item x="16"/>
        <item x="11"/>
        <item x="3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65" showAll="0"/>
    <pivotField numFmtId="165" showAll="0"/>
    <pivotField numFmtId="165" showAll="0"/>
    <pivotField numFmtId="14" showAll="0"/>
    <pivotField numFmtId="166" showAll="0"/>
    <pivotField showAll="0"/>
    <pivotField numFmtId="166" showAll="0"/>
    <pivotField numFmtId="166"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38"/>
  </rowFields>
  <rowItems count="15">
    <i>
      <x v="14"/>
    </i>
    <i>
      <x v="2"/>
    </i>
    <i>
      <x v="17"/>
    </i>
    <i>
      <x v="4"/>
    </i>
    <i>
      <x v="10"/>
    </i>
    <i>
      <x v="3"/>
    </i>
    <i>
      <x v="8"/>
    </i>
    <i>
      <x v="9"/>
    </i>
    <i>
      <x v="7"/>
    </i>
    <i>
      <x v="5"/>
    </i>
    <i>
      <x v="6"/>
    </i>
    <i>
      <x v="16"/>
    </i>
    <i>
      <x v="1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2">
    <pageField fld="1" item="0" hier="-1"/>
    <pageField fld="2" hier="-1"/>
  </pageFields>
  <dataFields count="2">
    <dataField name="Ajuste" fld="89" baseField="2" baseItem="2" numFmtId="169"/>
    <dataField name=" Plan Final (Kilos)" fld="34" baseField="2" baseItem="2" numFmtId="3"/>
  </dataFields>
  <formats count="8">
    <format dxfId="14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7">
      <pivotArea outline="0" fieldPosition="0">
        <references count="1">
          <reference field="4294967294" count="1">
            <x v="0"/>
          </reference>
        </references>
      </pivotArea>
    </format>
    <format dxfId="1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3">
      <pivotArea field="2" type="button" dataOnly="0" labelOnly="1" outline="0" axis="axisPage" fieldPosition="1"/>
    </format>
    <format dxfId="14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9A354-4435-4EB2-AAAA-222D084BF18F}" name="TablaDinámica5" cacheId="111" applyNumberFormats="0" applyBorderFormats="0" applyFontFormats="0" applyPatternFormats="0" applyAlignmentFormats="0" applyWidthHeightFormats="1" dataCaption="Valores" updatedVersion="8" minRefreshableVersion="3" rowGrandTotals="0" itemPrintTitles="1" createdVersion="7" indent="0" outline="1" outlineData="1" multipleFieldFilters="0" rowHeaderCaption="Oficina">
  <location ref="B7:D11" firstHeaderRow="0" firstDataRow="1" firstDataCol="1" rowPageCount="1" colPageCount="1"/>
  <pivotFields count="90">
    <pivotField showAll="0"/>
    <pivotField axis="axisPage" showAll="0">
      <items count="5">
        <item x="0"/>
        <item x="3"/>
        <item x="1"/>
        <item x="2"/>
        <item t="default"/>
      </items>
    </pivotField>
    <pivotField axis="axisRow" showAll="0">
      <items count="7">
        <item x="5"/>
        <item x="0"/>
        <item x="1"/>
        <item x="2"/>
        <item h="1" x="3"/>
        <item x="4"/>
        <item t="default"/>
      </items>
    </pivotField>
    <pivotField showAll="0"/>
    <pivotField showAll="0"/>
    <pivotField multipleItemSelectionAllowed="1" showAll="0"/>
    <pivotField showAll="0"/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4" showAll="0"/>
    <pivotField numFmtId="166" showAll="0"/>
    <pivotField showAll="0"/>
    <pivotField numFmtId="166" showAll="0"/>
    <pivotField numFmtId="166"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2"/>
  </rowFields>
  <rowItems count="4">
    <i>
      <x v="1"/>
    </i>
    <i>
      <x v="2"/>
    </i>
    <i>
      <x v="3"/>
    </i>
    <i>
      <x v="5"/>
    </i>
  </rowItems>
  <colFields count="1">
    <field x="-2"/>
  </colFields>
  <colItems count="2">
    <i>
      <x/>
    </i>
    <i i="1">
      <x v="1"/>
    </i>
  </colItems>
  <pageFields count="1">
    <pageField fld="1" item="0" hier="-1"/>
  </pageFields>
  <dataFields count="2">
    <dataField name="Ajuste" fld="89" baseField="2" baseItem="2" numFmtId="169"/>
    <dataField name=" Plan Final (Kilos)" fld="34" baseField="2" baseItem="2" numFmtId="3"/>
  </dataFields>
  <formats count="8">
    <format dxfId="15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5">
      <pivotArea collapsedLevelsAreSubtotals="1" fieldPosition="0">
        <references count="2">
          <reference field="4294967294" count="1" selected="0">
            <x v="1"/>
          </reference>
          <reference field="2" count="0"/>
        </references>
      </pivotArea>
    </format>
    <format dxfId="154">
      <pivotArea outline="0" fieldPosition="0">
        <references count="1">
          <reference field="4294967294" count="1">
            <x v="0"/>
          </reference>
        </references>
      </pivotArea>
    </format>
    <format dxfId="1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0">
      <pivotArea field="2" type="button" dataOnly="0" labelOnly="1" outline="0" axis="axisRow" fieldPosition="0"/>
    </format>
    <format dxfId="1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FB272-14E5-4AA9-A4EA-3ECF3E697379}" name="TablaDinámica3" cacheId="10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10" firstHeaderRow="0" firstDataRow="1" firstDataCol="1"/>
  <pivotFields count="11">
    <pivotField showAll="0"/>
    <pivotField axis="axisRow" showAll="0">
      <items count="8">
        <item x="5"/>
        <item x="0"/>
        <item x="1"/>
        <item x="2"/>
        <item x="3"/>
        <item x="4"/>
        <item h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Kilos " fld="7" baseField="1" baseItem="3" numFmtId="3"/>
    <dataField name="Suma de precio" fld="10" baseField="1" baseItem="3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6AFE7-B510-4E00-A914-BE06B8059663}" name="TablaDinámica4" cacheId="10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H9" firstHeaderRow="0" firstDataRow="1" firstDataCol="1" rowPageCount="1" colPageCount="1"/>
  <pivotFields count="11">
    <pivotField showAll="0"/>
    <pivotField axis="axisPage" showAll="0">
      <items count="8">
        <item x="5"/>
        <item x="0"/>
        <item x="1"/>
        <item x="2"/>
        <item x="3"/>
        <item x="4"/>
        <item x="6"/>
        <item t="default"/>
      </items>
    </pivotField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dragToRow="0" dragToCol="0" dragToPage="0" showAll="0" defaultSubtota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Kilos " fld="7" baseField="1" baseItem="3" numFmtId="3"/>
    <dataField name="Suma de precio" fld="10" baseField="1" baseItem="3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9E1D5-29B4-4C3C-AAA6-2032569B7ECF}" name="TablaDinámica9" cacheId="110" applyNumberFormats="0" applyBorderFormats="0" applyFontFormats="0" applyPatternFormats="0" applyAlignmentFormats="0" applyWidthHeightFormats="1" dataCaption="Valores" errorCaption="N/A" showError="1" updatedVersion="8" minRefreshableVersion="3" itemPrintTitles="1" createdVersion="7" indent="0" outline="1" outlineData="1" multipleFieldFilters="0" chartFormat="4">
  <location ref="B5:F12" firstHeaderRow="0" firstDataRow="1" firstDataCol="1" rowPageCount="2" colPageCount="1"/>
  <pivotFields count="76">
    <pivotField showAll="0"/>
    <pivotField axis="axisPage" showAll="0">
      <items count="6">
        <item x="0"/>
        <item x="1"/>
        <item x="2"/>
        <item x="3"/>
        <item m="1" x="4"/>
        <item t="default"/>
      </items>
    </pivotField>
    <pivotField axis="axisRow" showAll="0">
      <items count="8">
        <item m="1" x="6"/>
        <item x="5"/>
        <item x="0"/>
        <item x="1"/>
        <item x="2"/>
        <item x="3"/>
        <item x="4"/>
        <item t="default"/>
      </items>
    </pivotField>
    <pivotField showAll="0"/>
    <pivotField showAll="0"/>
    <pivotField multipleItemSelectionAllowed="1" showAll="0"/>
    <pivotField axis="axisPage" multipleItemSelectionAllowed="1" showAll="0">
      <items count="76">
        <item x="57"/>
        <item x="60"/>
        <item m="1" x="72"/>
        <item x="41"/>
        <item x="67"/>
        <item x="56"/>
        <item x="52"/>
        <item x="61"/>
        <item x="49"/>
        <item x="35"/>
        <item x="0"/>
        <item x="7"/>
        <item x="9"/>
        <item x="17"/>
        <item x="23"/>
        <item x="18"/>
        <item x="4"/>
        <item x="14"/>
        <item x="63"/>
        <item x="58"/>
        <item x="19"/>
        <item x="12"/>
        <item x="5"/>
        <item x="16"/>
        <item x="2"/>
        <item x="1"/>
        <item x="28"/>
        <item x="38"/>
        <item x="8"/>
        <item x="37"/>
        <item x="20"/>
        <item m="1" x="73"/>
        <item x="48"/>
        <item x="42"/>
        <item x="55"/>
        <item x="64"/>
        <item x="54"/>
        <item x="39"/>
        <item x="70"/>
        <item x="36"/>
        <item x="22"/>
        <item x="26"/>
        <item x="10"/>
        <item x="59"/>
        <item x="46"/>
        <item x="44"/>
        <item x="47"/>
        <item x="50"/>
        <item x="27"/>
        <item x="34"/>
        <item x="11"/>
        <item x="13"/>
        <item x="21"/>
        <item x="31"/>
        <item x="3"/>
        <item x="29"/>
        <item x="30"/>
        <item x="62"/>
        <item x="6"/>
        <item x="45"/>
        <item x="53"/>
        <item x="32"/>
        <item x="24"/>
        <item x="51"/>
        <item x="33"/>
        <item x="25"/>
        <item x="15"/>
        <item x="43"/>
        <item x="40"/>
        <item x="69"/>
        <item x="68"/>
        <item x="65"/>
        <item x="66"/>
        <item m="1" x="74"/>
        <item x="71"/>
        <item t="default"/>
      </items>
    </pivotField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4" showAll="0"/>
    <pivotField numFmtId="166" showAll="0"/>
    <pivotField showAll="0"/>
    <pivotField numFmtId="166" showAll="0"/>
    <pivotField numFmtId="166" showAll="0"/>
    <pivotField showAll="0"/>
    <pivotField showAll="0"/>
    <pivotField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hier="-1"/>
    <pageField fld="6" hier="-1"/>
  </pageFields>
  <dataFields count="4">
    <dataField name=" Precio Abril " fld="74" baseField="0" baseItem="0" numFmtId="4"/>
    <dataField name=" Precio Mayo" fld="73" baseField="0" baseItem="0" numFmtId="4"/>
    <dataField name=" Precio Junio" fld="72" baseField="0" baseItem="0" numFmtId="4"/>
    <dataField name=" Precio Plan" fld="68" baseField="2" baseItem="4" numFmtId="4"/>
  </dataFields>
  <formats count="10">
    <format dxfId="64">
      <pivotArea outline="0" fieldPosition="0">
        <references count="1">
          <reference field="4294967294" count="1">
            <x v="3"/>
          </reference>
        </references>
      </pivotArea>
    </format>
    <format dxfId="63">
      <pivotArea field="2" grandRow="1" outline="0" collapsedLevelsAreSubtotals="1" axis="axisRow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62">
      <pivotArea collapsedLevelsAreSubtotals="1" fieldPosition="0">
        <references count="2">
          <reference field="4294967294" count="1" selected="0">
            <x v="2"/>
          </reference>
          <reference field="2" count="1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0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59">
      <pivotArea field="2" type="button" dataOnly="0" labelOnly="1" outline="0" axis="axisRow" fieldPosition="0"/>
    </format>
    <format dxfId="5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7">
      <pivotArea field="2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5">
      <pivotArea collapsedLevelsAreSubtotals="1" fieldPosition="0">
        <references count="2">
          <reference field="4294967294" count="1" selected="0">
            <x v="2"/>
          </reference>
          <reference field="2" count="1">
            <x v="4"/>
          </reference>
        </references>
      </pivotArea>
    </format>
  </formats>
  <chartFormats count="6">
    <chartFormat chart="3" format="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277CD-9559-4B36-88FA-943618A54F1B}" name="TablaDinámica12" cacheId="110" applyNumberFormats="0" applyBorderFormats="0" applyFontFormats="0" applyPatternFormats="0" applyAlignmentFormats="0" applyWidthHeightFormats="1" dataCaption="Valores" errorCaption="N/A" showError="1" updatedVersion="8" minRefreshableVersion="3" itemPrintTitles="1" createdVersion="7" indent="0" outline="1" outlineData="1" multipleFieldFilters="0" chartFormat="4">
  <location ref="I5:M11" firstHeaderRow="0" firstDataRow="1" firstDataCol="1" rowPageCount="2" colPageCount="1"/>
  <pivotFields count="76">
    <pivotField showAll="0"/>
    <pivotField axis="axisPage" showAll="0">
      <items count="6">
        <item x="0"/>
        <item x="1"/>
        <item x="2"/>
        <item x="3"/>
        <item m="1" x="4"/>
        <item t="default"/>
      </items>
    </pivotField>
    <pivotField axis="axisRow" showAll="0">
      <items count="8">
        <item m="1" x="6"/>
        <item x="5"/>
        <item x="0"/>
        <item x="1"/>
        <item x="2"/>
        <item x="3"/>
        <item x="4"/>
        <item t="default"/>
      </items>
    </pivotField>
    <pivotField showAll="0"/>
    <pivotField showAll="0"/>
    <pivotField multipleItemSelectionAllowed="1" showAll="0"/>
    <pivotField axis="axisPage" showAll="0">
      <items count="76">
        <item x="57"/>
        <item x="60"/>
        <item m="1" x="72"/>
        <item x="41"/>
        <item x="67"/>
        <item x="56"/>
        <item x="52"/>
        <item x="61"/>
        <item x="49"/>
        <item x="35"/>
        <item x="0"/>
        <item x="7"/>
        <item x="9"/>
        <item x="17"/>
        <item x="23"/>
        <item x="18"/>
        <item x="4"/>
        <item x="14"/>
        <item x="63"/>
        <item x="58"/>
        <item x="19"/>
        <item x="12"/>
        <item x="5"/>
        <item x="16"/>
        <item x="2"/>
        <item x="1"/>
        <item x="28"/>
        <item x="38"/>
        <item x="8"/>
        <item x="37"/>
        <item x="20"/>
        <item m="1" x="73"/>
        <item x="48"/>
        <item x="42"/>
        <item x="55"/>
        <item x="64"/>
        <item x="54"/>
        <item x="39"/>
        <item x="70"/>
        <item x="36"/>
        <item x="22"/>
        <item x="26"/>
        <item x="10"/>
        <item x="59"/>
        <item x="46"/>
        <item x="44"/>
        <item x="47"/>
        <item x="50"/>
        <item x="27"/>
        <item x="34"/>
        <item x="11"/>
        <item x="13"/>
        <item x="21"/>
        <item x="31"/>
        <item x="3"/>
        <item x="29"/>
        <item x="30"/>
        <item x="62"/>
        <item x="6"/>
        <item x="45"/>
        <item x="53"/>
        <item x="32"/>
        <item x="24"/>
        <item x="51"/>
        <item x="33"/>
        <item x="25"/>
        <item x="15"/>
        <item x="43"/>
        <item x="40"/>
        <item x="69"/>
        <item x="68"/>
        <item x="65"/>
        <item x="66"/>
        <item m="1" x="74"/>
        <item x="71"/>
        <item t="default"/>
      </items>
    </pivotField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65"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4" showAll="0"/>
    <pivotField numFmtId="166" showAll="0"/>
    <pivotField showAll="0"/>
    <pivotField numFmtId="166" showAll="0"/>
    <pivotField numFmtId="166" showAll="0"/>
    <pivotField showAll="0"/>
    <pivotField showAll="0"/>
    <pivotField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dataField="1" numFmtId="165" showAll="0"/>
    <pivotField dataField="1" numFmtId="165" showAll="0"/>
    <pivotField dataField="1" showAll="0"/>
    <pivotField numFmtId="164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6"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hier="-1"/>
    <pageField fld="6" item="65" hier="-1"/>
  </pageFields>
  <dataFields count="4">
    <dataField name=" Plan Mayo" fld="58" baseField="0" baseItem="0"/>
    <dataField name=" Plan Abril" fld="57" baseField="0" baseItem="0"/>
    <dataField name=" Plan Jun" fld="59" baseField="0" baseItem="0"/>
    <dataField name=" Plan Ajustado" fld="34" baseField="0" baseItem="0"/>
  </dataFields>
  <formats count="4">
    <format dxfId="68">
      <pivotArea field="2" type="button" dataOnly="0" labelOnly="1" outline="0" axis="axisRow" fieldPosition="0"/>
    </format>
    <format dxfId="67">
      <pivotArea outline="0" collapsedLevelsAreSubtotals="1" fieldPosition="0"/>
    </format>
    <format dxfId="6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5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68716-1CCD-4342-9F88-AC66D2AAA423}" name="TablaDinámica11" cacheId="110" applyNumberFormats="0" applyBorderFormats="0" applyFontFormats="0" applyPatternFormats="0" applyAlignmentFormats="0" applyWidthHeightFormats="1" dataCaption="Valores" errorCaption="N/A" showError="1" updatedVersion="8" minRefreshableVersion="3" itemPrintTitles="1" createdVersion="7" indent="0" outline="1" outlineData="1" multipleFieldFilters="0" chartFormat="4">
  <location ref="P5:T11" firstHeaderRow="0" firstDataRow="1" firstDataCol="1" rowPageCount="2" colPageCount="1"/>
  <pivotFields count="76">
    <pivotField showAll="0"/>
    <pivotField axis="axisPage" showAll="0">
      <items count="6">
        <item x="0"/>
        <item x="1"/>
        <item x="2"/>
        <item x="3"/>
        <item m="1" x="4"/>
        <item t="default"/>
      </items>
    </pivotField>
    <pivotField axis="axisRow" showAll="0">
      <items count="8">
        <item m="1" x="6"/>
        <item x="5"/>
        <item x="0"/>
        <item x="1"/>
        <item x="2"/>
        <item x="3"/>
        <item x="4"/>
        <item t="default"/>
      </items>
    </pivotField>
    <pivotField showAll="0"/>
    <pivotField showAll="0"/>
    <pivotField multipleItemSelectionAllowed="1" showAll="0"/>
    <pivotField axis="axisPage" showAll="0">
      <items count="76">
        <item x="57"/>
        <item x="60"/>
        <item m="1" x="72"/>
        <item x="41"/>
        <item x="67"/>
        <item x="56"/>
        <item x="52"/>
        <item x="61"/>
        <item x="49"/>
        <item x="35"/>
        <item x="0"/>
        <item x="7"/>
        <item x="9"/>
        <item x="17"/>
        <item x="23"/>
        <item x="18"/>
        <item x="4"/>
        <item x="14"/>
        <item x="63"/>
        <item x="58"/>
        <item x="19"/>
        <item x="12"/>
        <item x="5"/>
        <item x="16"/>
        <item x="2"/>
        <item x="1"/>
        <item x="28"/>
        <item x="38"/>
        <item x="8"/>
        <item x="37"/>
        <item x="20"/>
        <item m="1" x="73"/>
        <item x="48"/>
        <item x="42"/>
        <item x="55"/>
        <item x="64"/>
        <item x="54"/>
        <item x="39"/>
        <item x="70"/>
        <item x="36"/>
        <item x="22"/>
        <item x="26"/>
        <item x="10"/>
        <item x="59"/>
        <item x="46"/>
        <item x="44"/>
        <item x="47"/>
        <item x="50"/>
        <item x="27"/>
        <item x="34"/>
        <item x="11"/>
        <item x="13"/>
        <item x="21"/>
        <item x="31"/>
        <item x="3"/>
        <item x="29"/>
        <item x="30"/>
        <item x="62"/>
        <item x="6"/>
        <item x="45"/>
        <item x="53"/>
        <item x="32"/>
        <item x="24"/>
        <item x="51"/>
        <item x="33"/>
        <item x="25"/>
        <item x="15"/>
        <item x="43"/>
        <item x="40"/>
        <item x="69"/>
        <item x="68"/>
        <item x="65"/>
        <item x="66"/>
        <item m="1" x="74"/>
        <item x="71"/>
        <item t="default"/>
      </items>
    </pivotField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4" showAll="0"/>
    <pivotField numFmtId="166" showAll="0"/>
    <pivotField showAll="0"/>
    <pivotField numFmtId="166" showAll="0"/>
    <pivotField dataField="1" numFmtId="166" showAll="0"/>
    <pivotField showAll="0"/>
    <pivotField showAll="0"/>
    <pivotField showAll="0"/>
    <pivotField numFmtId="166"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4" showAll="0"/>
    <pivotField showAll="0"/>
    <pivotField showAll="0"/>
    <pivotField dataField="1" showAll="0"/>
    <pivotField dataField="1"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6"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" item="65" hier="-1"/>
    <pageField fld="1" hier="-1"/>
  </pageFields>
  <dataFields count="4">
    <dataField name=" Neto Abr" fld="63" baseField="0" baseItem="0"/>
    <dataField name=" Neto May" fld="64" baseField="0" baseItem="0"/>
    <dataField name=" Neto Jun" fld="65" baseField="0" baseItem="0"/>
    <dataField name=" Neto" fld="46" baseField="0" baseItem="0"/>
  </dataFields>
  <formats count="3">
    <format dxfId="71">
      <pivotArea field="2" type="button" dataOnly="0" labelOnly="1" outline="0" axis="axisRow" fieldPosition="0"/>
    </format>
    <format dxfId="70">
      <pivotArea outline="0" collapsedLevelsAreSubtotals="1" fieldPosition="0"/>
    </format>
    <format dxfId="69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A77CF-E9B9-4D4B-BE13-B4BB126FE032}" name="TablaDinámica3" cacheId="107" applyNumberFormats="0" applyBorderFormats="0" applyFontFormats="0" applyPatternFormats="0" applyAlignmentFormats="0" applyWidthHeightFormats="1" dataCaption="Valores" showError="1" updatedVersion="8" minRefreshableVersion="3" itemPrintTitles="1" createdVersion="7" indent="0" compact="0" compactData="0" multipleFieldFilters="0">
  <location ref="B33:O38" firstHeaderRow="0" firstDataRow="1" firstDataCol="4"/>
  <pivotFields count="55"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9">
        <item h="1" m="1" x="7"/>
        <item h="1" x="5"/>
        <item x="0"/>
        <item h="1" x="1"/>
        <item h="1" x="2"/>
        <item h="1" x="3"/>
        <item h="1" x="4"/>
        <item h="1" m="1" x="6"/>
        <item t="default"/>
      </items>
    </pivotField>
    <pivotField compact="0" outline="0" showAll="0"/>
    <pivotField compact="0" outline="0" showAll="0"/>
    <pivotField axis="axisRow" compact="0" outline="0" multipleItemSelectionAllowed="1" showAll="0" defaultSubtotal="0">
      <items count="33">
        <item h="1" x="17"/>
        <item h="1" x="30"/>
        <item x="24"/>
        <item h="1" x="22"/>
        <item h="1" x="27"/>
        <item h="1" x="0"/>
        <item h="1" x="7"/>
        <item h="1" x="4"/>
        <item h="1" x="28"/>
        <item h="1" x="11"/>
        <item h="1" x="2"/>
        <item h="1" x="1"/>
        <item h="1" x="6"/>
        <item h="1" x="18"/>
        <item h="1" x="15"/>
        <item h="1" x="31"/>
        <item h="1" x="12"/>
        <item h="1" x="8"/>
        <item h="1" x="26"/>
        <item h="1" x="21"/>
        <item h="1" x="20"/>
        <item h="1" x="23"/>
        <item h="1" x="13"/>
        <item h="1" x="9"/>
        <item h="1" x="3"/>
        <item h="1" x="14"/>
        <item h="1" x="5"/>
        <item h="1" x="25"/>
        <item h="1" x="10"/>
        <item h="1" x="16"/>
        <item h="1" x="19"/>
        <item h="1" x="29"/>
        <item h="1" m="1" x="32"/>
      </items>
    </pivotField>
    <pivotField axis="axisRow" compact="0" outline="0" multipleItemSelectionAllowed="1" showAll="0">
      <items count="75">
        <item x="57"/>
        <item x="60"/>
        <item m="1" x="71"/>
        <item x="41"/>
        <item x="67"/>
        <item x="56"/>
        <item x="52"/>
        <item x="61"/>
        <item x="49"/>
        <item x="35"/>
        <item x="0"/>
        <item x="7"/>
        <item x="9"/>
        <item x="17"/>
        <item x="23"/>
        <item x="18"/>
        <item x="4"/>
        <item x="14"/>
        <item x="63"/>
        <item x="58"/>
        <item x="19"/>
        <item x="12"/>
        <item x="5"/>
        <item x="16"/>
        <item x="2"/>
        <item x="1"/>
        <item x="28"/>
        <item x="38"/>
        <item x="8"/>
        <item x="37"/>
        <item x="20"/>
        <item m="1" x="72"/>
        <item x="48"/>
        <item x="42"/>
        <item x="55"/>
        <item x="64"/>
        <item x="54"/>
        <item x="39"/>
        <item x="70"/>
        <item x="36"/>
        <item x="22"/>
        <item x="26"/>
        <item x="10"/>
        <item x="59"/>
        <item x="46"/>
        <item x="44"/>
        <item x="47"/>
        <item x="50"/>
        <item x="27"/>
        <item x="34"/>
        <item x="11"/>
        <item x="13"/>
        <item x="21"/>
        <item x="31"/>
        <item x="3"/>
        <item x="29"/>
        <item x="30"/>
        <item x="62"/>
        <item x="6"/>
        <item x="45"/>
        <item x="53"/>
        <item x="32"/>
        <item x="24"/>
        <item x="51"/>
        <item x="33"/>
        <item h="1" x="25"/>
        <item x="15"/>
        <item x="43"/>
        <item x="40"/>
        <item x="69"/>
        <item x="68"/>
        <item x="65"/>
        <item x="66"/>
        <item m="1" x="73"/>
        <item t="default"/>
      </items>
    </pivotField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dataField="1" compact="0" numFmtId="166" outline="0" showAll="0"/>
    <pivotField dataField="1" compact="0" outline="0" showAll="0"/>
    <pivotField dataField="1" compact="0" numFmtId="166" outline="0" showAll="0"/>
    <pivotField dataField="1" compact="0" numFmtId="166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dataField="1" compact="0" outline="0" dragToRow="0" dragToCol="0" dragToPage="0" showAll="0" defaultSubtotal="0"/>
  </pivotFields>
  <rowFields count="4">
    <field x="2"/>
    <field x="1"/>
    <field x="5"/>
    <field x="6"/>
  </rowFields>
  <rowItems count="5">
    <i>
      <x v="2"/>
      <x v="2"/>
      <x v="2"/>
      <x v="5"/>
    </i>
    <i r="3">
      <x v="6"/>
    </i>
    <i t="default" r="1">
      <x v="2"/>
    </i>
    <i t="default"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En puerto a facturar" fld="27" baseField="0" baseItem="0"/>
    <dataField name=" Atraso a facturar" fld="18" baseField="0" baseItem="0"/>
    <dataField name=" Venta nueva a facturar" fld="22" baseField="0" baseItem="0"/>
    <dataField name=" Plan Irrestricto" fld="28" baseField="0" baseItem="0"/>
    <dataField name=" Plan ajustado" fld="29" baseField="1" baseItem="1"/>
    <dataField name="Suma de Neto" fld="34" baseField="1" baseItem="0"/>
    <dataField name="Suma de Precio" fld="54" baseField="1" baseItem="0" numFmtId="170"/>
    <dataField name="Suma de Precio Atraso" fld="32" baseField="0" baseItem="0"/>
    <dataField name="Suma de Precio ponderado" fld="33" baseField="0" baseItem="0"/>
    <dataField name="Suma de Precio venta nueva" fld="31" baseField="0" baseItem="0"/>
  </dataFields>
  <formats count="6">
    <format dxfId="37">
      <pivotArea field="2" type="button" dataOnly="0" labelOnly="1" outline="0" axis="axisRow" fieldPosition="0"/>
    </format>
    <format dxfId="36">
      <pivotArea outline="0" collapsedLevelsAreSubtotals="1" fieldPosition="0"/>
    </format>
    <format dxfId="3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34">
      <pivotArea outline="0" fieldPosition="0">
        <references count="1">
          <reference field="4294967294" count="1">
            <x v="6"/>
          </reference>
        </references>
      </pivotArea>
    </format>
    <format dxfId="33">
      <pivotArea outline="0" fieldPosition="0">
        <references count="3">
          <reference field="4294967294" count="1" selected="0">
            <x v="6"/>
          </reference>
          <reference field="1" count="1" selected="0" defaultSubtotal="1">
            <x v="0"/>
          </reference>
          <reference field="2" count="0" selected="0"/>
        </references>
      </pivotArea>
    </format>
    <format dxfId="32">
      <pivotArea dataOnly="0" labelOnly="1" outline="0" fieldPosition="0">
        <references count="4">
          <reference field="1" count="1" selected="0">
            <x v="2"/>
          </reference>
          <reference field="2" count="0" selected="0"/>
          <reference field="5" count="0" selected="0"/>
          <reference field="6" count="2">
            <x v="5"/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3E328-43D5-4320-A89D-22A7CA325088}" name="TablaDinámica6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17:M22" firstHeaderRow="0" firstDataRow="1" firstDataCol="2"/>
  <pivotFields count="55"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9">
        <item h="1" m="1" x="7"/>
        <item h="1" x="5"/>
        <item h="1" x="0"/>
        <item h="1" x="1"/>
        <item x="2"/>
        <item h="1" x="3"/>
        <item h="1" x="4"/>
        <item h="1" m="1" x="6"/>
        <item t="default"/>
      </items>
    </pivotField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dataField="1" compact="0" numFmtId="166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1"/>
  </rowFields>
  <rowItems count="5">
    <i>
      <x v="4"/>
      <x/>
    </i>
    <i r="1">
      <x v="1"/>
    </i>
    <i r="1">
      <x v="2"/>
    </i>
    <i t="default">
      <x v="4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Volumen disponible" fld="15" baseField="0" baseItem="0"/>
    <dataField name=" Atraso a facturar" fld="18" baseField="0" baseItem="0"/>
    <dataField name=" Venta nueva a facturar" fld="22" baseField="0" baseItem="0"/>
    <dataField name=" En puerto a facturar" fld="27" baseField="0" baseItem="0"/>
    <dataField name=" Plan Irrestricto" fld="28" baseField="0" baseItem="0"/>
    <dataField name=" Plan ajustado" fld="29" baseField="1" baseItem="1"/>
    <dataField name="Suma de Neto" fld="34" baseField="1" baseItem="0"/>
    <dataField name=" Plan Marzo" fld="39" baseField="0" baseItem="0"/>
    <dataField name=" Plan Abril" fld="40" baseField="1" baseItem="1"/>
    <dataField name=" Plan Mayo" fld="41" baseField="0" baseItem="0"/>
  </dataFields>
  <formats count="6">
    <format dxfId="43">
      <pivotArea field="2" type="button" dataOnly="0" labelOnly="1" outline="0" axis="axisRow" fieldPosition="0"/>
    </format>
    <format dxfId="42">
      <pivotArea outline="0" collapsedLevelsAreSubtotals="1" fieldPosition="0"/>
    </format>
    <format dxfId="41">
      <pivotArea dataOnly="0" labelOnly="1" outline="0" fieldPosition="0">
        <references count="1">
          <reference field="4294967294" count="2">
            <x v="8"/>
            <x v="9"/>
          </reference>
        </references>
      </pivotArea>
    </format>
    <format dxfId="40">
      <pivotArea outline="0" fieldPosition="0">
        <references count="1">
          <reference field="4294967294" count="2" selected="0">
            <x v="8"/>
            <x v="9"/>
          </reference>
        </references>
      </pivotArea>
    </format>
    <format dxfId="3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8">
      <pivotArea dataOnly="0" labelOnly="1" outline="0" fieldPosition="0">
        <references count="1">
          <reference field="4294967294" count="1">
            <x v="7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DA0CD-C461-4121-951E-746EA02E6DE0}" name="TablaDinámica1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6:M12" firstHeaderRow="0" firstDataRow="1" firstDataCol="2" rowPageCount="2" colPageCount="1"/>
  <pivotFields count="55"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9">
        <item h="1" m="1" x="7"/>
        <item h="1" x="5"/>
        <item x="0"/>
        <item h="1" x="1"/>
        <item h="1" x="2"/>
        <item h="1" x="3"/>
        <item h="1" x="4"/>
        <item h="1" m="1" x="6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34">
        <item x="17"/>
        <item x="30"/>
        <item x="24"/>
        <item x="22"/>
        <item x="27"/>
        <item x="0"/>
        <item x="7"/>
        <item x="4"/>
        <item x="28"/>
        <item x="11"/>
        <item x="2"/>
        <item x="1"/>
        <item x="6"/>
        <item x="18"/>
        <item x="15"/>
        <item x="31"/>
        <item x="12"/>
        <item x="8"/>
        <item x="26"/>
        <item x="21"/>
        <item x="20"/>
        <item x="23"/>
        <item x="13"/>
        <item x="9"/>
        <item x="3"/>
        <item x="14"/>
        <item x="5"/>
        <item x="25"/>
        <item x="10"/>
        <item x="16"/>
        <item x="19"/>
        <item x="29"/>
        <item m="1" x="32"/>
        <item t="default"/>
      </items>
    </pivotField>
    <pivotField axis="axisPage" compact="0" outline="0" multipleItemSelectionAllowed="1" showAll="0">
      <items count="75">
        <item x="57"/>
        <item x="60"/>
        <item m="1" x="71"/>
        <item x="41"/>
        <item x="67"/>
        <item x="56"/>
        <item x="52"/>
        <item x="61"/>
        <item x="49"/>
        <item x="35"/>
        <item x="0"/>
        <item x="7"/>
        <item x="9"/>
        <item x="17"/>
        <item x="23"/>
        <item x="18"/>
        <item x="4"/>
        <item x="14"/>
        <item x="63"/>
        <item x="58"/>
        <item x="19"/>
        <item x="12"/>
        <item x="5"/>
        <item x="16"/>
        <item x="2"/>
        <item x="1"/>
        <item x="28"/>
        <item x="38"/>
        <item x="8"/>
        <item x="37"/>
        <item x="20"/>
        <item m="1" x="72"/>
        <item x="48"/>
        <item x="42"/>
        <item x="55"/>
        <item x="64"/>
        <item x="54"/>
        <item x="39"/>
        <item x="70"/>
        <item x="36"/>
        <item x="22"/>
        <item x="26"/>
        <item x="10"/>
        <item x="59"/>
        <item x="46"/>
        <item x="44"/>
        <item x="47"/>
        <item x="50"/>
        <item x="27"/>
        <item x="34"/>
        <item x="11"/>
        <item x="13"/>
        <item x="21"/>
        <item x="31"/>
        <item x="3"/>
        <item x="29"/>
        <item x="30"/>
        <item x="62"/>
        <item x="6"/>
        <item x="45"/>
        <item x="53"/>
        <item x="32"/>
        <item x="24"/>
        <item x="51"/>
        <item x="33"/>
        <item h="1" x="25"/>
        <item x="15"/>
        <item x="43"/>
        <item x="40"/>
        <item x="69"/>
        <item x="68"/>
        <item x="65"/>
        <item x="66"/>
        <item m="1" x="73"/>
        <item t="default"/>
      </items>
    </pivotField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dataField="1" compact="0" numFmtId="166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1"/>
  </rowFields>
  <rowItems count="6">
    <i>
      <x v="2"/>
      <x/>
    </i>
    <i r="1">
      <x v="1"/>
    </i>
    <i r="1">
      <x v="2"/>
    </i>
    <i r="1">
      <x v="3"/>
    </i>
    <i t="default"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2">
    <pageField fld="5" hier="-1"/>
    <pageField fld="6" hier="-1"/>
  </pageFields>
  <dataFields count="10">
    <dataField name="Volumen disponible" fld="15" baseField="0" baseItem="0"/>
    <dataField name=" Atraso a facturar" fld="18" baseField="0" baseItem="0"/>
    <dataField name=" Venta nueva a facturar" fld="22" baseField="0" baseItem="0"/>
    <dataField name=" En puerto a facturar" fld="27" baseField="0" baseItem="0"/>
    <dataField name=" Plan Irrestricto" fld="28" baseField="0" baseItem="0"/>
    <dataField name=" Plan ajustado" fld="29" baseField="1" baseItem="1"/>
    <dataField name="Suma de Neto" fld="34" baseField="1" baseItem="0"/>
    <dataField name=" Plan Marzo" fld="39" baseField="0" baseItem="0"/>
    <dataField name=" Plan Abril" fld="40" baseField="1" baseItem="1"/>
    <dataField name=" Plan Mayo" fld="41" baseField="0" baseItem="0"/>
  </dataFields>
  <formats count="6">
    <format dxfId="49">
      <pivotArea field="2" type="button" dataOnly="0" labelOnly="1" outline="0" axis="axisRow" fieldPosition="0"/>
    </format>
    <format dxfId="48">
      <pivotArea outline="0" collapsedLevelsAreSubtotals="1" fieldPosition="0"/>
    </format>
    <format dxfId="47">
      <pivotArea dataOnly="0" labelOnly="1" outline="0" fieldPosition="0">
        <references count="1">
          <reference field="4294967294" count="2">
            <x v="8"/>
            <x v="9"/>
          </reference>
        </references>
      </pivotArea>
    </format>
    <format dxfId="46">
      <pivotArea outline="0" fieldPosition="0">
        <references count="1">
          <reference field="4294967294" count="2" selected="0">
            <x v="8"/>
            <x v="9"/>
          </reference>
        </references>
      </pivotArea>
    </format>
    <format dxfId="45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7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9EECCD-2FE5-42C7-BC16-EBAB69F34690}" name="TablaDinámica1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6:L11" firstHeaderRow="0" firstDataRow="1" firstDataCol="2"/>
  <pivotFields count="55"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9">
        <item h="1" m="1" x="7"/>
        <item h="1" x="5"/>
        <item h="1" x="0"/>
        <item h="1" x="1"/>
        <item x="2"/>
        <item h="1" x="3"/>
        <item h="1" x="4"/>
        <item h="1" m="1" x="6"/>
        <item t="default"/>
      </items>
    </pivotField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1"/>
  </rowFields>
  <rowItems count="5">
    <i>
      <x v="4"/>
      <x/>
    </i>
    <i r="1">
      <x v="1"/>
    </i>
    <i r="1">
      <x v="2"/>
    </i>
    <i t="default">
      <x v="4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Volumen disponible" fld="15" baseField="0" baseItem="0"/>
    <dataField name=" Atraso a facturar" fld="18" baseField="0" baseItem="0"/>
    <dataField name=" Venta nueva a facturar" fld="22" baseField="0" baseItem="0"/>
    <dataField name=" En puerto a facturar" fld="27" baseField="0" baseItem="0"/>
    <dataField name=" Plan Irrestricto" fld="28" baseField="0" baseItem="0"/>
    <dataField name=" Plan ajustado" fld="29" baseField="1" baseItem="1"/>
    <dataField name=" Plan Marzo" fld="39" baseField="0" baseItem="0"/>
    <dataField name=" Plan Abril" fld="40" baseField="1" baseItem="1"/>
    <dataField name=" Plan Mayo" fld="41" baseField="0" baseItem="0"/>
  </dataFields>
  <formats count="6">
    <format dxfId="25">
      <pivotArea field="2" type="button" dataOnly="0" labelOnly="1" outline="0" axis="axisRow" fieldPosition="0"/>
    </format>
    <format dxfId="24">
      <pivotArea outline="0" collapsedLevelsAreSubtotals="1" fieldPosition="0"/>
    </format>
    <format dxfId="23">
      <pivotArea dataOnly="0" labelOnly="1" outline="0" fieldPosition="0">
        <references count="1">
          <reference field="4294967294" count="2">
            <x v="7"/>
            <x v="8"/>
          </reference>
        </references>
      </pivotArea>
    </format>
    <format dxfId="22">
      <pivotArea outline="0" fieldPosition="0">
        <references count="1">
          <reference field="4294967294" count="2" selected="0">
            <x v="7"/>
            <x v="8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F0DE4-70BE-4260-ADE5-6658612394F2}" name="TablaDinámica5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16:M21" firstHeaderRow="0" firstDataRow="1" firstDataCol="2" rowPageCount="2" colPageCount="1"/>
  <pivotFields count="55"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9">
        <item h="1" m="1" x="7"/>
        <item h="1" x="5"/>
        <item h="1" x="0"/>
        <item h="1" x="1"/>
        <item x="2"/>
        <item h="1" x="3"/>
        <item h="1" x="4"/>
        <item h="1" m="1" x="6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34">
        <item x="17"/>
        <item x="30"/>
        <item x="24"/>
        <item x="22"/>
        <item x="27"/>
        <item x="0"/>
        <item x="7"/>
        <item x="4"/>
        <item x="28"/>
        <item x="11"/>
        <item x="2"/>
        <item x="1"/>
        <item x="6"/>
        <item x="18"/>
        <item x="15"/>
        <item x="31"/>
        <item x="12"/>
        <item x="8"/>
        <item x="26"/>
        <item x="21"/>
        <item x="20"/>
        <item x="23"/>
        <item x="13"/>
        <item x="9"/>
        <item x="3"/>
        <item x="14"/>
        <item x="5"/>
        <item x="25"/>
        <item x="10"/>
        <item x="16"/>
        <item x="19"/>
        <item x="29"/>
        <item m="1" x="32"/>
        <item t="default"/>
      </items>
    </pivotField>
    <pivotField axis="axisPage" compact="0" outline="0" showAll="0">
      <items count="75">
        <item x="57"/>
        <item x="60"/>
        <item m="1" x="71"/>
        <item x="41"/>
        <item x="67"/>
        <item x="56"/>
        <item x="52"/>
        <item x="61"/>
        <item x="49"/>
        <item x="35"/>
        <item x="0"/>
        <item x="7"/>
        <item x="9"/>
        <item x="17"/>
        <item x="23"/>
        <item x="18"/>
        <item x="4"/>
        <item x="14"/>
        <item x="63"/>
        <item x="58"/>
        <item x="19"/>
        <item x="12"/>
        <item x="5"/>
        <item x="16"/>
        <item x="2"/>
        <item x="1"/>
        <item x="28"/>
        <item x="38"/>
        <item x="8"/>
        <item x="37"/>
        <item x="20"/>
        <item m="1" x="72"/>
        <item x="48"/>
        <item x="42"/>
        <item x="55"/>
        <item x="64"/>
        <item x="54"/>
        <item x="39"/>
        <item x="70"/>
        <item x="36"/>
        <item x="22"/>
        <item x="26"/>
        <item x="10"/>
        <item x="59"/>
        <item x="46"/>
        <item x="44"/>
        <item x="47"/>
        <item x="50"/>
        <item x="27"/>
        <item x="34"/>
        <item x="11"/>
        <item x="13"/>
        <item x="21"/>
        <item x="31"/>
        <item x="3"/>
        <item x="29"/>
        <item x="30"/>
        <item x="62"/>
        <item x="6"/>
        <item x="45"/>
        <item x="53"/>
        <item x="32"/>
        <item x="24"/>
        <item x="51"/>
        <item x="33"/>
        <item x="25"/>
        <item x="15"/>
        <item x="43"/>
        <item x="40"/>
        <item x="69"/>
        <item x="68"/>
        <item x="65"/>
        <item x="66"/>
        <item m="1" x="73"/>
        <item t="default"/>
      </items>
    </pivotField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dataField="1" compact="0" numFmtId="166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1"/>
  </rowFields>
  <rowItems count="5">
    <i>
      <x v="4"/>
      <x/>
    </i>
    <i r="1">
      <x v="1"/>
    </i>
    <i r="1">
      <x v="2"/>
    </i>
    <i t="default">
      <x v="4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2">
    <pageField fld="5" hier="-1"/>
    <pageField fld="6" hier="-1"/>
  </pageFields>
  <dataFields count="10">
    <dataField name="Volumen disponible" fld="15" baseField="0" baseItem="0"/>
    <dataField name=" Atraso a facturar" fld="18" baseField="0" baseItem="0"/>
    <dataField name=" Venta nueva a facturar" fld="22" baseField="0" baseItem="0"/>
    <dataField name=" En puerto a facturar" fld="27" baseField="0" baseItem="0"/>
    <dataField name=" Plan Irrestricto" fld="28" baseField="0" baseItem="0"/>
    <dataField name=" Plan ajustado" fld="29" baseField="1" baseItem="1"/>
    <dataField name=" Plan Marzo" fld="39" baseField="0" baseItem="0"/>
    <dataField name=" Plan Abril" fld="40" baseField="1" baseItem="1"/>
    <dataField name=" Plan Mayo" fld="41" baseField="0" baseItem="0"/>
    <dataField name="Suma de Neto" fld="34" baseField="1" baseItem="0"/>
  </dataFields>
  <formats count="6">
    <format dxfId="31">
      <pivotArea field="2" type="button" dataOnly="0" labelOnly="1" outline="0" axis="axisRow" fieldPosition="0"/>
    </format>
    <format dxfId="30">
      <pivotArea outline="0" collapsedLevelsAreSubtotals="1" fieldPosition="0"/>
    </format>
    <format dxfId="29">
      <pivotArea dataOnly="0" labelOnly="1" outline="0" fieldPosition="0">
        <references count="1">
          <reference field="4294967294" count="2">
            <x v="7"/>
            <x v="8"/>
          </reference>
        </references>
      </pivotArea>
    </format>
    <format dxfId="28">
      <pivotArea outline="0" fieldPosition="0">
        <references count="1">
          <reference field="4294967294" count="2" selected="0">
            <x v="7"/>
            <x v="8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92D56-B987-42A6-9373-3EA855143424}" name="TablaDinámica8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12:J17" firstHeaderRow="0" firstDataRow="1" firstDataCol="2"/>
  <pivotFields count="55"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9">
        <item h="1" m="1" x="7"/>
        <item h="1" x="5"/>
        <item h="1" x="0"/>
        <item h="1" x="1"/>
        <item h="1" x="2"/>
        <item x="3"/>
        <item h="1" x="4"/>
        <item h="1" m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1"/>
  </rowFields>
  <rowItems count="5">
    <i>
      <x v="5"/>
      <x/>
    </i>
    <i r="1">
      <x v="1"/>
    </i>
    <i r="1">
      <x v="2"/>
    </i>
    <i t="default"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lan Irrestricto" fld="28" baseField="2" baseItem="2" numFmtId="3"/>
    <dataField name=" Plan ajustado" fld="29" baseField="2" baseItem="2" numFmtId="3"/>
    <dataField name=" Plan Enero" fld="37" baseField="2" baseItem="1" numFmtId="3"/>
    <dataField name=" Plan Febrero" fld="38" baseField="2" baseItem="2" numFmtId="3"/>
    <dataField name=" Plan Marzo" fld="39" baseField="2" baseItem="2" numFmtId="3"/>
    <dataField name=" Plan Abril" fld="40" baseField="2" baseItem="3" numFmtId="3"/>
    <dataField name=" Plan Mayo" fld="41" baseField="2" baseItem="0" numFmtId="3"/>
  </dataFields>
  <formats count="2">
    <format dxfId="10">
      <pivotArea dataOnly="0" labelOnly="1" outline="0" fieldPosition="0">
        <references count="1">
          <reference field="4294967294" count="5">
            <x v="2"/>
            <x v="3"/>
            <x v="4"/>
            <x v="5"/>
            <x v="6"/>
          </reference>
        </references>
      </pivotArea>
    </format>
    <format dxfId="9">
      <pivotArea outline="0" fieldPosition="0">
        <references count="1">
          <reference field="4294967294" count="5" selected="0">
            <x v="2"/>
            <x v="3"/>
            <x v="4"/>
            <x v="5"/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2BD6E-C800-4C3E-A40C-EBFD31D3C088}" name="TablaDinámica6" cacheId="107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>
  <location ref="B4:I6" firstHeaderRow="0" firstDataRow="1" firstDataCol="1"/>
  <pivotFields count="55">
    <pivotField showAll="0"/>
    <pivotField showAll="0"/>
    <pivotField axis="axisRow" showAll="0">
      <items count="9">
        <item h="1" m="1" x="7"/>
        <item h="1" x="5"/>
        <item h="1" x="0"/>
        <item h="1" x="1"/>
        <item h="1" x="2"/>
        <item x="3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numFmtId="165" showAll="0"/>
    <pivotField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numFmtId="165" showAll="0"/>
    <pivotField dataField="1" numFmtId="165" showAll="0"/>
    <pivotField dataField="1" numFmtId="165" showAll="0"/>
    <pivotField showAll="0"/>
    <pivotField numFmtId="166" showAll="0"/>
    <pivotField showAll="0"/>
    <pivotField numFmtId="166" showAll="0"/>
    <pivotField numFmtId="166" showAll="0"/>
    <pivotField showAll="0"/>
    <pivotField showAll="0"/>
    <pivotField dataField="1" numFmtId="165" showAll="0"/>
    <pivotField dataField="1" numFmtId="165" showAll="0"/>
    <pivotField dataField="1" numFmtId="165" showAll="0"/>
    <pivotField dataField="1" numFmtId="165" showAll="0"/>
    <pivotField dataField="1" numFmtId="165" showAll="0"/>
    <pivotField numFmtId="165" showAll="0"/>
    <pivotField numFmtId="164"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2"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lan Irrestricto" fld="28" baseField="2" baseItem="2" numFmtId="3"/>
    <dataField name=" Plan ajustado" fld="29" baseField="2" baseItem="2" numFmtId="3"/>
    <dataField name=" Plan Enero" fld="37" baseField="2" baseItem="1" numFmtId="3"/>
    <dataField name=" Plan Febrero" fld="38" baseField="2" baseItem="2" numFmtId="3"/>
    <dataField name=" Plan Marzo" fld="39" baseField="2" baseItem="2" numFmtId="3"/>
    <dataField name=" Plan Abril" fld="40" baseField="2" baseItem="3" numFmtId="3"/>
    <dataField name=" Plan Mayo" fld="41" baseField="2" baseItem="0" numFmtId="3"/>
  </dataFields>
  <formats count="2">
    <format dxfId="12">
      <pivotArea dataOnly="0" labelOnly="1" outline="0" fieldPosition="0">
        <references count="1">
          <reference field="4294967294" count="5">
            <x v="2"/>
            <x v="3"/>
            <x v="4"/>
            <x v="5"/>
            <x v="6"/>
          </reference>
        </references>
      </pivotArea>
    </format>
    <format dxfId="11">
      <pivotArea outline="0" collapsedLevelsAreSubtotals="1" fieldPosition="0">
        <references count="1">
          <reference field="4294967294" count="5" selected="0">
            <x v="2"/>
            <x v="3"/>
            <x v="4"/>
            <x v="5"/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1C683-D385-4E14-B69D-B5A3D11A00E2}" name="TablaDinámica12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49:M83" firstHeaderRow="0" firstDataRow="1" firstDataCol="5"/>
  <pivotFields count="55"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9">
        <item h="1" m="1" x="7"/>
        <item h="1" x="5"/>
        <item h="1" x="0"/>
        <item h="1" x="1"/>
        <item h="1" x="2"/>
        <item x="3"/>
        <item h="1" x="4"/>
        <item h="1" m="1" x="6"/>
        <item t="default"/>
      </items>
    </pivotField>
    <pivotField axis="axisRow" compact="0" outline="0" showAll="0" defaultSubtotal="0">
      <items count="305">
        <item x="203"/>
        <item x="204"/>
        <item x="205"/>
        <item m="1" x="295"/>
        <item x="206"/>
        <item x="207"/>
        <item x="208"/>
        <item x="209"/>
        <item x="210"/>
        <item x="229"/>
        <item x="211"/>
        <item x="231"/>
        <item x="212"/>
        <item x="213"/>
        <item x="232"/>
        <item x="227"/>
        <item x="214"/>
        <item x="215"/>
        <item x="216"/>
        <item x="233"/>
        <item x="217"/>
        <item x="234"/>
        <item x="235"/>
        <item x="236"/>
        <item x="237"/>
        <item x="238"/>
        <item x="239"/>
        <item x="218"/>
        <item x="219"/>
        <item x="240"/>
        <item x="220"/>
        <item x="228"/>
        <item x="230"/>
        <item x="221"/>
        <item x="222"/>
        <item x="223"/>
        <item x="224"/>
        <item x="225"/>
        <item x="241"/>
        <item x="226"/>
        <item x="0"/>
        <item x="137"/>
        <item x="138"/>
        <item x="139"/>
        <item x="140"/>
        <item x="2"/>
        <item x="3"/>
        <item x="4"/>
        <item x="5"/>
        <item x="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m="1" x="304"/>
        <item x="8"/>
        <item x="63"/>
        <item x="64"/>
        <item x="9"/>
        <item x="10"/>
        <item x="65"/>
        <item x="66"/>
        <item x="158"/>
        <item x="11"/>
        <item x="12"/>
        <item x="13"/>
        <item x="159"/>
        <item x="160"/>
        <item x="67"/>
        <item x="14"/>
        <item x="15"/>
        <item x="68"/>
        <item x="69"/>
        <item x="16"/>
        <item x="17"/>
        <item x="18"/>
        <item x="19"/>
        <item x="20"/>
        <item x="21"/>
        <item x="22"/>
        <item x="23"/>
        <item x="24"/>
        <item x="105"/>
        <item x="161"/>
        <item x="70"/>
        <item x="71"/>
        <item x="72"/>
        <item x="73"/>
        <item x="74"/>
        <item x="25"/>
        <item x="75"/>
        <item x="26"/>
        <item x="27"/>
        <item x="28"/>
        <item x="29"/>
        <item x="30"/>
        <item x="76"/>
        <item x="162"/>
        <item x="31"/>
        <item x="163"/>
        <item x="164"/>
        <item x="32"/>
        <item x="33"/>
        <item x="34"/>
        <item x="77"/>
        <item x="78"/>
        <item x="79"/>
        <item x="106"/>
        <item x="107"/>
        <item x="108"/>
        <item x="109"/>
        <item x="110"/>
        <item x="35"/>
        <item x="36"/>
        <item x="97"/>
        <item x="37"/>
        <item x="38"/>
        <item x="245"/>
        <item x="246"/>
        <item x="39"/>
        <item x="111"/>
        <item x="40"/>
        <item x="112"/>
        <item x="113"/>
        <item x="114"/>
        <item x="41"/>
        <item x="42"/>
        <item x="80"/>
        <item x="115"/>
        <item x="116"/>
        <item x="43"/>
        <item x="44"/>
        <item x="98"/>
        <item x="99"/>
        <item x="45"/>
        <item x="100"/>
        <item x="165"/>
        <item x="81"/>
        <item x="117"/>
        <item x="166"/>
        <item x="167"/>
        <item x="168"/>
        <item x="169"/>
        <item x="118"/>
        <item x="119"/>
        <item x="120"/>
        <item x="121"/>
        <item x="46"/>
        <item x="122"/>
        <item x="47"/>
        <item x="48"/>
        <item x="123"/>
        <item x="124"/>
        <item x="125"/>
        <item x="247"/>
        <item x="170"/>
        <item x="171"/>
        <item x="126"/>
        <item x="49"/>
        <item x="172"/>
        <item x="173"/>
        <item x="248"/>
        <item x="82"/>
        <item x="127"/>
        <item x="50"/>
        <item x="174"/>
        <item x="51"/>
        <item x="52"/>
        <item x="128"/>
        <item m="1" x="303"/>
        <item x="289"/>
        <item x="290"/>
        <item x="291"/>
        <item x="293"/>
        <item x="175"/>
        <item x="249"/>
        <item x="250"/>
        <item x="53"/>
        <item x="129"/>
        <item x="54"/>
        <item x="130"/>
        <item x="176"/>
        <item x="83"/>
        <item x="84"/>
        <item x="177"/>
        <item x="178"/>
        <item x="55"/>
        <item x="56"/>
        <item x="57"/>
        <item x="58"/>
        <item x="85"/>
        <item x="179"/>
        <item x="251"/>
        <item x="131"/>
        <item x="86"/>
        <item x="87"/>
        <item x="180"/>
        <item x="181"/>
        <item x="252"/>
        <item x="59"/>
        <item x="132"/>
        <item x="88"/>
        <item x="89"/>
        <item x="182"/>
        <item x="183"/>
        <item x="90"/>
        <item x="133"/>
        <item x="253"/>
        <item x="134"/>
        <item x="135"/>
        <item x="91"/>
        <item x="184"/>
        <item x="92"/>
        <item x="185"/>
        <item m="1" x="296"/>
        <item x="93"/>
        <item x="294"/>
        <item x="186"/>
        <item x="94"/>
        <item x="136"/>
        <item x="95"/>
        <item x="60"/>
        <item x="96"/>
        <item x="101"/>
        <item x="61"/>
        <item x="102"/>
        <item x="103"/>
        <item x="187"/>
        <item x="188"/>
        <item x="189"/>
        <item x="190"/>
        <item x="62"/>
        <item x="254"/>
        <item x="255"/>
        <item x="256"/>
        <item x="257"/>
        <item x="191"/>
        <item x="243"/>
        <item x="200"/>
        <item x="192"/>
        <item m="1" x="297"/>
        <item x="193"/>
        <item x="242"/>
        <item x="201"/>
        <item x="202"/>
        <item x="194"/>
        <item x="195"/>
        <item x="244"/>
        <item x="196"/>
        <item x="197"/>
        <item x="198"/>
        <item m="1" x="300"/>
        <item x="199"/>
        <item x="258"/>
        <item x="259"/>
        <item x="260"/>
        <item x="261"/>
        <item x="262"/>
        <item x="263"/>
        <item x="264"/>
        <item x="292"/>
        <item m="1" x="301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m="1" x="299"/>
        <item m="1" x="302"/>
        <item m="1" x="298"/>
        <item x="280"/>
        <item x="281"/>
        <item x="282"/>
        <item x="283"/>
        <item x="284"/>
        <item x="285"/>
        <item x="286"/>
        <item x="287"/>
        <item x="288"/>
        <item x="1"/>
        <item x="7"/>
        <item x="104"/>
        <item x="279"/>
      </items>
    </pivotField>
    <pivotField axis="axisRow" compact="0" outline="0" showAll="0">
      <items count="284">
        <item x="92"/>
        <item x="222"/>
        <item x="198"/>
        <item x="194"/>
        <item x="143"/>
        <item x="31"/>
        <item x="32"/>
        <item x="47"/>
        <item x="44"/>
        <item x="109"/>
        <item x="157"/>
        <item x="155"/>
        <item x="150"/>
        <item x="169"/>
        <item x="149"/>
        <item x="0"/>
        <item x="51"/>
        <item x="168"/>
        <item x="6"/>
        <item x="37"/>
        <item x="21"/>
        <item x="117"/>
        <item x="231"/>
        <item x="9"/>
        <item x="108"/>
        <item x="4"/>
        <item x="227"/>
        <item x="25"/>
        <item x="28"/>
        <item x="54"/>
        <item x="111"/>
        <item x="89"/>
        <item x="15"/>
        <item x="24"/>
        <item x="94"/>
        <item x="72"/>
        <item x="162"/>
        <item x="33"/>
        <item x="147"/>
        <item x="127"/>
        <item x="56"/>
        <item x="134"/>
        <item x="116"/>
        <item x="41"/>
        <item x="129"/>
        <item x="130"/>
        <item x="142"/>
        <item x="16"/>
        <item x="107"/>
        <item x="19"/>
        <item x="29"/>
        <item x="5"/>
        <item x="14"/>
        <item x="53"/>
        <item x="87"/>
        <item x="52"/>
        <item x="118"/>
        <item x="91"/>
        <item x="12"/>
        <item x="69"/>
        <item x="68"/>
        <item x="112"/>
        <item x="159"/>
        <item x="70"/>
        <item x="8"/>
        <item x="34"/>
        <item x="153"/>
        <item x="232"/>
        <item x="132"/>
        <item x="170"/>
        <item x="120"/>
        <item x="163"/>
        <item x="90"/>
        <item x="27"/>
        <item x="2"/>
        <item x="126"/>
        <item x="167"/>
        <item x="125"/>
        <item x="156"/>
        <item x="57"/>
        <item x="35"/>
        <item x="165"/>
        <item x="158"/>
        <item x="166"/>
        <item x="80"/>
        <item x="154"/>
        <item x="137"/>
        <item x="59"/>
        <item x="60"/>
        <item x="83"/>
        <item x="75"/>
        <item x="138"/>
        <item x="148"/>
        <item x="113"/>
        <item x="49"/>
        <item x="133"/>
        <item x="146"/>
        <item x="121"/>
        <item x="151"/>
        <item x="161"/>
        <item x="124"/>
        <item x="88"/>
        <item x="114"/>
        <item x="23"/>
        <item x="62"/>
        <item x="61"/>
        <item x="141"/>
        <item x="145"/>
        <item x="79"/>
        <item x="81"/>
        <item x="84"/>
        <item x="82"/>
        <item x="78"/>
        <item x="77"/>
        <item x="172"/>
        <item x="139"/>
        <item x="152"/>
        <item x="136"/>
        <item x="233"/>
        <item x="135"/>
        <item x="160"/>
        <item x="164"/>
        <item x="128"/>
        <item x="173"/>
        <item x="10"/>
        <item x="85"/>
        <item x="63"/>
        <item x="3"/>
        <item x="45"/>
        <item x="98"/>
        <item x="97"/>
        <item x="86"/>
        <item x="74"/>
        <item x="73"/>
        <item x="103"/>
        <item x="64"/>
        <item x="65"/>
        <item x="100"/>
        <item x="71"/>
        <item x="95"/>
        <item x="101"/>
        <item x="40"/>
        <item x="76"/>
        <item x="234"/>
        <item x="42"/>
        <item x="11"/>
        <item x="235"/>
        <item x="119"/>
        <item x="122"/>
        <item x="131"/>
        <item x="106"/>
        <item x="38"/>
        <item x="123"/>
        <item x="36"/>
        <item x="50"/>
        <item x="96"/>
        <item x="13"/>
        <item x="58"/>
        <item x="22"/>
        <item x="115"/>
        <item x="93"/>
        <item x="104"/>
        <item m="1" x="269"/>
        <item x="110"/>
        <item x="229"/>
        <item x="140"/>
        <item x="102"/>
        <item x="105"/>
        <item x="99"/>
        <item x="67"/>
        <item x="66"/>
        <item x="144"/>
        <item x="43"/>
        <item x="18"/>
        <item x="26"/>
        <item x="17"/>
        <item x="30"/>
        <item x="20"/>
        <item x="48"/>
        <item x="230"/>
        <item x="39"/>
        <item m="1" x="271"/>
        <item x="267"/>
        <item x="268"/>
        <item m="1" x="278"/>
        <item x="263"/>
        <item x="264"/>
        <item x="265"/>
        <item m="1" x="275"/>
        <item x="228"/>
        <item x="46"/>
        <item x="55"/>
        <item x="171"/>
        <item x="210"/>
        <item x="203"/>
        <item x="214"/>
        <item x="218"/>
        <item x="202"/>
        <item x="212"/>
        <item x="200"/>
        <item x="209"/>
        <item x="213"/>
        <item x="197"/>
        <item x="219"/>
        <item x="204"/>
        <item x="217"/>
        <item x="215"/>
        <item x="220"/>
        <item x="221"/>
        <item x="186"/>
        <item x="208"/>
        <item x="199"/>
        <item x="207"/>
        <item x="192"/>
        <item x="190"/>
        <item x="188"/>
        <item x="189"/>
        <item m="1" x="277"/>
        <item x="201"/>
        <item x="216"/>
        <item x="195"/>
        <item x="191"/>
        <item x="211"/>
        <item x="193"/>
        <item x="206"/>
        <item x="223"/>
        <item x="187"/>
        <item x="205"/>
        <item x="196"/>
        <item m="1" x="273"/>
        <item x="183"/>
        <item x="176"/>
        <item m="1" x="281"/>
        <item x="181"/>
        <item x="182"/>
        <item x="180"/>
        <item x="178"/>
        <item x="185"/>
        <item x="179"/>
        <item x="225"/>
        <item m="1" x="280"/>
        <item x="224"/>
        <item x="175"/>
        <item m="1" x="276"/>
        <item x="226"/>
        <item x="184"/>
        <item x="174"/>
        <item x="177"/>
        <item x="236"/>
        <item x="237"/>
        <item x="238"/>
        <item x="239"/>
        <item x="240"/>
        <item x="241"/>
        <item x="242"/>
        <item x="266"/>
        <item m="1" x="279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m="1" x="272"/>
        <item m="1" x="274"/>
        <item m="1" x="282"/>
        <item m="1" x="270"/>
        <item x="255"/>
        <item x="256"/>
        <item x="257"/>
        <item x="258"/>
        <item x="259"/>
        <item x="260"/>
        <item x="261"/>
        <item x="262"/>
        <item x="1"/>
        <item x="7"/>
        <item x="254"/>
        <item t="default"/>
      </items>
    </pivotField>
    <pivotField axis="axisRow" compact="0" outline="0" showAll="0" defaultSubtotal="0">
      <items count="33">
        <item sd="0" x="17"/>
        <item sd="0" x="24"/>
        <item sd="0" x="22"/>
        <item sd="0" x="27"/>
        <item sd="0" x="0"/>
        <item sd="0" x="7"/>
        <item sd="0" x="4"/>
        <item sd="0" x="11"/>
        <item x="2"/>
        <item sd="0" x="1"/>
        <item sd="0" x="6"/>
        <item sd="0" x="18"/>
        <item sd="0" x="15"/>
        <item sd="0" x="12"/>
        <item sd="0" x="8"/>
        <item sd="0" x="26"/>
        <item sd="0" x="21"/>
        <item sd="0" x="20"/>
        <item sd="0" x="23"/>
        <item sd="0" x="13"/>
        <item sd="0" x="9"/>
        <item sd="0" x="3"/>
        <item sd="0" x="14"/>
        <item sd="0" x="5"/>
        <item sd="0" x="25"/>
        <item sd="0" x="10"/>
        <item sd="0" x="16"/>
        <item sd="0" x="19"/>
        <item sd="0" m="1" x="32"/>
        <item x="28"/>
        <item x="29"/>
        <item x="30"/>
        <item x="31"/>
      </items>
    </pivotField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5">
    <field x="2"/>
    <field x="1"/>
    <field x="5"/>
    <field x="3"/>
    <field x="4"/>
  </rowFields>
  <rowItems count="34">
    <i>
      <x v="5"/>
      <x/>
      <x v="4"/>
    </i>
    <i r="2">
      <x v="6"/>
    </i>
    <i r="2">
      <x v="8"/>
      <x v="133"/>
      <x v="74"/>
    </i>
    <i r="3">
      <x v="135"/>
      <x v="94"/>
    </i>
    <i r="3">
      <x v="159"/>
      <x v="48"/>
    </i>
    <i r="3">
      <x v="170"/>
      <x v="160"/>
    </i>
    <i r="3">
      <x v="193"/>
      <x v="159"/>
    </i>
    <i r="3">
      <x v="206"/>
      <x v="94"/>
    </i>
    <i r="3">
      <x v="220"/>
      <x v="143"/>
    </i>
    <i r="3">
      <x v="221"/>
      <x v="56"/>
    </i>
    <i r="3">
      <x v="284"/>
      <x v="264"/>
    </i>
    <i r="3">
      <x v="303"/>
      <x v="160"/>
    </i>
    <i r="2">
      <x v="9"/>
    </i>
    <i r="2">
      <x v="10"/>
    </i>
    <i r="2">
      <x v="13"/>
    </i>
    <i r="2">
      <x v="14"/>
    </i>
    <i r="2">
      <x v="19"/>
    </i>
    <i r="2">
      <x v="20"/>
    </i>
    <i r="2">
      <x v="23"/>
    </i>
    <i r="2">
      <x v="25"/>
    </i>
    <i r="2">
      <x v="30"/>
      <x v="281"/>
      <x v="261"/>
    </i>
    <i r="3">
      <x v="282"/>
      <x v="262"/>
    </i>
    <i r="3">
      <x v="287"/>
      <x v="267"/>
    </i>
    <i r="2">
      <x v="31"/>
      <x v="286"/>
      <x v="266"/>
    </i>
    <i t="default" r="1">
      <x/>
    </i>
    <i r="1">
      <x v="1"/>
      <x/>
    </i>
    <i r="2">
      <x v="11"/>
    </i>
    <i t="default" r="1">
      <x v="1"/>
    </i>
    <i r="1">
      <x v="2"/>
      <x/>
    </i>
    <i r="2">
      <x v="12"/>
    </i>
    <i r="2">
      <x v="15"/>
    </i>
    <i t="default" r="1">
      <x v="2"/>
    </i>
    <i t="default"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lan Irrestricto" fld="28" baseField="2" baseItem="2" numFmtId="3"/>
    <dataField name=" Plan ajustado" fld="29" baseField="2" baseItem="2" numFmtId="3"/>
    <dataField name=" Plan Enero" fld="37" baseField="2" baseItem="1" numFmtId="3"/>
    <dataField name=" Plan Febrero" fld="38" baseField="2" baseItem="2" numFmtId="3"/>
    <dataField name=" Plan Marzo" fld="39" baseField="2" baseItem="2" numFmtId="3"/>
    <dataField name=" Plan Abril" fld="40" baseField="2" baseItem="3" numFmtId="3"/>
    <dataField name=" Plan Mayo" fld="41" baseField="2" baseItem="0" numFmtId="3"/>
  </dataFields>
  <formats count="2">
    <format dxfId="14">
      <pivotArea dataOnly="0" labelOnly="1" outline="0" fieldPosition="0">
        <references count="1">
          <reference field="4294967294" count="5">
            <x v="2"/>
            <x v="3"/>
            <x v="4"/>
            <x v="5"/>
            <x v="6"/>
          </reference>
        </references>
      </pivotArea>
    </format>
    <format dxfId="13">
      <pivotArea outline="0" fieldPosition="0">
        <references count="1">
          <reference field="4294967294" count="5" selected="0">
            <x v="2"/>
            <x v="3"/>
            <x v="4"/>
            <x v="5"/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8A2D2-31F7-42B2-9BF8-B6249508CA60}" name="TablaDinámica11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23:K41" firstHeaderRow="0" firstDataRow="1" firstDataCol="3"/>
  <pivotFields count="55">
    <pivotField compact="0" outline="0" showAll="0"/>
    <pivotField axis="axisRow" compact="0" outline="0" showAll="0">
      <items count="5">
        <item x="0"/>
        <item sd="0" x="1"/>
        <item sd="0" x="2"/>
        <item x="3"/>
        <item t="default"/>
      </items>
    </pivotField>
    <pivotField axis="axisRow" compact="0" outline="0" showAll="0">
      <items count="9">
        <item h="1" m="1" x="7"/>
        <item h="1" x="5"/>
        <item h="1" x="0"/>
        <item h="1" x="1"/>
        <item h="1" x="2"/>
        <item x="3"/>
        <item h="1" x="4"/>
        <item h="1" m="1" x="6"/>
        <item t="default"/>
      </items>
    </pivotField>
    <pivotField compact="0" outline="0" showAll="0"/>
    <pivotField compact="0" outline="0" showAll="0"/>
    <pivotField axis="axisRow" compact="0" outline="0" showAll="0">
      <items count="34">
        <item x="17"/>
        <item x="24"/>
        <item x="22"/>
        <item x="27"/>
        <item x="0"/>
        <item x="7"/>
        <item x="4"/>
        <item x="11"/>
        <item x="2"/>
        <item x="1"/>
        <item x="6"/>
        <item x="18"/>
        <item x="15"/>
        <item x="12"/>
        <item x="8"/>
        <item x="26"/>
        <item x="21"/>
        <item x="20"/>
        <item x="23"/>
        <item x="13"/>
        <item x="9"/>
        <item x="3"/>
        <item x="14"/>
        <item x="5"/>
        <item x="25"/>
        <item x="10"/>
        <item x="16"/>
        <item x="19"/>
        <item m="1" x="32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2"/>
    <field x="1"/>
    <field x="5"/>
  </rowFields>
  <rowItems count="18">
    <i>
      <x v="5"/>
      <x/>
      <x v="4"/>
    </i>
    <i r="2">
      <x v="6"/>
    </i>
    <i r="2">
      <x v="8"/>
    </i>
    <i r="2">
      <x v="9"/>
    </i>
    <i r="2">
      <x v="10"/>
    </i>
    <i r="2">
      <x v="13"/>
    </i>
    <i r="2">
      <x v="14"/>
    </i>
    <i r="2">
      <x v="19"/>
    </i>
    <i r="2">
      <x v="20"/>
    </i>
    <i r="2">
      <x v="23"/>
    </i>
    <i r="2">
      <x v="25"/>
    </i>
    <i r="2">
      <x v="30"/>
    </i>
    <i r="2">
      <x v="31"/>
    </i>
    <i t="default" r="1">
      <x/>
    </i>
    <i r="1">
      <x v="1"/>
    </i>
    <i r="1">
      <x v="2"/>
    </i>
    <i t="default"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lan Irrestricto" fld="28" baseField="2" baseItem="2" numFmtId="3"/>
    <dataField name=" Plan ajustado" fld="29" baseField="2" baseItem="2" numFmtId="3"/>
    <dataField name=" Plan Enero" fld="37" baseField="2" baseItem="1" numFmtId="3"/>
    <dataField name=" Plan Febrero" fld="38" baseField="2" baseItem="2" numFmtId="3"/>
    <dataField name=" Plan Marzo" fld="39" baseField="2" baseItem="2" numFmtId="3"/>
    <dataField name=" Plan Abril" fld="40" baseField="2" baseItem="3" numFmtId="3"/>
    <dataField name=" Plan Mayo" fld="41" baseField="2" baseItem="0" numFmtId="3"/>
  </dataFields>
  <formats count="5">
    <format dxfId="19">
      <pivotArea dataOnly="0" labelOnly="1" outline="0" fieldPosition="0">
        <references count="1">
          <reference field="4294967294" count="5">
            <x v="2"/>
            <x v="3"/>
            <x v="4"/>
            <x v="5"/>
            <x v="6"/>
          </reference>
        </references>
      </pivotArea>
    </format>
    <format dxfId="18">
      <pivotArea outline="0" fieldPosition="0">
        <references count="1">
          <reference field="4294967294" count="5" selected="0">
            <x v="2"/>
            <x v="3"/>
            <x v="4"/>
            <x v="5"/>
            <x v="6"/>
          </reference>
        </references>
      </pivotArea>
    </format>
    <format dxfId="17">
      <pivotArea outline="0" fieldPosition="0">
        <references count="3">
          <reference field="1" count="1" selected="0">
            <x v="0"/>
          </reference>
          <reference field="2" count="0" selected="0"/>
          <reference field="5" count="1" selected="0">
            <x v="8"/>
          </reference>
        </references>
      </pivotArea>
    </format>
    <format dxfId="16">
      <pivotArea outline="0" fieldPosition="0">
        <references count="3">
          <reference field="1" count="1" selected="0">
            <x v="0"/>
          </reference>
          <reference field="2" count="0" selected="0"/>
          <reference field="5" count="1" selected="0">
            <x v="13"/>
          </reference>
        </references>
      </pivotArea>
    </format>
    <format dxfId="15">
      <pivotArea outline="0" fieldPosition="0">
        <references count="3">
          <reference field="1" count="1" selected="0">
            <x v="0"/>
          </reference>
          <reference field="2" count="0" selected="0"/>
          <reference field="5" count="1" selected="0">
            <x v="2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01FC2-65AB-41DC-88BB-921F3261D00A}" name="TablaDinámica2" cacheId="1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J5:L89" firstHeaderRow="0" firstDataRow="1" firstDataCol="1" rowPageCount="3" colPageCount="1"/>
  <pivotFields count="16">
    <pivotField axis="axisPage" compact="0" outline="0" showAll="0" defaultSubtotal="0">
      <items count="6">
        <item x="1"/>
        <item x="4"/>
        <item x="0"/>
        <item x="3"/>
        <item x="2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97">
        <item x="48"/>
        <item x="0"/>
        <item x="49"/>
        <item x="1"/>
        <item x="50"/>
        <item x="51"/>
        <item x="52"/>
        <item x="53"/>
        <item x="54"/>
        <item x="17"/>
        <item x="18"/>
        <item x="19"/>
        <item x="20"/>
        <item x="21"/>
        <item x="55"/>
        <item x="154"/>
        <item x="56"/>
        <item x="57"/>
        <item x="58"/>
        <item x="355"/>
        <item x="356"/>
        <item x="59"/>
        <item x="60"/>
        <item x="139"/>
        <item x="61"/>
        <item x="62"/>
        <item x="63"/>
        <item x="64"/>
        <item x="65"/>
        <item x="66"/>
        <item x="22"/>
        <item x="23"/>
        <item x="24"/>
        <item x="25"/>
        <item x="26"/>
        <item x="27"/>
        <item x="28"/>
        <item x="110"/>
        <item x="67"/>
        <item x="68"/>
        <item x="69"/>
        <item x="70"/>
        <item x="71"/>
        <item x="72"/>
        <item x="334"/>
        <item x="73"/>
        <item x="357"/>
        <item x="358"/>
        <item x="359"/>
        <item x="360"/>
        <item x="361"/>
        <item x="74"/>
        <item x="155"/>
        <item x="140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75"/>
        <item x="168"/>
        <item x="3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9"/>
        <item x="76"/>
        <item x="77"/>
        <item x="78"/>
        <item x="79"/>
        <item x="80"/>
        <item x="363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30"/>
        <item x="81"/>
        <item x="169"/>
        <item x="141"/>
        <item x="31"/>
        <item x="170"/>
        <item x="32"/>
        <item x="33"/>
        <item x="34"/>
        <item x="35"/>
        <item x="36"/>
        <item x="37"/>
        <item x="82"/>
        <item x="38"/>
        <item x="171"/>
        <item x="172"/>
        <item x="142"/>
        <item x="143"/>
        <item x="144"/>
        <item x="145"/>
        <item x="146"/>
        <item x="147"/>
        <item x="148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32"/>
        <item x="333"/>
        <item x="149"/>
        <item x="150"/>
        <item x="39"/>
        <item x="40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151"/>
        <item x="152"/>
        <item x="314"/>
        <item x="315"/>
        <item x="316"/>
        <item x="317"/>
        <item x="318"/>
        <item x="319"/>
        <item x="153"/>
        <item x="83"/>
        <item x="109"/>
        <item x="84"/>
        <item x="85"/>
        <item x="86"/>
        <item x="87"/>
        <item x="88"/>
        <item x="41"/>
        <item x="15"/>
        <item x="16"/>
        <item x="89"/>
        <item x="42"/>
        <item x="43"/>
        <item x="90"/>
        <item x="91"/>
        <item x="44"/>
        <item x="92"/>
        <item x="93"/>
        <item x="94"/>
        <item x="95"/>
        <item x="96"/>
        <item x="45"/>
        <item x="97"/>
        <item x="98"/>
        <item x="99"/>
        <item x="100"/>
        <item x="101"/>
        <item x="102"/>
        <item x="103"/>
        <item x="104"/>
        <item x="105"/>
        <item x="106"/>
        <item x="320"/>
        <item x="321"/>
        <item x="322"/>
        <item x="323"/>
        <item x="324"/>
        <item x="325"/>
        <item x="46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64"/>
        <item x="349"/>
        <item x="350"/>
        <item x="351"/>
        <item x="352"/>
        <item x="353"/>
        <item x="354"/>
        <item x="365"/>
        <item x="366"/>
        <item x="326"/>
        <item x="327"/>
        <item x="328"/>
        <item x="329"/>
        <item x="330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47"/>
        <item x="382"/>
        <item x="383"/>
        <item x="384"/>
        <item x="385"/>
        <item x="386"/>
        <item x="107"/>
        <item x="108"/>
        <item x="387"/>
        <item x="388"/>
        <item x="389"/>
        <item x="390"/>
        <item x="122"/>
        <item x="123"/>
        <item x="124"/>
        <item x="391"/>
        <item x="392"/>
        <item x="393"/>
        <item x="39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331"/>
        <item x="39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11">
        <item h="1" x="7"/>
        <item x="1"/>
        <item x="6"/>
        <item x="2"/>
        <item x="3"/>
        <item x="4"/>
        <item x="8"/>
        <item x="5"/>
        <item h="1" x="9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84">
    <i>
      <x v="1"/>
    </i>
    <i>
      <x v="3"/>
    </i>
    <i>
      <x v="5"/>
    </i>
    <i>
      <x v="7"/>
    </i>
    <i>
      <x v="8"/>
    </i>
    <i>
      <x v="15"/>
    </i>
    <i>
      <x v="24"/>
    </i>
    <i>
      <x v="25"/>
    </i>
    <i>
      <x v="30"/>
    </i>
    <i>
      <x v="32"/>
    </i>
    <i>
      <x v="37"/>
    </i>
    <i>
      <x v="42"/>
    </i>
    <i>
      <x v="43"/>
    </i>
    <i>
      <x v="49"/>
    </i>
    <i>
      <x v="66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6"/>
    </i>
    <i>
      <x v="112"/>
    </i>
    <i>
      <x v="113"/>
    </i>
    <i>
      <x v="174"/>
    </i>
    <i>
      <x v="175"/>
    </i>
    <i>
      <x v="209"/>
    </i>
    <i>
      <x v="254"/>
    </i>
    <i>
      <x v="261"/>
    </i>
    <i>
      <x v="262"/>
    </i>
    <i>
      <x v="287"/>
    </i>
    <i>
      <x v="288"/>
    </i>
    <i>
      <x v="293"/>
    </i>
    <i>
      <x v="294"/>
    </i>
    <i>
      <x v="302"/>
    </i>
    <i>
      <x v="310"/>
    </i>
    <i>
      <x v="333"/>
    </i>
    <i>
      <x v="334"/>
    </i>
    <i>
      <x v="335"/>
    </i>
    <i>
      <x v="336"/>
    </i>
    <i>
      <x v="337"/>
    </i>
    <i>
      <x v="368"/>
    </i>
    <i>
      <x v="373"/>
    </i>
    <i>
      <x v="374"/>
    </i>
    <i>
      <x v="375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5"/>
    </i>
    <i t="grand">
      <x/>
    </i>
  </rowItems>
  <colFields count="1">
    <field x="-2"/>
  </colFields>
  <colItems count="2">
    <i>
      <x/>
    </i>
    <i i="1">
      <x v="1"/>
    </i>
  </colItems>
  <pageFields count="3">
    <pageField fld="15" hier="-1"/>
    <pageField fld="0" hier="-1"/>
    <pageField fld="3" hier="-1"/>
  </pageFields>
  <dataFields count="2">
    <dataField name="Suma de Total Kilos" fld="14" baseField="6" baseItem="4" numFmtId="3"/>
    <dataField name="Suma de Kilos producción mes n" fld="13" baseField="6" baseItem="1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3A287-1522-4644-B316-1829922A4B12}" name="TablaDinámica10" cacheId="1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4:E30" firstHeaderRow="0" firstDataRow="1" firstDataCol="2" rowPageCount="2" colPageCount="1"/>
  <pivotFields count="16">
    <pivotField axis="axisRow" compact="0" outline="0" showAll="0" defaultSubtotal="0">
      <items count="5">
        <item x="1"/>
        <item x="4"/>
        <item x="0"/>
        <item x="3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51">
        <item x="10"/>
        <item x="12"/>
        <item x="8"/>
        <item x="5"/>
        <item x="6"/>
        <item x="82"/>
        <item x="79"/>
        <item x="80"/>
        <item x="84"/>
        <item x="9"/>
        <item x="11"/>
        <item x="78"/>
        <item x="85"/>
        <item x="81"/>
        <item x="83"/>
        <item x="13"/>
        <item x="131"/>
        <item x="7"/>
        <item x="48"/>
        <item x="39"/>
        <item x="68"/>
        <item x="60"/>
        <item x="29"/>
        <item x="20"/>
        <item x="25"/>
        <item x="26"/>
        <item x="49"/>
        <item x="40"/>
        <item x="63"/>
        <item x="41"/>
        <item x="42"/>
        <item x="58"/>
        <item x="74"/>
        <item x="69"/>
        <item x="59"/>
        <item x="43"/>
        <item x="67"/>
        <item x="56"/>
        <item x="44"/>
        <item x="22"/>
        <item x="135"/>
        <item x="145"/>
        <item x="65"/>
        <item x="28"/>
        <item x="70"/>
        <item x="75"/>
        <item x="149"/>
        <item x="37"/>
        <item x="32"/>
        <item x="139"/>
        <item x="27"/>
        <item x="19"/>
        <item x="31"/>
        <item x="24"/>
        <item x="33"/>
        <item x="146"/>
        <item x="16"/>
        <item x="134"/>
        <item x="62"/>
        <item x="52"/>
        <item x="14"/>
        <item x="140"/>
        <item x="133"/>
        <item x="89"/>
        <item x="112"/>
        <item x="91"/>
        <item x="113"/>
        <item x="102"/>
        <item x="119"/>
        <item x="109"/>
        <item x="115"/>
        <item x="21"/>
        <item x="103"/>
        <item x="23"/>
        <item x="122"/>
        <item x="96"/>
        <item x="95"/>
        <item x="99"/>
        <item x="108"/>
        <item x="30"/>
        <item x="121"/>
        <item x="93"/>
        <item x="125"/>
        <item x="87"/>
        <item x="123"/>
        <item x="3"/>
        <item x="0"/>
        <item x="4"/>
        <item x="127"/>
        <item x="77"/>
        <item x="54"/>
        <item x="71"/>
        <item x="76"/>
        <item x="98"/>
        <item x="126"/>
        <item x="100"/>
        <item x="94"/>
        <item x="34"/>
        <item x="97"/>
        <item x="117"/>
        <item x="51"/>
        <item x="64"/>
        <item x="111"/>
        <item x="110"/>
        <item x="53"/>
        <item x="114"/>
        <item x="120"/>
        <item x="124"/>
        <item x="86"/>
        <item x="72"/>
        <item x="35"/>
        <item x="92"/>
        <item x="90"/>
        <item x="15"/>
        <item x="17"/>
        <item x="101"/>
        <item x="147"/>
        <item x="148"/>
        <item x="45"/>
        <item x="61"/>
        <item x="73"/>
        <item x="104"/>
        <item x="116"/>
        <item x="136"/>
        <item x="137"/>
        <item x="88"/>
        <item x="129"/>
        <item x="141"/>
        <item x="66"/>
        <item x="144"/>
        <item x="46"/>
        <item x="132"/>
        <item x="128"/>
        <item x="47"/>
        <item x="118"/>
        <item x="142"/>
        <item x="143"/>
        <item x="18"/>
        <item x="2"/>
        <item x="1"/>
        <item x="55"/>
        <item x="57"/>
        <item x="50"/>
        <item x="36"/>
        <item x="105"/>
        <item x="106"/>
        <item x="107"/>
        <item x="138"/>
        <item x="130"/>
        <item x="3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11">
        <item h="1" x="7"/>
        <item x="1"/>
        <item x="6"/>
        <item x="2"/>
        <item x="3"/>
        <item x="4"/>
        <item x="8"/>
        <item x="5"/>
        <item h="1" x="9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6"/>
  </rowFields>
  <rowItems count="26">
    <i>
      <x/>
      <x/>
    </i>
    <i r="1">
      <x v="2"/>
    </i>
    <i r="1">
      <x v="4"/>
    </i>
    <i r="1">
      <x v="9"/>
    </i>
    <i r="1">
      <x v="10"/>
    </i>
    <i r="1">
      <x v="17"/>
    </i>
    <i r="1">
      <x v="22"/>
    </i>
    <i r="1">
      <x v="43"/>
    </i>
    <i r="1">
      <x v="51"/>
    </i>
    <i r="1">
      <x v="56"/>
    </i>
    <i r="1">
      <x v="79"/>
    </i>
    <i r="1">
      <x v="97"/>
    </i>
    <i r="1">
      <x v="114"/>
    </i>
    <i>
      <x v="1"/>
      <x v="123"/>
    </i>
    <i r="1">
      <x v="124"/>
    </i>
    <i>
      <x v="2"/>
      <x v="85"/>
    </i>
    <i r="1">
      <x v="87"/>
    </i>
    <i r="1">
      <x v="138"/>
    </i>
    <i>
      <x v="3"/>
      <x v="76"/>
    </i>
    <i r="1">
      <x v="80"/>
    </i>
    <i r="1">
      <x v="105"/>
    </i>
    <i r="1">
      <x v="108"/>
    </i>
    <i r="1">
      <x v="144"/>
    </i>
    <i r="1">
      <x v="145"/>
    </i>
    <i r="1">
      <x v="146"/>
    </i>
    <i t="grand">
      <x/>
    </i>
  </rowItems>
  <colFields count="1">
    <field x="-2"/>
  </colFields>
  <colItems count="2">
    <i>
      <x/>
    </i>
    <i i="1">
      <x v="1"/>
    </i>
  </colItems>
  <pageFields count="2">
    <pageField fld="15" hier="-1"/>
    <pageField fld="3" hier="-1"/>
  </pageFields>
  <dataFields count="2">
    <dataField name="Suma de Total Kilos" fld="14" baseField="6" baseItem="4" numFmtId="3"/>
    <dataField name="Suma de Kilos producción mes n" fld="13" baseField="6" baseItem="1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62EE9-BF93-450C-A84C-0B4EF255A2E6}" name="TablaDinámica19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30:K76" firstHeaderRow="0" firstDataRow="1" firstDataCol="3"/>
  <pivotFields count="55"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9">
        <item h="1" m="1" x="7"/>
        <item h="1" x="5"/>
        <item x="0"/>
        <item h="1" x="1"/>
        <item x="2"/>
        <item h="1" x="3"/>
        <item h="1" x="4"/>
        <item h="1" m="1" x="6"/>
        <item t="default"/>
      </items>
    </pivotField>
    <pivotField compact="0" outline="0" showAll="0" defaultSubtotal="0"/>
    <pivotField compact="0" outline="0" showAll="0"/>
    <pivotField axis="axisRow" compact="0" outline="0" showAll="0">
      <items count="34">
        <item x="17"/>
        <item x="24"/>
        <item x="22"/>
        <item x="27"/>
        <item x="0"/>
        <item x="7"/>
        <item x="4"/>
        <item x="11"/>
        <item x="2"/>
        <item x="1"/>
        <item x="6"/>
        <item x="18"/>
        <item x="15"/>
        <item x="12"/>
        <item x="8"/>
        <item x="26"/>
        <item x="21"/>
        <item x="20"/>
        <item x="23"/>
        <item x="13"/>
        <item x="9"/>
        <item x="3"/>
        <item x="14"/>
        <item x="5"/>
        <item x="25"/>
        <item x="10"/>
        <item x="16"/>
        <item x="19"/>
        <item m="1" x="32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2"/>
    <field x="1"/>
    <field x="5"/>
  </rowFields>
  <rowItems count="46">
    <i>
      <x v="2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3"/>
    </i>
    <i r="2">
      <x v="14"/>
    </i>
    <i r="2">
      <x v="20"/>
    </i>
    <i r="2">
      <x v="21"/>
    </i>
    <i r="2">
      <x v="23"/>
    </i>
    <i r="2">
      <x v="25"/>
    </i>
    <i t="default" r="1">
      <x/>
    </i>
    <i r="1">
      <x v="1"/>
      <x/>
    </i>
    <i r="2">
      <x v="11"/>
    </i>
    <i r="2">
      <x v="16"/>
    </i>
    <i r="2">
      <x v="17"/>
    </i>
    <i r="2">
      <x v="23"/>
    </i>
    <i r="2">
      <x v="26"/>
    </i>
    <i r="2">
      <x v="27"/>
    </i>
    <i t="default" r="1">
      <x v="1"/>
    </i>
    <i r="1">
      <x v="2"/>
      <x/>
    </i>
    <i r="2">
      <x v="1"/>
    </i>
    <i r="2">
      <x v="2"/>
    </i>
    <i r="2">
      <x v="7"/>
    </i>
    <i r="2">
      <x v="11"/>
    </i>
    <i r="2">
      <x v="12"/>
    </i>
    <i r="2">
      <x v="18"/>
    </i>
    <i r="2">
      <x v="24"/>
    </i>
    <i r="2">
      <x v="25"/>
    </i>
    <i r="2">
      <x v="26"/>
    </i>
    <i t="default" r="1">
      <x v="2"/>
    </i>
    <i r="1">
      <x v="3"/>
      <x v="29"/>
    </i>
    <i t="default" r="1">
      <x v="3"/>
    </i>
    <i t="default">
      <x v="2"/>
    </i>
    <i>
      <x v="4"/>
      <x/>
      <x v="6"/>
    </i>
    <i r="2">
      <x v="8"/>
    </i>
    <i r="2">
      <x v="25"/>
    </i>
    <i t="default" r="1">
      <x/>
    </i>
    <i r="1">
      <x v="1"/>
      <x v="17"/>
    </i>
    <i t="default" r="1">
      <x v="1"/>
    </i>
    <i r="1">
      <x v="2"/>
      <x v="11"/>
    </i>
    <i t="default" r="1">
      <x v="2"/>
    </i>
    <i t="default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lan Irrestricto" fld="28" baseField="2" baseItem="2" numFmtId="3"/>
    <dataField name=" Plan ajustado" fld="29" baseField="2" baseItem="2" numFmtId="3"/>
    <dataField name=" Plan Enero" fld="37" baseField="2" baseItem="1" numFmtId="3"/>
    <dataField name=" Plan Febrero" fld="38" baseField="2" baseItem="2" numFmtId="3"/>
    <dataField name=" Plan Marzo" fld="39" baseField="2" baseItem="2" numFmtId="3"/>
    <dataField name=" Plan Abril" fld="40" baseField="2" baseItem="3" numFmtId="3"/>
    <dataField name=" Plan Mayo" fld="41" baseField="2" baseItem="0" numFmtId="3"/>
  </dataFields>
  <formats count="2">
    <format dxfId="1">
      <pivotArea dataOnly="0" labelOnly="1" outline="0" fieldPosition="0">
        <references count="1">
          <reference field="4294967294" count="5">
            <x v="2"/>
            <x v="3"/>
            <x v="4"/>
            <x v="5"/>
            <x v="6"/>
          </reference>
        </references>
      </pivotArea>
    </format>
    <format dxfId="0">
      <pivotArea outline="0" fieldPosition="0">
        <references count="1">
          <reference field="4294967294" count="5" selected="0">
            <x v="2"/>
            <x v="3"/>
            <x v="4"/>
            <x v="5"/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FBB61-0617-4817-B8AD-BC47BAF77E76}" name="TablaDinámica6" cacheId="107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>
  <location ref="B4:K7" firstHeaderRow="0" firstDataRow="1" firstDataCol="1"/>
  <pivotFields count="55">
    <pivotField showAll="0"/>
    <pivotField showAll="0"/>
    <pivotField axis="axisRow" showAll="0">
      <items count="9">
        <item h="1" m="1" x="7"/>
        <item h="1" x="5"/>
        <item x="0"/>
        <item h="1" x="1"/>
        <item x="2"/>
        <item h="1" x="3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dataField="1" numFmtId="165" showAll="0"/>
    <pivotField dataField="1" numFmtId="165"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showAll="0"/>
    <pivotField numFmtId="165" showAll="0"/>
    <pivotField numFmtId="165" showAll="0"/>
    <pivotField showAll="0"/>
    <pivotField numFmtId="165" showAll="0"/>
    <pivotField dataField="1" numFmtId="165" showAll="0"/>
    <pivotField dataField="1" numFmtId="165" showAll="0"/>
    <pivotField showAll="0"/>
    <pivotField numFmtId="166" showAll="0"/>
    <pivotField showAll="0"/>
    <pivotField numFmtId="166" showAll="0"/>
    <pivotField numFmtId="166" showAll="0"/>
    <pivotField showAll="0"/>
    <pivotField showAll="0"/>
    <pivotField dataField="1" numFmtId="165" showAll="0"/>
    <pivotField dataField="1" numFmtId="165" showAll="0"/>
    <pivotField dataField="1" numFmtId="165" showAll="0"/>
    <pivotField dataField="1" numFmtId="165" showAll="0"/>
    <pivotField dataField="1" numFmtId="165" showAll="0"/>
    <pivotField numFmtId="165" showAll="0"/>
    <pivotField numFmtId="164"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3">
    <i>
      <x v="2"/>
    </i>
    <i>
      <x v="4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 Plan Irrestricto" fld="28" baseField="2" baseItem="2" numFmtId="3"/>
    <dataField name=" Plan ajustado" fld="29" baseField="2" baseItem="2" numFmtId="3"/>
    <dataField name=" Plan Enero" fld="37" baseField="2" baseItem="1" numFmtId="3"/>
    <dataField name=" Plan Febrero" fld="38" baseField="2" baseItem="2" numFmtId="3"/>
    <dataField name=" Plan Marzo" fld="39" baseField="2" baseItem="2" numFmtId="3"/>
    <dataField name=" Plan Abril" fld="40" baseField="2" baseItem="3" numFmtId="3"/>
    <dataField name=" Plan Mayo" fld="41" baseField="2" baseItem="0" numFmtId="3"/>
    <dataField name="Suma de  RV Producción mes n+1" fld="8" baseField="2" baseItem="2" numFmtId="3"/>
    <dataField name="Suma de  RV  Venta mes n+1" fld="9" baseField="2" baseItem="4" numFmtId="3"/>
  </dataFields>
  <formats count="4">
    <format dxfId="5">
      <pivotArea dataOnly="0" labelOnly="1" outline="0" fieldPosition="0">
        <references count="1">
          <reference field="4294967294" count="5">
            <x v="2"/>
            <x v="3"/>
            <x v="4"/>
            <x v="5"/>
            <x v="6"/>
          </reference>
        </references>
      </pivotArea>
    </format>
    <format dxfId="4">
      <pivotArea outline="0" collapsedLevelsAreSubtotals="1" fieldPosition="0">
        <references count="1">
          <reference field="4294967294" count="5" selected="0">
            <x v="2"/>
            <x v="3"/>
            <x v="4"/>
            <x v="5"/>
            <x v="6"/>
          </reference>
        </references>
      </pivotArea>
    </format>
    <format dxfId="3">
      <pivotArea outline="0" fieldPosition="0">
        <references count="1">
          <reference field="4294967294" count="1">
            <x v="7"/>
          </reference>
        </references>
      </pivotArea>
    </format>
    <format dxfId="2">
      <pivotArea outline="0" fieldPosition="0">
        <references count="1">
          <reference field="4294967294" count="1">
            <x v="8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2FE0A-846C-4D27-AE69-95083DBADA20}" name="TablaDinámica8" cacheId="107" applyNumberFormats="0" applyBorderFormats="0" applyFontFormats="0" applyPatternFormats="0" applyAlignmentFormats="0" applyWidthHeightFormats="1" dataCaption="Valores" updatedVersion="8" minRefreshableVersion="3" itemPrintTitles="1" createdVersion="7" indent="0" compact="0" compactData="0" multipleFieldFilters="0">
  <location ref="B16:J26" firstHeaderRow="0" firstDataRow="1" firstDataCol="2"/>
  <pivotFields count="55"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9">
        <item h="1" m="1" x="7"/>
        <item h="1" x="5"/>
        <item x="0"/>
        <item h="1" x="1"/>
        <item x="2"/>
        <item h="1" x="3"/>
        <item h="1" x="4"/>
        <item h="1" m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9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numFmtId="165" outline="0" showAll="0"/>
    <pivotField dataField="1" compact="0" numFmtId="165" outline="0" showAll="0"/>
    <pivotField dataField="1" compact="0" numFmtId="165" outline="0" showAll="0"/>
    <pivotField compact="0" outline="0" showAll="0"/>
    <pivotField compact="0" numFmtId="166" outline="0" showAll="0"/>
    <pivotField compact="0" outline="0" showAll="0"/>
    <pivotField compact="0" numFmtId="166" outline="0" showAll="0"/>
    <pivotField compact="0" numFmtId="166" outline="0" showAll="0"/>
    <pivotField compact="0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1"/>
  </rowFields>
  <rowItems count="10">
    <i>
      <x v="2"/>
      <x/>
    </i>
    <i r="1">
      <x v="1"/>
    </i>
    <i r="1">
      <x v="2"/>
    </i>
    <i r="1">
      <x v="3"/>
    </i>
    <i t="default">
      <x v="2"/>
    </i>
    <i>
      <x v="4"/>
      <x/>
    </i>
    <i r="1">
      <x v="1"/>
    </i>
    <i r="1">
      <x v="2"/>
    </i>
    <i t="default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lan Irrestricto" fld="28" baseField="2" baseItem="2" numFmtId="3"/>
    <dataField name=" Plan ajustado" fld="29" baseField="2" baseItem="2" numFmtId="3"/>
    <dataField name=" Plan Enero" fld="37" baseField="2" baseItem="1" numFmtId="3"/>
    <dataField name=" Plan Febrero" fld="38" baseField="2" baseItem="2" numFmtId="3"/>
    <dataField name=" Plan Marzo" fld="39" baseField="2" baseItem="2" numFmtId="3"/>
    <dataField name=" Plan Abril" fld="40" baseField="2" baseItem="3" numFmtId="3"/>
    <dataField name=" Plan Mayo" fld="41" baseField="2" baseItem="0" numFmtId="3"/>
  </dataFields>
  <formats count="2">
    <format dxfId="7">
      <pivotArea dataOnly="0" labelOnly="1" outline="0" fieldPosition="0">
        <references count="1">
          <reference field="4294967294" count="5">
            <x v="2"/>
            <x v="3"/>
            <x v="4"/>
            <x v="5"/>
            <x v="6"/>
          </reference>
        </references>
      </pivotArea>
    </format>
    <format dxfId="6">
      <pivotArea outline="0" fieldPosition="0">
        <references count="1">
          <reference field="4294967294" count="5" selected="0">
            <x v="2"/>
            <x v="3"/>
            <x v="4"/>
            <x v="5"/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A1437-C5D4-4F7D-BE88-EF108F0313E9}" name="TablaDinámica9" cacheId="1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6:G98" firstHeaderRow="1" firstDataRow="2" firstDataCol="2" rowPageCount="1" colPageCount="1"/>
  <pivotFields count="12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h="1" x="3"/>
        <item h="1" x="6"/>
        <item h="1" x="4"/>
        <item x="2"/>
        <item x="0"/>
        <item x="1"/>
        <item h="1" x="5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98">
        <item x="140"/>
        <item x="133"/>
        <item x="177"/>
        <item x="147"/>
        <item x="195"/>
        <item x="21"/>
        <item x="19"/>
        <item x="178"/>
        <item x="153"/>
        <item x="159"/>
        <item x="175"/>
        <item x="80"/>
        <item x="137"/>
        <item x="148"/>
        <item x="170"/>
        <item x="92"/>
        <item x="181"/>
        <item x="146"/>
        <item x="123"/>
        <item x="122"/>
        <item x="134"/>
        <item x="149"/>
        <item x="186"/>
        <item x="121"/>
        <item x="119"/>
        <item x="131"/>
        <item x="116"/>
        <item x="115"/>
        <item x="113"/>
        <item x="114"/>
        <item x="132"/>
        <item x="120"/>
        <item x="139"/>
        <item x="20"/>
        <item x="193"/>
        <item x="59"/>
        <item x="91"/>
        <item x="96"/>
        <item x="79"/>
        <item x="127"/>
        <item x="142"/>
        <item x="90"/>
        <item x="51"/>
        <item x="136"/>
        <item x="135"/>
        <item x="183"/>
        <item x="150"/>
        <item x="169"/>
        <item x="145"/>
        <item x="57"/>
        <item x="190"/>
        <item x="124"/>
        <item x="77"/>
        <item x="160"/>
        <item x="143"/>
        <item x="144"/>
        <item x="151"/>
        <item x="6"/>
        <item x="35"/>
        <item x="174"/>
        <item x="18"/>
        <item x="14"/>
        <item x="8"/>
        <item x="158"/>
        <item x="36"/>
        <item x="0"/>
        <item x="128"/>
        <item x="74"/>
        <item x="152"/>
        <item x="187"/>
        <item x="99"/>
        <item x="108"/>
        <item x="104"/>
        <item x="176"/>
        <item x="76"/>
        <item x="161"/>
        <item x="17"/>
        <item x="16"/>
        <item x="155"/>
        <item x="141"/>
        <item x="157"/>
        <item x="130"/>
        <item x="15"/>
        <item x="71"/>
        <item x="163"/>
        <item x="164"/>
        <item x="166"/>
        <item x="52"/>
        <item x="50"/>
        <item x="31"/>
        <item x="22"/>
        <item x="95"/>
        <item x="30"/>
        <item x="88"/>
        <item x="86"/>
        <item x="13"/>
        <item x="27"/>
        <item x="46"/>
        <item x="45"/>
        <item x="44"/>
        <item x="60"/>
        <item x="34"/>
        <item x="61"/>
        <item x="58"/>
        <item x="64"/>
        <item x="110"/>
        <item x="93"/>
        <item x="87"/>
        <item x="75"/>
        <item x="94"/>
        <item x="69"/>
        <item x="37"/>
        <item x="53"/>
        <item x="78"/>
        <item x="82"/>
        <item x="97"/>
        <item x="106"/>
        <item x="165"/>
        <item x="84"/>
        <item x="38"/>
        <item x="65"/>
        <item x="105"/>
        <item x="83"/>
        <item x="39"/>
        <item x="23"/>
        <item x="63"/>
        <item x="66"/>
        <item x="112"/>
        <item x="7"/>
        <item x="48"/>
        <item x="191"/>
        <item x="24"/>
        <item x="29"/>
        <item x="109"/>
        <item x="192"/>
        <item x="25"/>
        <item x="40"/>
        <item x="111"/>
        <item x="33"/>
        <item x="26"/>
        <item x="126"/>
        <item x="41"/>
        <item x="42"/>
        <item x="43"/>
        <item x="62"/>
        <item x="4"/>
        <item x="2"/>
        <item x="70"/>
        <item x="32"/>
        <item x="49"/>
        <item x="3"/>
        <item x="89"/>
        <item x="56"/>
        <item x="172"/>
        <item x="73"/>
        <item x="54"/>
        <item x="1"/>
        <item x="102"/>
        <item x="85"/>
        <item x="72"/>
        <item x="194"/>
        <item x="107"/>
        <item x="67"/>
        <item x="68"/>
        <item x="117"/>
        <item x="47"/>
        <item x="185"/>
        <item x="184"/>
        <item x="171"/>
        <item x="98"/>
        <item x="12"/>
        <item x="55"/>
        <item x="173"/>
        <item x="101"/>
        <item x="11"/>
        <item x="125"/>
        <item x="138"/>
        <item x="182"/>
        <item x="162"/>
        <item x="10"/>
        <item x="156"/>
        <item x="189"/>
        <item x="129"/>
        <item x="168"/>
        <item x="167"/>
        <item x="103"/>
        <item x="9"/>
        <item x="154"/>
        <item x="28"/>
        <item x="81"/>
        <item x="5"/>
        <item x="118"/>
        <item x="188"/>
        <item x="100"/>
        <item x="180"/>
        <item x="179"/>
        <item x="1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21">
        <item m="1" x="13"/>
        <item m="1" x="18"/>
        <item m="1" x="19"/>
        <item m="1" x="17"/>
        <item m="1" x="16"/>
        <item m="1" x="15"/>
        <item m="1" x="14"/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5"/>
  </rowFields>
  <rowItems count="91">
    <i>
      <x v="3"/>
      <x/>
    </i>
    <i r="1">
      <x v="8"/>
    </i>
    <i r="1">
      <x v="9"/>
    </i>
    <i r="1">
      <x v="10"/>
    </i>
    <i r="1">
      <x v="34"/>
    </i>
    <i r="1">
      <x v="50"/>
    </i>
    <i r="1">
      <x v="53"/>
    </i>
    <i r="1">
      <x v="57"/>
    </i>
    <i r="1">
      <x v="59"/>
    </i>
    <i r="1">
      <x v="61"/>
    </i>
    <i r="1">
      <x v="64"/>
    </i>
    <i r="1">
      <x v="66"/>
    </i>
    <i r="1">
      <x v="68"/>
    </i>
    <i r="1">
      <x v="69"/>
    </i>
    <i r="1">
      <x v="73"/>
    </i>
    <i r="1">
      <x v="75"/>
    </i>
    <i r="1">
      <x v="78"/>
    </i>
    <i r="1">
      <x v="84"/>
    </i>
    <i r="1">
      <x v="85"/>
    </i>
    <i r="1">
      <x v="86"/>
    </i>
    <i r="1">
      <x v="103"/>
    </i>
    <i r="1">
      <x v="117"/>
    </i>
    <i r="1">
      <x v="134"/>
    </i>
    <i r="1">
      <x v="176"/>
    </i>
    <i r="1">
      <x v="187"/>
    </i>
    <i>
      <x v="4"/>
      <x v="52"/>
    </i>
    <i r="1">
      <x v="65"/>
    </i>
    <i r="1">
      <x v="71"/>
    </i>
    <i r="1">
      <x v="72"/>
    </i>
    <i r="1">
      <x v="87"/>
    </i>
    <i r="1">
      <x v="127"/>
    </i>
    <i r="1">
      <x v="145"/>
    </i>
    <i r="1">
      <x v="146"/>
    </i>
    <i r="1">
      <x v="150"/>
    </i>
    <i r="1">
      <x v="156"/>
    </i>
    <i r="1">
      <x v="157"/>
    </i>
    <i r="1">
      <x v="168"/>
    </i>
    <i r="1">
      <x v="172"/>
    </i>
    <i r="1">
      <x v="185"/>
    </i>
    <i>
      <x v="5"/>
      <x v="11"/>
    </i>
    <i r="1">
      <x v="14"/>
    </i>
    <i r="1">
      <x v="15"/>
    </i>
    <i r="1">
      <x v="36"/>
    </i>
    <i r="1">
      <x v="37"/>
    </i>
    <i r="1">
      <x v="38"/>
    </i>
    <i r="1">
      <x v="41"/>
    </i>
    <i r="1">
      <x v="47"/>
    </i>
    <i r="1">
      <x v="70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6"/>
    </i>
    <i r="1">
      <x v="105"/>
    </i>
    <i r="1">
      <x v="106"/>
    </i>
    <i r="1">
      <x v="107"/>
    </i>
    <i r="1">
      <x v="109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21"/>
    </i>
    <i r="1">
      <x v="122"/>
    </i>
    <i r="1">
      <x v="124"/>
    </i>
    <i r="1">
      <x v="130"/>
    </i>
    <i r="1">
      <x v="131"/>
    </i>
    <i r="1">
      <x v="132"/>
    </i>
    <i r="1">
      <x v="133"/>
    </i>
    <i r="1">
      <x v="135"/>
    </i>
    <i r="1">
      <x v="137"/>
    </i>
    <i r="1">
      <x v="139"/>
    </i>
    <i r="1">
      <x v="151"/>
    </i>
    <i r="1">
      <x v="152"/>
    </i>
    <i r="1">
      <x v="153"/>
    </i>
    <i r="1">
      <x v="155"/>
    </i>
    <i r="1">
      <x v="158"/>
    </i>
    <i r="1">
      <x v="160"/>
    </i>
    <i r="1">
      <x v="161"/>
    </i>
    <i r="1">
      <x v="169"/>
    </i>
    <i r="1">
      <x v="171"/>
    </i>
    <i r="1">
      <x v="183"/>
    </i>
    <i r="1">
      <x v="188"/>
    </i>
    <i r="1">
      <x v="189"/>
    </i>
    <i r="1">
      <x v="190"/>
    </i>
    <i>
      <x v="7"/>
      <x v="196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pageFields count="1">
    <pageField fld="8" hier="-1"/>
  </pageFields>
  <dataFields count="1">
    <dataField name="Suma de Kilos" fld="10" baseField="1" baseItem="4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C95F0-DE40-4A38-852C-53A246BBCD7E}" name="TablaDinámica1" cacheId="103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compact="0" compactData="0" multipleFieldFilters="0">
  <location ref="K6:L38" firstHeaderRow="1" firstDataRow="1" firstDataCol="1" rowPageCount="3" colPageCount="1"/>
  <pivotFields count="12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8">
        <item h="1" x="3"/>
        <item h="1" x="6"/>
        <item h="1" x="4"/>
        <item x="2"/>
        <item x="0"/>
        <item x="1"/>
        <item h="1" x="5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71">
        <item x="298"/>
        <item x="101"/>
        <item x="100"/>
        <item x="387"/>
        <item x="386"/>
        <item x="297"/>
        <item x="181"/>
        <item x="352"/>
        <item x="351"/>
        <item x="350"/>
        <item x="180"/>
        <item x="349"/>
        <item x="385"/>
        <item x="348"/>
        <item x="347"/>
        <item x="346"/>
        <item x="345"/>
        <item x="344"/>
        <item x="343"/>
        <item x="99"/>
        <item x="430"/>
        <item x="431"/>
        <item x="397"/>
        <item x="296"/>
        <item x="429"/>
        <item x="179"/>
        <item x="139"/>
        <item x="98"/>
        <item x="97"/>
        <item x="96"/>
        <item x="95"/>
        <item x="94"/>
        <item x="138"/>
        <item x="137"/>
        <item x="136"/>
        <item x="135"/>
        <item x="134"/>
        <item x="133"/>
        <item x="428"/>
        <item x="235"/>
        <item x="93"/>
        <item x="178"/>
        <item x="295"/>
        <item x="177"/>
        <item x="427"/>
        <item x="132"/>
        <item x="131"/>
        <item x="342"/>
        <item x="92"/>
        <item x="432"/>
        <item x="341"/>
        <item x="340"/>
        <item x="339"/>
        <item x="91"/>
        <item x="314"/>
        <item x="313"/>
        <item x="176"/>
        <item x="175"/>
        <item x="174"/>
        <item x="234"/>
        <item x="173"/>
        <item x="338"/>
        <item x="392"/>
        <item x="433"/>
        <item x="434"/>
        <item x="294"/>
        <item x="293"/>
        <item x="384"/>
        <item x="391"/>
        <item x="90"/>
        <item x="89"/>
        <item x="188"/>
        <item x="130"/>
        <item x="88"/>
        <item x="87"/>
        <item x="86"/>
        <item x="233"/>
        <item x="383"/>
        <item x="382"/>
        <item x="85"/>
        <item x="232"/>
        <item x="231"/>
        <item x="435"/>
        <item x="84"/>
        <item x="172"/>
        <item x="171"/>
        <item x="170"/>
        <item x="83"/>
        <item x="230"/>
        <item x="82"/>
        <item x="169"/>
        <item x="229"/>
        <item x="81"/>
        <item x="80"/>
        <item x="228"/>
        <item x="227"/>
        <item x="168"/>
        <item x="337"/>
        <item x="426"/>
        <item x="390"/>
        <item x="336"/>
        <item x="381"/>
        <item x="226"/>
        <item x="79"/>
        <item x="225"/>
        <item x="292"/>
        <item x="425"/>
        <item x="312"/>
        <item x="291"/>
        <item x="335"/>
        <item x="424"/>
        <item x="290"/>
        <item x="334"/>
        <item x="333"/>
        <item x="423"/>
        <item x="422"/>
        <item x="289"/>
        <item x="436"/>
        <item x="78"/>
        <item x="332"/>
        <item x="331"/>
        <item x="405"/>
        <item x="421"/>
        <item x="288"/>
        <item x="404"/>
        <item x="311"/>
        <item x="403"/>
        <item x="396"/>
        <item x="380"/>
        <item x="420"/>
        <item x="419"/>
        <item x="418"/>
        <item x="379"/>
        <item x="77"/>
        <item x="287"/>
        <item x="76"/>
        <item x="75"/>
        <item x="74"/>
        <item x="73"/>
        <item x="129"/>
        <item x="72"/>
        <item x="167"/>
        <item x="71"/>
        <item x="330"/>
        <item x="329"/>
        <item x="328"/>
        <item x="70"/>
        <item x="310"/>
        <item x="187"/>
        <item x="69"/>
        <item x="68"/>
        <item x="67"/>
        <item x="128"/>
        <item x="286"/>
        <item x="285"/>
        <item x="284"/>
        <item x="283"/>
        <item x="282"/>
        <item x="327"/>
        <item x="281"/>
        <item x="280"/>
        <item x="279"/>
        <item x="224"/>
        <item x="166"/>
        <item x="66"/>
        <item x="309"/>
        <item x="437"/>
        <item x="389"/>
        <item x="308"/>
        <item x="417"/>
        <item x="65"/>
        <item x="127"/>
        <item x="126"/>
        <item x="125"/>
        <item x="124"/>
        <item x="123"/>
        <item x="64"/>
        <item x="63"/>
        <item x="326"/>
        <item x="438"/>
        <item x="165"/>
        <item x="164"/>
        <item x="163"/>
        <item x="162"/>
        <item x="161"/>
        <item x="223"/>
        <item x="439"/>
        <item x="160"/>
        <item x="222"/>
        <item x="221"/>
        <item x="220"/>
        <item x="219"/>
        <item x="62"/>
        <item x="218"/>
        <item x="61"/>
        <item x="159"/>
        <item x="378"/>
        <item x="377"/>
        <item x="376"/>
        <item x="375"/>
        <item x="374"/>
        <item x="158"/>
        <item x="440"/>
        <item x="157"/>
        <item x="373"/>
        <item x="156"/>
        <item x="155"/>
        <item x="154"/>
        <item x="217"/>
        <item x="372"/>
        <item x="60"/>
        <item x="216"/>
        <item x="441"/>
        <item x="153"/>
        <item x="152"/>
        <item x="151"/>
        <item x="371"/>
        <item x="370"/>
        <item x="215"/>
        <item x="150"/>
        <item x="59"/>
        <item x="58"/>
        <item x="214"/>
        <item x="213"/>
        <item x="212"/>
        <item x="211"/>
        <item x="210"/>
        <item x="209"/>
        <item x="208"/>
        <item x="207"/>
        <item x="149"/>
        <item x="369"/>
        <item x="442"/>
        <item x="57"/>
        <item x="368"/>
        <item x="56"/>
        <item x="55"/>
        <item x="206"/>
        <item x="205"/>
        <item x="54"/>
        <item x="367"/>
        <item x="366"/>
        <item x="365"/>
        <item x="364"/>
        <item x="53"/>
        <item x="363"/>
        <item x="204"/>
        <item x="203"/>
        <item x="52"/>
        <item x="148"/>
        <item x="362"/>
        <item x="202"/>
        <item x="201"/>
        <item x="443"/>
        <item x="147"/>
        <item x="146"/>
        <item x="51"/>
        <item x="361"/>
        <item x="360"/>
        <item x="145"/>
        <item x="359"/>
        <item x="200"/>
        <item x="50"/>
        <item x="144"/>
        <item x="143"/>
        <item x="278"/>
        <item x="277"/>
        <item x="276"/>
        <item x="275"/>
        <item x="274"/>
        <item x="416"/>
        <item x="402"/>
        <item x="273"/>
        <item x="395"/>
        <item x="401"/>
        <item x="272"/>
        <item x="271"/>
        <item x="270"/>
        <item x="415"/>
        <item x="269"/>
        <item x="325"/>
        <item x="307"/>
        <item x="268"/>
        <item x="267"/>
        <item x="306"/>
        <item x="414"/>
        <item x="413"/>
        <item x="266"/>
        <item x="265"/>
        <item x="264"/>
        <item x="412"/>
        <item x="324"/>
        <item x="323"/>
        <item x="322"/>
        <item x="400"/>
        <item x="263"/>
        <item x="411"/>
        <item x="394"/>
        <item x="393"/>
        <item x="262"/>
        <item x="261"/>
        <item x="321"/>
        <item x="444"/>
        <item x="260"/>
        <item x="410"/>
        <item x="445"/>
        <item x="259"/>
        <item x="258"/>
        <item x="399"/>
        <item x="446"/>
        <item x="320"/>
        <item x="319"/>
        <item x="318"/>
        <item x="447"/>
        <item x="257"/>
        <item x="256"/>
        <item x="448"/>
        <item x="317"/>
        <item x="316"/>
        <item x="255"/>
        <item x="254"/>
        <item x="122"/>
        <item x="449"/>
        <item x="121"/>
        <item x="49"/>
        <item x="120"/>
        <item x="48"/>
        <item x="119"/>
        <item x="47"/>
        <item x="118"/>
        <item x="46"/>
        <item x="117"/>
        <item x="45"/>
        <item x="44"/>
        <item x="116"/>
        <item x="43"/>
        <item x="115"/>
        <item x="42"/>
        <item x="114"/>
        <item x="41"/>
        <item x="450"/>
        <item x="40"/>
        <item x="451"/>
        <item x="39"/>
        <item x="38"/>
        <item x="113"/>
        <item x="112"/>
        <item x="111"/>
        <item x="37"/>
        <item x="186"/>
        <item x="36"/>
        <item x="110"/>
        <item x="35"/>
        <item x="34"/>
        <item x="33"/>
        <item x="185"/>
        <item x="32"/>
        <item x="109"/>
        <item x="31"/>
        <item x="305"/>
        <item x="108"/>
        <item x="107"/>
        <item x="30"/>
        <item x="29"/>
        <item x="28"/>
        <item x="106"/>
        <item x="105"/>
        <item x="452"/>
        <item x="27"/>
        <item x="26"/>
        <item x="25"/>
        <item x="24"/>
        <item x="23"/>
        <item x="22"/>
        <item x="104"/>
        <item x="184"/>
        <item x="21"/>
        <item x="183"/>
        <item x="20"/>
        <item x="19"/>
        <item x="103"/>
        <item x="182"/>
        <item x="18"/>
        <item x="453"/>
        <item x="17"/>
        <item x="16"/>
        <item x="454"/>
        <item x="315"/>
        <item x="15"/>
        <item x="409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398"/>
        <item x="14"/>
        <item x="455"/>
        <item x="304"/>
        <item x="303"/>
        <item x="302"/>
        <item x="456"/>
        <item x="408"/>
        <item x="407"/>
        <item x="358"/>
        <item x="102"/>
        <item x="13"/>
        <item x="12"/>
        <item x="457"/>
        <item x="301"/>
        <item x="458"/>
        <item x="388"/>
        <item x="459"/>
        <item x="460"/>
        <item x="461"/>
        <item x="462"/>
        <item x="463"/>
        <item x="142"/>
        <item x="141"/>
        <item x="357"/>
        <item x="356"/>
        <item x="355"/>
        <item x="354"/>
        <item x="353"/>
        <item x="11"/>
        <item x="464"/>
        <item x="199"/>
        <item x="10"/>
        <item x="9"/>
        <item x="8"/>
        <item x="198"/>
        <item x="197"/>
        <item x="196"/>
        <item x="195"/>
        <item x="194"/>
        <item x="465"/>
        <item x="466"/>
        <item x="7"/>
        <item x="238"/>
        <item x="6"/>
        <item x="5"/>
        <item x="193"/>
        <item x="192"/>
        <item x="140"/>
        <item x="4"/>
        <item x="3"/>
        <item x="191"/>
        <item x="2"/>
        <item x="1"/>
        <item x="0"/>
        <item x="190"/>
        <item x="406"/>
        <item x="189"/>
        <item x="467"/>
        <item x="300"/>
        <item x="237"/>
        <item x="236"/>
        <item x="299"/>
        <item x="468"/>
        <item x="46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98">
        <item x="140"/>
        <item x="133"/>
        <item x="177"/>
        <item x="147"/>
        <item x="195"/>
        <item x="21"/>
        <item x="19"/>
        <item x="178"/>
        <item x="153"/>
        <item x="159"/>
        <item x="175"/>
        <item x="80"/>
        <item x="137"/>
        <item x="148"/>
        <item x="170"/>
        <item x="92"/>
        <item x="181"/>
        <item x="146"/>
        <item x="123"/>
        <item x="122"/>
        <item x="134"/>
        <item x="149"/>
        <item x="186"/>
        <item x="121"/>
        <item x="119"/>
        <item x="131"/>
        <item x="116"/>
        <item x="115"/>
        <item x="113"/>
        <item x="114"/>
        <item x="132"/>
        <item x="120"/>
        <item x="139"/>
        <item x="20"/>
        <item x="193"/>
        <item x="59"/>
        <item x="91"/>
        <item x="96"/>
        <item x="79"/>
        <item x="127"/>
        <item x="142"/>
        <item x="90"/>
        <item x="51"/>
        <item x="136"/>
        <item x="135"/>
        <item x="183"/>
        <item x="150"/>
        <item x="169"/>
        <item x="145"/>
        <item x="57"/>
        <item x="190"/>
        <item x="124"/>
        <item x="77"/>
        <item x="160"/>
        <item x="143"/>
        <item x="144"/>
        <item x="151"/>
        <item x="6"/>
        <item x="35"/>
        <item x="174"/>
        <item x="18"/>
        <item x="14"/>
        <item x="8"/>
        <item x="158"/>
        <item x="36"/>
        <item x="0"/>
        <item x="128"/>
        <item x="74"/>
        <item x="152"/>
        <item x="187"/>
        <item x="99"/>
        <item x="108"/>
        <item x="104"/>
        <item x="176"/>
        <item x="76"/>
        <item x="161"/>
        <item x="17"/>
        <item x="16"/>
        <item x="155"/>
        <item x="141"/>
        <item x="157"/>
        <item x="130"/>
        <item x="15"/>
        <item x="71"/>
        <item x="163"/>
        <item x="164"/>
        <item x="166"/>
        <item x="52"/>
        <item x="50"/>
        <item x="31"/>
        <item x="22"/>
        <item x="95"/>
        <item x="30"/>
        <item x="88"/>
        <item x="86"/>
        <item x="13"/>
        <item x="27"/>
        <item x="46"/>
        <item x="45"/>
        <item x="44"/>
        <item x="60"/>
        <item x="34"/>
        <item x="61"/>
        <item x="58"/>
        <item x="64"/>
        <item x="110"/>
        <item x="93"/>
        <item x="87"/>
        <item x="75"/>
        <item x="94"/>
        <item x="69"/>
        <item x="37"/>
        <item x="53"/>
        <item x="78"/>
        <item x="82"/>
        <item x="97"/>
        <item x="106"/>
        <item x="165"/>
        <item x="84"/>
        <item x="38"/>
        <item x="65"/>
        <item x="105"/>
        <item x="83"/>
        <item x="39"/>
        <item x="23"/>
        <item x="63"/>
        <item x="66"/>
        <item x="112"/>
        <item x="7"/>
        <item x="48"/>
        <item x="191"/>
        <item x="24"/>
        <item x="29"/>
        <item x="109"/>
        <item x="192"/>
        <item x="25"/>
        <item x="40"/>
        <item x="111"/>
        <item x="33"/>
        <item x="26"/>
        <item x="126"/>
        <item x="41"/>
        <item x="42"/>
        <item x="43"/>
        <item x="62"/>
        <item x="4"/>
        <item x="2"/>
        <item x="70"/>
        <item x="32"/>
        <item x="49"/>
        <item x="3"/>
        <item x="89"/>
        <item x="56"/>
        <item x="172"/>
        <item x="73"/>
        <item x="54"/>
        <item x="1"/>
        <item x="102"/>
        <item x="85"/>
        <item x="72"/>
        <item x="194"/>
        <item x="107"/>
        <item x="67"/>
        <item x="68"/>
        <item x="117"/>
        <item x="47"/>
        <item x="185"/>
        <item x="184"/>
        <item x="171"/>
        <item x="98"/>
        <item x="12"/>
        <item x="55"/>
        <item x="173"/>
        <item x="101"/>
        <item x="11"/>
        <item x="125"/>
        <item x="138"/>
        <item x="182"/>
        <item x="162"/>
        <item x="10"/>
        <item x="156"/>
        <item x="189"/>
        <item x="129"/>
        <item x="168"/>
        <item x="167"/>
        <item x="103"/>
        <item x="9"/>
        <item x="154"/>
        <item x="28"/>
        <item x="81"/>
        <item x="5"/>
        <item x="118"/>
        <item x="188"/>
        <item x="100"/>
        <item x="180"/>
        <item x="179"/>
        <item x="1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21">
        <item m="1" x="13"/>
        <item m="1" x="18"/>
        <item m="1" x="19"/>
        <item m="1" x="17"/>
        <item m="1" x="16"/>
        <item m="1" x="15"/>
        <item m="1" x="14"/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2">
    <i>
      <x v="12"/>
    </i>
    <i>
      <x v="20"/>
    </i>
    <i>
      <x v="21"/>
    </i>
    <i>
      <x v="49"/>
    </i>
    <i>
      <x v="63"/>
    </i>
    <i>
      <x v="64"/>
    </i>
    <i>
      <x v="82"/>
    </i>
    <i>
      <x v="101"/>
    </i>
    <i>
      <x v="128"/>
    </i>
    <i>
      <x v="166"/>
    </i>
    <i>
      <x v="186"/>
    </i>
    <i>
      <x v="193"/>
    </i>
    <i>
      <x v="202"/>
    </i>
    <i>
      <x v="212"/>
    </i>
    <i>
      <x v="232"/>
    </i>
    <i>
      <x v="253"/>
    </i>
    <i>
      <x v="258"/>
    </i>
    <i>
      <x v="302"/>
    </i>
    <i>
      <x v="309"/>
    </i>
    <i>
      <x v="407"/>
    </i>
    <i>
      <x v="411"/>
    </i>
    <i>
      <x v="418"/>
    </i>
    <i>
      <x v="420"/>
    </i>
    <i>
      <x v="422"/>
    </i>
    <i>
      <x v="423"/>
    </i>
    <i>
      <x v="424"/>
    </i>
    <i>
      <x v="425"/>
    </i>
    <i>
      <x v="426"/>
    </i>
    <i>
      <x v="435"/>
    </i>
    <i>
      <x v="445"/>
    </i>
    <i>
      <x v="446"/>
    </i>
    <i>
      <x v="463"/>
    </i>
  </rowItems>
  <colItems count="1">
    <i/>
  </colItems>
  <pageFields count="3">
    <pageField fld="8" hier="-1"/>
    <pageField fld="11" item="0" hier="-1"/>
    <pageField fld="1" hier="-1"/>
  </pageFields>
  <dataFields count="1">
    <dataField name="Suma de Kilos" fld="10" baseField="1" baseItem="4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9FFE6754-B75A-43F8-86A1-691200BDE893}" sourceName="Sector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ficina" xr10:uid="{FA64EC84-5FF1-4BED-B51A-39C0A49356D4}" sourceName="Ofici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8FE70850-AD3C-4FA7-8EF3-3981B3C933EB}" sourceName="Sector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ficina1" xr10:uid="{9EA03477-5C29-4B4E-BB48-C139DFE2527D}" sourceName="Oficina">
  <extLst>
    <x:ext xmlns:x15="http://schemas.microsoft.com/office/spreadsheetml/2010/11/main" uri="{2F2917AC-EB37-4324-AD4E-5DD8C200BD13}">
      <x15:tableSlicerCache tableId="2" column="3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2" xr10:uid="{B453DC1A-0F98-4F34-99AC-1D1CD842C6B5}" sourceName="Sector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ficina2" xr10:uid="{83627258-0518-45CA-8CA7-C5B730BBCF47}" sourceName="Oficina">
  <extLst>
    <x:ext xmlns:x15="http://schemas.microsoft.com/office/spreadsheetml/2010/11/main" uri="{2F2917AC-EB37-4324-AD4E-5DD8C200BD13}">
      <x15:tableSlicerCache tableId="3" column="3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21" xr10:uid="{E35DD1C9-F68A-465E-B307-CDD99E2DFF1D}" sourceName="Sector">
  <extLst>
    <x:ext xmlns:x15="http://schemas.microsoft.com/office/spreadsheetml/2010/11/main" uri="{2F2917AC-EB37-4324-AD4E-5DD8C200BD13}">
      <x15:tableSlicerCache tableId="4" column="1"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ficina21" xr10:uid="{EB1FF85D-9E4A-4E12-8D9B-4B8E3F5B8EE0}" sourceName="Oficina">
  <extLst>
    <x:ext xmlns:x15="http://schemas.microsoft.com/office/spreadsheetml/2010/11/main" uri="{2F2917AC-EB37-4324-AD4E-5DD8C200BD13}">
      <x15:tableSlicerCache tableId="4" column="3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ctor 1" xr10:uid="{7F034B3E-59E5-4C31-8C9D-6929A1E20DE9}" cache="SegmentaciónDeDatos_Sector1" caption="Sector" columnCount="3" style="SlicerStyleDark2" rowHeight="324000"/>
  <slicer name="Oficina 1" xr10:uid="{2C5BEF71-846F-43CF-9C7E-BAD920909FAC}" cache="SegmentaciónDeDatos_Oficina1" caption="Oficina" columnCount="3" style="SlicerStyleDark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ctor 2" xr10:uid="{59EA0E06-3E3A-4957-9872-E91CCD696BF0}" cache="SegmentaciónDeDatos_Sector2" caption="Sector" columnCount="3" style="SlicerStyleDark2" rowHeight="324000"/>
  <slicer name="Oficina 2" xr10:uid="{31B4CC09-69B6-4BAD-9F7B-71FF23C1101F}" cache="SegmentaciónDeDatos_Oficina2" caption="Oficina" columnCount="3" style="SlicerStyleDark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ctor 3" xr10:uid="{EE148E50-8C70-4738-B489-8C1DA2FD638B}" cache="SegmentaciónDeDatos_Sector21" caption="Sector" columnCount="3" style="SlicerStyleDark2" rowHeight="324000"/>
  <slicer name="Oficina 3" xr10:uid="{FCE60FA3-213D-43B9-AAD0-AD6353665A03}" cache="SegmentaciónDeDatos_Oficina21" caption="Oficina" columnCount="3" style="SlicerStyleDark2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ctor" xr10:uid="{DE3316D4-BA5A-4D61-A2E2-047F47FB5773}" cache="SegmentaciónDeDatos_Sector" caption="Sector" columnCount="3" style="SlicerStyleDark2" rowHeight="324000"/>
  <slicer name="Oficina" xr10:uid="{56C8BB7F-DDD7-4F1D-B288-90305E439265}" cache="SegmentaciónDeDatos_Oficina" caption="Oficina" columnCount="3" style="SlicerStyleDark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5E623C-70B3-40BB-849D-72535C6B7716}" name="Tabla13" displayName="Tabla13" ref="B9:AF292" totalsRowShown="0" headerRowDxfId="448">
  <autoFilter ref="B9:AF292" xr:uid="{A4C1E6EB-CE18-49E7-895E-CADD47765CD3}">
    <filterColumn colId="1">
      <filters>
        <filter val="Pollo"/>
      </filters>
    </filterColumn>
    <filterColumn colId="2">
      <filters>
        <filter val="Agrosuper Asia"/>
      </filters>
    </filterColumn>
  </autoFilter>
  <tableColumns count="31">
    <tableColumn id="8" xr3:uid="{9BF9FD07-50B5-4B20-A93F-0A042E92FEF9}" name="Llave">
      <calculatedColumnFormula>Tabla13[[#This Row],[Oficina]]&amp;Tabla13[[#This Row],[Material]]</calculatedColumnFormula>
    </tableColumn>
    <tableColumn id="1" xr3:uid="{9524D5FE-834D-48C8-A5AE-09FA622F2596}" name="Sector"/>
    <tableColumn id="3" xr3:uid="{1D7DEAD2-F60C-4DE7-A3DB-83EDE2F7A031}" name="Oficina"/>
    <tableColumn id="4" xr3:uid="{4E119247-63BA-480D-8255-E0EAD3438E00}" name="Material"/>
    <tableColumn id="5" xr3:uid="{910331E0-E196-4E9B-A448-0C115EB169B5}" name="Descripción"/>
    <tableColumn id="6" xr3:uid="{7DB1BA9E-BC31-443B-BD9A-9CBD4EAA1C4E}" name="Nivel Jer. 2"/>
    <tableColumn id="7" xr3:uid="{3B28A59D-FF30-4D71-8437-90A7A266E451}" name="Nivel Jer. 3"/>
    <tableColumn id="9" xr3:uid="{80B9901E-2035-4277-B1A6-62FC6AC28EA2}" name=" RV Producción mes n+1" dataDxfId="447" dataCellStyle="Millares [0]">
      <calculatedColumnFormula>IFERROR(VLOOKUP(Tabla13[[#This Row],[Llave]],'[1]Consolidado RV'!$B:$H,6,FALSE),0)</calculatedColumnFormula>
    </tableColumn>
    <tableColumn id="10" xr3:uid="{6D8CF474-FAF3-4A5D-B990-E1ED94F344F2}" name=" RV  Venta mes n+1" dataDxfId="446">
      <calculatedColumnFormula>IFERROR(VLOOKUP(Tabla13[[#This Row],[Llave]],'[1]Consolidado RV'!$B:$H,7,FALSE),0)</calculatedColumnFormula>
    </tableColumn>
    <tableColumn id="11" xr3:uid="{4AA15788-3B31-4558-8B04-3895166D9641}" name="% Uti. producción" dataDxfId="445" dataCellStyle="Porcentaje">
      <calculatedColumnFormula>IFERROR(VLOOKUP(Tabla13[[#This Row],[Oficina]],#REF!,2,FALSE),0)</calculatedColumnFormula>
    </tableColumn>
    <tableColumn id="12" xr3:uid="{DEEAD948-1E05-44D1-A1E1-526A6DE8ECBA}" name="Producción disponible" dataCellStyle="Millares [0]">
      <calculatedColumnFormula>+Tabla13[[#This Row],[ RV Producción mes n+1]]*Tabla13[[#This Row],[% Uti. producción]]</calculatedColumnFormula>
    </tableColumn>
    <tableColumn id="13" xr3:uid="{C06DC476-1FB2-40F1-9F62-B0B28696A7E2}" name="Stock al día" dataCellStyle="Millares [0]">
      <calculatedColumnFormula>IFERROR(VLOOKUP(Tabla13[[#This Row],[Material]],#REF!,2,FALSE),0)</calculatedColumnFormula>
    </tableColumn>
    <tableColumn id="19" xr3:uid="{498B2FC6-5801-4DE5-974B-16D245A738B1}" name="Stock por despachar N" dataDxfId="444" dataCellStyle="Millares [0]">
      <calculatedColumnFormula>IFERROR(VLOOKUP(Tabla13[[#This Row],[Llave]],'En puerto-Programado'!A:D,4,FALSE)+VLOOKUP(Tabla13[[#This Row],[Llave]],'Por despachar'!A:F,6,FALSE),0)</calculatedColumnFormula>
    </tableColumn>
    <tableColumn id="14" xr3:uid="{D940BED2-0F90-48FF-8AC9-617FD55416E4}" name="Por producir Abr." dataCellStyle="Millares [0]">
      <calculatedColumnFormula>IFERROR(VLOOKUP(Tabla13[[#This Row],[Material]],[2]Consolidado!$C:$D,2,FALSE),0)</calculatedColumnFormula>
    </tableColumn>
    <tableColumn id="20" xr3:uid="{0A3C51B8-DE7B-4F5B-8E3B-44A904491B43}" name="Producción por despachar mes N" dataCellStyle="Millares [0]">
      <calculatedColumnFormula>IFERROR(VLOOKUP(Tabla13[[#This Row],[Llave]],'Por despachar'!A:E,5,FALSE),0)</calculatedColumnFormula>
    </tableColumn>
    <tableColumn id="17" xr3:uid="{0064BD7D-3D41-4974-B3FB-01641FA7761C}" name="Total disponible" dataDxfId="443" dataCellStyle="Millares [0]">
      <calculatedColumnFormula>SUM(Tabla13[[#This Row],[Producción disponible]],Tabla13[[#This Row],[Stock al día]],Tabla13[[#This Row],[Por producir Abr.]])-SUM(Tabla13[[#This Row],[Stock por despachar N]],Tabla13[[#This Row],[Producción por despachar mes N]])</calculatedColumnFormula>
    </tableColumn>
    <tableColumn id="21" xr3:uid="{8D9EE469-EAFA-4DD8-9CBE-5EBA6877F427}" name="Delay" dataCellStyle="Millares [0]">
      <calculatedColumnFormula>IFERROR(VLOOKUP(Tabla13[[#This Row],[Llave]],[3]Hoja2!$A:$D,4,FALSE),0)</calculatedColumnFormula>
    </tableColumn>
    <tableColumn id="22" xr3:uid="{0AFB4629-5CBC-49AB-AC2B-11461134C772}" name="Vol. prom. Por contenedor" dataDxfId="442" dataCellStyle="Millares [0]">
      <calculatedColumnFormula>IFERROR(VLOOKUP(Tabla13[[#This Row],[Material]],[4]Hoja1!$B:$C,2,FALSE),0)</calculatedColumnFormula>
    </tableColumn>
    <tableColumn id="23" xr3:uid="{E36765C7-F9EF-427B-A560-4183EED4D26B}" name="Atraso a facturar" dataDxfId="441" dataCellStyle="Millares [0]">
      <calculatedColumnFormula>IF(AND(Q10&gt;R10,R10&gt;0),R10,IF(AND(Q10&lt;R10,R10&gt;0),(ROUNDDOWN(Q10/S10,0)*S10),0))</calculatedColumnFormula>
    </tableColumn>
    <tableColumn id="24" xr3:uid="{74D762AE-B001-4480-AB95-B0E6276D6632}" name="Producción Disponible2" dataDxfId="440">
      <calculatedColumnFormula>+Tabla13[[#This Row],[Total disponible]]-Tabla13[[#This Row],[Atraso a facturar]]</calculatedColumnFormula>
    </tableColumn>
    <tableColumn id="25" xr3:uid="{56AC6A6A-80BC-45F6-A39A-69BFC4A08C66}" name="Venta del mes" dataDxfId="439">
      <calculatedColumnFormula>IFERROR(IF(AND(U10&gt;S10,J10&gt;S10),ROUNDDOWN(U10/S10,0)*S10,0),0)</calculatedColumnFormula>
    </tableColumn>
    <tableColumn id="29" xr3:uid="{76240037-6939-4316-857F-063CF7EF3759}" name="Warning venta" dataDxfId="438">
      <calculatedColumnFormula>IF(Tabla13[[#This Row],[Venta del mes]]&gt;Tabla13[[#This Row],[ RV  Venta mes n+1]],"Falta venta","-")</calculatedColumnFormula>
    </tableColumn>
    <tableColumn id="26" xr3:uid="{2FE17227-62D4-43DD-AF06-A93955402214}" name="Ajuste" dataCellStyle="Millares [0]"/>
    <tableColumn id="28" xr3:uid="{4BAE204D-9F77-4618-8CC0-5624B9A94409}" name="En puerto a facturar" dataDxfId="437" dataCellStyle="Millares [0]"/>
    <tableColumn id="2" xr3:uid="{8285059C-59C4-4655-B7C6-5E77B7E26F1A}" name="Plan ajustado" dataDxfId="436" dataCellStyle="Millares [0]">
      <calculatedColumnFormula>+Tabla13[[#This Row],[Atraso a facturar]]+Tabla13[[#This Row],[Venta del mes]]+Tabla13[[#This Row],[Ajuste]]</calculatedColumnFormula>
    </tableColumn>
    <tableColumn id="27" xr3:uid="{7DD69F0D-40DB-4B23-BAC0-FD84930212A5}" name="Plan Irrestricto" dataDxfId="435">
      <calculatedColumnFormula>+Tabla13[[#This Row],[Atraso a facturar]]+Tabla13[[#This Row],[Venta del mes]]+Tabla13[[#This Row],[En puerto a facturar]]</calculatedColumnFormula>
    </tableColumn>
    <tableColumn id="15" xr3:uid="{D0E45215-3754-4383-B052-65DBBD1DB9A4}" name="Plan Enero" dataDxfId="434" dataCellStyle="Millares [0]">
      <calculatedColumnFormula>IFERROR(VLOOKUP(Tabla13[[#This Row],[Llave]],'[5]Consolidación planes'!$A:$M,9,FALSE),0)</calculatedColumnFormula>
    </tableColumn>
    <tableColumn id="16" xr3:uid="{9AA3B64B-EC0C-4C7A-A6E8-007887021C9F}" name="Plan Febrero" dataDxfId="433" dataCellStyle="Millares [0]">
      <calculatedColumnFormula>IFERROR(VLOOKUP(Tabla13[[#This Row],[Llave]],'[5]Consolidación planes'!$A:$M,10,FALSE),0)</calculatedColumnFormula>
    </tableColumn>
    <tableColumn id="18" xr3:uid="{B673C0BF-B830-4A34-9EE8-E9AD5FFD4644}" name="Plan Marzo" dataDxfId="432" dataCellStyle="Millares [0]">
      <calculatedColumnFormula>IFERROR(VLOOKUP(Tabla13[[#This Row],[Llave]],'[5]Consolidación planes'!$A:$M,11,FALSE),0)</calculatedColumnFormula>
    </tableColumn>
    <tableColumn id="30" xr3:uid="{C6FA2749-5B8A-4E5B-8B9C-7C450CAB2AD4}" name="Plan Abril" dataDxfId="431" dataCellStyle="Millares [0]">
      <calculatedColumnFormula>IFERROR(VLOOKUP(Tabla13[[#This Row],[Llave]],'[5]Consolidación planes'!$A:$M,12,FALSE),0)</calculatedColumnFormula>
    </tableColumn>
    <tableColumn id="31" xr3:uid="{8753FAF0-27D2-4C8B-AEF5-4D55CCAB552B}" name="Plan Mayo" dataDxfId="430" dataCellStyle="Millares [0]">
      <calculatedColumnFormula>IFERROR(VLOOKUP(Tabla13[[#This Row],[Llave]],'[5]Consolidación planes'!$A:$M,13,FALSE),0)</calculatedColumnFormula>
    </tableColumn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AF7083-3C09-4ECD-99CF-3D8B9B9DBDDB}" name="Tabla14" displayName="Tabla14" ref="B9:CD327" totalsRowShown="0" headerRowDxfId="405">
  <autoFilter ref="B9:CD327" xr:uid="{A4C1E6EB-CE18-49E7-895E-CADD47765CD3}"/>
  <tableColumns count="81">
    <tableColumn id="8" xr3:uid="{EA635C38-0CA3-443D-B2D1-9E3EC9D4F951}" name="Llave">
      <calculatedColumnFormula>Tabla14[[#This Row],[Oficina]]&amp;Tabla14[[#This Row],[Material]]</calculatedColumnFormula>
    </tableColumn>
    <tableColumn id="1" xr3:uid="{D4F7741E-F471-4339-9A18-31FAC8E92741}" name="Sector"/>
    <tableColumn id="3" xr3:uid="{A0447A71-AA3E-45F1-914B-849D062BE325}" name="Oficina"/>
    <tableColumn id="4" xr3:uid="{2453CAE8-56A8-487D-946E-19FC5162C62B}" name="Material"/>
    <tableColumn id="5" xr3:uid="{F0CE2F45-7DC1-4900-9CD5-83AF46BA768B}" name="Descripción"/>
    <tableColumn id="6" xr3:uid="{FA2E8508-F8F3-4F2A-8DAF-865821CC9A6A}" name="Nivel Jer. 2"/>
    <tableColumn id="7" xr3:uid="{6F9F0551-5B4B-45AA-B485-08EDAE4D4F26}" name="Nivel Jer. 3"/>
    <tableColumn id="9" xr3:uid="{60C0460F-C87F-4F7C-A325-31F3C511BE49}" name=" RV Producción mes n+1" dataDxfId="404" dataCellStyle="Millares [0]">
      <calculatedColumnFormula>IFERROR(IF(Tabla14[[#This Row],[Oficina]]=$I$7,VLOOKUP(Tabla14[[#This Row],[Material]],'[6]RV Producción'!$Y:$AA,3,FALSE),VLOOKUP(Tabla14[[#This Row],[Llave]],'[6]RV Producción'!$C:$G,5,FALSE)),0)</calculatedColumnFormula>
    </tableColumn>
    <tableColumn id="10" xr3:uid="{CF310EDD-A74A-4573-A980-FB6EF481C752}" name=" RV  Venta mes n+1" dataDxfId="403" dataCellStyle="Millares [0]">
      <calculatedColumnFormula>IFERROR(IF(Tabla14[[#This Row],[Oficina]]=$I$7,VLOOKUP(Tabla14[[#This Row],[Llave]],'[7]Shangai (Tomas)'!$A:$F,6,FALSE),VLOOKUP(Tabla14[[#This Row],[Llave]],'[6]RV plan de ventas'!$A:$E,5,FALSE)),0)</calculatedColumnFormula>
    </tableColumn>
    <tableColumn id="11" xr3:uid="{CEC29608-BA91-4833-AD50-B524AA37E0D1}" name="% Uti. producción" dataDxfId="402" dataCellStyle="Porcentaje">
      <calculatedColumnFormula>IFERROR(VLOOKUP(Tabla14[[#This Row],[Sector]]&amp;Tabla14[[#This Row],[Oficina]],[8]Ponderación!$A$3:$G$22,7,FALSE),0)</calculatedColumnFormula>
    </tableColumn>
    <tableColumn id="12" xr3:uid="{6386B5F9-A317-48F8-9553-67953AD64321}" name="Producción disponible" dataCellStyle="Millares [0]">
      <calculatedColumnFormula>+Tabla14[[#This Row],[ RV Producción mes n+1]]*Tabla14[[#This Row],[% Uti. producción]]</calculatedColumnFormula>
    </tableColumn>
    <tableColumn id="13" xr3:uid="{FCBB8CBA-5526-4EB0-838A-6B10735287A6}" name="Stock al día" dataDxfId="401" dataCellStyle="Millares [0]">
      <calculatedColumnFormula>IFERROR(VLOOKUP(Tabla14[[#This Row],[Material]],'[9]TD Stock'!$B:$C,2,FALSE),0)</calculatedColumnFormula>
    </tableColumn>
    <tableColumn id="14" xr3:uid="{9A0DD481-2EDC-42A3-B8B3-6BD40F699C16}" name="Por producir mes N" dataDxfId="400" dataCellStyle="Millares [0]">
      <calculatedColumnFormula>IFERROR(VLOOKUP(Tabla14[[#This Row],[Material]],'[10]Consolidado planificación'!$B:$C,2,FALSE),0)</calculatedColumnFormula>
    </tableColumn>
    <tableColumn id="20" xr3:uid="{D7F0547C-8456-4BC5-9C92-B01D537D1C64}" name="Producción por despachar mes N" dataDxfId="399" dataCellStyle="Millares [0]">
      <calculatedColumnFormula>IFERROR(VLOOKUP(Tabla14[[#This Row],[Llave]],[11]Hoja2!$D:$G,4,FALSE),0)</calculatedColumnFormula>
    </tableColumn>
    <tableColumn id="17" xr3:uid="{84CDF5F7-93E2-440A-A37E-CC432A6DE646}" name="Total disponible" dataDxfId="398" dataCellStyle="Millares [0]">
      <calculatedColumnFormula>SUM(Tabla14[[#This Row],[Producción disponible]],Tabla14[[#This Row],[Stock al día]],(Tabla14[[#This Row],[Por producir mes N]]*0.9))-Tabla14[[#This Row],[Producción por despachar mes N]]</calculatedColumnFormula>
    </tableColumn>
    <tableColumn id="21" xr3:uid="{141159FA-E6B9-4920-BFE4-F0334EFD7F70}" name="Delay" dataDxfId="397" dataCellStyle="Millares [0]">
      <calculatedColumnFormula>IFERROR(VLOOKUP(Tabla14[[#This Row],[Llave]],[9]DELAY!$A:$D,4,FALSE),0)</calculatedColumnFormula>
    </tableColumn>
    <tableColumn id="22" xr3:uid="{A0A4DDCE-8CCB-44CF-BFCD-1C810CE2E99B}" name="Vol. prom. Por contenedor" dataDxfId="396" dataCellStyle="Millares [0]"/>
    <tableColumn id="23" xr3:uid="{B6D380B7-3F56-4F23-845E-631D812EE353}" name="Atraso a facturar" dataDxfId="395" dataCellStyle="Millares [0]">
      <calculatedColumnFormula>IF(AND(P10&gt;Q10,Q10&gt;0),Q10,IF(AND(P10&lt;Q10,Q10&gt;0),(ROUNDDOWN(P10/R10,0)*R10),0))</calculatedColumnFormula>
    </tableColumn>
    <tableColumn id="38" xr3:uid="{48075F95-66D4-4C2B-AC5A-54310F4141F1}" name="Ajuste atraso" dataDxfId="394" dataCellStyle="Millares [0]"/>
    <tableColumn id="19" xr3:uid="{EB44D6AB-1969-42CC-BF47-71FA112F0FAF}" name="Facturación atraso" dataDxfId="393" dataCellStyle="Millares [0]">
      <calculatedColumnFormula>+Tabla14[[#This Row],[Atraso a facturar]]+Tabla14[[#This Row],[Ajuste atraso]]</calculatedColumnFormula>
    </tableColumn>
    <tableColumn id="24" xr3:uid="{0C2FFB07-5BF4-4774-9A33-B85AF37D9309}" name="Producción para venta nueva" dataDxfId="392">
      <calculatedColumnFormula>+Tabla14[[#This Row],[Total disponible]]-Tabla14[[#This Row],[Facturación atraso]]</calculatedColumnFormula>
    </tableColumn>
    <tableColumn id="25" xr3:uid="{5BCD1038-F673-45F7-8F38-A8F669CE19AE}" name="Venta del mes" dataDxfId="391">
      <calculatedColumnFormula>IFERROR(IF(AND(V10&gt;R10,J10&gt;=R10),ROUNDDOWN((Tabla14[[#This Row],[Producción para venta nueva]])/R10,0)*R10,0),0)</calculatedColumnFormula>
    </tableColumn>
    <tableColumn id="39" xr3:uid="{501EC12A-7C17-4AD3-B838-86B520685427}" name="Ajuste venta nueva" dataDxfId="390" dataCellStyle="Millares [0]"/>
    <tableColumn id="44" xr3:uid="{B129934B-F28C-494D-97DE-CAC8CA34065B}" name="Facturación Venta nueva" dataDxfId="389">
      <calculatedColumnFormula>IF(Tabla14[[#This Row],[Venta del mes]]&gt;0,Tabla14[[#This Row],[Venta del mes]]+Tabla14[[#This Row],[Ajuste venta nueva]],0)</calculatedColumnFormula>
    </tableColumn>
    <tableColumn id="46" xr3:uid="{A76D3BC9-FA96-43CE-9E65-64A2FB2A2DFD}" name="Saldo Volumen disponible" dataDxfId="388">
      <calculatedColumnFormula>+Tabla14[[#This Row],[Producción para venta nueva]]-Tabla14[[#This Row],[Facturación Venta nueva]]</calculatedColumnFormula>
    </tableColumn>
    <tableColumn id="47" xr3:uid="{46065D57-1B00-4F0C-9F66-A1AE26B272C4}" name="Disponible stock sin venta" dataDxfId="387">
      <calculatedColumnFormula>IF(AND(A10=1,Tabla14[[#This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calculatedColumnFormula>
    </tableColumn>
    <tableColumn id="68" xr3:uid="{C38D32CC-9464-4838-ADD5-8239748B56D1}" name="Ajuste stock sin venta" dataDxfId="386"/>
    <tableColumn id="37" xr3:uid="{70A35B73-7096-4609-8571-C5D711E67F10}" name="Facturación stock" dataDxfId="385">
      <calculatedColumnFormula>IF(Tabla14[[#This Row],[Disponible stock sin venta]]&gt;0,Tabla14[[#This Row],[Disponible stock sin venta]]+Tabla14[[#This Row],[Ajuste stock sin venta]],0)</calculatedColumnFormula>
    </tableColumn>
    <tableColumn id="49" xr3:uid="{5FB4B781-5E27-4A8E-80A2-09D1312237E8}" name="En puerto a facturar" dataDxfId="384">
      <calculatedColumnFormula>IFERROR(VLOOKUP(Tabla14[[#This Row],[Llave]],[12]Hoja1!$A:$D,4,FALSE),0)</calculatedColumnFormula>
    </tableColumn>
    <tableColumn id="70" xr3:uid="{49CDAB27-CECE-4C44-95C5-DB7962AB10CC}" name="Plan Irrestricto Inicial" dataDxfId="383" dataCellStyle="Millares [0]">
      <calculatedColumnFormula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calculatedColumnFormula>
    </tableColumn>
    <tableColumn id="48" xr3:uid="{AAF00C6F-4644-4045-97C1-35D69C2EC1CB}" name="Plan Irrestricto (DATO)" dataDxfId="382"/>
    <tableColumn id="27" xr3:uid="{CDCDCCB2-94BE-437E-9350-454D88C92B0A}" name="Puerto " dataDxfId="381">
      <calculatedColumnFormula>+Tabla14[[#This Row],[En puerto a facturar]]</calculatedColumnFormula>
    </tableColumn>
    <tableColumn id="26" xr3:uid="{4A516344-3A18-41DD-B71C-123E91D071A0}" name="Atraso" dataDxfId="380">
      <calculatedColumnFormula>+Tabla14[[#This Row],[Facturación atraso]]</calculatedColumnFormula>
    </tableColumn>
    <tableColumn id="2" xr3:uid="{C6BDF0B6-2728-4EF0-92D9-1C2F69A138AD}" name="Venta nueva" dataDxfId="379">
      <calculatedColumnFormula>+Tabla14[[#This Row],[Plan Irrestricto (DATO)]]-Tabla14[[#This Row],[Puerto ]]-Tabla14[[#This Row],[Atraso]]</calculatedColumnFormula>
    </tableColumn>
    <tableColumn id="50" xr3:uid="{0B75B2D0-9FE3-4767-90B6-291878D05B63}" name="Plan Ajustado" dataDxfId="378">
      <calculatedColumnFormula>IF(Tabla14[[#This Row],[Plan Irrestricto (DATO)]]&gt;0,SUM(Tabla14[[#This Row],[Facturación atraso]],Tabla14[[#This Row],[Facturación Venta nueva]],Tabla14[[#This Row],[Facturación stock]],Tabla14[[#This Row],[En puerto a facturar]]),0)</calculatedColumnFormula>
    </tableColumn>
    <tableColumn id="29" xr3:uid="{F7F44A1A-443F-40FE-9FE5-B0A8E28E264B}" name=" Atraso ajustado" dataDxfId="377">
      <calculatedColumnFormula>+Tabla14[[#This Row],[Facturación atraso]]</calculatedColumnFormula>
    </tableColumn>
    <tableColumn id="28" xr3:uid="{D6A6C598-5EDF-4058-904A-5FE4575179DE}" name="Venta nueva Ajustado" dataDxfId="376">
      <calculatedColumnFormula>Tabla14[[#This Row],[Plan Ajustado]]-Tabla14[[#This Row],[ Atraso ajustado]]-Tabla14[[#This Row],[En puerto a facturar]]</calculatedColumnFormula>
    </tableColumn>
    <tableColumn id="59" xr3:uid="{FD5DEFBF-37B9-4699-BAE9-D9C502AA3450}" name="Motivo Ajuste" dataDxfId="375"/>
    <tableColumn id="35" xr3:uid="{50F5E87E-9238-463B-9236-1920F17E46B0}" name="Ajustado por" dataDxfId="374"/>
    <tableColumn id="63" xr3:uid="{73B2F2D6-0462-41CA-9BBF-1354D08FAD0D}" name="Usa produdicción o stock ¿?" dataDxfId="373">
      <calculatedColumnFormula>IF(Tabla14[[#This Row],[Plan Ajustado]]&gt;Tabla14[[#This Row],[En puerto a facturar]],"Si","No")</calculatedColumnFormula>
    </tableColumn>
    <tableColumn id="64" xr3:uid="{2991C774-C694-4D18-AA7F-56EBD8F69A0F}" name="Necesidad" dataDxfId="372">
      <calculatedColumnFormula>IF(AND(Tabla14[[#This Row],[Plan Ajustado]]&gt;0,Tabla14[[#This Row],[Plan Ajustado]]&gt;Tabla14[[#This Row],[En puerto a facturar]]),(Tabla14[[#This Row],[Plan Ajustado]]-Tabla14[[#This Row],[En puerto a facturar]]),0)</calculatedColumnFormula>
    </tableColumn>
    <tableColumn id="65" xr3:uid="{5E908BD2-15B6-43DE-8A66-435DED66CB5E}" name="Stock Plan" dataDxfId="371">
      <calculatedColumnFormula>IF(Tabla14[[#This Row],[Necesidad]]&gt;=Tabla14[[#This Row],[Stock al día]],Tabla14[[#This Row],[Stock al día]],Tabla14[[#This Row],[Necesidad]])</calculatedColumnFormula>
    </tableColumn>
    <tableColumn id="36" xr3:uid="{CAEB3F5C-DAEA-462E-A569-70CDACD702E9}" name="Producción nueva" dataDxfId="370">
      <calculatedColumnFormula>+Tabla14[[#This Row],[Necesidad]]-Tabla14[[#This Row],[Stock Plan]]</calculatedColumnFormula>
    </tableColumn>
    <tableColumn id="67" xr3:uid="{F87EE7BE-3B1A-4869-847A-C1D0F77529B9}" name="Fecha limite producción" dataDxfId="369">
      <calculatedColumnFormula>VLOOKUP(Tabla14[[#This Row],[Sector]]&amp;Tabla14[[#This Row],[Oficina]],[8]Ponderación!$A:$H,8,FALSE)</calculatedColumnFormula>
    </tableColumn>
    <tableColumn id="32" xr3:uid="{1763CB7B-0D09-4906-87B0-6E520E495F38}" name="Precio venta nueva" dataDxfId="368" dataCellStyle="Moneda [0]">
      <calculatedColumnFormula>IFERROR(VLOOKUP(Tabla14[[#This Row],[Llave]],'[6]RV plan de ventas'!$A:$F,6,FALSE),0)</calculatedColumnFormula>
    </tableColumn>
    <tableColumn id="33" xr3:uid="{8930D323-7F32-4BD3-BB74-E59F52975B2C}" name="Precio Atraso" dataDxfId="367">
      <calculatedColumnFormula>IFERROR(VLOOKUP(Tabla14[[#This Row],[Llave]],[9]DELAY!$H:$X,17,FALSE),0)</calculatedColumnFormula>
    </tableColumn>
    <tableColumn id="34" xr3:uid="{883F64FC-FC32-41B8-AAE2-24C4BD2242B2}" name="Precio ponderado" dataDxfId="366" dataCellStyle="Moneda [0]">
      <calculatedColumnFormula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calculatedColumnFormula>
    </tableColumn>
    <tableColumn id="40" xr3:uid="{490B110D-7D6F-4CB4-9537-B45E985F98D2}" name="Neto" dataDxfId="365" dataCellStyle="Millares [0]">
      <calculatedColumnFormula>Tabla14[[#This Row],[Pecio plan]]*Tabla14[[#This Row],[Plan Ajustado]]</calculatedColumnFormula>
    </tableColumn>
    <tableColumn id="42" xr3:uid="{B4577023-D8E9-4B7D-AA38-35AD6DD7B200}" name="Precio Ultima facturación" dataDxfId="364" dataCellStyle="Moneda [0]">
      <calculatedColumnFormula>IFERROR(VLOOKUP(Tabla14[[#This Row],[Llave]],'[13]Ultimos precios facturados'!$A:$G,7,FALSE),0)</calculatedColumnFormula>
    </tableColumn>
    <tableColumn id="66" xr3:uid="{6E63D829-A301-4BDC-8115-2CD728F21FBF}" name="Desv ABS Precio" dataDxfId="363" dataCellStyle="Porcentaje">
      <calculatedColumnFormula>IF(AND(Tabla14[[#This Row],[Precio ponderado]]&gt;0,Tabla14[[#This Row],[Precio Ultima facturación]]&gt;0),(ABS(Tabla14[[#This Row],[Precio Ultima facturación]]-Tabla14[[#This Row],[Precio ponderado]])/Tabla14[[#This Row],[Precio Ultima facturación]]),"No Aplica")</calculatedColumnFormula>
    </tableColumn>
    <tableColumn id="45" xr3:uid="{82B37F72-4472-4D52-8C55-FE660C0EA4FC}" name="Ajuste precio IC" dataDxfId="362" dataCellStyle="Moneda [0]"/>
    <tableColumn id="61" xr3:uid="{A8F46F96-1E7F-4D87-9D50-C0F879958E90}" name="Precio Final" dataDxfId="361" dataCellStyle="Moneda [0]">
      <calculatedColumnFormula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calculatedColumnFormula>
    </tableColumn>
    <tableColumn id="73" xr3:uid="{08CB0C68-086F-4F19-BC48-E4899EE4E7A8}" name="Market" dataDxfId="360" dataCellStyle="Moneda [0]"/>
    <tableColumn id="74" xr3:uid="{108A8059-2F33-419D-BDA5-5DC05EBE8CBC}" name="Pecio plan" dataDxfId="359" dataCellStyle="Moneda [0]">
      <calculatedColumnFormula>IF(Tabla14[[#This Row],[Market]]=0,Tabla14[[#This Row],[Precio Final]],Tabla14[[#This Row],[Market]])</calculatedColumnFormula>
    </tableColumn>
    <tableColumn id="43" xr3:uid="{D1EFEC85-6155-4153-8C77-8434B231557A}" name="OB Ajuste precio" dataDxfId="358" dataCellStyle="Porcentaje"/>
    <tableColumn id="60" xr3:uid="{6F4DC3F0-9D40-4A21-B168-C4D5DDCE2F5C}" name="Verificador precio 1" dataDxfId="357" dataCellStyle="Porcentaje">
      <calculatedColumnFormula>IF(AND(Tabla14[[#This Row],[Atraso a facturar]]&gt;0,Tabla14[[#This Row],[En puerto a facturar]]&gt;0,Tabla14[[#This Row],[Precio Atraso]]=0),"Revisar","OK")</calculatedColumnFormula>
    </tableColumn>
    <tableColumn id="52" xr3:uid="{7F3D5A13-BE50-40AC-8D86-43BBAFB75374}" name="Verificador precio 2 vta nueva" dataDxfId="356" dataCellStyle="Porcentaje">
      <calculatedColumnFormula>IF(AND(Tabla14[[#This Row],[Venta del mes]]&gt;0,Tabla14[[#This Row],[Precio venta nueva]]=0),"Revisar","OK")</calculatedColumnFormula>
    </tableColumn>
    <tableColumn id="15" xr3:uid="{0709CABE-4B2A-42A7-ADCA-F397D2C07448}" name="Plan Enero" dataDxfId="355" dataCellStyle="Millares [0]">
      <calculatedColumnFormula>IFERROR(VLOOKUP(Tabla14[[#This Row],[Llave]],'[5]Consolidación planes'!$A:$M,9,FALSE),0)</calculatedColumnFormula>
    </tableColumn>
    <tableColumn id="16" xr3:uid="{8413A03C-08E8-4E02-933A-C8785B8F2B4A}" name="Plan Febrero" dataDxfId="354" dataCellStyle="Millares [0]">
      <calculatedColumnFormula>IFERROR(VLOOKUP(Tabla14[[#This Row],[Llave]],'[5]Consolidación planes'!$A:$M,10,FALSE),0)</calculatedColumnFormula>
    </tableColumn>
    <tableColumn id="18" xr3:uid="{405E9DD8-00E4-4AED-98FE-BD110BC539E1}" name="Plan Marzo" dataDxfId="353" dataCellStyle="Millares [0]">
      <calculatedColumnFormula>IFERROR(VLOOKUP(Tabla14[[#This Row],[Llave]],'[5]Consolidación planes'!$A:$M,11,FALSE),0)</calculatedColumnFormula>
    </tableColumn>
    <tableColumn id="30" xr3:uid="{F1C79A51-4218-4D56-B8F0-C657D61864C8}" name="Plan Abril" dataDxfId="352" dataCellStyle="Millares [0]">
      <calculatedColumnFormula>IFERROR(VLOOKUP(Tabla14[[#This Row],[Llave]],'[5]Consolidación planes'!$A:$M,12,FALSE),0)</calculatedColumnFormula>
    </tableColumn>
    <tableColumn id="31" xr3:uid="{3C53566C-3DF2-4697-A49D-75772B77811E}" name="Plan Mayo" dataDxfId="351" dataCellStyle="Millares [0]">
      <calculatedColumnFormula>IFERROR(VLOOKUP(Tabla14[[#This Row],[Llave]],'[5]Consolidación planes'!$A:$M,13,FALSE),0)</calculatedColumnFormula>
    </tableColumn>
    <tableColumn id="51" xr3:uid="{13CFEFCA-EF6F-486F-B239-CCF21FD9A6B6}" name="Plan Jun" dataDxfId="350" dataCellStyle="Millares [0]">
      <calculatedColumnFormula>IFERROR(VLOOKUP(Tabla14[[#This Row],[Llave]],'[13]Base ultimos planes'!$A:$M,13,FALSE),0)</calculatedColumnFormula>
    </tableColumn>
    <tableColumn id="71" xr3:uid="{2831A49F-9164-4663-B72C-3AD3812B4763}" name="Plan Julio" dataDxfId="349" dataCellStyle="Millares [0]">
      <calculatedColumnFormula>IFERROR(VLOOKUP(Tabla14[[#This Row],[Llave]],'[13]Cruce plan irrestricto'!$C:$M,10,FALSE),0)</calculatedColumnFormula>
    </tableColumn>
    <tableColumn id="72" xr3:uid="{E6E2F2A9-994D-4B35-823D-25DD180A154D}" name="Plan Agosto" dataDxfId="348" dataCellStyle="Millares [0]">
      <calculatedColumnFormula>IFERROR(VLOOKUP(Tabla14[[#This Row],[Llave]],'[13]Cruce plan irrestricto'!$C:$M,11,FALSE),0)</calculatedColumnFormula>
    </tableColumn>
    <tableColumn id="58" xr3:uid="{5175C1F4-3512-4DB5-AA53-7DD51161BE47}" name="Neto Ene" dataDxfId="347" dataCellStyle="Moneda [0]">
      <calculatedColumnFormula>IFERROR(VLOOKUP(Tabla14[[#This Row],[Llave]],'[13]Base ultimos planes'!$O:$AA,8,FALSE),0)</calculatedColumnFormula>
    </tableColumn>
    <tableColumn id="57" xr3:uid="{20F3C939-D182-4FE1-928C-84E2D2454AA2}" name="Neto Feb" dataDxfId="346" dataCellStyle="Millares [0]">
      <calculatedColumnFormula>IFERROR(VLOOKUP(Tabla14[[#This Row],[Llave]],'[13]Base ultimos planes'!$O:$AA,9,FALSE),0)</calculatedColumnFormula>
    </tableColumn>
    <tableColumn id="56" xr3:uid="{08B461F0-174A-413B-8D56-E782F4204CB4}" name="Neto Mar" dataDxfId="345" dataCellStyle="Millares [0]">
      <calculatedColumnFormula>IFERROR(VLOOKUP(Tabla14[[#This Row],[Llave]],'[13]Base ultimos planes'!$O:$AA,10,FALSE),0)</calculatedColumnFormula>
    </tableColumn>
    <tableColumn id="55" xr3:uid="{AB055426-F93D-44CD-B272-2EF0C53C0CF8}" name="Neto Abr" dataDxfId="344" dataCellStyle="Millares [0]">
      <calculatedColumnFormula>IFERROR(VLOOKUP(Tabla14[[#This Row],[Llave]],'[13]Base ultimos planes'!$O:$AA,11,FALSE),0)</calculatedColumnFormula>
    </tableColumn>
    <tableColumn id="54" xr3:uid="{D666543C-2566-4325-932E-57F73A61DEC9}" name="Neto May" dataDxfId="343" dataCellStyle="Millares [0]">
      <calculatedColumnFormula>IFERROR(VLOOKUP(Tabla14[[#This Row],[Llave]],'[13]Base ultimos planes'!$O:$AA,12,FALSE),0)</calculatedColumnFormula>
    </tableColumn>
    <tableColumn id="53" xr3:uid="{44B75AA6-17B1-4A24-AFC6-DEE38A0DD5F7}" name="Neto Jun" dataDxfId="342" dataCellStyle="Millares [0]">
      <calculatedColumnFormula>IFERROR(VLOOKUP(Tabla14[[#This Row],[Llave]],'[13]Base ultimos planes'!$O:$AA,13,FALSE),0)</calculatedColumnFormula>
    </tableColumn>
    <tableColumn id="41" xr3:uid="{064E5493-761D-49E4-AF37-7ACB99830FF6}" name="OBS" dataDxfId="341" dataCellStyle="Millares [0]"/>
    <tableColumn id="75" xr3:uid="{1F0F6B02-6043-402E-A611-9B9EA4353C69}" name="Saldo mes n-1" dataDxfId="340" dataCellStyle="Millares [0]">
      <calculatedColumnFormula>Tabla14[[#This Row],[ RV Producción mes n+1]]-Tabla14[[#This Row],[Producción disponible]]+Tabla14[[#This Row],[Saldo Volumen disponible]]</calculatedColumnFormula>
    </tableColumn>
    <tableColumn id="76" xr3:uid="{107E1EA4-B50C-47D6-9194-FF0D0FDCF041}" name="Asignación mes n+1" dataDxfId="339" dataCellStyle="Millares [0]">
      <calculatedColumnFormula>IFERROR(VLOOKUP(Tabla14[[#This Row],[Llave]],[14]Hoja2!$J:$N,4,FALSE),0)</calculatedColumnFormula>
    </tableColumn>
    <tableColumn id="77" xr3:uid="{14FB605D-C606-40E8-8B79-BF6EF3E65389}" name="Ponderación mes n+1" dataDxfId="338" dataCellStyle="Millares [0]">
      <calculatedColumnFormula>+Tabla14[[#This Row],[Asignación mes n+1]]*Tabla14[[#This Row],[% Uti. producción]]</calculatedColumnFormula>
    </tableColumn>
    <tableColumn id="78" xr3:uid="{6200B14F-2F4D-4B02-B1D6-E0DD1F1AD8C8}" name="Irrstricto mes n+1" dataDxfId="337" dataCellStyle="Millares [0]">
      <calculatedColumnFormula>+Tabla14[[#This Row],[Ponderación mes n+1]]+Tabla14[[#This Row],[Saldo mes n-1]]</calculatedColumnFormula>
    </tableColumn>
    <tableColumn id="79" xr3:uid="{E6407388-CBE7-453F-8AE7-AE66583DD0D7}" name="Saldo mes n+2" dataDxfId="336" dataCellStyle="Millares [0]">
      <calculatedColumnFormula>+Tabla14[[#This Row],[Asignación mes n+1]]-Tabla14[[#This Row],[Ponderación mes n+1]]</calculatedColumnFormula>
    </tableColumn>
    <tableColumn id="80" xr3:uid="{9BA2EA0F-E8CA-427A-8C4F-D525F4BD998A}" name="Asignación mes n+2" dataDxfId="335" dataCellStyle="Millares [0]">
      <calculatedColumnFormula>IFERROR(VLOOKUP(Tabla14[[#This Row],[Llave]],[14]Hoja2!$J:$N,5,FALSE),0)</calculatedColumnFormula>
    </tableColumn>
    <tableColumn id="81" xr3:uid="{8887DD46-B24B-41DF-B2F2-3705D30F0B29}" name="Ponderación mes n+2" dataDxfId="334" dataCellStyle="Millares [0]">
      <calculatedColumnFormula>+Tabla14[[#This Row],[Asignación mes n+2]]*Tabla14[[#This Row],[% Uti. producción]]</calculatedColumnFormula>
    </tableColumn>
    <tableColumn id="82" xr3:uid="{BDCD218E-EB71-43D9-AA5F-DA12DE693E44}" name="Irrstricto mes n+2" dataDxfId="333" dataCellStyle="Millares [0]">
      <calculatedColumnFormula>+Tabla14[[#This Row],[Saldo mes n+2]]+Tabla14[[#This Row],[Ponderación mes n+2]]</calculatedColumnFormula>
    </tableColumn>
    <tableColumn id="83" xr3:uid="{5FC7FC89-C063-4A11-9BA6-39937A153A04}" name="Saldo mes n+3" dataDxfId="332" dataCellStyle="Millares [0]">
      <calculatedColumnFormula>+Tabla14[[#This Row],[Asignación mes n+2]]-Tabla14[[#This Row],[Ponderación mes n+2]]</calculatedColumnFormula>
    </tableColumn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3AD9CC-C0EC-4BA8-9612-59312D5D1542}" name="Tabla145" displayName="Tabla145" ref="B9:CC319" totalsRowShown="0" headerRowDxfId="226">
  <autoFilter ref="B9:CC319" xr:uid="{A4C1E6EB-CE18-49E7-895E-CADD47765CD3}"/>
  <tableColumns count="80">
    <tableColumn id="8" xr3:uid="{FF8F46EF-1AC3-477E-A294-00D98AC26177}" name="Llave">
      <calculatedColumnFormula>Tabla145[[#This Row],[Oficina]]&amp;Tabla145[[#This Row],[Material]]</calculatedColumnFormula>
    </tableColumn>
    <tableColumn id="1" xr3:uid="{1DBEBB07-635D-444E-B14F-A516C1DF5812}" name="Sector"/>
    <tableColumn id="3" xr3:uid="{08E1368F-4A9C-4CC9-B8D7-3A639245CAAB}" name="Oficina"/>
    <tableColumn id="4" xr3:uid="{C8C68AC2-87A2-456F-9FCA-D7DAC0B2617C}" name="Material"/>
    <tableColumn id="5" xr3:uid="{88A2796D-4702-43AE-A5A9-4A7BF89C29FA}" name="Descripción"/>
    <tableColumn id="6" xr3:uid="{6B4C3FB5-42C6-4629-93D4-ABCD02BD8D80}" name="Nivel Jer. 2"/>
    <tableColumn id="7" xr3:uid="{727CDE00-C068-428E-937E-DA25A037F11E}" name="Nivel Jer. 3"/>
    <tableColumn id="9" xr3:uid="{75D0F1BF-6F5F-4F64-A7FA-08FDC92DF0B4}" name=" RV Producción mes n+1" dataDxfId="225" dataCellStyle="Millares [0]">
      <calculatedColumnFormula>IFERROR(VLOOKUP(Tabla145[[#This Row],[Llave]],'[7]RV Producción'!$C:$G,5,FALSE),0)</calculatedColumnFormula>
    </tableColumn>
    <tableColumn id="10" xr3:uid="{F747944A-2737-4605-9A85-44656C841DDC}" name=" RV  Venta mes n+1" dataDxfId="224">
      <calculatedColumnFormula>IFERROR(IF(Tabla145[[#This Row],[Oficina]]=$I$7,VLOOKUP(Tabla145[[#This Row],[Llave]],'[7]Shangai (Tomas)'!$A:$F,6,FALSE),VLOOKUP(Tabla145[[#This Row],[Llave]],'[7]RV plan de ventas'!$A:$E,5,FALSE)),0)</calculatedColumnFormula>
    </tableColumn>
    <tableColumn id="11" xr3:uid="{3551C4F3-100E-4174-ABA4-8E711BA9885B}" name="% Uti. producción" dataDxfId="223" dataCellStyle="Porcentaje">
      <calculatedColumnFormula>IFERROR(VLOOKUP(Tabla145[[#This Row],[Oficina]],[15]Ponderación!$B$2:$E$9,4,FALSE),0)</calculatedColumnFormula>
    </tableColumn>
    <tableColumn id="12" xr3:uid="{5FC1BD96-B77B-450D-A50C-8A09A505BCCA}" name="Producción disponible" dataCellStyle="Millares [0]">
      <calculatedColumnFormula>+Tabla145[[#This Row],[ RV Producción mes n+1]]*Tabla145[[#This Row],[% Uti. producción]]</calculatedColumnFormula>
    </tableColumn>
    <tableColumn id="13" xr3:uid="{2F925E87-2EFF-41D3-B4A9-80BD5F6C3206}" name="Stock al día" dataDxfId="222" dataCellStyle="Millares [0]">
      <calculatedColumnFormula>IFERROR(VLOOKUP(Tabla145[[#This Row],[Material]],[16]Stock!$G:$K,5,FALSE),0)</calculatedColumnFormula>
    </tableColumn>
    <tableColumn id="14" xr3:uid="{4EE868A1-FFBA-44A8-A214-2336B663486A}" name="Por producir mes N" dataDxfId="221" dataCellStyle="Millares [0]">
      <calculatedColumnFormula>IFERROR(VLOOKUP(Tabla145[[#This Row],[Material]],[16]Produccion!$M:$N,2,FALSE),0)</calculatedColumnFormula>
    </tableColumn>
    <tableColumn id="20" xr3:uid="{979F6FE4-98F2-400C-AA65-434A708FE9E9}" name="Producción por despachar mes N" dataDxfId="220" dataCellStyle="Millares [0]">
      <calculatedColumnFormula>IFERROR(VLOOKUP(Tabla145[[#This Row],[Llave]],'[16]TD Conf-AP'!$I:$M,4,FALSE),0)</calculatedColumnFormula>
    </tableColumn>
    <tableColumn id="17" xr3:uid="{0810DC0E-279D-4C41-9685-16A88D8F2581}" name="Total disponible" dataDxfId="219" dataCellStyle="Millares [0]">
      <calculatedColumnFormula>SUM(Tabla145[[#This Row],[Producción disponible]],Tabla145[[#This Row],[Stock al día]],(Tabla145[[#This Row],[Por producir mes N]]*0.9))-Tabla145[[#This Row],[Producción por despachar mes N]]</calculatedColumnFormula>
    </tableColumn>
    <tableColumn id="21" xr3:uid="{062A223E-53F5-4489-8538-9A1D5FE4CAB2}" name="Delay" dataDxfId="218" dataCellStyle="Millares [0]">
      <calculatedColumnFormula>IFERROR(VLOOKUP(Tabla145[[#This Row],[Llave]],[17]DELAY!$A:$D,4,FALSE),0)</calculatedColumnFormula>
    </tableColumn>
    <tableColumn id="22" xr3:uid="{05837E33-F5E5-4D57-BAF6-64D1EFAD23DC}" name="Vol. prom. Por contenedor" dataDxfId="217" dataCellStyle="Millares [0]"/>
    <tableColumn id="23" xr3:uid="{2FCA8AE5-E5B2-40AB-98BB-A6BC8AD3B776}" name="Atraso a facturar" dataDxfId="216" dataCellStyle="Millares [0]">
      <calculatedColumnFormula>IF(AND(P10&gt;Q10,Q10&gt;0),Q10,IF(AND(P10&lt;Q10,Q10&gt;0),(ROUNDDOWN(P10/R10,0)*R10),0))</calculatedColumnFormula>
    </tableColumn>
    <tableColumn id="38" xr3:uid="{1B23EB63-9360-4C81-8E1C-EBE1CF52FDE1}" name="Ajuste atraso" dataDxfId="215" dataCellStyle="Millares [0]"/>
    <tableColumn id="19" xr3:uid="{5387E9DB-9014-41E3-908E-A2C1798DF9B4}" name="Facturación atraso" dataDxfId="214" dataCellStyle="Millares [0]">
      <calculatedColumnFormula>+Tabla145[[#This Row],[Atraso a facturar]]+Tabla145[[#This Row],[Ajuste atraso]]</calculatedColumnFormula>
    </tableColumn>
    <tableColumn id="24" xr3:uid="{BFBAB887-98D1-4BD1-9188-B17FFB8627C1}" name="Producción para venta nueva" dataDxfId="213">
      <calculatedColumnFormula>+Tabla145[[#This Row],[Total disponible]]-Tabla145[[#This Row],[Facturación atraso]]</calculatedColumnFormula>
    </tableColumn>
    <tableColumn id="25" xr3:uid="{D0CA764B-999B-4A84-9F77-1806C3F07A72}" name="Venta del mes" dataDxfId="212">
      <calculatedColumnFormula>IFERROR(IF(AND(V10&gt;R10,J10&gt;=R10),ROUNDDOWN((Tabla145[[#This Row],[Producción para venta nueva]])/R10,0)*R10,0),0)</calculatedColumnFormula>
    </tableColumn>
    <tableColumn id="39" xr3:uid="{D85E1E83-B8E1-48DA-9E5E-2F57F48DEF94}" name="Ajuste venta nueva" dataDxfId="211" dataCellStyle="Millares [0]"/>
    <tableColumn id="44" xr3:uid="{04916F6B-6E51-41A2-AD24-D3B27965A6F7}" name="Facturación Venta nueva" dataDxfId="210">
      <calculatedColumnFormula>IF(Tabla145[[#This Row],[Venta del mes]]&gt;0,Tabla145[[#This Row],[Venta del mes]]+Tabla145[[#This Row],[Ajuste venta nueva]],0)</calculatedColumnFormula>
    </tableColumn>
    <tableColumn id="46" xr3:uid="{7B00140D-22EC-4F50-8C88-A5BFA9E25ED4}" name="Saldo Volumen disponible" dataDxfId="209">
      <calculatedColumnFormula>+Tabla145[[#This Row],[Producción para venta nueva]]-Tabla145[[#This Row],[Facturación Venta nueva]]</calculatedColumnFormula>
    </tableColumn>
    <tableColumn id="47" xr3:uid="{DC06EA94-624C-44CF-A4B1-82E8E78FB923}" name="Disponible stock sin venta" dataDxfId="208">
      <calculatedColumnFormula>IF(AND(A10=1,Tabla145[[#This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calculatedColumnFormula>
    </tableColumn>
    <tableColumn id="68" xr3:uid="{AEF82B21-1A2F-4C9A-B3C4-31664A2E7E82}" name="Ajuste stock sin venta" dataDxfId="207"/>
    <tableColumn id="37" xr3:uid="{F69B5F5D-4E92-46F7-A247-44853C9105AA}" name="Facturación stock" dataDxfId="206">
      <calculatedColumnFormula>IF(Tabla145[[#This Row],[Disponible stock sin venta]]&gt;0,Tabla145[[#This Row],[Disponible stock sin venta]]+Tabla145[[#This Row],[Ajuste stock sin venta]],0)</calculatedColumnFormula>
    </tableColumn>
    <tableColumn id="49" xr3:uid="{C4C8D1AB-D1A1-4393-844A-986FFD5852CF}" name="En puerto a facturar" dataDxfId="205">
      <calculatedColumnFormula>IFERROR(VLOOKUP(Tabla145[[#This Row],[Llave]],'[16]TD Puerto'!$A:$D,4,FALSE),0)</calculatedColumnFormula>
    </tableColumn>
    <tableColumn id="70" xr3:uid="{AE2C09B1-EDD7-434C-A786-E4DB5BE61ABE}" name="Plan Irrestricto Inicial" dataDxfId="204"/>
    <tableColumn id="48" xr3:uid="{4E03F761-9644-441E-9A8C-D78422979F6E}" name="Plan Irrestricto" dataDxfId="203">
      <calculatedColumnFormula>+Tabla145[[#This Row],[Plan Irrestricto Inicial]]</calculatedColumnFormula>
    </tableColumn>
    <tableColumn id="27" xr3:uid="{96944EF0-8440-4C5C-8C0C-B50A1F1CAAAD}" name="Puerto " dataDxfId="202">
      <calculatedColumnFormula>+Tabla145[[#This Row],[En puerto a facturar]]</calculatedColumnFormula>
    </tableColumn>
    <tableColumn id="26" xr3:uid="{1E4CECD4-1874-4FEA-9ACF-B19E7873EF41}" name="Atraso" dataDxfId="201">
      <calculatedColumnFormula>+Tabla145[[#This Row],[Facturación atraso]]</calculatedColumnFormula>
    </tableColumn>
    <tableColumn id="2" xr3:uid="{B556A805-027C-420E-8324-B0DF5AAF18F2}" name="Venta nueva" dataDxfId="200">
      <calculatedColumnFormula>+Tabla145[[#This Row],[Plan Irrestricto]]-Tabla145[[#This Row],[Puerto ]]-Tabla145[[#This Row],[Atraso]]</calculatedColumnFormula>
    </tableColumn>
    <tableColumn id="50" xr3:uid="{86E64ED7-BE65-43D0-8513-DBBAD0CBE4DD}" name="Plan Ajustado" dataDxfId="199">
      <calculatedColumnFormula>IF(Tabla145[[#This Row],[Plan Irrestricto]]&gt;0,SUM(Tabla145[[#This Row],[Facturación atraso]],Tabla145[[#This Row],[Facturación Venta nueva]],Tabla145[[#This Row],[Facturación stock]],Tabla145[[#This Row],[En puerto a facturar]]),0)</calculatedColumnFormula>
    </tableColumn>
    <tableColumn id="29" xr3:uid="{092168C6-6AB5-41D8-82E0-AE2AD29ED8A4}" name=" Atraso ajustado" dataDxfId="198">
      <calculatedColumnFormula>+Tabla145[[#This Row],[Facturación atraso]]</calculatedColumnFormula>
    </tableColumn>
    <tableColumn id="28" xr3:uid="{D68FBDCB-38F3-4026-B313-30C7DD27FF8C}" name="Venta nueva Ajustado" dataDxfId="197">
      <calculatedColumnFormula>+Tabla145[[#This Row],[Plan Ajustado]]-Tabla145[[#This Row],[ Atraso ajustado]]-Tabla145[[#This Row],[Puerto ]]</calculatedColumnFormula>
    </tableColumn>
    <tableColumn id="59" xr3:uid="{DA7277D2-7054-477F-BDF7-C921718C8ECA}" name="Motivo Ajuste" dataDxfId="196">
      <calculatedColumnFormula>IFERROR(VLOOKUP(Tabla145[[#This Row],[Llave]],[18]!Tabla14[#All],34,FALSE),0)</calculatedColumnFormula>
    </tableColumn>
    <tableColumn id="35" xr3:uid="{3359AA34-90F2-4DE9-A547-6166E4FBDE1B}" name="Ajustado por" dataDxfId="195">
      <calculatedColumnFormula>IFERROR(VLOOKUP(Tabla145[[#This Row],[Llave]],[18]!Tabla14[#All],35,FALSE),0)</calculatedColumnFormula>
    </tableColumn>
    <tableColumn id="63" xr3:uid="{BC0A36C4-B193-45C7-B78E-57AF5F257C03}" name="Usa produdicción o stock ¿?" dataDxfId="194">
      <calculatedColumnFormula>IF(Tabla145[[#This Row],[Plan Ajustado]]&gt;Tabla145[[#This Row],[En puerto a facturar]],"Si","No")</calculatedColumnFormula>
    </tableColumn>
    <tableColumn id="64" xr3:uid="{E6487769-2556-4296-9924-B32B238CA080}" name="Necesidad" dataDxfId="193">
      <calculatedColumnFormula>IF(AND(Tabla145[[#This Row],[Plan Ajustado]]&gt;0,Tabla145[[#This Row],[Plan Ajustado]]&gt;Tabla145[[#This Row],[En puerto a facturar]]),(Tabla145[[#This Row],[Plan Ajustado]]-Tabla145[[#This Row],[En puerto a facturar]]),0)</calculatedColumnFormula>
    </tableColumn>
    <tableColumn id="65" xr3:uid="{00222393-2249-4697-866E-F7953DD83F83}" name="Stock Plan" dataDxfId="192">
      <calculatedColumnFormula>IF(Tabla145[[#This Row],[Necesidad]]&gt;=Tabla145[[#This Row],[Stock al día]],Tabla145[[#This Row],[Stock al día]],Tabla145[[#This Row],[Necesidad]])</calculatedColumnFormula>
    </tableColumn>
    <tableColumn id="36" xr3:uid="{7A975395-DFF8-42BE-953A-E14EEC4011EE}" name="Producción nueva" dataDxfId="191">
      <calculatedColumnFormula>+Tabla145[[#This Row],[Necesidad]]-Tabla145[[#This Row],[Stock Plan]]</calculatedColumnFormula>
    </tableColumn>
    <tableColumn id="67" xr3:uid="{AFB2F868-1B7C-449E-9E71-F9337FF80848}" name="Fecha limite producción" dataDxfId="190">
      <calculatedColumnFormula>IFERROR(VLOOKUP(Tabla145[[#This Row],[Oficina]],[19]Ponderación!$B$14:$E$21,4,FALSE),"")</calculatedColumnFormula>
    </tableColumn>
    <tableColumn id="32" xr3:uid="{4576826F-72BC-4AA7-A45D-A4921E6B1605}" name="Precio venta nueva" dataDxfId="189" dataCellStyle="Moneda [0]">
      <calculatedColumnFormula>IFERROR(IF(Tabla145[[#This Row],[Oficina]]=$AT$8,VLOOKUP(Tabla145[[#This Row],[Material]],'[20]Shangai (Tomas)'!$A:$H,6,FALSE),VLOOKUP(Tabla145[[#This Row],[Llave]],'[7]RV plan de ventas'!$A:$F,6,FALSE)),Tabla145[[#This Row],[Precio Ultima facturación]])</calculatedColumnFormula>
    </tableColumn>
    <tableColumn id="33" xr3:uid="{E7EEF1B8-5C16-4D8D-9DBA-133732537B1B}" name="Precio Atraso" dataDxfId="188">
      <calculatedColumnFormula>IFERROR(VLOOKUP(Tabla145[[#This Row],[Llave]],[17]DELAY!$H:$W,16,FALSE),0)</calculatedColumnFormula>
    </tableColumn>
    <tableColumn id="34" xr3:uid="{1CDD7641-44C1-45BE-A199-270F28734E55}" name="Precio ponderado" dataDxfId="187" dataCellStyle="Moneda [0]">
      <calculatedColumnFormula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calculatedColumnFormula>
    </tableColumn>
    <tableColumn id="40" xr3:uid="{BBD693E5-57F4-44F7-A815-EC7673AF15F1}" name="Neto" dataDxfId="186" dataCellStyle="Millares [0]">
      <calculatedColumnFormula>Tabla145[[#This Row],[Ajuste precio IC]]*Tabla145[[#This Row],[Plan Ajustado]]</calculatedColumnFormula>
    </tableColumn>
    <tableColumn id="42" xr3:uid="{39D15B17-2DDB-45FE-B942-E74C7203C13B}" name="Precio Ultima facturación" dataDxfId="185" dataCellStyle="Moneda [0]">
      <calculatedColumnFormula>IFERROR(VLOOKUP(Tabla145[[#This Row],[Llave]],'[13]Ultimos precios facturados'!$A:$G,7,FALSE),0)</calculatedColumnFormula>
    </tableColumn>
    <tableColumn id="66" xr3:uid="{3F689011-B89C-4010-B038-ADDF738139F1}" name="Desv ABS Precio" dataDxfId="184" dataCellStyle="Porcentaje">
      <calculatedColumnFormula>IF(AND(Tabla145[[#This Row],[Precio ponderado]]&gt;0,Tabla145[[#This Row],[Precio Ultima facturación]]&gt;0),(ABS(Tabla145[[#This Row],[Precio Ultima facturación]]-Tabla145[[#This Row],[Precio ponderado]])/Tabla145[[#This Row],[Precio Ultima facturación]]),"No Aplica")</calculatedColumnFormula>
    </tableColumn>
    <tableColumn id="45" xr3:uid="{D1EF732B-09AC-497D-AC08-A63F9FFC5561}" name="Ajuste precio IC" dataDxfId="183" dataCellStyle="Moneda [0]">
      <calculatedColumnFormula>IFERROR(VLOOKUP(Tabla145[[#This Row],[Llave]],Hoja2!B:K,10,FALSE),0)</calculatedColumnFormula>
    </tableColumn>
    <tableColumn id="61" xr3:uid="{238410F6-C1F2-4619-9963-D7370B0AE218}" name="Precio Final" dataDxfId="182" dataCellStyle="Moneda [0]">
      <calculatedColumnFormula>IF(Tabla145[[#This Row],[Ajuste precio IC]]="",Tabla145[[#This Row],[Precio ponderado]],Tabla145[[#This Row],[Precio ponderado]])</calculatedColumnFormula>
    </tableColumn>
    <tableColumn id="43" xr3:uid="{1709D6D7-540B-4BCA-BB30-6D55B4BA7D52}" name="OB Ajuste precio" dataDxfId="181" dataCellStyle="Porcentaje"/>
    <tableColumn id="60" xr3:uid="{31C91701-B7D1-487E-8765-E33BB48E0C88}" name="Verificador precio 1" dataDxfId="180" dataCellStyle="Porcentaje">
      <calculatedColumnFormula>IF(AND(Tabla145[[#This Row],[Atraso a facturar]]&gt;0,Tabla145[[#This Row],[Precio Atraso]]=0),"Revisar","OK")</calculatedColumnFormula>
    </tableColumn>
    <tableColumn id="52" xr3:uid="{1DE597C6-C585-4E84-AF10-03738FFB8DA8}" name="Verificador precio 2 vta nueva" dataDxfId="179" dataCellStyle="Porcentaje">
      <calculatedColumnFormula>IF(AND(Tabla145[[#This Row],[Venta del mes]]&gt;0,Tabla145[[#This Row],[Precio venta nueva]]=0),"Revisar","OK")</calculatedColumnFormula>
    </tableColumn>
    <tableColumn id="15" xr3:uid="{E4601060-4979-44AB-BE28-A40852A2B351}" name="Plan Enero" dataDxfId="178" dataCellStyle="Millares [0]">
      <calculatedColumnFormula>IFERROR(VLOOKUP(Tabla145[[#This Row],[Llave]],'[5]Consolidación planes'!$A:$M,9,FALSE),0)</calculatedColumnFormula>
    </tableColumn>
    <tableColumn id="16" xr3:uid="{AF7A6D71-F1D3-444E-99DB-505D9E18A441}" name="Plan Febrero" dataDxfId="177" dataCellStyle="Millares [0]">
      <calculatedColumnFormula>IFERROR(VLOOKUP(Tabla145[[#This Row],[Llave]],'[5]Consolidación planes'!$A:$M,10,FALSE),0)</calculatedColumnFormula>
    </tableColumn>
    <tableColumn id="18" xr3:uid="{8D3B4AC7-E857-4DFF-9265-744C69649591}" name="Plan Marzo" dataDxfId="176" dataCellStyle="Millares [0]">
      <calculatedColumnFormula>IFERROR(VLOOKUP(Tabla145[[#This Row],[Llave]],'[5]Consolidación planes'!$A:$M,11,FALSE),0)</calculatedColumnFormula>
    </tableColumn>
    <tableColumn id="30" xr3:uid="{D450F05E-790B-4F07-B3A8-9BCB659A345C}" name="Plan Abril" dataDxfId="175" dataCellStyle="Millares [0]">
      <calculatedColumnFormula>IFERROR(VLOOKUP(Tabla145[[#This Row],[Llave]],'[5]Consolidación planes'!$A:$M,12,FALSE),0)</calculatedColumnFormula>
    </tableColumn>
    <tableColumn id="31" xr3:uid="{5537288F-936B-410B-8CD1-B79447E99DC8}" name="Plan Mayo" dataDxfId="174" dataCellStyle="Millares [0]">
      <calculatedColumnFormula>IFERROR(VLOOKUP(Tabla145[[#This Row],[Llave]],'[5]Consolidación planes'!$A:$M,13,FALSE),0)</calculatedColumnFormula>
    </tableColumn>
    <tableColumn id="51" xr3:uid="{EA2A93F3-9507-4933-9EE2-498CFCD8018E}" name="Plan Jun" dataDxfId="173" dataCellStyle="Millares [0]">
      <calculatedColumnFormula>IFERROR(VLOOKUP(Tabla145[[#This Row],[Llave]],'[13]Base ultimos planes'!$A:$M,13,FALSE),0)</calculatedColumnFormula>
    </tableColumn>
    <tableColumn id="58" xr3:uid="{A8033EB8-73F3-4749-821C-8553007AF564}" name="Neto Ene" dataDxfId="172" dataCellStyle="Moneda [0]">
      <calculatedColumnFormula>IFERROR(VLOOKUP(Tabla145[[#This Row],[Llave]],'[13]Base ultimos planes'!$O:$AA,8,FALSE),0)</calculatedColumnFormula>
    </tableColumn>
    <tableColumn id="57" xr3:uid="{D9011958-8441-4CFF-9A28-01F26ACD7DA4}" name="Neto Feb" dataDxfId="171" dataCellStyle="Millares [0]">
      <calculatedColumnFormula>IFERROR(VLOOKUP(Tabla145[[#This Row],[Llave]],'[13]Base ultimos planes'!$O:$AA,9,FALSE),0)</calculatedColumnFormula>
    </tableColumn>
    <tableColumn id="56" xr3:uid="{B19E9C67-0040-44BA-AE28-F4F0F41F44C4}" name="Neto Mar" dataDxfId="170" dataCellStyle="Millares [0]">
      <calculatedColumnFormula>IFERROR(VLOOKUP(Tabla145[[#This Row],[Llave]],'[13]Base ultimos planes'!$O:$AA,10,FALSE),0)</calculatedColumnFormula>
    </tableColumn>
    <tableColumn id="55" xr3:uid="{1A35DAC5-A65D-4176-BADC-C142B5387EF2}" name="Neto Abr" dataDxfId="169" dataCellStyle="Millares [0]">
      <calculatedColumnFormula>IFERROR(VLOOKUP(Tabla145[[#This Row],[Llave]],'[13]Base ultimos planes'!$O:$AA,11,FALSE),0)</calculatedColumnFormula>
    </tableColumn>
    <tableColumn id="54" xr3:uid="{4C68A7B0-781C-489D-8E08-6DC208E958B6}" name="Neto May" dataDxfId="168" dataCellStyle="Millares [0]">
      <calculatedColumnFormula>IFERROR(VLOOKUP(Tabla145[[#This Row],[Llave]],'[13]Base ultimos planes'!$O:$AA,12,FALSE),0)</calculatedColumnFormula>
    </tableColumn>
    <tableColumn id="53" xr3:uid="{127B9127-656A-4164-95C7-04FA570687F1}" name="Neto Jun" dataDxfId="167" dataCellStyle="Millares [0]">
      <calculatedColumnFormula>IFERROR(VLOOKUP(Tabla145[[#This Row],[Llave]],'[13]Base ultimos planes'!$O:$AA,13,FALSE),0)</calculatedColumnFormula>
    </tableColumn>
    <tableColumn id="41" xr3:uid="{D4038DB2-AFDD-426D-8E79-06BD05E0D8A2}" name="OBS" dataDxfId="166" dataCellStyle="Millares [0]"/>
    <tableColumn id="62" xr3:uid="{17A6D941-A4A0-41BA-AEA6-B173411029C0}" name="Producción disponible mes n-1" dataDxfId="165" dataCellStyle="Millares [0]">
      <calculatedColumnFormula>Tabla145[[#This Row],[ RV Producción mes n+1]]*(1-Tabla145[[#This Row],[% Uti. producción]])</calculatedColumnFormula>
    </tableColumn>
    <tableColumn id="69" xr3:uid="{E0DED7BA-3942-4BF4-B959-DCD2AA429865}" name="Saldo mes n-1" dataDxfId="164" dataCellStyle="Millares [0]">
      <calculatedColumnFormula>+Tabla145[[#This Row],[Producción disponible mes n-1]]+Tabla145[[#This Row],[Saldo Volumen disponible]]</calculatedColumnFormula>
    </tableColumn>
    <tableColumn id="71" xr3:uid="{8BA77BE1-EF71-4C5D-95E8-9380B6E21F48}" name="Asignación mes n+2" dataCellStyle="Millares [0]">
      <calculatedColumnFormula>IFERROR(VLOOKUP(Tabla145[[#This Row],[Llave]],'[21]RV n+2 y n+3'!$B:$F,4,FALSE),0)</calculatedColumnFormula>
    </tableColumn>
    <tableColumn id="72" xr3:uid="{EF040AE7-2EB6-43DF-B9DB-AC14E175EB9A}" name="Ponderación mes n+2" dataDxfId="163" dataCellStyle="Millares [0]">
      <calculatedColumnFormula>+Tabla145[[#This Row],[Asignación mes n+2]]*Tabla145[[#This Row],[% Uti. producción]]</calculatedColumnFormula>
    </tableColumn>
    <tableColumn id="73" xr3:uid="{562C4AF1-AF1E-4411-AD86-C20649DA7C35}" name="Irrstricto mes n+2" dataDxfId="162" dataCellStyle="Millares [0]">
      <calculatedColumnFormula>+Tabla145[[#This Row],[Ponderación mes n+2]]+Tabla145[[#This Row],[Saldo mes n-1]]</calculatedColumnFormula>
    </tableColumn>
    <tableColumn id="74" xr3:uid="{BE58A080-BAF5-42AD-94E1-37D647730414}" name="Saldo mes n+2" dataDxfId="161" dataCellStyle="Millares [0]">
      <calculatedColumnFormula>+Tabla145[[#This Row],[Asignación mes n+2]]-Tabla145[[#This Row],[Ponderación mes n+2]]</calculatedColumnFormula>
    </tableColumn>
    <tableColumn id="75" xr3:uid="{8CFE83F8-A326-4D58-885F-B88A5E26857E}" name="Asignación mes n+3" dataCellStyle="Millares [0]">
      <calculatedColumnFormula>IFERROR(VLOOKUP(Tabla145[[#This Row],[Llave]],'[21]RV n+2 y n+3'!$B:$F,5,FALSE),0)</calculatedColumnFormula>
    </tableColumn>
    <tableColumn id="76" xr3:uid="{BA93270C-B469-4F5C-90B9-E973FDC09CBD}" name="Ponderación mes n+3" dataCellStyle="Millares [0]">
      <calculatedColumnFormula>+Tabla145[[#This Row],[Asignación mes n+3]]*Tabla145[[#This Row],[% Uti. producción]]</calculatedColumnFormula>
    </tableColumn>
    <tableColumn id="77" xr3:uid="{1C7A1C7D-119B-431A-AA42-CB17C346BB97}" name="Irrstricto mes n+3" dataDxfId="160">
      <calculatedColumnFormula>+Tabla145[[#This Row],[Ponderación mes n+3]]+Tabla145[[#This Row],[Saldo mes n+2]]</calculatedColumnFormula>
    </tableColumn>
    <tableColumn id="78" xr3:uid="{B72C4CC4-7D90-470D-8584-B965638DCD54}" name="Saldo mes n+3" dataDxfId="159">
      <calculatedColumnFormula>+Tabla145[[#This Row],[Asignación mes n+3]]-Tabla145[[#This Row],[Ponderación mes n+3]]</calculatedColumnFormula>
    </tableColumn>
    <tableColumn id="79" xr3:uid="{987BA85A-C7F4-409D-B969-6171D9102242}" name="Saldo mes n+4" dataDxfId="158">
      <calculatedColumnFormula>+Tabla145[[#This Row],[Producción disponible mes n-1]]+Tabla145[[#This Row],[Producción disponible]]</calculatedColumnFormula>
    </tableColumn>
    <tableColumn id="80" xr3:uid="{AF8F644B-A0AF-4F7F-B8CD-8383A192690C}" name="Saldo mes n+5" dataDxfId="157">
      <calculatedColumnFormula>+Tabla145[[#This Row],[Saldo mes n+4]]-Tabla145[[#This Row],[ RV Producción mes n+1]]</calculatedColumnFormula>
    </tableColumn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01E962-53F5-4E42-975C-C70D435A7E31}" name="Tabla1" displayName="Tabla1" ref="B9:BR319" totalsRowShown="0" headerRowDxfId="133">
  <autoFilter ref="B9:BR319" xr:uid="{A4C1E6EB-CE18-49E7-895E-CADD47765CD3}">
    <filterColumn colId="34">
      <filters>
        <filter val="1.370.325"/>
        <filter val="1.500"/>
        <filter val="10.000"/>
        <filter val="11.476"/>
        <filter val="11.500"/>
        <filter val="11.667"/>
        <filter val="110.000"/>
        <filter val="12.333"/>
        <filter val="120.000"/>
        <filter val="121.000"/>
        <filter val="13.000"/>
        <filter val="13.667"/>
        <filter val="14.333"/>
        <filter val="143.011"/>
        <filter val="143.990"/>
        <filter val="144.000"/>
        <filter val="148.590"/>
        <filter val="15.333"/>
        <filter val="16.500"/>
        <filter val="164.282"/>
        <filter val="166.000"/>
        <filter val="167.000"/>
        <filter val="17.000"/>
        <filter val="170.000"/>
        <filter val="176.000"/>
        <filter val="18.000"/>
        <filter val="188.000"/>
        <filter val="190.000"/>
        <filter val="192.000"/>
        <filter val="198.032"/>
        <filter val="20.000"/>
        <filter val="20.750"/>
        <filter val="205.540"/>
        <filter val="21.210"/>
        <filter val="21.300"/>
        <filter val="21.961"/>
        <filter val="216.000"/>
        <filter val="22.000"/>
        <filter val="22.500"/>
        <filter val="220.000"/>
        <filter val="226.500"/>
        <filter val="24.000"/>
        <filter val="24.080"/>
        <filter val="243.000"/>
        <filter val="245.833"/>
        <filter val="247.000"/>
        <filter val="25.000"/>
        <filter val="25.900"/>
        <filter val="251.992"/>
        <filter val="274.000"/>
        <filter val="29.000"/>
        <filter val="3.000"/>
        <filter val="30.000"/>
        <filter val="31.400"/>
        <filter val="33.000"/>
        <filter val="342.400"/>
        <filter val="359.989"/>
        <filter val="37.000"/>
        <filter val="381.880"/>
        <filter val="4.000"/>
        <filter val="4.330"/>
        <filter val="4.698"/>
        <filter val="42.000"/>
        <filter val="42.500"/>
        <filter val="44.000"/>
        <filter val="450"/>
        <filter val="47.000"/>
        <filter val="48.000"/>
        <filter val="5.000"/>
        <filter val="50.039"/>
        <filter val="52.000"/>
        <filter val="572.004"/>
        <filter val="58.294"/>
        <filter val="6.000"/>
        <filter val="6.120"/>
        <filter val="6.127"/>
        <filter val="6.307"/>
        <filter val="6.377"/>
        <filter val="6.949"/>
        <filter val="638.636"/>
        <filter val="7.333"/>
        <filter val="7.667"/>
        <filter val="72.000"/>
        <filter val="73.403"/>
        <filter val="73.500"/>
        <filter val="73.667"/>
        <filter val="77.000"/>
        <filter val="8.667"/>
        <filter val="9.500"/>
        <filter val="908.000"/>
        <filter val="95.967"/>
        <filter val="96.000"/>
        <filter val="97.000"/>
        <filter val="99.000"/>
      </filters>
    </filterColumn>
  </autoFilter>
  <tableColumns count="69">
    <tableColumn id="8" xr3:uid="{F2F62C17-2EED-4A86-9E59-62D056D3A2AF}" name="Llave">
      <calculatedColumnFormula>Tabla1[[#This Row],[Oficina]]&amp;Tabla1[[#This Row],[Material]]</calculatedColumnFormula>
    </tableColumn>
    <tableColumn id="1" xr3:uid="{1A3AF6B7-574D-4AAA-9F1F-02F93889B5B4}" name="Sector"/>
    <tableColumn id="3" xr3:uid="{2FBB4F7D-D8F6-4C37-AC80-E2F0D897A25F}" name="Oficina"/>
    <tableColumn id="4" xr3:uid="{2218B5E8-F24D-47FA-9158-0919FB02C9A7}" name="Material"/>
    <tableColumn id="5" xr3:uid="{17492E95-C1B2-417B-B471-A600E4C98CB8}" name="Descripción"/>
    <tableColumn id="6" xr3:uid="{B099D8F9-9009-4BBD-95DE-82259B772C70}" name="Nivel Jer. 2"/>
    <tableColumn id="7" xr3:uid="{4A42FCA4-FECD-425F-A328-5BDC8F823C32}" name="Nivel Jer. 3"/>
    <tableColumn id="9" xr3:uid="{144FB6E8-FB20-4BFF-93EA-F6963C06C812}" name=" RV Producción mes n+1" dataDxfId="132" dataCellStyle="Millares [0]">
      <calculatedColumnFormula>IFERROR(VLOOKUP(Tabla1[[#This Row],[Llave]],'[7]RV Producción'!$C:$G,5,FALSE),0)</calculatedColumnFormula>
    </tableColumn>
    <tableColumn id="10" xr3:uid="{90F04789-DA06-4836-8954-E8D9F7BB5CBB}" name=" RV  Venta mes n+1" dataDxfId="131">
      <calculatedColumnFormula>IFERROR(IF(Tabla1[[#This Row],[Oficina]]=$I$7,VLOOKUP(Tabla1[[#This Row],[Llave]],'[7]Shangai (Tomas)'!$A:$F,6,FALSE),VLOOKUP(Tabla1[[#This Row],[Llave]],'[7]RV plan de ventas'!$A:$E,5,FALSE)),0)</calculatedColumnFormula>
    </tableColumn>
    <tableColumn id="11" xr3:uid="{3105925E-7E4A-4E52-8A47-714E180FE28A}" name="% Uti. producción" dataDxfId="130" dataCellStyle="Porcentaje">
      <calculatedColumnFormula>IFERROR(VLOOKUP(Tabla1[[#This Row],[Oficina]],[15]Ponderación!$B$2:$E$9,4,FALSE),0)</calculatedColumnFormula>
    </tableColumn>
    <tableColumn id="12" xr3:uid="{814C8230-4B07-49AF-81EB-40B62AB50395}" name="Producción disponible" dataCellStyle="Millares [0]">
      <calculatedColumnFormula>+Tabla1[[#This Row],[ RV Producción mes n+1]]*Tabla1[[#This Row],[% Uti. producción]]</calculatedColumnFormula>
    </tableColumn>
    <tableColumn id="13" xr3:uid="{B39E6DDC-8E2A-4055-9F76-922F1946CBC2}" name="Stock al día" dataDxfId="129" dataCellStyle="Millares [0]">
      <calculatedColumnFormula>IFERROR(VLOOKUP(Tabla1[[#This Row],[Material]],'[17]TD Stock'!$E:$I,5,FALSE),0)</calculatedColumnFormula>
    </tableColumn>
    <tableColumn id="14" xr3:uid="{1757D964-0EC0-4E7E-910B-1C0483EF012F}" name="Por producir mes N" dataDxfId="128" dataCellStyle="Millares [0]">
      <calculatedColumnFormula>IFERROR(VLOOKUP(Tabla1[[#This Row],[Material]],[16]Produccion!$M:$N,2,FALSE),0)</calculatedColumnFormula>
    </tableColumn>
    <tableColumn id="20" xr3:uid="{0098FABF-D01F-4F61-8AF1-5A642A6F6C49}" name="Producción por despachar mes N" dataDxfId="127" dataCellStyle="Millares [0]">
      <calculatedColumnFormula>IFERROR(VLOOKUP(Tabla1[[#This Row],[Llave]],'[16]TD Conf-AP'!$I:$M,4,FALSE),0)</calculatedColumnFormula>
    </tableColumn>
    <tableColumn id="17" xr3:uid="{03ED14B1-905E-4602-8BB2-9E91B22B1A45}" name="Total disponible" dataDxfId="126" dataCellStyle="Millares [0]">
      <calculatedColumnFormula>SUM(Tabla1[[#This Row],[Producción disponible]],Tabla1[[#This Row],[Stock al día]],(Tabla1[[#This Row],[Por producir mes N]]*0.9))-Tabla1[[#This Row],[Producción por despachar mes N]]</calculatedColumnFormula>
    </tableColumn>
    <tableColumn id="21" xr3:uid="{CBDA4E2C-0A58-48A9-9001-529F540F01BB}" name="Delay" dataDxfId="125" dataCellStyle="Millares [0]">
      <calculatedColumnFormula>IFERROR(VLOOKUP(Tabla1[[#This Row],[Llave]],[17]DELAY!$A:$D,4,FALSE),0)</calculatedColumnFormula>
    </tableColumn>
    <tableColumn id="22" xr3:uid="{106EC82D-D799-4466-A51C-00B5BBE722A5}" name="Vol. prom. Por contenedor" dataDxfId="124" dataCellStyle="Millares [0]"/>
    <tableColumn id="23" xr3:uid="{28532B20-45F2-4D1B-8F0E-88A97B4D93EB}" name="Atraso a facturar" dataDxfId="123" dataCellStyle="Millares [0]">
      <calculatedColumnFormula>IF(AND(P10&gt;Q10,Q10&gt;0),Q10,IF(AND(P10&lt;Q10,Q10&gt;0),(ROUNDDOWN(P10/R10,0)*R10),0))</calculatedColumnFormula>
    </tableColumn>
    <tableColumn id="38" xr3:uid="{BCC52322-1C43-42B5-BCDE-B72F0687A676}" name="Ajuste atraso" dataDxfId="122" dataCellStyle="Millares [0]"/>
    <tableColumn id="19" xr3:uid="{D01CBF04-F2F2-4EF8-A0AB-E902C3686CE5}" name="Facturación atraso" dataDxfId="121" dataCellStyle="Millares [0]">
      <calculatedColumnFormula>+Tabla1[[#This Row],[Atraso a facturar]]+Tabla1[[#This Row],[Ajuste atraso]]</calculatedColumnFormula>
    </tableColumn>
    <tableColumn id="24" xr3:uid="{20214A39-BC32-4900-BCFE-10DD25E34EFC}" name="Producción para venta nueva" dataDxfId="120">
      <calculatedColumnFormula>+Tabla1[[#This Row],[Total disponible]]-Tabla1[[#This Row],[Facturación atraso]]</calculatedColumnFormula>
    </tableColumn>
    <tableColumn id="25" xr3:uid="{B85BAA86-D589-44EA-919D-43C1A78C8D44}" name="Venta del mes" dataDxfId="119">
      <calculatedColumnFormula>IFERROR(IF(AND(V10&gt;R10,J10&gt;=R10),ROUNDDOWN((Tabla1[[#This Row],[Producción para venta nueva]])/R10,0)*R10,0),0)</calculatedColumnFormula>
    </tableColumn>
    <tableColumn id="39" xr3:uid="{B9FB132F-0FDC-4A9D-99D6-CF63EAB46DDF}" name="Ajuste venta nueva" dataDxfId="118" dataCellStyle="Millares [0]"/>
    <tableColumn id="44" xr3:uid="{3EBE645F-F551-47BF-84D4-458B313E2B42}" name="Facturación Venta nueva" dataDxfId="117">
      <calculatedColumnFormula>IF(Tabla1[[#This Row],[Venta del mes]]&gt;0,Tabla1[[#This Row],[Venta del mes]]+Tabla1[[#This Row],[Ajuste venta nueva]],0)</calculatedColumnFormula>
    </tableColumn>
    <tableColumn id="46" xr3:uid="{74D32C67-0AFA-470D-BFD3-F558DE6647CF}" name="Saldo Volumen disponible" dataDxfId="116">
      <calculatedColumnFormula>+Tabla1[[#This Row],[Producción para venta nueva]]-Tabla1[[#This Row],[Facturación Venta nueva]]</calculatedColumnFormula>
    </tableColumn>
    <tableColumn id="47" xr3:uid="{1E49F52E-451B-4214-A723-010430C6B18F}" name="Disponible stock sin venta" dataDxfId="115">
      <calculatedColumnFormula>IF(AND(A10=1,Tabla1[[#This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calculatedColumnFormula>
    </tableColumn>
    <tableColumn id="68" xr3:uid="{44522302-751E-4796-BB87-DDD3AC028E58}" name="Ajuste stock sin venta" dataDxfId="114"/>
    <tableColumn id="37" xr3:uid="{C2F87D08-DD54-470C-8386-E8B049CEF1E1}" name="Facturación stock" dataDxfId="113">
      <calculatedColumnFormula>IF(Tabla1[[#This Row],[Disponible stock sin venta]]&gt;0,Tabla1[[#This Row],[Disponible stock sin venta]]+Tabla1[[#This Row],[Ajuste stock sin venta]],0)</calculatedColumnFormula>
    </tableColumn>
    <tableColumn id="49" xr3:uid="{3097AD2A-F868-4578-92DD-C040F658F904}" name="En puerto a facturar" dataDxfId="112">
      <calculatedColumnFormula>IFERROR(VLOOKUP(Tabla1[[#This Row],[Llave]],'[16]TD Puerto'!$A:$D,4,FALSE),0)</calculatedColumnFormula>
    </tableColumn>
    <tableColumn id="70" xr3:uid="{B3B87A54-83F1-4FEB-90C3-8ACD0D61BBB8}" name="Plan Irrestricto Inicial" dataDxfId="111"/>
    <tableColumn id="48" xr3:uid="{36B996DF-1322-4614-8A8D-1EBE30D7DF42}" name="Plan Irrestricto" dataDxfId="110">
      <calculatedColumnFormula>+Tabla1[[#This Row],[Atraso a facturar]]+Tabla1[[#This Row],[Venta del mes]]+Tabla1[[#This Row],[En puerto a facturar]]+Tabla1[[#This Row],[Disponible stock sin venta]]</calculatedColumnFormula>
    </tableColumn>
    <tableColumn id="27" xr3:uid="{0D2AEE3F-3415-4A4C-8CAE-A18ADAF2338D}" name="Puerto " dataDxfId="109">
      <calculatedColumnFormula>+Tabla1[[#This Row],[En puerto a facturar]]</calculatedColumnFormula>
    </tableColumn>
    <tableColumn id="26" xr3:uid="{D9AAEB2C-2052-4D21-AE22-AAC84C70D7F5}" name="Atraso" dataDxfId="108">
      <calculatedColumnFormula>+Tabla1[[#This Row],[Facturación atraso]]</calculatedColumnFormula>
    </tableColumn>
    <tableColumn id="2" xr3:uid="{668CCDD5-EB8B-4899-AF36-EAB17592777D}" name="Venta nueva" dataDxfId="107">
      <calculatedColumnFormula>+Tabla1[[#This Row],[Plan Irrestricto]]-Tabla1[[#This Row],[Puerto ]]-Tabla1[[#This Row],[Atraso]]</calculatedColumnFormula>
    </tableColumn>
    <tableColumn id="50" xr3:uid="{F463FF30-4D30-4335-ABA3-A06C11999E93}" name="Plan Ajustado" dataDxfId="106">
      <calculatedColumnFormula>IF(Tabla1[[#This Row],[Plan Irrestricto]]&gt;0,SUM(Tabla1[[#This Row],[Facturación atraso]],Tabla1[[#This Row],[Facturación Venta nueva]],Tabla1[[#This Row],[Facturación stock]],Tabla1[[#This Row],[En puerto a facturar]]),0)</calculatedColumnFormula>
    </tableColumn>
    <tableColumn id="29" xr3:uid="{4F1A0291-8156-48B0-9BB5-812C5F27D49B}" name=" Atraso ajustado" dataDxfId="105">
      <calculatedColumnFormula>+Tabla1[[#This Row],[Facturación atraso]]</calculatedColumnFormula>
    </tableColumn>
    <tableColumn id="28" xr3:uid="{B41FA59F-7448-4229-A7C3-8E7E62252E60}" name="Venta nueva Ajustado" dataDxfId="104">
      <calculatedColumnFormula>+Tabla1[[#This Row],[Plan Ajustado]]-Tabla1[[#This Row],[ Atraso ajustado]]-Tabla1[[#This Row],[Puerto ]]</calculatedColumnFormula>
    </tableColumn>
    <tableColumn id="59" xr3:uid="{E6AFDF2F-D5EE-47CC-9101-2761DB840C5E}" name="Motivo Ajuste" dataDxfId="103"/>
    <tableColumn id="63" xr3:uid="{CC970260-C442-46A0-8F17-28ED9EEBCB7E}" name="Usa produdicción o stock ¿?" dataDxfId="102">
      <calculatedColumnFormula>IF(Tabla1[[#This Row],[Plan Ajustado]]&gt;Tabla1[[#This Row],[En puerto a facturar]],"Si","No")</calculatedColumnFormula>
    </tableColumn>
    <tableColumn id="64" xr3:uid="{17245924-656A-4244-A698-0BC5628B91E9}" name="Necesidad" dataDxfId="101">
      <calculatedColumnFormula>IF(AND(Tabla1[[#This Row],[Plan Ajustado]]&gt;0,Tabla1[[#This Row],[Plan Ajustado]]&gt;Tabla1[[#This Row],[En puerto a facturar]]),(Tabla1[[#This Row],[Plan Ajustado]]-Tabla1[[#This Row],[En puerto a facturar]]),0)</calculatedColumnFormula>
    </tableColumn>
    <tableColumn id="65" xr3:uid="{E750424B-3BA7-442D-9AEC-B07091B18093}" name="Stock Plan" dataDxfId="100">
      <calculatedColumnFormula>IF(Tabla1[[#This Row],[Necesidad]]&gt;=Tabla1[[#This Row],[Stock al día]],Tabla1[[#This Row],[Stock al día]],Tabla1[[#This Row],[Necesidad]])</calculatedColumnFormula>
    </tableColumn>
    <tableColumn id="36" xr3:uid="{BA176BAA-E0A3-4B89-9E78-DC387978A4FE}" name="Producción nueva" dataDxfId="99">
      <calculatedColumnFormula>+Tabla1[[#This Row],[Necesidad]]-Tabla1[[#This Row],[Stock Plan]]</calculatedColumnFormula>
    </tableColumn>
    <tableColumn id="67" xr3:uid="{812B6BA0-51D8-4548-A0BB-F878172EB057}" name="Fecha limite producción" dataDxfId="98">
      <calculatedColumnFormula>IFERROR(VLOOKUP(Tabla1[[#This Row],[Oficina]],[22]Ponderación!$B$3:$G$9,6,FALSE),"")</calculatedColumnFormula>
    </tableColumn>
    <tableColumn id="32" xr3:uid="{09FAB866-5C03-41D3-AEB1-1A3CBD73971C}" name="Precio venta nueva" dataDxfId="97" dataCellStyle="Moneda [0]">
      <calculatedColumnFormula>IFERROR(IF(Tabla1[[#This Row],[Oficina]]=$AS$8,VLOOKUP(Tabla1[[#This Row],[Material]],'[20]Shangai (Tomas)'!$A:$H,6,FALSE),VLOOKUP(Tabla1[[#This Row],[Llave]],'[7]RV plan de ventas'!$A:$F,6,FALSE)),Tabla1[[#This Row],[Precio Ultima facturación]])</calculatedColumnFormula>
    </tableColumn>
    <tableColumn id="33" xr3:uid="{11CB443B-2F73-4E4D-BB2B-39B1DB52992D}" name="Precio Atraso" dataDxfId="96">
      <calculatedColumnFormula>IFERROR(VLOOKUP(Tabla1[[#This Row],[Llave]],[17]DELAY!$H:$W,16,FALSE),0)</calculatedColumnFormula>
    </tableColumn>
    <tableColumn id="34" xr3:uid="{8DEF5525-34B4-46BA-851A-7AE87D87913D}" name="Precio ponderado" dataDxfId="95" dataCellStyle="Moneda [0]">
      <calculatedColumnFormula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calculatedColumnFormula>
    </tableColumn>
    <tableColumn id="40" xr3:uid="{F8D88C2B-929C-4555-8A59-6D7A772F7C3F}" name="Neto" dataDxfId="94" dataCellStyle="Millares [0]">
      <calculatedColumnFormula>+Tabla1[[#This Row],[Plan Ajustado]]*Tabla1[[#This Row],[Precio ponderado]]</calculatedColumnFormula>
    </tableColumn>
    <tableColumn id="42" xr3:uid="{EBA81F4D-8EB7-4A22-BED9-D0BFDD955EDB}" name="Precio Ultima facturación" dataDxfId="93" dataCellStyle="Moneda [0]">
      <calculatedColumnFormula>IFERROR(VLOOKUP(Tabla1[[#This Row],[Llave]],'[13]Ultimos precios facturados'!$A:$G,7,FALSE),0)</calculatedColumnFormula>
    </tableColumn>
    <tableColumn id="66" xr3:uid="{04ACB924-B08D-4EED-8E80-B0F6D5798E5A}" name="Desv ABS Precio" dataDxfId="92" dataCellStyle="Porcentaje">
      <calculatedColumnFormula>IF(AND(Tabla1[[#This Row],[Precio ponderado]]&gt;0,Tabla1[[#This Row],[Precio Ultima facturación]]&gt;0),(ABS(Tabla1[[#This Row],[Precio Ultima facturación]]-Tabla1[[#This Row],[Precio ponderado]])/Tabla1[[#This Row],[Precio Ultima facturación]]),"No Aplica")</calculatedColumnFormula>
    </tableColumn>
    <tableColumn id="45" xr3:uid="{D653A66A-B30A-4F88-94FE-E390088B9DCB}" name="Ajuste precio IC" dataDxfId="91" dataCellStyle="Moneda [0]"/>
    <tableColumn id="61" xr3:uid="{E63E94AC-8A30-4B41-9A38-8D8486370C51}" name="Precio Final" dataDxfId="90" dataCellStyle="Moneda [0]">
      <calculatedColumnFormula>IF(Tabla1[[#This Row],[Ajuste precio IC]]="",Tabla1[[#This Row],[Precio ponderado]],Tabla1[[#This Row],[Precio ponderado]])</calculatedColumnFormula>
    </tableColumn>
    <tableColumn id="43" xr3:uid="{92B0BFB5-B90F-462A-BEBC-ED1F405D34F9}" name="OB Ajuste precio" dataDxfId="89" dataCellStyle="Porcentaje"/>
    <tableColumn id="60" xr3:uid="{F3C3F017-853D-45AB-BE01-62E9781327BF}" name="Verificador precio 1" dataDxfId="88" dataCellStyle="Porcentaje">
      <calculatedColumnFormula>IF(AND(Tabla1[[#This Row],[Atraso a facturar]]&gt;0,Tabla1[[#This Row],[Precio Atraso]]=0),"Revisar","OK")</calculatedColumnFormula>
    </tableColumn>
    <tableColumn id="52" xr3:uid="{47110041-272C-4AA2-A356-F195B0D82FCD}" name="Verificador precio 2 vta nueva" dataDxfId="87" dataCellStyle="Porcentaje">
      <calculatedColumnFormula>IF(AND(Tabla1[[#This Row],[Venta del mes]]&gt;0,Tabla1[[#This Row],[Precio venta nueva]]=0),"Revisar","OK")</calculatedColumnFormula>
    </tableColumn>
    <tableColumn id="15" xr3:uid="{7C851600-F583-4B78-BE03-145BBA2E23AE}" name="Plan Enero" dataDxfId="86" dataCellStyle="Millares [0]">
      <calculatedColumnFormula>IFERROR(VLOOKUP(Tabla1[[#This Row],[Llave]],'[5]Consolidación planes'!$A:$M,9,FALSE),0)</calculatedColumnFormula>
    </tableColumn>
    <tableColumn id="16" xr3:uid="{73E379EF-47E2-4933-B575-BB12BC03F499}" name="Plan Febrero" dataDxfId="85" dataCellStyle="Millares [0]">
      <calculatedColumnFormula>IFERROR(VLOOKUP(Tabla1[[#This Row],[Llave]],'[5]Consolidación planes'!$A:$M,10,FALSE),0)</calculatedColumnFormula>
    </tableColumn>
    <tableColumn id="18" xr3:uid="{FDB66790-53DD-47BD-BB4B-3514BFB54F28}" name="Plan Marzo" dataDxfId="84" dataCellStyle="Millares [0]">
      <calculatedColumnFormula>IFERROR(VLOOKUP(Tabla1[[#This Row],[Llave]],'[5]Consolidación planes'!$A:$M,11,FALSE),0)</calculatedColumnFormula>
    </tableColumn>
    <tableColumn id="30" xr3:uid="{67B717B5-DEEC-4958-959E-5530234641CB}" name="Plan Abril" dataDxfId="83" dataCellStyle="Millares [0]">
      <calculatedColumnFormula>IFERROR(VLOOKUP(Tabla1[[#This Row],[Llave]],'[5]Consolidación planes'!$A:$M,12,FALSE),0)</calculatedColumnFormula>
    </tableColumn>
    <tableColumn id="31" xr3:uid="{B18AB162-015E-436F-942E-A47653AB948F}" name="Plan Mayo" dataDxfId="82" dataCellStyle="Millares [0]">
      <calculatedColumnFormula>IFERROR(VLOOKUP(Tabla1[[#This Row],[Llave]],'[5]Consolidación planes'!$A:$M,13,FALSE),0)</calculatedColumnFormula>
    </tableColumn>
    <tableColumn id="51" xr3:uid="{8DC39299-E9B9-4B8E-9272-AE27148C1DB3}" name="Plan Jun" dataDxfId="81" dataCellStyle="Millares [0]">
      <calculatedColumnFormula>IFERROR(VLOOKUP(Tabla1[[#This Row],[Llave]],'[13]Base ultimos planes'!$A:$M,13,FALSE),0)</calculatedColumnFormula>
    </tableColumn>
    <tableColumn id="58" xr3:uid="{6CF4BFC7-A5FE-4947-8EE9-C7AFCBB62D98}" name="Neto Ene" dataDxfId="80" dataCellStyle="Moneda [0]">
      <calculatedColumnFormula>IFERROR(VLOOKUP(Tabla1[[#This Row],[Llave]],'[13]Base ultimos planes'!$O:$AA,8,FALSE),0)</calculatedColumnFormula>
    </tableColumn>
    <tableColumn id="57" xr3:uid="{AD07856D-BA29-4DCC-899B-1BDD669CB64F}" name="Neto Feb" dataDxfId="79" dataCellStyle="Millares [0]">
      <calculatedColumnFormula>IFERROR(VLOOKUP(Tabla1[[#This Row],[Llave]],'[13]Base ultimos planes'!$O:$AA,9,FALSE),0)</calculatedColumnFormula>
    </tableColumn>
    <tableColumn id="56" xr3:uid="{C9DF07A3-7B9E-48B3-8493-1A5B98FDEC16}" name="Neto Mar" dataDxfId="78" dataCellStyle="Millares [0]">
      <calculatedColumnFormula>IFERROR(VLOOKUP(Tabla1[[#This Row],[Llave]],'[13]Base ultimos planes'!$O:$AA,10,FALSE),0)</calculatedColumnFormula>
    </tableColumn>
    <tableColumn id="55" xr3:uid="{E2419DA0-A2B9-4555-9ECE-7E77A135D87F}" name="Neto Abr" dataDxfId="77" dataCellStyle="Millares [0]">
      <calculatedColumnFormula>IFERROR(VLOOKUP(Tabla1[[#This Row],[Llave]],'[13]Base ultimos planes'!$O:$AA,11,FALSE),0)</calculatedColumnFormula>
    </tableColumn>
    <tableColumn id="54" xr3:uid="{05BF99EA-89C9-4FCB-8FA5-ADFC818C321D}" name="Neto May" dataDxfId="76" dataCellStyle="Millares [0]">
      <calculatedColumnFormula>IFERROR(VLOOKUP(Tabla1[[#This Row],[Llave]],'[13]Base ultimos planes'!$O:$AA,12,FALSE),0)</calculatedColumnFormula>
    </tableColumn>
    <tableColumn id="53" xr3:uid="{39DE600B-5818-4419-8A3E-6EF2C10BDE48}" name="Neto Jun" dataDxfId="75" dataCellStyle="Millares [0]">
      <calculatedColumnFormula>IFERROR(VLOOKUP(Tabla1[[#This Row],[Llave]],'[13]Base ultimos planes'!$O:$AA,13,FALSE),0)</calculatedColumnFormula>
    </tableColumn>
    <tableColumn id="41" xr3:uid="{DC691C4C-8610-488C-9FA8-604A78A0844F}" name="OBS" dataDxfId="74" dataCellStyle="Millares [0]"/>
    <tableColumn id="62" xr3:uid="{5362A5FC-AC87-4BC0-B953-2F2CADC9D9B5}" name="Producción disponible mes n-1" dataDxfId="73" dataCellStyle="Millares [0]">
      <calculatedColumnFormula>+Tabla1[[#This Row],[ RV  Venta mes n+1]]*(1-Tabla1[[#This Row],[% Uti. producción]])</calculatedColumnFormula>
    </tableColumn>
    <tableColumn id="69" xr3:uid="{81D958DA-22F0-4FC1-ACD1-F9E581C9D871}" name="Saldo mes n-1" dataDxfId="72" dataCellStyle="Millares [0]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customProperty" Target="../customProperty4.bin"/><Relationship Id="rId5" Type="http://schemas.openxmlformats.org/officeDocument/2006/relationships/customProperty" Target="../customProperty3.bin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customProperty" Target="../customProperty5.bin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2.bin"/><Relationship Id="rId6" Type="http://schemas.microsoft.com/office/2007/relationships/slicer" Target="../slicers/slicer2.xml"/><Relationship Id="rId5" Type="http://schemas.openxmlformats.org/officeDocument/2006/relationships/table" Target="../tables/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9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customProperty" Target="../customProperty10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2.bin"/><Relationship Id="rId3" Type="http://schemas.openxmlformats.org/officeDocument/2006/relationships/pivotTable" Target="../pivotTables/pivotTable9.xml"/><Relationship Id="rId7" Type="http://schemas.openxmlformats.org/officeDocument/2006/relationships/customProperty" Target="../customProperty1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Relationship Id="rId9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3.bin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2.xml"/><Relationship Id="rId4" Type="http://schemas.openxmlformats.org/officeDocument/2006/relationships/customProperty" Target="../customProperty1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6.bin"/><Relationship Id="rId2" Type="http://schemas.openxmlformats.org/officeDocument/2006/relationships/customProperty" Target="../customProperty15.bin"/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7.bin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4" Type="http://schemas.openxmlformats.org/officeDocument/2006/relationships/customProperty" Target="../customProperty1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0.bin"/><Relationship Id="rId1" Type="http://schemas.openxmlformats.org/officeDocument/2006/relationships/customProperty" Target="../customProperty1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5.bin"/><Relationship Id="rId6" Type="http://schemas.microsoft.com/office/2007/relationships/slicer" Target="../slicers/slicer3.xml"/><Relationship Id="rId5" Type="http://schemas.openxmlformats.org/officeDocument/2006/relationships/table" Target="../tables/table3.xml"/><Relationship Id="rId4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customProperty" Target="../customProperty2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5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customProperty" Target="../customProperty2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5" Type="http://schemas.openxmlformats.org/officeDocument/2006/relationships/customProperty" Target="../customProperty28.bin"/><Relationship Id="rId4" Type="http://schemas.openxmlformats.org/officeDocument/2006/relationships/customProperty" Target="../customProperty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0.bin"/><Relationship Id="rId1" Type="http://schemas.openxmlformats.org/officeDocument/2006/relationships/customProperty" Target="../customProperty2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2.bin"/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7.bin"/><Relationship Id="rId6" Type="http://schemas.microsoft.com/office/2007/relationships/slicer" Target="../slicers/slicer4.xml"/><Relationship Id="rId5" Type="http://schemas.openxmlformats.org/officeDocument/2006/relationships/table" Target="../tables/table4.xml"/><Relationship Id="rId4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4.bin"/><Relationship Id="rId1" Type="http://schemas.openxmlformats.org/officeDocument/2006/relationships/customProperty" Target="../customProperty3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6" Type="http://schemas.openxmlformats.org/officeDocument/2006/relationships/customProperty" Target="../customProperty36.bin"/><Relationship Id="rId5" Type="http://schemas.openxmlformats.org/officeDocument/2006/relationships/customProperty" Target="../customProperty35.bin"/><Relationship Id="rId4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8.bin"/><Relationship Id="rId1" Type="http://schemas.openxmlformats.org/officeDocument/2006/relationships/customProperty" Target="../customProperty3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0.bin"/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6" Type="http://schemas.openxmlformats.org/officeDocument/2006/relationships/customProperty" Target="../customProperty42.bin"/><Relationship Id="rId5" Type="http://schemas.openxmlformats.org/officeDocument/2006/relationships/customProperty" Target="../customProperty41.bin"/><Relationship Id="rId4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4.bin"/><Relationship Id="rId2" Type="http://schemas.openxmlformats.org/officeDocument/2006/relationships/customProperty" Target="../customProperty43.bin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5" Type="http://schemas.openxmlformats.org/officeDocument/2006/relationships/customProperty" Target="../customProperty46.bin"/><Relationship Id="rId4" Type="http://schemas.openxmlformats.org/officeDocument/2006/relationships/customProperty" Target="../customProperty45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0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Relationship Id="rId6" Type="http://schemas.openxmlformats.org/officeDocument/2006/relationships/customProperty" Target="../customProperty48.bin"/><Relationship Id="rId5" Type="http://schemas.openxmlformats.org/officeDocument/2006/relationships/customProperty" Target="../customProperty47.bin"/><Relationship Id="rId4" Type="http://schemas.openxmlformats.org/officeDocument/2006/relationships/pivotTable" Target="../pivotTables/pivotTable31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Relationship Id="rId5" Type="http://schemas.openxmlformats.org/officeDocument/2006/relationships/customProperty" Target="../customProperty50.bin"/><Relationship Id="rId4" Type="http://schemas.openxmlformats.org/officeDocument/2006/relationships/customProperty" Target="../customProperty4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6.xml"/><Relationship Id="rId2" Type="http://schemas.openxmlformats.org/officeDocument/2006/relationships/pivotTable" Target="../pivotTables/pivotTable35.xml"/><Relationship Id="rId1" Type="http://schemas.openxmlformats.org/officeDocument/2006/relationships/pivotTable" Target="../pivotTables/pivotTable34.xml"/><Relationship Id="rId5" Type="http://schemas.openxmlformats.org/officeDocument/2006/relationships/customProperty" Target="../customProperty52.bin"/><Relationship Id="rId4" Type="http://schemas.openxmlformats.org/officeDocument/2006/relationships/customProperty" Target="../customProperty51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3.bin"/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Relationship Id="rId4" Type="http://schemas.openxmlformats.org/officeDocument/2006/relationships/customProperty" Target="../customProperty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2A9B3-F78F-4315-8C9B-A9F44A53F5CA}">
  <sheetPr>
    <tabColor rgb="FFFF0000"/>
  </sheetPr>
  <dimension ref="B8:AF324"/>
  <sheetViews>
    <sheetView showGridLines="0" topLeftCell="C1" zoomScale="70" zoomScaleNormal="70" workbookViewId="0">
      <selection activeCell="F297" sqref="F297"/>
    </sheetView>
  </sheetViews>
  <sheetFormatPr baseColWidth="10" defaultRowHeight="15" x14ac:dyDescent="0.2"/>
  <cols>
    <col min="1" max="1" width="0.6640625" customWidth="1"/>
    <col min="2" max="2" width="24.6640625" hidden="1" customWidth="1"/>
    <col min="3" max="3" width="10.33203125" bestFit="1" customWidth="1"/>
    <col min="4" max="4" width="17.5" bestFit="1" customWidth="1"/>
    <col min="5" max="5" width="11" bestFit="1" customWidth="1"/>
    <col min="6" max="6" width="36.6640625" bestFit="1" customWidth="1"/>
    <col min="7" max="7" width="16.1640625" bestFit="1" customWidth="1"/>
    <col min="8" max="8" width="20.83203125" bestFit="1" customWidth="1"/>
    <col min="9" max="22" width="15.6640625" customWidth="1"/>
    <col min="23" max="23" width="15.6640625" hidden="1" customWidth="1"/>
    <col min="24" max="26" width="15.6640625" customWidth="1"/>
    <col min="27" max="27" width="15.6640625" hidden="1" customWidth="1"/>
  </cols>
  <sheetData>
    <row r="8" spans="2:32" ht="16" x14ac:dyDescent="0.2">
      <c r="I8" s="16" t="e">
        <f>SUBTOTAL(9,Tabla13 #REF! )</f>
        <v>#NAME?</v>
      </c>
      <c r="J8" s="16" t="e">
        <f>SUBTOTAL(9,Tabla13 #REF! )</f>
        <v>#NAME?</v>
      </c>
      <c r="K8" s="16"/>
      <c r="L8" s="16">
        <f>SUBTOTAL(9,Tabla13[Producción disponible])</f>
        <v>0</v>
      </c>
      <c r="M8" s="16">
        <f>SUBTOTAL(9,Tabla13[Stock al día])</f>
        <v>0</v>
      </c>
      <c r="N8" s="16">
        <f>SUBTOTAL(9,Tabla13[Stock por despachar N])</f>
        <v>125000</v>
      </c>
      <c r="O8" s="16">
        <f>SUBTOTAL(9,Tabla13[Por producir Abr.] )</f>
        <v>299000</v>
      </c>
      <c r="P8" s="16">
        <f>SUBTOTAL(9,Tabla13[Producción por despachar mes N] )</f>
        <v>0</v>
      </c>
      <c r="Q8" s="16">
        <f>SUBTOTAL(9,Tabla13[Total disponible])</f>
        <v>174000</v>
      </c>
      <c r="R8" s="16">
        <f>SUBTOTAL(9,Tabla13[Delay])</f>
        <v>869958.04799999995</v>
      </c>
      <c r="S8" s="16">
        <f>SUBTOTAL(9,Tabla13[Vol. prom. Por contenedor])</f>
        <v>47000</v>
      </c>
      <c r="T8" s="16">
        <f>SUBTOTAL(9,Tabla13[Atraso a facturar])</f>
        <v>150000</v>
      </c>
      <c r="U8" s="16">
        <f>SUBTOTAL(9,Tabla13[Producción Disponible2])</f>
        <v>24000</v>
      </c>
      <c r="V8" s="16">
        <f>SUBTOTAL(9,Tabla13[Venta del mes] )</f>
        <v>0</v>
      </c>
      <c r="W8" s="16">
        <f>SUBTOTAL(9,Tabla13[Warning venta])</f>
        <v>0</v>
      </c>
      <c r="X8" s="16">
        <f>SUBTOTAL(9,Tabla13[Ajuste])</f>
        <v>0</v>
      </c>
      <c r="Y8" s="16">
        <f>SUBTOTAL(9,Tabla13[En puerto a facturar])</f>
        <v>0</v>
      </c>
      <c r="Z8" s="16"/>
      <c r="AA8" s="16">
        <f>SUBTOTAL(9,Tabla13[Plan Irrestricto])</f>
        <v>150000</v>
      </c>
    </row>
    <row r="9" spans="2:32" ht="34" customHeight="1" x14ac:dyDescent="0.2">
      <c r="B9" s="2" t="s">
        <v>330</v>
      </c>
      <c r="C9" s="2" t="s">
        <v>0</v>
      </c>
      <c r="D9" s="2" t="s">
        <v>1</v>
      </c>
      <c r="E9" s="2" t="s">
        <v>4</v>
      </c>
      <c r="F9" s="2" t="s">
        <v>5</v>
      </c>
      <c r="G9" s="2" t="s">
        <v>2</v>
      </c>
      <c r="H9" s="2" t="s">
        <v>3</v>
      </c>
      <c r="I9" s="2" t="s">
        <v>335</v>
      </c>
      <c r="J9" s="2" t="s">
        <v>336</v>
      </c>
      <c r="K9" s="2" t="s">
        <v>331</v>
      </c>
      <c r="L9" s="2" t="s">
        <v>332</v>
      </c>
      <c r="M9" s="2" t="s">
        <v>333</v>
      </c>
      <c r="N9" s="2" t="s">
        <v>337</v>
      </c>
      <c r="O9" s="2" t="s">
        <v>334</v>
      </c>
      <c r="P9" s="2" t="s">
        <v>338</v>
      </c>
      <c r="Q9" s="2" t="s">
        <v>339</v>
      </c>
      <c r="R9" s="2" t="s">
        <v>340</v>
      </c>
      <c r="S9" s="2" t="s">
        <v>341</v>
      </c>
      <c r="T9" s="22" t="s">
        <v>342</v>
      </c>
      <c r="U9" s="2" t="s">
        <v>343</v>
      </c>
      <c r="V9" s="22" t="s">
        <v>344</v>
      </c>
      <c r="W9" s="2" t="s">
        <v>347</v>
      </c>
      <c r="X9" s="2" t="s">
        <v>345</v>
      </c>
      <c r="Y9" s="22" t="s">
        <v>346</v>
      </c>
      <c r="Z9" s="19" t="s">
        <v>411</v>
      </c>
      <c r="AA9" s="4" t="s">
        <v>410</v>
      </c>
      <c r="AB9" s="21" t="s">
        <v>414</v>
      </c>
      <c r="AC9" s="21" t="s">
        <v>415</v>
      </c>
      <c r="AD9" s="21" t="s">
        <v>416</v>
      </c>
      <c r="AE9" s="21" t="s">
        <v>417</v>
      </c>
      <c r="AF9" s="21" t="s">
        <v>418</v>
      </c>
    </row>
    <row r="10" spans="2:32" ht="16" hidden="1" x14ac:dyDescent="0.2">
      <c r="B10" t="str">
        <f>Tabla13[[#This Row],[Oficina]]&amp;Tabla13[[#This Row],[Material]]</f>
        <v>Agro Sudamerica1020017</v>
      </c>
      <c r="C10" t="s">
        <v>6</v>
      </c>
      <c r="D10" t="s">
        <v>17</v>
      </c>
      <c r="E10">
        <v>1020017</v>
      </c>
      <c r="F10" t="s">
        <v>20</v>
      </c>
      <c r="G10" t="s">
        <v>18</v>
      </c>
      <c r="H10" t="s">
        <v>19</v>
      </c>
      <c r="I10" s="7">
        <f>IFERROR(VLOOKUP(Tabla13[[#This Row],[Llave]],'[1]Consolidado RV'!$B:$H,6,FALSE),0)</f>
        <v>0</v>
      </c>
      <c r="J10" s="7">
        <f>IFERROR(VLOOKUP(Tabla13[[#This Row],[Llave]],'[1]Consolidado RV'!$B:$H,7,FALSE),0)</f>
        <v>0</v>
      </c>
      <c r="K10" s="8">
        <f>IFERROR(VLOOKUP(Tabla13[[#This Row],[Oficina]],#REF!,2,FALSE),0)</f>
        <v>0</v>
      </c>
      <c r="L10" s="7">
        <f>+Tabla13[[#This Row],[ RV Producción mes n+1]]*Tabla13[[#This Row],[% Uti. producción]]</f>
        <v>0</v>
      </c>
      <c r="M10" s="7">
        <f>IFERROR(VLOOKUP(Tabla13[[#This Row],[Material]],#REF!,2,FALSE),0)</f>
        <v>0</v>
      </c>
      <c r="N10" s="7">
        <f>IFERROR(VLOOKUP(Tabla13[[#This Row],[Llave]],'En puerto-Programado'!A:D,4,FALSE)+VLOOKUP(Tabla13[[#This Row],[Llave]],'Por despachar'!A:F,6,FALSE),0)</f>
        <v>0</v>
      </c>
      <c r="O10" s="7">
        <f>IFERROR(VLOOKUP(Tabla13[[#This Row],[Material]],[2]Consolidado!$C:$D,2,FALSE),0)</f>
        <v>0</v>
      </c>
      <c r="P10" s="7">
        <f>IFERROR(VLOOKUP(Tabla13[[#This Row],[Llave]],'Por despachar'!A:E,5,FALSE),0)</f>
        <v>0</v>
      </c>
      <c r="Q1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0" s="7">
        <f>IFERROR(VLOOKUP(Tabla13[[#This Row],[Llave]],[3]Hoja2!$A:$D,4,FALSE),0)</f>
        <v>17000</v>
      </c>
      <c r="S10" s="9">
        <f>IFERROR(VLOOKUP(Tabla13[[#This Row],[Material]],[4]Hoja1!$B:$C,2,FALSE),0)</f>
        <v>24000</v>
      </c>
      <c r="T10" s="5">
        <f>IF(AND(Q10&gt;R10,R10&gt;0),R10,IF(AND(Q10&lt;R10,R10&gt;0),(ROUNDDOWN(Q10/S10,0)*S10),0))</f>
        <v>0</v>
      </c>
      <c r="U10" s="3">
        <f>+Tabla13[[#This Row],[Total disponible]]-Tabla13[[#This Row],[Atraso a facturar]]</f>
        <v>0</v>
      </c>
      <c r="V10" s="6">
        <f t="shared" ref="V10:V73" si="0">IFERROR(IF(AND(U10&gt;S10,J10&gt;S10),ROUNDDOWN(U10/S10,0)*S10,0),0)</f>
        <v>0</v>
      </c>
      <c r="W10" s="3" t="str">
        <f>IF(Tabla13[[#This Row],[Venta del mes]]&gt;Tabla13[[#This Row],[ RV  Venta mes n+1]],"Falta venta","-")</f>
        <v>-</v>
      </c>
      <c r="X10" s="7"/>
      <c r="Y10" s="18">
        <v>0</v>
      </c>
      <c r="Z10" s="5">
        <f>+Tabla13[[#This Row],[Atraso a facturar]]+Tabla13[[#This Row],[Venta del mes]]+Tabla13[[#This Row],[Ajuste]]</f>
        <v>0</v>
      </c>
      <c r="AA10" s="6">
        <f>+Tabla13[[#This Row],[Atraso a facturar]]+Tabla13[[#This Row],[Venta del mes]]+Tabla13[[#This Row],[En puerto a facturar]]</f>
        <v>0</v>
      </c>
      <c r="AB10" s="20">
        <f>IFERROR(VLOOKUP(Tabla13[[#This Row],[Llave]],'[5]Consolidación planes'!$A:$M,9,FALSE),0)</f>
        <v>192000</v>
      </c>
      <c r="AC10" s="20">
        <f>IFERROR(VLOOKUP(Tabla13[[#This Row],[Llave]],'[5]Consolidación planes'!$A:$M,10,FALSE),0)</f>
        <v>108000</v>
      </c>
      <c r="AD10" s="20">
        <f>IFERROR(VLOOKUP(Tabla13[[#This Row],[Llave]],'[5]Consolidación planes'!$A:$M,11,FALSE),0)</f>
        <v>132000</v>
      </c>
      <c r="AE10" s="20">
        <f>IFERROR(VLOOKUP(Tabla13[[#This Row],[Llave]],'[5]Consolidación planes'!$A:$M,12,FALSE),0)</f>
        <v>96000</v>
      </c>
      <c r="AF10" s="20">
        <f>IFERROR(VLOOKUP(Tabla13[[#This Row],[Llave]],'[5]Consolidación planes'!$A:$M,13,FALSE),0)</f>
        <v>37000</v>
      </c>
    </row>
    <row r="11" spans="2:32" ht="16" hidden="1" x14ac:dyDescent="0.2">
      <c r="B11" t="str">
        <f>Tabla13[[#This Row],[Oficina]]&amp;Tabla13[[#This Row],[Material]]</f>
        <v>Agro Sudamerica1020339</v>
      </c>
      <c r="C11" t="s">
        <v>6</v>
      </c>
      <c r="D11" t="s">
        <v>17</v>
      </c>
      <c r="E11">
        <v>1020339</v>
      </c>
      <c r="F11" t="s">
        <v>49</v>
      </c>
      <c r="G11" t="s">
        <v>11</v>
      </c>
      <c r="H11" t="s">
        <v>15</v>
      </c>
      <c r="I11" s="7">
        <f>IFERROR(VLOOKUP(Tabla13[[#This Row],[Llave]],'[1]Consolidado RV'!$B:$H,6,FALSE),0)</f>
        <v>24001.524000000001</v>
      </c>
      <c r="J11" s="3">
        <f>IFERROR(VLOOKUP(Tabla13[[#This Row],[Llave]],'[1]Consolidado RV'!$B:$H,7,FALSE),0)</f>
        <v>0</v>
      </c>
      <c r="K11" s="8">
        <f>IFERROR(VLOOKUP(Tabla13[[#This Row],[Oficina]],#REF!,2,FALSE),0)</f>
        <v>0</v>
      </c>
      <c r="L11" s="7">
        <f>+Tabla13[[#This Row],[ RV Producción mes n+1]]*Tabla13[[#This Row],[% Uti. producción]]</f>
        <v>0</v>
      </c>
      <c r="M11" s="7">
        <f>IFERROR(VLOOKUP(Tabla13[[#This Row],[Material]],#REF!,2,FALSE),0)</f>
        <v>0</v>
      </c>
      <c r="N11" s="7">
        <f>IFERROR(VLOOKUP(Tabla13[[#This Row],[Llave]],'En puerto-Programado'!A:D,4,FALSE)+VLOOKUP(Tabla13[[#This Row],[Llave]],'Por despachar'!A:F,6,FALSE),0)</f>
        <v>0</v>
      </c>
      <c r="O11" s="7">
        <f>IFERROR(VLOOKUP(Tabla13[[#This Row],[Material]],[2]Consolidado!$C:$D,2,FALSE),0)</f>
        <v>25927.153281614366</v>
      </c>
      <c r="P11" s="7">
        <f>IFERROR(VLOOKUP(Tabla13[[#This Row],[Llave]],'Por despachar'!A:E,5,FALSE),0)</f>
        <v>0</v>
      </c>
      <c r="Q11" s="14">
        <f>SUM(Tabla13[[#This Row],[Producción disponible]],Tabla13[[#This Row],[Stock al día]],Tabla13[[#This Row],[Por producir Abr.]])-SUM(Tabla13[[#This Row],[Stock por despachar N]],Tabla13[[#This Row],[Producción por despachar mes N]])</f>
        <v>25927.153281614366</v>
      </c>
      <c r="R11" s="7">
        <f>IFERROR(VLOOKUP(Tabla13[[#This Row],[Llave]],[3]Hoja2!$A:$D,4,FALSE),0)</f>
        <v>257500</v>
      </c>
      <c r="S11" s="9">
        <f>IFERROR(VLOOKUP(Tabla13[[#This Row],[Material]],[4]Hoja1!$B:$C,2,FALSE),0)</f>
        <v>24000</v>
      </c>
      <c r="T11" s="5">
        <f t="shared" ref="T11:T74" si="1">IF(AND(Q11&gt;R11,R11&gt;0),R11,IF(AND(Q11&lt;R11,R11&gt;0),(ROUNDDOWN(Q11/S11,0)*S11),0))</f>
        <v>24000</v>
      </c>
      <c r="U11" s="3">
        <f>+Tabla13[[#This Row],[Total disponible]]-Tabla13[[#This Row],[Atraso a facturar]]</f>
        <v>1927.1532816143663</v>
      </c>
      <c r="V11" s="6">
        <f t="shared" si="0"/>
        <v>0</v>
      </c>
      <c r="W11" s="3" t="str">
        <f>IF(Tabla13[[#This Row],[Venta del mes]]&gt;Tabla13[[#This Row],[ RV  Venta mes n+1]],"Falta venta","-")</f>
        <v>-</v>
      </c>
      <c r="X11" s="7"/>
      <c r="Y11" s="18">
        <v>0</v>
      </c>
      <c r="Z11" s="5">
        <f>+Tabla13[[#This Row],[Atraso a facturar]]+Tabla13[[#This Row],[Venta del mes]]+Tabla13[[#This Row],[Ajuste]]</f>
        <v>24000</v>
      </c>
      <c r="AA11" s="6">
        <f>+Tabla13[[#This Row],[Atraso a facturar]]+Tabla13[[#This Row],[Venta del mes]]+Tabla13[[#This Row],[En puerto a facturar]]</f>
        <v>24000</v>
      </c>
      <c r="AB11" s="20">
        <f>IFERROR(VLOOKUP(Tabla13[[#This Row],[Llave]],'[5]Consolidación planes'!$A:$M,9,FALSE),0)</f>
        <v>34000</v>
      </c>
      <c r="AC11" s="20">
        <f>IFERROR(VLOOKUP(Tabla13[[#This Row],[Llave]],'[5]Consolidación planes'!$A:$M,10,FALSE),0)</f>
        <v>95000</v>
      </c>
      <c r="AD11" s="20">
        <f>IFERROR(VLOOKUP(Tabla13[[#This Row],[Llave]],'[5]Consolidación planes'!$A:$M,11,FALSE),0)</f>
        <v>85000</v>
      </c>
      <c r="AE11" s="20">
        <f>IFERROR(VLOOKUP(Tabla13[[#This Row],[Llave]],'[5]Consolidación planes'!$A:$M,12,FALSE),0)</f>
        <v>98500</v>
      </c>
      <c r="AF11" s="20">
        <f>IFERROR(VLOOKUP(Tabla13[[#This Row],[Llave]],'[5]Consolidación planes'!$A:$M,13,FALSE),0)</f>
        <v>130881</v>
      </c>
    </row>
    <row r="12" spans="2:32" ht="16" hidden="1" x14ac:dyDescent="0.2">
      <c r="B12" t="str">
        <f>Tabla13[[#This Row],[Oficina]]&amp;Tabla13[[#This Row],[Material]]</f>
        <v>Agro Sudamerica1020349</v>
      </c>
      <c r="C12" t="s">
        <v>6</v>
      </c>
      <c r="D12" t="s">
        <v>17</v>
      </c>
      <c r="E12">
        <v>1020349</v>
      </c>
      <c r="F12" t="s">
        <v>69</v>
      </c>
      <c r="G12" t="s">
        <v>67</v>
      </c>
      <c r="H12" t="s">
        <v>68</v>
      </c>
      <c r="I12" s="7">
        <f>IFERROR(VLOOKUP(Tabla13[[#This Row],[Llave]],'[1]Consolidado RV'!$B:$H,6,FALSE),0)</f>
        <v>76680.255999999994</v>
      </c>
      <c r="J12" s="3">
        <f>IFERROR(VLOOKUP(Tabla13[[#This Row],[Llave]],'[1]Consolidado RV'!$B:$H,7,FALSE),0)</f>
        <v>97250.041999999987</v>
      </c>
      <c r="K12" s="8">
        <f>IFERROR(VLOOKUP(Tabla13[[#This Row],[Oficina]],#REF!,2,FALSE),0)</f>
        <v>0</v>
      </c>
      <c r="L12" s="7">
        <f>+Tabla13[[#This Row],[ RV Producción mes n+1]]*Tabla13[[#This Row],[% Uti. producción]]</f>
        <v>0</v>
      </c>
      <c r="M12" s="7">
        <f>IFERROR(VLOOKUP(Tabla13[[#This Row],[Material]],#REF!,2,FALSE),0)</f>
        <v>0</v>
      </c>
      <c r="N12" s="7">
        <f>IFERROR(VLOOKUP(Tabla13[[#This Row],[Llave]],'En puerto-Programado'!A:D,4,FALSE)+VLOOKUP(Tabla13[[#This Row],[Llave]],'Por despachar'!A:F,6,FALSE),0)</f>
        <v>48000</v>
      </c>
      <c r="O12" s="7">
        <f>IFERROR(VLOOKUP(Tabla13[[#This Row],[Material]],[2]Consolidado!$C:$D,2,FALSE),0)</f>
        <v>0</v>
      </c>
      <c r="P12" s="7">
        <f>IFERROR(VLOOKUP(Tabla13[[#This Row],[Llave]],'Por despachar'!A:E,5,FALSE),0)</f>
        <v>0</v>
      </c>
      <c r="Q12" s="14">
        <f>SUM(Tabla13[[#This Row],[Producción disponible]],Tabla13[[#This Row],[Stock al día]],Tabla13[[#This Row],[Por producir Abr.]])-SUM(Tabla13[[#This Row],[Stock por despachar N]],Tabla13[[#This Row],[Producción por despachar mes N]])</f>
        <v>-48000</v>
      </c>
      <c r="R12" s="7">
        <f>IFERROR(VLOOKUP(Tabla13[[#This Row],[Llave]],[3]Hoja2!$A:$D,4,FALSE),0)</f>
        <v>120000</v>
      </c>
      <c r="S12" s="9">
        <f>IFERROR(VLOOKUP(Tabla13[[#This Row],[Material]],[4]Hoja1!$B:$C,2,FALSE),0)</f>
        <v>24000</v>
      </c>
      <c r="T12" s="5">
        <f t="shared" si="1"/>
        <v>-48000</v>
      </c>
      <c r="U12" s="3">
        <f>+Tabla13[[#This Row],[Total disponible]]-Tabla13[[#This Row],[Atraso a facturar]]</f>
        <v>0</v>
      </c>
      <c r="V12" s="6">
        <f t="shared" si="0"/>
        <v>0</v>
      </c>
      <c r="W12" s="3" t="str">
        <f>IF(Tabla13[[#This Row],[Venta del mes]]&gt;Tabla13[[#This Row],[ RV  Venta mes n+1]],"Falta venta","-")</f>
        <v>-</v>
      </c>
      <c r="X12" s="7"/>
      <c r="Y12" s="18">
        <v>0</v>
      </c>
      <c r="Z12" s="5">
        <f>+Tabla13[[#This Row],[Atraso a facturar]]+Tabla13[[#This Row],[Venta del mes]]+Tabla13[[#This Row],[Ajuste]]</f>
        <v>-48000</v>
      </c>
      <c r="AA12" s="6">
        <f>+Tabla13[[#This Row],[Atraso a facturar]]+Tabla13[[#This Row],[Venta del mes]]+Tabla13[[#This Row],[En puerto a facturar]]</f>
        <v>-48000</v>
      </c>
      <c r="AB12" s="20">
        <f>IFERROR(VLOOKUP(Tabla13[[#This Row],[Llave]],'[5]Consolidación planes'!$A:$M,9,FALSE),0)</f>
        <v>120000</v>
      </c>
      <c r="AC12" s="20">
        <f>IFERROR(VLOOKUP(Tabla13[[#This Row],[Llave]],'[5]Consolidación planes'!$A:$M,10,FALSE),0)</f>
        <v>156000</v>
      </c>
      <c r="AD12" s="20">
        <f>IFERROR(VLOOKUP(Tabla13[[#This Row],[Llave]],'[5]Consolidación planes'!$A:$M,11,FALSE),0)</f>
        <v>228000</v>
      </c>
      <c r="AE12" s="20">
        <f>IFERROR(VLOOKUP(Tabla13[[#This Row],[Llave]],'[5]Consolidación planes'!$A:$M,12,FALSE),0)</f>
        <v>192000</v>
      </c>
      <c r="AF12" s="20">
        <f>IFERROR(VLOOKUP(Tabla13[[#This Row],[Llave]],'[5]Consolidación planes'!$A:$M,13,FALSE),0)</f>
        <v>0</v>
      </c>
    </row>
    <row r="13" spans="2:32" ht="16" hidden="1" x14ac:dyDescent="0.2">
      <c r="B13" t="str">
        <f>Tabla13[[#This Row],[Oficina]]&amp;Tabla13[[#This Row],[Material]]</f>
        <v>Agro Sudamerica1020352</v>
      </c>
      <c r="C13" t="s">
        <v>6</v>
      </c>
      <c r="D13" t="s">
        <v>17</v>
      </c>
      <c r="E13">
        <v>1020352</v>
      </c>
      <c r="F13" t="s">
        <v>35</v>
      </c>
      <c r="G13" t="s">
        <v>8</v>
      </c>
      <c r="H13" t="s">
        <v>34</v>
      </c>
      <c r="I13" s="7">
        <f>IFERROR(VLOOKUP(Tabla13[[#This Row],[Llave]],'[1]Consolidado RV'!$B:$H,6,FALSE),0)</f>
        <v>58231.566999999995</v>
      </c>
      <c r="J13" s="3">
        <f>IFERROR(VLOOKUP(Tabla13[[#This Row],[Llave]],'[1]Consolidado RV'!$B:$H,7,FALSE),0)</f>
        <v>54437.850999999995</v>
      </c>
      <c r="K13" s="8">
        <f>IFERROR(VLOOKUP(Tabla13[[#This Row],[Oficina]],#REF!,2,FALSE),0)</f>
        <v>0</v>
      </c>
      <c r="L13" s="7">
        <f>+Tabla13[[#This Row],[ RV Producción mes n+1]]*Tabla13[[#This Row],[% Uti. producción]]</f>
        <v>0</v>
      </c>
      <c r="M13" s="7">
        <f>IFERROR(VLOOKUP(Tabla13[[#This Row],[Material]],#REF!,2,FALSE),0)</f>
        <v>0</v>
      </c>
      <c r="N13" s="7">
        <f>IFERROR(VLOOKUP(Tabla13[[#This Row],[Llave]],'En puerto-Programado'!A:D,4,FALSE)+VLOOKUP(Tabla13[[#This Row],[Llave]],'Por despachar'!A:F,6,FALSE),0)</f>
        <v>0</v>
      </c>
      <c r="O13" s="7">
        <f>IFERROR(VLOOKUP(Tabla13[[#This Row],[Material]],[2]Consolidado!$C:$D,2,FALSE),0)</f>
        <v>14306.400000000001</v>
      </c>
      <c r="P13" s="7">
        <f>IFERROR(VLOOKUP(Tabla13[[#This Row],[Llave]],'Por despachar'!A:E,5,FALSE),0)</f>
        <v>0</v>
      </c>
      <c r="Q13" s="14">
        <f>SUM(Tabla13[[#This Row],[Producción disponible]],Tabla13[[#This Row],[Stock al día]],Tabla13[[#This Row],[Por producir Abr.]])-SUM(Tabla13[[#This Row],[Stock por despachar N]],Tabla13[[#This Row],[Producción por despachar mes N]])</f>
        <v>14306.400000000001</v>
      </c>
      <c r="R13" s="7">
        <f>IFERROR(VLOOKUP(Tabla13[[#This Row],[Llave]],[3]Hoja2!$A:$D,4,FALSE),0)</f>
        <v>104000</v>
      </c>
      <c r="S13" s="9">
        <f>IFERROR(VLOOKUP(Tabla13[[#This Row],[Material]],[4]Hoja1!$B:$C,2,FALSE),0)</f>
        <v>24000</v>
      </c>
      <c r="T13" s="5">
        <f t="shared" si="1"/>
        <v>0</v>
      </c>
      <c r="U13" s="3">
        <f>+Tabla13[[#This Row],[Total disponible]]-Tabla13[[#This Row],[Atraso a facturar]]</f>
        <v>14306.400000000001</v>
      </c>
      <c r="V13" s="6">
        <f t="shared" si="0"/>
        <v>0</v>
      </c>
      <c r="W13" s="3" t="str">
        <f>IF(Tabla13[[#This Row],[Venta del mes]]&gt;Tabla13[[#This Row],[ RV  Venta mes n+1]],"Falta venta","-")</f>
        <v>-</v>
      </c>
      <c r="X13" s="7"/>
      <c r="Y13" s="18">
        <v>0</v>
      </c>
      <c r="Z13" s="5">
        <f>+Tabla13[[#This Row],[Atraso a facturar]]+Tabla13[[#This Row],[Venta del mes]]+Tabla13[[#This Row],[Ajuste]]</f>
        <v>0</v>
      </c>
      <c r="AA13" s="6">
        <f>+Tabla13[[#This Row],[Atraso a facturar]]+Tabla13[[#This Row],[Venta del mes]]+Tabla13[[#This Row],[En puerto a facturar]]</f>
        <v>0</v>
      </c>
      <c r="AB13" s="20">
        <f>IFERROR(VLOOKUP(Tabla13[[#This Row],[Llave]],'[5]Consolidación planes'!$A:$M,9,FALSE),0)</f>
        <v>35000</v>
      </c>
      <c r="AC13" s="20">
        <f>IFERROR(VLOOKUP(Tabla13[[#This Row],[Llave]],'[5]Consolidación planes'!$A:$M,10,FALSE),0)</f>
        <v>0</v>
      </c>
      <c r="AD13" s="20">
        <f>IFERROR(VLOOKUP(Tabla13[[#This Row],[Llave]],'[5]Consolidación planes'!$A:$M,11,FALSE),0)</f>
        <v>48000</v>
      </c>
      <c r="AE13" s="20">
        <f>IFERROR(VLOOKUP(Tabla13[[#This Row],[Llave]],'[5]Consolidación planes'!$A:$M,12,FALSE),0)</f>
        <v>48000</v>
      </c>
      <c r="AF13" s="20">
        <f>IFERROR(VLOOKUP(Tabla13[[#This Row],[Llave]],'[5]Consolidación planes'!$A:$M,13,FALSE),0)</f>
        <v>24000</v>
      </c>
    </row>
    <row r="14" spans="2:32" ht="16" hidden="1" x14ac:dyDescent="0.2">
      <c r="B14" t="str">
        <f>Tabla13[[#This Row],[Oficina]]&amp;Tabla13[[#This Row],[Material]]</f>
        <v>Agro Sudamerica1020367</v>
      </c>
      <c r="C14" t="s">
        <v>6</v>
      </c>
      <c r="D14" t="s">
        <v>17</v>
      </c>
      <c r="E14">
        <v>1020367</v>
      </c>
      <c r="F14" t="s">
        <v>42</v>
      </c>
      <c r="G14" t="s">
        <v>11</v>
      </c>
      <c r="H14" t="s">
        <v>41</v>
      </c>
      <c r="I14" s="7">
        <f>IFERROR(VLOOKUP(Tabla13[[#This Row],[Llave]],'[1]Consolidado RV'!$B:$H,6,FALSE),0)</f>
        <v>201358.26772376476</v>
      </c>
      <c r="J14" s="3">
        <f>IFERROR(VLOOKUP(Tabla13[[#This Row],[Llave]],'[1]Consolidado RV'!$B:$H,7,FALSE),0)</f>
        <v>216000</v>
      </c>
      <c r="K14" s="8">
        <f>IFERROR(VLOOKUP(Tabla13[[#This Row],[Oficina]],#REF!,2,FALSE),0)</f>
        <v>0</v>
      </c>
      <c r="L14" s="7">
        <f>+Tabla13[[#This Row],[ RV Producción mes n+1]]*Tabla13[[#This Row],[% Uti. producción]]</f>
        <v>0</v>
      </c>
      <c r="M14" s="7">
        <f>IFERROR(VLOOKUP(Tabla13[[#This Row],[Material]],#REF!,2,FALSE),0)</f>
        <v>0</v>
      </c>
      <c r="N14" s="7">
        <f>IFERROR(VLOOKUP(Tabla13[[#This Row],[Llave]],'En puerto-Programado'!A:D,4,FALSE)+VLOOKUP(Tabla13[[#This Row],[Llave]],'Por despachar'!A:F,6,FALSE),0)</f>
        <v>0</v>
      </c>
      <c r="O14" s="7">
        <f>IFERROR(VLOOKUP(Tabla13[[#This Row],[Material]],[2]Consolidado!$C:$D,2,FALSE),0)</f>
        <v>78448.202702865208</v>
      </c>
      <c r="P14" s="7">
        <f>IFERROR(VLOOKUP(Tabla13[[#This Row],[Llave]],'Por despachar'!A:E,5,FALSE),0)</f>
        <v>0</v>
      </c>
      <c r="Q14" s="14">
        <f>SUM(Tabla13[[#This Row],[Producción disponible]],Tabla13[[#This Row],[Stock al día]],Tabla13[[#This Row],[Por producir Abr.]])-SUM(Tabla13[[#This Row],[Stock por despachar N]],Tabla13[[#This Row],[Producción por despachar mes N]])</f>
        <v>78448.202702865208</v>
      </c>
      <c r="R14" s="7">
        <f>IFERROR(VLOOKUP(Tabla13[[#This Row],[Llave]],[3]Hoja2!$A:$D,4,FALSE),0)</f>
        <v>102000</v>
      </c>
      <c r="S14" s="9">
        <f>IFERROR(VLOOKUP(Tabla13[[#This Row],[Material]],[4]Hoja1!$B:$C,2,FALSE),0)</f>
        <v>24000</v>
      </c>
      <c r="T14" s="5">
        <f t="shared" si="1"/>
        <v>72000</v>
      </c>
      <c r="U14" s="3">
        <f>+Tabla13[[#This Row],[Total disponible]]-Tabla13[[#This Row],[Atraso a facturar]]</f>
        <v>6448.2027028652083</v>
      </c>
      <c r="V14" s="6">
        <f t="shared" si="0"/>
        <v>0</v>
      </c>
      <c r="W14" s="3" t="str">
        <f>IF(Tabla13[[#This Row],[Venta del mes]]&gt;Tabla13[[#This Row],[ RV  Venta mes n+1]],"Falta venta","-")</f>
        <v>-</v>
      </c>
      <c r="X14" s="7"/>
      <c r="Y14" s="18">
        <v>0</v>
      </c>
      <c r="Z14" s="5">
        <f>+Tabla13[[#This Row],[Atraso a facturar]]+Tabla13[[#This Row],[Venta del mes]]+Tabla13[[#This Row],[Ajuste]]</f>
        <v>72000</v>
      </c>
      <c r="AA14" s="6">
        <f>+Tabla13[[#This Row],[Atraso a facturar]]+Tabla13[[#This Row],[Venta del mes]]+Tabla13[[#This Row],[En puerto a facturar]]</f>
        <v>72000</v>
      </c>
      <c r="AB14" s="20">
        <f>IFERROR(VLOOKUP(Tabla13[[#This Row],[Llave]],'[5]Consolidación planes'!$A:$M,9,FALSE),0)</f>
        <v>48000</v>
      </c>
      <c r="AC14" s="20">
        <f>IFERROR(VLOOKUP(Tabla13[[#This Row],[Llave]],'[5]Consolidación planes'!$A:$M,10,FALSE),0)</f>
        <v>72000</v>
      </c>
      <c r="AD14" s="20">
        <f>IFERROR(VLOOKUP(Tabla13[[#This Row],[Llave]],'[5]Consolidación planes'!$A:$M,11,FALSE),0)</f>
        <v>24000</v>
      </c>
      <c r="AE14" s="20">
        <f>IFERROR(VLOOKUP(Tabla13[[#This Row],[Llave]],'[5]Consolidación planes'!$A:$M,12,FALSE),0)</f>
        <v>48100</v>
      </c>
      <c r="AF14" s="20">
        <f>IFERROR(VLOOKUP(Tabla13[[#This Row],[Llave]],'[5]Consolidación planes'!$A:$M,13,FALSE),0)</f>
        <v>72000</v>
      </c>
    </row>
    <row r="15" spans="2:32" ht="16" hidden="1" x14ac:dyDescent="0.2">
      <c r="B15" t="str">
        <f>Tabla13[[#This Row],[Oficina]]&amp;Tabla13[[#This Row],[Material]]</f>
        <v>Agro Sudamerica1020412</v>
      </c>
      <c r="C15" t="s">
        <v>6</v>
      </c>
      <c r="D15" t="s">
        <v>17</v>
      </c>
      <c r="E15">
        <v>1020412</v>
      </c>
      <c r="F15" t="s">
        <v>73</v>
      </c>
      <c r="G15" t="s">
        <v>71</v>
      </c>
      <c r="H15" t="s">
        <v>72</v>
      </c>
      <c r="I15" s="7">
        <f>IFERROR(VLOOKUP(Tabla13[[#This Row],[Llave]],'[1]Consolidado RV'!$B:$H,6,FALSE),0)</f>
        <v>173986.71400000001</v>
      </c>
      <c r="J15" s="3">
        <f>IFERROR(VLOOKUP(Tabla13[[#This Row],[Llave]],'[1]Consolidado RV'!$B:$H,7,FALSE),0)</f>
        <v>144000</v>
      </c>
      <c r="K15" s="8">
        <f>IFERROR(VLOOKUP(Tabla13[[#This Row],[Oficina]],#REF!,2,FALSE),0)</f>
        <v>0</v>
      </c>
      <c r="L15" s="7">
        <f>+Tabla13[[#This Row],[ RV Producción mes n+1]]*Tabla13[[#This Row],[% Uti. producción]]</f>
        <v>0</v>
      </c>
      <c r="M15" s="7">
        <f>IFERROR(VLOOKUP(Tabla13[[#This Row],[Material]],#REF!,2,FALSE),0)</f>
        <v>0</v>
      </c>
      <c r="N15" s="7">
        <f>IFERROR(VLOOKUP(Tabla13[[#This Row],[Llave]],'En puerto-Programado'!A:D,4,FALSE)+VLOOKUP(Tabla13[[#This Row],[Llave]],'Por despachar'!A:F,6,FALSE),0)</f>
        <v>0</v>
      </c>
      <c r="O15" s="7">
        <f>IFERROR(VLOOKUP(Tabla13[[#This Row],[Material]],[2]Consolidado!$C:$D,2,FALSE),0)</f>
        <v>19358.659279250336</v>
      </c>
      <c r="P15" s="7">
        <f>IFERROR(VLOOKUP(Tabla13[[#This Row],[Llave]],'Por despachar'!A:E,5,FALSE),0)</f>
        <v>0</v>
      </c>
      <c r="Q15" s="14">
        <f>SUM(Tabla13[[#This Row],[Producción disponible]],Tabla13[[#This Row],[Stock al día]],Tabla13[[#This Row],[Por producir Abr.]])-SUM(Tabla13[[#This Row],[Stock por despachar N]],Tabla13[[#This Row],[Producción por despachar mes N]])</f>
        <v>19358.659279250336</v>
      </c>
      <c r="R15" s="7">
        <f>IFERROR(VLOOKUP(Tabla13[[#This Row],[Llave]],[3]Hoja2!$A:$D,4,FALSE),0)</f>
        <v>81000</v>
      </c>
      <c r="S15" s="9">
        <f>IFERROR(VLOOKUP(Tabla13[[#This Row],[Material]],[4]Hoja1!$B:$C,2,FALSE),0)</f>
        <v>24000</v>
      </c>
      <c r="T15" s="5">
        <f t="shared" si="1"/>
        <v>0</v>
      </c>
      <c r="U15" s="3">
        <f>+Tabla13[[#This Row],[Total disponible]]-Tabla13[[#This Row],[Atraso a facturar]]</f>
        <v>19358.659279250336</v>
      </c>
      <c r="V15" s="6">
        <f t="shared" si="0"/>
        <v>0</v>
      </c>
      <c r="W15" s="3" t="str">
        <f>IF(Tabla13[[#This Row],[Venta del mes]]&gt;Tabla13[[#This Row],[ RV  Venta mes n+1]],"Falta venta","-")</f>
        <v>-</v>
      </c>
      <c r="X15" s="7"/>
      <c r="Y15" s="18">
        <v>0</v>
      </c>
      <c r="Z15" s="5">
        <f>+Tabla13[[#This Row],[Atraso a facturar]]+Tabla13[[#This Row],[Venta del mes]]+Tabla13[[#This Row],[Ajuste]]</f>
        <v>0</v>
      </c>
      <c r="AA15" s="6">
        <f>+Tabla13[[#This Row],[Atraso a facturar]]+Tabla13[[#This Row],[Venta del mes]]+Tabla13[[#This Row],[En puerto a facturar]]</f>
        <v>0</v>
      </c>
      <c r="AB15" s="20">
        <f>IFERROR(VLOOKUP(Tabla13[[#This Row],[Llave]],'[5]Consolidación planes'!$A:$M,9,FALSE),0)</f>
        <v>48000</v>
      </c>
      <c r="AC15" s="20">
        <f>IFERROR(VLOOKUP(Tabla13[[#This Row],[Llave]],'[5]Consolidación planes'!$A:$M,10,FALSE),0)</f>
        <v>73000</v>
      </c>
      <c r="AD15" s="20">
        <f>IFERROR(VLOOKUP(Tabla13[[#This Row],[Llave]],'[5]Consolidación planes'!$A:$M,11,FALSE),0)</f>
        <v>96000</v>
      </c>
      <c r="AE15" s="20">
        <f>IFERROR(VLOOKUP(Tabla13[[#This Row],[Llave]],'[5]Consolidación planes'!$A:$M,12,FALSE),0)</f>
        <v>72000</v>
      </c>
      <c r="AF15" s="20">
        <f>IFERROR(VLOOKUP(Tabla13[[#This Row],[Llave]],'[5]Consolidación planes'!$A:$M,13,FALSE),0)</f>
        <v>72000</v>
      </c>
    </row>
    <row r="16" spans="2:32" ht="16" hidden="1" x14ac:dyDescent="0.2">
      <c r="B16" t="str">
        <f>Tabla13[[#This Row],[Oficina]]&amp;Tabla13[[#This Row],[Material]]</f>
        <v>Agro Sudamerica1020828</v>
      </c>
      <c r="C16" t="s">
        <v>6</v>
      </c>
      <c r="D16" t="s">
        <v>17</v>
      </c>
      <c r="E16">
        <v>1020828</v>
      </c>
      <c r="F16" t="s">
        <v>22</v>
      </c>
      <c r="G16" t="s">
        <v>18</v>
      </c>
      <c r="H16" t="s">
        <v>21</v>
      </c>
      <c r="I16" s="7">
        <f>IFERROR(VLOOKUP(Tabla13[[#This Row],[Llave]],'[1]Consolidado RV'!$B:$H,6,FALSE),0)</f>
        <v>0</v>
      </c>
      <c r="J16" s="3">
        <f>IFERROR(VLOOKUP(Tabla13[[#This Row],[Llave]],'[1]Consolidado RV'!$B:$H,7,FALSE),0)</f>
        <v>0</v>
      </c>
      <c r="K16" s="8">
        <f>IFERROR(VLOOKUP(Tabla13[[#This Row],[Oficina]],#REF!,2,FALSE),0)</f>
        <v>0</v>
      </c>
      <c r="L16" s="7">
        <f>+Tabla13[[#This Row],[ RV Producción mes n+1]]*Tabla13[[#This Row],[% Uti. producción]]</f>
        <v>0</v>
      </c>
      <c r="M16" s="7">
        <f>IFERROR(VLOOKUP(Tabla13[[#This Row],[Material]],#REF!,2,FALSE),0)</f>
        <v>0</v>
      </c>
      <c r="N16" s="7">
        <f>IFERROR(VLOOKUP(Tabla13[[#This Row],[Llave]],'En puerto-Programado'!A:D,4,FALSE)+VLOOKUP(Tabla13[[#This Row],[Llave]],'Por despachar'!A:F,6,FALSE),0)</f>
        <v>0</v>
      </c>
      <c r="O16" s="7">
        <f>IFERROR(VLOOKUP(Tabla13[[#This Row],[Material]],[2]Consolidado!$C:$D,2,FALSE),0)</f>
        <v>28367.740913616472</v>
      </c>
      <c r="P16" s="7">
        <f>IFERROR(VLOOKUP(Tabla13[[#This Row],[Llave]],'Por despachar'!A:E,5,FALSE),0)</f>
        <v>0</v>
      </c>
      <c r="Q16" s="14">
        <f>SUM(Tabla13[[#This Row],[Producción disponible]],Tabla13[[#This Row],[Stock al día]],Tabla13[[#This Row],[Por producir Abr.]])-SUM(Tabla13[[#This Row],[Stock por despachar N]],Tabla13[[#This Row],[Producción por despachar mes N]])</f>
        <v>28367.740913616472</v>
      </c>
      <c r="R16" s="7">
        <f>IFERROR(VLOOKUP(Tabla13[[#This Row],[Llave]],[3]Hoja2!$A:$D,4,FALSE),0)</f>
        <v>0</v>
      </c>
      <c r="S16" s="9">
        <f>IFERROR(VLOOKUP(Tabla13[[#This Row],[Material]],[4]Hoja1!$B:$C,2,FALSE),0)</f>
        <v>24000</v>
      </c>
      <c r="T16" s="5">
        <f t="shared" si="1"/>
        <v>0</v>
      </c>
      <c r="U16" s="3">
        <f>+Tabla13[[#This Row],[Total disponible]]-Tabla13[[#This Row],[Atraso a facturar]]</f>
        <v>28367.740913616472</v>
      </c>
      <c r="V16" s="6">
        <f t="shared" si="0"/>
        <v>0</v>
      </c>
      <c r="W16" s="3" t="str">
        <f>IF(Tabla13[[#This Row],[Venta del mes]]&gt;Tabla13[[#This Row],[ RV  Venta mes n+1]],"Falta venta","-")</f>
        <v>-</v>
      </c>
      <c r="X16" s="7"/>
      <c r="Y16" s="18">
        <v>0</v>
      </c>
      <c r="Z16" s="5">
        <f>+Tabla13[[#This Row],[Atraso a facturar]]+Tabla13[[#This Row],[Venta del mes]]+Tabla13[[#This Row],[Ajuste]]</f>
        <v>0</v>
      </c>
      <c r="AA16" s="6">
        <f>+Tabla13[[#This Row],[Atraso a facturar]]+Tabla13[[#This Row],[Venta del mes]]+Tabla13[[#This Row],[En puerto a facturar]]</f>
        <v>0</v>
      </c>
      <c r="AB16" s="20">
        <f>IFERROR(VLOOKUP(Tabla13[[#This Row],[Llave]],'[5]Consolidación planes'!$A:$M,9,FALSE),0)</f>
        <v>0</v>
      </c>
      <c r="AC16" s="20">
        <f>IFERROR(VLOOKUP(Tabla13[[#This Row],[Llave]],'[5]Consolidación planes'!$A:$M,10,FALSE),0)</f>
        <v>0</v>
      </c>
      <c r="AD16" s="20">
        <f>IFERROR(VLOOKUP(Tabla13[[#This Row],[Llave]],'[5]Consolidación planes'!$A:$M,11,FALSE),0)</f>
        <v>0</v>
      </c>
      <c r="AE16" s="20">
        <f>IFERROR(VLOOKUP(Tabla13[[#This Row],[Llave]],'[5]Consolidación planes'!$A:$M,12,FALSE),0)</f>
        <v>0</v>
      </c>
      <c r="AF16" s="20">
        <f>IFERROR(VLOOKUP(Tabla13[[#This Row],[Llave]],'[5]Consolidación planes'!$A:$M,13,FALSE),0)</f>
        <v>0</v>
      </c>
    </row>
    <row r="17" spans="2:32" ht="16" hidden="1" x14ac:dyDescent="0.2">
      <c r="B17" t="str">
        <f>Tabla13[[#This Row],[Oficina]]&amp;Tabla13[[#This Row],[Material]]</f>
        <v>Agro Sudamerica1020848</v>
      </c>
      <c r="C17" t="s">
        <v>6</v>
      </c>
      <c r="D17" t="s">
        <v>17</v>
      </c>
      <c r="E17">
        <v>1020848</v>
      </c>
      <c r="F17" t="s">
        <v>52</v>
      </c>
      <c r="G17" t="s">
        <v>50</v>
      </c>
      <c r="H17" t="s">
        <v>51</v>
      </c>
      <c r="I17" s="7">
        <f>IFERROR(VLOOKUP(Tabla13[[#This Row],[Llave]],'[1]Consolidado RV'!$B:$H,6,FALSE),0)</f>
        <v>104.49632</v>
      </c>
      <c r="J17" s="3">
        <f>IFERROR(VLOOKUP(Tabla13[[#This Row],[Llave]],'[1]Consolidado RV'!$B:$H,7,FALSE),0)</f>
        <v>8.8658433128330216E-7</v>
      </c>
      <c r="K17" s="8">
        <f>IFERROR(VLOOKUP(Tabla13[[#This Row],[Oficina]],#REF!,2,FALSE),0)</f>
        <v>0</v>
      </c>
      <c r="L17" s="7">
        <f>+Tabla13[[#This Row],[ RV Producción mes n+1]]*Tabla13[[#This Row],[% Uti. producción]]</f>
        <v>0</v>
      </c>
      <c r="M17" s="7">
        <f>IFERROR(VLOOKUP(Tabla13[[#This Row],[Material]],#REF!,2,FALSE),0)</f>
        <v>0</v>
      </c>
      <c r="N17" s="7">
        <f>IFERROR(VLOOKUP(Tabla13[[#This Row],[Llave]],'En puerto-Programado'!A:D,4,FALSE)+VLOOKUP(Tabla13[[#This Row],[Llave]],'Por despachar'!A:F,6,FALSE),0)</f>
        <v>0</v>
      </c>
      <c r="O17" s="7">
        <f>IFERROR(VLOOKUP(Tabla13[[#This Row],[Material]],[2]Consolidado!$C:$D,2,FALSE),0)</f>
        <v>17763.235191435484</v>
      </c>
      <c r="P17" s="7">
        <f>IFERROR(VLOOKUP(Tabla13[[#This Row],[Llave]],'Por despachar'!A:E,5,FALSE),0)</f>
        <v>0</v>
      </c>
      <c r="Q17" s="14">
        <f>SUM(Tabla13[[#This Row],[Producción disponible]],Tabla13[[#This Row],[Stock al día]],Tabla13[[#This Row],[Por producir Abr.]])-SUM(Tabla13[[#This Row],[Stock por despachar N]],Tabla13[[#This Row],[Producción por despachar mes N]])</f>
        <v>17763.235191435484</v>
      </c>
      <c r="R17" s="7">
        <f>IFERROR(VLOOKUP(Tabla13[[#This Row],[Llave]],[3]Hoja2!$A:$D,4,FALSE),0)</f>
        <v>72000</v>
      </c>
      <c r="S17" s="9">
        <f>IFERROR(VLOOKUP(Tabla13[[#This Row],[Material]],[4]Hoja1!$B:$C,2,FALSE),0)</f>
        <v>24000</v>
      </c>
      <c r="T17" s="5">
        <f t="shared" si="1"/>
        <v>0</v>
      </c>
      <c r="U17" s="3">
        <f>+Tabla13[[#This Row],[Total disponible]]-Tabla13[[#This Row],[Atraso a facturar]]</f>
        <v>17763.235191435484</v>
      </c>
      <c r="V17" s="6">
        <f t="shared" si="0"/>
        <v>0</v>
      </c>
      <c r="W17" s="3" t="str">
        <f>IF(Tabla13[[#This Row],[Venta del mes]]&gt;Tabla13[[#This Row],[ RV  Venta mes n+1]],"Falta venta","-")</f>
        <v>-</v>
      </c>
      <c r="X17" s="7"/>
      <c r="Y17" s="18">
        <v>0</v>
      </c>
      <c r="Z17" s="5">
        <f>+Tabla13[[#This Row],[Atraso a facturar]]+Tabla13[[#This Row],[Venta del mes]]+Tabla13[[#This Row],[Ajuste]]</f>
        <v>0</v>
      </c>
      <c r="AA17" s="6">
        <f>+Tabla13[[#This Row],[Atraso a facturar]]+Tabla13[[#This Row],[Venta del mes]]+Tabla13[[#This Row],[En puerto a facturar]]</f>
        <v>0</v>
      </c>
      <c r="AB17" s="20">
        <f>IFERROR(VLOOKUP(Tabla13[[#This Row],[Llave]],'[5]Consolidación planes'!$A:$M,9,FALSE),0)</f>
        <v>240000</v>
      </c>
      <c r="AC17" s="20">
        <f>IFERROR(VLOOKUP(Tabla13[[#This Row],[Llave]],'[5]Consolidación planes'!$A:$M,10,FALSE),0)</f>
        <v>147000</v>
      </c>
      <c r="AD17" s="20">
        <f>IFERROR(VLOOKUP(Tabla13[[#This Row],[Llave]],'[5]Consolidación planes'!$A:$M,11,FALSE),0)</f>
        <v>360000</v>
      </c>
      <c r="AE17" s="20">
        <f>IFERROR(VLOOKUP(Tabla13[[#This Row],[Llave]],'[5]Consolidación planes'!$A:$M,12,FALSE),0)</f>
        <v>192000</v>
      </c>
      <c r="AF17" s="20">
        <f>IFERROR(VLOOKUP(Tabla13[[#This Row],[Llave]],'[5]Consolidación planes'!$A:$M,13,FALSE),0)</f>
        <v>72000</v>
      </c>
    </row>
    <row r="18" spans="2:32" ht="16" hidden="1" x14ac:dyDescent="0.2">
      <c r="B18" t="str">
        <f>Tabla13[[#This Row],[Oficina]]&amp;Tabla13[[#This Row],[Material]]</f>
        <v>Agro Sudamerica1020869</v>
      </c>
      <c r="C18" t="s">
        <v>6</v>
      </c>
      <c r="D18" t="s">
        <v>17</v>
      </c>
      <c r="E18">
        <v>1020869</v>
      </c>
      <c r="F18" t="s">
        <v>27</v>
      </c>
      <c r="G18" t="s">
        <v>25</v>
      </c>
      <c r="H18" t="s">
        <v>26</v>
      </c>
      <c r="I18" s="7">
        <f>IFERROR(VLOOKUP(Tabla13[[#This Row],[Llave]],'[1]Consolidado RV'!$B:$H,6,FALSE),0)</f>
        <v>34000</v>
      </c>
      <c r="J18" s="3">
        <f>IFERROR(VLOOKUP(Tabla13[[#This Row],[Llave]],'[1]Consolidado RV'!$B:$H,7,FALSE),0)</f>
        <v>34000</v>
      </c>
      <c r="K18" s="8">
        <f>IFERROR(VLOOKUP(Tabla13[[#This Row],[Oficina]],#REF!,2,FALSE),0)</f>
        <v>0</v>
      </c>
      <c r="L18" s="7">
        <f>+Tabla13[[#This Row],[ RV Producción mes n+1]]*Tabla13[[#This Row],[% Uti. producción]]</f>
        <v>0</v>
      </c>
      <c r="M18" s="7">
        <f>IFERROR(VLOOKUP(Tabla13[[#This Row],[Material]],#REF!,2,FALSE),0)</f>
        <v>0</v>
      </c>
      <c r="N18" s="7">
        <f>IFERROR(VLOOKUP(Tabla13[[#This Row],[Llave]],'En puerto-Programado'!A:D,4,FALSE)+VLOOKUP(Tabla13[[#This Row],[Llave]],'Por despachar'!A:F,6,FALSE),0)</f>
        <v>0</v>
      </c>
      <c r="O18" s="7">
        <f>IFERROR(VLOOKUP(Tabla13[[#This Row],[Material]],[2]Consolidado!$C:$D,2,FALSE),0)</f>
        <v>0</v>
      </c>
      <c r="P18" s="7">
        <f>IFERROR(VLOOKUP(Tabla13[[#This Row],[Llave]],'Por despachar'!A:E,5,FALSE),0)</f>
        <v>0</v>
      </c>
      <c r="Q1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8" s="7">
        <f>IFERROR(VLOOKUP(Tabla13[[#This Row],[Llave]],[3]Hoja2!$A:$D,4,FALSE),0)</f>
        <v>9000</v>
      </c>
      <c r="S18" s="9">
        <f>IFERROR(VLOOKUP(Tabla13[[#This Row],[Material]],[4]Hoja1!$B:$C,2,FALSE),0)</f>
        <v>24000</v>
      </c>
      <c r="T18" s="5">
        <f t="shared" si="1"/>
        <v>0</v>
      </c>
      <c r="U18" s="3">
        <f>+Tabla13[[#This Row],[Total disponible]]-Tabla13[[#This Row],[Atraso a facturar]]</f>
        <v>0</v>
      </c>
      <c r="V18" s="6">
        <f t="shared" si="0"/>
        <v>0</v>
      </c>
      <c r="W18" s="3" t="str">
        <f>IF(Tabla13[[#This Row],[Venta del mes]]&gt;Tabla13[[#This Row],[ RV  Venta mes n+1]],"Falta venta","-")</f>
        <v>-</v>
      </c>
      <c r="X18" s="7"/>
      <c r="Y18" s="18">
        <v>0</v>
      </c>
      <c r="Z18" s="5">
        <f>+Tabla13[[#This Row],[Atraso a facturar]]+Tabla13[[#This Row],[Venta del mes]]+Tabla13[[#This Row],[Ajuste]]</f>
        <v>0</v>
      </c>
      <c r="AA18" s="6">
        <f>+Tabla13[[#This Row],[Atraso a facturar]]+Tabla13[[#This Row],[Venta del mes]]+Tabla13[[#This Row],[En puerto a facturar]]</f>
        <v>0</v>
      </c>
      <c r="AB18" s="20">
        <f>IFERROR(VLOOKUP(Tabla13[[#This Row],[Llave]],'[5]Consolidación planes'!$A:$M,9,FALSE),0)</f>
        <v>0</v>
      </c>
      <c r="AC18" s="20">
        <f>IFERROR(VLOOKUP(Tabla13[[#This Row],[Llave]],'[5]Consolidación planes'!$A:$M,10,FALSE),0)</f>
        <v>0</v>
      </c>
      <c r="AD18" s="20">
        <f>IFERROR(VLOOKUP(Tabla13[[#This Row],[Llave]],'[5]Consolidación planes'!$A:$M,11,FALSE),0)</f>
        <v>24000</v>
      </c>
      <c r="AE18" s="20">
        <f>IFERROR(VLOOKUP(Tabla13[[#This Row],[Llave]],'[5]Consolidación planes'!$A:$M,12,FALSE),0)</f>
        <v>0</v>
      </c>
      <c r="AF18" s="20">
        <f>IFERROR(VLOOKUP(Tabla13[[#This Row],[Llave]],'[5]Consolidación planes'!$A:$M,13,FALSE),0)</f>
        <v>0</v>
      </c>
    </row>
    <row r="19" spans="2:32" ht="16" hidden="1" x14ac:dyDescent="0.2">
      <c r="B19" t="str">
        <f>Tabla13[[#This Row],[Oficina]]&amp;Tabla13[[#This Row],[Material]]</f>
        <v>Agro Sudamerica1020886</v>
      </c>
      <c r="C19" t="s">
        <v>6</v>
      </c>
      <c r="D19" t="s">
        <v>17</v>
      </c>
      <c r="E19">
        <v>1020886</v>
      </c>
      <c r="F19" t="s">
        <v>282</v>
      </c>
      <c r="G19" t="s">
        <v>56</v>
      </c>
      <c r="H19" t="s">
        <v>57</v>
      </c>
      <c r="I19" s="7">
        <f>IFERROR(VLOOKUP(Tabla13[[#This Row],[Llave]],'[1]Consolidado RV'!$B:$H,6,FALSE),0)</f>
        <v>22576.052</v>
      </c>
      <c r="J19" s="3">
        <f>IFERROR(VLOOKUP(Tabla13[[#This Row],[Llave]],'[1]Consolidado RV'!$B:$H,7,FALSE),0)</f>
        <v>24000</v>
      </c>
      <c r="K19" s="8">
        <f>IFERROR(VLOOKUP(Tabla13[[#This Row],[Oficina]],#REF!,2,FALSE),0)</f>
        <v>0</v>
      </c>
      <c r="L19" s="7">
        <f>+Tabla13[[#This Row],[ RV Producción mes n+1]]*Tabla13[[#This Row],[% Uti. producción]]</f>
        <v>0</v>
      </c>
      <c r="M19" s="7">
        <f>IFERROR(VLOOKUP(Tabla13[[#This Row],[Material]],#REF!,2,FALSE),0)</f>
        <v>0</v>
      </c>
      <c r="N19" s="7">
        <f>IFERROR(VLOOKUP(Tabla13[[#This Row],[Llave]],'En puerto-Programado'!A:D,4,FALSE)+VLOOKUP(Tabla13[[#This Row],[Llave]],'Por despachar'!A:F,6,FALSE),0)</f>
        <v>0</v>
      </c>
      <c r="O19" s="7">
        <f>IFERROR(VLOOKUP(Tabla13[[#This Row],[Material]],[2]Consolidado!$C:$D,2,FALSE),0)</f>
        <v>0</v>
      </c>
      <c r="P19" s="7">
        <f>IFERROR(VLOOKUP(Tabla13[[#This Row],[Llave]],'Por despachar'!A:E,5,FALSE),0)</f>
        <v>0</v>
      </c>
      <c r="Q1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9" s="7">
        <f>IFERROR(VLOOKUP(Tabla13[[#This Row],[Llave]],[3]Hoja2!$A:$D,4,FALSE),0)</f>
        <v>0</v>
      </c>
      <c r="S19" s="9">
        <f>IFERROR(VLOOKUP(Tabla13[[#This Row],[Material]],[4]Hoja1!$B:$C,2,FALSE),0)</f>
        <v>24000</v>
      </c>
      <c r="T19" s="5">
        <f t="shared" si="1"/>
        <v>0</v>
      </c>
      <c r="U19" s="3">
        <f>+Tabla13[[#This Row],[Total disponible]]-Tabla13[[#This Row],[Atraso a facturar]]</f>
        <v>0</v>
      </c>
      <c r="V19" s="6">
        <f t="shared" si="0"/>
        <v>0</v>
      </c>
      <c r="W19" s="3" t="str">
        <f>IF(Tabla13[[#This Row],[Venta del mes]]&gt;Tabla13[[#This Row],[ RV  Venta mes n+1]],"Falta venta","-")</f>
        <v>-</v>
      </c>
      <c r="X19" s="7"/>
      <c r="Y19" s="18">
        <v>0</v>
      </c>
      <c r="Z19" s="5">
        <f>+Tabla13[[#This Row],[Atraso a facturar]]+Tabla13[[#This Row],[Venta del mes]]+Tabla13[[#This Row],[Ajuste]]</f>
        <v>0</v>
      </c>
      <c r="AA19" s="6">
        <f>+Tabla13[[#This Row],[Atraso a facturar]]+Tabla13[[#This Row],[Venta del mes]]+Tabla13[[#This Row],[En puerto a facturar]]</f>
        <v>0</v>
      </c>
      <c r="AB19" s="20">
        <f>IFERROR(VLOOKUP(Tabla13[[#This Row],[Llave]],'[5]Consolidación planes'!$A:$M,9,FALSE),0)</f>
        <v>0</v>
      </c>
      <c r="AC19" s="20">
        <f>IFERROR(VLOOKUP(Tabla13[[#This Row],[Llave]],'[5]Consolidación planes'!$A:$M,10,FALSE),0)</f>
        <v>10000</v>
      </c>
      <c r="AD19" s="20">
        <f>IFERROR(VLOOKUP(Tabla13[[#This Row],[Llave]],'[5]Consolidación planes'!$A:$M,11,FALSE),0)</f>
        <v>0</v>
      </c>
      <c r="AE19" s="20">
        <f>IFERROR(VLOOKUP(Tabla13[[#This Row],[Llave]],'[5]Consolidación planes'!$A:$M,12,FALSE),0)</f>
        <v>0</v>
      </c>
      <c r="AF19" s="20">
        <f>IFERROR(VLOOKUP(Tabla13[[#This Row],[Llave]],'[5]Consolidación planes'!$A:$M,13,FALSE),0)</f>
        <v>0</v>
      </c>
    </row>
    <row r="20" spans="2:32" ht="16" hidden="1" x14ac:dyDescent="0.2">
      <c r="B20" t="str">
        <f>Tabla13[[#This Row],[Oficina]]&amp;Tabla13[[#This Row],[Material]]</f>
        <v>Agro Sudamerica1020915</v>
      </c>
      <c r="C20" t="s">
        <v>6</v>
      </c>
      <c r="D20" t="s">
        <v>17</v>
      </c>
      <c r="E20">
        <v>1020915</v>
      </c>
      <c r="F20" t="s">
        <v>61</v>
      </c>
      <c r="G20" t="s">
        <v>59</v>
      </c>
      <c r="H20" t="s">
        <v>60</v>
      </c>
      <c r="I20" s="7">
        <f>IFERROR(VLOOKUP(Tabla13[[#This Row],[Llave]],'[1]Consolidado RV'!$B:$H,6,FALSE),0)</f>
        <v>4000</v>
      </c>
      <c r="J20" s="3">
        <f>IFERROR(VLOOKUP(Tabla13[[#This Row],[Llave]],'[1]Consolidado RV'!$B:$H,7,FALSE),0)</f>
        <v>0</v>
      </c>
      <c r="K20" s="8">
        <f>IFERROR(VLOOKUP(Tabla13[[#This Row],[Oficina]],#REF!,2,FALSE),0)</f>
        <v>0</v>
      </c>
      <c r="L20" s="7">
        <f>+Tabla13[[#This Row],[ RV Producción mes n+1]]*Tabla13[[#This Row],[% Uti. producción]]</f>
        <v>0</v>
      </c>
      <c r="M20" s="7">
        <f>IFERROR(VLOOKUP(Tabla13[[#This Row],[Material]],#REF!,2,FALSE),0)</f>
        <v>0</v>
      </c>
      <c r="N20" s="7">
        <f>IFERROR(VLOOKUP(Tabla13[[#This Row],[Llave]],'En puerto-Programado'!A:D,4,FALSE)+VLOOKUP(Tabla13[[#This Row],[Llave]],'Por despachar'!A:F,6,FALSE),0)</f>
        <v>0</v>
      </c>
      <c r="O20" s="7">
        <f>IFERROR(VLOOKUP(Tabla13[[#This Row],[Material]],[2]Consolidado!$C:$D,2,FALSE),0)</f>
        <v>0</v>
      </c>
      <c r="P20" s="7">
        <f>IFERROR(VLOOKUP(Tabla13[[#This Row],[Llave]],'Por despachar'!A:E,5,FALSE),0)</f>
        <v>0</v>
      </c>
      <c r="Q2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0" s="7">
        <f>IFERROR(VLOOKUP(Tabla13[[#This Row],[Llave]],[3]Hoja2!$A:$D,4,FALSE),0)</f>
        <v>4000</v>
      </c>
      <c r="S20" s="9">
        <f>IFERROR(VLOOKUP(Tabla13[[#This Row],[Material]],[4]Hoja1!$B:$C,2,FALSE),0)</f>
        <v>24000</v>
      </c>
      <c r="T20" s="5">
        <f t="shared" si="1"/>
        <v>0</v>
      </c>
      <c r="U20" s="3">
        <f>+Tabla13[[#This Row],[Total disponible]]-Tabla13[[#This Row],[Atraso a facturar]]</f>
        <v>0</v>
      </c>
      <c r="V20" s="6">
        <f t="shared" si="0"/>
        <v>0</v>
      </c>
      <c r="W20" s="3" t="str">
        <f>IF(Tabla13[[#This Row],[Venta del mes]]&gt;Tabla13[[#This Row],[ RV  Venta mes n+1]],"Falta venta","-")</f>
        <v>-</v>
      </c>
      <c r="X20" s="7"/>
      <c r="Y20" s="18">
        <v>0</v>
      </c>
      <c r="Z20" s="5">
        <f>+Tabla13[[#This Row],[Atraso a facturar]]+Tabla13[[#This Row],[Venta del mes]]+Tabla13[[#This Row],[Ajuste]]</f>
        <v>0</v>
      </c>
      <c r="AA20" s="6">
        <f>+Tabla13[[#This Row],[Atraso a facturar]]+Tabla13[[#This Row],[Venta del mes]]+Tabla13[[#This Row],[En puerto a facturar]]</f>
        <v>0</v>
      </c>
      <c r="AB20" s="20">
        <f>IFERROR(VLOOKUP(Tabla13[[#This Row],[Llave]],'[5]Consolidación planes'!$A:$M,9,FALSE),0)</f>
        <v>10000</v>
      </c>
      <c r="AC20" s="20">
        <f>IFERROR(VLOOKUP(Tabla13[[#This Row],[Llave]],'[5]Consolidación planes'!$A:$M,10,FALSE),0)</f>
        <v>2000</v>
      </c>
      <c r="AD20" s="20">
        <f>IFERROR(VLOOKUP(Tabla13[[#This Row],[Llave]],'[5]Consolidación planes'!$A:$M,11,FALSE),0)</f>
        <v>0</v>
      </c>
      <c r="AE20" s="20">
        <f>IFERROR(VLOOKUP(Tabla13[[#This Row],[Llave]],'[5]Consolidación planes'!$A:$M,12,FALSE),0)</f>
        <v>0</v>
      </c>
      <c r="AF20" s="20">
        <f>IFERROR(VLOOKUP(Tabla13[[#This Row],[Llave]],'[5]Consolidación planes'!$A:$M,13,FALSE),0)</f>
        <v>0</v>
      </c>
    </row>
    <row r="21" spans="2:32" ht="16" hidden="1" x14ac:dyDescent="0.2">
      <c r="B21" t="str">
        <f>Tabla13[[#This Row],[Oficina]]&amp;Tabla13[[#This Row],[Material]]</f>
        <v>Agro Sudamerica1020925</v>
      </c>
      <c r="C21" t="s">
        <v>6</v>
      </c>
      <c r="D21" t="s">
        <v>17</v>
      </c>
      <c r="E21">
        <v>1020925</v>
      </c>
      <c r="F21" t="s">
        <v>13</v>
      </c>
      <c r="G21" t="s">
        <v>11</v>
      </c>
      <c r="H21" t="s">
        <v>12</v>
      </c>
      <c r="I21" s="7">
        <f>IFERROR(VLOOKUP(Tabla13[[#This Row],[Llave]],'[1]Consolidado RV'!$B:$H,6,FALSE),0)</f>
        <v>110242.02499999999</v>
      </c>
      <c r="J21" s="3">
        <f>IFERROR(VLOOKUP(Tabla13[[#This Row],[Llave]],'[1]Consolidado RV'!$B:$H,7,FALSE),0)</f>
        <v>96000.000107973465</v>
      </c>
      <c r="K21" s="8">
        <f>IFERROR(VLOOKUP(Tabla13[[#This Row],[Oficina]],#REF!,2,FALSE),0)</f>
        <v>0</v>
      </c>
      <c r="L21" s="7">
        <f>+Tabla13[[#This Row],[ RV Producción mes n+1]]*Tabla13[[#This Row],[% Uti. producción]]</f>
        <v>0</v>
      </c>
      <c r="M21" s="7">
        <f>IFERROR(VLOOKUP(Tabla13[[#This Row],[Material]],#REF!,2,FALSE),0)</f>
        <v>0</v>
      </c>
      <c r="N21" s="7">
        <f>IFERROR(VLOOKUP(Tabla13[[#This Row],[Llave]],'En puerto-Programado'!A:D,4,FALSE)+VLOOKUP(Tabla13[[#This Row],[Llave]],'Por despachar'!A:F,6,FALSE),0)</f>
        <v>0</v>
      </c>
      <c r="O21" s="7">
        <f>IFERROR(VLOOKUP(Tabla13[[#This Row],[Material]],[2]Consolidado!$C:$D,2,FALSE),0)</f>
        <v>11623.372885275685</v>
      </c>
      <c r="P21" s="7">
        <f>IFERROR(VLOOKUP(Tabla13[[#This Row],[Llave]],'Por despachar'!A:E,5,FALSE),0)</f>
        <v>0</v>
      </c>
      <c r="Q21" s="14">
        <f>SUM(Tabla13[[#This Row],[Producción disponible]],Tabla13[[#This Row],[Stock al día]],Tabla13[[#This Row],[Por producir Abr.]])-SUM(Tabla13[[#This Row],[Stock por despachar N]],Tabla13[[#This Row],[Producción por despachar mes N]])</f>
        <v>11623.372885275685</v>
      </c>
      <c r="R21" s="7">
        <f>IFERROR(VLOOKUP(Tabla13[[#This Row],[Llave]],[3]Hoja2!$A:$D,4,FALSE),0)</f>
        <v>72000</v>
      </c>
      <c r="S21" s="9">
        <f>IFERROR(VLOOKUP(Tabla13[[#This Row],[Material]],[4]Hoja1!$B:$C,2,FALSE),0)</f>
        <v>24000</v>
      </c>
      <c r="T21" s="5">
        <f t="shared" si="1"/>
        <v>0</v>
      </c>
      <c r="U21" s="3">
        <f>+Tabla13[[#This Row],[Total disponible]]-Tabla13[[#This Row],[Atraso a facturar]]</f>
        <v>11623.372885275685</v>
      </c>
      <c r="V21" s="6">
        <f t="shared" si="0"/>
        <v>0</v>
      </c>
      <c r="W21" s="3" t="str">
        <f>IF(Tabla13[[#This Row],[Venta del mes]]&gt;Tabla13[[#This Row],[ RV  Venta mes n+1]],"Falta venta","-")</f>
        <v>-</v>
      </c>
      <c r="X21" s="7"/>
      <c r="Y21" s="18">
        <v>0</v>
      </c>
      <c r="Z21" s="5">
        <f>+Tabla13[[#This Row],[Atraso a facturar]]+Tabla13[[#This Row],[Venta del mes]]+Tabla13[[#This Row],[Ajuste]]</f>
        <v>0</v>
      </c>
      <c r="AA21" s="6">
        <f>+Tabla13[[#This Row],[Atraso a facturar]]+Tabla13[[#This Row],[Venta del mes]]+Tabla13[[#This Row],[En puerto a facturar]]</f>
        <v>0</v>
      </c>
      <c r="AB21" s="20">
        <f>IFERROR(VLOOKUP(Tabla13[[#This Row],[Llave]],'[5]Consolidación planes'!$A:$M,9,FALSE),0)</f>
        <v>0</v>
      </c>
      <c r="AC21" s="20">
        <f>IFERROR(VLOOKUP(Tabla13[[#This Row],[Llave]],'[5]Consolidación planes'!$A:$M,10,FALSE),0)</f>
        <v>3000</v>
      </c>
      <c r="AD21" s="20">
        <f>IFERROR(VLOOKUP(Tabla13[[#This Row],[Llave]],'[5]Consolidación planes'!$A:$M,11,FALSE),0)</f>
        <v>14000</v>
      </c>
      <c r="AE21" s="20">
        <f>IFERROR(VLOOKUP(Tabla13[[#This Row],[Llave]],'[5]Consolidación planes'!$A:$M,12,FALSE),0)</f>
        <v>38000</v>
      </c>
      <c r="AF21" s="20">
        <f>IFERROR(VLOOKUP(Tabla13[[#This Row],[Llave]],'[5]Consolidación planes'!$A:$M,13,FALSE),0)</f>
        <v>48000</v>
      </c>
    </row>
    <row r="22" spans="2:32" ht="16" hidden="1" x14ac:dyDescent="0.2">
      <c r="B22" t="str">
        <f>Tabla13[[#This Row],[Oficina]]&amp;Tabla13[[#This Row],[Material]]</f>
        <v>Agro Sudamerica1020944</v>
      </c>
      <c r="C22" t="s">
        <v>6</v>
      </c>
      <c r="D22" t="s">
        <v>17</v>
      </c>
      <c r="E22">
        <v>1020944</v>
      </c>
      <c r="F22" t="s">
        <v>63</v>
      </c>
      <c r="G22" t="s">
        <v>59</v>
      </c>
      <c r="H22" t="s">
        <v>62</v>
      </c>
      <c r="I22" s="7">
        <f>IFERROR(VLOOKUP(Tabla13[[#This Row],[Llave]],'[1]Consolidado RV'!$B:$H,6,FALSE),0)</f>
        <v>264000</v>
      </c>
      <c r="J22" s="3">
        <f>IFERROR(VLOOKUP(Tabla13[[#This Row],[Llave]],'[1]Consolidado RV'!$B:$H,7,FALSE),0)</f>
        <v>336000</v>
      </c>
      <c r="K22" s="8">
        <f>IFERROR(VLOOKUP(Tabla13[[#This Row],[Oficina]],#REF!,2,FALSE),0)</f>
        <v>0</v>
      </c>
      <c r="L22" s="7">
        <f>+Tabla13[[#This Row],[ RV Producción mes n+1]]*Tabla13[[#This Row],[% Uti. producción]]</f>
        <v>0</v>
      </c>
      <c r="M22" s="7">
        <f>IFERROR(VLOOKUP(Tabla13[[#This Row],[Material]],#REF!,2,FALSE),0)</f>
        <v>0</v>
      </c>
      <c r="N22" s="7">
        <f>IFERROR(VLOOKUP(Tabla13[[#This Row],[Llave]],'En puerto-Programado'!A:D,4,FALSE)+VLOOKUP(Tabla13[[#This Row],[Llave]],'Por despachar'!A:F,6,FALSE),0)</f>
        <v>120000</v>
      </c>
      <c r="O22" s="7">
        <f>IFERROR(VLOOKUP(Tabla13[[#This Row],[Material]],[2]Consolidado!$C:$D,2,FALSE),0)</f>
        <v>149836.81481969776</v>
      </c>
      <c r="P22" s="7">
        <f>IFERROR(VLOOKUP(Tabla13[[#This Row],[Llave]],'Por despachar'!A:E,5,FALSE),0)</f>
        <v>0</v>
      </c>
      <c r="Q22" s="14">
        <f>SUM(Tabla13[[#This Row],[Producción disponible]],Tabla13[[#This Row],[Stock al día]],Tabla13[[#This Row],[Por producir Abr.]])-SUM(Tabla13[[#This Row],[Stock por despachar N]],Tabla13[[#This Row],[Producción por despachar mes N]])</f>
        <v>29836.814819697756</v>
      </c>
      <c r="R22" s="7">
        <f>IFERROR(VLOOKUP(Tabla13[[#This Row],[Llave]],[3]Hoja2!$A:$D,4,FALSE),0)</f>
        <v>288000</v>
      </c>
      <c r="S22" s="9">
        <f>IFERROR(VLOOKUP(Tabla13[[#This Row],[Material]],[4]Hoja1!$B:$C,2,FALSE),0)</f>
        <v>24000</v>
      </c>
      <c r="T22" s="5">
        <f t="shared" si="1"/>
        <v>24000</v>
      </c>
      <c r="U22" s="3">
        <f>+Tabla13[[#This Row],[Total disponible]]-Tabla13[[#This Row],[Atraso a facturar]]</f>
        <v>5836.8148196977563</v>
      </c>
      <c r="V22" s="6">
        <f t="shared" si="0"/>
        <v>0</v>
      </c>
      <c r="W22" s="3" t="str">
        <f>IF(Tabla13[[#This Row],[Venta del mes]]&gt;Tabla13[[#This Row],[ RV  Venta mes n+1]],"Falta venta","-")</f>
        <v>-</v>
      </c>
      <c r="X22" s="7"/>
      <c r="Y22" s="18">
        <v>0</v>
      </c>
      <c r="Z22" s="5">
        <f>+Tabla13[[#This Row],[Atraso a facturar]]+Tabla13[[#This Row],[Venta del mes]]+Tabla13[[#This Row],[Ajuste]]</f>
        <v>24000</v>
      </c>
      <c r="AA22" s="6">
        <f>+Tabla13[[#This Row],[Atraso a facturar]]+Tabla13[[#This Row],[Venta del mes]]+Tabla13[[#This Row],[En puerto a facturar]]</f>
        <v>24000</v>
      </c>
      <c r="AB22" s="20">
        <f>IFERROR(VLOOKUP(Tabla13[[#This Row],[Llave]],'[5]Consolidación planes'!$A:$M,9,FALSE),0)</f>
        <v>480000</v>
      </c>
      <c r="AC22" s="20">
        <f>IFERROR(VLOOKUP(Tabla13[[#This Row],[Llave]],'[5]Consolidación planes'!$A:$M,10,FALSE),0)</f>
        <v>508001</v>
      </c>
      <c r="AD22" s="20">
        <f>IFERROR(VLOOKUP(Tabla13[[#This Row],[Llave]],'[5]Consolidación planes'!$A:$M,11,FALSE),0)</f>
        <v>384000</v>
      </c>
      <c r="AE22" s="20">
        <f>IFERROR(VLOOKUP(Tabla13[[#This Row],[Llave]],'[5]Consolidación planes'!$A:$M,12,FALSE),0)</f>
        <v>188000</v>
      </c>
      <c r="AF22" s="20">
        <f>IFERROR(VLOOKUP(Tabla13[[#This Row],[Llave]],'[5]Consolidación planes'!$A:$M,13,FALSE),0)</f>
        <v>504000</v>
      </c>
    </row>
    <row r="23" spans="2:32" ht="16" hidden="1" x14ac:dyDescent="0.2">
      <c r="B23" t="str">
        <f>Tabla13[[#This Row],[Oficina]]&amp;Tabla13[[#This Row],[Material]]</f>
        <v>Agro Sudamerica1021023</v>
      </c>
      <c r="C23" t="s">
        <v>6</v>
      </c>
      <c r="D23" t="s">
        <v>17</v>
      </c>
      <c r="E23">
        <v>1021023</v>
      </c>
      <c r="F23" t="s">
        <v>43</v>
      </c>
      <c r="G23" t="s">
        <v>11</v>
      </c>
      <c r="H23" t="s">
        <v>41</v>
      </c>
      <c r="I23" s="7">
        <f>IFERROR(VLOOKUP(Tabla13[[#This Row],[Llave]],'[1]Consolidado RV'!$B:$H,6,FALSE),0)</f>
        <v>69094.3428655022</v>
      </c>
      <c r="J23" s="3">
        <f>IFERROR(VLOOKUP(Tabla13[[#This Row],[Llave]],'[1]Consolidado RV'!$B:$H,7,FALSE),0)</f>
        <v>93456.038</v>
      </c>
      <c r="K23" s="8">
        <f>IFERROR(VLOOKUP(Tabla13[[#This Row],[Oficina]],#REF!,2,FALSE),0)</f>
        <v>0</v>
      </c>
      <c r="L23" s="7">
        <f>+Tabla13[[#This Row],[ RV Producción mes n+1]]*Tabla13[[#This Row],[% Uti. producción]]</f>
        <v>0</v>
      </c>
      <c r="M23" s="7">
        <f>IFERROR(VLOOKUP(Tabla13[[#This Row],[Material]],#REF!,2,FALSE),0)</f>
        <v>0</v>
      </c>
      <c r="N23" s="7">
        <f>IFERROR(VLOOKUP(Tabla13[[#This Row],[Llave]],'En puerto-Programado'!A:D,4,FALSE)+VLOOKUP(Tabla13[[#This Row],[Llave]],'Por despachar'!A:F,6,FALSE),0)</f>
        <v>0</v>
      </c>
      <c r="O23" s="7">
        <f>IFERROR(VLOOKUP(Tabla13[[#This Row],[Material]],[2]Consolidado!$C:$D,2,FALSE),0)</f>
        <v>70972.186814442321</v>
      </c>
      <c r="P23" s="7">
        <f>IFERROR(VLOOKUP(Tabla13[[#This Row],[Llave]],'Por despachar'!A:E,5,FALSE),0)</f>
        <v>0</v>
      </c>
      <c r="Q23" s="14">
        <f>SUM(Tabla13[[#This Row],[Producción disponible]],Tabla13[[#This Row],[Stock al día]],Tabla13[[#This Row],[Por producir Abr.]])-SUM(Tabla13[[#This Row],[Stock por despachar N]],Tabla13[[#This Row],[Producción por despachar mes N]])</f>
        <v>70972.186814442321</v>
      </c>
      <c r="R23" s="7">
        <f>IFERROR(VLOOKUP(Tabla13[[#This Row],[Llave]],[3]Hoja2!$A:$D,4,FALSE),0)</f>
        <v>96000</v>
      </c>
      <c r="S23" s="9">
        <f>IFERROR(VLOOKUP(Tabla13[[#This Row],[Material]],[4]Hoja1!$B:$C,2,FALSE),0)</f>
        <v>24000</v>
      </c>
      <c r="T23" s="5">
        <f t="shared" si="1"/>
        <v>48000</v>
      </c>
      <c r="U23" s="3">
        <f>+Tabla13[[#This Row],[Total disponible]]-Tabla13[[#This Row],[Atraso a facturar]]</f>
        <v>22972.186814442321</v>
      </c>
      <c r="V23" s="6">
        <f t="shared" si="0"/>
        <v>0</v>
      </c>
      <c r="W23" s="3" t="str">
        <f>IF(Tabla13[[#This Row],[Venta del mes]]&gt;Tabla13[[#This Row],[ RV  Venta mes n+1]],"Falta venta","-")</f>
        <v>-</v>
      </c>
      <c r="X23" s="7"/>
      <c r="Y23" s="18">
        <v>0</v>
      </c>
      <c r="Z23" s="5">
        <f>+Tabla13[[#This Row],[Atraso a facturar]]+Tabla13[[#This Row],[Venta del mes]]+Tabla13[[#This Row],[Ajuste]]</f>
        <v>48000</v>
      </c>
      <c r="AA23" s="6">
        <f>+Tabla13[[#This Row],[Atraso a facturar]]+Tabla13[[#This Row],[Venta del mes]]+Tabla13[[#This Row],[En puerto a facturar]]</f>
        <v>48000</v>
      </c>
      <c r="AB23" s="20">
        <f>IFERROR(VLOOKUP(Tabla13[[#This Row],[Llave]],'[5]Consolidación planes'!$A:$M,9,FALSE),0)</f>
        <v>120000</v>
      </c>
      <c r="AC23" s="20">
        <f>IFERROR(VLOOKUP(Tabla13[[#This Row],[Llave]],'[5]Consolidación planes'!$A:$M,10,FALSE),0)</f>
        <v>216000</v>
      </c>
      <c r="AD23" s="20">
        <f>IFERROR(VLOOKUP(Tabla13[[#This Row],[Llave]],'[5]Consolidación planes'!$A:$M,11,FALSE),0)</f>
        <v>264000</v>
      </c>
      <c r="AE23" s="20">
        <f>IFERROR(VLOOKUP(Tabla13[[#This Row],[Llave]],'[5]Consolidación planes'!$A:$M,12,FALSE),0)</f>
        <v>167000</v>
      </c>
      <c r="AF23" s="20">
        <f>IFERROR(VLOOKUP(Tabla13[[#This Row],[Llave]],'[5]Consolidación planes'!$A:$M,13,FALSE),0)</f>
        <v>96000</v>
      </c>
    </row>
    <row r="24" spans="2:32" ht="16" hidden="1" x14ac:dyDescent="0.2">
      <c r="B24" t="str">
        <f>Tabla13[[#This Row],[Oficina]]&amp;Tabla13[[#This Row],[Material]]</f>
        <v>Agro Sudamerica1021039</v>
      </c>
      <c r="C24" t="s">
        <v>6</v>
      </c>
      <c r="D24" t="s">
        <v>17</v>
      </c>
      <c r="E24">
        <v>1021039</v>
      </c>
      <c r="F24" t="s">
        <v>36</v>
      </c>
      <c r="G24" t="s">
        <v>8</v>
      </c>
      <c r="H24" t="s">
        <v>9</v>
      </c>
      <c r="I24" s="7">
        <f>IFERROR(VLOOKUP(Tabla13[[#This Row],[Llave]],'[1]Consolidado RV'!$B:$H,6,FALSE),0)</f>
        <v>9382.3430000000008</v>
      </c>
      <c r="J24" s="3">
        <f>IFERROR(VLOOKUP(Tabla13[[#This Row],[Llave]],'[1]Consolidado RV'!$B:$H,7,FALSE),0)</f>
        <v>0</v>
      </c>
      <c r="K24" s="8">
        <f>IFERROR(VLOOKUP(Tabla13[[#This Row],[Oficina]],#REF!,2,FALSE),0)</f>
        <v>0</v>
      </c>
      <c r="L24" s="7">
        <f>+Tabla13[[#This Row],[ RV Producción mes n+1]]*Tabla13[[#This Row],[% Uti. producción]]</f>
        <v>0</v>
      </c>
      <c r="M24" s="7">
        <f>IFERROR(VLOOKUP(Tabla13[[#This Row],[Material]],#REF!,2,FALSE),0)</f>
        <v>0</v>
      </c>
      <c r="N24" s="7">
        <f>IFERROR(VLOOKUP(Tabla13[[#This Row],[Llave]],'En puerto-Programado'!A:D,4,FALSE)+VLOOKUP(Tabla13[[#This Row],[Llave]],'Por despachar'!A:F,6,FALSE),0)</f>
        <v>0</v>
      </c>
      <c r="O24" s="7">
        <f>IFERROR(VLOOKUP(Tabla13[[#This Row],[Material]],[2]Consolidado!$C:$D,2,FALSE),0)</f>
        <v>37050.291166290168</v>
      </c>
      <c r="P24" s="7">
        <f>IFERROR(VLOOKUP(Tabla13[[#This Row],[Llave]],'Por despachar'!A:E,5,FALSE),0)</f>
        <v>0</v>
      </c>
      <c r="Q24" s="14">
        <f>SUM(Tabla13[[#This Row],[Producción disponible]],Tabla13[[#This Row],[Stock al día]],Tabla13[[#This Row],[Por producir Abr.]])-SUM(Tabla13[[#This Row],[Stock por despachar N]],Tabla13[[#This Row],[Producción por despachar mes N]])</f>
        <v>37050.291166290168</v>
      </c>
      <c r="R24" s="7">
        <f>IFERROR(VLOOKUP(Tabla13[[#This Row],[Llave]],[3]Hoja2!$A:$D,4,FALSE),0)</f>
        <v>168000</v>
      </c>
      <c r="S24" s="9">
        <f>IFERROR(VLOOKUP(Tabla13[[#This Row],[Material]],[4]Hoja1!$B:$C,2,FALSE),0)</f>
        <v>24000</v>
      </c>
      <c r="T24" s="5">
        <f t="shared" si="1"/>
        <v>24000</v>
      </c>
      <c r="U24" s="3">
        <f>+Tabla13[[#This Row],[Total disponible]]-Tabla13[[#This Row],[Atraso a facturar]]</f>
        <v>13050.291166290168</v>
      </c>
      <c r="V24" s="6">
        <f t="shared" si="0"/>
        <v>0</v>
      </c>
      <c r="W24" s="3" t="str">
        <f>IF(Tabla13[[#This Row],[Venta del mes]]&gt;Tabla13[[#This Row],[ RV  Venta mes n+1]],"Falta venta","-")</f>
        <v>-</v>
      </c>
      <c r="X24" s="7"/>
      <c r="Y24" s="18">
        <v>0</v>
      </c>
      <c r="Z24" s="5">
        <f>+Tabla13[[#This Row],[Atraso a facturar]]+Tabla13[[#This Row],[Venta del mes]]+Tabla13[[#This Row],[Ajuste]]</f>
        <v>24000</v>
      </c>
      <c r="AA24" s="6">
        <f>+Tabla13[[#This Row],[Atraso a facturar]]+Tabla13[[#This Row],[Venta del mes]]+Tabla13[[#This Row],[En puerto a facturar]]</f>
        <v>24000</v>
      </c>
      <c r="AB24" s="20">
        <f>IFERROR(VLOOKUP(Tabla13[[#This Row],[Llave]],'[5]Consolidación planes'!$A:$M,9,FALSE),0)</f>
        <v>24000</v>
      </c>
      <c r="AC24" s="20">
        <f>IFERROR(VLOOKUP(Tabla13[[#This Row],[Llave]],'[5]Consolidación planes'!$A:$M,10,FALSE),0)</f>
        <v>24000</v>
      </c>
      <c r="AD24" s="20">
        <f>IFERROR(VLOOKUP(Tabla13[[#This Row],[Llave]],'[5]Consolidación planes'!$A:$M,11,FALSE),0)</f>
        <v>72000</v>
      </c>
      <c r="AE24" s="20">
        <f>IFERROR(VLOOKUP(Tabla13[[#This Row],[Llave]],'[5]Consolidación planes'!$A:$M,12,FALSE),0)</f>
        <v>0</v>
      </c>
      <c r="AF24" s="20">
        <f>IFERROR(VLOOKUP(Tabla13[[#This Row],[Llave]],'[5]Consolidación planes'!$A:$M,13,FALSE),0)</f>
        <v>48000</v>
      </c>
    </row>
    <row r="25" spans="2:32" ht="16" hidden="1" x14ac:dyDescent="0.2">
      <c r="B25" t="str">
        <f>Tabla13[[#This Row],[Oficina]]&amp;Tabla13[[#This Row],[Material]]</f>
        <v>Agro Sudamerica1021077</v>
      </c>
      <c r="C25" t="s">
        <v>6</v>
      </c>
      <c r="D25" t="s">
        <v>17</v>
      </c>
      <c r="E25">
        <v>1021077</v>
      </c>
      <c r="F25" t="s">
        <v>45</v>
      </c>
      <c r="G25" t="s">
        <v>11</v>
      </c>
      <c r="H25" t="s">
        <v>41</v>
      </c>
      <c r="I25" s="7">
        <f>IFERROR(VLOOKUP(Tabla13[[#This Row],[Llave]],'[1]Consolidado RV'!$B:$H,6,FALSE),0)</f>
        <v>80881.936000000002</v>
      </c>
      <c r="J25" s="3">
        <f>IFERROR(VLOOKUP(Tabla13[[#This Row],[Llave]],'[1]Consolidado RV'!$B:$H,7,FALSE),0)</f>
        <v>0</v>
      </c>
      <c r="K25" s="8">
        <f>IFERROR(VLOOKUP(Tabla13[[#This Row],[Oficina]],#REF!,2,FALSE),0)</f>
        <v>0</v>
      </c>
      <c r="L25" s="7">
        <f>+Tabla13[[#This Row],[ RV Producción mes n+1]]*Tabla13[[#This Row],[% Uti. producción]]</f>
        <v>0</v>
      </c>
      <c r="M25" s="7">
        <f>IFERROR(VLOOKUP(Tabla13[[#This Row],[Material]],#REF!,2,FALSE),0)</f>
        <v>0</v>
      </c>
      <c r="N25" s="7">
        <f>IFERROR(VLOOKUP(Tabla13[[#This Row],[Llave]],'En puerto-Programado'!A:D,4,FALSE)+VLOOKUP(Tabla13[[#This Row],[Llave]],'Por despachar'!A:F,6,FALSE),0)</f>
        <v>0</v>
      </c>
      <c r="O25" s="7">
        <f>IFERROR(VLOOKUP(Tabla13[[#This Row],[Material]],[2]Consolidado!$C:$D,2,FALSE),0)</f>
        <v>0</v>
      </c>
      <c r="P25" s="7">
        <f>IFERROR(VLOOKUP(Tabla13[[#This Row],[Llave]],'Por despachar'!A:E,5,FALSE),0)</f>
        <v>0</v>
      </c>
      <c r="Q2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5" s="7">
        <f>IFERROR(VLOOKUP(Tabla13[[#This Row],[Llave]],[3]Hoja2!$A:$D,4,FALSE),0)</f>
        <v>72000</v>
      </c>
      <c r="S25" s="9">
        <f>IFERROR(VLOOKUP(Tabla13[[#This Row],[Material]],[4]Hoja1!$B:$C,2,FALSE),0)</f>
        <v>24000</v>
      </c>
      <c r="T25" s="5">
        <f t="shared" si="1"/>
        <v>0</v>
      </c>
      <c r="U25" s="3">
        <f>+Tabla13[[#This Row],[Total disponible]]-Tabla13[[#This Row],[Atraso a facturar]]</f>
        <v>0</v>
      </c>
      <c r="V25" s="6">
        <f t="shared" si="0"/>
        <v>0</v>
      </c>
      <c r="W25" s="3" t="str">
        <f>IF(Tabla13[[#This Row],[Venta del mes]]&gt;Tabla13[[#This Row],[ RV  Venta mes n+1]],"Falta venta","-")</f>
        <v>-</v>
      </c>
      <c r="X25" s="7"/>
      <c r="Y25" s="18">
        <v>0</v>
      </c>
      <c r="Z25" s="5">
        <f>+Tabla13[[#This Row],[Atraso a facturar]]+Tabla13[[#This Row],[Venta del mes]]+Tabla13[[#This Row],[Ajuste]]</f>
        <v>0</v>
      </c>
      <c r="AA25" s="6">
        <f>+Tabla13[[#This Row],[Atraso a facturar]]+Tabla13[[#This Row],[Venta del mes]]+Tabla13[[#This Row],[En puerto a facturar]]</f>
        <v>0</v>
      </c>
      <c r="AB25" s="20">
        <f>IFERROR(VLOOKUP(Tabla13[[#This Row],[Llave]],'[5]Consolidación planes'!$A:$M,9,FALSE),0)</f>
        <v>0</v>
      </c>
      <c r="AC25" s="20">
        <f>IFERROR(VLOOKUP(Tabla13[[#This Row],[Llave]],'[5]Consolidación planes'!$A:$M,10,FALSE),0)</f>
        <v>24000</v>
      </c>
      <c r="AD25" s="20">
        <f>IFERROR(VLOOKUP(Tabla13[[#This Row],[Llave]],'[5]Consolidación planes'!$A:$M,11,FALSE),0)</f>
        <v>0</v>
      </c>
      <c r="AE25" s="20">
        <f>IFERROR(VLOOKUP(Tabla13[[#This Row],[Llave]],'[5]Consolidación planes'!$A:$M,12,FALSE),0)</f>
        <v>48000</v>
      </c>
      <c r="AF25" s="20">
        <f>IFERROR(VLOOKUP(Tabla13[[#This Row],[Llave]],'[5]Consolidación planes'!$A:$M,13,FALSE),0)</f>
        <v>0</v>
      </c>
    </row>
    <row r="26" spans="2:32" ht="16" hidden="1" x14ac:dyDescent="0.2">
      <c r="B26" t="str">
        <f>Tabla13[[#This Row],[Oficina]]&amp;Tabla13[[#This Row],[Material]]</f>
        <v>Agro Sudamerica1021078</v>
      </c>
      <c r="C26" t="s">
        <v>6</v>
      </c>
      <c r="D26" t="s">
        <v>17</v>
      </c>
      <c r="E26">
        <v>1021078</v>
      </c>
      <c r="F26" t="s">
        <v>74</v>
      </c>
      <c r="G26" t="s">
        <v>71</v>
      </c>
      <c r="H26" t="s">
        <v>72</v>
      </c>
      <c r="I26" s="7">
        <f>IFERROR(VLOOKUP(Tabla13[[#This Row],[Llave]],'[1]Consolidado RV'!$B:$H,6,FALSE),0)</f>
        <v>80034.146030383825</v>
      </c>
      <c r="J26" s="3">
        <f>IFERROR(VLOOKUP(Tabla13[[#This Row],[Llave]],'[1]Consolidado RV'!$B:$H,7,FALSE),0)</f>
        <v>144000.00030000001</v>
      </c>
      <c r="K26" s="8">
        <f>IFERROR(VLOOKUP(Tabla13[[#This Row],[Oficina]],#REF!,2,FALSE),0)</f>
        <v>0</v>
      </c>
      <c r="L26" s="7">
        <f>+Tabla13[[#This Row],[ RV Producción mes n+1]]*Tabla13[[#This Row],[% Uti. producción]]</f>
        <v>0</v>
      </c>
      <c r="M26" s="7">
        <f>IFERROR(VLOOKUP(Tabla13[[#This Row],[Material]],#REF!,2,FALSE),0)</f>
        <v>0</v>
      </c>
      <c r="N26" s="7">
        <f>IFERROR(VLOOKUP(Tabla13[[#This Row],[Llave]],'En puerto-Programado'!A:D,4,FALSE)+VLOOKUP(Tabla13[[#This Row],[Llave]],'Por despachar'!A:F,6,FALSE),0)</f>
        <v>48000</v>
      </c>
      <c r="O26" s="7">
        <f>IFERROR(VLOOKUP(Tabla13[[#This Row],[Material]],[2]Consolidado!$C:$D,2,FALSE),0)</f>
        <v>30744.914219040471</v>
      </c>
      <c r="P26" s="7">
        <f>IFERROR(VLOOKUP(Tabla13[[#This Row],[Llave]],'Por despachar'!A:E,5,FALSE),0)</f>
        <v>0</v>
      </c>
      <c r="Q26" s="14">
        <f>SUM(Tabla13[[#This Row],[Producción disponible]],Tabla13[[#This Row],[Stock al día]],Tabla13[[#This Row],[Por producir Abr.]])-SUM(Tabla13[[#This Row],[Stock por despachar N]],Tabla13[[#This Row],[Producción por despachar mes N]])</f>
        <v>-17255.085780959529</v>
      </c>
      <c r="R26" s="7">
        <f>IFERROR(VLOOKUP(Tabla13[[#This Row],[Llave]],[3]Hoja2!$A:$D,4,FALSE),0)</f>
        <v>48000</v>
      </c>
      <c r="S26" s="9">
        <f>IFERROR(VLOOKUP(Tabla13[[#This Row],[Material]],[4]Hoja1!$B:$C,2,FALSE),0)</f>
        <v>24000</v>
      </c>
      <c r="T26" s="5">
        <f t="shared" si="1"/>
        <v>0</v>
      </c>
      <c r="U26" s="3">
        <f>+Tabla13[[#This Row],[Total disponible]]-Tabla13[[#This Row],[Atraso a facturar]]</f>
        <v>-17255.085780959529</v>
      </c>
      <c r="V26" s="6">
        <f t="shared" si="0"/>
        <v>0</v>
      </c>
      <c r="W26" s="3" t="str">
        <f>IF(Tabla13[[#This Row],[Venta del mes]]&gt;Tabla13[[#This Row],[ RV  Venta mes n+1]],"Falta venta","-")</f>
        <v>-</v>
      </c>
      <c r="X26" s="7"/>
      <c r="Y26" s="18">
        <v>0</v>
      </c>
      <c r="Z26" s="5">
        <f>+Tabla13[[#This Row],[Atraso a facturar]]+Tabla13[[#This Row],[Venta del mes]]+Tabla13[[#This Row],[Ajuste]]</f>
        <v>0</v>
      </c>
      <c r="AA26" s="6">
        <f>+Tabla13[[#This Row],[Atraso a facturar]]+Tabla13[[#This Row],[Venta del mes]]+Tabla13[[#This Row],[En puerto a facturar]]</f>
        <v>0</v>
      </c>
      <c r="AB26" s="20">
        <f>IFERROR(VLOOKUP(Tabla13[[#This Row],[Llave]],'[5]Consolidación planes'!$A:$M,9,FALSE),0)</f>
        <v>48000</v>
      </c>
      <c r="AC26" s="20">
        <f>IFERROR(VLOOKUP(Tabla13[[#This Row],[Llave]],'[5]Consolidación planes'!$A:$M,10,FALSE),0)</f>
        <v>107000</v>
      </c>
      <c r="AD26" s="20">
        <f>IFERROR(VLOOKUP(Tabla13[[#This Row],[Llave]],'[5]Consolidación planes'!$A:$M,11,FALSE),0)</f>
        <v>143000</v>
      </c>
      <c r="AE26" s="20">
        <f>IFERROR(VLOOKUP(Tabla13[[#This Row],[Llave]],'[5]Consolidación planes'!$A:$M,12,FALSE),0)</f>
        <v>96000</v>
      </c>
      <c r="AF26" s="20">
        <f>IFERROR(VLOOKUP(Tabla13[[#This Row],[Llave]],'[5]Consolidación planes'!$A:$M,13,FALSE),0)</f>
        <v>96000</v>
      </c>
    </row>
    <row r="27" spans="2:32" ht="16" hidden="1" x14ac:dyDescent="0.2">
      <c r="B27" t="str">
        <f>Tabla13[[#This Row],[Oficina]]&amp;Tabla13[[#This Row],[Material]]</f>
        <v>Agro Sudamerica1021082</v>
      </c>
      <c r="C27" t="s">
        <v>6</v>
      </c>
      <c r="D27" t="s">
        <v>17</v>
      </c>
      <c r="E27">
        <v>1021082</v>
      </c>
      <c r="F27" t="s">
        <v>283</v>
      </c>
      <c r="G27" t="s">
        <v>71</v>
      </c>
      <c r="H27" t="s">
        <v>72</v>
      </c>
      <c r="I27" s="7">
        <f>IFERROR(VLOOKUP(Tabla13[[#This Row],[Llave]],'[1]Consolidado RV'!$B:$H,6,FALSE),0)</f>
        <v>65820.892000000022</v>
      </c>
      <c r="J27" s="3">
        <f>IFERROR(VLOOKUP(Tabla13[[#This Row],[Llave]],'[1]Consolidado RV'!$B:$H,7,FALSE),0)</f>
        <v>72000</v>
      </c>
      <c r="K27" s="8">
        <f>IFERROR(VLOOKUP(Tabla13[[#This Row],[Oficina]],#REF!,2,FALSE),0)</f>
        <v>0</v>
      </c>
      <c r="L27" s="7">
        <f>+Tabla13[[#This Row],[ RV Producción mes n+1]]*Tabla13[[#This Row],[% Uti. producción]]</f>
        <v>0</v>
      </c>
      <c r="M27" s="7">
        <f>IFERROR(VLOOKUP(Tabla13[[#This Row],[Material]],#REF!,2,FALSE),0)</f>
        <v>0</v>
      </c>
      <c r="N27" s="7">
        <f>IFERROR(VLOOKUP(Tabla13[[#This Row],[Llave]],'En puerto-Programado'!A:D,4,FALSE)+VLOOKUP(Tabla13[[#This Row],[Llave]],'Por despachar'!A:F,6,FALSE),0)</f>
        <v>0</v>
      </c>
      <c r="O27" s="7">
        <f>IFERROR(VLOOKUP(Tabla13[[#This Row],[Material]],[2]Consolidado!$C:$D,2,FALSE),0)</f>
        <v>29151.200000000001</v>
      </c>
      <c r="P27" s="7">
        <f>IFERROR(VLOOKUP(Tabla13[[#This Row],[Llave]],'Por despachar'!A:E,5,FALSE),0)</f>
        <v>0</v>
      </c>
      <c r="Q27" s="14">
        <f>SUM(Tabla13[[#This Row],[Producción disponible]],Tabla13[[#This Row],[Stock al día]],Tabla13[[#This Row],[Por producir Abr.]])-SUM(Tabla13[[#This Row],[Stock por despachar N]],Tabla13[[#This Row],[Producción por despachar mes N]])</f>
        <v>29151.200000000001</v>
      </c>
      <c r="R27" s="7">
        <f>IFERROR(VLOOKUP(Tabla13[[#This Row],[Llave]],[3]Hoja2!$A:$D,4,FALSE),0)</f>
        <v>73500</v>
      </c>
      <c r="S27" s="9">
        <f>IFERROR(VLOOKUP(Tabla13[[#This Row],[Material]],[4]Hoja1!$B:$C,2,FALSE),0)</f>
        <v>24000</v>
      </c>
      <c r="T27" s="5">
        <f t="shared" si="1"/>
        <v>24000</v>
      </c>
      <c r="U27" s="3">
        <f>+Tabla13[[#This Row],[Total disponible]]-Tabla13[[#This Row],[Atraso a facturar]]</f>
        <v>5151.2000000000007</v>
      </c>
      <c r="V27" s="6">
        <f t="shared" si="0"/>
        <v>0</v>
      </c>
      <c r="W27" s="3" t="str">
        <f>IF(Tabla13[[#This Row],[Venta del mes]]&gt;Tabla13[[#This Row],[ RV  Venta mes n+1]],"Falta venta","-")</f>
        <v>-</v>
      </c>
      <c r="X27" s="7"/>
      <c r="Y27" s="18">
        <v>0</v>
      </c>
      <c r="Z27" s="5">
        <f>+Tabla13[[#This Row],[Atraso a facturar]]+Tabla13[[#This Row],[Venta del mes]]+Tabla13[[#This Row],[Ajuste]]</f>
        <v>24000</v>
      </c>
      <c r="AA27" s="6">
        <f>+Tabla13[[#This Row],[Atraso a facturar]]+Tabla13[[#This Row],[Venta del mes]]+Tabla13[[#This Row],[En puerto a facturar]]</f>
        <v>24000</v>
      </c>
      <c r="AB27" s="20">
        <f>IFERROR(VLOOKUP(Tabla13[[#This Row],[Llave]],'[5]Consolidación planes'!$A:$M,9,FALSE),0)</f>
        <v>0</v>
      </c>
      <c r="AC27" s="20">
        <f>IFERROR(VLOOKUP(Tabla13[[#This Row],[Llave]],'[5]Consolidación planes'!$A:$M,10,FALSE),0)</f>
        <v>0</v>
      </c>
      <c r="AD27" s="20">
        <f>IFERROR(VLOOKUP(Tabla13[[#This Row],[Llave]],'[5]Consolidación planes'!$A:$M,11,FALSE),0)</f>
        <v>0</v>
      </c>
      <c r="AE27" s="20">
        <f>IFERROR(VLOOKUP(Tabla13[[#This Row],[Llave]],'[5]Consolidación planes'!$A:$M,12,FALSE),0)</f>
        <v>0</v>
      </c>
      <c r="AF27" s="20">
        <f>IFERROR(VLOOKUP(Tabla13[[#This Row],[Llave]],'[5]Consolidación planes'!$A:$M,13,FALSE),0)</f>
        <v>2500</v>
      </c>
    </row>
    <row r="28" spans="2:32" ht="16" hidden="1" x14ac:dyDescent="0.2">
      <c r="B28" t="str">
        <f>Tabla13[[#This Row],[Oficina]]&amp;Tabla13[[#This Row],[Material]]</f>
        <v>Agro Sudamerica1021085</v>
      </c>
      <c r="C28" t="s">
        <v>6</v>
      </c>
      <c r="D28" t="s">
        <v>17</v>
      </c>
      <c r="E28">
        <v>1021085</v>
      </c>
      <c r="F28" t="s">
        <v>44</v>
      </c>
      <c r="G28" t="s">
        <v>11</v>
      </c>
      <c r="H28" t="s">
        <v>41</v>
      </c>
      <c r="I28" s="7">
        <f>IFERROR(VLOOKUP(Tabla13[[#This Row],[Llave]],'[1]Consolidado RV'!$B:$H,6,FALSE),0)</f>
        <v>52876.822</v>
      </c>
      <c r="J28" s="3">
        <f>IFERROR(VLOOKUP(Tabla13[[#This Row],[Llave]],'[1]Consolidado RV'!$B:$H,7,FALSE),0)</f>
        <v>48000</v>
      </c>
      <c r="K28" s="8">
        <f>IFERROR(VLOOKUP(Tabla13[[#This Row],[Oficina]],#REF!,2,FALSE),0)</f>
        <v>0</v>
      </c>
      <c r="L28" s="7">
        <f>+Tabla13[[#This Row],[ RV Producción mes n+1]]*Tabla13[[#This Row],[% Uti. producción]]</f>
        <v>0</v>
      </c>
      <c r="M28" s="7">
        <f>IFERROR(VLOOKUP(Tabla13[[#This Row],[Material]],#REF!,2,FALSE),0)</f>
        <v>0</v>
      </c>
      <c r="N28" s="7">
        <f>IFERROR(VLOOKUP(Tabla13[[#This Row],[Llave]],'En puerto-Programado'!A:D,4,FALSE)+VLOOKUP(Tabla13[[#This Row],[Llave]],'Por despachar'!A:F,6,FALSE),0)</f>
        <v>0</v>
      </c>
      <c r="O28" s="7">
        <f>IFERROR(VLOOKUP(Tabla13[[#This Row],[Material]],[2]Consolidado!$C:$D,2,FALSE),0)</f>
        <v>13506.766547883322</v>
      </c>
      <c r="P28" s="7">
        <f>IFERROR(VLOOKUP(Tabla13[[#This Row],[Llave]],'Por despachar'!A:E,5,FALSE),0)</f>
        <v>0</v>
      </c>
      <c r="Q28" s="14">
        <f>SUM(Tabla13[[#This Row],[Producción disponible]],Tabla13[[#This Row],[Stock al día]],Tabla13[[#This Row],[Por producir Abr.]])-SUM(Tabla13[[#This Row],[Stock por despachar N]],Tabla13[[#This Row],[Producción por despachar mes N]])</f>
        <v>13506.766547883322</v>
      </c>
      <c r="R28" s="7">
        <f>IFERROR(VLOOKUP(Tabla13[[#This Row],[Llave]],[3]Hoja2!$A:$D,4,FALSE),0)</f>
        <v>24000</v>
      </c>
      <c r="S28" s="9">
        <f>IFERROR(VLOOKUP(Tabla13[[#This Row],[Material]],[4]Hoja1!$B:$C,2,FALSE),0)</f>
        <v>24000</v>
      </c>
      <c r="T28" s="5">
        <f t="shared" si="1"/>
        <v>0</v>
      </c>
      <c r="U28" s="3">
        <f>+Tabla13[[#This Row],[Total disponible]]-Tabla13[[#This Row],[Atraso a facturar]]</f>
        <v>13506.766547883322</v>
      </c>
      <c r="V28" s="6">
        <f t="shared" si="0"/>
        <v>0</v>
      </c>
      <c r="W28" s="3" t="str">
        <f>IF(Tabla13[[#This Row],[Venta del mes]]&gt;Tabla13[[#This Row],[ RV  Venta mes n+1]],"Falta venta","-")</f>
        <v>-</v>
      </c>
      <c r="X28" s="7"/>
      <c r="Y28" s="18">
        <v>0</v>
      </c>
      <c r="Z28" s="5">
        <f>+Tabla13[[#This Row],[Atraso a facturar]]+Tabla13[[#This Row],[Venta del mes]]+Tabla13[[#This Row],[Ajuste]]</f>
        <v>0</v>
      </c>
      <c r="AA28" s="6">
        <f>+Tabla13[[#This Row],[Atraso a facturar]]+Tabla13[[#This Row],[Venta del mes]]+Tabla13[[#This Row],[En puerto a facturar]]</f>
        <v>0</v>
      </c>
      <c r="AB28" s="20">
        <f>IFERROR(VLOOKUP(Tabla13[[#This Row],[Llave]],'[5]Consolidación planes'!$A:$M,9,FALSE),0)</f>
        <v>24000</v>
      </c>
      <c r="AC28" s="20">
        <f>IFERROR(VLOOKUP(Tabla13[[#This Row],[Llave]],'[5]Consolidación planes'!$A:$M,10,FALSE),0)</f>
        <v>24000</v>
      </c>
      <c r="AD28" s="20">
        <f>IFERROR(VLOOKUP(Tabla13[[#This Row],[Llave]],'[5]Consolidación planes'!$A:$M,11,FALSE),0)</f>
        <v>0</v>
      </c>
      <c r="AE28" s="20">
        <f>IFERROR(VLOOKUP(Tabla13[[#This Row],[Llave]],'[5]Consolidación planes'!$A:$M,12,FALSE),0)</f>
        <v>0</v>
      </c>
      <c r="AF28" s="20">
        <f>IFERROR(VLOOKUP(Tabla13[[#This Row],[Llave]],'[5]Consolidación planes'!$A:$M,13,FALSE),0)</f>
        <v>24000</v>
      </c>
    </row>
    <row r="29" spans="2:32" ht="16" hidden="1" x14ac:dyDescent="0.2">
      <c r="B29" t="str">
        <f>Tabla13[[#This Row],[Oficina]]&amp;Tabla13[[#This Row],[Material]]</f>
        <v>Agro Sudamerica1021092</v>
      </c>
      <c r="C29" t="s">
        <v>6</v>
      </c>
      <c r="D29" t="s">
        <v>17</v>
      </c>
      <c r="E29">
        <v>1021092</v>
      </c>
      <c r="F29" t="s">
        <v>75</v>
      </c>
      <c r="G29" t="s">
        <v>71</v>
      </c>
      <c r="H29" t="s">
        <v>72</v>
      </c>
      <c r="I29" s="7">
        <f>IFERROR(VLOOKUP(Tabla13[[#This Row],[Llave]],'[1]Consolidado RV'!$B:$H,6,FALSE),0)</f>
        <v>4399.2172</v>
      </c>
      <c r="J29" s="3">
        <f>IFERROR(VLOOKUP(Tabla13[[#This Row],[Llave]],'[1]Consolidado RV'!$B:$H,7,FALSE),0)</f>
        <v>4399.2172</v>
      </c>
      <c r="K29" s="8">
        <f>IFERROR(VLOOKUP(Tabla13[[#This Row],[Oficina]],#REF!,2,FALSE),0)</f>
        <v>0</v>
      </c>
      <c r="L29" s="7">
        <f>+Tabla13[[#This Row],[ RV Producción mes n+1]]*Tabla13[[#This Row],[% Uti. producción]]</f>
        <v>0</v>
      </c>
      <c r="M29" s="7">
        <f>IFERROR(VLOOKUP(Tabla13[[#This Row],[Material]],#REF!,2,FALSE),0)</f>
        <v>0</v>
      </c>
      <c r="N29" s="7">
        <f>IFERROR(VLOOKUP(Tabla13[[#This Row],[Llave]],'En puerto-Programado'!A:D,4,FALSE)+VLOOKUP(Tabla13[[#This Row],[Llave]],'Por despachar'!A:F,6,FALSE),0)</f>
        <v>0</v>
      </c>
      <c r="O29" s="7">
        <f>IFERROR(VLOOKUP(Tabla13[[#This Row],[Material]],[2]Consolidado!$C:$D,2,FALSE),0)</f>
        <v>42049.932554461469</v>
      </c>
      <c r="P29" s="7">
        <f>IFERROR(VLOOKUP(Tabla13[[#This Row],[Llave]],'Por despachar'!A:E,5,FALSE),0)</f>
        <v>0</v>
      </c>
      <c r="Q29" s="14">
        <f>SUM(Tabla13[[#This Row],[Producción disponible]],Tabla13[[#This Row],[Stock al día]],Tabla13[[#This Row],[Por producir Abr.]])-SUM(Tabla13[[#This Row],[Stock por despachar N]],Tabla13[[#This Row],[Producción por despachar mes N]])</f>
        <v>42049.932554461469</v>
      </c>
      <c r="R29" s="7">
        <f>IFERROR(VLOOKUP(Tabla13[[#This Row],[Llave]],[3]Hoja2!$A:$D,4,FALSE),0)</f>
        <v>74000</v>
      </c>
      <c r="S29" s="9">
        <f>IFERROR(VLOOKUP(Tabla13[[#This Row],[Material]],[4]Hoja1!$B:$C,2,FALSE),0)</f>
        <v>24000</v>
      </c>
      <c r="T29" s="5">
        <f t="shared" si="1"/>
        <v>24000</v>
      </c>
      <c r="U29" s="3">
        <f>+Tabla13[[#This Row],[Total disponible]]-Tabla13[[#This Row],[Atraso a facturar]]</f>
        <v>18049.932554461469</v>
      </c>
      <c r="V29" s="6">
        <f t="shared" si="0"/>
        <v>0</v>
      </c>
      <c r="W29" s="3" t="str">
        <f>IF(Tabla13[[#This Row],[Venta del mes]]&gt;Tabla13[[#This Row],[ RV  Venta mes n+1]],"Falta venta","-")</f>
        <v>-</v>
      </c>
      <c r="X29" s="7"/>
      <c r="Y29" s="18">
        <v>0</v>
      </c>
      <c r="Z29" s="5">
        <f>+Tabla13[[#This Row],[Atraso a facturar]]+Tabla13[[#This Row],[Venta del mes]]+Tabla13[[#This Row],[Ajuste]]</f>
        <v>24000</v>
      </c>
      <c r="AA29" s="6">
        <f>+Tabla13[[#This Row],[Atraso a facturar]]+Tabla13[[#This Row],[Venta del mes]]+Tabla13[[#This Row],[En puerto a facturar]]</f>
        <v>24000</v>
      </c>
      <c r="AB29" s="20">
        <f>IFERROR(VLOOKUP(Tabla13[[#This Row],[Llave]],'[5]Consolidación planes'!$A:$M,9,FALSE),0)</f>
        <v>48000</v>
      </c>
      <c r="AC29" s="20">
        <f>IFERROR(VLOOKUP(Tabla13[[#This Row],[Llave]],'[5]Consolidación planes'!$A:$M,10,FALSE),0)</f>
        <v>79070</v>
      </c>
      <c r="AD29" s="20">
        <f>IFERROR(VLOOKUP(Tabla13[[#This Row],[Llave]],'[5]Consolidación planes'!$A:$M,11,FALSE),0)</f>
        <v>0</v>
      </c>
      <c r="AE29" s="20">
        <f>IFERROR(VLOOKUP(Tabla13[[#This Row],[Llave]],'[5]Consolidación planes'!$A:$M,12,FALSE),0)</f>
        <v>72000</v>
      </c>
      <c r="AF29" s="20">
        <f>IFERROR(VLOOKUP(Tabla13[[#This Row],[Llave]],'[5]Consolidación planes'!$A:$M,13,FALSE),0)</f>
        <v>144000</v>
      </c>
    </row>
    <row r="30" spans="2:32" ht="16" hidden="1" x14ac:dyDescent="0.2">
      <c r="B30" t="str">
        <f>Tabla13[[#This Row],[Oficina]]&amp;Tabla13[[#This Row],[Material]]</f>
        <v>Agro Sudamerica1021101</v>
      </c>
      <c r="C30" t="s">
        <v>6</v>
      </c>
      <c r="D30" t="s">
        <v>17</v>
      </c>
      <c r="E30">
        <v>1021101</v>
      </c>
      <c r="F30" t="s">
        <v>85</v>
      </c>
      <c r="G30" t="s">
        <v>76</v>
      </c>
      <c r="H30" t="s">
        <v>84</v>
      </c>
      <c r="I30" s="7">
        <f>IFERROR(VLOOKUP(Tabla13[[#This Row],[Llave]],'[1]Consolidado RV'!$B:$H,6,FALSE),0)</f>
        <v>9256.6</v>
      </c>
      <c r="J30" s="3">
        <f>IFERROR(VLOOKUP(Tabla13[[#This Row],[Llave]],'[1]Consolidado RV'!$B:$H,7,FALSE),0)</f>
        <v>1.8189894035458565E-12</v>
      </c>
      <c r="K30" s="8">
        <f>IFERROR(VLOOKUP(Tabla13[[#This Row],[Oficina]],#REF!,2,FALSE),0)</f>
        <v>0</v>
      </c>
      <c r="L30" s="7">
        <f>+Tabla13[[#This Row],[ RV Producción mes n+1]]*Tabla13[[#This Row],[% Uti. producción]]</f>
        <v>0</v>
      </c>
      <c r="M30" s="7">
        <f>IFERROR(VLOOKUP(Tabla13[[#This Row],[Material]],#REF!,2,FALSE),0)</f>
        <v>0</v>
      </c>
      <c r="N30" s="7">
        <f>IFERROR(VLOOKUP(Tabla13[[#This Row],[Llave]],'En puerto-Programado'!A:D,4,FALSE)+VLOOKUP(Tabla13[[#This Row],[Llave]],'Por despachar'!A:F,6,FALSE),0)</f>
        <v>0</v>
      </c>
      <c r="O30" s="7">
        <f>IFERROR(VLOOKUP(Tabla13[[#This Row],[Material]],[2]Consolidado!$C:$D,2,FALSE),0)</f>
        <v>14364.800000000001</v>
      </c>
      <c r="P30" s="7">
        <f>IFERROR(VLOOKUP(Tabla13[[#This Row],[Llave]],'Por despachar'!A:E,5,FALSE),0)</f>
        <v>0</v>
      </c>
      <c r="Q30" s="14">
        <f>SUM(Tabla13[[#This Row],[Producción disponible]],Tabla13[[#This Row],[Stock al día]],Tabla13[[#This Row],[Por producir Abr.]])-SUM(Tabla13[[#This Row],[Stock por despachar N]],Tabla13[[#This Row],[Producción por despachar mes N]])</f>
        <v>14364.800000000001</v>
      </c>
      <c r="R30" s="7">
        <f>IFERROR(VLOOKUP(Tabla13[[#This Row],[Llave]],[3]Hoja2!$A:$D,4,FALSE),0)</f>
        <v>29000</v>
      </c>
      <c r="S30" s="9">
        <f>IFERROR(VLOOKUP(Tabla13[[#This Row],[Material]],[4]Hoja1!$B:$C,2,FALSE),0)</f>
        <v>24000</v>
      </c>
      <c r="T30" s="5">
        <f t="shared" si="1"/>
        <v>0</v>
      </c>
      <c r="U30" s="3">
        <f>+Tabla13[[#This Row],[Total disponible]]-Tabla13[[#This Row],[Atraso a facturar]]</f>
        <v>14364.800000000001</v>
      </c>
      <c r="V30" s="6">
        <f t="shared" si="0"/>
        <v>0</v>
      </c>
      <c r="W30" s="3" t="str">
        <f>IF(Tabla13[[#This Row],[Venta del mes]]&gt;Tabla13[[#This Row],[ RV  Venta mes n+1]],"Falta venta","-")</f>
        <v>-</v>
      </c>
      <c r="X30" s="7"/>
      <c r="Y30" s="18">
        <v>0</v>
      </c>
      <c r="Z30" s="5">
        <f>+Tabla13[[#This Row],[Atraso a facturar]]+Tabla13[[#This Row],[Venta del mes]]+Tabla13[[#This Row],[Ajuste]]</f>
        <v>0</v>
      </c>
      <c r="AA30" s="6">
        <f>+Tabla13[[#This Row],[Atraso a facturar]]+Tabla13[[#This Row],[Venta del mes]]+Tabla13[[#This Row],[En puerto a facturar]]</f>
        <v>0</v>
      </c>
      <c r="AB30" s="20">
        <f>IFERROR(VLOOKUP(Tabla13[[#This Row],[Llave]],'[5]Consolidación planes'!$A:$M,9,FALSE),0)</f>
        <v>12000</v>
      </c>
      <c r="AC30" s="20">
        <f>IFERROR(VLOOKUP(Tabla13[[#This Row],[Llave]],'[5]Consolidación planes'!$A:$M,10,FALSE),0)</f>
        <v>48000</v>
      </c>
      <c r="AD30" s="20">
        <f>IFERROR(VLOOKUP(Tabla13[[#This Row],[Llave]],'[5]Consolidación planes'!$A:$M,11,FALSE),0)</f>
        <v>24000</v>
      </c>
      <c r="AE30" s="20">
        <f>IFERROR(VLOOKUP(Tabla13[[#This Row],[Llave]],'[5]Consolidación planes'!$A:$M,12,FALSE),0)</f>
        <v>24000</v>
      </c>
      <c r="AF30" s="20">
        <f>IFERROR(VLOOKUP(Tabla13[[#This Row],[Llave]],'[5]Consolidación planes'!$A:$M,13,FALSE),0)</f>
        <v>28000</v>
      </c>
    </row>
    <row r="31" spans="2:32" ht="16" hidden="1" x14ac:dyDescent="0.2">
      <c r="B31" t="str">
        <f>Tabla13[[#This Row],[Oficina]]&amp;Tabla13[[#This Row],[Material]]</f>
        <v>Agro Sudamerica1021105</v>
      </c>
      <c r="C31" t="s">
        <v>6</v>
      </c>
      <c r="D31" t="s">
        <v>17</v>
      </c>
      <c r="E31">
        <v>1021105</v>
      </c>
      <c r="F31" t="s">
        <v>86</v>
      </c>
      <c r="G31" t="s">
        <v>76</v>
      </c>
      <c r="H31" t="s">
        <v>84</v>
      </c>
      <c r="I31" s="7">
        <f>IFERROR(VLOOKUP(Tabla13[[#This Row],[Llave]],'[1]Consolidado RV'!$B:$H,6,FALSE),0)</f>
        <v>0</v>
      </c>
      <c r="J31" s="3">
        <f>IFERROR(VLOOKUP(Tabla13[[#This Row],[Llave]],'[1]Consolidado RV'!$B:$H,7,FALSE),0)</f>
        <v>6265.5169999999998</v>
      </c>
      <c r="K31" s="8">
        <f>IFERROR(VLOOKUP(Tabla13[[#This Row],[Oficina]],#REF!,2,FALSE),0)</f>
        <v>0</v>
      </c>
      <c r="L31" s="7">
        <f>+Tabla13[[#This Row],[ RV Producción mes n+1]]*Tabla13[[#This Row],[% Uti. producción]]</f>
        <v>0</v>
      </c>
      <c r="M31" s="7">
        <f>IFERROR(VLOOKUP(Tabla13[[#This Row],[Material]],#REF!,2,FALSE),0)</f>
        <v>0</v>
      </c>
      <c r="N31" s="7">
        <f>IFERROR(VLOOKUP(Tabla13[[#This Row],[Llave]],'En puerto-Programado'!A:D,4,FALSE)+VLOOKUP(Tabla13[[#This Row],[Llave]],'Por despachar'!A:F,6,FALSE),0)</f>
        <v>0</v>
      </c>
      <c r="O31" s="7">
        <f>IFERROR(VLOOKUP(Tabla13[[#This Row],[Material]],[2]Consolidado!$C:$D,2,FALSE),0)</f>
        <v>0</v>
      </c>
      <c r="P31" s="7">
        <f>IFERROR(VLOOKUP(Tabla13[[#This Row],[Llave]],'Por despachar'!A:E,5,FALSE),0)</f>
        <v>0</v>
      </c>
      <c r="Q3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31" s="7">
        <f>IFERROR(VLOOKUP(Tabla13[[#This Row],[Llave]],[3]Hoja2!$A:$D,4,FALSE),0)</f>
        <v>0</v>
      </c>
      <c r="S31" s="9">
        <f>IFERROR(VLOOKUP(Tabla13[[#This Row],[Material]],[4]Hoja1!$B:$C,2,FALSE),0)</f>
        <v>24000</v>
      </c>
      <c r="T31" s="5">
        <f t="shared" si="1"/>
        <v>0</v>
      </c>
      <c r="U31" s="3">
        <f>+Tabla13[[#This Row],[Total disponible]]-Tabla13[[#This Row],[Atraso a facturar]]</f>
        <v>0</v>
      </c>
      <c r="V31" s="6">
        <f t="shared" si="0"/>
        <v>0</v>
      </c>
      <c r="W31" s="3" t="str">
        <f>IF(Tabla13[[#This Row],[Venta del mes]]&gt;Tabla13[[#This Row],[ RV  Venta mes n+1]],"Falta venta","-")</f>
        <v>-</v>
      </c>
      <c r="X31" s="7"/>
      <c r="Y31" s="18">
        <v>0</v>
      </c>
      <c r="Z31" s="5">
        <f>+Tabla13[[#This Row],[Atraso a facturar]]+Tabla13[[#This Row],[Venta del mes]]+Tabla13[[#This Row],[Ajuste]]</f>
        <v>0</v>
      </c>
      <c r="AA31" s="6">
        <f>+Tabla13[[#This Row],[Atraso a facturar]]+Tabla13[[#This Row],[Venta del mes]]+Tabla13[[#This Row],[En puerto a facturar]]</f>
        <v>0</v>
      </c>
      <c r="AB31" s="20">
        <f>IFERROR(VLOOKUP(Tabla13[[#This Row],[Llave]],'[5]Consolidación planes'!$A:$M,9,FALSE),0)</f>
        <v>24000</v>
      </c>
      <c r="AC31" s="20">
        <f>IFERROR(VLOOKUP(Tabla13[[#This Row],[Llave]],'[5]Consolidación planes'!$A:$M,10,FALSE),0)</f>
        <v>24000</v>
      </c>
      <c r="AD31" s="20">
        <f>IFERROR(VLOOKUP(Tabla13[[#This Row],[Llave]],'[5]Consolidación planes'!$A:$M,11,FALSE),0)</f>
        <v>24000</v>
      </c>
      <c r="AE31" s="20">
        <f>IFERROR(VLOOKUP(Tabla13[[#This Row],[Llave]],'[5]Consolidación planes'!$A:$M,12,FALSE),0)</f>
        <v>24000</v>
      </c>
      <c r="AF31" s="20">
        <f>IFERROR(VLOOKUP(Tabla13[[#This Row],[Llave]],'[5]Consolidación planes'!$A:$M,13,FALSE),0)</f>
        <v>0</v>
      </c>
    </row>
    <row r="32" spans="2:32" ht="16" hidden="1" x14ac:dyDescent="0.2">
      <c r="B32" t="str">
        <f>Tabla13[[#This Row],[Oficina]]&amp;Tabla13[[#This Row],[Material]]</f>
        <v>Agro Sudamerica1021106</v>
      </c>
      <c r="C32" t="s">
        <v>6</v>
      </c>
      <c r="D32" t="s">
        <v>17</v>
      </c>
      <c r="E32">
        <v>1021106</v>
      </c>
      <c r="F32" t="s">
        <v>87</v>
      </c>
      <c r="G32" t="s">
        <v>76</v>
      </c>
      <c r="H32" t="s">
        <v>84</v>
      </c>
      <c r="I32" s="7">
        <f>IFERROR(VLOOKUP(Tabla13[[#This Row],[Llave]],'[1]Consolidado RV'!$B:$H,6,FALSE),0)</f>
        <v>96000</v>
      </c>
      <c r="J32" s="3">
        <f>IFERROR(VLOOKUP(Tabla13[[#This Row],[Llave]],'[1]Consolidado RV'!$B:$H,7,FALSE),0)</f>
        <v>117505.193</v>
      </c>
      <c r="K32" s="8">
        <f>IFERROR(VLOOKUP(Tabla13[[#This Row],[Oficina]],#REF!,2,FALSE),0)</f>
        <v>0</v>
      </c>
      <c r="L32" s="7">
        <f>+Tabla13[[#This Row],[ RV Producción mes n+1]]*Tabla13[[#This Row],[% Uti. producción]]</f>
        <v>0</v>
      </c>
      <c r="M32" s="7">
        <f>IFERROR(VLOOKUP(Tabla13[[#This Row],[Material]],#REF!,2,FALSE),0)</f>
        <v>0</v>
      </c>
      <c r="N32" s="7">
        <f>IFERROR(VLOOKUP(Tabla13[[#This Row],[Llave]],'En puerto-Programado'!A:D,4,FALSE)+VLOOKUP(Tabla13[[#This Row],[Llave]],'Por despachar'!A:F,6,FALSE),0)</f>
        <v>0</v>
      </c>
      <c r="O32" s="7">
        <f>IFERROR(VLOOKUP(Tabla13[[#This Row],[Material]],[2]Consolidado!$C:$D,2,FALSE),0)</f>
        <v>27083.581669228934</v>
      </c>
      <c r="P32" s="7">
        <f>IFERROR(VLOOKUP(Tabla13[[#This Row],[Llave]],'Por despachar'!A:E,5,FALSE),0)</f>
        <v>0</v>
      </c>
      <c r="Q32" s="14">
        <f>SUM(Tabla13[[#This Row],[Producción disponible]],Tabla13[[#This Row],[Stock al día]],Tabla13[[#This Row],[Por producir Abr.]])-SUM(Tabla13[[#This Row],[Stock por despachar N]],Tabla13[[#This Row],[Producción por despachar mes N]])</f>
        <v>27083.581669228934</v>
      </c>
      <c r="R32" s="7">
        <f>IFERROR(VLOOKUP(Tabla13[[#This Row],[Llave]],[3]Hoja2!$A:$D,4,FALSE),0)</f>
        <v>0</v>
      </c>
      <c r="S32" s="9">
        <f>IFERROR(VLOOKUP(Tabla13[[#This Row],[Material]],[4]Hoja1!$B:$C,2,FALSE),0)</f>
        <v>24000</v>
      </c>
      <c r="T32" s="5">
        <f t="shared" si="1"/>
        <v>0</v>
      </c>
      <c r="U32" s="3">
        <f>+Tabla13[[#This Row],[Total disponible]]-Tabla13[[#This Row],[Atraso a facturar]]</f>
        <v>27083.581669228934</v>
      </c>
      <c r="V32" s="6">
        <f t="shared" si="0"/>
        <v>24000</v>
      </c>
      <c r="W32" s="3" t="str">
        <f>IF(Tabla13[[#This Row],[Venta del mes]]&gt;Tabla13[[#This Row],[ RV  Venta mes n+1]],"Falta venta","-")</f>
        <v>-</v>
      </c>
      <c r="X32" s="7"/>
      <c r="Y32" s="18">
        <v>0</v>
      </c>
      <c r="Z32" s="5">
        <f>+Tabla13[[#This Row],[Atraso a facturar]]+Tabla13[[#This Row],[Venta del mes]]+Tabla13[[#This Row],[Ajuste]]</f>
        <v>24000</v>
      </c>
      <c r="AA32" s="6">
        <f>+Tabla13[[#This Row],[Atraso a facturar]]+Tabla13[[#This Row],[Venta del mes]]+Tabla13[[#This Row],[En puerto a facturar]]</f>
        <v>24000</v>
      </c>
      <c r="AB32" s="20">
        <f>IFERROR(VLOOKUP(Tabla13[[#This Row],[Llave]],'[5]Consolidación planes'!$A:$M,9,FALSE),0)</f>
        <v>96000</v>
      </c>
      <c r="AC32" s="20">
        <f>IFERROR(VLOOKUP(Tabla13[[#This Row],[Llave]],'[5]Consolidación planes'!$A:$M,10,FALSE),0)</f>
        <v>144000</v>
      </c>
      <c r="AD32" s="20">
        <f>IFERROR(VLOOKUP(Tabla13[[#This Row],[Llave]],'[5]Consolidación planes'!$A:$M,11,FALSE),0)</f>
        <v>96000</v>
      </c>
      <c r="AE32" s="20">
        <f>IFERROR(VLOOKUP(Tabla13[[#This Row],[Llave]],'[5]Consolidación planes'!$A:$M,12,FALSE),0)</f>
        <v>120000</v>
      </c>
      <c r="AF32" s="20">
        <f>IFERROR(VLOOKUP(Tabla13[[#This Row],[Llave]],'[5]Consolidación planes'!$A:$M,13,FALSE),0)</f>
        <v>48000</v>
      </c>
    </row>
    <row r="33" spans="2:32" ht="16" hidden="1" x14ac:dyDescent="0.2">
      <c r="B33" t="str">
        <f>Tabla13[[#This Row],[Oficina]]&amp;Tabla13[[#This Row],[Material]]</f>
        <v>Agro Sudamerica1021111</v>
      </c>
      <c r="C33" t="s">
        <v>6</v>
      </c>
      <c r="D33" t="s">
        <v>17</v>
      </c>
      <c r="E33">
        <v>1021111</v>
      </c>
      <c r="F33" t="s">
        <v>48</v>
      </c>
      <c r="G33" t="s">
        <v>11</v>
      </c>
      <c r="H33" t="s">
        <v>47</v>
      </c>
      <c r="I33" s="7">
        <f>IFERROR(VLOOKUP(Tabla13[[#This Row],[Llave]],'[1]Consolidado RV'!$B:$H,6,FALSE),0)</f>
        <v>0</v>
      </c>
      <c r="J33" s="3">
        <f>IFERROR(VLOOKUP(Tabla13[[#This Row],[Llave]],'[1]Consolidado RV'!$B:$H,7,FALSE),0)</f>
        <v>2877.6419999999998</v>
      </c>
      <c r="K33" s="8">
        <f>IFERROR(VLOOKUP(Tabla13[[#This Row],[Oficina]],#REF!,2,FALSE),0)</f>
        <v>0</v>
      </c>
      <c r="L33" s="7">
        <f>+Tabla13[[#This Row],[ RV Producción mes n+1]]*Tabla13[[#This Row],[% Uti. producción]]</f>
        <v>0</v>
      </c>
      <c r="M33" s="7">
        <f>IFERROR(VLOOKUP(Tabla13[[#This Row],[Material]],#REF!,2,FALSE),0)</f>
        <v>0</v>
      </c>
      <c r="N33" s="7">
        <f>IFERROR(VLOOKUP(Tabla13[[#This Row],[Llave]],'En puerto-Programado'!A:D,4,FALSE)+VLOOKUP(Tabla13[[#This Row],[Llave]],'Por despachar'!A:F,6,FALSE),0)</f>
        <v>0</v>
      </c>
      <c r="O33" s="7">
        <f>IFERROR(VLOOKUP(Tabla13[[#This Row],[Material]],[2]Consolidado!$C:$D,2,FALSE),0)</f>
        <v>1328</v>
      </c>
      <c r="P33" s="7">
        <f>IFERROR(VLOOKUP(Tabla13[[#This Row],[Llave]],'Por despachar'!A:E,5,FALSE),0)</f>
        <v>0</v>
      </c>
      <c r="Q33" s="14">
        <f>SUM(Tabla13[[#This Row],[Producción disponible]],Tabla13[[#This Row],[Stock al día]],Tabla13[[#This Row],[Por producir Abr.]])-SUM(Tabla13[[#This Row],[Stock por despachar N]],Tabla13[[#This Row],[Producción por despachar mes N]])</f>
        <v>1328</v>
      </c>
      <c r="R33" s="7">
        <f>IFERROR(VLOOKUP(Tabla13[[#This Row],[Llave]],[3]Hoja2!$A:$D,4,FALSE),0)</f>
        <v>0</v>
      </c>
      <c r="S33" s="9">
        <f>IFERROR(VLOOKUP(Tabla13[[#This Row],[Material]],[4]Hoja1!$B:$C,2,FALSE),0)</f>
        <v>24000</v>
      </c>
      <c r="T33" s="5">
        <f t="shared" si="1"/>
        <v>0</v>
      </c>
      <c r="U33" s="3">
        <f>+Tabla13[[#This Row],[Total disponible]]-Tabla13[[#This Row],[Atraso a facturar]]</f>
        <v>1328</v>
      </c>
      <c r="V33" s="6">
        <f t="shared" si="0"/>
        <v>0</v>
      </c>
      <c r="W33" s="3" t="str">
        <f>IF(Tabla13[[#This Row],[Venta del mes]]&gt;Tabla13[[#This Row],[ RV  Venta mes n+1]],"Falta venta","-")</f>
        <v>-</v>
      </c>
      <c r="X33" s="7"/>
      <c r="Y33" s="18">
        <v>0</v>
      </c>
      <c r="Z33" s="5">
        <f>+Tabla13[[#This Row],[Atraso a facturar]]+Tabla13[[#This Row],[Venta del mes]]+Tabla13[[#This Row],[Ajuste]]</f>
        <v>0</v>
      </c>
      <c r="AA33" s="6">
        <f>+Tabla13[[#This Row],[Atraso a facturar]]+Tabla13[[#This Row],[Venta del mes]]+Tabla13[[#This Row],[En puerto a facturar]]</f>
        <v>0</v>
      </c>
      <c r="AB33" s="20">
        <f>IFERROR(VLOOKUP(Tabla13[[#This Row],[Llave]],'[5]Consolidación planes'!$A:$M,9,FALSE),0)</f>
        <v>3000</v>
      </c>
      <c r="AC33" s="20">
        <f>IFERROR(VLOOKUP(Tabla13[[#This Row],[Llave]],'[5]Consolidación planes'!$A:$M,10,FALSE),0)</f>
        <v>2500</v>
      </c>
      <c r="AD33" s="20">
        <f>IFERROR(VLOOKUP(Tabla13[[#This Row],[Llave]],'[5]Consolidación planes'!$A:$M,11,FALSE),0)</f>
        <v>0</v>
      </c>
      <c r="AE33" s="20">
        <f>IFERROR(VLOOKUP(Tabla13[[#This Row],[Llave]],'[5]Consolidación planes'!$A:$M,12,FALSE),0)</f>
        <v>0</v>
      </c>
      <c r="AF33" s="20">
        <f>IFERROR(VLOOKUP(Tabla13[[#This Row],[Llave]],'[5]Consolidación planes'!$A:$M,13,FALSE),0)</f>
        <v>0</v>
      </c>
    </row>
    <row r="34" spans="2:32" ht="16" hidden="1" x14ac:dyDescent="0.2">
      <c r="B34" t="str">
        <f>Tabla13[[#This Row],[Oficina]]&amp;Tabla13[[#This Row],[Material]]</f>
        <v>Agro Sudamerica1021187</v>
      </c>
      <c r="C34" t="s">
        <v>6</v>
      </c>
      <c r="D34" t="s">
        <v>17</v>
      </c>
      <c r="E34">
        <v>1021187</v>
      </c>
      <c r="F34" t="s">
        <v>29</v>
      </c>
      <c r="G34" t="s">
        <v>8</v>
      </c>
      <c r="H34" t="s">
        <v>28</v>
      </c>
      <c r="I34" s="7">
        <f>IFERROR(VLOOKUP(Tabla13[[#This Row],[Llave]],'[1]Consolidado RV'!$B:$H,6,FALSE),0)</f>
        <v>138833.41511569128</v>
      </c>
      <c r="J34" s="3">
        <f>IFERROR(VLOOKUP(Tabla13[[#This Row],[Llave]],'[1]Consolidado RV'!$B:$H,7,FALSE),0)</f>
        <v>144000</v>
      </c>
      <c r="K34" s="8">
        <f>IFERROR(VLOOKUP(Tabla13[[#This Row],[Oficina]],#REF!,2,FALSE),0)</f>
        <v>0</v>
      </c>
      <c r="L34" s="7">
        <f>+Tabla13[[#This Row],[ RV Producción mes n+1]]*Tabla13[[#This Row],[% Uti. producción]]</f>
        <v>0</v>
      </c>
      <c r="M34" s="7">
        <f>IFERROR(VLOOKUP(Tabla13[[#This Row],[Material]],#REF!,2,FALSE),0)</f>
        <v>0</v>
      </c>
      <c r="N34" s="7">
        <f>IFERROR(VLOOKUP(Tabla13[[#This Row],[Llave]],'En puerto-Programado'!A:D,4,FALSE)+VLOOKUP(Tabla13[[#This Row],[Llave]],'Por despachar'!A:F,6,FALSE),0)</f>
        <v>0</v>
      </c>
      <c r="O34" s="7">
        <f>IFERROR(VLOOKUP(Tabla13[[#This Row],[Material]],[2]Consolidado!$C:$D,2,FALSE),0)</f>
        <v>25757.027488569533</v>
      </c>
      <c r="P34" s="7">
        <f>IFERROR(VLOOKUP(Tabla13[[#This Row],[Llave]],'Por despachar'!A:E,5,FALSE),0)</f>
        <v>0</v>
      </c>
      <c r="Q34" s="14">
        <f>SUM(Tabla13[[#This Row],[Producción disponible]],Tabla13[[#This Row],[Stock al día]],Tabla13[[#This Row],[Por producir Abr.]])-SUM(Tabla13[[#This Row],[Stock por despachar N]],Tabla13[[#This Row],[Producción por despachar mes N]])</f>
        <v>25757.027488569533</v>
      </c>
      <c r="R34" s="7">
        <f>IFERROR(VLOOKUP(Tabla13[[#This Row],[Llave]],[3]Hoja2!$A:$D,4,FALSE),0)</f>
        <v>61000</v>
      </c>
      <c r="S34" s="9">
        <f>IFERROR(VLOOKUP(Tabla13[[#This Row],[Material]],[4]Hoja1!$B:$C,2,FALSE),0)</f>
        <v>24000</v>
      </c>
      <c r="T34" s="5">
        <f t="shared" si="1"/>
        <v>24000</v>
      </c>
      <c r="U34" s="3">
        <f>+Tabla13[[#This Row],[Total disponible]]-Tabla13[[#This Row],[Atraso a facturar]]</f>
        <v>1757.0274885695326</v>
      </c>
      <c r="V34" s="6">
        <f t="shared" si="0"/>
        <v>0</v>
      </c>
      <c r="W34" s="3" t="str">
        <f>IF(Tabla13[[#This Row],[Venta del mes]]&gt;Tabla13[[#This Row],[ RV  Venta mes n+1]],"Falta venta","-")</f>
        <v>-</v>
      </c>
      <c r="X34" s="7"/>
      <c r="Y34" s="18">
        <v>0</v>
      </c>
      <c r="Z34" s="5">
        <f>+Tabla13[[#This Row],[Atraso a facturar]]+Tabla13[[#This Row],[Venta del mes]]+Tabla13[[#This Row],[Ajuste]]</f>
        <v>24000</v>
      </c>
      <c r="AA34" s="6">
        <f>+Tabla13[[#This Row],[Atraso a facturar]]+Tabla13[[#This Row],[Venta del mes]]+Tabla13[[#This Row],[En puerto a facturar]]</f>
        <v>24000</v>
      </c>
      <c r="AB34" s="20">
        <f>IFERROR(VLOOKUP(Tabla13[[#This Row],[Llave]],'[5]Consolidación planes'!$A:$M,9,FALSE),0)</f>
        <v>72000</v>
      </c>
      <c r="AC34" s="20">
        <f>IFERROR(VLOOKUP(Tabla13[[#This Row],[Llave]],'[5]Consolidación planes'!$A:$M,10,FALSE),0)</f>
        <v>24000</v>
      </c>
      <c r="AD34" s="20">
        <f>IFERROR(VLOOKUP(Tabla13[[#This Row],[Llave]],'[5]Consolidación planes'!$A:$M,11,FALSE),0)</f>
        <v>48000</v>
      </c>
      <c r="AE34" s="20">
        <f>IFERROR(VLOOKUP(Tabla13[[#This Row],[Llave]],'[5]Consolidación planes'!$A:$M,12,FALSE),0)</f>
        <v>24000</v>
      </c>
      <c r="AF34" s="20">
        <f>IFERROR(VLOOKUP(Tabla13[[#This Row],[Llave]],'[5]Consolidación planes'!$A:$M,13,FALSE),0)</f>
        <v>88000</v>
      </c>
    </row>
    <row r="35" spans="2:32" ht="16" hidden="1" x14ac:dyDescent="0.2">
      <c r="B35" t="str">
        <f>Tabla13[[#This Row],[Oficina]]&amp;Tabla13[[#This Row],[Material]]</f>
        <v>Agro Sudamerica1021204</v>
      </c>
      <c r="C35" t="s">
        <v>6</v>
      </c>
      <c r="D35" t="s">
        <v>17</v>
      </c>
      <c r="E35">
        <v>1021204</v>
      </c>
      <c r="F35" t="s">
        <v>49</v>
      </c>
      <c r="G35" t="s">
        <v>11</v>
      </c>
      <c r="H35" t="s">
        <v>15</v>
      </c>
      <c r="I35" s="7">
        <f>IFERROR(VLOOKUP(Tabla13[[#This Row],[Llave]],'[1]Consolidado RV'!$B:$H,6,FALSE),0)</f>
        <v>0</v>
      </c>
      <c r="J35" s="3">
        <f>IFERROR(VLOOKUP(Tabla13[[#This Row],[Llave]],'[1]Consolidado RV'!$B:$H,7,FALSE),0)</f>
        <v>0</v>
      </c>
      <c r="K35" s="8">
        <f>IFERROR(VLOOKUP(Tabla13[[#This Row],[Oficina]],#REF!,2,FALSE),0)</f>
        <v>0</v>
      </c>
      <c r="L35" s="7">
        <f>+Tabla13[[#This Row],[ RV Producción mes n+1]]*Tabla13[[#This Row],[% Uti. producción]]</f>
        <v>0</v>
      </c>
      <c r="M35" s="7">
        <f>IFERROR(VLOOKUP(Tabla13[[#This Row],[Material]],#REF!,2,FALSE),0)</f>
        <v>0</v>
      </c>
      <c r="N35" s="7">
        <f>IFERROR(VLOOKUP(Tabla13[[#This Row],[Llave]],'En puerto-Programado'!A:D,4,FALSE)+VLOOKUP(Tabla13[[#This Row],[Llave]],'Por despachar'!A:F,6,FALSE),0)</f>
        <v>0</v>
      </c>
      <c r="O35" s="7">
        <f>IFERROR(VLOOKUP(Tabla13[[#This Row],[Material]],[2]Consolidado!$C:$D,2,FALSE),0)</f>
        <v>25610.933333333338</v>
      </c>
      <c r="P35" s="7">
        <f>IFERROR(VLOOKUP(Tabla13[[#This Row],[Llave]],'Por despachar'!A:E,5,FALSE),0)</f>
        <v>0</v>
      </c>
      <c r="Q35" s="14">
        <f>SUM(Tabla13[[#This Row],[Producción disponible]],Tabla13[[#This Row],[Stock al día]],Tabla13[[#This Row],[Por producir Abr.]])-SUM(Tabla13[[#This Row],[Stock por despachar N]],Tabla13[[#This Row],[Producción por despachar mes N]])</f>
        <v>25610.933333333338</v>
      </c>
      <c r="R35" s="7">
        <f>IFERROR(VLOOKUP(Tabla13[[#This Row],[Llave]],[3]Hoja2!$A:$D,4,FALSE),0)</f>
        <v>0</v>
      </c>
      <c r="S35" s="9">
        <f>IFERROR(VLOOKUP(Tabla13[[#This Row],[Material]],[4]Hoja1!$B:$C,2,FALSE),0)</f>
        <v>24000</v>
      </c>
      <c r="T35" s="5">
        <f t="shared" si="1"/>
        <v>0</v>
      </c>
      <c r="U35" s="3">
        <f>+Tabla13[[#This Row],[Total disponible]]-Tabla13[[#This Row],[Atraso a facturar]]</f>
        <v>25610.933333333338</v>
      </c>
      <c r="V35" s="6">
        <f t="shared" si="0"/>
        <v>0</v>
      </c>
      <c r="W35" s="3" t="str">
        <f>IF(Tabla13[[#This Row],[Venta del mes]]&gt;Tabla13[[#This Row],[ RV  Venta mes n+1]],"Falta venta","-")</f>
        <v>-</v>
      </c>
      <c r="X35" s="7"/>
      <c r="Y35" s="18">
        <v>0</v>
      </c>
      <c r="Z35" s="5">
        <f>+Tabla13[[#This Row],[Atraso a facturar]]+Tabla13[[#This Row],[Venta del mes]]+Tabla13[[#This Row],[Ajuste]]</f>
        <v>0</v>
      </c>
      <c r="AA35" s="6">
        <f>+Tabla13[[#This Row],[Atraso a facturar]]+Tabla13[[#This Row],[Venta del mes]]+Tabla13[[#This Row],[En puerto a facturar]]</f>
        <v>0</v>
      </c>
      <c r="AB35" s="20">
        <f>IFERROR(VLOOKUP(Tabla13[[#This Row],[Llave]],'[5]Consolidación planes'!$A:$M,9,FALSE),0)</f>
        <v>0</v>
      </c>
      <c r="AC35" s="20">
        <f>IFERROR(VLOOKUP(Tabla13[[#This Row],[Llave]],'[5]Consolidación planes'!$A:$M,10,FALSE),0)</f>
        <v>0</v>
      </c>
      <c r="AD35" s="20">
        <f>IFERROR(VLOOKUP(Tabla13[[#This Row],[Llave]],'[5]Consolidación planes'!$A:$M,11,FALSE),0)</f>
        <v>0</v>
      </c>
      <c r="AE35" s="20">
        <f>IFERROR(VLOOKUP(Tabla13[[#This Row],[Llave]],'[5]Consolidación planes'!$A:$M,12,FALSE),0)</f>
        <v>0</v>
      </c>
      <c r="AF35" s="20">
        <f>IFERROR(VLOOKUP(Tabla13[[#This Row],[Llave]],'[5]Consolidación planes'!$A:$M,13,FALSE),0)</f>
        <v>23040</v>
      </c>
    </row>
    <row r="36" spans="2:32" ht="16" hidden="1" x14ac:dyDescent="0.2">
      <c r="B36" t="str">
        <f>Tabla13[[#This Row],[Oficina]]&amp;Tabla13[[#This Row],[Material]]</f>
        <v>Agro Sudamerica1021237</v>
      </c>
      <c r="C36" t="s">
        <v>6</v>
      </c>
      <c r="D36" t="s">
        <v>17</v>
      </c>
      <c r="E36">
        <v>1021237</v>
      </c>
      <c r="F36" t="s">
        <v>313</v>
      </c>
      <c r="G36" t="s">
        <v>71</v>
      </c>
      <c r="H36" t="s">
        <v>72</v>
      </c>
      <c r="I36" s="7">
        <f>IFERROR(VLOOKUP(Tabla13[[#This Row],[Llave]],'[1]Consolidado RV'!$B:$H,6,FALSE),0)</f>
        <v>0</v>
      </c>
      <c r="J36" s="3">
        <f>IFERROR(VLOOKUP(Tabla13[[#This Row],[Llave]],'[1]Consolidado RV'!$B:$H,7,FALSE),0)</f>
        <v>0</v>
      </c>
      <c r="K36" s="8">
        <f>IFERROR(VLOOKUP(Tabla13[[#This Row],[Oficina]],#REF!,2,FALSE),0)</f>
        <v>0</v>
      </c>
      <c r="L36" s="7">
        <f>+Tabla13[[#This Row],[ RV Producción mes n+1]]*Tabla13[[#This Row],[% Uti. producción]]</f>
        <v>0</v>
      </c>
      <c r="M36" s="7">
        <f>IFERROR(VLOOKUP(Tabla13[[#This Row],[Material]],#REF!,2,FALSE),0)</f>
        <v>0</v>
      </c>
      <c r="N36" s="7">
        <f>IFERROR(VLOOKUP(Tabla13[[#This Row],[Llave]],'En puerto-Programado'!A:D,4,FALSE)+VLOOKUP(Tabla13[[#This Row],[Llave]],'Por despachar'!A:F,6,FALSE),0)</f>
        <v>0</v>
      </c>
      <c r="O36" s="7">
        <f>IFERROR(VLOOKUP(Tabla13[[#This Row],[Material]],[2]Consolidado!$C:$D,2,FALSE),0)</f>
        <v>0</v>
      </c>
      <c r="P36" s="7">
        <f>IFERROR(VLOOKUP(Tabla13[[#This Row],[Llave]],'Por despachar'!A:E,5,FALSE),0)</f>
        <v>0</v>
      </c>
      <c r="Q3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36" s="7">
        <f>IFERROR(VLOOKUP(Tabla13[[#This Row],[Llave]],[3]Hoja2!$A:$D,4,FALSE),0)</f>
        <v>0</v>
      </c>
      <c r="S36" s="9">
        <f>IFERROR(VLOOKUP(Tabla13[[#This Row],[Material]],[4]Hoja1!$B:$C,2,FALSE),0)</f>
        <v>24000</v>
      </c>
      <c r="T36" s="5">
        <f t="shared" si="1"/>
        <v>0</v>
      </c>
      <c r="U36" s="3">
        <f>+Tabla13[[#This Row],[Total disponible]]-Tabla13[[#This Row],[Atraso a facturar]]</f>
        <v>0</v>
      </c>
      <c r="V36" s="6">
        <f t="shared" si="0"/>
        <v>0</v>
      </c>
      <c r="W36" s="3" t="str">
        <f>IF(Tabla13[[#This Row],[Venta del mes]]&gt;Tabla13[[#This Row],[ RV  Venta mes n+1]],"Falta venta","-")</f>
        <v>-</v>
      </c>
      <c r="X36" s="7"/>
      <c r="Y36" s="18">
        <v>0</v>
      </c>
      <c r="Z36" s="5">
        <f>+Tabla13[[#This Row],[Atraso a facturar]]+Tabla13[[#This Row],[Venta del mes]]+Tabla13[[#This Row],[Ajuste]]</f>
        <v>0</v>
      </c>
      <c r="AA36" s="6">
        <f>+Tabla13[[#This Row],[Atraso a facturar]]+Tabla13[[#This Row],[Venta del mes]]+Tabla13[[#This Row],[En puerto a facturar]]</f>
        <v>0</v>
      </c>
      <c r="AB36" s="20">
        <f>IFERROR(VLOOKUP(Tabla13[[#This Row],[Llave]],'[5]Consolidación planes'!$A:$M,9,FALSE),0)</f>
        <v>0</v>
      </c>
      <c r="AC36" s="20">
        <f>IFERROR(VLOOKUP(Tabla13[[#This Row],[Llave]],'[5]Consolidación planes'!$A:$M,10,FALSE),0)</f>
        <v>0</v>
      </c>
      <c r="AD36" s="20">
        <f>IFERROR(VLOOKUP(Tabla13[[#This Row],[Llave]],'[5]Consolidación planes'!$A:$M,11,FALSE),0)</f>
        <v>0</v>
      </c>
      <c r="AE36" s="20">
        <f>IFERROR(VLOOKUP(Tabla13[[#This Row],[Llave]],'[5]Consolidación planes'!$A:$M,12,FALSE),0)</f>
        <v>61042</v>
      </c>
      <c r="AF36" s="20">
        <f>IFERROR(VLOOKUP(Tabla13[[#This Row],[Llave]],'[5]Consolidación planes'!$A:$M,13,FALSE),0)</f>
        <v>13042</v>
      </c>
    </row>
    <row r="37" spans="2:32" ht="16" hidden="1" x14ac:dyDescent="0.2">
      <c r="B37" t="str">
        <f>Tabla13[[#This Row],[Oficina]]&amp;Tabla13[[#This Row],[Material]]</f>
        <v>Agro Sudamerica1021263</v>
      </c>
      <c r="C37" t="s">
        <v>6</v>
      </c>
      <c r="D37" t="s">
        <v>17</v>
      </c>
      <c r="E37">
        <v>1021263</v>
      </c>
      <c r="F37" t="s">
        <v>63</v>
      </c>
      <c r="G37" t="s">
        <v>59</v>
      </c>
      <c r="H37" t="s">
        <v>62</v>
      </c>
      <c r="I37" s="7">
        <f>IFERROR(VLOOKUP(Tabla13[[#This Row],[Llave]],'[1]Consolidado RV'!$B:$H,6,FALSE),0)</f>
        <v>0</v>
      </c>
      <c r="J37" s="3">
        <f>IFERROR(VLOOKUP(Tabla13[[#This Row],[Llave]],'[1]Consolidado RV'!$B:$H,7,FALSE),0)</f>
        <v>0</v>
      </c>
      <c r="K37" s="8">
        <f>IFERROR(VLOOKUP(Tabla13[[#This Row],[Oficina]],#REF!,2,FALSE),0)</f>
        <v>0</v>
      </c>
      <c r="L37" s="7">
        <f>+Tabla13[[#This Row],[ RV Producción mes n+1]]*Tabla13[[#This Row],[% Uti. producción]]</f>
        <v>0</v>
      </c>
      <c r="M37" s="7">
        <f>IFERROR(VLOOKUP(Tabla13[[#This Row],[Material]],#REF!,2,FALSE),0)</f>
        <v>0</v>
      </c>
      <c r="N37" s="7">
        <f>IFERROR(VLOOKUP(Tabla13[[#This Row],[Llave]],'En puerto-Programado'!A:D,4,FALSE)+VLOOKUP(Tabla13[[#This Row],[Llave]],'Por despachar'!A:F,6,FALSE),0)</f>
        <v>0</v>
      </c>
      <c r="O37" s="7">
        <f>IFERROR(VLOOKUP(Tabla13[[#This Row],[Material]],[2]Consolidado!$C:$D,2,FALSE),0)</f>
        <v>0</v>
      </c>
      <c r="P37" s="7">
        <f>IFERROR(VLOOKUP(Tabla13[[#This Row],[Llave]],'Por despachar'!A:E,5,FALSE),0)</f>
        <v>0</v>
      </c>
      <c r="Q37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37" s="7">
        <f>IFERROR(VLOOKUP(Tabla13[[#This Row],[Llave]],[3]Hoja2!$A:$D,4,FALSE),0)</f>
        <v>24000</v>
      </c>
      <c r="S37" s="9">
        <f>IFERROR(VLOOKUP(Tabla13[[#This Row],[Material]],[4]Hoja1!$B:$C,2,FALSE),0)</f>
        <v>24000</v>
      </c>
      <c r="T37" s="5">
        <f t="shared" si="1"/>
        <v>0</v>
      </c>
      <c r="U37" s="3">
        <f>+Tabla13[[#This Row],[Total disponible]]-Tabla13[[#This Row],[Atraso a facturar]]</f>
        <v>0</v>
      </c>
      <c r="V37" s="6">
        <f t="shared" si="0"/>
        <v>0</v>
      </c>
      <c r="W37" s="3" t="str">
        <f>IF(Tabla13[[#This Row],[Venta del mes]]&gt;Tabla13[[#This Row],[ RV  Venta mes n+1]],"Falta venta","-")</f>
        <v>-</v>
      </c>
      <c r="X37" s="7"/>
      <c r="Y37" s="18">
        <v>0</v>
      </c>
      <c r="Z37" s="5">
        <f>+Tabla13[[#This Row],[Atraso a facturar]]+Tabla13[[#This Row],[Venta del mes]]+Tabla13[[#This Row],[Ajuste]]</f>
        <v>0</v>
      </c>
      <c r="AA37" s="6">
        <f>+Tabla13[[#This Row],[Atraso a facturar]]+Tabla13[[#This Row],[Venta del mes]]+Tabla13[[#This Row],[En puerto a facturar]]</f>
        <v>0</v>
      </c>
      <c r="AB37" s="20">
        <f>IFERROR(VLOOKUP(Tabla13[[#This Row],[Llave]],'[5]Consolidación planes'!$A:$M,9,FALSE),0)</f>
        <v>0</v>
      </c>
      <c r="AC37" s="20">
        <f>IFERROR(VLOOKUP(Tabla13[[#This Row],[Llave]],'[5]Consolidación planes'!$A:$M,10,FALSE),0)</f>
        <v>0</v>
      </c>
      <c r="AD37" s="20">
        <f>IFERROR(VLOOKUP(Tabla13[[#This Row],[Llave]],'[5]Consolidación planes'!$A:$M,11,FALSE),0)</f>
        <v>0</v>
      </c>
      <c r="AE37" s="20">
        <f>IFERROR(VLOOKUP(Tabla13[[#This Row],[Llave]],'[5]Consolidación planes'!$A:$M,12,FALSE),0)</f>
        <v>72000</v>
      </c>
      <c r="AF37" s="20">
        <f>IFERROR(VLOOKUP(Tabla13[[#This Row],[Llave]],'[5]Consolidación planes'!$A:$M,13,FALSE),0)</f>
        <v>48000</v>
      </c>
    </row>
    <row r="38" spans="2:32" ht="16" hidden="1" x14ac:dyDescent="0.2">
      <c r="B38" t="str">
        <f>Tabla13[[#This Row],[Oficina]]&amp;Tabla13[[#This Row],[Material]]</f>
        <v>Agro Sudamerica1021287</v>
      </c>
      <c r="C38" t="s">
        <v>6</v>
      </c>
      <c r="D38" t="s">
        <v>17</v>
      </c>
      <c r="E38">
        <v>1021287</v>
      </c>
      <c r="F38" t="s">
        <v>280</v>
      </c>
      <c r="G38" t="s">
        <v>11</v>
      </c>
      <c r="H38" t="s">
        <v>15</v>
      </c>
      <c r="I38" s="7">
        <f>IFERROR(VLOOKUP(Tabla13[[#This Row],[Llave]],'[1]Consolidado RV'!$B:$H,6,FALSE),0)</f>
        <v>0</v>
      </c>
      <c r="J38" s="3">
        <f>IFERROR(VLOOKUP(Tabla13[[#This Row],[Llave]],'[1]Consolidado RV'!$B:$H,7,FALSE),0)</f>
        <v>0</v>
      </c>
      <c r="K38" s="8">
        <f>IFERROR(VLOOKUP(Tabla13[[#This Row],[Oficina]],#REF!,2,FALSE),0)</f>
        <v>0</v>
      </c>
      <c r="L38" s="7">
        <f>+Tabla13[[#This Row],[ RV Producción mes n+1]]*Tabla13[[#This Row],[% Uti. producción]]</f>
        <v>0</v>
      </c>
      <c r="M38" s="7">
        <f>IFERROR(VLOOKUP(Tabla13[[#This Row],[Material]],#REF!,2,FALSE),0)</f>
        <v>0</v>
      </c>
      <c r="N38" s="7">
        <f>IFERROR(VLOOKUP(Tabla13[[#This Row],[Llave]],'En puerto-Programado'!A:D,4,FALSE)+VLOOKUP(Tabla13[[#This Row],[Llave]],'Por despachar'!A:F,6,FALSE),0)</f>
        <v>0</v>
      </c>
      <c r="O38" s="7">
        <f>IFERROR(VLOOKUP(Tabla13[[#This Row],[Material]],[2]Consolidado!$C:$D,2,FALSE),0)</f>
        <v>0</v>
      </c>
      <c r="P38" s="7">
        <f>IFERROR(VLOOKUP(Tabla13[[#This Row],[Llave]],'Por despachar'!A:E,5,FALSE),0)</f>
        <v>0</v>
      </c>
      <c r="Q3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38" s="7">
        <f>IFERROR(VLOOKUP(Tabla13[[#This Row],[Llave]],[3]Hoja2!$A:$D,4,FALSE),0)</f>
        <v>0</v>
      </c>
      <c r="S38" s="9">
        <f>IFERROR(VLOOKUP(Tabla13[[#This Row],[Material]],[4]Hoja1!$B:$C,2,FALSE),0)</f>
        <v>24000</v>
      </c>
      <c r="T38" s="5">
        <f t="shared" si="1"/>
        <v>0</v>
      </c>
      <c r="U38" s="3">
        <f>+Tabla13[[#This Row],[Total disponible]]-Tabla13[[#This Row],[Atraso a facturar]]</f>
        <v>0</v>
      </c>
      <c r="V38" s="6">
        <f t="shared" si="0"/>
        <v>0</v>
      </c>
      <c r="W38" s="3" t="str">
        <f>IF(Tabla13[[#This Row],[Venta del mes]]&gt;Tabla13[[#This Row],[ RV  Venta mes n+1]],"Falta venta","-")</f>
        <v>-</v>
      </c>
      <c r="X38" s="7"/>
      <c r="Y38" s="18">
        <v>0</v>
      </c>
      <c r="Z38" s="5">
        <f>+Tabla13[[#This Row],[Atraso a facturar]]+Tabla13[[#This Row],[Venta del mes]]+Tabla13[[#This Row],[Ajuste]]</f>
        <v>0</v>
      </c>
      <c r="AA38" s="6">
        <f>+Tabla13[[#This Row],[Atraso a facturar]]+Tabla13[[#This Row],[Venta del mes]]+Tabla13[[#This Row],[En puerto a facturar]]</f>
        <v>0</v>
      </c>
      <c r="AB38" s="20">
        <f>IFERROR(VLOOKUP(Tabla13[[#This Row],[Llave]],'[5]Consolidación planes'!$A:$M,9,FALSE),0)</f>
        <v>0</v>
      </c>
      <c r="AC38" s="20">
        <f>IFERROR(VLOOKUP(Tabla13[[#This Row],[Llave]],'[5]Consolidación planes'!$A:$M,10,FALSE),0)</f>
        <v>5000</v>
      </c>
      <c r="AD38" s="20">
        <f>IFERROR(VLOOKUP(Tabla13[[#This Row],[Llave]],'[5]Consolidación planes'!$A:$M,11,FALSE),0)</f>
        <v>0</v>
      </c>
      <c r="AE38" s="20">
        <f>IFERROR(VLOOKUP(Tabla13[[#This Row],[Llave]],'[5]Consolidación planes'!$A:$M,12,FALSE),0)</f>
        <v>0</v>
      </c>
      <c r="AF38" s="20">
        <f>IFERROR(VLOOKUP(Tabla13[[#This Row],[Llave]],'[5]Consolidación planes'!$A:$M,13,FALSE),0)</f>
        <v>0</v>
      </c>
    </row>
    <row r="39" spans="2:32" ht="16" hidden="1" x14ac:dyDescent="0.2">
      <c r="B39" t="str">
        <f>Tabla13[[#This Row],[Oficina]]&amp;Tabla13[[#This Row],[Material]]</f>
        <v>Agro Sudamerica1021385</v>
      </c>
      <c r="C39" t="s">
        <v>6</v>
      </c>
      <c r="D39" t="s">
        <v>17</v>
      </c>
      <c r="E39">
        <v>1021385</v>
      </c>
      <c r="F39" t="s">
        <v>33</v>
      </c>
      <c r="G39" t="s">
        <v>8</v>
      </c>
      <c r="H39" t="s">
        <v>32</v>
      </c>
      <c r="I39" s="7">
        <f>IFERROR(VLOOKUP(Tabla13[[#This Row],[Llave]],'[1]Consolidado RV'!$B:$H,6,FALSE),0)</f>
        <v>96000</v>
      </c>
      <c r="J39" s="3">
        <f>IFERROR(VLOOKUP(Tabla13[[#This Row],[Llave]],'[1]Consolidado RV'!$B:$H,7,FALSE),0)</f>
        <v>144000</v>
      </c>
      <c r="K39" s="8">
        <f>IFERROR(VLOOKUP(Tabla13[[#This Row],[Oficina]],#REF!,2,FALSE),0)</f>
        <v>0</v>
      </c>
      <c r="L39" s="7">
        <f>+Tabla13[[#This Row],[ RV Producción mes n+1]]*Tabla13[[#This Row],[% Uti. producción]]</f>
        <v>0</v>
      </c>
      <c r="M39" s="7">
        <f>IFERROR(VLOOKUP(Tabla13[[#This Row],[Material]],#REF!,2,FALSE),0)</f>
        <v>0</v>
      </c>
      <c r="N39" s="7">
        <f>IFERROR(VLOOKUP(Tabla13[[#This Row],[Llave]],'En puerto-Programado'!A:D,4,FALSE)+VLOOKUP(Tabla13[[#This Row],[Llave]],'Por despachar'!A:F,6,FALSE),0)</f>
        <v>48000</v>
      </c>
      <c r="O39" s="7">
        <f>IFERROR(VLOOKUP(Tabla13[[#This Row],[Material]],[2]Consolidado!$C:$D,2,FALSE),0)</f>
        <v>49624.800000000003</v>
      </c>
      <c r="P39" s="7">
        <f>IFERROR(VLOOKUP(Tabla13[[#This Row],[Llave]],'Por despachar'!A:E,5,FALSE),0)</f>
        <v>0</v>
      </c>
      <c r="Q39" s="14">
        <f>SUM(Tabla13[[#This Row],[Producción disponible]],Tabla13[[#This Row],[Stock al día]],Tabla13[[#This Row],[Por producir Abr.]])-SUM(Tabla13[[#This Row],[Stock por despachar N]],Tabla13[[#This Row],[Producción por despachar mes N]])</f>
        <v>1624.8000000000029</v>
      </c>
      <c r="R39" s="7">
        <f>IFERROR(VLOOKUP(Tabla13[[#This Row],[Llave]],[3]Hoja2!$A:$D,4,FALSE),0)</f>
        <v>192000</v>
      </c>
      <c r="S39" s="9">
        <f>IFERROR(VLOOKUP(Tabla13[[#This Row],[Material]],[4]Hoja1!$B:$C,2,FALSE),0)</f>
        <v>24000</v>
      </c>
      <c r="T39" s="5">
        <f t="shared" si="1"/>
        <v>0</v>
      </c>
      <c r="U39" s="3">
        <f>+Tabla13[[#This Row],[Total disponible]]-Tabla13[[#This Row],[Atraso a facturar]]</f>
        <v>1624.8000000000029</v>
      </c>
      <c r="V39" s="6">
        <f t="shared" si="0"/>
        <v>0</v>
      </c>
      <c r="W39" s="3" t="str">
        <f>IF(Tabla13[[#This Row],[Venta del mes]]&gt;Tabla13[[#This Row],[ RV  Venta mes n+1]],"Falta venta","-")</f>
        <v>-</v>
      </c>
      <c r="X39" s="7"/>
      <c r="Y39" s="18">
        <v>0</v>
      </c>
      <c r="Z39" s="5">
        <f>+Tabla13[[#This Row],[Atraso a facturar]]+Tabla13[[#This Row],[Venta del mes]]+Tabla13[[#This Row],[Ajuste]]</f>
        <v>0</v>
      </c>
      <c r="AA39" s="6">
        <f>+Tabla13[[#This Row],[Atraso a facturar]]+Tabla13[[#This Row],[Venta del mes]]+Tabla13[[#This Row],[En puerto a facturar]]</f>
        <v>0</v>
      </c>
      <c r="AB39" s="20">
        <f>IFERROR(VLOOKUP(Tabla13[[#This Row],[Llave]],'[5]Consolidación planes'!$A:$M,9,FALSE),0)</f>
        <v>120000</v>
      </c>
      <c r="AC39" s="20">
        <f>IFERROR(VLOOKUP(Tabla13[[#This Row],[Llave]],'[5]Consolidación planes'!$A:$M,10,FALSE),0)</f>
        <v>96000</v>
      </c>
      <c r="AD39" s="20">
        <f>IFERROR(VLOOKUP(Tabla13[[#This Row],[Llave]],'[5]Consolidación planes'!$A:$M,11,FALSE),0)</f>
        <v>144000</v>
      </c>
      <c r="AE39" s="20">
        <f>IFERROR(VLOOKUP(Tabla13[[#This Row],[Llave]],'[5]Consolidación planes'!$A:$M,12,FALSE),0)</f>
        <v>24000</v>
      </c>
      <c r="AF39" s="20">
        <f>IFERROR(VLOOKUP(Tabla13[[#This Row],[Llave]],'[5]Consolidación planes'!$A:$M,13,FALSE),0)</f>
        <v>144000</v>
      </c>
    </row>
    <row r="40" spans="2:32" ht="16" hidden="1" x14ac:dyDescent="0.2">
      <c r="B40" t="str">
        <f>Tabla13[[#This Row],[Oficina]]&amp;Tabla13[[#This Row],[Material]]</f>
        <v>Agro Sudamerica1021435</v>
      </c>
      <c r="C40" t="s">
        <v>6</v>
      </c>
      <c r="D40" t="s">
        <v>17</v>
      </c>
      <c r="E40">
        <v>1021435</v>
      </c>
      <c r="F40" t="s">
        <v>279</v>
      </c>
      <c r="G40" t="s">
        <v>11</v>
      </c>
      <c r="H40" t="s">
        <v>41</v>
      </c>
      <c r="I40" s="7">
        <f>IFERROR(VLOOKUP(Tabla13[[#This Row],[Llave]],'[1]Consolidado RV'!$B:$H,6,FALSE),0)</f>
        <v>0</v>
      </c>
      <c r="J40" s="3">
        <f>IFERROR(VLOOKUP(Tabla13[[#This Row],[Llave]],'[1]Consolidado RV'!$B:$H,7,FALSE),0)</f>
        <v>0</v>
      </c>
      <c r="K40" s="8">
        <f>IFERROR(VLOOKUP(Tabla13[[#This Row],[Oficina]],#REF!,2,FALSE),0)</f>
        <v>0</v>
      </c>
      <c r="L40" s="7">
        <f>+Tabla13[[#This Row],[ RV Producción mes n+1]]*Tabla13[[#This Row],[% Uti. producción]]</f>
        <v>0</v>
      </c>
      <c r="M40" s="7">
        <f>IFERROR(VLOOKUP(Tabla13[[#This Row],[Material]],#REF!,2,FALSE),0)</f>
        <v>0</v>
      </c>
      <c r="N40" s="7">
        <f>IFERROR(VLOOKUP(Tabla13[[#This Row],[Llave]],'En puerto-Programado'!A:D,4,FALSE)+VLOOKUP(Tabla13[[#This Row],[Llave]],'Por despachar'!A:F,6,FALSE),0)</f>
        <v>0</v>
      </c>
      <c r="O40" s="7">
        <f>IFERROR(VLOOKUP(Tabla13[[#This Row],[Material]],[2]Consolidado!$C:$D,2,FALSE),0)</f>
        <v>0</v>
      </c>
      <c r="P40" s="7">
        <f>IFERROR(VLOOKUP(Tabla13[[#This Row],[Llave]],'Por despachar'!A:E,5,FALSE),0)</f>
        <v>0</v>
      </c>
      <c r="Q4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0" s="7">
        <f>IFERROR(VLOOKUP(Tabla13[[#This Row],[Llave]],[3]Hoja2!$A:$D,4,FALSE),0)</f>
        <v>0</v>
      </c>
      <c r="S40" s="9">
        <f>IFERROR(VLOOKUP(Tabla13[[#This Row],[Material]],[4]Hoja1!$B:$C,2,FALSE),0)</f>
        <v>24000</v>
      </c>
      <c r="T40" s="5">
        <f t="shared" si="1"/>
        <v>0</v>
      </c>
      <c r="U40" s="3">
        <f>+Tabla13[[#This Row],[Total disponible]]-Tabla13[[#This Row],[Atraso a facturar]]</f>
        <v>0</v>
      </c>
      <c r="V40" s="6">
        <f t="shared" si="0"/>
        <v>0</v>
      </c>
      <c r="W40" s="3" t="str">
        <f>IF(Tabla13[[#This Row],[Venta del mes]]&gt;Tabla13[[#This Row],[ RV  Venta mes n+1]],"Falta venta","-")</f>
        <v>-</v>
      </c>
      <c r="X40" s="7"/>
      <c r="Y40" s="18">
        <v>0</v>
      </c>
      <c r="Z40" s="5">
        <f>+Tabla13[[#This Row],[Atraso a facturar]]+Tabla13[[#This Row],[Venta del mes]]+Tabla13[[#This Row],[Ajuste]]</f>
        <v>0</v>
      </c>
      <c r="AA40" s="6">
        <f>+Tabla13[[#This Row],[Atraso a facturar]]+Tabla13[[#This Row],[Venta del mes]]+Tabla13[[#This Row],[En puerto a facturar]]</f>
        <v>0</v>
      </c>
      <c r="AB40" s="20">
        <f>IFERROR(VLOOKUP(Tabla13[[#This Row],[Llave]],'[5]Consolidación planes'!$A:$M,9,FALSE),0)</f>
        <v>0</v>
      </c>
      <c r="AC40" s="20">
        <f>IFERROR(VLOOKUP(Tabla13[[#This Row],[Llave]],'[5]Consolidación planes'!$A:$M,10,FALSE),0)</f>
        <v>24000</v>
      </c>
      <c r="AD40" s="20">
        <f>IFERROR(VLOOKUP(Tabla13[[#This Row],[Llave]],'[5]Consolidación planes'!$A:$M,11,FALSE),0)</f>
        <v>0</v>
      </c>
      <c r="AE40" s="20">
        <f>IFERROR(VLOOKUP(Tabla13[[#This Row],[Llave]],'[5]Consolidación planes'!$A:$M,12,FALSE),0)</f>
        <v>12000</v>
      </c>
      <c r="AF40" s="20">
        <f>IFERROR(VLOOKUP(Tabla13[[#This Row],[Llave]],'[5]Consolidación planes'!$A:$M,13,FALSE),0)</f>
        <v>0</v>
      </c>
    </row>
    <row r="41" spans="2:32" ht="16" hidden="1" x14ac:dyDescent="0.2">
      <c r="B41" t="str">
        <f>Tabla13[[#This Row],[Oficina]]&amp;Tabla13[[#This Row],[Material]]</f>
        <v>Agro Sudamerica1021550</v>
      </c>
      <c r="C41" t="s">
        <v>6</v>
      </c>
      <c r="D41" t="s">
        <v>17</v>
      </c>
      <c r="E41">
        <v>1021550</v>
      </c>
      <c r="F41" t="s">
        <v>284</v>
      </c>
      <c r="G41" t="s">
        <v>71</v>
      </c>
      <c r="H41" t="s">
        <v>72</v>
      </c>
      <c r="I41" s="7">
        <f>IFERROR(VLOOKUP(Tabla13[[#This Row],[Llave]],'[1]Consolidado RV'!$B:$H,6,FALSE),0)</f>
        <v>0</v>
      </c>
      <c r="J41" s="3">
        <f>IFERROR(VLOOKUP(Tabla13[[#This Row],[Llave]],'[1]Consolidado RV'!$B:$H,7,FALSE),0)</f>
        <v>0</v>
      </c>
      <c r="K41" s="8">
        <f>IFERROR(VLOOKUP(Tabla13[[#This Row],[Oficina]],#REF!,2,FALSE),0)</f>
        <v>0</v>
      </c>
      <c r="L41" s="7">
        <f>+Tabla13[[#This Row],[ RV Producción mes n+1]]*Tabla13[[#This Row],[% Uti. producción]]</f>
        <v>0</v>
      </c>
      <c r="M41" s="7">
        <f>IFERROR(VLOOKUP(Tabla13[[#This Row],[Material]],#REF!,2,FALSE),0)</f>
        <v>0</v>
      </c>
      <c r="N41" s="7">
        <f>IFERROR(VLOOKUP(Tabla13[[#This Row],[Llave]],'En puerto-Programado'!A:D,4,FALSE)+VLOOKUP(Tabla13[[#This Row],[Llave]],'Por despachar'!A:F,6,FALSE),0)</f>
        <v>0</v>
      </c>
      <c r="O41" s="7">
        <f>IFERROR(VLOOKUP(Tabla13[[#This Row],[Material]],[2]Consolidado!$C:$D,2,FALSE),0)</f>
        <v>0</v>
      </c>
      <c r="P41" s="7">
        <f>IFERROR(VLOOKUP(Tabla13[[#This Row],[Llave]],'Por despachar'!A:E,5,FALSE),0)</f>
        <v>0</v>
      </c>
      <c r="Q4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1" s="7">
        <f>IFERROR(VLOOKUP(Tabla13[[#This Row],[Llave]],[3]Hoja2!$A:$D,4,FALSE),0)</f>
        <v>49160</v>
      </c>
      <c r="S41" s="9">
        <f>IFERROR(VLOOKUP(Tabla13[[#This Row],[Material]],[4]Hoja1!$B:$C,2,FALSE),0)</f>
        <v>24000</v>
      </c>
      <c r="T41" s="5">
        <f t="shared" si="1"/>
        <v>0</v>
      </c>
      <c r="U41" s="3">
        <f>+Tabla13[[#This Row],[Total disponible]]-Tabla13[[#This Row],[Atraso a facturar]]</f>
        <v>0</v>
      </c>
      <c r="V41" s="6">
        <f t="shared" si="0"/>
        <v>0</v>
      </c>
      <c r="W41" s="3" t="str">
        <f>IF(Tabla13[[#This Row],[Venta del mes]]&gt;Tabla13[[#This Row],[ RV  Venta mes n+1]],"Falta venta","-")</f>
        <v>-</v>
      </c>
      <c r="X41" s="7"/>
      <c r="Y41" s="18">
        <v>0</v>
      </c>
      <c r="Z41" s="5">
        <f>+Tabla13[[#This Row],[Atraso a facturar]]+Tabla13[[#This Row],[Venta del mes]]+Tabla13[[#This Row],[Ajuste]]</f>
        <v>0</v>
      </c>
      <c r="AA41" s="6">
        <f>+Tabla13[[#This Row],[Atraso a facturar]]+Tabla13[[#This Row],[Venta del mes]]+Tabla13[[#This Row],[En puerto a facturar]]</f>
        <v>0</v>
      </c>
      <c r="AB41" s="20">
        <f>IFERROR(VLOOKUP(Tabla13[[#This Row],[Llave]],'[5]Consolidación planes'!$A:$M,9,FALSE),0)</f>
        <v>0</v>
      </c>
      <c r="AC41" s="20">
        <f>IFERROR(VLOOKUP(Tabla13[[#This Row],[Llave]],'[5]Consolidación planes'!$A:$M,10,FALSE),0)</f>
        <v>5780</v>
      </c>
      <c r="AD41" s="20">
        <f>IFERROR(VLOOKUP(Tabla13[[#This Row],[Llave]],'[5]Consolidación planes'!$A:$M,11,FALSE),0)</f>
        <v>0</v>
      </c>
      <c r="AE41" s="20">
        <f>IFERROR(VLOOKUP(Tabla13[[#This Row],[Llave]],'[5]Consolidación planes'!$A:$M,12,FALSE),0)</f>
        <v>70958</v>
      </c>
      <c r="AF41" s="20">
        <f>IFERROR(VLOOKUP(Tabla13[[#This Row],[Llave]],'[5]Consolidación planes'!$A:$M,13,FALSE),0)</f>
        <v>34958</v>
      </c>
    </row>
    <row r="42" spans="2:32" ht="16" hidden="1" x14ac:dyDescent="0.2">
      <c r="B42" t="str">
        <f>Tabla13[[#This Row],[Oficina]]&amp;Tabla13[[#This Row],[Material]]</f>
        <v>Agro Sudamerica1021622</v>
      </c>
      <c r="C42" t="s">
        <v>6</v>
      </c>
      <c r="D42" t="s">
        <v>17</v>
      </c>
      <c r="E42">
        <v>1021622</v>
      </c>
      <c r="F42" t="s">
        <v>22</v>
      </c>
      <c r="G42" t="s">
        <v>18</v>
      </c>
      <c r="H42" t="s">
        <v>21</v>
      </c>
      <c r="I42" s="7">
        <f>IFERROR(VLOOKUP(Tabla13[[#This Row],[Llave]],'[1]Consolidado RV'!$B:$H,6,FALSE),0)</f>
        <v>0</v>
      </c>
      <c r="J42" s="3">
        <f>IFERROR(VLOOKUP(Tabla13[[#This Row],[Llave]],'[1]Consolidado RV'!$B:$H,7,FALSE),0)</f>
        <v>12000</v>
      </c>
      <c r="K42" s="8">
        <f>IFERROR(VLOOKUP(Tabla13[[#This Row],[Oficina]],#REF!,2,FALSE),0)</f>
        <v>0</v>
      </c>
      <c r="L42" s="7">
        <f>+Tabla13[[#This Row],[ RV Producción mes n+1]]*Tabla13[[#This Row],[% Uti. producción]]</f>
        <v>0</v>
      </c>
      <c r="M42" s="7">
        <f>IFERROR(VLOOKUP(Tabla13[[#This Row],[Material]],#REF!,2,FALSE),0)</f>
        <v>0</v>
      </c>
      <c r="N42" s="7">
        <f>IFERROR(VLOOKUP(Tabla13[[#This Row],[Llave]],'En puerto-Programado'!A:D,4,FALSE)+VLOOKUP(Tabla13[[#This Row],[Llave]],'Por despachar'!A:F,6,FALSE),0)</f>
        <v>0</v>
      </c>
      <c r="O42" s="7">
        <f>IFERROR(VLOOKUP(Tabla13[[#This Row],[Material]],[2]Consolidado!$C:$D,2,FALSE),0)</f>
        <v>0</v>
      </c>
      <c r="P42" s="7">
        <f>IFERROR(VLOOKUP(Tabla13[[#This Row],[Llave]],'Por despachar'!A:E,5,FALSE),0)</f>
        <v>0</v>
      </c>
      <c r="Q42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2" s="7">
        <f>IFERROR(VLOOKUP(Tabla13[[#This Row],[Llave]],[3]Hoja2!$A:$D,4,FALSE),0)</f>
        <v>0</v>
      </c>
      <c r="S42" s="9">
        <f>IFERROR(VLOOKUP(Tabla13[[#This Row],[Material]],[4]Hoja1!$B:$C,2,FALSE),0)</f>
        <v>24000</v>
      </c>
      <c r="T42" s="5">
        <f t="shared" si="1"/>
        <v>0</v>
      </c>
      <c r="U42" s="3">
        <f>+Tabla13[[#This Row],[Total disponible]]-Tabla13[[#This Row],[Atraso a facturar]]</f>
        <v>0</v>
      </c>
      <c r="V42" s="6">
        <f t="shared" si="0"/>
        <v>0</v>
      </c>
      <c r="W42" s="3" t="str">
        <f>IF(Tabla13[[#This Row],[Venta del mes]]&gt;Tabla13[[#This Row],[ RV  Venta mes n+1]],"Falta venta","-")</f>
        <v>-</v>
      </c>
      <c r="X42" s="7"/>
      <c r="Y42" s="18">
        <v>0</v>
      </c>
      <c r="Z42" s="5">
        <f>+Tabla13[[#This Row],[Atraso a facturar]]+Tabla13[[#This Row],[Venta del mes]]+Tabla13[[#This Row],[Ajuste]]</f>
        <v>0</v>
      </c>
      <c r="AA42" s="6">
        <f>+Tabla13[[#This Row],[Atraso a facturar]]+Tabla13[[#This Row],[Venta del mes]]+Tabla13[[#This Row],[En puerto a facturar]]</f>
        <v>0</v>
      </c>
      <c r="AB42" s="20">
        <f>IFERROR(VLOOKUP(Tabla13[[#This Row],[Llave]],'[5]Consolidación planes'!$A:$M,9,FALSE),0)</f>
        <v>0</v>
      </c>
      <c r="AC42" s="20">
        <f>IFERROR(VLOOKUP(Tabla13[[#This Row],[Llave]],'[5]Consolidación planes'!$A:$M,10,FALSE),0)</f>
        <v>6790</v>
      </c>
      <c r="AD42" s="20">
        <f>IFERROR(VLOOKUP(Tabla13[[#This Row],[Llave]],'[5]Consolidación planes'!$A:$M,11,FALSE),0)</f>
        <v>0</v>
      </c>
      <c r="AE42" s="20">
        <f>IFERROR(VLOOKUP(Tabla13[[#This Row],[Llave]],'[5]Consolidación planes'!$A:$M,12,FALSE),0)</f>
        <v>18000</v>
      </c>
      <c r="AF42" s="20">
        <f>IFERROR(VLOOKUP(Tabla13[[#This Row],[Llave]],'[5]Consolidación planes'!$A:$M,13,FALSE),0)</f>
        <v>110</v>
      </c>
    </row>
    <row r="43" spans="2:32" ht="16" hidden="1" x14ac:dyDescent="0.2">
      <c r="B43" t="str">
        <f>Tabla13[[#This Row],[Oficina]]&amp;Tabla13[[#This Row],[Material]]</f>
        <v>Agro Sudamerica1021623</v>
      </c>
      <c r="C43" t="s">
        <v>6</v>
      </c>
      <c r="D43" t="s">
        <v>17</v>
      </c>
      <c r="E43">
        <v>1021623</v>
      </c>
      <c r="F43" t="s">
        <v>23</v>
      </c>
      <c r="G43" t="s">
        <v>18</v>
      </c>
      <c r="H43" t="s">
        <v>21</v>
      </c>
      <c r="I43" s="7">
        <f>IFERROR(VLOOKUP(Tabla13[[#This Row],[Llave]],'[1]Consolidado RV'!$B:$H,6,FALSE),0)</f>
        <v>0</v>
      </c>
      <c r="J43" s="3">
        <f>IFERROR(VLOOKUP(Tabla13[[#This Row],[Llave]],'[1]Consolidado RV'!$B:$H,7,FALSE),0)</f>
        <v>0</v>
      </c>
      <c r="K43" s="8">
        <f>IFERROR(VLOOKUP(Tabla13[[#This Row],[Oficina]],#REF!,2,FALSE),0)</f>
        <v>0</v>
      </c>
      <c r="L43" s="7">
        <f>+Tabla13[[#This Row],[ RV Producción mes n+1]]*Tabla13[[#This Row],[% Uti. producción]]</f>
        <v>0</v>
      </c>
      <c r="M43" s="7">
        <f>IFERROR(VLOOKUP(Tabla13[[#This Row],[Material]],#REF!,2,FALSE),0)</f>
        <v>0</v>
      </c>
      <c r="N43" s="7">
        <f>IFERROR(VLOOKUP(Tabla13[[#This Row],[Llave]],'En puerto-Programado'!A:D,4,FALSE)+VLOOKUP(Tabla13[[#This Row],[Llave]],'Por despachar'!A:F,6,FALSE),0)</f>
        <v>0</v>
      </c>
      <c r="O43" s="7">
        <f>IFERROR(VLOOKUP(Tabla13[[#This Row],[Material]],[2]Consolidado!$C:$D,2,FALSE),0)</f>
        <v>0</v>
      </c>
      <c r="P43" s="7">
        <f>IFERROR(VLOOKUP(Tabla13[[#This Row],[Llave]],'Por despachar'!A:E,5,FALSE),0)</f>
        <v>0</v>
      </c>
      <c r="Q4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3" s="7">
        <f>IFERROR(VLOOKUP(Tabla13[[#This Row],[Llave]],[3]Hoja2!$A:$D,4,FALSE),0)</f>
        <v>0</v>
      </c>
      <c r="S43" s="9">
        <f>IFERROR(VLOOKUP(Tabla13[[#This Row],[Material]],[4]Hoja1!$B:$C,2,FALSE),0)</f>
        <v>24000</v>
      </c>
      <c r="T43" s="5">
        <f t="shared" si="1"/>
        <v>0</v>
      </c>
      <c r="U43" s="3">
        <f>+Tabla13[[#This Row],[Total disponible]]-Tabla13[[#This Row],[Atraso a facturar]]</f>
        <v>0</v>
      </c>
      <c r="V43" s="6">
        <f t="shared" si="0"/>
        <v>0</v>
      </c>
      <c r="W43" s="3" t="str">
        <f>IF(Tabla13[[#This Row],[Venta del mes]]&gt;Tabla13[[#This Row],[ RV  Venta mes n+1]],"Falta venta","-")</f>
        <v>-</v>
      </c>
      <c r="X43" s="7"/>
      <c r="Y43" s="18">
        <v>0</v>
      </c>
      <c r="Z43" s="5">
        <f>+Tabla13[[#This Row],[Atraso a facturar]]+Tabla13[[#This Row],[Venta del mes]]+Tabla13[[#This Row],[Ajuste]]</f>
        <v>0</v>
      </c>
      <c r="AA43" s="6">
        <f>+Tabla13[[#This Row],[Atraso a facturar]]+Tabla13[[#This Row],[Venta del mes]]+Tabla13[[#This Row],[En puerto a facturar]]</f>
        <v>0</v>
      </c>
      <c r="AB43" s="20">
        <f>IFERROR(VLOOKUP(Tabla13[[#This Row],[Llave]],'[5]Consolidación planes'!$A:$M,9,FALSE),0)</f>
        <v>2000</v>
      </c>
      <c r="AC43" s="20">
        <f>IFERROR(VLOOKUP(Tabla13[[#This Row],[Llave]],'[5]Consolidación planes'!$A:$M,10,FALSE),0)</f>
        <v>0</v>
      </c>
      <c r="AD43" s="20">
        <f>IFERROR(VLOOKUP(Tabla13[[#This Row],[Llave]],'[5]Consolidación planes'!$A:$M,11,FALSE),0)</f>
        <v>0</v>
      </c>
      <c r="AE43" s="20">
        <f>IFERROR(VLOOKUP(Tabla13[[#This Row],[Llave]],'[5]Consolidación planes'!$A:$M,12,FALSE),0)</f>
        <v>0</v>
      </c>
      <c r="AF43" s="20">
        <f>IFERROR(VLOOKUP(Tabla13[[#This Row],[Llave]],'[5]Consolidación planes'!$A:$M,13,FALSE),0)</f>
        <v>530</v>
      </c>
    </row>
    <row r="44" spans="2:32" ht="16" hidden="1" x14ac:dyDescent="0.2">
      <c r="B44" t="str">
        <f>Tabla13[[#This Row],[Oficina]]&amp;Tabla13[[#This Row],[Material]]</f>
        <v>Agro Sudamerica1021639</v>
      </c>
      <c r="C44" t="s">
        <v>6</v>
      </c>
      <c r="D44" t="s">
        <v>17</v>
      </c>
      <c r="E44">
        <v>1021639</v>
      </c>
      <c r="F44" t="s">
        <v>278</v>
      </c>
      <c r="G44" t="s">
        <v>37</v>
      </c>
      <c r="H44" t="s">
        <v>38</v>
      </c>
      <c r="I44" s="7">
        <f>IFERROR(VLOOKUP(Tabla13[[#This Row],[Llave]],'[1]Consolidado RV'!$B:$H,6,FALSE),0)</f>
        <v>0</v>
      </c>
      <c r="J44" s="3">
        <f>IFERROR(VLOOKUP(Tabla13[[#This Row],[Llave]],'[1]Consolidado RV'!$B:$H,7,FALSE),0)</f>
        <v>0</v>
      </c>
      <c r="K44" s="8">
        <f>IFERROR(VLOOKUP(Tabla13[[#This Row],[Oficina]],#REF!,2,FALSE),0)</f>
        <v>0</v>
      </c>
      <c r="L44" s="7">
        <f>+Tabla13[[#This Row],[ RV Producción mes n+1]]*Tabla13[[#This Row],[% Uti. producción]]</f>
        <v>0</v>
      </c>
      <c r="M44" s="7">
        <f>IFERROR(VLOOKUP(Tabla13[[#This Row],[Material]],#REF!,2,FALSE),0)</f>
        <v>0</v>
      </c>
      <c r="N44" s="7">
        <f>IFERROR(VLOOKUP(Tabla13[[#This Row],[Llave]],'En puerto-Programado'!A:D,4,FALSE)+VLOOKUP(Tabla13[[#This Row],[Llave]],'Por despachar'!A:F,6,FALSE),0)</f>
        <v>0</v>
      </c>
      <c r="O44" s="7">
        <f>IFERROR(VLOOKUP(Tabla13[[#This Row],[Material]],[2]Consolidado!$C:$D,2,FALSE),0)</f>
        <v>0</v>
      </c>
      <c r="P44" s="7">
        <f>IFERROR(VLOOKUP(Tabla13[[#This Row],[Llave]],'Por despachar'!A:E,5,FALSE),0)</f>
        <v>0</v>
      </c>
      <c r="Q4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4" s="7">
        <f>IFERROR(VLOOKUP(Tabla13[[#This Row],[Llave]],[3]Hoja2!$A:$D,4,FALSE),0)</f>
        <v>25000</v>
      </c>
      <c r="S44" s="9">
        <f>IFERROR(VLOOKUP(Tabla13[[#This Row],[Material]],[4]Hoja1!$B:$C,2,FALSE),0)</f>
        <v>24000</v>
      </c>
      <c r="T44" s="5">
        <f t="shared" si="1"/>
        <v>0</v>
      </c>
      <c r="U44" s="3">
        <f>+Tabla13[[#This Row],[Total disponible]]-Tabla13[[#This Row],[Atraso a facturar]]</f>
        <v>0</v>
      </c>
      <c r="V44" s="6">
        <f t="shared" si="0"/>
        <v>0</v>
      </c>
      <c r="W44" s="3" t="str">
        <f>IF(Tabla13[[#This Row],[Venta del mes]]&gt;Tabla13[[#This Row],[ RV  Venta mes n+1]],"Falta venta","-")</f>
        <v>-</v>
      </c>
      <c r="X44" s="7"/>
      <c r="Y44" s="18">
        <v>0</v>
      </c>
      <c r="Z44" s="5">
        <f>+Tabla13[[#This Row],[Atraso a facturar]]+Tabla13[[#This Row],[Venta del mes]]+Tabla13[[#This Row],[Ajuste]]</f>
        <v>0</v>
      </c>
      <c r="AA44" s="6">
        <f>+Tabla13[[#This Row],[Atraso a facturar]]+Tabla13[[#This Row],[Venta del mes]]+Tabla13[[#This Row],[En puerto a facturar]]</f>
        <v>0</v>
      </c>
      <c r="AB44" s="20">
        <f>IFERROR(VLOOKUP(Tabla13[[#This Row],[Llave]],'[5]Consolidación planes'!$A:$M,9,FALSE),0)</f>
        <v>0</v>
      </c>
      <c r="AC44" s="20">
        <f>IFERROR(VLOOKUP(Tabla13[[#This Row],[Llave]],'[5]Consolidación planes'!$A:$M,10,FALSE),0)</f>
        <v>48000</v>
      </c>
      <c r="AD44" s="20">
        <f>IFERROR(VLOOKUP(Tabla13[[#This Row],[Llave]],'[5]Consolidación planes'!$A:$M,11,FALSE),0)</f>
        <v>24000</v>
      </c>
      <c r="AE44" s="20">
        <f>IFERROR(VLOOKUP(Tabla13[[#This Row],[Llave]],'[5]Consolidación planes'!$A:$M,12,FALSE),0)</f>
        <v>24000</v>
      </c>
      <c r="AF44" s="20">
        <f>IFERROR(VLOOKUP(Tabla13[[#This Row],[Llave]],'[5]Consolidación planes'!$A:$M,13,FALSE),0)</f>
        <v>24000</v>
      </c>
    </row>
    <row r="45" spans="2:32" ht="16" hidden="1" x14ac:dyDescent="0.2">
      <c r="B45" t="str">
        <f>Tabla13[[#This Row],[Oficina]]&amp;Tabla13[[#This Row],[Material]]</f>
        <v>Agro Sudamerica1021819</v>
      </c>
      <c r="C45" t="s">
        <v>6</v>
      </c>
      <c r="D45" t="s">
        <v>17</v>
      </c>
      <c r="E45">
        <v>1021819</v>
      </c>
      <c r="F45" t="s">
        <v>311</v>
      </c>
      <c r="G45" t="s">
        <v>50</v>
      </c>
      <c r="H45" t="s">
        <v>51</v>
      </c>
      <c r="I45" s="7">
        <f>IFERROR(VLOOKUP(Tabla13[[#This Row],[Llave]],'[1]Consolidado RV'!$B:$H,6,FALSE),0)</f>
        <v>0</v>
      </c>
      <c r="J45" s="3">
        <f>IFERROR(VLOOKUP(Tabla13[[#This Row],[Llave]],'[1]Consolidado RV'!$B:$H,7,FALSE),0)</f>
        <v>0</v>
      </c>
      <c r="K45" s="8">
        <f>IFERROR(VLOOKUP(Tabla13[[#This Row],[Oficina]],#REF!,2,FALSE),0)</f>
        <v>0</v>
      </c>
      <c r="L45" s="7">
        <f>+Tabla13[[#This Row],[ RV Producción mes n+1]]*Tabla13[[#This Row],[% Uti. producción]]</f>
        <v>0</v>
      </c>
      <c r="M45" s="7">
        <f>IFERROR(VLOOKUP(Tabla13[[#This Row],[Material]],#REF!,2,FALSE),0)</f>
        <v>0</v>
      </c>
      <c r="N45" s="7">
        <f>IFERROR(VLOOKUP(Tabla13[[#This Row],[Llave]],'En puerto-Programado'!A:D,4,FALSE)+VLOOKUP(Tabla13[[#This Row],[Llave]],'Por despachar'!A:F,6,FALSE),0)</f>
        <v>0</v>
      </c>
      <c r="O45" s="7">
        <f>IFERROR(VLOOKUP(Tabla13[[#This Row],[Material]],[2]Consolidado!$C:$D,2,FALSE),0)</f>
        <v>0</v>
      </c>
      <c r="P45" s="7">
        <f>IFERROR(VLOOKUP(Tabla13[[#This Row],[Llave]],'Por despachar'!A:E,5,FALSE),0)</f>
        <v>0</v>
      </c>
      <c r="Q4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5" s="7">
        <f>IFERROR(VLOOKUP(Tabla13[[#This Row],[Llave]],[3]Hoja2!$A:$D,4,FALSE),0)</f>
        <v>72000</v>
      </c>
      <c r="S45" s="9">
        <f>IFERROR(VLOOKUP(Tabla13[[#This Row],[Material]],[4]Hoja1!$B:$C,2,FALSE),0)</f>
        <v>24000</v>
      </c>
      <c r="T45" s="5">
        <f t="shared" si="1"/>
        <v>0</v>
      </c>
      <c r="U45" s="3">
        <f>+Tabla13[[#This Row],[Total disponible]]-Tabla13[[#This Row],[Atraso a facturar]]</f>
        <v>0</v>
      </c>
      <c r="V45" s="6">
        <f t="shared" si="0"/>
        <v>0</v>
      </c>
      <c r="W45" s="3" t="str">
        <f>IF(Tabla13[[#This Row],[Venta del mes]]&gt;Tabla13[[#This Row],[ RV  Venta mes n+1]],"Falta venta","-")</f>
        <v>-</v>
      </c>
      <c r="X45" s="7"/>
      <c r="Y45" s="18">
        <v>0</v>
      </c>
      <c r="Z45" s="5">
        <f>+Tabla13[[#This Row],[Atraso a facturar]]+Tabla13[[#This Row],[Venta del mes]]+Tabla13[[#This Row],[Ajuste]]</f>
        <v>0</v>
      </c>
      <c r="AA45" s="6">
        <f>+Tabla13[[#This Row],[Atraso a facturar]]+Tabla13[[#This Row],[Venta del mes]]+Tabla13[[#This Row],[En puerto a facturar]]</f>
        <v>0</v>
      </c>
      <c r="AB45" s="20">
        <f>IFERROR(VLOOKUP(Tabla13[[#This Row],[Llave]],'[5]Consolidación planes'!$A:$M,9,FALSE),0)</f>
        <v>0</v>
      </c>
      <c r="AC45" s="20">
        <f>IFERROR(VLOOKUP(Tabla13[[#This Row],[Llave]],'[5]Consolidación planes'!$A:$M,10,FALSE),0)</f>
        <v>0</v>
      </c>
      <c r="AD45" s="20">
        <f>IFERROR(VLOOKUP(Tabla13[[#This Row],[Llave]],'[5]Consolidación planes'!$A:$M,11,FALSE),0)</f>
        <v>0</v>
      </c>
      <c r="AE45" s="20">
        <f>IFERROR(VLOOKUP(Tabla13[[#This Row],[Llave]],'[5]Consolidación planes'!$A:$M,12,FALSE),0)</f>
        <v>0</v>
      </c>
      <c r="AF45" s="20">
        <f>IFERROR(VLOOKUP(Tabla13[[#This Row],[Llave]],'[5]Consolidación planes'!$A:$M,13,FALSE),0)</f>
        <v>48000</v>
      </c>
    </row>
    <row r="46" spans="2:32" ht="16" hidden="1" x14ac:dyDescent="0.2">
      <c r="B46" t="str">
        <f>Tabla13[[#This Row],[Oficina]]&amp;Tabla13[[#This Row],[Material]]</f>
        <v>Agro Sudamerica1021820</v>
      </c>
      <c r="C46" t="s">
        <v>6</v>
      </c>
      <c r="D46" t="s">
        <v>17</v>
      </c>
      <c r="E46">
        <v>1021820</v>
      </c>
      <c r="F46" t="s">
        <v>312</v>
      </c>
      <c r="G46" t="s">
        <v>50</v>
      </c>
      <c r="H46" t="s">
        <v>110</v>
      </c>
      <c r="I46" s="7">
        <f>IFERROR(VLOOKUP(Tabla13[[#This Row],[Llave]],'[1]Consolidado RV'!$B:$H,6,FALSE),0)</f>
        <v>0</v>
      </c>
      <c r="J46" s="3">
        <f>IFERROR(VLOOKUP(Tabla13[[#This Row],[Llave]],'[1]Consolidado RV'!$B:$H,7,FALSE),0)</f>
        <v>0</v>
      </c>
      <c r="K46" s="8">
        <f>IFERROR(VLOOKUP(Tabla13[[#This Row],[Oficina]],#REF!,2,FALSE),0)</f>
        <v>0</v>
      </c>
      <c r="L46" s="7">
        <f>+Tabla13[[#This Row],[ RV Producción mes n+1]]*Tabla13[[#This Row],[% Uti. producción]]</f>
        <v>0</v>
      </c>
      <c r="M46" s="7">
        <f>IFERROR(VLOOKUP(Tabla13[[#This Row],[Material]],#REF!,2,FALSE),0)</f>
        <v>0</v>
      </c>
      <c r="N46" s="7">
        <f>IFERROR(VLOOKUP(Tabla13[[#This Row],[Llave]],'En puerto-Programado'!A:D,4,FALSE)+VLOOKUP(Tabla13[[#This Row],[Llave]],'Por despachar'!A:F,6,FALSE),0)</f>
        <v>0</v>
      </c>
      <c r="O46" s="7">
        <f>IFERROR(VLOOKUP(Tabla13[[#This Row],[Material]],[2]Consolidado!$C:$D,2,FALSE),0)</f>
        <v>0</v>
      </c>
      <c r="P46" s="7">
        <f>IFERROR(VLOOKUP(Tabla13[[#This Row],[Llave]],'Por despachar'!A:E,5,FALSE),0)</f>
        <v>0</v>
      </c>
      <c r="Q4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6" s="7">
        <f>IFERROR(VLOOKUP(Tabla13[[#This Row],[Llave]],[3]Hoja2!$A:$D,4,FALSE),0)</f>
        <v>14000</v>
      </c>
      <c r="S46" s="9">
        <f>IFERROR(VLOOKUP(Tabla13[[#This Row],[Material]],[4]Hoja1!$B:$C,2,FALSE),0)</f>
        <v>24000</v>
      </c>
      <c r="T46" s="5">
        <f t="shared" si="1"/>
        <v>0</v>
      </c>
      <c r="U46" s="3">
        <f>+Tabla13[[#This Row],[Total disponible]]-Tabla13[[#This Row],[Atraso a facturar]]</f>
        <v>0</v>
      </c>
      <c r="V46" s="6">
        <f t="shared" si="0"/>
        <v>0</v>
      </c>
      <c r="W46" s="3" t="str">
        <f>IF(Tabla13[[#This Row],[Venta del mes]]&gt;Tabla13[[#This Row],[ RV  Venta mes n+1]],"Falta venta","-")</f>
        <v>-</v>
      </c>
      <c r="X46" s="7"/>
      <c r="Y46" s="18">
        <v>0</v>
      </c>
      <c r="Z46" s="5">
        <f>+Tabla13[[#This Row],[Atraso a facturar]]+Tabla13[[#This Row],[Venta del mes]]+Tabla13[[#This Row],[Ajuste]]</f>
        <v>0</v>
      </c>
      <c r="AA46" s="6">
        <f>+Tabla13[[#This Row],[Atraso a facturar]]+Tabla13[[#This Row],[Venta del mes]]+Tabla13[[#This Row],[En puerto a facturar]]</f>
        <v>0</v>
      </c>
      <c r="AB46" s="20">
        <f>IFERROR(VLOOKUP(Tabla13[[#This Row],[Llave]],'[5]Consolidación planes'!$A:$M,9,FALSE),0)</f>
        <v>0</v>
      </c>
      <c r="AC46" s="20">
        <f>IFERROR(VLOOKUP(Tabla13[[#This Row],[Llave]],'[5]Consolidación planes'!$A:$M,10,FALSE),0)</f>
        <v>0</v>
      </c>
      <c r="AD46" s="20">
        <f>IFERROR(VLOOKUP(Tabla13[[#This Row],[Llave]],'[5]Consolidación planes'!$A:$M,11,FALSE),0)</f>
        <v>0</v>
      </c>
      <c r="AE46" s="20">
        <f>IFERROR(VLOOKUP(Tabla13[[#This Row],[Llave]],'[5]Consolidación planes'!$A:$M,12,FALSE),0)</f>
        <v>0</v>
      </c>
      <c r="AF46" s="20">
        <f>IFERROR(VLOOKUP(Tabla13[[#This Row],[Llave]],'[5]Consolidación planes'!$A:$M,13,FALSE),0)</f>
        <v>0</v>
      </c>
    </row>
    <row r="47" spans="2:32" ht="16" hidden="1" x14ac:dyDescent="0.2">
      <c r="B47" t="str">
        <f>Tabla13[[#This Row],[Oficina]]&amp;Tabla13[[#This Row],[Material]]</f>
        <v>Agro Sudamerica1021864</v>
      </c>
      <c r="C47" t="s">
        <v>6</v>
      </c>
      <c r="D47" t="s">
        <v>17</v>
      </c>
      <c r="E47">
        <v>1021864</v>
      </c>
      <c r="F47" t="s">
        <v>10</v>
      </c>
      <c r="G47" t="s">
        <v>8</v>
      </c>
      <c r="H47" t="s">
        <v>9</v>
      </c>
      <c r="I47" s="7">
        <f>IFERROR(VLOOKUP(Tabla13[[#This Row],[Llave]],'[1]Consolidado RV'!$B:$H,6,FALSE),0)</f>
        <v>0</v>
      </c>
      <c r="J47" s="3">
        <f>IFERROR(VLOOKUP(Tabla13[[#This Row],[Llave]],'[1]Consolidado RV'!$B:$H,7,FALSE),0)</f>
        <v>0</v>
      </c>
      <c r="K47" s="8">
        <f>IFERROR(VLOOKUP(Tabla13[[#This Row],[Oficina]],#REF!,2,FALSE),0)</f>
        <v>0</v>
      </c>
      <c r="L47" s="7">
        <f>+Tabla13[[#This Row],[ RV Producción mes n+1]]*Tabla13[[#This Row],[% Uti. producción]]</f>
        <v>0</v>
      </c>
      <c r="M47" s="7">
        <f>IFERROR(VLOOKUP(Tabla13[[#This Row],[Material]],#REF!,2,FALSE),0)</f>
        <v>0</v>
      </c>
      <c r="N47" s="7">
        <f>IFERROR(VLOOKUP(Tabla13[[#This Row],[Llave]],'En puerto-Programado'!A:D,4,FALSE)+VLOOKUP(Tabla13[[#This Row],[Llave]],'Por despachar'!A:F,6,FALSE),0)</f>
        <v>0</v>
      </c>
      <c r="O47" s="7">
        <f>IFERROR(VLOOKUP(Tabla13[[#This Row],[Material]],[2]Consolidado!$C:$D,2,FALSE),0)</f>
        <v>0</v>
      </c>
      <c r="P47" s="7">
        <f>IFERROR(VLOOKUP(Tabla13[[#This Row],[Llave]],'Por despachar'!A:E,5,FALSE),0)</f>
        <v>0</v>
      </c>
      <c r="Q47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7" s="7">
        <f>IFERROR(VLOOKUP(Tabla13[[#This Row],[Llave]],[3]Hoja2!$A:$D,4,FALSE),0)</f>
        <v>0</v>
      </c>
      <c r="S47" s="9">
        <f>IFERROR(VLOOKUP(Tabla13[[#This Row],[Material]],[4]Hoja1!$B:$C,2,FALSE),0)</f>
        <v>24000</v>
      </c>
      <c r="T47" s="5">
        <f t="shared" si="1"/>
        <v>0</v>
      </c>
      <c r="U47" s="3">
        <f>+Tabla13[[#This Row],[Total disponible]]-Tabla13[[#This Row],[Atraso a facturar]]</f>
        <v>0</v>
      </c>
      <c r="V47" s="6">
        <f t="shared" si="0"/>
        <v>0</v>
      </c>
      <c r="W47" s="3" t="str">
        <f>IF(Tabla13[[#This Row],[Venta del mes]]&gt;Tabla13[[#This Row],[ RV  Venta mes n+1]],"Falta venta","-")</f>
        <v>-</v>
      </c>
      <c r="X47" s="7"/>
      <c r="Y47" s="18">
        <v>0</v>
      </c>
      <c r="Z47" s="5">
        <f>+Tabla13[[#This Row],[Atraso a facturar]]+Tabla13[[#This Row],[Venta del mes]]+Tabla13[[#This Row],[Ajuste]]</f>
        <v>0</v>
      </c>
      <c r="AA47" s="6">
        <f>+Tabla13[[#This Row],[Atraso a facturar]]+Tabla13[[#This Row],[Venta del mes]]+Tabla13[[#This Row],[En puerto a facturar]]</f>
        <v>0</v>
      </c>
      <c r="AB47" s="20">
        <f>IFERROR(VLOOKUP(Tabla13[[#This Row],[Llave]],'[5]Consolidación planes'!$A:$M,9,FALSE),0)</f>
        <v>0</v>
      </c>
      <c r="AC47" s="20">
        <f>IFERROR(VLOOKUP(Tabla13[[#This Row],[Llave]],'[5]Consolidación planes'!$A:$M,10,FALSE),0)</f>
        <v>0</v>
      </c>
      <c r="AD47" s="20">
        <f>IFERROR(VLOOKUP(Tabla13[[#This Row],[Llave]],'[5]Consolidación planes'!$A:$M,11,FALSE),0)</f>
        <v>0</v>
      </c>
      <c r="AE47" s="20">
        <f>IFERROR(VLOOKUP(Tabla13[[#This Row],[Llave]],'[5]Consolidación planes'!$A:$M,12,FALSE),0)</f>
        <v>0</v>
      </c>
      <c r="AF47" s="20">
        <f>IFERROR(VLOOKUP(Tabla13[[#This Row],[Llave]],'[5]Consolidación planes'!$A:$M,13,FALSE),0)</f>
        <v>0</v>
      </c>
    </row>
    <row r="48" spans="2:32" ht="16" hidden="1" x14ac:dyDescent="0.2">
      <c r="B48" t="str">
        <f>Tabla13[[#This Row],[Oficina]]&amp;Tabla13[[#This Row],[Material]]</f>
        <v>Agro Sudamerica1021868</v>
      </c>
      <c r="C48" t="s">
        <v>6</v>
      </c>
      <c r="D48" t="s">
        <v>17</v>
      </c>
      <c r="E48">
        <v>1021868</v>
      </c>
      <c r="F48" t="s">
        <v>66</v>
      </c>
      <c r="G48" t="s">
        <v>59</v>
      </c>
      <c r="H48" t="s">
        <v>65</v>
      </c>
      <c r="I48" s="7">
        <f>IFERROR(VLOOKUP(Tabla13[[#This Row],[Llave]],'[1]Consolidado RV'!$B:$H,6,FALSE),0)</f>
        <v>48000</v>
      </c>
      <c r="J48" s="3">
        <f>IFERROR(VLOOKUP(Tabla13[[#This Row],[Llave]],'[1]Consolidado RV'!$B:$H,7,FALSE),0)</f>
        <v>0</v>
      </c>
      <c r="K48" s="8">
        <f>IFERROR(VLOOKUP(Tabla13[[#This Row],[Oficina]],#REF!,2,FALSE),0)</f>
        <v>0</v>
      </c>
      <c r="L48" s="7">
        <f>+Tabla13[[#This Row],[ RV Producción mes n+1]]*Tabla13[[#This Row],[% Uti. producción]]</f>
        <v>0</v>
      </c>
      <c r="M48" s="7">
        <f>IFERROR(VLOOKUP(Tabla13[[#This Row],[Material]],#REF!,2,FALSE),0)</f>
        <v>0</v>
      </c>
      <c r="N48" s="7">
        <f>IFERROR(VLOOKUP(Tabla13[[#This Row],[Llave]],'En puerto-Programado'!A:D,4,FALSE)+VLOOKUP(Tabla13[[#This Row],[Llave]],'Por despachar'!A:F,6,FALSE),0)</f>
        <v>0</v>
      </c>
      <c r="O48" s="7">
        <f>IFERROR(VLOOKUP(Tabla13[[#This Row],[Material]],[2]Consolidado!$C:$D,2,FALSE),0)</f>
        <v>0</v>
      </c>
      <c r="P48" s="7">
        <f>IFERROR(VLOOKUP(Tabla13[[#This Row],[Llave]],'Por despachar'!A:E,5,FALSE),0)</f>
        <v>0</v>
      </c>
      <c r="Q4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8" s="7">
        <f>IFERROR(VLOOKUP(Tabla13[[#This Row],[Llave]],[3]Hoja2!$A:$D,4,FALSE),0)</f>
        <v>96000</v>
      </c>
      <c r="S48" s="9">
        <f>IFERROR(VLOOKUP(Tabla13[[#This Row],[Material]],[4]Hoja1!$B:$C,2,FALSE),0)</f>
        <v>24000</v>
      </c>
      <c r="T48" s="5">
        <f t="shared" si="1"/>
        <v>0</v>
      </c>
      <c r="U48" s="3">
        <f>+Tabla13[[#This Row],[Total disponible]]-Tabla13[[#This Row],[Atraso a facturar]]</f>
        <v>0</v>
      </c>
      <c r="V48" s="6">
        <f t="shared" si="0"/>
        <v>0</v>
      </c>
      <c r="W48" s="3" t="str">
        <f>IF(Tabla13[[#This Row],[Venta del mes]]&gt;Tabla13[[#This Row],[ RV  Venta mes n+1]],"Falta venta","-")</f>
        <v>-</v>
      </c>
      <c r="X48" s="7"/>
      <c r="Y48" s="18">
        <v>0</v>
      </c>
      <c r="Z48" s="5">
        <f>+Tabla13[[#This Row],[Atraso a facturar]]+Tabla13[[#This Row],[Venta del mes]]+Tabla13[[#This Row],[Ajuste]]</f>
        <v>0</v>
      </c>
      <c r="AA48" s="6">
        <f>+Tabla13[[#This Row],[Atraso a facturar]]+Tabla13[[#This Row],[Venta del mes]]+Tabla13[[#This Row],[En puerto a facturar]]</f>
        <v>0</v>
      </c>
      <c r="AB48" s="20">
        <f>IFERROR(VLOOKUP(Tabla13[[#This Row],[Llave]],'[5]Consolidación planes'!$A:$M,9,FALSE),0)</f>
        <v>24000</v>
      </c>
      <c r="AC48" s="20">
        <f>IFERROR(VLOOKUP(Tabla13[[#This Row],[Llave]],'[5]Consolidación planes'!$A:$M,10,FALSE),0)</f>
        <v>48000</v>
      </c>
      <c r="AD48" s="20">
        <f>IFERROR(VLOOKUP(Tabla13[[#This Row],[Llave]],'[5]Consolidación planes'!$A:$M,11,FALSE),0)</f>
        <v>48000</v>
      </c>
      <c r="AE48" s="20">
        <f>IFERROR(VLOOKUP(Tabla13[[#This Row],[Llave]],'[5]Consolidación planes'!$A:$M,12,FALSE),0)</f>
        <v>34000</v>
      </c>
      <c r="AF48" s="20">
        <f>IFERROR(VLOOKUP(Tabla13[[#This Row],[Llave]],'[5]Consolidación planes'!$A:$M,13,FALSE),0)</f>
        <v>24000</v>
      </c>
    </row>
    <row r="49" spans="2:32" ht="16" hidden="1" x14ac:dyDescent="0.2">
      <c r="B49" t="str">
        <f>Tabla13[[#This Row],[Oficina]]&amp;Tabla13[[#This Row],[Material]]</f>
        <v>Agro Sudamerica1021903</v>
      </c>
      <c r="C49" t="s">
        <v>6</v>
      </c>
      <c r="D49" t="s">
        <v>17</v>
      </c>
      <c r="E49">
        <v>1021903</v>
      </c>
      <c r="F49" t="s">
        <v>298</v>
      </c>
      <c r="G49" t="s">
        <v>76</v>
      </c>
      <c r="H49" t="s">
        <v>84</v>
      </c>
      <c r="I49" s="7">
        <f>IFERROR(VLOOKUP(Tabla13[[#This Row],[Llave]],'[1]Consolidado RV'!$B:$H,6,FALSE),0)</f>
        <v>0</v>
      </c>
      <c r="J49" s="3">
        <f>IFERROR(VLOOKUP(Tabla13[[#This Row],[Llave]],'[1]Consolidado RV'!$B:$H,7,FALSE),0)</f>
        <v>0</v>
      </c>
      <c r="K49" s="8">
        <f>IFERROR(VLOOKUP(Tabla13[[#This Row],[Oficina]],#REF!,2,FALSE),0)</f>
        <v>0</v>
      </c>
      <c r="L49" s="7">
        <f>+Tabla13[[#This Row],[ RV Producción mes n+1]]*Tabla13[[#This Row],[% Uti. producción]]</f>
        <v>0</v>
      </c>
      <c r="M49" s="7">
        <f>IFERROR(VLOOKUP(Tabla13[[#This Row],[Material]],#REF!,2,FALSE),0)</f>
        <v>0</v>
      </c>
      <c r="N49" s="7">
        <f>IFERROR(VLOOKUP(Tabla13[[#This Row],[Llave]],'En puerto-Programado'!A:D,4,FALSE)+VLOOKUP(Tabla13[[#This Row],[Llave]],'Por despachar'!A:F,6,FALSE),0)</f>
        <v>0</v>
      </c>
      <c r="O49" s="7">
        <f>IFERROR(VLOOKUP(Tabla13[[#This Row],[Material]],[2]Consolidado!$C:$D,2,FALSE),0)</f>
        <v>0</v>
      </c>
      <c r="P49" s="7">
        <f>IFERROR(VLOOKUP(Tabla13[[#This Row],[Llave]],'Por despachar'!A:E,5,FALSE),0)</f>
        <v>0</v>
      </c>
      <c r="Q4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49" s="7">
        <f>IFERROR(VLOOKUP(Tabla13[[#This Row],[Llave]],[3]Hoja2!$A:$D,4,FALSE),0)</f>
        <v>0</v>
      </c>
      <c r="S49" s="9">
        <f>IFERROR(VLOOKUP(Tabla13[[#This Row],[Material]],[4]Hoja1!$B:$C,2,FALSE),0)</f>
        <v>24000</v>
      </c>
      <c r="T49" s="5">
        <f t="shared" si="1"/>
        <v>0</v>
      </c>
      <c r="U49" s="3">
        <f>+Tabla13[[#This Row],[Total disponible]]-Tabla13[[#This Row],[Atraso a facturar]]</f>
        <v>0</v>
      </c>
      <c r="V49" s="6">
        <f t="shared" si="0"/>
        <v>0</v>
      </c>
      <c r="W49" s="3" t="str">
        <f>IF(Tabla13[[#This Row],[Venta del mes]]&gt;Tabla13[[#This Row],[ RV  Venta mes n+1]],"Falta venta","-")</f>
        <v>-</v>
      </c>
      <c r="X49" s="7"/>
      <c r="Y49" s="18">
        <v>0</v>
      </c>
      <c r="Z49" s="5">
        <f>+Tabla13[[#This Row],[Atraso a facturar]]+Tabla13[[#This Row],[Venta del mes]]+Tabla13[[#This Row],[Ajuste]]</f>
        <v>0</v>
      </c>
      <c r="AA49" s="6">
        <f>+Tabla13[[#This Row],[Atraso a facturar]]+Tabla13[[#This Row],[Venta del mes]]+Tabla13[[#This Row],[En puerto a facturar]]</f>
        <v>0</v>
      </c>
      <c r="AB49" s="20">
        <f>IFERROR(VLOOKUP(Tabla13[[#This Row],[Llave]],'[5]Consolidación planes'!$A:$M,9,FALSE),0)</f>
        <v>0</v>
      </c>
      <c r="AC49" s="20">
        <f>IFERROR(VLOOKUP(Tabla13[[#This Row],[Llave]],'[5]Consolidación planes'!$A:$M,10,FALSE),0)</f>
        <v>0</v>
      </c>
      <c r="AD49" s="20">
        <f>IFERROR(VLOOKUP(Tabla13[[#This Row],[Llave]],'[5]Consolidación planes'!$A:$M,11,FALSE),0)</f>
        <v>0</v>
      </c>
      <c r="AE49" s="20">
        <f>IFERROR(VLOOKUP(Tabla13[[#This Row],[Llave]],'[5]Consolidación planes'!$A:$M,12,FALSE),0)</f>
        <v>0</v>
      </c>
      <c r="AF49" s="20">
        <f>IFERROR(VLOOKUP(Tabla13[[#This Row],[Llave]],'[5]Consolidación planes'!$A:$M,13,FALSE),0)</f>
        <v>24000</v>
      </c>
    </row>
    <row r="50" spans="2:32" ht="16" hidden="1" x14ac:dyDescent="0.2">
      <c r="B50" t="str">
        <f>Tabla13[[#This Row],[Oficina]]&amp;Tabla13[[#This Row],[Material]]</f>
        <v>Agro Sudamerica1021905</v>
      </c>
      <c r="C50" t="s">
        <v>6</v>
      </c>
      <c r="D50" t="s">
        <v>17</v>
      </c>
      <c r="E50">
        <v>1021905</v>
      </c>
      <c r="F50" t="s">
        <v>285</v>
      </c>
      <c r="G50" t="s">
        <v>71</v>
      </c>
      <c r="H50" t="s">
        <v>72</v>
      </c>
      <c r="I50" s="7">
        <f>IFERROR(VLOOKUP(Tabla13[[#This Row],[Llave]],'[1]Consolidado RV'!$B:$H,6,FALSE),0)</f>
        <v>0</v>
      </c>
      <c r="J50" s="3">
        <f>IFERROR(VLOOKUP(Tabla13[[#This Row],[Llave]],'[1]Consolidado RV'!$B:$H,7,FALSE),0)</f>
        <v>0</v>
      </c>
      <c r="K50" s="8">
        <f>IFERROR(VLOOKUP(Tabla13[[#This Row],[Oficina]],#REF!,2,FALSE),0)</f>
        <v>0</v>
      </c>
      <c r="L50" s="7">
        <f>+Tabla13[[#This Row],[ RV Producción mes n+1]]*Tabla13[[#This Row],[% Uti. producción]]</f>
        <v>0</v>
      </c>
      <c r="M50" s="7">
        <f>IFERROR(VLOOKUP(Tabla13[[#This Row],[Material]],#REF!,2,FALSE),0)</f>
        <v>0</v>
      </c>
      <c r="N50" s="7">
        <f>IFERROR(VLOOKUP(Tabla13[[#This Row],[Llave]],'En puerto-Programado'!A:D,4,FALSE)+VLOOKUP(Tabla13[[#This Row],[Llave]],'Por despachar'!A:F,6,FALSE),0)</f>
        <v>0</v>
      </c>
      <c r="O50" s="7">
        <f>IFERROR(VLOOKUP(Tabla13[[#This Row],[Material]],[2]Consolidado!$C:$D,2,FALSE),0)</f>
        <v>0</v>
      </c>
      <c r="P50" s="7">
        <f>IFERROR(VLOOKUP(Tabla13[[#This Row],[Llave]],'Por despachar'!A:E,5,FALSE),0)</f>
        <v>0</v>
      </c>
      <c r="Q5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50" s="7">
        <f>IFERROR(VLOOKUP(Tabla13[[#This Row],[Llave]],[3]Hoja2!$A:$D,4,FALSE),0)</f>
        <v>0</v>
      </c>
      <c r="S50" s="9">
        <f>IFERROR(VLOOKUP(Tabla13[[#This Row],[Material]],[4]Hoja1!$B:$C,2,FALSE),0)</f>
        <v>24000</v>
      </c>
      <c r="T50" s="5">
        <f t="shared" si="1"/>
        <v>0</v>
      </c>
      <c r="U50" s="3">
        <f>+Tabla13[[#This Row],[Total disponible]]-Tabla13[[#This Row],[Atraso a facturar]]</f>
        <v>0</v>
      </c>
      <c r="V50" s="6">
        <f t="shared" si="0"/>
        <v>0</v>
      </c>
      <c r="W50" s="3" t="str">
        <f>IF(Tabla13[[#This Row],[Venta del mes]]&gt;Tabla13[[#This Row],[ RV  Venta mes n+1]],"Falta venta","-")</f>
        <v>-</v>
      </c>
      <c r="X50" s="7"/>
      <c r="Y50" s="18">
        <v>0</v>
      </c>
      <c r="Z50" s="5">
        <f>+Tabla13[[#This Row],[Atraso a facturar]]+Tabla13[[#This Row],[Venta del mes]]+Tabla13[[#This Row],[Ajuste]]</f>
        <v>0</v>
      </c>
      <c r="AA50" s="6">
        <f>+Tabla13[[#This Row],[Atraso a facturar]]+Tabla13[[#This Row],[Venta del mes]]+Tabla13[[#This Row],[En puerto a facturar]]</f>
        <v>0</v>
      </c>
      <c r="AB50" s="20">
        <f>IFERROR(VLOOKUP(Tabla13[[#This Row],[Llave]],'[5]Consolidación planes'!$A:$M,9,FALSE),0)</f>
        <v>0</v>
      </c>
      <c r="AC50" s="20">
        <f>IFERROR(VLOOKUP(Tabla13[[#This Row],[Llave]],'[5]Consolidación planes'!$A:$M,10,FALSE),0)</f>
        <v>0</v>
      </c>
      <c r="AD50" s="20">
        <f>IFERROR(VLOOKUP(Tabla13[[#This Row],[Llave]],'[5]Consolidación planes'!$A:$M,11,FALSE),0)</f>
        <v>0</v>
      </c>
      <c r="AE50" s="20">
        <f>IFERROR(VLOOKUP(Tabla13[[#This Row],[Llave]],'[5]Consolidación planes'!$A:$M,12,FALSE),0)</f>
        <v>0</v>
      </c>
      <c r="AF50" s="20">
        <f>IFERROR(VLOOKUP(Tabla13[[#This Row],[Llave]],'[5]Consolidación planes'!$A:$M,13,FALSE),0)</f>
        <v>0</v>
      </c>
    </row>
    <row r="51" spans="2:32" ht="16" hidden="1" x14ac:dyDescent="0.2">
      <c r="B51" t="str">
        <f>Tabla13[[#This Row],[Oficina]]&amp;Tabla13[[#This Row],[Material]]</f>
        <v>Agro Sudamerica1021976</v>
      </c>
      <c r="C51" t="s">
        <v>6</v>
      </c>
      <c r="D51" t="s">
        <v>17</v>
      </c>
      <c r="E51">
        <v>1021976</v>
      </c>
      <c r="F51" t="s">
        <v>55</v>
      </c>
      <c r="G51" t="s">
        <v>53</v>
      </c>
      <c r="H51" t="s">
        <v>54</v>
      </c>
      <c r="I51" s="7">
        <f>IFERROR(VLOOKUP(Tabla13[[#This Row],[Llave]],'[1]Consolidado RV'!$B:$H,6,FALSE),0)</f>
        <v>311999.99699999997</v>
      </c>
      <c r="J51" s="3">
        <f>IFERROR(VLOOKUP(Tabla13[[#This Row],[Llave]],'[1]Consolidado RV'!$B:$H,7,FALSE),0)</f>
        <v>304652.60023600387</v>
      </c>
      <c r="K51" s="8">
        <f>IFERROR(VLOOKUP(Tabla13[[#This Row],[Oficina]],#REF!,2,FALSE),0)</f>
        <v>0</v>
      </c>
      <c r="L51" s="7">
        <f>+Tabla13[[#This Row],[ RV Producción mes n+1]]*Tabla13[[#This Row],[% Uti. producción]]</f>
        <v>0</v>
      </c>
      <c r="M51" s="7">
        <f>IFERROR(VLOOKUP(Tabla13[[#This Row],[Material]],#REF!,2,FALSE),0)</f>
        <v>0</v>
      </c>
      <c r="N51" s="7">
        <f>IFERROR(VLOOKUP(Tabla13[[#This Row],[Llave]],'En puerto-Programado'!A:D,4,FALSE)+VLOOKUP(Tabla13[[#This Row],[Llave]],'Por despachar'!A:F,6,FALSE),0)</f>
        <v>24000</v>
      </c>
      <c r="O51" s="7">
        <f>IFERROR(VLOOKUP(Tabla13[[#This Row],[Material]],[2]Consolidado!$C:$D,2,FALSE),0)</f>
        <v>114642.99444443324</v>
      </c>
      <c r="P51" s="7">
        <f>IFERROR(VLOOKUP(Tabla13[[#This Row],[Llave]],'Por despachar'!A:E,5,FALSE),0)</f>
        <v>0</v>
      </c>
      <c r="Q51" s="14">
        <f>SUM(Tabla13[[#This Row],[Producción disponible]],Tabla13[[#This Row],[Stock al día]],Tabla13[[#This Row],[Por producir Abr.]])-SUM(Tabla13[[#This Row],[Stock por despachar N]],Tabla13[[#This Row],[Producción por despachar mes N]])</f>
        <v>90642.994444433236</v>
      </c>
      <c r="R51" s="7">
        <f>IFERROR(VLOOKUP(Tabla13[[#This Row],[Llave]],[3]Hoja2!$A:$D,4,FALSE),0)</f>
        <v>446000</v>
      </c>
      <c r="S51" s="9">
        <f>IFERROR(VLOOKUP(Tabla13[[#This Row],[Material]],[4]Hoja1!$B:$C,2,FALSE),0)</f>
        <v>24000</v>
      </c>
      <c r="T51" s="5">
        <f t="shared" si="1"/>
        <v>72000</v>
      </c>
      <c r="U51" s="3">
        <f>+Tabla13[[#This Row],[Total disponible]]-Tabla13[[#This Row],[Atraso a facturar]]</f>
        <v>18642.994444433236</v>
      </c>
      <c r="V51" s="6">
        <f t="shared" si="0"/>
        <v>0</v>
      </c>
      <c r="W51" s="3" t="str">
        <f>IF(Tabla13[[#This Row],[Venta del mes]]&gt;Tabla13[[#This Row],[ RV  Venta mes n+1]],"Falta venta","-")</f>
        <v>-</v>
      </c>
      <c r="X51" s="7"/>
      <c r="Y51" s="18">
        <v>0</v>
      </c>
      <c r="Z51" s="5">
        <f>+Tabla13[[#This Row],[Atraso a facturar]]+Tabla13[[#This Row],[Venta del mes]]+Tabla13[[#This Row],[Ajuste]]</f>
        <v>72000</v>
      </c>
      <c r="AA51" s="6">
        <f>+Tabla13[[#This Row],[Atraso a facturar]]+Tabla13[[#This Row],[Venta del mes]]+Tabla13[[#This Row],[En puerto a facturar]]</f>
        <v>72000</v>
      </c>
      <c r="AB51" s="20">
        <f>IFERROR(VLOOKUP(Tabla13[[#This Row],[Llave]],'[5]Consolidación planes'!$A:$M,9,FALSE),0)</f>
        <v>80000</v>
      </c>
      <c r="AC51" s="20">
        <f>IFERROR(VLOOKUP(Tabla13[[#This Row],[Llave]],'[5]Consolidación planes'!$A:$M,10,FALSE),0)</f>
        <v>187000</v>
      </c>
      <c r="AD51" s="20">
        <f>IFERROR(VLOOKUP(Tabla13[[#This Row],[Llave]],'[5]Consolidación planes'!$A:$M,11,FALSE),0)</f>
        <v>312000</v>
      </c>
      <c r="AE51" s="20">
        <f>IFERROR(VLOOKUP(Tabla13[[#This Row],[Llave]],'[5]Consolidación planes'!$A:$M,12,FALSE),0)</f>
        <v>168000</v>
      </c>
      <c r="AF51" s="20">
        <f>IFERROR(VLOOKUP(Tabla13[[#This Row],[Llave]],'[5]Consolidación planes'!$A:$M,13,FALSE),0)</f>
        <v>340000</v>
      </c>
    </row>
    <row r="52" spans="2:32" ht="16" hidden="1" x14ac:dyDescent="0.2">
      <c r="B52" t="str">
        <f>Tabla13[[#This Row],[Oficina]]&amp;Tabla13[[#This Row],[Material]]</f>
        <v>Agro Sudamerica1022047</v>
      </c>
      <c r="C52" t="s">
        <v>6</v>
      </c>
      <c r="D52" t="s">
        <v>17</v>
      </c>
      <c r="E52">
        <v>1022047</v>
      </c>
      <c r="F52" t="s">
        <v>314</v>
      </c>
      <c r="G52" t="s">
        <v>71</v>
      </c>
      <c r="H52" t="s">
        <v>72</v>
      </c>
      <c r="I52" s="7">
        <f>IFERROR(VLOOKUP(Tabla13[[#This Row],[Llave]],'[1]Consolidado RV'!$B:$H,6,FALSE),0)</f>
        <v>0</v>
      </c>
      <c r="J52" s="3">
        <f>IFERROR(VLOOKUP(Tabla13[[#This Row],[Llave]],'[1]Consolidado RV'!$B:$H,7,FALSE),0)</f>
        <v>0</v>
      </c>
      <c r="K52" s="8">
        <f>IFERROR(VLOOKUP(Tabla13[[#This Row],[Oficina]],#REF!,2,FALSE),0)</f>
        <v>0</v>
      </c>
      <c r="L52" s="7">
        <f>+Tabla13[[#This Row],[ RV Producción mes n+1]]*Tabla13[[#This Row],[% Uti. producción]]</f>
        <v>0</v>
      </c>
      <c r="M52" s="7">
        <f>IFERROR(VLOOKUP(Tabla13[[#This Row],[Material]],#REF!,2,FALSE),0)</f>
        <v>0</v>
      </c>
      <c r="N52" s="7">
        <f>IFERROR(VLOOKUP(Tabla13[[#This Row],[Llave]],'En puerto-Programado'!A:D,4,FALSE)+VLOOKUP(Tabla13[[#This Row],[Llave]],'Por despachar'!A:F,6,FALSE),0)</f>
        <v>0</v>
      </c>
      <c r="O52" s="7">
        <f>IFERROR(VLOOKUP(Tabla13[[#This Row],[Material]],[2]Consolidado!$C:$D,2,FALSE),0)</f>
        <v>0</v>
      </c>
      <c r="P52" s="7">
        <f>IFERROR(VLOOKUP(Tabla13[[#This Row],[Llave]],'Por despachar'!A:E,5,FALSE),0)</f>
        <v>0</v>
      </c>
      <c r="Q52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52" s="7">
        <f>IFERROR(VLOOKUP(Tabla13[[#This Row],[Llave]],[3]Hoja2!$A:$D,4,FALSE),0)</f>
        <v>24000</v>
      </c>
      <c r="S52" s="9">
        <f>IFERROR(VLOOKUP(Tabla13[[#This Row],[Material]],[4]Hoja1!$B:$C,2,FALSE),0)</f>
        <v>24000</v>
      </c>
      <c r="T52" s="5">
        <f t="shared" si="1"/>
        <v>0</v>
      </c>
      <c r="U52" s="3">
        <f>+Tabla13[[#This Row],[Total disponible]]-Tabla13[[#This Row],[Atraso a facturar]]</f>
        <v>0</v>
      </c>
      <c r="V52" s="6">
        <f t="shared" si="0"/>
        <v>0</v>
      </c>
      <c r="W52" s="3" t="str">
        <f>IF(Tabla13[[#This Row],[Venta del mes]]&gt;Tabla13[[#This Row],[ RV  Venta mes n+1]],"Falta venta","-")</f>
        <v>-</v>
      </c>
      <c r="X52" s="7"/>
      <c r="Y52" s="18">
        <v>0</v>
      </c>
      <c r="Z52" s="5">
        <f>+Tabla13[[#This Row],[Atraso a facturar]]+Tabla13[[#This Row],[Venta del mes]]+Tabla13[[#This Row],[Ajuste]]</f>
        <v>0</v>
      </c>
      <c r="AA52" s="6">
        <f>+Tabla13[[#This Row],[Atraso a facturar]]+Tabla13[[#This Row],[Venta del mes]]+Tabla13[[#This Row],[En puerto a facturar]]</f>
        <v>0</v>
      </c>
      <c r="AB52" s="20">
        <f>IFERROR(VLOOKUP(Tabla13[[#This Row],[Llave]],'[5]Consolidación planes'!$A:$M,9,FALSE),0)</f>
        <v>0</v>
      </c>
      <c r="AC52" s="20">
        <f>IFERROR(VLOOKUP(Tabla13[[#This Row],[Llave]],'[5]Consolidación planes'!$A:$M,10,FALSE),0)</f>
        <v>0</v>
      </c>
      <c r="AD52" s="20">
        <f>IFERROR(VLOOKUP(Tabla13[[#This Row],[Llave]],'[5]Consolidación planes'!$A:$M,11,FALSE),0)</f>
        <v>0</v>
      </c>
      <c r="AE52" s="20">
        <f>IFERROR(VLOOKUP(Tabla13[[#This Row],[Llave]],'[5]Consolidación planes'!$A:$M,12,FALSE),0)</f>
        <v>48000</v>
      </c>
      <c r="AF52" s="20">
        <f>IFERROR(VLOOKUP(Tabla13[[#This Row],[Llave]],'[5]Consolidación planes'!$A:$M,13,FALSE),0)</f>
        <v>0</v>
      </c>
    </row>
    <row r="53" spans="2:32" ht="16" hidden="1" x14ac:dyDescent="0.2">
      <c r="B53" t="str">
        <f>Tabla13[[#This Row],[Oficina]]&amp;Tabla13[[#This Row],[Material]]</f>
        <v>Agro Sudamerica1022149</v>
      </c>
      <c r="C53" t="s">
        <v>6</v>
      </c>
      <c r="D53" t="s">
        <v>17</v>
      </c>
      <c r="E53">
        <v>1022149</v>
      </c>
      <c r="F53" t="s">
        <v>70</v>
      </c>
      <c r="G53" t="s">
        <v>67</v>
      </c>
      <c r="H53" t="s">
        <v>68</v>
      </c>
      <c r="I53" s="7">
        <f>IFERROR(VLOOKUP(Tabla13[[#This Row],[Llave]],'[1]Consolidado RV'!$B:$H,6,FALSE),0)</f>
        <v>34816.459000000003</v>
      </c>
      <c r="J53" s="3">
        <f>IFERROR(VLOOKUP(Tabla13[[#This Row],[Llave]],'[1]Consolidado RV'!$B:$H,7,FALSE),0)</f>
        <v>34816.459000000003</v>
      </c>
      <c r="K53" s="8">
        <f>IFERROR(VLOOKUP(Tabla13[[#This Row],[Oficina]],#REF!,2,FALSE),0)</f>
        <v>0</v>
      </c>
      <c r="L53" s="7">
        <f>+Tabla13[[#This Row],[ RV Producción mes n+1]]*Tabla13[[#This Row],[% Uti. producción]]</f>
        <v>0</v>
      </c>
      <c r="M53" s="7">
        <f>IFERROR(VLOOKUP(Tabla13[[#This Row],[Material]],#REF!,2,FALSE),0)</f>
        <v>0</v>
      </c>
      <c r="N53" s="7">
        <f>IFERROR(VLOOKUP(Tabla13[[#This Row],[Llave]],'En puerto-Programado'!A:D,4,FALSE)+VLOOKUP(Tabla13[[#This Row],[Llave]],'Por despachar'!A:F,6,FALSE),0)</f>
        <v>0</v>
      </c>
      <c r="O53" s="7">
        <f>IFERROR(VLOOKUP(Tabla13[[#This Row],[Material]],[2]Consolidado!$C:$D,2,FALSE),0)</f>
        <v>0</v>
      </c>
      <c r="P53" s="7">
        <f>IFERROR(VLOOKUP(Tabla13[[#This Row],[Llave]],'Por despachar'!A:E,5,FALSE),0)</f>
        <v>0</v>
      </c>
      <c r="Q5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53" s="7">
        <f>IFERROR(VLOOKUP(Tabla13[[#This Row],[Llave]],[3]Hoja2!$A:$D,4,FALSE),0)</f>
        <v>24000</v>
      </c>
      <c r="S53" s="9">
        <f>IFERROR(VLOOKUP(Tabla13[[#This Row],[Material]],[4]Hoja1!$B:$C,2,FALSE),0)</f>
        <v>24000</v>
      </c>
      <c r="T53" s="5">
        <f t="shared" si="1"/>
        <v>0</v>
      </c>
      <c r="U53" s="3">
        <f>+Tabla13[[#This Row],[Total disponible]]-Tabla13[[#This Row],[Atraso a facturar]]</f>
        <v>0</v>
      </c>
      <c r="V53" s="6">
        <f t="shared" si="0"/>
        <v>0</v>
      </c>
      <c r="W53" s="3" t="str">
        <f>IF(Tabla13[[#This Row],[Venta del mes]]&gt;Tabla13[[#This Row],[ RV  Venta mes n+1]],"Falta venta","-")</f>
        <v>-</v>
      </c>
      <c r="X53" s="7"/>
      <c r="Y53" s="18">
        <v>0</v>
      </c>
      <c r="Z53" s="5">
        <f>+Tabla13[[#This Row],[Atraso a facturar]]+Tabla13[[#This Row],[Venta del mes]]+Tabla13[[#This Row],[Ajuste]]</f>
        <v>0</v>
      </c>
      <c r="AA53" s="6">
        <f>+Tabla13[[#This Row],[Atraso a facturar]]+Tabla13[[#This Row],[Venta del mes]]+Tabla13[[#This Row],[En puerto a facturar]]</f>
        <v>0</v>
      </c>
      <c r="AB53" s="20">
        <f>IFERROR(VLOOKUP(Tabla13[[#This Row],[Llave]],'[5]Consolidación planes'!$A:$M,9,FALSE),0)</f>
        <v>72000</v>
      </c>
      <c r="AC53" s="20">
        <f>IFERROR(VLOOKUP(Tabla13[[#This Row],[Llave]],'[5]Consolidación planes'!$A:$M,10,FALSE),0)</f>
        <v>36000</v>
      </c>
      <c r="AD53" s="20">
        <f>IFERROR(VLOOKUP(Tabla13[[#This Row],[Llave]],'[5]Consolidación planes'!$A:$M,11,FALSE),0)</f>
        <v>48000</v>
      </c>
      <c r="AE53" s="20">
        <f>IFERROR(VLOOKUP(Tabla13[[#This Row],[Llave]],'[5]Consolidación planes'!$A:$M,12,FALSE),0)</f>
        <v>24000</v>
      </c>
      <c r="AF53" s="20">
        <f>IFERROR(VLOOKUP(Tabla13[[#This Row],[Llave]],'[5]Consolidación planes'!$A:$M,13,FALSE),0)</f>
        <v>24000</v>
      </c>
    </row>
    <row r="54" spans="2:32" ht="16" hidden="1" x14ac:dyDescent="0.2">
      <c r="B54" t="str">
        <f>Tabla13[[#This Row],[Oficina]]&amp;Tabla13[[#This Row],[Material]]</f>
        <v>Agro Sudamerica1022150</v>
      </c>
      <c r="C54" t="s">
        <v>6</v>
      </c>
      <c r="D54" t="s">
        <v>17</v>
      </c>
      <c r="E54">
        <v>1022150</v>
      </c>
      <c r="F54" t="s">
        <v>45</v>
      </c>
      <c r="G54" t="s">
        <v>11</v>
      </c>
      <c r="H54" t="s">
        <v>41</v>
      </c>
      <c r="I54" s="7">
        <f>IFERROR(VLOOKUP(Tabla13[[#This Row],[Llave]],'[1]Consolidado RV'!$B:$H,6,FALSE),0)</f>
        <v>228597.99189999999</v>
      </c>
      <c r="J54" s="3">
        <f>IFERROR(VLOOKUP(Tabla13[[#This Row],[Llave]],'[1]Consolidado RV'!$B:$H,7,FALSE),0)</f>
        <v>143999.9999</v>
      </c>
      <c r="K54" s="8">
        <f>IFERROR(VLOOKUP(Tabla13[[#This Row],[Oficina]],#REF!,2,FALSE),0)</f>
        <v>0</v>
      </c>
      <c r="L54" s="7">
        <f>+Tabla13[[#This Row],[ RV Producción mes n+1]]*Tabla13[[#This Row],[% Uti. producción]]</f>
        <v>0</v>
      </c>
      <c r="M54" s="7">
        <f>IFERROR(VLOOKUP(Tabla13[[#This Row],[Material]],#REF!,2,FALSE),0)</f>
        <v>0</v>
      </c>
      <c r="N54" s="7">
        <f>IFERROR(VLOOKUP(Tabla13[[#This Row],[Llave]],'En puerto-Programado'!A:D,4,FALSE)+VLOOKUP(Tabla13[[#This Row],[Llave]],'Por despachar'!A:F,6,FALSE),0)</f>
        <v>24000</v>
      </c>
      <c r="O54" s="7">
        <f>IFERROR(VLOOKUP(Tabla13[[#This Row],[Material]],[2]Consolidado!$C:$D,2,FALSE),0)</f>
        <v>0</v>
      </c>
      <c r="P54" s="7">
        <f>IFERROR(VLOOKUP(Tabla13[[#This Row],[Llave]],'Por despachar'!A:E,5,FALSE),0)</f>
        <v>0</v>
      </c>
      <c r="Q54" s="14">
        <f>SUM(Tabla13[[#This Row],[Producción disponible]],Tabla13[[#This Row],[Stock al día]],Tabla13[[#This Row],[Por producir Abr.]])-SUM(Tabla13[[#This Row],[Stock por despachar N]],Tabla13[[#This Row],[Producción por despachar mes N]])</f>
        <v>-24000</v>
      </c>
      <c r="R54" s="7">
        <f>IFERROR(VLOOKUP(Tabla13[[#This Row],[Llave]],[3]Hoja2!$A:$D,4,FALSE),0)</f>
        <v>168000</v>
      </c>
      <c r="S54" s="9">
        <f>IFERROR(VLOOKUP(Tabla13[[#This Row],[Material]],[4]Hoja1!$B:$C,2,FALSE),0)</f>
        <v>24000</v>
      </c>
      <c r="T54" s="5">
        <f t="shared" si="1"/>
        <v>-24000</v>
      </c>
      <c r="U54" s="3">
        <f>+Tabla13[[#This Row],[Total disponible]]-Tabla13[[#This Row],[Atraso a facturar]]</f>
        <v>0</v>
      </c>
      <c r="V54" s="6">
        <f t="shared" si="0"/>
        <v>0</v>
      </c>
      <c r="W54" s="3" t="str">
        <f>IF(Tabla13[[#This Row],[Venta del mes]]&gt;Tabla13[[#This Row],[ RV  Venta mes n+1]],"Falta venta","-")</f>
        <v>-</v>
      </c>
      <c r="X54" s="7"/>
      <c r="Y54" s="18">
        <v>0</v>
      </c>
      <c r="Z54" s="5">
        <f>+Tabla13[[#This Row],[Atraso a facturar]]+Tabla13[[#This Row],[Venta del mes]]+Tabla13[[#This Row],[Ajuste]]</f>
        <v>-24000</v>
      </c>
      <c r="AA54" s="6">
        <f>+Tabla13[[#This Row],[Atraso a facturar]]+Tabla13[[#This Row],[Venta del mes]]+Tabla13[[#This Row],[En puerto a facturar]]</f>
        <v>-24000</v>
      </c>
      <c r="AB54" s="20">
        <f>IFERROR(VLOOKUP(Tabla13[[#This Row],[Llave]],'[5]Consolidación planes'!$A:$M,9,FALSE),0)</f>
        <v>120000</v>
      </c>
      <c r="AC54" s="20">
        <f>IFERROR(VLOOKUP(Tabla13[[#This Row],[Llave]],'[5]Consolidación planes'!$A:$M,10,FALSE),0)</f>
        <v>174000</v>
      </c>
      <c r="AD54" s="20">
        <f>IFERROR(VLOOKUP(Tabla13[[#This Row],[Llave]],'[5]Consolidación planes'!$A:$M,11,FALSE),0)</f>
        <v>132000</v>
      </c>
      <c r="AE54" s="20">
        <f>IFERROR(VLOOKUP(Tabla13[[#This Row],[Llave]],'[5]Consolidación planes'!$A:$M,12,FALSE),0)</f>
        <v>96000</v>
      </c>
      <c r="AF54" s="20">
        <f>IFERROR(VLOOKUP(Tabla13[[#This Row],[Llave]],'[5]Consolidación planes'!$A:$M,13,FALSE),0)</f>
        <v>168000</v>
      </c>
    </row>
    <row r="55" spans="2:32" ht="16" hidden="1" x14ac:dyDescent="0.2">
      <c r="B55" t="str">
        <f>Tabla13[[#This Row],[Oficina]]&amp;Tabla13[[#This Row],[Material]]</f>
        <v>Agro Sudamerica1022196</v>
      </c>
      <c r="C55" t="s">
        <v>6</v>
      </c>
      <c r="D55" t="s">
        <v>17</v>
      </c>
      <c r="E55">
        <v>1022196</v>
      </c>
      <c r="F55" t="s">
        <v>31</v>
      </c>
      <c r="G55" t="s">
        <v>8</v>
      </c>
      <c r="H55" t="s">
        <v>30</v>
      </c>
      <c r="I55" s="7">
        <f>IFERROR(VLOOKUP(Tabla13[[#This Row],[Llave]],'[1]Consolidado RV'!$B:$H,6,FALSE),0)</f>
        <v>67794.687999999995</v>
      </c>
      <c r="J55" s="3">
        <f>IFERROR(VLOOKUP(Tabla13[[#This Row],[Llave]],'[1]Consolidado RV'!$B:$H,7,FALSE),0)</f>
        <v>0</v>
      </c>
      <c r="K55" s="8">
        <f>IFERROR(VLOOKUP(Tabla13[[#This Row],[Oficina]],#REF!,2,FALSE),0)</f>
        <v>0</v>
      </c>
      <c r="L55" s="7">
        <f>+Tabla13[[#This Row],[ RV Producción mes n+1]]*Tabla13[[#This Row],[% Uti. producción]]</f>
        <v>0</v>
      </c>
      <c r="M55" s="7">
        <f>IFERROR(VLOOKUP(Tabla13[[#This Row],[Material]],#REF!,2,FALSE),0)</f>
        <v>0</v>
      </c>
      <c r="N55" s="7">
        <f>IFERROR(VLOOKUP(Tabla13[[#This Row],[Llave]],'En puerto-Programado'!A:D,4,FALSE)+VLOOKUP(Tabla13[[#This Row],[Llave]],'Por despachar'!A:F,6,FALSE),0)</f>
        <v>0</v>
      </c>
      <c r="O55" s="7">
        <f>IFERROR(VLOOKUP(Tabla13[[#This Row],[Material]],[2]Consolidado!$C:$D,2,FALSE),0)</f>
        <v>0</v>
      </c>
      <c r="P55" s="7">
        <f>IFERROR(VLOOKUP(Tabla13[[#This Row],[Llave]],'Por despachar'!A:E,5,FALSE),0)</f>
        <v>0</v>
      </c>
      <c r="Q5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55" s="7">
        <f>IFERROR(VLOOKUP(Tabla13[[#This Row],[Llave]],[3]Hoja2!$A:$D,4,FALSE),0)</f>
        <v>48000</v>
      </c>
      <c r="S55" s="9">
        <f>IFERROR(VLOOKUP(Tabla13[[#This Row],[Material]],[4]Hoja1!$B:$C,2,FALSE),0)</f>
        <v>24000</v>
      </c>
      <c r="T55" s="5">
        <f t="shared" si="1"/>
        <v>0</v>
      </c>
      <c r="U55" s="3">
        <f>+Tabla13[[#This Row],[Total disponible]]-Tabla13[[#This Row],[Atraso a facturar]]</f>
        <v>0</v>
      </c>
      <c r="V55" s="6">
        <f t="shared" si="0"/>
        <v>0</v>
      </c>
      <c r="W55" s="3" t="str">
        <f>IF(Tabla13[[#This Row],[Venta del mes]]&gt;Tabla13[[#This Row],[ RV  Venta mes n+1]],"Falta venta","-")</f>
        <v>-</v>
      </c>
      <c r="X55" s="7"/>
      <c r="Y55" s="18">
        <v>0</v>
      </c>
      <c r="Z55" s="5">
        <f>+Tabla13[[#This Row],[Atraso a facturar]]+Tabla13[[#This Row],[Venta del mes]]+Tabla13[[#This Row],[Ajuste]]</f>
        <v>0</v>
      </c>
      <c r="AA55" s="6">
        <f>+Tabla13[[#This Row],[Atraso a facturar]]+Tabla13[[#This Row],[Venta del mes]]+Tabla13[[#This Row],[En puerto a facturar]]</f>
        <v>0</v>
      </c>
      <c r="AB55" s="20">
        <f>IFERROR(VLOOKUP(Tabla13[[#This Row],[Llave]],'[5]Consolidación planes'!$A:$M,9,FALSE),0)</f>
        <v>0</v>
      </c>
      <c r="AC55" s="20">
        <f>IFERROR(VLOOKUP(Tabla13[[#This Row],[Llave]],'[5]Consolidación planes'!$A:$M,10,FALSE),0)</f>
        <v>24000</v>
      </c>
      <c r="AD55" s="20">
        <f>IFERROR(VLOOKUP(Tabla13[[#This Row],[Llave]],'[5]Consolidación planes'!$A:$M,11,FALSE),0)</f>
        <v>48000</v>
      </c>
      <c r="AE55" s="20">
        <f>IFERROR(VLOOKUP(Tabla13[[#This Row],[Llave]],'[5]Consolidación planes'!$A:$M,12,FALSE),0)</f>
        <v>0</v>
      </c>
      <c r="AF55" s="20">
        <f>IFERROR(VLOOKUP(Tabla13[[#This Row],[Llave]],'[5]Consolidación planes'!$A:$M,13,FALSE),0)</f>
        <v>24000</v>
      </c>
    </row>
    <row r="56" spans="2:32" ht="16" hidden="1" x14ac:dyDescent="0.2">
      <c r="B56" t="str">
        <f>Tabla13[[#This Row],[Oficina]]&amp;Tabla13[[#This Row],[Material]]</f>
        <v>Agro Sudamerica1022197</v>
      </c>
      <c r="C56" t="s">
        <v>6</v>
      </c>
      <c r="D56" t="s">
        <v>17</v>
      </c>
      <c r="E56">
        <v>1022197</v>
      </c>
      <c r="F56" t="s">
        <v>300</v>
      </c>
      <c r="G56" t="s">
        <v>8</v>
      </c>
      <c r="H56" t="s">
        <v>30</v>
      </c>
      <c r="I56" s="7">
        <f>IFERROR(VLOOKUP(Tabla13[[#This Row],[Llave]],'[1]Consolidado RV'!$B:$H,6,FALSE),0)</f>
        <v>0</v>
      </c>
      <c r="J56" s="3">
        <f>IFERROR(VLOOKUP(Tabla13[[#This Row],[Llave]],'[1]Consolidado RV'!$B:$H,7,FALSE),0)</f>
        <v>0</v>
      </c>
      <c r="K56" s="8">
        <f>IFERROR(VLOOKUP(Tabla13[[#This Row],[Oficina]],#REF!,2,FALSE),0)</f>
        <v>0</v>
      </c>
      <c r="L56" s="7">
        <f>+Tabla13[[#This Row],[ RV Producción mes n+1]]*Tabla13[[#This Row],[% Uti. producción]]</f>
        <v>0</v>
      </c>
      <c r="M56" s="7">
        <f>IFERROR(VLOOKUP(Tabla13[[#This Row],[Material]],#REF!,2,FALSE),0)</f>
        <v>0</v>
      </c>
      <c r="N56" s="7">
        <f>IFERROR(VLOOKUP(Tabla13[[#This Row],[Llave]],'En puerto-Programado'!A:D,4,FALSE)+VLOOKUP(Tabla13[[#This Row],[Llave]],'Por despachar'!A:F,6,FALSE),0)</f>
        <v>0</v>
      </c>
      <c r="O56" s="7">
        <f>IFERROR(VLOOKUP(Tabla13[[#This Row],[Material]],[2]Consolidado!$C:$D,2,FALSE),0)</f>
        <v>0</v>
      </c>
      <c r="P56" s="7">
        <f>IFERROR(VLOOKUP(Tabla13[[#This Row],[Llave]],'Por despachar'!A:E,5,FALSE),0)</f>
        <v>0</v>
      </c>
      <c r="Q5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56" s="7">
        <f>IFERROR(VLOOKUP(Tabla13[[#This Row],[Llave]],[3]Hoja2!$A:$D,4,FALSE),0)</f>
        <v>0</v>
      </c>
      <c r="S56" s="9">
        <f>IFERROR(VLOOKUP(Tabla13[[#This Row],[Material]],[4]Hoja1!$B:$C,2,FALSE),0)</f>
        <v>24000</v>
      </c>
      <c r="T56" s="5">
        <f t="shared" si="1"/>
        <v>0</v>
      </c>
      <c r="U56" s="3">
        <f>+Tabla13[[#This Row],[Total disponible]]-Tabla13[[#This Row],[Atraso a facturar]]</f>
        <v>0</v>
      </c>
      <c r="V56" s="6">
        <f t="shared" si="0"/>
        <v>0</v>
      </c>
      <c r="W56" s="3" t="str">
        <f>IF(Tabla13[[#This Row],[Venta del mes]]&gt;Tabla13[[#This Row],[ RV  Venta mes n+1]],"Falta venta","-")</f>
        <v>-</v>
      </c>
      <c r="X56" s="7"/>
      <c r="Y56" s="18">
        <v>0</v>
      </c>
      <c r="Z56" s="5">
        <f>+Tabla13[[#This Row],[Atraso a facturar]]+Tabla13[[#This Row],[Venta del mes]]+Tabla13[[#This Row],[Ajuste]]</f>
        <v>0</v>
      </c>
      <c r="AA56" s="6">
        <f>+Tabla13[[#This Row],[Atraso a facturar]]+Tabla13[[#This Row],[Venta del mes]]+Tabla13[[#This Row],[En puerto a facturar]]</f>
        <v>0</v>
      </c>
      <c r="AB56" s="20">
        <f>IFERROR(VLOOKUP(Tabla13[[#This Row],[Llave]],'[5]Consolidación planes'!$A:$M,9,FALSE),0)</f>
        <v>0</v>
      </c>
      <c r="AC56" s="20">
        <f>IFERROR(VLOOKUP(Tabla13[[#This Row],[Llave]],'[5]Consolidación planes'!$A:$M,10,FALSE),0)</f>
        <v>0</v>
      </c>
      <c r="AD56" s="20">
        <f>IFERROR(VLOOKUP(Tabla13[[#This Row],[Llave]],'[5]Consolidación planes'!$A:$M,11,FALSE),0)</f>
        <v>24000</v>
      </c>
      <c r="AE56" s="20">
        <f>IFERROR(VLOOKUP(Tabla13[[#This Row],[Llave]],'[5]Consolidación planes'!$A:$M,12,FALSE),0)</f>
        <v>24000</v>
      </c>
      <c r="AF56" s="20">
        <f>IFERROR(VLOOKUP(Tabla13[[#This Row],[Llave]],'[5]Consolidación planes'!$A:$M,13,FALSE),0)</f>
        <v>0</v>
      </c>
    </row>
    <row r="57" spans="2:32" ht="16" hidden="1" x14ac:dyDescent="0.2">
      <c r="B57" t="str">
        <f>Tabla13[[#This Row],[Oficina]]&amp;Tabla13[[#This Row],[Material]]</f>
        <v>Agro Sudamerica1022217</v>
      </c>
      <c r="C57" t="s">
        <v>6</v>
      </c>
      <c r="D57" t="s">
        <v>17</v>
      </c>
      <c r="E57">
        <v>1022217</v>
      </c>
      <c r="F57" t="s">
        <v>16</v>
      </c>
      <c r="G57" t="s">
        <v>11</v>
      </c>
      <c r="H57" t="s">
        <v>15</v>
      </c>
      <c r="I57" s="7">
        <f>IFERROR(VLOOKUP(Tabla13[[#This Row],[Llave]],'[1]Consolidado RV'!$B:$H,6,FALSE),0)</f>
        <v>0</v>
      </c>
      <c r="J57" s="3">
        <f>IFERROR(VLOOKUP(Tabla13[[#This Row],[Llave]],'[1]Consolidado RV'!$B:$H,7,FALSE),0)</f>
        <v>0</v>
      </c>
      <c r="K57" s="8">
        <f>IFERROR(VLOOKUP(Tabla13[[#This Row],[Oficina]],#REF!,2,FALSE),0)</f>
        <v>0</v>
      </c>
      <c r="L57" s="7">
        <f>+Tabla13[[#This Row],[ RV Producción mes n+1]]*Tabla13[[#This Row],[% Uti. producción]]</f>
        <v>0</v>
      </c>
      <c r="M57" s="7">
        <f>IFERROR(VLOOKUP(Tabla13[[#This Row],[Material]],#REF!,2,FALSE),0)</f>
        <v>0</v>
      </c>
      <c r="N57" s="7">
        <f>IFERROR(VLOOKUP(Tabla13[[#This Row],[Llave]],'En puerto-Programado'!A:D,4,FALSE)+VLOOKUP(Tabla13[[#This Row],[Llave]],'Por despachar'!A:F,6,FALSE),0)</f>
        <v>0</v>
      </c>
      <c r="O57" s="7">
        <f>IFERROR(VLOOKUP(Tabla13[[#This Row],[Material]],[2]Consolidado!$C:$D,2,FALSE),0)</f>
        <v>82875.49081790245</v>
      </c>
      <c r="P57" s="7">
        <f>IFERROR(VLOOKUP(Tabla13[[#This Row],[Llave]],'Por despachar'!A:E,5,FALSE),0)</f>
        <v>0</v>
      </c>
      <c r="Q57" s="14">
        <f>SUM(Tabla13[[#This Row],[Producción disponible]],Tabla13[[#This Row],[Stock al día]],Tabla13[[#This Row],[Por producir Abr.]])-SUM(Tabla13[[#This Row],[Stock por despachar N]],Tabla13[[#This Row],[Producción por despachar mes N]])</f>
        <v>82875.49081790245</v>
      </c>
      <c r="R57" s="7">
        <f>IFERROR(VLOOKUP(Tabla13[[#This Row],[Llave]],[3]Hoja2!$A:$D,4,FALSE),0)</f>
        <v>0</v>
      </c>
      <c r="S57" s="9">
        <f>IFERROR(VLOOKUP(Tabla13[[#This Row],[Material]],[4]Hoja1!$B:$C,2,FALSE),0)</f>
        <v>24000</v>
      </c>
      <c r="T57" s="5">
        <f t="shared" si="1"/>
        <v>0</v>
      </c>
      <c r="U57" s="3">
        <f>+Tabla13[[#This Row],[Total disponible]]-Tabla13[[#This Row],[Atraso a facturar]]</f>
        <v>82875.49081790245</v>
      </c>
      <c r="V57" s="6">
        <f t="shared" si="0"/>
        <v>0</v>
      </c>
      <c r="W57" s="3" t="str">
        <f>IF(Tabla13[[#This Row],[Venta del mes]]&gt;Tabla13[[#This Row],[ RV  Venta mes n+1]],"Falta venta","-")</f>
        <v>-</v>
      </c>
      <c r="X57" s="7"/>
      <c r="Y57" s="18">
        <v>0</v>
      </c>
      <c r="Z57" s="5">
        <f>+Tabla13[[#This Row],[Atraso a facturar]]+Tabla13[[#This Row],[Venta del mes]]+Tabla13[[#This Row],[Ajuste]]</f>
        <v>0</v>
      </c>
      <c r="AA57" s="6">
        <f>+Tabla13[[#This Row],[Atraso a facturar]]+Tabla13[[#This Row],[Venta del mes]]+Tabla13[[#This Row],[En puerto a facturar]]</f>
        <v>0</v>
      </c>
      <c r="AB57" s="20">
        <f>IFERROR(VLOOKUP(Tabla13[[#This Row],[Llave]],'[5]Consolidación planes'!$A:$M,9,FALSE),0)</f>
        <v>0</v>
      </c>
      <c r="AC57" s="20">
        <f>IFERROR(VLOOKUP(Tabla13[[#This Row],[Llave]],'[5]Consolidación planes'!$A:$M,10,FALSE),0)</f>
        <v>0</v>
      </c>
      <c r="AD57" s="20">
        <f>IFERROR(VLOOKUP(Tabla13[[#This Row],[Llave]],'[5]Consolidación planes'!$A:$M,11,FALSE),0)</f>
        <v>0</v>
      </c>
      <c r="AE57" s="20">
        <f>IFERROR(VLOOKUP(Tabla13[[#This Row],[Llave]],'[5]Consolidación planes'!$A:$M,12,FALSE),0)</f>
        <v>0</v>
      </c>
      <c r="AF57" s="20">
        <f>IFERROR(VLOOKUP(Tabla13[[#This Row],[Llave]],'[5]Consolidación planes'!$A:$M,13,FALSE),0)</f>
        <v>0</v>
      </c>
    </row>
    <row r="58" spans="2:32" ht="16" hidden="1" x14ac:dyDescent="0.2">
      <c r="B58" t="str">
        <f>Tabla13[[#This Row],[Oficina]]&amp;Tabla13[[#This Row],[Material]]</f>
        <v>Agro Sudamerica1022218</v>
      </c>
      <c r="C58" t="s">
        <v>6</v>
      </c>
      <c r="D58" t="s">
        <v>17</v>
      </c>
      <c r="E58">
        <v>1022218</v>
      </c>
      <c r="F58" t="s">
        <v>13</v>
      </c>
      <c r="G58" t="s">
        <v>11</v>
      </c>
      <c r="H58" t="s">
        <v>12</v>
      </c>
      <c r="I58" s="7">
        <f>IFERROR(VLOOKUP(Tabla13[[#This Row],[Llave]],'[1]Consolidado RV'!$B:$H,6,FALSE),0)</f>
        <v>0</v>
      </c>
      <c r="J58" s="3">
        <f>IFERROR(VLOOKUP(Tabla13[[#This Row],[Llave]],'[1]Consolidado RV'!$B:$H,7,FALSE),0)</f>
        <v>0</v>
      </c>
      <c r="K58" s="8">
        <f>IFERROR(VLOOKUP(Tabla13[[#This Row],[Oficina]],#REF!,2,FALSE),0)</f>
        <v>0</v>
      </c>
      <c r="L58" s="7">
        <f>+Tabla13[[#This Row],[ RV Producción mes n+1]]*Tabla13[[#This Row],[% Uti. producción]]</f>
        <v>0</v>
      </c>
      <c r="M58" s="7">
        <f>IFERROR(VLOOKUP(Tabla13[[#This Row],[Material]],#REF!,2,FALSE),0)</f>
        <v>0</v>
      </c>
      <c r="N58" s="7">
        <f>IFERROR(VLOOKUP(Tabla13[[#This Row],[Llave]],'En puerto-Programado'!A:D,4,FALSE)+VLOOKUP(Tabla13[[#This Row],[Llave]],'Por despachar'!A:F,6,FALSE),0)</f>
        <v>0</v>
      </c>
      <c r="O58" s="7">
        <f>IFERROR(VLOOKUP(Tabla13[[#This Row],[Material]],[2]Consolidado!$C:$D,2,FALSE),0)</f>
        <v>25533.567609477352</v>
      </c>
      <c r="P58" s="7">
        <f>IFERROR(VLOOKUP(Tabla13[[#This Row],[Llave]],'Por despachar'!A:E,5,FALSE),0)</f>
        <v>0</v>
      </c>
      <c r="Q58" s="14">
        <f>SUM(Tabla13[[#This Row],[Producción disponible]],Tabla13[[#This Row],[Stock al día]],Tabla13[[#This Row],[Por producir Abr.]])-SUM(Tabla13[[#This Row],[Stock por despachar N]],Tabla13[[#This Row],[Producción por despachar mes N]])</f>
        <v>25533.567609477352</v>
      </c>
      <c r="R58" s="7">
        <f>IFERROR(VLOOKUP(Tabla13[[#This Row],[Llave]],[3]Hoja2!$A:$D,4,FALSE),0)</f>
        <v>0</v>
      </c>
      <c r="S58" s="9">
        <f>IFERROR(VLOOKUP(Tabla13[[#This Row],[Material]],[4]Hoja1!$B:$C,2,FALSE),0)</f>
        <v>24000</v>
      </c>
      <c r="T58" s="5">
        <f t="shared" si="1"/>
        <v>0</v>
      </c>
      <c r="U58" s="3">
        <f>+Tabla13[[#This Row],[Total disponible]]-Tabla13[[#This Row],[Atraso a facturar]]</f>
        <v>25533.567609477352</v>
      </c>
      <c r="V58" s="6">
        <f t="shared" si="0"/>
        <v>0</v>
      </c>
      <c r="W58" s="3" t="str">
        <f>IF(Tabla13[[#This Row],[Venta del mes]]&gt;Tabla13[[#This Row],[ RV  Venta mes n+1]],"Falta venta","-")</f>
        <v>-</v>
      </c>
      <c r="X58" s="7"/>
      <c r="Y58" s="18">
        <v>0</v>
      </c>
      <c r="Z58" s="5">
        <f>+Tabla13[[#This Row],[Atraso a facturar]]+Tabla13[[#This Row],[Venta del mes]]+Tabla13[[#This Row],[Ajuste]]</f>
        <v>0</v>
      </c>
      <c r="AA58" s="6">
        <f>+Tabla13[[#This Row],[Atraso a facturar]]+Tabla13[[#This Row],[Venta del mes]]+Tabla13[[#This Row],[En puerto a facturar]]</f>
        <v>0</v>
      </c>
      <c r="AB58" s="20">
        <f>IFERROR(VLOOKUP(Tabla13[[#This Row],[Llave]],'[5]Consolidación planes'!$A:$M,9,FALSE),0)</f>
        <v>7000</v>
      </c>
      <c r="AC58" s="20">
        <f>IFERROR(VLOOKUP(Tabla13[[#This Row],[Llave]],'[5]Consolidación planes'!$A:$M,10,FALSE),0)</f>
        <v>0</v>
      </c>
      <c r="AD58" s="20">
        <f>IFERROR(VLOOKUP(Tabla13[[#This Row],[Llave]],'[5]Consolidación planes'!$A:$M,11,FALSE),0)</f>
        <v>0</v>
      </c>
      <c r="AE58" s="20">
        <f>IFERROR(VLOOKUP(Tabla13[[#This Row],[Llave]],'[5]Consolidación planes'!$A:$M,12,FALSE),0)</f>
        <v>0</v>
      </c>
      <c r="AF58" s="20">
        <f>IFERROR(VLOOKUP(Tabla13[[#This Row],[Llave]],'[5]Consolidación planes'!$A:$M,13,FALSE),0)</f>
        <v>0</v>
      </c>
    </row>
    <row r="59" spans="2:32" ht="16" hidden="1" x14ac:dyDescent="0.2">
      <c r="B59" t="str">
        <f>Tabla13[[#This Row],[Oficina]]&amp;Tabla13[[#This Row],[Material]]</f>
        <v>Agro Sudamerica1022247</v>
      </c>
      <c r="C59" t="s">
        <v>6</v>
      </c>
      <c r="D59" t="s">
        <v>17</v>
      </c>
      <c r="E59">
        <v>1022247</v>
      </c>
      <c r="F59" t="s">
        <v>315</v>
      </c>
      <c r="G59" t="s">
        <v>71</v>
      </c>
      <c r="H59" t="s">
        <v>72</v>
      </c>
      <c r="I59" s="7">
        <f>IFERROR(VLOOKUP(Tabla13[[#This Row],[Llave]],'[1]Consolidado RV'!$B:$H,6,FALSE),0)</f>
        <v>0</v>
      </c>
      <c r="J59" s="3">
        <f>IFERROR(VLOOKUP(Tabla13[[#This Row],[Llave]],'[1]Consolidado RV'!$B:$H,7,FALSE),0)</f>
        <v>0</v>
      </c>
      <c r="K59" s="8">
        <f>IFERROR(VLOOKUP(Tabla13[[#This Row],[Oficina]],#REF!,2,FALSE),0)</f>
        <v>0</v>
      </c>
      <c r="L59" s="7">
        <f>+Tabla13[[#This Row],[ RV Producción mes n+1]]*Tabla13[[#This Row],[% Uti. producción]]</f>
        <v>0</v>
      </c>
      <c r="M59" s="7">
        <f>IFERROR(VLOOKUP(Tabla13[[#This Row],[Material]],#REF!,2,FALSE),0)</f>
        <v>0</v>
      </c>
      <c r="N59" s="7">
        <f>IFERROR(VLOOKUP(Tabla13[[#This Row],[Llave]],'En puerto-Programado'!A:D,4,FALSE)+VLOOKUP(Tabla13[[#This Row],[Llave]],'Por despachar'!A:F,6,FALSE),0)</f>
        <v>0</v>
      </c>
      <c r="O59" s="7">
        <f>IFERROR(VLOOKUP(Tabla13[[#This Row],[Material]],[2]Consolidado!$C:$D,2,FALSE),0)</f>
        <v>0</v>
      </c>
      <c r="P59" s="7">
        <f>IFERROR(VLOOKUP(Tabla13[[#This Row],[Llave]],'Por despachar'!A:E,5,FALSE),0)</f>
        <v>0</v>
      </c>
      <c r="Q5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59" s="7">
        <f>IFERROR(VLOOKUP(Tabla13[[#This Row],[Llave]],[3]Hoja2!$A:$D,4,FALSE),0)</f>
        <v>0</v>
      </c>
      <c r="S59" s="9">
        <f>IFERROR(VLOOKUP(Tabla13[[#This Row],[Material]],[4]Hoja1!$B:$C,2,FALSE),0)</f>
        <v>24000</v>
      </c>
      <c r="T59" s="5">
        <f t="shared" si="1"/>
        <v>0</v>
      </c>
      <c r="U59" s="3">
        <f>+Tabla13[[#This Row],[Total disponible]]-Tabla13[[#This Row],[Atraso a facturar]]</f>
        <v>0</v>
      </c>
      <c r="V59" s="6">
        <f t="shared" si="0"/>
        <v>0</v>
      </c>
      <c r="W59" s="3" t="str">
        <f>IF(Tabla13[[#This Row],[Venta del mes]]&gt;Tabla13[[#This Row],[ RV  Venta mes n+1]],"Falta venta","-")</f>
        <v>-</v>
      </c>
      <c r="X59" s="7"/>
      <c r="Y59" s="18">
        <v>0</v>
      </c>
      <c r="Z59" s="5">
        <f>+Tabla13[[#This Row],[Atraso a facturar]]+Tabla13[[#This Row],[Venta del mes]]+Tabla13[[#This Row],[Ajuste]]</f>
        <v>0</v>
      </c>
      <c r="AA59" s="6">
        <f>+Tabla13[[#This Row],[Atraso a facturar]]+Tabla13[[#This Row],[Venta del mes]]+Tabla13[[#This Row],[En puerto a facturar]]</f>
        <v>0</v>
      </c>
      <c r="AB59" s="20">
        <f>IFERROR(VLOOKUP(Tabla13[[#This Row],[Llave]],'[5]Consolidación planes'!$A:$M,9,FALSE),0)</f>
        <v>0</v>
      </c>
      <c r="AC59" s="20">
        <f>IFERROR(VLOOKUP(Tabla13[[#This Row],[Llave]],'[5]Consolidación planes'!$A:$M,10,FALSE),0)</f>
        <v>0</v>
      </c>
      <c r="AD59" s="20">
        <f>IFERROR(VLOOKUP(Tabla13[[#This Row],[Llave]],'[5]Consolidación planes'!$A:$M,11,FALSE),0)</f>
        <v>0</v>
      </c>
      <c r="AE59" s="20">
        <f>IFERROR(VLOOKUP(Tabla13[[#This Row],[Llave]],'[5]Consolidación planes'!$A:$M,12,FALSE),0)</f>
        <v>48000</v>
      </c>
      <c r="AF59" s="20">
        <f>IFERROR(VLOOKUP(Tabla13[[#This Row],[Llave]],'[5]Consolidación planes'!$A:$M,13,FALSE),0)</f>
        <v>0</v>
      </c>
    </row>
    <row r="60" spans="2:32" ht="16" hidden="1" x14ac:dyDescent="0.2">
      <c r="B60" t="str">
        <f>Tabla13[[#This Row],[Oficina]]&amp;Tabla13[[#This Row],[Material]]</f>
        <v>Agro Sudamerica1022273</v>
      </c>
      <c r="C60" t="s">
        <v>6</v>
      </c>
      <c r="D60" t="s">
        <v>17</v>
      </c>
      <c r="E60">
        <v>1022273</v>
      </c>
      <c r="F60" t="s">
        <v>14</v>
      </c>
      <c r="G60" t="s">
        <v>11</v>
      </c>
      <c r="H60" t="s">
        <v>12</v>
      </c>
      <c r="I60" s="7">
        <f>IFERROR(VLOOKUP(Tabla13[[#This Row],[Llave]],'[1]Consolidado RV'!$B:$H,6,FALSE),0)</f>
        <v>0</v>
      </c>
      <c r="J60" s="3">
        <f>IFERROR(VLOOKUP(Tabla13[[#This Row],[Llave]],'[1]Consolidado RV'!$B:$H,7,FALSE),0)</f>
        <v>0</v>
      </c>
      <c r="K60" s="8">
        <f>IFERROR(VLOOKUP(Tabla13[[#This Row],[Oficina]],#REF!,2,FALSE),0)</f>
        <v>0</v>
      </c>
      <c r="L60" s="7">
        <f>+Tabla13[[#This Row],[ RV Producción mes n+1]]*Tabla13[[#This Row],[% Uti. producción]]</f>
        <v>0</v>
      </c>
      <c r="M60" s="7">
        <f>IFERROR(VLOOKUP(Tabla13[[#This Row],[Material]],#REF!,2,FALSE),0)</f>
        <v>0</v>
      </c>
      <c r="N60" s="7">
        <f>IFERROR(VLOOKUP(Tabla13[[#This Row],[Llave]],'En puerto-Programado'!A:D,4,FALSE)+VLOOKUP(Tabla13[[#This Row],[Llave]],'Por despachar'!A:F,6,FALSE),0)</f>
        <v>0</v>
      </c>
      <c r="O60" s="7">
        <f>IFERROR(VLOOKUP(Tabla13[[#This Row],[Material]],[2]Consolidado!$C:$D,2,FALSE),0)</f>
        <v>48176.015295461519</v>
      </c>
      <c r="P60" s="7">
        <f>IFERROR(VLOOKUP(Tabla13[[#This Row],[Llave]],'Por despachar'!A:E,5,FALSE),0)</f>
        <v>0</v>
      </c>
      <c r="Q60" s="14">
        <f>SUM(Tabla13[[#This Row],[Producción disponible]],Tabla13[[#This Row],[Stock al día]],Tabla13[[#This Row],[Por producir Abr.]])-SUM(Tabla13[[#This Row],[Stock por despachar N]],Tabla13[[#This Row],[Producción por despachar mes N]])</f>
        <v>48176.015295461519</v>
      </c>
      <c r="R60" s="7">
        <f>IFERROR(VLOOKUP(Tabla13[[#This Row],[Llave]],[3]Hoja2!$A:$D,4,FALSE),0)</f>
        <v>0</v>
      </c>
      <c r="S60" s="9">
        <f>IFERROR(VLOOKUP(Tabla13[[#This Row],[Material]],[4]Hoja1!$B:$C,2,FALSE),0)</f>
        <v>24000</v>
      </c>
      <c r="T60" s="5">
        <f t="shared" si="1"/>
        <v>0</v>
      </c>
      <c r="U60" s="3">
        <f>+Tabla13[[#This Row],[Total disponible]]-Tabla13[[#This Row],[Atraso a facturar]]</f>
        <v>48176.015295461519</v>
      </c>
      <c r="V60" s="6">
        <f t="shared" si="0"/>
        <v>0</v>
      </c>
      <c r="W60" s="3" t="str">
        <f>IF(Tabla13[[#This Row],[Venta del mes]]&gt;Tabla13[[#This Row],[ RV  Venta mes n+1]],"Falta venta","-")</f>
        <v>-</v>
      </c>
      <c r="X60" s="7"/>
      <c r="Y60" s="18">
        <v>0</v>
      </c>
      <c r="Z60" s="5">
        <f>+Tabla13[[#This Row],[Atraso a facturar]]+Tabla13[[#This Row],[Venta del mes]]+Tabla13[[#This Row],[Ajuste]]</f>
        <v>0</v>
      </c>
      <c r="AA60" s="6">
        <f>+Tabla13[[#This Row],[Atraso a facturar]]+Tabla13[[#This Row],[Venta del mes]]+Tabla13[[#This Row],[En puerto a facturar]]</f>
        <v>0</v>
      </c>
      <c r="AB60" s="20">
        <f>IFERROR(VLOOKUP(Tabla13[[#This Row],[Llave]],'[5]Consolidación planes'!$A:$M,9,FALSE),0)</f>
        <v>0</v>
      </c>
      <c r="AC60" s="20">
        <f>IFERROR(VLOOKUP(Tabla13[[#This Row],[Llave]],'[5]Consolidación planes'!$A:$M,10,FALSE),0)</f>
        <v>0</v>
      </c>
      <c r="AD60" s="20">
        <f>IFERROR(VLOOKUP(Tabla13[[#This Row],[Llave]],'[5]Consolidación planes'!$A:$M,11,FALSE),0)</f>
        <v>12000</v>
      </c>
      <c r="AE60" s="20">
        <f>IFERROR(VLOOKUP(Tabla13[[#This Row],[Llave]],'[5]Consolidación planes'!$A:$M,12,FALSE),0)</f>
        <v>0</v>
      </c>
      <c r="AF60" s="20">
        <f>IFERROR(VLOOKUP(Tabla13[[#This Row],[Llave]],'[5]Consolidación planes'!$A:$M,13,FALSE),0)</f>
        <v>0</v>
      </c>
    </row>
    <row r="61" spans="2:32" ht="16" hidden="1" x14ac:dyDescent="0.2">
      <c r="B61" t="str">
        <f>Tabla13[[#This Row],[Oficina]]&amp;Tabla13[[#This Row],[Material]]</f>
        <v>Agro Sudamerica1022384</v>
      </c>
      <c r="C61" t="s">
        <v>6</v>
      </c>
      <c r="D61" t="s">
        <v>17</v>
      </c>
      <c r="E61">
        <v>1022384</v>
      </c>
      <c r="F61" t="s">
        <v>24</v>
      </c>
      <c r="G61" t="s">
        <v>18</v>
      </c>
      <c r="H61" t="s">
        <v>21</v>
      </c>
      <c r="I61" s="7">
        <f>IFERROR(VLOOKUP(Tabla13[[#This Row],[Llave]],'[1]Consolidado RV'!$B:$H,6,FALSE),0)</f>
        <v>0</v>
      </c>
      <c r="J61" s="3">
        <f>IFERROR(VLOOKUP(Tabla13[[#This Row],[Llave]],'[1]Consolidado RV'!$B:$H,7,FALSE),0)</f>
        <v>0</v>
      </c>
      <c r="K61" s="8">
        <f>IFERROR(VLOOKUP(Tabla13[[#This Row],[Oficina]],#REF!,2,FALSE),0)</f>
        <v>0</v>
      </c>
      <c r="L61" s="7">
        <f>+Tabla13[[#This Row],[ RV Producción mes n+1]]*Tabla13[[#This Row],[% Uti. producción]]</f>
        <v>0</v>
      </c>
      <c r="M61" s="7">
        <f>IFERROR(VLOOKUP(Tabla13[[#This Row],[Material]],#REF!,2,FALSE),0)</f>
        <v>0</v>
      </c>
      <c r="N61" s="7">
        <f>IFERROR(VLOOKUP(Tabla13[[#This Row],[Llave]],'En puerto-Programado'!A:D,4,FALSE)+VLOOKUP(Tabla13[[#This Row],[Llave]],'Por despachar'!A:F,6,FALSE),0)</f>
        <v>0</v>
      </c>
      <c r="O61" s="7">
        <f>IFERROR(VLOOKUP(Tabla13[[#This Row],[Material]],[2]Consolidado!$C:$D,2,FALSE),0)</f>
        <v>0</v>
      </c>
      <c r="P61" s="7">
        <f>IFERROR(VLOOKUP(Tabla13[[#This Row],[Llave]],'Por despachar'!A:E,5,FALSE),0)</f>
        <v>0</v>
      </c>
      <c r="Q6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61" s="7">
        <f>IFERROR(VLOOKUP(Tabla13[[#This Row],[Llave]],[3]Hoja2!$A:$D,4,FALSE),0)</f>
        <v>0</v>
      </c>
      <c r="S61" s="9">
        <f>IFERROR(VLOOKUP(Tabla13[[#This Row],[Material]],[4]Hoja1!$B:$C,2,FALSE),0)</f>
        <v>24000</v>
      </c>
      <c r="T61" s="5">
        <f t="shared" si="1"/>
        <v>0</v>
      </c>
      <c r="U61" s="3">
        <f>+Tabla13[[#This Row],[Total disponible]]-Tabla13[[#This Row],[Atraso a facturar]]</f>
        <v>0</v>
      </c>
      <c r="V61" s="6">
        <f t="shared" si="0"/>
        <v>0</v>
      </c>
      <c r="W61" s="3" t="str">
        <f>IF(Tabla13[[#This Row],[Venta del mes]]&gt;Tabla13[[#This Row],[ RV  Venta mes n+1]],"Falta venta","-")</f>
        <v>-</v>
      </c>
      <c r="X61" s="7"/>
      <c r="Y61" s="18">
        <v>0</v>
      </c>
      <c r="Z61" s="5">
        <f>+Tabla13[[#This Row],[Atraso a facturar]]+Tabla13[[#This Row],[Venta del mes]]+Tabla13[[#This Row],[Ajuste]]</f>
        <v>0</v>
      </c>
      <c r="AA61" s="6">
        <f>+Tabla13[[#This Row],[Atraso a facturar]]+Tabla13[[#This Row],[Venta del mes]]+Tabla13[[#This Row],[En puerto a facturar]]</f>
        <v>0</v>
      </c>
      <c r="AB61" s="20">
        <f>IFERROR(VLOOKUP(Tabla13[[#This Row],[Llave]],'[5]Consolidación planes'!$A:$M,9,FALSE),0)</f>
        <v>2947</v>
      </c>
      <c r="AC61" s="20">
        <f>IFERROR(VLOOKUP(Tabla13[[#This Row],[Llave]],'[5]Consolidación planes'!$A:$M,10,FALSE),0)</f>
        <v>0</v>
      </c>
      <c r="AD61" s="20">
        <f>IFERROR(VLOOKUP(Tabla13[[#This Row],[Llave]],'[5]Consolidación planes'!$A:$M,11,FALSE),0)</f>
        <v>0</v>
      </c>
      <c r="AE61" s="20">
        <f>IFERROR(VLOOKUP(Tabla13[[#This Row],[Llave]],'[5]Consolidación planes'!$A:$M,12,FALSE),0)</f>
        <v>0</v>
      </c>
      <c r="AF61" s="20">
        <f>IFERROR(VLOOKUP(Tabla13[[#This Row],[Llave]],'[5]Consolidación planes'!$A:$M,13,FALSE),0)</f>
        <v>619</v>
      </c>
    </row>
    <row r="62" spans="2:32" ht="16" hidden="1" x14ac:dyDescent="0.2">
      <c r="B62" t="str">
        <f>Tabla13[[#This Row],[Oficina]]&amp;Tabla13[[#This Row],[Material]]</f>
        <v>Agro Sudamerica1022406</v>
      </c>
      <c r="C62" t="s">
        <v>6</v>
      </c>
      <c r="D62" t="s">
        <v>17</v>
      </c>
      <c r="E62">
        <v>1022406</v>
      </c>
      <c r="F62" t="s">
        <v>78</v>
      </c>
      <c r="G62" t="s">
        <v>76</v>
      </c>
      <c r="H62" t="s">
        <v>77</v>
      </c>
      <c r="I62" s="7">
        <f>IFERROR(VLOOKUP(Tabla13[[#This Row],[Llave]],'[1]Consolidado RV'!$B:$H,6,FALSE),0)</f>
        <v>0</v>
      </c>
      <c r="J62" s="3">
        <f>IFERROR(VLOOKUP(Tabla13[[#This Row],[Llave]],'[1]Consolidado RV'!$B:$H,7,FALSE),0)</f>
        <v>0</v>
      </c>
      <c r="K62" s="8">
        <f>IFERROR(VLOOKUP(Tabla13[[#This Row],[Oficina]],#REF!,2,FALSE),0)</f>
        <v>0</v>
      </c>
      <c r="L62" s="7">
        <f>+Tabla13[[#This Row],[ RV Producción mes n+1]]*Tabla13[[#This Row],[% Uti. producción]]</f>
        <v>0</v>
      </c>
      <c r="M62" s="7">
        <f>IFERROR(VLOOKUP(Tabla13[[#This Row],[Material]],#REF!,2,FALSE),0)</f>
        <v>0</v>
      </c>
      <c r="N62" s="7">
        <f>IFERROR(VLOOKUP(Tabla13[[#This Row],[Llave]],'En puerto-Programado'!A:D,4,FALSE)+VLOOKUP(Tabla13[[#This Row],[Llave]],'Por despachar'!A:F,6,FALSE),0)</f>
        <v>0</v>
      </c>
      <c r="O62" s="7">
        <f>IFERROR(VLOOKUP(Tabla13[[#This Row],[Material]],[2]Consolidado!$C:$D,2,FALSE),0)</f>
        <v>0</v>
      </c>
      <c r="P62" s="7">
        <f>IFERROR(VLOOKUP(Tabla13[[#This Row],[Llave]],'Por despachar'!A:E,5,FALSE),0)</f>
        <v>0</v>
      </c>
      <c r="Q62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62" s="7">
        <f>IFERROR(VLOOKUP(Tabla13[[#This Row],[Llave]],[3]Hoja2!$A:$D,4,FALSE),0)</f>
        <v>8000</v>
      </c>
      <c r="S62" s="9">
        <f>IFERROR(VLOOKUP(Tabla13[[#This Row],[Material]],[4]Hoja1!$B:$C,2,FALSE),0)</f>
        <v>24000</v>
      </c>
      <c r="T62" s="5">
        <f t="shared" si="1"/>
        <v>0</v>
      </c>
      <c r="U62" s="3">
        <f>+Tabla13[[#This Row],[Total disponible]]-Tabla13[[#This Row],[Atraso a facturar]]</f>
        <v>0</v>
      </c>
      <c r="V62" s="6">
        <f t="shared" si="0"/>
        <v>0</v>
      </c>
      <c r="W62" s="3" t="str">
        <f>IF(Tabla13[[#This Row],[Venta del mes]]&gt;Tabla13[[#This Row],[ RV  Venta mes n+1]],"Falta venta","-")</f>
        <v>-</v>
      </c>
      <c r="X62" s="7"/>
      <c r="Y62" s="18">
        <v>0</v>
      </c>
      <c r="Z62" s="5">
        <f>+Tabla13[[#This Row],[Atraso a facturar]]+Tabla13[[#This Row],[Venta del mes]]+Tabla13[[#This Row],[Ajuste]]</f>
        <v>0</v>
      </c>
      <c r="AA62" s="6">
        <f>+Tabla13[[#This Row],[Atraso a facturar]]+Tabla13[[#This Row],[Venta del mes]]+Tabla13[[#This Row],[En puerto a facturar]]</f>
        <v>0</v>
      </c>
      <c r="AB62" s="20">
        <f>IFERROR(VLOOKUP(Tabla13[[#This Row],[Llave]],'[5]Consolidación planes'!$A:$M,9,FALSE),0)</f>
        <v>0</v>
      </c>
      <c r="AC62" s="20">
        <f>IFERROR(VLOOKUP(Tabla13[[#This Row],[Llave]],'[5]Consolidación planes'!$A:$M,10,FALSE),0)</f>
        <v>0</v>
      </c>
      <c r="AD62" s="20">
        <f>IFERROR(VLOOKUP(Tabla13[[#This Row],[Llave]],'[5]Consolidación planes'!$A:$M,11,FALSE),0)</f>
        <v>0</v>
      </c>
      <c r="AE62" s="20">
        <f>IFERROR(VLOOKUP(Tabla13[[#This Row],[Llave]],'[5]Consolidación planes'!$A:$M,12,FALSE),0)</f>
        <v>0</v>
      </c>
      <c r="AF62" s="20">
        <f>IFERROR(VLOOKUP(Tabla13[[#This Row],[Llave]],'[5]Consolidación planes'!$A:$M,13,FALSE),0)</f>
        <v>0</v>
      </c>
    </row>
    <row r="63" spans="2:32" ht="16" hidden="1" x14ac:dyDescent="0.2">
      <c r="B63" t="str">
        <f>Tabla13[[#This Row],[Oficina]]&amp;Tabla13[[#This Row],[Material]]</f>
        <v>Agro Sudamerica1022409</v>
      </c>
      <c r="C63" t="s">
        <v>6</v>
      </c>
      <c r="D63" t="s">
        <v>17</v>
      </c>
      <c r="E63">
        <v>1022409</v>
      </c>
      <c r="F63" t="s">
        <v>80</v>
      </c>
      <c r="G63" t="s">
        <v>76</v>
      </c>
      <c r="H63" t="s">
        <v>79</v>
      </c>
      <c r="I63" s="7">
        <f>IFERROR(VLOOKUP(Tabla13[[#This Row],[Llave]],'[1]Consolidado RV'!$B:$H,6,FALSE),0)</f>
        <v>0</v>
      </c>
      <c r="J63" s="3">
        <f>IFERROR(VLOOKUP(Tabla13[[#This Row],[Llave]],'[1]Consolidado RV'!$B:$H,7,FALSE),0)</f>
        <v>12968</v>
      </c>
      <c r="K63" s="8">
        <f>IFERROR(VLOOKUP(Tabla13[[#This Row],[Oficina]],#REF!,2,FALSE),0)</f>
        <v>0</v>
      </c>
      <c r="L63" s="7">
        <f>+Tabla13[[#This Row],[ RV Producción mes n+1]]*Tabla13[[#This Row],[% Uti. producción]]</f>
        <v>0</v>
      </c>
      <c r="M63" s="7">
        <f>IFERROR(VLOOKUP(Tabla13[[#This Row],[Material]],#REF!,2,FALSE),0)</f>
        <v>0</v>
      </c>
      <c r="N63" s="7">
        <f>IFERROR(VLOOKUP(Tabla13[[#This Row],[Llave]],'En puerto-Programado'!A:D,4,FALSE)+VLOOKUP(Tabla13[[#This Row],[Llave]],'Por despachar'!A:F,6,FALSE),0)</f>
        <v>13680</v>
      </c>
      <c r="O63" s="7">
        <f>IFERROR(VLOOKUP(Tabla13[[#This Row],[Material]],[2]Consolidado!$C:$D,2,FALSE),0)</f>
        <v>7842.4000000000005</v>
      </c>
      <c r="P63" s="7">
        <f>IFERROR(VLOOKUP(Tabla13[[#This Row],[Llave]],'Por despachar'!A:E,5,FALSE),0)</f>
        <v>0</v>
      </c>
      <c r="Q63" s="14">
        <f>SUM(Tabla13[[#This Row],[Producción disponible]],Tabla13[[#This Row],[Stock al día]],Tabla13[[#This Row],[Por producir Abr.]])-SUM(Tabla13[[#This Row],[Stock por despachar N]],Tabla13[[#This Row],[Producción por despachar mes N]])</f>
        <v>-5837.5999999999995</v>
      </c>
      <c r="R63" s="7">
        <f>IFERROR(VLOOKUP(Tabla13[[#This Row],[Llave]],[3]Hoja2!$A:$D,4,FALSE),0)</f>
        <v>0</v>
      </c>
      <c r="S63" s="9">
        <f>IFERROR(VLOOKUP(Tabla13[[#This Row],[Material]],[4]Hoja1!$B:$C,2,FALSE),0)</f>
        <v>24000</v>
      </c>
      <c r="T63" s="5">
        <f t="shared" si="1"/>
        <v>0</v>
      </c>
      <c r="U63" s="3">
        <f>+Tabla13[[#This Row],[Total disponible]]-Tabla13[[#This Row],[Atraso a facturar]]</f>
        <v>-5837.5999999999995</v>
      </c>
      <c r="V63" s="6">
        <f t="shared" si="0"/>
        <v>0</v>
      </c>
      <c r="W63" s="3" t="str">
        <f>IF(Tabla13[[#This Row],[Venta del mes]]&gt;Tabla13[[#This Row],[ RV  Venta mes n+1]],"Falta venta","-")</f>
        <v>-</v>
      </c>
      <c r="X63" s="7"/>
      <c r="Y63" s="18">
        <v>0</v>
      </c>
      <c r="Z63" s="5">
        <f>+Tabla13[[#This Row],[Atraso a facturar]]+Tabla13[[#This Row],[Venta del mes]]+Tabla13[[#This Row],[Ajuste]]</f>
        <v>0</v>
      </c>
      <c r="AA63" s="6">
        <f>+Tabla13[[#This Row],[Atraso a facturar]]+Tabla13[[#This Row],[Venta del mes]]+Tabla13[[#This Row],[En puerto a facturar]]</f>
        <v>0</v>
      </c>
      <c r="AB63" s="20">
        <f>IFERROR(VLOOKUP(Tabla13[[#This Row],[Llave]],'[5]Consolidación planes'!$A:$M,9,FALSE),0)</f>
        <v>23940</v>
      </c>
      <c r="AC63" s="20">
        <f>IFERROR(VLOOKUP(Tabla13[[#This Row],[Llave]],'[5]Consolidación planes'!$A:$M,10,FALSE),0)</f>
        <v>13680</v>
      </c>
      <c r="AD63" s="20">
        <f>IFERROR(VLOOKUP(Tabla13[[#This Row],[Llave]],'[5]Consolidación planes'!$A:$M,11,FALSE),0)</f>
        <v>23940</v>
      </c>
      <c r="AE63" s="20">
        <f>IFERROR(VLOOKUP(Tabla13[[#This Row],[Llave]],'[5]Consolidación planes'!$A:$M,12,FALSE),0)</f>
        <v>13680</v>
      </c>
      <c r="AF63" s="20">
        <f>IFERROR(VLOOKUP(Tabla13[[#This Row],[Llave]],'[5]Consolidación planes'!$A:$M,13,FALSE),0)</f>
        <v>0</v>
      </c>
    </row>
    <row r="64" spans="2:32" ht="16" hidden="1" x14ac:dyDescent="0.2">
      <c r="B64" t="str">
        <f>Tabla13[[#This Row],[Oficina]]&amp;Tabla13[[#This Row],[Material]]</f>
        <v>Agro Sudamerica1022418</v>
      </c>
      <c r="C64" t="s">
        <v>6</v>
      </c>
      <c r="D64" t="s">
        <v>17</v>
      </c>
      <c r="E64">
        <v>1022418</v>
      </c>
      <c r="F64" t="s">
        <v>80</v>
      </c>
      <c r="G64" t="s">
        <v>76</v>
      </c>
      <c r="H64" t="s">
        <v>79</v>
      </c>
      <c r="I64" s="7">
        <f>IFERROR(VLOOKUP(Tabla13[[#This Row],[Llave]],'[1]Consolidado RV'!$B:$H,6,FALSE),0)</f>
        <v>0</v>
      </c>
      <c r="J64" s="3">
        <f>IFERROR(VLOOKUP(Tabla13[[#This Row],[Llave]],'[1]Consolidado RV'!$B:$H,7,FALSE),0)</f>
        <v>0</v>
      </c>
      <c r="K64" s="8">
        <f>IFERROR(VLOOKUP(Tabla13[[#This Row],[Oficina]],#REF!,2,FALSE),0)</f>
        <v>0</v>
      </c>
      <c r="L64" s="7">
        <f>+Tabla13[[#This Row],[ RV Producción mes n+1]]*Tabla13[[#This Row],[% Uti. producción]]</f>
        <v>0</v>
      </c>
      <c r="M64" s="7">
        <f>IFERROR(VLOOKUP(Tabla13[[#This Row],[Material]],#REF!,2,FALSE),0)</f>
        <v>0</v>
      </c>
      <c r="N64" s="7">
        <f>IFERROR(VLOOKUP(Tabla13[[#This Row],[Llave]],'En puerto-Programado'!A:D,4,FALSE)+VLOOKUP(Tabla13[[#This Row],[Llave]],'Por despachar'!A:F,6,FALSE),0)</f>
        <v>0</v>
      </c>
      <c r="O64" s="7">
        <f>IFERROR(VLOOKUP(Tabla13[[#This Row],[Material]],[2]Consolidado!$C:$D,2,FALSE),0)</f>
        <v>0</v>
      </c>
      <c r="P64" s="7">
        <f>IFERROR(VLOOKUP(Tabla13[[#This Row],[Llave]],'Por despachar'!A:E,5,FALSE),0)</f>
        <v>0</v>
      </c>
      <c r="Q6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64" s="7">
        <f>IFERROR(VLOOKUP(Tabla13[[#This Row],[Llave]],[3]Hoja2!$A:$D,4,FALSE),0)</f>
        <v>0</v>
      </c>
      <c r="S64" s="9">
        <f>IFERROR(VLOOKUP(Tabla13[[#This Row],[Material]],[4]Hoja1!$B:$C,2,FALSE),0)</f>
        <v>24000</v>
      </c>
      <c r="T64" s="5">
        <f t="shared" si="1"/>
        <v>0</v>
      </c>
      <c r="U64" s="3">
        <f>+Tabla13[[#This Row],[Total disponible]]-Tabla13[[#This Row],[Atraso a facturar]]</f>
        <v>0</v>
      </c>
      <c r="V64" s="6">
        <f t="shared" si="0"/>
        <v>0</v>
      </c>
      <c r="W64" s="3" t="str">
        <f>IF(Tabla13[[#This Row],[Venta del mes]]&gt;Tabla13[[#This Row],[ RV  Venta mes n+1]],"Falta venta","-")</f>
        <v>-</v>
      </c>
      <c r="X64" s="7"/>
      <c r="Y64" s="18">
        <v>0</v>
      </c>
      <c r="Z64" s="5">
        <f>+Tabla13[[#This Row],[Atraso a facturar]]+Tabla13[[#This Row],[Venta del mes]]+Tabla13[[#This Row],[Ajuste]]</f>
        <v>0</v>
      </c>
      <c r="AA64" s="6">
        <f>+Tabla13[[#This Row],[Atraso a facturar]]+Tabla13[[#This Row],[Venta del mes]]+Tabla13[[#This Row],[En puerto a facturar]]</f>
        <v>0</v>
      </c>
      <c r="AB64" s="20">
        <f>IFERROR(VLOOKUP(Tabla13[[#This Row],[Llave]],'[5]Consolidación planes'!$A:$M,9,FALSE),0)</f>
        <v>0</v>
      </c>
      <c r="AC64" s="20">
        <f>IFERROR(VLOOKUP(Tabla13[[#This Row],[Llave]],'[5]Consolidación planes'!$A:$M,10,FALSE),0)</f>
        <v>0</v>
      </c>
      <c r="AD64" s="20">
        <f>IFERROR(VLOOKUP(Tabla13[[#This Row],[Llave]],'[5]Consolidación planes'!$A:$M,11,FALSE),0)</f>
        <v>0</v>
      </c>
      <c r="AE64" s="20">
        <f>IFERROR(VLOOKUP(Tabla13[[#This Row],[Llave]],'[5]Consolidación planes'!$A:$M,12,FALSE),0)</f>
        <v>0</v>
      </c>
      <c r="AF64" s="20">
        <f>IFERROR(VLOOKUP(Tabla13[[#This Row],[Llave]],'[5]Consolidación planes'!$A:$M,13,FALSE),0)</f>
        <v>0</v>
      </c>
    </row>
    <row r="65" spans="2:32" ht="16" hidden="1" x14ac:dyDescent="0.2">
      <c r="B65" t="str">
        <f>Tabla13[[#This Row],[Oficina]]&amp;Tabla13[[#This Row],[Material]]</f>
        <v>Agro Sudamerica1022569</v>
      </c>
      <c r="C65" t="s">
        <v>6</v>
      </c>
      <c r="D65" t="s">
        <v>17</v>
      </c>
      <c r="E65">
        <v>1022569</v>
      </c>
      <c r="F65" t="s">
        <v>277</v>
      </c>
      <c r="G65" t="s">
        <v>18</v>
      </c>
      <c r="H65" t="s">
        <v>21</v>
      </c>
      <c r="I65" s="7">
        <f>IFERROR(VLOOKUP(Tabla13[[#This Row],[Llave]],'[1]Consolidado RV'!$B:$H,6,FALSE),0)</f>
        <v>0</v>
      </c>
      <c r="J65" s="3">
        <f>IFERROR(VLOOKUP(Tabla13[[#This Row],[Llave]],'[1]Consolidado RV'!$B:$H,7,FALSE),0)</f>
        <v>0</v>
      </c>
      <c r="K65" s="8">
        <f>IFERROR(VLOOKUP(Tabla13[[#This Row],[Oficina]],#REF!,2,FALSE),0)</f>
        <v>0</v>
      </c>
      <c r="L65" s="7">
        <f>+Tabla13[[#This Row],[ RV Producción mes n+1]]*Tabla13[[#This Row],[% Uti. producción]]</f>
        <v>0</v>
      </c>
      <c r="M65" s="7">
        <f>IFERROR(VLOOKUP(Tabla13[[#This Row],[Material]],#REF!,2,FALSE),0)</f>
        <v>0</v>
      </c>
      <c r="N65" s="7">
        <f>IFERROR(VLOOKUP(Tabla13[[#This Row],[Llave]],'En puerto-Programado'!A:D,4,FALSE)+VLOOKUP(Tabla13[[#This Row],[Llave]],'Por despachar'!A:F,6,FALSE),0)</f>
        <v>0</v>
      </c>
      <c r="O65" s="7">
        <f>IFERROR(VLOOKUP(Tabla13[[#This Row],[Material]],[2]Consolidado!$C:$D,2,FALSE),0)</f>
        <v>0</v>
      </c>
      <c r="P65" s="7">
        <f>IFERROR(VLOOKUP(Tabla13[[#This Row],[Llave]],'Por despachar'!A:E,5,FALSE),0)</f>
        <v>0</v>
      </c>
      <c r="Q6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65" s="7">
        <f>IFERROR(VLOOKUP(Tabla13[[#This Row],[Llave]],[3]Hoja2!$A:$D,4,FALSE),0)</f>
        <v>5000</v>
      </c>
      <c r="S65" s="9">
        <f>IFERROR(VLOOKUP(Tabla13[[#This Row],[Material]],[4]Hoja1!$B:$C,2,FALSE),0)</f>
        <v>24000</v>
      </c>
      <c r="T65" s="5">
        <f t="shared" si="1"/>
        <v>0</v>
      </c>
      <c r="U65" s="3">
        <f>+Tabla13[[#This Row],[Total disponible]]-Tabla13[[#This Row],[Atraso a facturar]]</f>
        <v>0</v>
      </c>
      <c r="V65" s="6">
        <f t="shared" si="0"/>
        <v>0</v>
      </c>
      <c r="W65" s="3" t="str">
        <f>IF(Tabla13[[#This Row],[Venta del mes]]&gt;Tabla13[[#This Row],[ RV  Venta mes n+1]],"Falta venta","-")</f>
        <v>-</v>
      </c>
      <c r="X65" s="7"/>
      <c r="Y65" s="18">
        <v>0</v>
      </c>
      <c r="Z65" s="5">
        <f>+Tabla13[[#This Row],[Atraso a facturar]]+Tabla13[[#This Row],[Venta del mes]]+Tabla13[[#This Row],[Ajuste]]</f>
        <v>0</v>
      </c>
      <c r="AA65" s="6">
        <f>+Tabla13[[#This Row],[Atraso a facturar]]+Tabla13[[#This Row],[Venta del mes]]+Tabla13[[#This Row],[En puerto a facturar]]</f>
        <v>0</v>
      </c>
      <c r="AB65" s="20">
        <f>IFERROR(VLOOKUP(Tabla13[[#This Row],[Llave]],'[5]Consolidación planes'!$A:$M,9,FALSE),0)</f>
        <v>0</v>
      </c>
      <c r="AC65" s="20">
        <f>IFERROR(VLOOKUP(Tabla13[[#This Row],[Llave]],'[5]Consolidación planes'!$A:$M,10,FALSE),0)</f>
        <v>5000</v>
      </c>
      <c r="AD65" s="20">
        <f>IFERROR(VLOOKUP(Tabla13[[#This Row],[Llave]],'[5]Consolidación planes'!$A:$M,11,FALSE),0)</f>
        <v>0</v>
      </c>
      <c r="AE65" s="20">
        <f>IFERROR(VLOOKUP(Tabla13[[#This Row],[Llave]],'[5]Consolidación planes'!$A:$M,12,FALSE),0)</f>
        <v>0</v>
      </c>
      <c r="AF65" s="20">
        <f>IFERROR(VLOOKUP(Tabla13[[#This Row],[Llave]],'[5]Consolidación planes'!$A:$M,13,FALSE),0)</f>
        <v>5000</v>
      </c>
    </row>
    <row r="66" spans="2:32" ht="16" hidden="1" x14ac:dyDescent="0.2">
      <c r="B66" t="str">
        <f>Tabla13[[#This Row],[Oficina]]&amp;Tabla13[[#This Row],[Material]]</f>
        <v>Agro Sudamerica1022654</v>
      </c>
      <c r="C66" t="s">
        <v>6</v>
      </c>
      <c r="D66" t="s">
        <v>17</v>
      </c>
      <c r="E66">
        <v>1022654</v>
      </c>
      <c r="F66" t="s">
        <v>286</v>
      </c>
      <c r="G66" t="s">
        <v>71</v>
      </c>
      <c r="H66" t="s">
        <v>72</v>
      </c>
      <c r="I66" s="7">
        <f>IFERROR(VLOOKUP(Tabla13[[#This Row],[Llave]],'[1]Consolidado RV'!$B:$H,6,FALSE),0)</f>
        <v>0</v>
      </c>
      <c r="J66" s="3">
        <f>IFERROR(VLOOKUP(Tabla13[[#This Row],[Llave]],'[1]Consolidado RV'!$B:$H,7,FALSE),0)</f>
        <v>0</v>
      </c>
      <c r="K66" s="8">
        <f>IFERROR(VLOOKUP(Tabla13[[#This Row],[Oficina]],#REF!,2,FALSE),0)</f>
        <v>0</v>
      </c>
      <c r="L66" s="7">
        <f>+Tabla13[[#This Row],[ RV Producción mes n+1]]*Tabla13[[#This Row],[% Uti. producción]]</f>
        <v>0</v>
      </c>
      <c r="M66" s="7">
        <f>IFERROR(VLOOKUP(Tabla13[[#This Row],[Material]],#REF!,2,FALSE),0)</f>
        <v>0</v>
      </c>
      <c r="N66" s="7">
        <f>IFERROR(VLOOKUP(Tabla13[[#This Row],[Llave]],'En puerto-Programado'!A:D,4,FALSE)+VLOOKUP(Tabla13[[#This Row],[Llave]],'Por despachar'!A:F,6,FALSE),0)</f>
        <v>0</v>
      </c>
      <c r="O66" s="7">
        <f>IFERROR(VLOOKUP(Tabla13[[#This Row],[Material]],[2]Consolidado!$C:$D,2,FALSE),0)</f>
        <v>0</v>
      </c>
      <c r="P66" s="7">
        <f>IFERROR(VLOOKUP(Tabla13[[#This Row],[Llave]],'Por despachar'!A:E,5,FALSE),0)</f>
        <v>0</v>
      </c>
      <c r="Q6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66" s="7">
        <f>IFERROR(VLOOKUP(Tabla13[[#This Row],[Llave]],[3]Hoja2!$A:$D,4,FALSE),0)</f>
        <v>46840</v>
      </c>
      <c r="S66" s="9">
        <f>IFERROR(VLOOKUP(Tabla13[[#This Row],[Material]],[4]Hoja1!$B:$C,2,FALSE),0)</f>
        <v>24000</v>
      </c>
      <c r="T66" s="5">
        <f t="shared" si="1"/>
        <v>0</v>
      </c>
      <c r="U66" s="3">
        <f>+Tabla13[[#This Row],[Total disponible]]-Tabla13[[#This Row],[Atraso a facturar]]</f>
        <v>0</v>
      </c>
      <c r="V66" s="6">
        <f t="shared" si="0"/>
        <v>0</v>
      </c>
      <c r="W66" s="3" t="str">
        <f>IF(Tabla13[[#This Row],[Venta del mes]]&gt;Tabla13[[#This Row],[ RV  Venta mes n+1]],"Falta venta","-")</f>
        <v>-</v>
      </c>
      <c r="X66" s="7"/>
      <c r="Y66" s="18">
        <v>0</v>
      </c>
      <c r="Z66" s="5">
        <f>+Tabla13[[#This Row],[Atraso a facturar]]+Tabla13[[#This Row],[Venta del mes]]+Tabla13[[#This Row],[Ajuste]]</f>
        <v>0</v>
      </c>
      <c r="AA66" s="6">
        <f>+Tabla13[[#This Row],[Atraso a facturar]]+Tabla13[[#This Row],[Venta del mes]]+Tabla13[[#This Row],[En puerto a facturar]]</f>
        <v>0</v>
      </c>
      <c r="AB66" s="20">
        <f>IFERROR(VLOOKUP(Tabla13[[#This Row],[Llave]],'[5]Consolidación planes'!$A:$M,9,FALSE),0)</f>
        <v>0</v>
      </c>
      <c r="AC66" s="20">
        <f>IFERROR(VLOOKUP(Tabla13[[#This Row],[Llave]],'[5]Consolidación planes'!$A:$M,10,FALSE),0)</f>
        <v>3360</v>
      </c>
      <c r="AD66" s="20">
        <f>IFERROR(VLOOKUP(Tabla13[[#This Row],[Llave]],'[5]Consolidación planes'!$A:$M,11,FALSE),0)</f>
        <v>0</v>
      </c>
      <c r="AE66" s="20">
        <f>IFERROR(VLOOKUP(Tabla13[[#This Row],[Llave]],'[5]Consolidación planes'!$A:$M,12,FALSE),0)</f>
        <v>0</v>
      </c>
      <c r="AF66" s="20">
        <f>IFERROR(VLOOKUP(Tabla13[[#This Row],[Llave]],'[5]Consolidación planes'!$A:$M,13,FALSE),0)</f>
        <v>0</v>
      </c>
    </row>
    <row r="67" spans="2:32" ht="16" hidden="1" x14ac:dyDescent="0.2">
      <c r="B67" t="str">
        <f>Tabla13[[#This Row],[Oficina]]&amp;Tabla13[[#This Row],[Material]]</f>
        <v>Agro Sudamerica1022705</v>
      </c>
      <c r="C67" t="s">
        <v>6</v>
      </c>
      <c r="D67" t="s">
        <v>17</v>
      </c>
      <c r="E67">
        <v>1022705</v>
      </c>
      <c r="F67" t="s">
        <v>150</v>
      </c>
      <c r="G67" t="s">
        <v>11</v>
      </c>
      <c r="H67" t="s">
        <v>47</v>
      </c>
      <c r="I67" s="7">
        <f>IFERROR(VLOOKUP(Tabla13[[#This Row],[Llave]],'[1]Consolidado RV'!$B:$H,6,FALSE),0)</f>
        <v>0</v>
      </c>
      <c r="J67" s="3">
        <f>IFERROR(VLOOKUP(Tabla13[[#This Row],[Llave]],'[1]Consolidado RV'!$B:$H,7,FALSE),0)</f>
        <v>0</v>
      </c>
      <c r="K67" s="8">
        <f>IFERROR(VLOOKUP(Tabla13[[#This Row],[Oficina]],#REF!,2,FALSE),0)</f>
        <v>0</v>
      </c>
      <c r="L67" s="7">
        <f>+Tabla13[[#This Row],[ RV Producción mes n+1]]*Tabla13[[#This Row],[% Uti. producción]]</f>
        <v>0</v>
      </c>
      <c r="M67" s="7">
        <f>IFERROR(VLOOKUP(Tabla13[[#This Row],[Material]],#REF!,2,FALSE),0)</f>
        <v>0</v>
      </c>
      <c r="N67" s="7">
        <f>IFERROR(VLOOKUP(Tabla13[[#This Row],[Llave]],'En puerto-Programado'!A:D,4,FALSE)+VLOOKUP(Tabla13[[#This Row],[Llave]],'Por despachar'!A:F,6,FALSE),0)</f>
        <v>0</v>
      </c>
      <c r="O67" s="7">
        <f>IFERROR(VLOOKUP(Tabla13[[#This Row],[Material]],[2]Consolidado!$C:$D,2,FALSE),0)</f>
        <v>0</v>
      </c>
      <c r="P67" s="7">
        <f>IFERROR(VLOOKUP(Tabla13[[#This Row],[Llave]],'Por despachar'!A:E,5,FALSE),0)</f>
        <v>0</v>
      </c>
      <c r="Q67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67" s="7">
        <f>IFERROR(VLOOKUP(Tabla13[[#This Row],[Llave]],[3]Hoja2!$A:$D,4,FALSE),0)</f>
        <v>0</v>
      </c>
      <c r="S67" s="9">
        <f>IFERROR(VLOOKUP(Tabla13[[#This Row],[Material]],[4]Hoja1!$B:$C,2,FALSE),0)</f>
        <v>24000</v>
      </c>
      <c r="T67" s="5">
        <f t="shared" si="1"/>
        <v>0</v>
      </c>
      <c r="U67" s="3">
        <f>+Tabla13[[#This Row],[Total disponible]]-Tabla13[[#This Row],[Atraso a facturar]]</f>
        <v>0</v>
      </c>
      <c r="V67" s="6">
        <f t="shared" si="0"/>
        <v>0</v>
      </c>
      <c r="W67" s="3" t="str">
        <f>IF(Tabla13[[#This Row],[Venta del mes]]&gt;Tabla13[[#This Row],[ RV  Venta mes n+1]],"Falta venta","-")</f>
        <v>-</v>
      </c>
      <c r="X67" s="7"/>
      <c r="Y67" s="18">
        <v>0</v>
      </c>
      <c r="Z67" s="5">
        <f>+Tabla13[[#This Row],[Atraso a facturar]]+Tabla13[[#This Row],[Venta del mes]]+Tabla13[[#This Row],[Ajuste]]</f>
        <v>0</v>
      </c>
      <c r="AA67" s="6">
        <f>+Tabla13[[#This Row],[Atraso a facturar]]+Tabla13[[#This Row],[Venta del mes]]+Tabla13[[#This Row],[En puerto a facturar]]</f>
        <v>0</v>
      </c>
      <c r="AB67" s="20">
        <f>IFERROR(VLOOKUP(Tabla13[[#This Row],[Llave]],'[5]Consolidación planes'!$A:$M,9,FALSE),0)</f>
        <v>0</v>
      </c>
      <c r="AC67" s="20">
        <f>IFERROR(VLOOKUP(Tabla13[[#This Row],[Llave]],'[5]Consolidación planes'!$A:$M,10,FALSE),0)</f>
        <v>0</v>
      </c>
      <c r="AD67" s="20">
        <f>IFERROR(VLOOKUP(Tabla13[[#This Row],[Llave]],'[5]Consolidación planes'!$A:$M,11,FALSE),0)</f>
        <v>0</v>
      </c>
      <c r="AE67" s="20">
        <f>IFERROR(VLOOKUP(Tabla13[[#This Row],[Llave]],'[5]Consolidación planes'!$A:$M,12,FALSE),0)</f>
        <v>0</v>
      </c>
      <c r="AF67" s="20">
        <f>IFERROR(VLOOKUP(Tabla13[[#This Row],[Llave]],'[5]Consolidación planes'!$A:$M,13,FALSE),0)</f>
        <v>0</v>
      </c>
    </row>
    <row r="68" spans="2:32" ht="16" hidden="1" x14ac:dyDescent="0.2">
      <c r="B68" t="str">
        <f>Tabla13[[#This Row],[Oficina]]&amp;Tabla13[[#This Row],[Material]]</f>
        <v>Agro Sudamerica1022709</v>
      </c>
      <c r="C68" t="s">
        <v>6</v>
      </c>
      <c r="D68" t="s">
        <v>17</v>
      </c>
      <c r="E68">
        <v>1022709</v>
      </c>
      <c r="F68" t="s">
        <v>64</v>
      </c>
      <c r="G68" t="s">
        <v>59</v>
      </c>
      <c r="H68" t="s">
        <v>62</v>
      </c>
      <c r="I68" s="7">
        <f>IFERROR(VLOOKUP(Tabla13[[#This Row],[Llave]],'[1]Consolidado RV'!$B:$H,6,FALSE),0)</f>
        <v>360000</v>
      </c>
      <c r="J68" s="3">
        <f>IFERROR(VLOOKUP(Tabla13[[#This Row],[Llave]],'[1]Consolidado RV'!$B:$H,7,FALSE),0)</f>
        <v>308238.95961184404</v>
      </c>
      <c r="K68" s="8">
        <f>IFERROR(VLOOKUP(Tabla13[[#This Row],[Oficina]],#REF!,2,FALSE),0)</f>
        <v>0</v>
      </c>
      <c r="L68" s="7">
        <f>+Tabla13[[#This Row],[ RV Producción mes n+1]]*Tabla13[[#This Row],[% Uti. producción]]</f>
        <v>0</v>
      </c>
      <c r="M68" s="7">
        <f>IFERROR(VLOOKUP(Tabla13[[#This Row],[Material]],#REF!,2,FALSE),0)</f>
        <v>0</v>
      </c>
      <c r="N68" s="7">
        <f>IFERROR(VLOOKUP(Tabla13[[#This Row],[Llave]],'En puerto-Programado'!A:D,4,FALSE)+VLOOKUP(Tabla13[[#This Row],[Llave]],'Por despachar'!A:F,6,FALSE),0)</f>
        <v>24000</v>
      </c>
      <c r="O68" s="7">
        <f>IFERROR(VLOOKUP(Tabla13[[#This Row],[Material]],[2]Consolidado!$C:$D,2,FALSE),0)</f>
        <v>144998.23058062812</v>
      </c>
      <c r="P68" s="7">
        <f>IFERROR(VLOOKUP(Tabla13[[#This Row],[Llave]],'Por despachar'!A:E,5,FALSE),0)</f>
        <v>0</v>
      </c>
      <c r="Q68" s="14">
        <f>SUM(Tabla13[[#This Row],[Producción disponible]],Tabla13[[#This Row],[Stock al día]],Tabla13[[#This Row],[Por producir Abr.]])-SUM(Tabla13[[#This Row],[Stock por despachar N]],Tabla13[[#This Row],[Producción por despachar mes N]])</f>
        <v>120998.23058062812</v>
      </c>
      <c r="R68" s="7">
        <f>IFERROR(VLOOKUP(Tabla13[[#This Row],[Llave]],[3]Hoja2!$A:$D,4,FALSE),0)</f>
        <v>251000</v>
      </c>
      <c r="S68" s="9">
        <f>IFERROR(VLOOKUP(Tabla13[[#This Row],[Material]],[4]Hoja1!$B:$C,2,FALSE),0)</f>
        <v>24000</v>
      </c>
      <c r="T68" s="5">
        <f t="shared" si="1"/>
        <v>120000</v>
      </c>
      <c r="U68" s="3">
        <f>+Tabla13[[#This Row],[Total disponible]]-Tabla13[[#This Row],[Atraso a facturar]]</f>
        <v>998.23058062812197</v>
      </c>
      <c r="V68" s="6">
        <f t="shared" si="0"/>
        <v>0</v>
      </c>
      <c r="W68" s="3" t="str">
        <f>IF(Tabla13[[#This Row],[Venta del mes]]&gt;Tabla13[[#This Row],[ RV  Venta mes n+1]],"Falta venta","-")</f>
        <v>-</v>
      </c>
      <c r="X68" s="7"/>
      <c r="Y68" s="18">
        <v>0</v>
      </c>
      <c r="Z68" s="5">
        <f>+Tabla13[[#This Row],[Atraso a facturar]]+Tabla13[[#This Row],[Venta del mes]]+Tabla13[[#This Row],[Ajuste]]</f>
        <v>120000</v>
      </c>
      <c r="AA68" s="6">
        <f>+Tabla13[[#This Row],[Atraso a facturar]]+Tabla13[[#This Row],[Venta del mes]]+Tabla13[[#This Row],[En puerto a facturar]]</f>
        <v>120000</v>
      </c>
      <c r="AB68" s="20">
        <f>IFERROR(VLOOKUP(Tabla13[[#This Row],[Llave]],'[5]Consolidación planes'!$A:$M,9,FALSE),0)</f>
        <v>0</v>
      </c>
      <c r="AC68" s="20">
        <f>IFERROR(VLOOKUP(Tabla13[[#This Row],[Llave]],'[5]Consolidación planes'!$A:$M,10,FALSE),0)</f>
        <v>65000</v>
      </c>
      <c r="AD68" s="20">
        <f>IFERROR(VLOOKUP(Tabla13[[#This Row],[Llave]],'[5]Consolidación planes'!$A:$M,11,FALSE),0)</f>
        <v>48000</v>
      </c>
      <c r="AE68" s="20">
        <f>IFERROR(VLOOKUP(Tabla13[[#This Row],[Llave]],'[5]Consolidación planes'!$A:$M,12,FALSE),0)</f>
        <v>120000</v>
      </c>
      <c r="AF68" s="20">
        <f>IFERROR(VLOOKUP(Tabla13[[#This Row],[Llave]],'[5]Consolidación planes'!$A:$M,13,FALSE),0)</f>
        <v>83000</v>
      </c>
    </row>
    <row r="69" spans="2:32" ht="16" hidden="1" x14ac:dyDescent="0.2">
      <c r="B69" t="str">
        <f>Tabla13[[#This Row],[Oficina]]&amp;Tabla13[[#This Row],[Material]]</f>
        <v>Agro Sudamerica1022780</v>
      </c>
      <c r="C69" t="s">
        <v>6</v>
      </c>
      <c r="D69" t="s">
        <v>17</v>
      </c>
      <c r="E69">
        <v>1022780</v>
      </c>
      <c r="F69" t="s">
        <v>322</v>
      </c>
      <c r="G69" t="s">
        <v>76</v>
      </c>
      <c r="H69" t="s">
        <v>79</v>
      </c>
      <c r="I69" s="7">
        <f>IFERROR(VLOOKUP(Tabla13[[#This Row],[Llave]],'[1]Consolidado RV'!$B:$H,6,FALSE),0)</f>
        <v>0</v>
      </c>
      <c r="J69" s="3">
        <f>IFERROR(VLOOKUP(Tabla13[[#This Row],[Llave]],'[1]Consolidado RV'!$B:$H,7,FALSE),0)</f>
        <v>0</v>
      </c>
      <c r="K69" s="8">
        <f>IFERROR(VLOOKUP(Tabla13[[#This Row],[Oficina]],#REF!,2,FALSE),0)</f>
        <v>0</v>
      </c>
      <c r="L69" s="7">
        <f>+Tabla13[[#This Row],[ RV Producción mes n+1]]*Tabla13[[#This Row],[% Uti. producción]]</f>
        <v>0</v>
      </c>
      <c r="M69" s="7">
        <f>IFERROR(VLOOKUP(Tabla13[[#This Row],[Material]],#REF!,2,FALSE),0)</f>
        <v>0</v>
      </c>
      <c r="N69" s="7">
        <f>IFERROR(VLOOKUP(Tabla13[[#This Row],[Llave]],'En puerto-Programado'!A:D,4,FALSE)+VLOOKUP(Tabla13[[#This Row],[Llave]],'Por despachar'!A:F,6,FALSE),0)</f>
        <v>0</v>
      </c>
      <c r="O69" s="7">
        <f>IFERROR(VLOOKUP(Tabla13[[#This Row],[Material]],[2]Consolidado!$C:$D,2,FALSE),0)</f>
        <v>0</v>
      </c>
      <c r="P69" s="7">
        <f>IFERROR(VLOOKUP(Tabla13[[#This Row],[Llave]],'Por despachar'!A:E,5,FALSE),0)</f>
        <v>0</v>
      </c>
      <c r="Q6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69" s="7">
        <f>IFERROR(VLOOKUP(Tabla13[[#This Row],[Llave]],[3]Hoja2!$A:$D,4,FALSE),0)</f>
        <v>0</v>
      </c>
      <c r="S69" s="9">
        <f>IFERROR(VLOOKUP(Tabla13[[#This Row],[Material]],[4]Hoja1!$B:$C,2,FALSE),0)</f>
        <v>24000</v>
      </c>
      <c r="T69" s="5">
        <f t="shared" si="1"/>
        <v>0</v>
      </c>
      <c r="U69" s="3">
        <f>+Tabla13[[#This Row],[Total disponible]]-Tabla13[[#This Row],[Atraso a facturar]]</f>
        <v>0</v>
      </c>
      <c r="V69" s="6">
        <f t="shared" si="0"/>
        <v>0</v>
      </c>
      <c r="W69" s="3" t="str">
        <f>IF(Tabla13[[#This Row],[Venta del mes]]&gt;Tabla13[[#This Row],[ RV  Venta mes n+1]],"Falta venta","-")</f>
        <v>-</v>
      </c>
      <c r="X69" s="7"/>
      <c r="Y69" s="18">
        <v>0</v>
      </c>
      <c r="Z69" s="5">
        <f>+Tabla13[[#This Row],[Atraso a facturar]]+Tabla13[[#This Row],[Venta del mes]]+Tabla13[[#This Row],[Ajuste]]</f>
        <v>0</v>
      </c>
      <c r="AA69" s="6">
        <f>+Tabla13[[#This Row],[Atraso a facturar]]+Tabla13[[#This Row],[Venta del mes]]+Tabla13[[#This Row],[En puerto a facturar]]</f>
        <v>0</v>
      </c>
      <c r="AB69" s="20">
        <f>IFERROR(VLOOKUP(Tabla13[[#This Row],[Llave]],'[5]Consolidación planes'!$A:$M,9,FALSE),0)</f>
        <v>0</v>
      </c>
      <c r="AC69" s="20">
        <f>IFERROR(VLOOKUP(Tabla13[[#This Row],[Llave]],'[5]Consolidación planes'!$A:$M,10,FALSE),0)</f>
        <v>0</v>
      </c>
      <c r="AD69" s="20">
        <f>IFERROR(VLOOKUP(Tabla13[[#This Row],[Llave]],'[5]Consolidación planes'!$A:$M,11,FALSE),0)</f>
        <v>0</v>
      </c>
      <c r="AE69" s="20">
        <f>IFERROR(VLOOKUP(Tabla13[[#This Row],[Llave]],'[5]Consolidación planes'!$A:$M,12,FALSE),0)</f>
        <v>0</v>
      </c>
      <c r="AF69" s="20">
        <f>IFERROR(VLOOKUP(Tabla13[[#This Row],[Llave]],'[5]Consolidación planes'!$A:$M,13,FALSE),0)</f>
        <v>0</v>
      </c>
    </row>
    <row r="70" spans="2:32" ht="16" hidden="1" x14ac:dyDescent="0.2">
      <c r="B70" t="str">
        <f>Tabla13[[#This Row],[Oficina]]&amp;Tabla13[[#This Row],[Material]]</f>
        <v>Agro Sudamerica1022781</v>
      </c>
      <c r="C70" t="s">
        <v>6</v>
      </c>
      <c r="D70" t="s">
        <v>17</v>
      </c>
      <c r="E70">
        <v>1022781</v>
      </c>
      <c r="F70" t="s">
        <v>81</v>
      </c>
      <c r="G70" t="s">
        <v>76</v>
      </c>
      <c r="H70" t="s">
        <v>79</v>
      </c>
      <c r="I70" s="7">
        <f>IFERROR(VLOOKUP(Tabla13[[#This Row],[Llave]],'[1]Consolidado RV'!$B:$H,6,FALSE),0)</f>
        <v>9964.8413999999993</v>
      </c>
      <c r="J70" s="3">
        <f>IFERROR(VLOOKUP(Tabla13[[#This Row],[Llave]],'[1]Consolidado RV'!$B:$H,7,FALSE),0)</f>
        <v>0</v>
      </c>
      <c r="K70" s="8">
        <f>IFERROR(VLOOKUP(Tabla13[[#This Row],[Oficina]],#REF!,2,FALSE),0)</f>
        <v>0</v>
      </c>
      <c r="L70" s="7">
        <f>+Tabla13[[#This Row],[ RV Producción mes n+1]]*Tabla13[[#This Row],[% Uti. producción]]</f>
        <v>0</v>
      </c>
      <c r="M70" s="7">
        <f>IFERROR(VLOOKUP(Tabla13[[#This Row],[Material]],#REF!,2,FALSE),0)</f>
        <v>0</v>
      </c>
      <c r="N70" s="7">
        <f>IFERROR(VLOOKUP(Tabla13[[#This Row],[Llave]],'En puerto-Programado'!A:D,4,FALSE)+VLOOKUP(Tabla13[[#This Row],[Llave]],'Por despachar'!A:F,6,FALSE),0)</f>
        <v>0</v>
      </c>
      <c r="O70" s="7">
        <f>IFERROR(VLOOKUP(Tabla13[[#This Row],[Material]],[2]Consolidado!$C:$D,2,FALSE),0)</f>
        <v>0</v>
      </c>
      <c r="P70" s="7">
        <f>IFERROR(VLOOKUP(Tabla13[[#This Row],[Llave]],'Por despachar'!A:E,5,FALSE),0)</f>
        <v>0</v>
      </c>
      <c r="Q7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70" s="7">
        <f>IFERROR(VLOOKUP(Tabla13[[#This Row],[Llave]],[3]Hoja2!$A:$D,4,FALSE),0)</f>
        <v>15300</v>
      </c>
      <c r="S70" s="9">
        <f>IFERROR(VLOOKUP(Tabla13[[#This Row],[Material]],[4]Hoja1!$B:$C,2,FALSE),0)</f>
        <v>24000</v>
      </c>
      <c r="T70" s="5">
        <f t="shared" si="1"/>
        <v>0</v>
      </c>
      <c r="U70" s="3">
        <f>+Tabla13[[#This Row],[Total disponible]]-Tabla13[[#This Row],[Atraso a facturar]]</f>
        <v>0</v>
      </c>
      <c r="V70" s="6">
        <f t="shared" si="0"/>
        <v>0</v>
      </c>
      <c r="W70" s="3" t="str">
        <f>IF(Tabla13[[#This Row],[Venta del mes]]&gt;Tabla13[[#This Row],[ RV  Venta mes n+1]],"Falta venta","-")</f>
        <v>-</v>
      </c>
      <c r="X70" s="7"/>
      <c r="Y70" s="18">
        <v>0</v>
      </c>
      <c r="Z70" s="5">
        <f>+Tabla13[[#This Row],[Atraso a facturar]]+Tabla13[[#This Row],[Venta del mes]]+Tabla13[[#This Row],[Ajuste]]</f>
        <v>0</v>
      </c>
      <c r="AA70" s="6">
        <f>+Tabla13[[#This Row],[Atraso a facturar]]+Tabla13[[#This Row],[Venta del mes]]+Tabla13[[#This Row],[En puerto a facturar]]</f>
        <v>0</v>
      </c>
      <c r="AB70" s="20">
        <f>IFERROR(VLOOKUP(Tabla13[[#This Row],[Llave]],'[5]Consolidación planes'!$A:$M,9,FALSE),0)</f>
        <v>7067</v>
      </c>
      <c r="AC70" s="20">
        <f>IFERROR(VLOOKUP(Tabla13[[#This Row],[Llave]],'[5]Consolidación planes'!$A:$M,10,FALSE),0)</f>
        <v>3060</v>
      </c>
      <c r="AD70" s="20">
        <f>IFERROR(VLOOKUP(Tabla13[[#This Row],[Llave]],'[5]Consolidación planes'!$A:$M,11,FALSE),0)</f>
        <v>10282</v>
      </c>
      <c r="AE70" s="20">
        <f>IFERROR(VLOOKUP(Tabla13[[#This Row],[Llave]],'[5]Consolidación planes'!$A:$M,12,FALSE),0)</f>
        <v>1500</v>
      </c>
      <c r="AF70" s="20">
        <f>IFERROR(VLOOKUP(Tabla13[[#This Row],[Llave]],'[5]Consolidación planes'!$A:$M,13,FALSE),0)</f>
        <v>6600</v>
      </c>
    </row>
    <row r="71" spans="2:32" ht="16" hidden="1" x14ac:dyDescent="0.2">
      <c r="B71" t="str">
        <f>Tabla13[[#This Row],[Oficina]]&amp;Tabla13[[#This Row],[Material]]</f>
        <v>Agro Sudamerica1022782</v>
      </c>
      <c r="C71" t="s">
        <v>6</v>
      </c>
      <c r="D71" t="s">
        <v>17</v>
      </c>
      <c r="E71">
        <v>1022782</v>
      </c>
      <c r="F71" t="s">
        <v>82</v>
      </c>
      <c r="G71" t="s">
        <v>76</v>
      </c>
      <c r="H71" t="s">
        <v>79</v>
      </c>
      <c r="I71" s="7">
        <f>IFERROR(VLOOKUP(Tabla13[[#This Row],[Llave]],'[1]Consolidado RV'!$B:$H,6,FALSE),0)</f>
        <v>0</v>
      </c>
      <c r="J71" s="3">
        <f>IFERROR(VLOOKUP(Tabla13[[#This Row],[Llave]],'[1]Consolidado RV'!$B:$H,7,FALSE),0)</f>
        <v>0</v>
      </c>
      <c r="K71" s="8">
        <f>IFERROR(VLOOKUP(Tabla13[[#This Row],[Oficina]],#REF!,2,FALSE),0)</f>
        <v>0</v>
      </c>
      <c r="L71" s="7">
        <f>+Tabla13[[#This Row],[ RV Producción mes n+1]]*Tabla13[[#This Row],[% Uti. producción]]</f>
        <v>0</v>
      </c>
      <c r="M71" s="7">
        <f>IFERROR(VLOOKUP(Tabla13[[#This Row],[Material]],#REF!,2,FALSE),0)</f>
        <v>0</v>
      </c>
      <c r="N71" s="7">
        <f>IFERROR(VLOOKUP(Tabla13[[#This Row],[Llave]],'En puerto-Programado'!A:D,4,FALSE)+VLOOKUP(Tabla13[[#This Row],[Llave]],'Por despachar'!A:F,6,FALSE),0)</f>
        <v>0</v>
      </c>
      <c r="O71" s="7">
        <f>IFERROR(VLOOKUP(Tabla13[[#This Row],[Material]],[2]Consolidado!$C:$D,2,FALSE),0)</f>
        <v>0</v>
      </c>
      <c r="P71" s="7">
        <f>IFERROR(VLOOKUP(Tabla13[[#This Row],[Llave]],'Por despachar'!A:E,5,FALSE),0)</f>
        <v>0</v>
      </c>
      <c r="Q7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71" s="7">
        <f>IFERROR(VLOOKUP(Tabla13[[#This Row],[Llave]],[3]Hoja2!$A:$D,4,FALSE),0)</f>
        <v>15120</v>
      </c>
      <c r="S71" s="9">
        <f>IFERROR(VLOOKUP(Tabla13[[#This Row],[Material]],[4]Hoja1!$B:$C,2,FALSE),0)</f>
        <v>24000</v>
      </c>
      <c r="T71" s="5">
        <f t="shared" si="1"/>
        <v>0</v>
      </c>
      <c r="U71" s="3">
        <f>+Tabla13[[#This Row],[Total disponible]]-Tabla13[[#This Row],[Atraso a facturar]]</f>
        <v>0</v>
      </c>
      <c r="V71" s="6">
        <f t="shared" si="0"/>
        <v>0</v>
      </c>
      <c r="W71" s="3" t="str">
        <f>IF(Tabla13[[#This Row],[Venta del mes]]&gt;Tabla13[[#This Row],[ RV  Venta mes n+1]],"Falta venta","-")</f>
        <v>-</v>
      </c>
      <c r="X71" s="7"/>
      <c r="Y71" s="18">
        <v>0</v>
      </c>
      <c r="Z71" s="5">
        <f>+Tabla13[[#This Row],[Atraso a facturar]]+Tabla13[[#This Row],[Venta del mes]]+Tabla13[[#This Row],[Ajuste]]</f>
        <v>0</v>
      </c>
      <c r="AA71" s="6">
        <f>+Tabla13[[#This Row],[Atraso a facturar]]+Tabla13[[#This Row],[Venta del mes]]+Tabla13[[#This Row],[En puerto a facturar]]</f>
        <v>0</v>
      </c>
      <c r="AB71" s="20">
        <f>IFERROR(VLOOKUP(Tabla13[[#This Row],[Llave]],'[5]Consolidación planes'!$A:$M,9,FALSE),0)</f>
        <v>18796</v>
      </c>
      <c r="AC71" s="20">
        <f>IFERROR(VLOOKUP(Tabla13[[#This Row],[Llave]],'[5]Consolidación planes'!$A:$M,10,FALSE),0)</f>
        <v>3600</v>
      </c>
      <c r="AD71" s="20">
        <f>IFERROR(VLOOKUP(Tabla13[[#This Row],[Llave]],'[5]Consolidación planes'!$A:$M,11,FALSE),0)</f>
        <v>0</v>
      </c>
      <c r="AE71" s="20">
        <f>IFERROR(VLOOKUP(Tabla13[[#This Row],[Llave]],'[5]Consolidación planes'!$A:$M,12,FALSE),0)</f>
        <v>0</v>
      </c>
      <c r="AF71" s="20">
        <f>IFERROR(VLOOKUP(Tabla13[[#This Row],[Llave]],'[5]Consolidación planes'!$A:$M,13,FALSE),0)</f>
        <v>3600</v>
      </c>
    </row>
    <row r="72" spans="2:32" ht="16" hidden="1" x14ac:dyDescent="0.2">
      <c r="B72" t="str">
        <f>Tabla13[[#This Row],[Oficina]]&amp;Tabla13[[#This Row],[Material]]</f>
        <v>Agro Sudamerica1022783</v>
      </c>
      <c r="C72" t="s">
        <v>6</v>
      </c>
      <c r="D72" t="s">
        <v>17</v>
      </c>
      <c r="E72">
        <v>1022783</v>
      </c>
      <c r="F72" t="s">
        <v>287</v>
      </c>
      <c r="G72" t="s">
        <v>76</v>
      </c>
      <c r="H72" t="s">
        <v>79</v>
      </c>
      <c r="I72" s="7">
        <f>IFERROR(VLOOKUP(Tabla13[[#This Row],[Llave]],'[1]Consolidado RV'!$B:$H,6,FALSE),0)</f>
        <v>12359.987999999999</v>
      </c>
      <c r="J72" s="3">
        <f>IFERROR(VLOOKUP(Tabla13[[#This Row],[Llave]],'[1]Consolidado RV'!$B:$H,7,FALSE),0)</f>
        <v>0</v>
      </c>
      <c r="K72" s="8">
        <f>IFERROR(VLOOKUP(Tabla13[[#This Row],[Oficina]],#REF!,2,FALSE),0)</f>
        <v>0</v>
      </c>
      <c r="L72" s="7">
        <f>+Tabla13[[#This Row],[ RV Producción mes n+1]]*Tabla13[[#This Row],[% Uti. producción]]</f>
        <v>0</v>
      </c>
      <c r="M72" s="7">
        <f>IFERROR(VLOOKUP(Tabla13[[#This Row],[Material]],#REF!,2,FALSE),0)</f>
        <v>0</v>
      </c>
      <c r="N72" s="7">
        <f>IFERROR(VLOOKUP(Tabla13[[#This Row],[Llave]],'En puerto-Programado'!A:D,4,FALSE)+VLOOKUP(Tabla13[[#This Row],[Llave]],'Por despachar'!A:F,6,FALSE),0)</f>
        <v>0</v>
      </c>
      <c r="O72" s="7">
        <f>IFERROR(VLOOKUP(Tabla13[[#This Row],[Material]],[2]Consolidado!$C:$D,2,FALSE),0)</f>
        <v>0</v>
      </c>
      <c r="P72" s="7">
        <f>IFERROR(VLOOKUP(Tabla13[[#This Row],[Llave]],'Por despachar'!A:E,5,FALSE),0)</f>
        <v>0</v>
      </c>
      <c r="Q72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72" s="7">
        <f>IFERROR(VLOOKUP(Tabla13[[#This Row],[Llave]],[3]Hoja2!$A:$D,4,FALSE),0)</f>
        <v>18000</v>
      </c>
      <c r="S72" s="9">
        <f>IFERROR(VLOOKUP(Tabla13[[#This Row],[Material]],[4]Hoja1!$B:$C,2,FALSE),0)</f>
        <v>24000</v>
      </c>
      <c r="T72" s="5">
        <f t="shared" si="1"/>
        <v>0</v>
      </c>
      <c r="U72" s="3">
        <f>+Tabla13[[#This Row],[Total disponible]]-Tabla13[[#This Row],[Atraso a facturar]]</f>
        <v>0</v>
      </c>
      <c r="V72" s="6">
        <f t="shared" si="0"/>
        <v>0</v>
      </c>
      <c r="W72" s="3" t="str">
        <f>IF(Tabla13[[#This Row],[Venta del mes]]&gt;Tabla13[[#This Row],[ RV  Venta mes n+1]],"Falta venta","-")</f>
        <v>-</v>
      </c>
      <c r="X72" s="7"/>
      <c r="Y72" s="18">
        <v>0</v>
      </c>
      <c r="Z72" s="5">
        <f>+Tabla13[[#This Row],[Atraso a facturar]]+Tabla13[[#This Row],[Venta del mes]]+Tabla13[[#This Row],[Ajuste]]</f>
        <v>0</v>
      </c>
      <c r="AA72" s="6">
        <f>+Tabla13[[#This Row],[Atraso a facturar]]+Tabla13[[#This Row],[Venta del mes]]+Tabla13[[#This Row],[En puerto a facturar]]</f>
        <v>0</v>
      </c>
      <c r="AB72" s="20">
        <f>IFERROR(VLOOKUP(Tabla13[[#This Row],[Llave]],'[5]Consolidación planes'!$A:$M,9,FALSE),0)</f>
        <v>0</v>
      </c>
      <c r="AC72" s="20">
        <f>IFERROR(VLOOKUP(Tabla13[[#This Row],[Llave]],'[5]Consolidación planes'!$A:$M,10,FALSE),0)</f>
        <v>15600</v>
      </c>
      <c r="AD72" s="20">
        <f>IFERROR(VLOOKUP(Tabla13[[#This Row],[Llave]],'[5]Consolidación planes'!$A:$M,11,FALSE),0)</f>
        <v>0</v>
      </c>
      <c r="AE72" s="20">
        <f>IFERROR(VLOOKUP(Tabla13[[#This Row],[Llave]],'[5]Consolidación planes'!$A:$M,12,FALSE),0)</f>
        <v>0</v>
      </c>
      <c r="AF72" s="20">
        <f>IFERROR(VLOOKUP(Tabla13[[#This Row],[Llave]],'[5]Consolidación planes'!$A:$M,13,FALSE),0)</f>
        <v>0</v>
      </c>
    </row>
    <row r="73" spans="2:32" ht="16" hidden="1" x14ac:dyDescent="0.2">
      <c r="B73" t="str">
        <f>Tabla13[[#This Row],[Oficina]]&amp;Tabla13[[#This Row],[Material]]</f>
        <v>Agro Sudamerica1022786</v>
      </c>
      <c r="C73" t="s">
        <v>6</v>
      </c>
      <c r="D73" t="s">
        <v>17</v>
      </c>
      <c r="E73">
        <v>1022786</v>
      </c>
      <c r="F73" t="s">
        <v>288</v>
      </c>
      <c r="G73" t="s">
        <v>76</v>
      </c>
      <c r="H73" t="s">
        <v>79</v>
      </c>
      <c r="I73" s="7">
        <f>IFERROR(VLOOKUP(Tabla13[[#This Row],[Llave]],'[1]Consolidado RV'!$B:$H,6,FALSE),0)</f>
        <v>0</v>
      </c>
      <c r="J73" s="3">
        <f>IFERROR(VLOOKUP(Tabla13[[#This Row],[Llave]],'[1]Consolidado RV'!$B:$H,7,FALSE),0)</f>
        <v>0</v>
      </c>
      <c r="K73" s="8">
        <f>IFERROR(VLOOKUP(Tabla13[[#This Row],[Oficina]],#REF!,2,FALSE),0)</f>
        <v>0</v>
      </c>
      <c r="L73" s="7">
        <f>+Tabla13[[#This Row],[ RV Producción mes n+1]]*Tabla13[[#This Row],[% Uti. producción]]</f>
        <v>0</v>
      </c>
      <c r="M73" s="7">
        <f>IFERROR(VLOOKUP(Tabla13[[#This Row],[Material]],#REF!,2,FALSE),0)</f>
        <v>0</v>
      </c>
      <c r="N73" s="7">
        <f>IFERROR(VLOOKUP(Tabla13[[#This Row],[Llave]],'En puerto-Programado'!A:D,4,FALSE)+VLOOKUP(Tabla13[[#This Row],[Llave]],'Por despachar'!A:F,6,FALSE),0)</f>
        <v>0</v>
      </c>
      <c r="O73" s="7">
        <f>IFERROR(VLOOKUP(Tabla13[[#This Row],[Material]],[2]Consolidado!$C:$D,2,FALSE),0)</f>
        <v>0</v>
      </c>
      <c r="P73" s="7">
        <f>IFERROR(VLOOKUP(Tabla13[[#This Row],[Llave]],'Por despachar'!A:E,5,FALSE),0)</f>
        <v>0</v>
      </c>
      <c r="Q7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73" s="7">
        <f>IFERROR(VLOOKUP(Tabla13[[#This Row],[Llave]],[3]Hoja2!$A:$D,4,FALSE),0)</f>
        <v>300</v>
      </c>
      <c r="S73" s="9">
        <f>IFERROR(VLOOKUP(Tabla13[[#This Row],[Material]],[4]Hoja1!$B:$C,2,FALSE),0)</f>
        <v>24000</v>
      </c>
      <c r="T73" s="5">
        <f t="shared" si="1"/>
        <v>0</v>
      </c>
      <c r="U73" s="3">
        <f>+Tabla13[[#This Row],[Total disponible]]-Tabla13[[#This Row],[Atraso a facturar]]</f>
        <v>0</v>
      </c>
      <c r="V73" s="6">
        <f t="shared" si="0"/>
        <v>0</v>
      </c>
      <c r="W73" s="3" t="str">
        <f>IF(Tabla13[[#This Row],[Venta del mes]]&gt;Tabla13[[#This Row],[ RV  Venta mes n+1]],"Falta venta","-")</f>
        <v>-</v>
      </c>
      <c r="X73" s="7"/>
      <c r="Y73" s="18">
        <v>0</v>
      </c>
      <c r="Z73" s="5">
        <f>+Tabla13[[#This Row],[Atraso a facturar]]+Tabla13[[#This Row],[Venta del mes]]+Tabla13[[#This Row],[Ajuste]]</f>
        <v>0</v>
      </c>
      <c r="AA73" s="6">
        <f>+Tabla13[[#This Row],[Atraso a facturar]]+Tabla13[[#This Row],[Venta del mes]]+Tabla13[[#This Row],[En puerto a facturar]]</f>
        <v>0</v>
      </c>
      <c r="AB73" s="20">
        <f>IFERROR(VLOOKUP(Tabla13[[#This Row],[Llave]],'[5]Consolidación planes'!$A:$M,9,FALSE),0)</f>
        <v>0</v>
      </c>
      <c r="AC73" s="20">
        <f>IFERROR(VLOOKUP(Tabla13[[#This Row],[Llave]],'[5]Consolidación planes'!$A:$M,10,FALSE),0)</f>
        <v>300</v>
      </c>
      <c r="AD73" s="20">
        <f>IFERROR(VLOOKUP(Tabla13[[#This Row],[Llave]],'[5]Consolidación planes'!$A:$M,11,FALSE),0)</f>
        <v>0</v>
      </c>
      <c r="AE73" s="20">
        <f>IFERROR(VLOOKUP(Tabla13[[#This Row],[Llave]],'[5]Consolidación planes'!$A:$M,12,FALSE),0)</f>
        <v>1500</v>
      </c>
      <c r="AF73" s="20">
        <f>IFERROR(VLOOKUP(Tabla13[[#This Row],[Llave]],'[5]Consolidación planes'!$A:$M,13,FALSE),0)</f>
        <v>1500</v>
      </c>
    </row>
    <row r="74" spans="2:32" ht="16" hidden="1" x14ac:dyDescent="0.2">
      <c r="B74" t="str">
        <f>Tabla13[[#This Row],[Oficina]]&amp;Tabla13[[#This Row],[Material]]</f>
        <v>Agro Sudamerica1022847</v>
      </c>
      <c r="C74" t="s">
        <v>6</v>
      </c>
      <c r="D74" t="s">
        <v>17</v>
      </c>
      <c r="E74">
        <v>1022847</v>
      </c>
      <c r="F74" t="s">
        <v>58</v>
      </c>
      <c r="G74" t="s">
        <v>56</v>
      </c>
      <c r="H74" t="s">
        <v>57</v>
      </c>
      <c r="I74" s="7">
        <f>IFERROR(VLOOKUP(Tabla13[[#This Row],[Llave]],'[1]Consolidado RV'!$B:$H,6,FALSE),0)</f>
        <v>92385.86099999999</v>
      </c>
      <c r="J74" s="3">
        <f>IFERROR(VLOOKUP(Tabla13[[#This Row],[Llave]],'[1]Consolidado RV'!$B:$H,7,FALSE),0)</f>
        <v>96000</v>
      </c>
      <c r="K74" s="8">
        <f>IFERROR(VLOOKUP(Tabla13[[#This Row],[Oficina]],#REF!,2,FALSE),0)</f>
        <v>0</v>
      </c>
      <c r="L74" s="7">
        <f>+Tabla13[[#This Row],[ RV Producción mes n+1]]*Tabla13[[#This Row],[% Uti. producción]]</f>
        <v>0</v>
      </c>
      <c r="M74" s="7">
        <f>IFERROR(VLOOKUP(Tabla13[[#This Row],[Material]],#REF!,2,FALSE),0)</f>
        <v>0</v>
      </c>
      <c r="N74" s="7">
        <f>IFERROR(VLOOKUP(Tabla13[[#This Row],[Llave]],'En puerto-Programado'!A:D,4,FALSE)+VLOOKUP(Tabla13[[#This Row],[Llave]],'Por despachar'!A:F,6,FALSE),0)</f>
        <v>0</v>
      </c>
      <c r="O74" s="7">
        <f>IFERROR(VLOOKUP(Tabla13[[#This Row],[Material]],[2]Consolidado!$C:$D,2,FALSE),0)</f>
        <v>10031.200000000001</v>
      </c>
      <c r="P74" s="7">
        <f>IFERROR(VLOOKUP(Tabla13[[#This Row],[Llave]],'Por despachar'!A:E,5,FALSE),0)</f>
        <v>0</v>
      </c>
      <c r="Q74" s="14">
        <f>SUM(Tabla13[[#This Row],[Producción disponible]],Tabla13[[#This Row],[Stock al día]],Tabla13[[#This Row],[Por producir Abr.]])-SUM(Tabla13[[#This Row],[Stock por despachar N]],Tabla13[[#This Row],[Producción por despachar mes N]])</f>
        <v>10031.200000000001</v>
      </c>
      <c r="R74" s="7">
        <f>IFERROR(VLOOKUP(Tabla13[[#This Row],[Llave]],[3]Hoja2!$A:$D,4,FALSE),0)</f>
        <v>48000</v>
      </c>
      <c r="S74" s="9">
        <f>IFERROR(VLOOKUP(Tabla13[[#This Row],[Material]],[4]Hoja1!$B:$C,2,FALSE),0)</f>
        <v>24000</v>
      </c>
      <c r="T74" s="5">
        <f t="shared" si="1"/>
        <v>0</v>
      </c>
      <c r="U74" s="3">
        <f>+Tabla13[[#This Row],[Total disponible]]-Tabla13[[#This Row],[Atraso a facturar]]</f>
        <v>10031.200000000001</v>
      </c>
      <c r="V74" s="6">
        <f t="shared" ref="V74:V137" si="2">IFERROR(IF(AND(U74&gt;S74,J74&gt;S74),ROUNDDOWN(U74/S74,0)*S74,0),0)</f>
        <v>0</v>
      </c>
      <c r="W74" s="3" t="str">
        <f>IF(Tabla13[[#This Row],[Venta del mes]]&gt;Tabla13[[#This Row],[ RV  Venta mes n+1]],"Falta venta","-")</f>
        <v>-</v>
      </c>
      <c r="X74" s="7"/>
      <c r="Y74" s="18">
        <v>0</v>
      </c>
      <c r="Z74" s="5">
        <f>+Tabla13[[#This Row],[Atraso a facturar]]+Tabla13[[#This Row],[Venta del mes]]+Tabla13[[#This Row],[Ajuste]]</f>
        <v>0</v>
      </c>
      <c r="AA74" s="6">
        <f>+Tabla13[[#This Row],[Atraso a facturar]]+Tabla13[[#This Row],[Venta del mes]]+Tabla13[[#This Row],[En puerto a facturar]]</f>
        <v>0</v>
      </c>
      <c r="AB74" s="20">
        <f>IFERROR(VLOOKUP(Tabla13[[#This Row],[Llave]],'[5]Consolidación planes'!$A:$M,9,FALSE),0)</f>
        <v>28000</v>
      </c>
      <c r="AC74" s="20">
        <f>IFERROR(VLOOKUP(Tabla13[[#This Row],[Llave]],'[5]Consolidación planes'!$A:$M,10,FALSE),0)</f>
        <v>72000</v>
      </c>
      <c r="AD74" s="20">
        <f>IFERROR(VLOOKUP(Tabla13[[#This Row],[Llave]],'[5]Consolidación planes'!$A:$M,11,FALSE),0)</f>
        <v>60000</v>
      </c>
      <c r="AE74" s="20">
        <f>IFERROR(VLOOKUP(Tabla13[[#This Row],[Llave]],'[5]Consolidación planes'!$A:$M,12,FALSE),0)</f>
        <v>24000</v>
      </c>
      <c r="AF74" s="20">
        <f>IFERROR(VLOOKUP(Tabla13[[#This Row],[Llave]],'[5]Consolidación planes'!$A:$M,13,FALSE),0)</f>
        <v>24000</v>
      </c>
    </row>
    <row r="75" spans="2:32" ht="16" hidden="1" x14ac:dyDescent="0.2">
      <c r="B75" t="str">
        <f>Tabla13[[#This Row],[Oficina]]&amp;Tabla13[[#This Row],[Material]]</f>
        <v>Agro Sudamerica1022855</v>
      </c>
      <c r="C75" t="s">
        <v>6</v>
      </c>
      <c r="D75" t="s">
        <v>17</v>
      </c>
      <c r="E75">
        <v>1022855</v>
      </c>
      <c r="F75" t="s">
        <v>40</v>
      </c>
      <c r="G75" t="s">
        <v>11</v>
      </c>
      <c r="H75" t="s">
        <v>12</v>
      </c>
      <c r="I75" s="7">
        <f>IFERROR(VLOOKUP(Tabla13[[#This Row],[Llave]],'[1]Consolidado RV'!$B:$H,6,FALSE),0)</f>
        <v>17505.393299999974</v>
      </c>
      <c r="J75" s="3">
        <f>IFERROR(VLOOKUP(Tabla13[[#This Row],[Llave]],'[1]Consolidado RV'!$B:$H,7,FALSE),0)</f>
        <v>18526.061300000001</v>
      </c>
      <c r="K75" s="8">
        <f>IFERROR(VLOOKUP(Tabla13[[#This Row],[Oficina]],#REF!,2,FALSE),0)</f>
        <v>0</v>
      </c>
      <c r="L75" s="7">
        <f>+Tabla13[[#This Row],[ RV Producción mes n+1]]*Tabla13[[#This Row],[% Uti. producción]]</f>
        <v>0</v>
      </c>
      <c r="M75" s="7">
        <f>IFERROR(VLOOKUP(Tabla13[[#This Row],[Material]],#REF!,2,FALSE),0)</f>
        <v>0</v>
      </c>
      <c r="N75" s="7">
        <f>IFERROR(VLOOKUP(Tabla13[[#This Row],[Llave]],'En puerto-Programado'!A:D,4,FALSE)+VLOOKUP(Tabla13[[#This Row],[Llave]],'Por despachar'!A:F,6,FALSE),0)</f>
        <v>24000</v>
      </c>
      <c r="O75" s="7">
        <f>IFERROR(VLOOKUP(Tabla13[[#This Row],[Material]],[2]Consolidado!$C:$D,2,FALSE),0)</f>
        <v>0</v>
      </c>
      <c r="P75" s="7">
        <f>IFERROR(VLOOKUP(Tabla13[[#This Row],[Llave]],'Por despachar'!A:E,5,FALSE),0)</f>
        <v>0</v>
      </c>
      <c r="Q75" s="14">
        <f>SUM(Tabla13[[#This Row],[Producción disponible]],Tabla13[[#This Row],[Stock al día]],Tabla13[[#This Row],[Por producir Abr.]])-SUM(Tabla13[[#This Row],[Stock por despachar N]],Tabla13[[#This Row],[Producción por despachar mes N]])</f>
        <v>-24000</v>
      </c>
      <c r="R75" s="7">
        <f>IFERROR(VLOOKUP(Tabla13[[#This Row],[Llave]],[3]Hoja2!$A:$D,4,FALSE),0)</f>
        <v>24000</v>
      </c>
      <c r="S75" s="9">
        <f>IFERROR(VLOOKUP(Tabla13[[#This Row],[Material]],[4]Hoja1!$B:$C,2,FALSE),0)</f>
        <v>24000</v>
      </c>
      <c r="T75" s="5">
        <f t="shared" ref="T75:T138" si="3">IF(AND(Q75&gt;R75,R75&gt;0),R75,IF(AND(Q75&lt;R75,R75&gt;0),(ROUNDDOWN(Q75/S75,0)*S75),0))</f>
        <v>-24000</v>
      </c>
      <c r="U75" s="3">
        <f>+Tabla13[[#This Row],[Total disponible]]-Tabla13[[#This Row],[Atraso a facturar]]</f>
        <v>0</v>
      </c>
      <c r="V75" s="6">
        <f t="shared" si="2"/>
        <v>0</v>
      </c>
      <c r="W75" s="3" t="str">
        <f>IF(Tabla13[[#This Row],[Venta del mes]]&gt;Tabla13[[#This Row],[ RV  Venta mes n+1]],"Falta venta","-")</f>
        <v>-</v>
      </c>
      <c r="X75" s="7"/>
      <c r="Y75" s="18">
        <v>0</v>
      </c>
      <c r="Z75" s="5">
        <f>+Tabla13[[#This Row],[Atraso a facturar]]+Tabla13[[#This Row],[Venta del mes]]+Tabla13[[#This Row],[Ajuste]]</f>
        <v>-24000</v>
      </c>
      <c r="AA75" s="6">
        <f>+Tabla13[[#This Row],[Atraso a facturar]]+Tabla13[[#This Row],[Venta del mes]]+Tabla13[[#This Row],[En puerto a facturar]]</f>
        <v>-24000</v>
      </c>
      <c r="AB75" s="20">
        <f>IFERROR(VLOOKUP(Tabla13[[#This Row],[Llave]],'[5]Consolidación planes'!$A:$M,9,FALSE),0)</f>
        <v>16600</v>
      </c>
      <c r="AC75" s="20">
        <f>IFERROR(VLOOKUP(Tabla13[[#This Row],[Llave]],'[5]Consolidación planes'!$A:$M,10,FALSE),0)</f>
        <v>24000</v>
      </c>
      <c r="AD75" s="20">
        <f>IFERROR(VLOOKUP(Tabla13[[#This Row],[Llave]],'[5]Consolidación planes'!$A:$M,11,FALSE),0)</f>
        <v>0</v>
      </c>
      <c r="AE75" s="20">
        <f>IFERROR(VLOOKUP(Tabla13[[#This Row],[Llave]],'[5]Consolidación planes'!$A:$M,12,FALSE),0)</f>
        <v>24000</v>
      </c>
      <c r="AF75" s="20">
        <f>IFERROR(VLOOKUP(Tabla13[[#This Row],[Llave]],'[5]Consolidación planes'!$A:$M,13,FALSE),0)</f>
        <v>24000</v>
      </c>
    </row>
    <row r="76" spans="2:32" ht="16" hidden="1" x14ac:dyDescent="0.2">
      <c r="B76" t="str">
        <f>Tabla13[[#This Row],[Oficina]]&amp;Tabla13[[#This Row],[Material]]</f>
        <v>Agro Sudamerica1022920</v>
      </c>
      <c r="C76" t="s">
        <v>6</v>
      </c>
      <c r="D76" t="s">
        <v>17</v>
      </c>
      <c r="E76">
        <v>1022920</v>
      </c>
      <c r="F76" t="s">
        <v>329</v>
      </c>
      <c r="G76" t="s">
        <v>11</v>
      </c>
      <c r="H76" t="s">
        <v>41</v>
      </c>
      <c r="I76" s="7">
        <f>IFERROR(VLOOKUP(Tabla13[[#This Row],[Llave]],'[1]Consolidado RV'!$B:$H,6,FALSE),0)</f>
        <v>21067.845600000001</v>
      </c>
      <c r="J76" s="3">
        <f>IFERROR(VLOOKUP(Tabla13[[#This Row],[Llave]],'[1]Consolidado RV'!$B:$H,7,FALSE),0)</f>
        <v>0</v>
      </c>
      <c r="K76" s="8">
        <f>IFERROR(VLOOKUP(Tabla13[[#This Row],[Oficina]],#REF!,2,FALSE),0)</f>
        <v>0</v>
      </c>
      <c r="L76" s="7">
        <f>+Tabla13[[#This Row],[ RV Producción mes n+1]]*Tabla13[[#This Row],[% Uti. producción]]</f>
        <v>0</v>
      </c>
      <c r="M76" s="7">
        <f>IFERROR(VLOOKUP(Tabla13[[#This Row],[Material]],#REF!,2,FALSE),0)</f>
        <v>0</v>
      </c>
      <c r="N76" s="7">
        <f>IFERROR(VLOOKUP(Tabla13[[#This Row],[Llave]],'En puerto-Programado'!A:D,4,FALSE)+VLOOKUP(Tabla13[[#This Row],[Llave]],'Por despachar'!A:F,6,FALSE),0)</f>
        <v>0</v>
      </c>
      <c r="O76" s="7">
        <f>IFERROR(VLOOKUP(Tabla13[[#This Row],[Material]],[2]Consolidado!$C:$D,2,FALSE),0)</f>
        <v>0</v>
      </c>
      <c r="P76" s="7">
        <f>IFERROR(VLOOKUP(Tabla13[[#This Row],[Llave]],'Por despachar'!A:E,5,FALSE),0)</f>
        <v>0</v>
      </c>
      <c r="Q7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76" s="7">
        <f>IFERROR(VLOOKUP(Tabla13[[#This Row],[Llave]],[3]Hoja2!$A:$D,4,FALSE),0)</f>
        <v>24000</v>
      </c>
      <c r="S76" s="9">
        <f>IFERROR(VLOOKUP(Tabla13[[#This Row],[Material]],[4]Hoja1!$B:$C,2,FALSE),0)</f>
        <v>24000</v>
      </c>
      <c r="T76" s="5">
        <f t="shared" si="3"/>
        <v>0</v>
      </c>
      <c r="U76" s="3">
        <f>+Tabla13[[#This Row],[Total disponible]]-Tabla13[[#This Row],[Atraso a facturar]]</f>
        <v>0</v>
      </c>
      <c r="V76" s="6">
        <f t="shared" si="2"/>
        <v>0</v>
      </c>
      <c r="W76" s="3" t="str">
        <f>IF(Tabla13[[#This Row],[Venta del mes]]&gt;Tabla13[[#This Row],[ RV  Venta mes n+1]],"Falta venta","-")</f>
        <v>-</v>
      </c>
      <c r="X76" s="7"/>
      <c r="Y76" s="18">
        <v>0</v>
      </c>
      <c r="Z76" s="5">
        <f>+Tabla13[[#This Row],[Atraso a facturar]]+Tabla13[[#This Row],[Venta del mes]]+Tabla13[[#This Row],[Ajuste]]</f>
        <v>0</v>
      </c>
      <c r="AA76" s="6">
        <f>+Tabla13[[#This Row],[Atraso a facturar]]+Tabla13[[#This Row],[Venta del mes]]+Tabla13[[#This Row],[En puerto a facturar]]</f>
        <v>0</v>
      </c>
      <c r="AB76" s="20">
        <f>IFERROR(VLOOKUP(Tabla13[[#This Row],[Llave]],'[5]Consolidación planes'!$A:$M,9,FALSE),0)</f>
        <v>0</v>
      </c>
      <c r="AC76" s="20">
        <f>IFERROR(VLOOKUP(Tabla13[[#This Row],[Llave]],'[5]Consolidación planes'!$A:$M,10,FALSE),0)</f>
        <v>0</v>
      </c>
      <c r="AD76" s="20">
        <f>IFERROR(VLOOKUP(Tabla13[[#This Row],[Llave]],'[5]Consolidación planes'!$A:$M,11,FALSE),0)</f>
        <v>0</v>
      </c>
      <c r="AE76" s="20">
        <f>IFERROR(VLOOKUP(Tabla13[[#This Row],[Llave]],'[5]Consolidación planes'!$A:$M,12,FALSE),0)</f>
        <v>0</v>
      </c>
      <c r="AF76" s="20">
        <f>IFERROR(VLOOKUP(Tabla13[[#This Row],[Llave]],'[5]Consolidación planes'!$A:$M,13,FALSE),0)</f>
        <v>4619</v>
      </c>
    </row>
    <row r="77" spans="2:32" ht="16" hidden="1" x14ac:dyDescent="0.2">
      <c r="B77" t="str">
        <f>Tabla13[[#This Row],[Oficina]]&amp;Tabla13[[#This Row],[Material]]</f>
        <v>Agro Sudamerica1022921</v>
      </c>
      <c r="C77" t="s">
        <v>6</v>
      </c>
      <c r="D77" t="s">
        <v>17</v>
      </c>
      <c r="E77">
        <v>1022921</v>
      </c>
      <c r="F77" t="s">
        <v>45</v>
      </c>
      <c r="G77" t="s">
        <v>11</v>
      </c>
      <c r="H77" t="s">
        <v>41</v>
      </c>
      <c r="I77" s="7">
        <f>IFERROR(VLOOKUP(Tabla13[[#This Row],[Llave]],'[1]Consolidado RV'!$B:$H,6,FALSE),0)</f>
        <v>42135.691000000006</v>
      </c>
      <c r="J77" s="3">
        <f>IFERROR(VLOOKUP(Tabla13[[#This Row],[Llave]],'[1]Consolidado RV'!$B:$H,7,FALSE),0)</f>
        <v>42885.591</v>
      </c>
      <c r="K77" s="8">
        <f>IFERROR(VLOOKUP(Tabla13[[#This Row],[Oficina]],#REF!,2,FALSE),0)</f>
        <v>0</v>
      </c>
      <c r="L77" s="7">
        <f>+Tabla13[[#This Row],[ RV Producción mes n+1]]*Tabla13[[#This Row],[% Uti. producción]]</f>
        <v>0</v>
      </c>
      <c r="M77" s="7">
        <f>IFERROR(VLOOKUP(Tabla13[[#This Row],[Material]],#REF!,2,FALSE),0)</f>
        <v>0</v>
      </c>
      <c r="N77" s="7">
        <f>IFERROR(VLOOKUP(Tabla13[[#This Row],[Llave]],'En puerto-Programado'!A:D,4,FALSE)+VLOOKUP(Tabla13[[#This Row],[Llave]],'Por despachar'!A:F,6,FALSE),0)</f>
        <v>0</v>
      </c>
      <c r="O77" s="7">
        <f>IFERROR(VLOOKUP(Tabla13[[#This Row],[Material]],[2]Consolidado!$C:$D,2,FALSE),0)</f>
        <v>1600</v>
      </c>
      <c r="P77" s="7">
        <f>IFERROR(VLOOKUP(Tabla13[[#This Row],[Llave]],'Por despachar'!A:E,5,FALSE),0)</f>
        <v>0</v>
      </c>
      <c r="Q77" s="14">
        <f>SUM(Tabla13[[#This Row],[Producción disponible]],Tabla13[[#This Row],[Stock al día]],Tabla13[[#This Row],[Por producir Abr.]])-SUM(Tabla13[[#This Row],[Stock por despachar N]],Tabla13[[#This Row],[Producción por despachar mes N]])</f>
        <v>1600</v>
      </c>
      <c r="R77" s="7">
        <f>IFERROR(VLOOKUP(Tabla13[[#This Row],[Llave]],[3]Hoja2!$A:$D,4,FALSE),0)</f>
        <v>23000</v>
      </c>
      <c r="S77" s="9">
        <f>IFERROR(VLOOKUP(Tabla13[[#This Row],[Material]],[4]Hoja1!$B:$C,2,FALSE),0)</f>
        <v>24000</v>
      </c>
      <c r="T77" s="5">
        <f t="shared" si="3"/>
        <v>0</v>
      </c>
      <c r="U77" s="3">
        <f>+Tabla13[[#This Row],[Total disponible]]-Tabla13[[#This Row],[Atraso a facturar]]</f>
        <v>1600</v>
      </c>
      <c r="V77" s="6">
        <f t="shared" si="2"/>
        <v>0</v>
      </c>
      <c r="W77" s="3" t="str">
        <f>IF(Tabla13[[#This Row],[Venta del mes]]&gt;Tabla13[[#This Row],[ RV  Venta mes n+1]],"Falta venta","-")</f>
        <v>-</v>
      </c>
      <c r="X77" s="7"/>
      <c r="Y77" s="18">
        <v>0</v>
      </c>
      <c r="Z77" s="5">
        <f>+Tabla13[[#This Row],[Atraso a facturar]]+Tabla13[[#This Row],[Venta del mes]]+Tabla13[[#This Row],[Ajuste]]</f>
        <v>0</v>
      </c>
      <c r="AA77" s="6">
        <f>+Tabla13[[#This Row],[Atraso a facturar]]+Tabla13[[#This Row],[Venta del mes]]+Tabla13[[#This Row],[En puerto a facturar]]</f>
        <v>0</v>
      </c>
      <c r="AB77" s="20">
        <f>IFERROR(VLOOKUP(Tabla13[[#This Row],[Llave]],'[5]Consolidación planes'!$A:$M,9,FALSE),0)</f>
        <v>10000</v>
      </c>
      <c r="AC77" s="20">
        <f>IFERROR(VLOOKUP(Tabla13[[#This Row],[Llave]],'[5]Consolidación planes'!$A:$M,10,FALSE),0)</f>
        <v>48000</v>
      </c>
      <c r="AD77" s="20">
        <f>IFERROR(VLOOKUP(Tabla13[[#This Row],[Llave]],'[5]Consolidación planes'!$A:$M,11,FALSE),0)</f>
        <v>10000</v>
      </c>
      <c r="AE77" s="20">
        <f>IFERROR(VLOOKUP(Tabla13[[#This Row],[Llave]],'[5]Consolidación planes'!$A:$M,12,FALSE),0)</f>
        <v>12000</v>
      </c>
      <c r="AF77" s="20">
        <f>IFERROR(VLOOKUP(Tabla13[[#This Row],[Llave]],'[5]Consolidación planes'!$A:$M,13,FALSE),0)</f>
        <v>47000</v>
      </c>
    </row>
    <row r="78" spans="2:32" ht="16" hidden="1" x14ac:dyDescent="0.2">
      <c r="B78" t="str">
        <f>Tabla13[[#This Row],[Oficina]]&amp;Tabla13[[#This Row],[Material]]</f>
        <v>Agro Sudamerica1022922</v>
      </c>
      <c r="C78" t="s">
        <v>6</v>
      </c>
      <c r="D78" t="s">
        <v>17</v>
      </c>
      <c r="E78">
        <v>1022922</v>
      </c>
      <c r="F78" t="s">
        <v>314</v>
      </c>
      <c r="G78" t="s">
        <v>71</v>
      </c>
      <c r="H78" t="s">
        <v>72</v>
      </c>
      <c r="I78" s="7">
        <f>IFERROR(VLOOKUP(Tabla13[[#This Row],[Llave]],'[1]Consolidado RV'!$B:$H,6,FALSE),0)</f>
        <v>0</v>
      </c>
      <c r="J78" s="3">
        <f>IFERROR(VLOOKUP(Tabla13[[#This Row],[Llave]],'[1]Consolidado RV'!$B:$H,7,FALSE),0)</f>
        <v>693.61700000000008</v>
      </c>
      <c r="K78" s="8">
        <f>IFERROR(VLOOKUP(Tabla13[[#This Row],[Oficina]],#REF!,2,FALSE),0)</f>
        <v>0</v>
      </c>
      <c r="L78" s="7">
        <f>+Tabla13[[#This Row],[ RV Producción mes n+1]]*Tabla13[[#This Row],[% Uti. producción]]</f>
        <v>0</v>
      </c>
      <c r="M78" s="7">
        <f>IFERROR(VLOOKUP(Tabla13[[#This Row],[Material]],#REF!,2,FALSE),0)</f>
        <v>0</v>
      </c>
      <c r="N78" s="7">
        <f>IFERROR(VLOOKUP(Tabla13[[#This Row],[Llave]],'En puerto-Programado'!A:D,4,FALSE)+VLOOKUP(Tabla13[[#This Row],[Llave]],'Por despachar'!A:F,6,FALSE),0)</f>
        <v>0</v>
      </c>
      <c r="O78" s="7">
        <f>IFERROR(VLOOKUP(Tabla13[[#This Row],[Material]],[2]Consolidado!$C:$D,2,FALSE),0)</f>
        <v>0</v>
      </c>
      <c r="P78" s="7">
        <f>IFERROR(VLOOKUP(Tabla13[[#This Row],[Llave]],'Por despachar'!A:E,5,FALSE),0)</f>
        <v>0</v>
      </c>
      <c r="Q7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78" s="7">
        <f>IFERROR(VLOOKUP(Tabla13[[#This Row],[Llave]],[3]Hoja2!$A:$D,4,FALSE),0)</f>
        <v>0</v>
      </c>
      <c r="S78" s="9">
        <f>IFERROR(VLOOKUP(Tabla13[[#This Row],[Material]],[4]Hoja1!$B:$C,2,FALSE),0)</f>
        <v>24000</v>
      </c>
      <c r="T78" s="5">
        <f t="shared" si="3"/>
        <v>0</v>
      </c>
      <c r="U78" s="3">
        <f>+Tabla13[[#This Row],[Total disponible]]-Tabla13[[#This Row],[Atraso a facturar]]</f>
        <v>0</v>
      </c>
      <c r="V78" s="6">
        <f t="shared" si="2"/>
        <v>0</v>
      </c>
      <c r="W78" s="3" t="str">
        <f>IF(Tabla13[[#This Row],[Venta del mes]]&gt;Tabla13[[#This Row],[ RV  Venta mes n+1]],"Falta venta","-")</f>
        <v>-</v>
      </c>
      <c r="X78" s="7"/>
      <c r="Y78" s="18">
        <v>0</v>
      </c>
      <c r="Z78" s="5">
        <f>+Tabla13[[#This Row],[Atraso a facturar]]+Tabla13[[#This Row],[Venta del mes]]+Tabla13[[#This Row],[Ajuste]]</f>
        <v>0</v>
      </c>
      <c r="AA78" s="6">
        <f>+Tabla13[[#This Row],[Atraso a facturar]]+Tabla13[[#This Row],[Venta del mes]]+Tabla13[[#This Row],[En puerto a facturar]]</f>
        <v>0</v>
      </c>
      <c r="AB78" s="20">
        <f>IFERROR(VLOOKUP(Tabla13[[#This Row],[Llave]],'[5]Consolidación planes'!$A:$M,9,FALSE),0)</f>
        <v>0</v>
      </c>
      <c r="AC78" s="20">
        <f>IFERROR(VLOOKUP(Tabla13[[#This Row],[Llave]],'[5]Consolidación planes'!$A:$M,10,FALSE),0)</f>
        <v>0</v>
      </c>
      <c r="AD78" s="20">
        <f>IFERROR(VLOOKUP(Tabla13[[#This Row],[Llave]],'[5]Consolidación planes'!$A:$M,11,FALSE),0)</f>
        <v>0</v>
      </c>
      <c r="AE78" s="20">
        <f>IFERROR(VLOOKUP(Tabla13[[#This Row],[Llave]],'[5]Consolidación planes'!$A:$M,12,FALSE),0)</f>
        <v>17000</v>
      </c>
      <c r="AF78" s="20">
        <f>IFERROR(VLOOKUP(Tabla13[[#This Row],[Llave]],'[5]Consolidación planes'!$A:$M,13,FALSE),0)</f>
        <v>6000</v>
      </c>
    </row>
    <row r="79" spans="2:32" ht="16" hidden="1" x14ac:dyDescent="0.2">
      <c r="B79" t="str">
        <f>Tabla13[[#This Row],[Oficina]]&amp;Tabla13[[#This Row],[Material]]</f>
        <v>Agro Sudamerica1022928</v>
      </c>
      <c r="C79" t="s">
        <v>6</v>
      </c>
      <c r="D79" t="s">
        <v>17</v>
      </c>
      <c r="E79">
        <v>1022928</v>
      </c>
      <c r="F79" t="s">
        <v>310</v>
      </c>
      <c r="G79" t="s">
        <v>8</v>
      </c>
      <c r="H79" t="s">
        <v>32</v>
      </c>
      <c r="I79" s="7">
        <f>IFERROR(VLOOKUP(Tabla13[[#This Row],[Llave]],'[1]Consolidado RV'!$B:$H,6,FALSE),0)</f>
        <v>6615.6279999999988</v>
      </c>
      <c r="J79" s="3">
        <f>IFERROR(VLOOKUP(Tabla13[[#This Row],[Llave]],'[1]Consolidado RV'!$B:$H,7,FALSE),0)</f>
        <v>10000</v>
      </c>
      <c r="K79" s="8">
        <f>IFERROR(VLOOKUP(Tabla13[[#This Row],[Oficina]],#REF!,2,FALSE),0)</f>
        <v>0</v>
      </c>
      <c r="L79" s="7">
        <f>+Tabla13[[#This Row],[ RV Producción mes n+1]]*Tabla13[[#This Row],[% Uti. producción]]</f>
        <v>0</v>
      </c>
      <c r="M79" s="7">
        <f>IFERROR(VLOOKUP(Tabla13[[#This Row],[Material]],#REF!,2,FALSE),0)</f>
        <v>0</v>
      </c>
      <c r="N79" s="7">
        <f>IFERROR(VLOOKUP(Tabla13[[#This Row],[Llave]],'En puerto-Programado'!A:D,4,FALSE)+VLOOKUP(Tabla13[[#This Row],[Llave]],'Por despachar'!A:F,6,FALSE),0)</f>
        <v>0</v>
      </c>
      <c r="O79" s="7">
        <f>IFERROR(VLOOKUP(Tabla13[[#This Row],[Material]],[2]Consolidado!$C:$D,2,FALSE),0)</f>
        <v>0</v>
      </c>
      <c r="P79" s="7">
        <f>IFERROR(VLOOKUP(Tabla13[[#This Row],[Llave]],'Por despachar'!A:E,5,FALSE),0)</f>
        <v>0</v>
      </c>
      <c r="Q7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79" s="7">
        <f>IFERROR(VLOOKUP(Tabla13[[#This Row],[Llave]],[3]Hoja2!$A:$D,4,FALSE),0)</f>
        <v>0</v>
      </c>
      <c r="S79" s="9">
        <f>IFERROR(VLOOKUP(Tabla13[[#This Row],[Material]],[4]Hoja1!$B:$C,2,FALSE),0)</f>
        <v>24000</v>
      </c>
      <c r="T79" s="5">
        <f t="shared" si="3"/>
        <v>0</v>
      </c>
      <c r="U79" s="3">
        <f>+Tabla13[[#This Row],[Total disponible]]-Tabla13[[#This Row],[Atraso a facturar]]</f>
        <v>0</v>
      </c>
      <c r="V79" s="6">
        <f t="shared" si="2"/>
        <v>0</v>
      </c>
      <c r="W79" s="3" t="str">
        <f>IF(Tabla13[[#This Row],[Venta del mes]]&gt;Tabla13[[#This Row],[ RV  Venta mes n+1]],"Falta venta","-")</f>
        <v>-</v>
      </c>
      <c r="X79" s="7"/>
      <c r="Y79" s="18">
        <v>0</v>
      </c>
      <c r="Z79" s="5">
        <f>+Tabla13[[#This Row],[Atraso a facturar]]+Tabla13[[#This Row],[Venta del mes]]+Tabla13[[#This Row],[Ajuste]]</f>
        <v>0</v>
      </c>
      <c r="AA79" s="6">
        <f>+Tabla13[[#This Row],[Atraso a facturar]]+Tabla13[[#This Row],[Venta del mes]]+Tabla13[[#This Row],[En puerto a facturar]]</f>
        <v>0</v>
      </c>
      <c r="AB79" s="20">
        <f>IFERROR(VLOOKUP(Tabla13[[#This Row],[Llave]],'[5]Consolidación planes'!$A:$M,9,FALSE),0)</f>
        <v>0</v>
      </c>
      <c r="AC79" s="20">
        <f>IFERROR(VLOOKUP(Tabla13[[#This Row],[Llave]],'[5]Consolidación planes'!$A:$M,10,FALSE),0)</f>
        <v>0</v>
      </c>
      <c r="AD79" s="20">
        <f>IFERROR(VLOOKUP(Tabla13[[#This Row],[Llave]],'[5]Consolidación planes'!$A:$M,11,FALSE),0)</f>
        <v>0</v>
      </c>
      <c r="AE79" s="20">
        <f>IFERROR(VLOOKUP(Tabla13[[#This Row],[Llave]],'[5]Consolidación planes'!$A:$M,12,FALSE),0)</f>
        <v>16000</v>
      </c>
      <c r="AF79" s="20">
        <f>IFERROR(VLOOKUP(Tabla13[[#This Row],[Llave]],'[5]Consolidación planes'!$A:$M,13,FALSE),0)</f>
        <v>5000</v>
      </c>
    </row>
    <row r="80" spans="2:32" ht="16" hidden="1" x14ac:dyDescent="0.2">
      <c r="B80" t="str">
        <f>Tabla13[[#This Row],[Oficina]]&amp;Tabla13[[#This Row],[Material]]</f>
        <v>Agro Sudamerica1022996</v>
      </c>
      <c r="C80" t="s">
        <v>6</v>
      </c>
      <c r="D80" t="s">
        <v>17</v>
      </c>
      <c r="E80">
        <v>1022996</v>
      </c>
      <c r="F80" t="s">
        <v>46</v>
      </c>
      <c r="G80" t="s">
        <v>11</v>
      </c>
      <c r="H80" t="s">
        <v>41</v>
      </c>
      <c r="I80" s="7">
        <f>IFERROR(VLOOKUP(Tabla13[[#This Row],[Llave]],'[1]Consolidado RV'!$B:$H,6,FALSE),0)</f>
        <v>0</v>
      </c>
      <c r="J80" s="3">
        <f>IFERROR(VLOOKUP(Tabla13[[#This Row],[Llave]],'[1]Consolidado RV'!$B:$H,7,FALSE),0)</f>
        <v>0</v>
      </c>
      <c r="K80" s="8">
        <f>IFERROR(VLOOKUP(Tabla13[[#This Row],[Oficina]],#REF!,2,FALSE),0)</f>
        <v>0</v>
      </c>
      <c r="L80" s="7">
        <f>+Tabla13[[#This Row],[ RV Producción mes n+1]]*Tabla13[[#This Row],[% Uti. producción]]</f>
        <v>0</v>
      </c>
      <c r="M80" s="7">
        <f>IFERROR(VLOOKUP(Tabla13[[#This Row],[Material]],#REF!,2,FALSE),0)</f>
        <v>0</v>
      </c>
      <c r="N80" s="7">
        <f>IFERROR(VLOOKUP(Tabla13[[#This Row],[Llave]],'En puerto-Programado'!A:D,4,FALSE)+VLOOKUP(Tabla13[[#This Row],[Llave]],'Por despachar'!A:F,6,FALSE),0)</f>
        <v>0</v>
      </c>
      <c r="O80" s="7">
        <f>IFERROR(VLOOKUP(Tabla13[[#This Row],[Material]],[2]Consolidado!$C:$D,2,FALSE),0)</f>
        <v>0</v>
      </c>
      <c r="P80" s="7">
        <f>IFERROR(VLOOKUP(Tabla13[[#This Row],[Llave]],'Por despachar'!A:E,5,FALSE),0)</f>
        <v>0</v>
      </c>
      <c r="Q8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80" s="7">
        <f>IFERROR(VLOOKUP(Tabla13[[#This Row],[Llave]],[3]Hoja2!$A:$D,4,FALSE),0)</f>
        <v>0</v>
      </c>
      <c r="S80" s="9">
        <f>IFERROR(VLOOKUP(Tabla13[[#This Row],[Material]],[4]Hoja1!$B:$C,2,FALSE),0)</f>
        <v>24000</v>
      </c>
      <c r="T80" s="5">
        <f t="shared" si="3"/>
        <v>0</v>
      </c>
      <c r="U80" s="3">
        <f>+Tabla13[[#This Row],[Total disponible]]-Tabla13[[#This Row],[Atraso a facturar]]</f>
        <v>0</v>
      </c>
      <c r="V80" s="6">
        <f t="shared" si="2"/>
        <v>0</v>
      </c>
      <c r="W80" s="3" t="str">
        <f>IF(Tabla13[[#This Row],[Venta del mes]]&gt;Tabla13[[#This Row],[ RV  Venta mes n+1]],"Falta venta","-")</f>
        <v>-</v>
      </c>
      <c r="X80" s="7"/>
      <c r="Y80" s="18">
        <v>0</v>
      </c>
      <c r="Z80" s="5">
        <f>+Tabla13[[#This Row],[Atraso a facturar]]+Tabla13[[#This Row],[Venta del mes]]+Tabla13[[#This Row],[Ajuste]]</f>
        <v>0</v>
      </c>
      <c r="AA80" s="6">
        <f>+Tabla13[[#This Row],[Atraso a facturar]]+Tabla13[[#This Row],[Venta del mes]]+Tabla13[[#This Row],[En puerto a facturar]]</f>
        <v>0</v>
      </c>
      <c r="AB80" s="20">
        <f>IFERROR(VLOOKUP(Tabla13[[#This Row],[Llave]],'[5]Consolidación planes'!$A:$M,9,FALSE),0)</f>
        <v>36000</v>
      </c>
      <c r="AC80" s="20">
        <f>IFERROR(VLOOKUP(Tabla13[[#This Row],[Llave]],'[5]Consolidación planes'!$A:$M,10,FALSE),0)</f>
        <v>24000</v>
      </c>
      <c r="AD80" s="20">
        <f>IFERROR(VLOOKUP(Tabla13[[#This Row],[Llave]],'[5]Consolidación planes'!$A:$M,11,FALSE),0)</f>
        <v>24000</v>
      </c>
      <c r="AE80" s="20">
        <f>IFERROR(VLOOKUP(Tabla13[[#This Row],[Llave]],'[5]Consolidación planes'!$A:$M,12,FALSE),0)</f>
        <v>0</v>
      </c>
      <c r="AF80" s="20">
        <f>IFERROR(VLOOKUP(Tabla13[[#This Row],[Llave]],'[5]Consolidación planes'!$A:$M,13,FALSE),0)</f>
        <v>0</v>
      </c>
    </row>
    <row r="81" spans="2:32" ht="16" hidden="1" x14ac:dyDescent="0.2">
      <c r="B81" t="str">
        <f>Tabla13[[#This Row],[Oficina]]&amp;Tabla13[[#This Row],[Material]]</f>
        <v>Agro Sudamerica1023270</v>
      </c>
      <c r="C81" t="s">
        <v>6</v>
      </c>
      <c r="D81" t="s">
        <v>17</v>
      </c>
      <c r="E81">
        <v>1023270</v>
      </c>
      <c r="F81" t="s">
        <v>83</v>
      </c>
      <c r="G81" t="s">
        <v>76</v>
      </c>
      <c r="H81" t="s">
        <v>79</v>
      </c>
      <c r="I81" s="7">
        <f>IFERROR(VLOOKUP(Tabla13[[#This Row],[Llave]],'[1]Consolidado RV'!$B:$H,6,FALSE),0)</f>
        <v>0</v>
      </c>
      <c r="J81" s="3">
        <f>IFERROR(VLOOKUP(Tabla13[[#This Row],[Llave]],'[1]Consolidado RV'!$B:$H,7,FALSE),0)</f>
        <v>0</v>
      </c>
      <c r="K81" s="8">
        <f>IFERROR(VLOOKUP(Tabla13[[#This Row],[Oficina]],#REF!,2,FALSE),0)</f>
        <v>0</v>
      </c>
      <c r="L81" s="7">
        <f>+Tabla13[[#This Row],[ RV Producción mes n+1]]*Tabla13[[#This Row],[% Uti. producción]]</f>
        <v>0</v>
      </c>
      <c r="M81" s="7">
        <f>IFERROR(VLOOKUP(Tabla13[[#This Row],[Material]],#REF!,2,FALSE),0)</f>
        <v>0</v>
      </c>
      <c r="N81" s="7">
        <f>IFERROR(VLOOKUP(Tabla13[[#This Row],[Llave]],'En puerto-Programado'!A:D,4,FALSE)+VLOOKUP(Tabla13[[#This Row],[Llave]],'Por despachar'!A:F,6,FALSE),0)</f>
        <v>0</v>
      </c>
      <c r="O81" s="7">
        <f>IFERROR(VLOOKUP(Tabla13[[#This Row],[Material]],[2]Consolidado!$C:$D,2,FALSE),0)</f>
        <v>0</v>
      </c>
      <c r="P81" s="7">
        <f>IFERROR(VLOOKUP(Tabla13[[#This Row],[Llave]],'Por despachar'!A:E,5,FALSE),0)</f>
        <v>0</v>
      </c>
      <c r="Q8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81" s="7">
        <f>IFERROR(VLOOKUP(Tabla13[[#This Row],[Llave]],[3]Hoja2!$A:$D,4,FALSE),0)</f>
        <v>0</v>
      </c>
      <c r="S81" s="9">
        <f>IFERROR(VLOOKUP(Tabla13[[#This Row],[Material]],[4]Hoja1!$B:$C,2,FALSE),0)</f>
        <v>24000</v>
      </c>
      <c r="T81" s="5">
        <f t="shared" si="3"/>
        <v>0</v>
      </c>
      <c r="U81" s="3">
        <f>+Tabla13[[#This Row],[Total disponible]]-Tabla13[[#This Row],[Atraso a facturar]]</f>
        <v>0</v>
      </c>
      <c r="V81" s="6">
        <f t="shared" si="2"/>
        <v>0</v>
      </c>
      <c r="W81" s="3" t="str">
        <f>IF(Tabla13[[#This Row],[Venta del mes]]&gt;Tabla13[[#This Row],[ RV  Venta mes n+1]],"Falta venta","-")</f>
        <v>-</v>
      </c>
      <c r="X81" s="7"/>
      <c r="Y81" s="18">
        <v>0</v>
      </c>
      <c r="Z81" s="5">
        <f>+Tabla13[[#This Row],[Atraso a facturar]]+Tabla13[[#This Row],[Venta del mes]]+Tabla13[[#This Row],[Ajuste]]</f>
        <v>0</v>
      </c>
      <c r="AA81" s="6">
        <f>+Tabla13[[#This Row],[Atraso a facturar]]+Tabla13[[#This Row],[Venta del mes]]+Tabla13[[#This Row],[En puerto a facturar]]</f>
        <v>0</v>
      </c>
      <c r="AB81" s="20">
        <f>IFERROR(VLOOKUP(Tabla13[[#This Row],[Llave]],'[5]Consolidación planes'!$A:$M,9,FALSE),0)</f>
        <v>0</v>
      </c>
      <c r="AC81" s="20">
        <f>IFERROR(VLOOKUP(Tabla13[[#This Row],[Llave]],'[5]Consolidación planes'!$A:$M,10,FALSE),0)</f>
        <v>2700</v>
      </c>
      <c r="AD81" s="20">
        <f>IFERROR(VLOOKUP(Tabla13[[#This Row],[Llave]],'[5]Consolidación planes'!$A:$M,11,FALSE),0)</f>
        <v>0</v>
      </c>
      <c r="AE81" s="20">
        <f>IFERROR(VLOOKUP(Tabla13[[#This Row],[Llave]],'[5]Consolidación planes'!$A:$M,12,FALSE),0)</f>
        <v>0</v>
      </c>
      <c r="AF81" s="20">
        <f>IFERROR(VLOOKUP(Tabla13[[#This Row],[Llave]],'[5]Consolidación planes'!$A:$M,13,FALSE),0)</f>
        <v>0</v>
      </c>
    </row>
    <row r="82" spans="2:32" ht="16" hidden="1" x14ac:dyDescent="0.2">
      <c r="B82" t="str">
        <f>Tabla13[[#This Row],[Oficina]]&amp;Tabla13[[#This Row],[Material]]</f>
        <v>Agro Sudamerica1023295</v>
      </c>
      <c r="C82" t="s">
        <v>6</v>
      </c>
      <c r="D82" t="s">
        <v>17</v>
      </c>
      <c r="E82">
        <v>1023295</v>
      </c>
      <c r="F82" t="s">
        <v>289</v>
      </c>
      <c r="G82" t="s">
        <v>76</v>
      </c>
      <c r="H82" t="s">
        <v>79</v>
      </c>
      <c r="I82" s="7">
        <f>IFERROR(VLOOKUP(Tabla13[[#This Row],[Llave]],'[1]Consolidado RV'!$B:$H,6,FALSE),0)</f>
        <v>2000</v>
      </c>
      <c r="J82" s="3">
        <f>IFERROR(VLOOKUP(Tabla13[[#This Row],[Llave]],'[1]Consolidado RV'!$B:$H,7,FALSE),0)</f>
        <v>2000</v>
      </c>
      <c r="K82" s="8">
        <f>IFERROR(VLOOKUP(Tabla13[[#This Row],[Oficina]],#REF!,2,FALSE),0)</f>
        <v>0</v>
      </c>
      <c r="L82" s="7">
        <f>+Tabla13[[#This Row],[ RV Producción mes n+1]]*Tabla13[[#This Row],[% Uti. producción]]</f>
        <v>0</v>
      </c>
      <c r="M82" s="7">
        <f>IFERROR(VLOOKUP(Tabla13[[#This Row],[Material]],#REF!,2,FALSE),0)</f>
        <v>0</v>
      </c>
      <c r="N82" s="7">
        <f>IFERROR(VLOOKUP(Tabla13[[#This Row],[Llave]],'En puerto-Programado'!A:D,4,FALSE)+VLOOKUP(Tabla13[[#This Row],[Llave]],'Por despachar'!A:F,6,FALSE),0)</f>
        <v>0</v>
      </c>
      <c r="O82" s="7">
        <f>IFERROR(VLOOKUP(Tabla13[[#This Row],[Material]],[2]Consolidado!$C:$D,2,FALSE),0)</f>
        <v>0</v>
      </c>
      <c r="P82" s="7">
        <f>IFERROR(VLOOKUP(Tabla13[[#This Row],[Llave]],'Por despachar'!A:E,5,FALSE),0)</f>
        <v>0</v>
      </c>
      <c r="Q82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82" s="7">
        <f>IFERROR(VLOOKUP(Tabla13[[#This Row],[Llave]],[3]Hoja2!$A:$D,4,FALSE),0)</f>
        <v>2700</v>
      </c>
      <c r="S82" s="9">
        <f>IFERROR(VLOOKUP(Tabla13[[#This Row],[Material]],[4]Hoja1!$B:$C,2,FALSE),0)</f>
        <v>24000</v>
      </c>
      <c r="T82" s="5">
        <f t="shared" si="3"/>
        <v>0</v>
      </c>
      <c r="U82" s="3">
        <f>+Tabla13[[#This Row],[Total disponible]]-Tabla13[[#This Row],[Atraso a facturar]]</f>
        <v>0</v>
      </c>
      <c r="V82" s="6">
        <f t="shared" si="2"/>
        <v>0</v>
      </c>
      <c r="W82" s="3" t="str">
        <f>IF(Tabla13[[#This Row],[Venta del mes]]&gt;Tabla13[[#This Row],[ RV  Venta mes n+1]],"Falta venta","-")</f>
        <v>-</v>
      </c>
      <c r="X82" s="7"/>
      <c r="Y82" s="18">
        <v>0</v>
      </c>
      <c r="Z82" s="5">
        <f>+Tabla13[[#This Row],[Atraso a facturar]]+Tabla13[[#This Row],[Venta del mes]]+Tabla13[[#This Row],[Ajuste]]</f>
        <v>0</v>
      </c>
      <c r="AA82" s="6">
        <f>+Tabla13[[#This Row],[Atraso a facturar]]+Tabla13[[#This Row],[Venta del mes]]+Tabla13[[#This Row],[En puerto a facturar]]</f>
        <v>0</v>
      </c>
      <c r="AB82" s="20">
        <f>IFERROR(VLOOKUP(Tabla13[[#This Row],[Llave]],'[5]Consolidación planes'!$A:$M,9,FALSE),0)</f>
        <v>0</v>
      </c>
      <c r="AC82" s="20">
        <f>IFERROR(VLOOKUP(Tabla13[[#This Row],[Llave]],'[5]Consolidación planes'!$A:$M,10,FALSE),0)</f>
        <v>2700</v>
      </c>
      <c r="AD82" s="20">
        <f>IFERROR(VLOOKUP(Tabla13[[#This Row],[Llave]],'[5]Consolidación planes'!$A:$M,11,FALSE),0)</f>
        <v>0</v>
      </c>
      <c r="AE82" s="20">
        <f>IFERROR(VLOOKUP(Tabla13[[#This Row],[Llave]],'[5]Consolidación planes'!$A:$M,12,FALSE),0)</f>
        <v>0</v>
      </c>
      <c r="AF82" s="20">
        <f>IFERROR(VLOOKUP(Tabla13[[#This Row],[Llave]],'[5]Consolidación planes'!$A:$M,13,FALSE),0)</f>
        <v>0</v>
      </c>
    </row>
    <row r="83" spans="2:32" ht="16" hidden="1" x14ac:dyDescent="0.2">
      <c r="B83" t="str">
        <f>Tabla13[[#This Row],[Oficina]]&amp;Tabla13[[#This Row],[Material]]</f>
        <v>Agro Sudamerica1023312</v>
      </c>
      <c r="C83" t="s">
        <v>6</v>
      </c>
      <c r="D83" t="s">
        <v>17</v>
      </c>
      <c r="E83">
        <v>1023312</v>
      </c>
      <c r="F83" t="s">
        <v>39</v>
      </c>
      <c r="G83" t="s">
        <v>37</v>
      </c>
      <c r="H83" t="s">
        <v>38</v>
      </c>
      <c r="I83" s="7">
        <f>IFERROR(VLOOKUP(Tabla13[[#This Row],[Llave]],'[1]Consolidado RV'!$B:$H,6,FALSE),0)</f>
        <v>0</v>
      </c>
      <c r="J83" s="3">
        <f>IFERROR(VLOOKUP(Tabla13[[#This Row],[Llave]],'[1]Consolidado RV'!$B:$H,7,FALSE),0)</f>
        <v>0</v>
      </c>
      <c r="K83" s="8">
        <f>IFERROR(VLOOKUP(Tabla13[[#This Row],[Oficina]],#REF!,2,FALSE),0)</f>
        <v>0</v>
      </c>
      <c r="L83" s="7">
        <f>+Tabla13[[#This Row],[ RV Producción mes n+1]]*Tabla13[[#This Row],[% Uti. producción]]</f>
        <v>0</v>
      </c>
      <c r="M83" s="7">
        <f>IFERROR(VLOOKUP(Tabla13[[#This Row],[Material]],#REF!,2,FALSE),0)</f>
        <v>0</v>
      </c>
      <c r="N83" s="7">
        <f>IFERROR(VLOOKUP(Tabla13[[#This Row],[Llave]],'En puerto-Programado'!A:D,4,FALSE)+VLOOKUP(Tabla13[[#This Row],[Llave]],'Por despachar'!A:F,6,FALSE),0)</f>
        <v>0</v>
      </c>
      <c r="O83" s="7">
        <f>IFERROR(VLOOKUP(Tabla13[[#This Row],[Material]],[2]Consolidado!$C:$D,2,FALSE),0)</f>
        <v>0</v>
      </c>
      <c r="P83" s="7">
        <f>IFERROR(VLOOKUP(Tabla13[[#This Row],[Llave]],'Por despachar'!A:E,5,FALSE),0)</f>
        <v>0</v>
      </c>
      <c r="Q8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83" s="7">
        <f>IFERROR(VLOOKUP(Tabla13[[#This Row],[Llave]],[3]Hoja2!$A:$D,4,FALSE),0)</f>
        <v>0</v>
      </c>
      <c r="S83" s="9">
        <f>IFERROR(VLOOKUP(Tabla13[[#This Row],[Material]],[4]Hoja1!$B:$C,2,FALSE),0)</f>
        <v>24000</v>
      </c>
      <c r="T83" s="5">
        <f t="shared" si="3"/>
        <v>0</v>
      </c>
      <c r="U83" s="3">
        <f>+Tabla13[[#This Row],[Total disponible]]-Tabla13[[#This Row],[Atraso a facturar]]</f>
        <v>0</v>
      </c>
      <c r="V83" s="6">
        <f t="shared" si="2"/>
        <v>0</v>
      </c>
      <c r="W83" s="3" t="str">
        <f>IF(Tabla13[[#This Row],[Venta del mes]]&gt;Tabla13[[#This Row],[ RV  Venta mes n+1]],"Falta venta","-")</f>
        <v>-</v>
      </c>
      <c r="X83" s="7"/>
      <c r="Y83" s="18">
        <v>0</v>
      </c>
      <c r="Z83" s="5">
        <f>+Tabla13[[#This Row],[Atraso a facturar]]+Tabla13[[#This Row],[Venta del mes]]+Tabla13[[#This Row],[Ajuste]]</f>
        <v>0</v>
      </c>
      <c r="AA83" s="6">
        <f>+Tabla13[[#This Row],[Atraso a facturar]]+Tabla13[[#This Row],[Venta del mes]]+Tabla13[[#This Row],[En puerto a facturar]]</f>
        <v>0</v>
      </c>
      <c r="AB83" s="20">
        <f>IFERROR(VLOOKUP(Tabla13[[#This Row],[Llave]],'[5]Consolidación planes'!$A:$M,9,FALSE),0)</f>
        <v>0</v>
      </c>
      <c r="AC83" s="20">
        <f>IFERROR(VLOOKUP(Tabla13[[#This Row],[Llave]],'[5]Consolidación planes'!$A:$M,10,FALSE),0)</f>
        <v>0</v>
      </c>
      <c r="AD83" s="20">
        <f>IFERROR(VLOOKUP(Tabla13[[#This Row],[Llave]],'[5]Consolidación planes'!$A:$M,11,FALSE),0)</f>
        <v>10221</v>
      </c>
      <c r="AE83" s="20">
        <f>IFERROR(VLOOKUP(Tabla13[[#This Row],[Llave]],'[5]Consolidación planes'!$A:$M,12,FALSE),0)</f>
        <v>0</v>
      </c>
      <c r="AF83" s="20">
        <f>IFERROR(VLOOKUP(Tabla13[[#This Row],[Llave]],'[5]Consolidación planes'!$A:$M,13,FALSE),0)</f>
        <v>0</v>
      </c>
    </row>
    <row r="84" spans="2:32" ht="16" hidden="1" x14ac:dyDescent="0.2">
      <c r="B84" t="str">
        <f>Tabla13[[#This Row],[Oficina]]&amp;Tabla13[[#This Row],[Material]]</f>
        <v>Agro Sudamerica1023329</v>
      </c>
      <c r="C84" t="s">
        <v>6</v>
      </c>
      <c r="D84" t="s">
        <v>17</v>
      </c>
      <c r="E84">
        <v>1023329</v>
      </c>
      <c r="F84" t="s">
        <v>10</v>
      </c>
      <c r="G84" t="s">
        <v>8</v>
      </c>
      <c r="H84" t="s">
        <v>9</v>
      </c>
      <c r="I84" s="7">
        <f>IFERROR(VLOOKUP(Tabla13[[#This Row],[Llave]],'[1]Consolidado RV'!$B:$H,6,FALSE),0)</f>
        <v>0</v>
      </c>
      <c r="J84" s="3">
        <f>IFERROR(VLOOKUP(Tabla13[[#This Row],[Llave]],'[1]Consolidado RV'!$B:$H,7,FALSE),0)</f>
        <v>0</v>
      </c>
      <c r="K84" s="8">
        <f>IFERROR(VLOOKUP(Tabla13[[#This Row],[Oficina]],#REF!,2,FALSE),0)</f>
        <v>0</v>
      </c>
      <c r="L84" s="7">
        <f>+Tabla13[[#This Row],[ RV Producción mes n+1]]*Tabla13[[#This Row],[% Uti. producción]]</f>
        <v>0</v>
      </c>
      <c r="M84" s="7">
        <f>IFERROR(VLOOKUP(Tabla13[[#This Row],[Material]],#REF!,2,FALSE),0)</f>
        <v>0</v>
      </c>
      <c r="N84" s="7">
        <f>IFERROR(VLOOKUP(Tabla13[[#This Row],[Llave]],'En puerto-Programado'!A:D,4,FALSE)+VLOOKUP(Tabla13[[#This Row],[Llave]],'Por despachar'!A:F,6,FALSE),0)</f>
        <v>0</v>
      </c>
      <c r="O84" s="7">
        <f>IFERROR(VLOOKUP(Tabla13[[#This Row],[Material]],[2]Consolidado!$C:$D,2,FALSE),0)</f>
        <v>12378.989148195695</v>
      </c>
      <c r="P84" s="7">
        <f>IFERROR(VLOOKUP(Tabla13[[#This Row],[Llave]],'Por despachar'!A:E,5,FALSE),0)</f>
        <v>0</v>
      </c>
      <c r="Q84" s="14">
        <f>SUM(Tabla13[[#This Row],[Producción disponible]],Tabla13[[#This Row],[Stock al día]],Tabla13[[#This Row],[Por producir Abr.]])-SUM(Tabla13[[#This Row],[Stock por despachar N]],Tabla13[[#This Row],[Producción por despachar mes N]])</f>
        <v>12378.989148195695</v>
      </c>
      <c r="R84" s="7">
        <f>IFERROR(VLOOKUP(Tabla13[[#This Row],[Llave]],[3]Hoja2!$A:$D,4,FALSE),0)</f>
        <v>24000</v>
      </c>
      <c r="S84" s="9">
        <f>IFERROR(VLOOKUP(Tabla13[[#This Row],[Material]],[4]Hoja1!$B:$C,2,FALSE),0)</f>
        <v>24000</v>
      </c>
      <c r="T84" s="5">
        <f t="shared" si="3"/>
        <v>0</v>
      </c>
      <c r="U84" s="3">
        <f>+Tabla13[[#This Row],[Total disponible]]-Tabla13[[#This Row],[Atraso a facturar]]</f>
        <v>12378.989148195695</v>
      </c>
      <c r="V84" s="6">
        <f t="shared" si="2"/>
        <v>0</v>
      </c>
      <c r="W84" s="3" t="str">
        <f>IF(Tabla13[[#This Row],[Venta del mes]]&gt;Tabla13[[#This Row],[ RV  Venta mes n+1]],"Falta venta","-")</f>
        <v>-</v>
      </c>
      <c r="X84" s="7"/>
      <c r="Y84" s="18">
        <v>0</v>
      </c>
      <c r="Z84" s="5">
        <f>+Tabla13[[#This Row],[Atraso a facturar]]+Tabla13[[#This Row],[Venta del mes]]+Tabla13[[#This Row],[Ajuste]]</f>
        <v>0</v>
      </c>
      <c r="AA84" s="6">
        <f>+Tabla13[[#This Row],[Atraso a facturar]]+Tabla13[[#This Row],[Venta del mes]]+Tabla13[[#This Row],[En puerto a facturar]]</f>
        <v>0</v>
      </c>
      <c r="AB84" s="20">
        <f>IFERROR(VLOOKUP(Tabla13[[#This Row],[Llave]],'[5]Consolidación planes'!$A:$M,9,FALSE),0)</f>
        <v>0</v>
      </c>
      <c r="AC84" s="20">
        <f>IFERROR(VLOOKUP(Tabla13[[#This Row],[Llave]],'[5]Consolidación planes'!$A:$M,10,FALSE),0)</f>
        <v>0</v>
      </c>
      <c r="AD84" s="20">
        <f>IFERROR(VLOOKUP(Tabla13[[#This Row],[Llave]],'[5]Consolidación planes'!$A:$M,11,FALSE),0)</f>
        <v>0</v>
      </c>
      <c r="AE84" s="20">
        <f>IFERROR(VLOOKUP(Tabla13[[#This Row],[Llave]],'[5]Consolidación planes'!$A:$M,12,FALSE),0)</f>
        <v>24000</v>
      </c>
      <c r="AF84" s="20">
        <f>IFERROR(VLOOKUP(Tabla13[[#This Row],[Llave]],'[5]Consolidación planes'!$A:$M,13,FALSE),0)</f>
        <v>24000</v>
      </c>
    </row>
    <row r="85" spans="2:32" ht="16" hidden="1" x14ac:dyDescent="0.2">
      <c r="B85" t="str">
        <f>Tabla13[[#This Row],[Oficina]]&amp;Tabla13[[#This Row],[Material]]</f>
        <v>Agro Sudamerica1023331</v>
      </c>
      <c r="C85" t="s">
        <v>6</v>
      </c>
      <c r="D85" t="s">
        <v>17</v>
      </c>
      <c r="E85">
        <v>1023331</v>
      </c>
      <c r="F85" t="s">
        <v>281</v>
      </c>
      <c r="G85" t="s">
        <v>50</v>
      </c>
      <c r="H85" t="s">
        <v>110</v>
      </c>
      <c r="I85" s="7">
        <f>IFERROR(VLOOKUP(Tabla13[[#This Row],[Llave]],'[1]Consolidado RV'!$B:$H,6,FALSE),0)</f>
        <v>0</v>
      </c>
      <c r="J85" s="3">
        <f>IFERROR(VLOOKUP(Tabla13[[#This Row],[Llave]],'[1]Consolidado RV'!$B:$H,7,FALSE),0)</f>
        <v>104.461</v>
      </c>
      <c r="K85" s="8">
        <f>IFERROR(VLOOKUP(Tabla13[[#This Row],[Oficina]],#REF!,2,FALSE),0)</f>
        <v>0</v>
      </c>
      <c r="L85" s="7">
        <f>+Tabla13[[#This Row],[ RV Producción mes n+1]]*Tabla13[[#This Row],[% Uti. producción]]</f>
        <v>0</v>
      </c>
      <c r="M85" s="7">
        <f>IFERROR(VLOOKUP(Tabla13[[#This Row],[Material]],#REF!,2,FALSE),0)</f>
        <v>0</v>
      </c>
      <c r="N85" s="7">
        <f>IFERROR(VLOOKUP(Tabla13[[#This Row],[Llave]],'En puerto-Programado'!A:D,4,FALSE)+VLOOKUP(Tabla13[[#This Row],[Llave]],'Por despachar'!A:F,6,FALSE),0)</f>
        <v>0</v>
      </c>
      <c r="O85" s="7">
        <f>IFERROR(VLOOKUP(Tabla13[[#This Row],[Material]],[2]Consolidado!$C:$D,2,FALSE),0)</f>
        <v>0</v>
      </c>
      <c r="P85" s="7">
        <f>IFERROR(VLOOKUP(Tabla13[[#This Row],[Llave]],'Por despachar'!A:E,5,FALSE),0)</f>
        <v>0</v>
      </c>
      <c r="Q8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85" s="7">
        <f>IFERROR(VLOOKUP(Tabla13[[#This Row],[Llave]],[3]Hoja2!$A:$D,4,FALSE),0)</f>
        <v>6000</v>
      </c>
      <c r="S85" s="9">
        <f>IFERROR(VLOOKUP(Tabla13[[#This Row],[Material]],[4]Hoja1!$B:$C,2,FALSE),0)</f>
        <v>24000</v>
      </c>
      <c r="T85" s="5">
        <f t="shared" si="3"/>
        <v>0</v>
      </c>
      <c r="U85" s="3">
        <f>+Tabla13[[#This Row],[Total disponible]]-Tabla13[[#This Row],[Atraso a facturar]]</f>
        <v>0</v>
      </c>
      <c r="V85" s="6">
        <f t="shared" si="2"/>
        <v>0</v>
      </c>
      <c r="W85" s="3" t="str">
        <f>IF(Tabla13[[#This Row],[Venta del mes]]&gt;Tabla13[[#This Row],[ RV  Venta mes n+1]],"Falta venta","-")</f>
        <v>-</v>
      </c>
      <c r="X85" s="7"/>
      <c r="Y85" s="18">
        <v>0</v>
      </c>
      <c r="Z85" s="5">
        <f>+Tabla13[[#This Row],[Atraso a facturar]]+Tabla13[[#This Row],[Venta del mes]]+Tabla13[[#This Row],[Ajuste]]</f>
        <v>0</v>
      </c>
      <c r="AA85" s="6">
        <f>+Tabla13[[#This Row],[Atraso a facturar]]+Tabla13[[#This Row],[Venta del mes]]+Tabla13[[#This Row],[En puerto a facturar]]</f>
        <v>0</v>
      </c>
      <c r="AB85" s="20">
        <f>IFERROR(VLOOKUP(Tabla13[[#This Row],[Llave]],'[5]Consolidación planes'!$A:$M,9,FALSE),0)</f>
        <v>0</v>
      </c>
      <c r="AC85" s="20">
        <f>IFERROR(VLOOKUP(Tabla13[[#This Row],[Llave]],'[5]Consolidación planes'!$A:$M,10,FALSE),0)</f>
        <v>23000</v>
      </c>
      <c r="AD85" s="20">
        <f>IFERROR(VLOOKUP(Tabla13[[#This Row],[Llave]],'[5]Consolidación planes'!$A:$M,11,FALSE),0)</f>
        <v>0</v>
      </c>
      <c r="AE85" s="20">
        <f>IFERROR(VLOOKUP(Tabla13[[#This Row],[Llave]],'[5]Consolidación planes'!$A:$M,12,FALSE),0)</f>
        <v>23000</v>
      </c>
      <c r="AF85" s="20">
        <f>IFERROR(VLOOKUP(Tabla13[[#This Row],[Llave]],'[5]Consolidación planes'!$A:$M,13,FALSE),0)</f>
        <v>0</v>
      </c>
    </row>
    <row r="86" spans="2:32" ht="16" hidden="1" x14ac:dyDescent="0.2">
      <c r="B86" t="str">
        <f>Tabla13[[#This Row],[Oficina]]&amp;Tabla13[[#This Row],[Material]]</f>
        <v>Agro Sudamerica1023334</v>
      </c>
      <c r="C86" t="s">
        <v>6</v>
      </c>
      <c r="D86" t="s">
        <v>17</v>
      </c>
      <c r="E86">
        <v>1023334</v>
      </c>
      <c r="F86" t="s">
        <v>276</v>
      </c>
      <c r="G86" t="s">
        <v>8</v>
      </c>
      <c r="H86" t="s">
        <v>32</v>
      </c>
      <c r="I86" s="7">
        <f>IFERROR(VLOOKUP(Tabla13[[#This Row],[Llave]],'[1]Consolidado RV'!$B:$H,6,FALSE),0)</f>
        <v>0</v>
      </c>
      <c r="J86" s="3">
        <f>IFERROR(VLOOKUP(Tabla13[[#This Row],[Llave]],'[1]Consolidado RV'!$B:$H,7,FALSE),0)</f>
        <v>0</v>
      </c>
      <c r="K86" s="8">
        <f>IFERROR(VLOOKUP(Tabla13[[#This Row],[Oficina]],#REF!,2,FALSE),0)</f>
        <v>0</v>
      </c>
      <c r="L86" s="7">
        <f>+Tabla13[[#This Row],[ RV Producción mes n+1]]*Tabla13[[#This Row],[% Uti. producción]]</f>
        <v>0</v>
      </c>
      <c r="M86" s="7">
        <f>IFERROR(VLOOKUP(Tabla13[[#This Row],[Material]],#REF!,2,FALSE),0)</f>
        <v>0</v>
      </c>
      <c r="N86" s="7">
        <f>IFERROR(VLOOKUP(Tabla13[[#This Row],[Llave]],'En puerto-Programado'!A:D,4,FALSE)+VLOOKUP(Tabla13[[#This Row],[Llave]],'Por despachar'!A:F,6,FALSE),0)</f>
        <v>0</v>
      </c>
      <c r="O86" s="7">
        <f>IFERROR(VLOOKUP(Tabla13[[#This Row],[Material]],[2]Consolidado!$C:$D,2,FALSE),0)</f>
        <v>104944.13950118097</v>
      </c>
      <c r="P86" s="7">
        <f>IFERROR(VLOOKUP(Tabla13[[#This Row],[Llave]],'Por despachar'!A:E,5,FALSE),0)</f>
        <v>0</v>
      </c>
      <c r="Q86" s="14">
        <f>SUM(Tabla13[[#This Row],[Producción disponible]],Tabla13[[#This Row],[Stock al día]],Tabla13[[#This Row],[Por producir Abr.]])-SUM(Tabla13[[#This Row],[Stock por despachar N]],Tabla13[[#This Row],[Producción por despachar mes N]])</f>
        <v>104944.13950118097</v>
      </c>
      <c r="R86" s="7">
        <f>IFERROR(VLOOKUP(Tabla13[[#This Row],[Llave]],[3]Hoja2!$A:$D,4,FALSE),0)</f>
        <v>0</v>
      </c>
      <c r="S86" s="9">
        <f>IFERROR(VLOOKUP(Tabla13[[#This Row],[Material]],[4]Hoja1!$B:$C,2,FALSE),0)</f>
        <v>24000</v>
      </c>
      <c r="T86" s="5">
        <f t="shared" si="3"/>
        <v>0</v>
      </c>
      <c r="U86" s="3">
        <f>+Tabla13[[#This Row],[Total disponible]]-Tabla13[[#This Row],[Atraso a facturar]]</f>
        <v>104944.13950118097</v>
      </c>
      <c r="V86" s="6">
        <f t="shared" si="2"/>
        <v>0</v>
      </c>
      <c r="W86" s="3" t="str">
        <f>IF(Tabla13[[#This Row],[Venta del mes]]&gt;Tabla13[[#This Row],[ RV  Venta mes n+1]],"Falta venta","-")</f>
        <v>-</v>
      </c>
      <c r="X86" s="7"/>
      <c r="Y86" s="18">
        <v>0</v>
      </c>
      <c r="Z86" s="5">
        <f>+Tabla13[[#This Row],[Atraso a facturar]]+Tabla13[[#This Row],[Venta del mes]]+Tabla13[[#This Row],[Ajuste]]</f>
        <v>0</v>
      </c>
      <c r="AA86" s="6">
        <f>+Tabla13[[#This Row],[Atraso a facturar]]+Tabla13[[#This Row],[Venta del mes]]+Tabla13[[#This Row],[En puerto a facturar]]</f>
        <v>0</v>
      </c>
      <c r="AB86" s="20">
        <f>IFERROR(VLOOKUP(Tabla13[[#This Row],[Llave]],'[5]Consolidación planes'!$A:$M,9,FALSE),0)</f>
        <v>0</v>
      </c>
      <c r="AC86" s="20">
        <f>IFERROR(VLOOKUP(Tabla13[[#This Row],[Llave]],'[5]Consolidación planes'!$A:$M,10,FALSE),0)</f>
        <v>0</v>
      </c>
      <c r="AD86" s="20">
        <f>IFERROR(VLOOKUP(Tabla13[[#This Row],[Llave]],'[5]Consolidación planes'!$A:$M,11,FALSE),0)</f>
        <v>0</v>
      </c>
      <c r="AE86" s="20">
        <f>IFERROR(VLOOKUP(Tabla13[[#This Row],[Llave]],'[5]Consolidación planes'!$A:$M,12,FALSE),0)</f>
        <v>0</v>
      </c>
      <c r="AF86" s="20">
        <f>IFERROR(VLOOKUP(Tabla13[[#This Row],[Llave]],'[5]Consolidación planes'!$A:$M,13,FALSE),0)</f>
        <v>0</v>
      </c>
    </row>
    <row r="87" spans="2:32" ht="16" hidden="1" x14ac:dyDescent="0.2">
      <c r="B87" t="str">
        <f>Tabla13[[#This Row],[Oficina]]&amp;Tabla13[[#This Row],[Material]]</f>
        <v>Agro Sudamerica1023355</v>
      </c>
      <c r="C87" t="s">
        <v>6</v>
      </c>
      <c r="D87" t="s">
        <v>17</v>
      </c>
      <c r="E87">
        <v>1023355</v>
      </c>
      <c r="F87" t="s">
        <v>203</v>
      </c>
      <c r="G87" t="s">
        <v>76</v>
      </c>
      <c r="H87" t="s">
        <v>84</v>
      </c>
      <c r="I87" s="7">
        <f>IFERROR(VLOOKUP(Tabla13[[#This Row],[Llave]],'[1]Consolidado RV'!$B:$H,6,FALSE),0)</f>
        <v>0</v>
      </c>
      <c r="J87" s="3">
        <f>IFERROR(VLOOKUP(Tabla13[[#This Row],[Llave]],'[1]Consolidado RV'!$B:$H,7,FALSE),0)</f>
        <v>4082.4340000000002</v>
      </c>
      <c r="K87" s="8">
        <f>IFERROR(VLOOKUP(Tabla13[[#This Row],[Oficina]],#REF!,2,FALSE),0)</f>
        <v>0</v>
      </c>
      <c r="L87" s="7">
        <f>+Tabla13[[#This Row],[ RV Producción mes n+1]]*Tabla13[[#This Row],[% Uti. producción]]</f>
        <v>0</v>
      </c>
      <c r="M87" s="7">
        <f>IFERROR(VLOOKUP(Tabla13[[#This Row],[Material]],#REF!,2,FALSE),0)</f>
        <v>0</v>
      </c>
      <c r="N87" s="7">
        <f>IFERROR(VLOOKUP(Tabla13[[#This Row],[Llave]],'En puerto-Programado'!A:D,4,FALSE)+VLOOKUP(Tabla13[[#This Row],[Llave]],'Por despachar'!A:F,6,FALSE),0)</f>
        <v>0</v>
      </c>
      <c r="O87" s="7">
        <f>IFERROR(VLOOKUP(Tabla13[[#This Row],[Material]],[2]Consolidado!$C:$D,2,FALSE),0)</f>
        <v>8471.6981132075489</v>
      </c>
      <c r="P87" s="7">
        <f>IFERROR(VLOOKUP(Tabla13[[#This Row],[Llave]],'Por despachar'!A:E,5,FALSE),0)</f>
        <v>0</v>
      </c>
      <c r="Q87" s="14">
        <f>SUM(Tabla13[[#This Row],[Producción disponible]],Tabla13[[#This Row],[Stock al día]],Tabla13[[#This Row],[Por producir Abr.]])-SUM(Tabla13[[#This Row],[Stock por despachar N]],Tabla13[[#This Row],[Producción por despachar mes N]])</f>
        <v>8471.6981132075489</v>
      </c>
      <c r="R87" s="7">
        <f>IFERROR(VLOOKUP(Tabla13[[#This Row],[Llave]],[3]Hoja2!$A:$D,4,FALSE),0)</f>
        <v>24000</v>
      </c>
      <c r="S87" s="9">
        <f>IFERROR(VLOOKUP(Tabla13[[#This Row],[Material]],[4]Hoja1!$B:$C,2,FALSE),0)</f>
        <v>24000</v>
      </c>
      <c r="T87" s="5">
        <f t="shared" si="3"/>
        <v>0</v>
      </c>
      <c r="U87" s="3">
        <f>+Tabla13[[#This Row],[Total disponible]]-Tabla13[[#This Row],[Atraso a facturar]]</f>
        <v>8471.6981132075489</v>
      </c>
      <c r="V87" s="6">
        <f t="shared" si="2"/>
        <v>0</v>
      </c>
      <c r="W87" s="3" t="str">
        <f>IF(Tabla13[[#This Row],[Venta del mes]]&gt;Tabla13[[#This Row],[ RV  Venta mes n+1]],"Falta venta","-")</f>
        <v>-</v>
      </c>
      <c r="X87" s="7"/>
      <c r="Y87" s="18">
        <v>0</v>
      </c>
      <c r="Z87" s="5">
        <f>+Tabla13[[#This Row],[Atraso a facturar]]+Tabla13[[#This Row],[Venta del mes]]+Tabla13[[#This Row],[Ajuste]]</f>
        <v>0</v>
      </c>
      <c r="AA87" s="6">
        <f>+Tabla13[[#This Row],[Atraso a facturar]]+Tabla13[[#This Row],[Venta del mes]]+Tabla13[[#This Row],[En puerto a facturar]]</f>
        <v>0</v>
      </c>
      <c r="AB87" s="20">
        <f>IFERROR(VLOOKUP(Tabla13[[#This Row],[Llave]],'[5]Consolidación planes'!$A:$M,9,FALSE),0)</f>
        <v>0</v>
      </c>
      <c r="AC87" s="20">
        <f>IFERROR(VLOOKUP(Tabla13[[#This Row],[Llave]],'[5]Consolidación planes'!$A:$M,10,FALSE),0)</f>
        <v>0</v>
      </c>
      <c r="AD87" s="20">
        <f>IFERROR(VLOOKUP(Tabla13[[#This Row],[Llave]],'[5]Consolidación planes'!$A:$M,11,FALSE),0)</f>
        <v>0</v>
      </c>
      <c r="AE87" s="20">
        <f>IFERROR(VLOOKUP(Tabla13[[#This Row],[Llave]],'[5]Consolidación planes'!$A:$M,12,FALSE),0)</f>
        <v>0</v>
      </c>
      <c r="AF87" s="20">
        <f>IFERROR(VLOOKUP(Tabla13[[#This Row],[Llave]],'[5]Consolidación planes'!$A:$M,13,FALSE),0)</f>
        <v>24000</v>
      </c>
    </row>
    <row r="88" spans="2:32" ht="16" hidden="1" x14ac:dyDescent="0.2">
      <c r="B88" t="str">
        <f>Tabla13[[#This Row],[Oficina]]&amp;Tabla13[[#This Row],[Material]]</f>
        <v>Agrosuper Asia1020860</v>
      </c>
      <c r="C88" t="s">
        <v>6</v>
      </c>
      <c r="D88" t="s">
        <v>173</v>
      </c>
      <c r="E88">
        <v>1020860</v>
      </c>
      <c r="F88" t="s">
        <v>182</v>
      </c>
      <c r="G88" t="s">
        <v>50</v>
      </c>
      <c r="H88" t="s">
        <v>110</v>
      </c>
      <c r="I88" s="7">
        <f>IFERROR(VLOOKUP(Tabla13[[#This Row],[Llave]],'[1]Consolidado RV'!$B:$H,6,FALSE),0)</f>
        <v>161544.31219999999</v>
      </c>
      <c r="J88" s="3">
        <f>IFERROR(VLOOKUP(Tabla13[[#This Row],[Llave]],'[1]Consolidado RV'!$B:$H,7,FALSE),0)</f>
        <v>154000.00097626439</v>
      </c>
      <c r="K88" s="8">
        <f>IFERROR(VLOOKUP(Tabla13[[#This Row],[Oficina]],#REF!,2,FALSE),0)</f>
        <v>0</v>
      </c>
      <c r="L88" s="7">
        <f>+Tabla13[[#This Row],[ RV Producción mes n+1]]*Tabla13[[#This Row],[% Uti. producción]]</f>
        <v>0</v>
      </c>
      <c r="M88" s="7">
        <f>IFERROR(VLOOKUP(Tabla13[[#This Row],[Material]],#REF!,2,FALSE),0)</f>
        <v>0</v>
      </c>
      <c r="N88" s="7">
        <f>IFERROR(VLOOKUP(Tabla13[[#This Row],[Llave]],'En puerto-Programado'!A:D,4,FALSE)+VLOOKUP(Tabla13[[#This Row],[Llave]],'Por despachar'!A:F,6,FALSE),0)</f>
        <v>0</v>
      </c>
      <c r="O88" s="7">
        <f>IFERROR(VLOOKUP(Tabla13[[#This Row],[Material]],[2]Consolidado!$C:$D,2,FALSE),0)</f>
        <v>93127.533801834317</v>
      </c>
      <c r="P88" s="7">
        <f>IFERROR(VLOOKUP(Tabla13[[#This Row],[Llave]],'Por despachar'!A:E,5,FALSE),0)</f>
        <v>0</v>
      </c>
      <c r="Q88" s="14">
        <f>SUM(Tabla13[[#This Row],[Producción disponible]],Tabla13[[#This Row],[Stock al día]],Tabla13[[#This Row],[Por producir Abr.]])-SUM(Tabla13[[#This Row],[Stock por despachar N]],Tabla13[[#This Row],[Producción por despachar mes N]])</f>
        <v>93127.533801834317</v>
      </c>
      <c r="R88" s="7">
        <f>IFERROR(VLOOKUP(Tabla13[[#This Row],[Llave]],[3]Hoja2!$A:$D,4,FALSE),0)</f>
        <v>165000</v>
      </c>
      <c r="S88" s="9">
        <f>IFERROR(VLOOKUP(Tabla13[[#This Row],[Material]],[4]Hoja1!$B:$C,2,FALSE),0)</f>
        <v>22000</v>
      </c>
      <c r="T88" s="5">
        <f t="shared" si="3"/>
        <v>88000</v>
      </c>
      <c r="U88" s="3">
        <f>+Tabla13[[#This Row],[Total disponible]]-Tabla13[[#This Row],[Atraso a facturar]]</f>
        <v>5127.5338018343173</v>
      </c>
      <c r="V88" s="6">
        <f t="shared" si="2"/>
        <v>0</v>
      </c>
      <c r="W88" s="3" t="str">
        <f>IF(Tabla13[[#This Row],[Venta del mes]]&gt;Tabla13[[#This Row],[ RV  Venta mes n+1]],"Falta venta","-")</f>
        <v>-</v>
      </c>
      <c r="X88" s="7"/>
      <c r="Y88" s="18">
        <v>0</v>
      </c>
      <c r="Z88" s="5">
        <f>+Tabla13[[#This Row],[Atraso a facturar]]+Tabla13[[#This Row],[Venta del mes]]+Tabla13[[#This Row],[Ajuste]]</f>
        <v>88000</v>
      </c>
      <c r="AA88" s="6">
        <f>+Tabla13[[#This Row],[Atraso a facturar]]+Tabla13[[#This Row],[Venta del mes]]+Tabla13[[#This Row],[En puerto a facturar]]</f>
        <v>88000</v>
      </c>
      <c r="AB88" s="20">
        <f>IFERROR(VLOOKUP(Tabla13[[#This Row],[Llave]],'[5]Consolidación planes'!$A:$M,9,FALSE),0)</f>
        <v>154000</v>
      </c>
      <c r="AC88" s="20">
        <f>IFERROR(VLOOKUP(Tabla13[[#This Row],[Llave]],'[5]Consolidación planes'!$A:$M,10,FALSE),0)</f>
        <v>66000</v>
      </c>
      <c r="AD88" s="20">
        <f>IFERROR(VLOOKUP(Tabla13[[#This Row],[Llave]],'[5]Consolidación planes'!$A:$M,11,FALSE),0)</f>
        <v>88000</v>
      </c>
      <c r="AE88" s="20">
        <f>IFERROR(VLOOKUP(Tabla13[[#This Row],[Llave]],'[5]Consolidación planes'!$A:$M,12,FALSE),0)</f>
        <v>154000</v>
      </c>
      <c r="AF88" s="20">
        <f>IFERROR(VLOOKUP(Tabla13[[#This Row],[Llave]],'[5]Consolidación planes'!$A:$M,13,FALSE),0)</f>
        <v>176000</v>
      </c>
    </row>
    <row r="89" spans="2:32" ht="16" hidden="1" x14ac:dyDescent="0.2">
      <c r="B89" t="str">
        <f>Tabla13[[#This Row],[Oficina]]&amp;Tabla13[[#This Row],[Material]]</f>
        <v>Agrosuper Asia1020861</v>
      </c>
      <c r="C89" t="s">
        <v>6</v>
      </c>
      <c r="D89" t="s">
        <v>173</v>
      </c>
      <c r="E89">
        <v>1020861</v>
      </c>
      <c r="F89" t="s">
        <v>183</v>
      </c>
      <c r="G89" t="s">
        <v>50</v>
      </c>
      <c r="H89" t="s">
        <v>110</v>
      </c>
      <c r="I89" s="7">
        <f>IFERROR(VLOOKUP(Tabla13[[#This Row],[Llave]],'[1]Consolidado RV'!$B:$H,6,FALSE),0)</f>
        <v>129939.519</v>
      </c>
      <c r="J89" s="3">
        <f>IFERROR(VLOOKUP(Tabla13[[#This Row],[Llave]],'[1]Consolidado RV'!$B:$H,7,FALSE),0)</f>
        <v>109999.9998234932</v>
      </c>
      <c r="K89" s="8">
        <f>IFERROR(VLOOKUP(Tabla13[[#This Row],[Oficina]],#REF!,2,FALSE),0)</f>
        <v>0</v>
      </c>
      <c r="L89" s="7">
        <f>+Tabla13[[#This Row],[ RV Producción mes n+1]]*Tabla13[[#This Row],[% Uti. producción]]</f>
        <v>0</v>
      </c>
      <c r="M89" s="7">
        <f>IFERROR(VLOOKUP(Tabla13[[#This Row],[Material]],#REF!,2,FALSE),0)</f>
        <v>0</v>
      </c>
      <c r="N89" s="7">
        <f>IFERROR(VLOOKUP(Tabla13[[#This Row],[Llave]],'En puerto-Programado'!A:D,4,FALSE)+VLOOKUP(Tabla13[[#This Row],[Llave]],'Por despachar'!A:F,6,FALSE),0)</f>
        <v>0</v>
      </c>
      <c r="O89" s="7">
        <f>IFERROR(VLOOKUP(Tabla13[[#This Row],[Material]],[2]Consolidado!$C:$D,2,FALSE),0)</f>
        <v>13046.223450500862</v>
      </c>
      <c r="P89" s="7">
        <f>IFERROR(VLOOKUP(Tabla13[[#This Row],[Llave]],'Por despachar'!A:E,5,FALSE),0)</f>
        <v>0</v>
      </c>
      <c r="Q89" s="14">
        <f>SUM(Tabla13[[#This Row],[Producción disponible]],Tabla13[[#This Row],[Stock al día]],Tabla13[[#This Row],[Por producir Abr.]])-SUM(Tabla13[[#This Row],[Stock por despachar N]],Tabla13[[#This Row],[Producción por despachar mes N]])</f>
        <v>13046.223450500862</v>
      </c>
      <c r="R89" s="7">
        <f>IFERROR(VLOOKUP(Tabla13[[#This Row],[Llave]],[3]Hoja2!$A:$D,4,FALSE),0)</f>
        <v>110000</v>
      </c>
      <c r="S89" s="9">
        <f>IFERROR(VLOOKUP(Tabla13[[#This Row],[Material]],[4]Hoja1!$B:$C,2,FALSE),0)</f>
        <v>22000</v>
      </c>
      <c r="T89" s="5">
        <f t="shared" si="3"/>
        <v>0</v>
      </c>
      <c r="U89" s="3">
        <f>+Tabla13[[#This Row],[Total disponible]]-Tabla13[[#This Row],[Atraso a facturar]]</f>
        <v>13046.223450500862</v>
      </c>
      <c r="V89" s="6">
        <f t="shared" si="2"/>
        <v>0</v>
      </c>
      <c r="W89" s="3" t="str">
        <f>IF(Tabla13[[#This Row],[Venta del mes]]&gt;Tabla13[[#This Row],[ RV  Venta mes n+1]],"Falta venta","-")</f>
        <v>-</v>
      </c>
      <c r="X89" s="7"/>
      <c r="Y89" s="18">
        <v>0</v>
      </c>
      <c r="Z89" s="5">
        <f>+Tabla13[[#This Row],[Atraso a facturar]]+Tabla13[[#This Row],[Venta del mes]]+Tabla13[[#This Row],[Ajuste]]</f>
        <v>0</v>
      </c>
      <c r="AA89" s="6">
        <f>+Tabla13[[#This Row],[Atraso a facturar]]+Tabla13[[#This Row],[Venta del mes]]+Tabla13[[#This Row],[En puerto a facturar]]</f>
        <v>0</v>
      </c>
      <c r="AB89" s="20">
        <f>IFERROR(VLOOKUP(Tabla13[[#This Row],[Llave]],'[5]Consolidación planes'!$A:$M,9,FALSE),0)</f>
        <v>88000</v>
      </c>
      <c r="AC89" s="20">
        <f>IFERROR(VLOOKUP(Tabla13[[#This Row],[Llave]],'[5]Consolidación planes'!$A:$M,10,FALSE),0)</f>
        <v>66000</v>
      </c>
      <c r="AD89" s="20">
        <f>IFERROR(VLOOKUP(Tabla13[[#This Row],[Llave]],'[5]Consolidación planes'!$A:$M,11,FALSE),0)</f>
        <v>66000</v>
      </c>
      <c r="AE89" s="20">
        <f>IFERROR(VLOOKUP(Tabla13[[#This Row],[Llave]],'[5]Consolidación planes'!$A:$M,12,FALSE),0)</f>
        <v>154000</v>
      </c>
      <c r="AF89" s="20">
        <f>IFERROR(VLOOKUP(Tabla13[[#This Row],[Llave]],'[5]Consolidación planes'!$A:$M,13,FALSE),0)</f>
        <v>153860</v>
      </c>
    </row>
    <row r="90" spans="2:32" ht="16" hidden="1" x14ac:dyDescent="0.2">
      <c r="B90" t="str">
        <f>Tabla13[[#This Row],[Oficina]]&amp;Tabla13[[#This Row],[Material]]</f>
        <v>Agrosuper Asia1020904</v>
      </c>
      <c r="C90" t="s">
        <v>6</v>
      </c>
      <c r="D90" t="s">
        <v>173</v>
      </c>
      <c r="E90">
        <v>1020904</v>
      </c>
      <c r="F90" t="s">
        <v>186</v>
      </c>
      <c r="G90" t="s">
        <v>56</v>
      </c>
      <c r="H90" t="s">
        <v>118</v>
      </c>
      <c r="I90" s="7">
        <f>IFERROR(VLOOKUP(Tabla13[[#This Row],[Llave]],'[1]Consolidado RV'!$B:$H,6,FALSE),0)</f>
        <v>0</v>
      </c>
      <c r="J90" s="3">
        <f>IFERROR(VLOOKUP(Tabla13[[#This Row],[Llave]],'[1]Consolidado RV'!$B:$H,7,FALSE),0)</f>
        <v>0</v>
      </c>
      <c r="K90" s="8">
        <f>IFERROR(VLOOKUP(Tabla13[[#This Row],[Oficina]],#REF!,2,FALSE),0)</f>
        <v>0</v>
      </c>
      <c r="L90" s="7">
        <f>+Tabla13[[#This Row],[ RV Producción mes n+1]]*Tabla13[[#This Row],[% Uti. producción]]</f>
        <v>0</v>
      </c>
      <c r="M90" s="7">
        <f>IFERROR(VLOOKUP(Tabla13[[#This Row],[Material]],#REF!,2,FALSE),0)</f>
        <v>0</v>
      </c>
      <c r="N90" s="7">
        <f>IFERROR(VLOOKUP(Tabla13[[#This Row],[Llave]],'En puerto-Programado'!A:D,4,FALSE)+VLOOKUP(Tabla13[[#This Row],[Llave]],'Por despachar'!A:F,6,FALSE),0)</f>
        <v>0</v>
      </c>
      <c r="O90" s="7">
        <f>IFERROR(VLOOKUP(Tabla13[[#This Row],[Material]],[2]Consolidado!$C:$D,2,FALSE),0)</f>
        <v>0</v>
      </c>
      <c r="P90" s="7">
        <f>IFERROR(VLOOKUP(Tabla13[[#This Row],[Llave]],'Por despachar'!A:E,5,FALSE),0)</f>
        <v>0</v>
      </c>
      <c r="Q9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90" s="7">
        <f>IFERROR(VLOOKUP(Tabla13[[#This Row],[Llave]],[3]Hoja2!$A:$D,4,FALSE),0)</f>
        <v>110000</v>
      </c>
      <c r="S90" s="9">
        <f>IFERROR(VLOOKUP(Tabla13[[#This Row],[Material]],[4]Hoja1!$B:$C,2,FALSE),0)</f>
        <v>22000</v>
      </c>
      <c r="T90" s="5">
        <f t="shared" si="3"/>
        <v>0</v>
      </c>
      <c r="U90" s="3">
        <f>+Tabla13[[#This Row],[Total disponible]]-Tabla13[[#This Row],[Atraso a facturar]]</f>
        <v>0</v>
      </c>
      <c r="V90" s="6">
        <f t="shared" si="2"/>
        <v>0</v>
      </c>
      <c r="W90" s="3" t="str">
        <f>IF(Tabla13[[#This Row],[Venta del mes]]&gt;Tabla13[[#This Row],[ RV  Venta mes n+1]],"Falta venta","-")</f>
        <v>-</v>
      </c>
      <c r="X90" s="7"/>
      <c r="Y90" s="18">
        <v>0</v>
      </c>
      <c r="Z90" s="5">
        <f>+Tabla13[[#This Row],[Atraso a facturar]]+Tabla13[[#This Row],[Venta del mes]]+Tabla13[[#This Row],[Ajuste]]</f>
        <v>0</v>
      </c>
      <c r="AA90" s="6">
        <f>+Tabla13[[#This Row],[Atraso a facturar]]+Tabla13[[#This Row],[Venta del mes]]+Tabla13[[#This Row],[En puerto a facturar]]</f>
        <v>0</v>
      </c>
      <c r="AB90" s="20">
        <f>IFERROR(VLOOKUP(Tabla13[[#This Row],[Llave]],'[5]Consolidación planes'!$A:$M,9,FALSE),0)</f>
        <v>22000</v>
      </c>
      <c r="AC90" s="20">
        <f>IFERROR(VLOOKUP(Tabla13[[#This Row],[Llave]],'[5]Consolidación planes'!$A:$M,10,FALSE),0)</f>
        <v>154000</v>
      </c>
      <c r="AD90" s="20">
        <f>IFERROR(VLOOKUP(Tabla13[[#This Row],[Llave]],'[5]Consolidación planes'!$A:$M,11,FALSE),0)</f>
        <v>66000</v>
      </c>
      <c r="AE90" s="20">
        <f>IFERROR(VLOOKUP(Tabla13[[#This Row],[Llave]],'[5]Consolidación planes'!$A:$M,12,FALSE),0)</f>
        <v>22000</v>
      </c>
      <c r="AF90" s="20">
        <f>IFERROR(VLOOKUP(Tabla13[[#This Row],[Llave]],'[5]Consolidación planes'!$A:$M,13,FALSE),0)</f>
        <v>22000</v>
      </c>
    </row>
    <row r="91" spans="2:32" ht="16" hidden="1" x14ac:dyDescent="0.2">
      <c r="B91" t="str">
        <f>Tabla13[[#This Row],[Oficina]]&amp;Tabla13[[#This Row],[Material]]</f>
        <v>Agrosuper Asia1020905</v>
      </c>
      <c r="C91" t="s">
        <v>6</v>
      </c>
      <c r="D91" t="s">
        <v>173</v>
      </c>
      <c r="E91">
        <v>1020905</v>
      </c>
      <c r="F91" t="s">
        <v>187</v>
      </c>
      <c r="G91" t="s">
        <v>56</v>
      </c>
      <c r="H91" t="s">
        <v>118</v>
      </c>
      <c r="I91" s="7">
        <f>IFERROR(VLOOKUP(Tabla13[[#This Row],[Llave]],'[1]Consolidado RV'!$B:$H,6,FALSE),0)</f>
        <v>0</v>
      </c>
      <c r="J91" s="3">
        <f>IFERROR(VLOOKUP(Tabla13[[#This Row],[Llave]],'[1]Consolidado RV'!$B:$H,7,FALSE),0)</f>
        <v>0</v>
      </c>
      <c r="K91" s="8">
        <f>IFERROR(VLOOKUP(Tabla13[[#This Row],[Oficina]],#REF!,2,FALSE),0)</f>
        <v>0</v>
      </c>
      <c r="L91" s="7">
        <f>+Tabla13[[#This Row],[ RV Producción mes n+1]]*Tabla13[[#This Row],[% Uti. producción]]</f>
        <v>0</v>
      </c>
      <c r="M91" s="7">
        <f>IFERROR(VLOOKUP(Tabla13[[#This Row],[Material]],#REF!,2,FALSE),0)</f>
        <v>0</v>
      </c>
      <c r="N91" s="7">
        <f>IFERROR(VLOOKUP(Tabla13[[#This Row],[Llave]],'En puerto-Programado'!A:D,4,FALSE)+VLOOKUP(Tabla13[[#This Row],[Llave]],'Por despachar'!A:F,6,FALSE),0)</f>
        <v>0</v>
      </c>
      <c r="O91" s="7">
        <f>IFERROR(VLOOKUP(Tabla13[[#This Row],[Material]],[2]Consolidado!$C:$D,2,FALSE),0)</f>
        <v>0</v>
      </c>
      <c r="P91" s="7">
        <f>IFERROR(VLOOKUP(Tabla13[[#This Row],[Llave]],'Por despachar'!A:E,5,FALSE),0)</f>
        <v>0</v>
      </c>
      <c r="Q9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91" s="7">
        <f>IFERROR(VLOOKUP(Tabla13[[#This Row],[Llave]],[3]Hoja2!$A:$D,4,FALSE),0)</f>
        <v>110000</v>
      </c>
      <c r="S91" s="9">
        <f>IFERROR(VLOOKUP(Tabla13[[#This Row],[Material]],[4]Hoja1!$B:$C,2,FALSE),0)</f>
        <v>22000</v>
      </c>
      <c r="T91" s="5">
        <f t="shared" si="3"/>
        <v>0</v>
      </c>
      <c r="U91" s="3">
        <f>+Tabla13[[#This Row],[Total disponible]]-Tabla13[[#This Row],[Atraso a facturar]]</f>
        <v>0</v>
      </c>
      <c r="V91" s="6">
        <f t="shared" si="2"/>
        <v>0</v>
      </c>
      <c r="W91" s="3" t="str">
        <f>IF(Tabla13[[#This Row],[Venta del mes]]&gt;Tabla13[[#This Row],[ RV  Venta mes n+1]],"Falta venta","-")</f>
        <v>-</v>
      </c>
      <c r="X91" s="7"/>
      <c r="Y91" s="18">
        <v>0</v>
      </c>
      <c r="Z91" s="5">
        <f>+Tabla13[[#This Row],[Atraso a facturar]]+Tabla13[[#This Row],[Venta del mes]]+Tabla13[[#This Row],[Ajuste]]</f>
        <v>0</v>
      </c>
      <c r="AA91" s="6">
        <f>+Tabla13[[#This Row],[Atraso a facturar]]+Tabla13[[#This Row],[Venta del mes]]+Tabla13[[#This Row],[En puerto a facturar]]</f>
        <v>0</v>
      </c>
      <c r="AB91" s="20">
        <f>IFERROR(VLOOKUP(Tabla13[[#This Row],[Llave]],'[5]Consolidación planes'!$A:$M,9,FALSE),0)</f>
        <v>22000</v>
      </c>
      <c r="AC91" s="20">
        <f>IFERROR(VLOOKUP(Tabla13[[#This Row],[Llave]],'[5]Consolidación planes'!$A:$M,10,FALSE),0)</f>
        <v>22000</v>
      </c>
      <c r="AD91" s="20">
        <f>IFERROR(VLOOKUP(Tabla13[[#This Row],[Llave]],'[5]Consolidación planes'!$A:$M,11,FALSE),0)</f>
        <v>0</v>
      </c>
      <c r="AE91" s="20">
        <f>IFERROR(VLOOKUP(Tabla13[[#This Row],[Llave]],'[5]Consolidación planes'!$A:$M,12,FALSE),0)</f>
        <v>44000</v>
      </c>
      <c r="AF91" s="20">
        <f>IFERROR(VLOOKUP(Tabla13[[#This Row],[Llave]],'[5]Consolidación planes'!$A:$M,13,FALSE),0)</f>
        <v>22000</v>
      </c>
    </row>
    <row r="92" spans="2:32" ht="16" hidden="1" x14ac:dyDescent="0.2">
      <c r="B92" t="str">
        <f>Tabla13[[#This Row],[Oficina]]&amp;Tabla13[[#This Row],[Material]]</f>
        <v>Agrosuper Asia1021012</v>
      </c>
      <c r="C92" t="s">
        <v>6</v>
      </c>
      <c r="D92" t="s">
        <v>173</v>
      </c>
      <c r="E92">
        <v>1021012</v>
      </c>
      <c r="F92" t="s">
        <v>197</v>
      </c>
      <c r="G92" t="s">
        <v>67</v>
      </c>
      <c r="H92" t="s">
        <v>68</v>
      </c>
      <c r="I92" s="7">
        <f>IFERROR(VLOOKUP(Tabla13[[#This Row],[Llave]],'[1]Consolidado RV'!$B:$H,6,FALSE),0)</f>
        <v>131789.50103975469</v>
      </c>
      <c r="J92" s="3">
        <f>IFERROR(VLOOKUP(Tabla13[[#This Row],[Llave]],'[1]Consolidado RV'!$B:$H,7,FALSE),0)</f>
        <v>197999.99899999998</v>
      </c>
      <c r="K92" s="8">
        <f>IFERROR(VLOOKUP(Tabla13[[#This Row],[Oficina]],#REF!,2,FALSE),0)</f>
        <v>0</v>
      </c>
      <c r="L92" s="7">
        <f>+Tabla13[[#This Row],[ RV Producción mes n+1]]*Tabla13[[#This Row],[% Uti. producción]]</f>
        <v>0</v>
      </c>
      <c r="M92" s="7">
        <f>IFERROR(VLOOKUP(Tabla13[[#This Row],[Material]],#REF!,2,FALSE),0)</f>
        <v>0</v>
      </c>
      <c r="N92" s="7">
        <f>IFERROR(VLOOKUP(Tabla13[[#This Row],[Llave]],'En puerto-Programado'!A:D,4,FALSE)+VLOOKUP(Tabla13[[#This Row],[Llave]],'Por despachar'!A:F,6,FALSE),0)</f>
        <v>0</v>
      </c>
      <c r="O92" s="7">
        <f>IFERROR(VLOOKUP(Tabla13[[#This Row],[Material]],[2]Consolidado!$C:$D,2,FALSE),0)</f>
        <v>51011.118211414934</v>
      </c>
      <c r="P92" s="7">
        <f>IFERROR(VLOOKUP(Tabla13[[#This Row],[Llave]],'Por despachar'!A:E,5,FALSE),0)</f>
        <v>0</v>
      </c>
      <c r="Q92" s="14">
        <f>SUM(Tabla13[[#This Row],[Producción disponible]],Tabla13[[#This Row],[Stock al día]],Tabla13[[#This Row],[Por producir Abr.]])-SUM(Tabla13[[#This Row],[Stock por despachar N]],Tabla13[[#This Row],[Producción por despachar mes N]])</f>
        <v>51011.118211414934</v>
      </c>
      <c r="R92" s="7">
        <f>IFERROR(VLOOKUP(Tabla13[[#This Row],[Llave]],[3]Hoja2!$A:$D,4,FALSE),0)</f>
        <v>88000</v>
      </c>
      <c r="S92" s="9">
        <f>IFERROR(VLOOKUP(Tabla13[[#This Row],[Material]],[4]Hoja1!$B:$C,2,FALSE),0)</f>
        <v>22000</v>
      </c>
      <c r="T92" s="5">
        <f t="shared" si="3"/>
        <v>44000</v>
      </c>
      <c r="U92" s="3">
        <f>+Tabla13[[#This Row],[Total disponible]]-Tabla13[[#This Row],[Atraso a facturar]]</f>
        <v>7011.1182114149342</v>
      </c>
      <c r="V92" s="6">
        <f t="shared" si="2"/>
        <v>0</v>
      </c>
      <c r="W92" s="3" t="str">
        <f>IF(Tabla13[[#This Row],[Venta del mes]]&gt;Tabla13[[#This Row],[ RV  Venta mes n+1]],"Falta venta","-")</f>
        <v>-</v>
      </c>
      <c r="X92" s="7"/>
      <c r="Y92" s="18">
        <v>0</v>
      </c>
      <c r="Z92" s="5">
        <f>+Tabla13[[#This Row],[Atraso a facturar]]+Tabla13[[#This Row],[Venta del mes]]+Tabla13[[#This Row],[Ajuste]]</f>
        <v>44000</v>
      </c>
      <c r="AA92" s="6">
        <f>+Tabla13[[#This Row],[Atraso a facturar]]+Tabla13[[#This Row],[Venta del mes]]+Tabla13[[#This Row],[En puerto a facturar]]</f>
        <v>44000</v>
      </c>
      <c r="AB92" s="20">
        <f>IFERROR(VLOOKUP(Tabla13[[#This Row],[Llave]],'[5]Consolidación planes'!$A:$M,9,FALSE),0)</f>
        <v>110000</v>
      </c>
      <c r="AC92" s="20">
        <f>IFERROR(VLOOKUP(Tabla13[[#This Row],[Llave]],'[5]Consolidación planes'!$A:$M,10,FALSE),0)</f>
        <v>66000</v>
      </c>
      <c r="AD92" s="20">
        <f>IFERROR(VLOOKUP(Tabla13[[#This Row],[Llave]],'[5]Consolidación planes'!$A:$M,11,FALSE),0)</f>
        <v>0</v>
      </c>
      <c r="AE92" s="20">
        <f>IFERROR(VLOOKUP(Tabla13[[#This Row],[Llave]],'[5]Consolidación planes'!$A:$M,12,FALSE),0)</f>
        <v>22000</v>
      </c>
      <c r="AF92" s="20">
        <f>IFERROR(VLOOKUP(Tabla13[[#This Row],[Llave]],'[5]Consolidación planes'!$A:$M,13,FALSE),0)</f>
        <v>176010</v>
      </c>
    </row>
    <row r="93" spans="2:32" ht="16" hidden="1" x14ac:dyDescent="0.2">
      <c r="B93" t="str">
        <f>Tabla13[[#This Row],[Oficina]]&amp;Tabla13[[#This Row],[Material]]</f>
        <v>Agrosuper Asia1021045</v>
      </c>
      <c r="C93" t="s">
        <v>6</v>
      </c>
      <c r="D93" t="s">
        <v>173</v>
      </c>
      <c r="E93">
        <v>1021045</v>
      </c>
      <c r="F93" t="s">
        <v>194</v>
      </c>
      <c r="G93" t="s">
        <v>159</v>
      </c>
      <c r="H93" t="s">
        <v>160</v>
      </c>
      <c r="I93" s="7">
        <f>IFERROR(VLOOKUP(Tabla13[[#This Row],[Llave]],'[1]Consolidado RV'!$B:$H,6,FALSE),0)</f>
        <v>22988.994000000002</v>
      </c>
      <c r="J93" s="3">
        <f>IFERROR(VLOOKUP(Tabla13[[#This Row],[Llave]],'[1]Consolidado RV'!$B:$H,7,FALSE),0)</f>
        <v>44000</v>
      </c>
      <c r="K93" s="8">
        <f>IFERROR(VLOOKUP(Tabla13[[#This Row],[Oficina]],#REF!,2,FALSE),0)</f>
        <v>0</v>
      </c>
      <c r="L93" s="7">
        <f>+Tabla13[[#This Row],[ RV Producción mes n+1]]*Tabla13[[#This Row],[% Uti. producción]]</f>
        <v>0</v>
      </c>
      <c r="M93" s="7">
        <f>IFERROR(VLOOKUP(Tabla13[[#This Row],[Material]],#REF!,2,FALSE),0)</f>
        <v>0</v>
      </c>
      <c r="N93" s="7">
        <f>IFERROR(VLOOKUP(Tabla13[[#This Row],[Llave]],'En puerto-Programado'!A:D,4,FALSE)+VLOOKUP(Tabla13[[#This Row],[Llave]],'Por despachar'!A:F,6,FALSE),0)</f>
        <v>0</v>
      </c>
      <c r="O93" s="7">
        <f>IFERROR(VLOOKUP(Tabla13[[#This Row],[Material]],[2]Consolidado!$C:$D,2,FALSE),0)</f>
        <v>0</v>
      </c>
      <c r="P93" s="7">
        <f>IFERROR(VLOOKUP(Tabla13[[#This Row],[Llave]],'Por despachar'!A:E,5,FALSE),0)</f>
        <v>0</v>
      </c>
      <c r="Q9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93" s="7">
        <f>IFERROR(VLOOKUP(Tabla13[[#This Row],[Llave]],[3]Hoja2!$A:$D,4,FALSE),0)</f>
        <v>0</v>
      </c>
      <c r="S93" s="9">
        <f>IFERROR(VLOOKUP(Tabla13[[#This Row],[Material]],[4]Hoja1!$B:$C,2,FALSE),0)</f>
        <v>22000</v>
      </c>
      <c r="T93" s="5">
        <f t="shared" si="3"/>
        <v>0</v>
      </c>
      <c r="U93" s="3">
        <f>+Tabla13[[#This Row],[Total disponible]]-Tabla13[[#This Row],[Atraso a facturar]]</f>
        <v>0</v>
      </c>
      <c r="V93" s="6">
        <f t="shared" si="2"/>
        <v>0</v>
      </c>
      <c r="W93" s="3" t="str">
        <f>IF(Tabla13[[#This Row],[Venta del mes]]&gt;Tabla13[[#This Row],[ RV  Venta mes n+1]],"Falta venta","-")</f>
        <v>-</v>
      </c>
      <c r="X93" s="7"/>
      <c r="Y93" s="18">
        <v>0</v>
      </c>
      <c r="Z93" s="5">
        <f>+Tabla13[[#This Row],[Atraso a facturar]]+Tabla13[[#This Row],[Venta del mes]]+Tabla13[[#This Row],[Ajuste]]</f>
        <v>0</v>
      </c>
      <c r="AA93" s="6">
        <f>+Tabla13[[#This Row],[Atraso a facturar]]+Tabla13[[#This Row],[Venta del mes]]+Tabla13[[#This Row],[En puerto a facturar]]</f>
        <v>0</v>
      </c>
      <c r="AB93" s="20">
        <f>IFERROR(VLOOKUP(Tabla13[[#This Row],[Llave]],'[5]Consolidación planes'!$A:$M,9,FALSE),0)</f>
        <v>88000</v>
      </c>
      <c r="AC93" s="20">
        <f>IFERROR(VLOOKUP(Tabla13[[#This Row],[Llave]],'[5]Consolidación planes'!$A:$M,10,FALSE),0)</f>
        <v>44000</v>
      </c>
      <c r="AD93" s="20">
        <f>IFERROR(VLOOKUP(Tabla13[[#This Row],[Llave]],'[5]Consolidación planes'!$A:$M,11,FALSE),0)</f>
        <v>22000</v>
      </c>
      <c r="AE93" s="20">
        <f>IFERROR(VLOOKUP(Tabla13[[#This Row],[Llave]],'[5]Consolidación planes'!$A:$M,12,FALSE),0)</f>
        <v>44000</v>
      </c>
      <c r="AF93" s="20">
        <f>IFERROR(VLOOKUP(Tabla13[[#This Row],[Llave]],'[5]Consolidación planes'!$A:$M,13,FALSE),0)</f>
        <v>22000</v>
      </c>
    </row>
    <row r="94" spans="2:32" ht="16" hidden="1" x14ac:dyDescent="0.2">
      <c r="B94" t="str">
        <f>Tabla13[[#This Row],[Oficina]]&amp;Tabla13[[#This Row],[Material]]</f>
        <v>Agrosuper Asia1021046</v>
      </c>
      <c r="C94" t="s">
        <v>6</v>
      </c>
      <c r="D94" t="s">
        <v>173</v>
      </c>
      <c r="E94">
        <v>1021046</v>
      </c>
      <c r="F94" t="s">
        <v>195</v>
      </c>
      <c r="G94" t="s">
        <v>159</v>
      </c>
      <c r="H94" t="s">
        <v>160</v>
      </c>
      <c r="I94" s="7">
        <f>IFERROR(VLOOKUP(Tabla13[[#This Row],[Llave]],'[1]Consolidado RV'!$B:$H,6,FALSE),0)</f>
        <v>57405.165999999997</v>
      </c>
      <c r="J94" s="3">
        <f>IFERROR(VLOOKUP(Tabla13[[#This Row],[Llave]],'[1]Consolidado RV'!$B:$H,7,FALSE),0)</f>
        <v>60377.490999999995</v>
      </c>
      <c r="K94" s="8">
        <f>IFERROR(VLOOKUP(Tabla13[[#This Row],[Oficina]],#REF!,2,FALSE),0)</f>
        <v>0</v>
      </c>
      <c r="L94" s="7">
        <f>+Tabla13[[#This Row],[ RV Producción mes n+1]]*Tabla13[[#This Row],[% Uti. producción]]</f>
        <v>0</v>
      </c>
      <c r="M94" s="7">
        <f>IFERROR(VLOOKUP(Tabla13[[#This Row],[Material]],#REF!,2,FALSE),0)</f>
        <v>0</v>
      </c>
      <c r="N94" s="7">
        <f>IFERROR(VLOOKUP(Tabla13[[#This Row],[Llave]],'En puerto-Programado'!A:D,4,FALSE)+VLOOKUP(Tabla13[[#This Row],[Llave]],'Por despachar'!A:F,6,FALSE),0)</f>
        <v>0</v>
      </c>
      <c r="O94" s="7">
        <f>IFERROR(VLOOKUP(Tabla13[[#This Row],[Material]],[2]Consolidado!$C:$D,2,FALSE),0)</f>
        <v>0</v>
      </c>
      <c r="P94" s="7">
        <f>IFERROR(VLOOKUP(Tabla13[[#This Row],[Llave]],'Por despachar'!A:E,5,FALSE),0)</f>
        <v>0</v>
      </c>
      <c r="Q9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94" s="7">
        <f>IFERROR(VLOOKUP(Tabla13[[#This Row],[Llave]],[3]Hoja2!$A:$D,4,FALSE),0)</f>
        <v>22000</v>
      </c>
      <c r="S94" s="9">
        <f>IFERROR(VLOOKUP(Tabla13[[#This Row],[Material]],[4]Hoja1!$B:$C,2,FALSE),0)</f>
        <v>22000</v>
      </c>
      <c r="T94" s="5">
        <f t="shared" si="3"/>
        <v>0</v>
      </c>
      <c r="U94" s="3">
        <f>+Tabla13[[#This Row],[Total disponible]]-Tabla13[[#This Row],[Atraso a facturar]]</f>
        <v>0</v>
      </c>
      <c r="V94" s="6">
        <f t="shared" si="2"/>
        <v>0</v>
      </c>
      <c r="W94" s="3" t="str">
        <f>IF(Tabla13[[#This Row],[Venta del mes]]&gt;Tabla13[[#This Row],[ RV  Venta mes n+1]],"Falta venta","-")</f>
        <v>-</v>
      </c>
      <c r="X94" s="7"/>
      <c r="Y94" s="18">
        <v>0</v>
      </c>
      <c r="Z94" s="5">
        <f>+Tabla13[[#This Row],[Atraso a facturar]]+Tabla13[[#This Row],[Venta del mes]]+Tabla13[[#This Row],[Ajuste]]</f>
        <v>0</v>
      </c>
      <c r="AA94" s="6">
        <f>+Tabla13[[#This Row],[Atraso a facturar]]+Tabla13[[#This Row],[Venta del mes]]+Tabla13[[#This Row],[En puerto a facturar]]</f>
        <v>0</v>
      </c>
      <c r="AB94" s="20">
        <f>IFERROR(VLOOKUP(Tabla13[[#This Row],[Llave]],'[5]Consolidación planes'!$A:$M,9,FALSE),0)</f>
        <v>88000</v>
      </c>
      <c r="AC94" s="20">
        <f>IFERROR(VLOOKUP(Tabla13[[#This Row],[Llave]],'[5]Consolidación planes'!$A:$M,10,FALSE),0)</f>
        <v>66000</v>
      </c>
      <c r="AD94" s="20">
        <f>IFERROR(VLOOKUP(Tabla13[[#This Row],[Llave]],'[5]Consolidación planes'!$A:$M,11,FALSE),0)</f>
        <v>44000</v>
      </c>
      <c r="AE94" s="20">
        <f>IFERROR(VLOOKUP(Tabla13[[#This Row],[Llave]],'[5]Consolidación planes'!$A:$M,12,FALSE),0)</f>
        <v>44000</v>
      </c>
      <c r="AF94" s="20">
        <f>IFERROR(VLOOKUP(Tabla13[[#This Row],[Llave]],'[5]Consolidación planes'!$A:$M,13,FALSE),0)</f>
        <v>22105</v>
      </c>
    </row>
    <row r="95" spans="2:32" ht="16" hidden="1" x14ac:dyDescent="0.2">
      <c r="B95" t="str">
        <f>Tabla13[[#This Row],[Oficina]]&amp;Tabla13[[#This Row],[Material]]</f>
        <v>Agrosuper Asia1021149</v>
      </c>
      <c r="C95" t="s">
        <v>6</v>
      </c>
      <c r="D95" t="s">
        <v>173</v>
      </c>
      <c r="E95">
        <v>1021149</v>
      </c>
      <c r="F95" t="s">
        <v>177</v>
      </c>
      <c r="G95" t="s">
        <v>92</v>
      </c>
      <c r="H95" t="s">
        <v>93</v>
      </c>
      <c r="I95" s="7">
        <f>IFERROR(VLOOKUP(Tabla13[[#This Row],[Llave]],'[1]Consolidado RV'!$B:$H,6,FALSE),0)</f>
        <v>43702.47</v>
      </c>
      <c r="J95" s="3">
        <f>IFERROR(VLOOKUP(Tabla13[[#This Row],[Llave]],'[1]Consolidado RV'!$B:$H,7,FALSE),0)</f>
        <v>88000</v>
      </c>
      <c r="K95" s="8">
        <f>IFERROR(VLOOKUP(Tabla13[[#This Row],[Oficina]],#REF!,2,FALSE),0)</f>
        <v>0</v>
      </c>
      <c r="L95" s="7">
        <f>+Tabla13[[#This Row],[ RV Producción mes n+1]]*Tabla13[[#This Row],[% Uti. producción]]</f>
        <v>0</v>
      </c>
      <c r="M95" s="7">
        <f>IFERROR(VLOOKUP(Tabla13[[#This Row],[Material]],#REF!,2,FALSE),0)</f>
        <v>0</v>
      </c>
      <c r="N95" s="7">
        <f>IFERROR(VLOOKUP(Tabla13[[#This Row],[Llave]],'En puerto-Programado'!A:D,4,FALSE)+VLOOKUP(Tabla13[[#This Row],[Llave]],'Por despachar'!A:F,6,FALSE),0)</f>
        <v>0</v>
      </c>
      <c r="O95" s="7">
        <f>IFERROR(VLOOKUP(Tabla13[[#This Row],[Material]],[2]Consolidado!$C:$D,2,FALSE),0)</f>
        <v>47852.815999999999</v>
      </c>
      <c r="P95" s="7">
        <f>IFERROR(VLOOKUP(Tabla13[[#This Row],[Llave]],'Por despachar'!A:E,5,FALSE),0)</f>
        <v>0</v>
      </c>
      <c r="Q95" s="14">
        <f>SUM(Tabla13[[#This Row],[Producción disponible]],Tabla13[[#This Row],[Stock al día]],Tabla13[[#This Row],[Por producir Abr.]])-SUM(Tabla13[[#This Row],[Stock por despachar N]],Tabla13[[#This Row],[Producción por despachar mes N]])</f>
        <v>47852.815999999999</v>
      </c>
      <c r="R95" s="7">
        <f>IFERROR(VLOOKUP(Tabla13[[#This Row],[Llave]],[3]Hoja2!$A:$D,4,FALSE),0)</f>
        <v>66000</v>
      </c>
      <c r="S95" s="9">
        <f>IFERROR(VLOOKUP(Tabla13[[#This Row],[Material]],[4]Hoja1!$B:$C,2,FALSE),0)</f>
        <v>22000</v>
      </c>
      <c r="T95" s="5">
        <f t="shared" si="3"/>
        <v>44000</v>
      </c>
      <c r="U95" s="3">
        <f>+Tabla13[[#This Row],[Total disponible]]-Tabla13[[#This Row],[Atraso a facturar]]</f>
        <v>3852.8159999999989</v>
      </c>
      <c r="V95" s="6">
        <f t="shared" si="2"/>
        <v>0</v>
      </c>
      <c r="W95" s="3" t="str">
        <f>IF(Tabla13[[#This Row],[Venta del mes]]&gt;Tabla13[[#This Row],[ RV  Venta mes n+1]],"Falta venta","-")</f>
        <v>-</v>
      </c>
      <c r="X95" s="7"/>
      <c r="Y95" s="18">
        <v>0</v>
      </c>
      <c r="Z95" s="5">
        <f>+Tabla13[[#This Row],[Atraso a facturar]]+Tabla13[[#This Row],[Venta del mes]]+Tabla13[[#This Row],[Ajuste]]</f>
        <v>44000</v>
      </c>
      <c r="AA95" s="6">
        <f>+Tabla13[[#This Row],[Atraso a facturar]]+Tabla13[[#This Row],[Venta del mes]]+Tabla13[[#This Row],[En puerto a facturar]]</f>
        <v>44000</v>
      </c>
      <c r="AB95" s="20">
        <f>IFERROR(VLOOKUP(Tabla13[[#This Row],[Llave]],'[5]Consolidación planes'!$A:$M,9,FALSE),0)</f>
        <v>66000</v>
      </c>
      <c r="AC95" s="20">
        <f>IFERROR(VLOOKUP(Tabla13[[#This Row],[Llave]],'[5]Consolidación planes'!$A:$M,10,FALSE),0)</f>
        <v>44000</v>
      </c>
      <c r="AD95" s="20">
        <f>IFERROR(VLOOKUP(Tabla13[[#This Row],[Llave]],'[5]Consolidación planes'!$A:$M,11,FALSE),0)</f>
        <v>66000</v>
      </c>
      <c r="AE95" s="20">
        <f>IFERROR(VLOOKUP(Tabla13[[#This Row],[Llave]],'[5]Consolidación planes'!$A:$M,12,FALSE),0)</f>
        <v>44000</v>
      </c>
      <c r="AF95" s="20">
        <f>IFERROR(VLOOKUP(Tabla13[[#This Row],[Llave]],'[5]Consolidación planes'!$A:$M,13,FALSE),0)</f>
        <v>66000</v>
      </c>
    </row>
    <row r="96" spans="2:32" ht="16" hidden="1" x14ac:dyDescent="0.2">
      <c r="B96" t="str">
        <f>Tabla13[[#This Row],[Oficina]]&amp;Tabla13[[#This Row],[Material]]</f>
        <v>Agrosuper Asia1021150</v>
      </c>
      <c r="C96" t="s">
        <v>6</v>
      </c>
      <c r="D96" t="s">
        <v>173</v>
      </c>
      <c r="E96">
        <v>1021150</v>
      </c>
      <c r="F96" t="s">
        <v>178</v>
      </c>
      <c r="G96" t="s">
        <v>92</v>
      </c>
      <c r="H96" t="s">
        <v>93</v>
      </c>
      <c r="I96" s="7">
        <f>IFERROR(VLOOKUP(Tabla13[[#This Row],[Llave]],'[1]Consolidado RV'!$B:$H,6,FALSE),0)</f>
        <v>151633</v>
      </c>
      <c r="J96" s="3">
        <f>IFERROR(VLOOKUP(Tabla13[[#This Row],[Llave]],'[1]Consolidado RV'!$B:$H,7,FALSE),0)</f>
        <v>110000</v>
      </c>
      <c r="K96" s="8">
        <f>IFERROR(VLOOKUP(Tabla13[[#This Row],[Oficina]],#REF!,2,FALSE),0)</f>
        <v>0</v>
      </c>
      <c r="L96" s="7">
        <f>+Tabla13[[#This Row],[ RV Producción mes n+1]]*Tabla13[[#This Row],[% Uti. producción]]</f>
        <v>0</v>
      </c>
      <c r="M96" s="7">
        <f>IFERROR(VLOOKUP(Tabla13[[#This Row],[Material]],#REF!,2,FALSE),0)</f>
        <v>0</v>
      </c>
      <c r="N96" s="7">
        <f>IFERROR(VLOOKUP(Tabla13[[#This Row],[Llave]],'En puerto-Programado'!A:D,4,FALSE)+VLOOKUP(Tabla13[[#This Row],[Llave]],'Por despachar'!A:F,6,FALSE),0)</f>
        <v>0</v>
      </c>
      <c r="O96" s="7">
        <f>IFERROR(VLOOKUP(Tabla13[[#This Row],[Material]],[2]Consolidado!$C:$D,2,FALSE),0)</f>
        <v>0</v>
      </c>
      <c r="P96" s="7">
        <f>IFERROR(VLOOKUP(Tabla13[[#This Row],[Llave]],'Por despachar'!A:E,5,FALSE),0)</f>
        <v>0</v>
      </c>
      <c r="Q9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96" s="7">
        <f>IFERROR(VLOOKUP(Tabla13[[#This Row],[Llave]],[3]Hoja2!$A:$D,4,FALSE),0)</f>
        <v>22000</v>
      </c>
      <c r="S96" s="9">
        <f>IFERROR(VLOOKUP(Tabla13[[#This Row],[Material]],[4]Hoja1!$B:$C,2,FALSE),0)</f>
        <v>22000</v>
      </c>
      <c r="T96" s="5">
        <f t="shared" si="3"/>
        <v>0</v>
      </c>
      <c r="U96" s="3">
        <f>+Tabla13[[#This Row],[Total disponible]]-Tabla13[[#This Row],[Atraso a facturar]]</f>
        <v>0</v>
      </c>
      <c r="V96" s="6">
        <f t="shared" si="2"/>
        <v>0</v>
      </c>
      <c r="W96" s="3" t="str">
        <f>IF(Tabla13[[#This Row],[Venta del mes]]&gt;Tabla13[[#This Row],[ RV  Venta mes n+1]],"Falta venta","-")</f>
        <v>-</v>
      </c>
      <c r="X96" s="7"/>
      <c r="Y96" s="18">
        <v>0</v>
      </c>
      <c r="Z96" s="5">
        <f>+Tabla13[[#This Row],[Atraso a facturar]]+Tabla13[[#This Row],[Venta del mes]]+Tabla13[[#This Row],[Ajuste]]</f>
        <v>0</v>
      </c>
      <c r="AA96" s="6">
        <f>+Tabla13[[#This Row],[Atraso a facturar]]+Tabla13[[#This Row],[Venta del mes]]+Tabla13[[#This Row],[En puerto a facturar]]</f>
        <v>0</v>
      </c>
      <c r="AB96" s="20">
        <f>IFERROR(VLOOKUP(Tabla13[[#This Row],[Llave]],'[5]Consolidación planes'!$A:$M,9,FALSE),0)</f>
        <v>44000</v>
      </c>
      <c r="AC96" s="20">
        <f>IFERROR(VLOOKUP(Tabla13[[#This Row],[Llave]],'[5]Consolidación planes'!$A:$M,10,FALSE),0)</f>
        <v>66000</v>
      </c>
      <c r="AD96" s="20">
        <f>IFERROR(VLOOKUP(Tabla13[[#This Row],[Llave]],'[5]Consolidación planes'!$A:$M,11,FALSE),0)</f>
        <v>22000</v>
      </c>
      <c r="AE96" s="20">
        <f>IFERROR(VLOOKUP(Tabla13[[#This Row],[Llave]],'[5]Consolidación planes'!$A:$M,12,FALSE),0)</f>
        <v>44000</v>
      </c>
      <c r="AF96" s="20">
        <f>IFERROR(VLOOKUP(Tabla13[[#This Row],[Llave]],'[5]Consolidación planes'!$A:$M,13,FALSE),0)</f>
        <v>22000</v>
      </c>
    </row>
    <row r="97" spans="2:32" ht="16" hidden="1" x14ac:dyDescent="0.2">
      <c r="B97" t="str">
        <f>Tabla13[[#This Row],[Oficina]]&amp;Tabla13[[#This Row],[Material]]</f>
        <v>Agrosuper Asia1021151</v>
      </c>
      <c r="C97" t="s">
        <v>6</v>
      </c>
      <c r="D97" t="s">
        <v>173</v>
      </c>
      <c r="E97">
        <v>1021151</v>
      </c>
      <c r="F97" t="s">
        <v>180</v>
      </c>
      <c r="G97" t="s">
        <v>92</v>
      </c>
      <c r="H97" t="s">
        <v>153</v>
      </c>
      <c r="I97" s="7">
        <f>IFERROR(VLOOKUP(Tabla13[[#This Row],[Llave]],'[1]Consolidado RV'!$B:$H,6,FALSE),0)</f>
        <v>559.38262000000009</v>
      </c>
      <c r="J97" s="3">
        <f>IFERROR(VLOOKUP(Tabla13[[#This Row],[Llave]],'[1]Consolidado RV'!$B:$H,7,FALSE),0)</f>
        <v>23791.602620000001</v>
      </c>
      <c r="K97" s="8">
        <f>IFERROR(VLOOKUP(Tabla13[[#This Row],[Oficina]],#REF!,2,FALSE),0)</f>
        <v>0</v>
      </c>
      <c r="L97" s="7">
        <f>+Tabla13[[#This Row],[ RV Producción mes n+1]]*Tabla13[[#This Row],[% Uti. producción]]</f>
        <v>0</v>
      </c>
      <c r="M97" s="7">
        <f>IFERROR(VLOOKUP(Tabla13[[#This Row],[Material]],#REF!,2,FALSE),0)</f>
        <v>0</v>
      </c>
      <c r="N97" s="7">
        <f>IFERROR(VLOOKUP(Tabla13[[#This Row],[Llave]],'En puerto-Programado'!A:D,4,FALSE)+VLOOKUP(Tabla13[[#This Row],[Llave]],'Por despachar'!A:F,6,FALSE),0)</f>
        <v>0</v>
      </c>
      <c r="O97" s="7">
        <f>IFERROR(VLOOKUP(Tabla13[[#This Row],[Material]],[2]Consolidado!$C:$D,2,FALSE),0)</f>
        <v>0</v>
      </c>
      <c r="P97" s="7">
        <f>IFERROR(VLOOKUP(Tabla13[[#This Row],[Llave]],'Por despachar'!A:E,5,FALSE),0)</f>
        <v>0</v>
      </c>
      <c r="Q97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97" s="7">
        <f>IFERROR(VLOOKUP(Tabla13[[#This Row],[Llave]],[3]Hoja2!$A:$D,4,FALSE),0)</f>
        <v>0</v>
      </c>
      <c r="S97" s="9">
        <f>IFERROR(VLOOKUP(Tabla13[[#This Row],[Material]],[4]Hoja1!$B:$C,2,FALSE),0)</f>
        <v>22000</v>
      </c>
      <c r="T97" s="5">
        <f t="shared" si="3"/>
        <v>0</v>
      </c>
      <c r="U97" s="3">
        <f>+Tabla13[[#This Row],[Total disponible]]-Tabla13[[#This Row],[Atraso a facturar]]</f>
        <v>0</v>
      </c>
      <c r="V97" s="6">
        <f t="shared" si="2"/>
        <v>0</v>
      </c>
      <c r="W97" s="3" t="str">
        <f>IF(Tabla13[[#This Row],[Venta del mes]]&gt;Tabla13[[#This Row],[ RV  Venta mes n+1]],"Falta venta","-")</f>
        <v>-</v>
      </c>
      <c r="X97" s="7"/>
      <c r="Y97" s="18">
        <v>0</v>
      </c>
      <c r="Z97" s="5">
        <f>+Tabla13[[#This Row],[Atraso a facturar]]+Tabla13[[#This Row],[Venta del mes]]+Tabla13[[#This Row],[Ajuste]]</f>
        <v>0</v>
      </c>
      <c r="AA97" s="6">
        <f>+Tabla13[[#This Row],[Atraso a facturar]]+Tabla13[[#This Row],[Venta del mes]]+Tabla13[[#This Row],[En puerto a facturar]]</f>
        <v>0</v>
      </c>
      <c r="AB97" s="20">
        <f>IFERROR(VLOOKUP(Tabla13[[#This Row],[Llave]],'[5]Consolidación planes'!$A:$M,9,FALSE),0)</f>
        <v>44000</v>
      </c>
      <c r="AC97" s="20">
        <f>IFERROR(VLOOKUP(Tabla13[[#This Row],[Llave]],'[5]Consolidación planes'!$A:$M,10,FALSE),0)</f>
        <v>22000</v>
      </c>
      <c r="AD97" s="20">
        <f>IFERROR(VLOOKUP(Tabla13[[#This Row],[Llave]],'[5]Consolidación planes'!$A:$M,11,FALSE),0)</f>
        <v>22000</v>
      </c>
      <c r="AE97" s="20">
        <f>IFERROR(VLOOKUP(Tabla13[[#This Row],[Llave]],'[5]Consolidación planes'!$A:$M,12,FALSE),0)</f>
        <v>44000</v>
      </c>
      <c r="AF97" s="20">
        <f>IFERROR(VLOOKUP(Tabla13[[#This Row],[Llave]],'[5]Consolidación planes'!$A:$M,13,FALSE),0)</f>
        <v>44000</v>
      </c>
    </row>
    <row r="98" spans="2:32" ht="16" hidden="1" x14ac:dyDescent="0.2">
      <c r="B98" t="str">
        <f>Tabla13[[#This Row],[Oficina]]&amp;Tabla13[[#This Row],[Material]]</f>
        <v>Agrosuper Asia1021152</v>
      </c>
      <c r="C98" t="s">
        <v>6</v>
      </c>
      <c r="D98" t="s">
        <v>173</v>
      </c>
      <c r="E98">
        <v>1021152</v>
      </c>
      <c r="F98" t="s">
        <v>181</v>
      </c>
      <c r="G98" t="s">
        <v>92</v>
      </c>
      <c r="H98" t="s">
        <v>153</v>
      </c>
      <c r="I98" s="7">
        <f>IFERROR(VLOOKUP(Tabla13[[#This Row],[Llave]],'[1]Consolidado RV'!$B:$H,6,FALSE),0)</f>
        <v>83712</v>
      </c>
      <c r="J98" s="3">
        <f>IFERROR(VLOOKUP(Tabla13[[#This Row],[Llave]],'[1]Consolidado RV'!$B:$H,7,FALSE),0)</f>
        <v>88000</v>
      </c>
      <c r="K98" s="8">
        <f>IFERROR(VLOOKUP(Tabla13[[#This Row],[Oficina]],#REF!,2,FALSE),0)</f>
        <v>0</v>
      </c>
      <c r="L98" s="7">
        <f>+Tabla13[[#This Row],[ RV Producción mes n+1]]*Tabla13[[#This Row],[% Uti. producción]]</f>
        <v>0</v>
      </c>
      <c r="M98" s="7">
        <f>IFERROR(VLOOKUP(Tabla13[[#This Row],[Material]],#REF!,2,FALSE),0)</f>
        <v>0</v>
      </c>
      <c r="N98" s="7">
        <f>IFERROR(VLOOKUP(Tabla13[[#This Row],[Llave]],'En puerto-Programado'!A:D,4,FALSE)+VLOOKUP(Tabla13[[#This Row],[Llave]],'Por despachar'!A:F,6,FALSE),0)</f>
        <v>0</v>
      </c>
      <c r="O98" s="7">
        <f>IFERROR(VLOOKUP(Tabla13[[#This Row],[Material]],[2]Consolidado!$C:$D,2,FALSE),0)</f>
        <v>0</v>
      </c>
      <c r="P98" s="7">
        <f>IFERROR(VLOOKUP(Tabla13[[#This Row],[Llave]],'Por despachar'!A:E,5,FALSE),0)</f>
        <v>0</v>
      </c>
      <c r="Q9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98" s="7">
        <f>IFERROR(VLOOKUP(Tabla13[[#This Row],[Llave]],[3]Hoja2!$A:$D,4,FALSE),0)</f>
        <v>0</v>
      </c>
      <c r="S98" s="9">
        <f>IFERROR(VLOOKUP(Tabla13[[#This Row],[Material]],[4]Hoja1!$B:$C,2,FALSE),0)</f>
        <v>22000</v>
      </c>
      <c r="T98" s="5">
        <f t="shared" si="3"/>
        <v>0</v>
      </c>
      <c r="U98" s="3">
        <f>+Tabla13[[#This Row],[Total disponible]]-Tabla13[[#This Row],[Atraso a facturar]]</f>
        <v>0</v>
      </c>
      <c r="V98" s="6">
        <f t="shared" si="2"/>
        <v>0</v>
      </c>
      <c r="W98" s="3" t="str">
        <f>IF(Tabla13[[#This Row],[Venta del mes]]&gt;Tabla13[[#This Row],[ RV  Venta mes n+1]],"Falta venta","-")</f>
        <v>-</v>
      </c>
      <c r="X98" s="7"/>
      <c r="Y98" s="18">
        <v>0</v>
      </c>
      <c r="Z98" s="5">
        <f>+Tabla13[[#This Row],[Atraso a facturar]]+Tabla13[[#This Row],[Venta del mes]]+Tabla13[[#This Row],[Ajuste]]</f>
        <v>0</v>
      </c>
      <c r="AA98" s="6">
        <f>+Tabla13[[#This Row],[Atraso a facturar]]+Tabla13[[#This Row],[Venta del mes]]+Tabla13[[#This Row],[En puerto a facturar]]</f>
        <v>0</v>
      </c>
      <c r="AB98" s="20">
        <f>IFERROR(VLOOKUP(Tabla13[[#This Row],[Llave]],'[5]Consolidación planes'!$A:$M,9,FALSE),0)</f>
        <v>44000</v>
      </c>
      <c r="AC98" s="20">
        <f>IFERROR(VLOOKUP(Tabla13[[#This Row],[Llave]],'[5]Consolidación planes'!$A:$M,10,FALSE),0)</f>
        <v>22000</v>
      </c>
      <c r="AD98" s="20">
        <f>IFERROR(VLOOKUP(Tabla13[[#This Row],[Llave]],'[5]Consolidación planes'!$A:$M,11,FALSE),0)</f>
        <v>44000</v>
      </c>
      <c r="AE98" s="20">
        <f>IFERROR(VLOOKUP(Tabla13[[#This Row],[Llave]],'[5]Consolidación planes'!$A:$M,12,FALSE),0)</f>
        <v>22000</v>
      </c>
      <c r="AF98" s="20">
        <f>IFERROR(VLOOKUP(Tabla13[[#This Row],[Llave]],'[5]Consolidación planes'!$A:$M,13,FALSE),0)</f>
        <v>0</v>
      </c>
    </row>
    <row r="99" spans="2:32" ht="16" hidden="1" x14ac:dyDescent="0.2">
      <c r="B99" t="str">
        <f>Tabla13[[#This Row],[Oficina]]&amp;Tabla13[[#This Row],[Material]]</f>
        <v>Agrosuper Asia1021156</v>
      </c>
      <c r="C99" t="s">
        <v>6</v>
      </c>
      <c r="D99" t="s">
        <v>173</v>
      </c>
      <c r="E99">
        <v>1021156</v>
      </c>
      <c r="F99" t="s">
        <v>179</v>
      </c>
      <c r="G99" t="s">
        <v>92</v>
      </c>
      <c r="H99" t="s">
        <v>93</v>
      </c>
      <c r="I99" s="7">
        <f>IFERROR(VLOOKUP(Tabla13[[#This Row],[Llave]],'[1]Consolidado RV'!$B:$H,6,FALSE),0)</f>
        <v>51521.8001</v>
      </c>
      <c r="J99" s="3">
        <f>IFERROR(VLOOKUP(Tabla13[[#This Row],[Llave]],'[1]Consolidado RV'!$B:$H,7,FALSE),0)</f>
        <v>0</v>
      </c>
      <c r="K99" s="8">
        <f>IFERROR(VLOOKUP(Tabla13[[#This Row],[Oficina]],#REF!,2,FALSE),0)</f>
        <v>0</v>
      </c>
      <c r="L99" s="7">
        <f>+Tabla13[[#This Row],[ RV Producción mes n+1]]*Tabla13[[#This Row],[% Uti. producción]]</f>
        <v>0</v>
      </c>
      <c r="M99" s="7">
        <f>IFERROR(VLOOKUP(Tabla13[[#This Row],[Material]],#REF!,2,FALSE),0)</f>
        <v>0</v>
      </c>
      <c r="N99" s="7">
        <f>IFERROR(VLOOKUP(Tabla13[[#This Row],[Llave]],'En puerto-Programado'!A:D,4,FALSE)+VLOOKUP(Tabla13[[#This Row],[Llave]],'Por despachar'!A:F,6,FALSE),0)</f>
        <v>0</v>
      </c>
      <c r="O99" s="7">
        <f>IFERROR(VLOOKUP(Tabla13[[#This Row],[Material]],[2]Consolidado!$C:$D,2,FALSE),0)</f>
        <v>829.6</v>
      </c>
      <c r="P99" s="7">
        <f>IFERROR(VLOOKUP(Tabla13[[#This Row],[Llave]],'Por despachar'!A:E,5,FALSE),0)</f>
        <v>0</v>
      </c>
      <c r="Q99" s="14">
        <f>SUM(Tabla13[[#This Row],[Producción disponible]],Tabla13[[#This Row],[Stock al día]],Tabla13[[#This Row],[Por producir Abr.]])-SUM(Tabla13[[#This Row],[Stock por despachar N]],Tabla13[[#This Row],[Producción por despachar mes N]])</f>
        <v>829.6</v>
      </c>
      <c r="R99" s="7">
        <f>IFERROR(VLOOKUP(Tabla13[[#This Row],[Llave]],[3]Hoja2!$A:$D,4,FALSE),0)</f>
        <v>24000</v>
      </c>
      <c r="S99" s="9">
        <f>IFERROR(VLOOKUP(Tabla13[[#This Row],[Material]],[4]Hoja1!$B:$C,2,FALSE),0)</f>
        <v>23000</v>
      </c>
      <c r="T99" s="5">
        <f t="shared" si="3"/>
        <v>0</v>
      </c>
      <c r="U99" s="3">
        <f>+Tabla13[[#This Row],[Total disponible]]-Tabla13[[#This Row],[Atraso a facturar]]</f>
        <v>829.6</v>
      </c>
      <c r="V99" s="6">
        <f t="shared" si="2"/>
        <v>0</v>
      </c>
      <c r="W99" s="3" t="str">
        <f>IF(Tabla13[[#This Row],[Venta del mes]]&gt;Tabla13[[#This Row],[ RV  Venta mes n+1]],"Falta venta","-")</f>
        <v>-</v>
      </c>
      <c r="X99" s="7"/>
      <c r="Y99" s="18">
        <v>0</v>
      </c>
      <c r="Z99" s="5">
        <f>+Tabla13[[#This Row],[Atraso a facturar]]+Tabla13[[#This Row],[Venta del mes]]+Tabla13[[#This Row],[Ajuste]]</f>
        <v>0</v>
      </c>
      <c r="AA99" s="6">
        <f>+Tabla13[[#This Row],[Atraso a facturar]]+Tabla13[[#This Row],[Venta del mes]]+Tabla13[[#This Row],[En puerto a facturar]]</f>
        <v>0</v>
      </c>
      <c r="AB99" s="20">
        <f>IFERROR(VLOOKUP(Tabla13[[#This Row],[Llave]],'[5]Consolidación planes'!$A:$M,9,FALSE),0)</f>
        <v>46000</v>
      </c>
      <c r="AC99" s="20">
        <f>IFERROR(VLOOKUP(Tabla13[[#This Row],[Llave]],'[5]Consolidación planes'!$A:$M,10,FALSE),0)</f>
        <v>72000</v>
      </c>
      <c r="AD99" s="20">
        <f>IFERROR(VLOOKUP(Tabla13[[#This Row],[Llave]],'[5]Consolidación planes'!$A:$M,11,FALSE),0)</f>
        <v>7000</v>
      </c>
      <c r="AE99" s="20">
        <f>IFERROR(VLOOKUP(Tabla13[[#This Row],[Llave]],'[5]Consolidación planes'!$A:$M,12,FALSE),0)</f>
        <v>14000</v>
      </c>
      <c r="AF99" s="20">
        <f>IFERROR(VLOOKUP(Tabla13[[#This Row],[Llave]],'[5]Consolidación planes'!$A:$M,13,FALSE),0)</f>
        <v>24000</v>
      </c>
    </row>
    <row r="100" spans="2:32" ht="16" hidden="1" x14ac:dyDescent="0.2">
      <c r="B100" t="str">
        <f>Tabla13[[#This Row],[Oficina]]&amp;Tabla13[[#This Row],[Material]]</f>
        <v>Agrosuper Asia1021204</v>
      </c>
      <c r="C100" t="s">
        <v>6</v>
      </c>
      <c r="D100" t="s">
        <v>173</v>
      </c>
      <c r="E100">
        <v>1021204</v>
      </c>
      <c r="F100" t="s">
        <v>49</v>
      </c>
      <c r="G100" t="s">
        <v>11</v>
      </c>
      <c r="H100" t="s">
        <v>15</v>
      </c>
      <c r="I100" s="7">
        <f>IFERROR(VLOOKUP(Tabla13[[#This Row],[Llave]],'[1]Consolidado RV'!$B:$H,6,FALSE),0)</f>
        <v>0</v>
      </c>
      <c r="J100" s="3">
        <f>IFERROR(VLOOKUP(Tabla13[[#This Row],[Llave]],'[1]Consolidado RV'!$B:$H,7,FALSE),0)</f>
        <v>0</v>
      </c>
      <c r="K100" s="8">
        <f>IFERROR(VLOOKUP(Tabla13[[#This Row],[Oficina]],#REF!,2,FALSE),0)</f>
        <v>0</v>
      </c>
      <c r="L100" s="7">
        <f>+Tabla13[[#This Row],[ RV Producción mes n+1]]*Tabla13[[#This Row],[% Uti. producción]]</f>
        <v>0</v>
      </c>
      <c r="M100" s="7">
        <f>IFERROR(VLOOKUP(Tabla13[[#This Row],[Material]],#REF!,2,FALSE),0)</f>
        <v>0</v>
      </c>
      <c r="N100" s="7">
        <f>IFERROR(VLOOKUP(Tabla13[[#This Row],[Llave]],'En puerto-Programado'!A:D,4,FALSE)+VLOOKUP(Tabla13[[#This Row],[Llave]],'Por despachar'!A:F,6,FALSE),0)</f>
        <v>0</v>
      </c>
      <c r="O100" s="7">
        <f>IFERROR(VLOOKUP(Tabla13[[#This Row],[Material]],[2]Consolidado!$C:$D,2,FALSE),0)</f>
        <v>25610.933333333338</v>
      </c>
      <c r="P100" s="7">
        <f>IFERROR(VLOOKUP(Tabla13[[#This Row],[Llave]],'Por despachar'!A:E,5,FALSE),0)</f>
        <v>0</v>
      </c>
      <c r="Q100" s="14">
        <f>SUM(Tabla13[[#This Row],[Producción disponible]],Tabla13[[#This Row],[Stock al día]],Tabla13[[#This Row],[Por producir Abr.]])-SUM(Tabla13[[#This Row],[Stock por despachar N]],Tabla13[[#This Row],[Producción por despachar mes N]])</f>
        <v>25610.933333333338</v>
      </c>
      <c r="R100" s="7">
        <f>IFERROR(VLOOKUP(Tabla13[[#This Row],[Llave]],[3]Hoja2!$A:$D,4,FALSE),0)</f>
        <v>0</v>
      </c>
      <c r="S100" s="9">
        <f>IFERROR(VLOOKUP(Tabla13[[#This Row],[Material]],[4]Hoja1!$B:$C,2,FALSE),0)</f>
        <v>24000</v>
      </c>
      <c r="T100" s="5">
        <f t="shared" si="3"/>
        <v>0</v>
      </c>
      <c r="U100" s="3">
        <f>+Tabla13[[#This Row],[Total disponible]]-Tabla13[[#This Row],[Atraso a facturar]]</f>
        <v>25610.933333333338</v>
      </c>
      <c r="V100" s="6">
        <f t="shared" si="2"/>
        <v>0</v>
      </c>
      <c r="W100" s="3" t="str">
        <f>IF(Tabla13[[#This Row],[Venta del mes]]&gt;Tabla13[[#This Row],[ RV  Venta mes n+1]],"Falta venta","-")</f>
        <v>-</v>
      </c>
      <c r="X100" s="7"/>
      <c r="Y100" s="18">
        <v>0</v>
      </c>
      <c r="Z100" s="5">
        <f>+Tabla13[[#This Row],[Atraso a facturar]]+Tabla13[[#This Row],[Venta del mes]]+Tabla13[[#This Row],[Ajuste]]</f>
        <v>0</v>
      </c>
      <c r="AA100" s="6">
        <f>+Tabla13[[#This Row],[Atraso a facturar]]+Tabla13[[#This Row],[Venta del mes]]+Tabla13[[#This Row],[En puerto a facturar]]</f>
        <v>0</v>
      </c>
      <c r="AB100" s="20">
        <f>IFERROR(VLOOKUP(Tabla13[[#This Row],[Llave]],'[5]Consolidación planes'!$A:$M,9,FALSE),0)</f>
        <v>24000</v>
      </c>
      <c r="AC100" s="20">
        <f>IFERROR(VLOOKUP(Tabla13[[#This Row],[Llave]],'[5]Consolidación planes'!$A:$M,10,FALSE),0)</f>
        <v>0</v>
      </c>
      <c r="AD100" s="20">
        <f>IFERROR(VLOOKUP(Tabla13[[#This Row],[Llave]],'[5]Consolidación planes'!$A:$M,11,FALSE),0)</f>
        <v>0</v>
      </c>
      <c r="AE100" s="20">
        <f>IFERROR(VLOOKUP(Tabla13[[#This Row],[Llave]],'[5]Consolidación planes'!$A:$M,12,FALSE),0)</f>
        <v>0</v>
      </c>
      <c r="AF100" s="20">
        <f>IFERROR(VLOOKUP(Tabla13[[#This Row],[Llave]],'[5]Consolidación planes'!$A:$M,13,FALSE),0)</f>
        <v>0</v>
      </c>
    </row>
    <row r="101" spans="2:32" ht="16" hidden="1" x14ac:dyDescent="0.2">
      <c r="B101" t="str">
        <f>Tabla13[[#This Row],[Oficina]]&amp;Tabla13[[#This Row],[Material]]</f>
        <v>Agrosuper Asia1021470</v>
      </c>
      <c r="C101" t="s">
        <v>6</v>
      </c>
      <c r="D101" t="s">
        <v>173</v>
      </c>
      <c r="E101">
        <v>1021470</v>
      </c>
      <c r="F101" t="s">
        <v>196</v>
      </c>
      <c r="G101" t="s">
        <v>159</v>
      </c>
      <c r="H101" t="s">
        <v>160</v>
      </c>
      <c r="I101" s="7">
        <f>IFERROR(VLOOKUP(Tabla13[[#This Row],[Llave]],'[1]Consolidado RV'!$B:$H,6,FALSE),0)</f>
        <v>21292.129999999994</v>
      </c>
      <c r="J101" s="3">
        <f>IFERROR(VLOOKUP(Tabla13[[#This Row],[Llave]],'[1]Consolidado RV'!$B:$H,7,FALSE),0)</f>
        <v>22000</v>
      </c>
      <c r="K101" s="8">
        <f>IFERROR(VLOOKUP(Tabla13[[#This Row],[Oficina]],#REF!,2,FALSE),0)</f>
        <v>0</v>
      </c>
      <c r="L101" s="7">
        <f>+Tabla13[[#This Row],[ RV Producción mes n+1]]*Tabla13[[#This Row],[% Uti. producción]]</f>
        <v>0</v>
      </c>
      <c r="M101" s="7">
        <f>IFERROR(VLOOKUP(Tabla13[[#This Row],[Material]],#REF!,2,FALSE),0)</f>
        <v>0</v>
      </c>
      <c r="N101" s="7">
        <f>IFERROR(VLOOKUP(Tabla13[[#This Row],[Llave]],'En puerto-Programado'!A:D,4,FALSE)+VLOOKUP(Tabla13[[#This Row],[Llave]],'Por despachar'!A:F,6,FALSE),0)</f>
        <v>0</v>
      </c>
      <c r="O101" s="7">
        <f>IFERROR(VLOOKUP(Tabla13[[#This Row],[Material]],[2]Consolidado!$C:$D,2,FALSE),0)</f>
        <v>0</v>
      </c>
      <c r="P101" s="7">
        <f>IFERROR(VLOOKUP(Tabla13[[#This Row],[Llave]],'Por despachar'!A:E,5,FALSE),0)</f>
        <v>0</v>
      </c>
      <c r="Q10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01" s="7">
        <f>IFERROR(VLOOKUP(Tabla13[[#This Row],[Llave]],[3]Hoja2!$A:$D,4,FALSE),0)</f>
        <v>22000</v>
      </c>
      <c r="S101" s="9">
        <f>IFERROR(VLOOKUP(Tabla13[[#This Row],[Material]],[4]Hoja1!$B:$C,2,FALSE),0)</f>
        <v>22000</v>
      </c>
      <c r="T101" s="5">
        <f t="shared" si="3"/>
        <v>0</v>
      </c>
      <c r="U101" s="3">
        <f>+Tabla13[[#This Row],[Total disponible]]-Tabla13[[#This Row],[Atraso a facturar]]</f>
        <v>0</v>
      </c>
      <c r="V101" s="6">
        <f t="shared" si="2"/>
        <v>0</v>
      </c>
      <c r="W101" s="3" t="str">
        <f>IF(Tabla13[[#This Row],[Venta del mes]]&gt;Tabla13[[#This Row],[ RV  Venta mes n+1]],"Falta venta","-")</f>
        <v>-</v>
      </c>
      <c r="X101" s="7"/>
      <c r="Y101" s="18">
        <v>0</v>
      </c>
      <c r="Z101" s="5">
        <f>+Tabla13[[#This Row],[Atraso a facturar]]+Tabla13[[#This Row],[Venta del mes]]+Tabla13[[#This Row],[Ajuste]]</f>
        <v>0</v>
      </c>
      <c r="AA101" s="6">
        <f>+Tabla13[[#This Row],[Atraso a facturar]]+Tabla13[[#This Row],[Venta del mes]]+Tabla13[[#This Row],[En puerto a facturar]]</f>
        <v>0</v>
      </c>
      <c r="AB101" s="20">
        <f>IFERROR(VLOOKUP(Tabla13[[#This Row],[Llave]],'[5]Consolidación planes'!$A:$M,9,FALSE),0)</f>
        <v>22000</v>
      </c>
      <c r="AC101" s="20">
        <f>IFERROR(VLOOKUP(Tabla13[[#This Row],[Llave]],'[5]Consolidación planes'!$A:$M,10,FALSE),0)</f>
        <v>22000</v>
      </c>
      <c r="AD101" s="20">
        <f>IFERROR(VLOOKUP(Tabla13[[#This Row],[Llave]],'[5]Consolidación planes'!$A:$M,11,FALSE),0)</f>
        <v>0</v>
      </c>
      <c r="AE101" s="20">
        <f>IFERROR(VLOOKUP(Tabla13[[#This Row],[Llave]],'[5]Consolidación planes'!$A:$M,12,FALSE),0)</f>
        <v>22000</v>
      </c>
      <c r="AF101" s="20">
        <f>IFERROR(VLOOKUP(Tabla13[[#This Row],[Llave]],'[5]Consolidación planes'!$A:$M,13,FALSE),0)</f>
        <v>0</v>
      </c>
    </row>
    <row r="102" spans="2:32" ht="16" hidden="1" x14ac:dyDescent="0.2">
      <c r="B102" t="str">
        <f>Tabla13[[#This Row],[Oficina]]&amp;Tabla13[[#This Row],[Material]]</f>
        <v>Agrosuper Asia1021655</v>
      </c>
      <c r="C102" t="s">
        <v>6</v>
      </c>
      <c r="D102" t="s">
        <v>173</v>
      </c>
      <c r="E102">
        <v>1021655</v>
      </c>
      <c r="F102" t="s">
        <v>326</v>
      </c>
      <c r="G102" t="s">
        <v>76</v>
      </c>
      <c r="H102" t="s">
        <v>84</v>
      </c>
      <c r="I102" s="7">
        <f>IFERROR(VLOOKUP(Tabla13[[#This Row],[Llave]],'[1]Consolidado RV'!$B:$H,6,FALSE),0)</f>
        <v>0</v>
      </c>
      <c r="J102" s="3">
        <f>IFERROR(VLOOKUP(Tabla13[[#This Row],[Llave]],'[1]Consolidado RV'!$B:$H,7,FALSE),0)</f>
        <v>0</v>
      </c>
      <c r="K102" s="8">
        <f>IFERROR(VLOOKUP(Tabla13[[#This Row],[Oficina]],#REF!,2,FALSE),0)</f>
        <v>0</v>
      </c>
      <c r="L102" s="7">
        <f>+Tabla13[[#This Row],[ RV Producción mes n+1]]*Tabla13[[#This Row],[% Uti. producción]]</f>
        <v>0</v>
      </c>
      <c r="M102" s="7">
        <f>IFERROR(VLOOKUP(Tabla13[[#This Row],[Material]],#REF!,2,FALSE),0)</f>
        <v>0</v>
      </c>
      <c r="N102" s="7">
        <f>IFERROR(VLOOKUP(Tabla13[[#This Row],[Llave]],'En puerto-Programado'!A:D,4,FALSE)+VLOOKUP(Tabla13[[#This Row],[Llave]],'Por despachar'!A:F,6,FALSE),0)</f>
        <v>0</v>
      </c>
      <c r="O102" s="7">
        <f>IFERROR(VLOOKUP(Tabla13[[#This Row],[Material]],[2]Consolidado!$C:$D,2,FALSE),0)</f>
        <v>21387.200000000001</v>
      </c>
      <c r="P102" s="7">
        <f>IFERROR(VLOOKUP(Tabla13[[#This Row],[Llave]],'Por despachar'!A:E,5,FALSE),0)</f>
        <v>0</v>
      </c>
      <c r="Q102" s="14">
        <f>SUM(Tabla13[[#This Row],[Producción disponible]],Tabla13[[#This Row],[Stock al día]],Tabla13[[#This Row],[Por producir Abr.]])-SUM(Tabla13[[#This Row],[Stock por despachar N]],Tabla13[[#This Row],[Producción por despachar mes N]])</f>
        <v>21387.200000000001</v>
      </c>
      <c r="R102" s="7">
        <f>IFERROR(VLOOKUP(Tabla13[[#This Row],[Llave]],[3]Hoja2!$A:$D,4,FALSE),0)</f>
        <v>48000</v>
      </c>
      <c r="S102" s="9">
        <f>IFERROR(VLOOKUP(Tabla13[[#This Row],[Material]],[4]Hoja1!$B:$C,2,FALSE),0)</f>
        <v>24000</v>
      </c>
      <c r="T102" s="5">
        <f t="shared" si="3"/>
        <v>0</v>
      </c>
      <c r="U102" s="3">
        <f>+Tabla13[[#This Row],[Total disponible]]-Tabla13[[#This Row],[Atraso a facturar]]</f>
        <v>21387.200000000001</v>
      </c>
      <c r="V102" s="6">
        <f t="shared" si="2"/>
        <v>0</v>
      </c>
      <c r="W102" s="3" t="str">
        <f>IF(Tabla13[[#This Row],[Venta del mes]]&gt;Tabla13[[#This Row],[ RV  Venta mes n+1]],"Falta venta","-")</f>
        <v>-</v>
      </c>
      <c r="X102" s="7"/>
      <c r="Y102" s="18">
        <v>0</v>
      </c>
      <c r="Z102" s="5">
        <f>+Tabla13[[#This Row],[Atraso a facturar]]+Tabla13[[#This Row],[Venta del mes]]+Tabla13[[#This Row],[Ajuste]]</f>
        <v>0</v>
      </c>
      <c r="AA102" s="6">
        <f>+Tabla13[[#This Row],[Atraso a facturar]]+Tabla13[[#This Row],[Venta del mes]]+Tabla13[[#This Row],[En puerto a facturar]]</f>
        <v>0</v>
      </c>
      <c r="AB102" s="20">
        <f>IFERROR(VLOOKUP(Tabla13[[#This Row],[Llave]],'[5]Consolidación planes'!$A:$M,9,FALSE),0)</f>
        <v>0</v>
      </c>
      <c r="AC102" s="20">
        <f>IFERROR(VLOOKUP(Tabla13[[#This Row],[Llave]],'[5]Consolidación planes'!$A:$M,10,FALSE),0)</f>
        <v>0</v>
      </c>
      <c r="AD102" s="20">
        <f>IFERROR(VLOOKUP(Tabla13[[#This Row],[Llave]],'[5]Consolidación planes'!$A:$M,11,FALSE),0)</f>
        <v>0</v>
      </c>
      <c r="AE102" s="20">
        <f>IFERROR(VLOOKUP(Tabla13[[#This Row],[Llave]],'[5]Consolidación planes'!$A:$M,12,FALSE),0)</f>
        <v>0</v>
      </c>
      <c r="AF102" s="20">
        <f>IFERROR(VLOOKUP(Tabla13[[#This Row],[Llave]],'[5]Consolidación planes'!$A:$M,13,FALSE),0)</f>
        <v>48000</v>
      </c>
    </row>
    <row r="103" spans="2:32" ht="16" hidden="1" x14ac:dyDescent="0.2">
      <c r="B103" t="str">
        <f>Tabla13[[#This Row],[Oficina]]&amp;Tabla13[[#This Row],[Material]]</f>
        <v>Agrosuper Asia1021664</v>
      </c>
      <c r="C103" t="s">
        <v>6</v>
      </c>
      <c r="D103" t="s">
        <v>173</v>
      </c>
      <c r="E103">
        <v>1021664</v>
      </c>
      <c r="F103" t="s">
        <v>174</v>
      </c>
      <c r="G103" t="s">
        <v>25</v>
      </c>
      <c r="H103" t="s">
        <v>26</v>
      </c>
      <c r="I103" s="7">
        <f>IFERROR(VLOOKUP(Tabla13[[#This Row],[Llave]],'[1]Consolidado RV'!$B:$H,6,FALSE),0)</f>
        <v>0</v>
      </c>
      <c r="J103" s="3">
        <f>IFERROR(VLOOKUP(Tabla13[[#This Row],[Llave]],'[1]Consolidado RV'!$B:$H,7,FALSE),0)</f>
        <v>0</v>
      </c>
      <c r="K103" s="8">
        <f>IFERROR(VLOOKUP(Tabla13[[#This Row],[Oficina]],#REF!,2,FALSE),0)</f>
        <v>0</v>
      </c>
      <c r="L103" s="7">
        <f>+Tabla13[[#This Row],[ RV Producción mes n+1]]*Tabla13[[#This Row],[% Uti. producción]]</f>
        <v>0</v>
      </c>
      <c r="M103" s="7">
        <f>IFERROR(VLOOKUP(Tabla13[[#This Row],[Material]],#REF!,2,FALSE),0)</f>
        <v>0</v>
      </c>
      <c r="N103" s="7">
        <f>IFERROR(VLOOKUP(Tabla13[[#This Row],[Llave]],'En puerto-Programado'!A:D,4,FALSE)+VLOOKUP(Tabla13[[#This Row],[Llave]],'Por despachar'!A:F,6,FALSE),0)</f>
        <v>0</v>
      </c>
      <c r="O103" s="7">
        <f>IFERROR(VLOOKUP(Tabla13[[#This Row],[Material]],[2]Consolidado!$C:$D,2,FALSE),0)</f>
        <v>0</v>
      </c>
      <c r="P103" s="7">
        <f>IFERROR(VLOOKUP(Tabla13[[#This Row],[Llave]],'Por despachar'!A:E,5,FALSE),0)</f>
        <v>0</v>
      </c>
      <c r="Q10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03" s="7">
        <f>IFERROR(VLOOKUP(Tabla13[[#This Row],[Llave]],[3]Hoja2!$A:$D,4,FALSE),0)</f>
        <v>39000</v>
      </c>
      <c r="S103" s="9">
        <f>IFERROR(VLOOKUP(Tabla13[[#This Row],[Material]],[4]Hoja1!$B:$C,2,FALSE),0)</f>
        <v>22000</v>
      </c>
      <c r="T103" s="5">
        <f t="shared" si="3"/>
        <v>0</v>
      </c>
      <c r="U103" s="3">
        <f>+Tabla13[[#This Row],[Total disponible]]-Tabla13[[#This Row],[Atraso a facturar]]</f>
        <v>0</v>
      </c>
      <c r="V103" s="6">
        <f t="shared" si="2"/>
        <v>0</v>
      </c>
      <c r="W103" s="3" t="str">
        <f>IF(Tabla13[[#This Row],[Venta del mes]]&gt;Tabla13[[#This Row],[ RV  Venta mes n+1]],"Falta venta","-")</f>
        <v>-</v>
      </c>
      <c r="X103" s="7"/>
      <c r="Y103" s="18">
        <v>0</v>
      </c>
      <c r="Z103" s="5">
        <f>+Tabla13[[#This Row],[Atraso a facturar]]+Tabla13[[#This Row],[Venta del mes]]+Tabla13[[#This Row],[Ajuste]]</f>
        <v>0</v>
      </c>
      <c r="AA103" s="6">
        <f>+Tabla13[[#This Row],[Atraso a facturar]]+Tabla13[[#This Row],[Venta del mes]]+Tabla13[[#This Row],[En puerto a facturar]]</f>
        <v>0</v>
      </c>
      <c r="AB103" s="20">
        <f>IFERROR(VLOOKUP(Tabla13[[#This Row],[Llave]],'[5]Consolidación planes'!$A:$M,9,FALSE),0)</f>
        <v>154000</v>
      </c>
      <c r="AC103" s="20">
        <f>IFERROR(VLOOKUP(Tabla13[[#This Row],[Llave]],'[5]Consolidación planes'!$A:$M,10,FALSE),0)</f>
        <v>66000</v>
      </c>
      <c r="AD103" s="20">
        <f>IFERROR(VLOOKUP(Tabla13[[#This Row],[Llave]],'[5]Consolidación planes'!$A:$M,11,FALSE),0)</f>
        <v>66000</v>
      </c>
      <c r="AE103" s="20">
        <f>IFERROR(VLOOKUP(Tabla13[[#This Row],[Llave]],'[5]Consolidación planes'!$A:$M,12,FALSE),0)</f>
        <v>66000</v>
      </c>
      <c r="AF103" s="20">
        <f>IFERROR(VLOOKUP(Tabla13[[#This Row],[Llave]],'[5]Consolidación planes'!$A:$M,13,FALSE),0)</f>
        <v>44000</v>
      </c>
    </row>
    <row r="104" spans="2:32" ht="16" hidden="1" x14ac:dyDescent="0.2">
      <c r="B104" t="str">
        <f>Tabla13[[#This Row],[Oficina]]&amp;Tabla13[[#This Row],[Material]]</f>
        <v>Agrosuper Asia1021665</v>
      </c>
      <c r="C104" t="s">
        <v>6</v>
      </c>
      <c r="D104" t="s">
        <v>173</v>
      </c>
      <c r="E104">
        <v>1021665</v>
      </c>
      <c r="F104" t="s">
        <v>175</v>
      </c>
      <c r="G104" t="s">
        <v>25</v>
      </c>
      <c r="H104" t="s">
        <v>26</v>
      </c>
      <c r="I104" s="7">
        <f>IFERROR(VLOOKUP(Tabla13[[#This Row],[Llave]],'[1]Consolidado RV'!$B:$H,6,FALSE),0)</f>
        <v>0</v>
      </c>
      <c r="J104" s="3">
        <f>IFERROR(VLOOKUP(Tabla13[[#This Row],[Llave]],'[1]Consolidado RV'!$B:$H,7,FALSE),0)</f>
        <v>1260.4169999999999</v>
      </c>
      <c r="K104" s="8">
        <f>IFERROR(VLOOKUP(Tabla13[[#This Row],[Oficina]],#REF!,2,FALSE),0)</f>
        <v>0</v>
      </c>
      <c r="L104" s="7">
        <f>+Tabla13[[#This Row],[ RV Producción mes n+1]]*Tabla13[[#This Row],[% Uti. producción]]</f>
        <v>0</v>
      </c>
      <c r="M104" s="7">
        <f>IFERROR(VLOOKUP(Tabla13[[#This Row],[Material]],#REF!,2,FALSE),0)</f>
        <v>0</v>
      </c>
      <c r="N104" s="7">
        <f>IFERROR(VLOOKUP(Tabla13[[#This Row],[Llave]],'En puerto-Programado'!A:D,4,FALSE)+VLOOKUP(Tabla13[[#This Row],[Llave]],'Por despachar'!A:F,6,FALSE),0)</f>
        <v>0</v>
      </c>
      <c r="O104" s="7">
        <f>IFERROR(VLOOKUP(Tabla13[[#This Row],[Material]],[2]Consolidado!$C:$D,2,FALSE),0)</f>
        <v>0</v>
      </c>
      <c r="P104" s="7">
        <f>IFERROR(VLOOKUP(Tabla13[[#This Row],[Llave]],'Por despachar'!A:E,5,FALSE),0)</f>
        <v>0</v>
      </c>
      <c r="Q10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04" s="7">
        <f>IFERROR(VLOOKUP(Tabla13[[#This Row],[Llave]],[3]Hoja2!$A:$D,4,FALSE),0)</f>
        <v>22000</v>
      </c>
      <c r="S104" s="9">
        <f>IFERROR(VLOOKUP(Tabla13[[#This Row],[Material]],[4]Hoja1!$B:$C,2,FALSE),0)</f>
        <v>22000</v>
      </c>
      <c r="T104" s="5">
        <f t="shared" si="3"/>
        <v>0</v>
      </c>
      <c r="U104" s="3">
        <f>+Tabla13[[#This Row],[Total disponible]]-Tabla13[[#This Row],[Atraso a facturar]]</f>
        <v>0</v>
      </c>
      <c r="V104" s="6">
        <f t="shared" si="2"/>
        <v>0</v>
      </c>
      <c r="W104" s="3" t="str">
        <f>IF(Tabla13[[#This Row],[Venta del mes]]&gt;Tabla13[[#This Row],[ RV  Venta mes n+1]],"Falta venta","-")</f>
        <v>-</v>
      </c>
      <c r="X104" s="7"/>
      <c r="Y104" s="18">
        <v>0</v>
      </c>
      <c r="Z104" s="5">
        <f>+Tabla13[[#This Row],[Atraso a facturar]]+Tabla13[[#This Row],[Venta del mes]]+Tabla13[[#This Row],[Ajuste]]</f>
        <v>0</v>
      </c>
      <c r="AA104" s="6">
        <f>+Tabla13[[#This Row],[Atraso a facturar]]+Tabla13[[#This Row],[Venta del mes]]+Tabla13[[#This Row],[En puerto a facturar]]</f>
        <v>0</v>
      </c>
      <c r="AB104" s="20">
        <f>IFERROR(VLOOKUP(Tabla13[[#This Row],[Llave]],'[5]Consolidación planes'!$A:$M,9,FALSE),0)</f>
        <v>44000</v>
      </c>
      <c r="AC104" s="20">
        <f>IFERROR(VLOOKUP(Tabla13[[#This Row],[Llave]],'[5]Consolidación planes'!$A:$M,10,FALSE),0)</f>
        <v>110000</v>
      </c>
      <c r="AD104" s="20">
        <f>IFERROR(VLOOKUP(Tabla13[[#This Row],[Llave]],'[5]Consolidación planes'!$A:$M,11,FALSE),0)</f>
        <v>44000</v>
      </c>
      <c r="AE104" s="20">
        <f>IFERROR(VLOOKUP(Tabla13[[#This Row],[Llave]],'[5]Consolidación planes'!$A:$M,12,FALSE),0)</f>
        <v>66000</v>
      </c>
      <c r="AF104" s="20">
        <f>IFERROR(VLOOKUP(Tabla13[[#This Row],[Llave]],'[5]Consolidación planes'!$A:$M,13,FALSE),0)</f>
        <v>44061</v>
      </c>
    </row>
    <row r="105" spans="2:32" ht="16" hidden="1" x14ac:dyDescent="0.2">
      <c r="B105" t="str">
        <f>Tabla13[[#This Row],[Oficina]]&amp;Tabla13[[#This Row],[Material]]</f>
        <v>Agrosuper Asia1022182</v>
      </c>
      <c r="C105" t="s">
        <v>6</v>
      </c>
      <c r="D105" t="s">
        <v>173</v>
      </c>
      <c r="E105">
        <v>1022182</v>
      </c>
      <c r="F105" t="s">
        <v>22</v>
      </c>
      <c r="G105" t="s">
        <v>18</v>
      </c>
      <c r="H105" t="s">
        <v>21</v>
      </c>
      <c r="I105" s="7">
        <f>IFERROR(VLOOKUP(Tabla13[[#This Row],[Llave]],'[1]Consolidado RV'!$B:$H,6,FALSE),0)</f>
        <v>43630</v>
      </c>
      <c r="J105" s="3">
        <f>IFERROR(VLOOKUP(Tabla13[[#This Row],[Llave]],'[1]Consolidado RV'!$B:$H,7,FALSE),0)</f>
        <v>44000</v>
      </c>
      <c r="K105" s="8">
        <f>IFERROR(VLOOKUP(Tabla13[[#This Row],[Oficina]],#REF!,2,FALSE),0)</f>
        <v>0</v>
      </c>
      <c r="L105" s="7">
        <f>+Tabla13[[#This Row],[ RV Producción mes n+1]]*Tabla13[[#This Row],[% Uti. producción]]</f>
        <v>0</v>
      </c>
      <c r="M105" s="7">
        <f>IFERROR(VLOOKUP(Tabla13[[#This Row],[Material]],#REF!,2,FALSE),0)</f>
        <v>0</v>
      </c>
      <c r="N105" s="7">
        <f>IFERROR(VLOOKUP(Tabla13[[#This Row],[Llave]],'En puerto-Programado'!A:D,4,FALSE)+VLOOKUP(Tabla13[[#This Row],[Llave]],'Por despachar'!A:F,6,FALSE),0)</f>
        <v>0</v>
      </c>
      <c r="O105" s="7">
        <f>IFERROR(VLOOKUP(Tabla13[[#This Row],[Material]],[2]Consolidado!$C:$D,2,FALSE),0)</f>
        <v>0</v>
      </c>
      <c r="P105" s="7">
        <f>IFERROR(VLOOKUP(Tabla13[[#This Row],[Llave]],'Por despachar'!A:E,5,FALSE),0)</f>
        <v>0</v>
      </c>
      <c r="Q10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05" s="7">
        <f>IFERROR(VLOOKUP(Tabla13[[#This Row],[Llave]],[3]Hoja2!$A:$D,4,FALSE),0)</f>
        <v>0</v>
      </c>
      <c r="S105" s="9">
        <f>IFERROR(VLOOKUP(Tabla13[[#This Row],[Material]],[4]Hoja1!$B:$C,2,FALSE),0)</f>
        <v>22000</v>
      </c>
      <c r="T105" s="5">
        <f t="shared" si="3"/>
        <v>0</v>
      </c>
      <c r="U105" s="3">
        <f>+Tabla13[[#This Row],[Total disponible]]-Tabla13[[#This Row],[Atraso a facturar]]</f>
        <v>0</v>
      </c>
      <c r="V105" s="6">
        <f t="shared" si="2"/>
        <v>0</v>
      </c>
      <c r="W105" s="3" t="str">
        <f>IF(Tabla13[[#This Row],[Venta del mes]]&gt;Tabla13[[#This Row],[ RV  Venta mes n+1]],"Falta venta","-")</f>
        <v>-</v>
      </c>
      <c r="X105" s="7"/>
      <c r="Y105" s="18">
        <v>0</v>
      </c>
      <c r="Z105" s="5">
        <f>+Tabla13[[#This Row],[Atraso a facturar]]+Tabla13[[#This Row],[Venta del mes]]+Tabla13[[#This Row],[Ajuste]]</f>
        <v>0</v>
      </c>
      <c r="AA105" s="6">
        <f>+Tabla13[[#This Row],[Atraso a facturar]]+Tabla13[[#This Row],[Venta del mes]]+Tabla13[[#This Row],[En puerto a facturar]]</f>
        <v>0</v>
      </c>
      <c r="AB105" s="20">
        <f>IFERROR(VLOOKUP(Tabla13[[#This Row],[Llave]],'[5]Consolidación planes'!$A:$M,9,FALSE),0)</f>
        <v>0</v>
      </c>
      <c r="AC105" s="20">
        <f>IFERROR(VLOOKUP(Tabla13[[#This Row],[Llave]],'[5]Consolidación planes'!$A:$M,10,FALSE),0)</f>
        <v>0</v>
      </c>
      <c r="AD105" s="20">
        <f>IFERROR(VLOOKUP(Tabla13[[#This Row],[Llave]],'[5]Consolidación planes'!$A:$M,11,FALSE),0)</f>
        <v>0</v>
      </c>
      <c r="AE105" s="20">
        <f>IFERROR(VLOOKUP(Tabla13[[#This Row],[Llave]],'[5]Consolidación planes'!$A:$M,12,FALSE),0)</f>
        <v>22000</v>
      </c>
      <c r="AF105" s="20">
        <f>IFERROR(VLOOKUP(Tabla13[[#This Row],[Llave]],'[5]Consolidación planes'!$A:$M,13,FALSE),0)</f>
        <v>0</v>
      </c>
    </row>
    <row r="106" spans="2:32" ht="16" hidden="1" x14ac:dyDescent="0.2">
      <c r="B106" t="str">
        <f>Tabla13[[#This Row],[Oficina]]&amp;Tabla13[[#This Row],[Material]]</f>
        <v>Agrosuper Asia1022283</v>
      </c>
      <c r="C106" t="s">
        <v>6</v>
      </c>
      <c r="D106" t="s">
        <v>173</v>
      </c>
      <c r="E106">
        <v>1022283</v>
      </c>
      <c r="F106" t="s">
        <v>198</v>
      </c>
      <c r="G106" t="s">
        <v>134</v>
      </c>
      <c r="H106" t="s">
        <v>135</v>
      </c>
      <c r="I106" s="7">
        <f>IFERROR(VLOOKUP(Tabla13[[#This Row],[Llave]],'[1]Consolidado RV'!$B:$H,6,FALSE),0)</f>
        <v>10533.9228</v>
      </c>
      <c r="J106" s="3">
        <f>IFERROR(VLOOKUP(Tabla13[[#This Row],[Llave]],'[1]Consolidado RV'!$B:$H,7,FALSE),0)</f>
        <v>7245.1748000000034</v>
      </c>
      <c r="K106" s="8">
        <f>IFERROR(VLOOKUP(Tabla13[[#This Row],[Oficina]],#REF!,2,FALSE),0)</f>
        <v>0</v>
      </c>
      <c r="L106" s="7">
        <f>+Tabla13[[#This Row],[ RV Producción mes n+1]]*Tabla13[[#This Row],[% Uti. producción]]</f>
        <v>0</v>
      </c>
      <c r="M106" s="7">
        <f>IFERROR(VLOOKUP(Tabla13[[#This Row],[Material]],#REF!,2,FALSE),0)</f>
        <v>0</v>
      </c>
      <c r="N106" s="7">
        <f>IFERROR(VLOOKUP(Tabla13[[#This Row],[Llave]],'En puerto-Programado'!A:D,4,FALSE)+VLOOKUP(Tabla13[[#This Row],[Llave]],'Por despachar'!A:F,6,FALSE),0)</f>
        <v>0</v>
      </c>
      <c r="O106" s="7">
        <f>IFERROR(VLOOKUP(Tabla13[[#This Row],[Material]],[2]Consolidado!$C:$D,2,FALSE),0)</f>
        <v>896.80000000000007</v>
      </c>
      <c r="P106" s="7">
        <f>IFERROR(VLOOKUP(Tabla13[[#This Row],[Llave]],'Por despachar'!A:E,5,FALSE),0)</f>
        <v>0</v>
      </c>
      <c r="Q106" s="14">
        <f>SUM(Tabla13[[#This Row],[Producción disponible]],Tabla13[[#This Row],[Stock al día]],Tabla13[[#This Row],[Por producir Abr.]])-SUM(Tabla13[[#This Row],[Stock por despachar N]],Tabla13[[#This Row],[Producción por despachar mes N]])</f>
        <v>896.80000000000007</v>
      </c>
      <c r="R106" s="7">
        <f>IFERROR(VLOOKUP(Tabla13[[#This Row],[Llave]],[3]Hoja2!$A:$D,4,FALSE),0)</f>
        <v>10000</v>
      </c>
      <c r="S106" s="9">
        <f>IFERROR(VLOOKUP(Tabla13[[#This Row],[Material]],[4]Hoja1!$B:$C,2,FALSE),0)</f>
        <v>5000</v>
      </c>
      <c r="T106" s="5">
        <f t="shared" si="3"/>
        <v>0</v>
      </c>
      <c r="U106" s="3">
        <f>+Tabla13[[#This Row],[Total disponible]]-Tabla13[[#This Row],[Atraso a facturar]]</f>
        <v>896.80000000000007</v>
      </c>
      <c r="V106" s="6">
        <f t="shared" si="2"/>
        <v>0</v>
      </c>
      <c r="W106" s="3" t="str">
        <f>IF(Tabla13[[#This Row],[Venta del mes]]&gt;Tabla13[[#This Row],[ RV  Venta mes n+1]],"Falta venta","-")</f>
        <v>-</v>
      </c>
      <c r="X106" s="7"/>
      <c r="Y106" s="18">
        <v>0</v>
      </c>
      <c r="Z106" s="5">
        <f>+Tabla13[[#This Row],[Atraso a facturar]]+Tabla13[[#This Row],[Venta del mes]]+Tabla13[[#This Row],[Ajuste]]</f>
        <v>0</v>
      </c>
      <c r="AA106" s="6">
        <f>+Tabla13[[#This Row],[Atraso a facturar]]+Tabla13[[#This Row],[Venta del mes]]+Tabla13[[#This Row],[En puerto a facturar]]</f>
        <v>0</v>
      </c>
      <c r="AB106" s="20">
        <f>IFERROR(VLOOKUP(Tabla13[[#This Row],[Llave]],'[5]Consolidación planes'!$A:$M,9,FALSE),0)</f>
        <v>11000</v>
      </c>
      <c r="AC106" s="20">
        <f>IFERROR(VLOOKUP(Tabla13[[#This Row],[Llave]],'[5]Consolidación planes'!$A:$M,10,FALSE),0)</f>
        <v>9000</v>
      </c>
      <c r="AD106" s="20">
        <f>IFERROR(VLOOKUP(Tabla13[[#This Row],[Llave]],'[5]Consolidación planes'!$A:$M,11,FALSE),0)</f>
        <v>0</v>
      </c>
      <c r="AE106" s="20">
        <f>IFERROR(VLOOKUP(Tabla13[[#This Row],[Llave]],'[5]Consolidación planes'!$A:$M,12,FALSE),0)</f>
        <v>5000</v>
      </c>
      <c r="AF106" s="20">
        <f>IFERROR(VLOOKUP(Tabla13[[#This Row],[Llave]],'[5]Consolidación planes'!$A:$M,13,FALSE),0)</f>
        <v>6000</v>
      </c>
    </row>
    <row r="107" spans="2:32" ht="16" hidden="1" x14ac:dyDescent="0.2">
      <c r="B107" t="str">
        <f>Tabla13[[#This Row],[Oficina]]&amp;Tabla13[[#This Row],[Material]]</f>
        <v>Agrosuper Asia1022607</v>
      </c>
      <c r="C107" t="s">
        <v>6</v>
      </c>
      <c r="D107" t="s">
        <v>173</v>
      </c>
      <c r="E107">
        <v>1022607</v>
      </c>
      <c r="F107" t="s">
        <v>200</v>
      </c>
      <c r="G107" t="s">
        <v>134</v>
      </c>
      <c r="H107" t="s">
        <v>199</v>
      </c>
      <c r="I107" s="7">
        <f>IFERROR(VLOOKUP(Tabla13[[#This Row],[Llave]],'[1]Consolidado RV'!$B:$H,6,FALSE),0)</f>
        <v>26839.58</v>
      </c>
      <c r="J107" s="3">
        <f>IFERROR(VLOOKUP(Tabla13[[#This Row],[Llave]],'[1]Consolidado RV'!$B:$H,7,FALSE),0)</f>
        <v>19904.903999999995</v>
      </c>
      <c r="K107" s="8">
        <f>IFERROR(VLOOKUP(Tabla13[[#This Row],[Oficina]],#REF!,2,FALSE),0)</f>
        <v>0</v>
      </c>
      <c r="L107" s="7">
        <f>+Tabla13[[#This Row],[ RV Producción mes n+1]]*Tabla13[[#This Row],[% Uti. producción]]</f>
        <v>0</v>
      </c>
      <c r="M107" s="7">
        <f>IFERROR(VLOOKUP(Tabla13[[#This Row],[Material]],#REF!,2,FALSE),0)</f>
        <v>0</v>
      </c>
      <c r="N107" s="7">
        <f>IFERROR(VLOOKUP(Tabla13[[#This Row],[Llave]],'En puerto-Programado'!A:D,4,FALSE)+VLOOKUP(Tabla13[[#This Row],[Llave]],'Por despachar'!A:F,6,FALSE),0)</f>
        <v>0</v>
      </c>
      <c r="O107" s="7">
        <f>IFERROR(VLOOKUP(Tabla13[[#This Row],[Material]],[2]Consolidado!$C:$D,2,FALSE),0)</f>
        <v>9018.4</v>
      </c>
      <c r="P107" s="7">
        <f>IFERROR(VLOOKUP(Tabla13[[#This Row],[Llave]],'Por despachar'!A:E,5,FALSE),0)</f>
        <v>0</v>
      </c>
      <c r="Q107" s="14">
        <f>SUM(Tabla13[[#This Row],[Producción disponible]],Tabla13[[#This Row],[Stock al día]],Tabla13[[#This Row],[Por producir Abr.]])-SUM(Tabla13[[#This Row],[Stock por despachar N]],Tabla13[[#This Row],[Producción por despachar mes N]])</f>
        <v>9018.4</v>
      </c>
      <c r="R107" s="7">
        <f>IFERROR(VLOOKUP(Tabla13[[#This Row],[Llave]],[3]Hoja2!$A:$D,4,FALSE),0)</f>
        <v>22000</v>
      </c>
      <c r="S107" s="9">
        <f>IFERROR(VLOOKUP(Tabla13[[#This Row],[Material]],[4]Hoja1!$B:$C,2,FALSE),0)</f>
        <v>22000</v>
      </c>
      <c r="T107" s="5">
        <f t="shared" si="3"/>
        <v>0</v>
      </c>
      <c r="U107" s="3">
        <f>+Tabla13[[#This Row],[Total disponible]]-Tabla13[[#This Row],[Atraso a facturar]]</f>
        <v>9018.4</v>
      </c>
      <c r="V107" s="6">
        <f t="shared" si="2"/>
        <v>0</v>
      </c>
      <c r="W107" s="3" t="str">
        <f>IF(Tabla13[[#This Row],[Venta del mes]]&gt;Tabla13[[#This Row],[ RV  Venta mes n+1]],"Falta venta","-")</f>
        <v>-</v>
      </c>
      <c r="X107" s="7"/>
      <c r="Y107" s="18">
        <v>0</v>
      </c>
      <c r="Z107" s="5">
        <f>+Tabla13[[#This Row],[Atraso a facturar]]+Tabla13[[#This Row],[Venta del mes]]+Tabla13[[#This Row],[Ajuste]]</f>
        <v>0</v>
      </c>
      <c r="AA107" s="6">
        <f>+Tabla13[[#This Row],[Atraso a facturar]]+Tabla13[[#This Row],[Venta del mes]]+Tabla13[[#This Row],[En puerto a facturar]]</f>
        <v>0</v>
      </c>
      <c r="AB107" s="20">
        <f>IFERROR(VLOOKUP(Tabla13[[#This Row],[Llave]],'[5]Consolidación planes'!$A:$M,9,FALSE),0)</f>
        <v>22000</v>
      </c>
      <c r="AC107" s="20">
        <f>IFERROR(VLOOKUP(Tabla13[[#This Row],[Llave]],'[5]Consolidación planes'!$A:$M,10,FALSE),0)</f>
        <v>22000</v>
      </c>
      <c r="AD107" s="20">
        <f>IFERROR(VLOOKUP(Tabla13[[#This Row],[Llave]],'[5]Consolidación planes'!$A:$M,11,FALSE),0)</f>
        <v>22000</v>
      </c>
      <c r="AE107" s="20">
        <f>IFERROR(VLOOKUP(Tabla13[[#This Row],[Llave]],'[5]Consolidación planes'!$A:$M,12,FALSE),0)</f>
        <v>44000</v>
      </c>
      <c r="AF107" s="20">
        <f>IFERROR(VLOOKUP(Tabla13[[#This Row],[Llave]],'[5]Consolidación planes'!$A:$M,13,FALSE),0)</f>
        <v>44001</v>
      </c>
    </row>
    <row r="108" spans="2:32" ht="16" hidden="1" x14ac:dyDescent="0.2">
      <c r="B108" t="str">
        <f>Tabla13[[#This Row],[Oficina]]&amp;Tabla13[[#This Row],[Material]]</f>
        <v>Agrosuper Asia1022885</v>
      </c>
      <c r="C108" t="s">
        <v>6</v>
      </c>
      <c r="D108" t="s">
        <v>173</v>
      </c>
      <c r="E108">
        <v>1022885</v>
      </c>
      <c r="F108" t="s">
        <v>188</v>
      </c>
      <c r="G108" t="s">
        <v>56</v>
      </c>
      <c r="H108" t="s">
        <v>57</v>
      </c>
      <c r="I108" s="7">
        <f>IFERROR(VLOOKUP(Tabla13[[#This Row],[Llave]],'[1]Consolidado RV'!$B:$H,6,FALSE),0)</f>
        <v>549999.99710000004</v>
      </c>
      <c r="J108" s="3">
        <f>IFERROR(VLOOKUP(Tabla13[[#This Row],[Llave]],'[1]Consolidado RV'!$B:$H,7,FALSE),0)</f>
        <v>492961.573084681</v>
      </c>
      <c r="K108" s="8">
        <f>IFERROR(VLOOKUP(Tabla13[[#This Row],[Oficina]],#REF!,2,FALSE),0)</f>
        <v>0</v>
      </c>
      <c r="L108" s="7">
        <f>+Tabla13[[#This Row],[ RV Producción mes n+1]]*Tabla13[[#This Row],[% Uti. producción]]</f>
        <v>0</v>
      </c>
      <c r="M108" s="7">
        <f>IFERROR(VLOOKUP(Tabla13[[#This Row],[Material]],#REF!,2,FALSE),0)</f>
        <v>0</v>
      </c>
      <c r="N108" s="7">
        <f>IFERROR(VLOOKUP(Tabla13[[#This Row],[Llave]],'En puerto-Programado'!A:D,4,FALSE)+VLOOKUP(Tabla13[[#This Row],[Llave]],'Por despachar'!A:F,6,FALSE),0)</f>
        <v>44000</v>
      </c>
      <c r="O108" s="7">
        <f>IFERROR(VLOOKUP(Tabla13[[#This Row],[Material]],[2]Consolidado!$C:$D,2,FALSE),0)</f>
        <v>154479.21794968928</v>
      </c>
      <c r="P108" s="7">
        <f>IFERROR(VLOOKUP(Tabla13[[#This Row],[Llave]],'Por despachar'!A:E,5,FALSE),0)</f>
        <v>0</v>
      </c>
      <c r="Q108" s="14">
        <f>SUM(Tabla13[[#This Row],[Producción disponible]],Tabla13[[#This Row],[Stock al día]],Tabla13[[#This Row],[Por producir Abr.]])-SUM(Tabla13[[#This Row],[Stock por despachar N]],Tabla13[[#This Row],[Producción por despachar mes N]])</f>
        <v>110479.21794968928</v>
      </c>
      <c r="R108" s="7">
        <f>IFERROR(VLOOKUP(Tabla13[[#This Row],[Llave]],[3]Hoja2!$A:$D,4,FALSE),0)</f>
        <v>315000</v>
      </c>
      <c r="S108" s="9">
        <f>IFERROR(VLOOKUP(Tabla13[[#This Row],[Material]],[4]Hoja1!$B:$C,2,FALSE),0)</f>
        <v>22000</v>
      </c>
      <c r="T108" s="5">
        <f t="shared" si="3"/>
        <v>110000</v>
      </c>
      <c r="U108" s="3">
        <f>+Tabla13[[#This Row],[Total disponible]]-Tabla13[[#This Row],[Atraso a facturar]]</f>
        <v>479.21794968927861</v>
      </c>
      <c r="V108" s="6">
        <f t="shared" si="2"/>
        <v>0</v>
      </c>
      <c r="W108" s="3" t="str">
        <f>IF(Tabla13[[#This Row],[Venta del mes]]&gt;Tabla13[[#This Row],[ RV  Venta mes n+1]],"Falta venta","-")</f>
        <v>-</v>
      </c>
      <c r="X108" s="7"/>
      <c r="Y108" s="18">
        <v>0</v>
      </c>
      <c r="Z108" s="5">
        <f>+Tabla13[[#This Row],[Atraso a facturar]]+Tabla13[[#This Row],[Venta del mes]]+Tabla13[[#This Row],[Ajuste]]</f>
        <v>110000</v>
      </c>
      <c r="AA108" s="6">
        <f>+Tabla13[[#This Row],[Atraso a facturar]]+Tabla13[[#This Row],[Venta del mes]]+Tabla13[[#This Row],[En puerto a facturar]]</f>
        <v>110000</v>
      </c>
      <c r="AB108" s="20">
        <f>IFERROR(VLOOKUP(Tabla13[[#This Row],[Llave]],'[5]Consolidación planes'!$A:$M,9,FALSE),0)</f>
        <v>660000</v>
      </c>
      <c r="AC108" s="20">
        <f>IFERROR(VLOOKUP(Tabla13[[#This Row],[Llave]],'[5]Consolidación planes'!$A:$M,10,FALSE),0)</f>
        <v>597000</v>
      </c>
      <c r="AD108" s="20">
        <f>IFERROR(VLOOKUP(Tabla13[[#This Row],[Llave]],'[5]Consolidación planes'!$A:$M,11,FALSE),0)</f>
        <v>476000</v>
      </c>
      <c r="AE108" s="20">
        <f>IFERROR(VLOOKUP(Tabla13[[#This Row],[Llave]],'[5]Consolidación planes'!$A:$M,12,FALSE),0)</f>
        <v>702000</v>
      </c>
      <c r="AF108" s="20">
        <f>IFERROR(VLOOKUP(Tabla13[[#This Row],[Llave]],'[5]Consolidación planes'!$A:$M,13,FALSE),0)</f>
        <v>615555</v>
      </c>
    </row>
    <row r="109" spans="2:32" ht="16" hidden="1" x14ac:dyDescent="0.2">
      <c r="B109" t="str">
        <f>Tabla13[[#This Row],[Oficina]]&amp;Tabla13[[#This Row],[Material]]</f>
        <v>Agrosuper Asia1022887</v>
      </c>
      <c r="C109" t="s">
        <v>6</v>
      </c>
      <c r="D109" t="s">
        <v>173</v>
      </c>
      <c r="E109">
        <v>1022887</v>
      </c>
      <c r="F109" t="s">
        <v>189</v>
      </c>
      <c r="G109" t="s">
        <v>56</v>
      </c>
      <c r="H109" t="s">
        <v>57</v>
      </c>
      <c r="I109" s="7">
        <f>IFERROR(VLOOKUP(Tabla13[[#This Row],[Llave]],'[1]Consolidado RV'!$B:$H,6,FALSE),0)</f>
        <v>264000</v>
      </c>
      <c r="J109" s="3">
        <f>IFERROR(VLOOKUP(Tabla13[[#This Row],[Llave]],'[1]Consolidado RV'!$B:$H,7,FALSE),0)</f>
        <v>253200.8654694524</v>
      </c>
      <c r="K109" s="8">
        <f>IFERROR(VLOOKUP(Tabla13[[#This Row],[Oficina]],#REF!,2,FALSE),0)</f>
        <v>0</v>
      </c>
      <c r="L109" s="7">
        <f>+Tabla13[[#This Row],[ RV Producción mes n+1]]*Tabla13[[#This Row],[% Uti. producción]]</f>
        <v>0</v>
      </c>
      <c r="M109" s="7">
        <f>IFERROR(VLOOKUP(Tabla13[[#This Row],[Material]],#REF!,2,FALSE),0)</f>
        <v>0</v>
      </c>
      <c r="N109" s="7">
        <f>IFERROR(VLOOKUP(Tabla13[[#This Row],[Llave]],'En puerto-Programado'!A:D,4,FALSE)+VLOOKUP(Tabla13[[#This Row],[Llave]],'Por despachar'!A:F,6,FALSE),0)</f>
        <v>0</v>
      </c>
      <c r="O109" s="7">
        <f>IFERROR(VLOOKUP(Tabla13[[#This Row],[Material]],[2]Consolidado!$C:$D,2,FALSE),0)</f>
        <v>94534.102617151308</v>
      </c>
      <c r="P109" s="7">
        <f>IFERROR(VLOOKUP(Tabla13[[#This Row],[Llave]],'Por despachar'!A:E,5,FALSE),0)</f>
        <v>0</v>
      </c>
      <c r="Q109" s="14">
        <f>SUM(Tabla13[[#This Row],[Producción disponible]],Tabla13[[#This Row],[Stock al día]],Tabla13[[#This Row],[Por producir Abr.]])-SUM(Tabla13[[#This Row],[Stock por despachar N]],Tabla13[[#This Row],[Producción por despachar mes N]])</f>
        <v>94534.102617151308</v>
      </c>
      <c r="R109" s="7">
        <f>IFERROR(VLOOKUP(Tabla13[[#This Row],[Llave]],[3]Hoja2!$A:$D,4,FALSE),0)</f>
        <v>121000</v>
      </c>
      <c r="S109" s="9">
        <f>IFERROR(VLOOKUP(Tabla13[[#This Row],[Material]],[4]Hoja1!$B:$C,2,FALSE),0)</f>
        <v>22000</v>
      </c>
      <c r="T109" s="5">
        <f t="shared" si="3"/>
        <v>88000</v>
      </c>
      <c r="U109" s="3">
        <f>+Tabla13[[#This Row],[Total disponible]]-Tabla13[[#This Row],[Atraso a facturar]]</f>
        <v>6534.1026171513076</v>
      </c>
      <c r="V109" s="6">
        <f t="shared" si="2"/>
        <v>0</v>
      </c>
      <c r="W109" s="3" t="str">
        <f>IF(Tabla13[[#This Row],[Venta del mes]]&gt;Tabla13[[#This Row],[ RV  Venta mes n+1]],"Falta venta","-")</f>
        <v>-</v>
      </c>
      <c r="X109" s="7"/>
      <c r="Y109" s="18">
        <v>0</v>
      </c>
      <c r="Z109" s="5">
        <f>+Tabla13[[#This Row],[Atraso a facturar]]+Tabla13[[#This Row],[Venta del mes]]+Tabla13[[#This Row],[Ajuste]]</f>
        <v>88000</v>
      </c>
      <c r="AA109" s="6">
        <f>+Tabla13[[#This Row],[Atraso a facturar]]+Tabla13[[#This Row],[Venta del mes]]+Tabla13[[#This Row],[En puerto a facturar]]</f>
        <v>88000</v>
      </c>
      <c r="AB109" s="20">
        <f>IFERROR(VLOOKUP(Tabla13[[#This Row],[Llave]],'[5]Consolidación planes'!$A:$M,9,FALSE),0)</f>
        <v>198000</v>
      </c>
      <c r="AC109" s="20">
        <f>IFERROR(VLOOKUP(Tabla13[[#This Row],[Llave]],'[5]Consolidación planes'!$A:$M,10,FALSE),0)</f>
        <v>275000</v>
      </c>
      <c r="AD109" s="20">
        <f>IFERROR(VLOOKUP(Tabla13[[#This Row],[Llave]],'[5]Consolidación planes'!$A:$M,11,FALSE),0)</f>
        <v>385000</v>
      </c>
      <c r="AE109" s="20">
        <f>IFERROR(VLOOKUP(Tabla13[[#This Row],[Llave]],'[5]Consolidación planes'!$A:$M,12,FALSE),0)</f>
        <v>352000</v>
      </c>
      <c r="AF109" s="20">
        <f>IFERROR(VLOOKUP(Tabla13[[#This Row],[Llave]],'[5]Consolidación planes'!$A:$M,13,FALSE),0)</f>
        <v>308028</v>
      </c>
    </row>
    <row r="110" spans="2:32" ht="16" hidden="1" x14ac:dyDescent="0.2">
      <c r="B110" t="str">
        <f>Tabla13[[#This Row],[Oficina]]&amp;Tabla13[[#This Row],[Material]]</f>
        <v>Agrosuper Asia1022930</v>
      </c>
      <c r="C110" t="s">
        <v>6</v>
      </c>
      <c r="D110" t="s">
        <v>173</v>
      </c>
      <c r="E110">
        <v>1022930</v>
      </c>
      <c r="F110" t="s">
        <v>190</v>
      </c>
      <c r="G110" t="s">
        <v>56</v>
      </c>
      <c r="H110" t="s">
        <v>57</v>
      </c>
      <c r="I110" s="7">
        <f>IFERROR(VLOOKUP(Tabla13[[#This Row],[Llave]],'[1]Consolidado RV'!$B:$H,6,FALSE),0)</f>
        <v>17482.453000000001</v>
      </c>
      <c r="J110" s="3">
        <f>IFERROR(VLOOKUP(Tabla13[[#This Row],[Llave]],'[1]Consolidado RV'!$B:$H,7,FALSE),0)</f>
        <v>16511.179999999997</v>
      </c>
      <c r="K110" s="8">
        <f>IFERROR(VLOOKUP(Tabla13[[#This Row],[Oficina]],#REF!,2,FALSE),0)</f>
        <v>0</v>
      </c>
      <c r="L110" s="7">
        <f>+Tabla13[[#This Row],[ RV Producción mes n+1]]*Tabla13[[#This Row],[% Uti. producción]]</f>
        <v>0</v>
      </c>
      <c r="M110" s="7">
        <f>IFERROR(VLOOKUP(Tabla13[[#This Row],[Material]],#REF!,2,FALSE),0)</f>
        <v>0</v>
      </c>
      <c r="N110" s="7">
        <f>IFERROR(VLOOKUP(Tabla13[[#This Row],[Llave]],'En puerto-Programado'!A:D,4,FALSE)+VLOOKUP(Tabla13[[#This Row],[Llave]],'Por despachar'!A:F,6,FALSE),0)</f>
        <v>0</v>
      </c>
      <c r="O110" s="7">
        <f>IFERROR(VLOOKUP(Tabla13[[#This Row],[Material]],[2]Consolidado!$C:$D,2,FALSE),0)</f>
        <v>0</v>
      </c>
      <c r="P110" s="7">
        <f>IFERROR(VLOOKUP(Tabla13[[#This Row],[Llave]],'Por despachar'!A:E,5,FALSE),0)</f>
        <v>0</v>
      </c>
      <c r="Q11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10" s="7">
        <f>IFERROR(VLOOKUP(Tabla13[[#This Row],[Llave]],[3]Hoja2!$A:$D,4,FALSE),0)</f>
        <v>22000</v>
      </c>
      <c r="S110" s="9">
        <f>IFERROR(VLOOKUP(Tabla13[[#This Row],[Material]],[4]Hoja1!$B:$C,2,FALSE),0)</f>
        <v>22000</v>
      </c>
      <c r="T110" s="5">
        <f t="shared" si="3"/>
        <v>0</v>
      </c>
      <c r="U110" s="3">
        <f>+Tabla13[[#This Row],[Total disponible]]-Tabla13[[#This Row],[Atraso a facturar]]</f>
        <v>0</v>
      </c>
      <c r="V110" s="6">
        <f t="shared" si="2"/>
        <v>0</v>
      </c>
      <c r="W110" s="3" t="str">
        <f>IF(Tabla13[[#This Row],[Venta del mes]]&gt;Tabla13[[#This Row],[ RV  Venta mes n+1]],"Falta venta","-")</f>
        <v>-</v>
      </c>
      <c r="X110" s="7"/>
      <c r="Y110" s="18">
        <v>0</v>
      </c>
      <c r="Z110" s="5">
        <f>+Tabla13[[#This Row],[Atraso a facturar]]+Tabla13[[#This Row],[Venta del mes]]+Tabla13[[#This Row],[Ajuste]]</f>
        <v>0</v>
      </c>
      <c r="AA110" s="6">
        <f>+Tabla13[[#This Row],[Atraso a facturar]]+Tabla13[[#This Row],[Venta del mes]]+Tabla13[[#This Row],[En puerto a facturar]]</f>
        <v>0</v>
      </c>
      <c r="AB110" s="20">
        <f>IFERROR(VLOOKUP(Tabla13[[#This Row],[Llave]],'[5]Consolidación planes'!$A:$M,9,FALSE),0)</f>
        <v>154000</v>
      </c>
      <c r="AC110" s="20">
        <f>IFERROR(VLOOKUP(Tabla13[[#This Row],[Llave]],'[5]Consolidación planes'!$A:$M,10,FALSE),0)</f>
        <v>44000</v>
      </c>
      <c r="AD110" s="20">
        <f>IFERROR(VLOOKUP(Tabla13[[#This Row],[Llave]],'[5]Consolidación planes'!$A:$M,11,FALSE),0)</f>
        <v>44000</v>
      </c>
      <c r="AE110" s="20">
        <f>IFERROR(VLOOKUP(Tabla13[[#This Row],[Llave]],'[5]Consolidación planes'!$A:$M,12,FALSE),0)</f>
        <v>88000</v>
      </c>
      <c r="AF110" s="20">
        <f>IFERROR(VLOOKUP(Tabla13[[#This Row],[Llave]],'[5]Consolidación planes'!$A:$M,13,FALSE),0)</f>
        <v>65946</v>
      </c>
    </row>
    <row r="111" spans="2:32" ht="16" hidden="1" x14ac:dyDescent="0.2">
      <c r="B111" t="str">
        <f>Tabla13[[#This Row],[Oficina]]&amp;Tabla13[[#This Row],[Material]]</f>
        <v>Agrosuper Asia1022985</v>
      </c>
      <c r="C111" t="s">
        <v>6</v>
      </c>
      <c r="D111" t="s">
        <v>173</v>
      </c>
      <c r="E111">
        <v>1022985</v>
      </c>
      <c r="F111" t="s">
        <v>184</v>
      </c>
      <c r="G111" t="s">
        <v>50</v>
      </c>
      <c r="H111" t="s">
        <v>110</v>
      </c>
      <c r="I111" s="7">
        <f>IFERROR(VLOOKUP(Tabla13[[#This Row],[Llave]],'[1]Consolidado RV'!$B:$H,6,FALSE),0)</f>
        <v>5373.3270000000002</v>
      </c>
      <c r="J111" s="3">
        <f>IFERROR(VLOOKUP(Tabla13[[#This Row],[Llave]],'[1]Consolidado RV'!$B:$H,7,FALSE),0)</f>
        <v>5000.0000000000009</v>
      </c>
      <c r="K111" s="8">
        <f>IFERROR(VLOOKUP(Tabla13[[#This Row],[Oficina]],#REF!,2,FALSE),0)</f>
        <v>0</v>
      </c>
      <c r="L111" s="7">
        <f>+Tabla13[[#This Row],[ RV Producción mes n+1]]*Tabla13[[#This Row],[% Uti. producción]]</f>
        <v>0</v>
      </c>
      <c r="M111" s="7">
        <f>IFERROR(VLOOKUP(Tabla13[[#This Row],[Material]],#REF!,2,FALSE),0)</f>
        <v>0</v>
      </c>
      <c r="N111" s="7">
        <f>IFERROR(VLOOKUP(Tabla13[[#This Row],[Llave]],'En puerto-Programado'!A:D,4,FALSE)+VLOOKUP(Tabla13[[#This Row],[Llave]],'Por despachar'!A:F,6,FALSE),0)</f>
        <v>0</v>
      </c>
      <c r="O111" s="7">
        <f>IFERROR(VLOOKUP(Tabla13[[#This Row],[Material]],[2]Consolidado!$C:$D,2,FALSE),0)</f>
        <v>0</v>
      </c>
      <c r="P111" s="7">
        <f>IFERROR(VLOOKUP(Tabla13[[#This Row],[Llave]],'Por despachar'!A:E,5,FALSE),0)</f>
        <v>0</v>
      </c>
      <c r="Q11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11" s="7">
        <f>IFERROR(VLOOKUP(Tabla13[[#This Row],[Llave]],[3]Hoja2!$A:$D,4,FALSE),0)</f>
        <v>5000</v>
      </c>
      <c r="S111" s="9">
        <f>IFERROR(VLOOKUP(Tabla13[[#This Row],[Material]],[4]Hoja1!$B:$C,2,FALSE),0)</f>
        <v>5000</v>
      </c>
      <c r="T111" s="5">
        <f t="shared" si="3"/>
        <v>0</v>
      </c>
      <c r="U111" s="3">
        <f>+Tabla13[[#This Row],[Total disponible]]-Tabla13[[#This Row],[Atraso a facturar]]</f>
        <v>0</v>
      </c>
      <c r="V111" s="6">
        <f t="shared" si="2"/>
        <v>0</v>
      </c>
      <c r="W111" s="3" t="str">
        <f>IF(Tabla13[[#This Row],[Venta del mes]]&gt;Tabla13[[#This Row],[ RV  Venta mes n+1]],"Falta venta","-")</f>
        <v>-</v>
      </c>
      <c r="X111" s="7"/>
      <c r="Y111" s="18">
        <v>0</v>
      </c>
      <c r="Z111" s="5">
        <f>+Tabla13[[#This Row],[Atraso a facturar]]+Tabla13[[#This Row],[Venta del mes]]+Tabla13[[#This Row],[Ajuste]]</f>
        <v>0</v>
      </c>
      <c r="AA111" s="6">
        <f>+Tabla13[[#This Row],[Atraso a facturar]]+Tabla13[[#This Row],[Venta del mes]]+Tabla13[[#This Row],[En puerto a facturar]]</f>
        <v>0</v>
      </c>
      <c r="AB111" s="20">
        <f>IFERROR(VLOOKUP(Tabla13[[#This Row],[Llave]],'[5]Consolidación planes'!$A:$M,9,FALSE),0)</f>
        <v>10000</v>
      </c>
      <c r="AC111" s="20">
        <f>IFERROR(VLOOKUP(Tabla13[[#This Row],[Llave]],'[5]Consolidación planes'!$A:$M,10,FALSE),0)</f>
        <v>10000</v>
      </c>
      <c r="AD111" s="20">
        <f>IFERROR(VLOOKUP(Tabla13[[#This Row],[Llave]],'[5]Consolidación planes'!$A:$M,11,FALSE),0)</f>
        <v>17000</v>
      </c>
      <c r="AE111" s="20">
        <f>IFERROR(VLOOKUP(Tabla13[[#This Row],[Llave]],'[5]Consolidación planes'!$A:$M,12,FALSE),0)</f>
        <v>12000</v>
      </c>
      <c r="AF111" s="20">
        <f>IFERROR(VLOOKUP(Tabla13[[#This Row],[Llave]],'[5]Consolidación planes'!$A:$M,13,FALSE),0)</f>
        <v>8000</v>
      </c>
    </row>
    <row r="112" spans="2:32" ht="16" hidden="1" x14ac:dyDescent="0.2">
      <c r="B112" t="str">
        <f>Tabla13[[#This Row],[Oficina]]&amp;Tabla13[[#This Row],[Material]]</f>
        <v>Agrosuper Asia1022986</v>
      </c>
      <c r="C112" t="s">
        <v>6</v>
      </c>
      <c r="D112" t="s">
        <v>173</v>
      </c>
      <c r="E112">
        <v>1022986</v>
      </c>
      <c r="F112" t="s">
        <v>191</v>
      </c>
      <c r="G112" t="s">
        <v>56</v>
      </c>
      <c r="H112" t="s">
        <v>57</v>
      </c>
      <c r="I112" s="7">
        <f>IFERROR(VLOOKUP(Tabla13[[#This Row],[Llave]],'[1]Consolidado RV'!$B:$H,6,FALSE),0)</f>
        <v>0</v>
      </c>
      <c r="J112" s="3">
        <f>IFERROR(VLOOKUP(Tabla13[[#This Row],[Llave]],'[1]Consolidado RV'!$B:$H,7,FALSE),0)</f>
        <v>1517.5467000000001</v>
      </c>
      <c r="K112" s="8">
        <f>IFERROR(VLOOKUP(Tabla13[[#This Row],[Oficina]],#REF!,2,FALSE),0)</f>
        <v>0</v>
      </c>
      <c r="L112" s="7">
        <f>+Tabla13[[#This Row],[ RV Producción mes n+1]]*Tabla13[[#This Row],[% Uti. producción]]</f>
        <v>0</v>
      </c>
      <c r="M112" s="7">
        <f>IFERROR(VLOOKUP(Tabla13[[#This Row],[Material]],#REF!,2,FALSE),0)</f>
        <v>0</v>
      </c>
      <c r="N112" s="7">
        <f>IFERROR(VLOOKUP(Tabla13[[#This Row],[Llave]],'En puerto-Programado'!A:D,4,FALSE)+VLOOKUP(Tabla13[[#This Row],[Llave]],'Por despachar'!A:F,6,FALSE),0)</f>
        <v>0</v>
      </c>
      <c r="O112" s="7">
        <f>IFERROR(VLOOKUP(Tabla13[[#This Row],[Material]],[2]Consolidado!$C:$D,2,FALSE),0)</f>
        <v>1531.7892336491168</v>
      </c>
      <c r="P112" s="7">
        <f>IFERROR(VLOOKUP(Tabla13[[#This Row],[Llave]],'Por despachar'!A:E,5,FALSE),0)</f>
        <v>0</v>
      </c>
      <c r="Q112" s="14">
        <f>SUM(Tabla13[[#This Row],[Producción disponible]],Tabla13[[#This Row],[Stock al día]],Tabla13[[#This Row],[Por producir Abr.]])-SUM(Tabla13[[#This Row],[Stock por despachar N]],Tabla13[[#This Row],[Producción por despachar mes N]])</f>
        <v>1531.7892336491168</v>
      </c>
      <c r="R112" s="7">
        <f>IFERROR(VLOOKUP(Tabla13[[#This Row],[Llave]],[3]Hoja2!$A:$D,4,FALSE),0)</f>
        <v>5000</v>
      </c>
      <c r="S112" s="9">
        <f>IFERROR(VLOOKUP(Tabla13[[#This Row],[Material]],[4]Hoja1!$B:$C,2,FALSE),0)</f>
        <v>5000</v>
      </c>
      <c r="T112" s="5">
        <f t="shared" si="3"/>
        <v>0</v>
      </c>
      <c r="U112" s="3">
        <f>+Tabla13[[#This Row],[Total disponible]]-Tabla13[[#This Row],[Atraso a facturar]]</f>
        <v>1531.7892336491168</v>
      </c>
      <c r="V112" s="6">
        <f t="shared" si="2"/>
        <v>0</v>
      </c>
      <c r="W112" s="3" t="str">
        <f>IF(Tabla13[[#This Row],[Venta del mes]]&gt;Tabla13[[#This Row],[ RV  Venta mes n+1]],"Falta venta","-")</f>
        <v>-</v>
      </c>
      <c r="X112" s="7"/>
      <c r="Y112" s="18">
        <v>0</v>
      </c>
      <c r="Z112" s="5">
        <f>+Tabla13[[#This Row],[Atraso a facturar]]+Tabla13[[#This Row],[Venta del mes]]+Tabla13[[#This Row],[Ajuste]]</f>
        <v>0</v>
      </c>
      <c r="AA112" s="6">
        <f>+Tabla13[[#This Row],[Atraso a facturar]]+Tabla13[[#This Row],[Venta del mes]]+Tabla13[[#This Row],[En puerto a facturar]]</f>
        <v>0</v>
      </c>
      <c r="AB112" s="20">
        <f>IFERROR(VLOOKUP(Tabla13[[#This Row],[Llave]],'[5]Consolidación planes'!$A:$M,9,FALSE),0)</f>
        <v>20000</v>
      </c>
      <c r="AC112" s="20">
        <f>IFERROR(VLOOKUP(Tabla13[[#This Row],[Llave]],'[5]Consolidación planes'!$A:$M,10,FALSE),0)</f>
        <v>17000</v>
      </c>
      <c r="AD112" s="20">
        <f>IFERROR(VLOOKUP(Tabla13[[#This Row],[Llave]],'[5]Consolidación planes'!$A:$M,11,FALSE),0)</f>
        <v>0</v>
      </c>
      <c r="AE112" s="20">
        <f>IFERROR(VLOOKUP(Tabla13[[#This Row],[Llave]],'[5]Consolidación planes'!$A:$M,12,FALSE),0)</f>
        <v>5000</v>
      </c>
      <c r="AF112" s="20">
        <f>IFERROR(VLOOKUP(Tabla13[[#This Row],[Llave]],'[5]Consolidación planes'!$A:$M,13,FALSE),0)</f>
        <v>7500</v>
      </c>
    </row>
    <row r="113" spans="2:32" ht="16" hidden="1" x14ac:dyDescent="0.2">
      <c r="B113" t="str">
        <f>Tabla13[[#This Row],[Oficina]]&amp;Tabla13[[#This Row],[Material]]</f>
        <v>Agrosuper Asia1023037</v>
      </c>
      <c r="C113" t="s">
        <v>6</v>
      </c>
      <c r="D113" t="s">
        <v>173</v>
      </c>
      <c r="E113">
        <v>1023037</v>
      </c>
      <c r="F113" t="s">
        <v>192</v>
      </c>
      <c r="G113" t="s">
        <v>56</v>
      </c>
      <c r="H113" t="s">
        <v>57</v>
      </c>
      <c r="I113" s="7">
        <f>IFERROR(VLOOKUP(Tabla13[[#This Row],[Llave]],'[1]Consolidado RV'!$B:$H,6,FALSE),0)</f>
        <v>121000</v>
      </c>
      <c r="J113" s="3">
        <f>IFERROR(VLOOKUP(Tabla13[[#This Row],[Llave]],'[1]Consolidado RV'!$B:$H,7,FALSE),0)</f>
        <v>58502.691601748214</v>
      </c>
      <c r="K113" s="8">
        <f>IFERROR(VLOOKUP(Tabla13[[#This Row],[Oficina]],#REF!,2,FALSE),0)</f>
        <v>0</v>
      </c>
      <c r="L113" s="7">
        <f>+Tabla13[[#This Row],[ RV Producción mes n+1]]*Tabla13[[#This Row],[% Uti. producción]]</f>
        <v>0</v>
      </c>
      <c r="M113" s="7">
        <f>IFERROR(VLOOKUP(Tabla13[[#This Row],[Material]],#REF!,2,FALSE),0)</f>
        <v>0</v>
      </c>
      <c r="N113" s="7">
        <f>IFERROR(VLOOKUP(Tabla13[[#This Row],[Llave]],'En puerto-Programado'!A:D,4,FALSE)+VLOOKUP(Tabla13[[#This Row],[Llave]],'Por despachar'!A:F,6,FALSE),0)</f>
        <v>11000</v>
      </c>
      <c r="O113" s="7">
        <f>IFERROR(VLOOKUP(Tabla13[[#This Row],[Material]],[2]Consolidado!$C:$D,2,FALSE),0)</f>
        <v>47083.012695581536</v>
      </c>
      <c r="P113" s="7">
        <f>IFERROR(VLOOKUP(Tabla13[[#This Row],[Llave]],'Por despachar'!A:E,5,FALSE),0)</f>
        <v>0</v>
      </c>
      <c r="Q113" s="14">
        <f>SUM(Tabla13[[#This Row],[Producción disponible]],Tabla13[[#This Row],[Stock al día]],Tabla13[[#This Row],[Por producir Abr.]])-SUM(Tabla13[[#This Row],[Stock por despachar N]],Tabla13[[#This Row],[Producción por despachar mes N]])</f>
        <v>36083.012695581536</v>
      </c>
      <c r="R113" s="7">
        <f>IFERROR(VLOOKUP(Tabla13[[#This Row],[Llave]],[3]Hoja2!$A:$D,4,FALSE),0)</f>
        <v>110000</v>
      </c>
      <c r="S113" s="9">
        <f>IFERROR(VLOOKUP(Tabla13[[#This Row],[Material]],[4]Hoja1!$B:$C,2,FALSE),0)</f>
        <v>22000</v>
      </c>
      <c r="T113" s="5">
        <f t="shared" si="3"/>
        <v>22000</v>
      </c>
      <c r="U113" s="3">
        <f>+Tabla13[[#This Row],[Total disponible]]-Tabla13[[#This Row],[Atraso a facturar]]</f>
        <v>14083.012695581536</v>
      </c>
      <c r="V113" s="6">
        <f t="shared" si="2"/>
        <v>0</v>
      </c>
      <c r="W113" s="3" t="str">
        <f>IF(Tabla13[[#This Row],[Venta del mes]]&gt;Tabla13[[#This Row],[ RV  Venta mes n+1]],"Falta venta","-")</f>
        <v>-</v>
      </c>
      <c r="X113" s="7"/>
      <c r="Y113" s="18">
        <v>0</v>
      </c>
      <c r="Z113" s="5">
        <f>+Tabla13[[#This Row],[Atraso a facturar]]+Tabla13[[#This Row],[Venta del mes]]+Tabla13[[#This Row],[Ajuste]]</f>
        <v>22000</v>
      </c>
      <c r="AA113" s="6">
        <f>+Tabla13[[#This Row],[Atraso a facturar]]+Tabla13[[#This Row],[Venta del mes]]+Tabla13[[#This Row],[En puerto a facturar]]</f>
        <v>22000</v>
      </c>
      <c r="AB113" s="20">
        <f>IFERROR(VLOOKUP(Tabla13[[#This Row],[Llave]],'[5]Consolidación planes'!$A:$M,9,FALSE),0)</f>
        <v>66000</v>
      </c>
      <c r="AC113" s="20">
        <f>IFERROR(VLOOKUP(Tabla13[[#This Row],[Llave]],'[5]Consolidación planes'!$A:$M,10,FALSE),0)</f>
        <v>110000</v>
      </c>
      <c r="AD113" s="20">
        <f>IFERROR(VLOOKUP(Tabla13[[#This Row],[Llave]],'[5]Consolidación planes'!$A:$M,11,FALSE),0)</f>
        <v>176000</v>
      </c>
      <c r="AE113" s="20">
        <f>IFERROR(VLOOKUP(Tabla13[[#This Row],[Llave]],'[5]Consolidación planes'!$A:$M,12,FALSE),0)</f>
        <v>176000</v>
      </c>
      <c r="AF113" s="20">
        <f>IFERROR(VLOOKUP(Tabla13[[#This Row],[Llave]],'[5]Consolidación planes'!$A:$M,13,FALSE),0)</f>
        <v>99000</v>
      </c>
    </row>
    <row r="114" spans="2:32" ht="16" hidden="1" x14ac:dyDescent="0.2">
      <c r="B114" t="str">
        <f>Tabla13[[#This Row],[Oficina]]&amp;Tabla13[[#This Row],[Material]]</f>
        <v>Agrosuper Asia1023038</v>
      </c>
      <c r="C114" t="s">
        <v>6</v>
      </c>
      <c r="D114" t="s">
        <v>173</v>
      </c>
      <c r="E114">
        <v>1023038</v>
      </c>
      <c r="F114" t="s">
        <v>185</v>
      </c>
      <c r="G114" t="s">
        <v>50</v>
      </c>
      <c r="H114" t="s">
        <v>110</v>
      </c>
      <c r="I114" s="7">
        <f>IFERROR(VLOOKUP(Tabla13[[#This Row],[Llave]],'[1]Consolidado RV'!$B:$H,6,FALSE),0)</f>
        <v>103776.49303594134</v>
      </c>
      <c r="J114" s="3">
        <f>IFERROR(VLOOKUP(Tabla13[[#This Row],[Llave]],'[1]Consolidado RV'!$B:$H,7,FALSE),0)</f>
        <v>110000</v>
      </c>
      <c r="K114" s="8">
        <f>IFERROR(VLOOKUP(Tabla13[[#This Row],[Oficina]],#REF!,2,FALSE),0)</f>
        <v>0</v>
      </c>
      <c r="L114" s="7">
        <f>+Tabla13[[#This Row],[ RV Producción mes n+1]]*Tabla13[[#This Row],[% Uti. producción]]</f>
        <v>0</v>
      </c>
      <c r="M114" s="7">
        <f>IFERROR(VLOOKUP(Tabla13[[#This Row],[Material]],#REF!,2,FALSE),0)</f>
        <v>0</v>
      </c>
      <c r="N114" s="7">
        <f>IFERROR(VLOOKUP(Tabla13[[#This Row],[Llave]],'En puerto-Programado'!A:D,4,FALSE)+VLOOKUP(Tabla13[[#This Row],[Llave]],'Por despachar'!A:F,6,FALSE),0)</f>
        <v>33000</v>
      </c>
      <c r="O114" s="7">
        <f>IFERROR(VLOOKUP(Tabla13[[#This Row],[Material]],[2]Consolidado!$C:$D,2,FALSE),0)</f>
        <v>0</v>
      </c>
      <c r="P114" s="7">
        <f>IFERROR(VLOOKUP(Tabla13[[#This Row],[Llave]],'Por despachar'!A:E,5,FALSE),0)</f>
        <v>0</v>
      </c>
      <c r="Q114" s="14">
        <f>SUM(Tabla13[[#This Row],[Producción disponible]],Tabla13[[#This Row],[Stock al día]],Tabla13[[#This Row],[Por producir Abr.]])-SUM(Tabla13[[#This Row],[Stock por despachar N]],Tabla13[[#This Row],[Producción por despachar mes N]])</f>
        <v>-33000</v>
      </c>
      <c r="R114" s="7">
        <f>IFERROR(VLOOKUP(Tabla13[[#This Row],[Llave]],[3]Hoja2!$A:$D,4,FALSE),0)</f>
        <v>22000</v>
      </c>
      <c r="S114" s="9">
        <f>IFERROR(VLOOKUP(Tabla13[[#This Row],[Material]],[4]Hoja1!$B:$C,2,FALSE),0)</f>
        <v>22000</v>
      </c>
      <c r="T114" s="5">
        <f t="shared" si="3"/>
        <v>-22000</v>
      </c>
      <c r="U114" s="3">
        <f>+Tabla13[[#This Row],[Total disponible]]-Tabla13[[#This Row],[Atraso a facturar]]</f>
        <v>-11000</v>
      </c>
      <c r="V114" s="6">
        <f t="shared" si="2"/>
        <v>0</v>
      </c>
      <c r="W114" s="3" t="str">
        <f>IF(Tabla13[[#This Row],[Venta del mes]]&gt;Tabla13[[#This Row],[ RV  Venta mes n+1]],"Falta venta","-")</f>
        <v>-</v>
      </c>
      <c r="X114" s="7"/>
      <c r="Y114" s="18">
        <v>0</v>
      </c>
      <c r="Z114" s="5">
        <f>+Tabla13[[#This Row],[Atraso a facturar]]+Tabla13[[#This Row],[Venta del mes]]+Tabla13[[#This Row],[Ajuste]]</f>
        <v>-22000</v>
      </c>
      <c r="AA114" s="6">
        <f>+Tabla13[[#This Row],[Atraso a facturar]]+Tabla13[[#This Row],[Venta del mes]]+Tabla13[[#This Row],[En puerto a facturar]]</f>
        <v>-22000</v>
      </c>
      <c r="AB114" s="20">
        <f>IFERROR(VLOOKUP(Tabla13[[#This Row],[Llave]],'[5]Consolidación planes'!$A:$M,9,FALSE),0)</f>
        <v>66000</v>
      </c>
      <c r="AC114" s="20">
        <f>IFERROR(VLOOKUP(Tabla13[[#This Row],[Llave]],'[5]Consolidación planes'!$A:$M,10,FALSE),0)</f>
        <v>77000</v>
      </c>
      <c r="AD114" s="20">
        <f>IFERROR(VLOOKUP(Tabla13[[#This Row],[Llave]],'[5]Consolidación planes'!$A:$M,11,FALSE),0)</f>
        <v>77000</v>
      </c>
      <c r="AE114" s="20">
        <f>IFERROR(VLOOKUP(Tabla13[[#This Row],[Llave]],'[5]Consolidación planes'!$A:$M,12,FALSE),0)</f>
        <v>66000</v>
      </c>
      <c r="AF114" s="20">
        <f>IFERROR(VLOOKUP(Tabla13[[#This Row],[Llave]],'[5]Consolidación planes'!$A:$M,13,FALSE),0)</f>
        <v>113643</v>
      </c>
    </row>
    <row r="115" spans="2:32" ht="16" hidden="1" x14ac:dyDescent="0.2">
      <c r="B115" t="str">
        <f>Tabla13[[#This Row],[Oficina]]&amp;Tabla13[[#This Row],[Material]]</f>
        <v>Agrosuper Asia1023090</v>
      </c>
      <c r="C115" t="s">
        <v>6</v>
      </c>
      <c r="D115" t="s">
        <v>173</v>
      </c>
      <c r="E115">
        <v>1023090</v>
      </c>
      <c r="F115" t="s">
        <v>193</v>
      </c>
      <c r="G115" t="s">
        <v>56</v>
      </c>
      <c r="H115" t="s">
        <v>57</v>
      </c>
      <c r="I115" s="7">
        <f>IFERROR(VLOOKUP(Tabla13[[#This Row],[Llave]],'[1]Consolidado RV'!$B:$H,6,FALSE),0)</f>
        <v>21958.222359487943</v>
      </c>
      <c r="J115" s="3">
        <f>IFERROR(VLOOKUP(Tabla13[[#This Row],[Llave]],'[1]Consolidado RV'!$B:$H,7,FALSE),0)</f>
        <v>22000</v>
      </c>
      <c r="K115" s="8">
        <f>IFERROR(VLOOKUP(Tabla13[[#This Row],[Oficina]],#REF!,2,FALSE),0)</f>
        <v>0</v>
      </c>
      <c r="L115" s="7">
        <f>+Tabla13[[#This Row],[ RV Producción mes n+1]]*Tabla13[[#This Row],[% Uti. producción]]</f>
        <v>0</v>
      </c>
      <c r="M115" s="7">
        <f>IFERROR(VLOOKUP(Tabla13[[#This Row],[Material]],#REF!,2,FALSE),0)</f>
        <v>0</v>
      </c>
      <c r="N115" s="7">
        <f>IFERROR(VLOOKUP(Tabla13[[#This Row],[Llave]],'En puerto-Programado'!A:D,4,FALSE)+VLOOKUP(Tabla13[[#This Row],[Llave]],'Por despachar'!A:F,6,FALSE),0)</f>
        <v>0</v>
      </c>
      <c r="O115" s="7">
        <f>IFERROR(VLOOKUP(Tabla13[[#This Row],[Material]],[2]Consolidado!$C:$D,2,FALSE),0)</f>
        <v>15643.124512409646</v>
      </c>
      <c r="P115" s="7">
        <f>IFERROR(VLOOKUP(Tabla13[[#This Row],[Llave]],'Por despachar'!A:E,5,FALSE),0)</f>
        <v>0</v>
      </c>
      <c r="Q115" s="14">
        <f>SUM(Tabla13[[#This Row],[Producción disponible]],Tabla13[[#This Row],[Stock al día]],Tabla13[[#This Row],[Por producir Abr.]])-SUM(Tabla13[[#This Row],[Stock por despachar N]],Tabla13[[#This Row],[Producción por despachar mes N]])</f>
        <v>15643.124512409646</v>
      </c>
      <c r="R115" s="7">
        <f>IFERROR(VLOOKUP(Tabla13[[#This Row],[Llave]],[3]Hoja2!$A:$D,4,FALSE),0)</f>
        <v>22000</v>
      </c>
      <c r="S115" s="9">
        <f>IFERROR(VLOOKUP(Tabla13[[#This Row],[Material]],[4]Hoja1!$B:$C,2,FALSE),0)</f>
        <v>22000</v>
      </c>
      <c r="T115" s="5">
        <f t="shared" si="3"/>
        <v>0</v>
      </c>
      <c r="U115" s="3">
        <f>+Tabla13[[#This Row],[Total disponible]]-Tabla13[[#This Row],[Atraso a facturar]]</f>
        <v>15643.124512409646</v>
      </c>
      <c r="V115" s="6">
        <f t="shared" si="2"/>
        <v>0</v>
      </c>
      <c r="W115" s="3" t="str">
        <f>IF(Tabla13[[#This Row],[Venta del mes]]&gt;Tabla13[[#This Row],[ RV  Venta mes n+1]],"Falta venta","-")</f>
        <v>-</v>
      </c>
      <c r="X115" s="7"/>
      <c r="Y115" s="18">
        <v>0</v>
      </c>
      <c r="Z115" s="5">
        <f>+Tabla13[[#This Row],[Atraso a facturar]]+Tabla13[[#This Row],[Venta del mes]]+Tabla13[[#This Row],[Ajuste]]</f>
        <v>0</v>
      </c>
      <c r="AA115" s="6">
        <f>+Tabla13[[#This Row],[Atraso a facturar]]+Tabla13[[#This Row],[Venta del mes]]+Tabla13[[#This Row],[En puerto a facturar]]</f>
        <v>0</v>
      </c>
      <c r="AB115" s="20">
        <f>IFERROR(VLOOKUP(Tabla13[[#This Row],[Llave]],'[5]Consolidación planes'!$A:$M,9,FALSE),0)</f>
        <v>22000</v>
      </c>
      <c r="AC115" s="20">
        <f>IFERROR(VLOOKUP(Tabla13[[#This Row],[Llave]],'[5]Consolidación planes'!$A:$M,10,FALSE),0)</f>
        <v>22000</v>
      </c>
      <c r="AD115" s="20">
        <f>IFERROR(VLOOKUP(Tabla13[[#This Row],[Llave]],'[5]Consolidación planes'!$A:$M,11,FALSE),0)</f>
        <v>22000</v>
      </c>
      <c r="AE115" s="20">
        <f>IFERROR(VLOOKUP(Tabla13[[#This Row],[Llave]],'[5]Consolidación planes'!$A:$M,12,FALSE),0)</f>
        <v>22000</v>
      </c>
      <c r="AF115" s="20">
        <f>IFERROR(VLOOKUP(Tabla13[[#This Row],[Llave]],'[5]Consolidación planes'!$A:$M,13,FALSE),0)</f>
        <v>22008</v>
      </c>
    </row>
    <row r="116" spans="2:32" ht="16" hidden="1" x14ac:dyDescent="0.2">
      <c r="B116" t="str">
        <f>Tabla13[[#This Row],[Oficina]]&amp;Tabla13[[#This Row],[Material]]</f>
        <v>Agrosuper Asia1023144</v>
      </c>
      <c r="C116" t="s">
        <v>6</v>
      </c>
      <c r="D116" t="s">
        <v>173</v>
      </c>
      <c r="E116">
        <v>1023144</v>
      </c>
      <c r="F116" t="s">
        <v>325</v>
      </c>
      <c r="G116" t="s">
        <v>67</v>
      </c>
      <c r="H116" t="s">
        <v>324</v>
      </c>
      <c r="I116" s="7">
        <f>IFERROR(VLOOKUP(Tabla13[[#This Row],[Llave]],'[1]Consolidado RV'!$B:$H,6,FALSE),0)</f>
        <v>68313.554999999993</v>
      </c>
      <c r="J116" s="3">
        <f>IFERROR(VLOOKUP(Tabla13[[#This Row],[Llave]],'[1]Consolidado RV'!$B:$H,7,FALSE),0)</f>
        <v>47999.999999999993</v>
      </c>
      <c r="K116" s="8">
        <f>IFERROR(VLOOKUP(Tabla13[[#This Row],[Oficina]],#REF!,2,FALSE),0)</f>
        <v>0</v>
      </c>
      <c r="L116" s="7">
        <f>+Tabla13[[#This Row],[ RV Producción mes n+1]]*Tabla13[[#This Row],[% Uti. producción]]</f>
        <v>0</v>
      </c>
      <c r="M116" s="7">
        <f>IFERROR(VLOOKUP(Tabla13[[#This Row],[Material]],#REF!,2,FALSE),0)</f>
        <v>0</v>
      </c>
      <c r="N116" s="7">
        <f>IFERROR(VLOOKUP(Tabla13[[#This Row],[Llave]],'En puerto-Programado'!A:D,4,FALSE)+VLOOKUP(Tabla13[[#This Row],[Llave]],'Por despachar'!A:F,6,FALSE),0)</f>
        <v>0</v>
      </c>
      <c r="O116" s="7">
        <f>IFERROR(VLOOKUP(Tabla13[[#This Row],[Material]],[2]Consolidado!$C:$D,2,FALSE),0)</f>
        <v>13840</v>
      </c>
      <c r="P116" s="7">
        <f>IFERROR(VLOOKUP(Tabla13[[#This Row],[Llave]],'Por despachar'!A:E,5,FALSE),0)</f>
        <v>0</v>
      </c>
      <c r="Q116" s="14">
        <f>SUM(Tabla13[[#This Row],[Producción disponible]],Tabla13[[#This Row],[Stock al día]],Tabla13[[#This Row],[Por producir Abr.]])-SUM(Tabla13[[#This Row],[Stock por despachar N]],Tabla13[[#This Row],[Producción por despachar mes N]])</f>
        <v>13840</v>
      </c>
      <c r="R116" s="7">
        <f>IFERROR(VLOOKUP(Tabla13[[#This Row],[Llave]],[3]Hoja2!$A:$D,4,FALSE),0)</f>
        <v>48000</v>
      </c>
      <c r="S116" s="9">
        <f>IFERROR(VLOOKUP(Tabla13[[#This Row],[Material]],[4]Hoja1!$B:$C,2,FALSE),0)</f>
        <v>24000</v>
      </c>
      <c r="T116" s="5">
        <f t="shared" si="3"/>
        <v>0</v>
      </c>
      <c r="U116" s="3">
        <f>+Tabla13[[#This Row],[Total disponible]]-Tabla13[[#This Row],[Atraso a facturar]]</f>
        <v>13840</v>
      </c>
      <c r="V116" s="6">
        <f t="shared" si="2"/>
        <v>0</v>
      </c>
      <c r="W116" s="3" t="str">
        <f>IF(Tabla13[[#This Row],[Venta del mes]]&gt;Tabla13[[#This Row],[ RV  Venta mes n+1]],"Falta venta","-")</f>
        <v>-</v>
      </c>
      <c r="X116" s="7"/>
      <c r="Y116" s="18">
        <v>0</v>
      </c>
      <c r="Z116" s="5">
        <f>+Tabla13[[#This Row],[Atraso a facturar]]+Tabla13[[#This Row],[Venta del mes]]+Tabla13[[#This Row],[Ajuste]]</f>
        <v>0</v>
      </c>
      <c r="AA116" s="6">
        <f>+Tabla13[[#This Row],[Atraso a facturar]]+Tabla13[[#This Row],[Venta del mes]]+Tabla13[[#This Row],[En puerto a facturar]]</f>
        <v>0</v>
      </c>
      <c r="AB116" s="20">
        <f>IFERROR(VLOOKUP(Tabla13[[#This Row],[Llave]],'[5]Consolidación planes'!$A:$M,9,FALSE),0)</f>
        <v>0</v>
      </c>
      <c r="AC116" s="20">
        <f>IFERROR(VLOOKUP(Tabla13[[#This Row],[Llave]],'[5]Consolidación planes'!$A:$M,10,FALSE),0)</f>
        <v>0</v>
      </c>
      <c r="AD116" s="20">
        <f>IFERROR(VLOOKUP(Tabla13[[#This Row],[Llave]],'[5]Consolidación planes'!$A:$M,11,FALSE),0)</f>
        <v>0</v>
      </c>
      <c r="AE116" s="20">
        <f>IFERROR(VLOOKUP(Tabla13[[#This Row],[Llave]],'[5]Consolidación planes'!$A:$M,12,FALSE),0)</f>
        <v>0</v>
      </c>
      <c r="AF116" s="20">
        <f>IFERROR(VLOOKUP(Tabla13[[#This Row],[Llave]],'[5]Consolidación planes'!$A:$M,13,FALSE),0)</f>
        <v>24000</v>
      </c>
    </row>
    <row r="117" spans="2:32" ht="16" hidden="1" x14ac:dyDescent="0.2">
      <c r="B117" t="str">
        <f>Tabla13[[#This Row],[Oficina]]&amp;Tabla13[[#This Row],[Material]]</f>
        <v>Agrosuper Asia1023183</v>
      </c>
      <c r="C117" t="s">
        <v>6</v>
      </c>
      <c r="D117" t="s">
        <v>173</v>
      </c>
      <c r="E117">
        <v>1023183</v>
      </c>
      <c r="F117" t="s">
        <v>176</v>
      </c>
      <c r="G117" t="s">
        <v>25</v>
      </c>
      <c r="H117" t="s">
        <v>26</v>
      </c>
      <c r="I117" s="7">
        <f>IFERROR(VLOOKUP(Tabla13[[#This Row],[Llave]],'[1]Consolidado RV'!$B:$H,6,FALSE),0)</f>
        <v>0</v>
      </c>
      <c r="J117" s="3">
        <f>IFERROR(VLOOKUP(Tabla13[[#This Row],[Llave]],'[1]Consolidado RV'!$B:$H,7,FALSE),0)</f>
        <v>21645.350000000002</v>
      </c>
      <c r="K117" s="8">
        <f>IFERROR(VLOOKUP(Tabla13[[#This Row],[Oficina]],#REF!,2,FALSE),0)</f>
        <v>0</v>
      </c>
      <c r="L117" s="7">
        <f>+Tabla13[[#This Row],[ RV Producción mes n+1]]*Tabla13[[#This Row],[% Uti. producción]]</f>
        <v>0</v>
      </c>
      <c r="M117" s="7">
        <f>IFERROR(VLOOKUP(Tabla13[[#This Row],[Material]],#REF!,2,FALSE),0)</f>
        <v>0</v>
      </c>
      <c r="N117" s="7">
        <f>IFERROR(VLOOKUP(Tabla13[[#This Row],[Llave]],'En puerto-Programado'!A:D,4,FALSE)+VLOOKUP(Tabla13[[#This Row],[Llave]],'Por despachar'!A:F,6,FALSE),0)</f>
        <v>0</v>
      </c>
      <c r="O117" s="7">
        <f>IFERROR(VLOOKUP(Tabla13[[#This Row],[Material]],[2]Consolidado!$C:$D,2,FALSE),0)</f>
        <v>0</v>
      </c>
      <c r="P117" s="7">
        <f>IFERROR(VLOOKUP(Tabla13[[#This Row],[Llave]],'Por despachar'!A:E,5,FALSE),0)</f>
        <v>0</v>
      </c>
      <c r="Q117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17" s="7">
        <f>IFERROR(VLOOKUP(Tabla13[[#This Row],[Llave]],[3]Hoja2!$A:$D,4,FALSE),0)</f>
        <v>44000</v>
      </c>
      <c r="S117" s="9">
        <f>IFERROR(VLOOKUP(Tabla13[[#This Row],[Material]],[4]Hoja1!$B:$C,2,FALSE),0)</f>
        <v>22000</v>
      </c>
      <c r="T117" s="5">
        <f t="shared" si="3"/>
        <v>0</v>
      </c>
      <c r="U117" s="3">
        <f>+Tabla13[[#This Row],[Total disponible]]-Tabla13[[#This Row],[Atraso a facturar]]</f>
        <v>0</v>
      </c>
      <c r="V117" s="6">
        <f t="shared" si="2"/>
        <v>0</v>
      </c>
      <c r="W117" s="3" t="str">
        <f>IF(Tabla13[[#This Row],[Venta del mes]]&gt;Tabla13[[#This Row],[ RV  Venta mes n+1]],"Falta venta","-")</f>
        <v>-</v>
      </c>
      <c r="X117" s="7"/>
      <c r="Y117" s="18">
        <v>0</v>
      </c>
      <c r="Z117" s="5">
        <f>+Tabla13[[#This Row],[Atraso a facturar]]+Tabla13[[#This Row],[Venta del mes]]+Tabla13[[#This Row],[Ajuste]]</f>
        <v>0</v>
      </c>
      <c r="AA117" s="6">
        <f>+Tabla13[[#This Row],[Atraso a facturar]]+Tabla13[[#This Row],[Venta del mes]]+Tabla13[[#This Row],[En puerto a facturar]]</f>
        <v>0</v>
      </c>
      <c r="AB117" s="20">
        <f>IFERROR(VLOOKUP(Tabla13[[#This Row],[Llave]],'[5]Consolidación planes'!$A:$M,9,FALSE),0)</f>
        <v>22000</v>
      </c>
      <c r="AC117" s="20">
        <f>IFERROR(VLOOKUP(Tabla13[[#This Row],[Llave]],'[5]Consolidación planes'!$A:$M,10,FALSE),0)</f>
        <v>44000</v>
      </c>
      <c r="AD117" s="20">
        <f>IFERROR(VLOOKUP(Tabla13[[#This Row],[Llave]],'[5]Consolidación planes'!$A:$M,11,FALSE),0)</f>
        <v>66000</v>
      </c>
      <c r="AE117" s="20">
        <f>IFERROR(VLOOKUP(Tabla13[[#This Row],[Llave]],'[5]Consolidación planes'!$A:$M,12,FALSE),0)</f>
        <v>0</v>
      </c>
      <c r="AF117" s="20">
        <f>IFERROR(VLOOKUP(Tabla13[[#This Row],[Llave]],'[5]Consolidación planes'!$A:$M,13,FALSE),0)</f>
        <v>22000</v>
      </c>
    </row>
    <row r="118" spans="2:32" ht="16" hidden="1" x14ac:dyDescent="0.2">
      <c r="B118" t="str">
        <f>Tabla13[[#This Row],[Oficina]]&amp;Tabla13[[#This Row],[Material]]</f>
        <v>Agrosuper Asia1023283</v>
      </c>
      <c r="C118" t="s">
        <v>6</v>
      </c>
      <c r="D118" t="s">
        <v>173</v>
      </c>
      <c r="E118">
        <v>1023283</v>
      </c>
      <c r="F118" t="s">
        <v>202</v>
      </c>
      <c r="G118" t="s">
        <v>76</v>
      </c>
      <c r="H118" t="s">
        <v>201</v>
      </c>
      <c r="I118" s="7">
        <f>IFERROR(VLOOKUP(Tabla13[[#This Row],[Llave]],'[1]Consolidado RV'!$B:$H,6,FALSE),0)</f>
        <v>37737.675000000003</v>
      </c>
      <c r="J118" s="3">
        <f>IFERROR(VLOOKUP(Tabla13[[#This Row],[Llave]],'[1]Consolidado RV'!$B:$H,7,FALSE),0)</f>
        <v>10283.172999999995</v>
      </c>
      <c r="K118" s="8">
        <f>IFERROR(VLOOKUP(Tabla13[[#This Row],[Oficina]],#REF!,2,FALSE),0)</f>
        <v>0</v>
      </c>
      <c r="L118" s="7">
        <f>+Tabla13[[#This Row],[ RV Producción mes n+1]]*Tabla13[[#This Row],[% Uti. producción]]</f>
        <v>0</v>
      </c>
      <c r="M118" s="7">
        <f>IFERROR(VLOOKUP(Tabla13[[#This Row],[Material]],#REF!,2,FALSE),0)</f>
        <v>0</v>
      </c>
      <c r="N118" s="7">
        <f>IFERROR(VLOOKUP(Tabla13[[#This Row],[Llave]],'En puerto-Programado'!A:D,4,FALSE)+VLOOKUP(Tabla13[[#This Row],[Llave]],'Por despachar'!A:F,6,FALSE),0)</f>
        <v>24000</v>
      </c>
      <c r="O118" s="7">
        <f>IFERROR(VLOOKUP(Tabla13[[#This Row],[Material]],[2]Consolidado!$C:$D,2,FALSE),0)</f>
        <v>27084.31698113208</v>
      </c>
      <c r="P118" s="7">
        <f>IFERROR(VLOOKUP(Tabla13[[#This Row],[Llave]],'Por despachar'!A:E,5,FALSE),0)</f>
        <v>0</v>
      </c>
      <c r="Q118" s="14">
        <f>SUM(Tabla13[[#This Row],[Producción disponible]],Tabla13[[#This Row],[Stock al día]],Tabla13[[#This Row],[Por producir Abr.]])-SUM(Tabla13[[#This Row],[Stock por despachar N]],Tabla13[[#This Row],[Producción por despachar mes N]])</f>
        <v>3084.3169811320804</v>
      </c>
      <c r="R118" s="7">
        <f>IFERROR(VLOOKUP(Tabla13[[#This Row],[Llave]],[3]Hoja2!$A:$D,4,FALSE),0)</f>
        <v>96000</v>
      </c>
      <c r="S118" s="9">
        <f>IFERROR(VLOOKUP(Tabla13[[#This Row],[Material]],[4]Hoja1!$B:$C,2,FALSE),0)</f>
        <v>24000</v>
      </c>
      <c r="T118" s="5">
        <f t="shared" si="3"/>
        <v>0</v>
      </c>
      <c r="U118" s="3">
        <f>+Tabla13[[#This Row],[Total disponible]]-Tabla13[[#This Row],[Atraso a facturar]]</f>
        <v>3084.3169811320804</v>
      </c>
      <c r="V118" s="6">
        <f t="shared" si="2"/>
        <v>0</v>
      </c>
      <c r="W118" s="3" t="str">
        <f>IF(Tabla13[[#This Row],[Venta del mes]]&gt;Tabla13[[#This Row],[ RV  Venta mes n+1]],"Falta venta","-")</f>
        <v>-</v>
      </c>
      <c r="X118" s="7"/>
      <c r="Y118" s="18">
        <v>0</v>
      </c>
      <c r="Z118" s="5">
        <f>+Tabla13[[#This Row],[Atraso a facturar]]+Tabla13[[#This Row],[Venta del mes]]+Tabla13[[#This Row],[Ajuste]]</f>
        <v>0</v>
      </c>
      <c r="AA118" s="6">
        <f>+Tabla13[[#This Row],[Atraso a facturar]]+Tabla13[[#This Row],[Venta del mes]]+Tabla13[[#This Row],[En puerto a facturar]]</f>
        <v>0</v>
      </c>
      <c r="AB118" s="20">
        <f>IFERROR(VLOOKUP(Tabla13[[#This Row],[Llave]],'[5]Consolidación planes'!$A:$M,9,FALSE),0)</f>
        <v>120000</v>
      </c>
      <c r="AC118" s="20">
        <f>IFERROR(VLOOKUP(Tabla13[[#This Row],[Llave]],'[5]Consolidación planes'!$A:$M,10,FALSE),0)</f>
        <v>96000</v>
      </c>
      <c r="AD118" s="20">
        <f>IFERROR(VLOOKUP(Tabla13[[#This Row],[Llave]],'[5]Consolidación planes'!$A:$M,11,FALSE),0)</f>
        <v>178000</v>
      </c>
      <c r="AE118" s="20">
        <f>IFERROR(VLOOKUP(Tabla13[[#This Row],[Llave]],'[5]Consolidación planes'!$A:$M,12,FALSE),0)</f>
        <v>216000</v>
      </c>
      <c r="AF118" s="20">
        <f>IFERROR(VLOOKUP(Tabla13[[#This Row],[Llave]],'[5]Consolidación planes'!$A:$M,13,FALSE),0)</f>
        <v>144149</v>
      </c>
    </row>
    <row r="119" spans="2:32" ht="16" hidden="1" x14ac:dyDescent="0.2">
      <c r="B119" t="str">
        <f>Tabla13[[#This Row],[Oficina]]&amp;Tabla13[[#This Row],[Material]]</f>
        <v>Agrosuper Asia1023305</v>
      </c>
      <c r="C119" t="s">
        <v>6</v>
      </c>
      <c r="D119" t="s">
        <v>173</v>
      </c>
      <c r="E119">
        <v>1023305</v>
      </c>
      <c r="F119" t="s">
        <v>297</v>
      </c>
      <c r="G119" t="s">
        <v>76</v>
      </c>
      <c r="H119" t="s">
        <v>296</v>
      </c>
      <c r="I119" s="7">
        <f>IFERROR(VLOOKUP(Tabla13[[#This Row],[Llave]],'[1]Consolidado RV'!$B:$H,6,FALSE),0)</f>
        <v>0</v>
      </c>
      <c r="J119" s="3">
        <f>IFERROR(VLOOKUP(Tabla13[[#This Row],[Llave]],'[1]Consolidado RV'!$B:$H,7,FALSE),0)</f>
        <v>0</v>
      </c>
      <c r="K119" s="8">
        <f>IFERROR(VLOOKUP(Tabla13[[#This Row],[Oficina]],#REF!,2,FALSE),0)</f>
        <v>0</v>
      </c>
      <c r="L119" s="7">
        <f>+Tabla13[[#This Row],[ RV Producción mes n+1]]*Tabla13[[#This Row],[% Uti. producción]]</f>
        <v>0</v>
      </c>
      <c r="M119" s="7">
        <f>IFERROR(VLOOKUP(Tabla13[[#This Row],[Material]],#REF!,2,FALSE),0)</f>
        <v>0</v>
      </c>
      <c r="N119" s="7">
        <f>IFERROR(VLOOKUP(Tabla13[[#This Row],[Llave]],'En puerto-Programado'!A:D,4,FALSE)+VLOOKUP(Tabla13[[#This Row],[Llave]],'Por despachar'!A:F,6,FALSE),0)</f>
        <v>0</v>
      </c>
      <c r="O119" s="7">
        <f>IFERROR(VLOOKUP(Tabla13[[#This Row],[Material]],[2]Consolidado!$C:$D,2,FALSE),0)</f>
        <v>0</v>
      </c>
      <c r="P119" s="7">
        <f>IFERROR(VLOOKUP(Tabla13[[#This Row],[Llave]],'Por despachar'!A:E,5,FALSE),0)</f>
        <v>0</v>
      </c>
      <c r="Q11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19" s="7">
        <f>IFERROR(VLOOKUP(Tabla13[[#This Row],[Llave]],[3]Hoja2!$A:$D,4,FALSE),0)</f>
        <v>0</v>
      </c>
      <c r="S119" s="9">
        <f>IFERROR(VLOOKUP(Tabla13[[#This Row],[Material]],[4]Hoja1!$B:$C,2,FALSE),0)</f>
        <v>24000</v>
      </c>
      <c r="T119" s="5">
        <f t="shared" si="3"/>
        <v>0</v>
      </c>
      <c r="U119" s="3">
        <f>+Tabla13[[#This Row],[Total disponible]]-Tabla13[[#This Row],[Atraso a facturar]]</f>
        <v>0</v>
      </c>
      <c r="V119" s="6">
        <f t="shared" si="2"/>
        <v>0</v>
      </c>
      <c r="W119" s="3" t="str">
        <f>IF(Tabla13[[#This Row],[Venta del mes]]&gt;Tabla13[[#This Row],[ RV  Venta mes n+1]],"Falta venta","-")</f>
        <v>-</v>
      </c>
      <c r="X119" s="7"/>
      <c r="Y119" s="18">
        <v>0</v>
      </c>
      <c r="Z119" s="5">
        <f>+Tabla13[[#This Row],[Atraso a facturar]]+Tabla13[[#This Row],[Venta del mes]]+Tabla13[[#This Row],[Ajuste]]</f>
        <v>0</v>
      </c>
      <c r="AA119" s="6">
        <f>+Tabla13[[#This Row],[Atraso a facturar]]+Tabla13[[#This Row],[Venta del mes]]+Tabla13[[#This Row],[En puerto a facturar]]</f>
        <v>0</v>
      </c>
      <c r="AB119" s="20">
        <f>IFERROR(VLOOKUP(Tabla13[[#This Row],[Llave]],'[5]Consolidación planes'!$A:$M,9,FALSE),0)</f>
        <v>0</v>
      </c>
      <c r="AC119" s="20">
        <f>IFERROR(VLOOKUP(Tabla13[[#This Row],[Llave]],'[5]Consolidación planes'!$A:$M,10,FALSE),0)</f>
        <v>0</v>
      </c>
      <c r="AD119" s="20">
        <f>IFERROR(VLOOKUP(Tabla13[[#This Row],[Llave]],'[5]Consolidación planes'!$A:$M,11,FALSE),0)</f>
        <v>0</v>
      </c>
      <c r="AE119" s="20">
        <f>IFERROR(VLOOKUP(Tabla13[[#This Row],[Llave]],'[5]Consolidación planes'!$A:$M,12,FALSE),0)</f>
        <v>0</v>
      </c>
      <c r="AF119" s="20">
        <f>IFERROR(VLOOKUP(Tabla13[[#This Row],[Llave]],'[5]Consolidación planes'!$A:$M,13,FALSE),0)</f>
        <v>0</v>
      </c>
    </row>
    <row r="120" spans="2:32" ht="16" hidden="1" x14ac:dyDescent="0.2">
      <c r="B120" t="str">
        <f>Tabla13[[#This Row],[Oficina]]&amp;Tabla13[[#This Row],[Material]]</f>
        <v>Agrosuper Asia1023307</v>
      </c>
      <c r="C120" t="s">
        <v>6</v>
      </c>
      <c r="D120" t="s">
        <v>173</v>
      </c>
      <c r="E120">
        <v>1023307</v>
      </c>
      <c r="F120" t="s">
        <v>203</v>
      </c>
      <c r="G120" t="s">
        <v>76</v>
      </c>
      <c r="H120" t="s">
        <v>84</v>
      </c>
      <c r="I120" s="7">
        <f>IFERROR(VLOOKUP(Tabla13[[#This Row],[Llave]],'[1]Consolidado RV'!$B:$H,6,FALSE),0)</f>
        <v>54180.142</v>
      </c>
      <c r="J120" s="3">
        <f>IFERROR(VLOOKUP(Tabla13[[#This Row],[Llave]],'[1]Consolidado RV'!$B:$H,7,FALSE),0)</f>
        <v>37685.784999999996</v>
      </c>
      <c r="K120" s="8">
        <f>IFERROR(VLOOKUP(Tabla13[[#This Row],[Oficina]],#REF!,2,FALSE),0)</f>
        <v>0</v>
      </c>
      <c r="L120" s="7">
        <f>+Tabla13[[#This Row],[ RV Producción mes n+1]]*Tabla13[[#This Row],[% Uti. producción]]</f>
        <v>0</v>
      </c>
      <c r="M120" s="7">
        <f>IFERROR(VLOOKUP(Tabla13[[#This Row],[Material]],#REF!,2,FALSE),0)</f>
        <v>0</v>
      </c>
      <c r="N120" s="7">
        <f>IFERROR(VLOOKUP(Tabla13[[#This Row],[Llave]],'En puerto-Programado'!A:D,4,FALSE)+VLOOKUP(Tabla13[[#This Row],[Llave]],'Por despachar'!A:F,6,FALSE),0)</f>
        <v>0</v>
      </c>
      <c r="O120" s="7">
        <f>IFERROR(VLOOKUP(Tabla13[[#This Row],[Material]],[2]Consolidado!$C:$D,2,FALSE),0)</f>
        <v>17822.400000000001</v>
      </c>
      <c r="P120" s="7">
        <f>IFERROR(VLOOKUP(Tabla13[[#This Row],[Llave]],'Por despachar'!A:E,5,FALSE),0)</f>
        <v>0</v>
      </c>
      <c r="Q120" s="14">
        <f>SUM(Tabla13[[#This Row],[Producción disponible]],Tabla13[[#This Row],[Stock al día]],Tabla13[[#This Row],[Por producir Abr.]])-SUM(Tabla13[[#This Row],[Stock por despachar N]],Tabla13[[#This Row],[Producción por despachar mes N]])</f>
        <v>17822.400000000001</v>
      </c>
      <c r="R120" s="7">
        <f>IFERROR(VLOOKUP(Tabla13[[#This Row],[Llave]],[3]Hoja2!$A:$D,4,FALSE),0)</f>
        <v>72000</v>
      </c>
      <c r="S120" s="9">
        <f>IFERROR(VLOOKUP(Tabla13[[#This Row],[Material]],[4]Hoja1!$B:$C,2,FALSE),0)</f>
        <v>24000</v>
      </c>
      <c r="T120" s="5">
        <f t="shared" si="3"/>
        <v>0</v>
      </c>
      <c r="U120" s="3">
        <f>+Tabla13[[#This Row],[Total disponible]]-Tabla13[[#This Row],[Atraso a facturar]]</f>
        <v>17822.400000000001</v>
      </c>
      <c r="V120" s="6">
        <f t="shared" si="2"/>
        <v>0</v>
      </c>
      <c r="W120" s="3" t="str">
        <f>IF(Tabla13[[#This Row],[Venta del mes]]&gt;Tabla13[[#This Row],[ RV  Venta mes n+1]],"Falta venta","-")</f>
        <v>-</v>
      </c>
      <c r="X120" s="7"/>
      <c r="Y120" s="18">
        <v>0</v>
      </c>
      <c r="Z120" s="5">
        <f>+Tabla13[[#This Row],[Atraso a facturar]]+Tabla13[[#This Row],[Venta del mes]]+Tabla13[[#This Row],[Ajuste]]</f>
        <v>0</v>
      </c>
      <c r="AA120" s="6">
        <f>+Tabla13[[#This Row],[Atraso a facturar]]+Tabla13[[#This Row],[Venta del mes]]+Tabla13[[#This Row],[En puerto a facturar]]</f>
        <v>0</v>
      </c>
      <c r="AB120" s="20">
        <f>IFERROR(VLOOKUP(Tabla13[[#This Row],[Llave]],'[5]Consolidación planes'!$A:$M,9,FALSE),0)</f>
        <v>22000</v>
      </c>
      <c r="AC120" s="20">
        <f>IFERROR(VLOOKUP(Tabla13[[#This Row],[Llave]],'[5]Consolidación planes'!$A:$M,10,FALSE),0)</f>
        <v>24000</v>
      </c>
      <c r="AD120" s="20">
        <f>IFERROR(VLOOKUP(Tabla13[[#This Row],[Llave]],'[5]Consolidación planes'!$A:$M,11,FALSE),0)</f>
        <v>22000</v>
      </c>
      <c r="AE120" s="20">
        <f>IFERROR(VLOOKUP(Tabla13[[#This Row],[Llave]],'[5]Consolidación planes'!$A:$M,12,FALSE),0)</f>
        <v>48000</v>
      </c>
      <c r="AF120" s="20">
        <f>IFERROR(VLOOKUP(Tabla13[[#This Row],[Llave]],'[5]Consolidación planes'!$A:$M,13,FALSE),0)</f>
        <v>24000</v>
      </c>
    </row>
    <row r="121" spans="2:32" ht="16" hidden="1" x14ac:dyDescent="0.2">
      <c r="B121" t="str">
        <f>Tabla13[[#This Row],[Oficina]]&amp;Tabla13[[#This Row],[Material]]</f>
        <v>Agrosuper Asia1023326</v>
      </c>
      <c r="C121" t="s">
        <v>6</v>
      </c>
      <c r="D121" t="s">
        <v>173</v>
      </c>
      <c r="E121">
        <v>1023326</v>
      </c>
      <c r="F121" t="s">
        <v>298</v>
      </c>
      <c r="G121" t="s">
        <v>76</v>
      </c>
      <c r="H121" t="s">
        <v>84</v>
      </c>
      <c r="I121" s="7">
        <f>IFERROR(VLOOKUP(Tabla13[[#This Row],[Llave]],'[1]Consolidado RV'!$B:$H,6,FALSE),0)</f>
        <v>45318.668351187895</v>
      </c>
      <c r="J121" s="3">
        <f>IFERROR(VLOOKUP(Tabla13[[#This Row],[Llave]],'[1]Consolidado RV'!$B:$H,7,FALSE),0)</f>
        <v>48000</v>
      </c>
      <c r="K121" s="8">
        <f>IFERROR(VLOOKUP(Tabla13[[#This Row],[Oficina]],#REF!,2,FALSE),0)</f>
        <v>0</v>
      </c>
      <c r="L121" s="7">
        <f>+Tabla13[[#This Row],[ RV Producción mes n+1]]*Tabla13[[#This Row],[% Uti. producción]]</f>
        <v>0</v>
      </c>
      <c r="M121" s="7">
        <f>IFERROR(VLOOKUP(Tabla13[[#This Row],[Material]],#REF!,2,FALSE),0)</f>
        <v>0</v>
      </c>
      <c r="N121" s="7">
        <f>IFERROR(VLOOKUP(Tabla13[[#This Row],[Llave]],'En puerto-Programado'!A:D,4,FALSE)+VLOOKUP(Tabla13[[#This Row],[Llave]],'Por despachar'!A:F,6,FALSE),0)</f>
        <v>0</v>
      </c>
      <c r="O121" s="7">
        <f>IFERROR(VLOOKUP(Tabla13[[#This Row],[Material]],[2]Consolidado!$C:$D,2,FALSE),0)</f>
        <v>0</v>
      </c>
      <c r="P121" s="7">
        <f>IFERROR(VLOOKUP(Tabla13[[#This Row],[Llave]],'Por despachar'!A:E,5,FALSE),0)</f>
        <v>0</v>
      </c>
      <c r="Q12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21" s="7">
        <f>IFERROR(VLOOKUP(Tabla13[[#This Row],[Llave]],[3]Hoja2!$A:$D,4,FALSE),0)</f>
        <v>24000</v>
      </c>
      <c r="S121" s="9">
        <f>IFERROR(VLOOKUP(Tabla13[[#This Row],[Material]],[4]Hoja1!$B:$C,2,FALSE),0)</f>
        <v>24000</v>
      </c>
      <c r="T121" s="5">
        <f t="shared" si="3"/>
        <v>0</v>
      </c>
      <c r="U121" s="3">
        <f>+Tabla13[[#This Row],[Total disponible]]-Tabla13[[#This Row],[Atraso a facturar]]</f>
        <v>0</v>
      </c>
      <c r="V121" s="6">
        <f t="shared" si="2"/>
        <v>0</v>
      </c>
      <c r="W121" s="3" t="str">
        <f>IF(Tabla13[[#This Row],[Venta del mes]]&gt;Tabla13[[#This Row],[ RV  Venta mes n+1]],"Falta venta","-")</f>
        <v>-</v>
      </c>
      <c r="X121" s="7"/>
      <c r="Y121" s="18">
        <v>0</v>
      </c>
      <c r="Z121" s="5">
        <f>+Tabla13[[#This Row],[Atraso a facturar]]+Tabla13[[#This Row],[Venta del mes]]+Tabla13[[#This Row],[Ajuste]]</f>
        <v>0</v>
      </c>
      <c r="AA121" s="6">
        <f>+Tabla13[[#This Row],[Atraso a facturar]]+Tabla13[[#This Row],[Venta del mes]]+Tabla13[[#This Row],[En puerto a facturar]]</f>
        <v>0</v>
      </c>
      <c r="AB121" s="20">
        <f>IFERROR(VLOOKUP(Tabla13[[#This Row],[Llave]],'[5]Consolidación planes'!$A:$M,9,FALSE),0)</f>
        <v>0</v>
      </c>
      <c r="AC121" s="20">
        <f>IFERROR(VLOOKUP(Tabla13[[#This Row],[Llave]],'[5]Consolidación planes'!$A:$M,10,FALSE),0)</f>
        <v>0</v>
      </c>
      <c r="AD121" s="20">
        <f>IFERROR(VLOOKUP(Tabla13[[#This Row],[Llave]],'[5]Consolidación planes'!$A:$M,11,FALSE),0)</f>
        <v>44000</v>
      </c>
      <c r="AE121" s="20">
        <f>IFERROR(VLOOKUP(Tabla13[[#This Row],[Llave]],'[5]Consolidación planes'!$A:$M,12,FALSE),0)</f>
        <v>48000</v>
      </c>
      <c r="AF121" s="20">
        <f>IFERROR(VLOOKUP(Tabla13[[#This Row],[Llave]],'[5]Consolidación planes'!$A:$M,13,FALSE),0)</f>
        <v>48003</v>
      </c>
    </row>
    <row r="122" spans="2:32" ht="16" hidden="1" x14ac:dyDescent="0.2">
      <c r="B122" t="str">
        <f>Tabla13[[#This Row],[Oficina]]&amp;Tabla13[[#This Row],[Material]]</f>
        <v>Agrosuper Brasil1021864</v>
      </c>
      <c r="C122" t="s">
        <v>6</v>
      </c>
      <c r="D122" t="s">
        <v>7</v>
      </c>
      <c r="E122">
        <v>1021864</v>
      </c>
      <c r="F122" t="s">
        <v>10</v>
      </c>
      <c r="G122" t="s">
        <v>8</v>
      </c>
      <c r="H122" t="s">
        <v>9</v>
      </c>
      <c r="I122" s="7">
        <f>IFERROR(VLOOKUP(Tabla13[[#This Row],[Llave]],'[1]Consolidado RV'!$B:$H,6,FALSE),0)</f>
        <v>1.8481279585103039E-4</v>
      </c>
      <c r="J122" s="3">
        <f>IFERROR(VLOOKUP(Tabla13[[#This Row],[Llave]],'[1]Consolidado RV'!$B:$H,7,FALSE),0)</f>
        <v>12827.081</v>
      </c>
      <c r="K122" s="8">
        <f>IFERROR(VLOOKUP(Tabla13[[#This Row],[Oficina]],#REF!,2,FALSE),0)</f>
        <v>0</v>
      </c>
      <c r="L122" s="7">
        <f>+Tabla13[[#This Row],[ RV Producción mes n+1]]*Tabla13[[#This Row],[% Uti. producción]]</f>
        <v>0</v>
      </c>
      <c r="M122" s="7">
        <f>IFERROR(VLOOKUP(Tabla13[[#This Row],[Material]],#REF!,2,FALSE),0)</f>
        <v>0</v>
      </c>
      <c r="N122" s="7">
        <f>IFERROR(VLOOKUP(Tabla13[[#This Row],[Llave]],'En puerto-Programado'!A:D,4,FALSE)+VLOOKUP(Tabla13[[#This Row],[Llave]],'Por despachar'!A:F,6,FALSE),0)</f>
        <v>0</v>
      </c>
      <c r="O122" s="7">
        <f>IFERROR(VLOOKUP(Tabla13[[#This Row],[Material]],[2]Consolidado!$C:$D,2,FALSE),0)</f>
        <v>0</v>
      </c>
      <c r="P122" s="7">
        <f>IFERROR(VLOOKUP(Tabla13[[#This Row],[Llave]],'Por despachar'!A:E,5,FALSE),0)</f>
        <v>0</v>
      </c>
      <c r="Q122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22" s="7">
        <f>IFERROR(VLOOKUP(Tabla13[[#This Row],[Llave]],[3]Hoja2!$A:$D,4,FALSE),0)</f>
        <v>72000</v>
      </c>
      <c r="S122" s="9">
        <f>IFERROR(VLOOKUP(Tabla13[[#This Row],[Material]],[4]Hoja1!$B:$C,2,FALSE),0)</f>
        <v>24000</v>
      </c>
      <c r="T122" s="5">
        <f t="shared" si="3"/>
        <v>0</v>
      </c>
      <c r="U122" s="3">
        <f>+Tabla13[[#This Row],[Total disponible]]-Tabla13[[#This Row],[Atraso a facturar]]</f>
        <v>0</v>
      </c>
      <c r="V122" s="6">
        <f t="shared" si="2"/>
        <v>0</v>
      </c>
      <c r="W122" s="3" t="str">
        <f>IF(Tabla13[[#This Row],[Venta del mes]]&gt;Tabla13[[#This Row],[ RV  Venta mes n+1]],"Falta venta","-")</f>
        <v>-</v>
      </c>
      <c r="X122" s="7"/>
      <c r="Y122" s="18">
        <v>0</v>
      </c>
      <c r="Z122" s="5">
        <f>+Tabla13[[#This Row],[Atraso a facturar]]+Tabla13[[#This Row],[Venta del mes]]+Tabla13[[#This Row],[Ajuste]]</f>
        <v>0</v>
      </c>
      <c r="AA122" s="6">
        <f>+Tabla13[[#This Row],[Atraso a facturar]]+Tabla13[[#This Row],[Venta del mes]]+Tabla13[[#This Row],[En puerto a facturar]]</f>
        <v>0</v>
      </c>
      <c r="AB122" s="20">
        <f>IFERROR(VLOOKUP(Tabla13[[#This Row],[Llave]],'[5]Consolidación planes'!$A:$M,9,FALSE),0)</f>
        <v>48000</v>
      </c>
      <c r="AC122" s="20">
        <f>IFERROR(VLOOKUP(Tabla13[[#This Row],[Llave]],'[5]Consolidación planes'!$A:$M,10,FALSE),0)</f>
        <v>48000</v>
      </c>
      <c r="AD122" s="20">
        <f>IFERROR(VLOOKUP(Tabla13[[#This Row],[Llave]],'[5]Consolidación planes'!$A:$M,11,FALSE),0)</f>
        <v>48000</v>
      </c>
      <c r="AE122" s="20">
        <f>IFERROR(VLOOKUP(Tabla13[[#This Row],[Llave]],'[5]Consolidación planes'!$A:$M,12,FALSE),0)</f>
        <v>24000</v>
      </c>
      <c r="AF122" s="20">
        <f>IFERROR(VLOOKUP(Tabla13[[#This Row],[Llave]],'[5]Consolidación planes'!$A:$M,13,FALSE),0)</f>
        <v>48000</v>
      </c>
    </row>
    <row r="123" spans="2:32" ht="16" hidden="1" x14ac:dyDescent="0.2">
      <c r="B123" t="str">
        <f>Tabla13[[#This Row],[Oficina]]&amp;Tabla13[[#This Row],[Material]]</f>
        <v>Agrosuper Brasil1022217</v>
      </c>
      <c r="C123" t="s">
        <v>6</v>
      </c>
      <c r="D123" t="s">
        <v>7</v>
      </c>
      <c r="E123">
        <v>1022217</v>
      </c>
      <c r="F123" t="s">
        <v>16</v>
      </c>
      <c r="G123" t="s">
        <v>11</v>
      </c>
      <c r="H123" t="s">
        <v>15</v>
      </c>
      <c r="I123" s="7">
        <f>IFERROR(VLOOKUP(Tabla13[[#This Row],[Llave]],'[1]Consolidado RV'!$B:$H,6,FALSE),0)</f>
        <v>3718.5153999999998</v>
      </c>
      <c r="J123" s="3">
        <f>IFERROR(VLOOKUP(Tabla13[[#This Row],[Llave]],'[1]Consolidado RV'!$B:$H,7,FALSE),0)</f>
        <v>0</v>
      </c>
      <c r="K123" s="8">
        <f>IFERROR(VLOOKUP(Tabla13[[#This Row],[Oficina]],#REF!,2,FALSE),0)</f>
        <v>0</v>
      </c>
      <c r="L123" s="7">
        <f>+Tabla13[[#This Row],[ RV Producción mes n+1]]*Tabla13[[#This Row],[% Uti. producción]]</f>
        <v>0</v>
      </c>
      <c r="M123" s="7">
        <f>IFERROR(VLOOKUP(Tabla13[[#This Row],[Material]],#REF!,2,FALSE),0)</f>
        <v>0</v>
      </c>
      <c r="N123" s="7">
        <f>IFERROR(VLOOKUP(Tabla13[[#This Row],[Llave]],'En puerto-Programado'!A:D,4,FALSE)+VLOOKUP(Tabla13[[#This Row],[Llave]],'Por despachar'!A:F,6,FALSE),0)</f>
        <v>72000</v>
      </c>
      <c r="O123" s="7">
        <f>IFERROR(VLOOKUP(Tabla13[[#This Row],[Material]],[2]Consolidado!$C:$D,2,FALSE),0)</f>
        <v>82875.49081790245</v>
      </c>
      <c r="P123" s="7">
        <f>IFERROR(VLOOKUP(Tabla13[[#This Row],[Llave]],'Por despachar'!A:E,5,FALSE),0)</f>
        <v>48000</v>
      </c>
      <c r="Q123" s="14">
        <f>SUM(Tabla13[[#This Row],[Producción disponible]],Tabla13[[#This Row],[Stock al día]],Tabla13[[#This Row],[Por producir Abr.]])-SUM(Tabla13[[#This Row],[Stock por despachar N]],Tabla13[[#This Row],[Producción por despachar mes N]])</f>
        <v>-37124.50918209755</v>
      </c>
      <c r="R123" s="7">
        <f>IFERROR(VLOOKUP(Tabla13[[#This Row],[Llave]],[3]Hoja2!$A:$D,4,FALSE),0)</f>
        <v>48000</v>
      </c>
      <c r="S123" s="9">
        <f>IFERROR(VLOOKUP(Tabla13[[#This Row],[Material]],[4]Hoja1!$B:$C,2,FALSE),0)</f>
        <v>24000</v>
      </c>
      <c r="T123" s="5">
        <f t="shared" si="3"/>
        <v>-24000</v>
      </c>
      <c r="U123" s="3">
        <f>+Tabla13[[#This Row],[Total disponible]]-Tabla13[[#This Row],[Atraso a facturar]]</f>
        <v>-13124.50918209755</v>
      </c>
      <c r="V123" s="6">
        <f t="shared" si="2"/>
        <v>0</v>
      </c>
      <c r="W123" s="3" t="str">
        <f>IF(Tabla13[[#This Row],[Venta del mes]]&gt;Tabla13[[#This Row],[ RV  Venta mes n+1]],"Falta venta","-")</f>
        <v>-</v>
      </c>
      <c r="X123" s="7"/>
      <c r="Y123" s="18">
        <v>0</v>
      </c>
      <c r="Z123" s="5">
        <f>+Tabla13[[#This Row],[Atraso a facturar]]+Tabla13[[#This Row],[Venta del mes]]+Tabla13[[#This Row],[Ajuste]]</f>
        <v>-24000</v>
      </c>
      <c r="AA123" s="6">
        <f>+Tabla13[[#This Row],[Atraso a facturar]]+Tabla13[[#This Row],[Venta del mes]]+Tabla13[[#This Row],[En puerto a facturar]]</f>
        <v>-24000</v>
      </c>
      <c r="AB123" s="20">
        <f>IFERROR(VLOOKUP(Tabla13[[#This Row],[Llave]],'[5]Consolidación planes'!$A:$M,9,FALSE),0)</f>
        <v>96000</v>
      </c>
      <c r="AC123" s="20">
        <f>IFERROR(VLOOKUP(Tabla13[[#This Row],[Llave]],'[5]Consolidación planes'!$A:$M,10,FALSE),0)</f>
        <v>47994</v>
      </c>
      <c r="AD123" s="20">
        <f>IFERROR(VLOOKUP(Tabla13[[#This Row],[Llave]],'[5]Consolidación planes'!$A:$M,11,FALSE),0)</f>
        <v>72000</v>
      </c>
      <c r="AE123" s="20">
        <f>IFERROR(VLOOKUP(Tabla13[[#This Row],[Llave]],'[5]Consolidación planes'!$A:$M,12,FALSE),0)</f>
        <v>264000</v>
      </c>
      <c r="AF123" s="20">
        <f>IFERROR(VLOOKUP(Tabla13[[#This Row],[Llave]],'[5]Consolidación planes'!$A:$M,13,FALSE),0)</f>
        <v>168000</v>
      </c>
    </row>
    <row r="124" spans="2:32" ht="16" hidden="1" x14ac:dyDescent="0.2">
      <c r="B124" t="str">
        <f>Tabla13[[#This Row],[Oficina]]&amp;Tabla13[[#This Row],[Material]]</f>
        <v>Agrosuper Brasil1022218</v>
      </c>
      <c r="C124" t="s">
        <v>6</v>
      </c>
      <c r="D124" t="s">
        <v>7</v>
      </c>
      <c r="E124">
        <v>1022218</v>
      </c>
      <c r="F124" t="s">
        <v>13</v>
      </c>
      <c r="G124" t="s">
        <v>11</v>
      </c>
      <c r="H124" t="s">
        <v>12</v>
      </c>
      <c r="I124" s="7">
        <f>IFERROR(VLOOKUP(Tabla13[[#This Row],[Llave]],'[1]Consolidado RV'!$B:$H,6,FALSE),0)</f>
        <v>93312.496000000014</v>
      </c>
      <c r="J124" s="3">
        <f>IFERROR(VLOOKUP(Tabla13[[#This Row],[Llave]],'[1]Consolidado RV'!$B:$H,7,FALSE),0)</f>
        <v>0</v>
      </c>
      <c r="K124" s="8">
        <f>IFERROR(VLOOKUP(Tabla13[[#This Row],[Oficina]],#REF!,2,FALSE),0)</f>
        <v>0</v>
      </c>
      <c r="L124" s="7">
        <f>+Tabla13[[#This Row],[ RV Producción mes n+1]]*Tabla13[[#This Row],[% Uti. producción]]</f>
        <v>0</v>
      </c>
      <c r="M124" s="7">
        <f>IFERROR(VLOOKUP(Tabla13[[#This Row],[Material]],#REF!,2,FALSE),0)</f>
        <v>0</v>
      </c>
      <c r="N124" s="7">
        <f>IFERROR(VLOOKUP(Tabla13[[#This Row],[Llave]],'En puerto-Programado'!A:D,4,FALSE)+VLOOKUP(Tabla13[[#This Row],[Llave]],'Por despachar'!A:F,6,FALSE),0)</f>
        <v>0</v>
      </c>
      <c r="O124" s="7">
        <f>IFERROR(VLOOKUP(Tabla13[[#This Row],[Material]],[2]Consolidado!$C:$D,2,FALSE),0)</f>
        <v>25533.567609477352</v>
      </c>
      <c r="P124" s="7">
        <f>IFERROR(VLOOKUP(Tabla13[[#This Row],[Llave]],'Por despachar'!A:E,5,FALSE),0)</f>
        <v>0</v>
      </c>
      <c r="Q124" s="14">
        <f>SUM(Tabla13[[#This Row],[Producción disponible]],Tabla13[[#This Row],[Stock al día]],Tabla13[[#This Row],[Por producir Abr.]])-SUM(Tabla13[[#This Row],[Stock por despachar N]],Tabla13[[#This Row],[Producción por despachar mes N]])</f>
        <v>25533.567609477352</v>
      </c>
      <c r="R124" s="7">
        <f>IFERROR(VLOOKUP(Tabla13[[#This Row],[Llave]],[3]Hoja2!$A:$D,4,FALSE),0)</f>
        <v>168000</v>
      </c>
      <c r="S124" s="9">
        <f>IFERROR(VLOOKUP(Tabla13[[#This Row],[Material]],[4]Hoja1!$B:$C,2,FALSE),0)</f>
        <v>24000</v>
      </c>
      <c r="T124" s="5">
        <f t="shared" si="3"/>
        <v>24000</v>
      </c>
      <c r="U124" s="3">
        <f>+Tabla13[[#This Row],[Total disponible]]-Tabla13[[#This Row],[Atraso a facturar]]</f>
        <v>1533.5676094773517</v>
      </c>
      <c r="V124" s="6">
        <f t="shared" si="2"/>
        <v>0</v>
      </c>
      <c r="W124" s="3" t="str">
        <f>IF(Tabla13[[#This Row],[Venta del mes]]&gt;Tabla13[[#This Row],[ RV  Venta mes n+1]],"Falta venta","-")</f>
        <v>-</v>
      </c>
      <c r="X124" s="7"/>
      <c r="Y124" s="18">
        <v>0</v>
      </c>
      <c r="Z124" s="5">
        <f>+Tabla13[[#This Row],[Atraso a facturar]]+Tabla13[[#This Row],[Venta del mes]]+Tabla13[[#This Row],[Ajuste]]</f>
        <v>24000</v>
      </c>
      <c r="AA124" s="6">
        <f>+Tabla13[[#This Row],[Atraso a facturar]]+Tabla13[[#This Row],[Venta del mes]]+Tabla13[[#This Row],[En puerto a facturar]]</f>
        <v>24000</v>
      </c>
      <c r="AB124" s="20">
        <f>IFERROR(VLOOKUP(Tabla13[[#This Row],[Llave]],'[5]Consolidación planes'!$A:$M,9,FALSE),0)</f>
        <v>120000</v>
      </c>
      <c r="AC124" s="20">
        <f>IFERROR(VLOOKUP(Tabla13[[#This Row],[Llave]],'[5]Consolidación planes'!$A:$M,10,FALSE),0)</f>
        <v>48000</v>
      </c>
      <c r="AD124" s="20">
        <f>IFERROR(VLOOKUP(Tabla13[[#This Row],[Llave]],'[5]Consolidación planes'!$A:$M,11,FALSE),0)</f>
        <v>96000</v>
      </c>
      <c r="AE124" s="20">
        <f>IFERROR(VLOOKUP(Tabla13[[#This Row],[Llave]],'[5]Consolidación planes'!$A:$M,12,FALSE),0)</f>
        <v>96000</v>
      </c>
      <c r="AF124" s="20">
        <f>IFERROR(VLOOKUP(Tabla13[[#This Row],[Llave]],'[5]Consolidación planes'!$A:$M,13,FALSE),0)</f>
        <v>96000</v>
      </c>
    </row>
    <row r="125" spans="2:32" ht="16" hidden="1" x14ac:dyDescent="0.2">
      <c r="B125" t="str">
        <f>Tabla13[[#This Row],[Oficina]]&amp;Tabla13[[#This Row],[Material]]</f>
        <v>Agrosuper Brasil1022273</v>
      </c>
      <c r="C125" t="s">
        <v>6</v>
      </c>
      <c r="D125" t="s">
        <v>7</v>
      </c>
      <c r="E125">
        <v>1022273</v>
      </c>
      <c r="F125" t="s">
        <v>14</v>
      </c>
      <c r="G125" t="s">
        <v>11</v>
      </c>
      <c r="H125" t="s">
        <v>12</v>
      </c>
      <c r="I125" s="7">
        <f>IFERROR(VLOOKUP(Tabla13[[#This Row],[Llave]],'[1]Consolidado RV'!$B:$H,6,FALSE),0)</f>
        <v>51199.334000000003</v>
      </c>
      <c r="J125" s="3">
        <f>IFERROR(VLOOKUP(Tabla13[[#This Row],[Llave]],'[1]Consolidado RV'!$B:$H,7,FALSE),0)</f>
        <v>51199.334000000003</v>
      </c>
      <c r="K125" s="8">
        <f>IFERROR(VLOOKUP(Tabla13[[#This Row],[Oficina]],#REF!,2,FALSE),0)</f>
        <v>0</v>
      </c>
      <c r="L125" s="7">
        <f>+Tabla13[[#This Row],[ RV Producción mes n+1]]*Tabla13[[#This Row],[% Uti. producción]]</f>
        <v>0</v>
      </c>
      <c r="M125" s="7">
        <f>IFERROR(VLOOKUP(Tabla13[[#This Row],[Material]],#REF!,2,FALSE),0)</f>
        <v>0</v>
      </c>
      <c r="N125" s="7">
        <f>IFERROR(VLOOKUP(Tabla13[[#This Row],[Llave]],'En puerto-Programado'!A:D,4,FALSE)+VLOOKUP(Tabla13[[#This Row],[Llave]],'Por despachar'!A:F,6,FALSE),0)</f>
        <v>24000</v>
      </c>
      <c r="O125" s="7">
        <f>IFERROR(VLOOKUP(Tabla13[[#This Row],[Material]],[2]Consolidado!$C:$D,2,FALSE),0)</f>
        <v>48176.015295461519</v>
      </c>
      <c r="P125" s="7">
        <f>IFERROR(VLOOKUP(Tabla13[[#This Row],[Llave]],'Por despachar'!A:E,5,FALSE),0)</f>
        <v>24000</v>
      </c>
      <c r="Q125" s="14">
        <f>SUM(Tabla13[[#This Row],[Producción disponible]],Tabla13[[#This Row],[Stock al día]],Tabla13[[#This Row],[Por producir Abr.]])-SUM(Tabla13[[#This Row],[Stock por despachar N]],Tabla13[[#This Row],[Producción por despachar mes N]])</f>
        <v>176.01529546151869</v>
      </c>
      <c r="R125" s="7">
        <f>IFERROR(VLOOKUP(Tabla13[[#This Row],[Llave]],[3]Hoja2!$A:$D,4,FALSE),0)</f>
        <v>144000</v>
      </c>
      <c r="S125" s="9">
        <f>IFERROR(VLOOKUP(Tabla13[[#This Row],[Material]],[4]Hoja1!$B:$C,2,FALSE),0)</f>
        <v>24000</v>
      </c>
      <c r="T125" s="5">
        <f t="shared" si="3"/>
        <v>0</v>
      </c>
      <c r="U125" s="3">
        <f>+Tabla13[[#This Row],[Total disponible]]-Tabla13[[#This Row],[Atraso a facturar]]</f>
        <v>176.01529546151869</v>
      </c>
      <c r="V125" s="6">
        <f t="shared" si="2"/>
        <v>0</v>
      </c>
      <c r="W125" s="3" t="str">
        <f>IF(Tabla13[[#This Row],[Venta del mes]]&gt;Tabla13[[#This Row],[ RV  Venta mes n+1]],"Falta venta","-")</f>
        <v>-</v>
      </c>
      <c r="X125" s="7"/>
      <c r="Y125" s="18">
        <v>0</v>
      </c>
      <c r="Z125" s="5">
        <f>+Tabla13[[#This Row],[Atraso a facturar]]+Tabla13[[#This Row],[Venta del mes]]+Tabla13[[#This Row],[Ajuste]]</f>
        <v>0</v>
      </c>
      <c r="AA125" s="6">
        <f>+Tabla13[[#This Row],[Atraso a facturar]]+Tabla13[[#This Row],[Venta del mes]]+Tabla13[[#This Row],[En puerto a facturar]]</f>
        <v>0</v>
      </c>
      <c r="AB125" s="20">
        <f>IFERROR(VLOOKUP(Tabla13[[#This Row],[Llave]],'[5]Consolidación planes'!$A:$M,9,FALSE),0)</f>
        <v>0</v>
      </c>
      <c r="AC125" s="20">
        <f>IFERROR(VLOOKUP(Tabla13[[#This Row],[Llave]],'[5]Consolidación planes'!$A:$M,10,FALSE),0)</f>
        <v>144000</v>
      </c>
      <c r="AD125" s="20">
        <f>IFERROR(VLOOKUP(Tabla13[[#This Row],[Llave]],'[5]Consolidación planes'!$A:$M,11,FALSE),0)</f>
        <v>144000</v>
      </c>
      <c r="AE125" s="20">
        <f>IFERROR(VLOOKUP(Tabla13[[#This Row],[Llave]],'[5]Consolidación planes'!$A:$M,12,FALSE),0)</f>
        <v>120000</v>
      </c>
      <c r="AF125" s="20">
        <f>IFERROR(VLOOKUP(Tabla13[[#This Row],[Llave]],'[5]Consolidación planes'!$A:$M,13,FALSE),0)</f>
        <v>168000</v>
      </c>
    </row>
    <row r="126" spans="2:32" ht="16" hidden="1" x14ac:dyDescent="0.2">
      <c r="B126" t="str">
        <f>Tabla13[[#This Row],[Oficina]]&amp;Tabla13[[#This Row],[Material]]</f>
        <v>Agrosuper Brasil1023329</v>
      </c>
      <c r="C126" t="s">
        <v>6</v>
      </c>
      <c r="D126" t="s">
        <v>7</v>
      </c>
      <c r="E126">
        <v>1023329</v>
      </c>
      <c r="F126" t="s">
        <v>10</v>
      </c>
      <c r="G126" t="s">
        <v>8</v>
      </c>
      <c r="H126" t="s">
        <v>9</v>
      </c>
      <c r="I126" s="7">
        <f>IFERROR(VLOOKUP(Tabla13[[#This Row],[Llave]],'[1]Consolidado RV'!$B:$H,6,FALSE),0)</f>
        <v>77375.142999999996</v>
      </c>
      <c r="J126" s="3">
        <f>IFERROR(VLOOKUP(Tabla13[[#This Row],[Llave]],'[1]Consolidado RV'!$B:$H,7,FALSE),0)</f>
        <v>0</v>
      </c>
      <c r="K126" s="8">
        <f>IFERROR(VLOOKUP(Tabla13[[#This Row],[Oficina]],#REF!,2,FALSE),0)</f>
        <v>0</v>
      </c>
      <c r="L126" s="7">
        <f>+Tabla13[[#This Row],[ RV Producción mes n+1]]*Tabla13[[#This Row],[% Uti. producción]]</f>
        <v>0</v>
      </c>
      <c r="M126" s="7">
        <f>IFERROR(VLOOKUP(Tabla13[[#This Row],[Material]],#REF!,2,FALSE),0)</f>
        <v>0</v>
      </c>
      <c r="N126" s="7">
        <f>IFERROR(VLOOKUP(Tabla13[[#This Row],[Llave]],'En puerto-Programado'!A:D,4,FALSE)+VLOOKUP(Tabla13[[#This Row],[Llave]],'Por despachar'!A:F,6,FALSE),0)</f>
        <v>0</v>
      </c>
      <c r="O126" s="7">
        <f>IFERROR(VLOOKUP(Tabla13[[#This Row],[Material]],[2]Consolidado!$C:$D,2,FALSE),0)</f>
        <v>12378.989148195695</v>
      </c>
      <c r="P126" s="7">
        <f>IFERROR(VLOOKUP(Tabla13[[#This Row],[Llave]],'Por despachar'!A:E,5,FALSE),0)</f>
        <v>0</v>
      </c>
      <c r="Q126" s="14">
        <f>SUM(Tabla13[[#This Row],[Producción disponible]],Tabla13[[#This Row],[Stock al día]],Tabla13[[#This Row],[Por producir Abr.]])-SUM(Tabla13[[#This Row],[Stock por despachar N]],Tabla13[[#This Row],[Producción por despachar mes N]])</f>
        <v>12378.989148195695</v>
      </c>
      <c r="R126" s="7">
        <f>IFERROR(VLOOKUP(Tabla13[[#This Row],[Llave]],[3]Hoja2!$A:$D,4,FALSE),0)</f>
        <v>216000</v>
      </c>
      <c r="S126" s="9">
        <f>IFERROR(VLOOKUP(Tabla13[[#This Row],[Material]],[4]Hoja1!$B:$C,2,FALSE),0)</f>
        <v>24000</v>
      </c>
      <c r="T126" s="5">
        <f t="shared" si="3"/>
        <v>0</v>
      </c>
      <c r="U126" s="3">
        <f>+Tabla13[[#This Row],[Total disponible]]-Tabla13[[#This Row],[Atraso a facturar]]</f>
        <v>12378.989148195695</v>
      </c>
      <c r="V126" s="6">
        <f t="shared" si="2"/>
        <v>0</v>
      </c>
      <c r="W126" s="3" t="str">
        <f>IF(Tabla13[[#This Row],[Venta del mes]]&gt;Tabla13[[#This Row],[ RV  Venta mes n+1]],"Falta venta","-")</f>
        <v>-</v>
      </c>
      <c r="X126" s="7"/>
      <c r="Y126" s="18">
        <v>0</v>
      </c>
      <c r="Z126" s="5">
        <f>+Tabla13[[#This Row],[Atraso a facturar]]+Tabla13[[#This Row],[Venta del mes]]+Tabla13[[#This Row],[Ajuste]]</f>
        <v>0</v>
      </c>
      <c r="AA126" s="6">
        <f>+Tabla13[[#This Row],[Atraso a facturar]]+Tabla13[[#This Row],[Venta del mes]]+Tabla13[[#This Row],[En puerto a facturar]]</f>
        <v>0</v>
      </c>
      <c r="AB126" s="20">
        <f>IFERROR(VLOOKUP(Tabla13[[#This Row],[Llave]],'[5]Consolidación planes'!$A:$M,9,FALSE),0)</f>
        <v>0</v>
      </c>
      <c r="AC126" s="20">
        <f>IFERROR(VLOOKUP(Tabla13[[#This Row],[Llave]],'[5]Consolidación planes'!$A:$M,10,FALSE),0)</f>
        <v>24000</v>
      </c>
      <c r="AD126" s="20">
        <f>IFERROR(VLOOKUP(Tabla13[[#This Row],[Llave]],'[5]Consolidación planes'!$A:$M,11,FALSE),0)</f>
        <v>72000</v>
      </c>
      <c r="AE126" s="20">
        <f>IFERROR(VLOOKUP(Tabla13[[#This Row],[Llave]],'[5]Consolidación planes'!$A:$M,12,FALSE),0)</f>
        <v>24000</v>
      </c>
      <c r="AF126" s="20">
        <f>IFERROR(VLOOKUP(Tabla13[[#This Row],[Llave]],'[5]Consolidación planes'!$A:$M,13,FALSE),0)</f>
        <v>72000</v>
      </c>
    </row>
    <row r="127" spans="2:32" ht="16" hidden="1" x14ac:dyDescent="0.2">
      <c r="B127" t="str">
        <f>Tabla13[[#This Row],[Oficina]]&amp;Tabla13[[#This Row],[Material]]</f>
        <v>Agrosuper Brasil1023334</v>
      </c>
      <c r="C127" t="s">
        <v>6</v>
      </c>
      <c r="D127" t="s">
        <v>7</v>
      </c>
      <c r="E127">
        <v>1023334</v>
      </c>
      <c r="F127" t="s">
        <v>276</v>
      </c>
      <c r="G127" t="s">
        <v>8</v>
      </c>
      <c r="H127" t="s">
        <v>32</v>
      </c>
      <c r="I127" s="7">
        <f>IFERROR(VLOOKUP(Tabla13[[#This Row],[Llave]],'[1]Consolidado RV'!$B:$H,6,FALSE),0)</f>
        <v>1.4551915228366852E-11</v>
      </c>
      <c r="J127" s="3">
        <f>IFERROR(VLOOKUP(Tabla13[[#This Row],[Llave]],'[1]Consolidado RV'!$B:$H,7,FALSE),0)</f>
        <v>10599.197</v>
      </c>
      <c r="K127" s="8">
        <f>IFERROR(VLOOKUP(Tabla13[[#This Row],[Oficina]],#REF!,2,FALSE),0)</f>
        <v>0</v>
      </c>
      <c r="L127" s="7">
        <f>+Tabla13[[#This Row],[ RV Producción mes n+1]]*Tabla13[[#This Row],[% Uti. producción]]</f>
        <v>0</v>
      </c>
      <c r="M127" s="7">
        <f>IFERROR(VLOOKUP(Tabla13[[#This Row],[Material]],#REF!,2,FALSE),0)</f>
        <v>0</v>
      </c>
      <c r="N127" s="7">
        <f>IFERROR(VLOOKUP(Tabla13[[#This Row],[Llave]],'En puerto-Programado'!A:D,4,FALSE)+VLOOKUP(Tabla13[[#This Row],[Llave]],'Por despachar'!A:F,6,FALSE),0)</f>
        <v>0</v>
      </c>
      <c r="O127" s="7">
        <f>IFERROR(VLOOKUP(Tabla13[[#This Row],[Material]],[2]Consolidado!$C:$D,2,FALSE),0)</f>
        <v>104944.13950118097</v>
      </c>
      <c r="P127" s="7">
        <f>IFERROR(VLOOKUP(Tabla13[[#This Row],[Llave]],'Por despachar'!A:E,5,FALSE),0)</f>
        <v>120000</v>
      </c>
      <c r="Q127" s="14">
        <f>SUM(Tabla13[[#This Row],[Producción disponible]],Tabla13[[#This Row],[Stock al día]],Tabla13[[#This Row],[Por producir Abr.]])-SUM(Tabla13[[#This Row],[Stock por despachar N]],Tabla13[[#This Row],[Producción por despachar mes N]])</f>
        <v>-15055.860498819035</v>
      </c>
      <c r="R127" s="7">
        <f>IFERROR(VLOOKUP(Tabla13[[#This Row],[Llave]],[3]Hoja2!$A:$D,4,FALSE),0)</f>
        <v>312000</v>
      </c>
      <c r="S127" s="9">
        <f>IFERROR(VLOOKUP(Tabla13[[#This Row],[Material]],[4]Hoja1!$B:$C,2,FALSE),0)</f>
        <v>24000</v>
      </c>
      <c r="T127" s="5">
        <f t="shared" si="3"/>
        <v>0</v>
      </c>
      <c r="U127" s="3">
        <f>+Tabla13[[#This Row],[Total disponible]]-Tabla13[[#This Row],[Atraso a facturar]]</f>
        <v>-15055.860498819035</v>
      </c>
      <c r="V127" s="6">
        <f t="shared" si="2"/>
        <v>0</v>
      </c>
      <c r="W127" s="3" t="str">
        <f>IF(Tabla13[[#This Row],[Venta del mes]]&gt;Tabla13[[#This Row],[ RV  Venta mes n+1]],"Falta venta","-")</f>
        <v>-</v>
      </c>
      <c r="X127" s="7"/>
      <c r="Y127" s="18">
        <v>0</v>
      </c>
      <c r="Z127" s="5">
        <f>+Tabla13[[#This Row],[Atraso a facturar]]+Tabla13[[#This Row],[Venta del mes]]+Tabla13[[#This Row],[Ajuste]]</f>
        <v>0</v>
      </c>
      <c r="AA127" s="6">
        <f>+Tabla13[[#This Row],[Atraso a facturar]]+Tabla13[[#This Row],[Venta del mes]]+Tabla13[[#This Row],[En puerto a facturar]]</f>
        <v>0</v>
      </c>
      <c r="AB127" s="20">
        <f>IFERROR(VLOOKUP(Tabla13[[#This Row],[Llave]],'[5]Consolidación planes'!$A:$M,9,FALSE),0)</f>
        <v>0</v>
      </c>
      <c r="AC127" s="20">
        <f>IFERROR(VLOOKUP(Tabla13[[#This Row],[Llave]],'[5]Consolidación planes'!$A:$M,10,FALSE),0)</f>
        <v>72000</v>
      </c>
      <c r="AD127" s="20">
        <f>IFERROR(VLOOKUP(Tabla13[[#This Row],[Llave]],'[5]Consolidación planes'!$A:$M,11,FALSE),0)</f>
        <v>144000</v>
      </c>
      <c r="AE127" s="20">
        <f>IFERROR(VLOOKUP(Tabla13[[#This Row],[Llave]],'[5]Consolidación planes'!$A:$M,12,FALSE),0)</f>
        <v>168000</v>
      </c>
      <c r="AF127" s="20">
        <f>IFERROR(VLOOKUP(Tabla13[[#This Row],[Llave]],'[5]Consolidación planes'!$A:$M,13,FALSE),0)</f>
        <v>48000</v>
      </c>
    </row>
    <row r="128" spans="2:32" ht="16" hidden="1" x14ac:dyDescent="0.2">
      <c r="B128" t="str">
        <f>Tabla13[[#This Row],[Oficina]]&amp;Tabla13[[#This Row],[Material]]</f>
        <v>Agrosuper Brasil1023336</v>
      </c>
      <c r="C128" t="s">
        <v>6</v>
      </c>
      <c r="D128" t="s">
        <v>7</v>
      </c>
      <c r="E128">
        <v>1023336</v>
      </c>
      <c r="F128" t="s">
        <v>276</v>
      </c>
      <c r="G128" t="s">
        <v>8</v>
      </c>
      <c r="H128" t="s">
        <v>32</v>
      </c>
      <c r="I128" s="7">
        <f>IFERROR(VLOOKUP(Tabla13[[#This Row],[Llave]],'[1]Consolidado RV'!$B:$H,6,FALSE),0)</f>
        <v>0</v>
      </c>
      <c r="J128" s="3">
        <f>IFERROR(VLOOKUP(Tabla13[[#This Row],[Llave]],'[1]Consolidado RV'!$B:$H,7,FALSE),0)</f>
        <v>0</v>
      </c>
      <c r="K128" s="8">
        <f>IFERROR(VLOOKUP(Tabla13[[#This Row],[Oficina]],#REF!,2,FALSE),0)</f>
        <v>0</v>
      </c>
      <c r="L128" s="7">
        <f>+Tabla13[[#This Row],[ RV Producción mes n+1]]*Tabla13[[#This Row],[% Uti. producción]]</f>
        <v>0</v>
      </c>
      <c r="M128" s="7">
        <f>IFERROR(VLOOKUP(Tabla13[[#This Row],[Material]],#REF!,2,FALSE),0)</f>
        <v>0</v>
      </c>
      <c r="N128" s="7">
        <f>IFERROR(VLOOKUP(Tabla13[[#This Row],[Llave]],'En puerto-Programado'!A:D,4,FALSE)+VLOOKUP(Tabla13[[#This Row],[Llave]],'Por despachar'!A:F,6,FALSE),0)</f>
        <v>0</v>
      </c>
      <c r="O128" s="7">
        <f>IFERROR(VLOOKUP(Tabla13[[#This Row],[Material]],[2]Consolidado!$C:$D,2,FALSE),0)</f>
        <v>23144.596772112629</v>
      </c>
      <c r="P128" s="7">
        <f>IFERROR(VLOOKUP(Tabla13[[#This Row],[Llave]],'Por despachar'!A:E,5,FALSE),0)</f>
        <v>0</v>
      </c>
      <c r="Q128" s="14">
        <f>SUM(Tabla13[[#This Row],[Producción disponible]],Tabla13[[#This Row],[Stock al día]],Tabla13[[#This Row],[Por producir Abr.]])-SUM(Tabla13[[#This Row],[Stock por despachar N]],Tabla13[[#This Row],[Producción por despachar mes N]])</f>
        <v>23144.596772112629</v>
      </c>
      <c r="R128" s="7">
        <f>IFERROR(VLOOKUP(Tabla13[[#This Row],[Llave]],[3]Hoja2!$A:$D,4,FALSE),0)</f>
        <v>24000</v>
      </c>
      <c r="S128" s="9">
        <f>IFERROR(VLOOKUP(Tabla13[[#This Row],[Material]],[4]Hoja1!$B:$C,2,FALSE),0)</f>
        <v>24000</v>
      </c>
      <c r="T128" s="5">
        <f t="shared" si="3"/>
        <v>0</v>
      </c>
      <c r="U128" s="3">
        <f>+Tabla13[[#This Row],[Total disponible]]-Tabla13[[#This Row],[Atraso a facturar]]</f>
        <v>23144.596772112629</v>
      </c>
      <c r="V128" s="6">
        <f t="shared" si="2"/>
        <v>0</v>
      </c>
      <c r="W128" s="3" t="str">
        <f>IF(Tabla13[[#This Row],[Venta del mes]]&gt;Tabla13[[#This Row],[ RV  Venta mes n+1]],"Falta venta","-")</f>
        <v>-</v>
      </c>
      <c r="X128" s="7"/>
      <c r="Y128" s="18">
        <v>0</v>
      </c>
      <c r="Z128" s="5">
        <f>+Tabla13[[#This Row],[Atraso a facturar]]+Tabla13[[#This Row],[Venta del mes]]+Tabla13[[#This Row],[Ajuste]]</f>
        <v>0</v>
      </c>
      <c r="AA128" s="6">
        <f>+Tabla13[[#This Row],[Atraso a facturar]]+Tabla13[[#This Row],[Venta del mes]]+Tabla13[[#This Row],[En puerto a facturar]]</f>
        <v>0</v>
      </c>
      <c r="AB128" s="20">
        <f>IFERROR(VLOOKUP(Tabla13[[#This Row],[Llave]],'[5]Consolidación planes'!$A:$M,9,FALSE),0)</f>
        <v>0</v>
      </c>
      <c r="AC128" s="20">
        <f>IFERROR(VLOOKUP(Tabla13[[#This Row],[Llave]],'[5]Consolidación planes'!$A:$M,10,FALSE),0)</f>
        <v>24000</v>
      </c>
      <c r="AD128" s="20">
        <f>IFERROR(VLOOKUP(Tabla13[[#This Row],[Llave]],'[5]Consolidación planes'!$A:$M,11,FALSE),0)</f>
        <v>24000</v>
      </c>
      <c r="AE128" s="20">
        <f>IFERROR(VLOOKUP(Tabla13[[#This Row],[Llave]],'[5]Consolidación planes'!$A:$M,12,FALSE),0)</f>
        <v>24000</v>
      </c>
      <c r="AF128" s="20">
        <f>IFERROR(VLOOKUP(Tabla13[[#This Row],[Llave]],'[5]Consolidación planes'!$A:$M,13,FALSE),0)</f>
        <v>72000</v>
      </c>
    </row>
    <row r="129" spans="2:32" ht="16" hidden="1" x14ac:dyDescent="0.2">
      <c r="B129" t="str">
        <f>Tabla13[[#This Row],[Oficina]]&amp;Tabla13[[#This Row],[Material]]</f>
        <v>Agrosuper Shanghai1021115</v>
      </c>
      <c r="C129" t="s">
        <v>6</v>
      </c>
      <c r="D129" t="s">
        <v>140</v>
      </c>
      <c r="E129">
        <v>1021115</v>
      </c>
      <c r="F129" t="s">
        <v>172</v>
      </c>
      <c r="G129" t="s">
        <v>76</v>
      </c>
      <c r="H129" t="s">
        <v>84</v>
      </c>
      <c r="I129" s="7">
        <f>IFERROR(VLOOKUP(Tabla13[[#This Row],[Llave]],'[1]Consolidado RV'!$B:$H,6,FALSE),0)</f>
        <v>0</v>
      </c>
      <c r="J129" s="3">
        <f>IFERROR(VLOOKUP(Tabla13[[#This Row],[Llave]],'[1]Consolidado RV'!$B:$H,7,FALSE),0)</f>
        <v>30323</v>
      </c>
      <c r="K129" s="8">
        <f>IFERROR(VLOOKUP(Tabla13[[#This Row],[Oficina]],#REF!,2,FALSE),0)</f>
        <v>0</v>
      </c>
      <c r="L129" s="7">
        <f>+Tabla13[[#This Row],[ RV Producción mes n+1]]*Tabla13[[#This Row],[% Uti. producción]]</f>
        <v>0</v>
      </c>
      <c r="M129" s="7">
        <f>IFERROR(VLOOKUP(Tabla13[[#This Row],[Material]],#REF!,2,FALSE),0)</f>
        <v>0</v>
      </c>
      <c r="N129" s="7">
        <f>IFERROR(VLOOKUP(Tabla13[[#This Row],[Llave]],'En puerto-Programado'!A:D,4,FALSE)+VLOOKUP(Tabla13[[#This Row],[Llave]],'Por despachar'!A:F,6,FALSE),0)</f>
        <v>0</v>
      </c>
      <c r="O129" s="7">
        <f>IFERROR(VLOOKUP(Tabla13[[#This Row],[Material]],[2]Consolidado!$C:$D,2,FALSE),0)</f>
        <v>13554.716981132078</v>
      </c>
      <c r="P129" s="7">
        <f>IFERROR(VLOOKUP(Tabla13[[#This Row],[Llave]],'Por despachar'!A:E,5,FALSE),0)</f>
        <v>0</v>
      </c>
      <c r="Q129" s="14">
        <f>SUM(Tabla13[[#This Row],[Producción disponible]],Tabla13[[#This Row],[Stock al día]],Tabla13[[#This Row],[Por producir Abr.]])-SUM(Tabla13[[#This Row],[Stock por despachar N]],Tabla13[[#This Row],[Producción por despachar mes N]])</f>
        <v>13554.716981132078</v>
      </c>
      <c r="R129" s="7">
        <f>IFERROR(VLOOKUP(Tabla13[[#This Row],[Llave]],[3]Hoja2!$A:$D,4,FALSE),0)</f>
        <v>0</v>
      </c>
      <c r="S129" s="9">
        <f>IFERROR(VLOOKUP(Tabla13[[#This Row],[Material]],[4]Hoja1!$B:$C,2,FALSE),0)</f>
        <v>24000</v>
      </c>
      <c r="T129" s="5">
        <f t="shared" si="3"/>
        <v>0</v>
      </c>
      <c r="U129" s="3">
        <f>+Tabla13[[#This Row],[Total disponible]]-Tabla13[[#This Row],[Atraso a facturar]]</f>
        <v>13554.716981132078</v>
      </c>
      <c r="V129" s="6">
        <f t="shared" si="2"/>
        <v>0</v>
      </c>
      <c r="W129" s="3" t="str">
        <f>IF(Tabla13[[#This Row],[Venta del mes]]&gt;Tabla13[[#This Row],[ RV  Venta mes n+1]],"Falta venta","-")</f>
        <v>-</v>
      </c>
      <c r="X129" s="7"/>
      <c r="Y129" s="18">
        <v>0</v>
      </c>
      <c r="Z129" s="5">
        <f>+Tabla13[[#This Row],[Atraso a facturar]]+Tabla13[[#This Row],[Venta del mes]]+Tabla13[[#This Row],[Ajuste]]</f>
        <v>0</v>
      </c>
      <c r="AA129" s="6">
        <f>+Tabla13[[#This Row],[Atraso a facturar]]+Tabla13[[#This Row],[Venta del mes]]+Tabla13[[#This Row],[En puerto a facturar]]</f>
        <v>0</v>
      </c>
      <c r="AB129" s="20">
        <f>IFERROR(VLOOKUP(Tabla13[[#This Row],[Llave]],'[5]Consolidación planes'!$A:$M,9,FALSE),0)</f>
        <v>72000</v>
      </c>
      <c r="AC129" s="20">
        <f>IFERROR(VLOOKUP(Tabla13[[#This Row],[Llave]],'[5]Consolidación planes'!$A:$M,10,FALSE),0)</f>
        <v>48000</v>
      </c>
      <c r="AD129" s="20">
        <f>IFERROR(VLOOKUP(Tabla13[[#This Row],[Llave]],'[5]Consolidación planes'!$A:$M,11,FALSE),0)</f>
        <v>24000</v>
      </c>
      <c r="AE129" s="20">
        <f>IFERROR(VLOOKUP(Tabla13[[#This Row],[Llave]],'[5]Consolidación planes'!$A:$M,12,FALSE),0)</f>
        <v>48000</v>
      </c>
      <c r="AF129" s="20">
        <f>IFERROR(VLOOKUP(Tabla13[[#This Row],[Llave]],'[5]Consolidación planes'!$A:$M,13,FALSE),0)</f>
        <v>48000</v>
      </c>
    </row>
    <row r="130" spans="2:32" ht="16" hidden="1" x14ac:dyDescent="0.2">
      <c r="B130" t="str">
        <f>Tabla13[[#This Row],[Oficina]]&amp;Tabla13[[#This Row],[Material]]</f>
        <v>Agrosuper Shanghai1021731</v>
      </c>
      <c r="C130" t="s">
        <v>6</v>
      </c>
      <c r="D130" t="s">
        <v>140</v>
      </c>
      <c r="E130">
        <v>1021731</v>
      </c>
      <c r="F130" t="s">
        <v>161</v>
      </c>
      <c r="G130" t="s">
        <v>159</v>
      </c>
      <c r="H130" t="s">
        <v>160</v>
      </c>
      <c r="I130" s="7">
        <f>IFERROR(VLOOKUP(Tabla13[[#This Row],[Llave]],'[1]Consolidado RV'!$B:$H,6,FALSE),0)</f>
        <v>432080.81000000006</v>
      </c>
      <c r="J130" s="3">
        <f>IFERROR(VLOOKUP(Tabla13[[#This Row],[Llave]],'[1]Consolidado RV'!$B:$H,7,FALSE),0)</f>
        <v>318328.59920000006</v>
      </c>
      <c r="K130" s="8">
        <f>IFERROR(VLOOKUP(Tabla13[[#This Row],[Oficina]],#REF!,2,FALSE),0)</f>
        <v>0</v>
      </c>
      <c r="L130" s="7">
        <f>+Tabla13[[#This Row],[ RV Producción mes n+1]]*Tabla13[[#This Row],[% Uti. producción]]</f>
        <v>0</v>
      </c>
      <c r="M130" s="7">
        <f>IFERROR(VLOOKUP(Tabla13[[#This Row],[Material]],#REF!,2,FALSE),0)</f>
        <v>0</v>
      </c>
      <c r="N130" s="7">
        <f>IFERROR(VLOOKUP(Tabla13[[#This Row],[Llave]],'En puerto-Programado'!A:D,4,FALSE)+VLOOKUP(Tabla13[[#This Row],[Llave]],'Por despachar'!A:F,6,FALSE),0)</f>
        <v>0</v>
      </c>
      <c r="O130" s="7">
        <f>IFERROR(VLOOKUP(Tabla13[[#This Row],[Material]],[2]Consolidado!$C:$D,2,FALSE),0)</f>
        <v>131490.15456000002</v>
      </c>
      <c r="P130" s="7">
        <f>IFERROR(VLOOKUP(Tabla13[[#This Row],[Llave]],'Por despachar'!A:E,5,FALSE),0)</f>
        <v>0</v>
      </c>
      <c r="Q130" s="14">
        <f>SUM(Tabla13[[#This Row],[Producción disponible]],Tabla13[[#This Row],[Stock al día]],Tabla13[[#This Row],[Por producir Abr.]])-SUM(Tabla13[[#This Row],[Stock por despachar N]],Tabla13[[#This Row],[Producción por despachar mes N]])</f>
        <v>131490.15456000002</v>
      </c>
      <c r="R130" s="7">
        <f>IFERROR(VLOOKUP(Tabla13[[#This Row],[Llave]],[3]Hoja2!$A:$D,4,FALSE),0)</f>
        <v>240000</v>
      </c>
      <c r="S130" s="9">
        <f>IFERROR(VLOOKUP(Tabla13[[#This Row],[Material]],[4]Hoja1!$B:$C,2,FALSE),0)</f>
        <v>24000</v>
      </c>
      <c r="T130" s="5">
        <f t="shared" si="3"/>
        <v>120000</v>
      </c>
      <c r="U130" s="3">
        <f>+Tabla13[[#This Row],[Total disponible]]-Tabla13[[#This Row],[Atraso a facturar]]</f>
        <v>11490.154560000025</v>
      </c>
      <c r="V130" s="6">
        <f t="shared" si="2"/>
        <v>0</v>
      </c>
      <c r="W130" s="3" t="str">
        <f>IF(Tabla13[[#This Row],[Venta del mes]]&gt;Tabla13[[#This Row],[ RV  Venta mes n+1]],"Falta venta","-")</f>
        <v>-</v>
      </c>
      <c r="X130" s="7"/>
      <c r="Y130" s="18">
        <v>0</v>
      </c>
      <c r="Z130" s="5">
        <f>+Tabla13[[#This Row],[Atraso a facturar]]+Tabla13[[#This Row],[Venta del mes]]+Tabla13[[#This Row],[Ajuste]]</f>
        <v>120000</v>
      </c>
      <c r="AA130" s="6">
        <f>+Tabla13[[#This Row],[Atraso a facturar]]+Tabla13[[#This Row],[Venta del mes]]+Tabla13[[#This Row],[En puerto a facturar]]</f>
        <v>120000</v>
      </c>
      <c r="AB130" s="20">
        <f>IFERROR(VLOOKUP(Tabla13[[#This Row],[Llave]],'[5]Consolidación planes'!$A:$M,9,FALSE),0)</f>
        <v>312000</v>
      </c>
      <c r="AC130" s="20">
        <f>IFERROR(VLOOKUP(Tabla13[[#This Row],[Llave]],'[5]Consolidación planes'!$A:$M,10,FALSE),0)</f>
        <v>216000</v>
      </c>
      <c r="AD130" s="20">
        <f>IFERROR(VLOOKUP(Tabla13[[#This Row],[Llave]],'[5]Consolidación planes'!$A:$M,11,FALSE),0)</f>
        <v>216000</v>
      </c>
      <c r="AE130" s="20">
        <f>IFERROR(VLOOKUP(Tabla13[[#This Row],[Llave]],'[5]Consolidación planes'!$A:$M,12,FALSE),0)</f>
        <v>144000</v>
      </c>
      <c r="AF130" s="20">
        <f>IFERROR(VLOOKUP(Tabla13[[#This Row],[Llave]],'[5]Consolidación planes'!$A:$M,13,FALSE),0)</f>
        <v>168000</v>
      </c>
    </row>
    <row r="131" spans="2:32" ht="16" hidden="1" x14ac:dyDescent="0.2">
      <c r="B131" t="str">
        <f>Tabla13[[#This Row],[Oficina]]&amp;Tabla13[[#This Row],[Material]]</f>
        <v>Agrosuper Shanghai1021733</v>
      </c>
      <c r="C131" t="s">
        <v>6</v>
      </c>
      <c r="D131" t="s">
        <v>140</v>
      </c>
      <c r="E131">
        <v>1021733</v>
      </c>
      <c r="F131" t="s">
        <v>166</v>
      </c>
      <c r="G131" t="s">
        <v>59</v>
      </c>
      <c r="H131" t="s">
        <v>62</v>
      </c>
      <c r="I131" s="7">
        <f>IFERROR(VLOOKUP(Tabla13[[#This Row],[Llave]],'[1]Consolidado RV'!$B:$H,6,FALSE),0)</f>
        <v>0</v>
      </c>
      <c r="J131" s="3">
        <f>IFERROR(VLOOKUP(Tabla13[[#This Row],[Llave]],'[1]Consolidado RV'!$B:$H,7,FALSE),0)</f>
        <v>0</v>
      </c>
      <c r="K131" s="8">
        <f>IFERROR(VLOOKUP(Tabla13[[#This Row],[Oficina]],#REF!,2,FALSE),0)</f>
        <v>0</v>
      </c>
      <c r="L131" s="7">
        <f>+Tabla13[[#This Row],[ RV Producción mes n+1]]*Tabla13[[#This Row],[% Uti. producción]]</f>
        <v>0</v>
      </c>
      <c r="M131" s="7">
        <f>IFERROR(VLOOKUP(Tabla13[[#This Row],[Material]],#REF!,2,FALSE),0)</f>
        <v>0</v>
      </c>
      <c r="N131" s="7">
        <f>IFERROR(VLOOKUP(Tabla13[[#This Row],[Llave]],'En puerto-Programado'!A:D,4,FALSE)+VLOOKUP(Tabla13[[#This Row],[Llave]],'Por despachar'!A:F,6,FALSE),0)</f>
        <v>0</v>
      </c>
      <c r="O131" s="7">
        <f>IFERROR(VLOOKUP(Tabla13[[#This Row],[Material]],[2]Consolidado!$C:$D,2,FALSE),0)</f>
        <v>0</v>
      </c>
      <c r="P131" s="7">
        <f>IFERROR(VLOOKUP(Tabla13[[#This Row],[Llave]],'Por despachar'!A:E,5,FALSE),0)</f>
        <v>0</v>
      </c>
      <c r="Q13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31" s="7">
        <f>IFERROR(VLOOKUP(Tabla13[[#This Row],[Llave]],[3]Hoja2!$A:$D,4,FALSE),0)</f>
        <v>0</v>
      </c>
      <c r="S131" s="9">
        <f>IFERROR(VLOOKUP(Tabla13[[#This Row],[Material]],[4]Hoja1!$B:$C,2,FALSE),0)</f>
        <v>24000</v>
      </c>
      <c r="T131" s="5">
        <f t="shared" si="3"/>
        <v>0</v>
      </c>
      <c r="U131" s="3">
        <f>+Tabla13[[#This Row],[Total disponible]]-Tabla13[[#This Row],[Atraso a facturar]]</f>
        <v>0</v>
      </c>
      <c r="V131" s="6">
        <f t="shared" si="2"/>
        <v>0</v>
      </c>
      <c r="W131" s="3" t="str">
        <f>IF(Tabla13[[#This Row],[Venta del mes]]&gt;Tabla13[[#This Row],[ RV  Venta mes n+1]],"Falta venta","-")</f>
        <v>-</v>
      </c>
      <c r="X131" s="7"/>
      <c r="Y131" s="18">
        <v>0</v>
      </c>
      <c r="Z131" s="5">
        <f>+Tabla13[[#This Row],[Atraso a facturar]]+Tabla13[[#This Row],[Venta del mes]]+Tabla13[[#This Row],[Ajuste]]</f>
        <v>0</v>
      </c>
      <c r="AA131" s="6">
        <f>+Tabla13[[#This Row],[Atraso a facturar]]+Tabla13[[#This Row],[Venta del mes]]+Tabla13[[#This Row],[En puerto a facturar]]</f>
        <v>0</v>
      </c>
      <c r="AB131" s="20">
        <f>IFERROR(VLOOKUP(Tabla13[[#This Row],[Llave]],'[5]Consolidación planes'!$A:$M,9,FALSE),0)</f>
        <v>96000</v>
      </c>
      <c r="AC131" s="20">
        <f>IFERROR(VLOOKUP(Tabla13[[#This Row],[Llave]],'[5]Consolidación planes'!$A:$M,10,FALSE),0)</f>
        <v>0</v>
      </c>
      <c r="AD131" s="20">
        <f>IFERROR(VLOOKUP(Tabla13[[#This Row],[Llave]],'[5]Consolidación planes'!$A:$M,11,FALSE),0)</f>
        <v>0</v>
      </c>
      <c r="AE131" s="20">
        <f>IFERROR(VLOOKUP(Tabla13[[#This Row],[Llave]],'[5]Consolidación planes'!$A:$M,12,FALSE),0)</f>
        <v>72000</v>
      </c>
      <c r="AF131" s="20">
        <f>IFERROR(VLOOKUP(Tabla13[[#This Row],[Llave]],'[5]Consolidación planes'!$A:$M,13,FALSE),0)</f>
        <v>24000</v>
      </c>
    </row>
    <row r="132" spans="2:32" ht="16" hidden="1" x14ac:dyDescent="0.2">
      <c r="B132" t="str">
        <f>Tabla13[[#This Row],[Oficina]]&amp;Tabla13[[#This Row],[Material]]</f>
        <v>Agrosuper Shanghai1021735</v>
      </c>
      <c r="C132" t="s">
        <v>6</v>
      </c>
      <c r="D132" t="s">
        <v>140</v>
      </c>
      <c r="E132">
        <v>1021735</v>
      </c>
      <c r="F132" t="s">
        <v>169</v>
      </c>
      <c r="G132" t="s">
        <v>76</v>
      </c>
      <c r="H132" t="s">
        <v>77</v>
      </c>
      <c r="I132" s="7">
        <f>IFERROR(VLOOKUP(Tabla13[[#This Row],[Llave]],'[1]Consolidado RV'!$B:$H,6,FALSE),0)</f>
        <v>81859.392000000007</v>
      </c>
      <c r="J132" s="3">
        <f>IFERROR(VLOOKUP(Tabla13[[#This Row],[Llave]],'[1]Consolidado RV'!$B:$H,7,FALSE),0)</f>
        <v>37251.842000000019</v>
      </c>
      <c r="K132" s="8">
        <f>IFERROR(VLOOKUP(Tabla13[[#This Row],[Oficina]],#REF!,2,FALSE),0)</f>
        <v>0</v>
      </c>
      <c r="L132" s="7">
        <f>+Tabla13[[#This Row],[ RV Producción mes n+1]]*Tabla13[[#This Row],[% Uti. producción]]</f>
        <v>0</v>
      </c>
      <c r="M132" s="7">
        <f>IFERROR(VLOOKUP(Tabla13[[#This Row],[Material]],#REF!,2,FALSE),0)</f>
        <v>0</v>
      </c>
      <c r="N132" s="7">
        <f>IFERROR(VLOOKUP(Tabla13[[#This Row],[Llave]],'En puerto-Programado'!A:D,4,FALSE)+VLOOKUP(Tabla13[[#This Row],[Llave]],'Por despachar'!A:F,6,FALSE),0)</f>
        <v>24000</v>
      </c>
      <c r="O132" s="7">
        <f>IFERROR(VLOOKUP(Tabla13[[#This Row],[Material]],[2]Consolidado!$C:$D,2,FALSE),0)</f>
        <v>59390.280000000006</v>
      </c>
      <c r="P132" s="7">
        <f>IFERROR(VLOOKUP(Tabla13[[#This Row],[Llave]],'Por despachar'!A:E,5,FALSE),0)</f>
        <v>0</v>
      </c>
      <c r="Q132" s="14">
        <f>SUM(Tabla13[[#This Row],[Producción disponible]],Tabla13[[#This Row],[Stock al día]],Tabla13[[#This Row],[Por producir Abr.]])-SUM(Tabla13[[#This Row],[Stock por despachar N]],Tabla13[[#This Row],[Producción por despachar mes N]])</f>
        <v>35390.280000000006</v>
      </c>
      <c r="R132" s="7">
        <f>IFERROR(VLOOKUP(Tabla13[[#This Row],[Llave]],[3]Hoja2!$A:$D,4,FALSE),0)</f>
        <v>72000</v>
      </c>
      <c r="S132" s="9">
        <f>IFERROR(VLOOKUP(Tabla13[[#This Row],[Material]],[4]Hoja1!$B:$C,2,FALSE),0)</f>
        <v>24000</v>
      </c>
      <c r="T132" s="5">
        <f t="shared" si="3"/>
        <v>24000</v>
      </c>
      <c r="U132" s="3">
        <f>+Tabla13[[#This Row],[Total disponible]]-Tabla13[[#This Row],[Atraso a facturar]]</f>
        <v>11390.280000000006</v>
      </c>
      <c r="V132" s="6">
        <f t="shared" si="2"/>
        <v>0</v>
      </c>
      <c r="W132" s="3" t="str">
        <f>IF(Tabla13[[#This Row],[Venta del mes]]&gt;Tabla13[[#This Row],[ RV  Venta mes n+1]],"Falta venta","-")</f>
        <v>-</v>
      </c>
      <c r="X132" s="7"/>
      <c r="Y132" s="18">
        <v>0</v>
      </c>
      <c r="Z132" s="5">
        <f>+Tabla13[[#This Row],[Atraso a facturar]]+Tabla13[[#This Row],[Venta del mes]]+Tabla13[[#This Row],[Ajuste]]</f>
        <v>24000</v>
      </c>
      <c r="AA132" s="6">
        <f>+Tabla13[[#This Row],[Atraso a facturar]]+Tabla13[[#This Row],[Venta del mes]]+Tabla13[[#This Row],[En puerto a facturar]]</f>
        <v>24000</v>
      </c>
      <c r="AB132" s="20">
        <f>IFERROR(VLOOKUP(Tabla13[[#This Row],[Llave]],'[5]Consolidación planes'!$A:$M,9,FALSE),0)</f>
        <v>240000</v>
      </c>
      <c r="AC132" s="20">
        <f>IFERROR(VLOOKUP(Tabla13[[#This Row],[Llave]],'[5]Consolidación planes'!$A:$M,10,FALSE),0)</f>
        <v>96000</v>
      </c>
      <c r="AD132" s="20">
        <f>IFERROR(VLOOKUP(Tabla13[[#This Row],[Llave]],'[5]Consolidación planes'!$A:$M,11,FALSE),0)</f>
        <v>96000</v>
      </c>
      <c r="AE132" s="20">
        <f>IFERROR(VLOOKUP(Tabla13[[#This Row],[Llave]],'[5]Consolidación planes'!$A:$M,12,FALSE),0)</f>
        <v>0</v>
      </c>
      <c r="AF132" s="20">
        <f>IFERROR(VLOOKUP(Tabla13[[#This Row],[Llave]],'[5]Consolidación planes'!$A:$M,13,FALSE),0)</f>
        <v>186020</v>
      </c>
    </row>
    <row r="133" spans="2:32" ht="16" hidden="1" x14ac:dyDescent="0.2">
      <c r="B133" t="str">
        <f>Tabla13[[#This Row],[Oficina]]&amp;Tabla13[[#This Row],[Material]]</f>
        <v>Agrosuper Shanghai1021738</v>
      </c>
      <c r="C133" t="s">
        <v>6</v>
      </c>
      <c r="D133" t="s">
        <v>140</v>
      </c>
      <c r="E133">
        <v>1021738</v>
      </c>
      <c r="F133" t="s">
        <v>170</v>
      </c>
      <c r="G133" t="s">
        <v>76</v>
      </c>
      <c r="H133" t="s">
        <v>77</v>
      </c>
      <c r="I133" s="7">
        <f>IFERROR(VLOOKUP(Tabla13[[#This Row],[Llave]],'[1]Consolidado RV'!$B:$H,6,FALSE),0)</f>
        <v>0</v>
      </c>
      <c r="J133" s="3">
        <f>IFERROR(VLOOKUP(Tabla13[[#This Row],[Llave]],'[1]Consolidado RV'!$B:$H,7,FALSE),0)</f>
        <v>0</v>
      </c>
      <c r="K133" s="8">
        <f>IFERROR(VLOOKUP(Tabla13[[#This Row],[Oficina]],#REF!,2,FALSE),0)</f>
        <v>0</v>
      </c>
      <c r="L133" s="7">
        <f>+Tabla13[[#This Row],[ RV Producción mes n+1]]*Tabla13[[#This Row],[% Uti. producción]]</f>
        <v>0</v>
      </c>
      <c r="M133" s="7">
        <f>IFERROR(VLOOKUP(Tabla13[[#This Row],[Material]],#REF!,2,FALSE),0)</f>
        <v>0</v>
      </c>
      <c r="N133" s="7">
        <f>IFERROR(VLOOKUP(Tabla13[[#This Row],[Llave]],'En puerto-Programado'!A:D,4,FALSE)+VLOOKUP(Tabla13[[#This Row],[Llave]],'Por despachar'!A:F,6,FALSE),0)</f>
        <v>0</v>
      </c>
      <c r="O133" s="7">
        <f>IFERROR(VLOOKUP(Tabla13[[#This Row],[Material]],[2]Consolidado!$C:$D,2,FALSE),0)</f>
        <v>33897.881600000001</v>
      </c>
      <c r="P133" s="7">
        <f>IFERROR(VLOOKUP(Tabla13[[#This Row],[Llave]],'Por despachar'!A:E,5,FALSE),0)</f>
        <v>0</v>
      </c>
      <c r="Q133" s="14">
        <f>SUM(Tabla13[[#This Row],[Producción disponible]],Tabla13[[#This Row],[Stock al día]],Tabla13[[#This Row],[Por producir Abr.]])-SUM(Tabla13[[#This Row],[Stock por despachar N]],Tabla13[[#This Row],[Producción por despachar mes N]])</f>
        <v>33897.881600000001</v>
      </c>
      <c r="R133" s="7">
        <f>IFERROR(VLOOKUP(Tabla13[[#This Row],[Llave]],[3]Hoja2!$A:$D,4,FALSE),0)</f>
        <v>0</v>
      </c>
      <c r="S133" s="9">
        <f>IFERROR(VLOOKUP(Tabla13[[#This Row],[Material]],[4]Hoja1!$B:$C,2,FALSE),0)</f>
        <v>24000</v>
      </c>
      <c r="T133" s="5">
        <f t="shared" si="3"/>
        <v>0</v>
      </c>
      <c r="U133" s="3">
        <f>+Tabla13[[#This Row],[Total disponible]]-Tabla13[[#This Row],[Atraso a facturar]]</f>
        <v>33897.881600000001</v>
      </c>
      <c r="V133" s="6">
        <f t="shared" si="2"/>
        <v>0</v>
      </c>
      <c r="W133" s="3" t="str">
        <f>IF(Tabla13[[#This Row],[Venta del mes]]&gt;Tabla13[[#This Row],[ RV  Venta mes n+1]],"Falta venta","-")</f>
        <v>-</v>
      </c>
      <c r="X133" s="7"/>
      <c r="Y133" s="18">
        <v>0</v>
      </c>
      <c r="Z133" s="5">
        <f>+Tabla13[[#This Row],[Atraso a facturar]]+Tabla13[[#This Row],[Venta del mes]]+Tabla13[[#This Row],[Ajuste]]</f>
        <v>0</v>
      </c>
      <c r="AA133" s="6">
        <f>+Tabla13[[#This Row],[Atraso a facturar]]+Tabla13[[#This Row],[Venta del mes]]+Tabla13[[#This Row],[En puerto a facturar]]</f>
        <v>0</v>
      </c>
      <c r="AB133" s="20">
        <f>IFERROR(VLOOKUP(Tabla13[[#This Row],[Llave]],'[5]Consolidación planes'!$A:$M,9,FALSE),0)</f>
        <v>48000</v>
      </c>
      <c r="AC133" s="20">
        <f>IFERROR(VLOOKUP(Tabla13[[#This Row],[Llave]],'[5]Consolidación planes'!$A:$M,10,FALSE),0)</f>
        <v>0</v>
      </c>
      <c r="AD133" s="20">
        <f>IFERROR(VLOOKUP(Tabla13[[#This Row],[Llave]],'[5]Consolidación planes'!$A:$M,11,FALSE),0)</f>
        <v>0</v>
      </c>
      <c r="AE133" s="20">
        <f>IFERROR(VLOOKUP(Tabla13[[#This Row],[Llave]],'[5]Consolidación planes'!$A:$M,12,FALSE),0)</f>
        <v>24000</v>
      </c>
      <c r="AF133" s="20">
        <f>IFERROR(VLOOKUP(Tabla13[[#This Row],[Llave]],'[5]Consolidación planes'!$A:$M,13,FALSE),0)</f>
        <v>0</v>
      </c>
    </row>
    <row r="134" spans="2:32" ht="16" hidden="1" x14ac:dyDescent="0.2">
      <c r="B134" t="str">
        <f>Tabla13[[#This Row],[Oficina]]&amp;Tabla13[[#This Row],[Material]]</f>
        <v>Agrosuper Shanghai1021765</v>
      </c>
      <c r="C134" t="s">
        <v>6</v>
      </c>
      <c r="D134" t="s">
        <v>140</v>
      </c>
      <c r="E134">
        <v>1021765</v>
      </c>
      <c r="F134" t="s">
        <v>61</v>
      </c>
      <c r="G134" t="s">
        <v>59</v>
      </c>
      <c r="H134" t="s">
        <v>60</v>
      </c>
      <c r="I134" s="7">
        <f>IFERROR(VLOOKUP(Tabla13[[#This Row],[Llave]],'[1]Consolidado RV'!$B:$H,6,FALSE),0)</f>
        <v>0</v>
      </c>
      <c r="J134" s="3">
        <f>IFERROR(VLOOKUP(Tabla13[[#This Row],[Llave]],'[1]Consolidado RV'!$B:$H,7,FALSE),0)</f>
        <v>0</v>
      </c>
      <c r="K134" s="8">
        <f>IFERROR(VLOOKUP(Tabla13[[#This Row],[Oficina]],#REF!,2,FALSE),0)</f>
        <v>0</v>
      </c>
      <c r="L134" s="7">
        <f>+Tabla13[[#This Row],[ RV Producción mes n+1]]*Tabla13[[#This Row],[% Uti. producción]]</f>
        <v>0</v>
      </c>
      <c r="M134" s="7">
        <f>IFERROR(VLOOKUP(Tabla13[[#This Row],[Material]],#REF!,2,FALSE),0)</f>
        <v>0</v>
      </c>
      <c r="N134" s="7">
        <f>IFERROR(VLOOKUP(Tabla13[[#This Row],[Llave]],'En puerto-Programado'!A:D,4,FALSE)+VLOOKUP(Tabla13[[#This Row],[Llave]],'Por despachar'!A:F,6,FALSE),0)</f>
        <v>0</v>
      </c>
      <c r="O134" s="7">
        <f>IFERROR(VLOOKUP(Tabla13[[#This Row],[Material]],[2]Consolidado!$C:$D,2,FALSE),0)</f>
        <v>0</v>
      </c>
      <c r="P134" s="7">
        <f>IFERROR(VLOOKUP(Tabla13[[#This Row],[Llave]],'Por despachar'!A:E,5,FALSE),0)</f>
        <v>0</v>
      </c>
      <c r="Q13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34" s="7">
        <f>IFERROR(VLOOKUP(Tabla13[[#This Row],[Llave]],[3]Hoja2!$A:$D,4,FALSE),0)</f>
        <v>0</v>
      </c>
      <c r="S134" s="9">
        <f>IFERROR(VLOOKUP(Tabla13[[#This Row],[Material]],[4]Hoja1!$B:$C,2,FALSE),0)</f>
        <v>24000</v>
      </c>
      <c r="T134" s="5">
        <f t="shared" si="3"/>
        <v>0</v>
      </c>
      <c r="U134" s="3">
        <f>+Tabla13[[#This Row],[Total disponible]]-Tabla13[[#This Row],[Atraso a facturar]]</f>
        <v>0</v>
      </c>
      <c r="V134" s="6">
        <f t="shared" si="2"/>
        <v>0</v>
      </c>
      <c r="W134" s="3" t="str">
        <f>IF(Tabla13[[#This Row],[Venta del mes]]&gt;Tabla13[[#This Row],[ RV  Venta mes n+1]],"Falta venta","-")</f>
        <v>-</v>
      </c>
      <c r="X134" s="7"/>
      <c r="Y134" s="18">
        <v>0</v>
      </c>
      <c r="Z134" s="5">
        <f>+Tabla13[[#This Row],[Atraso a facturar]]+Tabla13[[#This Row],[Venta del mes]]+Tabla13[[#This Row],[Ajuste]]</f>
        <v>0</v>
      </c>
      <c r="AA134" s="6">
        <f>+Tabla13[[#This Row],[Atraso a facturar]]+Tabla13[[#This Row],[Venta del mes]]+Tabla13[[#This Row],[En puerto a facturar]]</f>
        <v>0</v>
      </c>
      <c r="AB134" s="20">
        <f>IFERROR(VLOOKUP(Tabla13[[#This Row],[Llave]],'[5]Consolidación planes'!$A:$M,9,FALSE),0)</f>
        <v>0</v>
      </c>
      <c r="AC134" s="20">
        <f>IFERROR(VLOOKUP(Tabla13[[#This Row],[Llave]],'[5]Consolidación planes'!$A:$M,10,FALSE),0)</f>
        <v>0</v>
      </c>
      <c r="AD134" s="20">
        <f>IFERROR(VLOOKUP(Tabla13[[#This Row],[Llave]],'[5]Consolidación planes'!$A:$M,11,FALSE),0)</f>
        <v>6760</v>
      </c>
      <c r="AE134" s="20">
        <f>IFERROR(VLOOKUP(Tabla13[[#This Row],[Llave]],'[5]Consolidación planes'!$A:$M,12,FALSE),0)</f>
        <v>0</v>
      </c>
      <c r="AF134" s="20">
        <f>IFERROR(VLOOKUP(Tabla13[[#This Row],[Llave]],'[5]Consolidación planes'!$A:$M,13,FALSE),0)</f>
        <v>0</v>
      </c>
    </row>
    <row r="135" spans="2:32" ht="16" hidden="1" x14ac:dyDescent="0.2">
      <c r="B135" t="str">
        <f>Tabla13[[#This Row],[Oficina]]&amp;Tabla13[[#This Row],[Material]]</f>
        <v>Agrosuper Shanghai1021992</v>
      </c>
      <c r="C135" t="s">
        <v>6</v>
      </c>
      <c r="D135" t="s">
        <v>140</v>
      </c>
      <c r="E135">
        <v>1021992</v>
      </c>
      <c r="F135" t="s">
        <v>49</v>
      </c>
      <c r="G135" t="s">
        <v>11</v>
      </c>
      <c r="H135" t="s">
        <v>15</v>
      </c>
      <c r="I135" s="7">
        <f>IFERROR(VLOOKUP(Tabla13[[#This Row],[Llave]],'[1]Consolidado RV'!$B:$H,6,FALSE),0)</f>
        <v>0</v>
      </c>
      <c r="J135" s="3">
        <f>IFERROR(VLOOKUP(Tabla13[[#This Row],[Llave]],'[1]Consolidado RV'!$B:$H,7,FALSE),0)</f>
        <v>0</v>
      </c>
      <c r="K135" s="8">
        <f>IFERROR(VLOOKUP(Tabla13[[#This Row],[Oficina]],#REF!,2,FALSE),0)</f>
        <v>0</v>
      </c>
      <c r="L135" s="7">
        <f>+Tabla13[[#This Row],[ RV Producción mes n+1]]*Tabla13[[#This Row],[% Uti. producción]]</f>
        <v>0</v>
      </c>
      <c r="M135" s="7">
        <f>IFERROR(VLOOKUP(Tabla13[[#This Row],[Material]],#REF!,2,FALSE),0)</f>
        <v>0</v>
      </c>
      <c r="N135" s="7">
        <f>IFERROR(VLOOKUP(Tabla13[[#This Row],[Llave]],'En puerto-Programado'!A:D,4,FALSE)+VLOOKUP(Tabla13[[#This Row],[Llave]],'Por despachar'!A:F,6,FALSE),0)</f>
        <v>0</v>
      </c>
      <c r="O135" s="7">
        <f>IFERROR(VLOOKUP(Tabla13[[#This Row],[Material]],[2]Consolidado!$C:$D,2,FALSE),0)</f>
        <v>0</v>
      </c>
      <c r="P135" s="7">
        <f>IFERROR(VLOOKUP(Tabla13[[#This Row],[Llave]],'Por despachar'!A:E,5,FALSE),0)</f>
        <v>0</v>
      </c>
      <c r="Q13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35" s="7">
        <f>IFERROR(VLOOKUP(Tabla13[[#This Row],[Llave]],[3]Hoja2!$A:$D,4,FALSE),0)</f>
        <v>0</v>
      </c>
      <c r="S135" s="9">
        <f>IFERROR(VLOOKUP(Tabla13[[#This Row],[Material]],[4]Hoja1!$B:$C,2,FALSE),0)</f>
        <v>24000</v>
      </c>
      <c r="T135" s="5">
        <f t="shared" si="3"/>
        <v>0</v>
      </c>
      <c r="U135" s="3">
        <f>+Tabla13[[#This Row],[Total disponible]]-Tabla13[[#This Row],[Atraso a facturar]]</f>
        <v>0</v>
      </c>
      <c r="V135" s="6">
        <f t="shared" si="2"/>
        <v>0</v>
      </c>
      <c r="W135" s="3" t="str">
        <f>IF(Tabla13[[#This Row],[Venta del mes]]&gt;Tabla13[[#This Row],[ RV  Venta mes n+1]],"Falta venta","-")</f>
        <v>-</v>
      </c>
      <c r="X135" s="7"/>
      <c r="Y135" s="18">
        <v>0</v>
      </c>
      <c r="Z135" s="5">
        <f>+Tabla13[[#This Row],[Atraso a facturar]]+Tabla13[[#This Row],[Venta del mes]]+Tabla13[[#This Row],[Ajuste]]</f>
        <v>0</v>
      </c>
      <c r="AA135" s="6">
        <f>+Tabla13[[#This Row],[Atraso a facturar]]+Tabla13[[#This Row],[Venta del mes]]+Tabla13[[#This Row],[En puerto a facturar]]</f>
        <v>0</v>
      </c>
      <c r="AB135" s="20">
        <f>IFERROR(VLOOKUP(Tabla13[[#This Row],[Llave]],'[5]Consolidación planes'!$A:$M,9,FALSE),0)</f>
        <v>96000</v>
      </c>
      <c r="AC135" s="20">
        <f>IFERROR(VLOOKUP(Tabla13[[#This Row],[Llave]],'[5]Consolidación planes'!$A:$M,10,FALSE),0)</f>
        <v>72000</v>
      </c>
      <c r="AD135" s="20">
        <f>IFERROR(VLOOKUP(Tabla13[[#This Row],[Llave]],'[5]Consolidación planes'!$A:$M,11,FALSE),0)</f>
        <v>120000</v>
      </c>
      <c r="AE135" s="20">
        <f>IFERROR(VLOOKUP(Tabla13[[#This Row],[Llave]],'[5]Consolidación planes'!$A:$M,12,FALSE),0)</f>
        <v>0</v>
      </c>
      <c r="AF135" s="20">
        <f>IFERROR(VLOOKUP(Tabla13[[#This Row],[Llave]],'[5]Consolidación planes'!$A:$M,13,FALSE),0)</f>
        <v>0</v>
      </c>
    </row>
    <row r="136" spans="2:32" ht="16" hidden="1" x14ac:dyDescent="0.2">
      <c r="B136" t="str">
        <f>Tabla13[[#This Row],[Oficina]]&amp;Tabla13[[#This Row],[Material]]</f>
        <v>Agrosuper Shanghai1022073</v>
      </c>
      <c r="C136" t="s">
        <v>6</v>
      </c>
      <c r="D136" t="s">
        <v>140</v>
      </c>
      <c r="E136">
        <v>1022073</v>
      </c>
      <c r="F136" t="s">
        <v>150</v>
      </c>
      <c r="G136" t="s">
        <v>11</v>
      </c>
      <c r="H136" t="s">
        <v>47</v>
      </c>
      <c r="I136" s="7">
        <f>IFERROR(VLOOKUP(Tabla13[[#This Row],[Llave]],'[1]Consolidado RV'!$B:$H,6,FALSE),0)</f>
        <v>0</v>
      </c>
      <c r="J136" s="3">
        <f>IFERROR(VLOOKUP(Tabla13[[#This Row],[Llave]],'[1]Consolidado RV'!$B:$H,7,FALSE),0)</f>
        <v>0</v>
      </c>
      <c r="K136" s="8">
        <f>IFERROR(VLOOKUP(Tabla13[[#This Row],[Oficina]],#REF!,2,FALSE),0)</f>
        <v>0</v>
      </c>
      <c r="L136" s="7">
        <f>+Tabla13[[#This Row],[ RV Producción mes n+1]]*Tabla13[[#This Row],[% Uti. producción]]</f>
        <v>0</v>
      </c>
      <c r="M136" s="7">
        <f>IFERROR(VLOOKUP(Tabla13[[#This Row],[Material]],#REF!,2,FALSE),0)</f>
        <v>0</v>
      </c>
      <c r="N136" s="7">
        <f>IFERROR(VLOOKUP(Tabla13[[#This Row],[Llave]],'En puerto-Programado'!A:D,4,FALSE)+VLOOKUP(Tabla13[[#This Row],[Llave]],'Por despachar'!A:F,6,FALSE),0)</f>
        <v>0</v>
      </c>
      <c r="O136" s="7">
        <f>IFERROR(VLOOKUP(Tabla13[[#This Row],[Material]],[2]Consolidado!$C:$D,2,FALSE),0)</f>
        <v>0</v>
      </c>
      <c r="P136" s="7">
        <f>IFERROR(VLOOKUP(Tabla13[[#This Row],[Llave]],'Por despachar'!A:E,5,FALSE),0)</f>
        <v>0</v>
      </c>
      <c r="Q13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36" s="7">
        <f>IFERROR(VLOOKUP(Tabla13[[#This Row],[Llave]],[3]Hoja2!$A:$D,4,FALSE),0)</f>
        <v>24000</v>
      </c>
      <c r="S136" s="9">
        <f>IFERROR(VLOOKUP(Tabla13[[#This Row],[Material]],[4]Hoja1!$B:$C,2,FALSE),0)</f>
        <v>24000</v>
      </c>
      <c r="T136" s="5">
        <f t="shared" si="3"/>
        <v>0</v>
      </c>
      <c r="U136" s="3">
        <f>+Tabla13[[#This Row],[Total disponible]]-Tabla13[[#This Row],[Atraso a facturar]]</f>
        <v>0</v>
      </c>
      <c r="V136" s="6">
        <f t="shared" si="2"/>
        <v>0</v>
      </c>
      <c r="W136" s="3" t="str">
        <f>IF(Tabla13[[#This Row],[Venta del mes]]&gt;Tabla13[[#This Row],[ RV  Venta mes n+1]],"Falta venta","-")</f>
        <v>-</v>
      </c>
      <c r="X136" s="7"/>
      <c r="Y136" s="18">
        <v>0</v>
      </c>
      <c r="Z136" s="5">
        <f>+Tabla13[[#This Row],[Atraso a facturar]]+Tabla13[[#This Row],[Venta del mes]]+Tabla13[[#This Row],[Ajuste]]</f>
        <v>0</v>
      </c>
      <c r="AA136" s="6">
        <f>+Tabla13[[#This Row],[Atraso a facturar]]+Tabla13[[#This Row],[Venta del mes]]+Tabla13[[#This Row],[En puerto a facturar]]</f>
        <v>0</v>
      </c>
      <c r="AB136" s="20">
        <f>IFERROR(VLOOKUP(Tabla13[[#This Row],[Llave]],'[5]Consolidación planes'!$A:$M,9,FALSE),0)</f>
        <v>72000</v>
      </c>
      <c r="AC136" s="20">
        <f>IFERROR(VLOOKUP(Tabla13[[#This Row],[Llave]],'[5]Consolidación planes'!$A:$M,10,FALSE),0)</f>
        <v>0</v>
      </c>
      <c r="AD136" s="20">
        <f>IFERROR(VLOOKUP(Tabla13[[#This Row],[Llave]],'[5]Consolidación planes'!$A:$M,11,FALSE),0)</f>
        <v>0</v>
      </c>
      <c r="AE136" s="20">
        <f>IFERROR(VLOOKUP(Tabla13[[#This Row],[Llave]],'[5]Consolidación planes'!$A:$M,12,FALSE),0)</f>
        <v>0</v>
      </c>
      <c r="AF136" s="20">
        <f>IFERROR(VLOOKUP(Tabla13[[#This Row],[Llave]],'[5]Consolidación planes'!$A:$M,13,FALSE),0)</f>
        <v>24000</v>
      </c>
    </row>
    <row r="137" spans="2:32" ht="16" hidden="1" x14ac:dyDescent="0.2">
      <c r="B137" t="str">
        <f>Tabla13[[#This Row],[Oficina]]&amp;Tabla13[[#This Row],[Material]]</f>
        <v>Agrosuper Shanghai1022096</v>
      </c>
      <c r="C137" t="s">
        <v>6</v>
      </c>
      <c r="D137" t="s">
        <v>140</v>
      </c>
      <c r="E137">
        <v>1022096</v>
      </c>
      <c r="F137" t="s">
        <v>154</v>
      </c>
      <c r="G137" t="s">
        <v>92</v>
      </c>
      <c r="H137" t="s">
        <v>153</v>
      </c>
      <c r="I137" s="7">
        <f>IFERROR(VLOOKUP(Tabla13[[#This Row],[Llave]],'[1]Consolidado RV'!$B:$H,6,FALSE),0)</f>
        <v>155717.049</v>
      </c>
      <c r="J137" s="3">
        <f>IFERROR(VLOOKUP(Tabla13[[#This Row],[Llave]],'[1]Consolidado RV'!$B:$H,7,FALSE),0)</f>
        <v>121815.859</v>
      </c>
      <c r="K137" s="8">
        <f>IFERROR(VLOOKUP(Tabla13[[#This Row],[Oficina]],#REF!,2,FALSE),0)</f>
        <v>0</v>
      </c>
      <c r="L137" s="7">
        <f>+Tabla13[[#This Row],[ RV Producción mes n+1]]*Tabla13[[#This Row],[% Uti. producción]]</f>
        <v>0</v>
      </c>
      <c r="M137" s="7">
        <f>IFERROR(VLOOKUP(Tabla13[[#This Row],[Material]],#REF!,2,FALSE),0)</f>
        <v>0</v>
      </c>
      <c r="N137" s="7">
        <f>IFERROR(VLOOKUP(Tabla13[[#This Row],[Llave]],'En puerto-Programado'!A:D,4,FALSE)+VLOOKUP(Tabla13[[#This Row],[Llave]],'Por despachar'!A:F,6,FALSE),0)</f>
        <v>48000</v>
      </c>
      <c r="O137" s="7">
        <f>IFERROR(VLOOKUP(Tabla13[[#This Row],[Material]],[2]Consolidado!$C:$D,2,FALSE),0)</f>
        <v>77402.619225251066</v>
      </c>
      <c r="P137" s="7">
        <f>IFERROR(VLOOKUP(Tabla13[[#This Row],[Llave]],'Por despachar'!A:E,5,FALSE),0)</f>
        <v>0</v>
      </c>
      <c r="Q137" s="14">
        <f>SUM(Tabla13[[#This Row],[Producción disponible]],Tabla13[[#This Row],[Stock al día]],Tabla13[[#This Row],[Por producir Abr.]])-SUM(Tabla13[[#This Row],[Stock por despachar N]],Tabla13[[#This Row],[Producción por despachar mes N]])</f>
        <v>29402.619225251066</v>
      </c>
      <c r="R137" s="7">
        <f>IFERROR(VLOOKUP(Tabla13[[#This Row],[Llave]],[3]Hoja2!$A:$D,4,FALSE),0)</f>
        <v>96000</v>
      </c>
      <c r="S137" s="9">
        <f>IFERROR(VLOOKUP(Tabla13[[#This Row],[Material]],[4]Hoja1!$B:$C,2,FALSE),0)</f>
        <v>24000</v>
      </c>
      <c r="T137" s="5">
        <f t="shared" si="3"/>
        <v>24000</v>
      </c>
      <c r="U137" s="3">
        <f>+Tabla13[[#This Row],[Total disponible]]-Tabla13[[#This Row],[Atraso a facturar]]</f>
        <v>5402.6192252510664</v>
      </c>
      <c r="V137" s="6">
        <f t="shared" si="2"/>
        <v>0</v>
      </c>
      <c r="W137" s="3" t="str">
        <f>IF(Tabla13[[#This Row],[Venta del mes]]&gt;Tabla13[[#This Row],[ RV  Venta mes n+1]],"Falta venta","-")</f>
        <v>-</v>
      </c>
      <c r="X137" s="7"/>
      <c r="Y137" s="18">
        <v>0</v>
      </c>
      <c r="Z137" s="5">
        <f>+Tabla13[[#This Row],[Atraso a facturar]]+Tabla13[[#This Row],[Venta del mes]]+Tabla13[[#This Row],[Ajuste]]</f>
        <v>24000</v>
      </c>
      <c r="AA137" s="6">
        <f>+Tabla13[[#This Row],[Atraso a facturar]]+Tabla13[[#This Row],[Venta del mes]]+Tabla13[[#This Row],[En puerto a facturar]]</f>
        <v>24000</v>
      </c>
      <c r="AB137" s="20">
        <f>IFERROR(VLOOKUP(Tabla13[[#This Row],[Llave]],'[5]Consolidación planes'!$A:$M,9,FALSE),0)</f>
        <v>192000</v>
      </c>
      <c r="AC137" s="20">
        <f>IFERROR(VLOOKUP(Tabla13[[#This Row],[Llave]],'[5]Consolidación planes'!$A:$M,10,FALSE),0)</f>
        <v>264000</v>
      </c>
      <c r="AD137" s="20">
        <f>IFERROR(VLOOKUP(Tabla13[[#This Row],[Llave]],'[5]Consolidación planes'!$A:$M,11,FALSE),0)</f>
        <v>216000</v>
      </c>
      <c r="AE137" s="20">
        <f>IFERROR(VLOOKUP(Tabla13[[#This Row],[Llave]],'[5]Consolidación planes'!$A:$M,12,FALSE),0)</f>
        <v>192000</v>
      </c>
      <c r="AF137" s="20">
        <f>IFERROR(VLOOKUP(Tabla13[[#This Row],[Llave]],'[5]Consolidación planes'!$A:$M,13,FALSE),0)</f>
        <v>164571</v>
      </c>
    </row>
    <row r="138" spans="2:32" ht="16" hidden="1" x14ac:dyDescent="0.2">
      <c r="B138" t="str">
        <f>Tabla13[[#This Row],[Oficina]]&amp;Tabla13[[#This Row],[Material]]</f>
        <v>Agrosuper Shanghai1022125</v>
      </c>
      <c r="C138" t="s">
        <v>6</v>
      </c>
      <c r="D138" t="s">
        <v>140</v>
      </c>
      <c r="E138">
        <v>1022125</v>
      </c>
      <c r="F138" t="s">
        <v>162</v>
      </c>
      <c r="G138" t="s">
        <v>159</v>
      </c>
      <c r="H138" t="s">
        <v>160</v>
      </c>
      <c r="I138" s="7">
        <f>IFERROR(VLOOKUP(Tabla13[[#This Row],[Llave]],'[1]Consolidado RV'!$B:$H,6,FALSE),0)</f>
        <v>0</v>
      </c>
      <c r="J138" s="3">
        <f>IFERROR(VLOOKUP(Tabla13[[#This Row],[Llave]],'[1]Consolidado RV'!$B:$H,7,FALSE),0)</f>
        <v>0</v>
      </c>
      <c r="K138" s="8">
        <f>IFERROR(VLOOKUP(Tabla13[[#This Row],[Oficina]],#REF!,2,FALSE),0)</f>
        <v>0</v>
      </c>
      <c r="L138" s="7">
        <f>+Tabla13[[#This Row],[ RV Producción mes n+1]]*Tabla13[[#This Row],[% Uti. producción]]</f>
        <v>0</v>
      </c>
      <c r="M138" s="7">
        <f>IFERROR(VLOOKUP(Tabla13[[#This Row],[Material]],#REF!,2,FALSE),0)</f>
        <v>0</v>
      </c>
      <c r="N138" s="7">
        <f>IFERROR(VLOOKUP(Tabla13[[#This Row],[Llave]],'En puerto-Programado'!A:D,4,FALSE)+VLOOKUP(Tabla13[[#This Row],[Llave]],'Por despachar'!A:F,6,FALSE),0)</f>
        <v>0</v>
      </c>
      <c r="O138" s="7">
        <f>IFERROR(VLOOKUP(Tabla13[[#This Row],[Material]],[2]Consolidado!$C:$D,2,FALSE),0)</f>
        <v>0</v>
      </c>
      <c r="P138" s="7">
        <f>IFERROR(VLOOKUP(Tabla13[[#This Row],[Llave]],'Por despachar'!A:E,5,FALSE),0)</f>
        <v>0</v>
      </c>
      <c r="Q13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38" s="7">
        <f>IFERROR(VLOOKUP(Tabla13[[#This Row],[Llave]],[3]Hoja2!$A:$D,4,FALSE),0)</f>
        <v>24000</v>
      </c>
      <c r="S138" s="9">
        <f>IFERROR(VLOOKUP(Tabla13[[#This Row],[Material]],[4]Hoja1!$B:$C,2,FALSE),0)</f>
        <v>24000</v>
      </c>
      <c r="T138" s="5">
        <f t="shared" si="3"/>
        <v>0</v>
      </c>
      <c r="U138" s="3">
        <f>+Tabla13[[#This Row],[Total disponible]]-Tabla13[[#This Row],[Atraso a facturar]]</f>
        <v>0</v>
      </c>
      <c r="V138" s="6">
        <f t="shared" ref="V138:V201" si="4">IFERROR(IF(AND(U138&gt;S138,J138&gt;S138),ROUNDDOWN(U138/S138,0)*S138,0),0)</f>
        <v>0</v>
      </c>
      <c r="W138" s="3" t="str">
        <f>IF(Tabla13[[#This Row],[Venta del mes]]&gt;Tabla13[[#This Row],[ RV  Venta mes n+1]],"Falta venta","-")</f>
        <v>-</v>
      </c>
      <c r="X138" s="7"/>
      <c r="Y138" s="18">
        <v>0</v>
      </c>
      <c r="Z138" s="5">
        <f>+Tabla13[[#This Row],[Atraso a facturar]]+Tabla13[[#This Row],[Venta del mes]]+Tabla13[[#This Row],[Ajuste]]</f>
        <v>0</v>
      </c>
      <c r="AA138" s="6">
        <f>+Tabla13[[#This Row],[Atraso a facturar]]+Tabla13[[#This Row],[Venta del mes]]+Tabla13[[#This Row],[En puerto a facturar]]</f>
        <v>0</v>
      </c>
      <c r="AB138" s="20">
        <f>IFERROR(VLOOKUP(Tabla13[[#This Row],[Llave]],'[5]Consolidación planes'!$A:$M,9,FALSE),0)</f>
        <v>216000</v>
      </c>
      <c r="AC138" s="20">
        <f>IFERROR(VLOOKUP(Tabla13[[#This Row],[Llave]],'[5]Consolidación planes'!$A:$M,10,FALSE),0)</f>
        <v>96000</v>
      </c>
      <c r="AD138" s="20">
        <f>IFERROR(VLOOKUP(Tabla13[[#This Row],[Llave]],'[5]Consolidación planes'!$A:$M,11,FALSE),0)</f>
        <v>96000</v>
      </c>
      <c r="AE138" s="20">
        <f>IFERROR(VLOOKUP(Tabla13[[#This Row],[Llave]],'[5]Consolidación planes'!$A:$M,12,FALSE),0)</f>
        <v>120000</v>
      </c>
      <c r="AF138" s="20">
        <f>IFERROR(VLOOKUP(Tabla13[[#This Row],[Llave]],'[5]Consolidación planes'!$A:$M,13,FALSE),0)</f>
        <v>96000</v>
      </c>
    </row>
    <row r="139" spans="2:32" ht="16" hidden="1" x14ac:dyDescent="0.2">
      <c r="B139" t="str">
        <f>Tabla13[[#This Row],[Oficina]]&amp;Tabla13[[#This Row],[Material]]</f>
        <v>Agrosuper Shanghai1022183</v>
      </c>
      <c r="C139" t="s">
        <v>6</v>
      </c>
      <c r="D139" t="s">
        <v>140</v>
      </c>
      <c r="E139">
        <v>1022183</v>
      </c>
      <c r="F139" t="s">
        <v>165</v>
      </c>
      <c r="G139" t="s">
        <v>159</v>
      </c>
      <c r="H139" t="s">
        <v>164</v>
      </c>
      <c r="I139" s="7">
        <f>IFERROR(VLOOKUP(Tabla13[[#This Row],[Llave]],'[1]Consolidado RV'!$B:$H,6,FALSE),0)</f>
        <v>30257.819</v>
      </c>
      <c r="J139" s="3">
        <f>IFERROR(VLOOKUP(Tabla13[[#This Row],[Llave]],'[1]Consolidado RV'!$B:$H,7,FALSE),0)</f>
        <v>24000</v>
      </c>
      <c r="K139" s="8">
        <f>IFERROR(VLOOKUP(Tabla13[[#This Row],[Oficina]],#REF!,2,FALSE),0)</f>
        <v>0</v>
      </c>
      <c r="L139" s="7">
        <f>+Tabla13[[#This Row],[ RV Producción mes n+1]]*Tabla13[[#This Row],[% Uti. producción]]</f>
        <v>0</v>
      </c>
      <c r="M139" s="7">
        <f>IFERROR(VLOOKUP(Tabla13[[#This Row],[Material]],#REF!,2,FALSE),0)</f>
        <v>0</v>
      </c>
      <c r="N139" s="7">
        <f>IFERROR(VLOOKUP(Tabla13[[#This Row],[Llave]],'En puerto-Programado'!A:D,4,FALSE)+VLOOKUP(Tabla13[[#This Row],[Llave]],'Por despachar'!A:F,6,FALSE),0)</f>
        <v>24000</v>
      </c>
      <c r="O139" s="7">
        <f>IFERROR(VLOOKUP(Tabla13[[#This Row],[Material]],[2]Consolidado!$C:$D,2,FALSE),0)</f>
        <v>265633.96800000005</v>
      </c>
      <c r="P139" s="7">
        <f>IFERROR(VLOOKUP(Tabla13[[#This Row],[Llave]],'Por despachar'!A:E,5,FALSE),0)</f>
        <v>0</v>
      </c>
      <c r="Q139" s="14">
        <f>SUM(Tabla13[[#This Row],[Producción disponible]],Tabla13[[#This Row],[Stock al día]],Tabla13[[#This Row],[Por producir Abr.]])-SUM(Tabla13[[#This Row],[Stock por despachar N]],Tabla13[[#This Row],[Producción por despachar mes N]])</f>
        <v>241633.96800000005</v>
      </c>
      <c r="R139" s="7">
        <f>IFERROR(VLOOKUP(Tabla13[[#This Row],[Llave]],[3]Hoja2!$A:$D,4,FALSE),0)</f>
        <v>168000</v>
      </c>
      <c r="S139" s="9">
        <f>IFERROR(VLOOKUP(Tabla13[[#This Row],[Material]],[4]Hoja1!$B:$C,2,FALSE),0)</f>
        <v>24000</v>
      </c>
      <c r="T139" s="5">
        <f t="shared" ref="T139:T202" si="5">IF(AND(Q139&gt;R139,R139&gt;0),R139,IF(AND(Q139&lt;R139,R139&gt;0),(ROUNDDOWN(Q139/S139,0)*S139),0))</f>
        <v>168000</v>
      </c>
      <c r="U139" s="3">
        <f>+Tabla13[[#This Row],[Total disponible]]-Tabla13[[#This Row],[Atraso a facturar]]</f>
        <v>73633.968000000052</v>
      </c>
      <c r="V139" s="6">
        <f t="shared" si="4"/>
        <v>0</v>
      </c>
      <c r="W139" s="3" t="str">
        <f>IF(Tabla13[[#This Row],[Venta del mes]]&gt;Tabla13[[#This Row],[ RV  Venta mes n+1]],"Falta venta","-")</f>
        <v>-</v>
      </c>
      <c r="X139" s="7"/>
      <c r="Y139" s="18">
        <v>0</v>
      </c>
      <c r="Z139" s="5">
        <f>+Tabla13[[#This Row],[Atraso a facturar]]+Tabla13[[#This Row],[Venta del mes]]+Tabla13[[#This Row],[Ajuste]]</f>
        <v>168000</v>
      </c>
      <c r="AA139" s="6">
        <f>+Tabla13[[#This Row],[Atraso a facturar]]+Tabla13[[#This Row],[Venta del mes]]+Tabla13[[#This Row],[En puerto a facturar]]</f>
        <v>168000</v>
      </c>
      <c r="AB139" s="20">
        <f>IFERROR(VLOOKUP(Tabla13[[#This Row],[Llave]],'[5]Consolidación planes'!$A:$M,9,FALSE),0)</f>
        <v>456000</v>
      </c>
      <c r="AC139" s="20">
        <f>IFERROR(VLOOKUP(Tabla13[[#This Row],[Llave]],'[5]Consolidación planes'!$A:$M,10,FALSE),0)</f>
        <v>408000</v>
      </c>
      <c r="AD139" s="20">
        <f>IFERROR(VLOOKUP(Tabla13[[#This Row],[Llave]],'[5]Consolidación planes'!$A:$M,11,FALSE),0)</f>
        <v>360000</v>
      </c>
      <c r="AE139" s="20">
        <f>IFERROR(VLOOKUP(Tabla13[[#This Row],[Llave]],'[5]Consolidación planes'!$A:$M,12,FALSE),0)</f>
        <v>551000</v>
      </c>
      <c r="AF139" s="20">
        <f>IFERROR(VLOOKUP(Tabla13[[#This Row],[Llave]],'[5]Consolidación planes'!$A:$M,13,FALSE),0)</f>
        <v>484400</v>
      </c>
    </row>
    <row r="140" spans="2:32" ht="16" hidden="1" x14ac:dyDescent="0.2">
      <c r="B140" t="str">
        <f>Tabla13[[#This Row],[Oficina]]&amp;Tabla13[[#This Row],[Material]]</f>
        <v>Agrosuper Shanghai1022186</v>
      </c>
      <c r="C140" t="s">
        <v>6</v>
      </c>
      <c r="D140" t="s">
        <v>140</v>
      </c>
      <c r="E140">
        <v>1022186</v>
      </c>
      <c r="F140" t="s">
        <v>151</v>
      </c>
      <c r="G140" t="s">
        <v>92</v>
      </c>
      <c r="H140" t="s">
        <v>93</v>
      </c>
      <c r="I140" s="7">
        <f>IFERROR(VLOOKUP(Tabla13[[#This Row],[Llave]],'[1]Consolidado RV'!$B:$H,6,FALSE),0)</f>
        <v>19774.873708665993</v>
      </c>
      <c r="J140" s="3">
        <f>IFERROR(VLOOKUP(Tabla13[[#This Row],[Llave]],'[1]Consolidado RV'!$B:$H,7,FALSE),0)</f>
        <v>24800.686100000003</v>
      </c>
      <c r="K140" s="8">
        <f>IFERROR(VLOOKUP(Tabla13[[#This Row],[Oficina]],#REF!,2,FALSE),0)</f>
        <v>0</v>
      </c>
      <c r="L140" s="7">
        <f>+Tabla13[[#This Row],[ RV Producción mes n+1]]*Tabla13[[#This Row],[% Uti. producción]]</f>
        <v>0</v>
      </c>
      <c r="M140" s="7">
        <f>IFERROR(VLOOKUP(Tabla13[[#This Row],[Material]],#REF!,2,FALSE),0)</f>
        <v>0</v>
      </c>
      <c r="N140" s="7">
        <f>IFERROR(VLOOKUP(Tabla13[[#This Row],[Llave]],'En puerto-Programado'!A:D,4,FALSE)+VLOOKUP(Tabla13[[#This Row],[Llave]],'Por despachar'!A:F,6,FALSE),0)</f>
        <v>0</v>
      </c>
      <c r="O140" s="7">
        <f>IFERROR(VLOOKUP(Tabla13[[#This Row],[Material]],[2]Consolidado!$C:$D,2,FALSE),0)</f>
        <v>23439.549426743324</v>
      </c>
      <c r="P140" s="7">
        <f>IFERROR(VLOOKUP(Tabla13[[#This Row],[Llave]],'Por despachar'!A:E,5,FALSE),0)</f>
        <v>0</v>
      </c>
      <c r="Q140" s="14">
        <f>SUM(Tabla13[[#This Row],[Producción disponible]],Tabla13[[#This Row],[Stock al día]],Tabla13[[#This Row],[Por producir Abr.]])-SUM(Tabla13[[#This Row],[Stock por despachar N]],Tabla13[[#This Row],[Producción por despachar mes N]])</f>
        <v>23439.549426743324</v>
      </c>
      <c r="R140" s="7">
        <f>IFERROR(VLOOKUP(Tabla13[[#This Row],[Llave]],[3]Hoja2!$A:$D,4,FALSE),0)</f>
        <v>24000</v>
      </c>
      <c r="S140" s="9">
        <f>IFERROR(VLOOKUP(Tabla13[[#This Row],[Material]],[4]Hoja1!$B:$C,2,FALSE),0)</f>
        <v>24000</v>
      </c>
      <c r="T140" s="5">
        <f t="shared" si="5"/>
        <v>0</v>
      </c>
      <c r="U140" s="3">
        <f>+Tabla13[[#This Row],[Total disponible]]-Tabla13[[#This Row],[Atraso a facturar]]</f>
        <v>23439.549426743324</v>
      </c>
      <c r="V140" s="6">
        <f t="shared" si="4"/>
        <v>0</v>
      </c>
      <c r="W140" s="3" t="str">
        <f>IF(Tabla13[[#This Row],[Venta del mes]]&gt;Tabla13[[#This Row],[ RV  Venta mes n+1]],"Falta venta","-")</f>
        <v>-</v>
      </c>
      <c r="X140" s="7"/>
      <c r="Y140" s="18">
        <v>0</v>
      </c>
      <c r="Z140" s="5">
        <f>+Tabla13[[#This Row],[Atraso a facturar]]+Tabla13[[#This Row],[Venta del mes]]+Tabla13[[#This Row],[Ajuste]]</f>
        <v>0</v>
      </c>
      <c r="AA140" s="6">
        <f>+Tabla13[[#This Row],[Atraso a facturar]]+Tabla13[[#This Row],[Venta del mes]]+Tabla13[[#This Row],[En puerto a facturar]]</f>
        <v>0</v>
      </c>
      <c r="AB140" s="20">
        <f>IFERROR(VLOOKUP(Tabla13[[#This Row],[Llave]],'[5]Consolidación planes'!$A:$M,9,FALSE),0)</f>
        <v>48000</v>
      </c>
      <c r="AC140" s="20">
        <f>IFERROR(VLOOKUP(Tabla13[[#This Row],[Llave]],'[5]Consolidación planes'!$A:$M,10,FALSE),0)</f>
        <v>48000</v>
      </c>
      <c r="AD140" s="20">
        <f>IFERROR(VLOOKUP(Tabla13[[#This Row],[Llave]],'[5]Consolidación planes'!$A:$M,11,FALSE),0)</f>
        <v>24000</v>
      </c>
      <c r="AE140" s="20">
        <f>IFERROR(VLOOKUP(Tabla13[[#This Row],[Llave]],'[5]Consolidación planes'!$A:$M,12,FALSE),0)</f>
        <v>48000</v>
      </c>
      <c r="AF140" s="20">
        <f>IFERROR(VLOOKUP(Tabla13[[#This Row],[Llave]],'[5]Consolidación planes'!$A:$M,13,FALSE),0)</f>
        <v>48000</v>
      </c>
    </row>
    <row r="141" spans="2:32" ht="16" hidden="1" x14ac:dyDescent="0.2">
      <c r="B141" t="str">
        <f>Tabla13[[#This Row],[Oficina]]&amp;Tabla13[[#This Row],[Material]]</f>
        <v>Agrosuper Shanghai1022291</v>
      </c>
      <c r="C141" t="s">
        <v>6</v>
      </c>
      <c r="D141" t="s">
        <v>140</v>
      </c>
      <c r="E141">
        <v>1022291</v>
      </c>
      <c r="F141" t="s">
        <v>163</v>
      </c>
      <c r="G141" t="s">
        <v>159</v>
      </c>
      <c r="H141" t="s">
        <v>160</v>
      </c>
      <c r="I141" s="7">
        <f>IFERROR(VLOOKUP(Tabla13[[#This Row],[Llave]],'[1]Consolidado RV'!$B:$H,6,FALSE),0)</f>
        <v>61814.936999999991</v>
      </c>
      <c r="J141" s="3">
        <f>IFERROR(VLOOKUP(Tabla13[[#This Row],[Llave]],'[1]Consolidado RV'!$B:$H,7,FALSE),0)</f>
        <v>54087.00999999998</v>
      </c>
      <c r="K141" s="8">
        <f>IFERROR(VLOOKUP(Tabla13[[#This Row],[Oficina]],#REF!,2,FALSE),0)</f>
        <v>0</v>
      </c>
      <c r="L141" s="7">
        <f>+Tabla13[[#This Row],[ RV Producción mes n+1]]*Tabla13[[#This Row],[% Uti. producción]]</f>
        <v>0</v>
      </c>
      <c r="M141" s="7">
        <f>IFERROR(VLOOKUP(Tabla13[[#This Row],[Material]],#REF!,2,FALSE),0)</f>
        <v>0</v>
      </c>
      <c r="N141" s="7">
        <f>IFERROR(VLOOKUP(Tabla13[[#This Row],[Llave]],'En puerto-Programado'!A:D,4,FALSE)+VLOOKUP(Tabla13[[#This Row],[Llave]],'Por despachar'!A:F,6,FALSE),0)</f>
        <v>0</v>
      </c>
      <c r="O141" s="7">
        <f>IFERROR(VLOOKUP(Tabla13[[#This Row],[Material]],[2]Consolidado!$C:$D,2,FALSE),0)</f>
        <v>9677.5439999999999</v>
      </c>
      <c r="P141" s="7">
        <f>IFERROR(VLOOKUP(Tabla13[[#This Row],[Llave]],'Por despachar'!A:E,5,FALSE),0)</f>
        <v>0</v>
      </c>
      <c r="Q141" s="14">
        <f>SUM(Tabla13[[#This Row],[Producción disponible]],Tabla13[[#This Row],[Stock al día]],Tabla13[[#This Row],[Por producir Abr.]])-SUM(Tabla13[[#This Row],[Stock por despachar N]],Tabla13[[#This Row],[Producción por despachar mes N]])</f>
        <v>9677.5439999999999</v>
      </c>
      <c r="R141" s="7">
        <f>IFERROR(VLOOKUP(Tabla13[[#This Row],[Llave]],[3]Hoja2!$A:$D,4,FALSE),0)</f>
        <v>24000</v>
      </c>
      <c r="S141" s="9">
        <f>IFERROR(VLOOKUP(Tabla13[[#This Row],[Material]],[4]Hoja1!$B:$C,2,FALSE),0)</f>
        <v>24000</v>
      </c>
      <c r="T141" s="5">
        <f t="shared" si="5"/>
        <v>0</v>
      </c>
      <c r="U141" s="3">
        <f>+Tabla13[[#This Row],[Total disponible]]-Tabla13[[#This Row],[Atraso a facturar]]</f>
        <v>9677.5439999999999</v>
      </c>
      <c r="V141" s="6">
        <f t="shared" si="4"/>
        <v>0</v>
      </c>
      <c r="W141" s="3" t="str">
        <f>IF(Tabla13[[#This Row],[Venta del mes]]&gt;Tabla13[[#This Row],[ RV  Venta mes n+1]],"Falta venta","-")</f>
        <v>-</v>
      </c>
      <c r="X141" s="7"/>
      <c r="Y141" s="18">
        <v>0</v>
      </c>
      <c r="Z141" s="5">
        <f>+Tabla13[[#This Row],[Atraso a facturar]]+Tabla13[[#This Row],[Venta del mes]]+Tabla13[[#This Row],[Ajuste]]</f>
        <v>0</v>
      </c>
      <c r="AA141" s="6">
        <f>+Tabla13[[#This Row],[Atraso a facturar]]+Tabla13[[#This Row],[Venta del mes]]+Tabla13[[#This Row],[En puerto a facturar]]</f>
        <v>0</v>
      </c>
      <c r="AB141" s="20">
        <f>IFERROR(VLOOKUP(Tabla13[[#This Row],[Llave]],'[5]Consolidación planes'!$A:$M,9,FALSE),0)</f>
        <v>48000</v>
      </c>
      <c r="AC141" s="20">
        <f>IFERROR(VLOOKUP(Tabla13[[#This Row],[Llave]],'[5]Consolidación planes'!$A:$M,10,FALSE),0)</f>
        <v>48000</v>
      </c>
      <c r="AD141" s="20">
        <f>IFERROR(VLOOKUP(Tabla13[[#This Row],[Llave]],'[5]Consolidación planes'!$A:$M,11,FALSE),0)</f>
        <v>48000</v>
      </c>
      <c r="AE141" s="20">
        <f>IFERROR(VLOOKUP(Tabla13[[#This Row],[Llave]],'[5]Consolidación planes'!$A:$M,12,FALSE),0)</f>
        <v>72000</v>
      </c>
      <c r="AF141" s="20">
        <f>IFERROR(VLOOKUP(Tabla13[[#This Row],[Llave]],'[5]Consolidación planes'!$A:$M,13,FALSE),0)</f>
        <v>119757</v>
      </c>
    </row>
    <row r="142" spans="2:32" ht="16" hidden="1" x14ac:dyDescent="0.2">
      <c r="B142" t="str">
        <f>Tabla13[[#This Row],[Oficina]]&amp;Tabla13[[#This Row],[Material]]</f>
        <v>Agrosuper Shanghai1022373</v>
      </c>
      <c r="C142" t="s">
        <v>6</v>
      </c>
      <c r="D142" t="s">
        <v>140</v>
      </c>
      <c r="E142">
        <v>1022373</v>
      </c>
      <c r="F142" t="s">
        <v>168</v>
      </c>
      <c r="G142" t="s">
        <v>71</v>
      </c>
      <c r="H142" t="s">
        <v>72</v>
      </c>
      <c r="I142" s="7">
        <f>IFERROR(VLOOKUP(Tabla13[[#This Row],[Llave]],'[1]Consolidado RV'!$B:$H,6,FALSE),0)</f>
        <v>1.4551915228366852E-11</v>
      </c>
      <c r="J142" s="3">
        <f>IFERROR(VLOOKUP(Tabla13[[#This Row],[Llave]],'[1]Consolidado RV'!$B:$H,7,FALSE),0)</f>
        <v>8100.7160000000003</v>
      </c>
      <c r="K142" s="8">
        <f>IFERROR(VLOOKUP(Tabla13[[#This Row],[Oficina]],#REF!,2,FALSE),0)</f>
        <v>0</v>
      </c>
      <c r="L142" s="7">
        <f>+Tabla13[[#This Row],[ RV Producción mes n+1]]*Tabla13[[#This Row],[% Uti. producción]]</f>
        <v>0</v>
      </c>
      <c r="M142" s="7">
        <f>IFERROR(VLOOKUP(Tabla13[[#This Row],[Material]],#REF!,2,FALSE),0)</f>
        <v>0</v>
      </c>
      <c r="N142" s="7">
        <f>IFERROR(VLOOKUP(Tabla13[[#This Row],[Llave]],'En puerto-Programado'!A:D,4,FALSE)+VLOOKUP(Tabla13[[#This Row],[Llave]],'Por despachar'!A:F,6,FALSE),0)</f>
        <v>0</v>
      </c>
      <c r="O142" s="7">
        <f>IFERROR(VLOOKUP(Tabla13[[#This Row],[Material]],[2]Consolidado!$C:$D,2,FALSE),0)</f>
        <v>24834.179827730524</v>
      </c>
      <c r="P142" s="7">
        <f>IFERROR(VLOOKUP(Tabla13[[#This Row],[Llave]],'Por despachar'!A:E,5,FALSE),0)</f>
        <v>0</v>
      </c>
      <c r="Q142" s="14">
        <f>SUM(Tabla13[[#This Row],[Producción disponible]],Tabla13[[#This Row],[Stock al día]],Tabla13[[#This Row],[Por producir Abr.]])-SUM(Tabla13[[#This Row],[Stock por despachar N]],Tabla13[[#This Row],[Producción por despachar mes N]])</f>
        <v>24834.179827730524</v>
      </c>
      <c r="R142" s="7">
        <f>IFERROR(VLOOKUP(Tabla13[[#This Row],[Llave]],[3]Hoja2!$A:$D,4,FALSE),0)</f>
        <v>24000</v>
      </c>
      <c r="S142" s="9">
        <f>IFERROR(VLOOKUP(Tabla13[[#This Row],[Material]],[4]Hoja1!$B:$C,2,FALSE),0)</f>
        <v>24000</v>
      </c>
      <c r="T142" s="5">
        <f t="shared" si="5"/>
        <v>24000</v>
      </c>
      <c r="U142" s="3">
        <f>+Tabla13[[#This Row],[Total disponible]]-Tabla13[[#This Row],[Atraso a facturar]]</f>
        <v>834.17982773052427</v>
      </c>
      <c r="V142" s="6">
        <f t="shared" si="4"/>
        <v>0</v>
      </c>
      <c r="W142" s="3" t="str">
        <f>IF(Tabla13[[#This Row],[Venta del mes]]&gt;Tabla13[[#This Row],[ RV  Venta mes n+1]],"Falta venta","-")</f>
        <v>-</v>
      </c>
      <c r="X142" s="7"/>
      <c r="Y142" s="18">
        <v>0</v>
      </c>
      <c r="Z142" s="5">
        <f>+Tabla13[[#This Row],[Atraso a facturar]]+Tabla13[[#This Row],[Venta del mes]]+Tabla13[[#This Row],[Ajuste]]</f>
        <v>24000</v>
      </c>
      <c r="AA142" s="6">
        <f>+Tabla13[[#This Row],[Atraso a facturar]]+Tabla13[[#This Row],[Venta del mes]]+Tabla13[[#This Row],[En puerto a facturar]]</f>
        <v>24000</v>
      </c>
      <c r="AB142" s="20">
        <f>IFERROR(VLOOKUP(Tabla13[[#This Row],[Llave]],'[5]Consolidación planes'!$A:$M,9,FALSE),0)</f>
        <v>96000</v>
      </c>
      <c r="AC142" s="20">
        <f>IFERROR(VLOOKUP(Tabla13[[#This Row],[Llave]],'[5]Consolidación planes'!$A:$M,10,FALSE),0)</f>
        <v>96000</v>
      </c>
      <c r="AD142" s="20">
        <f>IFERROR(VLOOKUP(Tabla13[[#This Row],[Llave]],'[5]Consolidación planes'!$A:$M,11,FALSE),0)</f>
        <v>48000</v>
      </c>
      <c r="AE142" s="20">
        <f>IFERROR(VLOOKUP(Tabla13[[#This Row],[Llave]],'[5]Consolidación planes'!$A:$M,12,FALSE),0)</f>
        <v>0</v>
      </c>
      <c r="AF142" s="20">
        <f>IFERROR(VLOOKUP(Tabla13[[#This Row],[Llave]],'[5]Consolidación planes'!$A:$M,13,FALSE),0)</f>
        <v>48000</v>
      </c>
    </row>
    <row r="143" spans="2:32" ht="16" hidden="1" x14ac:dyDescent="0.2">
      <c r="B143" t="str">
        <f>Tabla13[[#This Row],[Oficina]]&amp;Tabla13[[#This Row],[Material]]</f>
        <v>Agrosuper Shanghai1022378</v>
      </c>
      <c r="C143" t="s">
        <v>6</v>
      </c>
      <c r="D143" t="s">
        <v>140</v>
      </c>
      <c r="E143">
        <v>1022378</v>
      </c>
      <c r="F143" t="s">
        <v>152</v>
      </c>
      <c r="G143" t="s">
        <v>92</v>
      </c>
      <c r="H143" t="s">
        <v>93</v>
      </c>
      <c r="I143" s="7">
        <f>IFERROR(VLOOKUP(Tabla13[[#This Row],[Llave]],'[1]Consolidado RV'!$B:$H,6,FALSE),0)</f>
        <v>57903.513886772402</v>
      </c>
      <c r="J143" s="3">
        <f>IFERROR(VLOOKUP(Tabla13[[#This Row],[Llave]],'[1]Consolidado RV'!$B:$H,7,FALSE),0)</f>
        <v>62154.801000000007</v>
      </c>
      <c r="K143" s="8">
        <f>IFERROR(VLOOKUP(Tabla13[[#This Row],[Oficina]],#REF!,2,FALSE),0)</f>
        <v>0</v>
      </c>
      <c r="L143" s="7">
        <f>+Tabla13[[#This Row],[ RV Producción mes n+1]]*Tabla13[[#This Row],[% Uti. producción]]</f>
        <v>0</v>
      </c>
      <c r="M143" s="7">
        <f>IFERROR(VLOOKUP(Tabla13[[#This Row],[Material]],#REF!,2,FALSE),0)</f>
        <v>0</v>
      </c>
      <c r="N143" s="7">
        <f>IFERROR(VLOOKUP(Tabla13[[#This Row],[Llave]],'En puerto-Programado'!A:D,4,FALSE)+VLOOKUP(Tabla13[[#This Row],[Llave]],'Por despachar'!A:F,6,FALSE),0)</f>
        <v>0</v>
      </c>
      <c r="O143" s="7">
        <f>IFERROR(VLOOKUP(Tabla13[[#This Row],[Material]],[2]Consolidado!$C:$D,2,FALSE),0)</f>
        <v>0</v>
      </c>
      <c r="P143" s="7">
        <f>IFERROR(VLOOKUP(Tabla13[[#This Row],[Llave]],'Por despachar'!A:E,5,FALSE),0)</f>
        <v>0</v>
      </c>
      <c r="Q14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43" s="7">
        <f>IFERROR(VLOOKUP(Tabla13[[#This Row],[Llave]],[3]Hoja2!$A:$D,4,FALSE),0)</f>
        <v>48000</v>
      </c>
      <c r="S143" s="9">
        <f>IFERROR(VLOOKUP(Tabla13[[#This Row],[Material]],[4]Hoja1!$B:$C,2,FALSE),0)</f>
        <v>24000</v>
      </c>
      <c r="T143" s="5">
        <f t="shared" si="5"/>
        <v>0</v>
      </c>
      <c r="U143" s="3">
        <f>+Tabla13[[#This Row],[Total disponible]]-Tabla13[[#This Row],[Atraso a facturar]]</f>
        <v>0</v>
      </c>
      <c r="V143" s="6">
        <f t="shared" si="4"/>
        <v>0</v>
      </c>
      <c r="W143" s="3" t="str">
        <f>IF(Tabla13[[#This Row],[Venta del mes]]&gt;Tabla13[[#This Row],[ RV  Venta mes n+1]],"Falta venta","-")</f>
        <v>-</v>
      </c>
      <c r="X143" s="7"/>
      <c r="Y143" s="18">
        <v>0</v>
      </c>
      <c r="Z143" s="5">
        <f>+Tabla13[[#This Row],[Atraso a facturar]]+Tabla13[[#This Row],[Venta del mes]]+Tabla13[[#This Row],[Ajuste]]</f>
        <v>0</v>
      </c>
      <c r="AA143" s="6">
        <f>+Tabla13[[#This Row],[Atraso a facturar]]+Tabla13[[#This Row],[Venta del mes]]+Tabla13[[#This Row],[En puerto a facturar]]</f>
        <v>0</v>
      </c>
      <c r="AB143" s="20">
        <f>IFERROR(VLOOKUP(Tabla13[[#This Row],[Llave]],'[5]Consolidación planes'!$A:$M,9,FALSE),0)</f>
        <v>72000</v>
      </c>
      <c r="AC143" s="20">
        <f>IFERROR(VLOOKUP(Tabla13[[#This Row],[Llave]],'[5]Consolidación planes'!$A:$M,10,FALSE),0)</f>
        <v>72000</v>
      </c>
      <c r="AD143" s="20">
        <f>IFERROR(VLOOKUP(Tabla13[[#This Row],[Llave]],'[5]Consolidación planes'!$A:$M,11,FALSE),0)</f>
        <v>96000</v>
      </c>
      <c r="AE143" s="20">
        <f>IFERROR(VLOOKUP(Tabla13[[#This Row],[Llave]],'[5]Consolidación planes'!$A:$M,12,FALSE),0)</f>
        <v>96000</v>
      </c>
      <c r="AF143" s="20">
        <f>IFERROR(VLOOKUP(Tabla13[[#This Row],[Llave]],'[5]Consolidación planes'!$A:$M,13,FALSE),0)</f>
        <v>96000</v>
      </c>
    </row>
    <row r="144" spans="2:32" ht="16" hidden="1" x14ac:dyDescent="0.2">
      <c r="B144" t="str">
        <f>Tabla13[[#This Row],[Oficina]]&amp;Tabla13[[#This Row],[Material]]</f>
        <v>Agrosuper Shanghai1022379</v>
      </c>
      <c r="C144" t="s">
        <v>6</v>
      </c>
      <c r="D144" t="s">
        <v>140</v>
      </c>
      <c r="E144">
        <v>1022379</v>
      </c>
      <c r="F144" t="s">
        <v>158</v>
      </c>
      <c r="G144" t="s">
        <v>53</v>
      </c>
      <c r="H144" t="s">
        <v>54</v>
      </c>
      <c r="I144" s="7">
        <f>IFERROR(VLOOKUP(Tabla13[[#This Row],[Llave]],'[1]Consolidado RV'!$B:$H,6,FALSE),0)</f>
        <v>0</v>
      </c>
      <c r="J144" s="3">
        <f>IFERROR(VLOOKUP(Tabla13[[#This Row],[Llave]],'[1]Consolidado RV'!$B:$H,7,FALSE),0)</f>
        <v>0</v>
      </c>
      <c r="K144" s="8">
        <f>IFERROR(VLOOKUP(Tabla13[[#This Row],[Oficina]],#REF!,2,FALSE),0)</f>
        <v>0</v>
      </c>
      <c r="L144" s="7">
        <f>+Tabla13[[#This Row],[ RV Producción mes n+1]]*Tabla13[[#This Row],[% Uti. producción]]</f>
        <v>0</v>
      </c>
      <c r="M144" s="7">
        <f>IFERROR(VLOOKUP(Tabla13[[#This Row],[Material]],#REF!,2,FALSE),0)</f>
        <v>0</v>
      </c>
      <c r="N144" s="7">
        <f>IFERROR(VLOOKUP(Tabla13[[#This Row],[Llave]],'En puerto-Programado'!A:D,4,FALSE)+VLOOKUP(Tabla13[[#This Row],[Llave]],'Por despachar'!A:F,6,FALSE),0)</f>
        <v>0</v>
      </c>
      <c r="O144" s="7">
        <f>IFERROR(VLOOKUP(Tabla13[[#This Row],[Material]],[2]Consolidado!$C:$D,2,FALSE),0)</f>
        <v>0</v>
      </c>
      <c r="P144" s="7">
        <f>IFERROR(VLOOKUP(Tabla13[[#This Row],[Llave]],'Por despachar'!A:E,5,FALSE),0)</f>
        <v>0</v>
      </c>
      <c r="Q14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44" s="7">
        <f>IFERROR(VLOOKUP(Tabla13[[#This Row],[Llave]],[3]Hoja2!$A:$D,4,FALSE),0)</f>
        <v>0</v>
      </c>
      <c r="S144" s="9">
        <f>IFERROR(VLOOKUP(Tabla13[[#This Row],[Material]],[4]Hoja1!$B:$C,2,FALSE),0)</f>
        <v>24000</v>
      </c>
      <c r="T144" s="5">
        <f t="shared" si="5"/>
        <v>0</v>
      </c>
      <c r="U144" s="3">
        <f>+Tabla13[[#This Row],[Total disponible]]-Tabla13[[#This Row],[Atraso a facturar]]</f>
        <v>0</v>
      </c>
      <c r="V144" s="6">
        <f t="shared" si="4"/>
        <v>0</v>
      </c>
      <c r="W144" s="3" t="str">
        <f>IF(Tabla13[[#This Row],[Venta del mes]]&gt;Tabla13[[#This Row],[ RV  Venta mes n+1]],"Falta venta","-")</f>
        <v>-</v>
      </c>
      <c r="X144" s="7"/>
      <c r="Y144" s="18">
        <v>0</v>
      </c>
      <c r="Z144" s="5">
        <f>+Tabla13[[#This Row],[Atraso a facturar]]+Tabla13[[#This Row],[Venta del mes]]+Tabla13[[#This Row],[Ajuste]]</f>
        <v>0</v>
      </c>
      <c r="AA144" s="6">
        <f>+Tabla13[[#This Row],[Atraso a facturar]]+Tabla13[[#This Row],[Venta del mes]]+Tabla13[[#This Row],[En puerto a facturar]]</f>
        <v>0</v>
      </c>
      <c r="AB144" s="20">
        <f>IFERROR(VLOOKUP(Tabla13[[#This Row],[Llave]],'[5]Consolidación planes'!$A:$M,9,FALSE),0)</f>
        <v>48000</v>
      </c>
      <c r="AC144" s="20">
        <f>IFERROR(VLOOKUP(Tabla13[[#This Row],[Llave]],'[5]Consolidación planes'!$A:$M,10,FALSE),0)</f>
        <v>0</v>
      </c>
      <c r="AD144" s="20">
        <f>IFERROR(VLOOKUP(Tabla13[[#This Row],[Llave]],'[5]Consolidación planes'!$A:$M,11,FALSE),0)</f>
        <v>0</v>
      </c>
      <c r="AE144" s="20">
        <f>IFERROR(VLOOKUP(Tabla13[[#This Row],[Llave]],'[5]Consolidación planes'!$A:$M,12,FALSE),0)</f>
        <v>0</v>
      </c>
      <c r="AF144" s="20">
        <f>IFERROR(VLOOKUP(Tabla13[[#This Row],[Llave]],'[5]Consolidación planes'!$A:$M,13,FALSE),0)</f>
        <v>0</v>
      </c>
    </row>
    <row r="145" spans="2:32" ht="16" hidden="1" x14ac:dyDescent="0.2">
      <c r="B145" t="str">
        <f>Tabla13[[#This Row],[Oficina]]&amp;Tabla13[[#This Row],[Material]]</f>
        <v>Agrosuper Shanghai1022381</v>
      </c>
      <c r="C145" t="s">
        <v>6</v>
      </c>
      <c r="D145" t="s">
        <v>140</v>
      </c>
      <c r="E145">
        <v>1022381</v>
      </c>
      <c r="F145" t="s">
        <v>147</v>
      </c>
      <c r="G145" t="s">
        <v>11</v>
      </c>
      <c r="H145" t="s">
        <v>41</v>
      </c>
      <c r="I145" s="7">
        <f>IFERROR(VLOOKUP(Tabla13[[#This Row],[Llave]],'[1]Consolidado RV'!$B:$H,6,FALSE),0)</f>
        <v>62729.298999999999</v>
      </c>
      <c r="J145" s="3">
        <f>IFERROR(VLOOKUP(Tabla13[[#This Row],[Llave]],'[1]Consolidado RV'!$B:$H,7,FALSE),0)</f>
        <v>48769.627499953422</v>
      </c>
      <c r="K145" s="8">
        <f>IFERROR(VLOOKUP(Tabla13[[#This Row],[Oficina]],#REF!,2,FALSE),0)</f>
        <v>0</v>
      </c>
      <c r="L145" s="7">
        <f>+Tabla13[[#This Row],[ RV Producción mes n+1]]*Tabla13[[#This Row],[% Uti. producción]]</f>
        <v>0</v>
      </c>
      <c r="M145" s="7">
        <f>IFERROR(VLOOKUP(Tabla13[[#This Row],[Material]],#REF!,2,FALSE),0)</f>
        <v>0</v>
      </c>
      <c r="N145" s="7">
        <f>IFERROR(VLOOKUP(Tabla13[[#This Row],[Llave]],'En puerto-Programado'!A:D,4,FALSE)+VLOOKUP(Tabla13[[#This Row],[Llave]],'Por despachar'!A:F,6,FALSE),0)</f>
        <v>0</v>
      </c>
      <c r="O145" s="7">
        <f>IFERROR(VLOOKUP(Tabla13[[#This Row],[Material]],[2]Consolidado!$C:$D,2,FALSE),0)</f>
        <v>10760</v>
      </c>
      <c r="P145" s="7">
        <f>IFERROR(VLOOKUP(Tabla13[[#This Row],[Llave]],'Por despachar'!A:E,5,FALSE),0)</f>
        <v>0</v>
      </c>
      <c r="Q145" s="14">
        <f>SUM(Tabla13[[#This Row],[Producción disponible]],Tabla13[[#This Row],[Stock al día]],Tabla13[[#This Row],[Por producir Abr.]])-SUM(Tabla13[[#This Row],[Stock por despachar N]],Tabla13[[#This Row],[Producción por despachar mes N]])</f>
        <v>10760</v>
      </c>
      <c r="R145" s="7">
        <f>IFERROR(VLOOKUP(Tabla13[[#This Row],[Llave]],[3]Hoja2!$A:$D,4,FALSE),0)</f>
        <v>72000</v>
      </c>
      <c r="S145" s="9">
        <f>IFERROR(VLOOKUP(Tabla13[[#This Row],[Material]],[4]Hoja1!$B:$C,2,FALSE),0)</f>
        <v>24000</v>
      </c>
      <c r="T145" s="5">
        <f t="shared" si="5"/>
        <v>0</v>
      </c>
      <c r="U145" s="3">
        <f>+Tabla13[[#This Row],[Total disponible]]-Tabla13[[#This Row],[Atraso a facturar]]</f>
        <v>10760</v>
      </c>
      <c r="V145" s="6">
        <f t="shared" si="4"/>
        <v>0</v>
      </c>
      <c r="W145" s="3" t="str">
        <f>IF(Tabla13[[#This Row],[Venta del mes]]&gt;Tabla13[[#This Row],[ RV  Venta mes n+1]],"Falta venta","-")</f>
        <v>-</v>
      </c>
      <c r="X145" s="7"/>
      <c r="Y145" s="18">
        <v>0</v>
      </c>
      <c r="Z145" s="5">
        <f>+Tabla13[[#This Row],[Atraso a facturar]]+Tabla13[[#This Row],[Venta del mes]]+Tabla13[[#This Row],[Ajuste]]</f>
        <v>0</v>
      </c>
      <c r="AA145" s="6">
        <f>+Tabla13[[#This Row],[Atraso a facturar]]+Tabla13[[#This Row],[Venta del mes]]+Tabla13[[#This Row],[En puerto a facturar]]</f>
        <v>0</v>
      </c>
      <c r="AB145" s="20">
        <f>IFERROR(VLOOKUP(Tabla13[[#This Row],[Llave]],'[5]Consolidación planes'!$A:$M,9,FALSE),0)</f>
        <v>24000</v>
      </c>
      <c r="AC145" s="20">
        <f>IFERROR(VLOOKUP(Tabla13[[#This Row],[Llave]],'[5]Consolidación planes'!$A:$M,10,FALSE),0)</f>
        <v>48000</v>
      </c>
      <c r="AD145" s="20">
        <f>IFERROR(VLOOKUP(Tabla13[[#This Row],[Llave]],'[5]Consolidación planes'!$A:$M,11,FALSE),0)</f>
        <v>72000</v>
      </c>
      <c r="AE145" s="20">
        <f>IFERROR(VLOOKUP(Tabla13[[#This Row],[Llave]],'[5]Consolidación planes'!$A:$M,12,FALSE),0)</f>
        <v>96000</v>
      </c>
      <c r="AF145" s="20">
        <f>IFERROR(VLOOKUP(Tabla13[[#This Row],[Llave]],'[5]Consolidación planes'!$A:$M,13,FALSE),0)</f>
        <v>96000</v>
      </c>
    </row>
    <row r="146" spans="2:32" ht="16" hidden="1" x14ac:dyDescent="0.2">
      <c r="B146" t="str">
        <f>Tabla13[[#This Row],[Oficina]]&amp;Tabla13[[#This Row],[Material]]</f>
        <v>Agrosuper Shanghai1022389</v>
      </c>
      <c r="C146" t="s">
        <v>6</v>
      </c>
      <c r="D146" t="s">
        <v>140</v>
      </c>
      <c r="E146">
        <v>1022389</v>
      </c>
      <c r="F146" t="s">
        <v>145</v>
      </c>
      <c r="G146" t="s">
        <v>8</v>
      </c>
      <c r="H146" t="s">
        <v>34</v>
      </c>
      <c r="I146" s="7">
        <f>IFERROR(VLOOKUP(Tabla13[[#This Row],[Llave]],'[1]Consolidado RV'!$B:$H,6,FALSE),0)</f>
        <v>1580</v>
      </c>
      <c r="J146" s="3">
        <f>IFERROR(VLOOKUP(Tabla13[[#This Row],[Llave]],'[1]Consolidado RV'!$B:$H,7,FALSE),0)</f>
        <v>1580</v>
      </c>
      <c r="K146" s="8">
        <f>IFERROR(VLOOKUP(Tabla13[[#This Row],[Oficina]],#REF!,2,FALSE),0)</f>
        <v>0</v>
      </c>
      <c r="L146" s="7">
        <f>+Tabla13[[#This Row],[ RV Producción mes n+1]]*Tabla13[[#This Row],[% Uti. producción]]</f>
        <v>0</v>
      </c>
      <c r="M146" s="7">
        <f>IFERROR(VLOOKUP(Tabla13[[#This Row],[Material]],#REF!,2,FALSE),0)</f>
        <v>0</v>
      </c>
      <c r="N146" s="7">
        <f>IFERROR(VLOOKUP(Tabla13[[#This Row],[Llave]],'En puerto-Programado'!A:D,4,FALSE)+VLOOKUP(Tabla13[[#This Row],[Llave]],'Por despachar'!A:F,6,FALSE),0)</f>
        <v>0</v>
      </c>
      <c r="O146" s="7">
        <f>IFERROR(VLOOKUP(Tabla13[[#This Row],[Material]],[2]Consolidado!$C:$D,2,FALSE),0)</f>
        <v>0</v>
      </c>
      <c r="P146" s="7">
        <f>IFERROR(VLOOKUP(Tabla13[[#This Row],[Llave]],'Por despachar'!A:E,5,FALSE),0)</f>
        <v>0</v>
      </c>
      <c r="Q14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46" s="7">
        <f>IFERROR(VLOOKUP(Tabla13[[#This Row],[Llave]],[3]Hoja2!$A:$D,4,FALSE),0)</f>
        <v>0</v>
      </c>
      <c r="S146" s="9">
        <f>IFERROR(VLOOKUP(Tabla13[[#This Row],[Material]],[4]Hoja1!$B:$C,2,FALSE),0)</f>
        <v>24000</v>
      </c>
      <c r="T146" s="5">
        <f t="shared" si="5"/>
        <v>0</v>
      </c>
      <c r="U146" s="3">
        <f>+Tabla13[[#This Row],[Total disponible]]-Tabla13[[#This Row],[Atraso a facturar]]</f>
        <v>0</v>
      </c>
      <c r="V146" s="6">
        <f t="shared" si="4"/>
        <v>0</v>
      </c>
      <c r="W146" s="3" t="str">
        <f>IF(Tabla13[[#This Row],[Venta del mes]]&gt;Tabla13[[#This Row],[ RV  Venta mes n+1]],"Falta venta","-")</f>
        <v>-</v>
      </c>
      <c r="X146" s="7"/>
      <c r="Y146" s="18">
        <v>0</v>
      </c>
      <c r="Z146" s="5">
        <f>+Tabla13[[#This Row],[Atraso a facturar]]+Tabla13[[#This Row],[Venta del mes]]+Tabla13[[#This Row],[Ajuste]]</f>
        <v>0</v>
      </c>
      <c r="AA146" s="6">
        <f>+Tabla13[[#This Row],[Atraso a facturar]]+Tabla13[[#This Row],[Venta del mes]]+Tabla13[[#This Row],[En puerto a facturar]]</f>
        <v>0</v>
      </c>
      <c r="AB146" s="20">
        <f>IFERROR(VLOOKUP(Tabla13[[#This Row],[Llave]],'[5]Consolidación planes'!$A:$M,9,FALSE),0)</f>
        <v>72000</v>
      </c>
      <c r="AC146" s="20">
        <f>IFERROR(VLOOKUP(Tabla13[[#This Row],[Llave]],'[5]Consolidación planes'!$A:$M,10,FALSE),0)</f>
        <v>0</v>
      </c>
      <c r="AD146" s="20">
        <f>IFERROR(VLOOKUP(Tabla13[[#This Row],[Llave]],'[5]Consolidación planes'!$A:$M,11,FALSE),0)</f>
        <v>0</v>
      </c>
      <c r="AE146" s="20">
        <f>IFERROR(VLOOKUP(Tabla13[[#This Row],[Llave]],'[5]Consolidación planes'!$A:$M,12,FALSE),0)</f>
        <v>0</v>
      </c>
      <c r="AF146" s="20">
        <f>IFERROR(VLOOKUP(Tabla13[[#This Row],[Llave]],'[5]Consolidación planes'!$A:$M,13,FALSE),0)</f>
        <v>0</v>
      </c>
    </row>
    <row r="147" spans="2:32" ht="16" hidden="1" x14ac:dyDescent="0.2">
      <c r="B147" t="str">
        <f>Tabla13[[#This Row],[Oficina]]&amp;Tabla13[[#This Row],[Material]]</f>
        <v>Agrosuper Shanghai1022414</v>
      </c>
      <c r="C147" t="s">
        <v>6</v>
      </c>
      <c r="D147" t="s">
        <v>140</v>
      </c>
      <c r="E147">
        <v>1022414</v>
      </c>
      <c r="F147" t="s">
        <v>142</v>
      </c>
      <c r="G147" t="s">
        <v>18</v>
      </c>
      <c r="H147" t="s">
        <v>141</v>
      </c>
      <c r="I147" s="7">
        <f>IFERROR(VLOOKUP(Tabla13[[#This Row],[Llave]],'[1]Consolidado RV'!$B:$H,6,FALSE),0)</f>
        <v>5445.0545000000002</v>
      </c>
      <c r="J147" s="3">
        <f>IFERROR(VLOOKUP(Tabla13[[#This Row],[Llave]],'[1]Consolidado RV'!$B:$H,7,FALSE),0)</f>
        <v>0</v>
      </c>
      <c r="K147" s="8">
        <f>IFERROR(VLOOKUP(Tabla13[[#This Row],[Oficina]],#REF!,2,FALSE),0)</f>
        <v>0</v>
      </c>
      <c r="L147" s="7">
        <f>+Tabla13[[#This Row],[ RV Producción mes n+1]]*Tabla13[[#This Row],[% Uti. producción]]</f>
        <v>0</v>
      </c>
      <c r="M147" s="7">
        <f>IFERROR(VLOOKUP(Tabla13[[#This Row],[Material]],#REF!,2,FALSE),0)</f>
        <v>0</v>
      </c>
      <c r="N147" s="7">
        <f>IFERROR(VLOOKUP(Tabla13[[#This Row],[Llave]],'En puerto-Programado'!A:D,4,FALSE)+VLOOKUP(Tabla13[[#This Row],[Llave]],'Por despachar'!A:F,6,FALSE),0)</f>
        <v>48000</v>
      </c>
      <c r="O147" s="7">
        <f>IFERROR(VLOOKUP(Tabla13[[#This Row],[Material]],[2]Consolidado!$C:$D,2,FALSE),0)</f>
        <v>57460.48000000001</v>
      </c>
      <c r="P147" s="7">
        <f>IFERROR(VLOOKUP(Tabla13[[#This Row],[Llave]],'Por despachar'!A:E,5,FALSE),0)</f>
        <v>0</v>
      </c>
      <c r="Q147" s="14">
        <f>SUM(Tabla13[[#This Row],[Producción disponible]],Tabla13[[#This Row],[Stock al día]],Tabla13[[#This Row],[Por producir Abr.]])-SUM(Tabla13[[#This Row],[Stock por despachar N]],Tabla13[[#This Row],[Producción por despachar mes N]])</f>
        <v>9460.4800000000105</v>
      </c>
      <c r="R147" s="7">
        <f>IFERROR(VLOOKUP(Tabla13[[#This Row],[Llave]],[3]Hoja2!$A:$D,4,FALSE),0)</f>
        <v>96000</v>
      </c>
      <c r="S147" s="9">
        <f>IFERROR(VLOOKUP(Tabla13[[#This Row],[Material]],[4]Hoja1!$B:$C,2,FALSE),0)</f>
        <v>24000</v>
      </c>
      <c r="T147" s="5">
        <f t="shared" si="5"/>
        <v>0</v>
      </c>
      <c r="U147" s="3">
        <f>+Tabla13[[#This Row],[Total disponible]]-Tabla13[[#This Row],[Atraso a facturar]]</f>
        <v>9460.4800000000105</v>
      </c>
      <c r="V147" s="6">
        <f t="shared" si="4"/>
        <v>0</v>
      </c>
      <c r="W147" s="3" t="str">
        <f>IF(Tabla13[[#This Row],[Venta del mes]]&gt;Tabla13[[#This Row],[ RV  Venta mes n+1]],"Falta venta","-")</f>
        <v>-</v>
      </c>
      <c r="X147" s="7"/>
      <c r="Y147" s="18">
        <v>0</v>
      </c>
      <c r="Z147" s="5">
        <f>+Tabla13[[#This Row],[Atraso a facturar]]+Tabla13[[#This Row],[Venta del mes]]+Tabla13[[#This Row],[Ajuste]]</f>
        <v>0</v>
      </c>
      <c r="AA147" s="6">
        <f>+Tabla13[[#This Row],[Atraso a facturar]]+Tabla13[[#This Row],[Venta del mes]]+Tabla13[[#This Row],[En puerto a facturar]]</f>
        <v>0</v>
      </c>
      <c r="AB147" s="20">
        <f>IFERROR(VLOOKUP(Tabla13[[#This Row],[Llave]],'[5]Consolidación planes'!$A:$M,9,FALSE),0)</f>
        <v>192000</v>
      </c>
      <c r="AC147" s="20">
        <f>IFERROR(VLOOKUP(Tabla13[[#This Row],[Llave]],'[5]Consolidación planes'!$A:$M,10,FALSE),0)</f>
        <v>192000</v>
      </c>
      <c r="AD147" s="20">
        <f>IFERROR(VLOOKUP(Tabla13[[#This Row],[Llave]],'[5]Consolidación planes'!$A:$M,11,FALSE),0)</f>
        <v>192000</v>
      </c>
      <c r="AE147" s="20">
        <f>IFERROR(VLOOKUP(Tabla13[[#This Row],[Llave]],'[5]Consolidación planes'!$A:$M,12,FALSE),0)</f>
        <v>120000</v>
      </c>
      <c r="AF147" s="20">
        <f>IFERROR(VLOOKUP(Tabla13[[#This Row],[Llave]],'[5]Consolidación planes'!$A:$M,13,FALSE),0)</f>
        <v>120000</v>
      </c>
    </row>
    <row r="148" spans="2:32" ht="16" hidden="1" x14ac:dyDescent="0.2">
      <c r="B148" t="str">
        <f>Tabla13[[#This Row],[Oficina]]&amp;Tabla13[[#This Row],[Material]]</f>
        <v>Agrosuper Shanghai1022415</v>
      </c>
      <c r="C148" t="s">
        <v>6</v>
      </c>
      <c r="D148" t="s">
        <v>140</v>
      </c>
      <c r="E148">
        <v>1022415</v>
      </c>
      <c r="F148" t="s">
        <v>305</v>
      </c>
      <c r="G148" t="s">
        <v>71</v>
      </c>
      <c r="H148" t="s">
        <v>72</v>
      </c>
      <c r="I148" s="7">
        <f>IFERROR(VLOOKUP(Tabla13[[#This Row],[Llave]],'[1]Consolidado RV'!$B:$H,6,FALSE),0)</f>
        <v>0</v>
      </c>
      <c r="J148" s="3">
        <f>IFERROR(VLOOKUP(Tabla13[[#This Row],[Llave]],'[1]Consolidado RV'!$B:$H,7,FALSE),0)</f>
        <v>0</v>
      </c>
      <c r="K148" s="8">
        <f>IFERROR(VLOOKUP(Tabla13[[#This Row],[Oficina]],#REF!,2,FALSE),0)</f>
        <v>0</v>
      </c>
      <c r="L148" s="7">
        <f>+Tabla13[[#This Row],[ RV Producción mes n+1]]*Tabla13[[#This Row],[% Uti. producción]]</f>
        <v>0</v>
      </c>
      <c r="M148" s="7">
        <f>IFERROR(VLOOKUP(Tabla13[[#This Row],[Material]],#REF!,2,FALSE),0)</f>
        <v>0</v>
      </c>
      <c r="N148" s="7">
        <f>IFERROR(VLOOKUP(Tabla13[[#This Row],[Llave]],'En puerto-Programado'!A:D,4,FALSE)+VLOOKUP(Tabla13[[#This Row],[Llave]],'Por despachar'!A:F,6,FALSE),0)</f>
        <v>0</v>
      </c>
      <c r="O148" s="7">
        <f>IFERROR(VLOOKUP(Tabla13[[#This Row],[Material]],[2]Consolidado!$C:$D,2,FALSE),0)</f>
        <v>0</v>
      </c>
      <c r="P148" s="7">
        <f>IFERROR(VLOOKUP(Tabla13[[#This Row],[Llave]],'Por despachar'!A:E,5,FALSE),0)</f>
        <v>0</v>
      </c>
      <c r="Q14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48" s="7">
        <f>IFERROR(VLOOKUP(Tabla13[[#This Row],[Llave]],[3]Hoja2!$A:$D,4,FALSE),0)</f>
        <v>0</v>
      </c>
      <c r="S148" s="9">
        <f>IFERROR(VLOOKUP(Tabla13[[#This Row],[Material]],[4]Hoja1!$B:$C,2,FALSE),0)</f>
        <v>24000</v>
      </c>
      <c r="T148" s="5">
        <f t="shared" si="5"/>
        <v>0</v>
      </c>
      <c r="U148" s="3">
        <f>+Tabla13[[#This Row],[Total disponible]]-Tabla13[[#This Row],[Atraso a facturar]]</f>
        <v>0</v>
      </c>
      <c r="V148" s="6">
        <f t="shared" si="4"/>
        <v>0</v>
      </c>
      <c r="W148" s="3" t="str">
        <f>IF(Tabla13[[#This Row],[Venta del mes]]&gt;Tabla13[[#This Row],[ RV  Venta mes n+1]],"Falta venta","-")</f>
        <v>-</v>
      </c>
      <c r="X148" s="7"/>
      <c r="Y148" s="18">
        <v>0</v>
      </c>
      <c r="Z148" s="5">
        <f>+Tabla13[[#This Row],[Atraso a facturar]]+Tabla13[[#This Row],[Venta del mes]]+Tabla13[[#This Row],[Ajuste]]</f>
        <v>0</v>
      </c>
      <c r="AA148" s="6">
        <f>+Tabla13[[#This Row],[Atraso a facturar]]+Tabla13[[#This Row],[Venta del mes]]+Tabla13[[#This Row],[En puerto a facturar]]</f>
        <v>0</v>
      </c>
      <c r="AB148" s="20">
        <f>IFERROR(VLOOKUP(Tabla13[[#This Row],[Llave]],'[5]Consolidación planes'!$A:$M,9,FALSE),0)</f>
        <v>0</v>
      </c>
      <c r="AC148" s="20">
        <f>IFERROR(VLOOKUP(Tabla13[[#This Row],[Llave]],'[5]Consolidación planes'!$A:$M,10,FALSE),0)</f>
        <v>0</v>
      </c>
      <c r="AD148" s="20">
        <f>IFERROR(VLOOKUP(Tabla13[[#This Row],[Llave]],'[5]Consolidación planes'!$A:$M,11,FALSE),0)</f>
        <v>4084</v>
      </c>
      <c r="AE148" s="20">
        <f>IFERROR(VLOOKUP(Tabla13[[#This Row],[Llave]],'[5]Consolidación planes'!$A:$M,12,FALSE),0)</f>
        <v>0</v>
      </c>
      <c r="AF148" s="20">
        <f>IFERROR(VLOOKUP(Tabla13[[#This Row],[Llave]],'[5]Consolidación planes'!$A:$M,13,FALSE),0)</f>
        <v>0</v>
      </c>
    </row>
    <row r="149" spans="2:32" ht="16" hidden="1" x14ac:dyDescent="0.2">
      <c r="B149" t="str">
        <f>Tabla13[[#This Row],[Oficina]]&amp;Tabla13[[#This Row],[Material]]</f>
        <v>Agrosuper Shanghai1022417</v>
      </c>
      <c r="C149" t="s">
        <v>6</v>
      </c>
      <c r="D149" t="s">
        <v>140</v>
      </c>
      <c r="E149">
        <v>1022417</v>
      </c>
      <c r="F149" t="s">
        <v>144</v>
      </c>
      <c r="G149" t="s">
        <v>8</v>
      </c>
      <c r="H149" t="s">
        <v>32</v>
      </c>
      <c r="I149" s="7">
        <f>IFERROR(VLOOKUP(Tabla13[[#This Row],[Llave]],'[1]Consolidado RV'!$B:$H,6,FALSE),0)</f>
        <v>153427.9</v>
      </c>
      <c r="J149" s="3">
        <f>IFERROR(VLOOKUP(Tabla13[[#This Row],[Llave]],'[1]Consolidado RV'!$B:$H,7,FALSE),0)</f>
        <v>153427.9</v>
      </c>
      <c r="K149" s="8">
        <f>IFERROR(VLOOKUP(Tabla13[[#This Row],[Oficina]],#REF!,2,FALSE),0)</f>
        <v>0</v>
      </c>
      <c r="L149" s="7">
        <f>+Tabla13[[#This Row],[ RV Producción mes n+1]]*Tabla13[[#This Row],[% Uti. producción]]</f>
        <v>0</v>
      </c>
      <c r="M149" s="7">
        <f>IFERROR(VLOOKUP(Tabla13[[#This Row],[Material]],#REF!,2,FALSE),0)</f>
        <v>0</v>
      </c>
      <c r="N149" s="7">
        <f>IFERROR(VLOOKUP(Tabla13[[#This Row],[Llave]],'En puerto-Programado'!A:D,4,FALSE)+VLOOKUP(Tabla13[[#This Row],[Llave]],'Por despachar'!A:F,6,FALSE),0)</f>
        <v>0</v>
      </c>
      <c r="O149" s="7">
        <f>IFERROR(VLOOKUP(Tabla13[[#This Row],[Material]],[2]Consolidado!$C:$D,2,FALSE),0)</f>
        <v>0</v>
      </c>
      <c r="P149" s="7">
        <f>IFERROR(VLOOKUP(Tabla13[[#This Row],[Llave]],'Por despachar'!A:E,5,FALSE),0)</f>
        <v>0</v>
      </c>
      <c r="Q14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49" s="7">
        <f>IFERROR(VLOOKUP(Tabla13[[#This Row],[Llave]],[3]Hoja2!$A:$D,4,FALSE),0)</f>
        <v>0</v>
      </c>
      <c r="S149" s="9">
        <f>IFERROR(VLOOKUP(Tabla13[[#This Row],[Material]],[4]Hoja1!$B:$C,2,FALSE),0)</f>
        <v>24000</v>
      </c>
      <c r="T149" s="5">
        <f t="shared" si="5"/>
        <v>0</v>
      </c>
      <c r="U149" s="3">
        <f>+Tabla13[[#This Row],[Total disponible]]-Tabla13[[#This Row],[Atraso a facturar]]</f>
        <v>0</v>
      </c>
      <c r="V149" s="6">
        <f t="shared" si="4"/>
        <v>0</v>
      </c>
      <c r="W149" s="3" t="str">
        <f>IF(Tabla13[[#This Row],[Venta del mes]]&gt;Tabla13[[#This Row],[ RV  Venta mes n+1]],"Falta venta","-")</f>
        <v>-</v>
      </c>
      <c r="X149" s="7"/>
      <c r="Y149" s="18">
        <v>0</v>
      </c>
      <c r="Z149" s="5">
        <f>+Tabla13[[#This Row],[Atraso a facturar]]+Tabla13[[#This Row],[Venta del mes]]+Tabla13[[#This Row],[Ajuste]]</f>
        <v>0</v>
      </c>
      <c r="AA149" s="6">
        <f>+Tabla13[[#This Row],[Atraso a facturar]]+Tabla13[[#This Row],[Venta del mes]]+Tabla13[[#This Row],[En puerto a facturar]]</f>
        <v>0</v>
      </c>
      <c r="AB149" s="20">
        <f>IFERROR(VLOOKUP(Tabla13[[#This Row],[Llave]],'[5]Consolidación planes'!$A:$M,9,FALSE),0)</f>
        <v>0</v>
      </c>
      <c r="AC149" s="20">
        <f>IFERROR(VLOOKUP(Tabla13[[#This Row],[Llave]],'[5]Consolidación planes'!$A:$M,10,FALSE),0)</f>
        <v>0</v>
      </c>
      <c r="AD149" s="20">
        <f>IFERROR(VLOOKUP(Tabla13[[#This Row],[Llave]],'[5]Consolidación planes'!$A:$M,11,FALSE),0)</f>
        <v>24000</v>
      </c>
      <c r="AE149" s="20">
        <f>IFERROR(VLOOKUP(Tabla13[[#This Row],[Llave]],'[5]Consolidación planes'!$A:$M,12,FALSE),0)</f>
        <v>48000</v>
      </c>
      <c r="AF149" s="20">
        <f>IFERROR(VLOOKUP(Tabla13[[#This Row],[Llave]],'[5]Consolidación planes'!$A:$M,13,FALSE),0)</f>
        <v>24000</v>
      </c>
    </row>
    <row r="150" spans="2:32" ht="16" hidden="1" x14ac:dyDescent="0.2">
      <c r="B150" t="str">
        <f>Tabla13[[#This Row],[Oficina]]&amp;Tabla13[[#This Row],[Material]]</f>
        <v>Agrosuper Shanghai1022541</v>
      </c>
      <c r="C150" t="s">
        <v>6</v>
      </c>
      <c r="D150" t="s">
        <v>140</v>
      </c>
      <c r="E150">
        <v>1022541</v>
      </c>
      <c r="F150" t="s">
        <v>148</v>
      </c>
      <c r="G150" t="s">
        <v>11</v>
      </c>
      <c r="H150" t="s">
        <v>41</v>
      </c>
      <c r="I150" s="7">
        <f>IFERROR(VLOOKUP(Tabla13[[#This Row],[Llave]],'[1]Consolidado RV'!$B:$H,6,FALSE),0)</f>
        <v>289046.92100000003</v>
      </c>
      <c r="J150" s="3">
        <f>IFERROR(VLOOKUP(Tabla13[[#This Row],[Llave]],'[1]Consolidado RV'!$B:$H,7,FALSE),0)</f>
        <v>277421.47100000002</v>
      </c>
      <c r="K150" s="8">
        <f>IFERROR(VLOOKUP(Tabla13[[#This Row],[Oficina]],#REF!,2,FALSE),0)</f>
        <v>0</v>
      </c>
      <c r="L150" s="7">
        <f>+Tabla13[[#This Row],[ RV Producción mes n+1]]*Tabla13[[#This Row],[% Uti. producción]]</f>
        <v>0</v>
      </c>
      <c r="M150" s="7">
        <f>IFERROR(VLOOKUP(Tabla13[[#This Row],[Material]],#REF!,2,FALSE),0)</f>
        <v>0</v>
      </c>
      <c r="N150" s="7">
        <f>IFERROR(VLOOKUP(Tabla13[[#This Row],[Llave]],'En puerto-Programado'!A:D,4,FALSE)+VLOOKUP(Tabla13[[#This Row],[Llave]],'Por despachar'!A:F,6,FALSE),0)</f>
        <v>0</v>
      </c>
      <c r="O150" s="7">
        <f>IFERROR(VLOOKUP(Tabla13[[#This Row],[Material]],[2]Consolidado!$C:$D,2,FALSE),0)</f>
        <v>172635.50174499702</v>
      </c>
      <c r="P150" s="7">
        <f>IFERROR(VLOOKUP(Tabla13[[#This Row],[Llave]],'Por despachar'!A:E,5,FALSE),0)</f>
        <v>0</v>
      </c>
      <c r="Q150" s="14">
        <f>SUM(Tabla13[[#This Row],[Producción disponible]],Tabla13[[#This Row],[Stock al día]],Tabla13[[#This Row],[Por producir Abr.]])-SUM(Tabla13[[#This Row],[Stock por despachar N]],Tabla13[[#This Row],[Producción por despachar mes N]])</f>
        <v>172635.50174499702</v>
      </c>
      <c r="R150" s="7">
        <f>IFERROR(VLOOKUP(Tabla13[[#This Row],[Llave]],[3]Hoja2!$A:$D,4,FALSE),0)</f>
        <v>144000</v>
      </c>
      <c r="S150" s="9">
        <f>IFERROR(VLOOKUP(Tabla13[[#This Row],[Material]],[4]Hoja1!$B:$C,2,FALSE),0)</f>
        <v>24000</v>
      </c>
      <c r="T150" s="5">
        <f t="shared" si="5"/>
        <v>144000</v>
      </c>
      <c r="U150" s="3">
        <f>+Tabla13[[#This Row],[Total disponible]]-Tabla13[[#This Row],[Atraso a facturar]]</f>
        <v>28635.501744997018</v>
      </c>
      <c r="V150" s="6">
        <f t="shared" si="4"/>
        <v>24000</v>
      </c>
      <c r="W150" s="3" t="str">
        <f>IF(Tabla13[[#This Row],[Venta del mes]]&gt;Tabla13[[#This Row],[ RV  Venta mes n+1]],"Falta venta","-")</f>
        <v>-</v>
      </c>
      <c r="X150" s="7"/>
      <c r="Y150" s="18">
        <v>0</v>
      </c>
      <c r="Z150" s="5">
        <f>+Tabla13[[#This Row],[Atraso a facturar]]+Tabla13[[#This Row],[Venta del mes]]+Tabla13[[#This Row],[Ajuste]]</f>
        <v>168000</v>
      </c>
      <c r="AA150" s="6">
        <f>+Tabla13[[#This Row],[Atraso a facturar]]+Tabla13[[#This Row],[Venta del mes]]+Tabla13[[#This Row],[En puerto a facturar]]</f>
        <v>168000</v>
      </c>
      <c r="AB150" s="20">
        <f>IFERROR(VLOOKUP(Tabla13[[#This Row],[Llave]],'[5]Consolidación planes'!$A:$M,9,FALSE),0)</f>
        <v>24000</v>
      </c>
      <c r="AC150" s="20">
        <f>IFERROR(VLOOKUP(Tabla13[[#This Row],[Llave]],'[5]Consolidación planes'!$A:$M,10,FALSE),0)</f>
        <v>72000</v>
      </c>
      <c r="AD150" s="20">
        <f>IFERROR(VLOOKUP(Tabla13[[#This Row],[Llave]],'[5]Consolidación planes'!$A:$M,11,FALSE),0)</f>
        <v>48000</v>
      </c>
      <c r="AE150" s="20">
        <f>IFERROR(VLOOKUP(Tabla13[[#This Row],[Llave]],'[5]Consolidación planes'!$A:$M,12,FALSE),0)</f>
        <v>24000</v>
      </c>
      <c r="AF150" s="20">
        <f>IFERROR(VLOOKUP(Tabla13[[#This Row],[Llave]],'[5]Consolidación planes'!$A:$M,13,FALSE),0)</f>
        <v>168000</v>
      </c>
    </row>
    <row r="151" spans="2:32" ht="16" hidden="1" x14ac:dyDescent="0.2">
      <c r="B151" t="str">
        <f>Tabla13[[#This Row],[Oficina]]&amp;Tabla13[[#This Row],[Material]]</f>
        <v>Agrosuper Shanghai1022637</v>
      </c>
      <c r="C151" t="s">
        <v>6</v>
      </c>
      <c r="D151" t="s">
        <v>140</v>
      </c>
      <c r="E151">
        <v>1022637</v>
      </c>
      <c r="F151" t="s">
        <v>155</v>
      </c>
      <c r="G151" t="s">
        <v>92</v>
      </c>
      <c r="H151" t="s">
        <v>153</v>
      </c>
      <c r="I151" s="7">
        <f>IFERROR(VLOOKUP(Tabla13[[#This Row],[Llave]],'[1]Consolidado RV'!$B:$H,6,FALSE),0)</f>
        <v>99632.74</v>
      </c>
      <c r="J151" s="3">
        <f>IFERROR(VLOOKUP(Tabla13[[#This Row],[Llave]],'[1]Consolidado RV'!$B:$H,7,FALSE),0)</f>
        <v>163380.29999999999</v>
      </c>
      <c r="K151" s="8">
        <f>IFERROR(VLOOKUP(Tabla13[[#This Row],[Oficina]],#REF!,2,FALSE),0)</f>
        <v>0</v>
      </c>
      <c r="L151" s="7">
        <f>+Tabla13[[#This Row],[ RV Producción mes n+1]]*Tabla13[[#This Row],[% Uti. producción]]</f>
        <v>0</v>
      </c>
      <c r="M151" s="7">
        <f>IFERROR(VLOOKUP(Tabla13[[#This Row],[Material]],#REF!,2,FALSE),0)</f>
        <v>0</v>
      </c>
      <c r="N151" s="7">
        <f>IFERROR(VLOOKUP(Tabla13[[#This Row],[Llave]],'En puerto-Programado'!A:D,4,FALSE)+VLOOKUP(Tabla13[[#This Row],[Llave]],'Por despachar'!A:F,6,FALSE),0)</f>
        <v>0</v>
      </c>
      <c r="O151" s="7">
        <f>IFERROR(VLOOKUP(Tabla13[[#This Row],[Material]],[2]Consolidado!$C:$D,2,FALSE),0)</f>
        <v>38773.916799999999</v>
      </c>
      <c r="P151" s="7">
        <f>IFERROR(VLOOKUP(Tabla13[[#This Row],[Llave]],'Por despachar'!A:E,5,FALSE),0)</f>
        <v>0</v>
      </c>
      <c r="Q151" s="14">
        <f>SUM(Tabla13[[#This Row],[Producción disponible]],Tabla13[[#This Row],[Stock al día]],Tabla13[[#This Row],[Por producir Abr.]])-SUM(Tabla13[[#This Row],[Stock por despachar N]],Tabla13[[#This Row],[Producción por despachar mes N]])</f>
        <v>38773.916799999999</v>
      </c>
      <c r="R151" s="7">
        <f>IFERROR(VLOOKUP(Tabla13[[#This Row],[Llave]],[3]Hoja2!$A:$D,4,FALSE),0)</f>
        <v>24000</v>
      </c>
      <c r="S151" s="9">
        <f>IFERROR(VLOOKUP(Tabla13[[#This Row],[Material]],[4]Hoja1!$B:$C,2,FALSE),0)</f>
        <v>24000</v>
      </c>
      <c r="T151" s="5">
        <f t="shared" si="5"/>
        <v>24000</v>
      </c>
      <c r="U151" s="3">
        <f>+Tabla13[[#This Row],[Total disponible]]-Tabla13[[#This Row],[Atraso a facturar]]</f>
        <v>14773.916799999999</v>
      </c>
      <c r="V151" s="6">
        <f t="shared" si="4"/>
        <v>0</v>
      </c>
      <c r="W151" s="3" t="str">
        <f>IF(Tabla13[[#This Row],[Venta del mes]]&gt;Tabla13[[#This Row],[ RV  Venta mes n+1]],"Falta venta","-")</f>
        <v>-</v>
      </c>
      <c r="X151" s="7"/>
      <c r="Y151" s="18">
        <v>0</v>
      </c>
      <c r="Z151" s="5">
        <f>+Tabla13[[#This Row],[Atraso a facturar]]+Tabla13[[#This Row],[Venta del mes]]+Tabla13[[#This Row],[Ajuste]]</f>
        <v>24000</v>
      </c>
      <c r="AA151" s="6">
        <f>+Tabla13[[#This Row],[Atraso a facturar]]+Tabla13[[#This Row],[Venta del mes]]+Tabla13[[#This Row],[En puerto a facturar]]</f>
        <v>24000</v>
      </c>
      <c r="AB151" s="20">
        <f>IFERROR(VLOOKUP(Tabla13[[#This Row],[Llave]],'[5]Consolidación planes'!$A:$M,9,FALSE),0)</f>
        <v>144000</v>
      </c>
      <c r="AC151" s="20">
        <f>IFERROR(VLOOKUP(Tabla13[[#This Row],[Llave]],'[5]Consolidación planes'!$A:$M,10,FALSE),0)</f>
        <v>144000</v>
      </c>
      <c r="AD151" s="20">
        <f>IFERROR(VLOOKUP(Tabla13[[#This Row],[Llave]],'[5]Consolidación planes'!$A:$M,11,FALSE),0)</f>
        <v>120000</v>
      </c>
      <c r="AE151" s="20">
        <f>IFERROR(VLOOKUP(Tabla13[[#This Row],[Llave]],'[5]Consolidación planes'!$A:$M,12,FALSE),0)</f>
        <v>144000</v>
      </c>
      <c r="AF151" s="20">
        <f>IFERROR(VLOOKUP(Tabla13[[#This Row],[Llave]],'[5]Consolidación planes'!$A:$M,13,FALSE),0)</f>
        <v>71100</v>
      </c>
    </row>
    <row r="152" spans="2:32" ht="16" hidden="1" x14ac:dyDescent="0.2">
      <c r="B152" t="str">
        <f>Tabla13[[#This Row],[Oficina]]&amp;Tabla13[[#This Row],[Material]]</f>
        <v>Agrosuper Shanghai1022748</v>
      </c>
      <c r="C152" t="s">
        <v>6</v>
      </c>
      <c r="D152" t="s">
        <v>140</v>
      </c>
      <c r="E152">
        <v>1022748</v>
      </c>
      <c r="F152" t="s">
        <v>171</v>
      </c>
      <c r="G152" t="s">
        <v>76</v>
      </c>
      <c r="H152" t="s">
        <v>77</v>
      </c>
      <c r="I152" s="7">
        <f>IFERROR(VLOOKUP(Tabla13[[#This Row],[Llave]],'[1]Consolidado RV'!$B:$H,6,FALSE),0)</f>
        <v>204510.965</v>
      </c>
      <c r="J152" s="3">
        <f>IFERROR(VLOOKUP(Tabla13[[#This Row],[Llave]],'[1]Consolidado RV'!$B:$H,7,FALSE),0)</f>
        <v>204510.965</v>
      </c>
      <c r="K152" s="8">
        <f>IFERROR(VLOOKUP(Tabla13[[#This Row],[Oficina]],#REF!,2,FALSE),0)</f>
        <v>0</v>
      </c>
      <c r="L152" s="7">
        <f>+Tabla13[[#This Row],[ RV Producción mes n+1]]*Tabla13[[#This Row],[% Uti. producción]]</f>
        <v>0</v>
      </c>
      <c r="M152" s="7">
        <f>IFERROR(VLOOKUP(Tabla13[[#This Row],[Material]],#REF!,2,FALSE),0)</f>
        <v>0</v>
      </c>
      <c r="N152" s="7">
        <f>IFERROR(VLOOKUP(Tabla13[[#This Row],[Llave]],'En puerto-Programado'!A:D,4,FALSE)+VLOOKUP(Tabla13[[#This Row],[Llave]],'Por despachar'!A:F,6,FALSE),0)</f>
        <v>24000</v>
      </c>
      <c r="O152" s="7">
        <f>IFERROR(VLOOKUP(Tabla13[[#This Row],[Material]],[2]Consolidado!$C:$D,2,FALSE),0)</f>
        <v>88264.432000000001</v>
      </c>
      <c r="P152" s="7">
        <f>IFERROR(VLOOKUP(Tabla13[[#This Row],[Llave]],'Por despachar'!A:E,5,FALSE),0)</f>
        <v>0</v>
      </c>
      <c r="Q152" s="14">
        <f>SUM(Tabla13[[#This Row],[Producción disponible]],Tabla13[[#This Row],[Stock al día]],Tabla13[[#This Row],[Por producir Abr.]])-SUM(Tabla13[[#This Row],[Stock por despachar N]],Tabla13[[#This Row],[Producción por despachar mes N]])</f>
        <v>64264.432000000001</v>
      </c>
      <c r="R152" s="7">
        <f>IFERROR(VLOOKUP(Tabla13[[#This Row],[Llave]],[3]Hoja2!$A:$D,4,FALSE),0)</f>
        <v>24000</v>
      </c>
      <c r="S152" s="9">
        <f>IFERROR(VLOOKUP(Tabla13[[#This Row],[Material]],[4]Hoja1!$B:$C,2,FALSE),0)</f>
        <v>24000</v>
      </c>
      <c r="T152" s="5">
        <f t="shared" si="5"/>
        <v>24000</v>
      </c>
      <c r="U152" s="3">
        <f>+Tabla13[[#This Row],[Total disponible]]-Tabla13[[#This Row],[Atraso a facturar]]</f>
        <v>40264.432000000001</v>
      </c>
      <c r="V152" s="6">
        <f t="shared" si="4"/>
        <v>24000</v>
      </c>
      <c r="W152" s="3" t="str">
        <f>IF(Tabla13[[#This Row],[Venta del mes]]&gt;Tabla13[[#This Row],[ RV  Venta mes n+1]],"Falta venta","-")</f>
        <v>-</v>
      </c>
      <c r="X152" s="7"/>
      <c r="Y152" s="18">
        <v>0</v>
      </c>
      <c r="Z152" s="5">
        <f>+Tabla13[[#This Row],[Atraso a facturar]]+Tabla13[[#This Row],[Venta del mes]]+Tabla13[[#This Row],[Ajuste]]</f>
        <v>48000</v>
      </c>
      <c r="AA152" s="6">
        <f>+Tabla13[[#This Row],[Atraso a facturar]]+Tabla13[[#This Row],[Venta del mes]]+Tabla13[[#This Row],[En puerto a facturar]]</f>
        <v>48000</v>
      </c>
      <c r="AB152" s="20">
        <f>IFERROR(VLOOKUP(Tabla13[[#This Row],[Llave]],'[5]Consolidación planes'!$A:$M,9,FALSE),0)</f>
        <v>144000</v>
      </c>
      <c r="AC152" s="20">
        <f>IFERROR(VLOOKUP(Tabla13[[#This Row],[Llave]],'[5]Consolidación planes'!$A:$M,10,FALSE),0)</f>
        <v>0</v>
      </c>
      <c r="AD152" s="20">
        <f>IFERROR(VLOOKUP(Tabla13[[#This Row],[Llave]],'[5]Consolidación planes'!$A:$M,11,FALSE),0)</f>
        <v>84000</v>
      </c>
      <c r="AE152" s="20">
        <f>IFERROR(VLOOKUP(Tabla13[[#This Row],[Llave]],'[5]Consolidación planes'!$A:$M,12,FALSE),0)</f>
        <v>132000</v>
      </c>
      <c r="AF152" s="20">
        <f>IFERROR(VLOOKUP(Tabla13[[#This Row],[Llave]],'[5]Consolidación planes'!$A:$M,13,FALSE),0)</f>
        <v>96000</v>
      </c>
    </row>
    <row r="153" spans="2:32" ht="16" hidden="1" x14ac:dyDescent="0.2">
      <c r="B153" t="str">
        <f>Tabla13[[#This Row],[Oficina]]&amp;Tabla13[[#This Row],[Material]]</f>
        <v>Agrosuper Shanghai1022851</v>
      </c>
      <c r="C153" t="s">
        <v>6</v>
      </c>
      <c r="D153" t="s">
        <v>140</v>
      </c>
      <c r="E153">
        <v>1022851</v>
      </c>
      <c r="F153" t="s">
        <v>157</v>
      </c>
      <c r="G153" t="s">
        <v>53</v>
      </c>
      <c r="H153" t="s">
        <v>156</v>
      </c>
      <c r="I153" s="7">
        <f>IFERROR(VLOOKUP(Tabla13[[#This Row],[Llave]],'[1]Consolidado RV'!$B:$H,6,FALSE),0)</f>
        <v>184760.46</v>
      </c>
      <c r="J153" s="3">
        <f>IFERROR(VLOOKUP(Tabla13[[#This Row],[Llave]],'[1]Consolidado RV'!$B:$H,7,FALSE),0)</f>
        <v>184760.46</v>
      </c>
      <c r="K153" s="8">
        <f>IFERROR(VLOOKUP(Tabla13[[#This Row],[Oficina]],#REF!,2,FALSE),0)</f>
        <v>0</v>
      </c>
      <c r="L153" s="7">
        <f>+Tabla13[[#This Row],[ RV Producción mes n+1]]*Tabla13[[#This Row],[% Uti. producción]]</f>
        <v>0</v>
      </c>
      <c r="M153" s="7">
        <f>IFERROR(VLOOKUP(Tabla13[[#This Row],[Material]],#REF!,2,FALSE),0)</f>
        <v>0</v>
      </c>
      <c r="N153" s="7">
        <f>IFERROR(VLOOKUP(Tabla13[[#This Row],[Llave]],'En puerto-Programado'!A:D,4,FALSE)+VLOOKUP(Tabla13[[#This Row],[Llave]],'Por despachar'!A:F,6,FALSE),0)</f>
        <v>0</v>
      </c>
      <c r="O153" s="7">
        <f>IFERROR(VLOOKUP(Tabla13[[#This Row],[Material]],[2]Consolidado!$C:$D,2,FALSE),0)</f>
        <v>0</v>
      </c>
      <c r="P153" s="7">
        <f>IFERROR(VLOOKUP(Tabla13[[#This Row],[Llave]],'Por despachar'!A:E,5,FALSE),0)</f>
        <v>0</v>
      </c>
      <c r="Q15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53" s="7">
        <f>IFERROR(VLOOKUP(Tabla13[[#This Row],[Llave]],[3]Hoja2!$A:$D,4,FALSE),0)</f>
        <v>0</v>
      </c>
      <c r="S153" s="9">
        <f>IFERROR(VLOOKUP(Tabla13[[#This Row],[Material]],[4]Hoja1!$B:$C,2,FALSE),0)</f>
        <v>24000</v>
      </c>
      <c r="T153" s="5">
        <f t="shared" si="5"/>
        <v>0</v>
      </c>
      <c r="U153" s="3">
        <f>+Tabla13[[#This Row],[Total disponible]]-Tabla13[[#This Row],[Atraso a facturar]]</f>
        <v>0</v>
      </c>
      <c r="V153" s="6">
        <f t="shared" si="4"/>
        <v>0</v>
      </c>
      <c r="W153" s="3" t="str">
        <f>IF(Tabla13[[#This Row],[Venta del mes]]&gt;Tabla13[[#This Row],[ RV  Venta mes n+1]],"Falta venta","-")</f>
        <v>-</v>
      </c>
      <c r="X153" s="7"/>
      <c r="Y153" s="18">
        <v>0</v>
      </c>
      <c r="Z153" s="5">
        <f>+Tabla13[[#This Row],[Atraso a facturar]]+Tabla13[[#This Row],[Venta del mes]]+Tabla13[[#This Row],[Ajuste]]</f>
        <v>0</v>
      </c>
      <c r="AA153" s="6">
        <f>+Tabla13[[#This Row],[Atraso a facturar]]+Tabla13[[#This Row],[Venta del mes]]+Tabla13[[#This Row],[En puerto a facturar]]</f>
        <v>0</v>
      </c>
      <c r="AB153" s="20">
        <f>IFERROR(VLOOKUP(Tabla13[[#This Row],[Llave]],'[5]Consolidación planes'!$A:$M,9,FALSE),0)</f>
        <v>8596</v>
      </c>
      <c r="AC153" s="20">
        <f>IFERROR(VLOOKUP(Tabla13[[#This Row],[Llave]],'[5]Consolidación planes'!$A:$M,10,FALSE),0)</f>
        <v>0</v>
      </c>
      <c r="AD153" s="20">
        <f>IFERROR(VLOOKUP(Tabla13[[#This Row],[Llave]],'[5]Consolidación planes'!$A:$M,11,FALSE),0)</f>
        <v>8956</v>
      </c>
      <c r="AE153" s="20">
        <f>IFERROR(VLOOKUP(Tabla13[[#This Row],[Llave]],'[5]Consolidación planes'!$A:$M,12,FALSE),0)</f>
        <v>0</v>
      </c>
      <c r="AF153" s="20">
        <f>IFERROR(VLOOKUP(Tabla13[[#This Row],[Llave]],'[5]Consolidación planes'!$A:$M,13,FALSE),0)</f>
        <v>0</v>
      </c>
    </row>
    <row r="154" spans="2:32" ht="16" hidden="1" x14ac:dyDescent="0.2">
      <c r="B154" t="str">
        <f>Tabla13[[#This Row],[Oficina]]&amp;Tabla13[[#This Row],[Material]]</f>
        <v>Agrosuper Shanghai1022856</v>
      </c>
      <c r="C154" t="s">
        <v>6</v>
      </c>
      <c r="D154" t="s">
        <v>140</v>
      </c>
      <c r="E154">
        <v>1022856</v>
      </c>
      <c r="F154" t="s">
        <v>149</v>
      </c>
      <c r="G154" t="s">
        <v>11</v>
      </c>
      <c r="H154" t="s">
        <v>41</v>
      </c>
      <c r="I154" s="7">
        <f>IFERROR(VLOOKUP(Tabla13[[#This Row],[Llave]],'[1]Consolidado RV'!$B:$H,6,FALSE),0)</f>
        <v>83653.311600000001</v>
      </c>
      <c r="J154" s="3">
        <f>IFERROR(VLOOKUP(Tabla13[[#This Row],[Llave]],'[1]Consolidado RV'!$B:$H,7,FALSE),0)</f>
        <v>64429.982974004204</v>
      </c>
      <c r="K154" s="8">
        <f>IFERROR(VLOOKUP(Tabla13[[#This Row],[Oficina]],#REF!,2,FALSE),0)</f>
        <v>0</v>
      </c>
      <c r="L154" s="7">
        <f>+Tabla13[[#This Row],[ RV Producción mes n+1]]*Tabla13[[#This Row],[% Uti. producción]]</f>
        <v>0</v>
      </c>
      <c r="M154" s="7">
        <f>IFERROR(VLOOKUP(Tabla13[[#This Row],[Material]],#REF!,2,FALSE),0)</f>
        <v>0</v>
      </c>
      <c r="N154" s="7">
        <f>IFERROR(VLOOKUP(Tabla13[[#This Row],[Llave]],'En puerto-Programado'!A:D,4,FALSE)+VLOOKUP(Tabla13[[#This Row],[Llave]],'Por despachar'!A:F,6,FALSE),0)</f>
        <v>0</v>
      </c>
      <c r="O154" s="7">
        <f>IFERROR(VLOOKUP(Tabla13[[#This Row],[Material]],[2]Consolidado!$C:$D,2,FALSE),0)</f>
        <v>0</v>
      </c>
      <c r="P154" s="7">
        <f>IFERROR(VLOOKUP(Tabla13[[#This Row],[Llave]],'Por despachar'!A:E,5,FALSE),0)</f>
        <v>0</v>
      </c>
      <c r="Q15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54" s="7">
        <f>IFERROR(VLOOKUP(Tabla13[[#This Row],[Llave]],[3]Hoja2!$A:$D,4,FALSE),0)</f>
        <v>72000</v>
      </c>
      <c r="S154" s="9">
        <f>IFERROR(VLOOKUP(Tabla13[[#This Row],[Material]],[4]Hoja1!$B:$C,2,FALSE),0)</f>
        <v>24000</v>
      </c>
      <c r="T154" s="5">
        <f t="shared" si="5"/>
        <v>0</v>
      </c>
      <c r="U154" s="3">
        <f>+Tabla13[[#This Row],[Total disponible]]-Tabla13[[#This Row],[Atraso a facturar]]</f>
        <v>0</v>
      </c>
      <c r="V154" s="6">
        <f t="shared" si="4"/>
        <v>0</v>
      </c>
      <c r="W154" s="3" t="str">
        <f>IF(Tabla13[[#This Row],[Venta del mes]]&gt;Tabla13[[#This Row],[ RV  Venta mes n+1]],"Falta venta","-")</f>
        <v>-</v>
      </c>
      <c r="X154" s="7"/>
      <c r="Y154" s="18">
        <v>0</v>
      </c>
      <c r="Z154" s="5">
        <f>+Tabla13[[#This Row],[Atraso a facturar]]+Tabla13[[#This Row],[Venta del mes]]+Tabla13[[#This Row],[Ajuste]]</f>
        <v>0</v>
      </c>
      <c r="AA154" s="6">
        <f>+Tabla13[[#This Row],[Atraso a facturar]]+Tabla13[[#This Row],[Venta del mes]]+Tabla13[[#This Row],[En puerto a facturar]]</f>
        <v>0</v>
      </c>
      <c r="AB154" s="20">
        <f>IFERROR(VLOOKUP(Tabla13[[#This Row],[Llave]],'[5]Consolidación planes'!$A:$M,9,FALSE),0)</f>
        <v>96000</v>
      </c>
      <c r="AC154" s="20">
        <f>IFERROR(VLOOKUP(Tabla13[[#This Row],[Llave]],'[5]Consolidación planes'!$A:$M,10,FALSE),0)</f>
        <v>24000</v>
      </c>
      <c r="AD154" s="20">
        <f>IFERROR(VLOOKUP(Tabla13[[#This Row],[Llave]],'[5]Consolidación planes'!$A:$M,11,FALSE),0)</f>
        <v>120000</v>
      </c>
      <c r="AE154" s="20">
        <f>IFERROR(VLOOKUP(Tabla13[[#This Row],[Llave]],'[5]Consolidación planes'!$A:$M,12,FALSE),0)</f>
        <v>120000</v>
      </c>
      <c r="AF154" s="20">
        <f>IFERROR(VLOOKUP(Tabla13[[#This Row],[Llave]],'[5]Consolidación planes'!$A:$M,13,FALSE),0)</f>
        <v>96000</v>
      </c>
    </row>
    <row r="155" spans="2:32" ht="16" hidden="1" x14ac:dyDescent="0.2">
      <c r="B155" t="str">
        <f>Tabla13[[#This Row],[Oficina]]&amp;Tabla13[[#This Row],[Material]]</f>
        <v>Agrosuper Shanghai1022945</v>
      </c>
      <c r="C155" t="s">
        <v>6</v>
      </c>
      <c r="D155" t="s">
        <v>140</v>
      </c>
      <c r="E155">
        <v>1022945</v>
      </c>
      <c r="F155" t="s">
        <v>150</v>
      </c>
      <c r="G155" t="s">
        <v>11</v>
      </c>
      <c r="H155" t="s">
        <v>47</v>
      </c>
      <c r="I155" s="7">
        <f>IFERROR(VLOOKUP(Tabla13[[#This Row],[Llave]],'[1]Consolidado RV'!$B:$H,6,FALSE),0)</f>
        <v>0</v>
      </c>
      <c r="J155" s="3">
        <f>IFERROR(VLOOKUP(Tabla13[[#This Row],[Llave]],'[1]Consolidado RV'!$B:$H,7,FALSE),0)</f>
        <v>0</v>
      </c>
      <c r="K155" s="8">
        <f>IFERROR(VLOOKUP(Tabla13[[#This Row],[Oficina]],#REF!,2,FALSE),0)</f>
        <v>0</v>
      </c>
      <c r="L155" s="7">
        <f>+Tabla13[[#This Row],[ RV Producción mes n+1]]*Tabla13[[#This Row],[% Uti. producción]]</f>
        <v>0</v>
      </c>
      <c r="M155" s="7">
        <f>IFERROR(VLOOKUP(Tabla13[[#This Row],[Material]],#REF!,2,FALSE),0)</f>
        <v>0</v>
      </c>
      <c r="N155" s="7">
        <f>IFERROR(VLOOKUP(Tabla13[[#This Row],[Llave]],'En puerto-Programado'!A:D,4,FALSE)+VLOOKUP(Tabla13[[#This Row],[Llave]],'Por despachar'!A:F,6,FALSE),0)</f>
        <v>0</v>
      </c>
      <c r="O155" s="7">
        <f>IFERROR(VLOOKUP(Tabla13[[#This Row],[Material]],[2]Consolidado!$C:$D,2,FALSE),0)</f>
        <v>94289.405038152297</v>
      </c>
      <c r="P155" s="7">
        <f>IFERROR(VLOOKUP(Tabla13[[#This Row],[Llave]],'Por despachar'!A:E,5,FALSE),0)</f>
        <v>0</v>
      </c>
      <c r="Q155" s="14">
        <f>SUM(Tabla13[[#This Row],[Producción disponible]],Tabla13[[#This Row],[Stock al día]],Tabla13[[#This Row],[Por producir Abr.]])-SUM(Tabla13[[#This Row],[Stock por despachar N]],Tabla13[[#This Row],[Producción por despachar mes N]])</f>
        <v>94289.405038152297</v>
      </c>
      <c r="R155" s="7">
        <f>IFERROR(VLOOKUP(Tabla13[[#This Row],[Llave]],[3]Hoja2!$A:$D,4,FALSE),0)</f>
        <v>48000</v>
      </c>
      <c r="S155" s="9">
        <f>IFERROR(VLOOKUP(Tabla13[[#This Row],[Material]],[4]Hoja1!$B:$C,2,FALSE),0)</f>
        <v>24000</v>
      </c>
      <c r="T155" s="5">
        <f t="shared" si="5"/>
        <v>48000</v>
      </c>
      <c r="U155" s="3">
        <f>+Tabla13[[#This Row],[Total disponible]]-Tabla13[[#This Row],[Atraso a facturar]]</f>
        <v>46289.405038152297</v>
      </c>
      <c r="V155" s="6">
        <f t="shared" si="4"/>
        <v>0</v>
      </c>
      <c r="W155" s="3" t="str">
        <f>IF(Tabla13[[#This Row],[Venta del mes]]&gt;Tabla13[[#This Row],[ RV  Venta mes n+1]],"Falta venta","-")</f>
        <v>-</v>
      </c>
      <c r="X155" s="7"/>
      <c r="Y155" s="18">
        <v>0</v>
      </c>
      <c r="Z155" s="5">
        <f>+Tabla13[[#This Row],[Atraso a facturar]]+Tabla13[[#This Row],[Venta del mes]]+Tabla13[[#This Row],[Ajuste]]</f>
        <v>48000</v>
      </c>
      <c r="AA155" s="6">
        <f>+Tabla13[[#This Row],[Atraso a facturar]]+Tabla13[[#This Row],[Venta del mes]]+Tabla13[[#This Row],[En puerto a facturar]]</f>
        <v>48000</v>
      </c>
      <c r="AB155" s="20">
        <f>IFERROR(VLOOKUP(Tabla13[[#This Row],[Llave]],'[5]Consolidación planes'!$A:$M,9,FALSE),0)</f>
        <v>144000</v>
      </c>
      <c r="AC155" s="20">
        <f>IFERROR(VLOOKUP(Tabla13[[#This Row],[Llave]],'[5]Consolidación planes'!$A:$M,10,FALSE),0)</f>
        <v>0</v>
      </c>
      <c r="AD155" s="20">
        <f>IFERROR(VLOOKUP(Tabla13[[#This Row],[Llave]],'[5]Consolidación planes'!$A:$M,11,FALSE),0)</f>
        <v>0</v>
      </c>
      <c r="AE155" s="20">
        <f>IFERROR(VLOOKUP(Tabla13[[#This Row],[Llave]],'[5]Consolidación planes'!$A:$M,12,FALSE),0)</f>
        <v>0</v>
      </c>
      <c r="AF155" s="20">
        <f>IFERROR(VLOOKUP(Tabla13[[#This Row],[Llave]],'[5]Consolidación planes'!$A:$M,13,FALSE),0)</f>
        <v>48000</v>
      </c>
    </row>
    <row r="156" spans="2:32" ht="16" hidden="1" x14ac:dyDescent="0.2">
      <c r="B156" t="str">
        <f>Tabla13[[#This Row],[Oficina]]&amp;Tabla13[[#This Row],[Material]]</f>
        <v>Agrosuper Shanghai1023034</v>
      </c>
      <c r="C156" t="s">
        <v>6</v>
      </c>
      <c r="D156" t="s">
        <v>140</v>
      </c>
      <c r="E156">
        <v>1023034</v>
      </c>
      <c r="F156" t="s">
        <v>143</v>
      </c>
      <c r="G156" t="s">
        <v>8</v>
      </c>
      <c r="H156" t="s">
        <v>30</v>
      </c>
      <c r="I156" s="7">
        <f>IFERROR(VLOOKUP(Tabla13[[#This Row],[Llave]],'[1]Consolidado RV'!$B:$H,6,FALSE),0)</f>
        <v>0</v>
      </c>
      <c r="J156" s="3">
        <f>IFERROR(VLOOKUP(Tabla13[[#This Row],[Llave]],'[1]Consolidado RV'!$B:$H,7,FALSE),0)</f>
        <v>0</v>
      </c>
      <c r="K156" s="8">
        <f>IFERROR(VLOOKUP(Tabla13[[#This Row],[Oficina]],#REF!,2,FALSE),0)</f>
        <v>0</v>
      </c>
      <c r="L156" s="7">
        <f>+Tabla13[[#This Row],[ RV Producción mes n+1]]*Tabla13[[#This Row],[% Uti. producción]]</f>
        <v>0</v>
      </c>
      <c r="M156" s="7">
        <f>IFERROR(VLOOKUP(Tabla13[[#This Row],[Material]],#REF!,2,FALSE),0)</f>
        <v>0</v>
      </c>
      <c r="N156" s="7">
        <f>IFERROR(VLOOKUP(Tabla13[[#This Row],[Llave]],'En puerto-Programado'!A:D,4,FALSE)+VLOOKUP(Tabla13[[#This Row],[Llave]],'Por despachar'!A:F,6,FALSE),0)</f>
        <v>0</v>
      </c>
      <c r="O156" s="7">
        <f>IFERROR(VLOOKUP(Tabla13[[#This Row],[Material]],[2]Consolidado!$C:$D,2,FALSE),0)</f>
        <v>0</v>
      </c>
      <c r="P156" s="7">
        <f>IFERROR(VLOOKUP(Tabla13[[#This Row],[Llave]],'Por despachar'!A:E,5,FALSE),0)</f>
        <v>0</v>
      </c>
      <c r="Q15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56" s="7">
        <f>IFERROR(VLOOKUP(Tabla13[[#This Row],[Llave]],[3]Hoja2!$A:$D,4,FALSE),0)</f>
        <v>0</v>
      </c>
      <c r="S156" s="9">
        <f>IFERROR(VLOOKUP(Tabla13[[#This Row],[Material]],[4]Hoja1!$B:$C,2,FALSE),0)</f>
        <v>24000</v>
      </c>
      <c r="T156" s="5">
        <f t="shared" si="5"/>
        <v>0</v>
      </c>
      <c r="U156" s="3">
        <f>+Tabla13[[#This Row],[Total disponible]]-Tabla13[[#This Row],[Atraso a facturar]]</f>
        <v>0</v>
      </c>
      <c r="V156" s="6">
        <f t="shared" si="4"/>
        <v>0</v>
      </c>
      <c r="W156" s="3" t="str">
        <f>IF(Tabla13[[#This Row],[Venta del mes]]&gt;Tabla13[[#This Row],[ RV  Venta mes n+1]],"Falta venta","-")</f>
        <v>-</v>
      </c>
      <c r="X156" s="7"/>
      <c r="Y156" s="18">
        <v>0</v>
      </c>
      <c r="Z156" s="5">
        <f>+Tabla13[[#This Row],[Atraso a facturar]]+Tabla13[[#This Row],[Venta del mes]]+Tabla13[[#This Row],[Ajuste]]</f>
        <v>0</v>
      </c>
      <c r="AA156" s="6">
        <f>+Tabla13[[#This Row],[Atraso a facturar]]+Tabla13[[#This Row],[Venta del mes]]+Tabla13[[#This Row],[En puerto a facturar]]</f>
        <v>0</v>
      </c>
      <c r="AB156" s="20">
        <f>IFERROR(VLOOKUP(Tabla13[[#This Row],[Llave]],'[5]Consolidación planes'!$A:$M,9,FALSE),0)</f>
        <v>120000</v>
      </c>
      <c r="AC156" s="20">
        <f>IFERROR(VLOOKUP(Tabla13[[#This Row],[Llave]],'[5]Consolidación planes'!$A:$M,10,FALSE),0)</f>
        <v>96000</v>
      </c>
      <c r="AD156" s="20">
        <f>IFERROR(VLOOKUP(Tabla13[[#This Row],[Llave]],'[5]Consolidación planes'!$A:$M,11,FALSE),0)</f>
        <v>24000</v>
      </c>
      <c r="AE156" s="20">
        <f>IFERROR(VLOOKUP(Tabla13[[#This Row],[Llave]],'[5]Consolidación planes'!$A:$M,12,FALSE),0)</f>
        <v>120000</v>
      </c>
      <c r="AF156" s="20">
        <f>IFERROR(VLOOKUP(Tabla13[[#This Row],[Llave]],'[5]Consolidación planes'!$A:$M,13,FALSE),0)</f>
        <v>72100</v>
      </c>
    </row>
    <row r="157" spans="2:32" ht="16" hidden="1" x14ac:dyDescent="0.2">
      <c r="B157" t="str">
        <f>Tabla13[[#This Row],[Oficina]]&amp;Tabla13[[#This Row],[Material]]</f>
        <v>Agrosuper Shanghai1023093</v>
      </c>
      <c r="C157" t="s">
        <v>6</v>
      </c>
      <c r="D157" t="s">
        <v>140</v>
      </c>
      <c r="E157">
        <v>1023093</v>
      </c>
      <c r="F157" t="s">
        <v>306</v>
      </c>
      <c r="G157" t="s">
        <v>71</v>
      </c>
      <c r="H157" t="s">
        <v>72</v>
      </c>
      <c r="I157" s="7">
        <f>IFERROR(VLOOKUP(Tabla13[[#This Row],[Llave]],'[1]Consolidado RV'!$B:$H,6,FALSE),0)</f>
        <v>0</v>
      </c>
      <c r="J157" s="3">
        <f>IFERROR(VLOOKUP(Tabla13[[#This Row],[Llave]],'[1]Consolidado RV'!$B:$H,7,FALSE),0)</f>
        <v>0</v>
      </c>
      <c r="K157" s="8">
        <f>IFERROR(VLOOKUP(Tabla13[[#This Row],[Oficina]],#REF!,2,FALSE),0)</f>
        <v>0</v>
      </c>
      <c r="L157" s="7">
        <f>+Tabla13[[#This Row],[ RV Producción mes n+1]]*Tabla13[[#This Row],[% Uti. producción]]</f>
        <v>0</v>
      </c>
      <c r="M157" s="7">
        <f>IFERROR(VLOOKUP(Tabla13[[#This Row],[Material]],#REF!,2,FALSE),0)</f>
        <v>0</v>
      </c>
      <c r="N157" s="7">
        <f>IFERROR(VLOOKUP(Tabla13[[#This Row],[Llave]],'En puerto-Programado'!A:D,4,FALSE)+VLOOKUP(Tabla13[[#This Row],[Llave]],'Por despachar'!A:F,6,FALSE),0)</f>
        <v>0</v>
      </c>
      <c r="O157" s="7">
        <f>IFERROR(VLOOKUP(Tabla13[[#This Row],[Material]],[2]Consolidado!$C:$D,2,FALSE),0)</f>
        <v>21387.200000000001</v>
      </c>
      <c r="P157" s="7">
        <f>IFERROR(VLOOKUP(Tabla13[[#This Row],[Llave]],'Por despachar'!A:E,5,FALSE),0)</f>
        <v>0</v>
      </c>
      <c r="Q157" s="14">
        <f>SUM(Tabla13[[#This Row],[Producción disponible]],Tabla13[[#This Row],[Stock al día]],Tabla13[[#This Row],[Por producir Abr.]])-SUM(Tabla13[[#This Row],[Stock por despachar N]],Tabla13[[#This Row],[Producción por despachar mes N]])</f>
        <v>21387.200000000001</v>
      </c>
      <c r="R157" s="7">
        <f>IFERROR(VLOOKUP(Tabla13[[#This Row],[Llave]],[3]Hoja2!$A:$D,4,FALSE),0)</f>
        <v>0</v>
      </c>
      <c r="S157" s="9">
        <f>IFERROR(VLOOKUP(Tabla13[[#This Row],[Material]],[4]Hoja1!$B:$C,2,FALSE),0)</f>
        <v>24000</v>
      </c>
      <c r="T157" s="5">
        <f t="shared" si="5"/>
        <v>0</v>
      </c>
      <c r="U157" s="3">
        <f>+Tabla13[[#This Row],[Total disponible]]-Tabla13[[#This Row],[Atraso a facturar]]</f>
        <v>21387.200000000001</v>
      </c>
      <c r="V157" s="6">
        <f t="shared" si="4"/>
        <v>0</v>
      </c>
      <c r="W157" s="3" t="str">
        <f>IF(Tabla13[[#This Row],[Venta del mes]]&gt;Tabla13[[#This Row],[ RV  Venta mes n+1]],"Falta venta","-")</f>
        <v>-</v>
      </c>
      <c r="X157" s="7"/>
      <c r="Y157" s="18">
        <v>0</v>
      </c>
      <c r="Z157" s="5">
        <f>+Tabla13[[#This Row],[Atraso a facturar]]+Tabla13[[#This Row],[Venta del mes]]+Tabla13[[#This Row],[Ajuste]]</f>
        <v>0</v>
      </c>
      <c r="AA157" s="6">
        <f>+Tabla13[[#This Row],[Atraso a facturar]]+Tabla13[[#This Row],[Venta del mes]]+Tabla13[[#This Row],[En puerto a facturar]]</f>
        <v>0</v>
      </c>
      <c r="AB157" s="20">
        <f>IFERROR(VLOOKUP(Tabla13[[#This Row],[Llave]],'[5]Consolidación planes'!$A:$M,9,FALSE),0)</f>
        <v>0</v>
      </c>
      <c r="AC157" s="20">
        <f>IFERROR(VLOOKUP(Tabla13[[#This Row],[Llave]],'[5]Consolidación planes'!$A:$M,10,FALSE),0)</f>
        <v>0</v>
      </c>
      <c r="AD157" s="20">
        <f>IFERROR(VLOOKUP(Tabla13[[#This Row],[Llave]],'[5]Consolidación planes'!$A:$M,11,FALSE),0)</f>
        <v>12000</v>
      </c>
      <c r="AE157" s="20">
        <f>IFERROR(VLOOKUP(Tabla13[[#This Row],[Llave]],'[5]Consolidación planes'!$A:$M,12,FALSE),0)</f>
        <v>12000</v>
      </c>
      <c r="AF157" s="20">
        <f>IFERROR(VLOOKUP(Tabla13[[#This Row],[Llave]],'[5]Consolidación planes'!$A:$M,13,FALSE),0)</f>
        <v>0</v>
      </c>
    </row>
    <row r="158" spans="2:32" ht="16" hidden="1" x14ac:dyDescent="0.2">
      <c r="B158" t="str">
        <f>Tabla13[[#This Row],[Oficina]]&amp;Tabla13[[#This Row],[Material]]</f>
        <v>Agrosuper Shanghai1023111</v>
      </c>
      <c r="C158" t="s">
        <v>6</v>
      </c>
      <c r="D158" t="s">
        <v>140</v>
      </c>
      <c r="E158">
        <v>1023111</v>
      </c>
      <c r="F158" t="s">
        <v>146</v>
      </c>
      <c r="G158" t="s">
        <v>11</v>
      </c>
      <c r="H158" t="s">
        <v>12</v>
      </c>
      <c r="I158" s="7">
        <f>IFERROR(VLOOKUP(Tabla13[[#This Row],[Llave]],'[1]Consolidado RV'!$B:$H,6,FALSE),0)</f>
        <v>0</v>
      </c>
      <c r="J158" s="3">
        <f>IFERROR(VLOOKUP(Tabla13[[#This Row],[Llave]],'[1]Consolidado RV'!$B:$H,7,FALSE),0)</f>
        <v>3303.1679999999997</v>
      </c>
      <c r="K158" s="8">
        <f>IFERROR(VLOOKUP(Tabla13[[#This Row],[Oficina]],#REF!,2,FALSE),0)</f>
        <v>0</v>
      </c>
      <c r="L158" s="7">
        <f>+Tabla13[[#This Row],[ RV Producción mes n+1]]*Tabla13[[#This Row],[% Uti. producción]]</f>
        <v>0</v>
      </c>
      <c r="M158" s="7">
        <f>IFERROR(VLOOKUP(Tabla13[[#This Row],[Material]],#REF!,2,FALSE),0)</f>
        <v>0</v>
      </c>
      <c r="N158" s="7">
        <f>IFERROR(VLOOKUP(Tabla13[[#This Row],[Llave]],'En puerto-Programado'!A:D,4,FALSE)+VLOOKUP(Tabla13[[#This Row],[Llave]],'Por despachar'!A:F,6,FALSE),0)</f>
        <v>0</v>
      </c>
      <c r="O158" s="7">
        <f>IFERROR(VLOOKUP(Tabla13[[#This Row],[Material]],[2]Consolidado!$C:$D,2,FALSE),0)</f>
        <v>0</v>
      </c>
      <c r="P158" s="7">
        <f>IFERROR(VLOOKUP(Tabla13[[#This Row],[Llave]],'Por despachar'!A:E,5,FALSE),0)</f>
        <v>0</v>
      </c>
      <c r="Q15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58" s="7">
        <f>IFERROR(VLOOKUP(Tabla13[[#This Row],[Llave]],[3]Hoja2!$A:$D,4,FALSE),0)</f>
        <v>0</v>
      </c>
      <c r="S158" s="9">
        <f>IFERROR(VLOOKUP(Tabla13[[#This Row],[Material]],[4]Hoja1!$B:$C,2,FALSE),0)</f>
        <v>24000</v>
      </c>
      <c r="T158" s="5">
        <f t="shared" si="5"/>
        <v>0</v>
      </c>
      <c r="U158" s="3">
        <f>+Tabla13[[#This Row],[Total disponible]]-Tabla13[[#This Row],[Atraso a facturar]]</f>
        <v>0</v>
      </c>
      <c r="V158" s="6">
        <f t="shared" si="4"/>
        <v>0</v>
      </c>
      <c r="W158" s="3" t="str">
        <f>IF(Tabla13[[#This Row],[Venta del mes]]&gt;Tabla13[[#This Row],[ RV  Venta mes n+1]],"Falta venta","-")</f>
        <v>-</v>
      </c>
      <c r="X158" s="7"/>
      <c r="Y158" s="18">
        <v>0</v>
      </c>
      <c r="Z158" s="5">
        <f>+Tabla13[[#This Row],[Atraso a facturar]]+Tabla13[[#This Row],[Venta del mes]]+Tabla13[[#This Row],[Ajuste]]</f>
        <v>0</v>
      </c>
      <c r="AA158" s="6">
        <f>+Tabla13[[#This Row],[Atraso a facturar]]+Tabla13[[#This Row],[Venta del mes]]+Tabla13[[#This Row],[En puerto a facturar]]</f>
        <v>0</v>
      </c>
      <c r="AB158" s="20">
        <f>IFERROR(VLOOKUP(Tabla13[[#This Row],[Llave]],'[5]Consolidación planes'!$A:$M,9,FALSE),0)</f>
        <v>48000</v>
      </c>
      <c r="AC158" s="20">
        <f>IFERROR(VLOOKUP(Tabla13[[#This Row],[Llave]],'[5]Consolidación planes'!$A:$M,10,FALSE),0)</f>
        <v>0</v>
      </c>
      <c r="AD158" s="20">
        <f>IFERROR(VLOOKUP(Tabla13[[#This Row],[Llave]],'[5]Consolidación planes'!$A:$M,11,FALSE),0)</f>
        <v>96000</v>
      </c>
      <c r="AE158" s="20">
        <f>IFERROR(VLOOKUP(Tabla13[[#This Row],[Llave]],'[5]Consolidación planes'!$A:$M,12,FALSE),0)</f>
        <v>0</v>
      </c>
      <c r="AF158" s="20">
        <f>IFERROR(VLOOKUP(Tabla13[[#This Row],[Llave]],'[5]Consolidación planes'!$A:$M,13,FALSE),0)</f>
        <v>24000</v>
      </c>
    </row>
    <row r="159" spans="2:32" ht="16" hidden="1" x14ac:dyDescent="0.2">
      <c r="B159" t="str">
        <f>Tabla13[[#This Row],[Oficina]]&amp;Tabla13[[#This Row],[Material]]</f>
        <v>Agrosuper Shanghai1023131</v>
      </c>
      <c r="C159" t="s">
        <v>6</v>
      </c>
      <c r="D159" t="s">
        <v>140</v>
      </c>
      <c r="E159">
        <v>1023131</v>
      </c>
      <c r="F159" t="s">
        <v>167</v>
      </c>
      <c r="G159" t="s">
        <v>59</v>
      </c>
      <c r="H159" t="s">
        <v>62</v>
      </c>
      <c r="I159" s="7">
        <f>IFERROR(VLOOKUP(Tabla13[[#This Row],[Llave]],'[1]Consolidado RV'!$B:$H,6,FALSE),0)</f>
        <v>0</v>
      </c>
      <c r="J159" s="3">
        <f>IFERROR(VLOOKUP(Tabla13[[#This Row],[Llave]],'[1]Consolidado RV'!$B:$H,7,FALSE),0)</f>
        <v>0</v>
      </c>
      <c r="K159" s="8">
        <f>IFERROR(VLOOKUP(Tabla13[[#This Row],[Oficina]],#REF!,2,FALSE),0)</f>
        <v>0</v>
      </c>
      <c r="L159" s="7">
        <f>+Tabla13[[#This Row],[ RV Producción mes n+1]]*Tabla13[[#This Row],[% Uti. producción]]</f>
        <v>0</v>
      </c>
      <c r="M159" s="7">
        <f>IFERROR(VLOOKUP(Tabla13[[#This Row],[Material]],#REF!,2,FALSE),0)</f>
        <v>0</v>
      </c>
      <c r="N159" s="7">
        <f>IFERROR(VLOOKUP(Tabla13[[#This Row],[Llave]],'En puerto-Programado'!A:D,4,FALSE)+VLOOKUP(Tabla13[[#This Row],[Llave]],'Por despachar'!A:F,6,FALSE),0)</f>
        <v>0</v>
      </c>
      <c r="O159" s="7">
        <f>IFERROR(VLOOKUP(Tabla13[[#This Row],[Material]],[2]Consolidado!$C:$D,2,FALSE),0)</f>
        <v>0</v>
      </c>
      <c r="P159" s="7">
        <f>IFERROR(VLOOKUP(Tabla13[[#This Row],[Llave]],'Por despachar'!A:E,5,FALSE),0)</f>
        <v>0</v>
      </c>
      <c r="Q15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59" s="7">
        <f>IFERROR(VLOOKUP(Tabla13[[#This Row],[Llave]],[3]Hoja2!$A:$D,4,FALSE),0)</f>
        <v>0</v>
      </c>
      <c r="S159" s="9">
        <f>IFERROR(VLOOKUP(Tabla13[[#This Row],[Material]],[4]Hoja1!$B:$C,2,FALSE),0)</f>
        <v>24000</v>
      </c>
      <c r="T159" s="5">
        <f t="shared" si="5"/>
        <v>0</v>
      </c>
      <c r="U159" s="3">
        <f>+Tabla13[[#This Row],[Total disponible]]-Tabla13[[#This Row],[Atraso a facturar]]</f>
        <v>0</v>
      </c>
      <c r="V159" s="6">
        <f t="shared" si="4"/>
        <v>0</v>
      </c>
      <c r="W159" s="3" t="str">
        <f>IF(Tabla13[[#This Row],[Venta del mes]]&gt;Tabla13[[#This Row],[ RV  Venta mes n+1]],"Falta venta","-")</f>
        <v>-</v>
      </c>
      <c r="X159" s="7"/>
      <c r="Y159" s="18">
        <v>0</v>
      </c>
      <c r="Z159" s="5">
        <f>+Tabla13[[#This Row],[Atraso a facturar]]+Tabla13[[#This Row],[Venta del mes]]+Tabla13[[#This Row],[Ajuste]]</f>
        <v>0</v>
      </c>
      <c r="AA159" s="6">
        <f>+Tabla13[[#This Row],[Atraso a facturar]]+Tabla13[[#This Row],[Venta del mes]]+Tabla13[[#This Row],[En puerto a facturar]]</f>
        <v>0</v>
      </c>
      <c r="AB159" s="20">
        <f>IFERROR(VLOOKUP(Tabla13[[#This Row],[Llave]],'[5]Consolidación planes'!$A:$M,9,FALSE),0)</f>
        <v>4224</v>
      </c>
      <c r="AC159" s="20">
        <f>IFERROR(VLOOKUP(Tabla13[[#This Row],[Llave]],'[5]Consolidación planes'!$A:$M,10,FALSE),0)</f>
        <v>0</v>
      </c>
      <c r="AD159" s="20">
        <f>IFERROR(VLOOKUP(Tabla13[[#This Row],[Llave]],'[5]Consolidación planes'!$A:$M,11,FALSE),0)</f>
        <v>4200</v>
      </c>
      <c r="AE159" s="20">
        <f>IFERROR(VLOOKUP(Tabla13[[#This Row],[Llave]],'[5]Consolidación planes'!$A:$M,12,FALSE),0)</f>
        <v>0</v>
      </c>
      <c r="AF159" s="20">
        <f>IFERROR(VLOOKUP(Tabla13[[#This Row],[Llave]],'[5]Consolidación planes'!$A:$M,13,FALSE),0)</f>
        <v>0</v>
      </c>
    </row>
    <row r="160" spans="2:32" ht="16" hidden="1" x14ac:dyDescent="0.2">
      <c r="B160" t="str">
        <f>Tabla13[[#This Row],[Oficina]]&amp;Tabla13[[#This Row],[Material]]</f>
        <v>Agrosuper Shanghai1023306</v>
      </c>
      <c r="C160" t="s">
        <v>6</v>
      </c>
      <c r="D160" t="s">
        <v>140</v>
      </c>
      <c r="E160">
        <v>1023306</v>
      </c>
      <c r="F160" t="s">
        <v>144</v>
      </c>
      <c r="G160" t="s">
        <v>8</v>
      </c>
      <c r="H160" t="s">
        <v>32</v>
      </c>
      <c r="I160" s="7">
        <f>IFERROR(VLOOKUP(Tabla13[[#This Row],[Llave]],'[1]Consolidado RV'!$B:$H,6,FALSE),0)</f>
        <v>0</v>
      </c>
      <c r="J160" s="3">
        <f>IFERROR(VLOOKUP(Tabla13[[#This Row],[Llave]],'[1]Consolidado RV'!$B:$H,7,FALSE),0)</f>
        <v>0</v>
      </c>
      <c r="K160" s="8">
        <f>IFERROR(VLOOKUP(Tabla13[[#This Row],[Oficina]],#REF!,2,FALSE),0)</f>
        <v>0</v>
      </c>
      <c r="L160" s="7">
        <f>+Tabla13[[#This Row],[ RV Producción mes n+1]]*Tabla13[[#This Row],[% Uti. producción]]</f>
        <v>0</v>
      </c>
      <c r="M160" s="7">
        <f>IFERROR(VLOOKUP(Tabla13[[#This Row],[Material]],#REF!,2,FALSE),0)</f>
        <v>0</v>
      </c>
      <c r="N160" s="7">
        <f>IFERROR(VLOOKUP(Tabla13[[#This Row],[Llave]],'En puerto-Programado'!A:D,4,FALSE)+VLOOKUP(Tabla13[[#This Row],[Llave]],'Por despachar'!A:F,6,FALSE),0)</f>
        <v>0</v>
      </c>
      <c r="O160" s="7">
        <f>IFERROR(VLOOKUP(Tabla13[[#This Row],[Material]],[2]Consolidado!$C:$D,2,FALSE),0)</f>
        <v>49610.162175985344</v>
      </c>
      <c r="P160" s="7">
        <f>IFERROR(VLOOKUP(Tabla13[[#This Row],[Llave]],'Por despachar'!A:E,5,FALSE),0)</f>
        <v>0</v>
      </c>
      <c r="Q160" s="14">
        <f>SUM(Tabla13[[#This Row],[Producción disponible]],Tabla13[[#This Row],[Stock al día]],Tabla13[[#This Row],[Por producir Abr.]])-SUM(Tabla13[[#This Row],[Stock por despachar N]],Tabla13[[#This Row],[Producción por despachar mes N]])</f>
        <v>49610.162175985344</v>
      </c>
      <c r="R160" s="7">
        <f>IFERROR(VLOOKUP(Tabla13[[#This Row],[Llave]],[3]Hoja2!$A:$D,4,FALSE),0)</f>
        <v>0</v>
      </c>
      <c r="S160" s="9">
        <f>IFERROR(VLOOKUP(Tabla13[[#This Row],[Material]],[4]Hoja1!$B:$C,2,FALSE),0)</f>
        <v>24000</v>
      </c>
      <c r="T160" s="5">
        <f t="shared" si="5"/>
        <v>0</v>
      </c>
      <c r="U160" s="3">
        <f>+Tabla13[[#This Row],[Total disponible]]-Tabla13[[#This Row],[Atraso a facturar]]</f>
        <v>49610.162175985344</v>
      </c>
      <c r="V160" s="6">
        <f t="shared" si="4"/>
        <v>0</v>
      </c>
      <c r="W160" s="3" t="str">
        <f>IF(Tabla13[[#This Row],[Venta del mes]]&gt;Tabla13[[#This Row],[ RV  Venta mes n+1]],"Falta venta","-")</f>
        <v>-</v>
      </c>
      <c r="X160" s="7"/>
      <c r="Y160" s="18">
        <v>0</v>
      </c>
      <c r="Z160" s="5">
        <f>+Tabla13[[#This Row],[Atraso a facturar]]+Tabla13[[#This Row],[Venta del mes]]+Tabla13[[#This Row],[Ajuste]]</f>
        <v>0</v>
      </c>
      <c r="AA160" s="6">
        <f>+Tabla13[[#This Row],[Atraso a facturar]]+Tabla13[[#This Row],[Venta del mes]]+Tabla13[[#This Row],[En puerto a facturar]]</f>
        <v>0</v>
      </c>
      <c r="AB160" s="20">
        <f>IFERROR(VLOOKUP(Tabla13[[#This Row],[Llave]],'[5]Consolidación planes'!$A:$M,9,FALSE),0)</f>
        <v>144000</v>
      </c>
      <c r="AC160" s="20">
        <f>IFERROR(VLOOKUP(Tabla13[[#This Row],[Llave]],'[5]Consolidación planes'!$A:$M,10,FALSE),0)</f>
        <v>72000</v>
      </c>
      <c r="AD160" s="20">
        <f>IFERROR(VLOOKUP(Tabla13[[#This Row],[Llave]],'[5]Consolidación planes'!$A:$M,11,FALSE),0)</f>
        <v>72000</v>
      </c>
      <c r="AE160" s="20">
        <f>IFERROR(VLOOKUP(Tabla13[[#This Row],[Llave]],'[5]Consolidación planes'!$A:$M,12,FALSE),0)</f>
        <v>144000</v>
      </c>
      <c r="AF160" s="20">
        <f>IFERROR(VLOOKUP(Tabla13[[#This Row],[Llave]],'[5]Consolidación planes'!$A:$M,13,FALSE),0)</f>
        <v>96000</v>
      </c>
    </row>
    <row r="161" spans="2:32" ht="16" hidden="1" x14ac:dyDescent="0.2">
      <c r="B161" t="str">
        <f>Tabla13[[#This Row],[Oficina]]&amp;Tabla13[[#This Row],[Material]]</f>
        <v>Exportacion Directa1020105</v>
      </c>
      <c r="C161" t="s">
        <v>6</v>
      </c>
      <c r="D161" t="s">
        <v>88</v>
      </c>
      <c r="E161">
        <v>1020105</v>
      </c>
      <c r="F161" t="s">
        <v>101</v>
      </c>
      <c r="G161" t="s">
        <v>50</v>
      </c>
      <c r="H161" t="s">
        <v>51</v>
      </c>
      <c r="I161" s="7">
        <f>IFERROR(VLOOKUP(Tabla13[[#This Row],[Llave]],'[1]Consolidado RV'!$B:$H,6,FALSE),0)</f>
        <v>37379.154989693838</v>
      </c>
      <c r="J161" s="3">
        <f>IFERROR(VLOOKUP(Tabla13[[#This Row],[Llave]],'[1]Consolidado RV'!$B:$H,7,FALSE),0)</f>
        <v>39999.9997</v>
      </c>
      <c r="K161" s="8">
        <f>IFERROR(VLOOKUP(Tabla13[[#This Row],[Oficina]],#REF!,2,FALSE),0)</f>
        <v>0</v>
      </c>
      <c r="L161" s="7">
        <f>+Tabla13[[#This Row],[ RV Producción mes n+1]]*Tabla13[[#This Row],[% Uti. producción]]</f>
        <v>0</v>
      </c>
      <c r="M161" s="7">
        <f>IFERROR(VLOOKUP(Tabla13[[#This Row],[Material]],#REF!,2,FALSE),0)</f>
        <v>0</v>
      </c>
      <c r="N161" s="7">
        <f>IFERROR(VLOOKUP(Tabla13[[#This Row],[Llave]],'En puerto-Programado'!A:D,4,FALSE)+VLOOKUP(Tabla13[[#This Row],[Llave]],'Por despachar'!A:F,6,FALSE),0)</f>
        <v>18257.297485274619</v>
      </c>
      <c r="O161" s="7">
        <f>IFERROR(VLOOKUP(Tabla13[[#This Row],[Material]],[2]Consolidado!$C:$D,2,FALSE),0)</f>
        <v>10095.466284822258</v>
      </c>
      <c r="P161" s="7">
        <f>IFERROR(VLOOKUP(Tabla13[[#This Row],[Llave]],'Por despachar'!A:E,5,FALSE),0)</f>
        <v>0</v>
      </c>
      <c r="Q161" s="14">
        <f>SUM(Tabla13[[#This Row],[Producción disponible]],Tabla13[[#This Row],[Stock al día]],Tabla13[[#This Row],[Por producir Abr.]])-SUM(Tabla13[[#This Row],[Stock por despachar N]],Tabla13[[#This Row],[Producción por despachar mes N]])</f>
        <v>-8161.8312004523614</v>
      </c>
      <c r="R161" s="7">
        <f>IFERROR(VLOOKUP(Tabla13[[#This Row],[Llave]],[3]Hoja2!$A:$D,4,FALSE),0)</f>
        <v>46500</v>
      </c>
      <c r="S161" s="9">
        <f>IFERROR(VLOOKUP(Tabla13[[#This Row],[Material]],[4]Hoja1!$B:$C,2,FALSE),0)</f>
        <v>2419.3548387096776</v>
      </c>
      <c r="T161" s="5">
        <f t="shared" si="5"/>
        <v>-7258.0645161290322</v>
      </c>
      <c r="U161" s="3">
        <f>+Tabla13[[#This Row],[Total disponible]]-Tabla13[[#This Row],[Atraso a facturar]]</f>
        <v>-903.76668432332917</v>
      </c>
      <c r="V161" s="6">
        <f t="shared" si="4"/>
        <v>0</v>
      </c>
      <c r="W161" s="3" t="str">
        <f>IF(Tabla13[[#This Row],[Venta del mes]]&gt;Tabla13[[#This Row],[ RV  Venta mes n+1]],"Falta venta","-")</f>
        <v>-</v>
      </c>
      <c r="X161" s="7"/>
      <c r="Y161" s="18">
        <v>0</v>
      </c>
      <c r="Z161" s="5">
        <f>+Tabla13[[#This Row],[Atraso a facturar]]+Tabla13[[#This Row],[Venta del mes]]+Tabla13[[#This Row],[Ajuste]]</f>
        <v>-7258.0645161290322</v>
      </c>
      <c r="AA161" s="6">
        <f>+Tabla13[[#This Row],[Atraso a facturar]]+Tabla13[[#This Row],[Venta del mes]]+Tabla13[[#This Row],[En puerto a facturar]]</f>
        <v>-7258.0645161290322</v>
      </c>
      <c r="AB161" s="20">
        <f>IFERROR(VLOOKUP(Tabla13[[#This Row],[Llave]],'[5]Consolidación planes'!$A:$M,9,FALSE),0)</f>
        <v>53000</v>
      </c>
      <c r="AC161" s="20">
        <f>IFERROR(VLOOKUP(Tabla13[[#This Row],[Llave]],'[5]Consolidación planes'!$A:$M,10,FALSE),0)</f>
        <v>35000</v>
      </c>
      <c r="AD161" s="20">
        <f>IFERROR(VLOOKUP(Tabla13[[#This Row],[Llave]],'[5]Consolidación planes'!$A:$M,11,FALSE),0)</f>
        <v>40000</v>
      </c>
      <c r="AE161" s="20">
        <f>IFERROR(VLOOKUP(Tabla13[[#This Row],[Llave]],'[5]Consolidación planes'!$A:$M,12,FALSE),0)</f>
        <v>55000</v>
      </c>
      <c r="AF161" s="20">
        <f>IFERROR(VLOOKUP(Tabla13[[#This Row],[Llave]],'[5]Consolidación planes'!$A:$M,13,FALSE),0)</f>
        <v>58500</v>
      </c>
    </row>
    <row r="162" spans="2:32" ht="16" hidden="1" x14ac:dyDescent="0.2">
      <c r="B162" t="str">
        <f>Tabla13[[#This Row],[Oficina]]&amp;Tabla13[[#This Row],[Material]]</f>
        <v>Exportacion Directa1020110</v>
      </c>
      <c r="C162" t="s">
        <v>6</v>
      </c>
      <c r="D162" t="s">
        <v>88</v>
      </c>
      <c r="E162">
        <v>1020110</v>
      </c>
      <c r="F162" t="s">
        <v>104</v>
      </c>
      <c r="G162" t="s">
        <v>50</v>
      </c>
      <c r="H162" t="s">
        <v>103</v>
      </c>
      <c r="I162" s="7">
        <f>IFERROR(VLOOKUP(Tabla13[[#This Row],[Llave]],'[1]Consolidado RV'!$B:$H,6,FALSE),0)</f>
        <v>820992.69</v>
      </c>
      <c r="J162" s="3">
        <f>IFERROR(VLOOKUP(Tabla13[[#This Row],[Llave]],'[1]Consolidado RV'!$B:$H,7,FALSE),0)</f>
        <v>438095.43826851575</v>
      </c>
      <c r="K162" s="8">
        <f>IFERROR(VLOOKUP(Tabla13[[#This Row],[Oficina]],#REF!,2,FALSE),0)</f>
        <v>0</v>
      </c>
      <c r="L162" s="7">
        <f>+Tabla13[[#This Row],[ RV Producción mes n+1]]*Tabla13[[#This Row],[% Uti. producción]]</f>
        <v>0</v>
      </c>
      <c r="M162" s="7">
        <f>IFERROR(VLOOKUP(Tabla13[[#This Row],[Material]],#REF!,2,FALSE),0)</f>
        <v>0</v>
      </c>
      <c r="N162" s="7">
        <f>IFERROR(VLOOKUP(Tabla13[[#This Row],[Llave]],'En puerto-Programado'!A:D,4,FALSE)+VLOOKUP(Tabla13[[#This Row],[Llave]],'Por despachar'!A:F,6,FALSE),0)</f>
        <v>524851.65945793211</v>
      </c>
      <c r="O162" s="7">
        <f>IFERROR(VLOOKUP(Tabla13[[#This Row],[Material]],[2]Consolidado!$C:$D,2,FALSE),0)</f>
        <v>237723.07484426349</v>
      </c>
      <c r="P162" s="7">
        <f>IFERROR(VLOOKUP(Tabla13[[#This Row],[Llave]],'Por despachar'!A:E,5,FALSE),0)</f>
        <v>0</v>
      </c>
      <c r="Q162" s="14">
        <f>SUM(Tabla13[[#This Row],[Producción disponible]],Tabla13[[#This Row],[Stock al día]],Tabla13[[#This Row],[Por producir Abr.]])-SUM(Tabla13[[#This Row],[Stock por despachar N]],Tabla13[[#This Row],[Producción por despachar mes N]])</f>
        <v>-287128.58461366862</v>
      </c>
      <c r="R162" s="7">
        <f>IFERROR(VLOOKUP(Tabla13[[#This Row],[Llave]],[3]Hoja2!$A:$D,4,FALSE),0)</f>
        <v>758810</v>
      </c>
      <c r="S162" s="9">
        <f>IFERROR(VLOOKUP(Tabla13[[#This Row],[Material]],[4]Hoja1!$B:$C,2,FALSE),0)</f>
        <v>6247.0588235294117</v>
      </c>
      <c r="T162" s="5">
        <f t="shared" si="5"/>
        <v>-281117.64705882355</v>
      </c>
      <c r="U162" s="3">
        <f>+Tabla13[[#This Row],[Total disponible]]-Tabla13[[#This Row],[Atraso a facturar]]</f>
        <v>-6010.9375548450626</v>
      </c>
      <c r="V162" s="6">
        <f t="shared" si="4"/>
        <v>0</v>
      </c>
      <c r="W162" s="3" t="str">
        <f>IF(Tabla13[[#This Row],[Venta del mes]]&gt;Tabla13[[#This Row],[ RV  Venta mes n+1]],"Falta venta","-")</f>
        <v>-</v>
      </c>
      <c r="X162" s="7"/>
      <c r="Y162" s="18">
        <v>0</v>
      </c>
      <c r="Z162" s="5">
        <f>+Tabla13[[#This Row],[Atraso a facturar]]+Tabla13[[#This Row],[Venta del mes]]+Tabla13[[#This Row],[Ajuste]]</f>
        <v>-281117.64705882355</v>
      </c>
      <c r="AA162" s="6">
        <f>+Tabla13[[#This Row],[Atraso a facturar]]+Tabla13[[#This Row],[Venta del mes]]+Tabla13[[#This Row],[En puerto a facturar]]</f>
        <v>-281117.64705882355</v>
      </c>
      <c r="AB162" s="20">
        <f>IFERROR(VLOOKUP(Tabla13[[#This Row],[Llave]],'[5]Consolidación planes'!$A:$M,9,FALSE),0)</f>
        <v>412200</v>
      </c>
      <c r="AC162" s="20">
        <f>IFERROR(VLOOKUP(Tabla13[[#This Row],[Llave]],'[5]Consolidación planes'!$A:$M,10,FALSE),0)</f>
        <v>240000</v>
      </c>
      <c r="AD162" s="20">
        <f>IFERROR(VLOOKUP(Tabla13[[#This Row],[Llave]],'[5]Consolidación planes'!$A:$M,11,FALSE),0)</f>
        <v>400000</v>
      </c>
      <c r="AE162" s="20">
        <f>IFERROR(VLOOKUP(Tabla13[[#This Row],[Llave]],'[5]Consolidación planes'!$A:$M,12,FALSE),0)</f>
        <v>460000</v>
      </c>
      <c r="AF162" s="20">
        <f>IFERROR(VLOOKUP(Tabla13[[#This Row],[Llave]],'[5]Consolidación planes'!$A:$M,13,FALSE),0)</f>
        <v>600000</v>
      </c>
    </row>
    <row r="163" spans="2:32" ht="16" hidden="1" x14ac:dyDescent="0.2">
      <c r="B163" t="str">
        <f>Tabla13[[#This Row],[Oficina]]&amp;Tabla13[[#This Row],[Material]]</f>
        <v>Exportacion Directa1020284</v>
      </c>
      <c r="C163" t="s">
        <v>6</v>
      </c>
      <c r="D163" t="s">
        <v>88</v>
      </c>
      <c r="E163">
        <v>1020284</v>
      </c>
      <c r="F163" t="s">
        <v>129</v>
      </c>
      <c r="G163" t="s">
        <v>59</v>
      </c>
      <c r="H163" t="s">
        <v>65</v>
      </c>
      <c r="I163" s="7">
        <f>IFERROR(VLOOKUP(Tabla13[[#This Row],[Llave]],'[1]Consolidado RV'!$B:$H,6,FALSE),0)</f>
        <v>0</v>
      </c>
      <c r="J163" s="3">
        <f>IFERROR(VLOOKUP(Tabla13[[#This Row],[Llave]],'[1]Consolidado RV'!$B:$H,7,FALSE),0)</f>
        <v>5000</v>
      </c>
      <c r="K163" s="8">
        <f>IFERROR(VLOOKUP(Tabla13[[#This Row],[Oficina]],#REF!,2,FALSE),0)</f>
        <v>0</v>
      </c>
      <c r="L163" s="7">
        <f>+Tabla13[[#This Row],[ RV Producción mes n+1]]*Tabla13[[#This Row],[% Uti. producción]]</f>
        <v>0</v>
      </c>
      <c r="M163" s="7">
        <f>IFERROR(VLOOKUP(Tabla13[[#This Row],[Material]],#REF!,2,FALSE),0)</f>
        <v>0</v>
      </c>
      <c r="N163" s="7">
        <f>IFERROR(VLOOKUP(Tabla13[[#This Row],[Llave]],'En puerto-Programado'!A:D,4,FALSE)+VLOOKUP(Tabla13[[#This Row],[Llave]],'Por despachar'!A:F,6,FALSE),0)</f>
        <v>3803.6036427655458</v>
      </c>
      <c r="O163" s="7">
        <f>IFERROR(VLOOKUP(Tabla13[[#This Row],[Material]],[2]Consolidado!$C:$D,2,FALSE),0)</f>
        <v>3276.3360000000002</v>
      </c>
      <c r="P163" s="7">
        <f>IFERROR(VLOOKUP(Tabla13[[#This Row],[Llave]],'Por despachar'!A:E,5,FALSE),0)</f>
        <v>0</v>
      </c>
      <c r="Q163" s="14">
        <f>SUM(Tabla13[[#This Row],[Producción disponible]],Tabla13[[#This Row],[Stock al día]],Tabla13[[#This Row],[Por producir Abr.]])-SUM(Tabla13[[#This Row],[Stock por despachar N]],Tabla13[[#This Row],[Producción por despachar mes N]])</f>
        <v>-527.26764276554559</v>
      </c>
      <c r="R163" s="7">
        <f>IFERROR(VLOOKUP(Tabla13[[#This Row],[Llave]],[3]Hoja2!$A:$D,4,FALSE),0)</f>
        <v>2500</v>
      </c>
      <c r="S163" s="9">
        <f>IFERROR(VLOOKUP(Tabla13[[#This Row],[Material]],[4]Hoja1!$B:$C,2,FALSE),0)</f>
        <v>2333.3333333333335</v>
      </c>
      <c r="T163" s="5">
        <f t="shared" si="5"/>
        <v>0</v>
      </c>
      <c r="U163" s="3">
        <f>+Tabla13[[#This Row],[Total disponible]]-Tabla13[[#This Row],[Atraso a facturar]]</f>
        <v>-527.26764276554559</v>
      </c>
      <c r="V163" s="6">
        <f t="shared" si="4"/>
        <v>0</v>
      </c>
      <c r="W163" s="3" t="str">
        <f>IF(Tabla13[[#This Row],[Venta del mes]]&gt;Tabla13[[#This Row],[ RV  Venta mes n+1]],"Falta venta","-")</f>
        <v>-</v>
      </c>
      <c r="X163" s="7"/>
      <c r="Y163" s="18">
        <v>0</v>
      </c>
      <c r="Z163" s="5">
        <f>+Tabla13[[#This Row],[Atraso a facturar]]+Tabla13[[#This Row],[Venta del mes]]+Tabla13[[#This Row],[Ajuste]]</f>
        <v>0</v>
      </c>
      <c r="AA163" s="6">
        <f>+Tabla13[[#This Row],[Atraso a facturar]]+Tabla13[[#This Row],[Venta del mes]]+Tabla13[[#This Row],[En puerto a facturar]]</f>
        <v>0</v>
      </c>
      <c r="AB163" s="20">
        <f>IFERROR(VLOOKUP(Tabla13[[#This Row],[Llave]],'[5]Consolidación planes'!$A:$M,9,FALSE),0)</f>
        <v>11750</v>
      </c>
      <c r="AC163" s="20">
        <f>IFERROR(VLOOKUP(Tabla13[[#This Row],[Llave]],'[5]Consolidación planes'!$A:$M,10,FALSE),0)</f>
        <v>5750</v>
      </c>
      <c r="AD163" s="20">
        <f>IFERROR(VLOOKUP(Tabla13[[#This Row],[Llave]],'[5]Consolidación planes'!$A:$M,11,FALSE),0)</f>
        <v>4000</v>
      </c>
      <c r="AE163" s="20">
        <f>IFERROR(VLOOKUP(Tabla13[[#This Row],[Llave]],'[5]Consolidación planes'!$A:$M,12,FALSE),0)</f>
        <v>17000</v>
      </c>
      <c r="AF163" s="20">
        <f>IFERROR(VLOOKUP(Tabla13[[#This Row],[Llave]],'[5]Consolidación planes'!$A:$M,13,FALSE),0)</f>
        <v>23200</v>
      </c>
    </row>
    <row r="164" spans="2:32" ht="16" hidden="1" x14ac:dyDescent="0.2">
      <c r="B164" t="str">
        <f>Tabla13[[#This Row],[Oficina]]&amp;Tabla13[[#This Row],[Material]]</f>
        <v>Exportacion Directa1020326</v>
      </c>
      <c r="C164" t="s">
        <v>6</v>
      </c>
      <c r="D164" t="s">
        <v>88</v>
      </c>
      <c r="E164">
        <v>1020326</v>
      </c>
      <c r="F164" t="s">
        <v>117</v>
      </c>
      <c r="G164" t="s">
        <v>53</v>
      </c>
      <c r="H164" t="s">
        <v>54</v>
      </c>
      <c r="I164" s="7">
        <f>IFERROR(VLOOKUP(Tabla13[[#This Row],[Llave]],'[1]Consolidado RV'!$B:$H,6,FALSE),0)</f>
        <v>299208.03999999998</v>
      </c>
      <c r="J164" s="3">
        <f>IFERROR(VLOOKUP(Tabla13[[#This Row],[Llave]],'[1]Consolidado RV'!$B:$H,7,FALSE),0)</f>
        <v>264000</v>
      </c>
      <c r="K164" s="8">
        <f>IFERROR(VLOOKUP(Tabla13[[#This Row],[Oficina]],#REF!,2,FALSE),0)</f>
        <v>0</v>
      </c>
      <c r="L164" s="7">
        <f>+Tabla13[[#This Row],[ RV Producción mes n+1]]*Tabla13[[#This Row],[% Uti. producción]]</f>
        <v>0</v>
      </c>
      <c r="M164" s="7">
        <f>IFERROR(VLOOKUP(Tabla13[[#This Row],[Material]],#REF!,2,FALSE),0)</f>
        <v>0</v>
      </c>
      <c r="N164" s="7">
        <f>IFERROR(VLOOKUP(Tabla13[[#This Row],[Llave]],'En puerto-Programado'!A:D,4,FALSE)+VLOOKUP(Tabla13[[#This Row],[Llave]],'Por despachar'!A:F,6,FALSE),0)</f>
        <v>145029.18994109848</v>
      </c>
      <c r="O164" s="7">
        <f>IFERROR(VLOOKUP(Tabla13[[#This Row],[Material]],[2]Consolidado!$C:$D,2,FALSE),0)</f>
        <v>71508.800000000003</v>
      </c>
      <c r="P164" s="7">
        <f>IFERROR(VLOOKUP(Tabla13[[#This Row],[Llave]],'Por despachar'!A:E,5,FALSE),0)</f>
        <v>0</v>
      </c>
      <c r="Q164" s="14">
        <f>SUM(Tabla13[[#This Row],[Producción disponible]],Tabla13[[#This Row],[Stock al día]],Tabla13[[#This Row],[Por producir Abr.]])-SUM(Tabla13[[#This Row],[Stock por despachar N]],Tabla13[[#This Row],[Producción por despachar mes N]])</f>
        <v>-73520.389941098474</v>
      </c>
      <c r="R164" s="7">
        <f>IFERROR(VLOOKUP(Tabla13[[#This Row],[Llave]],[3]Hoja2!$A:$D,4,FALSE),0)</f>
        <v>96000</v>
      </c>
      <c r="S164" s="9">
        <f>IFERROR(VLOOKUP(Tabla13[[#This Row],[Material]],[4]Hoja1!$B:$C,2,FALSE),0)</f>
        <v>24000</v>
      </c>
      <c r="T164" s="5">
        <f t="shared" si="5"/>
        <v>-72000</v>
      </c>
      <c r="U164" s="3">
        <f>+Tabla13[[#This Row],[Total disponible]]-Tabla13[[#This Row],[Atraso a facturar]]</f>
        <v>-1520.3899410984741</v>
      </c>
      <c r="V164" s="6">
        <f t="shared" si="4"/>
        <v>0</v>
      </c>
      <c r="W164" s="3" t="str">
        <f>IF(Tabla13[[#This Row],[Venta del mes]]&gt;Tabla13[[#This Row],[ RV  Venta mes n+1]],"Falta venta","-")</f>
        <v>-</v>
      </c>
      <c r="X164" s="7"/>
      <c r="Y164" s="18">
        <v>0</v>
      </c>
      <c r="Z164" s="5">
        <f>+Tabla13[[#This Row],[Atraso a facturar]]+Tabla13[[#This Row],[Venta del mes]]+Tabla13[[#This Row],[Ajuste]]</f>
        <v>-72000</v>
      </c>
      <c r="AA164" s="6">
        <f>+Tabla13[[#This Row],[Atraso a facturar]]+Tabla13[[#This Row],[Venta del mes]]+Tabla13[[#This Row],[En puerto a facturar]]</f>
        <v>-72000</v>
      </c>
      <c r="AB164" s="20">
        <f>IFERROR(VLOOKUP(Tabla13[[#This Row],[Llave]],'[5]Consolidación planes'!$A:$M,9,FALSE),0)</f>
        <v>296000</v>
      </c>
      <c r="AC164" s="20">
        <f>IFERROR(VLOOKUP(Tabla13[[#This Row],[Llave]],'[5]Consolidación planes'!$A:$M,10,FALSE),0)</f>
        <v>264000</v>
      </c>
      <c r="AD164" s="20">
        <f>IFERROR(VLOOKUP(Tabla13[[#This Row],[Llave]],'[5]Consolidación planes'!$A:$M,11,FALSE),0)</f>
        <v>240000</v>
      </c>
      <c r="AE164" s="20">
        <f>IFERROR(VLOOKUP(Tabla13[[#This Row],[Llave]],'[5]Consolidación planes'!$A:$M,12,FALSE),0)</f>
        <v>408000</v>
      </c>
      <c r="AF164" s="20">
        <f>IFERROR(VLOOKUP(Tabla13[[#This Row],[Llave]],'[5]Consolidación planes'!$A:$M,13,FALSE),0)</f>
        <v>360000</v>
      </c>
    </row>
    <row r="165" spans="2:32" ht="16" hidden="1" x14ac:dyDescent="0.2">
      <c r="B165" t="str">
        <f>Tabla13[[#This Row],[Oficina]]&amp;Tabla13[[#This Row],[Material]]</f>
        <v>Exportacion Directa1020589</v>
      </c>
      <c r="C165" t="s">
        <v>6</v>
      </c>
      <c r="D165" t="s">
        <v>88</v>
      </c>
      <c r="E165">
        <v>1020589</v>
      </c>
      <c r="F165" t="s">
        <v>105</v>
      </c>
      <c r="G165" t="s">
        <v>50</v>
      </c>
      <c r="H165" t="s">
        <v>103</v>
      </c>
      <c r="I165" s="7">
        <f>IFERROR(VLOOKUP(Tabla13[[#This Row],[Llave]],'[1]Consolidado RV'!$B:$H,6,FALSE),0)</f>
        <v>108903.89467314497</v>
      </c>
      <c r="J165" s="3">
        <f>IFERROR(VLOOKUP(Tabla13[[#This Row],[Llave]],'[1]Consolidado RV'!$B:$H,7,FALSE),0)</f>
        <v>120000</v>
      </c>
      <c r="K165" s="8">
        <f>IFERROR(VLOOKUP(Tabla13[[#This Row],[Oficina]],#REF!,2,FALSE),0)</f>
        <v>0</v>
      </c>
      <c r="L165" s="7">
        <f>+Tabla13[[#This Row],[ RV Producción mes n+1]]*Tabla13[[#This Row],[% Uti. producción]]</f>
        <v>0</v>
      </c>
      <c r="M165" s="7">
        <f>IFERROR(VLOOKUP(Tabla13[[#This Row],[Material]],#REF!,2,FALSE),0)</f>
        <v>0</v>
      </c>
      <c r="N165" s="7">
        <f>IFERROR(VLOOKUP(Tabla13[[#This Row],[Llave]],'En puerto-Programado'!A:D,4,FALSE)+VLOOKUP(Tabla13[[#This Row],[Llave]],'Por despachar'!A:F,6,FALSE),0)</f>
        <v>56141.189767219461</v>
      </c>
      <c r="O165" s="7">
        <f>IFERROR(VLOOKUP(Tabla13[[#This Row],[Material]],[2]Consolidado!$C:$D,2,FALSE),0)</f>
        <v>50503.697667086271</v>
      </c>
      <c r="P165" s="7">
        <f>IFERROR(VLOOKUP(Tabla13[[#This Row],[Llave]],'Por despachar'!A:E,5,FALSE),0)</f>
        <v>0</v>
      </c>
      <c r="Q165" s="14">
        <f>SUM(Tabla13[[#This Row],[Producción disponible]],Tabla13[[#This Row],[Stock al día]],Tabla13[[#This Row],[Por producir Abr.]])-SUM(Tabla13[[#This Row],[Stock por despachar N]],Tabla13[[#This Row],[Producción por despachar mes N]])</f>
        <v>-5637.4921001331895</v>
      </c>
      <c r="R165" s="7">
        <f>IFERROR(VLOOKUP(Tabla13[[#This Row],[Llave]],[3]Hoja2!$A:$D,4,FALSE),0)</f>
        <v>96000</v>
      </c>
      <c r="S165" s="9">
        <f>IFERROR(VLOOKUP(Tabla13[[#This Row],[Material]],[4]Hoja1!$B:$C,2,FALSE),0)</f>
        <v>3265.3061224489797</v>
      </c>
      <c r="T165" s="5">
        <f t="shared" si="5"/>
        <v>-3265.3061224489797</v>
      </c>
      <c r="U165" s="3">
        <f>+Tabla13[[#This Row],[Total disponible]]-Tabla13[[#This Row],[Atraso a facturar]]</f>
        <v>-2372.1859776842098</v>
      </c>
      <c r="V165" s="6">
        <f t="shared" si="4"/>
        <v>0</v>
      </c>
      <c r="W165" s="3" t="str">
        <f>IF(Tabla13[[#This Row],[Venta del mes]]&gt;Tabla13[[#This Row],[ RV  Venta mes n+1]],"Falta venta","-")</f>
        <v>-</v>
      </c>
      <c r="X165" s="7"/>
      <c r="Y165" s="18">
        <v>0</v>
      </c>
      <c r="Z165" s="5">
        <f>+Tabla13[[#This Row],[Atraso a facturar]]+Tabla13[[#This Row],[Venta del mes]]+Tabla13[[#This Row],[Ajuste]]</f>
        <v>-3265.3061224489797</v>
      </c>
      <c r="AA165" s="6">
        <f>+Tabla13[[#This Row],[Atraso a facturar]]+Tabla13[[#This Row],[Venta del mes]]+Tabla13[[#This Row],[En puerto a facturar]]</f>
        <v>-3265.3061224489797</v>
      </c>
      <c r="AB165" s="20">
        <f>IFERROR(VLOOKUP(Tabla13[[#This Row],[Llave]],'[5]Consolidación planes'!$A:$M,9,FALSE),0)</f>
        <v>64100</v>
      </c>
      <c r="AC165" s="20">
        <f>IFERROR(VLOOKUP(Tabla13[[#This Row],[Llave]],'[5]Consolidación planes'!$A:$M,10,FALSE),0)</f>
        <v>43000</v>
      </c>
      <c r="AD165" s="20">
        <f>IFERROR(VLOOKUP(Tabla13[[#This Row],[Llave]],'[5]Consolidación planes'!$A:$M,11,FALSE),0)</f>
        <v>100000</v>
      </c>
      <c r="AE165" s="20">
        <f>IFERROR(VLOOKUP(Tabla13[[#This Row],[Llave]],'[5]Consolidación planes'!$A:$M,12,FALSE),0)</f>
        <v>110000</v>
      </c>
      <c r="AF165" s="20">
        <f>IFERROR(VLOOKUP(Tabla13[[#This Row],[Llave]],'[5]Consolidación planes'!$A:$M,13,FALSE),0)</f>
        <v>144100</v>
      </c>
    </row>
    <row r="166" spans="2:32" ht="16" hidden="1" x14ac:dyDescent="0.2">
      <c r="B166" t="str">
        <f>Tabla13[[#This Row],[Oficina]]&amp;Tabla13[[#This Row],[Material]]</f>
        <v>Exportacion Directa1020592</v>
      </c>
      <c r="C166" t="s">
        <v>6</v>
      </c>
      <c r="D166" t="s">
        <v>88</v>
      </c>
      <c r="E166">
        <v>1020592</v>
      </c>
      <c r="F166" t="s">
        <v>111</v>
      </c>
      <c r="G166" t="s">
        <v>50</v>
      </c>
      <c r="H166" t="s">
        <v>110</v>
      </c>
      <c r="I166" s="7">
        <f>IFERROR(VLOOKUP(Tabla13[[#This Row],[Llave]],'[1]Consolidado RV'!$B:$H,6,FALSE),0)</f>
        <v>163863.88995887671</v>
      </c>
      <c r="J166" s="3">
        <f>IFERROR(VLOOKUP(Tabla13[[#This Row],[Llave]],'[1]Consolidado RV'!$B:$H,7,FALSE),0)</f>
        <v>170000.00189999997</v>
      </c>
      <c r="K166" s="8">
        <f>IFERROR(VLOOKUP(Tabla13[[#This Row],[Oficina]],#REF!,2,FALSE),0)</f>
        <v>0</v>
      </c>
      <c r="L166" s="7">
        <f>+Tabla13[[#This Row],[ RV Producción mes n+1]]*Tabla13[[#This Row],[% Uti. producción]]</f>
        <v>0</v>
      </c>
      <c r="M166" s="7">
        <f>IFERROR(VLOOKUP(Tabla13[[#This Row],[Material]],#REF!,2,FALSE),0)</f>
        <v>0</v>
      </c>
      <c r="N166" s="7">
        <f>IFERROR(VLOOKUP(Tabla13[[#This Row],[Llave]],'En puerto-Programado'!A:D,4,FALSE)+VLOOKUP(Tabla13[[#This Row],[Llave]],'Por despachar'!A:F,6,FALSE),0)</f>
        <v>103351.51818122542</v>
      </c>
      <c r="O166" s="7">
        <f>IFERROR(VLOOKUP(Tabla13[[#This Row],[Material]],[2]Consolidado!$C:$D,2,FALSE),0)</f>
        <v>96106.752000658627</v>
      </c>
      <c r="P166" s="7">
        <f>IFERROR(VLOOKUP(Tabla13[[#This Row],[Llave]],'Por despachar'!A:E,5,FALSE),0)</f>
        <v>0</v>
      </c>
      <c r="Q166" s="14">
        <f>SUM(Tabla13[[#This Row],[Producción disponible]],Tabla13[[#This Row],[Stock al día]],Tabla13[[#This Row],[Por producir Abr.]])-SUM(Tabla13[[#This Row],[Stock por despachar N]],Tabla13[[#This Row],[Producción por despachar mes N]])</f>
        <v>-7244.7661805667885</v>
      </c>
      <c r="R166" s="7">
        <f>IFERROR(VLOOKUP(Tabla13[[#This Row],[Llave]],[3]Hoja2!$A:$D,4,FALSE),0)</f>
        <v>202140</v>
      </c>
      <c r="S166" s="9">
        <f>IFERROR(VLOOKUP(Tabla13[[#This Row],[Material]],[4]Hoja1!$B:$C,2,FALSE),0)</f>
        <v>6485.6164383561645</v>
      </c>
      <c r="T166" s="5">
        <f t="shared" si="5"/>
        <v>-6485.6164383561645</v>
      </c>
      <c r="U166" s="3">
        <f>+Tabla13[[#This Row],[Total disponible]]-Tabla13[[#This Row],[Atraso a facturar]]</f>
        <v>-759.14974221062403</v>
      </c>
      <c r="V166" s="6">
        <f t="shared" si="4"/>
        <v>0</v>
      </c>
      <c r="W166" s="3" t="str">
        <f>IF(Tabla13[[#This Row],[Venta del mes]]&gt;Tabla13[[#This Row],[ RV  Venta mes n+1]],"Falta venta","-")</f>
        <v>-</v>
      </c>
      <c r="X166" s="7"/>
      <c r="Y166" s="18">
        <v>0</v>
      </c>
      <c r="Z166" s="5">
        <f>+Tabla13[[#This Row],[Atraso a facturar]]+Tabla13[[#This Row],[Venta del mes]]+Tabla13[[#This Row],[Ajuste]]</f>
        <v>-6485.6164383561645</v>
      </c>
      <c r="AA166" s="6">
        <f>+Tabla13[[#This Row],[Atraso a facturar]]+Tabla13[[#This Row],[Venta del mes]]+Tabla13[[#This Row],[En puerto a facturar]]</f>
        <v>-6485.6164383561645</v>
      </c>
      <c r="AB166" s="20">
        <f>IFERROR(VLOOKUP(Tabla13[[#This Row],[Llave]],'[5]Consolidación planes'!$A:$M,9,FALSE),0)</f>
        <v>0</v>
      </c>
      <c r="AC166" s="20">
        <f>IFERROR(VLOOKUP(Tabla13[[#This Row],[Llave]],'[5]Consolidación planes'!$A:$M,10,FALSE),0)</f>
        <v>90000</v>
      </c>
      <c r="AD166" s="20">
        <f>IFERROR(VLOOKUP(Tabla13[[#This Row],[Llave]],'[5]Consolidación planes'!$A:$M,11,FALSE),0)</f>
        <v>280000</v>
      </c>
      <c r="AE166" s="20">
        <f>IFERROR(VLOOKUP(Tabla13[[#This Row],[Llave]],'[5]Consolidación planes'!$A:$M,12,FALSE),0)</f>
        <v>280000</v>
      </c>
      <c r="AF166" s="20">
        <f>IFERROR(VLOOKUP(Tabla13[[#This Row],[Llave]],'[5]Consolidación planes'!$A:$M,13,FALSE),0)</f>
        <v>270000</v>
      </c>
    </row>
    <row r="167" spans="2:32" ht="16" hidden="1" x14ac:dyDescent="0.2">
      <c r="B167" t="str">
        <f>Tabla13[[#This Row],[Oficina]]&amp;Tabla13[[#This Row],[Material]]</f>
        <v>Exportacion Directa1020620</v>
      </c>
      <c r="C167" t="s">
        <v>6</v>
      </c>
      <c r="D167" t="s">
        <v>88</v>
      </c>
      <c r="E167">
        <v>1020620</v>
      </c>
      <c r="F167" t="s">
        <v>112</v>
      </c>
      <c r="G167" t="s">
        <v>50</v>
      </c>
      <c r="H167" t="s">
        <v>110</v>
      </c>
      <c r="I167" s="7">
        <f>IFERROR(VLOOKUP(Tabla13[[#This Row],[Llave]],'[1]Consolidado RV'!$B:$H,6,FALSE),0)</f>
        <v>35553.996399999996</v>
      </c>
      <c r="J167" s="3">
        <f>IFERROR(VLOOKUP(Tabla13[[#This Row],[Llave]],'[1]Consolidado RV'!$B:$H,7,FALSE),0)</f>
        <v>30000.00030150931</v>
      </c>
      <c r="K167" s="8">
        <f>IFERROR(VLOOKUP(Tabla13[[#This Row],[Oficina]],#REF!,2,FALSE),0)</f>
        <v>0</v>
      </c>
      <c r="L167" s="7">
        <f>+Tabla13[[#This Row],[ RV Producción mes n+1]]*Tabla13[[#This Row],[% Uti. producción]]</f>
        <v>0</v>
      </c>
      <c r="M167" s="7">
        <f>IFERROR(VLOOKUP(Tabla13[[#This Row],[Material]],#REF!,2,FALSE),0)</f>
        <v>0</v>
      </c>
      <c r="N167" s="7">
        <f>IFERROR(VLOOKUP(Tabla13[[#This Row],[Llave]],'En puerto-Programado'!A:D,4,FALSE)+VLOOKUP(Tabla13[[#This Row],[Llave]],'Por despachar'!A:F,6,FALSE),0)</f>
        <v>9128.6487426373096</v>
      </c>
      <c r="O167" s="7">
        <f>IFERROR(VLOOKUP(Tabla13[[#This Row],[Material]],[2]Consolidado!$C:$D,2,FALSE),0)</f>
        <v>5813.0181503893637</v>
      </c>
      <c r="P167" s="7">
        <f>IFERROR(VLOOKUP(Tabla13[[#This Row],[Llave]],'Por despachar'!A:E,5,FALSE),0)</f>
        <v>0</v>
      </c>
      <c r="Q167" s="14">
        <f>SUM(Tabla13[[#This Row],[Producción disponible]],Tabla13[[#This Row],[Stock al día]],Tabla13[[#This Row],[Por producir Abr.]])-SUM(Tabla13[[#This Row],[Stock por despachar N]],Tabla13[[#This Row],[Producción por despachar mes N]])</f>
        <v>-3315.630592247946</v>
      </c>
      <c r="R167" s="7">
        <f>IFERROR(VLOOKUP(Tabla13[[#This Row],[Llave]],[3]Hoja2!$A:$D,4,FALSE),0)</f>
        <v>28000</v>
      </c>
      <c r="S167" s="9">
        <f>IFERROR(VLOOKUP(Tabla13[[#This Row],[Material]],[4]Hoja1!$B:$C,2,FALSE),0)</f>
        <v>3142.8571428571427</v>
      </c>
      <c r="T167" s="5">
        <f t="shared" si="5"/>
        <v>-3142.8571428571427</v>
      </c>
      <c r="U167" s="3">
        <f>+Tabla13[[#This Row],[Total disponible]]-Tabla13[[#This Row],[Atraso a facturar]]</f>
        <v>-172.77344939080331</v>
      </c>
      <c r="V167" s="6">
        <f t="shared" si="4"/>
        <v>0</v>
      </c>
      <c r="W167" s="3" t="str">
        <f>IF(Tabla13[[#This Row],[Venta del mes]]&gt;Tabla13[[#This Row],[ RV  Venta mes n+1]],"Falta venta","-")</f>
        <v>-</v>
      </c>
      <c r="X167" s="7"/>
      <c r="Y167" s="18">
        <v>0</v>
      </c>
      <c r="Z167" s="5">
        <f>+Tabla13[[#This Row],[Atraso a facturar]]+Tabla13[[#This Row],[Venta del mes]]+Tabla13[[#This Row],[Ajuste]]</f>
        <v>-3142.8571428571427</v>
      </c>
      <c r="AA167" s="6">
        <f>+Tabla13[[#This Row],[Atraso a facturar]]+Tabla13[[#This Row],[Venta del mes]]+Tabla13[[#This Row],[En puerto a facturar]]</f>
        <v>-3142.8571428571427</v>
      </c>
      <c r="AB167" s="20">
        <f>IFERROR(VLOOKUP(Tabla13[[#This Row],[Llave]],'[5]Consolidación planes'!$A:$M,9,FALSE),0)</f>
        <v>17000</v>
      </c>
      <c r="AC167" s="20">
        <f>IFERROR(VLOOKUP(Tabla13[[#This Row],[Llave]],'[5]Consolidación planes'!$A:$M,10,FALSE),0)</f>
        <v>3000</v>
      </c>
      <c r="AD167" s="20">
        <f>IFERROR(VLOOKUP(Tabla13[[#This Row],[Llave]],'[5]Consolidación planes'!$A:$M,11,FALSE),0)</f>
        <v>16000</v>
      </c>
      <c r="AE167" s="20">
        <f>IFERROR(VLOOKUP(Tabla13[[#This Row],[Llave]],'[5]Consolidación planes'!$A:$M,12,FALSE),0)</f>
        <v>30000</v>
      </c>
      <c r="AF167" s="20">
        <f>IFERROR(VLOOKUP(Tabla13[[#This Row],[Llave]],'[5]Consolidación planes'!$A:$M,13,FALSE),0)</f>
        <v>40857</v>
      </c>
    </row>
    <row r="168" spans="2:32" ht="16" hidden="1" x14ac:dyDescent="0.2">
      <c r="B168" t="str">
        <f>Tabla13[[#This Row],[Oficina]]&amp;Tabla13[[#This Row],[Material]]</f>
        <v>Exportacion Directa1020636</v>
      </c>
      <c r="C168" t="s">
        <v>6</v>
      </c>
      <c r="D168" t="s">
        <v>88</v>
      </c>
      <c r="E168">
        <v>1020636</v>
      </c>
      <c r="F168" t="s">
        <v>89</v>
      </c>
      <c r="G168" t="s">
        <v>37</v>
      </c>
      <c r="H168" t="s">
        <v>38</v>
      </c>
      <c r="I168" s="7">
        <f>IFERROR(VLOOKUP(Tabla13[[#This Row],[Llave]],'[1]Consolidado RV'!$B:$H,6,FALSE),0)</f>
        <v>11005.422412363645</v>
      </c>
      <c r="J168" s="3">
        <f>IFERROR(VLOOKUP(Tabla13[[#This Row],[Llave]],'[1]Consolidado RV'!$B:$H,7,FALSE),0)</f>
        <v>13000</v>
      </c>
      <c r="K168" s="8">
        <f>IFERROR(VLOOKUP(Tabla13[[#This Row],[Oficina]],#REF!,2,FALSE),0)</f>
        <v>0</v>
      </c>
      <c r="L168" s="7">
        <f>+Tabla13[[#This Row],[ RV Producción mes n+1]]*Tabla13[[#This Row],[% Uti. producción]]</f>
        <v>0</v>
      </c>
      <c r="M168" s="7">
        <f>IFERROR(VLOOKUP(Tabla13[[#This Row],[Material]],#REF!,2,FALSE),0)</f>
        <v>0</v>
      </c>
      <c r="N168" s="7">
        <f>IFERROR(VLOOKUP(Tabla13[[#This Row],[Llave]],'En puerto-Programado'!A:D,4,FALSE)+VLOOKUP(Tabla13[[#This Row],[Llave]],'Por despachar'!A:F,6,FALSE),0)</f>
        <v>9432.9370340585538</v>
      </c>
      <c r="O168" s="7">
        <f>IFERROR(VLOOKUP(Tabla13[[#This Row],[Material]],[2]Consolidado!$C:$D,2,FALSE),0)</f>
        <v>6045.6794792282635</v>
      </c>
      <c r="P168" s="7">
        <f>IFERROR(VLOOKUP(Tabla13[[#This Row],[Llave]],'Por despachar'!A:E,5,FALSE),0)</f>
        <v>0</v>
      </c>
      <c r="Q168" s="14">
        <f>SUM(Tabla13[[#This Row],[Producción disponible]],Tabla13[[#This Row],[Stock al día]],Tabla13[[#This Row],[Por producir Abr.]])-SUM(Tabla13[[#This Row],[Stock por despachar N]],Tabla13[[#This Row],[Producción por despachar mes N]])</f>
        <v>-3387.2575548302902</v>
      </c>
      <c r="R168" s="7">
        <f>IFERROR(VLOOKUP(Tabla13[[#This Row],[Llave]],[3]Hoja2!$A:$D,4,FALSE),0)</f>
        <v>14500</v>
      </c>
      <c r="S168" s="9">
        <f>IFERROR(VLOOKUP(Tabla13[[#This Row],[Material]],[4]Hoja1!$B:$C,2,FALSE),0)</f>
        <v>1333.3333333333333</v>
      </c>
      <c r="T168" s="5">
        <f t="shared" si="5"/>
        <v>-2666.6666666666665</v>
      </c>
      <c r="U168" s="3">
        <f>+Tabla13[[#This Row],[Total disponible]]-Tabla13[[#This Row],[Atraso a facturar]]</f>
        <v>-720.59088816362373</v>
      </c>
      <c r="V168" s="6">
        <f t="shared" si="4"/>
        <v>0</v>
      </c>
      <c r="W168" s="3" t="str">
        <f>IF(Tabla13[[#This Row],[Venta del mes]]&gt;Tabla13[[#This Row],[ RV  Venta mes n+1]],"Falta venta","-")</f>
        <v>-</v>
      </c>
      <c r="X168" s="7"/>
      <c r="Y168" s="18">
        <v>0</v>
      </c>
      <c r="Z168" s="5">
        <f>+Tabla13[[#This Row],[Atraso a facturar]]+Tabla13[[#This Row],[Venta del mes]]+Tabla13[[#This Row],[Ajuste]]</f>
        <v>-2666.6666666666665</v>
      </c>
      <c r="AA168" s="6">
        <f>+Tabla13[[#This Row],[Atraso a facturar]]+Tabla13[[#This Row],[Venta del mes]]+Tabla13[[#This Row],[En puerto a facturar]]</f>
        <v>-2666.6666666666665</v>
      </c>
      <c r="AB168" s="20">
        <f>IFERROR(VLOOKUP(Tabla13[[#This Row],[Llave]],'[5]Consolidación planes'!$A:$M,9,FALSE),0)</f>
        <v>14500</v>
      </c>
      <c r="AC168" s="20">
        <f>IFERROR(VLOOKUP(Tabla13[[#This Row],[Llave]],'[5]Consolidación planes'!$A:$M,10,FALSE),0)</f>
        <v>14500</v>
      </c>
      <c r="AD168" s="20">
        <f>IFERROR(VLOOKUP(Tabla13[[#This Row],[Llave]],'[5]Consolidación planes'!$A:$M,11,FALSE),0)</f>
        <v>15000</v>
      </c>
      <c r="AE168" s="20">
        <f>IFERROR(VLOOKUP(Tabla13[[#This Row],[Llave]],'[5]Consolidación planes'!$A:$M,12,FALSE),0)</f>
        <v>18000</v>
      </c>
      <c r="AF168" s="20">
        <f>IFERROR(VLOOKUP(Tabla13[[#This Row],[Llave]],'[5]Consolidación planes'!$A:$M,13,FALSE),0)</f>
        <v>20000</v>
      </c>
    </row>
    <row r="169" spans="2:32" ht="16" hidden="1" x14ac:dyDescent="0.2">
      <c r="B169" t="str">
        <f>Tabla13[[#This Row],[Oficina]]&amp;Tabla13[[#This Row],[Material]]</f>
        <v>Exportacion Directa1020637</v>
      </c>
      <c r="C169" t="s">
        <v>6</v>
      </c>
      <c r="D169" t="s">
        <v>88</v>
      </c>
      <c r="E169">
        <v>1020637</v>
      </c>
      <c r="F169" t="s">
        <v>121</v>
      </c>
      <c r="G169" t="s">
        <v>56</v>
      </c>
      <c r="H169" t="s">
        <v>57</v>
      </c>
      <c r="I169" s="7">
        <f>IFERROR(VLOOKUP(Tabla13[[#This Row],[Llave]],'[1]Consolidado RV'!$B:$H,6,FALSE),0)</f>
        <v>270481.36500000005</v>
      </c>
      <c r="J169" s="3">
        <f>IFERROR(VLOOKUP(Tabla13[[#This Row],[Llave]],'[1]Consolidado RV'!$B:$H,7,FALSE),0)</f>
        <v>189999.99824239605</v>
      </c>
      <c r="K169" s="8">
        <f>IFERROR(VLOOKUP(Tabla13[[#This Row],[Oficina]],#REF!,2,FALSE),0)</f>
        <v>0</v>
      </c>
      <c r="L169" s="7">
        <f>+Tabla13[[#This Row],[ RV Producción mes n+1]]*Tabla13[[#This Row],[% Uti. producción]]</f>
        <v>0</v>
      </c>
      <c r="M169" s="7">
        <f>IFERROR(VLOOKUP(Tabla13[[#This Row],[Material]],#REF!,2,FALSE),0)</f>
        <v>0</v>
      </c>
      <c r="N169" s="7">
        <f>IFERROR(VLOOKUP(Tabla13[[#This Row],[Llave]],'En puerto-Programado'!A:D,4,FALSE)+VLOOKUP(Tabla13[[#This Row],[Llave]],'Por despachar'!A:F,6,FALSE),0)</f>
        <v>129322.52385402855</v>
      </c>
      <c r="O169" s="7">
        <f>IFERROR(VLOOKUP(Tabla13[[#This Row],[Material]],[2]Consolidado!$C:$D,2,FALSE),0)</f>
        <v>69965.672242837274</v>
      </c>
      <c r="P169" s="7">
        <f>IFERROR(VLOOKUP(Tabla13[[#This Row],[Llave]],'Por despachar'!A:E,5,FALSE),0)</f>
        <v>0</v>
      </c>
      <c r="Q169" s="14">
        <f>SUM(Tabla13[[#This Row],[Producción disponible]],Tabla13[[#This Row],[Stock al día]],Tabla13[[#This Row],[Por producir Abr.]])-SUM(Tabla13[[#This Row],[Stock por despachar N]],Tabla13[[#This Row],[Producción por despachar mes N]])</f>
        <v>-59356.851611191276</v>
      </c>
      <c r="R169" s="7">
        <f>IFERROR(VLOOKUP(Tabla13[[#This Row],[Llave]],[3]Hoja2!$A:$D,4,FALSE),0)</f>
        <v>195250</v>
      </c>
      <c r="S169" s="9">
        <f>IFERROR(VLOOKUP(Tabla13[[#This Row],[Material]],[4]Hoja1!$B:$C,2,FALSE),0)</f>
        <v>4750</v>
      </c>
      <c r="T169" s="5">
        <f t="shared" si="5"/>
        <v>-57000</v>
      </c>
      <c r="U169" s="3">
        <f>+Tabla13[[#This Row],[Total disponible]]-Tabla13[[#This Row],[Atraso a facturar]]</f>
        <v>-2356.8516111912759</v>
      </c>
      <c r="V169" s="6">
        <f t="shared" si="4"/>
        <v>0</v>
      </c>
      <c r="W169" s="3" t="str">
        <f>IF(Tabla13[[#This Row],[Venta del mes]]&gt;Tabla13[[#This Row],[ RV  Venta mes n+1]],"Falta venta","-")</f>
        <v>-</v>
      </c>
      <c r="X169" s="7"/>
      <c r="Y169" s="18">
        <v>0</v>
      </c>
      <c r="Z169" s="5">
        <f>+Tabla13[[#This Row],[Atraso a facturar]]+Tabla13[[#This Row],[Venta del mes]]+Tabla13[[#This Row],[Ajuste]]</f>
        <v>-57000</v>
      </c>
      <c r="AA169" s="6">
        <f>+Tabla13[[#This Row],[Atraso a facturar]]+Tabla13[[#This Row],[Venta del mes]]+Tabla13[[#This Row],[En puerto a facturar]]</f>
        <v>-57000</v>
      </c>
      <c r="AB169" s="20">
        <f>IFERROR(VLOOKUP(Tabla13[[#This Row],[Llave]],'[5]Consolidación planes'!$A:$M,9,FALSE),0)</f>
        <v>193900</v>
      </c>
      <c r="AC169" s="20">
        <f>IFERROR(VLOOKUP(Tabla13[[#This Row],[Llave]],'[5]Consolidación planes'!$A:$M,10,FALSE),0)</f>
        <v>170000</v>
      </c>
      <c r="AD169" s="20">
        <f>IFERROR(VLOOKUP(Tabla13[[#This Row],[Llave]],'[5]Consolidación planes'!$A:$M,11,FALSE),0)</f>
        <v>190000</v>
      </c>
      <c r="AE169" s="20">
        <f>IFERROR(VLOOKUP(Tabla13[[#This Row],[Llave]],'[5]Consolidación planes'!$A:$M,12,FALSE),0)</f>
        <v>270000</v>
      </c>
      <c r="AF169" s="20">
        <f>IFERROR(VLOOKUP(Tabla13[[#This Row],[Llave]],'[5]Consolidación planes'!$A:$M,13,FALSE),0)</f>
        <v>253474</v>
      </c>
    </row>
    <row r="170" spans="2:32" ht="16" hidden="1" x14ac:dyDescent="0.2">
      <c r="B170" t="str">
        <f>Tabla13[[#This Row],[Oficina]]&amp;Tabla13[[#This Row],[Material]]</f>
        <v>Exportacion Directa1020662</v>
      </c>
      <c r="C170" t="s">
        <v>6</v>
      </c>
      <c r="D170" t="s">
        <v>88</v>
      </c>
      <c r="E170">
        <v>1020662</v>
      </c>
      <c r="F170" t="s">
        <v>130</v>
      </c>
      <c r="G170" t="s">
        <v>59</v>
      </c>
      <c r="H170" t="s">
        <v>65</v>
      </c>
      <c r="I170" s="7">
        <f>IFERROR(VLOOKUP(Tabla13[[#This Row],[Llave]],'[1]Consolidado RV'!$B:$H,6,FALSE),0)</f>
        <v>18503.702000000001</v>
      </c>
      <c r="J170" s="3">
        <f>IFERROR(VLOOKUP(Tabla13[[#This Row],[Llave]],'[1]Consolidado RV'!$B:$H,7,FALSE),0)</f>
        <v>20000</v>
      </c>
      <c r="K170" s="8">
        <f>IFERROR(VLOOKUP(Tabla13[[#This Row],[Oficina]],#REF!,2,FALSE),0)</f>
        <v>0</v>
      </c>
      <c r="L170" s="7">
        <f>+Tabla13[[#This Row],[ RV Producción mes n+1]]*Tabla13[[#This Row],[% Uti. producción]]</f>
        <v>0</v>
      </c>
      <c r="M170" s="7">
        <f>IFERROR(VLOOKUP(Tabla13[[#This Row],[Material]],#REF!,2,FALSE),0)</f>
        <v>0</v>
      </c>
      <c r="N170" s="7">
        <f>IFERROR(VLOOKUP(Tabla13[[#This Row],[Llave]],'En puerto-Programado'!A:D,4,FALSE)+VLOOKUP(Tabla13[[#This Row],[Llave]],'Por despachar'!A:F,6,FALSE),0)</f>
        <v>12932.252385402855</v>
      </c>
      <c r="O170" s="7">
        <f>IFERROR(VLOOKUP(Tabla13[[#This Row],[Material]],[2]Consolidado!$C:$D,2,FALSE),0)</f>
        <v>0</v>
      </c>
      <c r="P170" s="7">
        <f>IFERROR(VLOOKUP(Tabla13[[#This Row],[Llave]],'Por despachar'!A:E,5,FALSE),0)</f>
        <v>0</v>
      </c>
      <c r="Q170" s="14">
        <f>SUM(Tabla13[[#This Row],[Producción disponible]],Tabla13[[#This Row],[Stock al día]],Tabla13[[#This Row],[Por producir Abr.]])-SUM(Tabla13[[#This Row],[Stock por despachar N]],Tabla13[[#This Row],[Producción por despachar mes N]])</f>
        <v>-12932.252385402855</v>
      </c>
      <c r="R170" s="7">
        <f>IFERROR(VLOOKUP(Tabla13[[#This Row],[Llave]],[3]Hoja2!$A:$D,4,FALSE),0)</f>
        <v>23000</v>
      </c>
      <c r="S170" s="9">
        <f>IFERROR(VLOOKUP(Tabla13[[#This Row],[Material]],[4]Hoja1!$B:$C,2,FALSE),0)</f>
        <v>5000</v>
      </c>
      <c r="T170" s="5">
        <f t="shared" si="5"/>
        <v>-10000</v>
      </c>
      <c r="U170" s="3">
        <f>+Tabla13[[#This Row],[Total disponible]]-Tabla13[[#This Row],[Atraso a facturar]]</f>
        <v>-2932.252385402855</v>
      </c>
      <c r="V170" s="6">
        <f t="shared" si="4"/>
        <v>0</v>
      </c>
      <c r="W170" s="3" t="str">
        <f>IF(Tabla13[[#This Row],[Venta del mes]]&gt;Tabla13[[#This Row],[ RV  Venta mes n+1]],"Falta venta","-")</f>
        <v>-</v>
      </c>
      <c r="X170" s="7"/>
      <c r="Y170" s="18">
        <v>0</v>
      </c>
      <c r="Z170" s="5">
        <f>+Tabla13[[#This Row],[Atraso a facturar]]+Tabla13[[#This Row],[Venta del mes]]+Tabla13[[#This Row],[Ajuste]]</f>
        <v>-10000</v>
      </c>
      <c r="AA170" s="6">
        <f>+Tabla13[[#This Row],[Atraso a facturar]]+Tabla13[[#This Row],[Venta del mes]]+Tabla13[[#This Row],[En puerto a facturar]]</f>
        <v>-10000</v>
      </c>
      <c r="AB170" s="20">
        <f>IFERROR(VLOOKUP(Tabla13[[#This Row],[Llave]],'[5]Consolidación planes'!$A:$M,9,FALSE),0)</f>
        <v>30000</v>
      </c>
      <c r="AC170" s="20">
        <f>IFERROR(VLOOKUP(Tabla13[[#This Row],[Llave]],'[5]Consolidación planes'!$A:$M,10,FALSE),0)</f>
        <v>5000</v>
      </c>
      <c r="AD170" s="20">
        <f>IFERROR(VLOOKUP(Tabla13[[#This Row],[Llave]],'[5]Consolidación planes'!$A:$M,11,FALSE),0)</f>
        <v>4000</v>
      </c>
      <c r="AE170" s="20">
        <f>IFERROR(VLOOKUP(Tabla13[[#This Row],[Llave]],'[5]Consolidación planes'!$A:$M,12,FALSE),0)</f>
        <v>20000</v>
      </c>
      <c r="AF170" s="20">
        <f>IFERROR(VLOOKUP(Tabla13[[#This Row],[Llave]],'[5]Consolidación planes'!$A:$M,13,FALSE),0)</f>
        <v>22000</v>
      </c>
    </row>
    <row r="171" spans="2:32" ht="16" hidden="1" x14ac:dyDescent="0.2">
      <c r="B171" t="str">
        <f>Tabla13[[#This Row],[Oficina]]&amp;Tabla13[[#This Row],[Material]]</f>
        <v>Exportacion Directa1020664</v>
      </c>
      <c r="C171" t="s">
        <v>6</v>
      </c>
      <c r="D171" t="s">
        <v>88</v>
      </c>
      <c r="E171">
        <v>1020664</v>
      </c>
      <c r="F171" t="s">
        <v>294</v>
      </c>
      <c r="G171" t="s">
        <v>59</v>
      </c>
      <c r="H171" t="s">
        <v>65</v>
      </c>
      <c r="I171" s="7">
        <f>IFERROR(VLOOKUP(Tabla13[[#This Row],[Llave]],'[1]Consolidado RV'!$B:$H,6,FALSE),0)</f>
        <v>4915.2159700000002</v>
      </c>
      <c r="J171" s="3">
        <f>IFERROR(VLOOKUP(Tabla13[[#This Row],[Llave]],'[1]Consolidado RV'!$B:$H,7,FALSE),0)</f>
        <v>2999.9999700000003</v>
      </c>
      <c r="K171" s="8">
        <f>IFERROR(VLOOKUP(Tabla13[[#This Row],[Oficina]],#REF!,2,FALSE),0)</f>
        <v>0</v>
      </c>
      <c r="L171" s="7">
        <f>+Tabla13[[#This Row],[ RV Producción mes n+1]]*Tabla13[[#This Row],[% Uti. producción]]</f>
        <v>0</v>
      </c>
      <c r="M171" s="7">
        <f>IFERROR(VLOOKUP(Tabla13[[#This Row],[Material]],#REF!,2,FALSE),0)</f>
        <v>0</v>
      </c>
      <c r="N171" s="7">
        <f>IFERROR(VLOOKUP(Tabla13[[#This Row],[Llave]],'En puerto-Programado'!A:D,4,FALSE)+VLOOKUP(Tabla13[[#This Row],[Llave]],'Por despachar'!A:F,6,FALSE),0)</f>
        <v>0</v>
      </c>
      <c r="O171" s="7">
        <f>IFERROR(VLOOKUP(Tabla13[[#This Row],[Material]],[2]Consolidado!$C:$D,2,FALSE),0)</f>
        <v>0</v>
      </c>
      <c r="P171" s="7">
        <f>IFERROR(VLOOKUP(Tabla13[[#This Row],[Llave]],'Por despachar'!A:E,5,FALSE),0)</f>
        <v>0</v>
      </c>
      <c r="Q17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71" s="7">
        <f>IFERROR(VLOOKUP(Tabla13[[#This Row],[Llave]],[3]Hoja2!$A:$D,4,FALSE),0)</f>
        <v>3000</v>
      </c>
      <c r="S171" s="9">
        <f>IFERROR(VLOOKUP(Tabla13[[#This Row],[Material]],[4]Hoja1!$B:$C,2,FALSE),0)</f>
        <v>3000</v>
      </c>
      <c r="T171" s="5">
        <f t="shared" si="5"/>
        <v>0</v>
      </c>
      <c r="U171" s="3">
        <f>+Tabla13[[#This Row],[Total disponible]]-Tabla13[[#This Row],[Atraso a facturar]]</f>
        <v>0</v>
      </c>
      <c r="V171" s="6">
        <f t="shared" si="4"/>
        <v>0</v>
      </c>
      <c r="W171" s="3" t="str">
        <f>IF(Tabla13[[#This Row],[Venta del mes]]&gt;Tabla13[[#This Row],[ RV  Venta mes n+1]],"Falta venta","-")</f>
        <v>-</v>
      </c>
      <c r="X171" s="7"/>
      <c r="Y171" s="18">
        <v>0</v>
      </c>
      <c r="Z171" s="5">
        <f>+Tabla13[[#This Row],[Atraso a facturar]]+Tabla13[[#This Row],[Venta del mes]]+Tabla13[[#This Row],[Ajuste]]</f>
        <v>0</v>
      </c>
      <c r="AA171" s="6">
        <f>+Tabla13[[#This Row],[Atraso a facturar]]+Tabla13[[#This Row],[Venta del mes]]+Tabla13[[#This Row],[En puerto a facturar]]</f>
        <v>0</v>
      </c>
      <c r="AB171" s="20">
        <f>IFERROR(VLOOKUP(Tabla13[[#This Row],[Llave]],'[5]Consolidación planes'!$A:$M,9,FALSE),0)</f>
        <v>0</v>
      </c>
      <c r="AC171" s="20">
        <f>IFERROR(VLOOKUP(Tabla13[[#This Row],[Llave]],'[5]Consolidación planes'!$A:$M,10,FALSE),0)</f>
        <v>3000</v>
      </c>
      <c r="AD171" s="20">
        <f>IFERROR(VLOOKUP(Tabla13[[#This Row],[Llave]],'[5]Consolidación planes'!$A:$M,11,FALSE),0)</f>
        <v>3000</v>
      </c>
      <c r="AE171" s="20">
        <f>IFERROR(VLOOKUP(Tabla13[[#This Row],[Llave]],'[5]Consolidación planes'!$A:$M,12,FALSE),0)</f>
        <v>3000</v>
      </c>
      <c r="AF171" s="20">
        <f>IFERROR(VLOOKUP(Tabla13[[#This Row],[Llave]],'[5]Consolidación planes'!$A:$M,13,FALSE),0)</f>
        <v>0</v>
      </c>
    </row>
    <row r="172" spans="2:32" ht="16" hidden="1" x14ac:dyDescent="0.2">
      <c r="B172" t="str">
        <f>Tabla13[[#This Row],[Oficina]]&amp;Tabla13[[#This Row],[Material]]</f>
        <v>Exportacion Directa1020665</v>
      </c>
      <c r="C172" t="s">
        <v>6</v>
      </c>
      <c r="D172" t="s">
        <v>88</v>
      </c>
      <c r="E172">
        <v>1020665</v>
      </c>
      <c r="F172" t="s">
        <v>131</v>
      </c>
      <c r="G172" t="s">
        <v>59</v>
      </c>
      <c r="H172" t="s">
        <v>65</v>
      </c>
      <c r="I172" s="7">
        <f>IFERROR(VLOOKUP(Tabla13[[#This Row],[Llave]],'[1]Consolidado RV'!$B:$H,6,FALSE),0)</f>
        <v>0</v>
      </c>
      <c r="J172" s="3">
        <f>IFERROR(VLOOKUP(Tabla13[[#This Row],[Llave]],'[1]Consolidado RV'!$B:$H,7,FALSE),0)</f>
        <v>5000</v>
      </c>
      <c r="K172" s="8">
        <f>IFERROR(VLOOKUP(Tabla13[[#This Row],[Oficina]],#REF!,2,FALSE),0)</f>
        <v>0</v>
      </c>
      <c r="L172" s="7">
        <f>+Tabla13[[#This Row],[ RV Producción mes n+1]]*Tabla13[[#This Row],[% Uti. producción]]</f>
        <v>0</v>
      </c>
      <c r="M172" s="7">
        <f>IFERROR(VLOOKUP(Tabla13[[#This Row],[Material]],#REF!,2,FALSE),0)</f>
        <v>0</v>
      </c>
      <c r="N172" s="7">
        <f>IFERROR(VLOOKUP(Tabla13[[#This Row],[Llave]],'En puerto-Programado'!A:D,4,FALSE)+VLOOKUP(Tabla13[[#This Row],[Llave]],'Por despachar'!A:F,6,FALSE),0)</f>
        <v>3803.6036427655458</v>
      </c>
      <c r="O172" s="7">
        <f>IFERROR(VLOOKUP(Tabla13[[#This Row],[Material]],[2]Consolidado!$C:$D,2,FALSE),0)</f>
        <v>0</v>
      </c>
      <c r="P172" s="7">
        <f>IFERROR(VLOOKUP(Tabla13[[#This Row],[Llave]],'Por despachar'!A:E,5,FALSE),0)</f>
        <v>0</v>
      </c>
      <c r="Q172" s="14">
        <f>SUM(Tabla13[[#This Row],[Producción disponible]],Tabla13[[#This Row],[Stock al día]],Tabla13[[#This Row],[Por producir Abr.]])-SUM(Tabla13[[#This Row],[Stock por despachar N]],Tabla13[[#This Row],[Producción por despachar mes N]])</f>
        <v>-3803.6036427655458</v>
      </c>
      <c r="R172" s="7">
        <f>IFERROR(VLOOKUP(Tabla13[[#This Row],[Llave]],[3]Hoja2!$A:$D,4,FALSE),0)</f>
        <v>9100</v>
      </c>
      <c r="S172" s="9">
        <f>IFERROR(VLOOKUP(Tabla13[[#This Row],[Material]],[4]Hoja1!$B:$C,2,FALSE),0)</f>
        <v>2333.3333333333335</v>
      </c>
      <c r="T172" s="5">
        <f t="shared" si="5"/>
        <v>-2333.3333333333335</v>
      </c>
      <c r="U172" s="3">
        <f>+Tabla13[[#This Row],[Total disponible]]-Tabla13[[#This Row],[Atraso a facturar]]</f>
        <v>-1470.2703094322123</v>
      </c>
      <c r="V172" s="6">
        <f t="shared" si="4"/>
        <v>0</v>
      </c>
      <c r="W172" s="3" t="str">
        <f>IF(Tabla13[[#This Row],[Venta del mes]]&gt;Tabla13[[#This Row],[ RV  Venta mes n+1]],"Falta venta","-")</f>
        <v>-</v>
      </c>
      <c r="X172" s="7"/>
      <c r="Y172" s="18">
        <v>0</v>
      </c>
      <c r="Z172" s="5">
        <f>+Tabla13[[#This Row],[Atraso a facturar]]+Tabla13[[#This Row],[Venta del mes]]+Tabla13[[#This Row],[Ajuste]]</f>
        <v>-2333.3333333333335</v>
      </c>
      <c r="AA172" s="6">
        <f>+Tabla13[[#This Row],[Atraso a facturar]]+Tabla13[[#This Row],[Venta del mes]]+Tabla13[[#This Row],[En puerto a facturar]]</f>
        <v>-2333.3333333333335</v>
      </c>
      <c r="AB172" s="20">
        <f>IFERROR(VLOOKUP(Tabla13[[#This Row],[Llave]],'[5]Consolidación planes'!$A:$M,9,FALSE),0)</f>
        <v>11750</v>
      </c>
      <c r="AC172" s="20">
        <f>IFERROR(VLOOKUP(Tabla13[[#This Row],[Llave]],'[5]Consolidación planes'!$A:$M,10,FALSE),0)</f>
        <v>4750</v>
      </c>
      <c r="AD172" s="20">
        <f>IFERROR(VLOOKUP(Tabla13[[#This Row],[Llave]],'[5]Consolidación planes'!$A:$M,11,FALSE),0)</f>
        <v>5000</v>
      </c>
      <c r="AE172" s="20">
        <f>IFERROR(VLOOKUP(Tabla13[[#This Row],[Llave]],'[5]Consolidación planes'!$A:$M,12,FALSE),0)</f>
        <v>15000</v>
      </c>
      <c r="AF172" s="20">
        <f>IFERROR(VLOOKUP(Tabla13[[#This Row],[Llave]],'[5]Consolidación planes'!$A:$M,13,FALSE),0)</f>
        <v>17000</v>
      </c>
    </row>
    <row r="173" spans="2:32" ht="16" hidden="1" x14ac:dyDescent="0.2">
      <c r="B173" t="str">
        <f>Tabla13[[#This Row],[Oficina]]&amp;Tabla13[[#This Row],[Material]]</f>
        <v>Exportacion Directa1020678</v>
      </c>
      <c r="C173" t="s">
        <v>6</v>
      </c>
      <c r="D173" t="s">
        <v>88</v>
      </c>
      <c r="E173">
        <v>1020678</v>
      </c>
      <c r="F173" t="s">
        <v>291</v>
      </c>
      <c r="G173" t="s">
        <v>50</v>
      </c>
      <c r="H173" t="s">
        <v>51</v>
      </c>
      <c r="I173" s="7">
        <f>IFERROR(VLOOKUP(Tabla13[[#This Row],[Llave]],'[1]Consolidado RV'!$B:$H,6,FALSE),0)</f>
        <v>0</v>
      </c>
      <c r="J173" s="3">
        <f>IFERROR(VLOOKUP(Tabla13[[#This Row],[Llave]],'[1]Consolidado RV'!$B:$H,7,FALSE),0)</f>
        <v>0</v>
      </c>
      <c r="K173" s="8">
        <f>IFERROR(VLOOKUP(Tabla13[[#This Row],[Oficina]],#REF!,2,FALSE),0)</f>
        <v>0</v>
      </c>
      <c r="L173" s="7">
        <f>+Tabla13[[#This Row],[ RV Producción mes n+1]]*Tabla13[[#This Row],[% Uti. producción]]</f>
        <v>0</v>
      </c>
      <c r="M173" s="7">
        <f>IFERROR(VLOOKUP(Tabla13[[#This Row],[Material]],#REF!,2,FALSE),0)</f>
        <v>0</v>
      </c>
      <c r="N173" s="7">
        <f>IFERROR(VLOOKUP(Tabla13[[#This Row],[Llave]],'En puerto-Programado'!A:D,4,FALSE)+VLOOKUP(Tabla13[[#This Row],[Llave]],'Por despachar'!A:F,6,FALSE),0)</f>
        <v>0</v>
      </c>
      <c r="O173" s="7">
        <f>IFERROR(VLOOKUP(Tabla13[[#This Row],[Material]],[2]Consolidado!$C:$D,2,FALSE),0)</f>
        <v>0</v>
      </c>
      <c r="P173" s="7">
        <f>IFERROR(VLOOKUP(Tabla13[[#This Row],[Llave]],'Por despachar'!A:E,5,FALSE),0)</f>
        <v>0</v>
      </c>
      <c r="Q17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73" s="7">
        <f>IFERROR(VLOOKUP(Tabla13[[#This Row],[Llave]],[3]Hoja2!$A:$D,4,FALSE),0)</f>
        <v>500</v>
      </c>
      <c r="S173" s="9">
        <f>IFERROR(VLOOKUP(Tabla13[[#This Row],[Material]],[4]Hoja1!$B:$C,2,FALSE),0)</f>
        <v>500</v>
      </c>
      <c r="T173" s="5">
        <f t="shared" si="5"/>
        <v>0</v>
      </c>
      <c r="U173" s="3">
        <f>+Tabla13[[#This Row],[Total disponible]]-Tabla13[[#This Row],[Atraso a facturar]]</f>
        <v>0</v>
      </c>
      <c r="V173" s="6">
        <f t="shared" si="4"/>
        <v>0</v>
      </c>
      <c r="W173" s="3" t="str">
        <f>IF(Tabla13[[#This Row],[Venta del mes]]&gt;Tabla13[[#This Row],[ RV  Venta mes n+1]],"Falta venta","-")</f>
        <v>-</v>
      </c>
      <c r="X173" s="7"/>
      <c r="Y173" s="18">
        <v>0</v>
      </c>
      <c r="Z173" s="5">
        <f>+Tabla13[[#This Row],[Atraso a facturar]]+Tabla13[[#This Row],[Venta del mes]]+Tabla13[[#This Row],[Ajuste]]</f>
        <v>0</v>
      </c>
      <c r="AA173" s="6">
        <f>+Tabla13[[#This Row],[Atraso a facturar]]+Tabla13[[#This Row],[Venta del mes]]+Tabla13[[#This Row],[En puerto a facturar]]</f>
        <v>0</v>
      </c>
      <c r="AB173" s="20">
        <f>IFERROR(VLOOKUP(Tabla13[[#This Row],[Llave]],'[5]Consolidación planes'!$A:$M,9,FALSE),0)</f>
        <v>0</v>
      </c>
      <c r="AC173" s="20">
        <f>IFERROR(VLOOKUP(Tabla13[[#This Row],[Llave]],'[5]Consolidación planes'!$A:$M,10,FALSE),0)</f>
        <v>500</v>
      </c>
      <c r="AD173" s="20">
        <f>IFERROR(VLOOKUP(Tabla13[[#This Row],[Llave]],'[5]Consolidación planes'!$A:$M,11,FALSE),0)</f>
        <v>0</v>
      </c>
      <c r="AE173" s="20">
        <f>IFERROR(VLOOKUP(Tabla13[[#This Row],[Llave]],'[5]Consolidación planes'!$A:$M,12,FALSE),0)</f>
        <v>500</v>
      </c>
      <c r="AF173" s="20">
        <f>IFERROR(VLOOKUP(Tabla13[[#This Row],[Llave]],'[5]Consolidación planes'!$A:$M,13,FALSE),0)</f>
        <v>500</v>
      </c>
    </row>
    <row r="174" spans="2:32" ht="16" hidden="1" x14ac:dyDescent="0.2">
      <c r="B174" t="str">
        <f>Tabla13[[#This Row],[Oficina]]&amp;Tabla13[[#This Row],[Material]]</f>
        <v>Exportacion Directa1020681</v>
      </c>
      <c r="C174" t="s">
        <v>6</v>
      </c>
      <c r="D174" t="s">
        <v>88</v>
      </c>
      <c r="E174">
        <v>1020681</v>
      </c>
      <c r="F174" t="s">
        <v>106</v>
      </c>
      <c r="G174" t="s">
        <v>50</v>
      </c>
      <c r="H174" t="s">
        <v>103</v>
      </c>
      <c r="I174" s="7">
        <f>IFERROR(VLOOKUP(Tabla13[[#This Row],[Llave]],'[1]Consolidado RV'!$B:$H,6,FALSE),0)</f>
        <v>10000</v>
      </c>
      <c r="J174" s="3">
        <f>IFERROR(VLOOKUP(Tabla13[[#This Row],[Llave]],'[1]Consolidado RV'!$B:$H,7,FALSE),0)</f>
        <v>9715.11312125517</v>
      </c>
      <c r="K174" s="8">
        <f>IFERROR(VLOOKUP(Tabla13[[#This Row],[Oficina]],#REF!,2,FALSE),0)</f>
        <v>0</v>
      </c>
      <c r="L174" s="7">
        <f>+Tabla13[[#This Row],[ RV Producción mes n+1]]*Tabla13[[#This Row],[% Uti. producción]]</f>
        <v>0</v>
      </c>
      <c r="M174" s="7">
        <f>IFERROR(VLOOKUP(Tabla13[[#This Row],[Material]],#REF!,2,FALSE),0)</f>
        <v>0</v>
      </c>
      <c r="N174" s="7">
        <f>IFERROR(VLOOKUP(Tabla13[[#This Row],[Llave]],'En puerto-Programado'!A:D,4,FALSE)+VLOOKUP(Tabla13[[#This Row],[Llave]],'Por despachar'!A:F,6,FALSE),0)</f>
        <v>9128.6487426373096</v>
      </c>
      <c r="O174" s="7">
        <f>IFERROR(VLOOKUP(Tabla13[[#This Row],[Material]],[2]Consolidado!$C:$D,2,FALSE),0)</f>
        <v>9507.7365377773895</v>
      </c>
      <c r="P174" s="7">
        <f>IFERROR(VLOOKUP(Tabla13[[#This Row],[Llave]],'Por despachar'!A:E,5,FALSE),0)</f>
        <v>0</v>
      </c>
      <c r="Q174" s="14">
        <f>SUM(Tabla13[[#This Row],[Producción disponible]],Tabla13[[#This Row],[Stock al día]],Tabla13[[#This Row],[Por producir Abr.]])-SUM(Tabla13[[#This Row],[Stock por despachar N]],Tabla13[[#This Row],[Producción por despachar mes N]])</f>
        <v>379.08779514007983</v>
      </c>
      <c r="R174" s="7">
        <f>IFERROR(VLOOKUP(Tabla13[[#This Row],[Llave]],[3]Hoja2!$A:$D,4,FALSE),0)</f>
        <v>19000</v>
      </c>
      <c r="S174" s="9">
        <f>IFERROR(VLOOKUP(Tabla13[[#This Row],[Material]],[4]Hoja1!$B:$C,2,FALSE),0)</f>
        <v>6666.666666666667</v>
      </c>
      <c r="T174" s="5">
        <f t="shared" si="5"/>
        <v>0</v>
      </c>
      <c r="U174" s="3">
        <f>+Tabla13[[#This Row],[Total disponible]]-Tabla13[[#This Row],[Atraso a facturar]]</f>
        <v>379.08779514007983</v>
      </c>
      <c r="V174" s="6">
        <f t="shared" si="4"/>
        <v>0</v>
      </c>
      <c r="W174" s="3" t="str">
        <f>IF(Tabla13[[#This Row],[Venta del mes]]&gt;Tabla13[[#This Row],[ RV  Venta mes n+1]],"Falta venta","-")</f>
        <v>-</v>
      </c>
      <c r="X174" s="7"/>
      <c r="Y174" s="18">
        <v>0</v>
      </c>
      <c r="Z174" s="5">
        <f>+Tabla13[[#This Row],[Atraso a facturar]]+Tabla13[[#This Row],[Venta del mes]]+Tabla13[[#This Row],[Ajuste]]</f>
        <v>0</v>
      </c>
      <c r="AA174" s="6">
        <f>+Tabla13[[#This Row],[Atraso a facturar]]+Tabla13[[#This Row],[Venta del mes]]+Tabla13[[#This Row],[En puerto a facturar]]</f>
        <v>0</v>
      </c>
      <c r="AB174" s="20">
        <f>IFERROR(VLOOKUP(Tabla13[[#This Row],[Llave]],'[5]Consolidación planes'!$A:$M,9,FALSE),0)</f>
        <v>14250</v>
      </c>
      <c r="AC174" s="20">
        <f>IFERROR(VLOOKUP(Tabla13[[#This Row],[Llave]],'[5]Consolidación planes'!$A:$M,10,FALSE),0)</f>
        <v>11250</v>
      </c>
      <c r="AD174" s="20">
        <f>IFERROR(VLOOKUP(Tabla13[[#This Row],[Llave]],'[5]Consolidación planes'!$A:$M,11,FALSE),0)</f>
        <v>15000</v>
      </c>
      <c r="AE174" s="20">
        <f>IFERROR(VLOOKUP(Tabla13[[#This Row],[Llave]],'[5]Consolidación planes'!$A:$M,12,FALSE),0)</f>
        <v>22000</v>
      </c>
      <c r="AF174" s="20">
        <f>IFERROR(VLOOKUP(Tabla13[[#This Row],[Llave]],'[5]Consolidación planes'!$A:$M,13,FALSE),0)</f>
        <v>20545</v>
      </c>
    </row>
    <row r="175" spans="2:32" ht="16" hidden="1" x14ac:dyDescent="0.2">
      <c r="B175" t="str">
        <f>Tabla13[[#This Row],[Oficina]]&amp;Tabla13[[#This Row],[Material]]</f>
        <v>Exportacion Directa1020704</v>
      </c>
      <c r="C175" t="s">
        <v>6</v>
      </c>
      <c r="D175" t="s">
        <v>88</v>
      </c>
      <c r="E175">
        <v>1020704</v>
      </c>
      <c r="F175" t="s">
        <v>290</v>
      </c>
      <c r="G175" t="s">
        <v>37</v>
      </c>
      <c r="H175" t="s">
        <v>38</v>
      </c>
      <c r="I175" s="7">
        <f>IFERROR(VLOOKUP(Tabla13[[#This Row],[Llave]],'[1]Consolidado RV'!$B:$H,6,FALSE),0)</f>
        <v>1311.3489099999999</v>
      </c>
      <c r="J175" s="3">
        <f>IFERROR(VLOOKUP(Tabla13[[#This Row],[Llave]],'[1]Consolidado RV'!$B:$H,7,FALSE),0)</f>
        <v>1000.0000022115269</v>
      </c>
      <c r="K175" s="8">
        <f>IFERROR(VLOOKUP(Tabla13[[#This Row],[Oficina]],#REF!,2,FALSE),0)</f>
        <v>0</v>
      </c>
      <c r="L175" s="7">
        <f>+Tabla13[[#This Row],[ RV Producción mes n+1]]*Tabla13[[#This Row],[% Uti. producción]]</f>
        <v>0</v>
      </c>
      <c r="M175" s="7">
        <f>IFERROR(VLOOKUP(Tabla13[[#This Row],[Material]],#REF!,2,FALSE),0)</f>
        <v>0</v>
      </c>
      <c r="N175" s="7">
        <f>IFERROR(VLOOKUP(Tabla13[[#This Row],[Llave]],'En puerto-Programado'!A:D,4,FALSE)+VLOOKUP(Tabla13[[#This Row],[Llave]],'Por despachar'!A:F,6,FALSE),0)</f>
        <v>0</v>
      </c>
      <c r="O175" s="7">
        <f>IFERROR(VLOOKUP(Tabla13[[#This Row],[Material]],[2]Consolidado!$C:$D,2,FALSE),0)</f>
        <v>62.908299765116716</v>
      </c>
      <c r="P175" s="7">
        <f>IFERROR(VLOOKUP(Tabla13[[#This Row],[Llave]],'Por despachar'!A:E,5,FALSE),0)</f>
        <v>0</v>
      </c>
      <c r="Q175" s="14">
        <f>SUM(Tabla13[[#This Row],[Producción disponible]],Tabla13[[#This Row],[Stock al día]],Tabla13[[#This Row],[Por producir Abr.]])-SUM(Tabla13[[#This Row],[Stock por despachar N]],Tabla13[[#This Row],[Producción por despachar mes N]])</f>
        <v>62.908299765116716</v>
      </c>
      <c r="R175" s="7">
        <f>IFERROR(VLOOKUP(Tabla13[[#This Row],[Llave]],[3]Hoja2!$A:$D,4,FALSE),0)</f>
        <v>1500</v>
      </c>
      <c r="S175" s="9">
        <f>IFERROR(VLOOKUP(Tabla13[[#This Row],[Material]],[4]Hoja1!$B:$C,2,FALSE),0)</f>
        <v>500</v>
      </c>
      <c r="T175" s="5">
        <f t="shared" si="5"/>
        <v>0</v>
      </c>
      <c r="U175" s="3">
        <f>+Tabla13[[#This Row],[Total disponible]]-Tabla13[[#This Row],[Atraso a facturar]]</f>
        <v>62.908299765116716</v>
      </c>
      <c r="V175" s="6">
        <f t="shared" si="4"/>
        <v>0</v>
      </c>
      <c r="W175" s="3" t="str">
        <f>IF(Tabla13[[#This Row],[Venta del mes]]&gt;Tabla13[[#This Row],[ RV  Venta mes n+1]],"Falta venta","-")</f>
        <v>-</v>
      </c>
      <c r="X175" s="7"/>
      <c r="Y175" s="18">
        <v>0</v>
      </c>
      <c r="Z175" s="5">
        <f>+Tabla13[[#This Row],[Atraso a facturar]]+Tabla13[[#This Row],[Venta del mes]]+Tabla13[[#This Row],[Ajuste]]</f>
        <v>0</v>
      </c>
      <c r="AA175" s="6">
        <f>+Tabla13[[#This Row],[Atraso a facturar]]+Tabla13[[#This Row],[Venta del mes]]+Tabla13[[#This Row],[En puerto a facturar]]</f>
        <v>0</v>
      </c>
      <c r="AB175" s="20">
        <f>IFERROR(VLOOKUP(Tabla13[[#This Row],[Llave]],'[5]Consolidación planes'!$A:$M,9,FALSE),0)</f>
        <v>0</v>
      </c>
      <c r="AC175" s="20">
        <f>IFERROR(VLOOKUP(Tabla13[[#This Row],[Llave]],'[5]Consolidación planes'!$A:$M,10,FALSE),0)</f>
        <v>500</v>
      </c>
      <c r="AD175" s="20">
        <f>IFERROR(VLOOKUP(Tabla13[[#This Row],[Llave]],'[5]Consolidación planes'!$A:$M,11,FALSE),0)</f>
        <v>500</v>
      </c>
      <c r="AE175" s="20">
        <f>IFERROR(VLOOKUP(Tabla13[[#This Row],[Llave]],'[5]Consolidación planes'!$A:$M,12,FALSE),0)</f>
        <v>1500</v>
      </c>
      <c r="AF175" s="20">
        <f>IFERROR(VLOOKUP(Tabla13[[#This Row],[Llave]],'[5]Consolidación planes'!$A:$M,13,FALSE),0)</f>
        <v>1500</v>
      </c>
    </row>
    <row r="176" spans="2:32" ht="16" hidden="1" x14ac:dyDescent="0.2">
      <c r="B176" t="str">
        <f>Tabla13[[#This Row],[Oficina]]&amp;Tabla13[[#This Row],[Material]]</f>
        <v>Exportacion Directa1020715</v>
      </c>
      <c r="C176" t="s">
        <v>6</v>
      </c>
      <c r="D176" t="s">
        <v>88</v>
      </c>
      <c r="E176">
        <v>1020715</v>
      </c>
      <c r="F176" t="s">
        <v>119</v>
      </c>
      <c r="G176" t="s">
        <v>56</v>
      </c>
      <c r="H176" t="s">
        <v>118</v>
      </c>
      <c r="I176" s="7">
        <f>IFERROR(VLOOKUP(Tabla13[[#This Row],[Llave]],'[1]Consolidado RV'!$B:$H,6,FALSE),0)</f>
        <v>1549.335</v>
      </c>
      <c r="J176" s="3">
        <f>IFERROR(VLOOKUP(Tabla13[[#This Row],[Llave]],'[1]Consolidado RV'!$B:$H,7,FALSE),0)</f>
        <v>2000</v>
      </c>
      <c r="K176" s="8">
        <f>IFERROR(VLOOKUP(Tabla13[[#This Row],[Oficina]],#REF!,2,FALSE),0)</f>
        <v>0</v>
      </c>
      <c r="L176" s="7">
        <f>+Tabla13[[#This Row],[ RV Producción mes n+1]]*Tabla13[[#This Row],[% Uti. producción]]</f>
        <v>0</v>
      </c>
      <c r="M176" s="7">
        <f>IFERROR(VLOOKUP(Tabla13[[#This Row],[Material]],#REF!,2,FALSE),0)</f>
        <v>0</v>
      </c>
      <c r="N176" s="7">
        <f>IFERROR(VLOOKUP(Tabla13[[#This Row],[Llave]],'En puerto-Programado'!A:D,4,FALSE)+VLOOKUP(Tabla13[[#This Row],[Llave]],'Por despachar'!A:F,6,FALSE),0)</f>
        <v>0</v>
      </c>
      <c r="O176" s="7">
        <f>IFERROR(VLOOKUP(Tabla13[[#This Row],[Material]],[2]Consolidado!$C:$D,2,FALSE),0)</f>
        <v>0</v>
      </c>
      <c r="P176" s="7">
        <f>IFERROR(VLOOKUP(Tabla13[[#This Row],[Llave]],'Por despachar'!A:E,5,FALSE),0)</f>
        <v>0</v>
      </c>
      <c r="Q17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76" s="7">
        <f>IFERROR(VLOOKUP(Tabla13[[#This Row],[Llave]],[3]Hoja2!$A:$D,4,FALSE),0)</f>
        <v>2000</v>
      </c>
      <c r="S176" s="9">
        <f>IFERROR(VLOOKUP(Tabla13[[#This Row],[Material]],[4]Hoja1!$B:$C,2,FALSE),0)</f>
        <v>2000</v>
      </c>
      <c r="T176" s="5">
        <f t="shared" si="5"/>
        <v>0</v>
      </c>
      <c r="U176" s="3">
        <f>+Tabla13[[#This Row],[Total disponible]]-Tabla13[[#This Row],[Atraso a facturar]]</f>
        <v>0</v>
      </c>
      <c r="V176" s="6">
        <f t="shared" si="4"/>
        <v>0</v>
      </c>
      <c r="W176" s="3" t="str">
        <f>IF(Tabla13[[#This Row],[Venta del mes]]&gt;Tabla13[[#This Row],[ RV  Venta mes n+1]],"Falta venta","-")</f>
        <v>-</v>
      </c>
      <c r="X176" s="7"/>
      <c r="Y176" s="18">
        <v>0</v>
      </c>
      <c r="Z176" s="5">
        <f>+Tabla13[[#This Row],[Atraso a facturar]]+Tabla13[[#This Row],[Venta del mes]]+Tabla13[[#This Row],[Ajuste]]</f>
        <v>0</v>
      </c>
      <c r="AA176" s="6">
        <f>+Tabla13[[#This Row],[Atraso a facturar]]+Tabla13[[#This Row],[Venta del mes]]+Tabla13[[#This Row],[En puerto a facturar]]</f>
        <v>0</v>
      </c>
      <c r="AB176" s="20">
        <f>IFERROR(VLOOKUP(Tabla13[[#This Row],[Llave]],'[5]Consolidación planes'!$A:$M,9,FALSE),0)</f>
        <v>3000</v>
      </c>
      <c r="AC176" s="20">
        <f>IFERROR(VLOOKUP(Tabla13[[#This Row],[Llave]],'[5]Consolidación planes'!$A:$M,10,FALSE),0)</f>
        <v>2000</v>
      </c>
      <c r="AD176" s="20">
        <f>IFERROR(VLOOKUP(Tabla13[[#This Row],[Llave]],'[5]Consolidación planes'!$A:$M,11,FALSE),0)</f>
        <v>2000</v>
      </c>
      <c r="AE176" s="20">
        <f>IFERROR(VLOOKUP(Tabla13[[#This Row],[Llave]],'[5]Consolidación planes'!$A:$M,12,FALSE),0)</f>
        <v>4000</v>
      </c>
      <c r="AF176" s="20">
        <f>IFERROR(VLOOKUP(Tabla13[[#This Row],[Llave]],'[5]Consolidación planes'!$A:$M,13,FALSE),0)</f>
        <v>6000</v>
      </c>
    </row>
    <row r="177" spans="2:32" ht="16" hidden="1" x14ac:dyDescent="0.2">
      <c r="B177" t="str">
        <f>Tabla13[[#This Row],[Oficina]]&amp;Tabla13[[#This Row],[Material]]</f>
        <v>Exportacion Directa1020731</v>
      </c>
      <c r="C177" t="s">
        <v>6</v>
      </c>
      <c r="D177" t="s">
        <v>88</v>
      </c>
      <c r="E177">
        <v>1020731</v>
      </c>
      <c r="F177" t="s">
        <v>122</v>
      </c>
      <c r="G177" t="s">
        <v>56</v>
      </c>
      <c r="H177" t="s">
        <v>57</v>
      </c>
      <c r="I177" s="7">
        <f>IFERROR(VLOOKUP(Tabla13[[#This Row],[Llave]],'[1]Consolidado RV'!$B:$H,6,FALSE),0)</f>
        <v>24915.810400000002</v>
      </c>
      <c r="J177" s="3">
        <f>IFERROR(VLOOKUP(Tabla13[[#This Row],[Llave]],'[1]Consolidado RV'!$B:$H,7,FALSE),0)</f>
        <v>18978.392182481304</v>
      </c>
      <c r="K177" s="8">
        <f>IFERROR(VLOOKUP(Tabla13[[#This Row],[Oficina]],#REF!,2,FALSE),0)</f>
        <v>0</v>
      </c>
      <c r="L177" s="7">
        <f>+Tabla13[[#This Row],[ RV Producción mes n+1]]*Tabla13[[#This Row],[% Uti. producción]]</f>
        <v>0</v>
      </c>
      <c r="M177" s="7">
        <f>IFERROR(VLOOKUP(Tabla13[[#This Row],[Material]],#REF!,2,FALSE),0)</f>
        <v>0</v>
      </c>
      <c r="N177" s="7">
        <f>IFERROR(VLOOKUP(Tabla13[[#This Row],[Llave]],'En puerto-Programado'!A:D,4,FALSE)+VLOOKUP(Tabla13[[#This Row],[Llave]],'Por despachar'!A:F,6,FALSE),0)</f>
        <v>4564.3243713186548</v>
      </c>
      <c r="O177" s="7">
        <f>IFERROR(VLOOKUP(Tabla13[[#This Row],[Material]],[2]Consolidado!$C:$D,2,FALSE),0)</f>
        <v>2407.215540714365</v>
      </c>
      <c r="P177" s="7">
        <f>IFERROR(VLOOKUP(Tabla13[[#This Row],[Llave]],'Por despachar'!A:E,5,FALSE),0)</f>
        <v>0</v>
      </c>
      <c r="Q177" s="14">
        <f>SUM(Tabla13[[#This Row],[Producción disponible]],Tabla13[[#This Row],[Stock al día]],Tabla13[[#This Row],[Por producir Abr.]])-SUM(Tabla13[[#This Row],[Stock por despachar N]],Tabla13[[#This Row],[Producción por despachar mes N]])</f>
        <v>-2157.1088306042898</v>
      </c>
      <c r="R177" s="7">
        <f>IFERROR(VLOOKUP(Tabla13[[#This Row],[Llave]],[3]Hoja2!$A:$D,4,FALSE),0)</f>
        <v>14000</v>
      </c>
      <c r="S177" s="9">
        <f>IFERROR(VLOOKUP(Tabla13[[#This Row],[Material]],[4]Hoja1!$B:$C,2,FALSE),0)</f>
        <v>2500</v>
      </c>
      <c r="T177" s="5">
        <f t="shared" si="5"/>
        <v>0</v>
      </c>
      <c r="U177" s="3">
        <f>+Tabla13[[#This Row],[Total disponible]]-Tabla13[[#This Row],[Atraso a facturar]]</f>
        <v>-2157.1088306042898</v>
      </c>
      <c r="V177" s="6">
        <f t="shared" si="4"/>
        <v>0</v>
      </c>
      <c r="W177" s="3" t="str">
        <f>IF(Tabla13[[#This Row],[Venta del mes]]&gt;Tabla13[[#This Row],[ RV  Venta mes n+1]],"Falta venta","-")</f>
        <v>-</v>
      </c>
      <c r="X177" s="7"/>
      <c r="Y177" s="18">
        <v>0</v>
      </c>
      <c r="Z177" s="5">
        <f>+Tabla13[[#This Row],[Atraso a facturar]]+Tabla13[[#This Row],[Venta del mes]]+Tabla13[[#This Row],[Ajuste]]</f>
        <v>0</v>
      </c>
      <c r="AA177" s="6">
        <f>+Tabla13[[#This Row],[Atraso a facturar]]+Tabla13[[#This Row],[Venta del mes]]+Tabla13[[#This Row],[En puerto a facturar]]</f>
        <v>0</v>
      </c>
      <c r="AB177" s="20">
        <f>IFERROR(VLOOKUP(Tabla13[[#This Row],[Llave]],'[5]Consolidación planes'!$A:$M,9,FALSE),0)</f>
        <v>18000</v>
      </c>
      <c r="AC177" s="20">
        <f>IFERROR(VLOOKUP(Tabla13[[#This Row],[Llave]],'[5]Consolidación planes'!$A:$M,10,FALSE),0)</f>
        <v>6000</v>
      </c>
      <c r="AD177" s="20">
        <f>IFERROR(VLOOKUP(Tabla13[[#This Row],[Llave]],'[5]Consolidación planes'!$A:$M,11,FALSE),0)</f>
        <v>10000</v>
      </c>
      <c r="AE177" s="20">
        <f>IFERROR(VLOOKUP(Tabla13[[#This Row],[Llave]],'[5]Consolidación planes'!$A:$M,12,FALSE),0)</f>
        <v>20000</v>
      </c>
      <c r="AF177" s="20">
        <f>IFERROR(VLOOKUP(Tabla13[[#This Row],[Llave]],'[5]Consolidación planes'!$A:$M,13,FALSE),0)</f>
        <v>18000</v>
      </c>
    </row>
    <row r="178" spans="2:32" ht="16" hidden="1" x14ac:dyDescent="0.2">
      <c r="B178" t="str">
        <f>Tabla13[[#This Row],[Oficina]]&amp;Tabla13[[#This Row],[Material]]</f>
        <v>Exportacion Directa1020758</v>
      </c>
      <c r="C178" t="s">
        <v>6</v>
      </c>
      <c r="D178" t="s">
        <v>88</v>
      </c>
      <c r="E178">
        <v>1020758</v>
      </c>
      <c r="F178" t="s">
        <v>113</v>
      </c>
      <c r="G178" t="s">
        <v>50</v>
      </c>
      <c r="H178" t="s">
        <v>110</v>
      </c>
      <c r="I178" s="7">
        <f>IFERROR(VLOOKUP(Tabla13[[#This Row],[Llave]],'[1]Consolidado RV'!$B:$H,6,FALSE),0)</f>
        <v>5091.9889999999996</v>
      </c>
      <c r="J178" s="3">
        <f>IFERROR(VLOOKUP(Tabla13[[#This Row],[Llave]],'[1]Consolidado RV'!$B:$H,7,FALSE),0)</f>
        <v>3000</v>
      </c>
      <c r="K178" s="8">
        <f>IFERROR(VLOOKUP(Tabla13[[#This Row],[Oficina]],#REF!,2,FALSE),0)</f>
        <v>0</v>
      </c>
      <c r="L178" s="7">
        <f>+Tabla13[[#This Row],[ RV Producción mes n+1]]*Tabla13[[#This Row],[% Uti. producción]]</f>
        <v>0</v>
      </c>
      <c r="M178" s="7">
        <f>IFERROR(VLOOKUP(Tabla13[[#This Row],[Material]],#REF!,2,FALSE),0)</f>
        <v>0</v>
      </c>
      <c r="N178" s="7">
        <f>IFERROR(VLOOKUP(Tabla13[[#This Row],[Llave]],'En puerto-Programado'!A:D,4,FALSE)+VLOOKUP(Tabla13[[#This Row],[Llave]],'Por despachar'!A:F,6,FALSE),0)</f>
        <v>4564.3243713186548</v>
      </c>
      <c r="O178" s="7">
        <f>IFERROR(VLOOKUP(Tabla13[[#This Row],[Material]],[2]Consolidado!$C:$D,2,FALSE),0)</f>
        <v>0</v>
      </c>
      <c r="P178" s="7">
        <f>IFERROR(VLOOKUP(Tabla13[[#This Row],[Llave]],'Por despachar'!A:E,5,FALSE),0)</f>
        <v>0</v>
      </c>
      <c r="Q178" s="14">
        <f>SUM(Tabla13[[#This Row],[Producción disponible]],Tabla13[[#This Row],[Stock al día]],Tabla13[[#This Row],[Por producir Abr.]])-SUM(Tabla13[[#This Row],[Stock por despachar N]],Tabla13[[#This Row],[Producción por despachar mes N]])</f>
        <v>-4564.3243713186548</v>
      </c>
      <c r="R178" s="7">
        <f>IFERROR(VLOOKUP(Tabla13[[#This Row],[Llave]],[3]Hoja2!$A:$D,4,FALSE),0)</f>
        <v>3000</v>
      </c>
      <c r="S178" s="9">
        <f>IFERROR(VLOOKUP(Tabla13[[#This Row],[Material]],[4]Hoja1!$B:$C,2,FALSE),0)</f>
        <v>3250</v>
      </c>
      <c r="T178" s="5">
        <f t="shared" si="5"/>
        <v>-3250</v>
      </c>
      <c r="U178" s="3">
        <f>+Tabla13[[#This Row],[Total disponible]]-Tabla13[[#This Row],[Atraso a facturar]]</f>
        <v>-1314.3243713186548</v>
      </c>
      <c r="V178" s="6">
        <f t="shared" si="4"/>
        <v>0</v>
      </c>
      <c r="W178" s="3" t="str">
        <f>IF(Tabla13[[#This Row],[Venta del mes]]&gt;Tabla13[[#This Row],[ RV  Venta mes n+1]],"Falta venta","-")</f>
        <v>-</v>
      </c>
      <c r="X178" s="7"/>
      <c r="Y178" s="18">
        <v>0</v>
      </c>
      <c r="Z178" s="5">
        <f>+Tabla13[[#This Row],[Atraso a facturar]]+Tabla13[[#This Row],[Venta del mes]]+Tabla13[[#This Row],[Ajuste]]</f>
        <v>-3250</v>
      </c>
      <c r="AA178" s="6">
        <f>+Tabla13[[#This Row],[Atraso a facturar]]+Tabla13[[#This Row],[Venta del mes]]+Tabla13[[#This Row],[En puerto a facturar]]</f>
        <v>-3250</v>
      </c>
      <c r="AB178" s="20">
        <f>IFERROR(VLOOKUP(Tabla13[[#This Row],[Llave]],'[5]Consolidación planes'!$A:$M,9,FALSE),0)</f>
        <v>8000</v>
      </c>
      <c r="AC178" s="20">
        <f>IFERROR(VLOOKUP(Tabla13[[#This Row],[Llave]],'[5]Consolidación planes'!$A:$M,10,FALSE),0)</f>
        <v>5000</v>
      </c>
      <c r="AD178" s="20">
        <f>IFERROR(VLOOKUP(Tabla13[[#This Row],[Llave]],'[5]Consolidación planes'!$A:$M,11,FALSE),0)</f>
        <v>8000</v>
      </c>
      <c r="AE178" s="20">
        <f>IFERROR(VLOOKUP(Tabla13[[#This Row],[Llave]],'[5]Consolidación planes'!$A:$M,12,FALSE),0)</f>
        <v>12000</v>
      </c>
      <c r="AF178" s="20">
        <f>IFERROR(VLOOKUP(Tabla13[[#This Row],[Llave]],'[5]Consolidación planes'!$A:$M,13,FALSE),0)</f>
        <v>6000</v>
      </c>
    </row>
    <row r="179" spans="2:32" ht="16" hidden="1" x14ac:dyDescent="0.2">
      <c r="B179" t="str">
        <f>Tabla13[[#This Row],[Oficina]]&amp;Tabla13[[#This Row],[Material]]</f>
        <v>Exportacion Directa1020774</v>
      </c>
      <c r="C179" t="s">
        <v>6</v>
      </c>
      <c r="D179" t="s">
        <v>88</v>
      </c>
      <c r="E179">
        <v>1020774</v>
      </c>
      <c r="F179" t="s">
        <v>136</v>
      </c>
      <c r="G179" t="s">
        <v>134</v>
      </c>
      <c r="H179" t="s">
        <v>135</v>
      </c>
      <c r="I179" s="7">
        <f>IFERROR(VLOOKUP(Tabla13[[#This Row],[Llave]],'[1]Consolidado RV'!$B:$H,6,FALSE),0)</f>
        <v>10890</v>
      </c>
      <c r="J179" s="3">
        <f>IFERROR(VLOOKUP(Tabla13[[#This Row],[Llave]],'[1]Consolidado RV'!$B:$H,7,FALSE),0)</f>
        <v>8000</v>
      </c>
      <c r="K179" s="8">
        <f>IFERROR(VLOOKUP(Tabla13[[#This Row],[Oficina]],#REF!,2,FALSE),0)</f>
        <v>0</v>
      </c>
      <c r="L179" s="7">
        <f>+Tabla13[[#This Row],[ RV Producción mes n+1]]*Tabla13[[#This Row],[% Uti. producción]]</f>
        <v>0</v>
      </c>
      <c r="M179" s="7">
        <f>IFERROR(VLOOKUP(Tabla13[[#This Row],[Material]],#REF!,2,FALSE),0)</f>
        <v>0</v>
      </c>
      <c r="N179" s="7">
        <f>IFERROR(VLOOKUP(Tabla13[[#This Row],[Llave]],'En puerto-Programado'!A:D,4,FALSE)+VLOOKUP(Tabla13[[#This Row],[Llave]],'Por despachar'!A:F,6,FALSE),0)</f>
        <v>4564.3243713186548</v>
      </c>
      <c r="O179" s="7">
        <f>IFERROR(VLOOKUP(Tabla13[[#This Row],[Material]],[2]Consolidado!$C:$D,2,FALSE),0)</f>
        <v>1680</v>
      </c>
      <c r="P179" s="7">
        <f>IFERROR(VLOOKUP(Tabla13[[#This Row],[Llave]],'Por despachar'!A:E,5,FALSE),0)</f>
        <v>0</v>
      </c>
      <c r="Q179" s="14">
        <f>SUM(Tabla13[[#This Row],[Producción disponible]],Tabla13[[#This Row],[Stock al día]],Tabla13[[#This Row],[Por producir Abr.]])-SUM(Tabla13[[#This Row],[Stock por despachar N]],Tabla13[[#This Row],[Producción por despachar mes N]])</f>
        <v>-2884.3243713186548</v>
      </c>
      <c r="R179" s="7">
        <f>IFERROR(VLOOKUP(Tabla13[[#This Row],[Llave]],[3]Hoja2!$A:$D,4,FALSE),0)</f>
        <v>7000</v>
      </c>
      <c r="S179" s="9">
        <f>IFERROR(VLOOKUP(Tabla13[[#This Row],[Material]],[4]Hoja1!$B:$C,2,FALSE),0)</f>
        <v>952.38095238095241</v>
      </c>
      <c r="T179" s="5">
        <f t="shared" si="5"/>
        <v>-2857.1428571428573</v>
      </c>
      <c r="U179" s="3">
        <f>+Tabla13[[#This Row],[Total disponible]]-Tabla13[[#This Row],[Atraso a facturar]]</f>
        <v>-27.181514175797474</v>
      </c>
      <c r="V179" s="6">
        <f t="shared" si="4"/>
        <v>0</v>
      </c>
      <c r="W179" s="3" t="str">
        <f>IF(Tabla13[[#This Row],[Venta del mes]]&gt;Tabla13[[#This Row],[ RV  Venta mes n+1]],"Falta venta","-")</f>
        <v>-</v>
      </c>
      <c r="X179" s="7"/>
      <c r="Y179" s="18">
        <v>0</v>
      </c>
      <c r="Z179" s="5">
        <f>+Tabla13[[#This Row],[Atraso a facturar]]+Tabla13[[#This Row],[Venta del mes]]+Tabla13[[#This Row],[Ajuste]]</f>
        <v>-2857.1428571428573</v>
      </c>
      <c r="AA179" s="6">
        <f>+Tabla13[[#This Row],[Atraso a facturar]]+Tabla13[[#This Row],[Venta del mes]]+Tabla13[[#This Row],[En puerto a facturar]]</f>
        <v>-2857.1428571428573</v>
      </c>
      <c r="AB179" s="20">
        <f>IFERROR(VLOOKUP(Tabla13[[#This Row],[Llave]],'[5]Consolidación planes'!$A:$M,9,FALSE),0)</f>
        <v>6500</v>
      </c>
      <c r="AC179" s="20">
        <f>IFERROR(VLOOKUP(Tabla13[[#This Row],[Llave]],'[5]Consolidación planes'!$A:$M,10,FALSE),0)</f>
        <v>9000</v>
      </c>
      <c r="AD179" s="20">
        <f>IFERROR(VLOOKUP(Tabla13[[#This Row],[Llave]],'[5]Consolidación planes'!$A:$M,11,FALSE),0)</f>
        <v>7000</v>
      </c>
      <c r="AE179" s="20">
        <f>IFERROR(VLOOKUP(Tabla13[[#This Row],[Llave]],'[5]Consolidación planes'!$A:$M,12,FALSE),0)</f>
        <v>7000</v>
      </c>
      <c r="AF179" s="20">
        <f>IFERROR(VLOOKUP(Tabla13[[#This Row],[Llave]],'[5]Consolidación planes'!$A:$M,13,FALSE),0)</f>
        <v>12778</v>
      </c>
    </row>
    <row r="180" spans="2:32" ht="16" hidden="1" x14ac:dyDescent="0.2">
      <c r="B180" t="str">
        <f>Tabla13[[#This Row],[Oficina]]&amp;Tabla13[[#This Row],[Material]]</f>
        <v>Exportacion Directa1020802</v>
      </c>
      <c r="C180" t="s">
        <v>6</v>
      </c>
      <c r="D180" t="s">
        <v>88</v>
      </c>
      <c r="E180">
        <v>1020802</v>
      </c>
      <c r="F180" t="s">
        <v>123</v>
      </c>
      <c r="G180" t="s">
        <v>56</v>
      </c>
      <c r="H180" t="s">
        <v>57</v>
      </c>
      <c r="I180" s="7">
        <f>IFERROR(VLOOKUP(Tabla13[[#This Row],[Llave]],'[1]Consolidado RV'!$B:$H,6,FALSE),0)</f>
        <v>94782.684600000008</v>
      </c>
      <c r="J180" s="3">
        <f>IFERROR(VLOOKUP(Tabla13[[#This Row],[Llave]],'[1]Consolidado RV'!$B:$H,7,FALSE),0)</f>
        <v>77999.99967824023</v>
      </c>
      <c r="K180" s="8">
        <f>IFERROR(VLOOKUP(Tabla13[[#This Row],[Oficina]],#REF!,2,FALSE),0)</f>
        <v>0</v>
      </c>
      <c r="L180" s="7">
        <f>+Tabla13[[#This Row],[ RV Producción mes n+1]]*Tabla13[[#This Row],[% Uti. producción]]</f>
        <v>0</v>
      </c>
      <c r="M180" s="7">
        <f>IFERROR(VLOOKUP(Tabla13[[#This Row],[Material]],#REF!,2,FALSE),0)</f>
        <v>0</v>
      </c>
      <c r="N180" s="7">
        <f>IFERROR(VLOOKUP(Tabla13[[#This Row],[Llave]],'En puerto-Programado'!A:D,4,FALSE)+VLOOKUP(Tabla13[[#This Row],[Llave]],'Por despachar'!A:F,6,FALSE),0)</f>
        <v>72572.757503966612</v>
      </c>
      <c r="O180" s="7">
        <f>IFERROR(VLOOKUP(Tabla13[[#This Row],[Material]],[2]Consolidado!$C:$D,2,FALSE),0)</f>
        <v>15288.810369101382</v>
      </c>
      <c r="P180" s="7">
        <f>IFERROR(VLOOKUP(Tabla13[[#This Row],[Llave]],'Por despachar'!A:E,5,FALSE),0)</f>
        <v>0</v>
      </c>
      <c r="Q180" s="14">
        <f>SUM(Tabla13[[#This Row],[Producción disponible]],Tabla13[[#This Row],[Stock al día]],Tabla13[[#This Row],[Por producir Abr.]])-SUM(Tabla13[[#This Row],[Stock por despachar N]],Tabla13[[#This Row],[Producción por despachar mes N]])</f>
        <v>-57283.94713486523</v>
      </c>
      <c r="R180" s="7">
        <f>IFERROR(VLOOKUP(Tabla13[[#This Row],[Llave]],[3]Hoja2!$A:$D,4,FALSE),0)</f>
        <v>69500</v>
      </c>
      <c r="S180" s="9">
        <f>IFERROR(VLOOKUP(Tabla13[[#This Row],[Material]],[4]Hoja1!$B:$C,2,FALSE),0)</f>
        <v>8437.5</v>
      </c>
      <c r="T180" s="5">
        <f t="shared" si="5"/>
        <v>-50625</v>
      </c>
      <c r="U180" s="3">
        <f>+Tabla13[[#This Row],[Total disponible]]-Tabla13[[#This Row],[Atraso a facturar]]</f>
        <v>-6658.9471348652296</v>
      </c>
      <c r="V180" s="6">
        <f t="shared" si="4"/>
        <v>0</v>
      </c>
      <c r="W180" s="3" t="str">
        <f>IF(Tabla13[[#This Row],[Venta del mes]]&gt;Tabla13[[#This Row],[ RV  Venta mes n+1]],"Falta venta","-")</f>
        <v>-</v>
      </c>
      <c r="X180" s="7"/>
      <c r="Y180" s="18">
        <v>0</v>
      </c>
      <c r="Z180" s="5">
        <f>+Tabla13[[#This Row],[Atraso a facturar]]+Tabla13[[#This Row],[Venta del mes]]+Tabla13[[#This Row],[Ajuste]]</f>
        <v>-50625</v>
      </c>
      <c r="AA180" s="6">
        <f>+Tabla13[[#This Row],[Atraso a facturar]]+Tabla13[[#This Row],[Venta del mes]]+Tabla13[[#This Row],[En puerto a facturar]]</f>
        <v>-50625</v>
      </c>
      <c r="AB180" s="20">
        <f>IFERROR(VLOOKUP(Tabla13[[#This Row],[Llave]],'[5]Consolidación planes'!$A:$M,9,FALSE),0)</f>
        <v>103000</v>
      </c>
      <c r="AC180" s="20">
        <f>IFERROR(VLOOKUP(Tabla13[[#This Row],[Llave]],'[5]Consolidación planes'!$A:$M,10,FALSE),0)</f>
        <v>47000</v>
      </c>
      <c r="AD180" s="20">
        <f>IFERROR(VLOOKUP(Tabla13[[#This Row],[Llave]],'[5]Consolidación planes'!$A:$M,11,FALSE),0)</f>
        <v>95000</v>
      </c>
      <c r="AE180" s="20">
        <f>IFERROR(VLOOKUP(Tabla13[[#This Row],[Llave]],'[5]Consolidación planes'!$A:$M,12,FALSE),0)</f>
        <v>130000</v>
      </c>
      <c r="AF180" s="20">
        <f>IFERROR(VLOOKUP(Tabla13[[#This Row],[Llave]],'[5]Consolidación planes'!$A:$M,13,FALSE),0)</f>
        <v>92821</v>
      </c>
    </row>
    <row r="181" spans="2:32" ht="16" hidden="1" x14ac:dyDescent="0.2">
      <c r="B181" t="str">
        <f>Tabla13[[#This Row],[Oficina]]&amp;Tabla13[[#This Row],[Material]]</f>
        <v>Exportacion Directa1020810</v>
      </c>
      <c r="C181" t="s">
        <v>6</v>
      </c>
      <c r="D181" t="s">
        <v>88</v>
      </c>
      <c r="E181">
        <v>1020810</v>
      </c>
      <c r="F181" t="s">
        <v>138</v>
      </c>
      <c r="G181" t="s">
        <v>76</v>
      </c>
      <c r="H181" t="s">
        <v>79</v>
      </c>
      <c r="I181" s="7">
        <f>IFERROR(VLOOKUP(Tabla13[[#This Row],[Llave]],'[1]Consolidado RV'!$B:$H,6,FALSE),0)</f>
        <v>1388.9799999999996</v>
      </c>
      <c r="J181" s="3">
        <f>IFERROR(VLOOKUP(Tabla13[[#This Row],[Llave]],'[1]Consolidado RV'!$B:$H,7,FALSE),0)</f>
        <v>2000</v>
      </c>
      <c r="K181" s="8">
        <f>IFERROR(VLOOKUP(Tabla13[[#This Row],[Oficina]],#REF!,2,FALSE),0)</f>
        <v>0</v>
      </c>
      <c r="L181" s="7">
        <f>+Tabla13[[#This Row],[ RV Producción mes n+1]]*Tabla13[[#This Row],[% Uti. producción]]</f>
        <v>0</v>
      </c>
      <c r="M181" s="7">
        <f>IFERROR(VLOOKUP(Tabla13[[#This Row],[Material]],#REF!,2,FALSE),0)</f>
        <v>0</v>
      </c>
      <c r="N181" s="7">
        <f>IFERROR(VLOOKUP(Tabla13[[#This Row],[Llave]],'En puerto-Programado'!A:D,4,FALSE)+VLOOKUP(Tabla13[[#This Row],[Llave]],'Por despachar'!A:F,6,FALSE),0)</f>
        <v>3042.8829142124368</v>
      </c>
      <c r="O181" s="7">
        <f>IFERROR(VLOOKUP(Tabla13[[#This Row],[Material]],[2]Consolidado!$C:$D,2,FALSE),0)</f>
        <v>0</v>
      </c>
      <c r="P181" s="7">
        <f>IFERROR(VLOOKUP(Tabla13[[#This Row],[Llave]],'Por despachar'!A:E,5,FALSE),0)</f>
        <v>0</v>
      </c>
      <c r="Q181" s="14">
        <f>SUM(Tabla13[[#This Row],[Producción disponible]],Tabla13[[#This Row],[Stock al día]],Tabla13[[#This Row],[Por producir Abr.]])-SUM(Tabla13[[#This Row],[Stock por despachar N]],Tabla13[[#This Row],[Producción por despachar mes N]])</f>
        <v>-3042.8829142124368</v>
      </c>
      <c r="R181" s="7">
        <f>IFERROR(VLOOKUP(Tabla13[[#This Row],[Llave]],[3]Hoja2!$A:$D,4,FALSE),0)</f>
        <v>2000</v>
      </c>
      <c r="S181" s="9">
        <f>IFERROR(VLOOKUP(Tabla13[[#This Row],[Material]],[4]Hoja1!$B:$C,2,FALSE),0)</f>
        <v>1500</v>
      </c>
      <c r="T181" s="5">
        <f t="shared" si="5"/>
        <v>-3000</v>
      </c>
      <c r="U181" s="3">
        <f>+Tabla13[[#This Row],[Total disponible]]-Tabla13[[#This Row],[Atraso a facturar]]</f>
        <v>-42.882914212436845</v>
      </c>
      <c r="V181" s="6">
        <f t="shared" si="4"/>
        <v>0</v>
      </c>
      <c r="W181" s="3" t="str">
        <f>IF(Tabla13[[#This Row],[Venta del mes]]&gt;Tabla13[[#This Row],[ RV  Venta mes n+1]],"Falta venta","-")</f>
        <v>-</v>
      </c>
      <c r="X181" s="7"/>
      <c r="Y181" s="18">
        <v>0</v>
      </c>
      <c r="Z181" s="5">
        <f>+Tabla13[[#This Row],[Atraso a facturar]]+Tabla13[[#This Row],[Venta del mes]]+Tabla13[[#This Row],[Ajuste]]</f>
        <v>-3000</v>
      </c>
      <c r="AA181" s="6">
        <f>+Tabla13[[#This Row],[Atraso a facturar]]+Tabla13[[#This Row],[Venta del mes]]+Tabla13[[#This Row],[En puerto a facturar]]</f>
        <v>-3000</v>
      </c>
      <c r="AB181" s="20">
        <f>IFERROR(VLOOKUP(Tabla13[[#This Row],[Llave]],'[5]Consolidación planes'!$A:$M,9,FALSE),0)</f>
        <v>5000</v>
      </c>
      <c r="AC181" s="20">
        <f>IFERROR(VLOOKUP(Tabla13[[#This Row],[Llave]],'[5]Consolidación planes'!$A:$M,10,FALSE),0)</f>
        <v>6000</v>
      </c>
      <c r="AD181" s="20">
        <f>IFERROR(VLOOKUP(Tabla13[[#This Row],[Llave]],'[5]Consolidación planes'!$A:$M,11,FALSE),0)</f>
        <v>2500</v>
      </c>
      <c r="AE181" s="20">
        <f>IFERROR(VLOOKUP(Tabla13[[#This Row],[Llave]],'[5]Consolidación planes'!$A:$M,12,FALSE),0)</f>
        <v>0</v>
      </c>
      <c r="AF181" s="20">
        <f>IFERROR(VLOOKUP(Tabla13[[#This Row],[Llave]],'[5]Consolidación planes'!$A:$M,13,FALSE),0)</f>
        <v>6000</v>
      </c>
    </row>
    <row r="182" spans="2:32" ht="16" hidden="1" x14ac:dyDescent="0.2">
      <c r="B182" t="str">
        <f>Tabla13[[#This Row],[Oficina]]&amp;Tabla13[[#This Row],[Material]]</f>
        <v>Exportacion Directa1020914</v>
      </c>
      <c r="C182" t="s">
        <v>6</v>
      </c>
      <c r="D182" t="s">
        <v>88</v>
      </c>
      <c r="E182">
        <v>1020914</v>
      </c>
      <c r="F182" t="s">
        <v>120</v>
      </c>
      <c r="G182" t="s">
        <v>56</v>
      </c>
      <c r="H182" t="s">
        <v>118</v>
      </c>
      <c r="I182" s="7">
        <f>IFERROR(VLOOKUP(Tabla13[[#This Row],[Llave]],'[1]Consolidado RV'!$B:$H,6,FALSE),0)</f>
        <v>9846</v>
      </c>
      <c r="J182" s="3">
        <f>IFERROR(VLOOKUP(Tabla13[[#This Row],[Llave]],'[1]Consolidado RV'!$B:$H,7,FALSE),0)</f>
        <v>9000</v>
      </c>
      <c r="K182" s="8">
        <f>IFERROR(VLOOKUP(Tabla13[[#This Row],[Oficina]],#REF!,2,FALSE),0)</f>
        <v>0</v>
      </c>
      <c r="L182" s="7">
        <f>+Tabla13[[#This Row],[ RV Producción mes n+1]]*Tabla13[[#This Row],[% Uti. producción]]</f>
        <v>0</v>
      </c>
      <c r="M182" s="7">
        <f>IFERROR(VLOOKUP(Tabla13[[#This Row],[Material]],#REF!,2,FALSE),0)</f>
        <v>0</v>
      </c>
      <c r="N182" s="7">
        <f>IFERROR(VLOOKUP(Tabla13[[#This Row],[Llave]],'En puerto-Programado'!A:D,4,FALSE)+VLOOKUP(Tabla13[[#This Row],[Llave]],'Por despachar'!A:F,6,FALSE),0)</f>
        <v>5325.0450998717643</v>
      </c>
      <c r="O182" s="7">
        <f>IFERROR(VLOOKUP(Tabla13[[#This Row],[Material]],[2]Consolidado!$C:$D,2,FALSE),0)</f>
        <v>4281.6000000000004</v>
      </c>
      <c r="P182" s="7">
        <f>IFERROR(VLOOKUP(Tabla13[[#This Row],[Llave]],'Por despachar'!A:E,5,FALSE),0)</f>
        <v>0</v>
      </c>
      <c r="Q182" s="14">
        <f>SUM(Tabla13[[#This Row],[Producción disponible]],Tabla13[[#This Row],[Stock al día]],Tabla13[[#This Row],[Por producir Abr.]])-SUM(Tabla13[[#This Row],[Stock por despachar N]],Tabla13[[#This Row],[Producción por despachar mes N]])</f>
        <v>-1043.4450998717639</v>
      </c>
      <c r="R182" s="7">
        <f>IFERROR(VLOOKUP(Tabla13[[#This Row],[Llave]],[3]Hoja2!$A:$D,4,FALSE),0)</f>
        <v>9500</v>
      </c>
      <c r="S182" s="9">
        <f>IFERROR(VLOOKUP(Tabla13[[#This Row],[Material]],[4]Hoja1!$B:$C,2,FALSE),0)</f>
        <v>1285.7142857142858</v>
      </c>
      <c r="T182" s="5">
        <f t="shared" si="5"/>
        <v>0</v>
      </c>
      <c r="U182" s="3">
        <f>+Tabla13[[#This Row],[Total disponible]]-Tabla13[[#This Row],[Atraso a facturar]]</f>
        <v>-1043.4450998717639</v>
      </c>
      <c r="V182" s="6">
        <f t="shared" si="4"/>
        <v>0</v>
      </c>
      <c r="W182" s="3" t="str">
        <f>IF(Tabla13[[#This Row],[Venta del mes]]&gt;Tabla13[[#This Row],[ RV  Venta mes n+1]],"Falta venta","-")</f>
        <v>-</v>
      </c>
      <c r="X182" s="7"/>
      <c r="Y182" s="18">
        <v>0</v>
      </c>
      <c r="Z182" s="5">
        <f>+Tabla13[[#This Row],[Atraso a facturar]]+Tabla13[[#This Row],[Venta del mes]]+Tabla13[[#This Row],[Ajuste]]</f>
        <v>0</v>
      </c>
      <c r="AA182" s="6">
        <f>+Tabla13[[#This Row],[Atraso a facturar]]+Tabla13[[#This Row],[Venta del mes]]+Tabla13[[#This Row],[En puerto a facturar]]</f>
        <v>0</v>
      </c>
      <c r="AB182" s="20">
        <f>IFERROR(VLOOKUP(Tabla13[[#This Row],[Llave]],'[5]Consolidación planes'!$A:$M,9,FALSE),0)</f>
        <v>3000</v>
      </c>
      <c r="AC182" s="20">
        <f>IFERROR(VLOOKUP(Tabla13[[#This Row],[Llave]],'[5]Consolidación planes'!$A:$M,10,FALSE),0)</f>
        <v>0</v>
      </c>
      <c r="AD182" s="20">
        <f>IFERROR(VLOOKUP(Tabla13[[#This Row],[Llave]],'[5]Consolidación planes'!$A:$M,11,FALSE),0)</f>
        <v>3000</v>
      </c>
      <c r="AE182" s="20">
        <f>IFERROR(VLOOKUP(Tabla13[[#This Row],[Llave]],'[5]Consolidación planes'!$A:$M,12,FALSE),0)</f>
        <v>15000</v>
      </c>
      <c r="AF182" s="20">
        <f>IFERROR(VLOOKUP(Tabla13[[#This Row],[Llave]],'[5]Consolidación planes'!$A:$M,13,FALSE),0)</f>
        <v>10000</v>
      </c>
    </row>
    <row r="183" spans="2:32" ht="16" hidden="1" x14ac:dyDescent="0.2">
      <c r="B183" t="str">
        <f>Tabla13[[#This Row],[Oficina]]&amp;Tabla13[[#This Row],[Material]]</f>
        <v>Exportacion Directa1020990</v>
      </c>
      <c r="C183" t="s">
        <v>6</v>
      </c>
      <c r="D183" t="s">
        <v>88</v>
      </c>
      <c r="E183">
        <v>1020990</v>
      </c>
      <c r="F183" t="s">
        <v>132</v>
      </c>
      <c r="G183" t="s">
        <v>59</v>
      </c>
      <c r="H183" t="s">
        <v>65</v>
      </c>
      <c r="I183" s="7">
        <f>IFERROR(VLOOKUP(Tabla13[[#This Row],[Llave]],'[1]Consolidado RV'!$B:$H,6,FALSE),0)</f>
        <v>0</v>
      </c>
      <c r="J183" s="3">
        <f>IFERROR(VLOOKUP(Tabla13[[#This Row],[Llave]],'[1]Consolidado RV'!$B:$H,7,FALSE),0)</f>
        <v>5000</v>
      </c>
      <c r="K183" s="8">
        <f>IFERROR(VLOOKUP(Tabla13[[#This Row],[Oficina]],#REF!,2,FALSE),0)</f>
        <v>0</v>
      </c>
      <c r="L183" s="7">
        <f>+Tabla13[[#This Row],[ RV Producción mes n+1]]*Tabla13[[#This Row],[% Uti. producción]]</f>
        <v>0</v>
      </c>
      <c r="M183" s="7">
        <f>IFERROR(VLOOKUP(Tabla13[[#This Row],[Material]],#REF!,2,FALSE),0)</f>
        <v>0</v>
      </c>
      <c r="N183" s="7">
        <f>IFERROR(VLOOKUP(Tabla13[[#This Row],[Llave]],'En puerto-Programado'!A:D,4,FALSE)+VLOOKUP(Tabla13[[#This Row],[Llave]],'Por despachar'!A:F,6,FALSE),0)</f>
        <v>3803.6036427655458</v>
      </c>
      <c r="O183" s="7">
        <f>IFERROR(VLOOKUP(Tabla13[[#This Row],[Material]],[2]Consolidado!$C:$D,2,FALSE),0)</f>
        <v>4600</v>
      </c>
      <c r="P183" s="7">
        <f>IFERROR(VLOOKUP(Tabla13[[#This Row],[Llave]],'Por despachar'!A:E,5,FALSE),0)</f>
        <v>0</v>
      </c>
      <c r="Q183" s="14">
        <f>SUM(Tabla13[[#This Row],[Producción disponible]],Tabla13[[#This Row],[Stock al día]],Tabla13[[#This Row],[Por producir Abr.]])-SUM(Tabla13[[#This Row],[Stock por despachar N]],Tabla13[[#This Row],[Producción por despachar mes N]])</f>
        <v>796.39635723445417</v>
      </c>
      <c r="R183" s="7">
        <f>IFERROR(VLOOKUP(Tabla13[[#This Row],[Llave]],[3]Hoja2!$A:$D,4,FALSE),0)</f>
        <v>2500</v>
      </c>
      <c r="S183" s="9">
        <f>IFERROR(VLOOKUP(Tabla13[[#This Row],[Material]],[4]Hoja1!$B:$C,2,FALSE),0)</f>
        <v>2666.6666666666665</v>
      </c>
      <c r="T183" s="5">
        <f t="shared" si="5"/>
        <v>0</v>
      </c>
      <c r="U183" s="3">
        <f>+Tabla13[[#This Row],[Total disponible]]-Tabla13[[#This Row],[Atraso a facturar]]</f>
        <v>796.39635723445417</v>
      </c>
      <c r="V183" s="6">
        <f t="shared" si="4"/>
        <v>0</v>
      </c>
      <c r="W183" s="3" t="str">
        <f>IF(Tabla13[[#This Row],[Venta del mes]]&gt;Tabla13[[#This Row],[ RV  Venta mes n+1]],"Falta venta","-")</f>
        <v>-</v>
      </c>
      <c r="X183" s="7"/>
      <c r="Y183" s="18">
        <v>0</v>
      </c>
      <c r="Z183" s="5">
        <f>+Tabla13[[#This Row],[Atraso a facturar]]+Tabla13[[#This Row],[Venta del mes]]+Tabla13[[#This Row],[Ajuste]]</f>
        <v>0</v>
      </c>
      <c r="AA183" s="6">
        <f>+Tabla13[[#This Row],[Atraso a facturar]]+Tabla13[[#This Row],[Venta del mes]]+Tabla13[[#This Row],[En puerto a facturar]]</f>
        <v>0</v>
      </c>
      <c r="AB183" s="20">
        <f>IFERROR(VLOOKUP(Tabla13[[#This Row],[Llave]],'[5]Consolidación planes'!$A:$M,9,FALSE),0)</f>
        <v>8750</v>
      </c>
      <c r="AC183" s="20">
        <f>IFERROR(VLOOKUP(Tabla13[[#This Row],[Llave]],'[5]Consolidación planes'!$A:$M,10,FALSE),0)</f>
        <v>4750</v>
      </c>
      <c r="AD183" s="20">
        <f>IFERROR(VLOOKUP(Tabla13[[#This Row],[Llave]],'[5]Consolidación planes'!$A:$M,11,FALSE),0)</f>
        <v>7000</v>
      </c>
      <c r="AE183" s="20">
        <f>IFERROR(VLOOKUP(Tabla13[[#This Row],[Llave]],'[5]Consolidación planes'!$A:$M,12,FALSE),0)</f>
        <v>13000</v>
      </c>
      <c r="AF183" s="20">
        <f>IFERROR(VLOOKUP(Tabla13[[#This Row],[Llave]],'[5]Consolidación planes'!$A:$M,13,FALSE),0)</f>
        <v>13000</v>
      </c>
    </row>
    <row r="184" spans="2:32" ht="16" hidden="1" x14ac:dyDescent="0.2">
      <c r="B184" t="str">
        <f>Tabla13[[#This Row],[Oficina]]&amp;Tabla13[[#This Row],[Material]]</f>
        <v>Exportacion Directa1020991</v>
      </c>
      <c r="C184" t="s">
        <v>6</v>
      </c>
      <c r="D184" t="s">
        <v>88</v>
      </c>
      <c r="E184">
        <v>1020991</v>
      </c>
      <c r="F184" t="s">
        <v>133</v>
      </c>
      <c r="G184" t="s">
        <v>59</v>
      </c>
      <c r="H184" t="s">
        <v>65</v>
      </c>
      <c r="I184" s="7">
        <f>IFERROR(VLOOKUP(Tabla13[[#This Row],[Llave]],'[1]Consolidado RV'!$B:$H,6,FALSE),0)</f>
        <v>9428.2551999999996</v>
      </c>
      <c r="J184" s="3">
        <f>IFERROR(VLOOKUP(Tabla13[[#This Row],[Llave]],'[1]Consolidado RV'!$B:$H,7,FALSE),0)</f>
        <v>15000.000200000002</v>
      </c>
      <c r="K184" s="8">
        <f>IFERROR(VLOOKUP(Tabla13[[#This Row],[Oficina]],#REF!,2,FALSE),0)</f>
        <v>0</v>
      </c>
      <c r="L184" s="7">
        <f>+Tabla13[[#This Row],[ RV Producción mes n+1]]*Tabla13[[#This Row],[% Uti. producción]]</f>
        <v>0</v>
      </c>
      <c r="M184" s="7">
        <f>IFERROR(VLOOKUP(Tabla13[[#This Row],[Material]],#REF!,2,FALSE),0)</f>
        <v>0</v>
      </c>
      <c r="N184" s="7">
        <f>IFERROR(VLOOKUP(Tabla13[[#This Row],[Llave]],'En puerto-Programado'!A:D,4,FALSE)+VLOOKUP(Tabla13[[#This Row],[Llave]],'Por despachar'!A:F,6,FALSE),0)</f>
        <v>4564.3243713186548</v>
      </c>
      <c r="O184" s="7">
        <f>IFERROR(VLOOKUP(Tabla13[[#This Row],[Material]],[2]Consolidado!$C:$D,2,FALSE),0)</f>
        <v>2590</v>
      </c>
      <c r="P184" s="7">
        <f>IFERROR(VLOOKUP(Tabla13[[#This Row],[Llave]],'Por despachar'!A:E,5,FALSE),0)</f>
        <v>0</v>
      </c>
      <c r="Q184" s="14">
        <f>SUM(Tabla13[[#This Row],[Producción disponible]],Tabla13[[#This Row],[Stock al día]],Tabla13[[#This Row],[Por producir Abr.]])-SUM(Tabla13[[#This Row],[Stock por despachar N]],Tabla13[[#This Row],[Producción por despachar mes N]])</f>
        <v>-1974.3243713186548</v>
      </c>
      <c r="R184" s="7">
        <f>IFERROR(VLOOKUP(Tabla13[[#This Row],[Llave]],[3]Hoja2!$A:$D,4,FALSE),0)</f>
        <v>17400</v>
      </c>
      <c r="S184" s="9">
        <f>IFERROR(VLOOKUP(Tabla13[[#This Row],[Material]],[4]Hoja1!$B:$C,2,FALSE),0)</f>
        <v>3333.3333333333335</v>
      </c>
      <c r="T184" s="5">
        <f t="shared" si="5"/>
        <v>0</v>
      </c>
      <c r="U184" s="3">
        <f>+Tabla13[[#This Row],[Total disponible]]-Tabla13[[#This Row],[Atraso a facturar]]</f>
        <v>-1974.3243713186548</v>
      </c>
      <c r="V184" s="6">
        <f t="shared" si="4"/>
        <v>0</v>
      </c>
      <c r="W184" s="3" t="str">
        <f>IF(Tabla13[[#This Row],[Venta del mes]]&gt;Tabla13[[#This Row],[ RV  Venta mes n+1]],"Falta venta","-")</f>
        <v>-</v>
      </c>
      <c r="X184" s="7"/>
      <c r="Y184" s="18">
        <v>0</v>
      </c>
      <c r="Z184" s="5">
        <f>+Tabla13[[#This Row],[Atraso a facturar]]+Tabla13[[#This Row],[Venta del mes]]+Tabla13[[#This Row],[Ajuste]]</f>
        <v>0</v>
      </c>
      <c r="AA184" s="6">
        <f>+Tabla13[[#This Row],[Atraso a facturar]]+Tabla13[[#This Row],[Venta del mes]]+Tabla13[[#This Row],[En puerto a facturar]]</f>
        <v>0</v>
      </c>
      <c r="AB184" s="20">
        <f>IFERROR(VLOOKUP(Tabla13[[#This Row],[Llave]],'[5]Consolidación planes'!$A:$M,9,FALSE),0)</f>
        <v>1250</v>
      </c>
      <c r="AC184" s="20">
        <f>IFERROR(VLOOKUP(Tabla13[[#This Row],[Llave]],'[5]Consolidación planes'!$A:$M,10,FALSE),0)</f>
        <v>5000</v>
      </c>
      <c r="AD184" s="20">
        <f>IFERROR(VLOOKUP(Tabla13[[#This Row],[Llave]],'[5]Consolidación planes'!$A:$M,11,FALSE),0)</f>
        <v>5000</v>
      </c>
      <c r="AE184" s="20">
        <f>IFERROR(VLOOKUP(Tabla13[[#This Row],[Llave]],'[5]Consolidación planes'!$A:$M,12,FALSE),0)</f>
        <v>60000</v>
      </c>
      <c r="AF184" s="20">
        <f>IFERROR(VLOOKUP(Tabla13[[#This Row],[Llave]],'[5]Consolidación planes'!$A:$M,13,FALSE),0)</f>
        <v>10000</v>
      </c>
    </row>
    <row r="185" spans="2:32" ht="16" hidden="1" x14ac:dyDescent="0.2">
      <c r="B185" t="str">
        <f>Tabla13[[#This Row],[Oficina]]&amp;Tabla13[[#This Row],[Material]]</f>
        <v>Exportacion Directa1021136</v>
      </c>
      <c r="C185" t="s">
        <v>6</v>
      </c>
      <c r="D185" t="s">
        <v>88</v>
      </c>
      <c r="E185">
        <v>1021136</v>
      </c>
      <c r="F185" t="s">
        <v>139</v>
      </c>
      <c r="G185" t="s">
        <v>76</v>
      </c>
      <c r="H185" t="s">
        <v>84</v>
      </c>
      <c r="I185" s="7">
        <f>IFERROR(VLOOKUP(Tabla13[[#This Row],[Llave]],'[1]Consolidado RV'!$B:$H,6,FALSE),0)</f>
        <v>3588.8983171</v>
      </c>
      <c r="J185" s="3">
        <f>IFERROR(VLOOKUP(Tabla13[[#This Row],[Llave]],'[1]Consolidado RV'!$B:$H,7,FALSE),0)</f>
        <v>1182.0783171000003</v>
      </c>
      <c r="K185" s="8">
        <f>IFERROR(VLOOKUP(Tabla13[[#This Row],[Oficina]],#REF!,2,FALSE),0)</f>
        <v>0</v>
      </c>
      <c r="L185" s="7">
        <f>+Tabla13[[#This Row],[ RV Producción mes n+1]]*Tabla13[[#This Row],[% Uti. producción]]</f>
        <v>0</v>
      </c>
      <c r="M185" s="7">
        <f>IFERROR(VLOOKUP(Tabla13[[#This Row],[Material]],#REF!,2,FALSE),0)</f>
        <v>0</v>
      </c>
      <c r="N185" s="7">
        <f>IFERROR(VLOOKUP(Tabla13[[#This Row],[Llave]],'En puerto-Programado'!A:D,4,FALSE)+VLOOKUP(Tabla13[[#This Row],[Llave]],'Por despachar'!A:F,6,FALSE),0)</f>
        <v>0</v>
      </c>
      <c r="O185" s="7">
        <f>IFERROR(VLOOKUP(Tabla13[[#This Row],[Material]],[2]Consolidado!$C:$D,2,FALSE),0)</f>
        <v>2343.2301886792457</v>
      </c>
      <c r="P185" s="7">
        <f>IFERROR(VLOOKUP(Tabla13[[#This Row],[Llave]],'Por despachar'!A:E,5,FALSE),0)</f>
        <v>0</v>
      </c>
      <c r="Q185" s="14">
        <f>SUM(Tabla13[[#This Row],[Producción disponible]],Tabla13[[#This Row],[Stock al día]],Tabla13[[#This Row],[Por producir Abr.]])-SUM(Tabla13[[#This Row],[Stock por despachar N]],Tabla13[[#This Row],[Producción por despachar mes N]])</f>
        <v>2343.2301886792457</v>
      </c>
      <c r="R185" s="7">
        <f>IFERROR(VLOOKUP(Tabla13[[#This Row],[Llave]],[3]Hoja2!$A:$D,4,FALSE),0)</f>
        <v>8000</v>
      </c>
      <c r="S185" s="9">
        <f>IFERROR(VLOOKUP(Tabla13[[#This Row],[Material]],[4]Hoja1!$B:$C,2,FALSE),0)</f>
        <v>2666.6666666666665</v>
      </c>
      <c r="T185" s="5">
        <f t="shared" si="5"/>
        <v>0</v>
      </c>
      <c r="U185" s="3">
        <f>+Tabla13[[#This Row],[Total disponible]]-Tabla13[[#This Row],[Atraso a facturar]]</f>
        <v>2343.2301886792457</v>
      </c>
      <c r="V185" s="6">
        <f t="shared" si="4"/>
        <v>0</v>
      </c>
      <c r="W185" s="3" t="str">
        <f>IF(Tabla13[[#This Row],[Venta del mes]]&gt;Tabla13[[#This Row],[ RV  Venta mes n+1]],"Falta venta","-")</f>
        <v>-</v>
      </c>
      <c r="X185" s="7"/>
      <c r="Y185" s="18">
        <v>0</v>
      </c>
      <c r="Z185" s="5">
        <f>+Tabla13[[#This Row],[Atraso a facturar]]+Tabla13[[#This Row],[Venta del mes]]+Tabla13[[#This Row],[Ajuste]]</f>
        <v>0</v>
      </c>
      <c r="AA185" s="6">
        <f>+Tabla13[[#This Row],[Atraso a facturar]]+Tabla13[[#This Row],[Venta del mes]]+Tabla13[[#This Row],[En puerto a facturar]]</f>
        <v>0</v>
      </c>
      <c r="AB185" s="20">
        <f>IFERROR(VLOOKUP(Tabla13[[#This Row],[Llave]],'[5]Consolidación planes'!$A:$M,9,FALSE),0)</f>
        <v>5000</v>
      </c>
      <c r="AC185" s="20">
        <f>IFERROR(VLOOKUP(Tabla13[[#This Row],[Llave]],'[5]Consolidación planes'!$A:$M,10,FALSE),0)</f>
        <v>3000</v>
      </c>
      <c r="AD185" s="20">
        <f>IFERROR(VLOOKUP(Tabla13[[#This Row],[Llave]],'[5]Consolidación planes'!$A:$M,11,FALSE),0)</f>
        <v>4000</v>
      </c>
      <c r="AE185" s="20">
        <f>IFERROR(VLOOKUP(Tabla13[[#This Row],[Llave]],'[5]Consolidación planes'!$A:$M,12,FALSE),0)</f>
        <v>5000</v>
      </c>
      <c r="AF185" s="20">
        <f>IFERROR(VLOOKUP(Tabla13[[#This Row],[Llave]],'[5]Consolidación planes'!$A:$M,13,FALSE),0)</f>
        <v>7200</v>
      </c>
    </row>
    <row r="186" spans="2:32" ht="16" hidden="1" x14ac:dyDescent="0.2">
      <c r="B186" t="str">
        <f>Tabla13[[#This Row],[Oficina]]&amp;Tabla13[[#This Row],[Material]]</f>
        <v>Exportacion Directa1021533</v>
      </c>
      <c r="C186" t="s">
        <v>6</v>
      </c>
      <c r="D186" t="s">
        <v>88</v>
      </c>
      <c r="E186">
        <v>1021533</v>
      </c>
      <c r="F186" t="s">
        <v>124</v>
      </c>
      <c r="G186" t="s">
        <v>56</v>
      </c>
      <c r="H186" t="s">
        <v>57</v>
      </c>
      <c r="I186" s="7">
        <f>IFERROR(VLOOKUP(Tabla13[[#This Row],[Llave]],'[1]Consolidado RV'!$B:$H,6,FALSE),0)</f>
        <v>0</v>
      </c>
      <c r="J186" s="3">
        <f>IFERROR(VLOOKUP(Tabla13[[#This Row],[Llave]],'[1]Consolidado RV'!$B:$H,7,FALSE),0)</f>
        <v>0</v>
      </c>
      <c r="K186" s="8">
        <f>IFERROR(VLOOKUP(Tabla13[[#This Row],[Oficina]],#REF!,2,FALSE),0)</f>
        <v>0</v>
      </c>
      <c r="L186" s="7">
        <f>+Tabla13[[#This Row],[ RV Producción mes n+1]]*Tabla13[[#This Row],[% Uti. producción]]</f>
        <v>0</v>
      </c>
      <c r="M186" s="7">
        <f>IFERROR(VLOOKUP(Tabla13[[#This Row],[Material]],#REF!,2,FALSE),0)</f>
        <v>0</v>
      </c>
      <c r="N186" s="7">
        <f>IFERROR(VLOOKUP(Tabla13[[#This Row],[Llave]],'En puerto-Programado'!A:D,4,FALSE)+VLOOKUP(Tabla13[[#This Row],[Llave]],'Por despachar'!A:F,6,FALSE),0)</f>
        <v>7607.2072855310917</v>
      </c>
      <c r="O186" s="7">
        <f>IFERROR(VLOOKUP(Tabla13[[#This Row],[Material]],[2]Consolidado!$C:$D,2,FALSE),0)</f>
        <v>0</v>
      </c>
      <c r="P186" s="7">
        <f>IFERROR(VLOOKUP(Tabla13[[#This Row],[Llave]],'Por despachar'!A:E,5,FALSE),0)</f>
        <v>0</v>
      </c>
      <c r="Q186" s="14">
        <f>SUM(Tabla13[[#This Row],[Producción disponible]],Tabla13[[#This Row],[Stock al día]],Tabla13[[#This Row],[Por producir Abr.]])-SUM(Tabla13[[#This Row],[Stock por despachar N]],Tabla13[[#This Row],[Producción por despachar mes N]])</f>
        <v>-7607.2072855310917</v>
      </c>
      <c r="R186" s="7">
        <f>IFERROR(VLOOKUP(Tabla13[[#This Row],[Llave]],[3]Hoja2!$A:$D,4,FALSE),0)</f>
        <v>10000</v>
      </c>
      <c r="S186" s="9">
        <f>IFERROR(VLOOKUP(Tabla13[[#This Row],[Material]],[4]Hoja1!$B:$C,2,FALSE),0)</f>
        <v>3000</v>
      </c>
      <c r="T186" s="5">
        <f t="shared" si="5"/>
        <v>-6000</v>
      </c>
      <c r="U186" s="3">
        <f>+Tabla13[[#This Row],[Total disponible]]-Tabla13[[#This Row],[Atraso a facturar]]</f>
        <v>-1607.2072855310917</v>
      </c>
      <c r="V186" s="6">
        <f t="shared" si="4"/>
        <v>0</v>
      </c>
      <c r="W186" s="3" t="str">
        <f>IF(Tabla13[[#This Row],[Venta del mes]]&gt;Tabla13[[#This Row],[ RV  Venta mes n+1]],"Falta venta","-")</f>
        <v>-</v>
      </c>
      <c r="X186" s="7"/>
      <c r="Y186" s="18">
        <v>0</v>
      </c>
      <c r="Z186" s="5">
        <f>+Tabla13[[#This Row],[Atraso a facturar]]+Tabla13[[#This Row],[Venta del mes]]+Tabla13[[#This Row],[Ajuste]]</f>
        <v>-6000</v>
      </c>
      <c r="AA186" s="6">
        <f>+Tabla13[[#This Row],[Atraso a facturar]]+Tabla13[[#This Row],[Venta del mes]]+Tabla13[[#This Row],[En puerto a facturar]]</f>
        <v>-6000</v>
      </c>
      <c r="AB186" s="20">
        <f>IFERROR(VLOOKUP(Tabla13[[#This Row],[Llave]],'[5]Consolidación planes'!$A:$M,9,FALSE),0)</f>
        <v>2000</v>
      </c>
      <c r="AC186" s="20">
        <f>IFERROR(VLOOKUP(Tabla13[[#This Row],[Llave]],'[5]Consolidación planes'!$A:$M,10,FALSE),0)</f>
        <v>18000</v>
      </c>
      <c r="AD186" s="20">
        <f>IFERROR(VLOOKUP(Tabla13[[#This Row],[Llave]],'[5]Consolidación planes'!$A:$M,11,FALSE),0)</f>
        <v>15000</v>
      </c>
      <c r="AE186" s="20">
        <f>IFERROR(VLOOKUP(Tabla13[[#This Row],[Llave]],'[5]Consolidación planes'!$A:$M,12,FALSE),0)</f>
        <v>10000</v>
      </c>
      <c r="AF186" s="20">
        <f>IFERROR(VLOOKUP(Tabla13[[#This Row],[Llave]],'[5]Consolidación planes'!$A:$M,13,FALSE),0)</f>
        <v>15400</v>
      </c>
    </row>
    <row r="187" spans="2:32" ht="16" hidden="1" x14ac:dyDescent="0.2">
      <c r="B187" t="str">
        <f>Tabla13[[#This Row],[Oficina]]&amp;Tabla13[[#This Row],[Material]]</f>
        <v>Exportacion Directa1021603</v>
      </c>
      <c r="C187" t="s">
        <v>6</v>
      </c>
      <c r="D187" t="s">
        <v>88</v>
      </c>
      <c r="E187">
        <v>1021603</v>
      </c>
      <c r="F187" t="s">
        <v>107</v>
      </c>
      <c r="G187" t="s">
        <v>50</v>
      </c>
      <c r="H187" t="s">
        <v>103</v>
      </c>
      <c r="I187" s="7">
        <f>IFERROR(VLOOKUP(Tabla13[[#This Row],[Llave]],'[1]Consolidado RV'!$B:$H,6,FALSE),0)</f>
        <v>6435.3910989907417</v>
      </c>
      <c r="J187" s="3">
        <f>IFERROR(VLOOKUP(Tabla13[[#This Row],[Llave]],'[1]Consolidado RV'!$B:$H,7,FALSE),0)</f>
        <v>6999.9999700000008</v>
      </c>
      <c r="K187" s="8">
        <f>IFERROR(VLOOKUP(Tabla13[[#This Row],[Oficina]],#REF!,2,FALSE),0)</f>
        <v>0</v>
      </c>
      <c r="L187" s="7">
        <f>+Tabla13[[#This Row],[ RV Producción mes n+1]]*Tabla13[[#This Row],[% Uti. producción]]</f>
        <v>0</v>
      </c>
      <c r="M187" s="7">
        <f>IFERROR(VLOOKUP(Tabla13[[#This Row],[Material]],#REF!,2,FALSE),0)</f>
        <v>0</v>
      </c>
      <c r="N187" s="7">
        <f>IFERROR(VLOOKUP(Tabla13[[#This Row],[Llave]],'En puerto-Programado'!A:D,4,FALSE)+VLOOKUP(Tabla13[[#This Row],[Llave]],'Por despachar'!A:F,6,FALSE),0)</f>
        <v>15975.135299615293</v>
      </c>
      <c r="O187" s="7">
        <f>IFERROR(VLOOKUP(Tabla13[[#This Row],[Material]],[2]Consolidado!$C:$D,2,FALSE),0)</f>
        <v>2126.912601986784</v>
      </c>
      <c r="P187" s="7">
        <f>IFERROR(VLOOKUP(Tabla13[[#This Row],[Llave]],'Por despachar'!A:E,5,FALSE),0)</f>
        <v>0</v>
      </c>
      <c r="Q187" s="14">
        <f>SUM(Tabla13[[#This Row],[Producción disponible]],Tabla13[[#This Row],[Stock al día]],Tabla13[[#This Row],[Por producir Abr.]])-SUM(Tabla13[[#This Row],[Stock por despachar N]],Tabla13[[#This Row],[Producción por despachar mes N]])</f>
        <v>-13848.222697628509</v>
      </c>
      <c r="R187" s="7">
        <f>IFERROR(VLOOKUP(Tabla13[[#This Row],[Llave]],[3]Hoja2!$A:$D,4,FALSE),0)</f>
        <v>3500</v>
      </c>
      <c r="S187" s="9">
        <f>IFERROR(VLOOKUP(Tabla13[[#This Row],[Material]],[4]Hoja1!$B:$C,2,FALSE),0)</f>
        <v>5000</v>
      </c>
      <c r="T187" s="5">
        <f t="shared" si="5"/>
        <v>-10000</v>
      </c>
      <c r="U187" s="3">
        <f>+Tabla13[[#This Row],[Total disponible]]-Tabla13[[#This Row],[Atraso a facturar]]</f>
        <v>-3848.2226976285092</v>
      </c>
      <c r="V187" s="6">
        <f t="shared" si="4"/>
        <v>0</v>
      </c>
      <c r="W187" s="3" t="str">
        <f>IF(Tabla13[[#This Row],[Venta del mes]]&gt;Tabla13[[#This Row],[ RV  Venta mes n+1]],"Falta venta","-")</f>
        <v>-</v>
      </c>
      <c r="X187" s="7"/>
      <c r="Y187" s="18">
        <v>0</v>
      </c>
      <c r="Z187" s="5">
        <f>+Tabla13[[#This Row],[Atraso a facturar]]+Tabla13[[#This Row],[Venta del mes]]+Tabla13[[#This Row],[Ajuste]]</f>
        <v>-10000</v>
      </c>
      <c r="AA187" s="6">
        <f>+Tabla13[[#This Row],[Atraso a facturar]]+Tabla13[[#This Row],[Venta del mes]]+Tabla13[[#This Row],[En puerto a facturar]]</f>
        <v>-10000</v>
      </c>
      <c r="AB187" s="20">
        <f>IFERROR(VLOOKUP(Tabla13[[#This Row],[Llave]],'[5]Consolidación planes'!$A:$M,9,FALSE),0)</f>
        <v>5000</v>
      </c>
      <c r="AC187" s="20">
        <f>IFERROR(VLOOKUP(Tabla13[[#This Row],[Llave]],'[5]Consolidación planes'!$A:$M,10,FALSE),0)</f>
        <v>3000</v>
      </c>
      <c r="AD187" s="20">
        <f>IFERROR(VLOOKUP(Tabla13[[#This Row],[Llave]],'[5]Consolidación planes'!$A:$M,11,FALSE),0)</f>
        <v>4000</v>
      </c>
      <c r="AE187" s="20">
        <f>IFERROR(VLOOKUP(Tabla13[[#This Row],[Llave]],'[5]Consolidación planes'!$A:$M,12,FALSE),0)</f>
        <v>5000</v>
      </c>
      <c r="AF187" s="20">
        <f>IFERROR(VLOOKUP(Tabla13[[#This Row],[Llave]],'[5]Consolidación planes'!$A:$M,13,FALSE),0)</f>
        <v>7000</v>
      </c>
    </row>
    <row r="188" spans="2:32" ht="16" hidden="1" x14ac:dyDescent="0.2">
      <c r="B188" t="str">
        <f>Tabla13[[#This Row],[Oficina]]&amp;Tabla13[[#This Row],[Material]]</f>
        <v>Exportacion Directa1021609</v>
      </c>
      <c r="C188" t="s">
        <v>6</v>
      </c>
      <c r="D188" t="s">
        <v>88</v>
      </c>
      <c r="E188">
        <v>1021609</v>
      </c>
      <c r="F188" t="s">
        <v>90</v>
      </c>
      <c r="G188" t="s">
        <v>37</v>
      </c>
      <c r="H188" t="s">
        <v>38</v>
      </c>
      <c r="I188" s="7">
        <f>IFERROR(VLOOKUP(Tabla13[[#This Row],[Llave]],'[1]Consolidado RV'!$B:$H,6,FALSE),0)</f>
        <v>0</v>
      </c>
      <c r="J188" s="3">
        <f>IFERROR(VLOOKUP(Tabla13[[#This Row],[Llave]],'[1]Consolidado RV'!$B:$H,7,FALSE),0)</f>
        <v>0</v>
      </c>
      <c r="K188" s="8">
        <f>IFERROR(VLOOKUP(Tabla13[[#This Row],[Oficina]],#REF!,2,FALSE),0)</f>
        <v>0</v>
      </c>
      <c r="L188" s="7">
        <f>+Tabla13[[#This Row],[ RV Producción mes n+1]]*Tabla13[[#This Row],[% Uti. producción]]</f>
        <v>0</v>
      </c>
      <c r="M188" s="7">
        <f>IFERROR(VLOOKUP(Tabla13[[#This Row],[Material]],#REF!,2,FALSE),0)</f>
        <v>0</v>
      </c>
      <c r="N188" s="7">
        <f>IFERROR(VLOOKUP(Tabla13[[#This Row],[Llave]],'En puerto-Programado'!A:D,4,FALSE)+VLOOKUP(Tabla13[[#This Row],[Llave]],'Por despachar'!A:F,6,FALSE),0)</f>
        <v>0</v>
      </c>
      <c r="O188" s="7">
        <f>IFERROR(VLOOKUP(Tabla13[[#This Row],[Material]],[2]Consolidado!$C:$D,2,FALSE),0)</f>
        <v>0</v>
      </c>
      <c r="P188" s="7">
        <f>IFERROR(VLOOKUP(Tabla13[[#This Row],[Llave]],'Por despachar'!A:E,5,FALSE),0)</f>
        <v>0</v>
      </c>
      <c r="Q18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88" s="7">
        <f>IFERROR(VLOOKUP(Tabla13[[#This Row],[Llave]],[3]Hoja2!$A:$D,4,FALSE),0)</f>
        <v>30000</v>
      </c>
      <c r="S188" s="9">
        <f>IFERROR(VLOOKUP(Tabla13[[#This Row],[Material]],[4]Hoja1!$B:$C,2,FALSE),0)</f>
        <v>8000</v>
      </c>
      <c r="T188" s="5">
        <f t="shared" si="5"/>
        <v>0</v>
      </c>
      <c r="U188" s="3">
        <f>+Tabla13[[#This Row],[Total disponible]]-Tabla13[[#This Row],[Atraso a facturar]]</f>
        <v>0</v>
      </c>
      <c r="V188" s="6">
        <f t="shared" si="4"/>
        <v>0</v>
      </c>
      <c r="W188" s="3" t="str">
        <f>IF(Tabla13[[#This Row],[Venta del mes]]&gt;Tabla13[[#This Row],[ RV  Venta mes n+1]],"Falta venta","-")</f>
        <v>-</v>
      </c>
      <c r="X188" s="7"/>
      <c r="Y188" s="18">
        <v>0</v>
      </c>
      <c r="Z188" s="5">
        <f>+Tabla13[[#This Row],[Atraso a facturar]]+Tabla13[[#This Row],[Venta del mes]]+Tabla13[[#This Row],[Ajuste]]</f>
        <v>0</v>
      </c>
      <c r="AA188" s="6">
        <f>+Tabla13[[#This Row],[Atraso a facturar]]+Tabla13[[#This Row],[Venta del mes]]+Tabla13[[#This Row],[En puerto a facturar]]</f>
        <v>0</v>
      </c>
      <c r="AB188" s="20">
        <f>IFERROR(VLOOKUP(Tabla13[[#This Row],[Llave]],'[5]Consolidación planes'!$A:$M,9,FALSE),0)</f>
        <v>16500</v>
      </c>
      <c r="AC188" s="20">
        <f>IFERROR(VLOOKUP(Tabla13[[#This Row],[Llave]],'[5]Consolidación planes'!$A:$M,10,FALSE),0)</f>
        <v>6500</v>
      </c>
      <c r="AD188" s="20">
        <f>IFERROR(VLOOKUP(Tabla13[[#This Row],[Llave]],'[5]Consolidación planes'!$A:$M,11,FALSE),0)</f>
        <v>3000</v>
      </c>
      <c r="AE188" s="20">
        <f>IFERROR(VLOOKUP(Tabla13[[#This Row],[Llave]],'[5]Consolidación planes'!$A:$M,12,FALSE),0)</f>
        <v>5000</v>
      </c>
      <c r="AF188" s="20">
        <f>IFERROR(VLOOKUP(Tabla13[[#This Row],[Llave]],'[5]Consolidación planes'!$A:$M,13,FALSE),0)</f>
        <v>0</v>
      </c>
    </row>
    <row r="189" spans="2:32" ht="16" hidden="1" x14ac:dyDescent="0.2">
      <c r="B189" t="str">
        <f>Tabla13[[#This Row],[Oficina]]&amp;Tabla13[[#This Row],[Material]]</f>
        <v>Exportacion Directa1022282</v>
      </c>
      <c r="C189" t="s">
        <v>6</v>
      </c>
      <c r="D189" t="s">
        <v>88</v>
      </c>
      <c r="E189">
        <v>1022282</v>
      </c>
      <c r="F189" t="s">
        <v>137</v>
      </c>
      <c r="G189" t="s">
        <v>134</v>
      </c>
      <c r="H189" t="s">
        <v>135</v>
      </c>
      <c r="I189" s="7">
        <f>IFERROR(VLOOKUP(Tabla13[[#This Row],[Llave]],'[1]Consolidado RV'!$B:$H,6,FALSE),0)</f>
        <v>0</v>
      </c>
      <c r="J189" s="3">
        <f>IFERROR(VLOOKUP(Tabla13[[#This Row],[Llave]],'[1]Consolidado RV'!$B:$H,7,FALSE),0)</f>
        <v>0</v>
      </c>
      <c r="K189" s="8">
        <f>IFERROR(VLOOKUP(Tabla13[[#This Row],[Oficina]],#REF!,2,FALSE),0)</f>
        <v>0</v>
      </c>
      <c r="L189" s="7">
        <f>+Tabla13[[#This Row],[ RV Producción mes n+1]]*Tabla13[[#This Row],[% Uti. producción]]</f>
        <v>0</v>
      </c>
      <c r="M189" s="7">
        <f>IFERROR(VLOOKUP(Tabla13[[#This Row],[Material]],#REF!,2,FALSE),0)</f>
        <v>0</v>
      </c>
      <c r="N189" s="7">
        <f>IFERROR(VLOOKUP(Tabla13[[#This Row],[Llave]],'En puerto-Programado'!A:D,4,FALSE)+VLOOKUP(Tabla13[[#This Row],[Llave]],'Por despachar'!A:F,6,FALSE),0)</f>
        <v>0</v>
      </c>
      <c r="O189" s="7">
        <f>IFERROR(VLOOKUP(Tabla13[[#This Row],[Material]],[2]Consolidado!$C:$D,2,FALSE),0)</f>
        <v>0</v>
      </c>
      <c r="P189" s="7">
        <f>IFERROR(VLOOKUP(Tabla13[[#This Row],[Llave]],'Por despachar'!A:E,5,FALSE),0)</f>
        <v>0</v>
      </c>
      <c r="Q18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89" s="7">
        <f>IFERROR(VLOOKUP(Tabla13[[#This Row],[Llave]],[3]Hoja2!$A:$D,4,FALSE),0)</f>
        <v>2000</v>
      </c>
      <c r="S189" s="9">
        <f>IFERROR(VLOOKUP(Tabla13[[#This Row],[Material]],[4]Hoja1!$B:$C,2,FALSE),0)</f>
        <v>2000</v>
      </c>
      <c r="T189" s="5">
        <f t="shared" si="5"/>
        <v>0</v>
      </c>
      <c r="U189" s="3">
        <f>+Tabla13[[#This Row],[Total disponible]]-Tabla13[[#This Row],[Atraso a facturar]]</f>
        <v>0</v>
      </c>
      <c r="V189" s="6">
        <f t="shared" si="4"/>
        <v>0</v>
      </c>
      <c r="W189" s="3" t="str">
        <f>IF(Tabla13[[#This Row],[Venta del mes]]&gt;Tabla13[[#This Row],[ RV  Venta mes n+1]],"Falta venta","-")</f>
        <v>-</v>
      </c>
      <c r="X189" s="7"/>
      <c r="Y189" s="18">
        <v>0</v>
      </c>
      <c r="Z189" s="5">
        <f>+Tabla13[[#This Row],[Atraso a facturar]]+Tabla13[[#This Row],[Venta del mes]]+Tabla13[[#This Row],[Ajuste]]</f>
        <v>0</v>
      </c>
      <c r="AA189" s="6">
        <f>+Tabla13[[#This Row],[Atraso a facturar]]+Tabla13[[#This Row],[Venta del mes]]+Tabla13[[#This Row],[En puerto a facturar]]</f>
        <v>0</v>
      </c>
      <c r="AB189" s="20">
        <f>IFERROR(VLOOKUP(Tabla13[[#This Row],[Llave]],'[5]Consolidación planes'!$A:$M,9,FALSE),0)</f>
        <v>0</v>
      </c>
      <c r="AC189" s="20">
        <f>IFERROR(VLOOKUP(Tabla13[[#This Row],[Llave]],'[5]Consolidación planes'!$A:$M,10,FALSE),0)</f>
        <v>0</v>
      </c>
      <c r="AD189" s="20">
        <f>IFERROR(VLOOKUP(Tabla13[[#This Row],[Llave]],'[5]Consolidación planes'!$A:$M,11,FALSE),0)</f>
        <v>0</v>
      </c>
      <c r="AE189" s="20">
        <f>IFERROR(VLOOKUP(Tabla13[[#This Row],[Llave]],'[5]Consolidación planes'!$A:$M,12,FALSE),0)</f>
        <v>3000</v>
      </c>
      <c r="AF189" s="20">
        <f>IFERROR(VLOOKUP(Tabla13[[#This Row],[Llave]],'[5]Consolidación planes'!$A:$M,13,FALSE),0)</f>
        <v>2000</v>
      </c>
    </row>
    <row r="190" spans="2:32" ht="16" hidden="1" x14ac:dyDescent="0.2">
      <c r="B190" t="str">
        <f>Tabla13[[#This Row],[Oficina]]&amp;Tabla13[[#This Row],[Material]]</f>
        <v>Exportacion Directa1022313</v>
      </c>
      <c r="C190" t="s">
        <v>6</v>
      </c>
      <c r="D190" t="s">
        <v>88</v>
      </c>
      <c r="E190">
        <v>1022313</v>
      </c>
      <c r="F190" t="s">
        <v>96</v>
      </c>
      <c r="G190" t="s">
        <v>50</v>
      </c>
      <c r="H190" t="s">
        <v>95</v>
      </c>
      <c r="I190" s="7">
        <f>IFERROR(VLOOKUP(Tabla13[[#This Row],[Llave]],'[1]Consolidado RV'!$B:$H,6,FALSE),0)</f>
        <v>3037.7694000000001</v>
      </c>
      <c r="J190" s="3">
        <f>IFERROR(VLOOKUP(Tabla13[[#This Row],[Llave]],'[1]Consolidado RV'!$B:$H,7,FALSE),0)</f>
        <v>2000.0000404844095</v>
      </c>
      <c r="K190" s="8">
        <f>IFERROR(VLOOKUP(Tabla13[[#This Row],[Oficina]],#REF!,2,FALSE),0)</f>
        <v>0</v>
      </c>
      <c r="L190" s="7">
        <f>+Tabla13[[#This Row],[ RV Producción mes n+1]]*Tabla13[[#This Row],[% Uti. producción]]</f>
        <v>0</v>
      </c>
      <c r="M190" s="7">
        <f>IFERROR(VLOOKUP(Tabla13[[#This Row],[Material]],#REF!,2,FALSE),0)</f>
        <v>0</v>
      </c>
      <c r="N190" s="7">
        <f>IFERROR(VLOOKUP(Tabla13[[#This Row],[Llave]],'En puerto-Programado'!A:D,4,FALSE)+VLOOKUP(Tabla13[[#This Row],[Llave]],'Por despachar'!A:F,6,FALSE),0)</f>
        <v>6085.7658284248737</v>
      </c>
      <c r="O190" s="7">
        <f>IFERROR(VLOOKUP(Tabla13[[#This Row],[Material]],[2]Consolidado!$C:$D,2,FALSE),0)</f>
        <v>3830.4411688013397</v>
      </c>
      <c r="P190" s="7">
        <f>IFERROR(VLOOKUP(Tabla13[[#This Row],[Llave]],'Por despachar'!A:E,5,FALSE),0)</f>
        <v>0</v>
      </c>
      <c r="Q190" s="14">
        <f>SUM(Tabla13[[#This Row],[Producción disponible]],Tabla13[[#This Row],[Stock al día]],Tabla13[[#This Row],[Por producir Abr.]])-SUM(Tabla13[[#This Row],[Stock por despachar N]],Tabla13[[#This Row],[Producción por despachar mes N]])</f>
        <v>-2255.324659623534</v>
      </c>
      <c r="R190" s="7">
        <f>IFERROR(VLOOKUP(Tabla13[[#This Row],[Llave]],[3]Hoja2!$A:$D,4,FALSE),0)</f>
        <v>6000</v>
      </c>
      <c r="S190" s="9">
        <f>IFERROR(VLOOKUP(Tabla13[[#This Row],[Material]],[4]Hoja1!$B:$C,2,FALSE),0)</f>
        <v>2666.6666666666665</v>
      </c>
      <c r="T190" s="5">
        <f t="shared" si="5"/>
        <v>0</v>
      </c>
      <c r="U190" s="3">
        <f>+Tabla13[[#This Row],[Total disponible]]-Tabla13[[#This Row],[Atraso a facturar]]</f>
        <v>-2255.324659623534</v>
      </c>
      <c r="V190" s="6">
        <f t="shared" si="4"/>
        <v>0</v>
      </c>
      <c r="W190" s="3" t="str">
        <f>IF(Tabla13[[#This Row],[Venta del mes]]&gt;Tabla13[[#This Row],[ RV  Venta mes n+1]],"Falta venta","-")</f>
        <v>-</v>
      </c>
      <c r="X190" s="7"/>
      <c r="Y190" s="18">
        <v>0</v>
      </c>
      <c r="Z190" s="5">
        <f>+Tabla13[[#This Row],[Atraso a facturar]]+Tabla13[[#This Row],[Venta del mes]]+Tabla13[[#This Row],[Ajuste]]</f>
        <v>0</v>
      </c>
      <c r="AA190" s="6">
        <f>+Tabla13[[#This Row],[Atraso a facturar]]+Tabla13[[#This Row],[Venta del mes]]+Tabla13[[#This Row],[En puerto a facturar]]</f>
        <v>0</v>
      </c>
      <c r="AB190" s="20">
        <f>IFERROR(VLOOKUP(Tabla13[[#This Row],[Llave]],'[5]Consolidación planes'!$A:$M,9,FALSE),0)</f>
        <v>17750</v>
      </c>
      <c r="AC190" s="20">
        <f>IFERROR(VLOOKUP(Tabla13[[#This Row],[Llave]],'[5]Consolidación planes'!$A:$M,10,FALSE),0)</f>
        <v>9000</v>
      </c>
      <c r="AD190" s="20">
        <f>IFERROR(VLOOKUP(Tabla13[[#This Row],[Llave]],'[5]Consolidación planes'!$A:$M,11,FALSE),0)</f>
        <v>8000</v>
      </c>
      <c r="AE190" s="20">
        <f>IFERROR(VLOOKUP(Tabla13[[#This Row],[Llave]],'[5]Consolidación planes'!$A:$M,12,FALSE),0)</f>
        <v>7000</v>
      </c>
      <c r="AF190" s="20">
        <f>IFERROR(VLOOKUP(Tabla13[[#This Row],[Llave]],'[5]Consolidación planes'!$A:$M,13,FALSE),0)</f>
        <v>7000</v>
      </c>
    </row>
    <row r="191" spans="2:32" ht="16" hidden="1" x14ac:dyDescent="0.2">
      <c r="B191" t="str">
        <f>Tabla13[[#This Row],[Oficina]]&amp;Tabla13[[#This Row],[Material]]</f>
        <v>Exportacion Directa1022326</v>
      </c>
      <c r="C191" t="s">
        <v>6</v>
      </c>
      <c r="D191" t="s">
        <v>88</v>
      </c>
      <c r="E191">
        <v>1022326</v>
      </c>
      <c r="F191" t="s">
        <v>97</v>
      </c>
      <c r="G191" t="s">
        <v>50</v>
      </c>
      <c r="H191" t="s">
        <v>95</v>
      </c>
      <c r="I191" s="7">
        <f>IFERROR(VLOOKUP(Tabla13[[#This Row],[Llave]],'[1]Consolidado RV'!$B:$H,6,FALSE),0)</f>
        <v>25000</v>
      </c>
      <c r="J191" s="3">
        <f>IFERROR(VLOOKUP(Tabla13[[#This Row],[Llave]],'[1]Consolidado RV'!$B:$H,7,FALSE),0)</f>
        <v>17030.870999999992</v>
      </c>
      <c r="K191" s="8">
        <f>IFERROR(VLOOKUP(Tabla13[[#This Row],[Oficina]],#REF!,2,FALSE),0)</f>
        <v>0</v>
      </c>
      <c r="L191" s="7">
        <f>+Tabla13[[#This Row],[ RV Producción mes n+1]]*Tabla13[[#This Row],[% Uti. producción]]</f>
        <v>0</v>
      </c>
      <c r="M191" s="7">
        <f>IFERROR(VLOOKUP(Tabla13[[#This Row],[Material]],#REF!,2,FALSE),0)</f>
        <v>0</v>
      </c>
      <c r="N191" s="7">
        <f>IFERROR(VLOOKUP(Tabla13[[#This Row],[Llave]],'En puerto-Programado'!A:D,4,FALSE)+VLOOKUP(Tabla13[[#This Row],[Llave]],'Por despachar'!A:F,6,FALSE),0)</f>
        <v>22821.621856593276</v>
      </c>
      <c r="O191" s="7">
        <f>IFERROR(VLOOKUP(Tabla13[[#This Row],[Material]],[2]Consolidado!$C:$D,2,FALSE),0)</f>
        <v>0</v>
      </c>
      <c r="P191" s="7">
        <f>IFERROR(VLOOKUP(Tabla13[[#This Row],[Llave]],'Por despachar'!A:E,5,FALSE),0)</f>
        <v>0</v>
      </c>
      <c r="Q191" s="14">
        <f>SUM(Tabla13[[#This Row],[Producción disponible]],Tabla13[[#This Row],[Stock al día]],Tabla13[[#This Row],[Por producir Abr.]])-SUM(Tabla13[[#This Row],[Stock por despachar N]],Tabla13[[#This Row],[Producción por despachar mes N]])</f>
        <v>-22821.621856593276</v>
      </c>
      <c r="R191" s="7">
        <f>IFERROR(VLOOKUP(Tabla13[[#This Row],[Llave]],[3]Hoja2!$A:$D,4,FALSE),0)</f>
        <v>40000</v>
      </c>
      <c r="S191" s="9">
        <f>IFERROR(VLOOKUP(Tabla13[[#This Row],[Material]],[4]Hoja1!$B:$C,2,FALSE),0)</f>
        <v>5833.333333333333</v>
      </c>
      <c r="T191" s="5">
        <f t="shared" si="5"/>
        <v>-17500</v>
      </c>
      <c r="U191" s="3">
        <f>+Tabla13[[#This Row],[Total disponible]]-Tabla13[[#This Row],[Atraso a facturar]]</f>
        <v>-5321.6218565932759</v>
      </c>
      <c r="V191" s="6">
        <f t="shared" si="4"/>
        <v>0</v>
      </c>
      <c r="W191" s="3" t="str">
        <f>IF(Tabla13[[#This Row],[Venta del mes]]&gt;Tabla13[[#This Row],[ RV  Venta mes n+1]],"Falta venta","-")</f>
        <v>-</v>
      </c>
      <c r="X191" s="7"/>
      <c r="Y191" s="18">
        <v>0</v>
      </c>
      <c r="Z191" s="5">
        <f>+Tabla13[[#This Row],[Atraso a facturar]]+Tabla13[[#This Row],[Venta del mes]]+Tabla13[[#This Row],[Ajuste]]</f>
        <v>-17500</v>
      </c>
      <c r="AA191" s="6">
        <f>+Tabla13[[#This Row],[Atraso a facturar]]+Tabla13[[#This Row],[Venta del mes]]+Tabla13[[#This Row],[En puerto a facturar]]</f>
        <v>-17500</v>
      </c>
      <c r="AB191" s="20">
        <f>IFERROR(VLOOKUP(Tabla13[[#This Row],[Llave]],'[5]Consolidación planes'!$A:$M,9,FALSE),0)</f>
        <v>35000</v>
      </c>
      <c r="AC191" s="20">
        <f>IFERROR(VLOOKUP(Tabla13[[#This Row],[Llave]],'[5]Consolidación planes'!$A:$M,10,FALSE),0)</f>
        <v>23000</v>
      </c>
      <c r="AD191" s="20">
        <f>IFERROR(VLOOKUP(Tabla13[[#This Row],[Llave]],'[5]Consolidación planes'!$A:$M,11,FALSE),0)</f>
        <v>45000</v>
      </c>
      <c r="AE191" s="20">
        <f>IFERROR(VLOOKUP(Tabla13[[#This Row],[Llave]],'[5]Consolidación planes'!$A:$M,12,FALSE),0)</f>
        <v>30000</v>
      </c>
      <c r="AF191" s="20">
        <f>IFERROR(VLOOKUP(Tabla13[[#This Row],[Llave]],'[5]Consolidación planes'!$A:$M,13,FALSE),0)</f>
        <v>41343</v>
      </c>
    </row>
    <row r="192" spans="2:32" ht="16" hidden="1" x14ac:dyDescent="0.2">
      <c r="B192" t="str">
        <f>Tabla13[[#This Row],[Oficina]]&amp;Tabla13[[#This Row],[Material]]</f>
        <v>Exportacion Directa1022370</v>
      </c>
      <c r="C192" t="s">
        <v>6</v>
      </c>
      <c r="D192" t="s">
        <v>88</v>
      </c>
      <c r="E192">
        <v>1022370</v>
      </c>
      <c r="F192" t="s">
        <v>108</v>
      </c>
      <c r="G192" t="s">
        <v>50</v>
      </c>
      <c r="H192" t="s">
        <v>103</v>
      </c>
      <c r="I192" s="7">
        <f>IFERROR(VLOOKUP(Tabla13[[#This Row],[Llave]],'[1]Consolidado RV'!$B:$H,6,FALSE),0)</f>
        <v>40525.818919999998</v>
      </c>
      <c r="J192" s="3">
        <f>IFERROR(VLOOKUP(Tabla13[[#This Row],[Llave]],'[1]Consolidado RV'!$B:$H,7,FALSE),0)</f>
        <v>30168.779427788038</v>
      </c>
      <c r="K192" s="8">
        <f>IFERROR(VLOOKUP(Tabla13[[#This Row],[Oficina]],#REF!,2,FALSE),0)</f>
        <v>0</v>
      </c>
      <c r="L192" s="7">
        <f>+Tabla13[[#This Row],[ RV Producción mes n+1]]*Tabla13[[#This Row],[% Uti. producción]]</f>
        <v>0</v>
      </c>
      <c r="M192" s="7">
        <f>IFERROR(VLOOKUP(Tabla13[[#This Row],[Material]],#REF!,2,FALSE),0)</f>
        <v>0</v>
      </c>
      <c r="N192" s="7">
        <f>IFERROR(VLOOKUP(Tabla13[[#This Row],[Llave]],'En puerto-Programado'!A:D,4,FALSE)+VLOOKUP(Tabla13[[#This Row],[Llave]],'Por despachar'!A:F,6,FALSE),0)</f>
        <v>22821.621856593276</v>
      </c>
      <c r="O192" s="7">
        <f>IFERROR(VLOOKUP(Tabla13[[#This Row],[Material]],[2]Consolidado!$C:$D,2,FALSE),0)</f>
        <v>14280.377176204005</v>
      </c>
      <c r="P192" s="7">
        <f>IFERROR(VLOOKUP(Tabla13[[#This Row],[Llave]],'Por despachar'!A:E,5,FALSE),0)</f>
        <v>0</v>
      </c>
      <c r="Q192" s="14">
        <f>SUM(Tabla13[[#This Row],[Producción disponible]],Tabla13[[#This Row],[Stock al día]],Tabla13[[#This Row],[Por producir Abr.]])-SUM(Tabla13[[#This Row],[Stock por despachar N]],Tabla13[[#This Row],[Producción por despachar mes N]])</f>
        <v>-8541.2446803892708</v>
      </c>
      <c r="R192" s="7">
        <f>IFERROR(VLOOKUP(Tabla13[[#This Row],[Llave]],[3]Hoja2!$A:$D,4,FALSE),0)</f>
        <v>41000</v>
      </c>
      <c r="S192" s="9">
        <f>IFERROR(VLOOKUP(Tabla13[[#This Row],[Material]],[4]Hoja1!$B:$C,2,FALSE),0)</f>
        <v>2500</v>
      </c>
      <c r="T192" s="5">
        <f t="shared" si="5"/>
        <v>-7500</v>
      </c>
      <c r="U192" s="3">
        <f>+Tabla13[[#This Row],[Total disponible]]-Tabla13[[#This Row],[Atraso a facturar]]</f>
        <v>-1041.2446803892708</v>
      </c>
      <c r="V192" s="6">
        <f t="shared" si="4"/>
        <v>0</v>
      </c>
      <c r="W192" s="3" t="str">
        <f>IF(Tabla13[[#This Row],[Venta del mes]]&gt;Tabla13[[#This Row],[ RV  Venta mes n+1]],"Falta venta","-")</f>
        <v>-</v>
      </c>
      <c r="X192" s="7"/>
      <c r="Y192" s="18">
        <v>0</v>
      </c>
      <c r="Z192" s="5">
        <f>+Tabla13[[#This Row],[Atraso a facturar]]+Tabla13[[#This Row],[Venta del mes]]+Tabla13[[#This Row],[Ajuste]]</f>
        <v>-7500</v>
      </c>
      <c r="AA192" s="6">
        <f>+Tabla13[[#This Row],[Atraso a facturar]]+Tabla13[[#This Row],[Venta del mes]]+Tabla13[[#This Row],[En puerto a facturar]]</f>
        <v>-7500</v>
      </c>
      <c r="AB192" s="20">
        <f>IFERROR(VLOOKUP(Tabla13[[#This Row],[Llave]],'[5]Consolidación planes'!$A:$M,9,FALSE),0)</f>
        <v>30000</v>
      </c>
      <c r="AC192" s="20">
        <f>IFERROR(VLOOKUP(Tabla13[[#This Row],[Llave]],'[5]Consolidación planes'!$A:$M,10,FALSE),0)</f>
        <v>13000</v>
      </c>
      <c r="AD192" s="20">
        <f>IFERROR(VLOOKUP(Tabla13[[#This Row],[Llave]],'[5]Consolidación planes'!$A:$M,11,FALSE),0)</f>
        <v>18000</v>
      </c>
      <c r="AE192" s="20">
        <f>IFERROR(VLOOKUP(Tabla13[[#This Row],[Llave]],'[5]Consolidación planes'!$A:$M,12,FALSE),0)</f>
        <v>35000</v>
      </c>
      <c r="AF192" s="20">
        <f>IFERROR(VLOOKUP(Tabla13[[#This Row],[Llave]],'[5]Consolidación planes'!$A:$M,13,FALSE),0)</f>
        <v>30000</v>
      </c>
    </row>
    <row r="193" spans="2:32" ht="16" hidden="1" x14ac:dyDescent="0.2">
      <c r="B193" t="str">
        <f>Tabla13[[#This Row],[Oficina]]&amp;Tabla13[[#This Row],[Material]]</f>
        <v>Exportacion Directa1022371</v>
      </c>
      <c r="C193" t="s">
        <v>6</v>
      </c>
      <c r="D193" t="s">
        <v>88</v>
      </c>
      <c r="E193">
        <v>1022371</v>
      </c>
      <c r="F193" t="s">
        <v>125</v>
      </c>
      <c r="G193" t="s">
        <v>56</v>
      </c>
      <c r="H193" t="s">
        <v>57</v>
      </c>
      <c r="I193" s="7">
        <f>IFERROR(VLOOKUP(Tabla13[[#This Row],[Llave]],'[1]Consolidado RV'!$B:$H,6,FALSE),0)</f>
        <v>0</v>
      </c>
      <c r="J193" s="3">
        <f>IFERROR(VLOOKUP(Tabla13[[#This Row],[Llave]],'[1]Consolidado RV'!$B:$H,7,FALSE),0)</f>
        <v>8000</v>
      </c>
      <c r="K193" s="8">
        <f>IFERROR(VLOOKUP(Tabla13[[#This Row],[Oficina]],#REF!,2,FALSE),0)</f>
        <v>0</v>
      </c>
      <c r="L193" s="7">
        <f>+Tabla13[[#This Row],[ RV Producción mes n+1]]*Tabla13[[#This Row],[% Uti. producción]]</f>
        <v>0</v>
      </c>
      <c r="M193" s="7">
        <f>IFERROR(VLOOKUP(Tabla13[[#This Row],[Material]],#REF!,2,FALSE),0)</f>
        <v>0</v>
      </c>
      <c r="N193" s="7">
        <f>IFERROR(VLOOKUP(Tabla13[[#This Row],[Llave]],'En puerto-Programado'!A:D,4,FALSE)+VLOOKUP(Tabla13[[#This Row],[Llave]],'Por despachar'!A:F,6,FALSE),0)</f>
        <v>13692.973113955964</v>
      </c>
      <c r="O193" s="7">
        <f>IFERROR(VLOOKUP(Tabla13[[#This Row],[Material]],[2]Consolidado!$C:$D,2,FALSE),0)</f>
        <v>10405.308138472534</v>
      </c>
      <c r="P193" s="7">
        <f>IFERROR(VLOOKUP(Tabla13[[#This Row],[Llave]],'Por despachar'!A:E,5,FALSE),0)</f>
        <v>0</v>
      </c>
      <c r="Q193" s="14">
        <f>SUM(Tabla13[[#This Row],[Producción disponible]],Tabla13[[#This Row],[Stock al día]],Tabla13[[#This Row],[Por producir Abr.]])-SUM(Tabla13[[#This Row],[Stock por despachar N]],Tabla13[[#This Row],[Producción por despachar mes N]])</f>
        <v>-3287.6649754834307</v>
      </c>
      <c r="R193" s="7">
        <f>IFERROR(VLOOKUP(Tabla13[[#This Row],[Llave]],[3]Hoja2!$A:$D,4,FALSE),0)</f>
        <v>9000</v>
      </c>
      <c r="S193" s="9">
        <f>IFERROR(VLOOKUP(Tabla13[[#This Row],[Material]],[4]Hoja1!$B:$C,2,FALSE),0)</f>
        <v>3900</v>
      </c>
      <c r="T193" s="5">
        <f t="shared" si="5"/>
        <v>0</v>
      </c>
      <c r="U193" s="3">
        <f>+Tabla13[[#This Row],[Total disponible]]-Tabla13[[#This Row],[Atraso a facturar]]</f>
        <v>-3287.6649754834307</v>
      </c>
      <c r="V193" s="6">
        <f t="shared" si="4"/>
        <v>0</v>
      </c>
      <c r="W193" s="3" t="str">
        <f>IF(Tabla13[[#This Row],[Venta del mes]]&gt;Tabla13[[#This Row],[ RV  Venta mes n+1]],"Falta venta","-")</f>
        <v>-</v>
      </c>
      <c r="X193" s="7"/>
      <c r="Y193" s="18">
        <v>0</v>
      </c>
      <c r="Z193" s="5">
        <f>+Tabla13[[#This Row],[Atraso a facturar]]+Tabla13[[#This Row],[Venta del mes]]+Tabla13[[#This Row],[Ajuste]]</f>
        <v>0</v>
      </c>
      <c r="AA193" s="6">
        <f>+Tabla13[[#This Row],[Atraso a facturar]]+Tabla13[[#This Row],[Venta del mes]]+Tabla13[[#This Row],[En puerto a facturar]]</f>
        <v>0</v>
      </c>
      <c r="AB193" s="20">
        <f>IFERROR(VLOOKUP(Tabla13[[#This Row],[Llave]],'[5]Consolidación planes'!$A:$M,9,FALSE),0)</f>
        <v>15000</v>
      </c>
      <c r="AC193" s="20">
        <f>IFERROR(VLOOKUP(Tabla13[[#This Row],[Llave]],'[5]Consolidación planes'!$A:$M,10,FALSE),0)</f>
        <v>30000</v>
      </c>
      <c r="AD193" s="20">
        <f>IFERROR(VLOOKUP(Tabla13[[#This Row],[Llave]],'[5]Consolidación planes'!$A:$M,11,FALSE),0)</f>
        <v>25000</v>
      </c>
      <c r="AE193" s="20">
        <f>IFERROR(VLOOKUP(Tabla13[[#This Row],[Llave]],'[5]Consolidación planes'!$A:$M,12,FALSE),0)</f>
        <v>22000</v>
      </c>
      <c r="AF193" s="20">
        <f>IFERROR(VLOOKUP(Tabla13[[#This Row],[Llave]],'[5]Consolidación planes'!$A:$M,13,FALSE),0)</f>
        <v>12000</v>
      </c>
    </row>
    <row r="194" spans="2:32" ht="16" hidden="1" x14ac:dyDescent="0.2">
      <c r="B194" t="str">
        <f>Tabla13[[#This Row],[Oficina]]&amp;Tabla13[[#This Row],[Material]]</f>
        <v>Exportacion Directa1022472</v>
      </c>
      <c r="C194" t="s">
        <v>6</v>
      </c>
      <c r="D194" t="s">
        <v>88</v>
      </c>
      <c r="E194">
        <v>1022472</v>
      </c>
      <c r="F194" t="s">
        <v>102</v>
      </c>
      <c r="G194" t="s">
        <v>50</v>
      </c>
      <c r="H194" t="s">
        <v>51</v>
      </c>
      <c r="I194" s="7">
        <f>IFERROR(VLOOKUP(Tabla13[[#This Row],[Llave]],'[1]Consolidado RV'!$B:$H,6,FALSE),0)</f>
        <v>16865.453099999999</v>
      </c>
      <c r="J194" s="3">
        <f>IFERROR(VLOOKUP(Tabla13[[#This Row],[Llave]],'[1]Consolidado RV'!$B:$H,7,FALSE),0)</f>
        <v>15000.000031731368</v>
      </c>
      <c r="K194" s="8">
        <f>IFERROR(VLOOKUP(Tabla13[[#This Row],[Oficina]],#REF!,2,FALSE),0)</f>
        <v>0</v>
      </c>
      <c r="L194" s="7">
        <f>+Tabla13[[#This Row],[ RV Producción mes n+1]]*Tabla13[[#This Row],[% Uti. producción]]</f>
        <v>0</v>
      </c>
      <c r="M194" s="7">
        <f>IFERROR(VLOOKUP(Tabla13[[#This Row],[Material]],#REF!,2,FALSE),0)</f>
        <v>0</v>
      </c>
      <c r="N194" s="7">
        <f>IFERROR(VLOOKUP(Tabla13[[#This Row],[Llave]],'En puerto-Programado'!A:D,4,FALSE)+VLOOKUP(Tabla13[[#This Row],[Llave]],'Por despachar'!A:F,6,FALSE),0)</f>
        <v>12171.531656849747</v>
      </c>
      <c r="O194" s="7">
        <f>IFERROR(VLOOKUP(Tabla13[[#This Row],[Material]],[2]Consolidado!$C:$D,2,FALSE),0)</f>
        <v>5734.4686518296758</v>
      </c>
      <c r="P194" s="7">
        <f>IFERROR(VLOOKUP(Tabla13[[#This Row],[Llave]],'Por despachar'!A:E,5,FALSE),0)</f>
        <v>0</v>
      </c>
      <c r="Q194" s="14">
        <f>SUM(Tabla13[[#This Row],[Producción disponible]],Tabla13[[#This Row],[Stock al día]],Tabla13[[#This Row],[Por producir Abr.]])-SUM(Tabla13[[#This Row],[Stock por despachar N]],Tabla13[[#This Row],[Producción por despachar mes N]])</f>
        <v>-6437.0630050200716</v>
      </c>
      <c r="R194" s="7">
        <f>IFERROR(VLOOKUP(Tabla13[[#This Row],[Llave]],[3]Hoja2!$A:$D,4,FALSE),0)</f>
        <v>18000</v>
      </c>
      <c r="S194" s="9">
        <f>IFERROR(VLOOKUP(Tabla13[[#This Row],[Material]],[4]Hoja1!$B:$C,2,FALSE),0)</f>
        <v>2500</v>
      </c>
      <c r="T194" s="5">
        <f t="shared" si="5"/>
        <v>-5000</v>
      </c>
      <c r="U194" s="3">
        <f>+Tabla13[[#This Row],[Total disponible]]-Tabla13[[#This Row],[Atraso a facturar]]</f>
        <v>-1437.0630050200716</v>
      </c>
      <c r="V194" s="6">
        <f t="shared" si="4"/>
        <v>0</v>
      </c>
      <c r="W194" s="3" t="str">
        <f>IF(Tabla13[[#This Row],[Venta del mes]]&gt;Tabla13[[#This Row],[ RV  Venta mes n+1]],"Falta venta","-")</f>
        <v>-</v>
      </c>
      <c r="X194" s="7"/>
      <c r="Y194" s="18">
        <v>0</v>
      </c>
      <c r="Z194" s="5">
        <f>+Tabla13[[#This Row],[Atraso a facturar]]+Tabla13[[#This Row],[Venta del mes]]+Tabla13[[#This Row],[Ajuste]]</f>
        <v>-5000</v>
      </c>
      <c r="AA194" s="6">
        <f>+Tabla13[[#This Row],[Atraso a facturar]]+Tabla13[[#This Row],[Venta del mes]]+Tabla13[[#This Row],[En puerto a facturar]]</f>
        <v>-5000</v>
      </c>
      <c r="AB194" s="20">
        <f>IFERROR(VLOOKUP(Tabla13[[#This Row],[Llave]],'[5]Consolidación planes'!$A:$M,9,FALSE),0)</f>
        <v>7000</v>
      </c>
      <c r="AC194" s="20">
        <f>IFERROR(VLOOKUP(Tabla13[[#This Row],[Llave]],'[5]Consolidación planes'!$A:$M,10,FALSE),0)</f>
        <v>5000</v>
      </c>
      <c r="AD194" s="20">
        <f>IFERROR(VLOOKUP(Tabla13[[#This Row],[Llave]],'[5]Consolidación planes'!$A:$M,11,FALSE),0)</f>
        <v>3000</v>
      </c>
      <c r="AE194" s="20">
        <f>IFERROR(VLOOKUP(Tabla13[[#This Row],[Llave]],'[5]Consolidación planes'!$A:$M,12,FALSE),0)</f>
        <v>10000</v>
      </c>
      <c r="AF194" s="20">
        <f>IFERROR(VLOOKUP(Tabla13[[#This Row],[Llave]],'[5]Consolidación planes'!$A:$M,13,FALSE),0)</f>
        <v>4333</v>
      </c>
    </row>
    <row r="195" spans="2:32" ht="16" hidden="1" x14ac:dyDescent="0.2">
      <c r="B195" t="str">
        <f>Tabla13[[#This Row],[Oficina]]&amp;Tabla13[[#This Row],[Material]]</f>
        <v>Exportacion Directa1022499</v>
      </c>
      <c r="C195" t="s">
        <v>6</v>
      </c>
      <c r="D195" t="s">
        <v>88</v>
      </c>
      <c r="E195">
        <v>1022499</v>
      </c>
      <c r="F195" t="s">
        <v>114</v>
      </c>
      <c r="G195" t="s">
        <v>50</v>
      </c>
      <c r="H195" t="s">
        <v>110</v>
      </c>
      <c r="I195" s="7">
        <f>IFERROR(VLOOKUP(Tabla13[[#This Row],[Llave]],'[1]Consolidado RV'!$B:$H,6,FALSE),0)</f>
        <v>22930.225900000001</v>
      </c>
      <c r="J195" s="3">
        <f>IFERROR(VLOOKUP(Tabla13[[#This Row],[Llave]],'[1]Consolidado RV'!$B:$H,7,FALSE),0)</f>
        <v>21000.000002678993</v>
      </c>
      <c r="K195" s="8">
        <f>IFERROR(VLOOKUP(Tabla13[[#This Row],[Oficina]],#REF!,2,FALSE),0)</f>
        <v>0</v>
      </c>
      <c r="L195" s="7">
        <f>+Tabla13[[#This Row],[ RV Producción mes n+1]]*Tabla13[[#This Row],[% Uti. producción]]</f>
        <v>0</v>
      </c>
      <c r="M195" s="7">
        <f>IFERROR(VLOOKUP(Tabla13[[#This Row],[Material]],#REF!,2,FALSE),0)</f>
        <v>0</v>
      </c>
      <c r="N195" s="7">
        <f>IFERROR(VLOOKUP(Tabla13[[#This Row],[Llave]],'En puerto-Programado'!A:D,4,FALSE)+VLOOKUP(Tabla13[[#This Row],[Llave]],'Por despachar'!A:F,6,FALSE),0)</f>
        <v>13692.973113955964</v>
      </c>
      <c r="O195" s="7">
        <f>IFERROR(VLOOKUP(Tabla13[[#This Row],[Material]],[2]Consolidado!$C:$D,2,FALSE),0)</f>
        <v>8262.3219138842396</v>
      </c>
      <c r="P195" s="7">
        <f>IFERROR(VLOOKUP(Tabla13[[#This Row],[Llave]],'Por despachar'!A:E,5,FALSE),0)</f>
        <v>0</v>
      </c>
      <c r="Q195" s="14">
        <f>SUM(Tabla13[[#This Row],[Producción disponible]],Tabla13[[#This Row],[Stock al día]],Tabla13[[#This Row],[Por producir Abr.]])-SUM(Tabla13[[#This Row],[Stock por despachar N]],Tabla13[[#This Row],[Producción por despachar mes N]])</f>
        <v>-5430.6512000717248</v>
      </c>
      <c r="R195" s="7">
        <f>IFERROR(VLOOKUP(Tabla13[[#This Row],[Llave]],[3]Hoja2!$A:$D,4,FALSE),0)</f>
        <v>19500</v>
      </c>
      <c r="S195" s="9">
        <f>IFERROR(VLOOKUP(Tabla13[[#This Row],[Material]],[4]Hoja1!$B:$C,2,FALSE),0)</f>
        <v>2500</v>
      </c>
      <c r="T195" s="5">
        <f t="shared" si="5"/>
        <v>-5000</v>
      </c>
      <c r="U195" s="3">
        <f>+Tabla13[[#This Row],[Total disponible]]-Tabla13[[#This Row],[Atraso a facturar]]</f>
        <v>-430.65120007172482</v>
      </c>
      <c r="V195" s="6">
        <f t="shared" si="4"/>
        <v>0</v>
      </c>
      <c r="W195" s="3" t="str">
        <f>IF(Tabla13[[#This Row],[Venta del mes]]&gt;Tabla13[[#This Row],[ RV  Venta mes n+1]],"Falta venta","-")</f>
        <v>-</v>
      </c>
      <c r="X195" s="7"/>
      <c r="Y195" s="18">
        <v>0</v>
      </c>
      <c r="Z195" s="5">
        <f>+Tabla13[[#This Row],[Atraso a facturar]]+Tabla13[[#This Row],[Venta del mes]]+Tabla13[[#This Row],[Ajuste]]</f>
        <v>-5000</v>
      </c>
      <c r="AA195" s="6">
        <f>+Tabla13[[#This Row],[Atraso a facturar]]+Tabla13[[#This Row],[Venta del mes]]+Tabla13[[#This Row],[En puerto a facturar]]</f>
        <v>-5000</v>
      </c>
      <c r="AB195" s="20">
        <f>IFERROR(VLOOKUP(Tabla13[[#This Row],[Llave]],'[5]Consolidación planes'!$A:$M,9,FALSE),0)</f>
        <v>16000</v>
      </c>
      <c r="AC195" s="20">
        <f>IFERROR(VLOOKUP(Tabla13[[#This Row],[Llave]],'[5]Consolidación planes'!$A:$M,10,FALSE),0)</f>
        <v>3000</v>
      </c>
      <c r="AD195" s="20">
        <f>IFERROR(VLOOKUP(Tabla13[[#This Row],[Llave]],'[5]Consolidación planes'!$A:$M,11,FALSE),0)</f>
        <v>5000</v>
      </c>
      <c r="AE195" s="20">
        <f>IFERROR(VLOOKUP(Tabla13[[#This Row],[Llave]],'[5]Consolidación planes'!$A:$M,12,FALSE),0)</f>
        <v>20000</v>
      </c>
      <c r="AF195" s="20">
        <f>IFERROR(VLOOKUP(Tabla13[[#This Row],[Llave]],'[5]Consolidación planes'!$A:$M,13,FALSE),0)</f>
        <v>15000</v>
      </c>
    </row>
    <row r="196" spans="2:32" ht="16" hidden="1" x14ac:dyDescent="0.2">
      <c r="B196" t="str">
        <f>Tabla13[[#This Row],[Oficina]]&amp;Tabla13[[#This Row],[Material]]</f>
        <v>Exportacion Directa1022587</v>
      </c>
      <c r="C196" t="s">
        <v>6</v>
      </c>
      <c r="D196" t="s">
        <v>88</v>
      </c>
      <c r="E196">
        <v>1022587</v>
      </c>
      <c r="F196" t="s">
        <v>98</v>
      </c>
      <c r="G196" t="s">
        <v>50</v>
      </c>
      <c r="H196" t="s">
        <v>95</v>
      </c>
      <c r="I196" s="7">
        <f>IFERROR(VLOOKUP(Tabla13[[#This Row],[Llave]],'[1]Consolidado RV'!$B:$H,6,FALSE),0)</f>
        <v>1907.8879784578276</v>
      </c>
      <c r="J196" s="3">
        <f>IFERROR(VLOOKUP(Tabla13[[#This Row],[Llave]],'[1]Consolidado RV'!$B:$H,7,FALSE),0)</f>
        <v>3000</v>
      </c>
      <c r="K196" s="8">
        <f>IFERROR(VLOOKUP(Tabla13[[#This Row],[Oficina]],#REF!,2,FALSE),0)</f>
        <v>0</v>
      </c>
      <c r="L196" s="7">
        <f>+Tabla13[[#This Row],[ RV Producción mes n+1]]*Tabla13[[#This Row],[% Uti. producción]]</f>
        <v>0</v>
      </c>
      <c r="M196" s="7">
        <f>IFERROR(VLOOKUP(Tabla13[[#This Row],[Material]],#REF!,2,FALSE),0)</f>
        <v>0</v>
      </c>
      <c r="N196" s="7">
        <f>IFERROR(VLOOKUP(Tabla13[[#This Row],[Llave]],'En puerto-Programado'!A:D,4,FALSE)+VLOOKUP(Tabla13[[#This Row],[Llave]],'Por despachar'!A:F,6,FALSE),0)</f>
        <v>4564.3243713186548</v>
      </c>
      <c r="O196" s="7">
        <f>IFERROR(VLOOKUP(Tabla13[[#This Row],[Material]],[2]Consolidado!$C:$D,2,FALSE),0)</f>
        <v>1910.4553731537881</v>
      </c>
      <c r="P196" s="7">
        <f>IFERROR(VLOOKUP(Tabla13[[#This Row],[Llave]],'Por despachar'!A:E,5,FALSE),0)</f>
        <v>0</v>
      </c>
      <c r="Q196" s="14">
        <f>SUM(Tabla13[[#This Row],[Producción disponible]],Tabla13[[#This Row],[Stock al día]],Tabla13[[#This Row],[Por producir Abr.]])-SUM(Tabla13[[#This Row],[Stock por despachar N]],Tabla13[[#This Row],[Producción por despachar mes N]])</f>
        <v>-2653.8689981648668</v>
      </c>
      <c r="R196" s="7">
        <f>IFERROR(VLOOKUP(Tabla13[[#This Row],[Llave]],[3]Hoja2!$A:$D,4,FALSE),0)</f>
        <v>3000</v>
      </c>
      <c r="S196" s="9">
        <f>IFERROR(VLOOKUP(Tabla13[[#This Row],[Material]],[4]Hoja1!$B:$C,2,FALSE),0)</f>
        <v>3000</v>
      </c>
      <c r="T196" s="5">
        <f t="shared" si="5"/>
        <v>0</v>
      </c>
      <c r="U196" s="3">
        <f>+Tabla13[[#This Row],[Total disponible]]-Tabla13[[#This Row],[Atraso a facturar]]</f>
        <v>-2653.8689981648668</v>
      </c>
      <c r="V196" s="6">
        <f t="shared" si="4"/>
        <v>0</v>
      </c>
      <c r="W196" s="3" t="str">
        <f>IF(Tabla13[[#This Row],[Venta del mes]]&gt;Tabla13[[#This Row],[ RV  Venta mes n+1]],"Falta venta","-")</f>
        <v>-</v>
      </c>
      <c r="X196" s="7"/>
      <c r="Y196" s="18">
        <v>0</v>
      </c>
      <c r="Z196" s="5">
        <f>+Tabla13[[#This Row],[Atraso a facturar]]+Tabla13[[#This Row],[Venta del mes]]+Tabla13[[#This Row],[Ajuste]]</f>
        <v>0</v>
      </c>
      <c r="AA196" s="6">
        <f>+Tabla13[[#This Row],[Atraso a facturar]]+Tabla13[[#This Row],[Venta del mes]]+Tabla13[[#This Row],[En puerto a facturar]]</f>
        <v>0</v>
      </c>
      <c r="AB196" s="20">
        <f>IFERROR(VLOOKUP(Tabla13[[#This Row],[Llave]],'[5]Consolidación planes'!$A:$M,9,FALSE),0)</f>
        <v>5000</v>
      </c>
      <c r="AC196" s="20">
        <f>IFERROR(VLOOKUP(Tabla13[[#This Row],[Llave]],'[5]Consolidación planes'!$A:$M,10,FALSE),0)</f>
        <v>5000</v>
      </c>
      <c r="AD196" s="20">
        <f>IFERROR(VLOOKUP(Tabla13[[#This Row],[Llave]],'[5]Consolidación planes'!$A:$M,11,FALSE),0)</f>
        <v>5000</v>
      </c>
      <c r="AE196" s="20">
        <f>IFERROR(VLOOKUP(Tabla13[[#This Row],[Llave]],'[5]Consolidación planes'!$A:$M,12,FALSE),0)</f>
        <v>6000</v>
      </c>
      <c r="AF196" s="20">
        <f>IFERROR(VLOOKUP(Tabla13[[#This Row],[Llave]],'[5]Consolidación planes'!$A:$M,13,FALSE),0)</f>
        <v>3000</v>
      </c>
    </row>
    <row r="197" spans="2:32" ht="16" hidden="1" x14ac:dyDescent="0.2">
      <c r="B197" t="str">
        <f>Tabla13[[#This Row],[Oficina]]&amp;Tabla13[[#This Row],[Material]]</f>
        <v>Exportacion Directa1022600</v>
      </c>
      <c r="C197" t="s">
        <v>6</v>
      </c>
      <c r="D197" t="s">
        <v>88</v>
      </c>
      <c r="E197">
        <v>1022600</v>
      </c>
      <c r="F197" t="s">
        <v>115</v>
      </c>
      <c r="G197" t="s">
        <v>50</v>
      </c>
      <c r="H197" t="s">
        <v>110</v>
      </c>
      <c r="I197" s="7">
        <f>IFERROR(VLOOKUP(Tabla13[[#This Row],[Llave]],'[1]Consolidado RV'!$B:$H,6,FALSE),0)</f>
        <v>17739.38</v>
      </c>
      <c r="J197" s="3">
        <f>IFERROR(VLOOKUP(Tabla13[[#This Row],[Llave]],'[1]Consolidado RV'!$B:$H,7,FALSE),0)</f>
        <v>15000</v>
      </c>
      <c r="K197" s="8">
        <f>IFERROR(VLOOKUP(Tabla13[[#This Row],[Oficina]],#REF!,2,FALSE),0)</f>
        <v>0</v>
      </c>
      <c r="L197" s="7">
        <f>+Tabla13[[#This Row],[ RV Producción mes n+1]]*Tabla13[[#This Row],[% Uti. producción]]</f>
        <v>0</v>
      </c>
      <c r="M197" s="7">
        <f>IFERROR(VLOOKUP(Tabla13[[#This Row],[Material]],#REF!,2,FALSE),0)</f>
        <v>0</v>
      </c>
      <c r="N197" s="7">
        <f>IFERROR(VLOOKUP(Tabla13[[#This Row],[Llave]],'En puerto-Programado'!A:D,4,FALSE)+VLOOKUP(Tabla13[[#This Row],[Llave]],'Por despachar'!A:F,6,FALSE),0)</f>
        <v>0</v>
      </c>
      <c r="O197" s="7">
        <f>IFERROR(VLOOKUP(Tabla13[[#This Row],[Material]],[2]Consolidado!$C:$D,2,FALSE),0)</f>
        <v>0</v>
      </c>
      <c r="P197" s="7">
        <f>IFERROR(VLOOKUP(Tabla13[[#This Row],[Llave]],'Por despachar'!A:E,5,FALSE),0)</f>
        <v>0</v>
      </c>
      <c r="Q197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97" s="7">
        <f>IFERROR(VLOOKUP(Tabla13[[#This Row],[Llave]],[3]Hoja2!$A:$D,4,FALSE),0)</f>
        <v>20500</v>
      </c>
      <c r="S197" s="9">
        <f>IFERROR(VLOOKUP(Tabla13[[#This Row],[Material]],[4]Hoja1!$B:$C,2,FALSE),0)</f>
        <v>2166.6666666666665</v>
      </c>
      <c r="T197" s="5">
        <f t="shared" si="5"/>
        <v>0</v>
      </c>
      <c r="U197" s="3">
        <f>+Tabla13[[#This Row],[Total disponible]]-Tabla13[[#This Row],[Atraso a facturar]]</f>
        <v>0</v>
      </c>
      <c r="V197" s="6">
        <f t="shared" si="4"/>
        <v>0</v>
      </c>
      <c r="W197" s="3" t="str">
        <f>IF(Tabla13[[#This Row],[Venta del mes]]&gt;Tabla13[[#This Row],[ RV  Venta mes n+1]],"Falta venta","-")</f>
        <v>-</v>
      </c>
      <c r="X197" s="7"/>
      <c r="Y197" s="18">
        <v>0</v>
      </c>
      <c r="Z197" s="5">
        <f>+Tabla13[[#This Row],[Atraso a facturar]]+Tabla13[[#This Row],[Venta del mes]]+Tabla13[[#This Row],[Ajuste]]</f>
        <v>0</v>
      </c>
      <c r="AA197" s="6">
        <f>+Tabla13[[#This Row],[Atraso a facturar]]+Tabla13[[#This Row],[Venta del mes]]+Tabla13[[#This Row],[En puerto a facturar]]</f>
        <v>0</v>
      </c>
      <c r="AB197" s="20">
        <f>IFERROR(VLOOKUP(Tabla13[[#This Row],[Llave]],'[5]Consolidación planes'!$A:$M,9,FALSE),0)</f>
        <v>18000</v>
      </c>
      <c r="AC197" s="20">
        <f>IFERROR(VLOOKUP(Tabla13[[#This Row],[Llave]],'[5]Consolidación planes'!$A:$M,10,FALSE),0)</f>
        <v>3000</v>
      </c>
      <c r="AD197" s="20">
        <f>IFERROR(VLOOKUP(Tabla13[[#This Row],[Llave]],'[5]Consolidación planes'!$A:$M,11,FALSE),0)</f>
        <v>11000</v>
      </c>
      <c r="AE197" s="20">
        <f>IFERROR(VLOOKUP(Tabla13[[#This Row],[Llave]],'[5]Consolidación planes'!$A:$M,12,FALSE),0)</f>
        <v>20000</v>
      </c>
      <c r="AF197" s="20">
        <f>IFERROR(VLOOKUP(Tabla13[[#This Row],[Llave]],'[5]Consolidación planes'!$A:$M,13,FALSE),0)</f>
        <v>19625</v>
      </c>
    </row>
    <row r="198" spans="2:32" ht="16" hidden="1" x14ac:dyDescent="0.2">
      <c r="B198" t="str">
        <f>Tabla13[[#This Row],[Oficina]]&amp;Tabla13[[#This Row],[Material]]</f>
        <v>Exportacion Directa1022664</v>
      </c>
      <c r="C198" t="s">
        <v>6</v>
      </c>
      <c r="D198" t="s">
        <v>88</v>
      </c>
      <c r="E198">
        <v>1022664</v>
      </c>
      <c r="F198" t="s">
        <v>99</v>
      </c>
      <c r="G198" t="s">
        <v>50</v>
      </c>
      <c r="H198" t="s">
        <v>95</v>
      </c>
      <c r="I198" s="7">
        <f>IFERROR(VLOOKUP(Tabla13[[#This Row],[Llave]],'[1]Consolidado RV'!$B:$H,6,FALSE),0)</f>
        <v>18214.543015893356</v>
      </c>
      <c r="J198" s="3">
        <f>IFERROR(VLOOKUP(Tabla13[[#This Row],[Llave]],'[1]Consolidado RV'!$B:$H,7,FALSE),0)</f>
        <v>19999.999999999996</v>
      </c>
      <c r="K198" s="8">
        <f>IFERROR(VLOOKUP(Tabla13[[#This Row],[Oficina]],#REF!,2,FALSE),0)</f>
        <v>0</v>
      </c>
      <c r="L198" s="7">
        <f>+Tabla13[[#This Row],[ RV Producción mes n+1]]*Tabla13[[#This Row],[% Uti. producción]]</f>
        <v>0</v>
      </c>
      <c r="M198" s="7">
        <f>IFERROR(VLOOKUP(Tabla13[[#This Row],[Material]],#REF!,2,FALSE),0)</f>
        <v>0</v>
      </c>
      <c r="N198" s="7">
        <f>IFERROR(VLOOKUP(Tabla13[[#This Row],[Llave]],'En puerto-Programado'!A:D,4,FALSE)+VLOOKUP(Tabla13[[#This Row],[Llave]],'Por despachar'!A:F,6,FALSE),0)</f>
        <v>22821.621856593276</v>
      </c>
      <c r="O198" s="7">
        <f>IFERROR(VLOOKUP(Tabla13[[#This Row],[Material]],[2]Consolidado!$C:$D,2,FALSE),0)</f>
        <v>10452.322558378866</v>
      </c>
      <c r="P198" s="7">
        <f>IFERROR(VLOOKUP(Tabla13[[#This Row],[Llave]],'Por despachar'!A:E,5,FALSE),0)</f>
        <v>0</v>
      </c>
      <c r="Q198" s="14">
        <f>SUM(Tabla13[[#This Row],[Producción disponible]],Tabla13[[#This Row],[Stock al día]],Tabla13[[#This Row],[Por producir Abr.]])-SUM(Tabla13[[#This Row],[Stock por despachar N]],Tabla13[[#This Row],[Producción por despachar mes N]])</f>
        <v>-12369.29929821441</v>
      </c>
      <c r="R198" s="7">
        <f>IFERROR(VLOOKUP(Tabla13[[#This Row],[Llave]],[3]Hoja2!$A:$D,4,FALSE),0)</f>
        <v>39000</v>
      </c>
      <c r="S198" s="9">
        <f>IFERROR(VLOOKUP(Tabla13[[#This Row],[Material]],[4]Hoja1!$B:$C,2,FALSE),0)</f>
        <v>3333.3333333333335</v>
      </c>
      <c r="T198" s="5">
        <f t="shared" si="5"/>
        <v>-10000</v>
      </c>
      <c r="U198" s="3">
        <f>+Tabla13[[#This Row],[Total disponible]]-Tabla13[[#This Row],[Atraso a facturar]]</f>
        <v>-2369.2992982144096</v>
      </c>
      <c r="V198" s="6">
        <f t="shared" si="4"/>
        <v>0</v>
      </c>
      <c r="W198" s="3" t="str">
        <f>IF(Tabla13[[#This Row],[Venta del mes]]&gt;Tabla13[[#This Row],[ RV  Venta mes n+1]],"Falta venta","-")</f>
        <v>-</v>
      </c>
      <c r="X198" s="7"/>
      <c r="Y198" s="18">
        <v>0</v>
      </c>
      <c r="Z198" s="5">
        <f>+Tabla13[[#This Row],[Atraso a facturar]]+Tabla13[[#This Row],[Venta del mes]]+Tabla13[[#This Row],[Ajuste]]</f>
        <v>-10000</v>
      </c>
      <c r="AA198" s="6">
        <f>+Tabla13[[#This Row],[Atraso a facturar]]+Tabla13[[#This Row],[Venta del mes]]+Tabla13[[#This Row],[En puerto a facturar]]</f>
        <v>-10000</v>
      </c>
      <c r="AB198" s="20">
        <f>IFERROR(VLOOKUP(Tabla13[[#This Row],[Llave]],'[5]Consolidación planes'!$A:$M,9,FALSE),0)</f>
        <v>43000</v>
      </c>
      <c r="AC198" s="20">
        <f>IFERROR(VLOOKUP(Tabla13[[#This Row],[Llave]],'[5]Consolidación planes'!$A:$M,10,FALSE),0)</f>
        <v>23700</v>
      </c>
      <c r="AD198" s="20">
        <f>IFERROR(VLOOKUP(Tabla13[[#This Row],[Llave]],'[5]Consolidación planes'!$A:$M,11,FALSE),0)</f>
        <v>17000</v>
      </c>
      <c r="AE198" s="20">
        <f>IFERROR(VLOOKUP(Tabla13[[#This Row],[Llave]],'[5]Consolidación planes'!$A:$M,12,FALSE),0)</f>
        <v>30000</v>
      </c>
      <c r="AF198" s="20">
        <f>IFERROR(VLOOKUP(Tabla13[[#This Row],[Llave]],'[5]Consolidación planes'!$A:$M,13,FALSE),0)</f>
        <v>35000</v>
      </c>
    </row>
    <row r="199" spans="2:32" ht="16" hidden="1" x14ac:dyDescent="0.2">
      <c r="B199" t="str">
        <f>Tabla13[[#This Row],[Oficina]]&amp;Tabla13[[#This Row],[Material]]</f>
        <v>Exportacion Directa1022817</v>
      </c>
      <c r="C199" t="s">
        <v>6</v>
      </c>
      <c r="D199" t="s">
        <v>88</v>
      </c>
      <c r="E199">
        <v>1022817</v>
      </c>
      <c r="F199" t="s">
        <v>323</v>
      </c>
      <c r="G199" t="s">
        <v>266</v>
      </c>
      <c r="H199" t="s">
        <v>266</v>
      </c>
      <c r="I199" s="7">
        <f>IFERROR(VLOOKUP(Tabla13[[#This Row],[Llave]],'[1]Consolidado RV'!$B:$H,6,FALSE),0)</f>
        <v>0</v>
      </c>
      <c r="J199" s="3">
        <f>IFERROR(VLOOKUP(Tabla13[[#This Row],[Llave]],'[1]Consolidado RV'!$B:$H,7,FALSE),0)</f>
        <v>0</v>
      </c>
      <c r="K199" s="8">
        <f>IFERROR(VLOOKUP(Tabla13[[#This Row],[Oficina]],#REF!,2,FALSE),0)</f>
        <v>0</v>
      </c>
      <c r="L199" s="7">
        <f>+Tabla13[[#This Row],[ RV Producción mes n+1]]*Tabla13[[#This Row],[% Uti. producción]]</f>
        <v>0</v>
      </c>
      <c r="M199" s="7">
        <f>IFERROR(VLOOKUP(Tabla13[[#This Row],[Material]],#REF!,2,FALSE),0)</f>
        <v>0</v>
      </c>
      <c r="N199" s="7">
        <f>IFERROR(VLOOKUP(Tabla13[[#This Row],[Llave]],'En puerto-Programado'!A:D,4,FALSE)+VLOOKUP(Tabla13[[#This Row],[Llave]],'Por despachar'!A:F,6,FALSE),0)</f>
        <v>0</v>
      </c>
      <c r="O199" s="7">
        <f>IFERROR(VLOOKUP(Tabla13[[#This Row],[Material]],[2]Consolidado!$C:$D,2,FALSE),0)</f>
        <v>0</v>
      </c>
      <c r="P199" s="7">
        <f>IFERROR(VLOOKUP(Tabla13[[#This Row],[Llave]],'Por despachar'!A:E,5,FALSE),0)</f>
        <v>0</v>
      </c>
      <c r="Q19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199" s="7">
        <f>IFERROR(VLOOKUP(Tabla13[[#This Row],[Llave]],[3]Hoja2!$A:$D,4,FALSE),0)</f>
        <v>0</v>
      </c>
      <c r="S199" s="9">
        <f>IFERROR(VLOOKUP(Tabla13[[#This Row],[Material]],[4]Hoja1!$B:$C,2,FALSE),0)</f>
        <v>5000</v>
      </c>
      <c r="T199" s="5">
        <f t="shared" si="5"/>
        <v>0</v>
      </c>
      <c r="U199" s="3">
        <f>+Tabla13[[#This Row],[Total disponible]]-Tabla13[[#This Row],[Atraso a facturar]]</f>
        <v>0</v>
      </c>
      <c r="V199" s="6">
        <f t="shared" si="4"/>
        <v>0</v>
      </c>
      <c r="W199" s="3" t="str">
        <f>IF(Tabla13[[#This Row],[Venta del mes]]&gt;Tabla13[[#This Row],[ RV  Venta mes n+1]],"Falta venta","-")</f>
        <v>-</v>
      </c>
      <c r="X199" s="7"/>
      <c r="Y199" s="18">
        <v>0</v>
      </c>
      <c r="Z199" s="5">
        <f>+Tabla13[[#This Row],[Atraso a facturar]]+Tabla13[[#This Row],[Venta del mes]]+Tabla13[[#This Row],[Ajuste]]</f>
        <v>0</v>
      </c>
      <c r="AA199" s="6">
        <f>+Tabla13[[#This Row],[Atraso a facturar]]+Tabla13[[#This Row],[Venta del mes]]+Tabla13[[#This Row],[En puerto a facturar]]</f>
        <v>0</v>
      </c>
      <c r="AB199" s="20">
        <f>IFERROR(VLOOKUP(Tabla13[[#This Row],[Llave]],'[5]Consolidación planes'!$A:$M,9,FALSE),0)</f>
        <v>0</v>
      </c>
      <c r="AC199" s="20">
        <f>IFERROR(VLOOKUP(Tabla13[[#This Row],[Llave]],'[5]Consolidación planes'!$A:$M,10,FALSE),0)</f>
        <v>0</v>
      </c>
      <c r="AD199" s="20">
        <f>IFERROR(VLOOKUP(Tabla13[[#This Row],[Llave]],'[5]Consolidación planes'!$A:$M,11,FALSE),0)</f>
        <v>0</v>
      </c>
      <c r="AE199" s="20">
        <f>IFERROR(VLOOKUP(Tabla13[[#This Row],[Llave]],'[5]Consolidación planes'!$A:$M,12,FALSE),0)</f>
        <v>0</v>
      </c>
      <c r="AF199" s="20">
        <f>IFERROR(VLOOKUP(Tabla13[[#This Row],[Llave]],'[5]Consolidación planes'!$A:$M,13,FALSE),0)</f>
        <v>0</v>
      </c>
    </row>
    <row r="200" spans="2:32" ht="16" hidden="1" x14ac:dyDescent="0.2">
      <c r="B200" t="str">
        <f>Tabla13[[#This Row],[Oficina]]&amp;Tabla13[[#This Row],[Material]]</f>
        <v>Exportacion Directa1022869</v>
      </c>
      <c r="C200" t="s">
        <v>6</v>
      </c>
      <c r="D200" t="s">
        <v>88</v>
      </c>
      <c r="E200">
        <v>1022869</v>
      </c>
      <c r="F200" t="s">
        <v>94</v>
      </c>
      <c r="G200" t="s">
        <v>92</v>
      </c>
      <c r="H200" t="s">
        <v>93</v>
      </c>
      <c r="I200" s="7">
        <f>IFERROR(VLOOKUP(Tabla13[[#This Row],[Llave]],'[1]Consolidado RV'!$B:$H,6,FALSE),0)</f>
        <v>0</v>
      </c>
      <c r="J200" s="3">
        <f>IFERROR(VLOOKUP(Tabla13[[#This Row],[Llave]],'[1]Consolidado RV'!$B:$H,7,FALSE),0)</f>
        <v>0</v>
      </c>
      <c r="K200" s="8">
        <f>IFERROR(VLOOKUP(Tabla13[[#This Row],[Oficina]],#REF!,2,FALSE),0)</f>
        <v>0</v>
      </c>
      <c r="L200" s="7">
        <f>+Tabla13[[#This Row],[ RV Producción mes n+1]]*Tabla13[[#This Row],[% Uti. producción]]</f>
        <v>0</v>
      </c>
      <c r="M200" s="7">
        <f>IFERROR(VLOOKUP(Tabla13[[#This Row],[Material]],#REF!,2,FALSE),0)</f>
        <v>0</v>
      </c>
      <c r="N200" s="7">
        <f>IFERROR(VLOOKUP(Tabla13[[#This Row],[Llave]],'En puerto-Programado'!A:D,4,FALSE)+VLOOKUP(Tabla13[[#This Row],[Llave]],'Por despachar'!A:F,6,FALSE),0)</f>
        <v>0</v>
      </c>
      <c r="O200" s="7">
        <f>IFERROR(VLOOKUP(Tabla13[[#This Row],[Material]],[2]Consolidado!$C:$D,2,FALSE),0)</f>
        <v>0</v>
      </c>
      <c r="P200" s="7">
        <f>IFERROR(VLOOKUP(Tabla13[[#This Row],[Llave]],'Por despachar'!A:E,5,FALSE),0)</f>
        <v>0</v>
      </c>
      <c r="Q20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00" s="7">
        <f>IFERROR(VLOOKUP(Tabla13[[#This Row],[Llave]],[3]Hoja2!$A:$D,4,FALSE),0)</f>
        <v>0</v>
      </c>
      <c r="S200" s="9">
        <f>IFERROR(VLOOKUP(Tabla13[[#This Row],[Material]],[4]Hoja1!$B:$C,2,FALSE),0)</f>
        <v>800</v>
      </c>
      <c r="T200" s="5">
        <f t="shared" si="5"/>
        <v>0</v>
      </c>
      <c r="U200" s="3">
        <f>+Tabla13[[#This Row],[Total disponible]]-Tabla13[[#This Row],[Atraso a facturar]]</f>
        <v>0</v>
      </c>
      <c r="V200" s="6">
        <f t="shared" si="4"/>
        <v>0</v>
      </c>
      <c r="W200" s="3" t="str">
        <f>IF(Tabla13[[#This Row],[Venta del mes]]&gt;Tabla13[[#This Row],[ RV  Venta mes n+1]],"Falta venta","-")</f>
        <v>-</v>
      </c>
      <c r="X200" s="7"/>
      <c r="Y200" s="18">
        <v>0</v>
      </c>
      <c r="Z200" s="5">
        <f>+Tabla13[[#This Row],[Atraso a facturar]]+Tabla13[[#This Row],[Venta del mes]]+Tabla13[[#This Row],[Ajuste]]</f>
        <v>0</v>
      </c>
      <c r="AA200" s="6">
        <f>+Tabla13[[#This Row],[Atraso a facturar]]+Tabla13[[#This Row],[Venta del mes]]+Tabla13[[#This Row],[En puerto a facturar]]</f>
        <v>0</v>
      </c>
      <c r="AB200" s="20">
        <f>IFERROR(VLOOKUP(Tabla13[[#This Row],[Llave]],'[5]Consolidación planes'!$A:$M,9,FALSE),0)</f>
        <v>500</v>
      </c>
      <c r="AC200" s="20">
        <f>IFERROR(VLOOKUP(Tabla13[[#This Row],[Llave]],'[5]Consolidación planes'!$A:$M,10,FALSE),0)</f>
        <v>1300</v>
      </c>
      <c r="AD200" s="20">
        <f>IFERROR(VLOOKUP(Tabla13[[#This Row],[Llave]],'[5]Consolidación planes'!$A:$M,11,FALSE),0)</f>
        <v>2400</v>
      </c>
      <c r="AE200" s="20">
        <f>IFERROR(VLOOKUP(Tabla13[[#This Row],[Llave]],'[5]Consolidación planes'!$A:$M,12,FALSE),0)</f>
        <v>800</v>
      </c>
      <c r="AF200" s="20">
        <f>IFERROR(VLOOKUP(Tabla13[[#This Row],[Llave]],'[5]Consolidación planes'!$A:$M,13,FALSE),0)</f>
        <v>800</v>
      </c>
    </row>
    <row r="201" spans="2:32" ht="16" hidden="1" x14ac:dyDescent="0.2">
      <c r="B201" t="str">
        <f>Tabla13[[#This Row],[Oficina]]&amp;Tabla13[[#This Row],[Material]]</f>
        <v>Exportacion Directa1022901</v>
      </c>
      <c r="C201" t="s">
        <v>6</v>
      </c>
      <c r="D201" t="s">
        <v>88</v>
      </c>
      <c r="E201">
        <v>1022901</v>
      </c>
      <c r="F201" t="s">
        <v>126</v>
      </c>
      <c r="G201" t="s">
        <v>56</v>
      </c>
      <c r="H201" t="s">
        <v>57</v>
      </c>
      <c r="I201" s="7">
        <f>IFERROR(VLOOKUP(Tabla13[[#This Row],[Llave]],'[1]Consolidado RV'!$B:$H,6,FALSE),0)</f>
        <v>8391.4318227954209</v>
      </c>
      <c r="J201" s="3">
        <f>IFERROR(VLOOKUP(Tabla13[[#This Row],[Llave]],'[1]Consolidado RV'!$B:$H,7,FALSE),0)</f>
        <v>10000</v>
      </c>
      <c r="K201" s="8">
        <f>IFERROR(VLOOKUP(Tabla13[[#This Row],[Oficina]],#REF!,2,FALSE),0)</f>
        <v>0</v>
      </c>
      <c r="L201" s="7">
        <f>+Tabla13[[#This Row],[ RV Producción mes n+1]]*Tabla13[[#This Row],[% Uti. producción]]</f>
        <v>0</v>
      </c>
      <c r="M201" s="7">
        <f>IFERROR(VLOOKUP(Tabla13[[#This Row],[Material]],#REF!,2,FALSE),0)</f>
        <v>0</v>
      </c>
      <c r="N201" s="7">
        <f>IFERROR(VLOOKUP(Tabla13[[#This Row],[Llave]],'En puerto-Programado'!A:D,4,FALSE)+VLOOKUP(Tabla13[[#This Row],[Llave]],'Por despachar'!A:F,6,FALSE),0)</f>
        <v>12171.531656849747</v>
      </c>
      <c r="O201" s="7">
        <f>IFERROR(VLOOKUP(Tabla13[[#This Row],[Material]],[2]Consolidado!$C:$D,2,FALSE),0)</f>
        <v>0</v>
      </c>
      <c r="P201" s="7">
        <f>IFERROR(VLOOKUP(Tabla13[[#This Row],[Llave]],'Por despachar'!A:E,5,FALSE),0)</f>
        <v>0</v>
      </c>
      <c r="Q201" s="14">
        <f>SUM(Tabla13[[#This Row],[Producción disponible]],Tabla13[[#This Row],[Stock al día]],Tabla13[[#This Row],[Por producir Abr.]])-SUM(Tabla13[[#This Row],[Stock por despachar N]],Tabla13[[#This Row],[Producción por despachar mes N]])</f>
        <v>-12171.531656849747</v>
      </c>
      <c r="R201" s="7">
        <f>IFERROR(VLOOKUP(Tabla13[[#This Row],[Llave]],[3]Hoja2!$A:$D,4,FALSE),0)</f>
        <v>7000</v>
      </c>
      <c r="S201" s="9">
        <f>IFERROR(VLOOKUP(Tabla13[[#This Row],[Material]],[4]Hoja1!$B:$C,2,FALSE),0)</f>
        <v>5000</v>
      </c>
      <c r="T201" s="5">
        <f t="shared" si="5"/>
        <v>-10000</v>
      </c>
      <c r="U201" s="3">
        <f>+Tabla13[[#This Row],[Total disponible]]-Tabla13[[#This Row],[Atraso a facturar]]</f>
        <v>-2171.5316568497474</v>
      </c>
      <c r="V201" s="6">
        <f t="shared" si="4"/>
        <v>0</v>
      </c>
      <c r="W201" s="3" t="str">
        <f>IF(Tabla13[[#This Row],[Venta del mes]]&gt;Tabla13[[#This Row],[ RV  Venta mes n+1]],"Falta venta","-")</f>
        <v>-</v>
      </c>
      <c r="X201" s="7"/>
      <c r="Y201" s="18">
        <v>0</v>
      </c>
      <c r="Z201" s="5">
        <f>+Tabla13[[#This Row],[Atraso a facturar]]+Tabla13[[#This Row],[Venta del mes]]+Tabla13[[#This Row],[Ajuste]]</f>
        <v>-10000</v>
      </c>
      <c r="AA201" s="6">
        <f>+Tabla13[[#This Row],[Atraso a facturar]]+Tabla13[[#This Row],[Venta del mes]]+Tabla13[[#This Row],[En puerto a facturar]]</f>
        <v>-10000</v>
      </c>
      <c r="AB201" s="20">
        <f>IFERROR(VLOOKUP(Tabla13[[#This Row],[Llave]],'[5]Consolidación planes'!$A:$M,9,FALSE),0)</f>
        <v>15000</v>
      </c>
      <c r="AC201" s="20">
        <f>IFERROR(VLOOKUP(Tabla13[[#This Row],[Llave]],'[5]Consolidación planes'!$A:$M,10,FALSE),0)</f>
        <v>12000</v>
      </c>
      <c r="AD201" s="20">
        <f>IFERROR(VLOOKUP(Tabla13[[#This Row],[Llave]],'[5]Consolidación planes'!$A:$M,11,FALSE),0)</f>
        <v>13000</v>
      </c>
      <c r="AE201" s="20">
        <f>IFERROR(VLOOKUP(Tabla13[[#This Row],[Llave]],'[5]Consolidación planes'!$A:$M,12,FALSE),0)</f>
        <v>18000</v>
      </c>
      <c r="AF201" s="20">
        <f>IFERROR(VLOOKUP(Tabla13[[#This Row],[Llave]],'[5]Consolidación planes'!$A:$M,13,FALSE),0)</f>
        <v>18000</v>
      </c>
    </row>
    <row r="202" spans="2:32" ht="16" hidden="1" x14ac:dyDescent="0.2">
      <c r="B202" t="str">
        <f>Tabla13[[#This Row],[Oficina]]&amp;Tabla13[[#This Row],[Material]]</f>
        <v>Exportacion Directa1022919</v>
      </c>
      <c r="C202" t="s">
        <v>6</v>
      </c>
      <c r="D202" t="s">
        <v>88</v>
      </c>
      <c r="E202">
        <v>1022919</v>
      </c>
      <c r="F202" t="s">
        <v>109</v>
      </c>
      <c r="G202" t="s">
        <v>50</v>
      </c>
      <c r="H202" t="s">
        <v>103</v>
      </c>
      <c r="I202" s="7">
        <f>IFERROR(VLOOKUP(Tabla13[[#This Row],[Llave]],'[1]Consolidado RV'!$B:$H,6,FALSE),0)</f>
        <v>20195.896000000001</v>
      </c>
      <c r="J202" s="3">
        <f>IFERROR(VLOOKUP(Tabla13[[#This Row],[Llave]],'[1]Consolidado RV'!$B:$H,7,FALSE),0)</f>
        <v>24000</v>
      </c>
      <c r="K202" s="8">
        <f>IFERROR(VLOOKUP(Tabla13[[#This Row],[Oficina]],#REF!,2,FALSE),0)</f>
        <v>0</v>
      </c>
      <c r="L202" s="7">
        <f>+Tabla13[[#This Row],[ RV Producción mes n+1]]*Tabla13[[#This Row],[% Uti. producción]]</f>
        <v>0</v>
      </c>
      <c r="M202" s="7">
        <f>IFERROR(VLOOKUP(Tabla13[[#This Row],[Material]],#REF!,2,FALSE),0)</f>
        <v>0</v>
      </c>
      <c r="N202" s="7">
        <f>IFERROR(VLOOKUP(Tabla13[[#This Row],[Llave]],'En puerto-Programado'!A:D,4,FALSE)+VLOOKUP(Tabla13[[#This Row],[Llave]],'Por despachar'!A:F,6,FALSE),0)</f>
        <v>1521.4414571062184</v>
      </c>
      <c r="O202" s="7">
        <f>IFERROR(VLOOKUP(Tabla13[[#This Row],[Material]],[2]Consolidado!$C:$D,2,FALSE),0)</f>
        <v>0</v>
      </c>
      <c r="P202" s="7">
        <f>IFERROR(VLOOKUP(Tabla13[[#This Row],[Llave]],'Por despachar'!A:E,5,FALSE),0)</f>
        <v>0</v>
      </c>
      <c r="Q202" s="14">
        <f>SUM(Tabla13[[#This Row],[Producción disponible]],Tabla13[[#This Row],[Stock al día]],Tabla13[[#This Row],[Por producir Abr.]])-SUM(Tabla13[[#This Row],[Stock por despachar N]],Tabla13[[#This Row],[Producción por despachar mes N]])</f>
        <v>-1521.4414571062184</v>
      </c>
      <c r="R202" s="7">
        <f>IFERROR(VLOOKUP(Tabla13[[#This Row],[Llave]],[3]Hoja2!$A:$D,4,FALSE),0)</f>
        <v>0</v>
      </c>
      <c r="S202" s="9">
        <f>IFERROR(VLOOKUP(Tabla13[[#This Row],[Material]],[4]Hoja1!$B:$C,2,FALSE),0)</f>
        <v>12000</v>
      </c>
      <c r="T202" s="5">
        <f t="shared" si="5"/>
        <v>0</v>
      </c>
      <c r="U202" s="3">
        <f>+Tabla13[[#This Row],[Total disponible]]-Tabla13[[#This Row],[Atraso a facturar]]</f>
        <v>-1521.4414571062184</v>
      </c>
      <c r="V202" s="6">
        <f t="shared" ref="V202:V265" si="6">IFERROR(IF(AND(U202&gt;S202,J202&gt;S202),ROUNDDOWN(U202/S202,0)*S202,0),0)</f>
        <v>0</v>
      </c>
      <c r="W202" s="3" t="str">
        <f>IF(Tabla13[[#This Row],[Venta del mes]]&gt;Tabla13[[#This Row],[ RV  Venta mes n+1]],"Falta venta","-")</f>
        <v>-</v>
      </c>
      <c r="X202" s="7"/>
      <c r="Y202" s="18">
        <v>0</v>
      </c>
      <c r="Z202" s="5">
        <f>+Tabla13[[#This Row],[Atraso a facturar]]+Tabla13[[#This Row],[Venta del mes]]+Tabla13[[#This Row],[Ajuste]]</f>
        <v>0</v>
      </c>
      <c r="AA202" s="6">
        <f>+Tabla13[[#This Row],[Atraso a facturar]]+Tabla13[[#This Row],[Venta del mes]]+Tabla13[[#This Row],[En puerto a facturar]]</f>
        <v>0</v>
      </c>
      <c r="AB202" s="20">
        <f>IFERROR(VLOOKUP(Tabla13[[#This Row],[Llave]],'[5]Consolidación planes'!$A:$M,9,FALSE),0)</f>
        <v>15000</v>
      </c>
      <c r="AC202" s="20">
        <f>IFERROR(VLOOKUP(Tabla13[[#This Row],[Llave]],'[5]Consolidación planes'!$A:$M,10,FALSE),0)</f>
        <v>48000</v>
      </c>
      <c r="AD202" s="20">
        <f>IFERROR(VLOOKUP(Tabla13[[#This Row],[Llave]],'[5]Consolidación planes'!$A:$M,11,FALSE),0)</f>
        <v>5000</v>
      </c>
      <c r="AE202" s="20">
        <f>IFERROR(VLOOKUP(Tabla13[[#This Row],[Llave]],'[5]Consolidación planes'!$A:$M,12,FALSE),0)</f>
        <v>24000</v>
      </c>
      <c r="AF202" s="20">
        <f>IFERROR(VLOOKUP(Tabla13[[#This Row],[Llave]],'[5]Consolidación planes'!$A:$M,13,FALSE),0)</f>
        <v>23000</v>
      </c>
    </row>
    <row r="203" spans="2:32" ht="16" hidden="1" x14ac:dyDescent="0.2">
      <c r="B203" t="str">
        <f>Tabla13[[#This Row],[Oficina]]&amp;Tabla13[[#This Row],[Material]]</f>
        <v>Exportacion Directa1022931</v>
      </c>
      <c r="C203" t="s">
        <v>6</v>
      </c>
      <c r="D203" t="s">
        <v>88</v>
      </c>
      <c r="E203">
        <v>1022931</v>
      </c>
      <c r="F203" t="s">
        <v>91</v>
      </c>
      <c r="G203" t="s">
        <v>37</v>
      </c>
      <c r="H203" t="s">
        <v>38</v>
      </c>
      <c r="I203" s="7">
        <f>IFERROR(VLOOKUP(Tabla13[[#This Row],[Llave]],'[1]Consolidado RV'!$B:$H,6,FALSE),0)</f>
        <v>0</v>
      </c>
      <c r="J203" s="3">
        <f>IFERROR(VLOOKUP(Tabla13[[#This Row],[Llave]],'[1]Consolidado RV'!$B:$H,7,FALSE),0)</f>
        <v>20000</v>
      </c>
      <c r="K203" s="8">
        <f>IFERROR(VLOOKUP(Tabla13[[#This Row],[Oficina]],#REF!,2,FALSE),0)</f>
        <v>0</v>
      </c>
      <c r="L203" s="7">
        <f>+Tabla13[[#This Row],[ RV Producción mes n+1]]*Tabla13[[#This Row],[% Uti. producción]]</f>
        <v>0</v>
      </c>
      <c r="M203" s="7">
        <f>IFERROR(VLOOKUP(Tabla13[[#This Row],[Material]],#REF!,2,FALSE),0)</f>
        <v>0</v>
      </c>
      <c r="N203" s="7">
        <f>IFERROR(VLOOKUP(Tabla13[[#This Row],[Llave]],'En puerto-Programado'!A:D,4,FALSE)+VLOOKUP(Tabla13[[#This Row],[Llave]],'Por despachar'!A:F,6,FALSE),0)</f>
        <v>7607.2072855310917</v>
      </c>
      <c r="O203" s="7">
        <f>IFERROR(VLOOKUP(Tabla13[[#This Row],[Material]],[2]Consolidado!$C:$D,2,FALSE),0)</f>
        <v>10689.06343095048</v>
      </c>
      <c r="P203" s="7">
        <f>IFERROR(VLOOKUP(Tabla13[[#This Row],[Llave]],'Por despachar'!A:E,5,FALSE),0)</f>
        <v>0</v>
      </c>
      <c r="Q203" s="14">
        <f>SUM(Tabla13[[#This Row],[Producción disponible]],Tabla13[[#This Row],[Stock al día]],Tabla13[[#This Row],[Por producir Abr.]])-SUM(Tabla13[[#This Row],[Stock por despachar N]],Tabla13[[#This Row],[Producción por despachar mes N]])</f>
        <v>3081.8561454193887</v>
      </c>
      <c r="R203" s="7">
        <f>IFERROR(VLOOKUP(Tabla13[[#This Row],[Llave]],[3]Hoja2!$A:$D,4,FALSE),0)</f>
        <v>24000</v>
      </c>
      <c r="S203" s="9">
        <f>IFERROR(VLOOKUP(Tabla13[[#This Row],[Material]],[4]Hoja1!$B:$C,2,FALSE),0)</f>
        <v>3000</v>
      </c>
      <c r="T203" s="5">
        <f t="shared" ref="T203:T266" si="7">IF(AND(Q203&gt;R203,R203&gt;0),R203,IF(AND(Q203&lt;R203,R203&gt;0),(ROUNDDOWN(Q203/S203,0)*S203),0))</f>
        <v>3000</v>
      </c>
      <c r="U203" s="3">
        <f>+Tabla13[[#This Row],[Total disponible]]-Tabla13[[#This Row],[Atraso a facturar]]</f>
        <v>81.856145419388668</v>
      </c>
      <c r="V203" s="6">
        <f t="shared" si="6"/>
        <v>0</v>
      </c>
      <c r="W203" s="3" t="str">
        <f>IF(Tabla13[[#This Row],[Venta del mes]]&gt;Tabla13[[#This Row],[ RV  Venta mes n+1]],"Falta venta","-")</f>
        <v>-</v>
      </c>
      <c r="X203" s="7"/>
      <c r="Y203" s="18">
        <v>0</v>
      </c>
      <c r="Z203" s="5">
        <f>+Tabla13[[#This Row],[Atraso a facturar]]+Tabla13[[#This Row],[Venta del mes]]+Tabla13[[#This Row],[Ajuste]]</f>
        <v>3000</v>
      </c>
      <c r="AA203" s="6">
        <f>+Tabla13[[#This Row],[Atraso a facturar]]+Tabla13[[#This Row],[Venta del mes]]+Tabla13[[#This Row],[En puerto a facturar]]</f>
        <v>3000</v>
      </c>
      <c r="AB203" s="20">
        <f>IFERROR(VLOOKUP(Tabla13[[#This Row],[Llave]],'[5]Consolidación planes'!$A:$M,9,FALSE),0)</f>
        <v>0</v>
      </c>
      <c r="AC203" s="20">
        <f>IFERROR(VLOOKUP(Tabla13[[#This Row],[Llave]],'[5]Consolidación planes'!$A:$M,10,FALSE),0)</f>
        <v>0</v>
      </c>
      <c r="AD203" s="20">
        <f>IFERROR(VLOOKUP(Tabla13[[#This Row],[Llave]],'[5]Consolidación planes'!$A:$M,11,FALSE),0)</f>
        <v>0</v>
      </c>
      <c r="AE203" s="20">
        <f>IFERROR(VLOOKUP(Tabla13[[#This Row],[Llave]],'[5]Consolidación planes'!$A:$M,12,FALSE),0)</f>
        <v>20000</v>
      </c>
      <c r="AF203" s="20">
        <f>IFERROR(VLOOKUP(Tabla13[[#This Row],[Llave]],'[5]Consolidación planes'!$A:$M,13,FALSE),0)</f>
        <v>20182</v>
      </c>
    </row>
    <row r="204" spans="2:32" ht="16" hidden="1" x14ac:dyDescent="0.2">
      <c r="B204" t="str">
        <f>Tabla13[[#This Row],[Oficina]]&amp;Tabla13[[#This Row],[Material]]</f>
        <v>Exportacion Directa1022987</v>
      </c>
      <c r="C204" t="s">
        <v>6</v>
      </c>
      <c r="D204" t="s">
        <v>88</v>
      </c>
      <c r="E204">
        <v>1022987</v>
      </c>
      <c r="F204" t="s">
        <v>295</v>
      </c>
      <c r="G204" t="s">
        <v>67</v>
      </c>
      <c r="H204" t="s">
        <v>68</v>
      </c>
      <c r="I204" s="7">
        <f>IFERROR(VLOOKUP(Tabla13[[#This Row],[Llave]],'[1]Consolidado RV'!$B:$H,6,FALSE),0)</f>
        <v>52669.614100000006</v>
      </c>
      <c r="J204" s="3">
        <f>IFERROR(VLOOKUP(Tabla13[[#This Row],[Llave]],'[1]Consolidado RV'!$B:$H,7,FALSE),0)</f>
        <v>31180.614100000006</v>
      </c>
      <c r="K204" s="8">
        <f>IFERROR(VLOOKUP(Tabla13[[#This Row],[Oficina]],#REF!,2,FALSE),0)</f>
        <v>0</v>
      </c>
      <c r="L204" s="7">
        <f>+Tabla13[[#This Row],[ RV Producción mes n+1]]*Tabla13[[#This Row],[% Uti. producción]]</f>
        <v>0</v>
      </c>
      <c r="M204" s="7">
        <f>IFERROR(VLOOKUP(Tabla13[[#This Row],[Material]],#REF!,2,FALSE),0)</f>
        <v>0</v>
      </c>
      <c r="N204" s="7">
        <f>IFERROR(VLOOKUP(Tabla13[[#This Row],[Llave]],'En puerto-Programado'!A:D,4,FALSE)+VLOOKUP(Tabla13[[#This Row],[Llave]],'Por despachar'!A:F,6,FALSE),0)</f>
        <v>36514.594970549238</v>
      </c>
      <c r="O204" s="7">
        <f>IFERROR(VLOOKUP(Tabla13[[#This Row],[Material]],[2]Consolidado!$C:$D,2,FALSE),0)</f>
        <v>0</v>
      </c>
      <c r="P204" s="7">
        <f>IFERROR(VLOOKUP(Tabla13[[#This Row],[Llave]],'Por despachar'!A:E,5,FALSE),0)</f>
        <v>0</v>
      </c>
      <c r="Q204" s="14">
        <f>SUM(Tabla13[[#This Row],[Producción disponible]],Tabla13[[#This Row],[Stock al día]],Tabla13[[#This Row],[Por producir Abr.]])-SUM(Tabla13[[#This Row],[Stock por despachar N]],Tabla13[[#This Row],[Producción por despachar mes N]])</f>
        <v>-36514.594970549238</v>
      </c>
      <c r="R204" s="7">
        <f>IFERROR(VLOOKUP(Tabla13[[#This Row],[Llave]],[3]Hoja2!$A:$D,4,FALSE),0)</f>
        <v>48000</v>
      </c>
      <c r="S204" s="9">
        <f>IFERROR(VLOOKUP(Tabla13[[#This Row],[Material]],[4]Hoja1!$B:$C,2,FALSE),0)</f>
        <v>24000</v>
      </c>
      <c r="T204" s="5">
        <f t="shared" si="7"/>
        <v>-24000</v>
      </c>
      <c r="U204" s="3">
        <f>+Tabla13[[#This Row],[Total disponible]]-Tabla13[[#This Row],[Atraso a facturar]]</f>
        <v>-12514.594970549238</v>
      </c>
      <c r="V204" s="6">
        <f t="shared" si="6"/>
        <v>0</v>
      </c>
      <c r="W204" s="3" t="str">
        <f>IF(Tabla13[[#This Row],[Venta del mes]]&gt;Tabla13[[#This Row],[ RV  Venta mes n+1]],"Falta venta","-")</f>
        <v>-</v>
      </c>
      <c r="X204" s="7"/>
      <c r="Y204" s="18">
        <v>0</v>
      </c>
      <c r="Z204" s="5">
        <f>+Tabla13[[#This Row],[Atraso a facturar]]+Tabla13[[#This Row],[Venta del mes]]+Tabla13[[#This Row],[Ajuste]]</f>
        <v>-24000</v>
      </c>
      <c r="AA204" s="6">
        <f>+Tabla13[[#This Row],[Atraso a facturar]]+Tabla13[[#This Row],[Venta del mes]]+Tabla13[[#This Row],[En puerto a facturar]]</f>
        <v>-24000</v>
      </c>
      <c r="AB204" s="20">
        <f>IFERROR(VLOOKUP(Tabla13[[#This Row],[Llave]],'[5]Consolidación planes'!$A:$M,9,FALSE),0)</f>
        <v>0</v>
      </c>
      <c r="AC204" s="20">
        <f>IFERROR(VLOOKUP(Tabla13[[#This Row],[Llave]],'[5]Consolidación planes'!$A:$M,10,FALSE),0)</f>
        <v>30000</v>
      </c>
      <c r="AD204" s="20">
        <f>IFERROR(VLOOKUP(Tabla13[[#This Row],[Llave]],'[5]Consolidación planes'!$A:$M,11,FALSE),0)</f>
        <v>24000</v>
      </c>
      <c r="AE204" s="20">
        <f>IFERROR(VLOOKUP(Tabla13[[#This Row],[Llave]],'[5]Consolidación planes'!$A:$M,12,FALSE),0)</f>
        <v>48000</v>
      </c>
      <c r="AF204" s="20">
        <f>IFERROR(VLOOKUP(Tabla13[[#This Row],[Llave]],'[5]Consolidación planes'!$A:$M,13,FALSE),0)</f>
        <v>24000</v>
      </c>
    </row>
    <row r="205" spans="2:32" ht="16" hidden="1" x14ac:dyDescent="0.2">
      <c r="B205" t="str">
        <f>Tabla13[[#This Row],[Oficina]]&amp;Tabla13[[#This Row],[Material]]</f>
        <v>Exportacion Directa1022990</v>
      </c>
      <c r="C205" t="s">
        <v>6</v>
      </c>
      <c r="D205" t="s">
        <v>88</v>
      </c>
      <c r="E205">
        <v>1022990</v>
      </c>
      <c r="F205" t="s">
        <v>127</v>
      </c>
      <c r="G205" t="s">
        <v>56</v>
      </c>
      <c r="H205" t="s">
        <v>57</v>
      </c>
      <c r="I205" s="7">
        <f>IFERROR(VLOOKUP(Tabla13[[#This Row],[Llave]],'[1]Consolidado RV'!$B:$H,6,FALSE),0)</f>
        <v>0</v>
      </c>
      <c r="J205" s="3">
        <f>IFERROR(VLOOKUP(Tabla13[[#This Row],[Llave]],'[1]Consolidado RV'!$B:$H,7,FALSE),0)</f>
        <v>0</v>
      </c>
      <c r="K205" s="8">
        <f>IFERROR(VLOOKUP(Tabla13[[#This Row],[Oficina]],#REF!,2,FALSE),0)</f>
        <v>0</v>
      </c>
      <c r="L205" s="7">
        <f>+Tabla13[[#This Row],[ RV Producción mes n+1]]*Tabla13[[#This Row],[% Uti. producción]]</f>
        <v>0</v>
      </c>
      <c r="M205" s="7">
        <f>IFERROR(VLOOKUP(Tabla13[[#This Row],[Material]],#REF!,2,FALSE),0)</f>
        <v>0</v>
      </c>
      <c r="N205" s="7">
        <f>IFERROR(VLOOKUP(Tabla13[[#This Row],[Llave]],'En puerto-Programado'!A:D,4,FALSE)+VLOOKUP(Tabla13[[#This Row],[Llave]],'Por despachar'!A:F,6,FALSE),0)</f>
        <v>0</v>
      </c>
      <c r="O205" s="7">
        <f>IFERROR(VLOOKUP(Tabla13[[#This Row],[Material]],[2]Consolidado!$C:$D,2,FALSE),0)</f>
        <v>0</v>
      </c>
      <c r="P205" s="7">
        <f>IFERROR(VLOOKUP(Tabla13[[#This Row],[Llave]],'Por despachar'!A:E,5,FALSE),0)</f>
        <v>0</v>
      </c>
      <c r="Q20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05" s="7">
        <f>IFERROR(VLOOKUP(Tabla13[[#This Row],[Llave]],[3]Hoja2!$A:$D,4,FALSE),0)</f>
        <v>0</v>
      </c>
      <c r="S205" s="9">
        <f>IFERROR(VLOOKUP(Tabla13[[#This Row],[Material]],[4]Hoja1!$B:$C,2,FALSE),0)</f>
        <v>3571.4285714285716</v>
      </c>
      <c r="T205" s="5">
        <f t="shared" si="7"/>
        <v>0</v>
      </c>
      <c r="U205" s="3">
        <f>+Tabla13[[#This Row],[Total disponible]]-Tabla13[[#This Row],[Atraso a facturar]]</f>
        <v>0</v>
      </c>
      <c r="V205" s="6">
        <f t="shared" si="6"/>
        <v>0</v>
      </c>
      <c r="W205" s="3" t="str">
        <f>IF(Tabla13[[#This Row],[Venta del mes]]&gt;Tabla13[[#This Row],[ RV  Venta mes n+1]],"Falta venta","-")</f>
        <v>-</v>
      </c>
      <c r="X205" s="7"/>
      <c r="Y205" s="18">
        <v>0</v>
      </c>
      <c r="Z205" s="5">
        <f>+Tabla13[[#This Row],[Atraso a facturar]]+Tabla13[[#This Row],[Venta del mes]]+Tabla13[[#This Row],[Ajuste]]</f>
        <v>0</v>
      </c>
      <c r="AA205" s="6">
        <f>+Tabla13[[#This Row],[Atraso a facturar]]+Tabla13[[#This Row],[Venta del mes]]+Tabla13[[#This Row],[En puerto a facturar]]</f>
        <v>0</v>
      </c>
      <c r="AB205" s="20">
        <f>IFERROR(VLOOKUP(Tabla13[[#This Row],[Llave]],'[5]Consolidación planes'!$A:$M,9,FALSE),0)</f>
        <v>10000</v>
      </c>
      <c r="AC205" s="20">
        <f>IFERROR(VLOOKUP(Tabla13[[#This Row],[Llave]],'[5]Consolidación planes'!$A:$M,10,FALSE),0)</f>
        <v>20000</v>
      </c>
      <c r="AD205" s="20">
        <f>IFERROR(VLOOKUP(Tabla13[[#This Row],[Llave]],'[5]Consolidación planes'!$A:$M,11,FALSE),0)</f>
        <v>13000</v>
      </c>
      <c r="AE205" s="20">
        <f>IFERROR(VLOOKUP(Tabla13[[#This Row],[Llave]],'[5]Consolidación planes'!$A:$M,12,FALSE),0)</f>
        <v>0</v>
      </c>
      <c r="AF205" s="20">
        <f>IFERROR(VLOOKUP(Tabla13[[#This Row],[Llave]],'[5]Consolidación planes'!$A:$M,13,FALSE),0)</f>
        <v>0</v>
      </c>
    </row>
    <row r="206" spans="2:32" ht="16" hidden="1" x14ac:dyDescent="0.2">
      <c r="B206" t="str">
        <f>Tabla13[[#This Row],[Oficina]]&amp;Tabla13[[#This Row],[Material]]</f>
        <v>Exportacion Directa1023051</v>
      </c>
      <c r="C206" t="s">
        <v>6</v>
      </c>
      <c r="D206" t="s">
        <v>88</v>
      </c>
      <c r="E206">
        <v>1023051</v>
      </c>
      <c r="F206" t="s">
        <v>292</v>
      </c>
      <c r="G206" t="s">
        <v>50</v>
      </c>
      <c r="H206" t="s">
        <v>110</v>
      </c>
      <c r="I206" s="7">
        <f>IFERROR(VLOOKUP(Tabla13[[#This Row],[Llave]],'[1]Consolidado RV'!$B:$H,6,FALSE),0)</f>
        <v>0</v>
      </c>
      <c r="J206" s="3">
        <f>IFERROR(VLOOKUP(Tabla13[[#This Row],[Llave]],'[1]Consolidado RV'!$B:$H,7,FALSE),0)</f>
        <v>0</v>
      </c>
      <c r="K206" s="8">
        <f>IFERROR(VLOOKUP(Tabla13[[#This Row],[Oficina]],#REF!,2,FALSE),0)</f>
        <v>0</v>
      </c>
      <c r="L206" s="7">
        <f>+Tabla13[[#This Row],[ RV Producción mes n+1]]*Tabla13[[#This Row],[% Uti. producción]]</f>
        <v>0</v>
      </c>
      <c r="M206" s="7">
        <f>IFERROR(VLOOKUP(Tabla13[[#This Row],[Material]],#REF!,2,FALSE),0)</f>
        <v>0</v>
      </c>
      <c r="N206" s="7">
        <f>IFERROR(VLOOKUP(Tabla13[[#This Row],[Llave]],'En puerto-Programado'!A:D,4,FALSE)+VLOOKUP(Tabla13[[#This Row],[Llave]],'Por despachar'!A:F,6,FALSE),0)</f>
        <v>2790.3236323328042</v>
      </c>
      <c r="O206" s="7">
        <f>IFERROR(VLOOKUP(Tabla13[[#This Row],[Material]],[2]Consolidado!$C:$D,2,FALSE),0)</f>
        <v>0</v>
      </c>
      <c r="P206" s="7">
        <f>IFERROR(VLOOKUP(Tabla13[[#This Row],[Llave]],'Por despachar'!A:E,5,FALSE),0)</f>
        <v>0</v>
      </c>
      <c r="Q206" s="14">
        <f>SUM(Tabla13[[#This Row],[Producción disponible]],Tabla13[[#This Row],[Stock al día]],Tabla13[[#This Row],[Por producir Abr.]])-SUM(Tabla13[[#This Row],[Stock por despachar N]],Tabla13[[#This Row],[Producción por despachar mes N]])</f>
        <v>-2790.3236323328042</v>
      </c>
      <c r="R206" s="7">
        <f>IFERROR(VLOOKUP(Tabla13[[#This Row],[Llave]],[3]Hoja2!$A:$D,4,FALSE),0)</f>
        <v>3834</v>
      </c>
      <c r="S206" s="9">
        <f>IFERROR(VLOOKUP(Tabla13[[#This Row],[Material]],[4]Hoja1!$B:$C,2,FALSE),0)</f>
        <v>3000</v>
      </c>
      <c r="T206" s="5">
        <f t="shared" si="7"/>
        <v>0</v>
      </c>
      <c r="U206" s="3">
        <f>+Tabla13[[#This Row],[Total disponible]]-Tabla13[[#This Row],[Atraso a facturar]]</f>
        <v>-2790.3236323328042</v>
      </c>
      <c r="V206" s="6">
        <f t="shared" si="6"/>
        <v>0</v>
      </c>
      <c r="W206" s="3" t="str">
        <f>IF(Tabla13[[#This Row],[Venta del mes]]&gt;Tabla13[[#This Row],[ RV  Venta mes n+1]],"Falta venta","-")</f>
        <v>-</v>
      </c>
      <c r="X206" s="7"/>
      <c r="Y206" s="18">
        <v>0</v>
      </c>
      <c r="Z206" s="5">
        <f>+Tabla13[[#This Row],[Atraso a facturar]]+Tabla13[[#This Row],[Venta del mes]]+Tabla13[[#This Row],[Ajuste]]</f>
        <v>0</v>
      </c>
      <c r="AA206" s="6">
        <f>+Tabla13[[#This Row],[Atraso a facturar]]+Tabla13[[#This Row],[Venta del mes]]+Tabla13[[#This Row],[En puerto a facturar]]</f>
        <v>0</v>
      </c>
      <c r="AB206" s="20">
        <f>IFERROR(VLOOKUP(Tabla13[[#This Row],[Llave]],'[5]Consolidación planes'!$A:$M,9,FALSE),0)</f>
        <v>0</v>
      </c>
      <c r="AC206" s="20">
        <f>IFERROR(VLOOKUP(Tabla13[[#This Row],[Llave]],'[5]Consolidación planes'!$A:$M,10,FALSE),0)</f>
        <v>0</v>
      </c>
      <c r="AD206" s="20">
        <f>IFERROR(VLOOKUP(Tabla13[[#This Row],[Llave]],'[5]Consolidación planes'!$A:$M,11,FALSE),0)</f>
        <v>0</v>
      </c>
      <c r="AE206" s="20">
        <f>IFERROR(VLOOKUP(Tabla13[[#This Row],[Llave]],'[5]Consolidación planes'!$A:$M,12,FALSE),0)</f>
        <v>3000</v>
      </c>
      <c r="AF206" s="20">
        <f>IFERROR(VLOOKUP(Tabla13[[#This Row],[Llave]],'[5]Consolidación planes'!$A:$M,13,FALSE),0)</f>
        <v>2500</v>
      </c>
    </row>
    <row r="207" spans="2:32" ht="16" hidden="1" x14ac:dyDescent="0.2">
      <c r="B207" t="str">
        <f>Tabla13[[#This Row],[Oficina]]&amp;Tabla13[[#This Row],[Material]]</f>
        <v>Exportacion Directa1023055</v>
      </c>
      <c r="C207" t="s">
        <v>6</v>
      </c>
      <c r="D207" t="s">
        <v>88</v>
      </c>
      <c r="E207">
        <v>1023055</v>
      </c>
      <c r="F207" t="s">
        <v>293</v>
      </c>
      <c r="G207" t="s">
        <v>50</v>
      </c>
      <c r="H207" t="s">
        <v>110</v>
      </c>
      <c r="I207" s="7">
        <f>IFERROR(VLOOKUP(Tabla13[[#This Row],[Llave]],'[1]Consolidado RV'!$B:$H,6,FALSE),0)</f>
        <v>4267.9769999999999</v>
      </c>
      <c r="J207" s="3">
        <f>IFERROR(VLOOKUP(Tabla13[[#This Row],[Llave]],'[1]Consolidado RV'!$B:$H,7,FALSE),0)</f>
        <v>0</v>
      </c>
      <c r="K207" s="8">
        <f>IFERROR(VLOOKUP(Tabla13[[#This Row],[Oficina]],#REF!,2,FALSE),0)</f>
        <v>0</v>
      </c>
      <c r="L207" s="7">
        <f>+Tabla13[[#This Row],[ RV Producción mes n+1]]*Tabla13[[#This Row],[% Uti. producción]]</f>
        <v>0</v>
      </c>
      <c r="M207" s="7">
        <f>IFERROR(VLOOKUP(Tabla13[[#This Row],[Material]],#REF!,2,FALSE),0)</f>
        <v>0</v>
      </c>
      <c r="N207" s="7">
        <f>IFERROR(VLOOKUP(Tabla13[[#This Row],[Llave]],'En puerto-Programado'!A:D,4,FALSE)+VLOOKUP(Tabla13[[#This Row],[Llave]],'Por despachar'!A:F,6,FALSE),0)</f>
        <v>6307.8962811623815</v>
      </c>
      <c r="O207" s="7">
        <f>IFERROR(VLOOKUP(Tabla13[[#This Row],[Material]],[2]Consolidado!$C:$D,2,FALSE),0)</f>
        <v>0</v>
      </c>
      <c r="P207" s="7">
        <f>IFERROR(VLOOKUP(Tabla13[[#This Row],[Llave]],'Por despachar'!A:E,5,FALSE),0)</f>
        <v>0</v>
      </c>
      <c r="Q207" s="14">
        <f>SUM(Tabla13[[#This Row],[Producción disponible]],Tabla13[[#This Row],[Stock al día]],Tabla13[[#This Row],[Por producir Abr.]])-SUM(Tabla13[[#This Row],[Stock por despachar N]],Tabla13[[#This Row],[Producción por despachar mes N]])</f>
        <v>-6307.8962811623815</v>
      </c>
      <c r="R207" s="7">
        <f>IFERROR(VLOOKUP(Tabla13[[#This Row],[Llave]],[3]Hoja2!$A:$D,4,FALSE),0)</f>
        <v>9146</v>
      </c>
      <c r="S207" s="9">
        <f>IFERROR(VLOOKUP(Tabla13[[#This Row],[Material]],[4]Hoja1!$B:$C,2,FALSE),0)</f>
        <v>3500</v>
      </c>
      <c r="T207" s="5">
        <f t="shared" si="7"/>
        <v>-3500</v>
      </c>
      <c r="U207" s="3">
        <f>+Tabla13[[#This Row],[Total disponible]]-Tabla13[[#This Row],[Atraso a facturar]]</f>
        <v>-2807.8962811623815</v>
      </c>
      <c r="V207" s="6">
        <f t="shared" si="6"/>
        <v>0</v>
      </c>
      <c r="W207" s="3" t="str">
        <f>IF(Tabla13[[#This Row],[Venta del mes]]&gt;Tabla13[[#This Row],[ RV  Venta mes n+1]],"Falta venta","-")</f>
        <v>-</v>
      </c>
      <c r="X207" s="7"/>
      <c r="Y207" s="18">
        <v>0</v>
      </c>
      <c r="Z207" s="5">
        <f>+Tabla13[[#This Row],[Atraso a facturar]]+Tabla13[[#This Row],[Venta del mes]]+Tabla13[[#This Row],[Ajuste]]</f>
        <v>-3500</v>
      </c>
      <c r="AA207" s="6">
        <f>+Tabla13[[#This Row],[Atraso a facturar]]+Tabla13[[#This Row],[Venta del mes]]+Tabla13[[#This Row],[En puerto a facturar]]</f>
        <v>-3500</v>
      </c>
      <c r="AB207" s="20">
        <f>IFERROR(VLOOKUP(Tabla13[[#This Row],[Llave]],'[5]Consolidación planes'!$A:$M,9,FALSE),0)</f>
        <v>0</v>
      </c>
      <c r="AC207" s="20">
        <f>IFERROR(VLOOKUP(Tabla13[[#This Row],[Llave]],'[5]Consolidación planes'!$A:$M,10,FALSE),0)</f>
        <v>0</v>
      </c>
      <c r="AD207" s="20">
        <f>IFERROR(VLOOKUP(Tabla13[[#This Row],[Llave]],'[5]Consolidación planes'!$A:$M,11,FALSE),0)</f>
        <v>5000</v>
      </c>
      <c r="AE207" s="20">
        <f>IFERROR(VLOOKUP(Tabla13[[#This Row],[Llave]],'[5]Consolidación planes'!$A:$M,12,FALSE),0)</f>
        <v>7000</v>
      </c>
      <c r="AF207" s="20">
        <f>IFERROR(VLOOKUP(Tabla13[[#This Row],[Llave]],'[5]Consolidación planes'!$A:$M,13,FALSE),0)</f>
        <v>5000</v>
      </c>
    </row>
    <row r="208" spans="2:32" ht="16" hidden="1" x14ac:dyDescent="0.2">
      <c r="B208" t="str">
        <f>Tabla13[[#This Row],[Oficina]]&amp;Tabla13[[#This Row],[Material]]</f>
        <v>Exportacion Directa1023163</v>
      </c>
      <c r="C208" t="s">
        <v>6</v>
      </c>
      <c r="D208" t="s">
        <v>88</v>
      </c>
      <c r="E208">
        <v>1023163</v>
      </c>
      <c r="F208" t="s">
        <v>116</v>
      </c>
      <c r="G208" t="s">
        <v>50</v>
      </c>
      <c r="H208" t="s">
        <v>110</v>
      </c>
      <c r="I208" s="7">
        <f>IFERROR(VLOOKUP(Tabla13[[#This Row],[Llave]],'[1]Consolidado RV'!$B:$H,6,FALSE),0)</f>
        <v>30765.625599999999</v>
      </c>
      <c r="J208" s="3">
        <f>IFERROR(VLOOKUP(Tabla13[[#This Row],[Llave]],'[1]Consolidado RV'!$B:$H,7,FALSE),0)</f>
        <v>25000</v>
      </c>
      <c r="K208" s="8">
        <f>IFERROR(VLOOKUP(Tabla13[[#This Row],[Oficina]],#REF!,2,FALSE),0)</f>
        <v>0</v>
      </c>
      <c r="L208" s="7">
        <f>+Tabla13[[#This Row],[ RV Producción mes n+1]]*Tabla13[[#This Row],[% Uti. producción]]</f>
        <v>0</v>
      </c>
      <c r="M208" s="7">
        <f>IFERROR(VLOOKUP(Tabla13[[#This Row],[Material]],#REF!,2,FALSE),0)</f>
        <v>0</v>
      </c>
      <c r="N208" s="7">
        <f>IFERROR(VLOOKUP(Tabla13[[#This Row],[Llave]],'En puerto-Programado'!A:D,4,FALSE)+VLOOKUP(Tabla13[[#This Row],[Llave]],'Por despachar'!A:F,6,FALSE),0)</f>
        <v>7607.2072855310917</v>
      </c>
      <c r="O208" s="7">
        <f>IFERROR(VLOOKUP(Tabla13[[#This Row],[Material]],[2]Consolidado!$C:$D,2,FALSE),0)</f>
        <v>0</v>
      </c>
      <c r="P208" s="7">
        <f>IFERROR(VLOOKUP(Tabla13[[#This Row],[Llave]],'Por despachar'!A:E,5,FALSE),0)</f>
        <v>0</v>
      </c>
      <c r="Q208" s="14">
        <f>SUM(Tabla13[[#This Row],[Producción disponible]],Tabla13[[#This Row],[Stock al día]],Tabla13[[#This Row],[Por producir Abr.]])-SUM(Tabla13[[#This Row],[Stock por despachar N]],Tabla13[[#This Row],[Producción por despachar mes N]])</f>
        <v>-7607.2072855310917</v>
      </c>
      <c r="R208" s="7">
        <f>IFERROR(VLOOKUP(Tabla13[[#This Row],[Llave]],[3]Hoja2!$A:$D,4,FALSE),0)</f>
        <v>20000</v>
      </c>
      <c r="S208" s="9">
        <f>IFERROR(VLOOKUP(Tabla13[[#This Row],[Material]],[4]Hoja1!$B:$C,2,FALSE),0)</f>
        <v>5000</v>
      </c>
      <c r="T208" s="5">
        <f t="shared" si="7"/>
        <v>-5000</v>
      </c>
      <c r="U208" s="3">
        <f>+Tabla13[[#This Row],[Total disponible]]-Tabla13[[#This Row],[Atraso a facturar]]</f>
        <v>-2607.2072855310917</v>
      </c>
      <c r="V208" s="6">
        <f t="shared" si="6"/>
        <v>0</v>
      </c>
      <c r="W208" s="3" t="str">
        <f>IF(Tabla13[[#This Row],[Venta del mes]]&gt;Tabla13[[#This Row],[ RV  Venta mes n+1]],"Falta venta","-")</f>
        <v>-</v>
      </c>
      <c r="X208" s="7"/>
      <c r="Y208" s="18">
        <v>0</v>
      </c>
      <c r="Z208" s="5">
        <f>+Tabla13[[#This Row],[Atraso a facturar]]+Tabla13[[#This Row],[Venta del mes]]+Tabla13[[#This Row],[Ajuste]]</f>
        <v>-5000</v>
      </c>
      <c r="AA208" s="6">
        <f>+Tabla13[[#This Row],[Atraso a facturar]]+Tabla13[[#This Row],[Venta del mes]]+Tabla13[[#This Row],[En puerto a facturar]]</f>
        <v>-5000</v>
      </c>
      <c r="AB208" s="20">
        <f>IFERROR(VLOOKUP(Tabla13[[#This Row],[Llave]],'[5]Consolidación planes'!$A:$M,9,FALSE),0)</f>
        <v>15000</v>
      </c>
      <c r="AC208" s="20">
        <f>IFERROR(VLOOKUP(Tabla13[[#This Row],[Llave]],'[5]Consolidación planes'!$A:$M,10,FALSE),0)</f>
        <v>7000</v>
      </c>
      <c r="AD208" s="20">
        <f>IFERROR(VLOOKUP(Tabla13[[#This Row],[Llave]],'[5]Consolidación planes'!$A:$M,11,FALSE),0)</f>
        <v>4000</v>
      </c>
      <c r="AE208" s="20">
        <f>IFERROR(VLOOKUP(Tabla13[[#This Row],[Llave]],'[5]Consolidación planes'!$A:$M,12,FALSE),0)</f>
        <v>20000</v>
      </c>
      <c r="AF208" s="20">
        <f>IFERROR(VLOOKUP(Tabla13[[#This Row],[Llave]],'[5]Consolidación planes'!$A:$M,13,FALSE),0)</f>
        <v>15000</v>
      </c>
    </row>
    <row r="209" spans="2:32" ht="16" hidden="1" x14ac:dyDescent="0.2">
      <c r="B209" t="str">
        <f>Tabla13[[#This Row],[Oficina]]&amp;Tabla13[[#This Row],[Material]]</f>
        <v>Exportacion Directa1023194</v>
      </c>
      <c r="C209" t="s">
        <v>6</v>
      </c>
      <c r="D209" t="s">
        <v>88</v>
      </c>
      <c r="E209">
        <v>1023194</v>
      </c>
      <c r="F209" t="s">
        <v>128</v>
      </c>
      <c r="G209" t="s">
        <v>56</v>
      </c>
      <c r="H209" t="s">
        <v>57</v>
      </c>
      <c r="I209" s="7">
        <f>IFERROR(VLOOKUP(Tabla13[[#This Row],[Llave]],'[1]Consolidado RV'!$B:$H,6,FALSE),0)</f>
        <v>5333.1389999999992</v>
      </c>
      <c r="J209" s="3">
        <f>IFERROR(VLOOKUP(Tabla13[[#This Row],[Llave]],'[1]Consolidado RV'!$B:$H,7,FALSE),0)</f>
        <v>6000</v>
      </c>
      <c r="K209" s="8">
        <f>IFERROR(VLOOKUP(Tabla13[[#This Row],[Oficina]],#REF!,2,FALSE),0)</f>
        <v>0</v>
      </c>
      <c r="L209" s="7">
        <f>+Tabla13[[#This Row],[ RV Producción mes n+1]]*Tabla13[[#This Row],[% Uti. producción]]</f>
        <v>0</v>
      </c>
      <c r="M209" s="7">
        <f>IFERROR(VLOOKUP(Tabla13[[#This Row],[Material]],#REF!,2,FALSE),0)</f>
        <v>0</v>
      </c>
      <c r="N209" s="7">
        <f>IFERROR(VLOOKUP(Tabla13[[#This Row],[Llave]],'En puerto-Programado'!A:D,4,FALSE)+VLOOKUP(Tabla13[[#This Row],[Llave]],'Por despachar'!A:F,6,FALSE),0)</f>
        <v>3042.8829142124368</v>
      </c>
      <c r="O209" s="7">
        <f>IFERROR(VLOOKUP(Tabla13[[#This Row],[Material]],[2]Consolidado!$C:$D,2,FALSE),0)</f>
        <v>1840</v>
      </c>
      <c r="P209" s="7">
        <f>IFERROR(VLOOKUP(Tabla13[[#This Row],[Llave]],'Por despachar'!A:E,5,FALSE),0)</f>
        <v>0</v>
      </c>
      <c r="Q209" s="14">
        <f>SUM(Tabla13[[#This Row],[Producción disponible]],Tabla13[[#This Row],[Stock al día]],Tabla13[[#This Row],[Por producir Abr.]])-SUM(Tabla13[[#This Row],[Stock por despachar N]],Tabla13[[#This Row],[Producción por despachar mes N]])</f>
        <v>-1202.8829142124368</v>
      </c>
      <c r="R209" s="7">
        <f>IFERROR(VLOOKUP(Tabla13[[#This Row],[Llave]],[3]Hoja2!$A:$D,4,FALSE),0)</f>
        <v>6000</v>
      </c>
      <c r="S209" s="9">
        <f>IFERROR(VLOOKUP(Tabla13[[#This Row],[Material]],[4]Hoja1!$B:$C,2,FALSE),0)</f>
        <v>2000</v>
      </c>
      <c r="T209" s="5">
        <f t="shared" si="7"/>
        <v>0</v>
      </c>
      <c r="U209" s="3">
        <f>+Tabla13[[#This Row],[Total disponible]]-Tabla13[[#This Row],[Atraso a facturar]]</f>
        <v>-1202.8829142124368</v>
      </c>
      <c r="V209" s="6">
        <f t="shared" si="6"/>
        <v>0</v>
      </c>
      <c r="W209" s="3" t="str">
        <f>IF(Tabla13[[#This Row],[Venta del mes]]&gt;Tabla13[[#This Row],[ RV  Venta mes n+1]],"Falta venta","-")</f>
        <v>-</v>
      </c>
      <c r="X209" s="7"/>
      <c r="Y209" s="18">
        <v>0</v>
      </c>
      <c r="Z209" s="5">
        <f>+Tabla13[[#This Row],[Atraso a facturar]]+Tabla13[[#This Row],[Venta del mes]]+Tabla13[[#This Row],[Ajuste]]</f>
        <v>0</v>
      </c>
      <c r="AA209" s="6">
        <f>+Tabla13[[#This Row],[Atraso a facturar]]+Tabla13[[#This Row],[Venta del mes]]+Tabla13[[#This Row],[En puerto a facturar]]</f>
        <v>0</v>
      </c>
      <c r="AB209" s="20">
        <f>IFERROR(VLOOKUP(Tabla13[[#This Row],[Llave]],'[5]Consolidación planes'!$A:$M,9,FALSE),0)</f>
        <v>9000</v>
      </c>
      <c r="AC209" s="20">
        <f>IFERROR(VLOOKUP(Tabla13[[#This Row],[Llave]],'[5]Consolidación planes'!$A:$M,10,FALSE),0)</f>
        <v>5000</v>
      </c>
      <c r="AD209" s="20">
        <f>IFERROR(VLOOKUP(Tabla13[[#This Row],[Llave]],'[5]Consolidación planes'!$A:$M,11,FALSE),0)</f>
        <v>6000</v>
      </c>
      <c r="AE209" s="20">
        <f>IFERROR(VLOOKUP(Tabla13[[#This Row],[Llave]],'[5]Consolidación planes'!$A:$M,12,FALSE),0)</f>
        <v>12000</v>
      </c>
      <c r="AF209" s="20">
        <f>IFERROR(VLOOKUP(Tabla13[[#This Row],[Llave]],'[5]Consolidación planes'!$A:$M,13,FALSE),0)</f>
        <v>7000</v>
      </c>
    </row>
    <row r="210" spans="2:32" ht="16" hidden="1" x14ac:dyDescent="0.2">
      <c r="B210" t="str">
        <f>Tabla13[[#This Row],[Oficina]]&amp;Tabla13[[#This Row],[Material]]</f>
        <v>Exportacion Directa1023301</v>
      </c>
      <c r="C210" t="s">
        <v>6</v>
      </c>
      <c r="D210" t="s">
        <v>88</v>
      </c>
      <c r="E210">
        <v>1023301</v>
      </c>
      <c r="F210" t="s">
        <v>100</v>
      </c>
      <c r="G210" t="s">
        <v>50</v>
      </c>
      <c r="H210" t="s">
        <v>95</v>
      </c>
      <c r="I210" s="7">
        <f>IFERROR(VLOOKUP(Tabla13[[#This Row],[Llave]],'[1]Consolidado RV'!$B:$H,6,FALSE),0)</f>
        <v>45581.201000000001</v>
      </c>
      <c r="J210" s="3">
        <f>IFERROR(VLOOKUP(Tabla13[[#This Row],[Llave]],'[1]Consolidado RV'!$B:$H,7,FALSE),0)</f>
        <v>23499.999999999996</v>
      </c>
      <c r="K210" s="8">
        <f>IFERROR(VLOOKUP(Tabla13[[#This Row],[Oficina]],#REF!,2,FALSE),0)</f>
        <v>0</v>
      </c>
      <c r="L210" s="7">
        <f>+Tabla13[[#This Row],[ RV Producción mes n+1]]*Tabla13[[#This Row],[% Uti. producción]]</f>
        <v>0</v>
      </c>
      <c r="M210" s="7">
        <f>IFERROR(VLOOKUP(Tabla13[[#This Row],[Material]],#REF!,2,FALSE),0)</f>
        <v>0</v>
      </c>
      <c r="N210" s="7">
        <f>IFERROR(VLOOKUP(Tabla13[[#This Row],[Llave]],'En puerto-Programado'!A:D,4,FALSE)+VLOOKUP(Tabla13[[#This Row],[Llave]],'Por despachar'!A:F,6,FALSE),0)</f>
        <v>35753.874241996135</v>
      </c>
      <c r="O210" s="7">
        <f>IFERROR(VLOOKUP(Tabla13[[#This Row],[Material]],[2]Consolidado!$C:$D,2,FALSE),0)</f>
        <v>0</v>
      </c>
      <c r="P210" s="7">
        <f>IFERROR(VLOOKUP(Tabla13[[#This Row],[Llave]],'Por despachar'!A:E,5,FALSE),0)</f>
        <v>0</v>
      </c>
      <c r="Q210" s="14">
        <f>SUM(Tabla13[[#This Row],[Producción disponible]],Tabla13[[#This Row],[Stock al día]],Tabla13[[#This Row],[Por producir Abr.]])-SUM(Tabla13[[#This Row],[Stock por despachar N]],Tabla13[[#This Row],[Producción por despachar mes N]])</f>
        <v>-35753.874241996135</v>
      </c>
      <c r="R210" s="7">
        <f>IFERROR(VLOOKUP(Tabla13[[#This Row],[Llave]],[3]Hoja2!$A:$D,4,FALSE),0)</f>
        <v>23500</v>
      </c>
      <c r="S210" s="9">
        <f>IFERROR(VLOOKUP(Tabla13[[#This Row],[Material]],[4]Hoja1!$B:$C,2,FALSE),0)</f>
        <v>23500</v>
      </c>
      <c r="T210" s="5">
        <f t="shared" si="7"/>
        <v>-23500</v>
      </c>
      <c r="U210" s="3">
        <f>+Tabla13[[#This Row],[Total disponible]]-Tabla13[[#This Row],[Atraso a facturar]]</f>
        <v>-12253.874241996135</v>
      </c>
      <c r="V210" s="6">
        <f t="shared" si="6"/>
        <v>0</v>
      </c>
      <c r="W210" s="3" t="str">
        <f>IF(Tabla13[[#This Row],[Venta del mes]]&gt;Tabla13[[#This Row],[ RV  Venta mes n+1]],"Falta venta","-")</f>
        <v>-</v>
      </c>
      <c r="X210" s="7"/>
      <c r="Y210" s="18">
        <v>0</v>
      </c>
      <c r="Z210" s="5">
        <f>+Tabla13[[#This Row],[Atraso a facturar]]+Tabla13[[#This Row],[Venta del mes]]+Tabla13[[#This Row],[Ajuste]]</f>
        <v>-23500</v>
      </c>
      <c r="AA210" s="6">
        <f>+Tabla13[[#This Row],[Atraso a facturar]]+Tabla13[[#This Row],[Venta del mes]]+Tabla13[[#This Row],[En puerto a facturar]]</f>
        <v>-23500</v>
      </c>
      <c r="AB210" s="20">
        <f>IFERROR(VLOOKUP(Tabla13[[#This Row],[Llave]],'[5]Consolidación planes'!$A:$M,9,FALSE),0)</f>
        <v>60000</v>
      </c>
      <c r="AC210" s="20">
        <f>IFERROR(VLOOKUP(Tabla13[[#This Row],[Llave]],'[5]Consolidación planes'!$A:$M,10,FALSE),0)</f>
        <v>70000</v>
      </c>
      <c r="AD210" s="20">
        <f>IFERROR(VLOOKUP(Tabla13[[#This Row],[Llave]],'[5]Consolidación planes'!$A:$M,11,FALSE),0)</f>
        <v>35000</v>
      </c>
      <c r="AE210" s="20">
        <f>IFERROR(VLOOKUP(Tabla13[[#This Row],[Llave]],'[5]Consolidación planes'!$A:$M,12,FALSE),0)</f>
        <v>23500</v>
      </c>
      <c r="AF210" s="20">
        <f>IFERROR(VLOOKUP(Tabla13[[#This Row],[Llave]],'[5]Consolidación planes'!$A:$M,13,FALSE),0)</f>
        <v>23500</v>
      </c>
    </row>
    <row r="211" spans="2:32" ht="16" hidden="1" x14ac:dyDescent="0.2">
      <c r="B211" t="str">
        <f>Tabla13[[#This Row],[Oficina]]&amp;Tabla13[[#This Row],[Material]]</f>
        <v>Exportacion Directa1023349</v>
      </c>
      <c r="C211" t="s">
        <v>6</v>
      </c>
      <c r="D211" t="s">
        <v>88</v>
      </c>
      <c r="E211">
        <v>1023349</v>
      </c>
      <c r="F211" t="s">
        <v>301</v>
      </c>
      <c r="G211" t="s">
        <v>50</v>
      </c>
      <c r="H211" t="s">
        <v>51</v>
      </c>
      <c r="I211" s="7">
        <f>IFERROR(VLOOKUP(Tabla13[[#This Row],[Llave]],'[1]Consolidado RV'!$B:$H,6,FALSE),0)</f>
        <v>6215.259</v>
      </c>
      <c r="J211" s="3">
        <f>IFERROR(VLOOKUP(Tabla13[[#This Row],[Llave]],'[1]Consolidado RV'!$B:$H,7,FALSE),0)</f>
        <v>5000</v>
      </c>
      <c r="K211" s="8">
        <f>IFERROR(VLOOKUP(Tabla13[[#This Row],[Oficina]],#REF!,2,FALSE),0)</f>
        <v>0</v>
      </c>
      <c r="L211" s="7">
        <f>+Tabla13[[#This Row],[ RV Producción mes n+1]]*Tabla13[[#This Row],[% Uti. producción]]</f>
        <v>0</v>
      </c>
      <c r="M211" s="7">
        <f>IFERROR(VLOOKUP(Tabla13[[#This Row],[Material]],#REF!,2,FALSE),0)</f>
        <v>0</v>
      </c>
      <c r="N211" s="7">
        <f>IFERROR(VLOOKUP(Tabla13[[#This Row],[Llave]],'En puerto-Programado'!A:D,4,FALSE)+VLOOKUP(Tabla13[[#This Row],[Llave]],'Por despachar'!A:F,6,FALSE),0)</f>
        <v>3803.6036427655458</v>
      </c>
      <c r="O211" s="7">
        <f>IFERROR(VLOOKUP(Tabla13[[#This Row],[Material]],[2]Consolidado!$C:$D,2,FALSE),0)</f>
        <v>0</v>
      </c>
      <c r="P211" s="7">
        <f>IFERROR(VLOOKUP(Tabla13[[#This Row],[Llave]],'Por despachar'!A:E,5,FALSE),0)</f>
        <v>0</v>
      </c>
      <c r="Q211" s="14">
        <f>SUM(Tabla13[[#This Row],[Producción disponible]],Tabla13[[#This Row],[Stock al día]],Tabla13[[#This Row],[Por producir Abr.]])-SUM(Tabla13[[#This Row],[Stock por despachar N]],Tabla13[[#This Row],[Producción por despachar mes N]])</f>
        <v>-3803.6036427655458</v>
      </c>
      <c r="R211" s="7">
        <f>IFERROR(VLOOKUP(Tabla13[[#This Row],[Llave]],[3]Hoja2!$A:$D,4,FALSE),0)</f>
        <v>7500</v>
      </c>
      <c r="S211" s="9">
        <f>IFERROR(VLOOKUP(Tabla13[[#This Row],[Material]],[4]Hoja1!$B:$C,2,FALSE),0)</f>
        <v>2500</v>
      </c>
      <c r="T211" s="5">
        <f t="shared" si="7"/>
        <v>-2500</v>
      </c>
      <c r="U211" s="3">
        <f>+Tabla13[[#This Row],[Total disponible]]-Tabla13[[#This Row],[Atraso a facturar]]</f>
        <v>-1303.6036427655458</v>
      </c>
      <c r="V211" s="6">
        <f t="shared" si="6"/>
        <v>0</v>
      </c>
      <c r="W211" s="3" t="str">
        <f>IF(Tabla13[[#This Row],[Venta del mes]]&gt;Tabla13[[#This Row],[ RV  Venta mes n+1]],"Falta venta","-")</f>
        <v>-</v>
      </c>
      <c r="X211" s="7"/>
      <c r="Y211" s="18">
        <v>0</v>
      </c>
      <c r="Z211" s="5">
        <f>+Tabla13[[#This Row],[Atraso a facturar]]+Tabla13[[#This Row],[Venta del mes]]+Tabla13[[#This Row],[Ajuste]]</f>
        <v>-2500</v>
      </c>
      <c r="AA211" s="6">
        <f>+Tabla13[[#This Row],[Atraso a facturar]]+Tabla13[[#This Row],[Venta del mes]]+Tabla13[[#This Row],[En puerto a facturar]]</f>
        <v>-2500</v>
      </c>
      <c r="AB211" s="20">
        <f>IFERROR(VLOOKUP(Tabla13[[#This Row],[Llave]],'[5]Consolidación planes'!$A:$M,9,FALSE),0)</f>
        <v>0</v>
      </c>
      <c r="AC211" s="20">
        <f>IFERROR(VLOOKUP(Tabla13[[#This Row],[Llave]],'[5]Consolidación planes'!$A:$M,10,FALSE),0)</f>
        <v>0</v>
      </c>
      <c r="AD211" s="20">
        <f>IFERROR(VLOOKUP(Tabla13[[#This Row],[Llave]],'[5]Consolidación planes'!$A:$M,11,FALSE),0)</f>
        <v>2000</v>
      </c>
      <c r="AE211" s="20">
        <f>IFERROR(VLOOKUP(Tabla13[[#This Row],[Llave]],'[5]Consolidación planes'!$A:$M,12,FALSE),0)</f>
        <v>5000</v>
      </c>
      <c r="AF211" s="20">
        <f>IFERROR(VLOOKUP(Tabla13[[#This Row],[Llave]],'[5]Consolidación planes'!$A:$M,13,FALSE),0)</f>
        <v>7500</v>
      </c>
    </row>
    <row r="212" spans="2:32" ht="16" hidden="1" x14ac:dyDescent="0.2">
      <c r="B212" t="str">
        <f>Tabla13[[#This Row],[Oficina]]&amp;Tabla13[[#This Row],[Material]]</f>
        <v>Exportacion Directa1023350</v>
      </c>
      <c r="C212" t="s">
        <v>6</v>
      </c>
      <c r="D212" t="s">
        <v>88</v>
      </c>
      <c r="E212">
        <v>1023350</v>
      </c>
      <c r="F212" t="s">
        <v>302</v>
      </c>
      <c r="G212" t="s">
        <v>50</v>
      </c>
      <c r="H212" t="s">
        <v>110</v>
      </c>
      <c r="I212" s="7">
        <f>IFERROR(VLOOKUP(Tabla13[[#This Row],[Llave]],'[1]Consolidado RV'!$B:$H,6,FALSE),0)</f>
        <v>15802.952961834259</v>
      </c>
      <c r="J212" s="3">
        <f>IFERROR(VLOOKUP(Tabla13[[#This Row],[Llave]],'[1]Consolidado RV'!$B:$H,7,FALSE),0)</f>
        <v>20000.0003</v>
      </c>
      <c r="K212" s="8">
        <f>IFERROR(VLOOKUP(Tabla13[[#This Row],[Oficina]],#REF!,2,FALSE),0)</f>
        <v>0</v>
      </c>
      <c r="L212" s="7">
        <f>+Tabla13[[#This Row],[ RV Producción mes n+1]]*Tabla13[[#This Row],[% Uti. producción]]</f>
        <v>0</v>
      </c>
      <c r="M212" s="7">
        <f>IFERROR(VLOOKUP(Tabla13[[#This Row],[Material]],#REF!,2,FALSE),0)</f>
        <v>0</v>
      </c>
      <c r="N212" s="7">
        <f>IFERROR(VLOOKUP(Tabla13[[#This Row],[Llave]],'En puerto-Programado'!A:D,4,FALSE)+VLOOKUP(Tabla13[[#This Row],[Llave]],'Por despachar'!A:F,6,FALSE),0)</f>
        <v>19018.018213827731</v>
      </c>
      <c r="O212" s="7">
        <f>IFERROR(VLOOKUP(Tabla13[[#This Row],[Material]],[2]Consolidado!$C:$D,2,FALSE),0)</f>
        <v>5105.0482705325958</v>
      </c>
      <c r="P212" s="7">
        <f>IFERROR(VLOOKUP(Tabla13[[#This Row],[Llave]],'Por despachar'!A:E,5,FALSE),0)</f>
        <v>0</v>
      </c>
      <c r="Q212" s="14">
        <f>SUM(Tabla13[[#This Row],[Producción disponible]],Tabla13[[#This Row],[Stock al día]],Tabla13[[#This Row],[Por producir Abr.]])-SUM(Tabla13[[#This Row],[Stock por despachar N]],Tabla13[[#This Row],[Producción por despachar mes N]])</f>
        <v>-13912.969943295135</v>
      </c>
      <c r="R212" s="7">
        <f>IFERROR(VLOOKUP(Tabla13[[#This Row],[Llave]],[3]Hoja2!$A:$D,4,FALSE),0)</f>
        <v>20000</v>
      </c>
      <c r="S212" s="9">
        <f>IFERROR(VLOOKUP(Tabla13[[#This Row],[Material]],[4]Hoja1!$B:$C,2,FALSE),0)</f>
        <v>5000</v>
      </c>
      <c r="T212" s="5">
        <f t="shared" si="7"/>
        <v>-10000</v>
      </c>
      <c r="U212" s="3">
        <f>+Tabla13[[#This Row],[Total disponible]]-Tabla13[[#This Row],[Atraso a facturar]]</f>
        <v>-3912.9699432951347</v>
      </c>
      <c r="V212" s="6">
        <f t="shared" si="6"/>
        <v>0</v>
      </c>
      <c r="W212" s="3" t="str">
        <f>IF(Tabla13[[#This Row],[Venta del mes]]&gt;Tabla13[[#This Row],[ RV  Venta mes n+1]],"Falta venta","-")</f>
        <v>-</v>
      </c>
      <c r="X212" s="7"/>
      <c r="Y212" s="18">
        <v>0</v>
      </c>
      <c r="Z212" s="5">
        <f>+Tabla13[[#This Row],[Atraso a facturar]]+Tabla13[[#This Row],[Venta del mes]]+Tabla13[[#This Row],[Ajuste]]</f>
        <v>-10000</v>
      </c>
      <c r="AA212" s="6">
        <f>+Tabla13[[#This Row],[Atraso a facturar]]+Tabla13[[#This Row],[Venta del mes]]+Tabla13[[#This Row],[En puerto a facturar]]</f>
        <v>-10000</v>
      </c>
      <c r="AB212" s="20">
        <f>IFERROR(VLOOKUP(Tabla13[[#This Row],[Llave]],'[5]Consolidación planes'!$A:$M,9,FALSE),0)</f>
        <v>0</v>
      </c>
      <c r="AC212" s="20">
        <f>IFERROR(VLOOKUP(Tabla13[[#This Row],[Llave]],'[5]Consolidación planes'!$A:$M,10,FALSE),0)</f>
        <v>0</v>
      </c>
      <c r="AD212" s="20">
        <f>IFERROR(VLOOKUP(Tabla13[[#This Row],[Llave]],'[5]Consolidación planes'!$A:$M,11,FALSE),0)</f>
        <v>35000</v>
      </c>
      <c r="AE212" s="20">
        <f>IFERROR(VLOOKUP(Tabla13[[#This Row],[Llave]],'[5]Consolidación planes'!$A:$M,12,FALSE),0)</f>
        <v>15000</v>
      </c>
      <c r="AF212" s="20">
        <f>IFERROR(VLOOKUP(Tabla13[[#This Row],[Llave]],'[5]Consolidación planes'!$A:$M,13,FALSE),0)</f>
        <v>41143</v>
      </c>
    </row>
    <row r="213" spans="2:32" ht="16" hidden="1" x14ac:dyDescent="0.2">
      <c r="B213" t="str">
        <f>Tabla13[[#This Row],[Oficina]]&amp;Tabla13[[#This Row],[Material]]</f>
        <v>Exportacion Directa1023351</v>
      </c>
      <c r="C213" t="s">
        <v>6</v>
      </c>
      <c r="D213" t="s">
        <v>88</v>
      </c>
      <c r="E213">
        <v>1023351</v>
      </c>
      <c r="F213" t="s">
        <v>303</v>
      </c>
      <c r="G213" t="s">
        <v>56</v>
      </c>
      <c r="H213" t="s">
        <v>57</v>
      </c>
      <c r="I213" s="7">
        <f>IFERROR(VLOOKUP(Tabla13[[#This Row],[Llave]],'[1]Consolidado RV'!$B:$H,6,FALSE),0)</f>
        <v>7837.7659999999996</v>
      </c>
      <c r="J213" s="3">
        <f>IFERROR(VLOOKUP(Tabla13[[#This Row],[Llave]],'[1]Consolidado RV'!$B:$H,7,FALSE),0)</f>
        <v>5000</v>
      </c>
      <c r="K213" s="8">
        <f>IFERROR(VLOOKUP(Tabla13[[#This Row],[Oficina]],#REF!,2,FALSE),0)</f>
        <v>0</v>
      </c>
      <c r="L213" s="7">
        <f>+Tabla13[[#This Row],[ RV Producción mes n+1]]*Tabla13[[#This Row],[% Uti. producción]]</f>
        <v>0</v>
      </c>
      <c r="M213" s="7">
        <f>IFERROR(VLOOKUP(Tabla13[[#This Row],[Material]],#REF!,2,FALSE),0)</f>
        <v>0</v>
      </c>
      <c r="N213" s="7">
        <f>IFERROR(VLOOKUP(Tabla13[[#This Row],[Llave]],'En puerto-Programado'!A:D,4,FALSE)+VLOOKUP(Tabla13[[#This Row],[Llave]],'Por despachar'!A:F,6,FALSE),0)</f>
        <v>0</v>
      </c>
      <c r="O213" s="7">
        <f>IFERROR(VLOOKUP(Tabla13[[#This Row],[Material]],[2]Consolidado!$C:$D,2,FALSE),0)</f>
        <v>0</v>
      </c>
      <c r="P213" s="7">
        <f>IFERROR(VLOOKUP(Tabla13[[#This Row],[Llave]],'Por despachar'!A:E,5,FALSE),0)</f>
        <v>0</v>
      </c>
      <c r="Q21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13" s="7">
        <f>IFERROR(VLOOKUP(Tabla13[[#This Row],[Llave]],[3]Hoja2!$A:$D,4,FALSE),0)</f>
        <v>5000</v>
      </c>
      <c r="S213" s="9">
        <f>IFERROR(VLOOKUP(Tabla13[[#This Row],[Material]],[4]Hoja1!$B:$C,2,FALSE),0)</f>
        <v>10000</v>
      </c>
      <c r="T213" s="5">
        <f t="shared" si="7"/>
        <v>0</v>
      </c>
      <c r="U213" s="3">
        <f>+Tabla13[[#This Row],[Total disponible]]-Tabla13[[#This Row],[Atraso a facturar]]</f>
        <v>0</v>
      </c>
      <c r="V213" s="6">
        <f t="shared" si="6"/>
        <v>0</v>
      </c>
      <c r="W213" s="3" t="str">
        <f>IF(Tabla13[[#This Row],[Venta del mes]]&gt;Tabla13[[#This Row],[ RV  Venta mes n+1]],"Falta venta","-")</f>
        <v>-</v>
      </c>
      <c r="X213" s="7"/>
      <c r="Y213" s="18">
        <v>0</v>
      </c>
      <c r="Z213" s="5">
        <f>+Tabla13[[#This Row],[Atraso a facturar]]+Tabla13[[#This Row],[Venta del mes]]+Tabla13[[#This Row],[Ajuste]]</f>
        <v>0</v>
      </c>
      <c r="AA213" s="6">
        <f>+Tabla13[[#This Row],[Atraso a facturar]]+Tabla13[[#This Row],[Venta del mes]]+Tabla13[[#This Row],[En puerto a facturar]]</f>
        <v>0</v>
      </c>
      <c r="AB213" s="20">
        <f>IFERROR(VLOOKUP(Tabla13[[#This Row],[Llave]],'[5]Consolidación planes'!$A:$M,9,FALSE),0)</f>
        <v>0</v>
      </c>
      <c r="AC213" s="20">
        <f>IFERROR(VLOOKUP(Tabla13[[#This Row],[Llave]],'[5]Consolidación planes'!$A:$M,10,FALSE),0)</f>
        <v>0</v>
      </c>
      <c r="AD213" s="20">
        <f>IFERROR(VLOOKUP(Tabla13[[#This Row],[Llave]],'[5]Consolidación planes'!$A:$M,11,FALSE),0)</f>
        <v>3000</v>
      </c>
      <c r="AE213" s="20">
        <f>IFERROR(VLOOKUP(Tabla13[[#This Row],[Llave]],'[5]Consolidación planes'!$A:$M,12,FALSE),0)</f>
        <v>8000</v>
      </c>
      <c r="AF213" s="20">
        <f>IFERROR(VLOOKUP(Tabla13[[#This Row],[Llave]],'[5]Consolidación planes'!$A:$M,13,FALSE),0)</f>
        <v>8214</v>
      </c>
    </row>
    <row r="214" spans="2:32" ht="16" hidden="1" x14ac:dyDescent="0.2">
      <c r="B214" t="str">
        <f>Tabla13[[#This Row],[Oficina]]&amp;Tabla13[[#This Row],[Material]]</f>
        <v>Exportacion Directa1023352</v>
      </c>
      <c r="C214" t="s">
        <v>6</v>
      </c>
      <c r="D214" t="s">
        <v>88</v>
      </c>
      <c r="E214">
        <v>1023352</v>
      </c>
      <c r="F214" t="s">
        <v>304</v>
      </c>
      <c r="G214" t="s">
        <v>56</v>
      </c>
      <c r="H214" t="s">
        <v>57</v>
      </c>
      <c r="I214" s="7">
        <f>IFERROR(VLOOKUP(Tabla13[[#This Row],[Llave]],'[1]Consolidado RV'!$B:$H,6,FALSE),0)</f>
        <v>50562.828999999998</v>
      </c>
      <c r="J214" s="3">
        <f>IFERROR(VLOOKUP(Tabla13[[#This Row],[Llave]],'[1]Consolidado RV'!$B:$H,7,FALSE),0)</f>
        <v>0</v>
      </c>
      <c r="K214" s="8">
        <f>IFERROR(VLOOKUP(Tabla13[[#This Row],[Oficina]],#REF!,2,FALSE),0)</f>
        <v>0</v>
      </c>
      <c r="L214" s="7">
        <f>+Tabla13[[#This Row],[ RV Producción mes n+1]]*Tabla13[[#This Row],[% Uti. producción]]</f>
        <v>0</v>
      </c>
      <c r="M214" s="7">
        <f>IFERROR(VLOOKUP(Tabla13[[#This Row],[Material]],#REF!,2,FALSE),0)</f>
        <v>0</v>
      </c>
      <c r="N214" s="7">
        <f>IFERROR(VLOOKUP(Tabla13[[#This Row],[Llave]],'En puerto-Programado'!A:D,4,FALSE)+VLOOKUP(Tabla13[[#This Row],[Llave]],'Por despachar'!A:F,6,FALSE),0)</f>
        <v>65421.982655567394</v>
      </c>
      <c r="O214" s="7">
        <f>IFERROR(VLOOKUP(Tabla13[[#This Row],[Material]],[2]Consolidado!$C:$D,2,FALSE),0)</f>
        <v>50688.129551775397</v>
      </c>
      <c r="P214" s="7">
        <f>IFERROR(VLOOKUP(Tabla13[[#This Row],[Llave]],'Por despachar'!A:E,5,FALSE),0)</f>
        <v>0</v>
      </c>
      <c r="Q214" s="14">
        <f>SUM(Tabla13[[#This Row],[Producción disponible]],Tabla13[[#This Row],[Stock al día]],Tabla13[[#This Row],[Por producir Abr.]])-SUM(Tabla13[[#This Row],[Stock por despachar N]],Tabla13[[#This Row],[Producción por despachar mes N]])</f>
        <v>-14733.853103791997</v>
      </c>
      <c r="R214" s="7">
        <f>IFERROR(VLOOKUP(Tabla13[[#This Row],[Llave]],[3]Hoja2!$A:$D,4,FALSE),0)</f>
        <v>163000</v>
      </c>
      <c r="S214" s="9">
        <f>IFERROR(VLOOKUP(Tabla13[[#This Row],[Material]],[4]Hoja1!$B:$C,2,FALSE),0)</f>
        <v>6470.588235294118</v>
      </c>
      <c r="T214" s="5">
        <f t="shared" si="7"/>
        <v>-12941.176470588236</v>
      </c>
      <c r="U214" s="3">
        <f>+Tabla13[[#This Row],[Total disponible]]-Tabla13[[#This Row],[Atraso a facturar]]</f>
        <v>-1792.6766332037605</v>
      </c>
      <c r="V214" s="6">
        <f t="shared" si="6"/>
        <v>0</v>
      </c>
      <c r="W214" s="3" t="str">
        <f>IF(Tabla13[[#This Row],[Venta del mes]]&gt;Tabla13[[#This Row],[ RV  Venta mes n+1]],"Falta venta","-")</f>
        <v>-</v>
      </c>
      <c r="X214" s="7"/>
      <c r="Y214" s="18">
        <v>0</v>
      </c>
      <c r="Z214" s="5">
        <f>+Tabla13[[#This Row],[Atraso a facturar]]+Tabla13[[#This Row],[Venta del mes]]+Tabla13[[#This Row],[Ajuste]]</f>
        <v>-12941.176470588236</v>
      </c>
      <c r="AA214" s="6">
        <f>+Tabla13[[#This Row],[Atraso a facturar]]+Tabla13[[#This Row],[Venta del mes]]+Tabla13[[#This Row],[En puerto a facturar]]</f>
        <v>-12941.176470588236</v>
      </c>
      <c r="AB214" s="20">
        <f>IFERROR(VLOOKUP(Tabla13[[#This Row],[Llave]],'[5]Consolidación planes'!$A:$M,9,FALSE),0)</f>
        <v>0</v>
      </c>
      <c r="AC214" s="20">
        <f>IFERROR(VLOOKUP(Tabla13[[#This Row],[Llave]],'[5]Consolidación planes'!$A:$M,10,FALSE),0)</f>
        <v>0</v>
      </c>
      <c r="AD214" s="20">
        <f>IFERROR(VLOOKUP(Tabla13[[#This Row],[Llave]],'[5]Consolidación planes'!$A:$M,11,FALSE),0)</f>
        <v>0</v>
      </c>
      <c r="AE214" s="20">
        <f>IFERROR(VLOOKUP(Tabla13[[#This Row],[Llave]],'[5]Consolidación planes'!$A:$M,12,FALSE),0)</f>
        <v>45000</v>
      </c>
      <c r="AF214" s="20">
        <f>IFERROR(VLOOKUP(Tabla13[[#This Row],[Llave]],'[5]Consolidación planes'!$A:$M,13,FALSE),0)</f>
        <v>118342</v>
      </c>
    </row>
    <row r="215" spans="2:32" ht="16" hidden="1" x14ac:dyDescent="0.2">
      <c r="B215" t="str">
        <f>Tabla13[[#This Row],[Oficina]]&amp;Tabla13[[#This Row],[Material]]</f>
        <v>Agro Sudamerica1030224</v>
      </c>
      <c r="C215" t="s">
        <v>204</v>
      </c>
      <c r="D215" t="s">
        <v>17</v>
      </c>
      <c r="E215">
        <v>1030224</v>
      </c>
      <c r="F215" t="s">
        <v>219</v>
      </c>
      <c r="G215" t="s">
        <v>217</v>
      </c>
      <c r="H215" t="s">
        <v>218</v>
      </c>
      <c r="I215" s="7">
        <f>IFERROR(VLOOKUP(Tabla13[[#This Row],[Llave]],'[1]Consolidado RV'!$B:$H,6,FALSE),0)</f>
        <v>129675.872</v>
      </c>
      <c r="J215" s="3">
        <f>IFERROR(VLOOKUP(Tabla13[[#This Row],[Llave]],'[1]Consolidado RV'!$B:$H,7,FALSE),0)</f>
        <v>144000</v>
      </c>
      <c r="K215" s="8">
        <f>IFERROR(VLOOKUP(Tabla13[[#This Row],[Oficina]],#REF!,2,FALSE),0)</f>
        <v>0</v>
      </c>
      <c r="L215" s="7">
        <f>+Tabla13[[#This Row],[ RV Producción mes n+1]]*Tabla13[[#This Row],[% Uti. producción]]</f>
        <v>0</v>
      </c>
      <c r="M215" s="7">
        <f>IFERROR(VLOOKUP(Tabla13[[#This Row],[Material]],#REF!,2,FALSE),0)</f>
        <v>0</v>
      </c>
      <c r="N215" s="7">
        <f>IFERROR(VLOOKUP(Tabla13[[#This Row],[Llave]],'En puerto-Programado'!A:D,4,FALSE)+VLOOKUP(Tabla13[[#This Row],[Llave]],'Por despachar'!A:F,6,FALSE),0)</f>
        <v>0</v>
      </c>
      <c r="O215" s="7">
        <f>IFERROR(VLOOKUP(Tabla13[[#This Row],[Material]],[2]Consolidado!$C:$D,2,FALSE),0)</f>
        <v>85235.756115136202</v>
      </c>
      <c r="P215" s="7">
        <f>IFERROR(VLOOKUP(Tabla13[[#This Row],[Llave]],'Por despachar'!A:E,5,FALSE),0)</f>
        <v>0</v>
      </c>
      <c r="Q215" s="14">
        <f>SUM(Tabla13[[#This Row],[Producción disponible]],Tabla13[[#This Row],[Stock al día]],Tabla13[[#This Row],[Por producir Abr.]])-SUM(Tabla13[[#This Row],[Stock por despachar N]],Tabla13[[#This Row],[Producción por despachar mes N]])</f>
        <v>85235.756115136202</v>
      </c>
      <c r="R215" s="7">
        <f>IFERROR(VLOOKUP(Tabla13[[#This Row],[Llave]],[3]Hoja2!$A:$D,4,FALSE),0)</f>
        <v>96000</v>
      </c>
      <c r="S215" s="9">
        <f>IFERROR(VLOOKUP(Tabla13[[#This Row],[Material]],[4]Hoja1!$B:$C,2,FALSE),0)</f>
        <v>24000</v>
      </c>
      <c r="T215" s="5">
        <f t="shared" si="7"/>
        <v>72000</v>
      </c>
      <c r="U215" s="3">
        <f>+Tabla13[[#This Row],[Total disponible]]-Tabla13[[#This Row],[Atraso a facturar]]</f>
        <v>13235.756115136202</v>
      </c>
      <c r="V215" s="6">
        <f t="shared" si="6"/>
        <v>0</v>
      </c>
      <c r="W215" s="3" t="str">
        <f>IF(Tabla13[[#This Row],[Venta del mes]]&gt;Tabla13[[#This Row],[ RV  Venta mes n+1]],"Falta venta","-")</f>
        <v>-</v>
      </c>
      <c r="X215" s="7"/>
      <c r="Y215" s="18">
        <v>0</v>
      </c>
      <c r="Z215" s="5">
        <f>+Tabla13[[#This Row],[Atraso a facturar]]+Tabla13[[#This Row],[Venta del mes]]+Tabla13[[#This Row],[Ajuste]]</f>
        <v>72000</v>
      </c>
      <c r="AA215" s="6">
        <f>+Tabla13[[#This Row],[Atraso a facturar]]+Tabla13[[#This Row],[Venta del mes]]+Tabla13[[#This Row],[En puerto a facturar]]</f>
        <v>72000</v>
      </c>
      <c r="AB215" s="20">
        <f>IFERROR(VLOOKUP(Tabla13[[#This Row],[Llave]],'[5]Consolidación planes'!$A:$M,9,FALSE),0)</f>
        <v>48000</v>
      </c>
      <c r="AC215" s="20">
        <f>IFERROR(VLOOKUP(Tabla13[[#This Row],[Llave]],'[5]Consolidación planes'!$A:$M,10,FALSE),0)</f>
        <v>72000</v>
      </c>
      <c r="AD215" s="20">
        <f>IFERROR(VLOOKUP(Tabla13[[#This Row],[Llave]],'[5]Consolidación planes'!$A:$M,11,FALSE),0)</f>
        <v>48000</v>
      </c>
      <c r="AE215" s="20">
        <f>IFERROR(VLOOKUP(Tabla13[[#This Row],[Llave]],'[5]Consolidación planes'!$A:$M,12,FALSE),0)</f>
        <v>48000</v>
      </c>
      <c r="AF215" s="20">
        <f>IFERROR(VLOOKUP(Tabla13[[#This Row],[Llave]],'[5]Consolidación planes'!$A:$M,13,FALSE),0)</f>
        <v>48000</v>
      </c>
    </row>
    <row r="216" spans="2:32" ht="16" hidden="1" x14ac:dyDescent="0.2">
      <c r="B216" t="str">
        <f>Tabla13[[#This Row],[Oficina]]&amp;Tabla13[[#This Row],[Material]]</f>
        <v>Agro Sudamerica1030332</v>
      </c>
      <c r="C216" t="s">
        <v>204</v>
      </c>
      <c r="D216" t="s">
        <v>17</v>
      </c>
      <c r="E216">
        <v>1030332</v>
      </c>
      <c r="F216" t="s">
        <v>207</v>
      </c>
      <c r="G216" t="s">
        <v>205</v>
      </c>
      <c r="H216" t="s">
        <v>206</v>
      </c>
      <c r="I216" s="7">
        <f>IFERROR(VLOOKUP(Tabla13[[#This Row],[Llave]],'[1]Consolidado RV'!$B:$H,6,FALSE),0)</f>
        <v>0</v>
      </c>
      <c r="J216" s="3">
        <f>IFERROR(VLOOKUP(Tabla13[[#This Row],[Llave]],'[1]Consolidado RV'!$B:$H,7,FALSE),0)</f>
        <v>0</v>
      </c>
      <c r="K216" s="8">
        <f>IFERROR(VLOOKUP(Tabla13[[#This Row],[Oficina]],#REF!,2,FALSE),0)</f>
        <v>0</v>
      </c>
      <c r="L216" s="7">
        <f>+Tabla13[[#This Row],[ RV Producción mes n+1]]*Tabla13[[#This Row],[% Uti. producción]]</f>
        <v>0</v>
      </c>
      <c r="M216" s="7">
        <f>IFERROR(VLOOKUP(Tabla13[[#This Row],[Material]],#REF!,2,FALSE),0)</f>
        <v>0</v>
      </c>
      <c r="N216" s="7">
        <f>IFERROR(VLOOKUP(Tabla13[[#This Row],[Llave]],'En puerto-Programado'!A:D,4,FALSE)+VLOOKUP(Tabla13[[#This Row],[Llave]],'Por despachar'!A:F,6,FALSE),0)</f>
        <v>0</v>
      </c>
      <c r="O216" s="7">
        <f>IFERROR(VLOOKUP(Tabla13[[#This Row],[Material]],[2]Consolidado!$C:$D,2,FALSE),0)</f>
        <v>16324.753997141264</v>
      </c>
      <c r="P216" s="7">
        <f>IFERROR(VLOOKUP(Tabla13[[#This Row],[Llave]],'Por despachar'!A:E,5,FALSE),0)</f>
        <v>0</v>
      </c>
      <c r="Q216" s="14">
        <f>SUM(Tabla13[[#This Row],[Producción disponible]],Tabla13[[#This Row],[Stock al día]],Tabla13[[#This Row],[Por producir Abr.]])-SUM(Tabla13[[#This Row],[Stock por despachar N]],Tabla13[[#This Row],[Producción por despachar mes N]])</f>
        <v>16324.753997141264</v>
      </c>
      <c r="R216" s="7">
        <f>IFERROR(VLOOKUP(Tabla13[[#This Row],[Llave]],[3]Hoja2!$A:$D,4,FALSE),0)</f>
        <v>0</v>
      </c>
      <c r="S216" s="9">
        <f>IFERROR(VLOOKUP(Tabla13[[#This Row],[Material]],[4]Hoja1!$B:$C,2,FALSE),0)</f>
        <v>24000</v>
      </c>
      <c r="T216" s="5">
        <f t="shared" si="7"/>
        <v>0</v>
      </c>
      <c r="U216" s="3">
        <f>+Tabla13[[#This Row],[Total disponible]]-Tabla13[[#This Row],[Atraso a facturar]]</f>
        <v>16324.753997141264</v>
      </c>
      <c r="V216" s="6">
        <f t="shared" si="6"/>
        <v>0</v>
      </c>
      <c r="W216" s="3" t="str">
        <f>IF(Tabla13[[#This Row],[Venta del mes]]&gt;Tabla13[[#This Row],[ RV  Venta mes n+1]],"Falta venta","-")</f>
        <v>-</v>
      </c>
      <c r="X216" s="7"/>
      <c r="Y216" s="18">
        <v>0</v>
      </c>
      <c r="Z216" s="5">
        <f>+Tabla13[[#This Row],[Atraso a facturar]]+Tabla13[[#This Row],[Venta del mes]]+Tabla13[[#This Row],[Ajuste]]</f>
        <v>0</v>
      </c>
      <c r="AA216" s="6">
        <f>+Tabla13[[#This Row],[Atraso a facturar]]+Tabla13[[#This Row],[Venta del mes]]+Tabla13[[#This Row],[En puerto a facturar]]</f>
        <v>0</v>
      </c>
      <c r="AB216" s="20">
        <f>IFERROR(VLOOKUP(Tabla13[[#This Row],[Llave]],'[5]Consolidación planes'!$A:$M,9,FALSE),0)</f>
        <v>48000</v>
      </c>
      <c r="AC216" s="20">
        <f>IFERROR(VLOOKUP(Tabla13[[#This Row],[Llave]],'[5]Consolidación planes'!$A:$M,10,FALSE),0)</f>
        <v>168000</v>
      </c>
      <c r="AD216" s="20">
        <f>IFERROR(VLOOKUP(Tabla13[[#This Row],[Llave]],'[5]Consolidación planes'!$A:$M,11,FALSE),0)</f>
        <v>72000</v>
      </c>
      <c r="AE216" s="20">
        <f>IFERROR(VLOOKUP(Tabla13[[#This Row],[Llave]],'[5]Consolidación planes'!$A:$M,12,FALSE),0)</f>
        <v>48000</v>
      </c>
      <c r="AF216" s="20">
        <f>IFERROR(VLOOKUP(Tabla13[[#This Row],[Llave]],'[5]Consolidación planes'!$A:$M,13,FALSE),0)</f>
        <v>48000</v>
      </c>
    </row>
    <row r="217" spans="2:32" ht="16" hidden="1" x14ac:dyDescent="0.2">
      <c r="B217" t="str">
        <f>Tabla13[[#This Row],[Oficina]]&amp;Tabla13[[#This Row],[Material]]</f>
        <v>Agro Sudamerica1030498</v>
      </c>
      <c r="C217" t="s">
        <v>204</v>
      </c>
      <c r="D217" t="s">
        <v>17</v>
      </c>
      <c r="E217">
        <v>1030498</v>
      </c>
      <c r="F217" t="s">
        <v>211</v>
      </c>
      <c r="G217" t="s">
        <v>209</v>
      </c>
      <c r="H217" t="s">
        <v>210</v>
      </c>
      <c r="I217" s="7">
        <f>IFERROR(VLOOKUP(Tabla13[[#This Row],[Llave]],'[1]Consolidado RV'!$B:$H,6,FALSE),0)</f>
        <v>24000</v>
      </c>
      <c r="J217" s="3">
        <f>IFERROR(VLOOKUP(Tabla13[[#This Row],[Llave]],'[1]Consolidado RV'!$B:$H,7,FALSE),0)</f>
        <v>24000</v>
      </c>
      <c r="K217" s="8">
        <f>IFERROR(VLOOKUP(Tabla13[[#This Row],[Oficina]],#REF!,2,FALSE),0)</f>
        <v>0</v>
      </c>
      <c r="L217" s="7">
        <f>+Tabla13[[#This Row],[ RV Producción mes n+1]]*Tabla13[[#This Row],[% Uti. producción]]</f>
        <v>0</v>
      </c>
      <c r="M217" s="7">
        <f>IFERROR(VLOOKUP(Tabla13[[#This Row],[Material]],#REF!,2,FALSE),0)</f>
        <v>0</v>
      </c>
      <c r="N217" s="7">
        <f>IFERROR(VLOOKUP(Tabla13[[#This Row],[Llave]],'En puerto-Programado'!A:D,4,FALSE)+VLOOKUP(Tabla13[[#This Row],[Llave]],'Por despachar'!A:F,6,FALSE),0)</f>
        <v>0</v>
      </c>
      <c r="O217" s="7">
        <f>IFERROR(VLOOKUP(Tabla13[[#This Row],[Material]],[2]Consolidado!$C:$D,2,FALSE),0)</f>
        <v>10492.065493111802</v>
      </c>
      <c r="P217" s="7">
        <f>IFERROR(VLOOKUP(Tabla13[[#This Row],[Llave]],'Por despachar'!A:E,5,FALSE),0)</f>
        <v>0</v>
      </c>
      <c r="Q217" s="14">
        <f>SUM(Tabla13[[#This Row],[Producción disponible]],Tabla13[[#This Row],[Stock al día]],Tabla13[[#This Row],[Por producir Abr.]])-SUM(Tabla13[[#This Row],[Stock por despachar N]],Tabla13[[#This Row],[Producción por despachar mes N]])</f>
        <v>10492.065493111802</v>
      </c>
      <c r="R217" s="7">
        <f>IFERROR(VLOOKUP(Tabla13[[#This Row],[Llave]],[3]Hoja2!$A:$D,4,FALSE),0)</f>
        <v>24000</v>
      </c>
      <c r="S217" s="9">
        <f>IFERROR(VLOOKUP(Tabla13[[#This Row],[Material]],[4]Hoja1!$B:$C,2,FALSE),0)</f>
        <v>24000</v>
      </c>
      <c r="T217" s="5">
        <f t="shared" si="7"/>
        <v>0</v>
      </c>
      <c r="U217" s="3">
        <f>+Tabla13[[#This Row],[Total disponible]]-Tabla13[[#This Row],[Atraso a facturar]]</f>
        <v>10492.065493111802</v>
      </c>
      <c r="V217" s="6">
        <f t="shared" si="6"/>
        <v>0</v>
      </c>
      <c r="W217" s="3" t="str">
        <f>IF(Tabla13[[#This Row],[Venta del mes]]&gt;Tabla13[[#This Row],[ RV  Venta mes n+1]],"Falta venta","-")</f>
        <v>-</v>
      </c>
      <c r="X217" s="7"/>
      <c r="Y217" s="18">
        <v>0</v>
      </c>
      <c r="Z217" s="5">
        <f>+Tabla13[[#This Row],[Atraso a facturar]]+Tabla13[[#This Row],[Venta del mes]]+Tabla13[[#This Row],[Ajuste]]</f>
        <v>0</v>
      </c>
      <c r="AA217" s="6">
        <f>+Tabla13[[#This Row],[Atraso a facturar]]+Tabla13[[#This Row],[Venta del mes]]+Tabla13[[#This Row],[En puerto a facturar]]</f>
        <v>0</v>
      </c>
      <c r="AB217" s="20">
        <f>IFERROR(VLOOKUP(Tabla13[[#This Row],[Llave]],'[5]Consolidación planes'!$A:$M,9,FALSE),0)</f>
        <v>0</v>
      </c>
      <c r="AC217" s="20">
        <f>IFERROR(VLOOKUP(Tabla13[[#This Row],[Llave]],'[5]Consolidación planes'!$A:$M,10,FALSE),0)</f>
        <v>0</v>
      </c>
      <c r="AD217" s="20">
        <f>IFERROR(VLOOKUP(Tabla13[[#This Row],[Llave]],'[5]Consolidación planes'!$A:$M,11,FALSE),0)</f>
        <v>0</v>
      </c>
      <c r="AE217" s="20">
        <f>IFERROR(VLOOKUP(Tabla13[[#This Row],[Llave]],'[5]Consolidación planes'!$A:$M,12,FALSE),0)</f>
        <v>0</v>
      </c>
      <c r="AF217" s="20">
        <f>IFERROR(VLOOKUP(Tabla13[[#This Row],[Llave]],'[5]Consolidación planes'!$A:$M,13,FALSE),0)</f>
        <v>0</v>
      </c>
    </row>
    <row r="218" spans="2:32" ht="16" hidden="1" x14ac:dyDescent="0.2">
      <c r="B218" t="str">
        <f>Tabla13[[#This Row],[Oficina]]&amp;Tabla13[[#This Row],[Material]]</f>
        <v>Agro Sudamerica1030545</v>
      </c>
      <c r="C218" t="s">
        <v>204</v>
      </c>
      <c r="D218" t="s">
        <v>17</v>
      </c>
      <c r="E218">
        <v>1030545</v>
      </c>
      <c r="F218" t="s">
        <v>222</v>
      </c>
      <c r="G218" t="s">
        <v>220</v>
      </c>
      <c r="H218" t="s">
        <v>221</v>
      </c>
      <c r="I218" s="7">
        <f>IFERROR(VLOOKUP(Tabla13[[#This Row],[Llave]],'[1]Consolidado RV'!$B:$H,6,FALSE),0)</f>
        <v>0</v>
      </c>
      <c r="J218" s="3">
        <f>IFERROR(VLOOKUP(Tabla13[[#This Row],[Llave]],'[1]Consolidado RV'!$B:$H,7,FALSE),0)</f>
        <v>12750</v>
      </c>
      <c r="K218" s="8">
        <f>IFERROR(VLOOKUP(Tabla13[[#This Row],[Oficina]],#REF!,2,FALSE),0)</f>
        <v>0</v>
      </c>
      <c r="L218" s="7">
        <f>+Tabla13[[#This Row],[ RV Producción mes n+1]]*Tabla13[[#This Row],[% Uti. producción]]</f>
        <v>0</v>
      </c>
      <c r="M218" s="7">
        <f>IFERROR(VLOOKUP(Tabla13[[#This Row],[Material]],#REF!,2,FALSE),0)</f>
        <v>0</v>
      </c>
      <c r="N218" s="7">
        <f>IFERROR(VLOOKUP(Tabla13[[#This Row],[Llave]],'En puerto-Programado'!A:D,4,FALSE)+VLOOKUP(Tabla13[[#This Row],[Llave]],'Por despachar'!A:F,6,FALSE),0)</f>
        <v>0</v>
      </c>
      <c r="O218" s="7">
        <f>IFERROR(VLOOKUP(Tabla13[[#This Row],[Material]],[2]Consolidado!$C:$D,2,FALSE),0)</f>
        <v>0</v>
      </c>
      <c r="P218" s="7">
        <f>IFERROR(VLOOKUP(Tabla13[[#This Row],[Llave]],'Por despachar'!A:E,5,FALSE),0)</f>
        <v>0</v>
      </c>
      <c r="Q21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18" s="7">
        <f>IFERROR(VLOOKUP(Tabla13[[#This Row],[Llave]],[3]Hoja2!$A:$D,4,FALSE),0)</f>
        <v>0</v>
      </c>
      <c r="S218" s="9">
        <f>IFERROR(VLOOKUP(Tabla13[[#This Row],[Material]],[4]Hoja1!$B:$C,2,FALSE),0)</f>
        <v>24000</v>
      </c>
      <c r="T218" s="5">
        <f t="shared" si="7"/>
        <v>0</v>
      </c>
      <c r="U218" s="3">
        <f>+Tabla13[[#This Row],[Total disponible]]-Tabla13[[#This Row],[Atraso a facturar]]</f>
        <v>0</v>
      </c>
      <c r="V218" s="6">
        <f t="shared" si="6"/>
        <v>0</v>
      </c>
      <c r="W218" s="3" t="str">
        <f>IF(Tabla13[[#This Row],[Venta del mes]]&gt;Tabla13[[#This Row],[ RV  Venta mes n+1]],"Falta venta","-")</f>
        <v>-</v>
      </c>
      <c r="X218" s="7"/>
      <c r="Y218" s="18">
        <v>0</v>
      </c>
      <c r="Z218" s="5">
        <f>+Tabla13[[#This Row],[Atraso a facturar]]+Tabla13[[#This Row],[Venta del mes]]+Tabla13[[#This Row],[Ajuste]]</f>
        <v>0</v>
      </c>
      <c r="AA218" s="6">
        <f>+Tabla13[[#This Row],[Atraso a facturar]]+Tabla13[[#This Row],[Venta del mes]]+Tabla13[[#This Row],[En puerto a facturar]]</f>
        <v>0</v>
      </c>
      <c r="AB218" s="20">
        <f>IFERROR(VLOOKUP(Tabla13[[#This Row],[Llave]],'[5]Consolidación planes'!$A:$M,9,FALSE),0)</f>
        <v>24000</v>
      </c>
      <c r="AC218" s="20">
        <f>IFERROR(VLOOKUP(Tabla13[[#This Row],[Llave]],'[5]Consolidación planes'!$A:$M,10,FALSE),0)</f>
        <v>48000</v>
      </c>
      <c r="AD218" s="20">
        <f>IFERROR(VLOOKUP(Tabla13[[#This Row],[Llave]],'[5]Consolidación planes'!$A:$M,11,FALSE),0)</f>
        <v>44000</v>
      </c>
      <c r="AE218" s="20">
        <f>IFERROR(VLOOKUP(Tabla13[[#This Row],[Llave]],'[5]Consolidación planes'!$A:$M,12,FALSE),0)</f>
        <v>24000</v>
      </c>
      <c r="AF218" s="20">
        <f>IFERROR(VLOOKUP(Tabla13[[#This Row],[Llave]],'[5]Consolidación planes'!$A:$M,13,FALSE),0)</f>
        <v>72000</v>
      </c>
    </row>
    <row r="219" spans="2:32" ht="16" hidden="1" x14ac:dyDescent="0.2">
      <c r="B219" t="str">
        <f>Tabla13[[#This Row],[Oficina]]&amp;Tabla13[[#This Row],[Material]]</f>
        <v>Agro Sudamerica1030670</v>
      </c>
      <c r="C219" t="s">
        <v>204</v>
      </c>
      <c r="D219" t="s">
        <v>17</v>
      </c>
      <c r="E219">
        <v>1030670</v>
      </c>
      <c r="F219" t="s">
        <v>214</v>
      </c>
      <c r="G219" t="s">
        <v>212</v>
      </c>
      <c r="H219" t="s">
        <v>213</v>
      </c>
      <c r="I219" s="7">
        <f>IFERROR(VLOOKUP(Tabla13[[#This Row],[Llave]],'[1]Consolidado RV'!$B:$H,6,FALSE),0)</f>
        <v>4499.79</v>
      </c>
      <c r="J219" s="3">
        <f>IFERROR(VLOOKUP(Tabla13[[#This Row],[Llave]],'[1]Consolidado RV'!$B:$H,7,FALSE),0)</f>
        <v>24000.000000000007</v>
      </c>
      <c r="K219" s="8">
        <f>IFERROR(VLOOKUP(Tabla13[[#This Row],[Oficina]],#REF!,2,FALSE),0)</f>
        <v>0</v>
      </c>
      <c r="L219" s="7">
        <f>+Tabla13[[#This Row],[ RV Producción mes n+1]]*Tabla13[[#This Row],[% Uti. producción]]</f>
        <v>0</v>
      </c>
      <c r="M219" s="7">
        <f>IFERROR(VLOOKUP(Tabla13[[#This Row],[Material]],#REF!,2,FALSE),0)</f>
        <v>0</v>
      </c>
      <c r="N219" s="7">
        <f>IFERROR(VLOOKUP(Tabla13[[#This Row],[Llave]],'En puerto-Programado'!A:D,4,FALSE)+VLOOKUP(Tabla13[[#This Row],[Llave]],'Por despachar'!A:F,6,FALSE),0)</f>
        <v>0</v>
      </c>
      <c r="O219" s="7">
        <f>IFERROR(VLOOKUP(Tabla13[[#This Row],[Material]],[2]Consolidado!$C:$D,2,FALSE),0)</f>
        <v>0</v>
      </c>
      <c r="P219" s="7">
        <f>IFERROR(VLOOKUP(Tabla13[[#This Row],[Llave]],'Por despachar'!A:E,5,FALSE),0)</f>
        <v>0</v>
      </c>
      <c r="Q21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19" s="7">
        <f>IFERROR(VLOOKUP(Tabla13[[#This Row],[Llave]],[3]Hoja2!$A:$D,4,FALSE),0)</f>
        <v>48000</v>
      </c>
      <c r="S219" s="9">
        <f>IFERROR(VLOOKUP(Tabla13[[#This Row],[Material]],[4]Hoja1!$B:$C,2,FALSE),0)</f>
        <v>24000</v>
      </c>
      <c r="T219" s="5">
        <f t="shared" si="7"/>
        <v>0</v>
      </c>
      <c r="U219" s="3">
        <f>+Tabla13[[#This Row],[Total disponible]]-Tabla13[[#This Row],[Atraso a facturar]]</f>
        <v>0</v>
      </c>
      <c r="V219" s="6">
        <f t="shared" si="6"/>
        <v>0</v>
      </c>
      <c r="W219" s="3" t="str">
        <f>IF(Tabla13[[#This Row],[Venta del mes]]&gt;Tabla13[[#This Row],[ RV  Venta mes n+1]],"Falta venta","-")</f>
        <v>-</v>
      </c>
      <c r="X219" s="7"/>
      <c r="Y219" s="18">
        <v>0</v>
      </c>
      <c r="Z219" s="5">
        <f>+Tabla13[[#This Row],[Atraso a facturar]]+Tabla13[[#This Row],[Venta del mes]]+Tabla13[[#This Row],[Ajuste]]</f>
        <v>0</v>
      </c>
      <c r="AA219" s="6">
        <f>+Tabla13[[#This Row],[Atraso a facturar]]+Tabla13[[#This Row],[Venta del mes]]+Tabla13[[#This Row],[En puerto a facturar]]</f>
        <v>0</v>
      </c>
      <c r="AB219" s="20">
        <f>IFERROR(VLOOKUP(Tabla13[[#This Row],[Llave]],'[5]Consolidación planes'!$A:$M,9,FALSE),0)</f>
        <v>24000</v>
      </c>
      <c r="AC219" s="20">
        <f>IFERROR(VLOOKUP(Tabla13[[#This Row],[Llave]],'[5]Consolidación planes'!$A:$M,10,FALSE),0)</f>
        <v>96000</v>
      </c>
      <c r="AD219" s="20">
        <f>IFERROR(VLOOKUP(Tabla13[[#This Row],[Llave]],'[5]Consolidación planes'!$A:$M,11,FALSE),0)</f>
        <v>48000</v>
      </c>
      <c r="AE219" s="20">
        <f>IFERROR(VLOOKUP(Tabla13[[#This Row],[Llave]],'[5]Consolidación planes'!$A:$M,12,FALSE),0)</f>
        <v>72000</v>
      </c>
      <c r="AF219" s="20">
        <f>IFERROR(VLOOKUP(Tabla13[[#This Row],[Llave]],'[5]Consolidación planes'!$A:$M,13,FALSE),0)</f>
        <v>72000</v>
      </c>
    </row>
    <row r="220" spans="2:32" ht="16" hidden="1" x14ac:dyDescent="0.2">
      <c r="B220" t="str">
        <f>Tabla13[[#This Row],[Oficina]]&amp;Tabla13[[#This Row],[Material]]</f>
        <v>Agro Sudamerica1030720</v>
      </c>
      <c r="C220" t="s">
        <v>204</v>
      </c>
      <c r="D220" t="s">
        <v>17</v>
      </c>
      <c r="E220">
        <v>1030720</v>
      </c>
      <c r="F220" t="s">
        <v>216</v>
      </c>
      <c r="G220" t="s">
        <v>71</v>
      </c>
      <c r="H220" t="s">
        <v>215</v>
      </c>
      <c r="I220" s="7">
        <f>IFERROR(VLOOKUP(Tabla13[[#This Row],[Llave]],'[1]Consolidado RV'!$B:$H,6,FALSE),0)</f>
        <v>41884.619999999995</v>
      </c>
      <c r="J220" s="3">
        <f>IFERROR(VLOOKUP(Tabla13[[#This Row],[Llave]],'[1]Consolidado RV'!$B:$H,7,FALSE),0)</f>
        <v>41884.619999999995</v>
      </c>
      <c r="K220" s="8">
        <f>IFERROR(VLOOKUP(Tabla13[[#This Row],[Oficina]],#REF!,2,FALSE),0)</f>
        <v>0</v>
      </c>
      <c r="L220" s="7">
        <f>+Tabla13[[#This Row],[ RV Producción mes n+1]]*Tabla13[[#This Row],[% Uti. producción]]</f>
        <v>0</v>
      </c>
      <c r="M220" s="7">
        <f>IFERROR(VLOOKUP(Tabla13[[#This Row],[Material]],#REF!,2,FALSE),0)</f>
        <v>0</v>
      </c>
      <c r="N220" s="7">
        <f>IFERROR(VLOOKUP(Tabla13[[#This Row],[Llave]],'En puerto-Programado'!A:D,4,FALSE)+VLOOKUP(Tabla13[[#This Row],[Llave]],'Por despachar'!A:F,6,FALSE),0)</f>
        <v>0</v>
      </c>
      <c r="O220" s="7">
        <f>IFERROR(VLOOKUP(Tabla13[[#This Row],[Material]],[2]Consolidado!$C:$D,2,FALSE),0)</f>
        <v>17000</v>
      </c>
      <c r="P220" s="7">
        <f>IFERROR(VLOOKUP(Tabla13[[#This Row],[Llave]],'Por despachar'!A:E,5,FALSE),0)</f>
        <v>0</v>
      </c>
      <c r="Q220" s="14">
        <f>SUM(Tabla13[[#This Row],[Producción disponible]],Tabla13[[#This Row],[Stock al día]],Tabla13[[#This Row],[Por producir Abr.]])-SUM(Tabla13[[#This Row],[Stock por despachar N]],Tabla13[[#This Row],[Producción por despachar mes N]])</f>
        <v>17000</v>
      </c>
      <c r="R220" s="7">
        <f>IFERROR(VLOOKUP(Tabla13[[#This Row],[Llave]],[3]Hoja2!$A:$D,4,FALSE),0)</f>
        <v>48000</v>
      </c>
      <c r="S220" s="9">
        <f>IFERROR(VLOOKUP(Tabla13[[#This Row],[Material]],[4]Hoja1!$B:$C,2,FALSE),0)</f>
        <v>24000</v>
      </c>
      <c r="T220" s="5">
        <f t="shared" si="7"/>
        <v>0</v>
      </c>
      <c r="U220" s="3">
        <f>+Tabla13[[#This Row],[Total disponible]]-Tabla13[[#This Row],[Atraso a facturar]]</f>
        <v>17000</v>
      </c>
      <c r="V220" s="6">
        <f t="shared" si="6"/>
        <v>0</v>
      </c>
      <c r="W220" s="3" t="str">
        <f>IF(Tabla13[[#This Row],[Venta del mes]]&gt;Tabla13[[#This Row],[ RV  Venta mes n+1]],"Falta venta","-")</f>
        <v>-</v>
      </c>
      <c r="X220" s="7"/>
      <c r="Y220" s="18">
        <v>0</v>
      </c>
      <c r="Z220" s="5">
        <f>+Tabla13[[#This Row],[Atraso a facturar]]+Tabla13[[#This Row],[Venta del mes]]+Tabla13[[#This Row],[Ajuste]]</f>
        <v>0</v>
      </c>
      <c r="AA220" s="6">
        <f>+Tabla13[[#This Row],[Atraso a facturar]]+Tabla13[[#This Row],[Venta del mes]]+Tabla13[[#This Row],[En puerto a facturar]]</f>
        <v>0</v>
      </c>
      <c r="AB220" s="20">
        <f>IFERROR(VLOOKUP(Tabla13[[#This Row],[Llave]],'[5]Consolidación planes'!$A:$M,9,FALSE),0)</f>
        <v>0</v>
      </c>
      <c r="AC220" s="20">
        <f>IFERROR(VLOOKUP(Tabla13[[#This Row],[Llave]],'[5]Consolidación planes'!$A:$M,10,FALSE),0)</f>
        <v>24000</v>
      </c>
      <c r="AD220" s="20">
        <f>IFERROR(VLOOKUP(Tabla13[[#This Row],[Llave]],'[5]Consolidación planes'!$A:$M,11,FALSE),0)</f>
        <v>24000</v>
      </c>
      <c r="AE220" s="20">
        <f>IFERROR(VLOOKUP(Tabla13[[#This Row],[Llave]],'[5]Consolidación planes'!$A:$M,12,FALSE),0)</f>
        <v>28001</v>
      </c>
      <c r="AF220" s="20">
        <f>IFERROR(VLOOKUP(Tabla13[[#This Row],[Llave]],'[5]Consolidación planes'!$A:$M,13,FALSE),0)</f>
        <v>48000</v>
      </c>
    </row>
    <row r="221" spans="2:32" ht="16" hidden="1" x14ac:dyDescent="0.2">
      <c r="B221" t="str">
        <f>Tabla13[[#This Row],[Oficina]]&amp;Tabla13[[#This Row],[Material]]</f>
        <v>Agro Sudamerica1030732</v>
      </c>
      <c r="C221" t="s">
        <v>204</v>
      </c>
      <c r="D221" t="s">
        <v>17</v>
      </c>
      <c r="E221">
        <v>1030732</v>
      </c>
      <c r="F221" t="s">
        <v>320</v>
      </c>
      <c r="G221" t="s">
        <v>212</v>
      </c>
      <c r="H221" t="s">
        <v>319</v>
      </c>
      <c r="I221" s="7">
        <f>IFERROR(VLOOKUP(Tabla13[[#This Row],[Llave]],'[1]Consolidado RV'!$B:$H,6,FALSE),0)</f>
        <v>0</v>
      </c>
      <c r="J221" s="3">
        <f>IFERROR(VLOOKUP(Tabla13[[#This Row],[Llave]],'[1]Consolidado RV'!$B:$H,7,FALSE),0)</f>
        <v>0</v>
      </c>
      <c r="K221" s="8">
        <f>IFERROR(VLOOKUP(Tabla13[[#This Row],[Oficina]],#REF!,2,FALSE),0)</f>
        <v>0</v>
      </c>
      <c r="L221" s="7">
        <f>+Tabla13[[#This Row],[ RV Producción mes n+1]]*Tabla13[[#This Row],[% Uti. producción]]</f>
        <v>0</v>
      </c>
      <c r="M221" s="7">
        <f>IFERROR(VLOOKUP(Tabla13[[#This Row],[Material]],#REF!,2,FALSE),0)</f>
        <v>0</v>
      </c>
      <c r="N221" s="7">
        <f>IFERROR(VLOOKUP(Tabla13[[#This Row],[Llave]],'En puerto-Programado'!A:D,4,FALSE)+VLOOKUP(Tabla13[[#This Row],[Llave]],'Por despachar'!A:F,6,FALSE),0)</f>
        <v>0</v>
      </c>
      <c r="O221" s="7">
        <f>IFERROR(VLOOKUP(Tabla13[[#This Row],[Material]],[2]Consolidado!$C:$D,2,FALSE),0)</f>
        <v>0</v>
      </c>
      <c r="P221" s="7">
        <f>IFERROR(VLOOKUP(Tabla13[[#This Row],[Llave]],'Por despachar'!A:E,5,FALSE),0)</f>
        <v>0</v>
      </c>
      <c r="Q22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21" s="7">
        <f>IFERROR(VLOOKUP(Tabla13[[#This Row],[Llave]],[3]Hoja2!$A:$D,4,FALSE),0)</f>
        <v>0</v>
      </c>
      <c r="S221" s="9">
        <f>IFERROR(VLOOKUP(Tabla13[[#This Row],[Material]],[4]Hoja1!$B:$C,2,FALSE),0)</f>
        <v>24000</v>
      </c>
      <c r="T221" s="5">
        <f t="shared" si="7"/>
        <v>0</v>
      </c>
      <c r="U221" s="3">
        <f>+Tabla13[[#This Row],[Total disponible]]-Tabla13[[#This Row],[Atraso a facturar]]</f>
        <v>0</v>
      </c>
      <c r="V221" s="6">
        <f t="shared" si="6"/>
        <v>0</v>
      </c>
      <c r="W221" s="3" t="str">
        <f>IF(Tabla13[[#This Row],[Venta del mes]]&gt;Tabla13[[#This Row],[ RV  Venta mes n+1]],"Falta venta","-")</f>
        <v>-</v>
      </c>
      <c r="X221" s="7"/>
      <c r="Y221" s="18">
        <v>0</v>
      </c>
      <c r="Z221" s="5">
        <f>+Tabla13[[#This Row],[Atraso a facturar]]+Tabla13[[#This Row],[Venta del mes]]+Tabla13[[#This Row],[Ajuste]]</f>
        <v>0</v>
      </c>
      <c r="AA221" s="6">
        <f>+Tabla13[[#This Row],[Atraso a facturar]]+Tabla13[[#This Row],[Venta del mes]]+Tabla13[[#This Row],[En puerto a facturar]]</f>
        <v>0</v>
      </c>
      <c r="AB221" s="20">
        <f>IFERROR(VLOOKUP(Tabla13[[#This Row],[Llave]],'[5]Consolidación planes'!$A:$M,9,FALSE),0)</f>
        <v>0</v>
      </c>
      <c r="AC221" s="20">
        <f>IFERROR(VLOOKUP(Tabla13[[#This Row],[Llave]],'[5]Consolidación planes'!$A:$M,10,FALSE),0)</f>
        <v>0</v>
      </c>
      <c r="AD221" s="20">
        <f>IFERROR(VLOOKUP(Tabla13[[#This Row],[Llave]],'[5]Consolidación planes'!$A:$M,11,FALSE),0)</f>
        <v>0</v>
      </c>
      <c r="AE221" s="20">
        <f>IFERROR(VLOOKUP(Tabla13[[#This Row],[Llave]],'[5]Consolidación planes'!$A:$M,12,FALSE),0)</f>
        <v>0</v>
      </c>
      <c r="AF221" s="20">
        <f>IFERROR(VLOOKUP(Tabla13[[#This Row],[Llave]],'[5]Consolidación planes'!$A:$M,13,FALSE),0)</f>
        <v>0</v>
      </c>
    </row>
    <row r="222" spans="2:32" ht="16" hidden="1" x14ac:dyDescent="0.2">
      <c r="B222" t="str">
        <f>Tabla13[[#This Row],[Oficina]]&amp;Tabla13[[#This Row],[Material]]</f>
        <v>Agro Sudamerica1030739</v>
      </c>
      <c r="C222" t="s">
        <v>204</v>
      </c>
      <c r="D222" t="s">
        <v>17</v>
      </c>
      <c r="E222">
        <v>1030739</v>
      </c>
      <c r="F222" t="s">
        <v>208</v>
      </c>
      <c r="G222" t="s">
        <v>205</v>
      </c>
      <c r="H222" t="s">
        <v>206</v>
      </c>
      <c r="I222" s="7">
        <f>IFERROR(VLOOKUP(Tabla13[[#This Row],[Llave]],'[1]Consolidado RV'!$B:$H,6,FALSE),0)</f>
        <v>0</v>
      </c>
      <c r="J222" s="3">
        <f>IFERROR(VLOOKUP(Tabla13[[#This Row],[Llave]],'[1]Consolidado RV'!$B:$H,7,FALSE),0)</f>
        <v>0</v>
      </c>
      <c r="K222" s="8">
        <f>IFERROR(VLOOKUP(Tabla13[[#This Row],[Oficina]],#REF!,2,FALSE),0)</f>
        <v>0</v>
      </c>
      <c r="L222" s="7">
        <f>+Tabla13[[#This Row],[ RV Producción mes n+1]]*Tabla13[[#This Row],[% Uti. producción]]</f>
        <v>0</v>
      </c>
      <c r="M222" s="7">
        <f>IFERROR(VLOOKUP(Tabla13[[#This Row],[Material]],#REF!,2,FALSE),0)</f>
        <v>0</v>
      </c>
      <c r="N222" s="7">
        <f>IFERROR(VLOOKUP(Tabla13[[#This Row],[Llave]],'En puerto-Programado'!A:D,4,FALSE)+VLOOKUP(Tabla13[[#This Row],[Llave]],'Por despachar'!A:F,6,FALSE),0)</f>
        <v>0</v>
      </c>
      <c r="O222" s="7">
        <f>IFERROR(VLOOKUP(Tabla13[[#This Row],[Material]],[2]Consolidado!$C:$D,2,FALSE),0)</f>
        <v>0</v>
      </c>
      <c r="P222" s="7">
        <f>IFERROR(VLOOKUP(Tabla13[[#This Row],[Llave]],'Por despachar'!A:E,5,FALSE),0)</f>
        <v>0</v>
      </c>
      <c r="Q222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22" s="7">
        <f>IFERROR(VLOOKUP(Tabla13[[#This Row],[Llave]],[3]Hoja2!$A:$D,4,FALSE),0)</f>
        <v>0</v>
      </c>
      <c r="S222" s="9">
        <f>IFERROR(VLOOKUP(Tabla13[[#This Row],[Material]],[4]Hoja1!$B:$C,2,FALSE),0)</f>
        <v>24000</v>
      </c>
      <c r="T222" s="5">
        <f t="shared" si="7"/>
        <v>0</v>
      </c>
      <c r="U222" s="3">
        <f>+Tabla13[[#This Row],[Total disponible]]-Tabla13[[#This Row],[Atraso a facturar]]</f>
        <v>0</v>
      </c>
      <c r="V222" s="6">
        <f t="shared" si="6"/>
        <v>0</v>
      </c>
      <c r="W222" s="3" t="str">
        <f>IF(Tabla13[[#This Row],[Venta del mes]]&gt;Tabla13[[#This Row],[ RV  Venta mes n+1]],"Falta venta","-")</f>
        <v>-</v>
      </c>
      <c r="X222" s="7"/>
      <c r="Y222" s="18">
        <v>0</v>
      </c>
      <c r="Z222" s="5">
        <f>+Tabla13[[#This Row],[Atraso a facturar]]+Tabla13[[#This Row],[Venta del mes]]+Tabla13[[#This Row],[Ajuste]]</f>
        <v>0</v>
      </c>
      <c r="AA222" s="6">
        <f>+Tabla13[[#This Row],[Atraso a facturar]]+Tabla13[[#This Row],[Venta del mes]]+Tabla13[[#This Row],[En puerto a facturar]]</f>
        <v>0</v>
      </c>
      <c r="AB222" s="20">
        <f>IFERROR(VLOOKUP(Tabla13[[#This Row],[Llave]],'[5]Consolidación planes'!$A:$M,9,FALSE),0)</f>
        <v>0</v>
      </c>
      <c r="AC222" s="20">
        <f>IFERROR(VLOOKUP(Tabla13[[#This Row],[Llave]],'[5]Consolidación planes'!$A:$M,10,FALSE),0)</f>
        <v>0</v>
      </c>
      <c r="AD222" s="20">
        <f>IFERROR(VLOOKUP(Tabla13[[#This Row],[Llave]],'[5]Consolidación planes'!$A:$M,11,FALSE),0)</f>
        <v>0</v>
      </c>
      <c r="AE222" s="20">
        <f>IFERROR(VLOOKUP(Tabla13[[#This Row],[Llave]],'[5]Consolidación planes'!$A:$M,12,FALSE),0)</f>
        <v>0</v>
      </c>
      <c r="AF222" s="20">
        <f>IFERROR(VLOOKUP(Tabla13[[#This Row],[Llave]],'[5]Consolidación planes'!$A:$M,13,FALSE),0)</f>
        <v>0</v>
      </c>
    </row>
    <row r="223" spans="2:32" ht="16" hidden="1" x14ac:dyDescent="0.2">
      <c r="B223" t="str">
        <f>Tabla13[[#This Row],[Oficina]]&amp;Tabla13[[#This Row],[Material]]</f>
        <v>Agro Sudamerica1030780</v>
      </c>
      <c r="C223" t="s">
        <v>204</v>
      </c>
      <c r="D223" t="s">
        <v>17</v>
      </c>
      <c r="E223">
        <v>1030780</v>
      </c>
      <c r="F223" t="s">
        <v>318</v>
      </c>
      <c r="G223" t="s">
        <v>316</v>
      </c>
      <c r="H223" t="s">
        <v>317</v>
      </c>
      <c r="I223" s="7">
        <f>IFERROR(VLOOKUP(Tabla13[[#This Row],[Llave]],'[1]Consolidado RV'!$B:$H,6,FALSE),0)</f>
        <v>0</v>
      </c>
      <c r="J223" s="3">
        <f>IFERROR(VLOOKUP(Tabla13[[#This Row],[Llave]],'[1]Consolidado RV'!$B:$H,7,FALSE),0)</f>
        <v>0</v>
      </c>
      <c r="K223" s="8">
        <f>IFERROR(VLOOKUP(Tabla13[[#This Row],[Oficina]],#REF!,2,FALSE),0)</f>
        <v>0</v>
      </c>
      <c r="L223" s="7">
        <f>+Tabla13[[#This Row],[ RV Producción mes n+1]]*Tabla13[[#This Row],[% Uti. producción]]</f>
        <v>0</v>
      </c>
      <c r="M223" s="7">
        <f>IFERROR(VLOOKUP(Tabla13[[#This Row],[Material]],#REF!,2,FALSE),0)</f>
        <v>0</v>
      </c>
      <c r="N223" s="7">
        <f>IFERROR(VLOOKUP(Tabla13[[#This Row],[Llave]],'En puerto-Programado'!A:D,4,FALSE)+VLOOKUP(Tabla13[[#This Row],[Llave]],'Por despachar'!A:F,6,FALSE),0)</f>
        <v>0</v>
      </c>
      <c r="O223" s="7">
        <f>IFERROR(VLOOKUP(Tabla13[[#This Row],[Material]],[2]Consolidado!$C:$D,2,FALSE),0)</f>
        <v>0</v>
      </c>
      <c r="P223" s="7">
        <f>IFERROR(VLOOKUP(Tabla13[[#This Row],[Llave]],'Por despachar'!A:E,5,FALSE),0)</f>
        <v>0</v>
      </c>
      <c r="Q22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23" s="7">
        <f>IFERROR(VLOOKUP(Tabla13[[#This Row],[Llave]],[3]Hoja2!$A:$D,4,FALSE),0)</f>
        <v>0</v>
      </c>
      <c r="S223" s="9">
        <f>IFERROR(VLOOKUP(Tabla13[[#This Row],[Material]],[4]Hoja1!$B:$C,2,FALSE),0)</f>
        <v>24000</v>
      </c>
      <c r="T223" s="5">
        <f t="shared" si="7"/>
        <v>0</v>
      </c>
      <c r="U223" s="3">
        <f>+Tabla13[[#This Row],[Total disponible]]-Tabla13[[#This Row],[Atraso a facturar]]</f>
        <v>0</v>
      </c>
      <c r="V223" s="6">
        <f t="shared" si="6"/>
        <v>0</v>
      </c>
      <c r="W223" s="3" t="str">
        <f>IF(Tabla13[[#This Row],[Venta del mes]]&gt;Tabla13[[#This Row],[ RV  Venta mes n+1]],"Falta venta","-")</f>
        <v>-</v>
      </c>
      <c r="X223" s="7"/>
      <c r="Y223" s="18">
        <v>0</v>
      </c>
      <c r="Z223" s="5">
        <f>+Tabla13[[#This Row],[Atraso a facturar]]+Tabla13[[#This Row],[Venta del mes]]+Tabla13[[#This Row],[Ajuste]]</f>
        <v>0</v>
      </c>
      <c r="AA223" s="6">
        <f>+Tabla13[[#This Row],[Atraso a facturar]]+Tabla13[[#This Row],[Venta del mes]]+Tabla13[[#This Row],[En puerto a facturar]]</f>
        <v>0</v>
      </c>
      <c r="AB223" s="20">
        <f>IFERROR(VLOOKUP(Tabla13[[#This Row],[Llave]],'[5]Consolidación planes'!$A:$M,9,FALSE),0)</f>
        <v>0</v>
      </c>
      <c r="AC223" s="20">
        <f>IFERROR(VLOOKUP(Tabla13[[#This Row],[Llave]],'[5]Consolidación planes'!$A:$M,10,FALSE),0)</f>
        <v>0</v>
      </c>
      <c r="AD223" s="20">
        <f>IFERROR(VLOOKUP(Tabla13[[#This Row],[Llave]],'[5]Consolidación planes'!$A:$M,11,FALSE),0)</f>
        <v>0</v>
      </c>
      <c r="AE223" s="20">
        <f>IFERROR(VLOOKUP(Tabla13[[#This Row],[Llave]],'[5]Consolidación planes'!$A:$M,12,FALSE),0)</f>
        <v>0</v>
      </c>
      <c r="AF223" s="20">
        <f>IFERROR(VLOOKUP(Tabla13[[#This Row],[Llave]],'[5]Consolidación planes'!$A:$M,13,FALSE),0)</f>
        <v>0</v>
      </c>
    </row>
    <row r="224" spans="2:32" ht="16" hidden="1" x14ac:dyDescent="0.2">
      <c r="B224" t="str">
        <f>Tabla13[[#This Row],[Oficina]]&amp;Tabla13[[#This Row],[Material]]</f>
        <v>Agrosuper Asia1030309</v>
      </c>
      <c r="C224" t="s">
        <v>204</v>
      </c>
      <c r="D224" t="s">
        <v>173</v>
      </c>
      <c r="E224">
        <v>1030309</v>
      </c>
      <c r="F224" t="s">
        <v>224</v>
      </c>
      <c r="G224" t="s">
        <v>209</v>
      </c>
      <c r="H224" t="s">
        <v>223</v>
      </c>
      <c r="I224" s="7">
        <f>IFERROR(VLOOKUP(Tabla13[[#This Row],[Llave]],'[1]Consolidado RV'!$B:$H,6,FALSE),0)</f>
        <v>0</v>
      </c>
      <c r="J224" s="3">
        <f>IFERROR(VLOOKUP(Tabla13[[#This Row],[Llave]],'[1]Consolidado RV'!$B:$H,7,FALSE),0)</f>
        <v>3450</v>
      </c>
      <c r="K224" s="8">
        <f>IFERROR(VLOOKUP(Tabla13[[#This Row],[Oficina]],#REF!,2,FALSE),0)</f>
        <v>0</v>
      </c>
      <c r="L224" s="7">
        <f>+Tabla13[[#This Row],[ RV Producción mes n+1]]*Tabla13[[#This Row],[% Uti. producción]]</f>
        <v>0</v>
      </c>
      <c r="M224" s="7">
        <f>IFERROR(VLOOKUP(Tabla13[[#This Row],[Material]],#REF!,2,FALSE),0)</f>
        <v>0</v>
      </c>
      <c r="N224" s="7">
        <f>IFERROR(VLOOKUP(Tabla13[[#This Row],[Llave]],'En puerto-Programado'!A:D,4,FALSE)+VLOOKUP(Tabla13[[#This Row],[Llave]],'Por despachar'!A:F,6,FALSE),0)</f>
        <v>0</v>
      </c>
      <c r="O224" s="7">
        <f>IFERROR(VLOOKUP(Tabla13[[#This Row],[Material]],[2]Consolidado!$C:$D,2,FALSE),0)</f>
        <v>0</v>
      </c>
      <c r="P224" s="7">
        <f>IFERROR(VLOOKUP(Tabla13[[#This Row],[Llave]],'Por despachar'!A:E,5,FALSE),0)</f>
        <v>0</v>
      </c>
      <c r="Q22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24" s="7">
        <f>IFERROR(VLOOKUP(Tabla13[[#This Row],[Llave]],[3]Hoja2!$A:$D,4,FALSE),0)</f>
        <v>0</v>
      </c>
      <c r="S224" s="9">
        <f>IFERROR(VLOOKUP(Tabla13[[#This Row],[Material]],[4]Hoja1!$B:$C,2,FALSE),0)</f>
        <v>22000</v>
      </c>
      <c r="T224" s="5">
        <f t="shared" si="7"/>
        <v>0</v>
      </c>
      <c r="U224" s="3">
        <f>+Tabla13[[#This Row],[Total disponible]]-Tabla13[[#This Row],[Atraso a facturar]]</f>
        <v>0</v>
      </c>
      <c r="V224" s="6">
        <f t="shared" si="6"/>
        <v>0</v>
      </c>
      <c r="W224" s="3" t="str">
        <f>IF(Tabla13[[#This Row],[Venta del mes]]&gt;Tabla13[[#This Row],[ RV  Venta mes n+1]],"Falta venta","-")</f>
        <v>-</v>
      </c>
      <c r="X224" s="7"/>
      <c r="Y224" s="18">
        <v>0</v>
      </c>
      <c r="Z224" s="5">
        <f>+Tabla13[[#This Row],[Atraso a facturar]]+Tabla13[[#This Row],[Venta del mes]]+Tabla13[[#This Row],[Ajuste]]</f>
        <v>0</v>
      </c>
      <c r="AA224" s="6">
        <f>+Tabla13[[#This Row],[Atraso a facturar]]+Tabla13[[#This Row],[Venta del mes]]+Tabla13[[#This Row],[En puerto a facturar]]</f>
        <v>0</v>
      </c>
      <c r="AB224" s="20">
        <f>IFERROR(VLOOKUP(Tabla13[[#This Row],[Llave]],'[5]Consolidación planes'!$A:$M,9,FALSE),0)</f>
        <v>16000</v>
      </c>
      <c r="AC224" s="20">
        <f>IFERROR(VLOOKUP(Tabla13[[#This Row],[Llave]],'[5]Consolidación planes'!$A:$M,10,FALSE),0)</f>
        <v>0</v>
      </c>
      <c r="AD224" s="20">
        <f>IFERROR(VLOOKUP(Tabla13[[#This Row],[Llave]],'[5]Consolidación planes'!$A:$M,11,FALSE),0)</f>
        <v>22000</v>
      </c>
      <c r="AE224" s="20">
        <f>IFERROR(VLOOKUP(Tabla13[[#This Row],[Llave]],'[5]Consolidación planes'!$A:$M,12,FALSE),0)</f>
        <v>0</v>
      </c>
      <c r="AF224" s="20">
        <f>IFERROR(VLOOKUP(Tabla13[[#This Row],[Llave]],'[5]Consolidación planes'!$A:$M,13,FALSE),0)</f>
        <v>0</v>
      </c>
    </row>
    <row r="225" spans="2:32" ht="16" hidden="1" x14ac:dyDescent="0.2">
      <c r="B225" t="str">
        <f>Tabla13[[#This Row],[Oficina]]&amp;Tabla13[[#This Row],[Material]]</f>
        <v>Agrosuper Asia1030535</v>
      </c>
      <c r="C225" t="s">
        <v>204</v>
      </c>
      <c r="D225" t="s">
        <v>173</v>
      </c>
      <c r="E225">
        <v>1030535</v>
      </c>
      <c r="F225" t="s">
        <v>226</v>
      </c>
      <c r="G225" t="s">
        <v>217</v>
      </c>
      <c r="H225" t="s">
        <v>218</v>
      </c>
      <c r="I225" s="7">
        <f>IFERROR(VLOOKUP(Tabla13[[#This Row],[Llave]],'[1]Consolidado RV'!$B:$H,6,FALSE),0)</f>
        <v>66000</v>
      </c>
      <c r="J225" s="3">
        <f>IFERROR(VLOOKUP(Tabla13[[#This Row],[Llave]],'[1]Consolidado RV'!$B:$H,7,FALSE),0)</f>
        <v>69583.907999999996</v>
      </c>
      <c r="K225" s="8">
        <f>IFERROR(VLOOKUP(Tabla13[[#This Row],[Oficina]],#REF!,2,FALSE),0)</f>
        <v>0</v>
      </c>
      <c r="L225" s="7">
        <f>+Tabla13[[#This Row],[ RV Producción mes n+1]]*Tabla13[[#This Row],[% Uti. producción]]</f>
        <v>0</v>
      </c>
      <c r="M225" s="7">
        <f>IFERROR(VLOOKUP(Tabla13[[#This Row],[Material]],#REF!,2,FALSE),0)</f>
        <v>0</v>
      </c>
      <c r="N225" s="7">
        <f>IFERROR(VLOOKUP(Tabla13[[#This Row],[Llave]],'En puerto-Programado'!A:D,4,FALSE)+VLOOKUP(Tabla13[[#This Row],[Llave]],'Por despachar'!A:F,6,FALSE),0)</f>
        <v>0</v>
      </c>
      <c r="O225" s="7">
        <f>IFERROR(VLOOKUP(Tabla13[[#This Row],[Material]],[2]Consolidado!$C:$D,2,FALSE),0)</f>
        <v>0</v>
      </c>
      <c r="P225" s="7">
        <f>IFERROR(VLOOKUP(Tabla13[[#This Row],[Llave]],'Por despachar'!A:E,5,FALSE),0)</f>
        <v>0</v>
      </c>
      <c r="Q22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25" s="7">
        <f>IFERROR(VLOOKUP(Tabla13[[#This Row],[Llave]],[3]Hoja2!$A:$D,4,FALSE),0)</f>
        <v>0</v>
      </c>
      <c r="S225" s="9">
        <f>IFERROR(VLOOKUP(Tabla13[[#This Row],[Material]],[4]Hoja1!$B:$C,2,FALSE),0)</f>
        <v>22000</v>
      </c>
      <c r="T225" s="5">
        <f t="shared" si="7"/>
        <v>0</v>
      </c>
      <c r="U225" s="3">
        <f>+Tabla13[[#This Row],[Total disponible]]-Tabla13[[#This Row],[Atraso a facturar]]</f>
        <v>0</v>
      </c>
      <c r="V225" s="6">
        <f t="shared" si="6"/>
        <v>0</v>
      </c>
      <c r="W225" s="3" t="str">
        <f>IF(Tabla13[[#This Row],[Venta del mes]]&gt;Tabla13[[#This Row],[ RV  Venta mes n+1]],"Falta venta","-")</f>
        <v>-</v>
      </c>
      <c r="X225" s="7"/>
      <c r="Y225" s="18">
        <v>0</v>
      </c>
      <c r="Z225" s="5">
        <f>+Tabla13[[#This Row],[Atraso a facturar]]+Tabla13[[#This Row],[Venta del mes]]+Tabla13[[#This Row],[Ajuste]]</f>
        <v>0</v>
      </c>
      <c r="AA225" s="6">
        <f>+Tabla13[[#This Row],[Atraso a facturar]]+Tabla13[[#This Row],[Venta del mes]]+Tabla13[[#This Row],[En puerto a facturar]]</f>
        <v>0</v>
      </c>
      <c r="AB225" s="20">
        <f>IFERROR(VLOOKUP(Tabla13[[#This Row],[Llave]],'[5]Consolidación planes'!$A:$M,9,FALSE),0)</f>
        <v>6000</v>
      </c>
      <c r="AC225" s="20">
        <f>IFERROR(VLOOKUP(Tabla13[[#This Row],[Llave]],'[5]Consolidación planes'!$A:$M,10,FALSE),0)</f>
        <v>0</v>
      </c>
      <c r="AD225" s="20">
        <f>IFERROR(VLOOKUP(Tabla13[[#This Row],[Llave]],'[5]Consolidación planes'!$A:$M,11,FALSE),0)</f>
        <v>28000</v>
      </c>
      <c r="AE225" s="20">
        <f>IFERROR(VLOOKUP(Tabla13[[#This Row],[Llave]],'[5]Consolidación planes'!$A:$M,12,FALSE),0)</f>
        <v>44000</v>
      </c>
      <c r="AF225" s="20">
        <f>IFERROR(VLOOKUP(Tabla13[[#This Row],[Llave]],'[5]Consolidación planes'!$A:$M,13,FALSE),0)</f>
        <v>43998</v>
      </c>
    </row>
    <row r="226" spans="2:32" ht="16" hidden="1" x14ac:dyDescent="0.2">
      <c r="B226" t="str">
        <f>Tabla13[[#This Row],[Oficina]]&amp;Tabla13[[#This Row],[Material]]</f>
        <v>Agrosuper Asia1030542</v>
      </c>
      <c r="C226" t="s">
        <v>204</v>
      </c>
      <c r="D226" t="s">
        <v>173</v>
      </c>
      <c r="E226">
        <v>1030542</v>
      </c>
      <c r="F226" t="s">
        <v>225</v>
      </c>
      <c r="G226" t="s">
        <v>212</v>
      </c>
      <c r="H226" t="s">
        <v>213</v>
      </c>
      <c r="I226" s="7">
        <f>IFERROR(VLOOKUP(Tabla13[[#This Row],[Llave]],'[1]Consolidado RV'!$B:$H,6,FALSE),0)</f>
        <v>22000</v>
      </c>
      <c r="J226" s="3">
        <f>IFERROR(VLOOKUP(Tabla13[[#This Row],[Llave]],'[1]Consolidado RV'!$B:$H,7,FALSE),0)</f>
        <v>23050</v>
      </c>
      <c r="K226" s="8">
        <f>IFERROR(VLOOKUP(Tabla13[[#This Row],[Oficina]],#REF!,2,FALSE),0)</f>
        <v>0</v>
      </c>
      <c r="L226" s="7">
        <f>+Tabla13[[#This Row],[ RV Producción mes n+1]]*Tabla13[[#This Row],[% Uti. producción]]</f>
        <v>0</v>
      </c>
      <c r="M226" s="7">
        <f>IFERROR(VLOOKUP(Tabla13[[#This Row],[Material]],#REF!,2,FALSE),0)</f>
        <v>0</v>
      </c>
      <c r="N226" s="7">
        <f>IFERROR(VLOOKUP(Tabla13[[#This Row],[Llave]],'En puerto-Programado'!A:D,4,FALSE)+VLOOKUP(Tabla13[[#This Row],[Llave]],'Por despachar'!A:F,6,FALSE),0)</f>
        <v>0</v>
      </c>
      <c r="O226" s="7">
        <f>IFERROR(VLOOKUP(Tabla13[[#This Row],[Material]],[2]Consolidado!$C:$D,2,FALSE),0)</f>
        <v>0</v>
      </c>
      <c r="P226" s="7">
        <f>IFERROR(VLOOKUP(Tabla13[[#This Row],[Llave]],'Por despachar'!A:E,5,FALSE),0)</f>
        <v>0</v>
      </c>
      <c r="Q22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26" s="7">
        <f>IFERROR(VLOOKUP(Tabla13[[#This Row],[Llave]],[3]Hoja2!$A:$D,4,FALSE),0)</f>
        <v>0</v>
      </c>
      <c r="S226" s="9">
        <f>IFERROR(VLOOKUP(Tabla13[[#This Row],[Material]],[4]Hoja1!$B:$C,2,FALSE),0)</f>
        <v>24000</v>
      </c>
      <c r="T226" s="5">
        <f t="shared" si="7"/>
        <v>0</v>
      </c>
      <c r="U226" s="3">
        <f>+Tabla13[[#This Row],[Total disponible]]-Tabla13[[#This Row],[Atraso a facturar]]</f>
        <v>0</v>
      </c>
      <c r="V226" s="6">
        <f t="shared" si="6"/>
        <v>0</v>
      </c>
      <c r="W226" s="3" t="str">
        <f>IF(Tabla13[[#This Row],[Venta del mes]]&gt;Tabla13[[#This Row],[ RV  Venta mes n+1]],"Falta venta","-")</f>
        <v>-</v>
      </c>
      <c r="X226" s="7"/>
      <c r="Y226" s="18">
        <v>0</v>
      </c>
      <c r="Z226" s="5">
        <f>+Tabla13[[#This Row],[Atraso a facturar]]+Tabla13[[#This Row],[Venta del mes]]+Tabla13[[#This Row],[Ajuste]]</f>
        <v>0</v>
      </c>
      <c r="AA226" s="6">
        <f>+Tabla13[[#This Row],[Atraso a facturar]]+Tabla13[[#This Row],[Venta del mes]]+Tabla13[[#This Row],[En puerto a facturar]]</f>
        <v>0</v>
      </c>
      <c r="AB226" s="20">
        <f>IFERROR(VLOOKUP(Tabla13[[#This Row],[Llave]],'[5]Consolidación planes'!$A:$M,9,FALSE),0)</f>
        <v>0</v>
      </c>
      <c r="AC226" s="20">
        <f>IFERROR(VLOOKUP(Tabla13[[#This Row],[Llave]],'[5]Consolidación planes'!$A:$M,10,FALSE),0)</f>
        <v>0</v>
      </c>
      <c r="AD226" s="20">
        <f>IFERROR(VLOOKUP(Tabla13[[#This Row],[Llave]],'[5]Consolidación planes'!$A:$M,11,FALSE),0)</f>
        <v>0</v>
      </c>
      <c r="AE226" s="20">
        <f>IFERROR(VLOOKUP(Tabla13[[#This Row],[Llave]],'[5]Consolidación planes'!$A:$M,12,FALSE),0)</f>
        <v>0</v>
      </c>
      <c r="AF226" s="20">
        <f>IFERROR(VLOOKUP(Tabla13[[#This Row],[Llave]],'[5]Consolidación planes'!$A:$M,13,FALSE),0)</f>
        <v>0</v>
      </c>
    </row>
    <row r="227" spans="2:32" ht="16" hidden="1" x14ac:dyDescent="0.2">
      <c r="B227" t="str">
        <f>Tabla13[[#This Row],[Oficina]]&amp;Tabla13[[#This Row],[Material]]</f>
        <v>Agro Sudamerica1010877</v>
      </c>
      <c r="C227" t="s">
        <v>227</v>
      </c>
      <c r="D227" t="s">
        <v>17</v>
      </c>
      <c r="E227">
        <v>1010877</v>
      </c>
      <c r="F227" t="s">
        <v>243</v>
      </c>
      <c r="G227" t="s">
        <v>209</v>
      </c>
      <c r="H227" t="s">
        <v>210</v>
      </c>
      <c r="I227" s="7">
        <f>IFERROR(VLOOKUP(Tabla13[[#This Row],[Llave]],'[1]Consolidado RV'!$B:$H,6,FALSE),0)</f>
        <v>61446.576000000001</v>
      </c>
      <c r="J227" s="3">
        <f>IFERROR(VLOOKUP(Tabla13[[#This Row],[Llave]],'[1]Consolidado RV'!$B:$H,7,FALSE),0)</f>
        <v>119999.9999875908</v>
      </c>
      <c r="K227" s="8">
        <f>IFERROR(VLOOKUP(Tabla13[[#This Row],[Oficina]],#REF!,2,FALSE),0)</f>
        <v>0</v>
      </c>
      <c r="L227" s="7">
        <f>+Tabla13[[#This Row],[ RV Producción mes n+1]]*Tabla13[[#This Row],[% Uti. producción]]</f>
        <v>0</v>
      </c>
      <c r="M227" s="7">
        <f>IFERROR(VLOOKUP(Tabla13[[#This Row],[Material]],#REF!,2,FALSE),0)</f>
        <v>0</v>
      </c>
      <c r="N227" s="7">
        <f>IFERROR(VLOOKUP(Tabla13[[#This Row],[Llave]],'En puerto-Programado'!A:D,4,FALSE)+VLOOKUP(Tabla13[[#This Row],[Llave]],'Por despachar'!A:F,6,FALSE),0)</f>
        <v>34000</v>
      </c>
      <c r="O227" s="7">
        <f>IFERROR(VLOOKUP(Tabla13[[#This Row],[Material]],[2]Consolidado!$C:$D,2,FALSE),0)</f>
        <v>10000</v>
      </c>
      <c r="P227" s="7">
        <f>IFERROR(VLOOKUP(Tabla13[[#This Row],[Llave]],'Por despachar'!A:E,5,FALSE),0)</f>
        <v>0</v>
      </c>
      <c r="Q227" s="14">
        <f>SUM(Tabla13[[#This Row],[Producción disponible]],Tabla13[[#This Row],[Stock al día]],Tabla13[[#This Row],[Por producir Abr.]])-SUM(Tabla13[[#This Row],[Stock por despachar N]],Tabla13[[#This Row],[Producción por despachar mes N]])</f>
        <v>-24000</v>
      </c>
      <c r="R227" s="7">
        <f>IFERROR(VLOOKUP(Tabla13[[#This Row],[Llave]],[3]Hoja2!$A:$D,4,FALSE),0)</f>
        <v>60000</v>
      </c>
      <c r="S227" s="9">
        <f>IFERROR(VLOOKUP(Tabla13[[#This Row],[Material]],[4]Hoja1!$B:$C,2,FALSE),0)</f>
        <v>24000</v>
      </c>
      <c r="T227" s="5">
        <f t="shared" si="7"/>
        <v>-24000</v>
      </c>
      <c r="U227" s="3">
        <f>+Tabla13[[#This Row],[Total disponible]]-Tabla13[[#This Row],[Atraso a facturar]]</f>
        <v>0</v>
      </c>
      <c r="V227" s="6">
        <f t="shared" si="6"/>
        <v>0</v>
      </c>
      <c r="W227" s="3" t="str">
        <f>IF(Tabla13[[#This Row],[Venta del mes]]&gt;Tabla13[[#This Row],[ RV  Venta mes n+1]],"Falta venta","-")</f>
        <v>-</v>
      </c>
      <c r="X227" s="7"/>
      <c r="Y227" s="18">
        <v>0</v>
      </c>
      <c r="Z227" s="5">
        <f>+Tabla13[[#This Row],[Atraso a facturar]]+Tabla13[[#This Row],[Venta del mes]]+Tabla13[[#This Row],[Ajuste]]</f>
        <v>-24000</v>
      </c>
      <c r="AA227" s="6">
        <f>+Tabla13[[#This Row],[Atraso a facturar]]+Tabla13[[#This Row],[Venta del mes]]+Tabla13[[#This Row],[En puerto a facturar]]</f>
        <v>-24000</v>
      </c>
      <c r="AB227" s="20">
        <f>IFERROR(VLOOKUP(Tabla13[[#This Row],[Llave]],'[5]Consolidación planes'!$A:$M,9,FALSE),0)</f>
        <v>96000</v>
      </c>
      <c r="AC227" s="20">
        <f>IFERROR(VLOOKUP(Tabla13[[#This Row],[Llave]],'[5]Consolidación planes'!$A:$M,10,FALSE),0)</f>
        <v>123000</v>
      </c>
      <c r="AD227" s="20">
        <f>IFERROR(VLOOKUP(Tabla13[[#This Row],[Llave]],'[5]Consolidación planes'!$A:$M,11,FALSE),0)</f>
        <v>95960</v>
      </c>
      <c r="AE227" s="20">
        <f>IFERROR(VLOOKUP(Tabla13[[#This Row],[Llave]],'[5]Consolidación planes'!$A:$M,12,FALSE),0)</f>
        <v>48000</v>
      </c>
      <c r="AF227" s="20">
        <f>IFERROR(VLOOKUP(Tabla13[[#This Row],[Llave]],'[5]Consolidación planes'!$A:$M,13,FALSE),0)</f>
        <v>115000</v>
      </c>
    </row>
    <row r="228" spans="2:32" ht="16" hidden="1" x14ac:dyDescent="0.2">
      <c r="B228" t="str">
        <f>Tabla13[[#This Row],[Oficina]]&amp;Tabla13[[#This Row],[Material]]</f>
        <v>Agro Sudamerica1011042</v>
      </c>
      <c r="C228" t="s">
        <v>227</v>
      </c>
      <c r="D228" t="s">
        <v>17</v>
      </c>
      <c r="E228">
        <v>1011042</v>
      </c>
      <c r="F228" t="s">
        <v>242</v>
      </c>
      <c r="G228" t="s">
        <v>240</v>
      </c>
      <c r="H228" t="s">
        <v>241</v>
      </c>
      <c r="I228" s="7">
        <f>IFERROR(VLOOKUP(Tabla13[[#This Row],[Llave]],'[1]Consolidado RV'!$B:$H,6,FALSE),0)</f>
        <v>0</v>
      </c>
      <c r="J228" s="3">
        <f>IFERROR(VLOOKUP(Tabla13[[#This Row],[Llave]],'[1]Consolidado RV'!$B:$H,7,FALSE),0)</f>
        <v>12370</v>
      </c>
      <c r="K228" s="8">
        <f>IFERROR(VLOOKUP(Tabla13[[#This Row],[Oficina]],#REF!,2,FALSE),0)</f>
        <v>0</v>
      </c>
      <c r="L228" s="7">
        <f>+Tabla13[[#This Row],[ RV Producción mes n+1]]*Tabla13[[#This Row],[% Uti. producción]]</f>
        <v>0</v>
      </c>
      <c r="M228" s="7">
        <f>IFERROR(VLOOKUP(Tabla13[[#This Row],[Material]],#REF!,2,FALSE),0)</f>
        <v>0</v>
      </c>
      <c r="N228" s="7">
        <f>IFERROR(VLOOKUP(Tabla13[[#This Row],[Llave]],'En puerto-Programado'!A:D,4,FALSE)+VLOOKUP(Tabla13[[#This Row],[Llave]],'Por despachar'!A:F,6,FALSE),0)</f>
        <v>0</v>
      </c>
      <c r="O228" s="7">
        <f>IFERROR(VLOOKUP(Tabla13[[#This Row],[Material]],[2]Consolidado!$C:$D,2,FALSE),0)</f>
        <v>23630</v>
      </c>
      <c r="P228" s="7">
        <f>IFERROR(VLOOKUP(Tabla13[[#This Row],[Llave]],'Por despachar'!A:E,5,FALSE),0)</f>
        <v>0</v>
      </c>
      <c r="Q228" s="14">
        <f>SUM(Tabla13[[#This Row],[Producción disponible]],Tabla13[[#This Row],[Stock al día]],Tabla13[[#This Row],[Por producir Abr.]])-SUM(Tabla13[[#This Row],[Stock por despachar N]],Tabla13[[#This Row],[Producción por despachar mes N]])</f>
        <v>23630</v>
      </c>
      <c r="R228" s="7">
        <f>IFERROR(VLOOKUP(Tabla13[[#This Row],[Llave]],[3]Hoja2!$A:$D,4,FALSE),0)</f>
        <v>60000</v>
      </c>
      <c r="S228" s="9">
        <f>IFERROR(VLOOKUP(Tabla13[[#This Row],[Material]],[4]Hoja1!$B:$C,2,FALSE),0)</f>
        <v>24000</v>
      </c>
      <c r="T228" s="5">
        <f t="shared" si="7"/>
        <v>0</v>
      </c>
      <c r="U228" s="3">
        <f>+Tabla13[[#This Row],[Total disponible]]-Tabla13[[#This Row],[Atraso a facturar]]</f>
        <v>23630</v>
      </c>
      <c r="V228" s="6">
        <f t="shared" si="6"/>
        <v>0</v>
      </c>
      <c r="W228" s="3" t="str">
        <f>IF(Tabla13[[#This Row],[Venta del mes]]&gt;Tabla13[[#This Row],[ RV  Venta mes n+1]],"Falta venta","-")</f>
        <v>-</v>
      </c>
      <c r="X228" s="7"/>
      <c r="Y228" s="18">
        <v>0</v>
      </c>
      <c r="Z228" s="5">
        <f>+Tabla13[[#This Row],[Atraso a facturar]]+Tabla13[[#This Row],[Venta del mes]]+Tabla13[[#This Row],[Ajuste]]</f>
        <v>0</v>
      </c>
      <c r="AA228" s="6">
        <f>+Tabla13[[#This Row],[Atraso a facturar]]+Tabla13[[#This Row],[Venta del mes]]+Tabla13[[#This Row],[En puerto a facturar]]</f>
        <v>0</v>
      </c>
      <c r="AB228" s="20">
        <f>IFERROR(VLOOKUP(Tabla13[[#This Row],[Llave]],'[5]Consolidación planes'!$A:$M,9,FALSE),0)</f>
        <v>24000</v>
      </c>
      <c r="AC228" s="20">
        <f>IFERROR(VLOOKUP(Tabla13[[#This Row],[Llave]],'[5]Consolidación planes'!$A:$M,10,FALSE),0)</f>
        <v>0</v>
      </c>
      <c r="AD228" s="20">
        <f>IFERROR(VLOOKUP(Tabla13[[#This Row],[Llave]],'[5]Consolidación planes'!$A:$M,11,FALSE),0)</f>
        <v>23960</v>
      </c>
      <c r="AE228" s="20">
        <f>IFERROR(VLOOKUP(Tabla13[[#This Row],[Llave]],'[5]Consolidación planes'!$A:$M,12,FALSE),0)</f>
        <v>0</v>
      </c>
      <c r="AF228" s="20">
        <f>IFERROR(VLOOKUP(Tabla13[[#This Row],[Llave]],'[5]Consolidación planes'!$A:$M,13,FALSE),0)</f>
        <v>72000</v>
      </c>
    </row>
    <row r="229" spans="2:32" ht="16" hidden="1" x14ac:dyDescent="0.2">
      <c r="B229" t="str">
        <f>Tabla13[[#This Row],[Oficina]]&amp;Tabla13[[#This Row],[Material]]</f>
        <v>Agro Sudamerica1011047</v>
      </c>
      <c r="C229" t="s">
        <v>227</v>
      </c>
      <c r="D229" t="s">
        <v>17</v>
      </c>
      <c r="E229">
        <v>1011047</v>
      </c>
      <c r="F229" t="s">
        <v>249</v>
      </c>
      <c r="G229" t="s">
        <v>247</v>
      </c>
      <c r="H229" t="s">
        <v>248</v>
      </c>
      <c r="I229" s="7">
        <f>IFERROR(VLOOKUP(Tabla13[[#This Row],[Llave]],'[1]Consolidado RV'!$B:$H,6,FALSE),0)</f>
        <v>0</v>
      </c>
      <c r="J229" s="3">
        <f>IFERROR(VLOOKUP(Tabla13[[#This Row],[Llave]],'[1]Consolidado RV'!$B:$H,7,FALSE),0)</f>
        <v>0</v>
      </c>
      <c r="K229" s="8">
        <f>IFERROR(VLOOKUP(Tabla13[[#This Row],[Oficina]],#REF!,2,FALSE),0)</f>
        <v>0</v>
      </c>
      <c r="L229" s="7">
        <f>+Tabla13[[#This Row],[ RV Producción mes n+1]]*Tabla13[[#This Row],[% Uti. producción]]</f>
        <v>0</v>
      </c>
      <c r="M229" s="7">
        <f>IFERROR(VLOOKUP(Tabla13[[#This Row],[Material]],#REF!,2,FALSE),0)</f>
        <v>0</v>
      </c>
      <c r="N229" s="7">
        <f>IFERROR(VLOOKUP(Tabla13[[#This Row],[Llave]],'En puerto-Programado'!A:D,4,FALSE)+VLOOKUP(Tabla13[[#This Row],[Llave]],'Por despachar'!A:F,6,FALSE),0)</f>
        <v>0</v>
      </c>
      <c r="O229" s="7">
        <f>IFERROR(VLOOKUP(Tabla13[[#This Row],[Material]],[2]Consolidado!$C:$D,2,FALSE),0)</f>
        <v>20000</v>
      </c>
      <c r="P229" s="7">
        <f>IFERROR(VLOOKUP(Tabla13[[#This Row],[Llave]],'Por despachar'!A:E,5,FALSE),0)</f>
        <v>0</v>
      </c>
      <c r="Q229" s="14">
        <f>SUM(Tabla13[[#This Row],[Producción disponible]],Tabla13[[#This Row],[Stock al día]],Tabla13[[#This Row],[Por producir Abr.]])-SUM(Tabla13[[#This Row],[Stock por despachar N]],Tabla13[[#This Row],[Producción por despachar mes N]])</f>
        <v>20000</v>
      </c>
      <c r="R229" s="7">
        <f>IFERROR(VLOOKUP(Tabla13[[#This Row],[Llave]],[3]Hoja2!$A:$D,4,FALSE),0)</f>
        <v>0</v>
      </c>
      <c r="S229" s="9">
        <f>IFERROR(VLOOKUP(Tabla13[[#This Row],[Material]],[4]Hoja1!$B:$C,2,FALSE),0)</f>
        <v>24000</v>
      </c>
      <c r="T229" s="5">
        <f t="shared" si="7"/>
        <v>0</v>
      </c>
      <c r="U229" s="3">
        <f>+Tabla13[[#This Row],[Total disponible]]-Tabla13[[#This Row],[Atraso a facturar]]</f>
        <v>20000</v>
      </c>
      <c r="V229" s="6">
        <f t="shared" si="6"/>
        <v>0</v>
      </c>
      <c r="W229" s="3" t="str">
        <f>IF(Tabla13[[#This Row],[Venta del mes]]&gt;Tabla13[[#This Row],[ RV  Venta mes n+1]],"Falta venta","-")</f>
        <v>-</v>
      </c>
      <c r="X229" s="7"/>
      <c r="Y229" s="18">
        <v>0</v>
      </c>
      <c r="Z229" s="5">
        <f>+Tabla13[[#This Row],[Atraso a facturar]]+Tabla13[[#This Row],[Venta del mes]]+Tabla13[[#This Row],[Ajuste]]</f>
        <v>0</v>
      </c>
      <c r="AA229" s="6">
        <f>+Tabla13[[#This Row],[Atraso a facturar]]+Tabla13[[#This Row],[Venta del mes]]+Tabla13[[#This Row],[En puerto a facturar]]</f>
        <v>0</v>
      </c>
      <c r="AB229" s="20">
        <f>IFERROR(VLOOKUP(Tabla13[[#This Row],[Llave]],'[5]Consolidación planes'!$A:$M,9,FALSE),0)</f>
        <v>0</v>
      </c>
      <c r="AC229" s="20">
        <f>IFERROR(VLOOKUP(Tabla13[[#This Row],[Llave]],'[5]Consolidación planes'!$A:$M,10,FALSE),0)</f>
        <v>0</v>
      </c>
      <c r="AD229" s="20">
        <f>IFERROR(VLOOKUP(Tabla13[[#This Row],[Llave]],'[5]Consolidación planes'!$A:$M,11,FALSE),0)</f>
        <v>0</v>
      </c>
      <c r="AE229" s="20">
        <f>IFERROR(VLOOKUP(Tabla13[[#This Row],[Llave]],'[5]Consolidación planes'!$A:$M,12,FALSE),0)</f>
        <v>0</v>
      </c>
      <c r="AF229" s="20">
        <f>IFERROR(VLOOKUP(Tabla13[[#This Row],[Llave]],'[5]Consolidación planes'!$A:$M,13,FALSE),0)</f>
        <v>0</v>
      </c>
    </row>
    <row r="230" spans="2:32" ht="16" hidden="1" x14ac:dyDescent="0.2">
      <c r="B230" t="str">
        <f>Tabla13[[#This Row],[Oficina]]&amp;Tabla13[[#This Row],[Material]]</f>
        <v>Agro Sudamerica1011127</v>
      </c>
      <c r="C230" t="s">
        <v>227</v>
      </c>
      <c r="D230" t="s">
        <v>17</v>
      </c>
      <c r="E230">
        <v>1011127</v>
      </c>
      <c r="F230" t="s">
        <v>250</v>
      </c>
      <c r="G230" t="s">
        <v>247</v>
      </c>
      <c r="H230" t="s">
        <v>248</v>
      </c>
      <c r="I230" s="7">
        <f>IFERROR(VLOOKUP(Tabla13[[#This Row],[Llave]],'[1]Consolidado RV'!$B:$H,6,FALSE),0)</f>
        <v>0</v>
      </c>
      <c r="J230" s="3">
        <f>IFERROR(VLOOKUP(Tabla13[[#This Row],[Llave]],'[1]Consolidado RV'!$B:$H,7,FALSE),0)</f>
        <v>0</v>
      </c>
      <c r="K230" s="8">
        <f>IFERROR(VLOOKUP(Tabla13[[#This Row],[Oficina]],#REF!,2,FALSE),0)</f>
        <v>0</v>
      </c>
      <c r="L230" s="7">
        <f>+Tabla13[[#This Row],[ RV Producción mes n+1]]*Tabla13[[#This Row],[% Uti. producción]]</f>
        <v>0</v>
      </c>
      <c r="M230" s="7">
        <f>IFERROR(VLOOKUP(Tabla13[[#This Row],[Material]],#REF!,2,FALSE),0)</f>
        <v>0</v>
      </c>
      <c r="N230" s="7">
        <f>IFERROR(VLOOKUP(Tabla13[[#This Row],[Llave]],'En puerto-Programado'!A:D,4,FALSE)+VLOOKUP(Tabla13[[#This Row],[Llave]],'Por despachar'!A:F,6,FALSE),0)</f>
        <v>0</v>
      </c>
      <c r="O230" s="7">
        <f>IFERROR(VLOOKUP(Tabla13[[#This Row],[Material]],[2]Consolidado!$C:$D,2,FALSE),0)</f>
        <v>396446.02012808784</v>
      </c>
      <c r="P230" s="7">
        <f>IFERROR(VLOOKUP(Tabla13[[#This Row],[Llave]],'Por despachar'!A:E,5,FALSE),0)</f>
        <v>0</v>
      </c>
      <c r="Q230" s="14">
        <f>SUM(Tabla13[[#This Row],[Producción disponible]],Tabla13[[#This Row],[Stock al día]],Tabla13[[#This Row],[Por producir Abr.]])-SUM(Tabla13[[#This Row],[Stock por despachar N]],Tabla13[[#This Row],[Producción por despachar mes N]])</f>
        <v>396446.02012808784</v>
      </c>
      <c r="R230" s="7">
        <f>IFERROR(VLOOKUP(Tabla13[[#This Row],[Llave]],[3]Hoja2!$A:$D,4,FALSE),0)</f>
        <v>0</v>
      </c>
      <c r="S230" s="9">
        <f>IFERROR(VLOOKUP(Tabla13[[#This Row],[Material]],[4]Hoja1!$B:$C,2,FALSE),0)</f>
        <v>24000</v>
      </c>
      <c r="T230" s="5">
        <f t="shared" si="7"/>
        <v>0</v>
      </c>
      <c r="U230" s="3">
        <f>+Tabla13[[#This Row],[Total disponible]]-Tabla13[[#This Row],[Atraso a facturar]]</f>
        <v>396446.02012808784</v>
      </c>
      <c r="V230" s="6">
        <f t="shared" si="6"/>
        <v>0</v>
      </c>
      <c r="W230" s="3" t="str">
        <f>IF(Tabla13[[#This Row],[Venta del mes]]&gt;Tabla13[[#This Row],[ RV  Venta mes n+1]],"Falta venta","-")</f>
        <v>-</v>
      </c>
      <c r="X230" s="7"/>
      <c r="Y230" s="18">
        <v>0</v>
      </c>
      <c r="Z230" s="5">
        <f>+Tabla13[[#This Row],[Atraso a facturar]]+Tabla13[[#This Row],[Venta del mes]]+Tabla13[[#This Row],[Ajuste]]</f>
        <v>0</v>
      </c>
      <c r="AA230" s="6">
        <f>+Tabla13[[#This Row],[Atraso a facturar]]+Tabla13[[#This Row],[Venta del mes]]+Tabla13[[#This Row],[En puerto a facturar]]</f>
        <v>0</v>
      </c>
      <c r="AB230" s="20">
        <f>IFERROR(VLOOKUP(Tabla13[[#This Row],[Llave]],'[5]Consolidación planes'!$A:$M,9,FALSE),0)</f>
        <v>0</v>
      </c>
      <c r="AC230" s="20">
        <f>IFERROR(VLOOKUP(Tabla13[[#This Row],[Llave]],'[5]Consolidación planes'!$A:$M,10,FALSE),0)</f>
        <v>0</v>
      </c>
      <c r="AD230" s="20">
        <f>IFERROR(VLOOKUP(Tabla13[[#This Row],[Llave]],'[5]Consolidación planes'!$A:$M,11,FALSE),0)</f>
        <v>47000</v>
      </c>
      <c r="AE230" s="20">
        <f>IFERROR(VLOOKUP(Tabla13[[#This Row],[Llave]],'[5]Consolidación planes'!$A:$M,12,FALSE),0)</f>
        <v>24000</v>
      </c>
      <c r="AF230" s="20">
        <f>IFERROR(VLOOKUP(Tabla13[[#This Row],[Llave]],'[5]Consolidación planes'!$A:$M,13,FALSE),0)</f>
        <v>0</v>
      </c>
    </row>
    <row r="231" spans="2:32" ht="16" hidden="1" x14ac:dyDescent="0.2">
      <c r="B231" t="str">
        <f>Tabla13[[#This Row],[Oficina]]&amp;Tabla13[[#This Row],[Material]]</f>
        <v>Agro Sudamerica1011250</v>
      </c>
      <c r="C231" t="s">
        <v>227</v>
      </c>
      <c r="D231" t="s">
        <v>17</v>
      </c>
      <c r="E231">
        <v>1011250</v>
      </c>
      <c r="F231" t="s">
        <v>321</v>
      </c>
      <c r="G231" t="s">
        <v>247</v>
      </c>
      <c r="H231" t="s">
        <v>248</v>
      </c>
      <c r="I231" s="7">
        <f>IFERROR(VLOOKUP(Tabla13[[#This Row],[Llave]],'[1]Consolidado RV'!$B:$H,6,FALSE),0)</f>
        <v>0</v>
      </c>
      <c r="J231" s="3">
        <f>IFERROR(VLOOKUP(Tabla13[[#This Row],[Llave]],'[1]Consolidado RV'!$B:$H,7,FALSE),0)</f>
        <v>0</v>
      </c>
      <c r="K231" s="8">
        <f>IFERROR(VLOOKUP(Tabla13[[#This Row],[Oficina]],#REF!,2,FALSE),0)</f>
        <v>0</v>
      </c>
      <c r="L231" s="7">
        <f>+Tabla13[[#This Row],[ RV Producción mes n+1]]*Tabla13[[#This Row],[% Uti. producción]]</f>
        <v>0</v>
      </c>
      <c r="M231" s="7">
        <f>IFERROR(VLOOKUP(Tabla13[[#This Row],[Material]],#REF!,2,FALSE),0)</f>
        <v>0</v>
      </c>
      <c r="N231" s="7">
        <f>IFERROR(VLOOKUP(Tabla13[[#This Row],[Llave]],'En puerto-Programado'!A:D,4,FALSE)+VLOOKUP(Tabla13[[#This Row],[Llave]],'Por despachar'!A:F,6,FALSE),0)</f>
        <v>0</v>
      </c>
      <c r="O231" s="7">
        <f>IFERROR(VLOOKUP(Tabla13[[#This Row],[Material]],[2]Consolidado!$C:$D,2,FALSE),0)</f>
        <v>0</v>
      </c>
      <c r="P231" s="7">
        <f>IFERROR(VLOOKUP(Tabla13[[#This Row],[Llave]],'Por despachar'!A:E,5,FALSE),0)</f>
        <v>0</v>
      </c>
      <c r="Q23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31" s="7">
        <f>IFERROR(VLOOKUP(Tabla13[[#This Row],[Llave]],[3]Hoja2!$A:$D,4,FALSE),0)</f>
        <v>0</v>
      </c>
      <c r="S231" s="9">
        <f>IFERROR(VLOOKUP(Tabla13[[#This Row],[Material]],[4]Hoja1!$B:$C,2,FALSE),0)</f>
        <v>24000</v>
      </c>
      <c r="T231" s="5">
        <f t="shared" si="7"/>
        <v>0</v>
      </c>
      <c r="U231" s="3">
        <f>+Tabla13[[#This Row],[Total disponible]]-Tabla13[[#This Row],[Atraso a facturar]]</f>
        <v>0</v>
      </c>
      <c r="V231" s="6">
        <f t="shared" si="6"/>
        <v>0</v>
      </c>
      <c r="W231" s="3" t="str">
        <f>IF(Tabla13[[#This Row],[Venta del mes]]&gt;Tabla13[[#This Row],[ RV  Venta mes n+1]],"Falta venta","-")</f>
        <v>-</v>
      </c>
      <c r="X231" s="7"/>
      <c r="Y231" s="18">
        <v>0</v>
      </c>
      <c r="Z231" s="5">
        <f>+Tabla13[[#This Row],[Atraso a facturar]]+Tabla13[[#This Row],[Venta del mes]]+Tabla13[[#This Row],[Ajuste]]</f>
        <v>0</v>
      </c>
      <c r="AA231" s="6">
        <f>+Tabla13[[#This Row],[Atraso a facturar]]+Tabla13[[#This Row],[Venta del mes]]+Tabla13[[#This Row],[En puerto a facturar]]</f>
        <v>0</v>
      </c>
      <c r="AB231" s="20">
        <f>IFERROR(VLOOKUP(Tabla13[[#This Row],[Llave]],'[5]Consolidación planes'!$A:$M,9,FALSE),0)</f>
        <v>0</v>
      </c>
      <c r="AC231" s="20">
        <f>IFERROR(VLOOKUP(Tabla13[[#This Row],[Llave]],'[5]Consolidación planes'!$A:$M,10,FALSE),0)</f>
        <v>0</v>
      </c>
      <c r="AD231" s="20">
        <f>IFERROR(VLOOKUP(Tabla13[[#This Row],[Llave]],'[5]Consolidación planes'!$A:$M,11,FALSE),0)</f>
        <v>0</v>
      </c>
      <c r="AE231" s="20">
        <f>IFERROR(VLOOKUP(Tabla13[[#This Row],[Llave]],'[5]Consolidación planes'!$A:$M,12,FALSE),0)</f>
        <v>0</v>
      </c>
      <c r="AF231" s="20">
        <f>IFERROR(VLOOKUP(Tabla13[[#This Row],[Llave]],'[5]Consolidación planes'!$A:$M,13,FALSE),0)</f>
        <v>0</v>
      </c>
    </row>
    <row r="232" spans="2:32" ht="16" hidden="1" x14ac:dyDescent="0.2">
      <c r="B232" t="str">
        <f>Tabla13[[#This Row],[Oficina]]&amp;Tabla13[[#This Row],[Material]]</f>
        <v>Agro Sudamerica1011290</v>
      </c>
      <c r="C232" t="s">
        <v>227</v>
      </c>
      <c r="D232" t="s">
        <v>17</v>
      </c>
      <c r="E232">
        <v>1011290</v>
      </c>
      <c r="F232" t="s">
        <v>258</v>
      </c>
      <c r="G232" t="s">
        <v>76</v>
      </c>
      <c r="H232" t="s">
        <v>257</v>
      </c>
      <c r="I232" s="7">
        <f>IFERROR(VLOOKUP(Tabla13[[#This Row],[Llave]],'[1]Consolidado RV'!$B:$H,6,FALSE),0)</f>
        <v>8000</v>
      </c>
      <c r="J232" s="3">
        <f>IFERROR(VLOOKUP(Tabla13[[#This Row],[Llave]],'[1]Consolidado RV'!$B:$H,7,FALSE),0)</f>
        <v>0</v>
      </c>
      <c r="K232" s="8">
        <f>IFERROR(VLOOKUP(Tabla13[[#This Row],[Oficina]],#REF!,2,FALSE),0)</f>
        <v>0</v>
      </c>
      <c r="L232" s="7">
        <f>+Tabla13[[#This Row],[ RV Producción mes n+1]]*Tabla13[[#This Row],[% Uti. producción]]</f>
        <v>0</v>
      </c>
      <c r="M232" s="7">
        <f>IFERROR(VLOOKUP(Tabla13[[#This Row],[Material]],#REF!,2,FALSE),0)</f>
        <v>0</v>
      </c>
      <c r="N232" s="7">
        <f>IFERROR(VLOOKUP(Tabla13[[#This Row],[Llave]],'En puerto-Programado'!A:D,4,FALSE)+VLOOKUP(Tabla13[[#This Row],[Llave]],'Por despachar'!A:F,6,FALSE),0)</f>
        <v>8000</v>
      </c>
      <c r="O232" s="7">
        <f>IFERROR(VLOOKUP(Tabla13[[#This Row],[Material]],[2]Consolidado!$C:$D,2,FALSE),0)</f>
        <v>0</v>
      </c>
      <c r="P232" s="7">
        <f>IFERROR(VLOOKUP(Tabla13[[#This Row],[Llave]],'Por despachar'!A:E,5,FALSE),0)</f>
        <v>0</v>
      </c>
      <c r="Q232" s="14">
        <f>SUM(Tabla13[[#This Row],[Producción disponible]],Tabla13[[#This Row],[Stock al día]],Tabla13[[#This Row],[Por producir Abr.]])-SUM(Tabla13[[#This Row],[Stock por despachar N]],Tabla13[[#This Row],[Producción por despachar mes N]])</f>
        <v>-8000</v>
      </c>
      <c r="R232" s="7">
        <f>IFERROR(VLOOKUP(Tabla13[[#This Row],[Llave]],[3]Hoja2!$A:$D,4,FALSE),0)</f>
        <v>48000</v>
      </c>
      <c r="S232" s="9">
        <f>IFERROR(VLOOKUP(Tabla13[[#This Row],[Material]],[4]Hoja1!$B:$C,2,FALSE),0)</f>
        <v>24000</v>
      </c>
      <c r="T232" s="5">
        <f t="shared" si="7"/>
        <v>0</v>
      </c>
      <c r="U232" s="3">
        <f>+Tabla13[[#This Row],[Total disponible]]-Tabla13[[#This Row],[Atraso a facturar]]</f>
        <v>-8000</v>
      </c>
      <c r="V232" s="6">
        <f t="shared" si="6"/>
        <v>0</v>
      </c>
      <c r="W232" s="3" t="str">
        <f>IF(Tabla13[[#This Row],[Venta del mes]]&gt;Tabla13[[#This Row],[ RV  Venta mes n+1]],"Falta venta","-")</f>
        <v>-</v>
      </c>
      <c r="X232" s="7"/>
      <c r="Y232" s="18">
        <v>0</v>
      </c>
      <c r="Z232" s="5">
        <f>+Tabla13[[#This Row],[Atraso a facturar]]+Tabla13[[#This Row],[Venta del mes]]+Tabla13[[#This Row],[Ajuste]]</f>
        <v>0</v>
      </c>
      <c r="AA232" s="6">
        <f>+Tabla13[[#This Row],[Atraso a facturar]]+Tabla13[[#This Row],[Venta del mes]]+Tabla13[[#This Row],[En puerto a facturar]]</f>
        <v>0</v>
      </c>
      <c r="AB232" s="20">
        <f>IFERROR(VLOOKUP(Tabla13[[#This Row],[Llave]],'[5]Consolidación planes'!$A:$M,9,FALSE),0)</f>
        <v>24000</v>
      </c>
      <c r="AC232" s="20">
        <f>IFERROR(VLOOKUP(Tabla13[[#This Row],[Llave]],'[5]Consolidación planes'!$A:$M,10,FALSE),0)</f>
        <v>23700</v>
      </c>
      <c r="AD232" s="20">
        <f>IFERROR(VLOOKUP(Tabla13[[#This Row],[Llave]],'[5]Consolidación planes'!$A:$M,11,FALSE),0)</f>
        <v>0</v>
      </c>
      <c r="AE232" s="20">
        <f>IFERROR(VLOOKUP(Tabla13[[#This Row],[Llave]],'[5]Consolidación planes'!$A:$M,12,FALSE),0)</f>
        <v>24000</v>
      </c>
      <c r="AF232" s="20">
        <f>IFERROR(VLOOKUP(Tabla13[[#This Row],[Llave]],'[5]Consolidación planes'!$A:$M,13,FALSE),0)</f>
        <v>0</v>
      </c>
    </row>
    <row r="233" spans="2:32" ht="16" hidden="1" x14ac:dyDescent="0.2">
      <c r="B233" t="str">
        <f>Tabla13[[#This Row],[Oficina]]&amp;Tabla13[[#This Row],[Material]]</f>
        <v>Agro Sudamerica1011421</v>
      </c>
      <c r="C233" t="s">
        <v>227</v>
      </c>
      <c r="D233" t="s">
        <v>17</v>
      </c>
      <c r="E233">
        <v>1011421</v>
      </c>
      <c r="F233" t="s">
        <v>238</v>
      </c>
      <c r="G233" t="s">
        <v>233</v>
      </c>
      <c r="H233" t="s">
        <v>237</v>
      </c>
      <c r="I233" s="7">
        <f>IFERROR(VLOOKUP(Tabla13[[#This Row],[Llave]],'[1]Consolidado RV'!$B:$H,6,FALSE),0)</f>
        <v>1040846.6410000001</v>
      </c>
      <c r="J233" s="3">
        <f>IFERROR(VLOOKUP(Tabla13[[#This Row],[Llave]],'[1]Consolidado RV'!$B:$H,7,FALSE),0)</f>
        <v>1000000.0000356449</v>
      </c>
      <c r="K233" s="8">
        <f>IFERROR(VLOOKUP(Tabla13[[#This Row],[Oficina]],#REF!,2,FALSE),0)</f>
        <v>0</v>
      </c>
      <c r="L233" s="7">
        <f>+Tabla13[[#This Row],[ RV Producción mes n+1]]*Tabla13[[#This Row],[% Uti. producción]]</f>
        <v>0</v>
      </c>
      <c r="M233" s="7">
        <f>IFERROR(VLOOKUP(Tabla13[[#This Row],[Material]],#REF!,2,FALSE),0)</f>
        <v>0</v>
      </c>
      <c r="N233" s="7">
        <f>IFERROR(VLOOKUP(Tabla13[[#This Row],[Llave]],'En puerto-Programado'!A:D,4,FALSE)+VLOOKUP(Tabla13[[#This Row],[Llave]],'Por despachar'!A:F,6,FALSE),0)</f>
        <v>0</v>
      </c>
      <c r="O233" s="7">
        <f>IFERROR(VLOOKUP(Tabla13[[#This Row],[Material]],[2]Consolidado!$C:$D,2,FALSE),0)</f>
        <v>196000</v>
      </c>
      <c r="P233" s="7">
        <f>IFERROR(VLOOKUP(Tabla13[[#This Row],[Llave]],'Por despachar'!A:E,5,FALSE),0)</f>
        <v>0</v>
      </c>
      <c r="Q233" s="14">
        <f>SUM(Tabla13[[#This Row],[Producción disponible]],Tabla13[[#This Row],[Stock al día]],Tabla13[[#This Row],[Por producir Abr.]])-SUM(Tabla13[[#This Row],[Stock por despachar N]],Tabla13[[#This Row],[Producción por despachar mes N]])</f>
        <v>196000</v>
      </c>
      <c r="R233" s="7">
        <f>IFERROR(VLOOKUP(Tabla13[[#This Row],[Llave]],[3]Hoja2!$A:$D,4,FALSE),0)</f>
        <v>696000</v>
      </c>
      <c r="S233" s="9">
        <f>IFERROR(VLOOKUP(Tabla13[[#This Row],[Material]],[4]Hoja1!$B:$C,2,FALSE),0)</f>
        <v>24000</v>
      </c>
      <c r="T233" s="5">
        <f t="shared" si="7"/>
        <v>192000</v>
      </c>
      <c r="U233" s="3">
        <f>+Tabla13[[#This Row],[Total disponible]]-Tabla13[[#This Row],[Atraso a facturar]]</f>
        <v>4000</v>
      </c>
      <c r="V233" s="6">
        <f t="shared" si="6"/>
        <v>0</v>
      </c>
      <c r="W233" s="3" t="str">
        <f>IF(Tabla13[[#This Row],[Venta del mes]]&gt;Tabla13[[#This Row],[ RV  Venta mes n+1]],"Falta venta","-")</f>
        <v>-</v>
      </c>
      <c r="X233" s="7"/>
      <c r="Y233" s="18">
        <v>0</v>
      </c>
      <c r="Z233" s="5">
        <f>+Tabla13[[#This Row],[Atraso a facturar]]+Tabla13[[#This Row],[Venta del mes]]+Tabla13[[#This Row],[Ajuste]]</f>
        <v>192000</v>
      </c>
      <c r="AA233" s="6">
        <f>+Tabla13[[#This Row],[Atraso a facturar]]+Tabla13[[#This Row],[Venta del mes]]+Tabla13[[#This Row],[En puerto a facturar]]</f>
        <v>192000</v>
      </c>
      <c r="AB233" s="20">
        <f>IFERROR(VLOOKUP(Tabla13[[#This Row],[Llave]],'[5]Consolidación planes'!$A:$M,9,FALSE),0)</f>
        <v>620000</v>
      </c>
      <c r="AC233" s="20">
        <f>IFERROR(VLOOKUP(Tabla13[[#This Row],[Llave]],'[5]Consolidación planes'!$A:$M,10,FALSE),0)</f>
        <v>696000</v>
      </c>
      <c r="AD233" s="20">
        <f>IFERROR(VLOOKUP(Tabla13[[#This Row],[Llave]],'[5]Consolidación planes'!$A:$M,11,FALSE),0)</f>
        <v>840000</v>
      </c>
      <c r="AE233" s="20">
        <f>IFERROR(VLOOKUP(Tabla13[[#This Row],[Llave]],'[5]Consolidación planes'!$A:$M,12,FALSE),0)</f>
        <v>720000</v>
      </c>
      <c r="AF233" s="20">
        <f>IFERROR(VLOOKUP(Tabla13[[#This Row],[Llave]],'[5]Consolidación planes'!$A:$M,13,FALSE),0)</f>
        <v>888000</v>
      </c>
    </row>
    <row r="234" spans="2:32" ht="16" hidden="1" x14ac:dyDescent="0.2">
      <c r="B234" t="str">
        <f>Tabla13[[#This Row],[Oficina]]&amp;Tabla13[[#This Row],[Material]]</f>
        <v>Agro Sudamerica1011422</v>
      </c>
      <c r="C234" t="s">
        <v>227</v>
      </c>
      <c r="D234" t="s">
        <v>17</v>
      </c>
      <c r="E234">
        <v>1011422</v>
      </c>
      <c r="F234" t="s">
        <v>259</v>
      </c>
      <c r="G234" t="s">
        <v>76</v>
      </c>
      <c r="H234" t="s">
        <v>257</v>
      </c>
      <c r="I234" s="7">
        <f>IFERROR(VLOOKUP(Tabla13[[#This Row],[Llave]],'[1]Consolidado RV'!$B:$H,6,FALSE),0)</f>
        <v>0</v>
      </c>
      <c r="J234" s="3">
        <f>IFERROR(VLOOKUP(Tabla13[[#This Row],[Llave]],'[1]Consolidado RV'!$B:$H,7,FALSE),0)</f>
        <v>0</v>
      </c>
      <c r="K234" s="8">
        <f>IFERROR(VLOOKUP(Tabla13[[#This Row],[Oficina]],#REF!,2,FALSE),0)</f>
        <v>0</v>
      </c>
      <c r="L234" s="7">
        <f>+Tabla13[[#This Row],[ RV Producción mes n+1]]*Tabla13[[#This Row],[% Uti. producción]]</f>
        <v>0</v>
      </c>
      <c r="M234" s="7">
        <f>IFERROR(VLOOKUP(Tabla13[[#This Row],[Material]],#REF!,2,FALSE),0)</f>
        <v>0</v>
      </c>
      <c r="N234" s="7">
        <f>IFERROR(VLOOKUP(Tabla13[[#This Row],[Llave]],'En puerto-Programado'!A:D,4,FALSE)+VLOOKUP(Tabla13[[#This Row],[Llave]],'Por despachar'!A:F,6,FALSE),0)</f>
        <v>0</v>
      </c>
      <c r="O234" s="7">
        <f>IFERROR(VLOOKUP(Tabla13[[#This Row],[Material]],[2]Consolidado!$C:$D,2,FALSE),0)</f>
        <v>0</v>
      </c>
      <c r="P234" s="7">
        <f>IFERROR(VLOOKUP(Tabla13[[#This Row],[Llave]],'Por despachar'!A:E,5,FALSE),0)</f>
        <v>0</v>
      </c>
      <c r="Q23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34" s="7">
        <f>IFERROR(VLOOKUP(Tabla13[[#This Row],[Llave]],[3]Hoja2!$A:$D,4,FALSE),0)</f>
        <v>0</v>
      </c>
      <c r="S234" s="9">
        <f>IFERROR(VLOOKUP(Tabla13[[#This Row],[Material]],[4]Hoja1!$B:$C,2,FALSE),0)</f>
        <v>24000</v>
      </c>
      <c r="T234" s="5">
        <f t="shared" si="7"/>
        <v>0</v>
      </c>
      <c r="U234" s="3">
        <f>+Tabla13[[#This Row],[Total disponible]]-Tabla13[[#This Row],[Atraso a facturar]]</f>
        <v>0</v>
      </c>
      <c r="V234" s="6">
        <f t="shared" si="6"/>
        <v>0</v>
      </c>
      <c r="W234" s="3" t="str">
        <f>IF(Tabla13[[#This Row],[Venta del mes]]&gt;Tabla13[[#This Row],[ RV  Venta mes n+1]],"Falta venta","-")</f>
        <v>-</v>
      </c>
      <c r="X234" s="7"/>
      <c r="Y234" s="18">
        <v>0</v>
      </c>
      <c r="Z234" s="5">
        <f>+Tabla13[[#This Row],[Atraso a facturar]]+Tabla13[[#This Row],[Venta del mes]]+Tabla13[[#This Row],[Ajuste]]</f>
        <v>0</v>
      </c>
      <c r="AA234" s="6">
        <f>+Tabla13[[#This Row],[Atraso a facturar]]+Tabla13[[#This Row],[Venta del mes]]+Tabla13[[#This Row],[En puerto a facturar]]</f>
        <v>0</v>
      </c>
      <c r="AB234" s="20">
        <f>IFERROR(VLOOKUP(Tabla13[[#This Row],[Llave]],'[5]Consolidación planes'!$A:$M,9,FALSE),0)</f>
        <v>0</v>
      </c>
      <c r="AC234" s="20">
        <f>IFERROR(VLOOKUP(Tabla13[[#This Row],[Llave]],'[5]Consolidación planes'!$A:$M,10,FALSE),0)</f>
        <v>0</v>
      </c>
      <c r="AD234" s="20">
        <f>IFERROR(VLOOKUP(Tabla13[[#This Row],[Llave]],'[5]Consolidación planes'!$A:$M,11,FALSE),0)</f>
        <v>24000</v>
      </c>
      <c r="AE234" s="20">
        <f>IFERROR(VLOOKUP(Tabla13[[#This Row],[Llave]],'[5]Consolidación planes'!$A:$M,12,FALSE),0)</f>
        <v>0</v>
      </c>
      <c r="AF234" s="20">
        <f>IFERROR(VLOOKUP(Tabla13[[#This Row],[Llave]],'[5]Consolidación planes'!$A:$M,13,FALSE),0)</f>
        <v>0</v>
      </c>
    </row>
    <row r="235" spans="2:32" ht="16" hidden="1" x14ac:dyDescent="0.2">
      <c r="B235" t="str">
        <f>Tabla13[[#This Row],[Oficina]]&amp;Tabla13[[#This Row],[Material]]</f>
        <v>Agro Sudamerica1011558</v>
      </c>
      <c r="C235" t="s">
        <v>227</v>
      </c>
      <c r="D235" t="s">
        <v>17</v>
      </c>
      <c r="E235">
        <v>1011558</v>
      </c>
      <c r="F235" t="s">
        <v>239</v>
      </c>
      <c r="G235" t="s">
        <v>233</v>
      </c>
      <c r="H235" t="s">
        <v>237</v>
      </c>
      <c r="I235" s="7">
        <f>IFERROR(VLOOKUP(Tabla13[[#This Row],[Llave]],'[1]Consolidado RV'!$B:$H,6,FALSE),0)</f>
        <v>243275.73149999999</v>
      </c>
      <c r="J235" s="3">
        <f>IFERROR(VLOOKUP(Tabla13[[#This Row],[Llave]],'[1]Consolidado RV'!$B:$H,7,FALSE),0)</f>
        <v>240000.00000234929</v>
      </c>
      <c r="K235" s="8">
        <f>IFERROR(VLOOKUP(Tabla13[[#This Row],[Oficina]],#REF!,2,FALSE),0)</f>
        <v>0</v>
      </c>
      <c r="L235" s="7">
        <f>+Tabla13[[#This Row],[ RV Producción mes n+1]]*Tabla13[[#This Row],[% Uti. producción]]</f>
        <v>0</v>
      </c>
      <c r="M235" s="7">
        <f>IFERROR(VLOOKUP(Tabla13[[#This Row],[Material]],#REF!,2,FALSE),0)</f>
        <v>0</v>
      </c>
      <c r="N235" s="7">
        <f>IFERROR(VLOOKUP(Tabla13[[#This Row],[Llave]],'En puerto-Programado'!A:D,4,FALSE)+VLOOKUP(Tabla13[[#This Row],[Llave]],'Por despachar'!A:F,6,FALSE),0)</f>
        <v>72000</v>
      </c>
      <c r="O235" s="7">
        <f>IFERROR(VLOOKUP(Tabla13[[#This Row],[Material]],[2]Consolidado!$C:$D,2,FALSE),0)</f>
        <v>0</v>
      </c>
      <c r="P235" s="7">
        <f>IFERROR(VLOOKUP(Tabla13[[#This Row],[Llave]],'Por despachar'!A:E,5,FALSE),0)</f>
        <v>0</v>
      </c>
      <c r="Q235" s="14">
        <f>SUM(Tabla13[[#This Row],[Producción disponible]],Tabla13[[#This Row],[Stock al día]],Tabla13[[#This Row],[Por producir Abr.]])-SUM(Tabla13[[#This Row],[Stock por despachar N]],Tabla13[[#This Row],[Producción por despachar mes N]])</f>
        <v>-72000</v>
      </c>
      <c r="R235" s="7">
        <f>IFERROR(VLOOKUP(Tabla13[[#This Row],[Llave]],[3]Hoja2!$A:$D,4,FALSE),0)</f>
        <v>120000</v>
      </c>
      <c r="S235" s="9">
        <f>IFERROR(VLOOKUP(Tabla13[[#This Row],[Material]],[4]Hoja1!$B:$C,2,FALSE),0)</f>
        <v>24000</v>
      </c>
      <c r="T235" s="5">
        <f t="shared" si="7"/>
        <v>-72000</v>
      </c>
      <c r="U235" s="3">
        <f>+Tabla13[[#This Row],[Total disponible]]-Tabla13[[#This Row],[Atraso a facturar]]</f>
        <v>0</v>
      </c>
      <c r="V235" s="6">
        <f t="shared" si="6"/>
        <v>0</v>
      </c>
      <c r="W235" s="3" t="str">
        <f>IF(Tabla13[[#This Row],[Venta del mes]]&gt;Tabla13[[#This Row],[ RV  Venta mes n+1]],"Falta venta","-")</f>
        <v>-</v>
      </c>
      <c r="X235" s="7"/>
      <c r="Y235" s="18">
        <v>0</v>
      </c>
      <c r="Z235" s="5">
        <f>+Tabla13[[#This Row],[Atraso a facturar]]+Tabla13[[#This Row],[Venta del mes]]+Tabla13[[#This Row],[Ajuste]]</f>
        <v>-72000</v>
      </c>
      <c r="AA235" s="6">
        <f>+Tabla13[[#This Row],[Atraso a facturar]]+Tabla13[[#This Row],[Venta del mes]]+Tabla13[[#This Row],[En puerto a facturar]]</f>
        <v>-72000</v>
      </c>
      <c r="AB235" s="20">
        <f>IFERROR(VLOOKUP(Tabla13[[#This Row],[Llave]],'[5]Consolidación planes'!$A:$M,9,FALSE),0)</f>
        <v>192000</v>
      </c>
      <c r="AC235" s="20">
        <f>IFERROR(VLOOKUP(Tabla13[[#This Row],[Llave]],'[5]Consolidación planes'!$A:$M,10,FALSE),0)</f>
        <v>408000</v>
      </c>
      <c r="AD235" s="20">
        <f>IFERROR(VLOOKUP(Tabla13[[#This Row],[Llave]],'[5]Consolidación planes'!$A:$M,11,FALSE),0)</f>
        <v>288000</v>
      </c>
      <c r="AE235" s="20">
        <f>IFERROR(VLOOKUP(Tabla13[[#This Row],[Llave]],'[5]Consolidación planes'!$A:$M,12,FALSE),0)</f>
        <v>264000</v>
      </c>
      <c r="AF235" s="20">
        <f>IFERROR(VLOOKUP(Tabla13[[#This Row],[Llave]],'[5]Consolidación planes'!$A:$M,13,FALSE),0)</f>
        <v>168000</v>
      </c>
    </row>
    <row r="236" spans="2:32" ht="16" hidden="1" x14ac:dyDescent="0.2">
      <c r="B236" t="str">
        <f>Tabla13[[#This Row],[Oficina]]&amp;Tabla13[[#This Row],[Material]]</f>
        <v>Agro Sudamerica1011582</v>
      </c>
      <c r="C236" t="s">
        <v>227</v>
      </c>
      <c r="D236" t="s">
        <v>17</v>
      </c>
      <c r="E236">
        <v>1011582</v>
      </c>
      <c r="F236" t="s">
        <v>255</v>
      </c>
      <c r="G236" t="s">
        <v>253</v>
      </c>
      <c r="H236" t="s">
        <v>254</v>
      </c>
      <c r="I236" s="7">
        <f>IFERROR(VLOOKUP(Tabla13[[#This Row],[Llave]],'[1]Consolidado RV'!$B:$H,6,FALSE),0)</f>
        <v>0</v>
      </c>
      <c r="J236" s="3">
        <f>IFERROR(VLOOKUP(Tabla13[[#This Row],[Llave]],'[1]Consolidado RV'!$B:$H,7,FALSE),0)</f>
        <v>12524</v>
      </c>
      <c r="K236" s="8">
        <f>IFERROR(VLOOKUP(Tabla13[[#This Row],[Oficina]],#REF!,2,FALSE),0)</f>
        <v>0</v>
      </c>
      <c r="L236" s="7">
        <f>+Tabla13[[#This Row],[ RV Producción mes n+1]]*Tabla13[[#This Row],[% Uti. producción]]</f>
        <v>0</v>
      </c>
      <c r="M236" s="7">
        <f>IFERROR(VLOOKUP(Tabla13[[#This Row],[Material]],#REF!,2,FALSE),0)</f>
        <v>0</v>
      </c>
      <c r="N236" s="7">
        <f>IFERROR(VLOOKUP(Tabla13[[#This Row],[Llave]],'En puerto-Programado'!A:D,4,FALSE)+VLOOKUP(Tabla13[[#This Row],[Llave]],'Por despachar'!A:F,6,FALSE),0)</f>
        <v>0</v>
      </c>
      <c r="O236" s="7">
        <f>IFERROR(VLOOKUP(Tabla13[[#This Row],[Material]],[2]Consolidado!$C:$D,2,FALSE),0)</f>
        <v>0</v>
      </c>
      <c r="P236" s="7">
        <f>IFERROR(VLOOKUP(Tabla13[[#This Row],[Llave]],'Por despachar'!A:E,5,FALSE),0)</f>
        <v>0</v>
      </c>
      <c r="Q23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36" s="7">
        <f>IFERROR(VLOOKUP(Tabla13[[#This Row],[Llave]],[3]Hoja2!$A:$D,4,FALSE),0)</f>
        <v>0</v>
      </c>
      <c r="S236" s="9">
        <f>IFERROR(VLOOKUP(Tabla13[[#This Row],[Material]],[4]Hoja1!$B:$C,2,FALSE),0)</f>
        <v>24000</v>
      </c>
      <c r="T236" s="5">
        <f t="shared" si="7"/>
        <v>0</v>
      </c>
      <c r="U236" s="3">
        <f>+Tabla13[[#This Row],[Total disponible]]-Tabla13[[#This Row],[Atraso a facturar]]</f>
        <v>0</v>
      </c>
      <c r="V236" s="6">
        <f t="shared" si="6"/>
        <v>0</v>
      </c>
      <c r="W236" s="3" t="str">
        <f>IF(Tabla13[[#This Row],[Venta del mes]]&gt;Tabla13[[#This Row],[ RV  Venta mes n+1]],"Falta venta","-")</f>
        <v>-</v>
      </c>
      <c r="X236" s="7"/>
      <c r="Y236" s="18">
        <v>0</v>
      </c>
      <c r="Z236" s="5">
        <f>+Tabla13[[#This Row],[Atraso a facturar]]+Tabla13[[#This Row],[Venta del mes]]+Tabla13[[#This Row],[Ajuste]]</f>
        <v>0</v>
      </c>
      <c r="AA236" s="6">
        <f>+Tabla13[[#This Row],[Atraso a facturar]]+Tabla13[[#This Row],[Venta del mes]]+Tabla13[[#This Row],[En puerto a facturar]]</f>
        <v>0</v>
      </c>
      <c r="AB236" s="20">
        <f>IFERROR(VLOOKUP(Tabla13[[#This Row],[Llave]],'[5]Consolidación planes'!$A:$M,9,FALSE),0)</f>
        <v>24000</v>
      </c>
      <c r="AC236" s="20">
        <f>IFERROR(VLOOKUP(Tabla13[[#This Row],[Llave]],'[5]Consolidación planes'!$A:$M,10,FALSE),0)</f>
        <v>82000</v>
      </c>
      <c r="AD236" s="20">
        <f>IFERROR(VLOOKUP(Tabla13[[#This Row],[Llave]],'[5]Consolidación planes'!$A:$M,11,FALSE),0)</f>
        <v>60000</v>
      </c>
      <c r="AE236" s="20">
        <f>IFERROR(VLOOKUP(Tabla13[[#This Row],[Llave]],'[5]Consolidación planes'!$A:$M,12,FALSE),0)</f>
        <v>24000</v>
      </c>
      <c r="AF236" s="20">
        <f>IFERROR(VLOOKUP(Tabla13[[#This Row],[Llave]],'[5]Consolidación planes'!$A:$M,13,FALSE),0)</f>
        <v>46500</v>
      </c>
    </row>
    <row r="237" spans="2:32" ht="16" hidden="1" x14ac:dyDescent="0.2">
      <c r="B237" t="str">
        <f>Tabla13[[#This Row],[Oficina]]&amp;Tabla13[[#This Row],[Material]]</f>
        <v>Agro Sudamerica1011888</v>
      </c>
      <c r="C237" t="s">
        <v>227</v>
      </c>
      <c r="D237" t="s">
        <v>17</v>
      </c>
      <c r="E237">
        <v>1011888</v>
      </c>
      <c r="F237" t="s">
        <v>260</v>
      </c>
      <c r="G237" t="s">
        <v>76</v>
      </c>
      <c r="H237" t="s">
        <v>257</v>
      </c>
      <c r="I237" s="7">
        <f>IFERROR(VLOOKUP(Tabla13[[#This Row],[Llave]],'[1]Consolidado RV'!$B:$H,6,FALSE),0)</f>
        <v>0</v>
      </c>
      <c r="J237" s="3">
        <f>IFERROR(VLOOKUP(Tabla13[[#This Row],[Llave]],'[1]Consolidado RV'!$B:$H,7,FALSE),0)</f>
        <v>0</v>
      </c>
      <c r="K237" s="8">
        <f>IFERROR(VLOOKUP(Tabla13[[#This Row],[Oficina]],#REF!,2,FALSE),0)</f>
        <v>0</v>
      </c>
      <c r="L237" s="7">
        <f>+Tabla13[[#This Row],[ RV Producción mes n+1]]*Tabla13[[#This Row],[% Uti. producción]]</f>
        <v>0</v>
      </c>
      <c r="M237" s="7">
        <f>IFERROR(VLOOKUP(Tabla13[[#This Row],[Material]],#REF!,2,FALSE),0)</f>
        <v>0</v>
      </c>
      <c r="N237" s="7">
        <f>IFERROR(VLOOKUP(Tabla13[[#This Row],[Llave]],'En puerto-Programado'!A:D,4,FALSE)+VLOOKUP(Tabla13[[#This Row],[Llave]],'Por despachar'!A:F,6,FALSE),0)</f>
        <v>0</v>
      </c>
      <c r="O237" s="7">
        <f>IFERROR(VLOOKUP(Tabla13[[#This Row],[Material]],[2]Consolidado!$C:$D,2,FALSE),0)</f>
        <v>0</v>
      </c>
      <c r="P237" s="7">
        <f>IFERROR(VLOOKUP(Tabla13[[#This Row],[Llave]],'Por despachar'!A:E,5,FALSE),0)</f>
        <v>0</v>
      </c>
      <c r="Q237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37" s="7">
        <f>IFERROR(VLOOKUP(Tabla13[[#This Row],[Llave]],[3]Hoja2!$A:$D,4,FALSE),0)</f>
        <v>0</v>
      </c>
      <c r="S237" s="9">
        <f>IFERROR(VLOOKUP(Tabla13[[#This Row],[Material]],[4]Hoja1!$B:$C,2,FALSE),0)</f>
        <v>24000</v>
      </c>
      <c r="T237" s="5">
        <f t="shared" si="7"/>
        <v>0</v>
      </c>
      <c r="U237" s="3">
        <f>+Tabla13[[#This Row],[Total disponible]]-Tabla13[[#This Row],[Atraso a facturar]]</f>
        <v>0</v>
      </c>
      <c r="V237" s="6">
        <f t="shared" si="6"/>
        <v>0</v>
      </c>
      <c r="W237" s="3" t="str">
        <f>IF(Tabla13[[#This Row],[Venta del mes]]&gt;Tabla13[[#This Row],[ RV  Venta mes n+1]],"Falta venta","-")</f>
        <v>-</v>
      </c>
      <c r="X237" s="7"/>
      <c r="Y237" s="18">
        <v>0</v>
      </c>
      <c r="Z237" s="5">
        <f>+Tabla13[[#This Row],[Atraso a facturar]]+Tabla13[[#This Row],[Venta del mes]]+Tabla13[[#This Row],[Ajuste]]</f>
        <v>0</v>
      </c>
      <c r="AA237" s="6">
        <f>+Tabla13[[#This Row],[Atraso a facturar]]+Tabla13[[#This Row],[Venta del mes]]+Tabla13[[#This Row],[En puerto a facturar]]</f>
        <v>0</v>
      </c>
      <c r="AB237" s="20">
        <f>IFERROR(VLOOKUP(Tabla13[[#This Row],[Llave]],'[5]Consolidación planes'!$A:$M,9,FALSE),0)</f>
        <v>0</v>
      </c>
      <c r="AC237" s="20">
        <f>IFERROR(VLOOKUP(Tabla13[[#This Row],[Llave]],'[5]Consolidación planes'!$A:$M,10,FALSE),0)</f>
        <v>0</v>
      </c>
      <c r="AD237" s="20">
        <f>IFERROR(VLOOKUP(Tabla13[[#This Row],[Llave]],'[5]Consolidación planes'!$A:$M,11,FALSE),0)</f>
        <v>0</v>
      </c>
      <c r="AE237" s="20">
        <f>IFERROR(VLOOKUP(Tabla13[[#This Row],[Llave]],'[5]Consolidación planes'!$A:$M,12,FALSE),0)</f>
        <v>0</v>
      </c>
      <c r="AF237" s="20">
        <f>IFERROR(VLOOKUP(Tabla13[[#This Row],[Llave]],'[5]Consolidación planes'!$A:$M,13,FALSE),0)</f>
        <v>0</v>
      </c>
    </row>
    <row r="238" spans="2:32" ht="16" hidden="1" x14ac:dyDescent="0.2">
      <c r="B238" t="str">
        <f>Tabla13[[#This Row],[Oficina]]&amp;Tabla13[[#This Row],[Material]]</f>
        <v>Agro Sudamerica1011939</v>
      </c>
      <c r="C238" t="s">
        <v>227</v>
      </c>
      <c r="D238" t="s">
        <v>17</v>
      </c>
      <c r="E238">
        <v>1011939</v>
      </c>
      <c r="F238" t="s">
        <v>261</v>
      </c>
      <c r="G238" t="s">
        <v>217</v>
      </c>
      <c r="H238" t="s">
        <v>218</v>
      </c>
      <c r="I238" s="7">
        <f>IFERROR(VLOOKUP(Tabla13[[#This Row],[Llave]],'[1]Consolidado RV'!$B:$H,6,FALSE),0)</f>
        <v>0</v>
      </c>
      <c r="J238" s="3">
        <f>IFERROR(VLOOKUP(Tabla13[[#This Row],[Llave]],'[1]Consolidado RV'!$B:$H,7,FALSE),0)</f>
        <v>0</v>
      </c>
      <c r="K238" s="8">
        <f>IFERROR(VLOOKUP(Tabla13[[#This Row],[Oficina]],#REF!,2,FALSE),0)</f>
        <v>0</v>
      </c>
      <c r="L238" s="7">
        <f>+Tabla13[[#This Row],[ RV Producción mes n+1]]*Tabla13[[#This Row],[% Uti. producción]]</f>
        <v>0</v>
      </c>
      <c r="M238" s="7">
        <f>IFERROR(VLOOKUP(Tabla13[[#This Row],[Material]],#REF!,2,FALSE),0)</f>
        <v>0</v>
      </c>
      <c r="N238" s="7">
        <f>IFERROR(VLOOKUP(Tabla13[[#This Row],[Llave]],'En puerto-Programado'!A:D,4,FALSE)+VLOOKUP(Tabla13[[#This Row],[Llave]],'Por despachar'!A:F,6,FALSE),0)</f>
        <v>0</v>
      </c>
      <c r="O238" s="7">
        <f>IFERROR(VLOOKUP(Tabla13[[#This Row],[Material]],[2]Consolidado!$C:$D,2,FALSE),0)</f>
        <v>0</v>
      </c>
      <c r="P238" s="7">
        <f>IFERROR(VLOOKUP(Tabla13[[#This Row],[Llave]],'Por despachar'!A:E,5,FALSE),0)</f>
        <v>0</v>
      </c>
      <c r="Q238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38" s="7">
        <f>IFERROR(VLOOKUP(Tabla13[[#This Row],[Llave]],[3]Hoja2!$A:$D,4,FALSE),0)</f>
        <v>0</v>
      </c>
      <c r="S238" s="9">
        <f>IFERROR(VLOOKUP(Tabla13[[#This Row],[Material]],[4]Hoja1!$B:$C,2,FALSE),0)</f>
        <v>24000</v>
      </c>
      <c r="T238" s="5">
        <f t="shared" si="7"/>
        <v>0</v>
      </c>
      <c r="U238" s="3">
        <f>+Tabla13[[#This Row],[Total disponible]]-Tabla13[[#This Row],[Atraso a facturar]]</f>
        <v>0</v>
      </c>
      <c r="V238" s="6">
        <f t="shared" si="6"/>
        <v>0</v>
      </c>
      <c r="W238" s="3" t="str">
        <f>IF(Tabla13[[#This Row],[Venta del mes]]&gt;Tabla13[[#This Row],[ RV  Venta mes n+1]],"Falta venta","-")</f>
        <v>-</v>
      </c>
      <c r="X238" s="7"/>
      <c r="Y238" s="18">
        <v>0</v>
      </c>
      <c r="Z238" s="5">
        <f>+Tabla13[[#This Row],[Atraso a facturar]]+Tabla13[[#This Row],[Venta del mes]]+Tabla13[[#This Row],[Ajuste]]</f>
        <v>0</v>
      </c>
      <c r="AA238" s="6">
        <f>+Tabla13[[#This Row],[Atraso a facturar]]+Tabla13[[#This Row],[Venta del mes]]+Tabla13[[#This Row],[En puerto a facturar]]</f>
        <v>0</v>
      </c>
      <c r="AB238" s="20">
        <f>IFERROR(VLOOKUP(Tabla13[[#This Row],[Llave]],'[5]Consolidación planes'!$A:$M,9,FALSE),0)</f>
        <v>0</v>
      </c>
      <c r="AC238" s="20">
        <f>IFERROR(VLOOKUP(Tabla13[[#This Row],[Llave]],'[5]Consolidación planes'!$A:$M,10,FALSE),0)</f>
        <v>0</v>
      </c>
      <c r="AD238" s="20">
        <f>IFERROR(VLOOKUP(Tabla13[[#This Row],[Llave]],'[5]Consolidación planes'!$A:$M,11,FALSE),0)</f>
        <v>0</v>
      </c>
      <c r="AE238" s="20">
        <f>IFERROR(VLOOKUP(Tabla13[[#This Row],[Llave]],'[5]Consolidación planes'!$A:$M,12,FALSE),0)</f>
        <v>0</v>
      </c>
      <c r="AF238" s="20">
        <f>IFERROR(VLOOKUP(Tabla13[[#This Row],[Llave]],'[5]Consolidación planes'!$A:$M,13,FALSE),0)</f>
        <v>0</v>
      </c>
    </row>
    <row r="239" spans="2:32" ht="16" hidden="1" x14ac:dyDescent="0.2">
      <c r="B239" t="str">
        <f>Tabla13[[#This Row],[Oficina]]&amp;Tabla13[[#This Row],[Material]]</f>
        <v>Agro Sudamerica1012207</v>
      </c>
      <c r="C239" t="s">
        <v>227</v>
      </c>
      <c r="D239" t="s">
        <v>17</v>
      </c>
      <c r="E239">
        <v>1012207</v>
      </c>
      <c r="F239" t="s">
        <v>244</v>
      </c>
      <c r="G239" t="s">
        <v>209</v>
      </c>
      <c r="H239" t="s">
        <v>210</v>
      </c>
      <c r="I239" s="7">
        <f>IFERROR(VLOOKUP(Tabla13[[#This Row],[Llave]],'[1]Consolidado RV'!$B:$H,6,FALSE),0)</f>
        <v>44000</v>
      </c>
      <c r="J239" s="3">
        <f>IFERROR(VLOOKUP(Tabla13[[#This Row],[Llave]],'[1]Consolidado RV'!$B:$H,7,FALSE),0)</f>
        <v>44000</v>
      </c>
      <c r="K239" s="8">
        <f>IFERROR(VLOOKUP(Tabla13[[#This Row],[Oficina]],#REF!,2,FALSE),0)</f>
        <v>0</v>
      </c>
      <c r="L239" s="7">
        <f>+Tabla13[[#This Row],[ RV Producción mes n+1]]*Tabla13[[#This Row],[% Uti. producción]]</f>
        <v>0</v>
      </c>
      <c r="M239" s="7">
        <f>IFERROR(VLOOKUP(Tabla13[[#This Row],[Material]],#REF!,2,FALSE),0)</f>
        <v>0</v>
      </c>
      <c r="N239" s="7">
        <f>IFERROR(VLOOKUP(Tabla13[[#This Row],[Llave]],'En puerto-Programado'!A:D,4,FALSE)+VLOOKUP(Tabla13[[#This Row],[Llave]],'Por despachar'!A:F,6,FALSE),0)</f>
        <v>24000</v>
      </c>
      <c r="O239" s="7">
        <f>IFERROR(VLOOKUP(Tabla13[[#This Row],[Material]],[2]Consolidado!$C:$D,2,FALSE),0)</f>
        <v>23041.705058960906</v>
      </c>
      <c r="P239" s="7">
        <f>IFERROR(VLOOKUP(Tabla13[[#This Row],[Llave]],'Por despachar'!A:E,5,FALSE),0)</f>
        <v>0</v>
      </c>
      <c r="Q239" s="14">
        <f>SUM(Tabla13[[#This Row],[Producción disponible]],Tabla13[[#This Row],[Stock al día]],Tabla13[[#This Row],[Por producir Abr.]])-SUM(Tabla13[[#This Row],[Stock por despachar N]],Tabla13[[#This Row],[Producción por despachar mes N]])</f>
        <v>-958.29494103909383</v>
      </c>
      <c r="R239" s="7">
        <f>IFERROR(VLOOKUP(Tabla13[[#This Row],[Llave]],[3]Hoja2!$A:$D,4,FALSE),0)</f>
        <v>48000</v>
      </c>
      <c r="S239" s="9">
        <f>IFERROR(VLOOKUP(Tabla13[[#This Row],[Material]],[4]Hoja1!$B:$C,2,FALSE),0)</f>
        <v>24000</v>
      </c>
      <c r="T239" s="5">
        <f t="shared" si="7"/>
        <v>0</v>
      </c>
      <c r="U239" s="3">
        <f>+Tabla13[[#This Row],[Total disponible]]-Tabla13[[#This Row],[Atraso a facturar]]</f>
        <v>-958.29494103909383</v>
      </c>
      <c r="V239" s="6">
        <f t="shared" si="6"/>
        <v>0</v>
      </c>
      <c r="W239" s="3" t="str">
        <f>IF(Tabla13[[#This Row],[Venta del mes]]&gt;Tabla13[[#This Row],[ RV  Venta mes n+1]],"Falta venta","-")</f>
        <v>-</v>
      </c>
      <c r="X239" s="7"/>
      <c r="Y239" s="18">
        <v>0</v>
      </c>
      <c r="Z239" s="5">
        <f>+Tabla13[[#This Row],[Atraso a facturar]]+Tabla13[[#This Row],[Venta del mes]]+Tabla13[[#This Row],[Ajuste]]</f>
        <v>0</v>
      </c>
      <c r="AA239" s="6">
        <f>+Tabla13[[#This Row],[Atraso a facturar]]+Tabla13[[#This Row],[Venta del mes]]+Tabla13[[#This Row],[En puerto a facturar]]</f>
        <v>0</v>
      </c>
      <c r="AB239" s="20">
        <f>IFERROR(VLOOKUP(Tabla13[[#This Row],[Llave]],'[5]Consolidación planes'!$A:$M,9,FALSE),0)</f>
        <v>24000</v>
      </c>
      <c r="AC239" s="20">
        <f>IFERROR(VLOOKUP(Tabla13[[#This Row],[Llave]],'[5]Consolidación planes'!$A:$M,10,FALSE),0)</f>
        <v>60000</v>
      </c>
      <c r="AD239" s="20">
        <f>IFERROR(VLOOKUP(Tabla13[[#This Row],[Llave]],'[5]Consolidación planes'!$A:$M,11,FALSE),0)</f>
        <v>55476</v>
      </c>
      <c r="AE239" s="20">
        <f>IFERROR(VLOOKUP(Tabla13[[#This Row],[Llave]],'[5]Consolidación planes'!$A:$M,12,FALSE),0)</f>
        <v>24000</v>
      </c>
      <c r="AF239" s="20">
        <f>IFERROR(VLOOKUP(Tabla13[[#This Row],[Llave]],'[5]Consolidación planes'!$A:$M,13,FALSE),0)</f>
        <v>48000</v>
      </c>
    </row>
    <row r="240" spans="2:32" ht="16" hidden="1" x14ac:dyDescent="0.2">
      <c r="B240" t="str">
        <f>Tabla13[[#This Row],[Oficina]]&amp;Tabla13[[#This Row],[Material]]</f>
        <v>Agro Sudamerica1012208</v>
      </c>
      <c r="C240" t="s">
        <v>227</v>
      </c>
      <c r="D240" t="s">
        <v>17</v>
      </c>
      <c r="E240">
        <v>1012208</v>
      </c>
      <c r="F240" t="s">
        <v>256</v>
      </c>
      <c r="G240" t="s">
        <v>253</v>
      </c>
      <c r="H240" t="s">
        <v>254</v>
      </c>
      <c r="I240" s="7">
        <f>IFERROR(VLOOKUP(Tabla13[[#This Row],[Llave]],'[1]Consolidado RV'!$B:$H,6,FALSE),0)</f>
        <v>39408.691999999995</v>
      </c>
      <c r="J240" s="3">
        <f>IFERROR(VLOOKUP(Tabla13[[#This Row],[Llave]],'[1]Consolidado RV'!$B:$H,7,FALSE),0)</f>
        <v>23999.999573615958</v>
      </c>
      <c r="K240" s="8">
        <f>IFERROR(VLOOKUP(Tabla13[[#This Row],[Oficina]],#REF!,2,FALSE),0)</f>
        <v>0</v>
      </c>
      <c r="L240" s="7">
        <f>+Tabla13[[#This Row],[ RV Producción mes n+1]]*Tabla13[[#This Row],[% Uti. producción]]</f>
        <v>0</v>
      </c>
      <c r="M240" s="7">
        <f>IFERROR(VLOOKUP(Tabla13[[#This Row],[Material]],#REF!,2,FALSE),0)</f>
        <v>0</v>
      </c>
      <c r="N240" s="7">
        <f>IFERROR(VLOOKUP(Tabla13[[#This Row],[Llave]],'En puerto-Programado'!A:D,4,FALSE)+VLOOKUP(Tabla13[[#This Row],[Llave]],'Por despachar'!A:F,6,FALSE),0)</f>
        <v>0</v>
      </c>
      <c r="O240" s="7">
        <f>IFERROR(VLOOKUP(Tabla13[[#This Row],[Material]],[2]Consolidado!$C:$D,2,FALSE),0)</f>
        <v>6300</v>
      </c>
      <c r="P240" s="7">
        <f>IFERROR(VLOOKUP(Tabla13[[#This Row],[Llave]],'Por despachar'!A:E,5,FALSE),0)</f>
        <v>0</v>
      </c>
      <c r="Q240" s="14">
        <f>SUM(Tabla13[[#This Row],[Producción disponible]],Tabla13[[#This Row],[Stock al día]],Tabla13[[#This Row],[Por producir Abr.]])-SUM(Tabla13[[#This Row],[Stock por despachar N]],Tabla13[[#This Row],[Producción por despachar mes N]])</f>
        <v>6300</v>
      </c>
      <c r="R240" s="7">
        <f>IFERROR(VLOOKUP(Tabla13[[#This Row],[Llave]],[3]Hoja2!$A:$D,4,FALSE),0)</f>
        <v>48000</v>
      </c>
      <c r="S240" s="9">
        <f>IFERROR(VLOOKUP(Tabla13[[#This Row],[Material]],[4]Hoja1!$B:$C,2,FALSE),0)</f>
        <v>24000</v>
      </c>
      <c r="T240" s="5">
        <f t="shared" si="7"/>
        <v>0</v>
      </c>
      <c r="U240" s="3">
        <f>+Tabla13[[#This Row],[Total disponible]]-Tabla13[[#This Row],[Atraso a facturar]]</f>
        <v>6300</v>
      </c>
      <c r="V240" s="6">
        <f t="shared" si="6"/>
        <v>0</v>
      </c>
      <c r="W240" s="3" t="str">
        <f>IF(Tabla13[[#This Row],[Venta del mes]]&gt;Tabla13[[#This Row],[ RV  Venta mes n+1]],"Falta venta","-")</f>
        <v>-</v>
      </c>
      <c r="X240" s="7"/>
      <c r="Y240" s="18">
        <v>0</v>
      </c>
      <c r="Z240" s="5">
        <f>+Tabla13[[#This Row],[Atraso a facturar]]+Tabla13[[#This Row],[Venta del mes]]+Tabla13[[#This Row],[Ajuste]]</f>
        <v>0</v>
      </c>
      <c r="AA240" s="6">
        <f>+Tabla13[[#This Row],[Atraso a facturar]]+Tabla13[[#This Row],[Venta del mes]]+Tabla13[[#This Row],[En puerto a facturar]]</f>
        <v>0</v>
      </c>
      <c r="AB240" s="20">
        <f>IFERROR(VLOOKUP(Tabla13[[#This Row],[Llave]],'[5]Consolidación planes'!$A:$M,9,FALSE),0)</f>
        <v>24000</v>
      </c>
      <c r="AC240" s="20">
        <f>IFERROR(VLOOKUP(Tabla13[[#This Row],[Llave]],'[5]Consolidación planes'!$A:$M,10,FALSE),0)</f>
        <v>120000</v>
      </c>
      <c r="AD240" s="20">
        <f>IFERROR(VLOOKUP(Tabla13[[#This Row],[Llave]],'[5]Consolidación planes'!$A:$M,11,FALSE),0)</f>
        <v>72000</v>
      </c>
      <c r="AE240" s="20">
        <f>IFERROR(VLOOKUP(Tabla13[[#This Row],[Llave]],'[5]Consolidación planes'!$A:$M,12,FALSE),0)</f>
        <v>0</v>
      </c>
      <c r="AF240" s="20">
        <f>IFERROR(VLOOKUP(Tabla13[[#This Row],[Llave]],'[5]Consolidación planes'!$A:$M,13,FALSE),0)</f>
        <v>24000</v>
      </c>
    </row>
    <row r="241" spans="2:32" ht="16" hidden="1" x14ac:dyDescent="0.2">
      <c r="B241" t="str">
        <f>Tabla13[[#This Row],[Oficina]]&amp;Tabla13[[#This Row],[Material]]</f>
        <v>Agro Sudamerica1012283</v>
      </c>
      <c r="C241" t="s">
        <v>227</v>
      </c>
      <c r="D241" t="s">
        <v>17</v>
      </c>
      <c r="E241">
        <v>1012283</v>
      </c>
      <c r="F241" t="s">
        <v>246</v>
      </c>
      <c r="G241" t="s">
        <v>209</v>
      </c>
      <c r="H241" t="s">
        <v>245</v>
      </c>
      <c r="I241" s="7">
        <f>IFERROR(VLOOKUP(Tabla13[[#This Row],[Llave]],'[1]Consolidado RV'!$B:$H,6,FALSE),0)</f>
        <v>0</v>
      </c>
      <c r="J241" s="3">
        <f>IFERROR(VLOOKUP(Tabla13[[#This Row],[Llave]],'[1]Consolidado RV'!$B:$H,7,FALSE),0)</f>
        <v>0</v>
      </c>
      <c r="K241" s="8">
        <f>IFERROR(VLOOKUP(Tabla13[[#This Row],[Oficina]],#REF!,2,FALSE),0)</f>
        <v>0</v>
      </c>
      <c r="L241" s="7">
        <f>+Tabla13[[#This Row],[ RV Producción mes n+1]]*Tabla13[[#This Row],[% Uti. producción]]</f>
        <v>0</v>
      </c>
      <c r="M241" s="7">
        <f>IFERROR(VLOOKUP(Tabla13[[#This Row],[Material]],#REF!,2,FALSE),0)</f>
        <v>0</v>
      </c>
      <c r="N241" s="7">
        <f>IFERROR(VLOOKUP(Tabla13[[#This Row],[Llave]],'En puerto-Programado'!A:D,4,FALSE)+VLOOKUP(Tabla13[[#This Row],[Llave]],'Por despachar'!A:F,6,FALSE),0)</f>
        <v>24000</v>
      </c>
      <c r="O241" s="7">
        <f>IFERROR(VLOOKUP(Tabla13[[#This Row],[Material]],[2]Consolidado!$C:$D,2,FALSE),0)</f>
        <v>18400</v>
      </c>
      <c r="P241" s="7">
        <f>IFERROR(VLOOKUP(Tabla13[[#This Row],[Llave]],'Por despachar'!A:E,5,FALSE),0)</f>
        <v>0</v>
      </c>
      <c r="Q241" s="14">
        <f>SUM(Tabla13[[#This Row],[Producción disponible]],Tabla13[[#This Row],[Stock al día]],Tabla13[[#This Row],[Por producir Abr.]])-SUM(Tabla13[[#This Row],[Stock por despachar N]],Tabla13[[#This Row],[Producción por despachar mes N]])</f>
        <v>-5600</v>
      </c>
      <c r="R241" s="7">
        <f>IFERROR(VLOOKUP(Tabla13[[#This Row],[Llave]],[3]Hoja2!$A:$D,4,FALSE),0)</f>
        <v>72000</v>
      </c>
      <c r="S241" s="9">
        <f>IFERROR(VLOOKUP(Tabla13[[#This Row],[Material]],[4]Hoja1!$B:$C,2,FALSE),0)</f>
        <v>24000</v>
      </c>
      <c r="T241" s="5">
        <f t="shared" si="7"/>
        <v>0</v>
      </c>
      <c r="U241" s="3">
        <f>+Tabla13[[#This Row],[Total disponible]]-Tabla13[[#This Row],[Atraso a facturar]]</f>
        <v>-5600</v>
      </c>
      <c r="V241" s="6">
        <f t="shared" si="6"/>
        <v>0</v>
      </c>
      <c r="W241" s="3" t="str">
        <f>IF(Tabla13[[#This Row],[Venta del mes]]&gt;Tabla13[[#This Row],[ RV  Venta mes n+1]],"Falta venta","-")</f>
        <v>-</v>
      </c>
      <c r="X241" s="7"/>
      <c r="Y241" s="18">
        <v>0</v>
      </c>
      <c r="Z241" s="5">
        <f>+Tabla13[[#This Row],[Atraso a facturar]]+Tabla13[[#This Row],[Venta del mes]]+Tabla13[[#This Row],[Ajuste]]</f>
        <v>0</v>
      </c>
      <c r="AA241" s="6">
        <f>+Tabla13[[#This Row],[Atraso a facturar]]+Tabla13[[#This Row],[Venta del mes]]+Tabla13[[#This Row],[En puerto a facturar]]</f>
        <v>0</v>
      </c>
      <c r="AB241" s="20">
        <f>IFERROR(VLOOKUP(Tabla13[[#This Row],[Llave]],'[5]Consolidación planes'!$A:$M,9,FALSE),0)</f>
        <v>72000</v>
      </c>
      <c r="AC241" s="20">
        <f>IFERROR(VLOOKUP(Tabla13[[#This Row],[Llave]],'[5]Consolidación planes'!$A:$M,10,FALSE),0)</f>
        <v>48000</v>
      </c>
      <c r="AD241" s="20">
        <f>IFERROR(VLOOKUP(Tabla13[[#This Row],[Llave]],'[5]Consolidación planes'!$A:$M,11,FALSE),0)</f>
        <v>60779</v>
      </c>
      <c r="AE241" s="20">
        <f>IFERROR(VLOOKUP(Tabla13[[#This Row],[Llave]],'[5]Consolidación planes'!$A:$M,12,FALSE),0)</f>
        <v>48000</v>
      </c>
      <c r="AF241" s="20">
        <f>IFERROR(VLOOKUP(Tabla13[[#This Row],[Llave]],'[5]Consolidación planes'!$A:$M,13,FALSE),0)</f>
        <v>48000</v>
      </c>
    </row>
    <row r="242" spans="2:32" ht="16" hidden="1" x14ac:dyDescent="0.2">
      <c r="B242" t="str">
        <f>Tabla13[[#This Row],[Oficina]]&amp;Tabla13[[#This Row],[Material]]</f>
        <v>Agro Sudamerica1012362</v>
      </c>
      <c r="C242" t="s">
        <v>227</v>
      </c>
      <c r="D242" t="s">
        <v>17</v>
      </c>
      <c r="E242">
        <v>1012362</v>
      </c>
      <c r="F242" t="s">
        <v>229</v>
      </c>
      <c r="G242" t="s">
        <v>209</v>
      </c>
      <c r="H242" t="s">
        <v>228</v>
      </c>
      <c r="I242" s="7">
        <f>IFERROR(VLOOKUP(Tabla13[[#This Row],[Llave]],'[1]Consolidado RV'!$B:$H,6,FALSE),0)</f>
        <v>0</v>
      </c>
      <c r="J242" s="3">
        <f>IFERROR(VLOOKUP(Tabla13[[#This Row],[Llave]],'[1]Consolidado RV'!$B:$H,7,FALSE),0)</f>
        <v>0</v>
      </c>
      <c r="K242" s="8">
        <f>IFERROR(VLOOKUP(Tabla13[[#This Row],[Oficina]],#REF!,2,FALSE),0)</f>
        <v>0</v>
      </c>
      <c r="L242" s="7">
        <f>+Tabla13[[#This Row],[ RV Producción mes n+1]]*Tabla13[[#This Row],[% Uti. producción]]</f>
        <v>0</v>
      </c>
      <c r="M242" s="7">
        <f>IFERROR(VLOOKUP(Tabla13[[#This Row],[Material]],#REF!,2,FALSE),0)</f>
        <v>0</v>
      </c>
      <c r="N242" s="7">
        <f>IFERROR(VLOOKUP(Tabla13[[#This Row],[Llave]],'En puerto-Programado'!A:D,4,FALSE)+VLOOKUP(Tabla13[[#This Row],[Llave]],'Por despachar'!A:F,6,FALSE),0)</f>
        <v>10000</v>
      </c>
      <c r="O242" s="7">
        <f>IFERROR(VLOOKUP(Tabla13[[#This Row],[Material]],[2]Consolidado!$C:$D,2,FALSE),0)</f>
        <v>6559.47831465133</v>
      </c>
      <c r="P242" s="7">
        <f>IFERROR(VLOOKUP(Tabla13[[#This Row],[Llave]],'Por despachar'!A:E,5,FALSE),0)</f>
        <v>0</v>
      </c>
      <c r="Q242" s="14">
        <f>SUM(Tabla13[[#This Row],[Producción disponible]],Tabla13[[#This Row],[Stock al día]],Tabla13[[#This Row],[Por producir Abr.]])-SUM(Tabla13[[#This Row],[Stock por despachar N]],Tabla13[[#This Row],[Producción por despachar mes N]])</f>
        <v>-3440.52168534867</v>
      </c>
      <c r="R242" s="7">
        <f>IFERROR(VLOOKUP(Tabla13[[#This Row],[Llave]],[3]Hoja2!$A:$D,4,FALSE),0)</f>
        <v>0</v>
      </c>
      <c r="S242" s="9">
        <f>IFERROR(VLOOKUP(Tabla13[[#This Row],[Material]],[4]Hoja1!$B:$C,2,FALSE),0)</f>
        <v>24000</v>
      </c>
      <c r="T242" s="5">
        <f t="shared" si="7"/>
        <v>0</v>
      </c>
      <c r="U242" s="3">
        <f>+Tabla13[[#This Row],[Total disponible]]-Tabla13[[#This Row],[Atraso a facturar]]</f>
        <v>-3440.52168534867</v>
      </c>
      <c r="V242" s="6">
        <f t="shared" si="6"/>
        <v>0</v>
      </c>
      <c r="W242" s="3" t="str">
        <f>IF(Tabla13[[#This Row],[Venta del mes]]&gt;Tabla13[[#This Row],[ RV  Venta mes n+1]],"Falta venta","-")</f>
        <v>-</v>
      </c>
      <c r="X242" s="7"/>
      <c r="Y242" s="18">
        <v>0</v>
      </c>
      <c r="Z242" s="5">
        <f>+Tabla13[[#This Row],[Atraso a facturar]]+Tabla13[[#This Row],[Venta del mes]]+Tabla13[[#This Row],[Ajuste]]</f>
        <v>0</v>
      </c>
      <c r="AA242" s="6">
        <f>+Tabla13[[#This Row],[Atraso a facturar]]+Tabla13[[#This Row],[Venta del mes]]+Tabla13[[#This Row],[En puerto a facturar]]</f>
        <v>0</v>
      </c>
      <c r="AB242" s="20">
        <f>IFERROR(VLOOKUP(Tabla13[[#This Row],[Llave]],'[5]Consolidación planes'!$A:$M,9,FALSE),0)</f>
        <v>0</v>
      </c>
      <c r="AC242" s="20">
        <f>IFERROR(VLOOKUP(Tabla13[[#This Row],[Llave]],'[5]Consolidación planes'!$A:$M,10,FALSE),0)</f>
        <v>3000</v>
      </c>
      <c r="AD242" s="20">
        <f>IFERROR(VLOOKUP(Tabla13[[#This Row],[Llave]],'[5]Consolidación planes'!$A:$M,11,FALSE),0)</f>
        <v>0</v>
      </c>
      <c r="AE242" s="20">
        <f>IFERROR(VLOOKUP(Tabla13[[#This Row],[Llave]],'[5]Consolidación planes'!$A:$M,12,FALSE),0)</f>
        <v>0</v>
      </c>
      <c r="AF242" s="20">
        <f>IFERROR(VLOOKUP(Tabla13[[#This Row],[Llave]],'[5]Consolidación planes'!$A:$M,13,FALSE),0)</f>
        <v>13000</v>
      </c>
    </row>
    <row r="243" spans="2:32" ht="16" hidden="1" x14ac:dyDescent="0.2">
      <c r="B243" t="str">
        <f>Tabla13[[#This Row],[Oficina]]&amp;Tabla13[[#This Row],[Material]]</f>
        <v>Agro Sudamerica1012552</v>
      </c>
      <c r="C243" t="s">
        <v>227</v>
      </c>
      <c r="D243" t="s">
        <v>17</v>
      </c>
      <c r="E243">
        <v>1012552</v>
      </c>
      <c r="F243" t="s">
        <v>251</v>
      </c>
      <c r="G243" t="s">
        <v>247</v>
      </c>
      <c r="H243" t="s">
        <v>248</v>
      </c>
      <c r="I243" s="7">
        <f>IFERROR(VLOOKUP(Tabla13[[#This Row],[Llave]],'[1]Consolidado RV'!$B:$H,6,FALSE),0)</f>
        <v>0</v>
      </c>
      <c r="J243" s="3">
        <f>IFERROR(VLOOKUP(Tabla13[[#This Row],[Llave]],'[1]Consolidado RV'!$B:$H,7,FALSE),0)</f>
        <v>0</v>
      </c>
      <c r="K243" s="8">
        <f>IFERROR(VLOOKUP(Tabla13[[#This Row],[Oficina]],#REF!,2,FALSE),0)</f>
        <v>0</v>
      </c>
      <c r="L243" s="7">
        <f>+Tabla13[[#This Row],[ RV Producción mes n+1]]*Tabla13[[#This Row],[% Uti. producción]]</f>
        <v>0</v>
      </c>
      <c r="M243" s="7">
        <f>IFERROR(VLOOKUP(Tabla13[[#This Row],[Material]],#REF!,2,FALSE),0)</f>
        <v>0</v>
      </c>
      <c r="N243" s="7">
        <f>IFERROR(VLOOKUP(Tabla13[[#This Row],[Llave]],'En puerto-Programado'!A:D,4,FALSE)+VLOOKUP(Tabla13[[#This Row],[Llave]],'Por despachar'!A:F,6,FALSE),0)</f>
        <v>0</v>
      </c>
      <c r="O243" s="7">
        <f>IFERROR(VLOOKUP(Tabla13[[#This Row],[Material]],[2]Consolidado!$C:$D,2,FALSE),0)</f>
        <v>17500</v>
      </c>
      <c r="P243" s="7">
        <f>IFERROR(VLOOKUP(Tabla13[[#This Row],[Llave]],'Por despachar'!A:E,5,FALSE),0)</f>
        <v>0</v>
      </c>
      <c r="Q243" s="14">
        <f>SUM(Tabla13[[#This Row],[Producción disponible]],Tabla13[[#This Row],[Stock al día]],Tabla13[[#This Row],[Por producir Abr.]])-SUM(Tabla13[[#This Row],[Stock por despachar N]],Tabla13[[#This Row],[Producción por despachar mes N]])</f>
        <v>17500</v>
      </c>
      <c r="R243" s="7">
        <f>IFERROR(VLOOKUP(Tabla13[[#This Row],[Llave]],[3]Hoja2!$A:$D,4,FALSE),0)</f>
        <v>23000</v>
      </c>
      <c r="S243" s="9">
        <f>IFERROR(VLOOKUP(Tabla13[[#This Row],[Material]],[4]Hoja1!$B:$C,2,FALSE),0)</f>
        <v>24000</v>
      </c>
      <c r="T243" s="5">
        <f t="shared" si="7"/>
        <v>0</v>
      </c>
      <c r="U243" s="3">
        <f>+Tabla13[[#This Row],[Total disponible]]-Tabla13[[#This Row],[Atraso a facturar]]</f>
        <v>17500</v>
      </c>
      <c r="V243" s="6">
        <f t="shared" si="6"/>
        <v>0</v>
      </c>
      <c r="W243" s="3" t="str">
        <f>IF(Tabla13[[#This Row],[Venta del mes]]&gt;Tabla13[[#This Row],[ RV  Venta mes n+1]],"Falta venta","-")</f>
        <v>-</v>
      </c>
      <c r="X243" s="7"/>
      <c r="Y243" s="18">
        <v>0</v>
      </c>
      <c r="Z243" s="5">
        <f>+Tabla13[[#This Row],[Atraso a facturar]]+Tabla13[[#This Row],[Venta del mes]]+Tabla13[[#This Row],[Ajuste]]</f>
        <v>0</v>
      </c>
      <c r="AA243" s="6">
        <f>+Tabla13[[#This Row],[Atraso a facturar]]+Tabla13[[#This Row],[Venta del mes]]+Tabla13[[#This Row],[En puerto a facturar]]</f>
        <v>0</v>
      </c>
      <c r="AB243" s="20">
        <f>IFERROR(VLOOKUP(Tabla13[[#This Row],[Llave]],'[5]Consolidación planes'!$A:$M,9,FALSE),0)</f>
        <v>48000</v>
      </c>
      <c r="AC243" s="20">
        <f>IFERROR(VLOOKUP(Tabla13[[#This Row],[Llave]],'[5]Consolidación planes'!$A:$M,10,FALSE),0)</f>
        <v>48000</v>
      </c>
      <c r="AD243" s="20">
        <f>IFERROR(VLOOKUP(Tabla13[[#This Row],[Llave]],'[5]Consolidación planes'!$A:$M,11,FALSE),0)</f>
        <v>48000</v>
      </c>
      <c r="AE243" s="20">
        <f>IFERROR(VLOOKUP(Tabla13[[#This Row],[Llave]],'[5]Consolidación planes'!$A:$M,12,FALSE),0)</f>
        <v>24000</v>
      </c>
      <c r="AF243" s="20">
        <f>IFERROR(VLOOKUP(Tabla13[[#This Row],[Llave]],'[5]Consolidación planes'!$A:$M,13,FALSE),0)</f>
        <v>72000</v>
      </c>
    </row>
    <row r="244" spans="2:32" ht="16" hidden="1" x14ac:dyDescent="0.2">
      <c r="B244" t="str">
        <f>Tabla13[[#This Row],[Oficina]]&amp;Tabla13[[#This Row],[Material]]</f>
        <v>Agro Sudamerica1012556</v>
      </c>
      <c r="C244" t="s">
        <v>227</v>
      </c>
      <c r="D244" t="s">
        <v>17</v>
      </c>
      <c r="E244">
        <v>1012556</v>
      </c>
      <c r="F244" t="s">
        <v>235</v>
      </c>
      <c r="G244" t="s">
        <v>233</v>
      </c>
      <c r="H244" t="s">
        <v>234</v>
      </c>
      <c r="I244" s="7">
        <f>IFERROR(VLOOKUP(Tabla13[[#This Row],[Llave]],'[1]Consolidado RV'!$B:$H,6,FALSE),0)</f>
        <v>105196</v>
      </c>
      <c r="J244" s="3">
        <f>IFERROR(VLOOKUP(Tabla13[[#This Row],[Llave]],'[1]Consolidado RV'!$B:$H,7,FALSE),0)</f>
        <v>96000</v>
      </c>
      <c r="K244" s="8">
        <f>IFERROR(VLOOKUP(Tabla13[[#This Row],[Oficina]],#REF!,2,FALSE),0)</f>
        <v>0</v>
      </c>
      <c r="L244" s="7">
        <f>+Tabla13[[#This Row],[ RV Producción mes n+1]]*Tabla13[[#This Row],[% Uti. producción]]</f>
        <v>0</v>
      </c>
      <c r="M244" s="7">
        <f>IFERROR(VLOOKUP(Tabla13[[#This Row],[Material]],#REF!,2,FALSE),0)</f>
        <v>0</v>
      </c>
      <c r="N244" s="7">
        <f>IFERROR(VLOOKUP(Tabla13[[#This Row],[Llave]],'En puerto-Programado'!A:D,4,FALSE)+VLOOKUP(Tabla13[[#This Row],[Llave]],'Por despachar'!A:F,6,FALSE),0)</f>
        <v>0</v>
      </c>
      <c r="O244" s="7">
        <f>IFERROR(VLOOKUP(Tabla13[[#This Row],[Material]],[2]Consolidado!$C:$D,2,FALSE),0)</f>
        <v>0</v>
      </c>
      <c r="P244" s="7">
        <f>IFERROR(VLOOKUP(Tabla13[[#This Row],[Llave]],'Por despachar'!A:E,5,FALSE),0)</f>
        <v>0</v>
      </c>
      <c r="Q24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44" s="7">
        <f>IFERROR(VLOOKUP(Tabla13[[#This Row],[Llave]],[3]Hoja2!$A:$D,4,FALSE),0)</f>
        <v>0</v>
      </c>
      <c r="S244" s="9">
        <f>IFERROR(VLOOKUP(Tabla13[[#This Row],[Material]],[4]Hoja1!$B:$C,2,FALSE),0)</f>
        <v>24000</v>
      </c>
      <c r="T244" s="5">
        <f t="shared" si="7"/>
        <v>0</v>
      </c>
      <c r="U244" s="3">
        <f>+Tabla13[[#This Row],[Total disponible]]-Tabla13[[#This Row],[Atraso a facturar]]</f>
        <v>0</v>
      </c>
      <c r="V244" s="6">
        <f t="shared" si="6"/>
        <v>0</v>
      </c>
      <c r="W244" s="3" t="str">
        <f>IF(Tabla13[[#This Row],[Venta del mes]]&gt;Tabla13[[#This Row],[ RV  Venta mes n+1]],"Falta venta","-")</f>
        <v>-</v>
      </c>
      <c r="X244" s="7"/>
      <c r="Y244" s="18">
        <v>0</v>
      </c>
      <c r="Z244" s="5">
        <f>+Tabla13[[#This Row],[Atraso a facturar]]+Tabla13[[#This Row],[Venta del mes]]+Tabla13[[#This Row],[Ajuste]]</f>
        <v>0</v>
      </c>
      <c r="AA244" s="6">
        <f>+Tabla13[[#This Row],[Atraso a facturar]]+Tabla13[[#This Row],[Venta del mes]]+Tabla13[[#This Row],[En puerto a facturar]]</f>
        <v>0</v>
      </c>
      <c r="AB244" s="20">
        <f>IFERROR(VLOOKUP(Tabla13[[#This Row],[Llave]],'[5]Consolidación planes'!$A:$M,9,FALSE),0)</f>
        <v>0</v>
      </c>
      <c r="AC244" s="20">
        <f>IFERROR(VLOOKUP(Tabla13[[#This Row],[Llave]],'[5]Consolidación planes'!$A:$M,10,FALSE),0)</f>
        <v>0</v>
      </c>
      <c r="AD244" s="20">
        <f>IFERROR(VLOOKUP(Tabla13[[#This Row],[Llave]],'[5]Consolidación planes'!$A:$M,11,FALSE),0)</f>
        <v>24000</v>
      </c>
      <c r="AE244" s="20">
        <f>IFERROR(VLOOKUP(Tabla13[[#This Row],[Llave]],'[5]Consolidación planes'!$A:$M,12,FALSE),0)</f>
        <v>72000</v>
      </c>
      <c r="AF244" s="20">
        <f>IFERROR(VLOOKUP(Tabla13[[#This Row],[Llave]],'[5]Consolidación planes'!$A:$M,13,FALSE),0)</f>
        <v>48000</v>
      </c>
    </row>
    <row r="245" spans="2:32" ht="16" hidden="1" x14ac:dyDescent="0.2">
      <c r="B245" t="str">
        <f>Tabla13[[#This Row],[Oficina]]&amp;Tabla13[[#This Row],[Material]]</f>
        <v>Agro Sudamerica1012602</v>
      </c>
      <c r="C245" t="s">
        <v>227</v>
      </c>
      <c r="D245" t="s">
        <v>17</v>
      </c>
      <c r="E245">
        <v>1012602</v>
      </c>
      <c r="F245" t="s">
        <v>232</v>
      </c>
      <c r="G245" t="s">
        <v>205</v>
      </c>
      <c r="H245" t="s">
        <v>231</v>
      </c>
      <c r="I245" s="7">
        <f>IFERROR(VLOOKUP(Tabla13[[#This Row],[Llave]],'[1]Consolidado RV'!$B:$H,6,FALSE),0)</f>
        <v>0</v>
      </c>
      <c r="J245" s="3">
        <f>IFERROR(VLOOKUP(Tabla13[[#This Row],[Llave]],'[1]Consolidado RV'!$B:$H,7,FALSE),0)</f>
        <v>0</v>
      </c>
      <c r="K245" s="8">
        <f>IFERROR(VLOOKUP(Tabla13[[#This Row],[Oficina]],#REF!,2,FALSE),0)</f>
        <v>0</v>
      </c>
      <c r="L245" s="7">
        <f>+Tabla13[[#This Row],[ RV Producción mes n+1]]*Tabla13[[#This Row],[% Uti. producción]]</f>
        <v>0</v>
      </c>
      <c r="M245" s="7">
        <f>IFERROR(VLOOKUP(Tabla13[[#This Row],[Material]],#REF!,2,FALSE),0)</f>
        <v>0</v>
      </c>
      <c r="N245" s="7">
        <f>IFERROR(VLOOKUP(Tabla13[[#This Row],[Llave]],'En puerto-Programado'!A:D,4,FALSE)+VLOOKUP(Tabla13[[#This Row],[Llave]],'Por despachar'!A:F,6,FALSE),0)</f>
        <v>0</v>
      </c>
      <c r="O245" s="7">
        <f>IFERROR(VLOOKUP(Tabla13[[#This Row],[Material]],[2]Consolidado!$C:$D,2,FALSE),0)</f>
        <v>0</v>
      </c>
      <c r="P245" s="7">
        <f>IFERROR(VLOOKUP(Tabla13[[#This Row],[Llave]],'Por despachar'!A:E,5,FALSE),0)</f>
        <v>0</v>
      </c>
      <c r="Q24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45" s="7">
        <f>IFERROR(VLOOKUP(Tabla13[[#This Row],[Llave]],[3]Hoja2!$A:$D,4,FALSE),0)</f>
        <v>0</v>
      </c>
      <c r="S245" s="9">
        <f>IFERROR(VLOOKUP(Tabla13[[#This Row],[Material]],[4]Hoja1!$B:$C,2,FALSE),0)</f>
        <v>24000</v>
      </c>
      <c r="T245" s="5">
        <f t="shared" si="7"/>
        <v>0</v>
      </c>
      <c r="U245" s="3">
        <f>+Tabla13[[#This Row],[Total disponible]]-Tabla13[[#This Row],[Atraso a facturar]]</f>
        <v>0</v>
      </c>
      <c r="V245" s="6">
        <f t="shared" si="6"/>
        <v>0</v>
      </c>
      <c r="W245" s="3" t="str">
        <f>IF(Tabla13[[#This Row],[Venta del mes]]&gt;Tabla13[[#This Row],[ RV  Venta mes n+1]],"Falta venta","-")</f>
        <v>-</v>
      </c>
      <c r="X245" s="7"/>
      <c r="Y245" s="18">
        <v>0</v>
      </c>
      <c r="Z245" s="5">
        <f>+Tabla13[[#This Row],[Atraso a facturar]]+Tabla13[[#This Row],[Venta del mes]]+Tabla13[[#This Row],[Ajuste]]</f>
        <v>0</v>
      </c>
      <c r="AA245" s="6">
        <f>+Tabla13[[#This Row],[Atraso a facturar]]+Tabla13[[#This Row],[Venta del mes]]+Tabla13[[#This Row],[En puerto a facturar]]</f>
        <v>0</v>
      </c>
      <c r="AB245" s="20">
        <f>IFERROR(VLOOKUP(Tabla13[[#This Row],[Llave]],'[5]Consolidación planes'!$A:$M,9,FALSE),0)</f>
        <v>0</v>
      </c>
      <c r="AC245" s="20">
        <f>IFERROR(VLOOKUP(Tabla13[[#This Row],[Llave]],'[5]Consolidación planes'!$A:$M,10,FALSE),0)</f>
        <v>0</v>
      </c>
      <c r="AD245" s="20">
        <f>IFERROR(VLOOKUP(Tabla13[[#This Row],[Llave]],'[5]Consolidación planes'!$A:$M,11,FALSE),0)</f>
        <v>0</v>
      </c>
      <c r="AE245" s="20">
        <f>IFERROR(VLOOKUP(Tabla13[[#This Row],[Llave]],'[5]Consolidación planes'!$A:$M,12,FALSE),0)</f>
        <v>0</v>
      </c>
      <c r="AF245" s="20">
        <f>IFERROR(VLOOKUP(Tabla13[[#This Row],[Llave]],'[5]Consolidación planes'!$A:$M,13,FALSE),0)</f>
        <v>0</v>
      </c>
    </row>
    <row r="246" spans="2:32" ht="16" hidden="1" x14ac:dyDescent="0.2">
      <c r="B246" t="str">
        <f>Tabla13[[#This Row],[Oficina]]&amp;Tabla13[[#This Row],[Material]]</f>
        <v>Agro Sudamerica1012698</v>
      </c>
      <c r="C246" t="s">
        <v>227</v>
      </c>
      <c r="D246" t="s">
        <v>17</v>
      </c>
      <c r="E246">
        <v>1012698</v>
      </c>
      <c r="F246" t="s">
        <v>308</v>
      </c>
      <c r="G246" t="s">
        <v>37</v>
      </c>
      <c r="H246" t="s">
        <v>37</v>
      </c>
      <c r="I246" s="7">
        <f>IFERROR(VLOOKUP(Tabla13[[#This Row],[Llave]],'[1]Consolidado RV'!$B:$H,6,FALSE),0)</f>
        <v>0</v>
      </c>
      <c r="J246" s="3">
        <f>IFERROR(VLOOKUP(Tabla13[[#This Row],[Llave]],'[1]Consolidado RV'!$B:$H,7,FALSE),0)</f>
        <v>0</v>
      </c>
      <c r="K246" s="8">
        <f>IFERROR(VLOOKUP(Tabla13[[#This Row],[Oficina]],#REF!,2,FALSE),0)</f>
        <v>0</v>
      </c>
      <c r="L246" s="7">
        <f>+Tabla13[[#This Row],[ RV Producción mes n+1]]*Tabla13[[#This Row],[% Uti. producción]]</f>
        <v>0</v>
      </c>
      <c r="M246" s="7">
        <f>IFERROR(VLOOKUP(Tabla13[[#This Row],[Material]],#REF!,2,FALSE),0)</f>
        <v>0</v>
      </c>
      <c r="N246" s="7">
        <f>IFERROR(VLOOKUP(Tabla13[[#This Row],[Llave]],'En puerto-Programado'!A:D,4,FALSE)+VLOOKUP(Tabla13[[#This Row],[Llave]],'Por despachar'!A:F,6,FALSE),0)</f>
        <v>0</v>
      </c>
      <c r="O246" s="7">
        <f>IFERROR(VLOOKUP(Tabla13[[#This Row],[Material]],[2]Consolidado!$C:$D,2,FALSE),0)</f>
        <v>0</v>
      </c>
      <c r="P246" s="7">
        <f>IFERROR(VLOOKUP(Tabla13[[#This Row],[Llave]],'Por despachar'!A:E,5,FALSE),0)</f>
        <v>0</v>
      </c>
      <c r="Q24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46" s="7">
        <f>IFERROR(VLOOKUP(Tabla13[[#This Row],[Llave]],[3]Hoja2!$A:$D,4,FALSE),0)</f>
        <v>0</v>
      </c>
      <c r="S246" s="9">
        <f>IFERROR(VLOOKUP(Tabla13[[#This Row],[Material]],[4]Hoja1!$B:$C,2,FALSE),0)</f>
        <v>24000</v>
      </c>
      <c r="T246" s="5">
        <f t="shared" si="7"/>
        <v>0</v>
      </c>
      <c r="U246" s="3">
        <f>+Tabla13[[#This Row],[Total disponible]]-Tabla13[[#This Row],[Atraso a facturar]]</f>
        <v>0</v>
      </c>
      <c r="V246" s="6">
        <f t="shared" si="6"/>
        <v>0</v>
      </c>
      <c r="W246" s="3" t="str">
        <f>IF(Tabla13[[#This Row],[Venta del mes]]&gt;Tabla13[[#This Row],[ RV  Venta mes n+1]],"Falta venta","-")</f>
        <v>-</v>
      </c>
      <c r="X246" s="7"/>
      <c r="Y246" s="18">
        <v>0</v>
      </c>
      <c r="Z246" s="5">
        <f>+Tabla13[[#This Row],[Atraso a facturar]]+Tabla13[[#This Row],[Venta del mes]]+Tabla13[[#This Row],[Ajuste]]</f>
        <v>0</v>
      </c>
      <c r="AA246" s="6">
        <f>+Tabla13[[#This Row],[Atraso a facturar]]+Tabla13[[#This Row],[Venta del mes]]+Tabla13[[#This Row],[En puerto a facturar]]</f>
        <v>0</v>
      </c>
      <c r="AB246" s="20">
        <f>IFERROR(VLOOKUP(Tabla13[[#This Row],[Llave]],'[5]Consolidación planes'!$A:$M,9,FALSE),0)</f>
        <v>0</v>
      </c>
      <c r="AC246" s="20">
        <f>IFERROR(VLOOKUP(Tabla13[[#This Row],[Llave]],'[5]Consolidación planes'!$A:$M,10,FALSE),0)</f>
        <v>0</v>
      </c>
      <c r="AD246" s="20">
        <f>IFERROR(VLOOKUP(Tabla13[[#This Row],[Llave]],'[5]Consolidación planes'!$A:$M,11,FALSE),0)</f>
        <v>80</v>
      </c>
      <c r="AE246" s="20">
        <f>IFERROR(VLOOKUP(Tabla13[[#This Row],[Llave]],'[5]Consolidación planes'!$A:$M,12,FALSE),0)</f>
        <v>0</v>
      </c>
      <c r="AF246" s="20">
        <f>IFERROR(VLOOKUP(Tabla13[[#This Row],[Llave]],'[5]Consolidación planes'!$A:$M,13,FALSE),0)</f>
        <v>0</v>
      </c>
    </row>
    <row r="247" spans="2:32" ht="16" hidden="1" x14ac:dyDescent="0.2">
      <c r="B247" t="str">
        <f>Tabla13[[#This Row],[Oficina]]&amp;Tabla13[[#This Row],[Material]]</f>
        <v>Agro Sudamerica1012699</v>
      </c>
      <c r="C247" t="s">
        <v>227</v>
      </c>
      <c r="D247" t="s">
        <v>17</v>
      </c>
      <c r="E247">
        <v>1012699</v>
      </c>
      <c r="F247" t="s">
        <v>307</v>
      </c>
      <c r="G247" t="s">
        <v>205</v>
      </c>
      <c r="H247" t="s">
        <v>206</v>
      </c>
      <c r="I247" s="7">
        <f>IFERROR(VLOOKUP(Tabla13[[#This Row],[Llave]],'[1]Consolidado RV'!$B:$H,6,FALSE),0)</f>
        <v>0</v>
      </c>
      <c r="J247" s="3">
        <f>IFERROR(VLOOKUP(Tabla13[[#This Row],[Llave]],'[1]Consolidado RV'!$B:$H,7,FALSE),0)</f>
        <v>0</v>
      </c>
      <c r="K247" s="8">
        <f>IFERROR(VLOOKUP(Tabla13[[#This Row],[Oficina]],#REF!,2,FALSE),0)</f>
        <v>0</v>
      </c>
      <c r="L247" s="7">
        <f>+Tabla13[[#This Row],[ RV Producción mes n+1]]*Tabla13[[#This Row],[% Uti. producción]]</f>
        <v>0</v>
      </c>
      <c r="M247" s="7">
        <f>IFERROR(VLOOKUP(Tabla13[[#This Row],[Material]],#REF!,2,FALSE),0)</f>
        <v>0</v>
      </c>
      <c r="N247" s="7">
        <f>IFERROR(VLOOKUP(Tabla13[[#This Row],[Llave]],'En puerto-Programado'!A:D,4,FALSE)+VLOOKUP(Tabla13[[#This Row],[Llave]],'Por despachar'!A:F,6,FALSE),0)</f>
        <v>0</v>
      </c>
      <c r="O247" s="7">
        <f>IFERROR(VLOOKUP(Tabla13[[#This Row],[Material]],[2]Consolidado!$C:$D,2,FALSE),0)</f>
        <v>0</v>
      </c>
      <c r="P247" s="7">
        <f>IFERROR(VLOOKUP(Tabla13[[#This Row],[Llave]],'Por despachar'!A:E,5,FALSE),0)</f>
        <v>0</v>
      </c>
      <c r="Q247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47" s="7">
        <f>IFERROR(VLOOKUP(Tabla13[[#This Row],[Llave]],[3]Hoja2!$A:$D,4,FALSE),0)</f>
        <v>0</v>
      </c>
      <c r="S247" s="9">
        <f>IFERROR(VLOOKUP(Tabla13[[#This Row],[Material]],[4]Hoja1!$B:$C,2,FALSE),0)</f>
        <v>24000</v>
      </c>
      <c r="T247" s="5">
        <f t="shared" si="7"/>
        <v>0</v>
      </c>
      <c r="U247" s="3">
        <f>+Tabla13[[#This Row],[Total disponible]]-Tabla13[[#This Row],[Atraso a facturar]]</f>
        <v>0</v>
      </c>
      <c r="V247" s="6">
        <f t="shared" si="6"/>
        <v>0</v>
      </c>
      <c r="W247" s="3" t="str">
        <f>IF(Tabla13[[#This Row],[Venta del mes]]&gt;Tabla13[[#This Row],[ RV  Venta mes n+1]],"Falta venta","-")</f>
        <v>-</v>
      </c>
      <c r="X247" s="7"/>
      <c r="Y247" s="18">
        <v>0</v>
      </c>
      <c r="Z247" s="5">
        <f>+Tabla13[[#This Row],[Atraso a facturar]]+Tabla13[[#This Row],[Venta del mes]]+Tabla13[[#This Row],[Ajuste]]</f>
        <v>0</v>
      </c>
      <c r="AA247" s="6">
        <f>+Tabla13[[#This Row],[Atraso a facturar]]+Tabla13[[#This Row],[Venta del mes]]+Tabla13[[#This Row],[En puerto a facturar]]</f>
        <v>0</v>
      </c>
      <c r="AB247" s="20">
        <f>IFERROR(VLOOKUP(Tabla13[[#This Row],[Llave]],'[5]Consolidación planes'!$A:$M,9,FALSE),0)</f>
        <v>0</v>
      </c>
      <c r="AC247" s="20">
        <f>IFERROR(VLOOKUP(Tabla13[[#This Row],[Llave]],'[5]Consolidación planes'!$A:$M,10,FALSE),0)</f>
        <v>0</v>
      </c>
      <c r="AD247" s="20">
        <f>IFERROR(VLOOKUP(Tabla13[[#This Row],[Llave]],'[5]Consolidación planes'!$A:$M,11,FALSE),0)</f>
        <v>80</v>
      </c>
      <c r="AE247" s="20">
        <f>IFERROR(VLOOKUP(Tabla13[[#This Row],[Llave]],'[5]Consolidación planes'!$A:$M,12,FALSE),0)</f>
        <v>0</v>
      </c>
      <c r="AF247" s="20">
        <f>IFERROR(VLOOKUP(Tabla13[[#This Row],[Llave]],'[5]Consolidación planes'!$A:$M,13,FALSE),0)</f>
        <v>0</v>
      </c>
    </row>
    <row r="248" spans="2:32" ht="16" hidden="1" x14ac:dyDescent="0.2">
      <c r="B248" t="str">
        <f>Tabla13[[#This Row],[Oficina]]&amp;Tabla13[[#This Row],[Material]]</f>
        <v>Agro Sudamerica1012719</v>
      </c>
      <c r="C248" t="s">
        <v>227</v>
      </c>
      <c r="D248" t="s">
        <v>17</v>
      </c>
      <c r="E248">
        <v>1012719</v>
      </c>
      <c r="F248" t="s">
        <v>236</v>
      </c>
      <c r="G248" t="s">
        <v>233</v>
      </c>
      <c r="H248" t="s">
        <v>234</v>
      </c>
      <c r="I248" s="7">
        <f>IFERROR(VLOOKUP(Tabla13[[#This Row],[Llave]],'[1]Consolidado RV'!$B:$H,6,FALSE),0)</f>
        <v>72241.888999999996</v>
      </c>
      <c r="J248" s="3">
        <f>IFERROR(VLOOKUP(Tabla13[[#This Row],[Llave]],'[1]Consolidado RV'!$B:$H,7,FALSE),0)</f>
        <v>77718.081547750655</v>
      </c>
      <c r="K248" s="8">
        <f>IFERROR(VLOOKUP(Tabla13[[#This Row],[Oficina]],#REF!,2,FALSE),0)</f>
        <v>0</v>
      </c>
      <c r="L248" s="7">
        <f>+Tabla13[[#This Row],[ RV Producción mes n+1]]*Tabla13[[#This Row],[% Uti. producción]]</f>
        <v>0</v>
      </c>
      <c r="M248" s="7">
        <f>IFERROR(VLOOKUP(Tabla13[[#This Row],[Material]],#REF!,2,FALSE),0)</f>
        <v>0</v>
      </c>
      <c r="N248" s="7">
        <f>IFERROR(VLOOKUP(Tabla13[[#This Row],[Llave]],'En puerto-Programado'!A:D,4,FALSE)+VLOOKUP(Tabla13[[#This Row],[Llave]],'Por despachar'!A:F,6,FALSE),0)</f>
        <v>112000</v>
      </c>
      <c r="O248" s="7">
        <f>IFERROR(VLOOKUP(Tabla13[[#This Row],[Material]],[2]Consolidado!$C:$D,2,FALSE),0)</f>
        <v>100350</v>
      </c>
      <c r="P248" s="7">
        <f>IFERROR(VLOOKUP(Tabla13[[#This Row],[Llave]],'Por despachar'!A:E,5,FALSE),0)</f>
        <v>0</v>
      </c>
      <c r="Q248" s="14">
        <f>SUM(Tabla13[[#This Row],[Producción disponible]],Tabla13[[#This Row],[Stock al día]],Tabla13[[#This Row],[Por producir Abr.]])-SUM(Tabla13[[#This Row],[Stock por despachar N]],Tabla13[[#This Row],[Producción por despachar mes N]])</f>
        <v>-11650</v>
      </c>
      <c r="R248" s="7">
        <f>IFERROR(VLOOKUP(Tabla13[[#This Row],[Llave]],[3]Hoja2!$A:$D,4,FALSE),0)</f>
        <v>360000</v>
      </c>
      <c r="S248" s="9">
        <f>IFERROR(VLOOKUP(Tabla13[[#This Row],[Material]],[4]Hoja1!$B:$C,2,FALSE),0)</f>
        <v>24000</v>
      </c>
      <c r="T248" s="5">
        <f t="shared" si="7"/>
        <v>0</v>
      </c>
      <c r="U248" s="3">
        <f>+Tabla13[[#This Row],[Total disponible]]-Tabla13[[#This Row],[Atraso a facturar]]</f>
        <v>-11650</v>
      </c>
      <c r="V248" s="6">
        <f t="shared" si="6"/>
        <v>0</v>
      </c>
      <c r="W248" s="3" t="str">
        <f>IF(Tabla13[[#This Row],[Venta del mes]]&gt;Tabla13[[#This Row],[ RV  Venta mes n+1]],"Falta venta","-")</f>
        <v>-</v>
      </c>
      <c r="X248" s="7"/>
      <c r="Y248" s="18">
        <v>0</v>
      </c>
      <c r="Z248" s="5">
        <f>+Tabla13[[#This Row],[Atraso a facturar]]+Tabla13[[#This Row],[Venta del mes]]+Tabla13[[#This Row],[Ajuste]]</f>
        <v>0</v>
      </c>
      <c r="AA248" s="6">
        <f>+Tabla13[[#This Row],[Atraso a facturar]]+Tabla13[[#This Row],[Venta del mes]]+Tabla13[[#This Row],[En puerto a facturar]]</f>
        <v>0</v>
      </c>
      <c r="AB248" s="20">
        <f>IFERROR(VLOOKUP(Tabla13[[#This Row],[Llave]],'[5]Consolidación planes'!$A:$M,9,FALSE),0)</f>
        <v>192000</v>
      </c>
      <c r="AC248" s="20">
        <f>IFERROR(VLOOKUP(Tabla13[[#This Row],[Llave]],'[5]Consolidación planes'!$A:$M,10,FALSE),0)</f>
        <v>423600</v>
      </c>
      <c r="AD248" s="20">
        <f>IFERROR(VLOOKUP(Tabla13[[#This Row],[Llave]],'[5]Consolidación planes'!$A:$M,11,FALSE),0)</f>
        <v>357200</v>
      </c>
      <c r="AE248" s="20">
        <f>IFERROR(VLOOKUP(Tabla13[[#This Row],[Llave]],'[5]Consolidación planes'!$A:$M,12,FALSE),0)</f>
        <v>144000</v>
      </c>
      <c r="AF248" s="20">
        <f>IFERROR(VLOOKUP(Tabla13[[#This Row],[Llave]],'[5]Consolidación planes'!$A:$M,13,FALSE),0)</f>
        <v>358600</v>
      </c>
    </row>
    <row r="249" spans="2:32" ht="16" hidden="1" x14ac:dyDescent="0.2">
      <c r="B249" t="str">
        <f>Tabla13[[#This Row],[Oficina]]&amp;Tabla13[[#This Row],[Material]]</f>
        <v>Agro Sudamerica1012744</v>
      </c>
      <c r="C249" t="s">
        <v>227</v>
      </c>
      <c r="D249" t="s">
        <v>17</v>
      </c>
      <c r="E249">
        <v>1012744</v>
      </c>
      <c r="F249" t="s">
        <v>252</v>
      </c>
      <c r="G249" t="s">
        <v>247</v>
      </c>
      <c r="H249" t="s">
        <v>248</v>
      </c>
      <c r="I249" s="7">
        <f>IFERROR(VLOOKUP(Tabla13[[#This Row],[Llave]],'[1]Consolidado RV'!$B:$H,6,FALSE),0)</f>
        <v>0</v>
      </c>
      <c r="J249" s="3">
        <f>IFERROR(VLOOKUP(Tabla13[[#This Row],[Llave]],'[1]Consolidado RV'!$B:$H,7,FALSE),0)</f>
        <v>0</v>
      </c>
      <c r="K249" s="8">
        <f>IFERROR(VLOOKUP(Tabla13[[#This Row],[Oficina]],#REF!,2,FALSE),0)</f>
        <v>0</v>
      </c>
      <c r="L249" s="7">
        <f>+Tabla13[[#This Row],[ RV Producción mes n+1]]*Tabla13[[#This Row],[% Uti. producción]]</f>
        <v>0</v>
      </c>
      <c r="M249" s="7">
        <f>IFERROR(VLOOKUP(Tabla13[[#This Row],[Material]],#REF!,2,FALSE),0)</f>
        <v>0</v>
      </c>
      <c r="N249" s="7">
        <f>IFERROR(VLOOKUP(Tabla13[[#This Row],[Llave]],'En puerto-Programado'!A:D,4,FALSE)+VLOOKUP(Tabla13[[#This Row],[Llave]],'Por despachar'!A:F,6,FALSE),0)</f>
        <v>0</v>
      </c>
      <c r="O249" s="7">
        <f>IFERROR(VLOOKUP(Tabla13[[#This Row],[Material]],[2]Consolidado!$C:$D,2,FALSE),0)</f>
        <v>0</v>
      </c>
      <c r="P249" s="7">
        <f>IFERROR(VLOOKUP(Tabla13[[#This Row],[Llave]],'Por despachar'!A:E,5,FALSE),0)</f>
        <v>0</v>
      </c>
      <c r="Q24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49" s="7">
        <f>IFERROR(VLOOKUP(Tabla13[[#This Row],[Llave]],[3]Hoja2!$A:$D,4,FALSE),0)</f>
        <v>0</v>
      </c>
      <c r="S249" s="9">
        <f>IFERROR(VLOOKUP(Tabla13[[#This Row],[Material]],[4]Hoja1!$B:$C,2,FALSE),0)</f>
        <v>24000</v>
      </c>
      <c r="T249" s="5">
        <f t="shared" si="7"/>
        <v>0</v>
      </c>
      <c r="U249" s="3">
        <f>+Tabla13[[#This Row],[Total disponible]]-Tabla13[[#This Row],[Atraso a facturar]]</f>
        <v>0</v>
      </c>
      <c r="V249" s="6">
        <f t="shared" si="6"/>
        <v>0</v>
      </c>
      <c r="W249" s="3" t="str">
        <f>IF(Tabla13[[#This Row],[Venta del mes]]&gt;Tabla13[[#This Row],[ RV  Venta mes n+1]],"Falta venta","-")</f>
        <v>-</v>
      </c>
      <c r="X249" s="7"/>
      <c r="Y249" s="18">
        <v>0</v>
      </c>
      <c r="Z249" s="5">
        <f>+Tabla13[[#This Row],[Atraso a facturar]]+Tabla13[[#This Row],[Venta del mes]]+Tabla13[[#This Row],[Ajuste]]</f>
        <v>0</v>
      </c>
      <c r="AA249" s="6">
        <f>+Tabla13[[#This Row],[Atraso a facturar]]+Tabla13[[#This Row],[Venta del mes]]+Tabla13[[#This Row],[En puerto a facturar]]</f>
        <v>0</v>
      </c>
      <c r="AB249" s="20">
        <f>IFERROR(VLOOKUP(Tabla13[[#This Row],[Llave]],'[5]Consolidación planes'!$A:$M,9,FALSE),0)</f>
        <v>0</v>
      </c>
      <c r="AC249" s="20">
        <f>IFERROR(VLOOKUP(Tabla13[[#This Row],[Llave]],'[5]Consolidación planes'!$A:$M,10,FALSE),0)</f>
        <v>143000</v>
      </c>
      <c r="AD249" s="20">
        <f>IFERROR(VLOOKUP(Tabla13[[#This Row],[Llave]],'[5]Consolidación planes'!$A:$M,11,FALSE),0)</f>
        <v>72000</v>
      </c>
      <c r="AE249" s="20">
        <f>IFERROR(VLOOKUP(Tabla13[[#This Row],[Llave]],'[5]Consolidación planes'!$A:$M,12,FALSE),0)</f>
        <v>24000</v>
      </c>
      <c r="AF249" s="20">
        <f>IFERROR(VLOOKUP(Tabla13[[#This Row],[Llave]],'[5]Consolidación planes'!$A:$M,13,FALSE),0)</f>
        <v>24000</v>
      </c>
    </row>
    <row r="250" spans="2:32" ht="16" hidden="1" x14ac:dyDescent="0.2">
      <c r="B250" t="str">
        <f>Tabla13[[#This Row],[Oficina]]&amp;Tabla13[[#This Row],[Material]]</f>
        <v>Agro Sudamerica1012763</v>
      </c>
      <c r="C250" t="s">
        <v>227</v>
      </c>
      <c r="D250" t="s">
        <v>17</v>
      </c>
      <c r="E250">
        <v>1012763</v>
      </c>
      <c r="F250" t="s">
        <v>309</v>
      </c>
      <c r="G250" t="s">
        <v>209</v>
      </c>
      <c r="H250" t="s">
        <v>245</v>
      </c>
      <c r="I250" s="7">
        <f>IFERROR(VLOOKUP(Tabla13[[#This Row],[Llave]],'[1]Consolidado RV'!$B:$H,6,FALSE),0)</f>
        <v>78909.925000000003</v>
      </c>
      <c r="J250" s="3">
        <f>IFERROR(VLOOKUP(Tabla13[[#This Row],[Llave]],'[1]Consolidado RV'!$B:$H,7,FALSE),0)</f>
        <v>119999.99965753425</v>
      </c>
      <c r="K250" s="8">
        <f>IFERROR(VLOOKUP(Tabla13[[#This Row],[Oficina]],#REF!,2,FALSE),0)</f>
        <v>0</v>
      </c>
      <c r="L250" s="7">
        <f>+Tabla13[[#This Row],[ RV Producción mes n+1]]*Tabla13[[#This Row],[% Uti. producción]]</f>
        <v>0</v>
      </c>
      <c r="M250" s="7">
        <f>IFERROR(VLOOKUP(Tabla13[[#This Row],[Material]],#REF!,2,FALSE),0)</f>
        <v>0</v>
      </c>
      <c r="N250" s="7">
        <f>IFERROR(VLOOKUP(Tabla13[[#This Row],[Llave]],'En puerto-Programado'!A:D,4,FALSE)+VLOOKUP(Tabla13[[#This Row],[Llave]],'Por despachar'!A:F,6,FALSE),0)</f>
        <v>24000</v>
      </c>
      <c r="O250" s="7">
        <f>IFERROR(VLOOKUP(Tabla13[[#This Row],[Material]],[2]Consolidado!$C:$D,2,FALSE),0)</f>
        <v>0</v>
      </c>
      <c r="P250" s="7">
        <f>IFERROR(VLOOKUP(Tabla13[[#This Row],[Llave]],'Por despachar'!A:E,5,FALSE),0)</f>
        <v>0</v>
      </c>
      <c r="Q250" s="14">
        <f>SUM(Tabla13[[#This Row],[Producción disponible]],Tabla13[[#This Row],[Stock al día]],Tabla13[[#This Row],[Por producir Abr.]])-SUM(Tabla13[[#This Row],[Stock por despachar N]],Tabla13[[#This Row],[Producción por despachar mes N]])</f>
        <v>-24000</v>
      </c>
      <c r="R250" s="7">
        <f>IFERROR(VLOOKUP(Tabla13[[#This Row],[Llave]],[3]Hoja2!$A:$D,4,FALSE),0)</f>
        <v>0</v>
      </c>
      <c r="S250" s="9">
        <f>IFERROR(VLOOKUP(Tabla13[[#This Row],[Material]],[4]Hoja1!$B:$C,2,FALSE),0)</f>
        <v>24000</v>
      </c>
      <c r="T250" s="5">
        <f t="shared" si="7"/>
        <v>0</v>
      </c>
      <c r="U250" s="3">
        <f>+Tabla13[[#This Row],[Total disponible]]-Tabla13[[#This Row],[Atraso a facturar]]</f>
        <v>-24000</v>
      </c>
      <c r="V250" s="6">
        <f t="shared" si="6"/>
        <v>0</v>
      </c>
      <c r="W250" s="3" t="str">
        <f>IF(Tabla13[[#This Row],[Venta del mes]]&gt;Tabla13[[#This Row],[ RV  Venta mes n+1]],"Falta venta","-")</f>
        <v>-</v>
      </c>
      <c r="X250" s="7"/>
      <c r="Y250" s="18">
        <v>0</v>
      </c>
      <c r="Z250" s="5">
        <f>+Tabla13[[#This Row],[Atraso a facturar]]+Tabla13[[#This Row],[Venta del mes]]+Tabla13[[#This Row],[Ajuste]]</f>
        <v>0</v>
      </c>
      <c r="AA250" s="6">
        <f>+Tabla13[[#This Row],[Atraso a facturar]]+Tabla13[[#This Row],[Venta del mes]]+Tabla13[[#This Row],[En puerto a facturar]]</f>
        <v>0</v>
      </c>
      <c r="AB250" s="20">
        <f>IFERROR(VLOOKUP(Tabla13[[#This Row],[Llave]],'[5]Consolidación planes'!$A:$M,9,FALSE),0)</f>
        <v>0</v>
      </c>
      <c r="AC250" s="20">
        <f>IFERROR(VLOOKUP(Tabla13[[#This Row],[Llave]],'[5]Consolidación planes'!$A:$M,10,FALSE),0)</f>
        <v>0</v>
      </c>
      <c r="AD250" s="20">
        <f>IFERROR(VLOOKUP(Tabla13[[#This Row],[Llave]],'[5]Consolidación planes'!$A:$M,11,FALSE),0)</f>
        <v>48000</v>
      </c>
      <c r="AE250" s="20">
        <f>IFERROR(VLOOKUP(Tabla13[[#This Row],[Llave]],'[5]Consolidación planes'!$A:$M,12,FALSE),0)</f>
        <v>48000</v>
      </c>
      <c r="AF250" s="20">
        <f>IFERROR(VLOOKUP(Tabla13[[#This Row],[Llave]],'[5]Consolidación planes'!$A:$M,13,FALSE),0)</f>
        <v>48000</v>
      </c>
    </row>
    <row r="251" spans="2:32" ht="16" hidden="1" x14ac:dyDescent="0.2">
      <c r="B251" t="str">
        <f>Tabla13[[#This Row],[Oficina]]&amp;Tabla13[[#This Row],[Material]]</f>
        <v>Agro Sudamerica1012778</v>
      </c>
      <c r="C251" t="s">
        <v>227</v>
      </c>
      <c r="D251" t="s">
        <v>17</v>
      </c>
      <c r="E251">
        <v>1012778</v>
      </c>
      <c r="F251" t="s">
        <v>327</v>
      </c>
      <c r="G251" t="s">
        <v>209</v>
      </c>
      <c r="H251" t="s">
        <v>228</v>
      </c>
      <c r="I251" s="7">
        <f>IFERROR(VLOOKUP(Tabla13[[#This Row],[Llave]],'[1]Consolidado RV'!$B:$H,6,FALSE),0)</f>
        <v>0</v>
      </c>
      <c r="J251" s="3">
        <f>IFERROR(VLOOKUP(Tabla13[[#This Row],[Llave]],'[1]Consolidado RV'!$B:$H,7,FALSE),0)</f>
        <v>0</v>
      </c>
      <c r="K251" s="8">
        <f>IFERROR(VLOOKUP(Tabla13[[#This Row],[Oficina]],#REF!,2,FALSE),0)</f>
        <v>0</v>
      </c>
      <c r="L251" s="7">
        <f>+Tabla13[[#This Row],[ RV Producción mes n+1]]*Tabla13[[#This Row],[% Uti. producción]]</f>
        <v>0</v>
      </c>
      <c r="M251" s="7">
        <f>IFERROR(VLOOKUP(Tabla13[[#This Row],[Material]],#REF!,2,FALSE),0)</f>
        <v>0</v>
      </c>
      <c r="N251" s="7">
        <f>IFERROR(VLOOKUP(Tabla13[[#This Row],[Llave]],'En puerto-Programado'!A:D,4,FALSE)+VLOOKUP(Tabla13[[#This Row],[Llave]],'Por despachar'!A:F,6,FALSE),0)</f>
        <v>0</v>
      </c>
      <c r="O251" s="7">
        <f>IFERROR(VLOOKUP(Tabla13[[#This Row],[Material]],[2]Consolidado!$C:$D,2,FALSE),0)</f>
        <v>0</v>
      </c>
      <c r="P251" s="7">
        <f>IFERROR(VLOOKUP(Tabla13[[#This Row],[Llave]],'Por despachar'!A:E,5,FALSE),0)</f>
        <v>0</v>
      </c>
      <c r="Q25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51" s="7">
        <f>IFERROR(VLOOKUP(Tabla13[[#This Row],[Llave]],[3]Hoja2!$A:$D,4,FALSE),0)</f>
        <v>0</v>
      </c>
      <c r="S251" s="9">
        <f>IFERROR(VLOOKUP(Tabla13[[#This Row],[Material]],[4]Hoja1!$B:$C,2,FALSE),0)</f>
        <v>24000</v>
      </c>
      <c r="T251" s="5">
        <f t="shared" si="7"/>
        <v>0</v>
      </c>
      <c r="U251" s="3">
        <f>+Tabla13[[#This Row],[Total disponible]]-Tabla13[[#This Row],[Atraso a facturar]]</f>
        <v>0</v>
      </c>
      <c r="V251" s="6">
        <f t="shared" si="6"/>
        <v>0</v>
      </c>
      <c r="W251" s="3" t="str">
        <f>IF(Tabla13[[#This Row],[Venta del mes]]&gt;Tabla13[[#This Row],[ RV  Venta mes n+1]],"Falta venta","-")</f>
        <v>-</v>
      </c>
      <c r="X251" s="7"/>
      <c r="Y251" s="18">
        <v>0</v>
      </c>
      <c r="Z251" s="5">
        <f>+Tabla13[[#This Row],[Atraso a facturar]]+Tabla13[[#This Row],[Venta del mes]]+Tabla13[[#This Row],[Ajuste]]</f>
        <v>0</v>
      </c>
      <c r="AA251" s="6">
        <f>+Tabla13[[#This Row],[Atraso a facturar]]+Tabla13[[#This Row],[Venta del mes]]+Tabla13[[#This Row],[En puerto a facturar]]</f>
        <v>0</v>
      </c>
      <c r="AB251" s="20">
        <f>IFERROR(VLOOKUP(Tabla13[[#This Row],[Llave]],'[5]Consolidación planes'!$A:$M,9,FALSE),0)</f>
        <v>0</v>
      </c>
      <c r="AC251" s="20">
        <f>IFERROR(VLOOKUP(Tabla13[[#This Row],[Llave]],'[5]Consolidación planes'!$A:$M,10,FALSE),0)</f>
        <v>0</v>
      </c>
      <c r="AD251" s="20">
        <f>IFERROR(VLOOKUP(Tabla13[[#This Row],[Llave]],'[5]Consolidación planes'!$A:$M,11,FALSE),0)</f>
        <v>0</v>
      </c>
      <c r="AE251" s="20">
        <f>IFERROR(VLOOKUP(Tabla13[[#This Row],[Llave]],'[5]Consolidación planes'!$A:$M,12,FALSE),0)</f>
        <v>0</v>
      </c>
      <c r="AF251" s="20">
        <f>IFERROR(VLOOKUP(Tabla13[[#This Row],[Llave]],'[5]Consolidación planes'!$A:$M,13,FALSE),0)</f>
        <v>24000</v>
      </c>
    </row>
    <row r="252" spans="2:32" ht="16" x14ac:dyDescent="0.2">
      <c r="B252" t="str">
        <f>Tabla13[[#This Row],[Oficina]]&amp;Tabla13[[#This Row],[Material]]</f>
        <v>Agrosuper Asia1012012</v>
      </c>
      <c r="C252" t="s">
        <v>227</v>
      </c>
      <c r="D252" t="s">
        <v>173</v>
      </c>
      <c r="E252">
        <v>1012012</v>
      </c>
      <c r="F252" t="s">
        <v>274</v>
      </c>
      <c r="G252" t="s">
        <v>205</v>
      </c>
      <c r="H252" t="s">
        <v>231</v>
      </c>
      <c r="I252" s="7">
        <f>IFERROR(VLOOKUP(Tabla13[[#This Row],[Llave]],'[1]Consolidado RV'!$B:$H,6,FALSE),0)</f>
        <v>20000</v>
      </c>
      <c r="J252" s="3">
        <f>IFERROR(VLOOKUP(Tabla13[[#This Row],[Llave]],'[1]Consolidado RV'!$B:$H,7,FALSE),0)</f>
        <v>20000</v>
      </c>
      <c r="K252" s="8">
        <f>IFERROR(VLOOKUP(Tabla13[[#This Row],[Oficina]],#REF!,2,FALSE),0)</f>
        <v>0</v>
      </c>
      <c r="L252" s="7">
        <f>+Tabla13[[#This Row],[ RV Producción mes n+1]]*Tabla13[[#This Row],[% Uti. producción]]</f>
        <v>0</v>
      </c>
      <c r="M252" s="7">
        <f>IFERROR(VLOOKUP(Tabla13[[#This Row],[Material]],#REF!,2,FALSE),0)</f>
        <v>0</v>
      </c>
      <c r="N252" s="7">
        <f>IFERROR(VLOOKUP(Tabla13[[#This Row],[Llave]],'En puerto-Programado'!A:D,4,FALSE)+VLOOKUP(Tabla13[[#This Row],[Llave]],'Por despachar'!A:F,6,FALSE),0)</f>
        <v>0</v>
      </c>
      <c r="O252" s="7">
        <f>IFERROR(VLOOKUP(Tabla13[[#This Row],[Material]],[2]Consolidado!$C:$D,2,FALSE),0)</f>
        <v>0</v>
      </c>
      <c r="P252" s="7">
        <f>IFERROR(VLOOKUP(Tabla13[[#This Row],[Llave]],'Por despachar'!A:E,5,FALSE),0)</f>
        <v>0</v>
      </c>
      <c r="Q252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52" s="7">
        <f>IFERROR(VLOOKUP(Tabla13[[#This Row],[Llave]],[3]Hoja2!$A:$D,4,FALSE),0)</f>
        <v>19958.047999999999</v>
      </c>
      <c r="S252" s="9">
        <f>IFERROR(VLOOKUP(Tabla13[[#This Row],[Material]],[4]Hoja1!$B:$C,2,FALSE),0)</f>
        <v>22000</v>
      </c>
      <c r="T252" s="5">
        <f t="shared" si="7"/>
        <v>0</v>
      </c>
      <c r="U252" s="3">
        <f>+Tabla13[[#This Row],[Total disponible]]-Tabla13[[#This Row],[Atraso a facturar]]</f>
        <v>0</v>
      </c>
      <c r="V252" s="6">
        <f t="shared" si="6"/>
        <v>0</v>
      </c>
      <c r="W252" s="3" t="str">
        <f>IF(Tabla13[[#This Row],[Venta del mes]]&gt;Tabla13[[#This Row],[ RV  Venta mes n+1]],"Falta venta","-")</f>
        <v>-</v>
      </c>
      <c r="X252" s="7"/>
      <c r="Y252" s="18">
        <v>0</v>
      </c>
      <c r="Z252" s="5">
        <f>+Tabla13[[#This Row],[Atraso a facturar]]+Tabla13[[#This Row],[Venta del mes]]+Tabla13[[#This Row],[Ajuste]]</f>
        <v>0</v>
      </c>
      <c r="AA252" s="6">
        <f>+Tabla13[[#This Row],[Atraso a facturar]]+Tabla13[[#This Row],[Venta del mes]]+Tabla13[[#This Row],[En puerto a facturar]]</f>
        <v>0</v>
      </c>
      <c r="AB252" s="20">
        <f>IFERROR(VLOOKUP(Tabla13[[#This Row],[Llave]],'[5]Consolidación planes'!$A:$M,9,FALSE),0)</f>
        <v>108000</v>
      </c>
      <c r="AC252" s="20">
        <f>IFERROR(VLOOKUP(Tabla13[[#This Row],[Llave]],'[5]Consolidación planes'!$A:$M,10,FALSE),0)</f>
        <v>88000</v>
      </c>
      <c r="AD252" s="20">
        <f>IFERROR(VLOOKUP(Tabla13[[#This Row],[Llave]],'[5]Consolidación planes'!$A:$M,11,FALSE),0)</f>
        <v>0</v>
      </c>
      <c r="AE252" s="20">
        <f>IFERROR(VLOOKUP(Tabla13[[#This Row],[Llave]],'[5]Consolidación planes'!$A:$M,12,FALSE),0)</f>
        <v>0</v>
      </c>
      <c r="AF252" s="20">
        <f>IFERROR(VLOOKUP(Tabla13[[#This Row],[Llave]],'[5]Consolidación planes'!$A:$M,13,FALSE),0)</f>
        <v>0</v>
      </c>
    </row>
    <row r="253" spans="2:32" ht="16" x14ac:dyDescent="0.2">
      <c r="B253" t="str">
        <f>Tabla13[[#This Row],[Oficina]]&amp;Tabla13[[#This Row],[Material]]</f>
        <v>Agrosuper Asia1012612</v>
      </c>
      <c r="C253" t="s">
        <v>227</v>
      </c>
      <c r="D253" t="s">
        <v>173</v>
      </c>
      <c r="E253">
        <v>1012612</v>
      </c>
      <c r="F253" t="s">
        <v>275</v>
      </c>
      <c r="G253" t="s">
        <v>233</v>
      </c>
      <c r="H253" t="s">
        <v>237</v>
      </c>
      <c r="I253" s="7">
        <f>IFERROR(VLOOKUP(Tabla13[[#This Row],[Llave]],'[1]Consolidado RV'!$B:$H,6,FALSE),0)</f>
        <v>431056.56</v>
      </c>
      <c r="J253" s="3">
        <f>IFERROR(VLOOKUP(Tabla13[[#This Row],[Llave]],'[1]Consolidado RV'!$B:$H,7,FALSE),0)</f>
        <v>1135670.6922232839</v>
      </c>
      <c r="K253" s="8">
        <f>IFERROR(VLOOKUP(Tabla13[[#This Row],[Oficina]],#REF!,2,FALSE),0)</f>
        <v>0</v>
      </c>
      <c r="L253" s="7">
        <f>+Tabla13[[#This Row],[ RV Producción mes n+1]]*Tabla13[[#This Row],[% Uti. producción]]</f>
        <v>0</v>
      </c>
      <c r="M253" s="7">
        <f>IFERROR(VLOOKUP(Tabla13[[#This Row],[Material]],#REF!,2,FALSE),0)</f>
        <v>0</v>
      </c>
      <c r="N253" s="7">
        <f>IFERROR(VLOOKUP(Tabla13[[#This Row],[Llave]],'En puerto-Programado'!A:D,4,FALSE)+VLOOKUP(Tabla13[[#This Row],[Llave]],'Por despachar'!A:F,6,FALSE),0)</f>
        <v>125000</v>
      </c>
      <c r="O253" s="7">
        <f>IFERROR(VLOOKUP(Tabla13[[#This Row],[Material]],[2]Consolidado!$C:$D,2,FALSE),0)</f>
        <v>299000</v>
      </c>
      <c r="P253" s="7">
        <f>IFERROR(VLOOKUP(Tabla13[[#This Row],[Llave]],'Por despachar'!A:E,5,FALSE),0)</f>
        <v>0</v>
      </c>
      <c r="Q253" s="14">
        <f>SUM(Tabla13[[#This Row],[Producción disponible]],Tabla13[[#This Row],[Stock al día]],Tabla13[[#This Row],[Por producir Abr.]])-SUM(Tabla13[[#This Row],[Stock por despachar N]],Tabla13[[#This Row],[Producción por despachar mes N]])</f>
        <v>174000</v>
      </c>
      <c r="R253" s="7">
        <f>IFERROR(VLOOKUP(Tabla13[[#This Row],[Llave]],[3]Hoja2!$A:$D,4,FALSE),0)</f>
        <v>850000</v>
      </c>
      <c r="S253" s="9">
        <f>IFERROR(VLOOKUP(Tabla13[[#This Row],[Material]],[4]Hoja1!$B:$C,2,FALSE),0)</f>
        <v>25000</v>
      </c>
      <c r="T253" s="5">
        <f t="shared" si="7"/>
        <v>150000</v>
      </c>
      <c r="U253" s="3">
        <f>+Tabla13[[#This Row],[Total disponible]]-Tabla13[[#This Row],[Atraso a facturar]]</f>
        <v>24000</v>
      </c>
      <c r="V253" s="6">
        <f t="shared" si="6"/>
        <v>0</v>
      </c>
      <c r="W253" s="3" t="str">
        <f>IF(Tabla13[[#This Row],[Venta del mes]]&gt;Tabla13[[#This Row],[ RV  Venta mes n+1]],"Falta venta","-")</f>
        <v>-</v>
      </c>
      <c r="X253" s="7"/>
      <c r="Y253" s="18">
        <v>0</v>
      </c>
      <c r="Z253" s="27">
        <f>+Tabla13[[#This Row],[Atraso a facturar]]+Tabla13[[#This Row],[Venta del mes]]+Tabla13[[#This Row],[Ajuste]]</f>
        <v>150000</v>
      </c>
      <c r="AA253" s="6">
        <f>+Tabla13[[#This Row],[Atraso a facturar]]+Tabla13[[#This Row],[Venta del mes]]+Tabla13[[#This Row],[En puerto a facturar]]</f>
        <v>150000</v>
      </c>
      <c r="AB253" s="20">
        <f>IFERROR(VLOOKUP(Tabla13[[#This Row],[Llave]],'[5]Consolidación planes'!$A:$M,9,FALSE),0)</f>
        <v>625000</v>
      </c>
      <c r="AC253" s="20">
        <f>IFERROR(VLOOKUP(Tabla13[[#This Row],[Llave]],'[5]Consolidación planes'!$A:$M,10,FALSE),0)</f>
        <v>625000</v>
      </c>
      <c r="AD253" s="20">
        <f>IFERROR(VLOOKUP(Tabla13[[#This Row],[Llave]],'[5]Consolidación planes'!$A:$M,11,FALSE),0)</f>
        <v>950000</v>
      </c>
      <c r="AE253" s="20">
        <f>IFERROR(VLOOKUP(Tabla13[[#This Row],[Llave]],'[5]Consolidación planes'!$A:$M,12,FALSE),0)</f>
        <v>1100000</v>
      </c>
      <c r="AF253" s="20">
        <f>IFERROR(VLOOKUP(Tabla13[[#This Row],[Llave]],'[5]Consolidación planes'!$A:$M,13,FALSE),0)</f>
        <v>1291866</v>
      </c>
    </row>
    <row r="254" spans="2:32" ht="16" hidden="1" x14ac:dyDescent="0.2">
      <c r="B254" t="str">
        <f>Tabla13[[#This Row],[Oficina]]&amp;Tabla13[[#This Row],[Material]]</f>
        <v>Agrosuper Brasil1011560</v>
      </c>
      <c r="C254" t="s">
        <v>227</v>
      </c>
      <c r="D254" t="s">
        <v>7</v>
      </c>
      <c r="E254">
        <v>1011560</v>
      </c>
      <c r="F254" t="s">
        <v>299</v>
      </c>
      <c r="G254" t="s">
        <v>209</v>
      </c>
      <c r="H254" t="s">
        <v>228</v>
      </c>
      <c r="I254" s="7">
        <f>IFERROR(VLOOKUP(Tabla13[[#This Row],[Llave]],'[1]Consolidado RV'!$B:$H,6,FALSE),0)</f>
        <v>48000</v>
      </c>
      <c r="J254" s="3">
        <f>IFERROR(VLOOKUP(Tabla13[[#This Row],[Llave]],'[1]Consolidado RV'!$B:$H,7,FALSE),0)</f>
        <v>48000</v>
      </c>
      <c r="K254" s="8">
        <f>IFERROR(VLOOKUP(Tabla13[[#This Row],[Oficina]],#REF!,2,FALSE),0)</f>
        <v>0</v>
      </c>
      <c r="L254" s="7">
        <f>+Tabla13[[#This Row],[ RV Producción mes n+1]]*Tabla13[[#This Row],[% Uti. producción]]</f>
        <v>0</v>
      </c>
      <c r="M254" s="7">
        <f>IFERROR(VLOOKUP(Tabla13[[#This Row],[Material]],#REF!,2,FALSE),0)</f>
        <v>0</v>
      </c>
      <c r="N254" s="7">
        <f>IFERROR(VLOOKUP(Tabla13[[#This Row],[Llave]],'En puerto-Programado'!A:D,4,FALSE)+VLOOKUP(Tabla13[[#This Row],[Llave]],'Por despachar'!A:F,6,FALSE),0)</f>
        <v>0</v>
      </c>
      <c r="O254" s="7">
        <f>IFERROR(VLOOKUP(Tabla13[[#This Row],[Material]],[2]Consolidado!$C:$D,2,FALSE),0)</f>
        <v>0</v>
      </c>
      <c r="P254" s="7">
        <f>IFERROR(VLOOKUP(Tabla13[[#This Row],[Llave]],'Por despachar'!A:E,5,FALSE),0)</f>
        <v>0</v>
      </c>
      <c r="Q25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54" s="7">
        <f>IFERROR(VLOOKUP(Tabla13[[#This Row],[Llave]],[3]Hoja2!$A:$D,4,FALSE),0)</f>
        <v>24000</v>
      </c>
      <c r="S254" s="9">
        <f>IFERROR(VLOOKUP(Tabla13[[#This Row],[Material]],[4]Hoja1!$B:$C,2,FALSE),0)</f>
        <v>24000</v>
      </c>
      <c r="T254" s="5">
        <f t="shared" si="7"/>
        <v>0</v>
      </c>
      <c r="U254" s="3">
        <f>+Tabla13[[#This Row],[Total disponible]]-Tabla13[[#This Row],[Atraso a facturar]]</f>
        <v>0</v>
      </c>
      <c r="V254" s="6">
        <f t="shared" si="6"/>
        <v>0</v>
      </c>
      <c r="W254" s="3" t="str">
        <f>IF(Tabla13[[#This Row],[Venta del mes]]&gt;Tabla13[[#This Row],[ RV  Venta mes n+1]],"Falta venta","-")</f>
        <v>-</v>
      </c>
      <c r="X254" s="7"/>
      <c r="Y254" s="18">
        <v>0</v>
      </c>
      <c r="Z254" s="5">
        <f>+Tabla13[[#This Row],[Atraso a facturar]]+Tabla13[[#This Row],[Venta del mes]]+Tabla13[[#This Row],[Ajuste]]</f>
        <v>0</v>
      </c>
      <c r="AA254" s="6">
        <f>+Tabla13[[#This Row],[Atraso a facturar]]+Tabla13[[#This Row],[Venta del mes]]+Tabla13[[#This Row],[En puerto a facturar]]</f>
        <v>0</v>
      </c>
      <c r="AB254" s="20">
        <f>IFERROR(VLOOKUP(Tabla13[[#This Row],[Llave]],'[5]Consolidación planes'!$A:$M,9,FALSE),0)</f>
        <v>0</v>
      </c>
      <c r="AC254" s="20">
        <f>IFERROR(VLOOKUP(Tabla13[[#This Row],[Llave]],'[5]Consolidación planes'!$A:$M,10,FALSE),0)</f>
        <v>24000</v>
      </c>
      <c r="AD254" s="20">
        <f>IFERROR(VLOOKUP(Tabla13[[#This Row],[Llave]],'[5]Consolidación planes'!$A:$M,11,FALSE),0)</f>
        <v>0</v>
      </c>
      <c r="AE254" s="20">
        <f>IFERROR(VLOOKUP(Tabla13[[#This Row],[Llave]],'[5]Consolidación planes'!$A:$M,12,FALSE),0)</f>
        <v>0</v>
      </c>
      <c r="AF254" s="20">
        <f>IFERROR(VLOOKUP(Tabla13[[#This Row],[Llave]],'[5]Consolidación planes'!$A:$M,13,FALSE),0)</f>
        <v>24000</v>
      </c>
    </row>
    <row r="255" spans="2:32" ht="16" hidden="1" x14ac:dyDescent="0.2">
      <c r="B255" t="str">
        <f>Tabla13[[#This Row],[Oficina]]&amp;Tabla13[[#This Row],[Material]]</f>
        <v>Agrosuper Brasil1012362</v>
      </c>
      <c r="C255" t="s">
        <v>227</v>
      </c>
      <c r="D255" t="s">
        <v>7</v>
      </c>
      <c r="E255">
        <v>1012362</v>
      </c>
      <c r="F255" t="s">
        <v>229</v>
      </c>
      <c r="G255" t="s">
        <v>209</v>
      </c>
      <c r="H255" t="s">
        <v>228</v>
      </c>
      <c r="I255" s="7">
        <f>IFERROR(VLOOKUP(Tabla13[[#This Row],[Llave]],'[1]Consolidado RV'!$B:$H,6,FALSE),0)</f>
        <v>22700</v>
      </c>
      <c r="J255" s="3">
        <f>IFERROR(VLOOKUP(Tabla13[[#This Row],[Llave]],'[1]Consolidado RV'!$B:$H,7,FALSE),0)</f>
        <v>22700</v>
      </c>
      <c r="K255" s="8">
        <f>IFERROR(VLOOKUP(Tabla13[[#This Row],[Oficina]],#REF!,2,FALSE),0)</f>
        <v>0</v>
      </c>
      <c r="L255" s="7">
        <f>+Tabla13[[#This Row],[ RV Producción mes n+1]]*Tabla13[[#This Row],[% Uti. producción]]</f>
        <v>0</v>
      </c>
      <c r="M255" s="7">
        <f>IFERROR(VLOOKUP(Tabla13[[#This Row],[Material]],#REF!,2,FALSE),0)</f>
        <v>0</v>
      </c>
      <c r="N255" s="7">
        <f>IFERROR(VLOOKUP(Tabla13[[#This Row],[Llave]],'En puerto-Programado'!A:D,4,FALSE)+VLOOKUP(Tabla13[[#This Row],[Llave]],'Por despachar'!A:F,6,FALSE),0)</f>
        <v>0</v>
      </c>
      <c r="O255" s="7">
        <f>IFERROR(VLOOKUP(Tabla13[[#This Row],[Material]],[2]Consolidado!$C:$D,2,FALSE),0)</f>
        <v>6559.47831465133</v>
      </c>
      <c r="P255" s="7">
        <f>IFERROR(VLOOKUP(Tabla13[[#This Row],[Llave]],'Por despachar'!A:E,5,FALSE),0)</f>
        <v>0</v>
      </c>
      <c r="Q255" s="14">
        <f>SUM(Tabla13[[#This Row],[Producción disponible]],Tabla13[[#This Row],[Stock al día]],Tabla13[[#This Row],[Por producir Abr.]])-SUM(Tabla13[[#This Row],[Stock por despachar N]],Tabla13[[#This Row],[Producción por despachar mes N]])</f>
        <v>6559.47831465133</v>
      </c>
      <c r="R255" s="7">
        <f>IFERROR(VLOOKUP(Tabla13[[#This Row],[Llave]],[3]Hoja2!$A:$D,4,FALSE),0)</f>
        <v>71985</v>
      </c>
      <c r="S255" s="9">
        <f>IFERROR(VLOOKUP(Tabla13[[#This Row],[Material]],[4]Hoja1!$B:$C,2,FALSE),0)</f>
        <v>24000</v>
      </c>
      <c r="T255" s="5">
        <f t="shared" si="7"/>
        <v>0</v>
      </c>
      <c r="U255" s="3">
        <f>+Tabla13[[#This Row],[Total disponible]]-Tabla13[[#This Row],[Atraso a facturar]]</f>
        <v>6559.47831465133</v>
      </c>
      <c r="V255" s="6">
        <f t="shared" si="6"/>
        <v>0</v>
      </c>
      <c r="W255" s="3" t="str">
        <f>IF(Tabla13[[#This Row],[Venta del mes]]&gt;Tabla13[[#This Row],[ RV  Venta mes n+1]],"Falta venta","-")</f>
        <v>-</v>
      </c>
      <c r="X255" s="7"/>
      <c r="Y255" s="18">
        <v>0</v>
      </c>
      <c r="Z255" s="5">
        <f>+Tabla13[[#This Row],[Atraso a facturar]]+Tabla13[[#This Row],[Venta del mes]]+Tabla13[[#This Row],[Ajuste]]</f>
        <v>0</v>
      </c>
      <c r="AA255" s="6">
        <f>+Tabla13[[#This Row],[Atraso a facturar]]+Tabla13[[#This Row],[Venta del mes]]+Tabla13[[#This Row],[En puerto a facturar]]</f>
        <v>0</v>
      </c>
      <c r="AB255" s="20">
        <f>IFERROR(VLOOKUP(Tabla13[[#This Row],[Llave]],'[5]Consolidación planes'!$A:$M,9,FALSE),0)</f>
        <v>24000</v>
      </c>
      <c r="AC255" s="20">
        <f>IFERROR(VLOOKUP(Tabla13[[#This Row],[Llave]],'[5]Consolidación planes'!$A:$M,10,FALSE),0)</f>
        <v>24000</v>
      </c>
      <c r="AD255" s="20">
        <f>IFERROR(VLOOKUP(Tabla13[[#This Row],[Llave]],'[5]Consolidación planes'!$A:$M,11,FALSE),0)</f>
        <v>47990</v>
      </c>
      <c r="AE255" s="20">
        <f>IFERROR(VLOOKUP(Tabla13[[#This Row],[Llave]],'[5]Consolidación planes'!$A:$M,12,FALSE),0)</f>
        <v>23995</v>
      </c>
      <c r="AF255" s="20">
        <f>IFERROR(VLOOKUP(Tabla13[[#This Row],[Llave]],'[5]Consolidación planes'!$A:$M,13,FALSE),0)</f>
        <v>24000</v>
      </c>
    </row>
    <row r="256" spans="2:32" ht="16" hidden="1" x14ac:dyDescent="0.2">
      <c r="B256" t="str">
        <f>Tabla13[[#This Row],[Oficina]]&amp;Tabla13[[#This Row],[Material]]</f>
        <v>Agrosuper Brasil1012674</v>
      </c>
      <c r="C256" t="s">
        <v>227</v>
      </c>
      <c r="D256" t="s">
        <v>7</v>
      </c>
      <c r="E256">
        <v>1012674</v>
      </c>
      <c r="F256" t="s">
        <v>230</v>
      </c>
      <c r="G256" t="s">
        <v>209</v>
      </c>
      <c r="H256" t="s">
        <v>228</v>
      </c>
      <c r="I256" s="7">
        <f>IFERROR(VLOOKUP(Tabla13[[#This Row],[Llave]],'[1]Consolidado RV'!$B:$H,6,FALSE),0)</f>
        <v>53700</v>
      </c>
      <c r="J256" s="3">
        <f>IFERROR(VLOOKUP(Tabla13[[#This Row],[Llave]],'[1]Consolidado RV'!$B:$H,7,FALSE),0)</f>
        <v>0</v>
      </c>
      <c r="K256" s="8">
        <f>IFERROR(VLOOKUP(Tabla13[[#This Row],[Oficina]],#REF!,2,FALSE),0)</f>
        <v>0</v>
      </c>
      <c r="L256" s="7">
        <f>+Tabla13[[#This Row],[ RV Producción mes n+1]]*Tabla13[[#This Row],[% Uti. producción]]</f>
        <v>0</v>
      </c>
      <c r="M256" s="7">
        <f>IFERROR(VLOOKUP(Tabla13[[#This Row],[Material]],#REF!,2,FALSE),0)</f>
        <v>0</v>
      </c>
      <c r="N256" s="7">
        <f>IFERROR(VLOOKUP(Tabla13[[#This Row],[Llave]],'En puerto-Programado'!A:D,4,FALSE)+VLOOKUP(Tabla13[[#This Row],[Llave]],'Por despachar'!A:F,6,FALSE),0)</f>
        <v>0</v>
      </c>
      <c r="O256" s="7">
        <f>IFERROR(VLOOKUP(Tabla13[[#This Row],[Material]],[2]Consolidado!$C:$D,2,FALSE),0)</f>
        <v>12495.395126753509</v>
      </c>
      <c r="P256" s="7">
        <f>IFERROR(VLOOKUP(Tabla13[[#This Row],[Llave]],'Por despachar'!A:E,5,FALSE),0)</f>
        <v>0</v>
      </c>
      <c r="Q256" s="14">
        <f>SUM(Tabla13[[#This Row],[Producción disponible]],Tabla13[[#This Row],[Stock al día]],Tabla13[[#This Row],[Por producir Abr.]])-SUM(Tabla13[[#This Row],[Stock por despachar N]],Tabla13[[#This Row],[Producción por despachar mes N]])</f>
        <v>12495.395126753509</v>
      </c>
      <c r="R256" s="7">
        <f>IFERROR(VLOOKUP(Tabla13[[#This Row],[Llave]],[3]Hoja2!$A:$D,4,FALSE),0)</f>
        <v>143975</v>
      </c>
      <c r="S256" s="9">
        <f>IFERROR(VLOOKUP(Tabla13[[#This Row],[Material]],[4]Hoja1!$B:$C,2,FALSE),0)</f>
        <v>24000</v>
      </c>
      <c r="T256" s="5">
        <f t="shared" si="7"/>
        <v>0</v>
      </c>
      <c r="U256" s="3">
        <f>+Tabla13[[#This Row],[Total disponible]]-Tabla13[[#This Row],[Atraso a facturar]]</f>
        <v>12495.395126753509</v>
      </c>
      <c r="V256" s="6">
        <f t="shared" si="6"/>
        <v>0</v>
      </c>
      <c r="W256" s="3" t="str">
        <f>IF(Tabla13[[#This Row],[Venta del mes]]&gt;Tabla13[[#This Row],[ RV  Venta mes n+1]],"Falta venta","-")</f>
        <v>-</v>
      </c>
      <c r="X256" s="7"/>
      <c r="Y256" s="18">
        <v>0</v>
      </c>
      <c r="Z256" s="5">
        <f>+Tabla13[[#This Row],[Atraso a facturar]]+Tabla13[[#This Row],[Venta del mes]]+Tabla13[[#This Row],[Ajuste]]</f>
        <v>0</v>
      </c>
      <c r="AA256" s="6">
        <f>+Tabla13[[#This Row],[Atraso a facturar]]+Tabla13[[#This Row],[Venta del mes]]+Tabla13[[#This Row],[En puerto a facturar]]</f>
        <v>0</v>
      </c>
      <c r="AB256" s="20">
        <f>IFERROR(VLOOKUP(Tabla13[[#This Row],[Llave]],'[5]Consolidación planes'!$A:$M,9,FALSE),0)</f>
        <v>24000</v>
      </c>
      <c r="AC256" s="20">
        <f>IFERROR(VLOOKUP(Tabla13[[#This Row],[Llave]],'[5]Consolidación planes'!$A:$M,10,FALSE),0)</f>
        <v>72000</v>
      </c>
      <c r="AD256" s="20">
        <f>IFERROR(VLOOKUP(Tabla13[[#This Row],[Llave]],'[5]Consolidación planes'!$A:$M,11,FALSE),0)</f>
        <v>24000</v>
      </c>
      <c r="AE256" s="20">
        <f>IFERROR(VLOOKUP(Tabla13[[#This Row],[Llave]],'[5]Consolidación planes'!$A:$M,12,FALSE),0)</f>
        <v>23995</v>
      </c>
      <c r="AF256" s="20">
        <f>IFERROR(VLOOKUP(Tabla13[[#This Row],[Llave]],'[5]Consolidación planes'!$A:$M,13,FALSE),0)</f>
        <v>24000</v>
      </c>
    </row>
    <row r="257" spans="2:32" ht="16" hidden="1" x14ac:dyDescent="0.2">
      <c r="B257" t="str">
        <f>Tabla13[[#This Row],[Oficina]]&amp;Tabla13[[#This Row],[Material]]</f>
        <v>Agrosuper Shanghai1011586</v>
      </c>
      <c r="C257" t="s">
        <v>227</v>
      </c>
      <c r="D257" t="s">
        <v>140</v>
      </c>
      <c r="E257">
        <v>1011586</v>
      </c>
      <c r="F257" t="s">
        <v>262</v>
      </c>
      <c r="G257" t="s">
        <v>205</v>
      </c>
      <c r="H257" t="s">
        <v>231</v>
      </c>
      <c r="I257" s="7">
        <f>IFERROR(VLOOKUP(Tabla13[[#This Row],[Llave]],'[1]Consolidado RV'!$B:$H,6,FALSE),0)</f>
        <v>62613.970999999998</v>
      </c>
      <c r="J257" s="3">
        <f>IFERROR(VLOOKUP(Tabla13[[#This Row],[Llave]],'[1]Consolidado RV'!$B:$H,7,FALSE),0)</f>
        <v>74390.780115368965</v>
      </c>
      <c r="K257" s="8">
        <f>IFERROR(VLOOKUP(Tabla13[[#This Row],[Oficina]],#REF!,2,FALSE),0)</f>
        <v>0</v>
      </c>
      <c r="L257" s="7">
        <f>+Tabla13[[#This Row],[ RV Producción mes n+1]]*Tabla13[[#This Row],[% Uti. producción]]</f>
        <v>0</v>
      </c>
      <c r="M257" s="7">
        <f>IFERROR(VLOOKUP(Tabla13[[#This Row],[Material]],#REF!,2,FALSE),0)</f>
        <v>0</v>
      </c>
      <c r="N257" s="7">
        <f>IFERROR(VLOOKUP(Tabla13[[#This Row],[Llave]],'En puerto-Programado'!A:D,4,FALSE)+VLOOKUP(Tabla13[[#This Row],[Llave]],'Por despachar'!A:F,6,FALSE),0)</f>
        <v>0</v>
      </c>
      <c r="O257" s="7">
        <f>IFERROR(VLOOKUP(Tabla13[[#This Row],[Material]],[2]Consolidado!$C:$D,2,FALSE),0)</f>
        <v>16000</v>
      </c>
      <c r="P257" s="7">
        <f>IFERROR(VLOOKUP(Tabla13[[#This Row],[Llave]],'Por despachar'!A:E,5,FALSE),0)</f>
        <v>0</v>
      </c>
      <c r="Q257" s="14">
        <f>SUM(Tabla13[[#This Row],[Producción disponible]],Tabla13[[#This Row],[Stock al día]],Tabla13[[#This Row],[Por producir Abr.]])-SUM(Tabla13[[#This Row],[Stock por despachar N]],Tabla13[[#This Row],[Producción por despachar mes N]])</f>
        <v>16000</v>
      </c>
      <c r="R257" s="7">
        <f>IFERROR(VLOOKUP(Tabla13[[#This Row],[Llave]],[3]Hoja2!$A:$D,4,FALSE),0)</f>
        <v>0</v>
      </c>
      <c r="S257" s="9">
        <f>IFERROR(VLOOKUP(Tabla13[[#This Row],[Material]],[4]Hoja1!$B:$C,2,FALSE),0)</f>
        <v>24000</v>
      </c>
      <c r="T257" s="5">
        <f t="shared" si="7"/>
        <v>0</v>
      </c>
      <c r="U257" s="3">
        <f>+Tabla13[[#This Row],[Total disponible]]-Tabla13[[#This Row],[Atraso a facturar]]</f>
        <v>16000</v>
      </c>
      <c r="V257" s="6">
        <f t="shared" si="6"/>
        <v>0</v>
      </c>
      <c r="W257" s="3" t="str">
        <f>IF(Tabla13[[#This Row],[Venta del mes]]&gt;Tabla13[[#This Row],[ RV  Venta mes n+1]],"Falta venta","-")</f>
        <v>-</v>
      </c>
      <c r="X257" s="7"/>
      <c r="Y257" s="18">
        <v>0</v>
      </c>
      <c r="Z257" s="5">
        <f>+Tabla13[[#This Row],[Atraso a facturar]]+Tabla13[[#This Row],[Venta del mes]]+Tabla13[[#This Row],[Ajuste]]</f>
        <v>0</v>
      </c>
      <c r="AA257" s="6">
        <f>+Tabla13[[#This Row],[Atraso a facturar]]+Tabla13[[#This Row],[Venta del mes]]+Tabla13[[#This Row],[En puerto a facturar]]</f>
        <v>0</v>
      </c>
      <c r="AB257" s="20">
        <f>IFERROR(VLOOKUP(Tabla13[[#This Row],[Llave]],'[5]Consolidación planes'!$A:$M,9,FALSE),0)</f>
        <v>96000</v>
      </c>
      <c r="AC257" s="20">
        <f>IFERROR(VLOOKUP(Tabla13[[#This Row],[Llave]],'[5]Consolidación planes'!$A:$M,10,FALSE),0)</f>
        <v>72000</v>
      </c>
      <c r="AD257" s="20">
        <f>IFERROR(VLOOKUP(Tabla13[[#This Row],[Llave]],'[5]Consolidación planes'!$A:$M,11,FALSE),0)</f>
        <v>48000</v>
      </c>
      <c r="AE257" s="20">
        <f>IFERROR(VLOOKUP(Tabla13[[#This Row],[Llave]],'[5]Consolidación planes'!$A:$M,12,FALSE),0)</f>
        <v>48000</v>
      </c>
      <c r="AF257" s="20">
        <f>IFERROR(VLOOKUP(Tabla13[[#This Row],[Llave]],'[5]Consolidación planes'!$A:$M,13,FALSE),0)</f>
        <v>48000</v>
      </c>
    </row>
    <row r="258" spans="2:32" ht="16" hidden="1" x14ac:dyDescent="0.2">
      <c r="B258" t="str">
        <f>Tabla13[[#This Row],[Oficina]]&amp;Tabla13[[#This Row],[Material]]</f>
        <v>Agrosuper Shanghai1011968</v>
      </c>
      <c r="C258" t="s">
        <v>227</v>
      </c>
      <c r="D258" t="s">
        <v>140</v>
      </c>
      <c r="E258">
        <v>1011968</v>
      </c>
      <c r="F258" t="s">
        <v>270</v>
      </c>
      <c r="G258" t="s">
        <v>268</v>
      </c>
      <c r="H258" t="s">
        <v>269</v>
      </c>
      <c r="I258" s="7">
        <f>IFERROR(VLOOKUP(Tabla13[[#This Row],[Llave]],'[1]Consolidado RV'!$B:$H,6,FALSE),0)</f>
        <v>10517.512461850345</v>
      </c>
      <c r="J258" s="3">
        <f>IFERROR(VLOOKUP(Tabla13[[#This Row],[Llave]],'[1]Consolidado RV'!$B:$H,7,FALSE),0)</f>
        <v>0</v>
      </c>
      <c r="K258" s="8">
        <f>IFERROR(VLOOKUP(Tabla13[[#This Row],[Oficina]],#REF!,2,FALSE),0)</f>
        <v>0</v>
      </c>
      <c r="L258" s="7">
        <f>+Tabla13[[#This Row],[ RV Producción mes n+1]]*Tabla13[[#This Row],[% Uti. producción]]</f>
        <v>0</v>
      </c>
      <c r="M258" s="7">
        <f>IFERROR(VLOOKUP(Tabla13[[#This Row],[Material]],#REF!,2,FALSE),0)</f>
        <v>0</v>
      </c>
      <c r="N258" s="7">
        <f>IFERROR(VLOOKUP(Tabla13[[#This Row],[Llave]],'En puerto-Programado'!A:D,4,FALSE)+VLOOKUP(Tabla13[[#This Row],[Llave]],'Por despachar'!A:F,6,FALSE),0)</f>
        <v>0</v>
      </c>
      <c r="O258" s="7">
        <f>IFERROR(VLOOKUP(Tabla13[[#This Row],[Material]],[2]Consolidado!$C:$D,2,FALSE),0)</f>
        <v>1947</v>
      </c>
      <c r="P258" s="7">
        <f>IFERROR(VLOOKUP(Tabla13[[#This Row],[Llave]],'Por despachar'!A:E,5,FALSE),0)</f>
        <v>0</v>
      </c>
      <c r="Q258" s="14">
        <f>SUM(Tabla13[[#This Row],[Producción disponible]],Tabla13[[#This Row],[Stock al día]],Tabla13[[#This Row],[Por producir Abr.]])-SUM(Tabla13[[#This Row],[Stock por despachar N]],Tabla13[[#This Row],[Producción por despachar mes N]])</f>
        <v>1947</v>
      </c>
      <c r="R258" s="7">
        <f>IFERROR(VLOOKUP(Tabla13[[#This Row],[Llave]],[3]Hoja2!$A:$D,4,FALSE),0)</f>
        <v>0</v>
      </c>
      <c r="S258" s="9">
        <f>IFERROR(VLOOKUP(Tabla13[[#This Row],[Material]],[4]Hoja1!$B:$C,2,FALSE),0)</f>
        <v>24000</v>
      </c>
      <c r="T258" s="5">
        <f t="shared" si="7"/>
        <v>0</v>
      </c>
      <c r="U258" s="3">
        <f>+Tabla13[[#This Row],[Total disponible]]-Tabla13[[#This Row],[Atraso a facturar]]</f>
        <v>1947</v>
      </c>
      <c r="V258" s="6">
        <f t="shared" si="6"/>
        <v>0</v>
      </c>
      <c r="W258" s="3" t="str">
        <f>IF(Tabla13[[#This Row],[Venta del mes]]&gt;Tabla13[[#This Row],[ RV  Venta mes n+1]],"Falta venta","-")</f>
        <v>-</v>
      </c>
      <c r="X258" s="7"/>
      <c r="Y258" s="18">
        <v>0</v>
      </c>
      <c r="Z258" s="5">
        <f>+Tabla13[[#This Row],[Atraso a facturar]]+Tabla13[[#This Row],[Venta del mes]]+Tabla13[[#This Row],[Ajuste]]</f>
        <v>0</v>
      </c>
      <c r="AA258" s="6">
        <f>+Tabla13[[#This Row],[Atraso a facturar]]+Tabla13[[#This Row],[Venta del mes]]+Tabla13[[#This Row],[En puerto a facturar]]</f>
        <v>0</v>
      </c>
      <c r="AB258" s="20">
        <f>IFERROR(VLOOKUP(Tabla13[[#This Row],[Llave]],'[5]Consolidación planes'!$A:$M,9,FALSE),0)</f>
        <v>5660</v>
      </c>
      <c r="AC258" s="20">
        <f>IFERROR(VLOOKUP(Tabla13[[#This Row],[Llave]],'[5]Consolidación planes'!$A:$M,10,FALSE),0)</f>
        <v>0</v>
      </c>
      <c r="AD258" s="20">
        <f>IFERROR(VLOOKUP(Tabla13[[#This Row],[Llave]],'[5]Consolidación planes'!$A:$M,11,FALSE),0)</f>
        <v>0</v>
      </c>
      <c r="AE258" s="20">
        <f>IFERROR(VLOOKUP(Tabla13[[#This Row],[Llave]],'[5]Consolidación planes'!$A:$M,12,FALSE),0)</f>
        <v>0</v>
      </c>
      <c r="AF258" s="20">
        <f>IFERROR(VLOOKUP(Tabla13[[#This Row],[Llave]],'[5]Consolidación planes'!$A:$M,13,FALSE),0)</f>
        <v>0</v>
      </c>
    </row>
    <row r="259" spans="2:32" ht="16" hidden="1" x14ac:dyDescent="0.2">
      <c r="B259" t="str">
        <f>Tabla13[[#This Row],[Oficina]]&amp;Tabla13[[#This Row],[Material]]</f>
        <v>Agrosuper Shanghai1012312</v>
      </c>
      <c r="C259" t="s">
        <v>227</v>
      </c>
      <c r="D259" t="s">
        <v>140</v>
      </c>
      <c r="E259">
        <v>1012312</v>
      </c>
      <c r="F259" t="s">
        <v>267</v>
      </c>
      <c r="G259" t="s">
        <v>266</v>
      </c>
      <c r="H259" t="s">
        <v>266</v>
      </c>
      <c r="I259" s="7">
        <f>IFERROR(VLOOKUP(Tabla13[[#This Row],[Llave]],'[1]Consolidado RV'!$B:$H,6,FALSE),0)</f>
        <v>0</v>
      </c>
      <c r="J259" s="3">
        <f>IFERROR(VLOOKUP(Tabla13[[#This Row],[Llave]],'[1]Consolidado RV'!$B:$H,7,FALSE),0)</f>
        <v>0</v>
      </c>
      <c r="K259" s="8">
        <f>IFERROR(VLOOKUP(Tabla13[[#This Row],[Oficina]],#REF!,2,FALSE),0)</f>
        <v>0</v>
      </c>
      <c r="L259" s="7">
        <f>+Tabla13[[#This Row],[ RV Producción mes n+1]]*Tabla13[[#This Row],[% Uti. producción]]</f>
        <v>0</v>
      </c>
      <c r="M259" s="7">
        <f>IFERROR(VLOOKUP(Tabla13[[#This Row],[Material]],#REF!,2,FALSE),0)</f>
        <v>0</v>
      </c>
      <c r="N259" s="7">
        <f>IFERROR(VLOOKUP(Tabla13[[#This Row],[Llave]],'En puerto-Programado'!A:D,4,FALSE)+VLOOKUP(Tabla13[[#This Row],[Llave]],'Por despachar'!A:F,6,FALSE),0)</f>
        <v>0</v>
      </c>
      <c r="O259" s="7">
        <f>IFERROR(VLOOKUP(Tabla13[[#This Row],[Material]],[2]Consolidado!$C:$D,2,FALSE),0)</f>
        <v>0</v>
      </c>
      <c r="P259" s="7">
        <f>IFERROR(VLOOKUP(Tabla13[[#This Row],[Llave]],'Por despachar'!A:E,5,FALSE),0)</f>
        <v>0</v>
      </c>
      <c r="Q25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59" s="7">
        <f>IFERROR(VLOOKUP(Tabla13[[#This Row],[Llave]],[3]Hoja2!$A:$D,4,FALSE),0)</f>
        <v>0</v>
      </c>
      <c r="S259" s="9">
        <f>IFERROR(VLOOKUP(Tabla13[[#This Row],[Material]],[4]Hoja1!$B:$C,2,FALSE),0)</f>
        <v>24000</v>
      </c>
      <c r="T259" s="5">
        <f t="shared" si="7"/>
        <v>0</v>
      </c>
      <c r="U259" s="3">
        <f>+Tabla13[[#This Row],[Total disponible]]-Tabla13[[#This Row],[Atraso a facturar]]</f>
        <v>0</v>
      </c>
      <c r="V259" s="6">
        <f t="shared" si="6"/>
        <v>0</v>
      </c>
      <c r="W259" s="3" t="str">
        <f>IF(Tabla13[[#This Row],[Venta del mes]]&gt;Tabla13[[#This Row],[ RV  Venta mes n+1]],"Falta venta","-")</f>
        <v>-</v>
      </c>
      <c r="X259" s="7"/>
      <c r="Y259" s="18">
        <v>0</v>
      </c>
      <c r="Z259" s="5">
        <f>+Tabla13[[#This Row],[Atraso a facturar]]+Tabla13[[#This Row],[Venta del mes]]+Tabla13[[#This Row],[Ajuste]]</f>
        <v>0</v>
      </c>
      <c r="AA259" s="6">
        <f>+Tabla13[[#This Row],[Atraso a facturar]]+Tabla13[[#This Row],[Venta del mes]]+Tabla13[[#This Row],[En puerto a facturar]]</f>
        <v>0</v>
      </c>
      <c r="AB259" s="20">
        <f>IFERROR(VLOOKUP(Tabla13[[#This Row],[Llave]],'[5]Consolidación planes'!$A:$M,9,FALSE),0)</f>
        <v>0</v>
      </c>
      <c r="AC259" s="20">
        <f>IFERROR(VLOOKUP(Tabla13[[#This Row],[Llave]],'[5]Consolidación planes'!$A:$M,10,FALSE),0)</f>
        <v>0</v>
      </c>
      <c r="AD259" s="20">
        <f>IFERROR(VLOOKUP(Tabla13[[#This Row],[Llave]],'[5]Consolidación planes'!$A:$M,11,FALSE),0)</f>
        <v>0</v>
      </c>
      <c r="AE259" s="20">
        <f>IFERROR(VLOOKUP(Tabla13[[#This Row],[Llave]],'[5]Consolidación planes'!$A:$M,12,FALSE),0)</f>
        <v>0</v>
      </c>
      <c r="AF259" s="20">
        <f>IFERROR(VLOOKUP(Tabla13[[#This Row],[Llave]],'[5]Consolidación planes'!$A:$M,13,FALSE),0)</f>
        <v>0</v>
      </c>
    </row>
    <row r="260" spans="2:32" ht="16" hidden="1" x14ac:dyDescent="0.2">
      <c r="B260" t="str">
        <f>Tabla13[[#This Row],[Oficina]]&amp;Tabla13[[#This Row],[Material]]</f>
        <v>Agrosuper Shanghai1012448</v>
      </c>
      <c r="C260" t="s">
        <v>227</v>
      </c>
      <c r="D260" t="s">
        <v>140</v>
      </c>
      <c r="E260">
        <v>1012448</v>
      </c>
      <c r="F260" t="s">
        <v>271</v>
      </c>
      <c r="G260" t="s">
        <v>268</v>
      </c>
      <c r="H260" t="s">
        <v>269</v>
      </c>
      <c r="I260" s="7">
        <f>IFERROR(VLOOKUP(Tabla13[[#This Row],[Llave]],'[1]Consolidado RV'!$B:$H,6,FALSE),0)</f>
        <v>122224.36865668453</v>
      </c>
      <c r="J260" s="3">
        <f>IFERROR(VLOOKUP(Tabla13[[#This Row],[Llave]],'[1]Consolidado RV'!$B:$H,7,FALSE),0)</f>
        <v>122224.36865668453</v>
      </c>
      <c r="K260" s="8">
        <f>IFERROR(VLOOKUP(Tabla13[[#This Row],[Oficina]],#REF!,2,FALSE),0)</f>
        <v>0</v>
      </c>
      <c r="L260" s="7">
        <f>+Tabla13[[#This Row],[ RV Producción mes n+1]]*Tabla13[[#This Row],[% Uti. producción]]</f>
        <v>0</v>
      </c>
      <c r="M260" s="7">
        <f>IFERROR(VLOOKUP(Tabla13[[#This Row],[Material]],#REF!,2,FALSE),0)</f>
        <v>0</v>
      </c>
      <c r="N260" s="7">
        <f>IFERROR(VLOOKUP(Tabla13[[#This Row],[Llave]],'En puerto-Programado'!A:D,4,FALSE)+VLOOKUP(Tabla13[[#This Row],[Llave]],'Por despachar'!A:F,6,FALSE),0)</f>
        <v>0</v>
      </c>
      <c r="O260" s="7">
        <f>IFERROR(VLOOKUP(Tabla13[[#This Row],[Material]],[2]Consolidado!$C:$D,2,FALSE),0)</f>
        <v>55251.877152178262</v>
      </c>
      <c r="P260" s="7">
        <f>IFERROR(VLOOKUP(Tabla13[[#This Row],[Llave]],'Por despachar'!A:E,5,FALSE),0)</f>
        <v>0</v>
      </c>
      <c r="Q260" s="14">
        <f>SUM(Tabla13[[#This Row],[Producción disponible]],Tabla13[[#This Row],[Stock al día]],Tabla13[[#This Row],[Por producir Abr.]])-SUM(Tabla13[[#This Row],[Stock por despachar N]],Tabla13[[#This Row],[Producción por despachar mes N]])</f>
        <v>55251.877152178262</v>
      </c>
      <c r="R260" s="7">
        <f>IFERROR(VLOOKUP(Tabla13[[#This Row],[Llave]],[3]Hoja2!$A:$D,4,FALSE),0)</f>
        <v>24000</v>
      </c>
      <c r="S260" s="9">
        <f>IFERROR(VLOOKUP(Tabla13[[#This Row],[Material]],[4]Hoja1!$B:$C,2,FALSE),0)</f>
        <v>24000</v>
      </c>
      <c r="T260" s="5">
        <f t="shared" si="7"/>
        <v>24000</v>
      </c>
      <c r="U260" s="3">
        <f>+Tabla13[[#This Row],[Total disponible]]-Tabla13[[#This Row],[Atraso a facturar]]</f>
        <v>31251.877152178262</v>
      </c>
      <c r="V260" s="6">
        <f t="shared" si="6"/>
        <v>24000</v>
      </c>
      <c r="W260" s="3" t="str">
        <f>IF(Tabla13[[#This Row],[Venta del mes]]&gt;Tabla13[[#This Row],[ RV  Venta mes n+1]],"Falta venta","-")</f>
        <v>-</v>
      </c>
      <c r="X260" s="7"/>
      <c r="Y260" s="18">
        <v>0</v>
      </c>
      <c r="Z260" s="5">
        <f>+Tabla13[[#This Row],[Atraso a facturar]]+Tabla13[[#This Row],[Venta del mes]]+Tabla13[[#This Row],[Ajuste]]</f>
        <v>48000</v>
      </c>
      <c r="AA260" s="6">
        <f>+Tabla13[[#This Row],[Atraso a facturar]]+Tabla13[[#This Row],[Venta del mes]]+Tabla13[[#This Row],[En puerto a facturar]]</f>
        <v>48000</v>
      </c>
      <c r="AB260" s="20">
        <f>IFERROR(VLOOKUP(Tabla13[[#This Row],[Llave]],'[5]Consolidación planes'!$A:$M,9,FALSE),0)</f>
        <v>168000</v>
      </c>
      <c r="AC260" s="20">
        <f>IFERROR(VLOOKUP(Tabla13[[#This Row],[Llave]],'[5]Consolidación planes'!$A:$M,10,FALSE),0)</f>
        <v>144000</v>
      </c>
      <c r="AD260" s="20">
        <f>IFERROR(VLOOKUP(Tabla13[[#This Row],[Llave]],'[5]Consolidación planes'!$A:$M,11,FALSE),0)</f>
        <v>96000</v>
      </c>
      <c r="AE260" s="20">
        <f>IFERROR(VLOOKUP(Tabla13[[#This Row],[Llave]],'[5]Consolidación planes'!$A:$M,12,FALSE),0)</f>
        <v>144000</v>
      </c>
      <c r="AF260" s="20">
        <f>IFERROR(VLOOKUP(Tabla13[[#This Row],[Llave]],'[5]Consolidación planes'!$A:$M,13,FALSE),0)</f>
        <v>168000</v>
      </c>
    </row>
    <row r="261" spans="2:32" ht="16" hidden="1" x14ac:dyDescent="0.2">
      <c r="B261" t="str">
        <f>Tabla13[[#This Row],[Oficina]]&amp;Tabla13[[#This Row],[Material]]</f>
        <v>Agrosuper Shanghai1012452</v>
      </c>
      <c r="C261" t="s">
        <v>227</v>
      </c>
      <c r="D261" t="s">
        <v>140</v>
      </c>
      <c r="E261">
        <v>1012452</v>
      </c>
      <c r="F261" t="s">
        <v>263</v>
      </c>
      <c r="G261" t="s">
        <v>205</v>
      </c>
      <c r="H261" t="s">
        <v>231</v>
      </c>
      <c r="I261" s="7">
        <f>IFERROR(VLOOKUP(Tabla13[[#This Row],[Llave]],'[1]Consolidado RV'!$B:$H,6,FALSE),0)</f>
        <v>21000.000400000001</v>
      </c>
      <c r="J261" s="3">
        <f>IFERROR(VLOOKUP(Tabla13[[#This Row],[Llave]],'[1]Consolidado RV'!$B:$H,7,FALSE),0)</f>
        <v>15654.277970776217</v>
      </c>
      <c r="K261" s="8">
        <f>IFERROR(VLOOKUP(Tabla13[[#This Row],[Oficina]],#REF!,2,FALSE),0)</f>
        <v>0</v>
      </c>
      <c r="L261" s="7">
        <f>+Tabla13[[#This Row],[ RV Producción mes n+1]]*Tabla13[[#This Row],[% Uti. producción]]</f>
        <v>0</v>
      </c>
      <c r="M261" s="7">
        <f>IFERROR(VLOOKUP(Tabla13[[#This Row],[Material]],#REF!,2,FALSE),0)</f>
        <v>0</v>
      </c>
      <c r="N261" s="7">
        <f>IFERROR(VLOOKUP(Tabla13[[#This Row],[Llave]],'En puerto-Programado'!A:D,4,FALSE)+VLOOKUP(Tabla13[[#This Row],[Llave]],'Por despachar'!A:F,6,FALSE),0)</f>
        <v>0</v>
      </c>
      <c r="O261" s="7">
        <f>IFERROR(VLOOKUP(Tabla13[[#This Row],[Material]],[2]Consolidado!$C:$D,2,FALSE),0)</f>
        <v>5000</v>
      </c>
      <c r="P261" s="7">
        <f>IFERROR(VLOOKUP(Tabla13[[#This Row],[Llave]],'Por despachar'!A:E,5,FALSE),0)</f>
        <v>0</v>
      </c>
      <c r="Q261" s="14">
        <f>SUM(Tabla13[[#This Row],[Producción disponible]],Tabla13[[#This Row],[Stock al día]],Tabla13[[#This Row],[Por producir Abr.]])-SUM(Tabla13[[#This Row],[Stock por despachar N]],Tabla13[[#This Row],[Producción por despachar mes N]])</f>
        <v>5000</v>
      </c>
      <c r="R261" s="7">
        <f>IFERROR(VLOOKUP(Tabla13[[#This Row],[Llave]],[3]Hoja2!$A:$D,4,FALSE),0)</f>
        <v>24000</v>
      </c>
      <c r="S261" s="9">
        <f>IFERROR(VLOOKUP(Tabla13[[#This Row],[Material]],[4]Hoja1!$B:$C,2,FALSE),0)</f>
        <v>24000</v>
      </c>
      <c r="T261" s="5">
        <f t="shared" si="7"/>
        <v>0</v>
      </c>
      <c r="U261" s="3">
        <f>+Tabla13[[#This Row],[Total disponible]]-Tabla13[[#This Row],[Atraso a facturar]]</f>
        <v>5000</v>
      </c>
      <c r="V261" s="6">
        <f t="shared" si="6"/>
        <v>0</v>
      </c>
      <c r="W261" s="3" t="str">
        <f>IF(Tabla13[[#This Row],[Venta del mes]]&gt;Tabla13[[#This Row],[ RV  Venta mes n+1]],"Falta venta","-")</f>
        <v>-</v>
      </c>
      <c r="X261" s="7"/>
      <c r="Y261" s="18">
        <v>0</v>
      </c>
      <c r="Z261" s="5">
        <f>+Tabla13[[#This Row],[Atraso a facturar]]+Tabla13[[#This Row],[Venta del mes]]+Tabla13[[#This Row],[Ajuste]]</f>
        <v>0</v>
      </c>
      <c r="AA261" s="6">
        <f>+Tabla13[[#This Row],[Atraso a facturar]]+Tabla13[[#This Row],[Venta del mes]]+Tabla13[[#This Row],[En puerto a facturar]]</f>
        <v>0</v>
      </c>
      <c r="AB261" s="20">
        <f>IFERROR(VLOOKUP(Tabla13[[#This Row],[Llave]],'[5]Consolidación planes'!$A:$M,9,FALSE),0)</f>
        <v>24000</v>
      </c>
      <c r="AC261" s="20">
        <f>IFERROR(VLOOKUP(Tabla13[[#This Row],[Llave]],'[5]Consolidación planes'!$A:$M,10,FALSE),0)</f>
        <v>72000</v>
      </c>
      <c r="AD261" s="20">
        <f>IFERROR(VLOOKUP(Tabla13[[#This Row],[Llave]],'[5]Consolidación planes'!$A:$M,11,FALSE),0)</f>
        <v>37721</v>
      </c>
      <c r="AE261" s="20">
        <f>IFERROR(VLOOKUP(Tabla13[[#This Row],[Llave]],'[5]Consolidación planes'!$A:$M,12,FALSE),0)</f>
        <v>0</v>
      </c>
      <c r="AF261" s="20">
        <f>IFERROR(VLOOKUP(Tabla13[[#This Row],[Llave]],'[5]Consolidación planes'!$A:$M,13,FALSE),0)</f>
        <v>24000</v>
      </c>
    </row>
    <row r="262" spans="2:32" ht="16" hidden="1" x14ac:dyDescent="0.2">
      <c r="B262" t="str">
        <f>Tabla13[[#This Row],[Oficina]]&amp;Tabla13[[#This Row],[Material]]</f>
        <v>Agrosuper Shanghai1012455</v>
      </c>
      <c r="C262" t="s">
        <v>227</v>
      </c>
      <c r="D262" t="s">
        <v>140</v>
      </c>
      <c r="E262">
        <v>1012455</v>
      </c>
      <c r="F262" t="s">
        <v>265</v>
      </c>
      <c r="G262" t="s">
        <v>205</v>
      </c>
      <c r="H262" t="s">
        <v>264</v>
      </c>
      <c r="I262" s="7">
        <f>IFERROR(VLOOKUP(Tabla13[[#This Row],[Llave]],'[1]Consolidado RV'!$B:$H,6,FALSE),0)</f>
        <v>215962.15</v>
      </c>
      <c r="J262" s="3">
        <f>IFERROR(VLOOKUP(Tabla13[[#This Row],[Llave]],'[1]Consolidado RV'!$B:$H,7,FALSE),0)</f>
        <v>240000.00148208754</v>
      </c>
      <c r="K262" s="8">
        <f>IFERROR(VLOOKUP(Tabla13[[#This Row],[Oficina]],#REF!,2,FALSE),0)</f>
        <v>0</v>
      </c>
      <c r="L262" s="7">
        <f>+Tabla13[[#This Row],[ RV Producción mes n+1]]*Tabla13[[#This Row],[% Uti. producción]]</f>
        <v>0</v>
      </c>
      <c r="M262" s="7">
        <f>IFERROR(VLOOKUP(Tabla13[[#This Row],[Material]],#REF!,2,FALSE),0)</f>
        <v>0</v>
      </c>
      <c r="N262" s="7">
        <f>IFERROR(VLOOKUP(Tabla13[[#This Row],[Llave]],'En puerto-Programado'!A:D,4,FALSE)+VLOOKUP(Tabla13[[#This Row],[Llave]],'Por despachar'!A:F,6,FALSE),0)</f>
        <v>0</v>
      </c>
      <c r="O262" s="7">
        <f>IFERROR(VLOOKUP(Tabla13[[#This Row],[Material]],[2]Consolidado!$C:$D,2,FALSE),0)</f>
        <v>45000</v>
      </c>
      <c r="P262" s="7">
        <f>IFERROR(VLOOKUP(Tabla13[[#This Row],[Llave]],'Por despachar'!A:E,5,FALSE),0)</f>
        <v>0</v>
      </c>
      <c r="Q262" s="14">
        <f>SUM(Tabla13[[#This Row],[Producción disponible]],Tabla13[[#This Row],[Stock al día]],Tabla13[[#This Row],[Por producir Abr.]])-SUM(Tabla13[[#This Row],[Stock por despachar N]],Tabla13[[#This Row],[Producción por despachar mes N]])</f>
        <v>45000</v>
      </c>
      <c r="R262" s="7">
        <f>IFERROR(VLOOKUP(Tabla13[[#This Row],[Llave]],[3]Hoja2!$A:$D,4,FALSE),0)</f>
        <v>120000</v>
      </c>
      <c r="S262" s="9">
        <f>IFERROR(VLOOKUP(Tabla13[[#This Row],[Material]],[4]Hoja1!$B:$C,2,FALSE),0)</f>
        <v>24000</v>
      </c>
      <c r="T262" s="5">
        <f t="shared" si="7"/>
        <v>24000</v>
      </c>
      <c r="U262" s="3">
        <f>+Tabla13[[#This Row],[Total disponible]]-Tabla13[[#This Row],[Atraso a facturar]]</f>
        <v>21000</v>
      </c>
      <c r="V262" s="6">
        <f t="shared" si="6"/>
        <v>0</v>
      </c>
      <c r="W262" s="3" t="str">
        <f>IF(Tabla13[[#This Row],[Venta del mes]]&gt;Tabla13[[#This Row],[ RV  Venta mes n+1]],"Falta venta","-")</f>
        <v>-</v>
      </c>
      <c r="X262" s="7"/>
      <c r="Y262" s="18">
        <v>0</v>
      </c>
      <c r="Z262" s="5">
        <f>+Tabla13[[#This Row],[Atraso a facturar]]+Tabla13[[#This Row],[Venta del mes]]+Tabla13[[#This Row],[Ajuste]]</f>
        <v>24000</v>
      </c>
      <c r="AA262" s="6">
        <f>+Tabla13[[#This Row],[Atraso a facturar]]+Tabla13[[#This Row],[Venta del mes]]+Tabla13[[#This Row],[En puerto a facturar]]</f>
        <v>24000</v>
      </c>
      <c r="AB262" s="20">
        <f>IFERROR(VLOOKUP(Tabla13[[#This Row],[Llave]],'[5]Consolidación planes'!$A:$M,9,FALSE),0)</f>
        <v>144000</v>
      </c>
      <c r="AC262" s="20">
        <f>IFERROR(VLOOKUP(Tabla13[[#This Row],[Llave]],'[5]Consolidación planes'!$A:$M,10,FALSE),0)</f>
        <v>48000</v>
      </c>
      <c r="AD262" s="20">
        <f>IFERROR(VLOOKUP(Tabla13[[#This Row],[Llave]],'[5]Consolidación planes'!$A:$M,11,FALSE),0)</f>
        <v>48000</v>
      </c>
      <c r="AE262" s="20">
        <f>IFERROR(VLOOKUP(Tabla13[[#This Row],[Llave]],'[5]Consolidación planes'!$A:$M,12,FALSE),0)</f>
        <v>120000</v>
      </c>
      <c r="AF262" s="20">
        <f>IFERROR(VLOOKUP(Tabla13[[#This Row],[Llave]],'[5]Consolidación planes'!$A:$M,13,FALSE),0)</f>
        <v>120000</v>
      </c>
    </row>
    <row r="263" spans="2:32" ht="16" hidden="1" x14ac:dyDescent="0.2">
      <c r="B263" t="str">
        <f>Tabla13[[#This Row],[Oficina]]&amp;Tabla13[[#This Row],[Material]]</f>
        <v>Agrosuper Shanghai1012502</v>
      </c>
      <c r="C263" t="s">
        <v>227</v>
      </c>
      <c r="D263" t="s">
        <v>140</v>
      </c>
      <c r="E263">
        <v>1012502</v>
      </c>
      <c r="F263" t="s">
        <v>328</v>
      </c>
      <c r="G263" t="s">
        <v>268</v>
      </c>
      <c r="H263" t="s">
        <v>269</v>
      </c>
      <c r="I263" s="7">
        <f>IFERROR(VLOOKUP(Tabla13[[#This Row],[Llave]],'[1]Consolidado RV'!$B:$H,6,FALSE),0)</f>
        <v>8723.2800791976751</v>
      </c>
      <c r="J263" s="3">
        <f>IFERROR(VLOOKUP(Tabla13[[#This Row],[Llave]],'[1]Consolidado RV'!$B:$H,7,FALSE),0)</f>
        <v>8723.2800791976751</v>
      </c>
      <c r="K263" s="8">
        <f>IFERROR(VLOOKUP(Tabla13[[#This Row],[Oficina]],#REF!,2,FALSE),0)</f>
        <v>0</v>
      </c>
      <c r="L263" s="7">
        <f>+Tabla13[[#This Row],[ RV Producción mes n+1]]*Tabla13[[#This Row],[% Uti. producción]]</f>
        <v>0</v>
      </c>
      <c r="M263" s="7">
        <f>IFERROR(VLOOKUP(Tabla13[[#This Row],[Material]],#REF!,2,FALSE),0)</f>
        <v>0</v>
      </c>
      <c r="N263" s="7">
        <f>IFERROR(VLOOKUP(Tabla13[[#This Row],[Llave]],'En puerto-Programado'!A:D,4,FALSE)+VLOOKUP(Tabla13[[#This Row],[Llave]],'Por despachar'!A:F,6,FALSE),0)</f>
        <v>0</v>
      </c>
      <c r="O263" s="7">
        <f>IFERROR(VLOOKUP(Tabla13[[#This Row],[Material]],[2]Consolidado!$C:$D,2,FALSE),0)</f>
        <v>2538.6441073080482</v>
      </c>
      <c r="P263" s="7">
        <f>IFERROR(VLOOKUP(Tabla13[[#This Row],[Llave]],'Por despachar'!A:E,5,FALSE),0)</f>
        <v>0</v>
      </c>
      <c r="Q263" s="14">
        <f>SUM(Tabla13[[#This Row],[Producción disponible]],Tabla13[[#This Row],[Stock al día]],Tabla13[[#This Row],[Por producir Abr.]])-SUM(Tabla13[[#This Row],[Stock por despachar N]],Tabla13[[#This Row],[Producción por despachar mes N]])</f>
        <v>2538.6441073080482</v>
      </c>
      <c r="R263" s="7">
        <f>IFERROR(VLOOKUP(Tabla13[[#This Row],[Llave]],[3]Hoja2!$A:$D,4,FALSE),0)</f>
        <v>0</v>
      </c>
      <c r="S263" s="9">
        <f>IFERROR(VLOOKUP(Tabla13[[#This Row],[Material]],[4]Hoja1!$B:$C,2,FALSE),0)</f>
        <v>24000</v>
      </c>
      <c r="T263" s="5">
        <f t="shared" si="7"/>
        <v>0</v>
      </c>
      <c r="U263" s="3">
        <f>+Tabla13[[#This Row],[Total disponible]]-Tabla13[[#This Row],[Atraso a facturar]]</f>
        <v>2538.6441073080482</v>
      </c>
      <c r="V263" s="6">
        <f t="shared" si="6"/>
        <v>0</v>
      </c>
      <c r="W263" s="3" t="str">
        <f>IF(Tabla13[[#This Row],[Venta del mes]]&gt;Tabla13[[#This Row],[ RV  Venta mes n+1]],"Falta venta","-")</f>
        <v>-</v>
      </c>
      <c r="X263" s="7"/>
      <c r="Y263" s="18">
        <v>0</v>
      </c>
      <c r="Z263" s="5">
        <f>+Tabla13[[#This Row],[Atraso a facturar]]+Tabla13[[#This Row],[Venta del mes]]+Tabla13[[#This Row],[Ajuste]]</f>
        <v>0</v>
      </c>
      <c r="AA263" s="6">
        <f>+Tabla13[[#This Row],[Atraso a facturar]]+Tabla13[[#This Row],[Venta del mes]]+Tabla13[[#This Row],[En puerto a facturar]]</f>
        <v>0</v>
      </c>
      <c r="AB263" s="20">
        <f>IFERROR(VLOOKUP(Tabla13[[#This Row],[Llave]],'[5]Consolidación planes'!$A:$M,9,FALSE),0)</f>
        <v>0</v>
      </c>
      <c r="AC263" s="20">
        <f>IFERROR(VLOOKUP(Tabla13[[#This Row],[Llave]],'[5]Consolidación planes'!$A:$M,10,FALSE),0)</f>
        <v>0</v>
      </c>
      <c r="AD263" s="20">
        <f>IFERROR(VLOOKUP(Tabla13[[#This Row],[Llave]],'[5]Consolidación planes'!$A:$M,11,FALSE),0)</f>
        <v>0</v>
      </c>
      <c r="AE263" s="20">
        <f>IFERROR(VLOOKUP(Tabla13[[#This Row],[Llave]],'[5]Consolidación planes'!$A:$M,12,FALSE),0)</f>
        <v>0</v>
      </c>
      <c r="AF263" s="20">
        <f>IFERROR(VLOOKUP(Tabla13[[#This Row],[Llave]],'[5]Consolidación planes'!$A:$M,13,FALSE),0)</f>
        <v>12000</v>
      </c>
    </row>
    <row r="264" spans="2:32" ht="16" hidden="1" x14ac:dyDescent="0.2">
      <c r="B264" t="str">
        <f>Tabla13[[#This Row],[Oficina]]&amp;Tabla13[[#This Row],[Material]]</f>
        <v>Agrosuper Shanghai1012503</v>
      </c>
      <c r="C264" t="s">
        <v>227</v>
      </c>
      <c r="D264" t="s">
        <v>140</v>
      </c>
      <c r="E264">
        <v>1012503</v>
      </c>
      <c r="F264" t="s">
        <v>272</v>
      </c>
      <c r="G264" t="s">
        <v>268</v>
      </c>
      <c r="H264" t="s">
        <v>269</v>
      </c>
      <c r="I264" s="7">
        <f>IFERROR(VLOOKUP(Tabla13[[#This Row],[Llave]],'[1]Consolidado RV'!$B:$H,6,FALSE),0)</f>
        <v>236689.38876162379</v>
      </c>
      <c r="J264" s="3">
        <f>IFERROR(VLOOKUP(Tabla13[[#This Row],[Llave]],'[1]Consolidado RV'!$B:$H,7,FALSE),0)</f>
        <v>236689.38876162379</v>
      </c>
      <c r="K264" s="8">
        <f>IFERROR(VLOOKUP(Tabla13[[#This Row],[Oficina]],#REF!,2,FALSE),0)</f>
        <v>0</v>
      </c>
      <c r="L264" s="7">
        <f>+Tabla13[[#This Row],[ RV Producción mes n+1]]*Tabla13[[#This Row],[% Uti. producción]]</f>
        <v>0</v>
      </c>
      <c r="M264" s="7">
        <f>IFERROR(VLOOKUP(Tabla13[[#This Row],[Material]],#REF!,2,FALSE),0)</f>
        <v>0</v>
      </c>
      <c r="N264" s="7">
        <f>IFERROR(VLOOKUP(Tabla13[[#This Row],[Llave]],'En puerto-Programado'!A:D,4,FALSE)+VLOOKUP(Tabla13[[#This Row],[Llave]],'Por despachar'!A:F,6,FALSE),0)</f>
        <v>0</v>
      </c>
      <c r="O264" s="7">
        <f>IFERROR(VLOOKUP(Tabla13[[#This Row],[Material]],[2]Consolidado!$C:$D,2,FALSE),0)</f>
        <v>63551.024976873276</v>
      </c>
      <c r="P264" s="7">
        <f>IFERROR(VLOOKUP(Tabla13[[#This Row],[Llave]],'Por despachar'!A:E,5,FALSE),0)</f>
        <v>0</v>
      </c>
      <c r="Q264" s="14">
        <f>SUM(Tabla13[[#This Row],[Producción disponible]],Tabla13[[#This Row],[Stock al día]],Tabla13[[#This Row],[Por producir Abr.]])-SUM(Tabla13[[#This Row],[Stock por despachar N]],Tabla13[[#This Row],[Producción por despachar mes N]])</f>
        <v>63551.024976873276</v>
      </c>
      <c r="R264" s="7">
        <f>IFERROR(VLOOKUP(Tabla13[[#This Row],[Llave]],[3]Hoja2!$A:$D,4,FALSE),0)</f>
        <v>12000</v>
      </c>
      <c r="S264" s="9">
        <f>IFERROR(VLOOKUP(Tabla13[[#This Row],[Material]],[4]Hoja1!$B:$C,2,FALSE),0)</f>
        <v>24000</v>
      </c>
      <c r="T264" s="5">
        <f t="shared" si="7"/>
        <v>12000</v>
      </c>
      <c r="U264" s="3">
        <f>+Tabla13[[#This Row],[Total disponible]]-Tabla13[[#This Row],[Atraso a facturar]]</f>
        <v>51551.024976873276</v>
      </c>
      <c r="V264" s="6">
        <f t="shared" si="6"/>
        <v>48000</v>
      </c>
      <c r="W264" s="3" t="str">
        <f>IF(Tabla13[[#This Row],[Venta del mes]]&gt;Tabla13[[#This Row],[ RV  Venta mes n+1]],"Falta venta","-")</f>
        <v>-</v>
      </c>
      <c r="X264" s="7"/>
      <c r="Y264" s="18">
        <v>0</v>
      </c>
      <c r="Z264" s="5">
        <f>+Tabla13[[#This Row],[Atraso a facturar]]+Tabla13[[#This Row],[Venta del mes]]+Tabla13[[#This Row],[Ajuste]]</f>
        <v>60000</v>
      </c>
      <c r="AA264" s="6">
        <f>+Tabla13[[#This Row],[Atraso a facturar]]+Tabla13[[#This Row],[Venta del mes]]+Tabla13[[#This Row],[En puerto a facturar]]</f>
        <v>60000</v>
      </c>
      <c r="AB264" s="20">
        <f>IFERROR(VLOOKUP(Tabla13[[#This Row],[Llave]],'[5]Consolidación planes'!$A:$M,9,FALSE),0)</f>
        <v>14000</v>
      </c>
      <c r="AC264" s="20">
        <f>IFERROR(VLOOKUP(Tabla13[[#This Row],[Llave]],'[5]Consolidación planes'!$A:$M,10,FALSE),0)</f>
        <v>0</v>
      </c>
      <c r="AD264" s="20">
        <f>IFERROR(VLOOKUP(Tabla13[[#This Row],[Llave]],'[5]Consolidación planes'!$A:$M,11,FALSE),0)</f>
        <v>0</v>
      </c>
      <c r="AE264" s="20">
        <f>IFERROR(VLOOKUP(Tabla13[[#This Row],[Llave]],'[5]Consolidación planes'!$A:$M,12,FALSE),0)</f>
        <v>0</v>
      </c>
      <c r="AF264" s="20">
        <f>IFERROR(VLOOKUP(Tabla13[[#This Row],[Llave]],'[5]Consolidación planes'!$A:$M,13,FALSE),0)</f>
        <v>12000</v>
      </c>
    </row>
    <row r="265" spans="2:32" ht="16" hidden="1" x14ac:dyDescent="0.2">
      <c r="B265" t="str">
        <f>Tabla13[[#This Row],[Oficina]]&amp;Tabla13[[#This Row],[Material]]</f>
        <v>Agrosuper Shanghai1012504</v>
      </c>
      <c r="C265" t="s">
        <v>227</v>
      </c>
      <c r="D265" t="s">
        <v>140</v>
      </c>
      <c r="E265">
        <v>1012504</v>
      </c>
      <c r="F265" t="s">
        <v>271</v>
      </c>
      <c r="G265" t="s">
        <v>268</v>
      </c>
      <c r="H265" t="s">
        <v>269</v>
      </c>
      <c r="I265" s="7">
        <f>IFERROR(VLOOKUP(Tabla13[[#This Row],[Llave]],'[1]Consolidado RV'!$B:$H,6,FALSE),0)</f>
        <v>47590.880882375161</v>
      </c>
      <c r="J265" s="3">
        <f>IFERROR(VLOOKUP(Tabla13[[#This Row],[Llave]],'[1]Consolidado RV'!$B:$H,7,FALSE),0)</f>
        <v>44366.809492875378</v>
      </c>
      <c r="K265" s="8">
        <f>IFERROR(VLOOKUP(Tabla13[[#This Row],[Oficina]],#REF!,2,FALSE),0)</f>
        <v>0</v>
      </c>
      <c r="L265" s="7">
        <f>+Tabla13[[#This Row],[ RV Producción mes n+1]]*Tabla13[[#This Row],[% Uti. producción]]</f>
        <v>0</v>
      </c>
      <c r="M265" s="7">
        <f>IFERROR(VLOOKUP(Tabla13[[#This Row],[Material]],#REF!,2,FALSE),0)</f>
        <v>0</v>
      </c>
      <c r="N265" s="7">
        <f>IFERROR(VLOOKUP(Tabla13[[#This Row],[Llave]],'En puerto-Programado'!A:D,4,FALSE)+VLOOKUP(Tabla13[[#This Row],[Llave]],'Por despachar'!A:F,6,FALSE),0)</f>
        <v>0</v>
      </c>
      <c r="O265" s="7">
        <f>IFERROR(VLOOKUP(Tabla13[[#This Row],[Material]],[2]Consolidado!$C:$D,2,FALSE),0)</f>
        <v>10957.271933395004</v>
      </c>
      <c r="P265" s="7">
        <f>IFERROR(VLOOKUP(Tabla13[[#This Row],[Llave]],'Por despachar'!A:E,5,FALSE),0)</f>
        <v>0</v>
      </c>
      <c r="Q265" s="14">
        <f>SUM(Tabla13[[#This Row],[Producción disponible]],Tabla13[[#This Row],[Stock al día]],Tabla13[[#This Row],[Por producir Abr.]])-SUM(Tabla13[[#This Row],[Stock por despachar N]],Tabla13[[#This Row],[Producción por despachar mes N]])</f>
        <v>10957.271933395004</v>
      </c>
      <c r="R265" s="7">
        <f>IFERROR(VLOOKUP(Tabla13[[#This Row],[Llave]],[3]Hoja2!$A:$D,4,FALSE),0)</f>
        <v>24000</v>
      </c>
      <c r="S265" s="9">
        <f>IFERROR(VLOOKUP(Tabla13[[#This Row],[Material]],[4]Hoja1!$B:$C,2,FALSE),0)</f>
        <v>24000</v>
      </c>
      <c r="T265" s="5">
        <f t="shared" si="7"/>
        <v>0</v>
      </c>
      <c r="U265" s="3">
        <f>+Tabla13[[#This Row],[Total disponible]]-Tabla13[[#This Row],[Atraso a facturar]]</f>
        <v>10957.271933395004</v>
      </c>
      <c r="V265" s="6">
        <f t="shared" si="6"/>
        <v>0</v>
      </c>
      <c r="W265" s="3" t="str">
        <f>IF(Tabla13[[#This Row],[Venta del mes]]&gt;Tabla13[[#This Row],[ RV  Venta mes n+1]],"Falta venta","-")</f>
        <v>-</v>
      </c>
      <c r="X265" s="7"/>
      <c r="Y265" s="18">
        <v>0</v>
      </c>
      <c r="Z265" s="5">
        <f>+Tabla13[[#This Row],[Atraso a facturar]]+Tabla13[[#This Row],[Venta del mes]]+Tabla13[[#This Row],[Ajuste]]</f>
        <v>0</v>
      </c>
      <c r="AA265" s="6">
        <f>+Tabla13[[#This Row],[Atraso a facturar]]+Tabla13[[#This Row],[Venta del mes]]+Tabla13[[#This Row],[En puerto a facturar]]</f>
        <v>0</v>
      </c>
      <c r="AB265" s="20">
        <f>IFERROR(VLOOKUP(Tabla13[[#This Row],[Llave]],'[5]Consolidación planes'!$A:$M,9,FALSE),0)</f>
        <v>48000</v>
      </c>
      <c r="AC265" s="20">
        <f>IFERROR(VLOOKUP(Tabla13[[#This Row],[Llave]],'[5]Consolidación planes'!$A:$M,10,FALSE),0)</f>
        <v>72000</v>
      </c>
      <c r="AD265" s="20">
        <f>IFERROR(VLOOKUP(Tabla13[[#This Row],[Llave]],'[5]Consolidación planes'!$A:$M,11,FALSE),0)</f>
        <v>24000</v>
      </c>
      <c r="AE265" s="20">
        <f>IFERROR(VLOOKUP(Tabla13[[#This Row],[Llave]],'[5]Consolidación planes'!$A:$M,12,FALSE),0)</f>
        <v>24000</v>
      </c>
      <c r="AF265" s="20">
        <f>IFERROR(VLOOKUP(Tabla13[[#This Row],[Llave]],'[5]Consolidación planes'!$A:$M,13,FALSE),0)</f>
        <v>72000</v>
      </c>
    </row>
    <row r="266" spans="2:32" ht="16" hidden="1" x14ac:dyDescent="0.2">
      <c r="B266" t="str">
        <f>Tabla13[[#This Row],[Oficina]]&amp;Tabla13[[#This Row],[Material]]</f>
        <v>Agrosuper Shanghai1012598</v>
      </c>
      <c r="C266" t="s">
        <v>227</v>
      </c>
      <c r="D266" t="s">
        <v>140</v>
      </c>
      <c r="E266">
        <v>1012598</v>
      </c>
      <c r="F266" t="s">
        <v>273</v>
      </c>
      <c r="G266" t="s">
        <v>268</v>
      </c>
      <c r="H266" t="s">
        <v>269</v>
      </c>
      <c r="I266" s="7">
        <f>IFERROR(VLOOKUP(Tabla13[[#This Row],[Llave]],'[1]Consolidado RV'!$B:$H,6,FALSE),0)</f>
        <v>7601</v>
      </c>
      <c r="J266" s="3">
        <f>IFERROR(VLOOKUP(Tabla13[[#This Row],[Llave]],'[1]Consolidado RV'!$B:$H,7,FALSE),0)</f>
        <v>0</v>
      </c>
      <c r="K266" s="8">
        <f>IFERROR(VLOOKUP(Tabla13[[#This Row],[Oficina]],#REF!,2,FALSE),0)</f>
        <v>0</v>
      </c>
      <c r="L266" s="7">
        <f>+Tabla13[[#This Row],[ RV Producción mes n+1]]*Tabla13[[#This Row],[% Uti. producción]]</f>
        <v>0</v>
      </c>
      <c r="M266" s="7">
        <f>IFERROR(VLOOKUP(Tabla13[[#This Row],[Material]],#REF!,2,FALSE),0)</f>
        <v>0</v>
      </c>
      <c r="N266" s="7">
        <f>IFERROR(VLOOKUP(Tabla13[[#This Row],[Llave]],'En puerto-Programado'!A:D,4,FALSE)+VLOOKUP(Tabla13[[#This Row],[Llave]],'Por despachar'!A:F,6,FALSE),0)</f>
        <v>0</v>
      </c>
      <c r="O266" s="7">
        <f>IFERROR(VLOOKUP(Tabla13[[#This Row],[Material]],[2]Consolidado!$C:$D,2,FALSE),0)</f>
        <v>0</v>
      </c>
      <c r="P266" s="7">
        <f>IFERROR(VLOOKUP(Tabla13[[#This Row],[Llave]],'Por despachar'!A:E,5,FALSE),0)</f>
        <v>0</v>
      </c>
      <c r="Q26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66" s="7">
        <f>IFERROR(VLOOKUP(Tabla13[[#This Row],[Llave]],[3]Hoja2!$A:$D,4,FALSE),0)</f>
        <v>12000</v>
      </c>
      <c r="S266" s="9">
        <f>IFERROR(VLOOKUP(Tabla13[[#This Row],[Material]],[4]Hoja1!$B:$C,2,FALSE),0)</f>
        <v>24000</v>
      </c>
      <c r="T266" s="5">
        <f t="shared" si="7"/>
        <v>0</v>
      </c>
      <c r="U266" s="3">
        <f>+Tabla13[[#This Row],[Total disponible]]-Tabla13[[#This Row],[Atraso a facturar]]</f>
        <v>0</v>
      </c>
      <c r="V266" s="6">
        <f t="shared" ref="V266" si="8">IFERROR(IF(AND(U266&gt;S266,J266&gt;S266),ROUNDDOWN(U266/S266,0)*S266,0),0)</f>
        <v>0</v>
      </c>
      <c r="W266" s="3" t="str">
        <f>IF(Tabla13[[#This Row],[Venta del mes]]&gt;Tabla13[[#This Row],[ RV  Venta mes n+1]],"Falta venta","-")</f>
        <v>-</v>
      </c>
      <c r="X266" s="7"/>
      <c r="Y266" s="18">
        <v>0</v>
      </c>
      <c r="Z266" s="5">
        <f>+Tabla13[[#This Row],[Atraso a facturar]]+Tabla13[[#This Row],[Venta del mes]]+Tabla13[[#This Row],[Ajuste]]</f>
        <v>0</v>
      </c>
      <c r="AA266" s="6">
        <f>+Tabla13[[#This Row],[Atraso a facturar]]+Tabla13[[#This Row],[Venta del mes]]+Tabla13[[#This Row],[En puerto a facturar]]</f>
        <v>0</v>
      </c>
      <c r="AB266" s="20">
        <f>IFERROR(VLOOKUP(Tabla13[[#This Row],[Llave]],'[5]Consolidación planes'!$A:$M,9,FALSE),0)</f>
        <v>4340</v>
      </c>
      <c r="AC266" s="20">
        <f>IFERROR(VLOOKUP(Tabla13[[#This Row],[Llave]],'[5]Consolidación planes'!$A:$M,10,FALSE),0)</f>
        <v>0</v>
      </c>
      <c r="AD266" s="20">
        <f>IFERROR(VLOOKUP(Tabla13[[#This Row],[Llave]],'[5]Consolidación planes'!$A:$M,11,FALSE),0)</f>
        <v>10660</v>
      </c>
      <c r="AE266" s="20">
        <f>IFERROR(VLOOKUP(Tabla13[[#This Row],[Llave]],'[5]Consolidación planes'!$A:$M,12,FALSE),0)</f>
        <v>0</v>
      </c>
      <c r="AF266" s="20">
        <f>IFERROR(VLOOKUP(Tabla13[[#This Row],[Llave]],'[5]Consolidación planes'!$A:$M,13,FALSE),0)</f>
        <v>0</v>
      </c>
    </row>
    <row r="267" spans="2:32" ht="16" hidden="1" x14ac:dyDescent="0.2">
      <c r="B267" t="str">
        <f>Tabla13[[#This Row],[Oficina]]&amp;Tabla13[[#This Row],[Material]]</f>
        <v>Agro Mexico1012764</v>
      </c>
      <c r="C267" t="s">
        <v>227</v>
      </c>
      <c r="D267" t="s">
        <v>370</v>
      </c>
      <c r="E267">
        <v>1012764</v>
      </c>
      <c r="F267" t="s">
        <v>369</v>
      </c>
      <c r="G267" t="s">
        <v>233</v>
      </c>
      <c r="H267" t="s">
        <v>371</v>
      </c>
      <c r="I267" s="15">
        <f>IFERROR(VLOOKUP(Tabla13[[#This Row],[Llave]],'[1]Consolidado RV'!$B:$H,6,FALSE),0)</f>
        <v>518424.86900000001</v>
      </c>
      <c r="J267" s="3">
        <f>IFERROR(VLOOKUP(Tabla13[[#This Row],[Llave]],'[1]Consolidado RV'!$B:$H,7,FALSE),0)</f>
        <v>479999.99956342898</v>
      </c>
      <c r="K267" s="8">
        <f>IFERROR(VLOOKUP(Tabla13[[#This Row],[Oficina]],#REF!,2,FALSE),0)</f>
        <v>0</v>
      </c>
      <c r="L267" s="7">
        <f>+Tabla13[[#This Row],[ RV Producción mes n+1]]*Tabla13[[#This Row],[% Uti. producción]]</f>
        <v>0</v>
      </c>
      <c r="M267" s="7">
        <f>IFERROR(VLOOKUP(Tabla13[[#This Row],[Material]],#REF!,2,FALSE),0)</f>
        <v>0</v>
      </c>
      <c r="N267" s="15">
        <f>IFERROR(VLOOKUP(Tabla13[[#This Row],[Llave]],'En puerto-Programado'!A:D,4,FALSE)+VLOOKUP(Tabla13[[#This Row],[Llave]],'Por despachar'!A:F,6,FALSE),0)</f>
        <v>0</v>
      </c>
      <c r="O267" s="7">
        <f>IFERROR(VLOOKUP(Tabla13[[#This Row],[Material]],[2]Consolidado!$C:$D,2,FALSE),0)</f>
        <v>59450</v>
      </c>
      <c r="P267" s="7">
        <f>IFERROR(VLOOKUP(Tabla13[[#This Row],[Llave]],'Por despachar'!A:E,5,FALSE),0)</f>
        <v>0</v>
      </c>
      <c r="Q267" s="14">
        <f>SUM(Tabla13[[#This Row],[Producción disponible]],Tabla13[[#This Row],[Stock al día]],Tabla13[[#This Row],[Por producir Abr.]])-SUM(Tabla13[[#This Row],[Stock por despachar N]],Tabla13[[#This Row],[Producción por despachar mes N]])</f>
        <v>59450</v>
      </c>
      <c r="R267" s="7">
        <f>IFERROR(VLOOKUP(Tabla13[[#This Row],[Llave]],[3]Hoja2!$A:$D,4,FALSE),0)</f>
        <v>312000</v>
      </c>
      <c r="S267" s="9">
        <f>IFERROR(VLOOKUP(Tabla13[[#This Row],[Material]],[4]Hoja1!$B:$C,2,FALSE),0)</f>
        <v>24000</v>
      </c>
      <c r="T267" s="5">
        <f t="shared" ref="T267:T278" si="9">IF(AND(Q267&gt;R267,R267&gt;0),R267,IF(AND(Q267&lt;R267,R267&gt;0),(ROUNDDOWN(Q267/S267,0)*S267),0))</f>
        <v>48000</v>
      </c>
      <c r="U267" s="3">
        <f>+Tabla13[[#This Row],[Total disponible]]-Tabla13[[#This Row],[Atraso a facturar]]</f>
        <v>11450</v>
      </c>
      <c r="V267" s="6">
        <f t="shared" ref="V267:V278" si="10">IFERROR(IF(AND(U267&gt;S267,J267&gt;S267),ROUNDDOWN(U267/S267,0)*S267,0),0)</f>
        <v>0</v>
      </c>
      <c r="W267" s="3" t="str">
        <f>IF(Tabla13[[#This Row],[Venta del mes]]&gt;Tabla13[[#This Row],[ RV  Venta mes n+1]],"Falta venta","-")</f>
        <v>-</v>
      </c>
      <c r="X267" s="7"/>
      <c r="Y267" s="18">
        <v>0</v>
      </c>
      <c r="Z267" s="5">
        <f>+Tabla13[[#This Row],[Atraso a facturar]]+Tabla13[[#This Row],[Venta del mes]]+Tabla13[[#This Row],[Ajuste]]</f>
        <v>48000</v>
      </c>
      <c r="AA267" s="6">
        <f>+Tabla13[[#This Row],[Atraso a facturar]]+Tabla13[[#This Row],[Venta del mes]]+Tabla13[[#This Row],[En puerto a facturar]]</f>
        <v>48000</v>
      </c>
      <c r="AB267" s="20">
        <f>IFERROR(VLOOKUP(Tabla13[[#This Row],[Llave]],'[5]Consolidación planes'!$A:$M,9,FALSE),0)</f>
        <v>0</v>
      </c>
      <c r="AC267" s="20">
        <f>IFERROR(VLOOKUP(Tabla13[[#This Row],[Llave]],'[5]Consolidación planes'!$A:$M,10,FALSE),0)</f>
        <v>0</v>
      </c>
      <c r="AD267" s="20">
        <f>IFERROR(VLOOKUP(Tabla13[[#This Row],[Llave]],'[5]Consolidación planes'!$A:$M,11,FALSE),0)</f>
        <v>0</v>
      </c>
      <c r="AE267" s="20">
        <f>IFERROR(VLOOKUP(Tabla13[[#This Row],[Llave]],'[5]Consolidación planes'!$A:$M,12,FALSE),0)</f>
        <v>0</v>
      </c>
      <c r="AF267" s="20">
        <f>IFERROR(VLOOKUP(Tabla13[[#This Row],[Llave]],'[5]Consolidación planes'!$A:$M,13,FALSE),0)</f>
        <v>0</v>
      </c>
    </row>
    <row r="268" spans="2:32" ht="16" hidden="1" x14ac:dyDescent="0.2">
      <c r="B268" t="str">
        <f>Tabla13[[#This Row],[Oficina]]&amp;Tabla13[[#This Row],[Material]]</f>
        <v>Africa1012207</v>
      </c>
      <c r="C268" t="s">
        <v>227</v>
      </c>
      <c r="D268" t="s">
        <v>372</v>
      </c>
      <c r="E268">
        <v>1012207</v>
      </c>
      <c r="F268" t="s">
        <v>244</v>
      </c>
      <c r="G268" t="s">
        <v>209</v>
      </c>
      <c r="H268" t="s">
        <v>210</v>
      </c>
      <c r="I268" s="15">
        <f>IFERROR(VLOOKUP(Tabla13[[#This Row],[Llave]],'[1]Consolidado RV'!$B:$H,6,FALSE),0)</f>
        <v>0</v>
      </c>
      <c r="J268" s="3">
        <f>IFERROR(VLOOKUP(Tabla13[[#This Row],[Llave]],'[1]Consolidado RV'!$B:$H,7,FALSE),0)</f>
        <v>51038.210036305973</v>
      </c>
      <c r="K268" s="8">
        <f>IFERROR(VLOOKUP(Tabla13[[#This Row],[Oficina]],#REF!,2,FALSE),0)</f>
        <v>0</v>
      </c>
      <c r="L268" s="7">
        <f>+Tabla13[[#This Row],[ RV Producción mes n+1]]*Tabla13[[#This Row],[% Uti. producción]]</f>
        <v>0</v>
      </c>
      <c r="M268" s="7">
        <f>IFERROR(VLOOKUP(Tabla13[[#This Row],[Material]],#REF!,2,FALSE),0)</f>
        <v>0</v>
      </c>
      <c r="N268" s="15">
        <f>IFERROR(VLOOKUP(Tabla13[[#This Row],[Llave]],'En puerto-Programado'!A:D,4,FALSE)+VLOOKUP(Tabla13[[#This Row],[Llave]],'Por despachar'!A:F,6,FALSE),0)</f>
        <v>0</v>
      </c>
      <c r="O268" s="7">
        <f>IFERROR(VLOOKUP(Tabla13[[#This Row],[Material]],[2]Consolidado!$C:$D,2,FALSE),0)</f>
        <v>23041.705058960906</v>
      </c>
      <c r="P268" s="7">
        <f>IFERROR(VLOOKUP(Tabla13[[#This Row],[Llave]],'Por despachar'!A:E,5,FALSE),0)</f>
        <v>0</v>
      </c>
      <c r="Q268" s="14">
        <f>SUM(Tabla13[[#This Row],[Producción disponible]],Tabla13[[#This Row],[Stock al día]],Tabla13[[#This Row],[Por producir Abr.]])-SUM(Tabla13[[#This Row],[Stock por despachar N]],Tabla13[[#This Row],[Producción por despachar mes N]])</f>
        <v>23041.705058960906</v>
      </c>
      <c r="R268" s="7">
        <f>IFERROR(VLOOKUP(Tabla13[[#This Row],[Llave]],[3]Hoja2!$A:$D,4,FALSE),0)</f>
        <v>0</v>
      </c>
      <c r="S268" s="9">
        <f>IFERROR(VLOOKUP(Tabla13[[#This Row],[Material]],[4]Hoja1!$B:$C,2,FALSE),0)</f>
        <v>24000</v>
      </c>
      <c r="T268" s="5">
        <f t="shared" si="9"/>
        <v>0</v>
      </c>
      <c r="U268" s="3">
        <f>+Tabla13[[#This Row],[Total disponible]]-Tabla13[[#This Row],[Atraso a facturar]]</f>
        <v>23041.705058960906</v>
      </c>
      <c r="V268" s="6">
        <f t="shared" si="10"/>
        <v>0</v>
      </c>
      <c r="W268" s="3" t="str">
        <f>IF(Tabla13[[#This Row],[Venta del mes]]&gt;Tabla13[[#This Row],[ RV  Venta mes n+1]],"Falta venta","-")</f>
        <v>-</v>
      </c>
      <c r="X268" s="7"/>
      <c r="Y268" s="18">
        <v>0</v>
      </c>
      <c r="Z268" s="5">
        <f>+Tabla13[[#This Row],[Atraso a facturar]]+Tabla13[[#This Row],[Venta del mes]]+Tabla13[[#This Row],[Ajuste]]</f>
        <v>0</v>
      </c>
      <c r="AA268" s="6">
        <f>+Tabla13[[#This Row],[Atraso a facturar]]+Tabla13[[#This Row],[Venta del mes]]+Tabla13[[#This Row],[En puerto a facturar]]</f>
        <v>0</v>
      </c>
      <c r="AB268" s="20">
        <f>IFERROR(VLOOKUP(Tabla13[[#This Row],[Llave]],'[5]Consolidación planes'!$A:$M,9,FALSE),0)</f>
        <v>0</v>
      </c>
      <c r="AC268" s="20">
        <f>IFERROR(VLOOKUP(Tabla13[[#This Row],[Llave]],'[5]Consolidación planes'!$A:$M,10,FALSE),0)</f>
        <v>0</v>
      </c>
      <c r="AD268" s="20">
        <f>IFERROR(VLOOKUP(Tabla13[[#This Row],[Llave]],'[5]Consolidación planes'!$A:$M,11,FALSE),0)</f>
        <v>31476</v>
      </c>
      <c r="AE268" s="20">
        <f>IFERROR(VLOOKUP(Tabla13[[#This Row],[Llave]],'[5]Consolidación planes'!$A:$M,12,FALSE),0)</f>
        <v>0</v>
      </c>
      <c r="AF268" s="20">
        <f>IFERROR(VLOOKUP(Tabla13[[#This Row],[Llave]],'[5]Consolidación planes'!$A:$M,13,FALSE),0)</f>
        <v>0</v>
      </c>
    </row>
    <row r="269" spans="2:32" ht="16" hidden="1" x14ac:dyDescent="0.2">
      <c r="B269" t="str">
        <f>Tabla13[[#This Row],[Oficina]]&amp;Tabla13[[#This Row],[Material]]</f>
        <v>Africa1010877</v>
      </c>
      <c r="C269" t="s">
        <v>227</v>
      </c>
      <c r="D269" t="s">
        <v>372</v>
      </c>
      <c r="E269">
        <v>1010877</v>
      </c>
      <c r="F269" t="s">
        <v>243</v>
      </c>
      <c r="G269" t="s">
        <v>209</v>
      </c>
      <c r="H269" t="s">
        <v>210</v>
      </c>
      <c r="I269" s="15">
        <f>IFERROR(VLOOKUP(Tabla13[[#This Row],[Llave]],'[1]Consolidado RV'!$B:$H,6,FALSE),0)</f>
        <v>24000</v>
      </c>
      <c r="J269" s="3">
        <f>IFERROR(VLOOKUP(Tabla13[[#This Row],[Llave]],'[1]Consolidado RV'!$B:$H,7,FALSE),0)</f>
        <v>24000</v>
      </c>
      <c r="K269" s="8">
        <f>IFERROR(VLOOKUP(Tabla13[[#This Row],[Oficina]],#REF!,2,FALSE),0)</f>
        <v>0</v>
      </c>
      <c r="L269" s="7">
        <f>+Tabla13[[#This Row],[ RV Producción mes n+1]]*Tabla13[[#This Row],[% Uti. producción]]</f>
        <v>0</v>
      </c>
      <c r="M269" s="7">
        <f>IFERROR(VLOOKUP(Tabla13[[#This Row],[Material]],#REF!,2,FALSE),0)</f>
        <v>0</v>
      </c>
      <c r="N269" s="15">
        <f>IFERROR(VLOOKUP(Tabla13[[#This Row],[Llave]],'En puerto-Programado'!A:D,4,FALSE)+VLOOKUP(Tabla13[[#This Row],[Llave]],'Por despachar'!A:F,6,FALSE),0)</f>
        <v>0</v>
      </c>
      <c r="O269" s="7">
        <f>IFERROR(VLOOKUP(Tabla13[[#This Row],[Material]],[2]Consolidado!$C:$D,2,FALSE),0)</f>
        <v>10000</v>
      </c>
      <c r="P269" s="7">
        <f>IFERROR(VLOOKUP(Tabla13[[#This Row],[Llave]],'Por despachar'!A:E,5,FALSE),0)</f>
        <v>0</v>
      </c>
      <c r="Q269" s="14">
        <f>SUM(Tabla13[[#This Row],[Producción disponible]],Tabla13[[#This Row],[Stock al día]],Tabla13[[#This Row],[Por producir Abr.]])-SUM(Tabla13[[#This Row],[Stock por despachar N]],Tabla13[[#This Row],[Producción por despachar mes N]])</f>
        <v>10000</v>
      </c>
      <c r="R269" s="7">
        <f>IFERROR(VLOOKUP(Tabla13[[#This Row],[Llave]],[3]Hoja2!$A:$D,4,FALSE),0)</f>
        <v>0</v>
      </c>
      <c r="S269" s="9">
        <f>IFERROR(VLOOKUP(Tabla13[[#This Row],[Material]],[4]Hoja1!$B:$C,2,FALSE),0)</f>
        <v>24000</v>
      </c>
      <c r="T269" s="5">
        <f t="shared" si="9"/>
        <v>0</v>
      </c>
      <c r="U269" s="3">
        <f>+Tabla13[[#This Row],[Total disponible]]-Tabla13[[#This Row],[Atraso a facturar]]</f>
        <v>10000</v>
      </c>
      <c r="V269" s="6">
        <f t="shared" si="10"/>
        <v>0</v>
      </c>
      <c r="W269" s="3" t="str">
        <f>IF(Tabla13[[#This Row],[Venta del mes]]&gt;Tabla13[[#This Row],[ RV  Venta mes n+1]],"Falta venta","-")</f>
        <v>-</v>
      </c>
      <c r="X269" s="7"/>
      <c r="Y269" s="18">
        <v>0</v>
      </c>
      <c r="Z269" s="5">
        <f>+Tabla13[[#This Row],[Atraso a facturar]]+Tabla13[[#This Row],[Venta del mes]]+Tabla13[[#This Row],[Ajuste]]</f>
        <v>0</v>
      </c>
      <c r="AA269" s="6">
        <f>+Tabla13[[#This Row],[Atraso a facturar]]+Tabla13[[#This Row],[Venta del mes]]+Tabla13[[#This Row],[En puerto a facturar]]</f>
        <v>0</v>
      </c>
      <c r="AB269" s="20">
        <f>IFERROR(VLOOKUP(Tabla13[[#This Row],[Llave]],'[5]Consolidación planes'!$A:$M,9,FALSE),0)</f>
        <v>0</v>
      </c>
      <c r="AC269" s="20">
        <f>IFERROR(VLOOKUP(Tabla13[[#This Row],[Llave]],'[5]Consolidación planes'!$A:$M,10,FALSE),0)</f>
        <v>0</v>
      </c>
      <c r="AD269" s="20">
        <f>IFERROR(VLOOKUP(Tabla13[[#This Row],[Llave]],'[5]Consolidación planes'!$A:$M,11,FALSE),0)</f>
        <v>48000</v>
      </c>
      <c r="AE269" s="20">
        <f>IFERROR(VLOOKUP(Tabla13[[#This Row],[Llave]],'[5]Consolidación planes'!$A:$M,12,FALSE),0)</f>
        <v>48000</v>
      </c>
      <c r="AF269" s="20">
        <f>IFERROR(VLOOKUP(Tabla13[[#This Row],[Llave]],'[5]Consolidación planes'!$A:$M,13,FALSE),0)</f>
        <v>72000</v>
      </c>
    </row>
    <row r="270" spans="2:32" ht="16" hidden="1" x14ac:dyDescent="0.2">
      <c r="B270" t="str">
        <f>Tabla13[[#This Row],[Oficina]]&amp;Tabla13[[#This Row],[Material]]</f>
        <v>Africa1030332</v>
      </c>
      <c r="C270" t="s">
        <v>204</v>
      </c>
      <c r="D270" t="s">
        <v>372</v>
      </c>
      <c r="E270">
        <v>1030332</v>
      </c>
      <c r="F270" t="s">
        <v>373</v>
      </c>
      <c r="G270" t="s">
        <v>205</v>
      </c>
      <c r="H270" t="s">
        <v>206</v>
      </c>
      <c r="I270" s="15">
        <f>IFERROR(VLOOKUP(Tabla13[[#This Row],[Llave]],'[1]Consolidado RV'!$B:$H,6,FALSE),0)</f>
        <v>48212.147199999999</v>
      </c>
      <c r="J270" s="3">
        <f>IFERROR(VLOOKUP(Tabla13[[#This Row],[Llave]],'[1]Consolidado RV'!$B:$H,7,FALSE),0)</f>
        <v>47801.102996731053</v>
      </c>
      <c r="K270" s="17">
        <f>IFERROR(VLOOKUP(Tabla13[[#This Row],[Oficina]],#REF!,2,FALSE),0)</f>
        <v>0</v>
      </c>
      <c r="L270" s="7">
        <f>+Tabla13[[#This Row],[ RV Producción mes n+1]]*Tabla13[[#This Row],[% Uti. producción]]</f>
        <v>0</v>
      </c>
      <c r="M270" s="7">
        <f>IFERROR(VLOOKUP(Tabla13[[#This Row],[Material]],#REF!,2,FALSE),0)</f>
        <v>0</v>
      </c>
      <c r="N270" s="15">
        <f>IFERROR(VLOOKUP(Tabla13[[#This Row],[Llave]],'En puerto-Programado'!A:D,4,FALSE)+VLOOKUP(Tabla13[[#This Row],[Llave]],'Por despachar'!A:F,6,FALSE),0)</f>
        <v>0</v>
      </c>
      <c r="O270" s="7">
        <f>IFERROR(VLOOKUP(Tabla13[[#This Row],[Material]],[2]Consolidado!$C:$D,2,FALSE),0)</f>
        <v>16324.753997141264</v>
      </c>
      <c r="P270" s="7">
        <f>IFERROR(VLOOKUP(Tabla13[[#This Row],[Llave]],'Por despachar'!A:E,5,FALSE),0)</f>
        <v>0</v>
      </c>
      <c r="Q270" s="14">
        <f>SUM(Tabla13[[#This Row],[Producción disponible]],Tabla13[[#This Row],[Stock al día]],Tabla13[[#This Row],[Por producir Abr.]])-SUM(Tabla13[[#This Row],[Stock por despachar N]],Tabla13[[#This Row],[Producción por despachar mes N]])</f>
        <v>16324.753997141264</v>
      </c>
      <c r="R270" s="7">
        <f>IFERROR(VLOOKUP(Tabla13[[#This Row],[Llave]],[3]Hoja2!$A:$D,4,FALSE),0)</f>
        <v>0</v>
      </c>
      <c r="S270" s="9">
        <f>IFERROR(VLOOKUP(Tabla13[[#This Row],[Material]],[4]Hoja1!$B:$C,2,FALSE),0)</f>
        <v>24000</v>
      </c>
      <c r="T270" s="5">
        <f t="shared" si="9"/>
        <v>0</v>
      </c>
      <c r="U270" s="3">
        <f>+Tabla13[[#This Row],[Total disponible]]-Tabla13[[#This Row],[Atraso a facturar]]</f>
        <v>16324.753997141264</v>
      </c>
      <c r="V270" s="6">
        <f t="shared" si="10"/>
        <v>0</v>
      </c>
      <c r="W270" s="3" t="str">
        <f>IF(Tabla13[[#This Row],[Venta del mes]]&gt;Tabla13[[#This Row],[ RV  Venta mes n+1]],"Falta venta","-")</f>
        <v>-</v>
      </c>
      <c r="X270" s="7"/>
      <c r="Y270" s="18">
        <v>0</v>
      </c>
      <c r="Z270" s="5">
        <f>+Tabla13[[#This Row],[Atraso a facturar]]+Tabla13[[#This Row],[Venta del mes]]+Tabla13[[#This Row],[Ajuste]]</f>
        <v>0</v>
      </c>
      <c r="AA270" s="6">
        <f>+Tabla13[[#This Row],[Atraso a facturar]]+Tabla13[[#This Row],[Venta del mes]]+Tabla13[[#This Row],[En puerto a facturar]]</f>
        <v>0</v>
      </c>
      <c r="AB270" s="20">
        <f>IFERROR(VLOOKUP(Tabla13[[#This Row],[Llave]],'[5]Consolidación planes'!$A:$M,9,FALSE),0)</f>
        <v>0</v>
      </c>
      <c r="AC270" s="20">
        <f>IFERROR(VLOOKUP(Tabla13[[#This Row],[Llave]],'[5]Consolidación planes'!$A:$M,10,FALSE),0)</f>
        <v>24000</v>
      </c>
      <c r="AD270" s="20">
        <f>IFERROR(VLOOKUP(Tabla13[[#This Row],[Llave]],'[5]Consolidación planes'!$A:$M,11,FALSE),0)</f>
        <v>24000</v>
      </c>
      <c r="AE270" s="20">
        <f>IFERROR(VLOOKUP(Tabla13[[#This Row],[Llave]],'[5]Consolidación planes'!$A:$M,12,FALSE),0)</f>
        <v>24000</v>
      </c>
      <c r="AF270" s="20">
        <f>IFERROR(VLOOKUP(Tabla13[[#This Row],[Llave]],'[5]Consolidación planes'!$A:$M,13,FALSE),0)</f>
        <v>72000</v>
      </c>
    </row>
    <row r="271" spans="2:32" ht="16" hidden="1" x14ac:dyDescent="0.2">
      <c r="B271" t="str">
        <f>Tabla13[[#This Row],[Oficina]]&amp;Tabla13[[#This Row],[Material]]</f>
        <v>Agrosuper Shanghai1030525</v>
      </c>
      <c r="C271" t="s">
        <v>204</v>
      </c>
      <c r="D271" t="s">
        <v>140</v>
      </c>
      <c r="E271">
        <v>1030525</v>
      </c>
      <c r="F271" t="s">
        <v>374</v>
      </c>
      <c r="G271" t="s">
        <v>205</v>
      </c>
      <c r="H271" t="s">
        <v>206</v>
      </c>
      <c r="I271" s="15">
        <f>IFERROR(VLOOKUP(Tabla13[[#This Row],[Llave]],'[1]Consolidado RV'!$B:$H,6,FALSE),0)</f>
        <v>27899.794000000002</v>
      </c>
      <c r="J271" s="3">
        <f>IFERROR(VLOOKUP(Tabla13[[#This Row],[Llave]],'[1]Consolidado RV'!$B:$H,7,FALSE),0)</f>
        <v>0</v>
      </c>
      <c r="K271" s="17">
        <f>IFERROR(VLOOKUP(Tabla13[[#This Row],[Oficina]],#REF!,2,FALSE),0)</f>
        <v>0</v>
      </c>
      <c r="L271" s="7">
        <f>+Tabla13[[#This Row],[ RV Producción mes n+1]]*Tabla13[[#This Row],[% Uti. producción]]</f>
        <v>0</v>
      </c>
      <c r="M271" s="7">
        <f>IFERROR(VLOOKUP(Tabla13[[#This Row],[Material]],#REF!,2,FALSE),0)</f>
        <v>0</v>
      </c>
      <c r="N271" s="15">
        <f>IFERROR(VLOOKUP(Tabla13[[#This Row],[Llave]],'En puerto-Programado'!A:D,4,FALSE)+VLOOKUP(Tabla13[[#This Row],[Llave]],'Por despachar'!A:F,6,FALSE),0)</f>
        <v>0</v>
      </c>
      <c r="O271" s="7">
        <f>IFERROR(VLOOKUP(Tabla13[[#This Row],[Material]],[2]Consolidado!$C:$D,2,FALSE),0)</f>
        <v>16983.487507541176</v>
      </c>
      <c r="P271" s="7">
        <f>IFERROR(VLOOKUP(Tabla13[[#This Row],[Llave]],'Por despachar'!A:E,5,FALSE),0)</f>
        <v>0</v>
      </c>
      <c r="Q271" s="14">
        <f>SUM(Tabla13[[#This Row],[Producción disponible]],Tabla13[[#This Row],[Stock al día]],Tabla13[[#This Row],[Por producir Abr.]])-SUM(Tabla13[[#This Row],[Stock por despachar N]],Tabla13[[#This Row],[Producción por despachar mes N]])</f>
        <v>16983.487507541176</v>
      </c>
      <c r="R271" s="7">
        <f>IFERROR(VLOOKUP(Tabla13[[#This Row],[Llave]],[3]Hoja2!$A:$D,4,FALSE),0)</f>
        <v>0</v>
      </c>
      <c r="S271" s="9">
        <f>IFERROR(VLOOKUP(Tabla13[[#This Row],[Material]],[4]Hoja1!$B:$C,2,FALSE),0)</f>
        <v>24000</v>
      </c>
      <c r="T271" s="5">
        <f t="shared" si="9"/>
        <v>0</v>
      </c>
      <c r="U271" s="3">
        <f>+Tabla13[[#This Row],[Total disponible]]-Tabla13[[#This Row],[Atraso a facturar]]</f>
        <v>16983.487507541176</v>
      </c>
      <c r="V271" s="6">
        <f t="shared" si="10"/>
        <v>0</v>
      </c>
      <c r="W271" s="3" t="str">
        <f>IF(Tabla13[[#This Row],[Venta del mes]]&gt;Tabla13[[#This Row],[ RV  Venta mes n+1]],"Falta venta","-")</f>
        <v>-</v>
      </c>
      <c r="X271" s="7"/>
      <c r="Y271" s="18">
        <v>0</v>
      </c>
      <c r="Z271" s="5">
        <f>+Tabla13[[#This Row],[Atraso a facturar]]+Tabla13[[#This Row],[Venta del mes]]+Tabla13[[#This Row],[Ajuste]]</f>
        <v>0</v>
      </c>
      <c r="AA271" s="6">
        <f>+Tabla13[[#This Row],[Atraso a facturar]]+Tabla13[[#This Row],[Venta del mes]]+Tabla13[[#This Row],[En puerto a facturar]]</f>
        <v>0</v>
      </c>
      <c r="AB271" s="20">
        <f>IFERROR(VLOOKUP(Tabla13[[#This Row],[Llave]],'[5]Consolidación planes'!$A:$M,9,FALSE),0)</f>
        <v>0</v>
      </c>
      <c r="AC271" s="20">
        <f>IFERROR(VLOOKUP(Tabla13[[#This Row],[Llave]],'[5]Consolidación planes'!$A:$M,10,FALSE),0)</f>
        <v>0</v>
      </c>
      <c r="AD271" s="20">
        <f>IFERROR(VLOOKUP(Tabla13[[#This Row],[Llave]],'[5]Consolidación planes'!$A:$M,11,FALSE),0)</f>
        <v>0</v>
      </c>
      <c r="AE271" s="20">
        <f>IFERROR(VLOOKUP(Tabla13[[#This Row],[Llave]],'[5]Consolidación planes'!$A:$M,12,FALSE),0)</f>
        <v>0</v>
      </c>
      <c r="AF271" s="20">
        <f>IFERROR(VLOOKUP(Tabla13[[#This Row],[Llave]],'[5]Consolidación planes'!$A:$M,13,FALSE),0)</f>
        <v>0</v>
      </c>
    </row>
    <row r="272" spans="2:32" ht="16" hidden="1" x14ac:dyDescent="0.2">
      <c r="B272" t="str">
        <f>Tabla13[[#This Row],[Oficina]]&amp;Tabla13[[#This Row],[Material]]</f>
        <v>Africa1030498</v>
      </c>
      <c r="C272" t="s">
        <v>204</v>
      </c>
      <c r="D272" t="s">
        <v>372</v>
      </c>
      <c r="E272">
        <v>1030498</v>
      </c>
      <c r="F272" t="s">
        <v>375</v>
      </c>
      <c r="G272" t="s">
        <v>209</v>
      </c>
      <c r="H272" t="s">
        <v>210</v>
      </c>
      <c r="I272" s="15">
        <f>IFERROR(VLOOKUP(Tabla13[[#This Row],[Llave]],'[1]Consolidado RV'!$B:$H,6,FALSE),0)</f>
        <v>2174.5365999999999</v>
      </c>
      <c r="J272" s="3">
        <f>IFERROR(VLOOKUP(Tabla13[[#This Row],[Llave]],'[1]Consolidado RV'!$B:$H,7,FALSE),0)</f>
        <v>0</v>
      </c>
      <c r="K272" s="17">
        <f>IFERROR(VLOOKUP(Tabla13[[#This Row],[Oficina]],#REF!,2,FALSE),0)</f>
        <v>0</v>
      </c>
      <c r="L272" s="7">
        <f>+Tabla13[[#This Row],[ RV Producción mes n+1]]*Tabla13[[#This Row],[% Uti. producción]]</f>
        <v>0</v>
      </c>
      <c r="M272" s="7">
        <f>IFERROR(VLOOKUP(Tabla13[[#This Row],[Material]],#REF!,2,FALSE),0)</f>
        <v>0</v>
      </c>
      <c r="N272" s="15">
        <f>IFERROR(VLOOKUP(Tabla13[[#This Row],[Llave]],'En puerto-Programado'!A:D,4,FALSE)+VLOOKUP(Tabla13[[#This Row],[Llave]],'Por despachar'!A:F,6,FALSE),0)</f>
        <v>0</v>
      </c>
      <c r="O272" s="7">
        <f>IFERROR(VLOOKUP(Tabla13[[#This Row],[Material]],[2]Consolidado!$C:$D,2,FALSE),0)</f>
        <v>10492.065493111802</v>
      </c>
      <c r="P272" s="7">
        <f>IFERROR(VLOOKUP(Tabla13[[#This Row],[Llave]],'Por despachar'!A:E,5,FALSE),0)</f>
        <v>0</v>
      </c>
      <c r="Q272" s="14">
        <f>SUM(Tabla13[[#This Row],[Producción disponible]],Tabla13[[#This Row],[Stock al día]],Tabla13[[#This Row],[Por producir Abr.]])-SUM(Tabla13[[#This Row],[Stock por despachar N]],Tabla13[[#This Row],[Producción por despachar mes N]])</f>
        <v>10492.065493111802</v>
      </c>
      <c r="R272" s="7">
        <f>IFERROR(VLOOKUP(Tabla13[[#This Row],[Llave]],[3]Hoja2!$A:$D,4,FALSE),0)</f>
        <v>0</v>
      </c>
      <c r="S272" s="9">
        <f>IFERROR(VLOOKUP(Tabla13[[#This Row],[Material]],[4]Hoja1!$B:$C,2,FALSE),0)</f>
        <v>24000</v>
      </c>
      <c r="T272" s="5">
        <f t="shared" si="9"/>
        <v>0</v>
      </c>
      <c r="U272" s="3">
        <f>+Tabla13[[#This Row],[Total disponible]]-Tabla13[[#This Row],[Atraso a facturar]]</f>
        <v>10492.065493111802</v>
      </c>
      <c r="V272" s="6">
        <f t="shared" si="10"/>
        <v>0</v>
      </c>
      <c r="W272" s="3" t="str">
        <f>IF(Tabla13[[#This Row],[Venta del mes]]&gt;Tabla13[[#This Row],[ RV  Venta mes n+1]],"Falta venta","-")</f>
        <v>-</v>
      </c>
      <c r="X272" s="7"/>
      <c r="Y272" s="18">
        <v>0</v>
      </c>
      <c r="Z272" s="5">
        <f>+Tabla13[[#This Row],[Atraso a facturar]]+Tabla13[[#This Row],[Venta del mes]]+Tabla13[[#This Row],[Ajuste]]</f>
        <v>0</v>
      </c>
      <c r="AA272" s="6">
        <f>+Tabla13[[#This Row],[Atraso a facturar]]+Tabla13[[#This Row],[Venta del mes]]+Tabla13[[#This Row],[En puerto a facturar]]</f>
        <v>0</v>
      </c>
      <c r="AB272" s="20">
        <f>IFERROR(VLOOKUP(Tabla13[[#This Row],[Llave]],'[5]Consolidación planes'!$A:$M,9,FALSE),0)</f>
        <v>0</v>
      </c>
      <c r="AC272" s="20">
        <f>IFERROR(VLOOKUP(Tabla13[[#This Row],[Llave]],'[5]Consolidación planes'!$A:$M,10,FALSE),0)</f>
        <v>0</v>
      </c>
      <c r="AD272" s="20">
        <f>IFERROR(VLOOKUP(Tabla13[[#This Row],[Llave]],'[5]Consolidación planes'!$A:$M,11,FALSE),0)</f>
        <v>0</v>
      </c>
      <c r="AE272" s="20">
        <f>IFERROR(VLOOKUP(Tabla13[[#This Row],[Llave]],'[5]Consolidación planes'!$A:$M,12,FALSE),0)</f>
        <v>0</v>
      </c>
      <c r="AF272" s="20">
        <f>IFERROR(VLOOKUP(Tabla13[[#This Row],[Llave]],'[5]Consolidación planes'!$A:$M,13,FALSE),0)</f>
        <v>0</v>
      </c>
    </row>
    <row r="273" spans="2:32" ht="16" hidden="1" x14ac:dyDescent="0.2">
      <c r="B273" t="str">
        <f>Tabla13[[#This Row],[Oficina]]&amp;Tabla13[[#This Row],[Material]]</f>
        <v>Africa1030744</v>
      </c>
      <c r="C273" t="s">
        <v>204</v>
      </c>
      <c r="D273" t="s">
        <v>372</v>
      </c>
      <c r="E273">
        <v>1030744</v>
      </c>
      <c r="F273" t="s">
        <v>376</v>
      </c>
      <c r="G273" t="s">
        <v>209</v>
      </c>
      <c r="H273" t="s">
        <v>381</v>
      </c>
      <c r="I273" s="15">
        <f>IFERROR(VLOOKUP(Tabla13[[#This Row],[Llave]],'[1]Consolidado RV'!$B:$H,6,FALSE),0)</f>
        <v>0</v>
      </c>
      <c r="J273" s="3">
        <f>IFERROR(VLOOKUP(Tabla13[[#This Row],[Llave]],'[1]Consolidado RV'!$B:$H,7,FALSE),0)</f>
        <v>10380</v>
      </c>
      <c r="K273" s="17">
        <f>IFERROR(VLOOKUP(Tabla13[[#This Row],[Oficina]],#REF!,2,FALSE),0)</f>
        <v>0</v>
      </c>
      <c r="L273" s="7">
        <f>+Tabla13[[#This Row],[ RV Producción mes n+1]]*Tabla13[[#This Row],[% Uti. producción]]</f>
        <v>0</v>
      </c>
      <c r="M273" s="7">
        <f>IFERROR(VLOOKUP(Tabla13[[#This Row],[Material]],#REF!,2,FALSE),0)</f>
        <v>0</v>
      </c>
      <c r="N273" s="15">
        <f>IFERROR(VLOOKUP(Tabla13[[#This Row],[Llave]],'En puerto-Programado'!A:D,4,FALSE)+VLOOKUP(Tabla13[[#This Row],[Llave]],'Por despachar'!A:F,6,FALSE),0)</f>
        <v>0</v>
      </c>
      <c r="O273" s="7">
        <f>IFERROR(VLOOKUP(Tabla13[[#This Row],[Material]],[2]Consolidado!$C:$D,2,FALSE),0)</f>
        <v>0</v>
      </c>
      <c r="P273" s="7">
        <f>IFERROR(VLOOKUP(Tabla13[[#This Row],[Llave]],'Por despachar'!A:E,5,FALSE),0)</f>
        <v>0</v>
      </c>
      <c r="Q27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73" s="7">
        <f>IFERROR(VLOOKUP(Tabla13[[#This Row],[Llave]],[3]Hoja2!$A:$D,4,FALSE),0)</f>
        <v>0</v>
      </c>
      <c r="S273" s="9">
        <f>IFERROR(VLOOKUP(Tabla13[[#This Row],[Material]],[4]Hoja1!$B:$C,2,FALSE),0)</f>
        <v>24000</v>
      </c>
      <c r="T273" s="5">
        <f t="shared" si="9"/>
        <v>0</v>
      </c>
      <c r="U273" s="3">
        <f>+Tabla13[[#This Row],[Total disponible]]-Tabla13[[#This Row],[Atraso a facturar]]</f>
        <v>0</v>
      </c>
      <c r="V273" s="6">
        <f t="shared" si="10"/>
        <v>0</v>
      </c>
      <c r="W273" s="3" t="str">
        <f>IF(Tabla13[[#This Row],[Venta del mes]]&gt;Tabla13[[#This Row],[ RV  Venta mes n+1]],"Falta venta","-")</f>
        <v>-</v>
      </c>
      <c r="X273" s="7"/>
      <c r="Y273" s="18">
        <v>0</v>
      </c>
      <c r="Z273" s="5">
        <f>+Tabla13[[#This Row],[Atraso a facturar]]+Tabla13[[#This Row],[Venta del mes]]+Tabla13[[#This Row],[Ajuste]]</f>
        <v>0</v>
      </c>
      <c r="AA273" s="6">
        <f>+Tabla13[[#This Row],[Atraso a facturar]]+Tabla13[[#This Row],[Venta del mes]]+Tabla13[[#This Row],[En puerto a facturar]]</f>
        <v>0</v>
      </c>
      <c r="AB273" s="20">
        <f>IFERROR(VLOOKUP(Tabla13[[#This Row],[Llave]],'[5]Consolidación planes'!$A:$M,9,FALSE),0)</f>
        <v>0</v>
      </c>
      <c r="AC273" s="20">
        <f>IFERROR(VLOOKUP(Tabla13[[#This Row],[Llave]],'[5]Consolidación planes'!$A:$M,10,FALSE),0)</f>
        <v>0</v>
      </c>
      <c r="AD273" s="20">
        <f>IFERROR(VLOOKUP(Tabla13[[#This Row],[Llave]],'[5]Consolidación planes'!$A:$M,11,FALSE),0)</f>
        <v>0</v>
      </c>
      <c r="AE273" s="20">
        <f>IFERROR(VLOOKUP(Tabla13[[#This Row],[Llave]],'[5]Consolidación planes'!$A:$M,12,FALSE),0)</f>
        <v>0</v>
      </c>
      <c r="AF273" s="20">
        <f>IFERROR(VLOOKUP(Tabla13[[#This Row],[Llave]],'[5]Consolidación planes'!$A:$M,13,FALSE),0)</f>
        <v>0</v>
      </c>
    </row>
    <row r="274" spans="2:32" ht="16" hidden="1" x14ac:dyDescent="0.2">
      <c r="B274" t="str">
        <f>Tabla13[[#This Row],[Oficina]]&amp;Tabla13[[#This Row],[Material]]</f>
        <v>Africa1030720</v>
      </c>
      <c r="C274" t="s">
        <v>204</v>
      </c>
      <c r="D274" t="s">
        <v>372</v>
      </c>
      <c r="E274">
        <v>1030720</v>
      </c>
      <c r="F274" t="s">
        <v>377</v>
      </c>
      <c r="G274" t="s">
        <v>71</v>
      </c>
      <c r="H274" t="s">
        <v>215</v>
      </c>
      <c r="I274" s="15">
        <f>IFERROR(VLOOKUP(Tabla13[[#This Row],[Llave]],'[1]Consolidado RV'!$B:$H,6,FALSE),0)</f>
        <v>17503.918000000001</v>
      </c>
      <c r="J274" s="3">
        <f>IFERROR(VLOOKUP(Tabla13[[#This Row],[Llave]],'[1]Consolidado RV'!$B:$H,7,FALSE),0)</f>
        <v>0</v>
      </c>
      <c r="K274" s="17">
        <f>IFERROR(VLOOKUP(Tabla13[[#This Row],[Oficina]],#REF!,2,FALSE),0)</f>
        <v>0</v>
      </c>
      <c r="L274" s="7">
        <f>+Tabla13[[#This Row],[ RV Producción mes n+1]]*Tabla13[[#This Row],[% Uti. producción]]</f>
        <v>0</v>
      </c>
      <c r="M274" s="7">
        <f>IFERROR(VLOOKUP(Tabla13[[#This Row],[Material]],#REF!,2,FALSE),0)</f>
        <v>0</v>
      </c>
      <c r="N274" s="15">
        <f>IFERROR(VLOOKUP(Tabla13[[#This Row],[Llave]],'En puerto-Programado'!A:D,4,FALSE)+VLOOKUP(Tabla13[[#This Row],[Llave]],'Por despachar'!A:F,6,FALSE),0)</f>
        <v>0</v>
      </c>
      <c r="O274" s="7">
        <f>IFERROR(VLOOKUP(Tabla13[[#This Row],[Material]],[2]Consolidado!$C:$D,2,FALSE),0)</f>
        <v>17000</v>
      </c>
      <c r="P274" s="7">
        <f>IFERROR(VLOOKUP(Tabla13[[#This Row],[Llave]],'Por despachar'!A:E,5,FALSE),0)</f>
        <v>0</v>
      </c>
      <c r="Q274" s="14">
        <f>SUM(Tabla13[[#This Row],[Producción disponible]],Tabla13[[#This Row],[Stock al día]],Tabla13[[#This Row],[Por producir Abr.]])-SUM(Tabla13[[#This Row],[Stock por despachar N]],Tabla13[[#This Row],[Producción por despachar mes N]])</f>
        <v>17000</v>
      </c>
      <c r="R274" s="7">
        <f>IFERROR(VLOOKUP(Tabla13[[#This Row],[Llave]],[3]Hoja2!$A:$D,4,FALSE),0)</f>
        <v>0</v>
      </c>
      <c r="S274" s="9">
        <f>IFERROR(VLOOKUP(Tabla13[[#This Row],[Material]],[4]Hoja1!$B:$C,2,FALSE),0)</f>
        <v>24000</v>
      </c>
      <c r="T274" s="5">
        <f t="shared" si="9"/>
        <v>0</v>
      </c>
      <c r="U274" s="3">
        <f>+Tabla13[[#This Row],[Total disponible]]-Tabla13[[#This Row],[Atraso a facturar]]</f>
        <v>17000</v>
      </c>
      <c r="V274" s="6">
        <f t="shared" si="10"/>
        <v>0</v>
      </c>
      <c r="W274" s="3" t="str">
        <f>IF(Tabla13[[#This Row],[Venta del mes]]&gt;Tabla13[[#This Row],[ RV  Venta mes n+1]],"Falta venta","-")</f>
        <v>-</v>
      </c>
      <c r="X274" s="7"/>
      <c r="Y274" s="18">
        <v>0</v>
      </c>
      <c r="Z274" s="5">
        <f>+Tabla13[[#This Row],[Atraso a facturar]]+Tabla13[[#This Row],[Venta del mes]]+Tabla13[[#This Row],[Ajuste]]</f>
        <v>0</v>
      </c>
      <c r="AA274" s="6">
        <f>+Tabla13[[#This Row],[Atraso a facturar]]+Tabla13[[#This Row],[Venta del mes]]+Tabla13[[#This Row],[En puerto a facturar]]</f>
        <v>0</v>
      </c>
      <c r="AB274" s="20">
        <f>IFERROR(VLOOKUP(Tabla13[[#This Row],[Llave]],'[5]Consolidación planes'!$A:$M,9,FALSE),0)</f>
        <v>0</v>
      </c>
      <c r="AC274" s="20">
        <f>IFERROR(VLOOKUP(Tabla13[[#This Row],[Llave]],'[5]Consolidación planes'!$A:$M,10,FALSE),0)</f>
        <v>0</v>
      </c>
      <c r="AD274" s="20">
        <f>IFERROR(VLOOKUP(Tabla13[[#This Row],[Llave]],'[5]Consolidación planes'!$A:$M,11,FALSE),0)</f>
        <v>0</v>
      </c>
      <c r="AE274" s="20">
        <f>IFERROR(VLOOKUP(Tabla13[[#This Row],[Llave]],'[5]Consolidación planes'!$A:$M,12,FALSE),0)</f>
        <v>0</v>
      </c>
      <c r="AF274" s="20">
        <f>IFERROR(VLOOKUP(Tabla13[[#This Row],[Llave]],'[5]Consolidación planes'!$A:$M,13,FALSE),0)</f>
        <v>0</v>
      </c>
    </row>
    <row r="275" spans="2:32" ht="16" hidden="1" x14ac:dyDescent="0.2">
      <c r="B275" t="str">
        <f>Tabla13[[#This Row],[Oficina]]&amp;Tabla13[[#This Row],[Material]]</f>
        <v>Agro Sudamerica1030230</v>
      </c>
      <c r="C275" t="s">
        <v>204</v>
      </c>
      <c r="D275" t="s">
        <v>17</v>
      </c>
      <c r="E275">
        <v>1030230</v>
      </c>
      <c r="F275" t="s">
        <v>378</v>
      </c>
      <c r="G275" t="s">
        <v>71</v>
      </c>
      <c r="H275" t="s">
        <v>215</v>
      </c>
      <c r="I275" s="15">
        <f>IFERROR(VLOOKUP(Tabla13[[#This Row],[Llave]],'[1]Consolidado RV'!$B:$H,6,FALSE),0)</f>
        <v>2147.404</v>
      </c>
      <c r="J275" s="3">
        <f>IFERROR(VLOOKUP(Tabla13[[#This Row],[Llave]],'[1]Consolidado RV'!$B:$H,7,FALSE),0)</f>
        <v>0</v>
      </c>
      <c r="K275" s="17">
        <f>IFERROR(VLOOKUP(Tabla13[[#This Row],[Oficina]],#REF!,2,FALSE),0)</f>
        <v>0</v>
      </c>
      <c r="L275" s="7">
        <f>+Tabla13[[#This Row],[ RV Producción mes n+1]]*Tabla13[[#This Row],[% Uti. producción]]</f>
        <v>0</v>
      </c>
      <c r="M275" s="7">
        <f>IFERROR(VLOOKUP(Tabla13[[#This Row],[Material]],#REF!,2,FALSE),0)</f>
        <v>0</v>
      </c>
      <c r="N275" s="15">
        <f>IFERROR(VLOOKUP(Tabla13[[#This Row],[Llave]],'En puerto-Programado'!A:D,4,FALSE)+VLOOKUP(Tabla13[[#This Row],[Llave]],'Por despachar'!A:F,6,FALSE),0)</f>
        <v>0</v>
      </c>
      <c r="O275" s="7">
        <f>IFERROR(VLOOKUP(Tabla13[[#This Row],[Material]],[2]Consolidado!$C:$D,2,FALSE),0)</f>
        <v>0</v>
      </c>
      <c r="P275" s="7">
        <f>IFERROR(VLOOKUP(Tabla13[[#This Row],[Llave]],'Por despachar'!A:E,5,FALSE),0)</f>
        <v>0</v>
      </c>
      <c r="Q27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75" s="7">
        <f>IFERROR(VLOOKUP(Tabla13[[#This Row],[Llave]],[3]Hoja2!$A:$D,4,FALSE),0)</f>
        <v>0</v>
      </c>
      <c r="S275" s="9">
        <f>IFERROR(VLOOKUP(Tabla13[[#This Row],[Material]],[4]Hoja1!$B:$C,2,FALSE),0)</f>
        <v>24000</v>
      </c>
      <c r="T275" s="5">
        <f t="shared" si="9"/>
        <v>0</v>
      </c>
      <c r="U275" s="3">
        <f>+Tabla13[[#This Row],[Total disponible]]-Tabla13[[#This Row],[Atraso a facturar]]</f>
        <v>0</v>
      </c>
      <c r="V275" s="6">
        <f t="shared" si="10"/>
        <v>0</v>
      </c>
      <c r="W275" s="3" t="str">
        <f>IF(Tabla13[[#This Row],[Venta del mes]]&gt;Tabla13[[#This Row],[ RV  Venta mes n+1]],"Falta venta","-")</f>
        <v>-</v>
      </c>
      <c r="X275" s="7"/>
      <c r="Y275" s="18">
        <v>0</v>
      </c>
      <c r="Z275" s="5">
        <f>+Tabla13[[#This Row],[Atraso a facturar]]+Tabla13[[#This Row],[Venta del mes]]+Tabla13[[#This Row],[Ajuste]]</f>
        <v>0</v>
      </c>
      <c r="AA275" s="6">
        <f>+Tabla13[[#This Row],[Atraso a facturar]]+Tabla13[[#This Row],[Venta del mes]]+Tabla13[[#This Row],[En puerto a facturar]]</f>
        <v>0</v>
      </c>
      <c r="AB275" s="20">
        <f>IFERROR(VLOOKUP(Tabla13[[#This Row],[Llave]],'[5]Consolidación planes'!$A:$M,9,FALSE),0)</f>
        <v>0</v>
      </c>
      <c r="AC275" s="20">
        <f>IFERROR(VLOOKUP(Tabla13[[#This Row],[Llave]],'[5]Consolidación planes'!$A:$M,10,FALSE),0)</f>
        <v>0</v>
      </c>
      <c r="AD275" s="20">
        <f>IFERROR(VLOOKUP(Tabla13[[#This Row],[Llave]],'[5]Consolidación planes'!$A:$M,11,FALSE),0)</f>
        <v>0</v>
      </c>
      <c r="AE275" s="20">
        <f>IFERROR(VLOOKUP(Tabla13[[#This Row],[Llave]],'[5]Consolidación planes'!$A:$M,12,FALSE),0)</f>
        <v>0</v>
      </c>
      <c r="AF275" s="20">
        <f>IFERROR(VLOOKUP(Tabla13[[#This Row],[Llave]],'[5]Consolidación planes'!$A:$M,13,FALSE),0)</f>
        <v>0</v>
      </c>
    </row>
    <row r="276" spans="2:32" ht="16" hidden="1" x14ac:dyDescent="0.2">
      <c r="B276" t="str">
        <f>Tabla13[[#This Row],[Oficina]]&amp;Tabla13[[#This Row],[Material]]</f>
        <v>Agro Sudamerica1030672</v>
      </c>
      <c r="C276" t="s">
        <v>204</v>
      </c>
      <c r="D276" t="s">
        <v>17</v>
      </c>
      <c r="E276">
        <v>1030672</v>
      </c>
      <c r="F276" t="s">
        <v>379</v>
      </c>
      <c r="G276" t="s">
        <v>217</v>
      </c>
      <c r="H276" t="s">
        <v>218</v>
      </c>
      <c r="I276" s="15">
        <f>IFERROR(VLOOKUP(Tabla13[[#This Row],[Llave]],'[1]Consolidado RV'!$B:$H,6,FALSE),0)</f>
        <v>0</v>
      </c>
      <c r="J276" s="3">
        <f>IFERROR(VLOOKUP(Tabla13[[#This Row],[Llave]],'[1]Consolidado RV'!$B:$H,7,FALSE),0)</f>
        <v>0</v>
      </c>
      <c r="K276" s="17">
        <f>IFERROR(VLOOKUP(Tabla13[[#This Row],[Oficina]],#REF!,2,FALSE),0)</f>
        <v>0</v>
      </c>
      <c r="L276" s="7">
        <f>+Tabla13[[#This Row],[ RV Producción mes n+1]]*Tabla13[[#This Row],[% Uti. producción]]</f>
        <v>0</v>
      </c>
      <c r="M276" s="7">
        <f>IFERROR(VLOOKUP(Tabla13[[#This Row],[Material]],#REF!,2,FALSE),0)</f>
        <v>0</v>
      </c>
      <c r="N276" s="15">
        <f>IFERROR(VLOOKUP(Tabla13[[#This Row],[Llave]],'En puerto-Programado'!A:D,4,FALSE)+VLOOKUP(Tabla13[[#This Row],[Llave]],'Por despachar'!A:F,6,FALSE),0)</f>
        <v>0</v>
      </c>
      <c r="O276" s="7">
        <f>IFERROR(VLOOKUP(Tabla13[[#This Row],[Material]],[2]Consolidado!$C:$D,2,FALSE),0)</f>
        <v>0</v>
      </c>
      <c r="P276" s="7">
        <f>IFERROR(VLOOKUP(Tabla13[[#This Row],[Llave]],'Por despachar'!A:E,5,FALSE),0)</f>
        <v>0</v>
      </c>
      <c r="Q27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76" s="7">
        <f>IFERROR(VLOOKUP(Tabla13[[#This Row],[Llave]],[3]Hoja2!$A:$D,4,FALSE),0)</f>
        <v>0</v>
      </c>
      <c r="S276" s="9">
        <f>IFERROR(VLOOKUP(Tabla13[[#This Row],[Material]],[4]Hoja1!$B:$C,2,FALSE),0)</f>
        <v>24000</v>
      </c>
      <c r="T276" s="5">
        <f t="shared" si="9"/>
        <v>0</v>
      </c>
      <c r="U276" s="3">
        <f>+Tabla13[[#This Row],[Total disponible]]-Tabla13[[#This Row],[Atraso a facturar]]</f>
        <v>0</v>
      </c>
      <c r="V276" s="6">
        <f t="shared" si="10"/>
        <v>0</v>
      </c>
      <c r="W276" s="3" t="str">
        <f>IF(Tabla13[[#This Row],[Venta del mes]]&gt;Tabla13[[#This Row],[ RV  Venta mes n+1]],"Falta venta","-")</f>
        <v>-</v>
      </c>
      <c r="X276" s="7"/>
      <c r="Y276" s="18">
        <v>0</v>
      </c>
      <c r="Z276" s="5">
        <f>+Tabla13[[#This Row],[Atraso a facturar]]+Tabla13[[#This Row],[Venta del mes]]+Tabla13[[#This Row],[Ajuste]]</f>
        <v>0</v>
      </c>
      <c r="AA276" s="6">
        <f>+Tabla13[[#This Row],[Atraso a facturar]]+Tabla13[[#This Row],[Venta del mes]]+Tabla13[[#This Row],[En puerto a facturar]]</f>
        <v>0</v>
      </c>
      <c r="AB276" s="20">
        <f>IFERROR(VLOOKUP(Tabla13[[#This Row],[Llave]],'[5]Consolidación planes'!$A:$M,9,FALSE),0)</f>
        <v>0</v>
      </c>
      <c r="AC276" s="20">
        <f>IFERROR(VLOOKUP(Tabla13[[#This Row],[Llave]],'[5]Consolidación planes'!$A:$M,10,FALSE),0)</f>
        <v>0</v>
      </c>
      <c r="AD276" s="20">
        <f>IFERROR(VLOOKUP(Tabla13[[#This Row],[Llave]],'[5]Consolidación planes'!$A:$M,11,FALSE),0)</f>
        <v>0</v>
      </c>
      <c r="AE276" s="20">
        <f>IFERROR(VLOOKUP(Tabla13[[#This Row],[Llave]],'[5]Consolidación planes'!$A:$M,12,FALSE),0)</f>
        <v>0</v>
      </c>
      <c r="AF276" s="20">
        <f>IFERROR(VLOOKUP(Tabla13[[#This Row],[Llave]],'[5]Consolidación planes'!$A:$M,13,FALSE),0)</f>
        <v>0</v>
      </c>
    </row>
    <row r="277" spans="2:32" ht="16" hidden="1" x14ac:dyDescent="0.2">
      <c r="B277" t="str">
        <f>Tabla13[[#This Row],[Oficina]]&amp;Tabla13[[#This Row],[Material]]</f>
        <v>Africa1030355</v>
      </c>
      <c r="C277" t="s">
        <v>204</v>
      </c>
      <c r="D277" t="s">
        <v>372</v>
      </c>
      <c r="E277">
        <v>1030355</v>
      </c>
      <c r="F277" t="s">
        <v>380</v>
      </c>
      <c r="G277" t="s">
        <v>382</v>
      </c>
      <c r="H277" t="s">
        <v>383</v>
      </c>
      <c r="I277" s="15">
        <f>IFERROR(VLOOKUP(Tabla13[[#This Row],[Llave]],'[1]Consolidado RV'!$B:$H,6,FALSE),0)</f>
        <v>71521.479000000007</v>
      </c>
      <c r="J277" s="3">
        <f>IFERROR(VLOOKUP(Tabla13[[#This Row],[Llave]],'[1]Consolidado RV'!$B:$H,7,FALSE),0)</f>
        <v>0</v>
      </c>
      <c r="K277" s="17">
        <f>IFERROR(VLOOKUP(Tabla13[[#This Row],[Oficina]],#REF!,2,FALSE),0)</f>
        <v>0</v>
      </c>
      <c r="L277" s="7">
        <f>+Tabla13[[#This Row],[ RV Producción mes n+1]]*Tabla13[[#This Row],[% Uti. producción]]</f>
        <v>0</v>
      </c>
      <c r="M277" s="7">
        <f>IFERROR(VLOOKUP(Tabla13[[#This Row],[Material]],#REF!,2,FALSE),0)</f>
        <v>0</v>
      </c>
      <c r="N277" s="15">
        <f>IFERROR(VLOOKUP(Tabla13[[#This Row],[Llave]],'En puerto-Programado'!A:D,4,FALSE)+VLOOKUP(Tabla13[[#This Row],[Llave]],'Por despachar'!A:F,6,FALSE),0)</f>
        <v>0</v>
      </c>
      <c r="O277" s="7">
        <f>IFERROR(VLOOKUP(Tabla13[[#This Row],[Material]],[2]Consolidado!$C:$D,2,FALSE),0)</f>
        <v>24597.867104306679</v>
      </c>
      <c r="P277" s="7">
        <f>IFERROR(VLOOKUP(Tabla13[[#This Row],[Llave]],'Por despachar'!A:E,5,FALSE),0)</f>
        <v>0</v>
      </c>
      <c r="Q277" s="14">
        <f>SUM(Tabla13[[#This Row],[Producción disponible]],Tabla13[[#This Row],[Stock al día]],Tabla13[[#This Row],[Por producir Abr.]])-SUM(Tabla13[[#This Row],[Stock por despachar N]],Tabla13[[#This Row],[Producción por despachar mes N]])</f>
        <v>24597.867104306679</v>
      </c>
      <c r="R277" s="7">
        <f>IFERROR(VLOOKUP(Tabla13[[#This Row],[Llave]],[3]Hoja2!$A:$D,4,FALSE),0)</f>
        <v>0</v>
      </c>
      <c r="S277" s="9">
        <f>IFERROR(VLOOKUP(Tabla13[[#This Row],[Material]],[4]Hoja1!$B:$C,2,FALSE),0)</f>
        <v>24000</v>
      </c>
      <c r="T277" s="5">
        <f t="shared" si="9"/>
        <v>0</v>
      </c>
      <c r="U277" s="3">
        <f>+Tabla13[[#This Row],[Total disponible]]-Tabla13[[#This Row],[Atraso a facturar]]</f>
        <v>24597.867104306679</v>
      </c>
      <c r="V277" s="6">
        <f t="shared" si="10"/>
        <v>0</v>
      </c>
      <c r="W277" s="3" t="str">
        <f>IF(Tabla13[[#This Row],[Venta del mes]]&gt;Tabla13[[#This Row],[ RV  Venta mes n+1]],"Falta venta","-")</f>
        <v>-</v>
      </c>
      <c r="X277" s="7"/>
      <c r="Y277" s="18">
        <v>0</v>
      </c>
      <c r="Z277" s="5">
        <f>+Tabla13[[#This Row],[Atraso a facturar]]+Tabla13[[#This Row],[Venta del mes]]+Tabla13[[#This Row],[Ajuste]]</f>
        <v>0</v>
      </c>
      <c r="AA277" s="6">
        <f>+Tabla13[[#This Row],[Atraso a facturar]]+Tabla13[[#This Row],[Venta del mes]]+Tabla13[[#This Row],[En puerto a facturar]]</f>
        <v>0</v>
      </c>
      <c r="AB277" s="20">
        <f>IFERROR(VLOOKUP(Tabla13[[#This Row],[Llave]],'[5]Consolidación planes'!$A:$M,9,FALSE),0)</f>
        <v>72000</v>
      </c>
      <c r="AC277" s="20">
        <f>IFERROR(VLOOKUP(Tabla13[[#This Row],[Llave]],'[5]Consolidación planes'!$A:$M,10,FALSE),0)</f>
        <v>72000</v>
      </c>
      <c r="AD277" s="20">
        <f>IFERROR(VLOOKUP(Tabla13[[#This Row],[Llave]],'[5]Consolidación planes'!$A:$M,11,FALSE),0)</f>
        <v>72000</v>
      </c>
      <c r="AE277" s="20">
        <f>IFERROR(VLOOKUP(Tabla13[[#This Row],[Llave]],'[5]Consolidación planes'!$A:$M,12,FALSE),0)</f>
        <v>72000</v>
      </c>
      <c r="AF277" s="20">
        <f>IFERROR(VLOOKUP(Tabla13[[#This Row],[Llave]],'[5]Consolidación planes'!$A:$M,13,FALSE),0)</f>
        <v>0</v>
      </c>
    </row>
    <row r="278" spans="2:32" ht="16" hidden="1" x14ac:dyDescent="0.2">
      <c r="B278" t="str">
        <f>Tabla13[[#This Row],[Oficina]]&amp;Tabla13[[#This Row],[Material]]</f>
        <v>Agrosuper Shanghai1021204</v>
      </c>
      <c r="C278" t="s">
        <v>6</v>
      </c>
      <c r="D278" t="s">
        <v>140</v>
      </c>
      <c r="E278">
        <v>1021204</v>
      </c>
      <c r="F278" t="s">
        <v>49</v>
      </c>
      <c r="G278" t="s">
        <v>11</v>
      </c>
      <c r="I278" s="15">
        <f>IFERROR(VLOOKUP(Tabla13[[#This Row],[Llave]],'[1]Consolidado RV'!$B:$H,6,FALSE),0)</f>
        <v>0</v>
      </c>
      <c r="J278" s="3">
        <f>IFERROR(VLOOKUP(Tabla13[[#This Row],[Llave]],'[1]Consolidado RV'!$B:$H,7,FALSE),0)</f>
        <v>48000</v>
      </c>
      <c r="K278" s="17">
        <f>IFERROR(VLOOKUP(Tabla13[[#This Row],[Oficina]],#REF!,2,FALSE),0)</f>
        <v>0</v>
      </c>
      <c r="L278" s="7">
        <f>+Tabla13[[#This Row],[ RV Producción mes n+1]]*Tabla13[[#This Row],[% Uti. producción]]</f>
        <v>0</v>
      </c>
      <c r="M278" s="7">
        <f>IFERROR(VLOOKUP(Tabla13[[#This Row],[Material]],#REF!,2,FALSE),0)</f>
        <v>0</v>
      </c>
      <c r="N278" s="15">
        <f>IFERROR(VLOOKUP(Tabla13[[#This Row],[Llave]],'En puerto-Programado'!A:D,4,FALSE)+VLOOKUP(Tabla13[[#This Row],[Llave]],'Por despachar'!A:F,6,FALSE),0)</f>
        <v>0</v>
      </c>
      <c r="O278" s="7">
        <f>IFERROR(VLOOKUP(Tabla13[[#This Row],[Material]],[2]Consolidado!$C:$D,2,FALSE),0)</f>
        <v>25610.933333333338</v>
      </c>
      <c r="P278" s="7">
        <f>IFERROR(VLOOKUP(Tabla13[[#This Row],[Llave]],'Por despachar'!A:E,5,FALSE),0)</f>
        <v>0</v>
      </c>
      <c r="Q278" s="14">
        <f>SUM(Tabla13[[#This Row],[Producción disponible]],Tabla13[[#This Row],[Stock al día]],Tabla13[[#This Row],[Por producir Abr.]])-SUM(Tabla13[[#This Row],[Stock por despachar N]],Tabla13[[#This Row],[Producción por despachar mes N]])</f>
        <v>25610.933333333338</v>
      </c>
      <c r="R278" s="7">
        <f>IFERROR(VLOOKUP(Tabla13[[#This Row],[Llave]],[3]Hoja2!$A:$D,4,FALSE),0)</f>
        <v>0</v>
      </c>
      <c r="S278" s="9">
        <f>IFERROR(VLOOKUP(Tabla13[[#This Row],[Material]],[4]Hoja1!$B:$C,2,FALSE),0)</f>
        <v>24000</v>
      </c>
      <c r="T278" s="5">
        <f t="shared" si="9"/>
        <v>0</v>
      </c>
      <c r="U278" s="3">
        <f>+Tabla13[[#This Row],[Total disponible]]-Tabla13[[#This Row],[Atraso a facturar]]</f>
        <v>25610.933333333338</v>
      </c>
      <c r="V278" s="6">
        <f t="shared" si="10"/>
        <v>24000</v>
      </c>
      <c r="W278" s="3" t="str">
        <f>IF(Tabla13[[#This Row],[Venta del mes]]&gt;Tabla13[[#This Row],[ RV  Venta mes n+1]],"Falta venta","-")</f>
        <v>-</v>
      </c>
      <c r="X278" s="7"/>
      <c r="Y278" s="18">
        <v>0</v>
      </c>
      <c r="Z278" s="5">
        <f>+Tabla13[[#This Row],[Atraso a facturar]]+Tabla13[[#This Row],[Venta del mes]]+Tabla13[[#This Row],[Ajuste]]</f>
        <v>24000</v>
      </c>
      <c r="AA278" s="6">
        <f>+Tabla13[[#This Row],[Atraso a facturar]]+Tabla13[[#This Row],[Venta del mes]]+Tabla13[[#This Row],[En puerto a facturar]]</f>
        <v>24000</v>
      </c>
      <c r="AB278" s="20">
        <f>IFERROR(VLOOKUP(Tabla13[[#This Row],[Llave]],'[5]Consolidación planes'!$A:$M,9,FALSE),0)</f>
        <v>0</v>
      </c>
      <c r="AC278" s="20">
        <f>IFERROR(VLOOKUP(Tabla13[[#This Row],[Llave]],'[5]Consolidación planes'!$A:$M,10,FALSE),0)</f>
        <v>0</v>
      </c>
      <c r="AD278" s="20">
        <f>IFERROR(VLOOKUP(Tabla13[[#This Row],[Llave]],'[5]Consolidación planes'!$A:$M,11,FALSE),0)</f>
        <v>0</v>
      </c>
      <c r="AE278" s="20">
        <f>IFERROR(VLOOKUP(Tabla13[[#This Row],[Llave]],'[5]Consolidación planes'!$A:$M,12,FALSE),0)</f>
        <v>0</v>
      </c>
      <c r="AF278" s="20">
        <f>IFERROR(VLOOKUP(Tabla13[[#This Row],[Llave]],'[5]Consolidación planes'!$A:$M,13,FALSE),0)</f>
        <v>0</v>
      </c>
    </row>
    <row r="279" spans="2:32" ht="16" hidden="1" x14ac:dyDescent="0.2">
      <c r="B279" t="str">
        <f>Tabla13[[#This Row],[Oficina]]&amp;Tabla13[[#This Row],[Material]]</f>
        <v>Agrosuper Shanghai1021905</v>
      </c>
      <c r="C279" t="s">
        <v>6</v>
      </c>
      <c r="D279" t="s">
        <v>140</v>
      </c>
      <c r="E279">
        <v>1021905</v>
      </c>
      <c r="F279" t="s">
        <v>283</v>
      </c>
      <c r="G279" t="s">
        <v>71</v>
      </c>
      <c r="I279" s="15">
        <f>IFERROR(VLOOKUP(Tabla13[[#This Row],[Llave]],'[1]Consolidado RV'!$B:$H,6,FALSE),0)</f>
        <v>209718.83100000001</v>
      </c>
      <c r="J279" s="3">
        <f>IFERROR(VLOOKUP(Tabla13[[#This Row],[Llave]],'[1]Consolidado RV'!$B:$H,7,FALSE),0)</f>
        <v>240000</v>
      </c>
      <c r="K279" s="17">
        <f>IFERROR(VLOOKUP(Tabla13[[#This Row],[Oficina]],#REF!,2,FALSE),0)</f>
        <v>0</v>
      </c>
      <c r="L279" s="7">
        <f>+Tabla13[[#This Row],[ RV Producción mes n+1]]*Tabla13[[#This Row],[% Uti. producción]]</f>
        <v>0</v>
      </c>
      <c r="M279" s="7">
        <f>IFERROR(VLOOKUP(Tabla13[[#This Row],[Material]],#REF!,2,FALSE),0)</f>
        <v>0</v>
      </c>
      <c r="N279" s="15">
        <f>IFERROR(VLOOKUP(Tabla13[[#This Row],[Llave]],'En puerto-Programado'!A:D,4,FALSE)+VLOOKUP(Tabla13[[#This Row],[Llave]],'Por despachar'!A:F,6,FALSE),0)</f>
        <v>0</v>
      </c>
      <c r="O279" s="7">
        <f>IFERROR(VLOOKUP(Tabla13[[#This Row],[Material]],[2]Consolidado!$C:$D,2,FALSE),0)</f>
        <v>0</v>
      </c>
      <c r="P279" s="7">
        <f>IFERROR(VLOOKUP(Tabla13[[#This Row],[Llave]],'Por despachar'!A:E,5,FALSE),0)</f>
        <v>0</v>
      </c>
      <c r="Q27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79" s="7">
        <f>IFERROR(VLOOKUP(Tabla13[[#This Row],[Llave]],[3]Hoja2!$A:$D,4,FALSE),0)</f>
        <v>0</v>
      </c>
      <c r="S279" s="9">
        <f>IFERROR(VLOOKUP(Tabla13[[#This Row],[Material]],[4]Hoja1!$B:$C,2,FALSE),0)</f>
        <v>24000</v>
      </c>
      <c r="T279" s="5">
        <f t="shared" ref="T279:T280" si="11">IF(AND(Q279&gt;R279,R279&gt;0),R279,IF(AND(Q279&lt;R279,R279&gt;0),(ROUNDDOWN(Q279/S279,0)*S279),0))</f>
        <v>0</v>
      </c>
      <c r="U279" s="3">
        <f>+Tabla13[[#This Row],[Total disponible]]-Tabla13[[#This Row],[Atraso a facturar]]</f>
        <v>0</v>
      </c>
      <c r="V279" s="6">
        <f t="shared" ref="V279:V280" si="12">IFERROR(IF(AND(U279&gt;S279,J279&gt;S279),ROUNDDOWN(U279/S279,0)*S279,0),0)</f>
        <v>0</v>
      </c>
      <c r="W279" s="3" t="str">
        <f>IF(Tabla13[[#This Row],[Venta del mes]]&gt;Tabla13[[#This Row],[ RV  Venta mes n+1]],"Falta venta","-")</f>
        <v>-</v>
      </c>
      <c r="X279" s="7"/>
      <c r="Y279" s="18">
        <v>0</v>
      </c>
      <c r="Z279" s="5">
        <f>+Tabla13[[#This Row],[Atraso a facturar]]+Tabla13[[#This Row],[Venta del mes]]+Tabla13[[#This Row],[Ajuste]]</f>
        <v>0</v>
      </c>
      <c r="AA279" s="6">
        <f>+Tabla13[[#This Row],[Atraso a facturar]]+Tabla13[[#This Row],[Venta del mes]]+Tabla13[[#This Row],[En puerto a facturar]]</f>
        <v>0</v>
      </c>
      <c r="AB279" s="20">
        <f>IFERROR(VLOOKUP(Tabla13[[#This Row],[Llave]],'[5]Consolidación planes'!$A:$M,9,FALSE),0)</f>
        <v>0</v>
      </c>
      <c r="AC279" s="20">
        <f>IFERROR(VLOOKUP(Tabla13[[#This Row],[Llave]],'[5]Consolidación planes'!$A:$M,10,FALSE),0)</f>
        <v>0</v>
      </c>
      <c r="AD279" s="20">
        <f>IFERROR(VLOOKUP(Tabla13[[#This Row],[Llave]],'[5]Consolidación planes'!$A:$M,11,FALSE),0)</f>
        <v>0</v>
      </c>
      <c r="AE279" s="20">
        <f>IFERROR(VLOOKUP(Tabla13[[#This Row],[Llave]],'[5]Consolidación planes'!$A:$M,12,FALSE),0)</f>
        <v>0</v>
      </c>
      <c r="AF279" s="20">
        <f>IFERROR(VLOOKUP(Tabla13[[#This Row],[Llave]],'[5]Consolidación planes'!$A:$M,13,FALSE),0)</f>
        <v>0</v>
      </c>
    </row>
    <row r="280" spans="2:32" ht="16" hidden="1" x14ac:dyDescent="0.2">
      <c r="B280" t="str">
        <f>Tabla13[[#This Row],[Oficina]]&amp;Tabla13[[#This Row],[Material]]</f>
        <v>Agrosuper Shanghai1021971</v>
      </c>
      <c r="C280" t="s">
        <v>6</v>
      </c>
      <c r="D280" t="s">
        <v>140</v>
      </c>
      <c r="E280">
        <v>1021971</v>
      </c>
      <c r="F280" t="s">
        <v>399</v>
      </c>
      <c r="G280" t="s">
        <v>8</v>
      </c>
      <c r="I280" s="15">
        <f>IFERROR(VLOOKUP(Tabla13[[#This Row],[Llave]],'[1]Consolidado RV'!$B:$H,6,FALSE),0)</f>
        <v>44752.915000000001</v>
      </c>
      <c r="J280" s="3">
        <f>IFERROR(VLOOKUP(Tabla13[[#This Row],[Llave]],'[1]Consolidado RV'!$B:$H,7,FALSE),0)</f>
        <v>44752.915000000001</v>
      </c>
      <c r="K280" s="17">
        <f>IFERROR(VLOOKUP(Tabla13[[#This Row],[Oficina]],#REF!,2,FALSE),0)</f>
        <v>0</v>
      </c>
      <c r="L280" s="7">
        <f>+Tabla13[[#This Row],[ RV Producción mes n+1]]*Tabla13[[#This Row],[% Uti. producción]]</f>
        <v>0</v>
      </c>
      <c r="M280" s="7">
        <f>IFERROR(VLOOKUP(Tabla13[[#This Row],[Material]],#REF!,2,FALSE),0)</f>
        <v>0</v>
      </c>
      <c r="N280" s="15">
        <f>IFERROR(VLOOKUP(Tabla13[[#This Row],[Llave]],'En puerto-Programado'!A:D,4,FALSE)+VLOOKUP(Tabla13[[#This Row],[Llave]],'Por despachar'!A:F,6,FALSE),0)</f>
        <v>0</v>
      </c>
      <c r="O280" s="7">
        <f>IFERROR(VLOOKUP(Tabla13[[#This Row],[Material]],[2]Consolidado!$C:$D,2,FALSE),0)</f>
        <v>0</v>
      </c>
      <c r="P280" s="7">
        <f>IFERROR(VLOOKUP(Tabla13[[#This Row],[Llave]],'Por despachar'!A:E,5,FALSE),0)</f>
        <v>0</v>
      </c>
      <c r="Q28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80" s="7">
        <f>IFERROR(VLOOKUP(Tabla13[[#This Row],[Llave]],[3]Hoja2!$A:$D,4,FALSE),0)</f>
        <v>0</v>
      </c>
      <c r="S280" s="9">
        <f>IFERROR(VLOOKUP(Tabla13[[#This Row],[Material]],[4]Hoja1!$B:$C,2,FALSE),0)</f>
        <v>24000</v>
      </c>
      <c r="T280" s="5">
        <f t="shared" si="11"/>
        <v>0</v>
      </c>
      <c r="U280" s="3">
        <f>+Tabla13[[#This Row],[Total disponible]]-Tabla13[[#This Row],[Atraso a facturar]]</f>
        <v>0</v>
      </c>
      <c r="V280" s="6">
        <f t="shared" si="12"/>
        <v>0</v>
      </c>
      <c r="W280" s="3" t="str">
        <f>IF(Tabla13[[#This Row],[Venta del mes]]&gt;Tabla13[[#This Row],[ RV  Venta mes n+1]],"Falta venta","-")</f>
        <v>-</v>
      </c>
      <c r="X280" s="7"/>
      <c r="Y280" s="18">
        <v>0</v>
      </c>
      <c r="Z280" s="5">
        <f>+Tabla13[[#This Row],[Atraso a facturar]]+Tabla13[[#This Row],[Venta del mes]]+Tabla13[[#This Row],[Ajuste]]</f>
        <v>0</v>
      </c>
      <c r="AA280" s="6">
        <f>+Tabla13[[#This Row],[Atraso a facturar]]+Tabla13[[#This Row],[Venta del mes]]+Tabla13[[#This Row],[En puerto a facturar]]</f>
        <v>0</v>
      </c>
      <c r="AB280" s="20">
        <f>IFERROR(VLOOKUP(Tabla13[[#This Row],[Llave]],'[5]Consolidación planes'!$A:$M,9,FALSE),0)</f>
        <v>0</v>
      </c>
      <c r="AC280" s="20">
        <f>IFERROR(VLOOKUP(Tabla13[[#This Row],[Llave]],'[5]Consolidación planes'!$A:$M,10,FALSE),0)</f>
        <v>0</v>
      </c>
      <c r="AD280" s="20">
        <f>IFERROR(VLOOKUP(Tabla13[[#This Row],[Llave]],'[5]Consolidación planes'!$A:$M,11,FALSE),0)</f>
        <v>0</v>
      </c>
      <c r="AE280" s="20">
        <f>IFERROR(VLOOKUP(Tabla13[[#This Row],[Llave]],'[5]Consolidación planes'!$A:$M,12,FALSE),0)</f>
        <v>0</v>
      </c>
      <c r="AF280" s="20">
        <f>IFERROR(VLOOKUP(Tabla13[[#This Row],[Llave]],'[5]Consolidación planes'!$A:$M,13,FALSE),0)</f>
        <v>0</v>
      </c>
    </row>
    <row r="281" spans="2:32" ht="16" hidden="1" x14ac:dyDescent="0.2">
      <c r="B281" t="str">
        <f>Tabla13[[#This Row],[Oficina]]&amp;Tabla13[[#This Row],[Material]]</f>
        <v>Agrosuper Shanghai1022418</v>
      </c>
      <c r="C281" t="s">
        <v>6</v>
      </c>
      <c r="D281" t="s">
        <v>140</v>
      </c>
      <c r="E281">
        <v>1022418</v>
      </c>
      <c r="F281" t="s">
        <v>402</v>
      </c>
      <c r="G281" t="s">
        <v>76</v>
      </c>
      <c r="I281" s="15">
        <f>IFERROR(VLOOKUP(Tabla13[[#This Row],[Llave]],'[1]Consolidado RV'!$B:$H,6,FALSE),0)</f>
        <v>41231.112999999998</v>
      </c>
      <c r="J281" s="3">
        <f>IFERROR(VLOOKUP(Tabla13[[#This Row],[Llave]],'[1]Consolidado RV'!$B:$H,7,FALSE),0)</f>
        <v>41231.112999999998</v>
      </c>
      <c r="K281" s="17">
        <f>IFERROR(VLOOKUP(Tabla13[[#This Row],[Oficina]],#REF!,2,FALSE),0)</f>
        <v>0</v>
      </c>
      <c r="L281" s="7">
        <f>+Tabla13[[#This Row],[ RV Producción mes n+1]]*Tabla13[[#This Row],[% Uti. producción]]</f>
        <v>0</v>
      </c>
      <c r="M281" s="7">
        <f>IFERROR(VLOOKUP(Tabla13[[#This Row],[Material]],#REF!,2,FALSE),0)</f>
        <v>0</v>
      </c>
      <c r="N281" s="15">
        <f>IFERROR(VLOOKUP(Tabla13[[#This Row],[Llave]],'En puerto-Programado'!A:D,4,FALSE)+VLOOKUP(Tabla13[[#This Row],[Llave]],'Por despachar'!A:F,6,FALSE),0)</f>
        <v>0</v>
      </c>
      <c r="O281" s="7">
        <f>IFERROR(VLOOKUP(Tabla13[[#This Row],[Material]],[2]Consolidado!$C:$D,2,FALSE),0)</f>
        <v>0</v>
      </c>
      <c r="P281" s="7">
        <f>IFERROR(VLOOKUP(Tabla13[[#This Row],[Llave]],'Por despachar'!A:E,5,FALSE),0)</f>
        <v>0</v>
      </c>
      <c r="Q28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81" s="7">
        <f>IFERROR(VLOOKUP(Tabla13[[#This Row],[Llave]],[3]Hoja2!$A:$D,4,FALSE),0)</f>
        <v>0</v>
      </c>
      <c r="S281" s="9">
        <f>IFERROR(VLOOKUP(Tabla13[[#This Row],[Material]],[4]Hoja1!$B:$C,2,FALSE),0)</f>
        <v>24000</v>
      </c>
      <c r="T281" s="5">
        <f>IF(AND(Q281&gt;R281,R281&gt;0),R281,IF(AND(Q281&lt;R281,R281&gt;0),(ROUNDDOWN(Q281/S281,0)*S281),0))</f>
        <v>0</v>
      </c>
      <c r="U281" s="3">
        <f>+Tabla13[[#This Row],[Total disponible]]-Tabla13[[#This Row],[Atraso a facturar]]</f>
        <v>0</v>
      </c>
      <c r="V281" s="6">
        <f>IFERROR(IF(AND(U281&gt;S281,J281&gt;S281),ROUNDDOWN(U281/S281,0)*S281,0),0)</f>
        <v>0</v>
      </c>
      <c r="W281" s="3" t="str">
        <f>IF(Tabla13[[#This Row],[Venta del mes]]&gt;Tabla13[[#This Row],[ RV  Venta mes n+1]],"Falta venta","-")</f>
        <v>-</v>
      </c>
      <c r="X281" s="7"/>
      <c r="Y281" s="18">
        <v>0</v>
      </c>
      <c r="Z281" s="5">
        <f>+Tabla13[[#This Row],[Atraso a facturar]]+Tabla13[[#This Row],[Venta del mes]]+Tabla13[[#This Row],[Ajuste]]</f>
        <v>0</v>
      </c>
      <c r="AA281" s="6">
        <f>+Tabla13[[#This Row],[Atraso a facturar]]+Tabla13[[#This Row],[Venta del mes]]+Tabla13[[#This Row],[En puerto a facturar]]</f>
        <v>0</v>
      </c>
      <c r="AB281" s="20">
        <f>IFERROR(VLOOKUP(Tabla13[[#This Row],[Llave]],'[5]Consolidación planes'!$A:$M,9,FALSE),0)</f>
        <v>0</v>
      </c>
      <c r="AC281" s="20">
        <f>IFERROR(VLOOKUP(Tabla13[[#This Row],[Llave]],'[5]Consolidación planes'!$A:$M,10,FALSE),0)</f>
        <v>0</v>
      </c>
      <c r="AD281" s="20">
        <f>IFERROR(VLOOKUP(Tabla13[[#This Row],[Llave]],'[5]Consolidación planes'!$A:$M,11,FALSE),0)</f>
        <v>0</v>
      </c>
      <c r="AE281" s="20">
        <f>IFERROR(VLOOKUP(Tabla13[[#This Row],[Llave]],'[5]Consolidación planes'!$A:$M,12,FALSE),0)</f>
        <v>0</v>
      </c>
      <c r="AF281" s="20">
        <f>IFERROR(VLOOKUP(Tabla13[[#This Row],[Llave]],'[5]Consolidación planes'!$A:$M,13,FALSE),0)</f>
        <v>0</v>
      </c>
    </row>
    <row r="282" spans="2:32" ht="16" hidden="1" x14ac:dyDescent="0.2">
      <c r="B282" t="str">
        <f>Tabla13[[#This Row],[Oficina]]&amp;Tabla13[[#This Row],[Material]]</f>
        <v>Agrosuper Asia1022605</v>
      </c>
      <c r="C282" t="s">
        <v>6</v>
      </c>
      <c r="D282" t="s">
        <v>173</v>
      </c>
      <c r="E282">
        <v>1022605</v>
      </c>
      <c r="F282" t="s">
        <v>403</v>
      </c>
      <c r="G282" t="s">
        <v>76</v>
      </c>
      <c r="I282" s="15">
        <f>IFERROR(VLOOKUP(Tabla13[[#This Row],[Llave]],'[1]Consolidado RV'!$B:$H,6,FALSE),0)</f>
        <v>13358.5119</v>
      </c>
      <c r="J282" s="3">
        <f>IFERROR(VLOOKUP(Tabla13[[#This Row],[Llave]],'[1]Consolidado RV'!$B:$H,7,FALSE),0)</f>
        <v>13937.5119</v>
      </c>
      <c r="K282" s="17">
        <f>IFERROR(VLOOKUP(Tabla13[[#This Row],[Oficina]],#REF!,2,FALSE),0)</f>
        <v>0</v>
      </c>
      <c r="L282" s="7">
        <f>+Tabla13[[#This Row],[ RV Producción mes n+1]]*Tabla13[[#This Row],[% Uti. producción]]</f>
        <v>0</v>
      </c>
      <c r="M282" s="7">
        <f>IFERROR(VLOOKUP(Tabla13[[#This Row],[Material]],#REF!,2,FALSE),0)</f>
        <v>0</v>
      </c>
      <c r="N282" s="15">
        <f>IFERROR(VLOOKUP(Tabla13[[#This Row],[Llave]],'En puerto-Programado'!A:D,4,FALSE)+VLOOKUP(Tabla13[[#This Row],[Llave]],'Por despachar'!A:F,6,FALSE),0)</f>
        <v>0</v>
      </c>
      <c r="O282" s="7">
        <f>IFERROR(VLOOKUP(Tabla13[[#This Row],[Material]],[2]Consolidado!$C:$D,2,FALSE),0)</f>
        <v>0</v>
      </c>
      <c r="P282" s="7">
        <f>IFERROR(VLOOKUP(Tabla13[[#This Row],[Llave]],'Por despachar'!A:E,5,FALSE),0)</f>
        <v>0</v>
      </c>
      <c r="Q282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82" s="7">
        <f>IFERROR(VLOOKUP(Tabla13[[#This Row],[Llave]],[3]Hoja2!$A:$D,4,FALSE),0)</f>
        <v>0</v>
      </c>
      <c r="S282" s="9">
        <f>IFERROR(VLOOKUP(Tabla13[[#This Row],[Material]],[4]Hoja1!$B:$C,2,FALSE),0)</f>
        <v>7000</v>
      </c>
      <c r="T282" s="5">
        <f>IF(AND(Q282&gt;R282,R282&gt;0),R282,IF(AND(Q282&lt;R282,R282&gt;0),(ROUNDDOWN(Q282/S282,0)*S282),0))</f>
        <v>0</v>
      </c>
      <c r="U282" s="3">
        <f>+Tabla13[[#This Row],[Total disponible]]-Tabla13[[#This Row],[Atraso a facturar]]</f>
        <v>0</v>
      </c>
      <c r="V282" s="6">
        <f>IFERROR(IF(AND(U282&gt;S282,J282&gt;S282),ROUNDDOWN(U282/S282,0)*S282,0),0)</f>
        <v>0</v>
      </c>
      <c r="W282" s="3" t="str">
        <f>IF(Tabla13[[#This Row],[Venta del mes]]&gt;Tabla13[[#This Row],[ RV  Venta mes n+1]],"Falta venta","-")</f>
        <v>-</v>
      </c>
      <c r="X282" s="7"/>
      <c r="Y282" s="18">
        <v>0</v>
      </c>
      <c r="Z282" s="5">
        <f>+Tabla13[[#This Row],[Atraso a facturar]]+Tabla13[[#This Row],[Venta del mes]]+Tabla13[[#This Row],[Ajuste]]</f>
        <v>0</v>
      </c>
      <c r="AA282" s="6">
        <f>+Tabla13[[#This Row],[Atraso a facturar]]+Tabla13[[#This Row],[Venta del mes]]+Tabla13[[#This Row],[En puerto a facturar]]</f>
        <v>0</v>
      </c>
      <c r="AB282" s="20">
        <f>IFERROR(VLOOKUP(Tabla13[[#This Row],[Llave]],'[5]Consolidación planes'!$A:$M,9,FALSE),0)</f>
        <v>0</v>
      </c>
      <c r="AC282" s="20">
        <f>IFERROR(VLOOKUP(Tabla13[[#This Row],[Llave]],'[5]Consolidación planes'!$A:$M,10,FALSE),0)</f>
        <v>0</v>
      </c>
      <c r="AD282" s="20">
        <f>IFERROR(VLOOKUP(Tabla13[[#This Row],[Llave]],'[5]Consolidación planes'!$A:$M,11,FALSE),0)</f>
        <v>0</v>
      </c>
      <c r="AE282" s="20">
        <f>IFERROR(VLOOKUP(Tabla13[[#This Row],[Llave]],'[5]Consolidación planes'!$A:$M,12,FALSE),0)</f>
        <v>0</v>
      </c>
      <c r="AF282" s="20">
        <f>IFERROR(VLOOKUP(Tabla13[[#This Row],[Llave]],'[5]Consolidación planes'!$A:$M,13,FALSE),0)</f>
        <v>0</v>
      </c>
    </row>
    <row r="283" spans="2:32" ht="16" hidden="1" x14ac:dyDescent="0.2">
      <c r="B283" t="str">
        <f>Tabla13[[#This Row],[Oficina]]&amp;Tabla13[[#This Row],[Material]]</f>
        <v>Agrosuper Brasil1022786</v>
      </c>
      <c r="C283" t="s">
        <v>6</v>
      </c>
      <c r="D283" t="s">
        <v>7</v>
      </c>
      <c r="E283">
        <v>1022786</v>
      </c>
      <c r="F283" t="s">
        <v>404</v>
      </c>
      <c r="G283" t="s">
        <v>76</v>
      </c>
      <c r="I283" s="15">
        <f>IFERROR(VLOOKUP(Tabla13[[#This Row],[Llave]],'[1]Consolidado RV'!$B:$H,6,FALSE),0)</f>
        <v>300</v>
      </c>
      <c r="J283" s="3">
        <f>IFERROR(VLOOKUP(Tabla13[[#This Row],[Llave]],'[1]Consolidado RV'!$B:$H,7,FALSE),0)</f>
        <v>300</v>
      </c>
      <c r="K283" s="17">
        <f>IFERROR(VLOOKUP(Tabla13[[#This Row],[Oficina]],#REF!,2,FALSE),0)</f>
        <v>0</v>
      </c>
      <c r="L283" s="7">
        <f>+Tabla13[[#This Row],[ RV Producción mes n+1]]*Tabla13[[#This Row],[% Uti. producción]]</f>
        <v>0</v>
      </c>
      <c r="M283" s="7">
        <f>IFERROR(VLOOKUP(Tabla13[[#This Row],[Material]],#REF!,2,FALSE),0)</f>
        <v>0</v>
      </c>
      <c r="N283" s="15">
        <f>IFERROR(VLOOKUP(Tabla13[[#This Row],[Llave]],'En puerto-Programado'!A:D,4,FALSE)+VLOOKUP(Tabla13[[#This Row],[Llave]],'Por despachar'!A:F,6,FALSE),0)</f>
        <v>0</v>
      </c>
      <c r="O283" s="7">
        <f>IFERROR(VLOOKUP(Tabla13[[#This Row],[Material]],[2]Consolidado!$C:$D,2,FALSE),0)</f>
        <v>0</v>
      </c>
      <c r="P283" s="7">
        <f>IFERROR(VLOOKUP(Tabla13[[#This Row],[Llave]],'Por despachar'!A:E,5,FALSE),0)</f>
        <v>0</v>
      </c>
      <c r="Q283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83" s="7">
        <f>IFERROR(VLOOKUP(Tabla13[[#This Row],[Llave]],[3]Hoja2!$A:$D,4,FALSE),0)</f>
        <v>0</v>
      </c>
      <c r="S283" s="9">
        <f>IFERROR(VLOOKUP(Tabla13[[#This Row],[Material]],[4]Hoja1!$B:$C,2,FALSE),0)</f>
        <v>24000</v>
      </c>
      <c r="T283" s="5">
        <f>IF(AND(Q283&gt;R283,R283&gt;0),R283,IF(AND(Q283&lt;R283,R283&gt;0),(ROUNDDOWN(Q283/S283,0)*S283),0))</f>
        <v>0</v>
      </c>
      <c r="U283" s="3">
        <f>+Tabla13[[#This Row],[Total disponible]]-Tabla13[[#This Row],[Atraso a facturar]]</f>
        <v>0</v>
      </c>
      <c r="V283" s="6">
        <f>IFERROR(IF(AND(U283&gt;S283,J283&gt;S283),ROUNDDOWN(U283/S283,0)*S283,0),0)</f>
        <v>0</v>
      </c>
      <c r="W283" s="3" t="str">
        <f>IF(Tabla13[[#This Row],[Venta del mes]]&gt;Tabla13[[#This Row],[ RV  Venta mes n+1]],"Falta venta","-")</f>
        <v>-</v>
      </c>
      <c r="X283" s="7"/>
      <c r="Y283" s="18">
        <v>0</v>
      </c>
      <c r="Z283" s="5">
        <f>+Tabla13[[#This Row],[Atraso a facturar]]+Tabla13[[#This Row],[Venta del mes]]+Tabla13[[#This Row],[Ajuste]]</f>
        <v>0</v>
      </c>
      <c r="AA283" s="6">
        <f>+Tabla13[[#This Row],[Atraso a facturar]]+Tabla13[[#This Row],[Venta del mes]]+Tabla13[[#This Row],[En puerto a facturar]]</f>
        <v>0</v>
      </c>
      <c r="AB283" s="20">
        <f>IFERROR(VLOOKUP(Tabla13[[#This Row],[Llave]],'[5]Consolidación planes'!$A:$M,9,FALSE),0)</f>
        <v>0</v>
      </c>
      <c r="AC283" s="20">
        <f>IFERROR(VLOOKUP(Tabla13[[#This Row],[Llave]],'[5]Consolidación planes'!$A:$M,10,FALSE),0)</f>
        <v>0</v>
      </c>
      <c r="AD283" s="20">
        <f>IFERROR(VLOOKUP(Tabla13[[#This Row],[Llave]],'[5]Consolidación planes'!$A:$M,11,FALSE),0)</f>
        <v>0</v>
      </c>
      <c r="AE283" s="20">
        <f>IFERROR(VLOOKUP(Tabla13[[#This Row],[Llave]],'[5]Consolidación planes'!$A:$M,12,FALSE),0)</f>
        <v>0</v>
      </c>
      <c r="AF283" s="20">
        <f>IFERROR(VLOOKUP(Tabla13[[#This Row],[Llave]],'[5]Consolidación planes'!$A:$M,13,FALSE),0)</f>
        <v>0</v>
      </c>
    </row>
    <row r="284" spans="2:32" ht="16" hidden="1" x14ac:dyDescent="0.2">
      <c r="B284" t="str">
        <f>Tabla13[[#This Row],[Oficina]]&amp;Tabla13[[#This Row],[Material]]</f>
        <v>Agro Sudamerica1022842</v>
      </c>
      <c r="C284" t="s">
        <v>6</v>
      </c>
      <c r="D284" t="s">
        <v>17</v>
      </c>
      <c r="E284">
        <v>1022842</v>
      </c>
      <c r="F284" t="s">
        <v>405</v>
      </c>
      <c r="G284" t="s">
        <v>71</v>
      </c>
      <c r="I284" s="15">
        <f>IFERROR(VLOOKUP(Tabla13[[#This Row],[Llave]],'[1]Consolidado RV'!$B:$H,6,FALSE),0)</f>
        <v>24000</v>
      </c>
      <c r="J284" s="3">
        <f>IFERROR(VLOOKUP(Tabla13[[#This Row],[Llave]],'[1]Consolidado RV'!$B:$H,7,FALSE),0)</f>
        <v>24000</v>
      </c>
      <c r="K284" s="17">
        <f>IFERROR(VLOOKUP(Tabla13[[#This Row],[Oficina]],#REF!,2,FALSE),0)</f>
        <v>0</v>
      </c>
      <c r="L284" s="7">
        <f>+Tabla13[[#This Row],[ RV Producción mes n+1]]*Tabla13[[#This Row],[% Uti. producción]]</f>
        <v>0</v>
      </c>
      <c r="M284" s="7">
        <f>IFERROR(VLOOKUP(Tabla13[[#This Row],[Material]],#REF!,2,FALSE),0)</f>
        <v>0</v>
      </c>
      <c r="N284" s="15">
        <f>IFERROR(VLOOKUP(Tabla13[[#This Row],[Llave]],'En puerto-Programado'!A:D,4,FALSE)+VLOOKUP(Tabla13[[#This Row],[Llave]],'Por despachar'!A:F,6,FALSE),0)</f>
        <v>0</v>
      </c>
      <c r="O284" s="7">
        <f>IFERROR(VLOOKUP(Tabla13[[#This Row],[Material]],[2]Consolidado!$C:$D,2,FALSE),0)</f>
        <v>0</v>
      </c>
      <c r="P284" s="7">
        <f>IFERROR(VLOOKUP(Tabla13[[#This Row],[Llave]],'Por despachar'!A:E,5,FALSE),0)</f>
        <v>0</v>
      </c>
      <c r="Q284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84" s="7">
        <f>IFERROR(VLOOKUP(Tabla13[[#This Row],[Llave]],[3]Hoja2!$A:$D,4,FALSE),0)</f>
        <v>0</v>
      </c>
      <c r="S284" s="9">
        <f>IFERROR(VLOOKUP(Tabla13[[#This Row],[Material]],[4]Hoja1!$B:$C,2,FALSE),0)</f>
        <v>24000</v>
      </c>
      <c r="T284" s="5">
        <f t="shared" ref="T284:T285" si="13">IF(AND(Q284&gt;R284,R284&gt;0),R284,IF(AND(Q284&lt;R284,R284&gt;0),(ROUNDDOWN(Q284/S284,0)*S284),0))</f>
        <v>0</v>
      </c>
      <c r="U284" s="3">
        <f>+Tabla13[[#This Row],[Total disponible]]-Tabla13[[#This Row],[Atraso a facturar]]</f>
        <v>0</v>
      </c>
      <c r="V284" s="6">
        <f t="shared" ref="V284:V285" si="14">IFERROR(IF(AND(U284&gt;S284,J284&gt;S284),ROUNDDOWN(U284/S284,0)*S284,0),0)</f>
        <v>0</v>
      </c>
      <c r="W284" s="3" t="str">
        <f>IF(Tabla13[[#This Row],[Venta del mes]]&gt;Tabla13[[#This Row],[ RV  Venta mes n+1]],"Falta venta","-")</f>
        <v>-</v>
      </c>
      <c r="X284" s="7"/>
      <c r="Y284" s="18">
        <v>0</v>
      </c>
      <c r="Z284" s="5">
        <f>+Tabla13[[#This Row],[Atraso a facturar]]+Tabla13[[#This Row],[Venta del mes]]+Tabla13[[#This Row],[Ajuste]]</f>
        <v>0</v>
      </c>
      <c r="AA284" s="6">
        <f>+Tabla13[[#This Row],[Atraso a facturar]]+Tabla13[[#This Row],[Venta del mes]]+Tabla13[[#This Row],[En puerto a facturar]]</f>
        <v>0</v>
      </c>
      <c r="AB284" s="20">
        <f>IFERROR(VLOOKUP(Tabla13[[#This Row],[Llave]],'[5]Consolidación planes'!$A:$M,9,FALSE),0)</f>
        <v>0</v>
      </c>
      <c r="AC284" s="20">
        <f>IFERROR(VLOOKUP(Tabla13[[#This Row],[Llave]],'[5]Consolidación planes'!$A:$M,10,FALSE),0)</f>
        <v>0</v>
      </c>
      <c r="AD284" s="20">
        <f>IFERROR(VLOOKUP(Tabla13[[#This Row],[Llave]],'[5]Consolidación planes'!$A:$M,11,FALSE),0)</f>
        <v>0</v>
      </c>
      <c r="AE284" s="20">
        <f>IFERROR(VLOOKUP(Tabla13[[#This Row],[Llave]],'[5]Consolidación planes'!$A:$M,12,FALSE),0)</f>
        <v>0</v>
      </c>
      <c r="AF284" s="20">
        <f>IFERROR(VLOOKUP(Tabla13[[#This Row],[Llave]],'[5]Consolidación planes'!$A:$M,13,FALSE),0)</f>
        <v>0</v>
      </c>
    </row>
    <row r="285" spans="2:32" ht="16" hidden="1" x14ac:dyDescent="0.2">
      <c r="B285" t="str">
        <f>Tabla13[[#This Row],[Oficina]]&amp;Tabla13[[#This Row],[Material]]</f>
        <v>Agro Sudamerica1022844</v>
      </c>
      <c r="C285" t="s">
        <v>6</v>
      </c>
      <c r="D285" t="s">
        <v>17</v>
      </c>
      <c r="E285">
        <v>1022844</v>
      </c>
      <c r="F285" t="s">
        <v>406</v>
      </c>
      <c r="G285" t="s">
        <v>71</v>
      </c>
      <c r="I285" s="15">
        <f>IFERROR(VLOOKUP(Tabla13[[#This Row],[Llave]],'[1]Consolidado RV'!$B:$H,6,FALSE),0)</f>
        <v>48000</v>
      </c>
      <c r="J285" s="3">
        <f>IFERROR(VLOOKUP(Tabla13[[#This Row],[Llave]],'[1]Consolidado RV'!$B:$H,7,FALSE),0)</f>
        <v>48000</v>
      </c>
      <c r="K285" s="17">
        <f>IFERROR(VLOOKUP(Tabla13[[#This Row],[Oficina]],#REF!,2,FALSE),0)</f>
        <v>0</v>
      </c>
      <c r="L285" s="7">
        <f>+Tabla13[[#This Row],[ RV Producción mes n+1]]*Tabla13[[#This Row],[% Uti. producción]]</f>
        <v>0</v>
      </c>
      <c r="M285" s="7">
        <f>IFERROR(VLOOKUP(Tabla13[[#This Row],[Material]],#REF!,2,FALSE),0)</f>
        <v>0</v>
      </c>
      <c r="N285" s="15">
        <f>IFERROR(VLOOKUP(Tabla13[[#This Row],[Llave]],'En puerto-Programado'!A:D,4,FALSE)+VLOOKUP(Tabla13[[#This Row],[Llave]],'Por despachar'!A:F,6,FALSE),0)</f>
        <v>0</v>
      </c>
      <c r="O285" s="7">
        <f>IFERROR(VLOOKUP(Tabla13[[#This Row],[Material]],[2]Consolidado!$C:$D,2,FALSE),0)</f>
        <v>0</v>
      </c>
      <c r="P285" s="7">
        <f>IFERROR(VLOOKUP(Tabla13[[#This Row],[Llave]],'Por despachar'!A:E,5,FALSE),0)</f>
        <v>0</v>
      </c>
      <c r="Q285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85" s="7">
        <f>IFERROR(VLOOKUP(Tabla13[[#This Row],[Llave]],[3]Hoja2!$A:$D,4,FALSE),0)</f>
        <v>0</v>
      </c>
      <c r="S285" s="9">
        <f>IFERROR(VLOOKUP(Tabla13[[#This Row],[Material]],[4]Hoja1!$B:$C,2,FALSE),0)</f>
        <v>24000</v>
      </c>
      <c r="T285" s="5">
        <f t="shared" si="13"/>
        <v>0</v>
      </c>
      <c r="U285" s="3">
        <f>+Tabla13[[#This Row],[Total disponible]]-Tabla13[[#This Row],[Atraso a facturar]]</f>
        <v>0</v>
      </c>
      <c r="V285" s="6">
        <f t="shared" si="14"/>
        <v>0</v>
      </c>
      <c r="W285" s="3" t="str">
        <f>IF(Tabla13[[#This Row],[Venta del mes]]&gt;Tabla13[[#This Row],[ RV  Venta mes n+1]],"Falta venta","-")</f>
        <v>-</v>
      </c>
      <c r="X285" s="7"/>
      <c r="Y285" s="18">
        <v>0</v>
      </c>
      <c r="Z285" s="5">
        <f>+Tabla13[[#This Row],[Atraso a facturar]]+Tabla13[[#This Row],[Venta del mes]]+Tabla13[[#This Row],[Ajuste]]</f>
        <v>0</v>
      </c>
      <c r="AA285" s="6">
        <f>+Tabla13[[#This Row],[Atraso a facturar]]+Tabla13[[#This Row],[Venta del mes]]+Tabla13[[#This Row],[En puerto a facturar]]</f>
        <v>0</v>
      </c>
      <c r="AB285" s="20">
        <f>IFERROR(VLOOKUP(Tabla13[[#This Row],[Llave]],'[5]Consolidación planes'!$A:$M,9,FALSE),0)</f>
        <v>0</v>
      </c>
      <c r="AC285" s="20">
        <f>IFERROR(VLOOKUP(Tabla13[[#This Row],[Llave]],'[5]Consolidación planes'!$A:$M,10,FALSE),0)</f>
        <v>0</v>
      </c>
      <c r="AD285" s="20">
        <f>IFERROR(VLOOKUP(Tabla13[[#This Row],[Llave]],'[5]Consolidación planes'!$A:$M,11,FALSE),0)</f>
        <v>0</v>
      </c>
      <c r="AE285" s="20">
        <f>IFERROR(VLOOKUP(Tabla13[[#This Row],[Llave]],'[5]Consolidación planes'!$A:$M,12,FALSE),0)</f>
        <v>0</v>
      </c>
      <c r="AF285" s="20">
        <f>IFERROR(VLOOKUP(Tabla13[[#This Row],[Llave]],'[5]Consolidación planes'!$A:$M,13,FALSE),0)</f>
        <v>0</v>
      </c>
    </row>
    <row r="286" spans="2:32" ht="16" hidden="1" x14ac:dyDescent="0.2">
      <c r="B286" t="str">
        <f>Tabla13[[#This Row],[Oficina]]&amp;Tabla13[[#This Row],[Material]]</f>
        <v>Agrosuper Shanghai1022943</v>
      </c>
      <c r="C286" t="s">
        <v>6</v>
      </c>
      <c r="D286" t="s">
        <v>140</v>
      </c>
      <c r="E286">
        <v>1022943</v>
      </c>
      <c r="F286" t="s">
        <v>400</v>
      </c>
      <c r="G286" t="s">
        <v>50</v>
      </c>
      <c r="I286" s="15">
        <f>IFERROR(VLOOKUP(Tabla13[[#This Row],[Llave]],'[1]Consolidado RV'!$B:$H,6,FALSE),0)</f>
        <v>1400.854</v>
      </c>
      <c r="J286" s="3">
        <f>IFERROR(VLOOKUP(Tabla13[[#This Row],[Llave]],'[1]Consolidado RV'!$B:$H,7,FALSE),0)</f>
        <v>1400.854</v>
      </c>
      <c r="K286" s="17">
        <f>IFERROR(VLOOKUP(Tabla13[[#This Row],[Oficina]],#REF!,2,FALSE),0)</f>
        <v>0</v>
      </c>
      <c r="L286" s="7">
        <f>+Tabla13[[#This Row],[ RV Producción mes n+1]]*Tabla13[[#This Row],[% Uti. producción]]</f>
        <v>0</v>
      </c>
      <c r="M286" s="7">
        <f>IFERROR(VLOOKUP(Tabla13[[#This Row],[Material]],#REF!,2,FALSE),0)</f>
        <v>0</v>
      </c>
      <c r="N286" s="15">
        <f>IFERROR(VLOOKUP(Tabla13[[#This Row],[Llave]],'En puerto-Programado'!A:D,4,FALSE)+VLOOKUP(Tabla13[[#This Row],[Llave]],'Por despachar'!A:F,6,FALSE),0)</f>
        <v>0</v>
      </c>
      <c r="O286" s="7">
        <f>IFERROR(VLOOKUP(Tabla13[[#This Row],[Material]],[2]Consolidado!$C:$D,2,FALSE),0)</f>
        <v>0</v>
      </c>
      <c r="P286" s="7">
        <f>IFERROR(VLOOKUP(Tabla13[[#This Row],[Llave]],'Por despachar'!A:E,5,FALSE),0)</f>
        <v>0</v>
      </c>
      <c r="Q286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86" s="7">
        <f>IFERROR(VLOOKUP(Tabla13[[#This Row],[Llave]],[3]Hoja2!$A:$D,4,FALSE),0)</f>
        <v>0</v>
      </c>
      <c r="S286" s="9">
        <f>IFERROR(VLOOKUP(Tabla13[[#This Row],[Material]],[4]Hoja1!$B:$C,2,FALSE),0)</f>
        <v>24000</v>
      </c>
      <c r="T286" s="5">
        <f>IF(AND(Q286&gt;R286,R286&gt;0),R286,IF(AND(Q286&lt;R286,R286&gt;0),(ROUNDDOWN(Q286/S286,0)*S286),0))</f>
        <v>0</v>
      </c>
      <c r="U286" s="3">
        <f>+Tabla13[[#This Row],[Total disponible]]-Tabla13[[#This Row],[Atraso a facturar]]</f>
        <v>0</v>
      </c>
      <c r="V286" s="6">
        <f>IFERROR(IF(AND(U286&gt;S286,J286&gt;S286),ROUNDDOWN(U286/S286,0)*S286,0),0)</f>
        <v>0</v>
      </c>
      <c r="W286" s="3" t="str">
        <f>IF(Tabla13[[#This Row],[Venta del mes]]&gt;Tabla13[[#This Row],[ RV  Venta mes n+1]],"Falta venta","-")</f>
        <v>-</v>
      </c>
      <c r="X286" s="7"/>
      <c r="Y286" s="18">
        <v>0</v>
      </c>
      <c r="Z286" s="5">
        <f>+Tabla13[[#This Row],[Atraso a facturar]]+Tabla13[[#This Row],[Venta del mes]]+Tabla13[[#This Row],[Ajuste]]</f>
        <v>0</v>
      </c>
      <c r="AA286" s="6">
        <f>+Tabla13[[#This Row],[Atraso a facturar]]+Tabla13[[#This Row],[Venta del mes]]+Tabla13[[#This Row],[En puerto a facturar]]</f>
        <v>0</v>
      </c>
      <c r="AB286" s="20">
        <f>IFERROR(VLOOKUP(Tabla13[[#This Row],[Llave]],'[5]Consolidación planes'!$A:$M,9,FALSE),0)</f>
        <v>0</v>
      </c>
      <c r="AC286" s="20">
        <f>IFERROR(VLOOKUP(Tabla13[[#This Row],[Llave]],'[5]Consolidación planes'!$A:$M,10,FALSE),0)</f>
        <v>0</v>
      </c>
      <c r="AD286" s="20">
        <f>IFERROR(VLOOKUP(Tabla13[[#This Row],[Llave]],'[5]Consolidación planes'!$A:$M,11,FALSE),0)</f>
        <v>0</v>
      </c>
      <c r="AE286" s="20">
        <f>IFERROR(VLOOKUP(Tabla13[[#This Row],[Llave]],'[5]Consolidación planes'!$A:$M,12,FALSE),0)</f>
        <v>0</v>
      </c>
      <c r="AF286" s="20">
        <f>IFERROR(VLOOKUP(Tabla13[[#This Row],[Llave]],'[5]Consolidación planes'!$A:$M,13,FALSE),0)</f>
        <v>0</v>
      </c>
    </row>
    <row r="287" spans="2:32" ht="16" hidden="1" x14ac:dyDescent="0.2">
      <c r="B287" t="str">
        <f>Tabla13[[#This Row],[Oficina]]&amp;Tabla13[[#This Row],[Material]]</f>
        <v>Agrosuper Shanghai1022995</v>
      </c>
      <c r="C287" t="s">
        <v>6</v>
      </c>
      <c r="D287" t="s">
        <v>140</v>
      </c>
      <c r="E287">
        <v>1022995</v>
      </c>
      <c r="F287" t="s">
        <v>407</v>
      </c>
      <c r="G287" t="s">
        <v>56</v>
      </c>
      <c r="I287" s="15">
        <f>IFERROR(VLOOKUP(Tabla13[[#This Row],[Llave]],'[1]Consolidado RV'!$B:$H,6,FALSE),0)</f>
        <v>2000</v>
      </c>
      <c r="J287" s="3">
        <f>IFERROR(VLOOKUP(Tabla13[[#This Row],[Llave]],'[1]Consolidado RV'!$B:$H,7,FALSE),0)</f>
        <v>0</v>
      </c>
      <c r="K287" s="17">
        <f>IFERROR(VLOOKUP(Tabla13[[#This Row],[Oficina]],#REF!,2,FALSE),0)</f>
        <v>0</v>
      </c>
      <c r="L287" s="7">
        <f>+Tabla13[[#This Row],[ RV Producción mes n+1]]*Tabla13[[#This Row],[% Uti. producción]]</f>
        <v>0</v>
      </c>
      <c r="M287" s="7">
        <f>IFERROR(VLOOKUP(Tabla13[[#This Row],[Material]],#REF!,2,FALSE),0)</f>
        <v>0</v>
      </c>
      <c r="N287" s="15">
        <f>IFERROR(VLOOKUP(Tabla13[[#This Row],[Llave]],'En puerto-Programado'!A:D,4,FALSE)+VLOOKUP(Tabla13[[#This Row],[Llave]],'Por despachar'!A:F,6,FALSE),0)</f>
        <v>0</v>
      </c>
      <c r="O287" s="7">
        <f>IFERROR(VLOOKUP(Tabla13[[#This Row],[Material]],[2]Consolidado!$C:$D,2,FALSE),0)</f>
        <v>0</v>
      </c>
      <c r="P287" s="7">
        <f>IFERROR(VLOOKUP(Tabla13[[#This Row],[Llave]],'Por despachar'!A:E,5,FALSE),0)</f>
        <v>0</v>
      </c>
      <c r="Q287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87" s="7">
        <f>IFERROR(VLOOKUP(Tabla13[[#This Row],[Llave]],[3]Hoja2!$A:$D,4,FALSE),0)</f>
        <v>0</v>
      </c>
      <c r="S287" s="9">
        <f>IFERROR(VLOOKUP(Tabla13[[#This Row],[Material]],[4]Hoja1!$B:$C,2,FALSE),0)</f>
        <v>24000</v>
      </c>
      <c r="T287" s="5">
        <f>IF(AND(Q287&gt;R287,R287&gt;0),R287,IF(AND(Q287&lt;R287,R287&gt;0),(ROUNDDOWN(Q287/S287,0)*S287),0))</f>
        <v>0</v>
      </c>
      <c r="U287" s="3">
        <f>+Tabla13[[#This Row],[Total disponible]]-Tabla13[[#This Row],[Atraso a facturar]]</f>
        <v>0</v>
      </c>
      <c r="V287" s="6">
        <f>IFERROR(IF(AND(U287&gt;S287,J287&gt;S287),ROUNDDOWN(U287/S287,0)*S287,0),0)</f>
        <v>0</v>
      </c>
      <c r="W287" s="3" t="str">
        <f>IF(Tabla13[[#This Row],[Venta del mes]]&gt;Tabla13[[#This Row],[ RV  Venta mes n+1]],"Falta venta","-")</f>
        <v>-</v>
      </c>
      <c r="X287" s="7"/>
      <c r="Y287" s="18">
        <v>0</v>
      </c>
      <c r="Z287" s="5">
        <f>+Tabla13[[#This Row],[Atraso a facturar]]+Tabla13[[#This Row],[Venta del mes]]+Tabla13[[#This Row],[Ajuste]]</f>
        <v>0</v>
      </c>
      <c r="AA287" s="6">
        <f>+Tabla13[[#This Row],[Atraso a facturar]]+Tabla13[[#This Row],[Venta del mes]]+Tabla13[[#This Row],[En puerto a facturar]]</f>
        <v>0</v>
      </c>
      <c r="AB287" s="20">
        <f>IFERROR(VLOOKUP(Tabla13[[#This Row],[Llave]],'[5]Consolidación planes'!$A:$M,9,FALSE),0)</f>
        <v>0</v>
      </c>
      <c r="AC287" s="20">
        <f>IFERROR(VLOOKUP(Tabla13[[#This Row],[Llave]],'[5]Consolidación planes'!$A:$M,10,FALSE),0)</f>
        <v>0</v>
      </c>
      <c r="AD287" s="20">
        <f>IFERROR(VLOOKUP(Tabla13[[#This Row],[Llave]],'[5]Consolidación planes'!$A:$M,11,FALSE),0)</f>
        <v>0</v>
      </c>
      <c r="AE287" s="20">
        <f>IFERROR(VLOOKUP(Tabla13[[#This Row],[Llave]],'[5]Consolidación planes'!$A:$M,12,FALSE),0)</f>
        <v>0</v>
      </c>
      <c r="AF287" s="20">
        <f>IFERROR(VLOOKUP(Tabla13[[#This Row],[Llave]],'[5]Consolidación planes'!$A:$M,13,FALSE),0)</f>
        <v>0</v>
      </c>
    </row>
    <row r="288" spans="2:32" ht="16" hidden="1" x14ac:dyDescent="0.2">
      <c r="B288" t="str">
        <f>Tabla13[[#This Row],[Oficina]]&amp;Tabla13[[#This Row],[Material]]</f>
        <v>Agrosuper Shanghai1023110</v>
      </c>
      <c r="C288" t="s">
        <v>6</v>
      </c>
      <c r="D288" t="s">
        <v>140</v>
      </c>
      <c r="E288">
        <v>1023110</v>
      </c>
      <c r="F288" t="s">
        <v>401</v>
      </c>
      <c r="G288" t="s">
        <v>11</v>
      </c>
      <c r="I288" s="15">
        <f>IFERROR(VLOOKUP(Tabla13[[#This Row],[Llave]],'[1]Consolidado RV'!$B:$H,6,FALSE),0)</f>
        <v>117517</v>
      </c>
      <c r="J288" s="3">
        <f>IFERROR(VLOOKUP(Tabla13[[#This Row],[Llave]],'[1]Consolidado RV'!$B:$H,7,FALSE),0)</f>
        <v>192000</v>
      </c>
      <c r="K288" s="17">
        <f>IFERROR(VLOOKUP(Tabla13[[#This Row],[Oficina]],#REF!,2,FALSE),0)</f>
        <v>0</v>
      </c>
      <c r="L288" s="7">
        <f>+Tabla13[[#This Row],[ RV Producción mes n+1]]*Tabla13[[#This Row],[% Uti. producción]]</f>
        <v>0</v>
      </c>
      <c r="M288" s="7">
        <f>IFERROR(VLOOKUP(Tabla13[[#This Row],[Material]],#REF!,2,FALSE),0)</f>
        <v>0</v>
      </c>
      <c r="N288" s="15">
        <f>IFERROR(VLOOKUP(Tabla13[[#This Row],[Llave]],'En puerto-Programado'!A:D,4,FALSE)+VLOOKUP(Tabla13[[#This Row],[Llave]],'Por despachar'!A:F,6,FALSE),0)</f>
        <v>24000</v>
      </c>
      <c r="O288" s="7">
        <f>IFERROR(VLOOKUP(Tabla13[[#This Row],[Material]],[2]Consolidado!$C:$D,2,FALSE),0)</f>
        <v>49683.70427618306</v>
      </c>
      <c r="P288" s="7">
        <f>IFERROR(VLOOKUP(Tabla13[[#This Row],[Llave]],'Por despachar'!A:E,5,FALSE),0)</f>
        <v>0</v>
      </c>
      <c r="Q288" s="14">
        <f>SUM(Tabla13[[#This Row],[Producción disponible]],Tabla13[[#This Row],[Stock al día]],Tabla13[[#This Row],[Por producir Abr.]])-SUM(Tabla13[[#This Row],[Stock por despachar N]],Tabla13[[#This Row],[Producción por despachar mes N]])</f>
        <v>25683.70427618306</v>
      </c>
      <c r="R288" s="7">
        <f>IFERROR(VLOOKUP(Tabla13[[#This Row],[Llave]],[3]Hoja2!$A:$D,4,FALSE),0)</f>
        <v>48000</v>
      </c>
      <c r="S288" s="9">
        <f>IFERROR(VLOOKUP(Tabla13[[#This Row],[Material]],[4]Hoja1!$B:$C,2,FALSE),0)</f>
        <v>24000</v>
      </c>
      <c r="T288" s="5">
        <f>IF(AND(Q288&gt;R288,R288&gt;0),R288,IF(AND(Q288&lt;R288,R288&gt;0),(ROUNDDOWN(Q288/S288,0)*S288),0))</f>
        <v>24000</v>
      </c>
      <c r="U288" s="3">
        <f>+Tabla13[[#This Row],[Total disponible]]-Tabla13[[#This Row],[Atraso a facturar]]</f>
        <v>1683.7042761830598</v>
      </c>
      <c r="V288" s="6">
        <f>IFERROR(IF(AND(U288&gt;S288,J288&gt;S288),ROUNDDOWN(U288/S288,0)*S288,0),0)</f>
        <v>0</v>
      </c>
      <c r="W288" s="3" t="str">
        <f>IF(Tabla13[[#This Row],[Venta del mes]]&gt;Tabla13[[#This Row],[ RV  Venta mes n+1]],"Falta venta","-")</f>
        <v>-</v>
      </c>
      <c r="X288" s="7"/>
      <c r="Y288" s="18">
        <v>0</v>
      </c>
      <c r="Z288" s="5">
        <f>+Tabla13[[#This Row],[Atraso a facturar]]+Tabla13[[#This Row],[Venta del mes]]+Tabla13[[#This Row],[Ajuste]]</f>
        <v>24000</v>
      </c>
      <c r="AA288" s="6">
        <f>+Tabla13[[#This Row],[Atraso a facturar]]+Tabla13[[#This Row],[Venta del mes]]+Tabla13[[#This Row],[En puerto a facturar]]</f>
        <v>24000</v>
      </c>
      <c r="AB288" s="20">
        <f>IFERROR(VLOOKUP(Tabla13[[#This Row],[Llave]],'[5]Consolidación planes'!$A:$M,9,FALSE),0)</f>
        <v>0</v>
      </c>
      <c r="AC288" s="20">
        <f>IFERROR(VLOOKUP(Tabla13[[#This Row],[Llave]],'[5]Consolidación planes'!$A:$M,10,FALSE),0)</f>
        <v>0</v>
      </c>
      <c r="AD288" s="20">
        <f>IFERROR(VLOOKUP(Tabla13[[#This Row],[Llave]],'[5]Consolidación planes'!$A:$M,11,FALSE),0)</f>
        <v>0</v>
      </c>
      <c r="AE288" s="20">
        <f>IFERROR(VLOOKUP(Tabla13[[#This Row],[Llave]],'[5]Consolidación planes'!$A:$M,12,FALSE),0)</f>
        <v>0</v>
      </c>
      <c r="AF288" s="20">
        <f>IFERROR(VLOOKUP(Tabla13[[#This Row],[Llave]],'[5]Consolidación planes'!$A:$M,13,FALSE),0)</f>
        <v>0</v>
      </c>
    </row>
    <row r="289" spans="2:32" ht="16" hidden="1" x14ac:dyDescent="0.2">
      <c r="B289" t="str">
        <f>Tabla13[[#This Row],[Oficina]]&amp;Tabla13[[#This Row],[Material]]</f>
        <v>Agrosuper Asia1023370</v>
      </c>
      <c r="C289" t="s">
        <v>6</v>
      </c>
      <c r="D289" t="s">
        <v>173</v>
      </c>
      <c r="E289">
        <v>1023370</v>
      </c>
      <c r="F289" t="s">
        <v>408</v>
      </c>
      <c r="G289" t="s">
        <v>59</v>
      </c>
      <c r="I289" s="15">
        <f>IFERROR(VLOOKUP(Tabla13[[#This Row],[Llave]],'[1]Consolidado RV'!$B:$H,6,FALSE),0)</f>
        <v>48000</v>
      </c>
      <c r="J289" s="3">
        <f>IFERROR(VLOOKUP(Tabla13[[#This Row],[Llave]],'[1]Consolidado RV'!$B:$H,7,FALSE),0)</f>
        <v>48000</v>
      </c>
      <c r="K289" s="17">
        <f>IFERROR(VLOOKUP(Tabla13[[#This Row],[Oficina]],#REF!,2,FALSE),0)</f>
        <v>0</v>
      </c>
      <c r="L289" s="7">
        <f>+Tabla13[[#This Row],[ RV Producción mes n+1]]*Tabla13[[#This Row],[% Uti. producción]]</f>
        <v>0</v>
      </c>
      <c r="M289" s="7">
        <f>IFERROR(VLOOKUP(Tabla13[[#This Row],[Material]],#REF!,2,FALSE),0)</f>
        <v>0</v>
      </c>
      <c r="N289" s="15">
        <f>IFERROR(VLOOKUP(Tabla13[[#This Row],[Llave]],'En puerto-Programado'!A:D,4,FALSE)+VLOOKUP(Tabla13[[#This Row],[Llave]],'Por despachar'!A:F,6,FALSE),0)</f>
        <v>0</v>
      </c>
      <c r="O289" s="7">
        <f>IFERROR(VLOOKUP(Tabla13[[#This Row],[Material]],[2]Consolidado!$C:$D,2,FALSE),0)</f>
        <v>0</v>
      </c>
      <c r="P289" s="7">
        <f>IFERROR(VLOOKUP(Tabla13[[#This Row],[Llave]],'Por despachar'!A:E,5,FALSE),0)</f>
        <v>0</v>
      </c>
      <c r="Q289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89" s="7">
        <f>IFERROR(VLOOKUP(Tabla13[[#This Row],[Llave]],[3]Hoja2!$A:$D,4,FALSE),0)</f>
        <v>0</v>
      </c>
      <c r="S289" s="9">
        <f>IFERROR(VLOOKUP(Tabla13[[#This Row],[Material]],[4]Hoja1!$B:$C,2,FALSE),0)</f>
        <v>24000</v>
      </c>
      <c r="T289" s="5">
        <f t="shared" ref="T289:T292" si="15">IF(AND(Q289&gt;R289,R289&gt;0),R289,IF(AND(Q289&lt;R289,R289&gt;0),(ROUNDDOWN(Q289/S289,0)*S289),0))</f>
        <v>0</v>
      </c>
      <c r="U289" s="3">
        <f>+Tabla13[[#This Row],[Total disponible]]-Tabla13[[#This Row],[Atraso a facturar]]</f>
        <v>0</v>
      </c>
      <c r="V289" s="6">
        <f t="shared" ref="V289:V292" si="16">IFERROR(IF(AND(U289&gt;S289,J289&gt;S289),ROUNDDOWN(U289/S289,0)*S289,0),0)</f>
        <v>0</v>
      </c>
      <c r="W289" s="3" t="str">
        <f>IF(Tabla13[[#This Row],[Venta del mes]]&gt;Tabla13[[#This Row],[ RV  Venta mes n+1]],"Falta venta","-")</f>
        <v>-</v>
      </c>
      <c r="X289" s="7"/>
      <c r="Y289" s="18">
        <v>0</v>
      </c>
      <c r="Z289" s="5">
        <f>+Tabla13[[#This Row],[Atraso a facturar]]+Tabla13[[#This Row],[Venta del mes]]+Tabla13[[#This Row],[Ajuste]]</f>
        <v>0</v>
      </c>
      <c r="AA289" s="6">
        <f>+Tabla13[[#This Row],[Atraso a facturar]]+Tabla13[[#This Row],[Venta del mes]]+Tabla13[[#This Row],[En puerto a facturar]]</f>
        <v>0</v>
      </c>
      <c r="AB289" s="20">
        <f>IFERROR(VLOOKUP(Tabla13[[#This Row],[Llave]],'[5]Consolidación planes'!$A:$M,9,FALSE),0)</f>
        <v>0</v>
      </c>
      <c r="AC289" s="20">
        <f>IFERROR(VLOOKUP(Tabla13[[#This Row],[Llave]],'[5]Consolidación planes'!$A:$M,10,FALSE),0)</f>
        <v>0</v>
      </c>
      <c r="AD289" s="20">
        <f>IFERROR(VLOOKUP(Tabla13[[#This Row],[Llave]],'[5]Consolidación planes'!$A:$M,11,FALSE),0)</f>
        <v>0</v>
      </c>
      <c r="AE289" s="20">
        <f>IFERROR(VLOOKUP(Tabla13[[#This Row],[Llave]],'[5]Consolidación planes'!$A:$M,12,FALSE),0)</f>
        <v>0</v>
      </c>
      <c r="AF289" s="20">
        <f>IFERROR(VLOOKUP(Tabla13[[#This Row],[Llave]],'[5]Consolidación planes'!$A:$M,13,FALSE),0)</f>
        <v>0</v>
      </c>
    </row>
    <row r="290" spans="2:32" ht="16" hidden="1" x14ac:dyDescent="0.2">
      <c r="B290" t="str">
        <f>Tabla13[[#This Row],[Oficina]]&amp;Tabla13[[#This Row],[Material]]</f>
        <v>Agrosuper Asia1023371</v>
      </c>
      <c r="C290" t="s">
        <v>6</v>
      </c>
      <c r="D290" t="s">
        <v>173</v>
      </c>
      <c r="E290">
        <v>1023371</v>
      </c>
      <c r="F290" t="s">
        <v>157</v>
      </c>
      <c r="G290" t="s">
        <v>53</v>
      </c>
      <c r="I290" s="15">
        <f>IFERROR(VLOOKUP(Tabla13[[#This Row],[Llave]],'[1]Consolidado RV'!$B:$H,6,FALSE),0)</f>
        <v>48000</v>
      </c>
      <c r="J290" s="3">
        <f>IFERROR(VLOOKUP(Tabla13[[#This Row],[Llave]],'[1]Consolidado RV'!$B:$H,7,FALSE),0)</f>
        <v>48000</v>
      </c>
      <c r="K290" s="17">
        <f>IFERROR(VLOOKUP(Tabla13[[#This Row],[Oficina]],#REF!,2,FALSE),0)</f>
        <v>0</v>
      </c>
      <c r="L290" s="7">
        <f>+Tabla13[[#This Row],[ RV Producción mes n+1]]*Tabla13[[#This Row],[% Uti. producción]]</f>
        <v>0</v>
      </c>
      <c r="M290" s="7">
        <f>IFERROR(VLOOKUP(Tabla13[[#This Row],[Material]],#REF!,2,FALSE),0)</f>
        <v>0</v>
      </c>
      <c r="N290" s="15">
        <f>IFERROR(VLOOKUP(Tabla13[[#This Row],[Llave]],'En puerto-Programado'!A:D,4,FALSE)+VLOOKUP(Tabla13[[#This Row],[Llave]],'Por despachar'!A:F,6,FALSE),0)</f>
        <v>0</v>
      </c>
      <c r="O290" s="7">
        <f>IFERROR(VLOOKUP(Tabla13[[#This Row],[Material]],[2]Consolidado!$C:$D,2,FALSE),0)</f>
        <v>0</v>
      </c>
      <c r="P290" s="7">
        <f>IFERROR(VLOOKUP(Tabla13[[#This Row],[Llave]],'Por despachar'!A:E,5,FALSE),0)</f>
        <v>0</v>
      </c>
      <c r="Q290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90" s="7">
        <f>IFERROR(VLOOKUP(Tabla13[[#This Row],[Llave]],[3]Hoja2!$A:$D,4,FALSE),0)</f>
        <v>0</v>
      </c>
      <c r="S290" s="9">
        <f>IFERROR(VLOOKUP(Tabla13[[#This Row],[Material]],[4]Hoja1!$B:$C,2,FALSE),0)</f>
        <v>24000</v>
      </c>
      <c r="T290" s="5">
        <f t="shared" si="15"/>
        <v>0</v>
      </c>
      <c r="U290" s="3">
        <f>+Tabla13[[#This Row],[Total disponible]]-Tabla13[[#This Row],[Atraso a facturar]]</f>
        <v>0</v>
      </c>
      <c r="V290" s="6">
        <f t="shared" si="16"/>
        <v>0</v>
      </c>
      <c r="W290" s="3" t="str">
        <f>IF(Tabla13[[#This Row],[Venta del mes]]&gt;Tabla13[[#This Row],[ RV  Venta mes n+1]],"Falta venta","-")</f>
        <v>-</v>
      </c>
      <c r="X290" s="7"/>
      <c r="Y290" s="18">
        <v>0</v>
      </c>
      <c r="Z290" s="5">
        <f>+Tabla13[[#This Row],[Atraso a facturar]]+Tabla13[[#This Row],[Venta del mes]]+Tabla13[[#This Row],[Ajuste]]</f>
        <v>0</v>
      </c>
      <c r="AA290" s="6">
        <f>+Tabla13[[#This Row],[Atraso a facturar]]+Tabla13[[#This Row],[Venta del mes]]+Tabla13[[#This Row],[En puerto a facturar]]</f>
        <v>0</v>
      </c>
      <c r="AB290" s="20">
        <f>IFERROR(VLOOKUP(Tabla13[[#This Row],[Llave]],'[5]Consolidación planes'!$A:$M,9,FALSE),0)</f>
        <v>0</v>
      </c>
      <c r="AC290" s="20">
        <f>IFERROR(VLOOKUP(Tabla13[[#This Row],[Llave]],'[5]Consolidación planes'!$A:$M,10,FALSE),0)</f>
        <v>0</v>
      </c>
      <c r="AD290" s="20">
        <f>IFERROR(VLOOKUP(Tabla13[[#This Row],[Llave]],'[5]Consolidación planes'!$A:$M,11,FALSE),0)</f>
        <v>0</v>
      </c>
      <c r="AE290" s="20">
        <f>IFERROR(VLOOKUP(Tabla13[[#This Row],[Llave]],'[5]Consolidación planes'!$A:$M,12,FALSE),0)</f>
        <v>0</v>
      </c>
      <c r="AF290" s="20">
        <f>IFERROR(VLOOKUP(Tabla13[[#This Row],[Llave]],'[5]Consolidación planes'!$A:$M,13,FALSE),0)</f>
        <v>0</v>
      </c>
    </row>
    <row r="291" spans="2:32" ht="16" hidden="1" x14ac:dyDescent="0.2">
      <c r="B291" t="str">
        <f>Tabla13[[#This Row],[Oficina]]&amp;Tabla13[[#This Row],[Material]]</f>
        <v>Agrosuper Asia1023372</v>
      </c>
      <c r="C291" t="s">
        <v>6</v>
      </c>
      <c r="D291" t="s">
        <v>173</v>
      </c>
      <c r="E291">
        <v>1023372</v>
      </c>
      <c r="F291" t="s">
        <v>311</v>
      </c>
      <c r="G291" t="s">
        <v>409</v>
      </c>
      <c r="I291" s="15">
        <f>IFERROR(VLOOKUP(Tabla13[[#This Row],[Llave]],'[1]Consolidado RV'!$B:$H,6,FALSE),0)</f>
        <v>72000</v>
      </c>
      <c r="J291" s="3">
        <f>IFERROR(VLOOKUP(Tabla13[[#This Row],[Llave]],'[1]Consolidado RV'!$B:$H,7,FALSE),0)</f>
        <v>48000</v>
      </c>
      <c r="K291" s="17">
        <f>IFERROR(VLOOKUP(Tabla13[[#This Row],[Oficina]],#REF!,2,FALSE),0)</f>
        <v>0</v>
      </c>
      <c r="L291" s="7">
        <f>+Tabla13[[#This Row],[ RV Producción mes n+1]]*Tabla13[[#This Row],[% Uti. producción]]</f>
        <v>0</v>
      </c>
      <c r="M291" s="7">
        <f>IFERROR(VLOOKUP(Tabla13[[#This Row],[Material]],#REF!,2,FALSE),0)</f>
        <v>0</v>
      </c>
      <c r="N291" s="15">
        <f>IFERROR(VLOOKUP(Tabla13[[#This Row],[Llave]],'En puerto-Programado'!A:D,4,FALSE)+VLOOKUP(Tabla13[[#This Row],[Llave]],'Por despachar'!A:F,6,FALSE),0)</f>
        <v>0</v>
      </c>
      <c r="O291" s="7">
        <f>IFERROR(VLOOKUP(Tabla13[[#This Row],[Material]],[2]Consolidado!$C:$D,2,FALSE),0)</f>
        <v>0</v>
      </c>
      <c r="P291" s="7">
        <f>IFERROR(VLOOKUP(Tabla13[[#This Row],[Llave]],'Por despachar'!A:E,5,FALSE),0)</f>
        <v>0</v>
      </c>
      <c r="Q291" s="14">
        <f>SUM(Tabla13[[#This Row],[Producción disponible]],Tabla13[[#This Row],[Stock al día]],Tabla13[[#This Row],[Por producir Abr.]])-SUM(Tabla13[[#This Row],[Stock por despachar N]],Tabla13[[#This Row],[Producción por despachar mes N]])</f>
        <v>0</v>
      </c>
      <c r="R291" s="7">
        <f>IFERROR(VLOOKUP(Tabla13[[#This Row],[Llave]],[3]Hoja2!$A:$D,4,FALSE),0)</f>
        <v>24000</v>
      </c>
      <c r="S291" s="9">
        <f>IFERROR(VLOOKUP(Tabla13[[#This Row],[Material]],[4]Hoja1!$B:$C,2,FALSE),0)</f>
        <v>24000</v>
      </c>
      <c r="T291" s="5">
        <f t="shared" si="15"/>
        <v>0</v>
      </c>
      <c r="U291" s="3">
        <f>+Tabla13[[#This Row],[Total disponible]]-Tabla13[[#This Row],[Atraso a facturar]]</f>
        <v>0</v>
      </c>
      <c r="V291" s="6">
        <f t="shared" si="16"/>
        <v>0</v>
      </c>
      <c r="W291" s="3" t="str">
        <f>IF(Tabla13[[#This Row],[Venta del mes]]&gt;Tabla13[[#This Row],[ RV  Venta mes n+1]],"Falta venta","-")</f>
        <v>-</v>
      </c>
      <c r="X291" s="7"/>
      <c r="Y291" s="18">
        <v>0</v>
      </c>
      <c r="Z291" s="5">
        <f>+Tabla13[[#This Row],[Atraso a facturar]]+Tabla13[[#This Row],[Venta del mes]]+Tabla13[[#This Row],[Ajuste]]</f>
        <v>0</v>
      </c>
      <c r="AA291" s="6">
        <f>+Tabla13[[#This Row],[Atraso a facturar]]+Tabla13[[#This Row],[Venta del mes]]+Tabla13[[#This Row],[En puerto a facturar]]</f>
        <v>0</v>
      </c>
      <c r="AB291" s="20">
        <f>IFERROR(VLOOKUP(Tabla13[[#This Row],[Llave]],'[5]Consolidación planes'!$A:$M,9,FALSE),0)</f>
        <v>0</v>
      </c>
      <c r="AC291" s="20">
        <f>IFERROR(VLOOKUP(Tabla13[[#This Row],[Llave]],'[5]Consolidación planes'!$A:$M,10,FALSE),0)</f>
        <v>0</v>
      </c>
      <c r="AD291" s="20">
        <f>IFERROR(VLOOKUP(Tabla13[[#This Row],[Llave]],'[5]Consolidación planes'!$A:$M,11,FALSE),0)</f>
        <v>0</v>
      </c>
      <c r="AE291" s="20">
        <f>IFERROR(VLOOKUP(Tabla13[[#This Row],[Llave]],'[5]Consolidación planes'!$A:$M,12,FALSE),0)</f>
        <v>0</v>
      </c>
      <c r="AF291" s="20">
        <f>IFERROR(VLOOKUP(Tabla13[[#This Row],[Llave]],'[5]Consolidación planes'!$A:$M,13,FALSE),0)</f>
        <v>0</v>
      </c>
    </row>
    <row r="292" spans="2:32" ht="16" hidden="1" x14ac:dyDescent="0.2">
      <c r="B292" t="str">
        <f>Tabla13[[#This Row],[Oficina]]&amp;Tabla13[[#This Row],[Material]]</f>
        <v>Agrosuper Asia1023397</v>
      </c>
      <c r="C292" t="s">
        <v>6</v>
      </c>
      <c r="D292" t="s">
        <v>173</v>
      </c>
      <c r="E292">
        <v>1023397</v>
      </c>
      <c r="F292" t="s">
        <v>44</v>
      </c>
      <c r="G292" t="s">
        <v>11</v>
      </c>
      <c r="I292" s="15">
        <f>IFERROR(VLOOKUP(Tabla13[[#This Row],[Llave]],'[1]Consolidado RV'!$B:$H,6,FALSE),0)</f>
        <v>120000</v>
      </c>
      <c r="J292" s="3">
        <f>IFERROR(VLOOKUP(Tabla13[[#This Row],[Llave]],'[1]Consolidado RV'!$B:$H,7,FALSE),0)</f>
        <v>93642.778812262724</v>
      </c>
      <c r="K292" s="17">
        <f>IFERROR(VLOOKUP(Tabla13[[#This Row],[Oficina]],#REF!,2,FALSE),0)</f>
        <v>0</v>
      </c>
      <c r="L292" s="7">
        <f>+Tabla13[[#This Row],[ RV Producción mes n+1]]*Tabla13[[#This Row],[% Uti. producción]]</f>
        <v>0</v>
      </c>
      <c r="M292" s="7">
        <f>IFERROR(VLOOKUP(Tabla13[[#This Row],[Material]],#REF!,2,FALSE),0)</f>
        <v>0</v>
      </c>
      <c r="N292" s="15">
        <f>IFERROR(VLOOKUP(Tabla13[[#This Row],[Llave]],'En puerto-Programado'!A:D,4,FALSE)+VLOOKUP(Tabla13[[#This Row],[Llave]],'Por despachar'!A:F,6,FALSE),0)</f>
        <v>0</v>
      </c>
      <c r="O292" s="7">
        <f>IFERROR(VLOOKUP(Tabla13[[#This Row],[Material]],[2]Consolidado!$C:$D,2,FALSE),0)</f>
        <v>20209.319216783442</v>
      </c>
      <c r="P292" s="7">
        <f>IFERROR(VLOOKUP(Tabla13[[#This Row],[Llave]],'Por despachar'!A:E,5,FALSE),0)</f>
        <v>0</v>
      </c>
      <c r="Q292" s="14">
        <f>SUM(Tabla13[[#This Row],[Producción disponible]],Tabla13[[#This Row],[Stock al día]],Tabla13[[#This Row],[Por producir Abr.]])-SUM(Tabla13[[#This Row],[Stock por despachar N]],Tabla13[[#This Row],[Producción por despachar mes N]])</f>
        <v>20209.319216783442</v>
      </c>
      <c r="R292" s="7">
        <f>IFERROR(VLOOKUP(Tabla13[[#This Row],[Llave]],[3]Hoja2!$A:$D,4,FALSE),0)</f>
        <v>48000</v>
      </c>
      <c r="S292" s="9">
        <f>IFERROR(VLOOKUP(Tabla13[[#This Row],[Material]],[4]Hoja1!$B:$C,2,FALSE),0)</f>
        <v>24000</v>
      </c>
      <c r="T292" s="5">
        <f t="shared" si="15"/>
        <v>0</v>
      </c>
      <c r="U292" s="3">
        <f>+Tabla13[[#This Row],[Total disponible]]-Tabla13[[#This Row],[Atraso a facturar]]</f>
        <v>20209.319216783442</v>
      </c>
      <c r="V292" s="6">
        <f t="shared" si="16"/>
        <v>0</v>
      </c>
      <c r="W292" s="3" t="str">
        <f>IF(Tabla13[[#This Row],[Venta del mes]]&gt;Tabla13[[#This Row],[ RV  Venta mes n+1]],"Falta venta","-")</f>
        <v>-</v>
      </c>
      <c r="X292" s="7"/>
      <c r="Y292" s="18">
        <v>0</v>
      </c>
      <c r="Z292" s="5">
        <f>+Tabla13[[#This Row],[Atraso a facturar]]+Tabla13[[#This Row],[Venta del mes]]+Tabla13[[#This Row],[Ajuste]]</f>
        <v>0</v>
      </c>
      <c r="AA292" s="6">
        <f>+Tabla13[[#This Row],[Atraso a facturar]]+Tabla13[[#This Row],[Venta del mes]]+Tabla13[[#This Row],[En puerto a facturar]]</f>
        <v>0</v>
      </c>
      <c r="AB292" s="20">
        <f>IFERROR(VLOOKUP(Tabla13[[#This Row],[Llave]],'[5]Consolidación planes'!$A:$M,9,FALSE),0)</f>
        <v>0</v>
      </c>
      <c r="AC292" s="20">
        <f>IFERROR(VLOOKUP(Tabla13[[#This Row],[Llave]],'[5]Consolidación planes'!$A:$M,10,FALSE),0)</f>
        <v>0</v>
      </c>
      <c r="AD292" s="20">
        <f>IFERROR(VLOOKUP(Tabla13[[#This Row],[Llave]],'[5]Consolidación planes'!$A:$M,11,FALSE),0)</f>
        <v>0</v>
      </c>
      <c r="AE292" s="20">
        <f>IFERROR(VLOOKUP(Tabla13[[#This Row],[Llave]],'[5]Consolidación planes'!$A:$M,12,FALSE),0)</f>
        <v>0</v>
      </c>
      <c r="AF292" s="20">
        <f>IFERROR(VLOOKUP(Tabla13[[#This Row],[Llave]],'[5]Consolidación planes'!$A:$M,13,FALSE),0)</f>
        <v>0</v>
      </c>
    </row>
    <row r="293" spans="2:32" ht="16" x14ac:dyDescent="0.2">
      <c r="I293" s="15"/>
      <c r="J293" s="3"/>
      <c r="K293" s="17"/>
      <c r="L293" s="7"/>
      <c r="M293" s="7"/>
      <c r="N293" s="15"/>
      <c r="O293" s="7"/>
      <c r="P293" s="7"/>
      <c r="Q293" s="14"/>
      <c r="R293" s="7"/>
      <c r="S293" s="9"/>
      <c r="T293" s="5"/>
      <c r="U293" s="3"/>
      <c r="V293" s="6"/>
      <c r="W293" s="3"/>
      <c r="Y293" s="1"/>
      <c r="Z293" s="1"/>
      <c r="AA293" s="6"/>
    </row>
    <row r="294" spans="2:32" ht="16" x14ac:dyDescent="0.2">
      <c r="I294" s="15"/>
      <c r="J294" s="3"/>
      <c r="K294" s="17"/>
      <c r="L294" s="7"/>
      <c r="M294" s="7"/>
      <c r="N294" s="15"/>
      <c r="O294" s="7"/>
      <c r="P294" s="7"/>
      <c r="Q294" s="14"/>
      <c r="R294" s="7"/>
      <c r="S294" s="9"/>
      <c r="T294" s="5"/>
      <c r="U294" s="3"/>
      <c r="V294" s="6"/>
      <c r="W294" s="3"/>
      <c r="Y294" s="1"/>
      <c r="Z294" s="1"/>
      <c r="AA294" s="6"/>
    </row>
    <row r="295" spans="2:32" ht="16" x14ac:dyDescent="0.2">
      <c r="I295" s="15"/>
      <c r="J295" s="3"/>
      <c r="K295" s="17"/>
      <c r="L295" s="7"/>
      <c r="M295" s="7"/>
      <c r="N295" s="15"/>
      <c r="O295" s="7"/>
      <c r="P295" s="7"/>
      <c r="Q295" s="14"/>
      <c r="R295" s="7"/>
      <c r="S295" s="9"/>
      <c r="T295" s="5"/>
      <c r="U295" s="3"/>
      <c r="V295" s="6"/>
      <c r="W295" s="3"/>
      <c r="Y295" s="1"/>
      <c r="Z295" s="1"/>
      <c r="AA295" s="6"/>
    </row>
    <row r="296" spans="2:32" ht="16" x14ac:dyDescent="0.2">
      <c r="I296" s="15"/>
      <c r="J296" s="3"/>
      <c r="K296" s="17"/>
      <c r="L296" s="7"/>
      <c r="M296" s="7"/>
      <c r="N296" s="15"/>
      <c r="O296" s="7"/>
      <c r="P296" s="7"/>
      <c r="Q296" s="14"/>
      <c r="R296" s="7"/>
      <c r="S296" s="9"/>
      <c r="T296" s="5"/>
      <c r="U296" s="3"/>
      <c r="V296" s="6"/>
      <c r="W296" s="3"/>
      <c r="Y296" s="1"/>
      <c r="Z296" s="1"/>
      <c r="AA296" s="6"/>
    </row>
    <row r="297" spans="2:32" ht="16" x14ac:dyDescent="0.2">
      <c r="I297" s="15"/>
      <c r="J297" s="3"/>
      <c r="K297" s="17"/>
      <c r="L297" s="7"/>
      <c r="M297" s="7"/>
      <c r="N297" s="15"/>
      <c r="O297" s="7"/>
      <c r="P297" s="7"/>
      <c r="Q297" s="14"/>
      <c r="R297" s="7"/>
      <c r="S297" s="9"/>
      <c r="T297" s="5"/>
      <c r="U297" s="3"/>
      <c r="V297" s="6"/>
      <c r="W297" s="3"/>
      <c r="Y297" s="1"/>
      <c r="Z297" s="1"/>
      <c r="AA297" s="6"/>
    </row>
    <row r="298" spans="2:32" ht="16" x14ac:dyDescent="0.2">
      <c r="I298" s="15"/>
      <c r="J298" s="3"/>
      <c r="K298" s="17"/>
      <c r="L298" s="7"/>
      <c r="M298" s="7"/>
      <c r="N298" s="15"/>
      <c r="O298" s="7"/>
      <c r="P298" s="7"/>
      <c r="Q298" s="14"/>
      <c r="R298" s="7"/>
      <c r="S298" s="9"/>
      <c r="T298" s="5"/>
      <c r="U298" s="3"/>
      <c r="V298" s="6"/>
      <c r="W298" s="3"/>
      <c r="Y298" s="1"/>
      <c r="Z298" s="1"/>
      <c r="AA298" s="6"/>
    </row>
    <row r="299" spans="2:32" ht="16" x14ac:dyDescent="0.2">
      <c r="I299" s="15"/>
      <c r="J299" s="3"/>
      <c r="K299" s="17"/>
      <c r="L299" s="7"/>
      <c r="M299" s="7"/>
      <c r="N299" s="15"/>
      <c r="O299" s="7"/>
      <c r="P299" s="7"/>
      <c r="Q299" s="14"/>
      <c r="R299" s="7"/>
      <c r="S299" s="9"/>
      <c r="T299" s="5"/>
      <c r="U299" s="3"/>
      <c r="V299" s="6"/>
      <c r="W299" s="3"/>
      <c r="Y299" s="1"/>
      <c r="Z299" s="1"/>
      <c r="AA299" s="6"/>
    </row>
    <row r="300" spans="2:32" ht="16" x14ac:dyDescent="0.2">
      <c r="I300" s="15"/>
      <c r="J300" s="3"/>
      <c r="K300" s="17"/>
      <c r="L300" s="7"/>
      <c r="M300" s="7"/>
      <c r="N300" s="15"/>
      <c r="O300" s="7"/>
      <c r="P300" s="7"/>
      <c r="Q300" s="14"/>
      <c r="R300" s="7"/>
      <c r="S300" s="9"/>
      <c r="T300" s="5"/>
      <c r="U300" s="3"/>
      <c r="V300" s="6"/>
      <c r="W300" s="3"/>
      <c r="Y300" s="1"/>
      <c r="Z300" s="1"/>
      <c r="AA300" s="6"/>
    </row>
    <row r="301" spans="2:32" ht="16" x14ac:dyDescent="0.2">
      <c r="I301" s="15"/>
      <c r="J301" s="3"/>
      <c r="K301" s="17"/>
      <c r="L301" s="7"/>
      <c r="M301" s="7"/>
      <c r="N301" s="15"/>
      <c r="O301" s="7"/>
      <c r="P301" s="7"/>
      <c r="Q301" s="14"/>
      <c r="R301" s="7"/>
      <c r="S301" s="9"/>
      <c r="T301" s="5"/>
      <c r="U301" s="3"/>
      <c r="V301" s="6"/>
      <c r="W301" s="3"/>
      <c r="Y301" s="1"/>
      <c r="Z301" s="1"/>
      <c r="AA301" s="6"/>
    </row>
    <row r="302" spans="2:32" ht="16" x14ac:dyDescent="0.2">
      <c r="I302" s="15"/>
      <c r="J302" s="3"/>
      <c r="K302" s="17"/>
      <c r="L302" s="7"/>
      <c r="M302" s="7"/>
      <c r="N302" s="15"/>
      <c r="O302" s="7"/>
      <c r="P302" s="7"/>
      <c r="Q302" s="14"/>
      <c r="R302" s="7"/>
      <c r="S302" s="9"/>
      <c r="T302" s="5"/>
      <c r="U302" s="3"/>
      <c r="V302" s="6"/>
      <c r="W302" s="3"/>
      <c r="Y302" s="1"/>
      <c r="Z302" s="1"/>
      <c r="AA302" s="6"/>
    </row>
    <row r="303" spans="2:32" ht="16" x14ac:dyDescent="0.2">
      <c r="I303" s="15"/>
      <c r="J303" s="3"/>
      <c r="K303" s="17"/>
      <c r="L303" s="7"/>
      <c r="M303" s="7"/>
      <c r="N303" s="15"/>
      <c r="O303" s="7"/>
      <c r="P303" s="7"/>
      <c r="Q303" s="14"/>
      <c r="R303" s="7"/>
      <c r="S303" s="9"/>
      <c r="T303" s="5"/>
      <c r="U303" s="3"/>
      <c r="V303" s="6"/>
      <c r="W303" s="3"/>
      <c r="Y303" s="1"/>
      <c r="Z303" s="1"/>
      <c r="AA303" s="6"/>
    </row>
    <row r="304" spans="2:32" ht="16" x14ac:dyDescent="0.2">
      <c r="I304" s="15"/>
      <c r="J304" s="3"/>
      <c r="K304" s="17"/>
      <c r="L304" s="7"/>
      <c r="M304" s="7"/>
      <c r="N304" s="15"/>
      <c r="O304" s="7"/>
      <c r="P304" s="7"/>
      <c r="Q304" s="14"/>
      <c r="R304" s="7"/>
      <c r="S304" s="9"/>
      <c r="T304" s="5"/>
      <c r="U304" s="3"/>
      <c r="V304" s="6"/>
      <c r="W304" s="3"/>
      <c r="Y304" s="1"/>
      <c r="Z304" s="1"/>
      <c r="AA304" s="6"/>
    </row>
    <row r="305" spans="2:27" ht="16" x14ac:dyDescent="0.2">
      <c r="I305" s="15"/>
      <c r="J305" s="3"/>
      <c r="K305" s="17"/>
      <c r="L305" s="7"/>
      <c r="M305" s="7"/>
      <c r="N305" s="15"/>
      <c r="O305" s="7"/>
      <c r="P305" s="7"/>
      <c r="Q305" s="14"/>
      <c r="R305" s="7"/>
      <c r="S305" s="9"/>
      <c r="T305" s="5"/>
      <c r="U305" s="3"/>
      <c r="V305" s="6"/>
      <c r="W305" s="3"/>
      <c r="Y305" s="1"/>
      <c r="Z305" s="1"/>
      <c r="AA305" s="6"/>
    </row>
    <row r="310" spans="2:27" x14ac:dyDescent="0.2">
      <c r="B310" t="s">
        <v>384</v>
      </c>
    </row>
    <row r="311" spans="2:27" x14ac:dyDescent="0.2">
      <c r="B311" t="s">
        <v>385</v>
      </c>
    </row>
    <row r="312" spans="2:27" x14ac:dyDescent="0.2">
      <c r="B312" t="s">
        <v>386</v>
      </c>
    </row>
    <row r="313" spans="2:27" x14ac:dyDescent="0.2">
      <c r="B313" t="s">
        <v>387</v>
      </c>
    </row>
    <row r="314" spans="2:27" x14ac:dyDescent="0.2">
      <c r="B314" t="s">
        <v>388</v>
      </c>
    </row>
    <row r="315" spans="2:27" x14ac:dyDescent="0.2">
      <c r="B315" t="s">
        <v>389</v>
      </c>
    </row>
    <row r="316" spans="2:27" x14ac:dyDescent="0.2">
      <c r="B316" t="s">
        <v>390</v>
      </c>
    </row>
    <row r="317" spans="2:27" x14ac:dyDescent="0.2">
      <c r="B317" t="s">
        <v>391</v>
      </c>
    </row>
    <row r="318" spans="2:27" x14ac:dyDescent="0.2">
      <c r="B318" t="s">
        <v>392</v>
      </c>
    </row>
    <row r="319" spans="2:27" x14ac:dyDescent="0.2">
      <c r="B319" t="s">
        <v>393</v>
      </c>
    </row>
    <row r="320" spans="2:27" x14ac:dyDescent="0.2">
      <c r="B320" t="s">
        <v>394</v>
      </c>
    </row>
    <row r="321" spans="2:2" x14ac:dyDescent="0.2">
      <c r="B321" t="s">
        <v>395</v>
      </c>
    </row>
    <row r="322" spans="2:2" x14ac:dyDescent="0.2">
      <c r="B322" t="s">
        <v>396</v>
      </c>
    </row>
    <row r="323" spans="2:2" x14ac:dyDescent="0.2">
      <c r="B323" t="s">
        <v>397</v>
      </c>
    </row>
    <row r="324" spans="2:2" x14ac:dyDescent="0.2">
      <c r="B324" t="s">
        <v>398</v>
      </c>
    </row>
  </sheetData>
  <conditionalFormatting sqref="E1:E1048576">
    <cfRule type="duplicateValues" dxfId="453" priority="1"/>
    <cfRule type="duplicateValues" dxfId="452" priority="5"/>
  </conditionalFormatting>
  <conditionalFormatting sqref="B1:B1048576">
    <cfRule type="duplicateValues" dxfId="451" priority="2"/>
    <cfRule type="duplicateValues" dxfId="450" priority="3"/>
    <cfRule type="duplicateValues" dxfId="449" priority="4"/>
  </conditionalFormatting>
  <pageMargins left="0.7" right="0.7" top="0.75" bottom="0.75" header="0.3" footer="0.3"/>
  <customProperties>
    <customPr name="_pios_id" r:id="rId1"/>
    <customPr name="IbpWorksheetKeyString_GUID" r:id="rId2"/>
  </customProperties>
  <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22346-C2A4-48D4-98F8-379631796011}">
  <sheetPr>
    <tabColor theme="5" tint="-0.249977111117893"/>
  </sheetPr>
  <dimension ref="B3:O50"/>
  <sheetViews>
    <sheetView showGridLines="0" zoomScale="80" zoomScaleNormal="80" workbookViewId="0">
      <selection activeCell="E15" sqref="E15"/>
    </sheetView>
  </sheetViews>
  <sheetFormatPr baseColWidth="10" defaultRowHeight="15" outlineLevelRow="1" x14ac:dyDescent="0.2"/>
  <cols>
    <col min="1" max="1" width="2.1640625" customWidth="1"/>
    <col min="2" max="2" width="22" customWidth="1"/>
    <col min="3" max="3" width="17.5" customWidth="1"/>
    <col min="4" max="4" width="15.6640625" bestFit="1" customWidth="1"/>
    <col min="5" max="5" width="29.1640625" bestFit="1" customWidth="1"/>
    <col min="6" max="6" width="21.5" bestFit="1" customWidth="1"/>
    <col min="7" max="7" width="16.33203125" bestFit="1" customWidth="1"/>
    <col min="8" max="8" width="19.6640625" bestFit="1" customWidth="1"/>
    <col min="9" max="9" width="17.5" customWidth="1"/>
    <col min="10" max="10" width="12.6640625" bestFit="1" customWidth="1"/>
    <col min="11" max="11" width="11.33203125" customWidth="1"/>
    <col min="12" max="12" width="10.1640625" bestFit="1" customWidth="1"/>
    <col min="13" max="13" width="17.6640625" bestFit="1" customWidth="1"/>
    <col min="14" max="14" width="17.5" bestFit="1" customWidth="1"/>
    <col min="15" max="15" width="13.6640625" bestFit="1" customWidth="1"/>
    <col min="16" max="16" width="12.6640625" bestFit="1" customWidth="1"/>
  </cols>
  <sheetData>
    <row r="3" spans="2:15" x14ac:dyDescent="0.2">
      <c r="B3" s="53" t="s">
        <v>642</v>
      </c>
    </row>
    <row r="4" spans="2:15" x14ac:dyDescent="0.2">
      <c r="B4" s="10" t="s">
        <v>0</v>
      </c>
      <c r="C4" t="s">
        <v>227</v>
      </c>
    </row>
    <row r="6" spans="2:15" x14ac:dyDescent="0.2">
      <c r="B6" s="31" t="s">
        <v>1</v>
      </c>
      <c r="C6" t="s">
        <v>634</v>
      </c>
      <c r="D6" t="s">
        <v>632</v>
      </c>
      <c r="E6" t="s">
        <v>633</v>
      </c>
      <c r="F6" t="s">
        <v>631</v>
      </c>
      <c r="G6" t="s">
        <v>412</v>
      </c>
      <c r="H6" s="50" t="s">
        <v>413</v>
      </c>
    </row>
    <row r="7" spans="2:15" x14ac:dyDescent="0.2">
      <c r="B7" t="s">
        <v>370</v>
      </c>
      <c r="C7" s="3">
        <v>238836.49052011757</v>
      </c>
      <c r="D7" s="3">
        <v>24000</v>
      </c>
      <c r="E7" s="3">
        <v>192000</v>
      </c>
      <c r="F7" s="3">
        <v>0</v>
      </c>
      <c r="G7" s="3">
        <v>216000</v>
      </c>
      <c r="H7" s="3">
        <v>216000</v>
      </c>
    </row>
    <row r="8" spans="2:15" x14ac:dyDescent="0.2">
      <c r="B8" t="s">
        <v>17</v>
      </c>
      <c r="C8" s="3">
        <v>1315331.8078382509</v>
      </c>
      <c r="D8" s="3">
        <v>564000</v>
      </c>
      <c r="E8" s="3">
        <v>528000</v>
      </c>
      <c r="F8" s="3">
        <v>0</v>
      </c>
      <c r="G8" s="3">
        <v>1116000</v>
      </c>
      <c r="H8" s="3">
        <v>1092000</v>
      </c>
    </row>
    <row r="9" spans="2:15" x14ac:dyDescent="0.2">
      <c r="B9" t="s">
        <v>173</v>
      </c>
      <c r="C9" s="3">
        <v>1006067.3311155153</v>
      </c>
      <c r="D9" s="3">
        <v>667000</v>
      </c>
      <c r="E9" s="3">
        <v>325000</v>
      </c>
      <c r="F9" s="3">
        <v>0</v>
      </c>
      <c r="G9" s="3">
        <v>992000</v>
      </c>
      <c r="H9" s="3">
        <v>992000</v>
      </c>
    </row>
    <row r="10" spans="2:15" x14ac:dyDescent="0.2">
      <c r="B10" t="s">
        <v>7</v>
      </c>
      <c r="C10" s="3">
        <v>178398.60927151929</v>
      </c>
      <c r="D10" s="3">
        <v>119990</v>
      </c>
      <c r="E10" s="3">
        <v>24000</v>
      </c>
      <c r="F10" s="3">
        <v>0</v>
      </c>
      <c r="G10" s="3">
        <v>143990</v>
      </c>
      <c r="H10" s="3">
        <v>143990</v>
      </c>
    </row>
    <row r="11" spans="2:15" x14ac:dyDescent="0.2">
      <c r="B11" t="s">
        <v>140</v>
      </c>
      <c r="C11" s="3">
        <v>277231.53130335495</v>
      </c>
      <c r="D11" s="3">
        <v>84000</v>
      </c>
      <c r="E11" s="3">
        <v>0</v>
      </c>
      <c r="F11" s="3">
        <v>0</v>
      </c>
      <c r="G11" s="3">
        <v>180000</v>
      </c>
      <c r="H11" s="3">
        <v>84000</v>
      </c>
    </row>
    <row r="12" spans="2:15" x14ac:dyDescent="0.2">
      <c r="B12" t="s">
        <v>350</v>
      </c>
      <c r="C12" s="3">
        <v>3015865.770048758</v>
      </c>
      <c r="D12" s="3">
        <v>1458990</v>
      </c>
      <c r="E12" s="3">
        <v>1069000</v>
      </c>
      <c r="F12" s="3">
        <v>0</v>
      </c>
      <c r="G12" s="3">
        <v>2647990</v>
      </c>
      <c r="H12" s="3">
        <v>2527990</v>
      </c>
    </row>
    <row r="14" spans="2:15" x14ac:dyDescent="0.2">
      <c r="C14" s="3"/>
      <c r="D14" s="3"/>
      <c r="E14" s="3"/>
      <c r="F14" s="3"/>
      <c r="G14" s="3"/>
      <c r="H14" s="3"/>
      <c r="I14" s="3"/>
      <c r="N14" s="3"/>
      <c r="O14" s="3"/>
    </row>
    <row r="15" spans="2:15" x14ac:dyDescent="0.2">
      <c r="B15" s="10" t="s">
        <v>0</v>
      </c>
      <c r="C15" t="s">
        <v>204</v>
      </c>
      <c r="D15" s="3"/>
      <c r="E15" s="3"/>
      <c r="F15" s="3"/>
      <c r="G15" s="3"/>
      <c r="H15" s="3"/>
      <c r="I15" s="3"/>
      <c r="N15" s="3"/>
      <c r="O15" s="3"/>
    </row>
    <row r="16" spans="2:15" x14ac:dyDescent="0.2">
      <c r="C16" s="3"/>
      <c r="D16" s="3"/>
      <c r="E16" s="3"/>
      <c r="F16" s="3"/>
      <c r="G16" s="3"/>
      <c r="H16" s="3"/>
      <c r="I16" s="3"/>
      <c r="N16" s="3"/>
      <c r="O16" s="3"/>
    </row>
    <row r="17" spans="2:15" outlineLevel="1" x14ac:dyDescent="0.2">
      <c r="B17" s="31" t="s">
        <v>1</v>
      </c>
      <c r="C17" t="s">
        <v>637</v>
      </c>
      <c r="D17" t="s">
        <v>638</v>
      </c>
      <c r="E17" t="s">
        <v>639</v>
      </c>
      <c r="F17" t="s">
        <v>640</v>
      </c>
      <c r="G17" t="s">
        <v>641</v>
      </c>
      <c r="H17" s="52" t="s">
        <v>634</v>
      </c>
      <c r="N17" s="3"/>
      <c r="O17" s="3"/>
    </row>
    <row r="18" spans="2:15" outlineLevel="1" x14ac:dyDescent="0.2">
      <c r="B18" t="s">
        <v>17</v>
      </c>
      <c r="C18" s="3">
        <v>150214.43599999996</v>
      </c>
      <c r="D18" s="3">
        <v>0</v>
      </c>
      <c r="E18" s="3">
        <v>165702</v>
      </c>
      <c r="F18" s="51">
        <v>0.5154724771671565</v>
      </c>
      <c r="G18" s="3">
        <v>85414.820411552166</v>
      </c>
      <c r="H18" s="3">
        <v>250551.08156916144</v>
      </c>
      <c r="N18" s="3"/>
      <c r="O18" s="3"/>
    </row>
    <row r="19" spans="2:15" outlineLevel="1" x14ac:dyDescent="0.2">
      <c r="B19" t="s">
        <v>173</v>
      </c>
      <c r="C19" s="3">
        <v>21749.892</v>
      </c>
      <c r="D19" s="3">
        <v>0</v>
      </c>
      <c r="E19" s="3">
        <v>117524</v>
      </c>
      <c r="F19" s="51">
        <v>0.3938052388111854</v>
      </c>
      <c r="G19" s="3">
        <v>46281.566886045752</v>
      </c>
      <c r="H19" s="3">
        <v>72609.66630894327</v>
      </c>
      <c r="N19" s="3"/>
      <c r="O19" s="3"/>
    </row>
    <row r="20" spans="2:15" outlineLevel="1" x14ac:dyDescent="0.2">
      <c r="B20" t="s">
        <v>7</v>
      </c>
      <c r="C20" s="3">
        <v>0</v>
      </c>
      <c r="D20" s="3">
        <v>0</v>
      </c>
      <c r="E20" s="3">
        <v>0</v>
      </c>
      <c r="F20" s="51">
        <v>0.74227818722130146</v>
      </c>
      <c r="G20" s="3">
        <v>0</v>
      </c>
      <c r="H20" s="3">
        <v>0</v>
      </c>
      <c r="N20" s="3"/>
      <c r="O20" s="3"/>
    </row>
    <row r="21" spans="2:15" outlineLevel="1" x14ac:dyDescent="0.2">
      <c r="B21" t="s">
        <v>140</v>
      </c>
      <c r="C21" s="3">
        <v>6981</v>
      </c>
      <c r="D21" s="3">
        <v>0</v>
      </c>
      <c r="E21" s="3">
        <v>37269</v>
      </c>
      <c r="F21" s="51">
        <v>0.3938052388111854</v>
      </c>
      <c r="G21" s="3">
        <v>14676.727445254068</v>
      </c>
      <c r="H21" s="3">
        <v>23277.727445254066</v>
      </c>
      <c r="N21" s="3"/>
      <c r="O21" s="3"/>
    </row>
    <row r="22" spans="2:15" outlineLevel="1" x14ac:dyDescent="0.2">
      <c r="B22" t="s">
        <v>350</v>
      </c>
      <c r="C22" s="3">
        <v>178945.32799999995</v>
      </c>
      <c r="D22" s="3">
        <v>0</v>
      </c>
      <c r="E22" s="3">
        <v>320495</v>
      </c>
      <c r="F22" s="51">
        <v>0.49151068097279049</v>
      </c>
      <c r="G22" s="3">
        <v>146373.11474285199</v>
      </c>
      <c r="H22" s="3">
        <v>346438.47532335878</v>
      </c>
      <c r="N22" s="3"/>
      <c r="O22" s="3"/>
    </row>
    <row r="23" spans="2:15" outlineLevel="1" x14ac:dyDescent="0.2">
      <c r="N23" s="3"/>
      <c r="O23" s="3"/>
    </row>
    <row r="24" spans="2:15" outlineLevel="1" x14ac:dyDescent="0.2">
      <c r="N24" s="3"/>
      <c r="O24" s="3"/>
    </row>
    <row r="25" spans="2:15" x14ac:dyDescent="0.2">
      <c r="C25" s="3"/>
      <c r="D25" s="3"/>
      <c r="E25" s="3"/>
      <c r="F25" s="3"/>
      <c r="G25" s="3"/>
      <c r="H25" s="3"/>
      <c r="I25" s="3"/>
      <c r="N25" s="3"/>
      <c r="O25" s="3"/>
    </row>
    <row r="26" spans="2:15" x14ac:dyDescent="0.2">
      <c r="C26" s="3"/>
      <c r="D26" s="3"/>
      <c r="E26" s="3"/>
      <c r="F26" s="3"/>
      <c r="G26" s="3"/>
      <c r="H26" s="3"/>
      <c r="I26" s="3"/>
      <c r="N26" s="3"/>
      <c r="O26" s="3"/>
    </row>
    <row r="27" spans="2:15" x14ac:dyDescent="0.2">
      <c r="C27" s="3"/>
      <c r="D27" s="3"/>
      <c r="E27" s="3"/>
      <c r="F27" s="3"/>
      <c r="G27" s="3"/>
      <c r="H27" s="3"/>
      <c r="I27" s="3"/>
      <c r="N27" s="3"/>
      <c r="O27" s="3"/>
    </row>
    <row r="28" spans="2:15" x14ac:dyDescent="0.2">
      <c r="D28" s="3"/>
      <c r="E28" s="3"/>
      <c r="F28" s="3"/>
      <c r="G28" s="3"/>
      <c r="H28" s="3"/>
      <c r="I28" s="3"/>
      <c r="N28" s="3"/>
      <c r="O28" s="3"/>
    </row>
    <row r="29" spans="2:15" x14ac:dyDescent="0.2">
      <c r="C29" s="3"/>
      <c r="D29" s="3"/>
      <c r="E29" s="3"/>
      <c r="F29" s="3"/>
      <c r="G29" s="3"/>
      <c r="H29" s="3"/>
      <c r="I29" s="3"/>
      <c r="N29" s="3"/>
      <c r="O29" s="3"/>
    </row>
    <row r="30" spans="2:15" x14ac:dyDescent="0.2">
      <c r="B30" s="10" t="s">
        <v>0</v>
      </c>
      <c r="C30" s="31" t="s">
        <v>1</v>
      </c>
      <c r="D30" t="s">
        <v>634</v>
      </c>
      <c r="E30" t="s">
        <v>632</v>
      </c>
      <c r="F30" t="s">
        <v>633</v>
      </c>
      <c r="G30" t="s">
        <v>631</v>
      </c>
      <c r="H30" t="s">
        <v>412</v>
      </c>
      <c r="I30" s="50" t="s">
        <v>413</v>
      </c>
      <c r="N30" s="3"/>
      <c r="O30" s="3"/>
    </row>
    <row r="31" spans="2:15" x14ac:dyDescent="0.2">
      <c r="B31" t="s">
        <v>6</v>
      </c>
      <c r="C31" t="s">
        <v>17</v>
      </c>
      <c r="D31" s="3">
        <v>3605162.0993453045</v>
      </c>
      <c r="E31" s="3">
        <v>2164617</v>
      </c>
      <c r="F31" s="3">
        <v>816000</v>
      </c>
      <c r="G31" s="3">
        <v>0</v>
      </c>
      <c r="H31" s="3">
        <v>3076617</v>
      </c>
      <c r="I31" s="3">
        <v>2980617</v>
      </c>
      <c r="N31" s="3"/>
      <c r="O31" s="3"/>
    </row>
    <row r="32" spans="2:15" x14ac:dyDescent="0.2">
      <c r="C32" t="s">
        <v>173</v>
      </c>
      <c r="D32" s="3">
        <v>2243065.2647726429</v>
      </c>
      <c r="E32" s="3">
        <v>1147000</v>
      </c>
      <c r="F32" s="3">
        <v>708000</v>
      </c>
      <c r="G32" s="3">
        <v>0</v>
      </c>
      <c r="H32" s="3">
        <v>1884000</v>
      </c>
      <c r="I32" s="3">
        <v>1855000</v>
      </c>
      <c r="N32" s="3"/>
      <c r="O32" s="3"/>
    </row>
    <row r="33" spans="2:15" x14ac:dyDescent="0.2">
      <c r="C33" t="s">
        <v>7</v>
      </c>
      <c r="D33" s="3">
        <v>684284.37943937234</v>
      </c>
      <c r="E33" s="3">
        <v>462240</v>
      </c>
      <c r="F33" s="3">
        <v>96000</v>
      </c>
      <c r="G33" s="3">
        <v>0</v>
      </c>
      <c r="H33" s="3">
        <v>558240</v>
      </c>
      <c r="I33" s="3">
        <v>558240</v>
      </c>
      <c r="N33" s="3"/>
      <c r="O33" s="3"/>
    </row>
    <row r="34" spans="2:15" x14ac:dyDescent="0.2">
      <c r="C34" t="s">
        <v>140</v>
      </c>
      <c r="D34" s="3">
        <v>2131761.2957002348</v>
      </c>
      <c r="E34" s="3">
        <v>840000</v>
      </c>
      <c r="F34" s="3">
        <v>168000</v>
      </c>
      <c r="G34" s="3">
        <v>0</v>
      </c>
      <c r="H34" s="3">
        <v>1704000</v>
      </c>
      <c r="I34" s="3">
        <v>1008000</v>
      </c>
      <c r="N34" s="3"/>
      <c r="O34" s="3"/>
    </row>
    <row r="35" spans="2:15" x14ac:dyDescent="0.2">
      <c r="C35" t="s">
        <v>88</v>
      </c>
      <c r="D35" s="3">
        <v>3230430.4345183941</v>
      </c>
      <c r="E35" s="3">
        <v>2166861.3445378151</v>
      </c>
      <c r="F35" s="3">
        <v>925925.93494976428</v>
      </c>
      <c r="G35" s="3">
        <v>0</v>
      </c>
      <c r="H35" s="3">
        <v>3114715.8509161514</v>
      </c>
      <c r="I35" s="3">
        <v>3092787.2794875801</v>
      </c>
      <c r="N35" s="3"/>
      <c r="O35" s="3"/>
    </row>
    <row r="36" spans="2:15" x14ac:dyDescent="0.2">
      <c r="B36" t="s">
        <v>577</v>
      </c>
      <c r="D36" s="3">
        <v>11894703.473775949</v>
      </c>
      <c r="E36" s="3">
        <v>6780718.3445378151</v>
      </c>
      <c r="F36" s="3">
        <v>2713925.9349497641</v>
      </c>
      <c r="G36" s="3">
        <v>0</v>
      </c>
      <c r="H36" s="3">
        <v>10337572.850916151</v>
      </c>
      <c r="I36" s="3">
        <v>9494644.2794875801</v>
      </c>
    </row>
    <row r="37" spans="2:15" x14ac:dyDescent="0.2">
      <c r="B37" t="s">
        <v>587</v>
      </c>
      <c r="C37" t="s">
        <v>17</v>
      </c>
      <c r="D37" s="3">
        <v>48110</v>
      </c>
      <c r="E37" s="3">
        <v>36000</v>
      </c>
      <c r="F37" s="3">
        <v>0</v>
      </c>
      <c r="G37" s="3">
        <v>0</v>
      </c>
      <c r="H37" s="3">
        <v>42000</v>
      </c>
      <c r="I37" s="3">
        <v>36000</v>
      </c>
    </row>
    <row r="38" spans="2:15" x14ac:dyDescent="0.2">
      <c r="B38" t="s">
        <v>625</v>
      </c>
      <c r="D38" s="3">
        <v>48110</v>
      </c>
      <c r="E38" s="3">
        <v>36000</v>
      </c>
      <c r="F38" s="3">
        <v>0</v>
      </c>
      <c r="G38" s="3">
        <v>0</v>
      </c>
      <c r="H38" s="3">
        <v>42000</v>
      </c>
      <c r="I38" s="3">
        <v>36000</v>
      </c>
    </row>
    <row r="39" spans="2:15" x14ac:dyDescent="0.2">
      <c r="B39" t="s">
        <v>204</v>
      </c>
      <c r="C39" t="s">
        <v>17</v>
      </c>
      <c r="D39" s="3">
        <v>250551.08156916144</v>
      </c>
      <c r="E39" s="3">
        <v>72000</v>
      </c>
      <c r="F39" s="3">
        <v>96000</v>
      </c>
      <c r="G39" s="3">
        <v>0</v>
      </c>
      <c r="H39" s="3">
        <v>168000</v>
      </c>
      <c r="I39" s="3">
        <v>168000</v>
      </c>
    </row>
    <row r="40" spans="2:15" x14ac:dyDescent="0.2">
      <c r="C40" t="s">
        <v>173</v>
      </c>
      <c r="D40" s="3">
        <v>72609.66630894327</v>
      </c>
      <c r="E40" s="3">
        <v>22000</v>
      </c>
      <c r="F40" s="3">
        <v>24000</v>
      </c>
      <c r="G40" s="3">
        <v>0</v>
      </c>
      <c r="H40" s="3">
        <v>46000</v>
      </c>
      <c r="I40" s="3">
        <v>46000</v>
      </c>
    </row>
    <row r="41" spans="2:15" x14ac:dyDescent="0.2">
      <c r="C41" t="s">
        <v>7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</row>
    <row r="42" spans="2:15" x14ac:dyDescent="0.2">
      <c r="C42" t="s">
        <v>140</v>
      </c>
      <c r="D42" s="3">
        <v>23277.727445254066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</row>
    <row r="43" spans="2:15" x14ac:dyDescent="0.2">
      <c r="B43" t="s">
        <v>578</v>
      </c>
      <c r="D43" s="3">
        <v>346438.47532335873</v>
      </c>
      <c r="E43" s="3">
        <v>94000</v>
      </c>
      <c r="F43" s="3">
        <v>120000</v>
      </c>
      <c r="G43" s="3">
        <v>0</v>
      </c>
      <c r="H43" s="3">
        <v>214000</v>
      </c>
      <c r="I43" s="3">
        <v>214000</v>
      </c>
    </row>
    <row r="44" spans="2:15" x14ac:dyDescent="0.2">
      <c r="B44" t="s">
        <v>227</v>
      </c>
      <c r="C44" t="s">
        <v>370</v>
      </c>
      <c r="D44" s="3">
        <v>238836.49052011757</v>
      </c>
      <c r="E44" s="3">
        <v>24000</v>
      </c>
      <c r="F44" s="3">
        <v>192000</v>
      </c>
      <c r="G44" s="3">
        <v>0</v>
      </c>
      <c r="H44" s="3">
        <v>216000</v>
      </c>
      <c r="I44" s="3">
        <v>216000</v>
      </c>
    </row>
    <row r="45" spans="2:15" x14ac:dyDescent="0.2">
      <c r="C45" t="s">
        <v>17</v>
      </c>
      <c r="D45" s="3">
        <v>1315331.8078382509</v>
      </c>
      <c r="E45" s="3">
        <v>564000</v>
      </c>
      <c r="F45" s="3">
        <v>528000</v>
      </c>
      <c r="G45" s="3">
        <v>0</v>
      </c>
      <c r="H45" s="3">
        <v>1116000</v>
      </c>
      <c r="I45" s="3">
        <v>1092000</v>
      </c>
    </row>
    <row r="46" spans="2:15" x14ac:dyDescent="0.2">
      <c r="C46" t="s">
        <v>173</v>
      </c>
      <c r="D46" s="3">
        <v>1006067.3311155153</v>
      </c>
      <c r="E46" s="3">
        <v>667000</v>
      </c>
      <c r="F46" s="3">
        <v>325000</v>
      </c>
      <c r="G46" s="3">
        <v>0</v>
      </c>
      <c r="H46" s="3">
        <v>992000</v>
      </c>
      <c r="I46" s="3">
        <v>992000</v>
      </c>
    </row>
    <row r="47" spans="2:15" x14ac:dyDescent="0.2">
      <c r="C47" t="s">
        <v>7</v>
      </c>
      <c r="D47" s="3">
        <v>178398.60927151929</v>
      </c>
      <c r="E47" s="3">
        <v>119990</v>
      </c>
      <c r="F47" s="3">
        <v>24000</v>
      </c>
      <c r="G47" s="3">
        <v>0</v>
      </c>
      <c r="H47" s="3">
        <v>143990</v>
      </c>
      <c r="I47" s="3">
        <v>143990</v>
      </c>
    </row>
    <row r="48" spans="2:15" x14ac:dyDescent="0.2">
      <c r="C48" t="s">
        <v>140</v>
      </c>
      <c r="D48" s="3">
        <v>277231.531303355</v>
      </c>
      <c r="E48" s="3">
        <v>84000</v>
      </c>
      <c r="F48" s="3">
        <v>0</v>
      </c>
      <c r="G48" s="3">
        <v>0</v>
      </c>
      <c r="H48" s="3">
        <v>180000</v>
      </c>
      <c r="I48" s="3">
        <v>84000</v>
      </c>
    </row>
    <row r="49" spans="2:9" x14ac:dyDescent="0.2">
      <c r="B49" t="s">
        <v>579</v>
      </c>
      <c r="D49" s="3">
        <v>3015865.770048758</v>
      </c>
      <c r="E49" s="3">
        <v>1458990</v>
      </c>
      <c r="F49" s="3">
        <v>1069000</v>
      </c>
      <c r="G49" s="3">
        <v>0</v>
      </c>
      <c r="H49" s="3">
        <v>2647990</v>
      </c>
      <c r="I49" s="3">
        <v>2527990</v>
      </c>
    </row>
    <row r="50" spans="2:9" x14ac:dyDescent="0.2">
      <c r="B50" t="s">
        <v>350</v>
      </c>
      <c r="D50" s="3">
        <v>15305117.719148066</v>
      </c>
      <c r="E50" s="3">
        <v>8369708.3445378151</v>
      </c>
      <c r="F50" s="3">
        <v>3902925.9349497641</v>
      </c>
      <c r="G50" s="3">
        <v>0</v>
      </c>
      <c r="H50" s="3">
        <v>13241562.850916151</v>
      </c>
      <c r="I50" s="3">
        <v>12272634.27948758</v>
      </c>
    </row>
  </sheetData>
  <pageMargins left="0.7" right="0.7" top="0.75" bottom="0.75" header="0.3" footer="0.3"/>
  <pageSetup orientation="portrait" r:id="rId4"/>
  <customProperties>
    <customPr name="_pios_id" r:id="rId5"/>
    <customPr name="IbpWorksheetKeyString_GUID" r:id="rId6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C81B-1858-40B6-AAE7-F8EA7E6D6430}">
  <dimension ref="A3:B796"/>
  <sheetViews>
    <sheetView topLeftCell="A3" workbookViewId="0">
      <selection activeCell="C8" sqref="C8"/>
    </sheetView>
  </sheetViews>
  <sheetFormatPr baseColWidth="10" defaultRowHeight="15" x14ac:dyDescent="0.2"/>
  <cols>
    <col min="1" max="1" width="16.5" bestFit="1" customWidth="1"/>
    <col min="2" max="2" width="12.33203125" bestFit="1" customWidth="1"/>
  </cols>
  <sheetData>
    <row r="3" spans="1:2" x14ac:dyDescent="0.2">
      <c r="A3" t="s">
        <v>348</v>
      </c>
      <c r="B3" t="s">
        <v>351</v>
      </c>
    </row>
    <row r="4" spans="1:2" x14ac:dyDescent="0.2">
      <c r="A4" s="11">
        <v>1010048</v>
      </c>
      <c r="B4" s="13">
        <v>668</v>
      </c>
    </row>
    <row r="5" spans="1:2" x14ac:dyDescent="0.2">
      <c r="A5" s="11">
        <v>1010078</v>
      </c>
      <c r="B5" s="13">
        <v>662</v>
      </c>
    </row>
    <row r="6" spans="1:2" x14ac:dyDescent="0.2">
      <c r="A6" s="11">
        <v>1010130</v>
      </c>
      <c r="B6" s="13">
        <v>330</v>
      </c>
    </row>
    <row r="7" spans="1:2" x14ac:dyDescent="0.2">
      <c r="A7" s="11">
        <v>1010143</v>
      </c>
      <c r="B7" s="13">
        <v>37477</v>
      </c>
    </row>
    <row r="8" spans="1:2" x14ac:dyDescent="0.2">
      <c r="A8" s="11">
        <v>1010176</v>
      </c>
      <c r="B8" s="13">
        <v>4723</v>
      </c>
    </row>
    <row r="9" spans="1:2" x14ac:dyDescent="0.2">
      <c r="A9" s="11">
        <v>1010204</v>
      </c>
      <c r="B9" s="13">
        <v>4153</v>
      </c>
    </row>
    <row r="10" spans="1:2" x14ac:dyDescent="0.2">
      <c r="A10" s="11">
        <v>1010227</v>
      </c>
      <c r="B10" s="13">
        <v>15095</v>
      </c>
    </row>
    <row r="11" spans="1:2" x14ac:dyDescent="0.2">
      <c r="A11" s="11">
        <v>1010243</v>
      </c>
      <c r="B11" s="13">
        <v>768</v>
      </c>
    </row>
    <row r="12" spans="1:2" x14ac:dyDescent="0.2">
      <c r="A12" s="11">
        <v>1010291</v>
      </c>
      <c r="B12" s="13">
        <v>9640</v>
      </c>
    </row>
    <row r="13" spans="1:2" x14ac:dyDescent="0.2">
      <c r="A13" s="11">
        <v>1010431</v>
      </c>
      <c r="B13" s="13">
        <v>18244</v>
      </c>
    </row>
    <row r="14" spans="1:2" x14ac:dyDescent="0.2">
      <c r="A14" s="11">
        <v>1010695</v>
      </c>
      <c r="B14" s="13">
        <v>1190</v>
      </c>
    </row>
    <row r="15" spans="1:2" x14ac:dyDescent="0.2">
      <c r="A15" s="11">
        <v>1010707</v>
      </c>
      <c r="B15" s="13">
        <v>1142</v>
      </c>
    </row>
    <row r="16" spans="1:2" x14ac:dyDescent="0.2">
      <c r="A16" s="11">
        <v>1010792</v>
      </c>
      <c r="B16" s="13">
        <v>47824</v>
      </c>
    </row>
    <row r="17" spans="1:2" x14ac:dyDescent="0.2">
      <c r="A17" s="11">
        <v>1010877</v>
      </c>
      <c r="B17" s="13">
        <v>108540</v>
      </c>
    </row>
    <row r="18" spans="1:2" x14ac:dyDescent="0.2">
      <c r="A18" s="11">
        <v>1010885</v>
      </c>
      <c r="B18" s="13">
        <v>3428</v>
      </c>
    </row>
    <row r="19" spans="1:2" x14ac:dyDescent="0.2">
      <c r="A19" s="11">
        <v>1010887</v>
      </c>
      <c r="B19" s="13">
        <v>127</v>
      </c>
    </row>
    <row r="20" spans="1:2" x14ac:dyDescent="0.2">
      <c r="A20" s="11">
        <v>1010888</v>
      </c>
      <c r="B20" s="13">
        <v>3112</v>
      </c>
    </row>
    <row r="21" spans="1:2" x14ac:dyDescent="0.2">
      <c r="A21" s="11">
        <v>1011042</v>
      </c>
      <c r="B21" s="13">
        <v>47800</v>
      </c>
    </row>
    <row r="22" spans="1:2" x14ac:dyDescent="0.2">
      <c r="A22" s="11">
        <v>1011047</v>
      </c>
      <c r="B22" s="13">
        <v>11140</v>
      </c>
    </row>
    <row r="23" spans="1:2" x14ac:dyDescent="0.2">
      <c r="A23" s="11">
        <v>1011127</v>
      </c>
      <c r="B23" s="13">
        <v>105640</v>
      </c>
    </row>
    <row r="24" spans="1:2" x14ac:dyDescent="0.2">
      <c r="A24" s="11">
        <v>1011138</v>
      </c>
      <c r="B24" s="13">
        <v>646</v>
      </c>
    </row>
    <row r="25" spans="1:2" x14ac:dyDescent="0.2">
      <c r="A25" s="11">
        <v>1011139</v>
      </c>
      <c r="B25" s="13">
        <v>58391</v>
      </c>
    </row>
    <row r="26" spans="1:2" x14ac:dyDescent="0.2">
      <c r="A26" s="11">
        <v>1011140</v>
      </c>
      <c r="B26" s="13">
        <v>17592</v>
      </c>
    </row>
    <row r="27" spans="1:2" x14ac:dyDescent="0.2">
      <c r="A27" s="11">
        <v>1011141</v>
      </c>
      <c r="B27" s="13">
        <v>10351</v>
      </c>
    </row>
    <row r="28" spans="1:2" x14ac:dyDescent="0.2">
      <c r="A28" s="11">
        <v>1011142</v>
      </c>
      <c r="B28" s="13">
        <v>15687</v>
      </c>
    </row>
    <row r="29" spans="1:2" x14ac:dyDescent="0.2">
      <c r="A29" s="11">
        <v>1011143</v>
      </c>
      <c r="B29" s="13">
        <v>13013</v>
      </c>
    </row>
    <row r="30" spans="1:2" x14ac:dyDescent="0.2">
      <c r="A30" s="11">
        <v>1011144</v>
      </c>
      <c r="B30" s="13">
        <v>18607</v>
      </c>
    </row>
    <row r="31" spans="1:2" x14ac:dyDescent="0.2">
      <c r="A31" s="11">
        <v>1011145</v>
      </c>
      <c r="B31" s="13">
        <v>10553</v>
      </c>
    </row>
    <row r="32" spans="1:2" x14ac:dyDescent="0.2">
      <c r="A32" s="11">
        <v>1011146</v>
      </c>
      <c r="B32" s="13">
        <v>30996</v>
      </c>
    </row>
    <row r="33" spans="1:2" x14ac:dyDescent="0.2">
      <c r="A33" s="11">
        <v>1011150</v>
      </c>
      <c r="B33" s="13">
        <v>4761</v>
      </c>
    </row>
    <row r="34" spans="1:2" x14ac:dyDescent="0.2">
      <c r="A34" s="11">
        <v>1011156</v>
      </c>
      <c r="B34" s="13">
        <v>6243</v>
      </c>
    </row>
    <row r="35" spans="1:2" x14ac:dyDescent="0.2">
      <c r="A35" s="11">
        <v>1011157</v>
      </c>
      <c r="B35" s="13">
        <v>2186</v>
      </c>
    </row>
    <row r="36" spans="1:2" x14ac:dyDescent="0.2">
      <c r="A36" s="11">
        <v>1011250</v>
      </c>
      <c r="B36" s="13">
        <v>17922</v>
      </c>
    </row>
    <row r="37" spans="1:2" x14ac:dyDescent="0.2">
      <c r="A37" s="11">
        <v>1011290</v>
      </c>
      <c r="B37" s="13">
        <v>8084</v>
      </c>
    </row>
    <row r="38" spans="1:2" x14ac:dyDescent="0.2">
      <c r="A38" s="11">
        <v>1011330</v>
      </c>
      <c r="B38" s="13">
        <v>45822</v>
      </c>
    </row>
    <row r="39" spans="1:2" x14ac:dyDescent="0.2">
      <c r="A39" s="11">
        <v>1011331</v>
      </c>
      <c r="B39" s="13">
        <v>29092</v>
      </c>
    </row>
    <row r="40" spans="1:2" x14ac:dyDescent="0.2">
      <c r="A40" s="11">
        <v>1011364</v>
      </c>
      <c r="B40" s="13">
        <v>894</v>
      </c>
    </row>
    <row r="41" spans="1:2" x14ac:dyDescent="0.2">
      <c r="A41" s="11">
        <v>1011379</v>
      </c>
      <c r="B41" s="13">
        <v>72</v>
      </c>
    </row>
    <row r="42" spans="1:2" x14ac:dyDescent="0.2">
      <c r="A42" s="11">
        <v>1011417</v>
      </c>
      <c r="B42" s="13">
        <v>54</v>
      </c>
    </row>
    <row r="43" spans="1:2" x14ac:dyDescent="0.2">
      <c r="A43" s="11">
        <v>1011421</v>
      </c>
      <c r="B43" s="13">
        <v>122691</v>
      </c>
    </row>
    <row r="44" spans="1:2" x14ac:dyDescent="0.2">
      <c r="A44" s="11">
        <v>1011422</v>
      </c>
      <c r="B44" s="13">
        <v>1252</v>
      </c>
    </row>
    <row r="45" spans="1:2" x14ac:dyDescent="0.2">
      <c r="A45" s="11">
        <v>1011558</v>
      </c>
      <c r="B45" s="13">
        <v>78093</v>
      </c>
    </row>
    <row r="46" spans="1:2" x14ac:dyDescent="0.2">
      <c r="A46" s="11">
        <v>1011560</v>
      </c>
      <c r="B46" s="13">
        <v>21438</v>
      </c>
    </row>
    <row r="47" spans="1:2" x14ac:dyDescent="0.2">
      <c r="A47" s="11">
        <v>1011567</v>
      </c>
      <c r="B47" s="13">
        <v>44</v>
      </c>
    </row>
    <row r="48" spans="1:2" x14ac:dyDescent="0.2">
      <c r="A48" s="11">
        <v>1011582</v>
      </c>
      <c r="B48" s="13">
        <v>1546</v>
      </c>
    </row>
    <row r="49" spans="1:2" x14ac:dyDescent="0.2">
      <c r="A49" s="11">
        <v>1011586</v>
      </c>
      <c r="B49" s="13">
        <v>10993</v>
      </c>
    </row>
    <row r="50" spans="1:2" x14ac:dyDescent="0.2">
      <c r="A50" s="11">
        <v>1011614</v>
      </c>
      <c r="B50" s="13">
        <v>1796</v>
      </c>
    </row>
    <row r="51" spans="1:2" x14ac:dyDescent="0.2">
      <c r="A51" s="11">
        <v>1011626</v>
      </c>
      <c r="B51" s="13">
        <v>6221</v>
      </c>
    </row>
    <row r="52" spans="1:2" x14ac:dyDescent="0.2">
      <c r="A52" s="11">
        <v>1011627</v>
      </c>
      <c r="B52" s="13">
        <v>27277</v>
      </c>
    </row>
    <row r="53" spans="1:2" x14ac:dyDescent="0.2">
      <c r="A53" s="11">
        <v>1011629</v>
      </c>
      <c r="B53" s="13">
        <v>27584</v>
      </c>
    </row>
    <row r="54" spans="1:2" x14ac:dyDescent="0.2">
      <c r="A54" s="11">
        <v>1011632</v>
      </c>
      <c r="B54" s="13">
        <v>2652</v>
      </c>
    </row>
    <row r="55" spans="1:2" x14ac:dyDescent="0.2">
      <c r="A55" s="11">
        <v>1011638</v>
      </c>
      <c r="B55" s="13">
        <v>1109</v>
      </c>
    </row>
    <row r="56" spans="1:2" x14ac:dyDescent="0.2">
      <c r="A56" s="11">
        <v>1011672</v>
      </c>
      <c r="B56" s="13">
        <v>16080</v>
      </c>
    </row>
    <row r="57" spans="1:2" x14ac:dyDescent="0.2">
      <c r="A57" s="11">
        <v>1011678</v>
      </c>
      <c r="B57" s="13">
        <v>10908</v>
      </c>
    </row>
    <row r="58" spans="1:2" x14ac:dyDescent="0.2">
      <c r="A58" s="11">
        <v>1011680</v>
      </c>
      <c r="B58" s="13">
        <v>12132</v>
      </c>
    </row>
    <row r="59" spans="1:2" x14ac:dyDescent="0.2">
      <c r="A59" s="11">
        <v>1011697</v>
      </c>
      <c r="B59" s="13">
        <v>2014</v>
      </c>
    </row>
    <row r="60" spans="1:2" x14ac:dyDescent="0.2">
      <c r="A60" s="11">
        <v>1011700</v>
      </c>
      <c r="B60" s="13">
        <v>34434</v>
      </c>
    </row>
    <row r="61" spans="1:2" x14ac:dyDescent="0.2">
      <c r="A61" s="11">
        <v>1011701</v>
      </c>
      <c r="B61" s="13">
        <v>39192</v>
      </c>
    </row>
    <row r="62" spans="1:2" x14ac:dyDescent="0.2">
      <c r="A62" s="11">
        <v>1011748</v>
      </c>
      <c r="B62" s="13">
        <v>20200</v>
      </c>
    </row>
    <row r="63" spans="1:2" x14ac:dyDescent="0.2">
      <c r="A63" s="11">
        <v>1011770</v>
      </c>
      <c r="B63" s="13">
        <v>33497</v>
      </c>
    </row>
    <row r="64" spans="1:2" x14ac:dyDescent="0.2">
      <c r="A64" s="11">
        <v>1011897</v>
      </c>
      <c r="B64" s="13">
        <v>1533</v>
      </c>
    </row>
    <row r="65" spans="1:2" x14ac:dyDescent="0.2">
      <c r="A65" s="11">
        <v>1011928</v>
      </c>
      <c r="B65" s="13">
        <v>5971</v>
      </c>
    </row>
    <row r="66" spans="1:2" x14ac:dyDescent="0.2">
      <c r="A66" s="11">
        <v>1011967</v>
      </c>
      <c r="B66" s="13">
        <v>26460</v>
      </c>
    </row>
    <row r="67" spans="1:2" x14ac:dyDescent="0.2">
      <c r="A67" s="11">
        <v>1011968</v>
      </c>
      <c r="B67" s="13">
        <v>8980</v>
      </c>
    </row>
    <row r="68" spans="1:2" x14ac:dyDescent="0.2">
      <c r="A68" s="11">
        <v>1011969</v>
      </c>
      <c r="B68" s="13">
        <v>33560</v>
      </c>
    </row>
    <row r="69" spans="1:2" x14ac:dyDescent="0.2">
      <c r="A69" s="11">
        <v>1012005</v>
      </c>
      <c r="B69" s="13">
        <v>8944</v>
      </c>
    </row>
    <row r="70" spans="1:2" x14ac:dyDescent="0.2">
      <c r="A70" s="11">
        <v>1012012</v>
      </c>
      <c r="B70" s="13">
        <v>17743</v>
      </c>
    </row>
    <row r="71" spans="1:2" x14ac:dyDescent="0.2">
      <c r="A71" s="11">
        <v>1012017</v>
      </c>
      <c r="B71" s="13">
        <v>70069</v>
      </c>
    </row>
    <row r="72" spans="1:2" x14ac:dyDescent="0.2">
      <c r="A72" s="11">
        <v>1012018</v>
      </c>
      <c r="B72" s="13">
        <v>95319</v>
      </c>
    </row>
    <row r="73" spans="1:2" x14ac:dyDescent="0.2">
      <c r="A73" s="11">
        <v>1012038</v>
      </c>
      <c r="B73" s="13">
        <v>15994</v>
      </c>
    </row>
    <row r="74" spans="1:2" x14ac:dyDescent="0.2">
      <c r="A74" s="11">
        <v>1012059</v>
      </c>
      <c r="B74" s="13">
        <v>547</v>
      </c>
    </row>
    <row r="75" spans="1:2" x14ac:dyDescent="0.2">
      <c r="A75" s="11">
        <v>1012107</v>
      </c>
      <c r="B75" s="13">
        <v>13318</v>
      </c>
    </row>
    <row r="76" spans="1:2" x14ac:dyDescent="0.2">
      <c r="A76" s="11">
        <v>1012108</v>
      </c>
      <c r="B76" s="13">
        <v>20104</v>
      </c>
    </row>
    <row r="77" spans="1:2" x14ac:dyDescent="0.2">
      <c r="A77" s="11">
        <v>1012109</v>
      </c>
      <c r="B77" s="13">
        <v>64828</v>
      </c>
    </row>
    <row r="78" spans="1:2" x14ac:dyDescent="0.2">
      <c r="A78" s="11">
        <v>1012110</v>
      </c>
      <c r="B78" s="13">
        <v>13681</v>
      </c>
    </row>
    <row r="79" spans="1:2" x14ac:dyDescent="0.2">
      <c r="A79" s="11">
        <v>1012111</v>
      </c>
      <c r="B79" s="13">
        <v>12410</v>
      </c>
    </row>
    <row r="80" spans="1:2" x14ac:dyDescent="0.2">
      <c r="A80" s="11">
        <v>1012112</v>
      </c>
      <c r="B80" s="13">
        <v>3375</v>
      </c>
    </row>
    <row r="81" spans="1:2" x14ac:dyDescent="0.2">
      <c r="A81" s="11">
        <v>1012115</v>
      </c>
      <c r="B81" s="13">
        <v>3112</v>
      </c>
    </row>
    <row r="82" spans="1:2" x14ac:dyDescent="0.2">
      <c r="A82" s="11">
        <v>1012145</v>
      </c>
      <c r="B82" s="13">
        <v>44153</v>
      </c>
    </row>
    <row r="83" spans="1:2" x14ac:dyDescent="0.2">
      <c r="A83" s="11">
        <v>1012147</v>
      </c>
      <c r="B83" s="13">
        <v>2019</v>
      </c>
    </row>
    <row r="84" spans="1:2" x14ac:dyDescent="0.2">
      <c r="A84" s="11">
        <v>1012148</v>
      </c>
      <c r="B84" s="13">
        <v>17873</v>
      </c>
    </row>
    <row r="85" spans="1:2" x14ac:dyDescent="0.2">
      <c r="A85" s="11">
        <v>1012157</v>
      </c>
      <c r="B85" s="13">
        <v>23097</v>
      </c>
    </row>
    <row r="86" spans="1:2" x14ac:dyDescent="0.2">
      <c r="A86" s="11">
        <v>1012158</v>
      </c>
      <c r="B86" s="13">
        <v>91772</v>
      </c>
    </row>
    <row r="87" spans="1:2" x14ac:dyDescent="0.2">
      <c r="A87" s="11">
        <v>1012159</v>
      </c>
      <c r="B87" s="13">
        <v>78146</v>
      </c>
    </row>
    <row r="88" spans="1:2" x14ac:dyDescent="0.2">
      <c r="A88" s="11">
        <v>1012160</v>
      </c>
      <c r="B88" s="13">
        <v>22970</v>
      </c>
    </row>
    <row r="89" spans="1:2" x14ac:dyDescent="0.2">
      <c r="A89" s="11">
        <v>1012161</v>
      </c>
      <c r="B89" s="13">
        <v>13571</v>
      </c>
    </row>
    <row r="90" spans="1:2" x14ac:dyDescent="0.2">
      <c r="A90" s="11">
        <v>1012163</v>
      </c>
      <c r="B90" s="13">
        <v>22045</v>
      </c>
    </row>
    <row r="91" spans="1:2" x14ac:dyDescent="0.2">
      <c r="A91" s="11">
        <v>1012164</v>
      </c>
      <c r="B91" s="13">
        <v>30083</v>
      </c>
    </row>
    <row r="92" spans="1:2" x14ac:dyDescent="0.2">
      <c r="A92" s="11">
        <v>1012165</v>
      </c>
      <c r="B92" s="13">
        <v>148291</v>
      </c>
    </row>
    <row r="93" spans="1:2" x14ac:dyDescent="0.2">
      <c r="A93" s="11">
        <v>1012166</v>
      </c>
      <c r="B93" s="13">
        <v>2250</v>
      </c>
    </row>
    <row r="94" spans="1:2" x14ac:dyDescent="0.2">
      <c r="A94" s="11">
        <v>1012167</v>
      </c>
      <c r="B94" s="13">
        <v>28141</v>
      </c>
    </row>
    <row r="95" spans="1:2" x14ac:dyDescent="0.2">
      <c r="A95" s="11">
        <v>1012193</v>
      </c>
      <c r="B95" s="13">
        <v>1384</v>
      </c>
    </row>
    <row r="96" spans="1:2" x14ac:dyDescent="0.2">
      <c r="A96" s="11">
        <v>1012207</v>
      </c>
      <c r="B96" s="13">
        <v>25836</v>
      </c>
    </row>
    <row r="97" spans="1:2" x14ac:dyDescent="0.2">
      <c r="A97" s="11">
        <v>1012208</v>
      </c>
      <c r="B97" s="13">
        <v>11287</v>
      </c>
    </row>
    <row r="98" spans="1:2" x14ac:dyDescent="0.2">
      <c r="A98" s="11">
        <v>1012250</v>
      </c>
      <c r="B98" s="13">
        <v>178</v>
      </c>
    </row>
    <row r="99" spans="1:2" x14ac:dyDescent="0.2">
      <c r="A99" s="11">
        <v>1012278</v>
      </c>
      <c r="B99" s="13">
        <v>31023</v>
      </c>
    </row>
    <row r="100" spans="1:2" x14ac:dyDescent="0.2">
      <c r="A100" s="11">
        <v>1012283</v>
      </c>
      <c r="B100" s="13">
        <v>15702</v>
      </c>
    </row>
    <row r="101" spans="1:2" x14ac:dyDescent="0.2">
      <c r="A101" s="11">
        <v>1012300</v>
      </c>
      <c r="B101" s="13">
        <v>18</v>
      </c>
    </row>
    <row r="102" spans="1:2" x14ac:dyDescent="0.2">
      <c r="A102" s="11">
        <v>1012313</v>
      </c>
      <c r="B102" s="13">
        <v>73</v>
      </c>
    </row>
    <row r="103" spans="1:2" x14ac:dyDescent="0.2">
      <c r="A103" s="11">
        <v>1012326</v>
      </c>
      <c r="B103" s="13">
        <v>15084</v>
      </c>
    </row>
    <row r="104" spans="1:2" x14ac:dyDescent="0.2">
      <c r="A104" s="11">
        <v>1012330</v>
      </c>
      <c r="B104" s="13">
        <v>4701</v>
      </c>
    </row>
    <row r="105" spans="1:2" x14ac:dyDescent="0.2">
      <c r="A105" s="11">
        <v>1012362</v>
      </c>
      <c r="B105" s="13">
        <v>14202</v>
      </c>
    </row>
    <row r="106" spans="1:2" x14ac:dyDescent="0.2">
      <c r="A106" s="11">
        <v>1012364</v>
      </c>
      <c r="B106" s="13">
        <v>8456</v>
      </c>
    </row>
    <row r="107" spans="1:2" x14ac:dyDescent="0.2">
      <c r="A107" s="11">
        <v>1012373</v>
      </c>
      <c r="B107" s="13">
        <v>437</v>
      </c>
    </row>
    <row r="108" spans="1:2" x14ac:dyDescent="0.2">
      <c r="A108" s="11">
        <v>1012387</v>
      </c>
      <c r="B108" s="13">
        <v>7200</v>
      </c>
    </row>
    <row r="109" spans="1:2" x14ac:dyDescent="0.2">
      <c r="A109" s="11">
        <v>1012399</v>
      </c>
      <c r="B109" s="13">
        <v>12365</v>
      </c>
    </row>
    <row r="110" spans="1:2" x14ac:dyDescent="0.2">
      <c r="A110" s="11">
        <v>1012400</v>
      </c>
      <c r="B110" s="13">
        <v>10366</v>
      </c>
    </row>
    <row r="111" spans="1:2" x14ac:dyDescent="0.2">
      <c r="A111" s="11">
        <v>1012401</v>
      </c>
      <c r="B111" s="13">
        <v>8770</v>
      </c>
    </row>
    <row r="112" spans="1:2" x14ac:dyDescent="0.2">
      <c r="A112" s="11">
        <v>1012424</v>
      </c>
      <c r="B112" s="13">
        <v>2120</v>
      </c>
    </row>
    <row r="113" spans="1:2" x14ac:dyDescent="0.2">
      <c r="A113" s="11">
        <v>1012434</v>
      </c>
      <c r="B113" s="13">
        <v>14520</v>
      </c>
    </row>
    <row r="114" spans="1:2" x14ac:dyDescent="0.2">
      <c r="A114" s="11">
        <v>1012448</v>
      </c>
      <c r="B114" s="13">
        <v>79800</v>
      </c>
    </row>
    <row r="115" spans="1:2" x14ac:dyDescent="0.2">
      <c r="A115" s="11">
        <v>1012451</v>
      </c>
      <c r="B115" s="13">
        <v>21585</v>
      </c>
    </row>
    <row r="116" spans="1:2" x14ac:dyDescent="0.2">
      <c r="A116" s="11">
        <v>1012452</v>
      </c>
      <c r="B116" s="13">
        <v>15527</v>
      </c>
    </row>
    <row r="117" spans="1:2" x14ac:dyDescent="0.2">
      <c r="A117" s="11">
        <v>1012455</v>
      </c>
      <c r="B117" s="13">
        <v>19560</v>
      </c>
    </row>
    <row r="118" spans="1:2" x14ac:dyDescent="0.2">
      <c r="A118" s="11">
        <v>1012483</v>
      </c>
      <c r="B118" s="13">
        <v>30083</v>
      </c>
    </row>
    <row r="119" spans="1:2" x14ac:dyDescent="0.2">
      <c r="A119" s="11">
        <v>1012488</v>
      </c>
      <c r="B119" s="13">
        <v>4391</v>
      </c>
    </row>
    <row r="120" spans="1:2" x14ac:dyDescent="0.2">
      <c r="A120" s="11">
        <v>1012493</v>
      </c>
      <c r="B120" s="13">
        <v>374</v>
      </c>
    </row>
    <row r="121" spans="1:2" x14ac:dyDescent="0.2">
      <c r="A121" s="11">
        <v>1012502</v>
      </c>
      <c r="B121" s="13">
        <v>18260</v>
      </c>
    </row>
    <row r="122" spans="1:2" x14ac:dyDescent="0.2">
      <c r="A122" s="11">
        <v>1012503</v>
      </c>
      <c r="B122" s="13">
        <v>58480</v>
      </c>
    </row>
    <row r="123" spans="1:2" x14ac:dyDescent="0.2">
      <c r="A123" s="11">
        <v>1012504</v>
      </c>
      <c r="B123" s="13">
        <v>22560</v>
      </c>
    </row>
    <row r="124" spans="1:2" x14ac:dyDescent="0.2">
      <c r="A124" s="11">
        <v>1012518</v>
      </c>
      <c r="B124" s="13">
        <v>15912</v>
      </c>
    </row>
    <row r="125" spans="1:2" x14ac:dyDescent="0.2">
      <c r="A125" s="11">
        <v>1012519</v>
      </c>
      <c r="B125" s="13">
        <v>7348</v>
      </c>
    </row>
    <row r="126" spans="1:2" x14ac:dyDescent="0.2">
      <c r="A126" s="11">
        <v>1012520</v>
      </c>
      <c r="B126" s="13">
        <v>60764</v>
      </c>
    </row>
    <row r="127" spans="1:2" x14ac:dyDescent="0.2">
      <c r="A127" s="11">
        <v>1012521</v>
      </c>
      <c r="B127" s="13">
        <v>28159</v>
      </c>
    </row>
    <row r="128" spans="1:2" x14ac:dyDescent="0.2">
      <c r="A128" s="11">
        <v>1012522</v>
      </c>
      <c r="B128" s="13">
        <v>8383</v>
      </c>
    </row>
    <row r="129" spans="1:2" x14ac:dyDescent="0.2">
      <c r="A129" s="11">
        <v>1012523</v>
      </c>
      <c r="B129" s="13">
        <v>15658</v>
      </c>
    </row>
    <row r="130" spans="1:2" x14ac:dyDescent="0.2">
      <c r="A130" s="11">
        <v>1012524</v>
      </c>
      <c r="B130" s="13">
        <v>9671</v>
      </c>
    </row>
    <row r="131" spans="1:2" x14ac:dyDescent="0.2">
      <c r="A131" s="11">
        <v>1012525</v>
      </c>
      <c r="B131" s="13">
        <v>12280</v>
      </c>
    </row>
    <row r="132" spans="1:2" x14ac:dyDescent="0.2">
      <c r="A132" s="11">
        <v>1012526</v>
      </c>
      <c r="B132" s="13">
        <v>5860</v>
      </c>
    </row>
    <row r="133" spans="1:2" x14ac:dyDescent="0.2">
      <c r="A133" s="11">
        <v>1012527</v>
      </c>
      <c r="B133" s="13">
        <v>3500</v>
      </c>
    </row>
    <row r="134" spans="1:2" x14ac:dyDescent="0.2">
      <c r="A134" s="11">
        <v>1012532</v>
      </c>
      <c r="B134" s="13">
        <v>10778</v>
      </c>
    </row>
    <row r="135" spans="1:2" x14ac:dyDescent="0.2">
      <c r="A135" s="11">
        <v>1012534</v>
      </c>
      <c r="B135" s="13">
        <v>61143</v>
      </c>
    </row>
    <row r="136" spans="1:2" x14ac:dyDescent="0.2">
      <c r="A136" s="11">
        <v>1012552</v>
      </c>
      <c r="B136" s="13">
        <v>28250</v>
      </c>
    </row>
    <row r="137" spans="1:2" x14ac:dyDescent="0.2">
      <c r="A137" s="11">
        <v>1012558</v>
      </c>
      <c r="B137" s="13">
        <v>6313</v>
      </c>
    </row>
    <row r="138" spans="1:2" x14ac:dyDescent="0.2">
      <c r="A138" s="11">
        <v>1012559</v>
      </c>
      <c r="B138" s="13">
        <v>3805</v>
      </c>
    </row>
    <row r="139" spans="1:2" x14ac:dyDescent="0.2">
      <c r="A139" s="11">
        <v>1012571</v>
      </c>
      <c r="B139" s="13">
        <v>14922</v>
      </c>
    </row>
    <row r="140" spans="1:2" x14ac:dyDescent="0.2">
      <c r="A140" s="11">
        <v>1012577</v>
      </c>
      <c r="B140" s="13">
        <v>2505</v>
      </c>
    </row>
    <row r="141" spans="1:2" x14ac:dyDescent="0.2">
      <c r="A141" s="11">
        <v>1012598</v>
      </c>
      <c r="B141" s="13">
        <v>5120</v>
      </c>
    </row>
    <row r="142" spans="1:2" x14ac:dyDescent="0.2">
      <c r="A142" s="11">
        <v>1012601</v>
      </c>
      <c r="B142" s="13">
        <v>2105</v>
      </c>
    </row>
    <row r="143" spans="1:2" x14ac:dyDescent="0.2">
      <c r="A143" s="11">
        <v>1012602</v>
      </c>
      <c r="B143" s="13">
        <v>3611</v>
      </c>
    </row>
    <row r="144" spans="1:2" x14ac:dyDescent="0.2">
      <c r="A144" s="11">
        <v>1012608</v>
      </c>
      <c r="B144" s="13">
        <v>19962</v>
      </c>
    </row>
    <row r="145" spans="1:2" x14ac:dyDescent="0.2">
      <c r="A145" s="11">
        <v>1012612</v>
      </c>
      <c r="B145" s="13">
        <v>147179</v>
      </c>
    </row>
    <row r="146" spans="1:2" x14ac:dyDescent="0.2">
      <c r="A146" s="11">
        <v>1012622</v>
      </c>
      <c r="B146" s="13">
        <v>54</v>
      </c>
    </row>
    <row r="147" spans="1:2" x14ac:dyDescent="0.2">
      <c r="A147" s="11">
        <v>1012623</v>
      </c>
      <c r="B147" s="13">
        <v>2558</v>
      </c>
    </row>
    <row r="148" spans="1:2" x14ac:dyDescent="0.2">
      <c r="A148" s="11">
        <v>1012625</v>
      </c>
      <c r="B148" s="13">
        <v>54</v>
      </c>
    </row>
    <row r="149" spans="1:2" x14ac:dyDescent="0.2">
      <c r="A149" s="11">
        <v>1012627</v>
      </c>
      <c r="B149" s="13">
        <v>18</v>
      </c>
    </row>
    <row r="150" spans="1:2" x14ac:dyDescent="0.2">
      <c r="A150" s="11">
        <v>1012629</v>
      </c>
      <c r="B150" s="13">
        <v>50</v>
      </c>
    </row>
    <row r="151" spans="1:2" x14ac:dyDescent="0.2">
      <c r="A151" s="11">
        <v>1012646</v>
      </c>
      <c r="B151" s="13">
        <v>5605</v>
      </c>
    </row>
    <row r="152" spans="1:2" x14ac:dyDescent="0.2">
      <c r="A152" s="11">
        <v>1012654</v>
      </c>
      <c r="B152" s="13">
        <v>29094</v>
      </c>
    </row>
    <row r="153" spans="1:2" x14ac:dyDescent="0.2">
      <c r="A153" s="11">
        <v>1012674</v>
      </c>
      <c r="B153" s="13">
        <v>5166</v>
      </c>
    </row>
    <row r="154" spans="1:2" x14ac:dyDescent="0.2">
      <c r="A154" s="11">
        <v>1012681</v>
      </c>
      <c r="B154" s="13">
        <v>28620</v>
      </c>
    </row>
    <row r="155" spans="1:2" x14ac:dyDescent="0.2">
      <c r="A155" s="11">
        <v>1012683</v>
      </c>
      <c r="B155" s="13">
        <v>105</v>
      </c>
    </row>
    <row r="156" spans="1:2" x14ac:dyDescent="0.2">
      <c r="A156" s="11">
        <v>1012684</v>
      </c>
      <c r="B156" s="13">
        <v>314</v>
      </c>
    </row>
    <row r="157" spans="1:2" x14ac:dyDescent="0.2">
      <c r="A157" s="11">
        <v>1012685</v>
      </c>
      <c r="B157" s="13">
        <v>252</v>
      </c>
    </row>
    <row r="158" spans="1:2" x14ac:dyDescent="0.2">
      <c r="A158" s="11">
        <v>1012693</v>
      </c>
      <c r="B158" s="13">
        <v>7405</v>
      </c>
    </row>
    <row r="159" spans="1:2" x14ac:dyDescent="0.2">
      <c r="A159" s="11">
        <v>1012694</v>
      </c>
      <c r="B159" s="13">
        <v>109</v>
      </c>
    </row>
    <row r="160" spans="1:2" x14ac:dyDescent="0.2">
      <c r="A160" s="11">
        <v>1012695</v>
      </c>
      <c r="B160" s="13">
        <v>17870</v>
      </c>
    </row>
    <row r="161" spans="1:2" x14ac:dyDescent="0.2">
      <c r="A161" s="11">
        <v>1012719</v>
      </c>
      <c r="B161" s="13">
        <v>56006</v>
      </c>
    </row>
    <row r="162" spans="1:2" x14ac:dyDescent="0.2">
      <c r="A162" s="11">
        <v>1012724</v>
      </c>
      <c r="B162" s="13">
        <v>16178</v>
      </c>
    </row>
    <row r="163" spans="1:2" x14ac:dyDescent="0.2">
      <c r="A163" s="11">
        <v>1012725</v>
      </c>
      <c r="B163" s="13">
        <v>20176</v>
      </c>
    </row>
    <row r="164" spans="1:2" x14ac:dyDescent="0.2">
      <c r="A164" s="11">
        <v>1012730</v>
      </c>
      <c r="B164" s="13">
        <v>27501</v>
      </c>
    </row>
    <row r="165" spans="1:2" x14ac:dyDescent="0.2">
      <c r="A165" s="11">
        <v>1012745</v>
      </c>
      <c r="B165" s="13">
        <v>4719</v>
      </c>
    </row>
    <row r="166" spans="1:2" x14ac:dyDescent="0.2">
      <c r="A166" s="11">
        <v>1012752</v>
      </c>
      <c r="B166" s="13">
        <v>2485</v>
      </c>
    </row>
    <row r="167" spans="1:2" x14ac:dyDescent="0.2">
      <c r="A167" s="11">
        <v>1012756</v>
      </c>
      <c r="B167" s="13">
        <v>2594</v>
      </c>
    </row>
    <row r="168" spans="1:2" x14ac:dyDescent="0.2">
      <c r="A168" s="11">
        <v>1012757</v>
      </c>
      <c r="B168" s="13">
        <v>384</v>
      </c>
    </row>
    <row r="169" spans="1:2" x14ac:dyDescent="0.2">
      <c r="A169" s="11">
        <v>1012761</v>
      </c>
      <c r="B169" s="13">
        <v>7484</v>
      </c>
    </row>
    <row r="170" spans="1:2" x14ac:dyDescent="0.2">
      <c r="A170" s="11">
        <v>1012763</v>
      </c>
      <c r="B170" s="13">
        <v>38160</v>
      </c>
    </row>
    <row r="171" spans="1:2" x14ac:dyDescent="0.2">
      <c r="A171" s="11">
        <v>1012764</v>
      </c>
      <c r="B171" s="13">
        <v>62246</v>
      </c>
    </row>
    <row r="172" spans="1:2" x14ac:dyDescent="0.2">
      <c r="A172" s="11">
        <v>1012773</v>
      </c>
      <c r="B172" s="13">
        <v>17671</v>
      </c>
    </row>
    <row r="173" spans="1:2" x14ac:dyDescent="0.2">
      <c r="A173" s="11">
        <v>1012774</v>
      </c>
      <c r="B173" s="13">
        <v>9828</v>
      </c>
    </row>
    <row r="174" spans="1:2" x14ac:dyDescent="0.2">
      <c r="A174" s="11">
        <v>1012778</v>
      </c>
      <c r="B174" s="13">
        <v>32712</v>
      </c>
    </row>
    <row r="175" spans="1:2" x14ac:dyDescent="0.2">
      <c r="A175" s="11">
        <v>1012782</v>
      </c>
      <c r="B175" s="13">
        <v>2048</v>
      </c>
    </row>
    <row r="176" spans="1:2" x14ac:dyDescent="0.2">
      <c r="A176" s="11">
        <v>1012788</v>
      </c>
      <c r="B176" s="13">
        <v>6832</v>
      </c>
    </row>
    <row r="177" spans="1:2" x14ac:dyDescent="0.2">
      <c r="A177" s="11">
        <v>1020001</v>
      </c>
      <c r="B177" s="13">
        <v>3290</v>
      </c>
    </row>
    <row r="178" spans="1:2" x14ac:dyDescent="0.2">
      <c r="A178" s="11">
        <v>1020003</v>
      </c>
      <c r="B178" s="13">
        <v>685</v>
      </c>
    </row>
    <row r="179" spans="1:2" x14ac:dyDescent="0.2">
      <c r="A179" s="11">
        <v>1020010</v>
      </c>
      <c r="B179" s="13">
        <v>16918</v>
      </c>
    </row>
    <row r="180" spans="1:2" x14ac:dyDescent="0.2">
      <c r="A180" s="11">
        <v>1020013</v>
      </c>
      <c r="B180" s="13">
        <v>11848</v>
      </c>
    </row>
    <row r="181" spans="1:2" x14ac:dyDescent="0.2">
      <c r="A181" s="11">
        <v>1020014</v>
      </c>
      <c r="B181" s="13">
        <v>659</v>
      </c>
    </row>
    <row r="182" spans="1:2" x14ac:dyDescent="0.2">
      <c r="A182" s="11">
        <v>1020017</v>
      </c>
      <c r="B182" s="13">
        <v>4941</v>
      </c>
    </row>
    <row r="183" spans="1:2" x14ac:dyDescent="0.2">
      <c r="A183" s="11">
        <v>1020020</v>
      </c>
      <c r="B183" s="13">
        <v>133</v>
      </c>
    </row>
    <row r="184" spans="1:2" x14ac:dyDescent="0.2">
      <c r="A184" s="11">
        <v>1020027</v>
      </c>
      <c r="B184" s="13">
        <v>7165</v>
      </c>
    </row>
    <row r="185" spans="1:2" x14ac:dyDescent="0.2">
      <c r="A185" s="11">
        <v>1020028</v>
      </c>
      <c r="B185" s="13">
        <v>2751</v>
      </c>
    </row>
    <row r="186" spans="1:2" x14ac:dyDescent="0.2">
      <c r="A186" s="11">
        <v>1020038</v>
      </c>
      <c r="B186" s="13">
        <v>178</v>
      </c>
    </row>
    <row r="187" spans="1:2" x14ac:dyDescent="0.2">
      <c r="A187" s="11">
        <v>1020042</v>
      </c>
      <c r="B187" s="13">
        <v>213</v>
      </c>
    </row>
    <row r="188" spans="1:2" x14ac:dyDescent="0.2">
      <c r="A188" s="11">
        <v>1020067</v>
      </c>
      <c r="B188" s="13">
        <v>4839</v>
      </c>
    </row>
    <row r="189" spans="1:2" x14ac:dyDescent="0.2">
      <c r="A189" s="11">
        <v>1020077</v>
      </c>
      <c r="B189" s="13">
        <v>3076</v>
      </c>
    </row>
    <row r="190" spans="1:2" x14ac:dyDescent="0.2">
      <c r="A190" s="11">
        <v>1020085</v>
      </c>
      <c r="B190" s="13">
        <v>43</v>
      </c>
    </row>
    <row r="191" spans="1:2" x14ac:dyDescent="0.2">
      <c r="A191" s="11">
        <v>1020089</v>
      </c>
      <c r="B191" s="13">
        <v>4658</v>
      </c>
    </row>
    <row r="192" spans="1:2" x14ac:dyDescent="0.2">
      <c r="A192" s="11">
        <v>1020090</v>
      </c>
      <c r="B192" s="13">
        <v>1110</v>
      </c>
    </row>
    <row r="193" spans="1:2" x14ac:dyDescent="0.2">
      <c r="A193" s="11">
        <v>1020092</v>
      </c>
      <c r="B193" s="13">
        <v>793</v>
      </c>
    </row>
    <row r="194" spans="1:2" x14ac:dyDescent="0.2">
      <c r="A194" s="11">
        <v>1020103</v>
      </c>
      <c r="B194" s="13">
        <v>738</v>
      </c>
    </row>
    <row r="195" spans="1:2" x14ac:dyDescent="0.2">
      <c r="A195" s="11">
        <v>1020105</v>
      </c>
      <c r="B195" s="13">
        <v>46646</v>
      </c>
    </row>
    <row r="196" spans="1:2" x14ac:dyDescent="0.2">
      <c r="A196" s="11">
        <v>1020110</v>
      </c>
      <c r="B196" s="13">
        <v>271213</v>
      </c>
    </row>
    <row r="197" spans="1:2" x14ac:dyDescent="0.2">
      <c r="A197" s="11">
        <v>1020136</v>
      </c>
      <c r="B197" s="13">
        <v>72</v>
      </c>
    </row>
    <row r="198" spans="1:2" x14ac:dyDescent="0.2">
      <c r="A198" s="11">
        <v>1020158</v>
      </c>
      <c r="B198" s="13">
        <v>2089</v>
      </c>
    </row>
    <row r="199" spans="1:2" x14ac:dyDescent="0.2">
      <c r="A199" s="11">
        <v>1020177</v>
      </c>
      <c r="B199" s="13">
        <v>4699</v>
      </c>
    </row>
    <row r="200" spans="1:2" x14ac:dyDescent="0.2">
      <c r="A200" s="11">
        <v>1020181</v>
      </c>
      <c r="B200" s="13">
        <v>21754</v>
      </c>
    </row>
    <row r="201" spans="1:2" x14ac:dyDescent="0.2">
      <c r="A201" s="11">
        <v>1020187</v>
      </c>
      <c r="B201" s="13">
        <v>13</v>
      </c>
    </row>
    <row r="202" spans="1:2" x14ac:dyDescent="0.2">
      <c r="A202" s="11">
        <v>1020236</v>
      </c>
      <c r="B202" s="13">
        <v>23594</v>
      </c>
    </row>
    <row r="203" spans="1:2" x14ac:dyDescent="0.2">
      <c r="A203" s="11">
        <v>1020245</v>
      </c>
      <c r="B203" s="13">
        <v>12337</v>
      </c>
    </row>
    <row r="204" spans="1:2" x14ac:dyDescent="0.2">
      <c r="A204" s="11">
        <v>1020252</v>
      </c>
      <c r="B204" s="13">
        <v>13123</v>
      </c>
    </row>
    <row r="205" spans="1:2" x14ac:dyDescent="0.2">
      <c r="A205" s="11">
        <v>1020253</v>
      </c>
      <c r="B205" s="13">
        <v>9624</v>
      </c>
    </row>
    <row r="206" spans="1:2" x14ac:dyDescent="0.2">
      <c r="A206" s="11">
        <v>1020265</v>
      </c>
      <c r="B206" s="13">
        <v>2113</v>
      </c>
    </row>
    <row r="207" spans="1:2" x14ac:dyDescent="0.2">
      <c r="A207" s="11">
        <v>1020284</v>
      </c>
      <c r="B207" s="13">
        <v>13683</v>
      </c>
    </row>
    <row r="208" spans="1:2" x14ac:dyDescent="0.2">
      <c r="A208" s="11">
        <v>1020298</v>
      </c>
      <c r="B208" s="13">
        <v>13012</v>
      </c>
    </row>
    <row r="209" spans="1:2" x14ac:dyDescent="0.2">
      <c r="A209" s="11">
        <v>1020299</v>
      </c>
      <c r="B209" s="13">
        <v>17262</v>
      </c>
    </row>
    <row r="210" spans="1:2" x14ac:dyDescent="0.2">
      <c r="A210" s="11">
        <v>1020316</v>
      </c>
      <c r="B210" s="13">
        <v>119</v>
      </c>
    </row>
    <row r="211" spans="1:2" x14ac:dyDescent="0.2">
      <c r="A211" s="11">
        <v>1020326</v>
      </c>
      <c r="B211" s="13">
        <v>51557</v>
      </c>
    </row>
    <row r="212" spans="1:2" x14ac:dyDescent="0.2">
      <c r="A212" s="11">
        <v>1020335</v>
      </c>
      <c r="B212" s="13">
        <v>2192</v>
      </c>
    </row>
    <row r="213" spans="1:2" x14ac:dyDescent="0.2">
      <c r="A213" s="11">
        <v>1020339</v>
      </c>
      <c r="B213" s="13">
        <v>154272</v>
      </c>
    </row>
    <row r="214" spans="1:2" x14ac:dyDescent="0.2">
      <c r="A214" s="11">
        <v>1020340</v>
      </c>
      <c r="B214" s="13">
        <v>257</v>
      </c>
    </row>
    <row r="215" spans="1:2" x14ac:dyDescent="0.2">
      <c r="A215" s="11">
        <v>1020346</v>
      </c>
      <c r="B215" s="13">
        <v>1277</v>
      </c>
    </row>
    <row r="216" spans="1:2" x14ac:dyDescent="0.2">
      <c r="A216" s="11">
        <v>1020349</v>
      </c>
      <c r="B216" s="13">
        <v>69119</v>
      </c>
    </row>
    <row r="217" spans="1:2" x14ac:dyDescent="0.2">
      <c r="A217" s="11">
        <v>1020350</v>
      </c>
      <c r="B217" s="13">
        <v>1358</v>
      </c>
    </row>
    <row r="218" spans="1:2" x14ac:dyDescent="0.2">
      <c r="A218" s="11">
        <v>1020352</v>
      </c>
      <c r="B218" s="13">
        <v>34198</v>
      </c>
    </row>
    <row r="219" spans="1:2" x14ac:dyDescent="0.2">
      <c r="A219" s="11">
        <v>1020357</v>
      </c>
      <c r="B219" s="13">
        <v>738</v>
      </c>
    </row>
    <row r="220" spans="1:2" x14ac:dyDescent="0.2">
      <c r="A220" s="11">
        <v>1020367</v>
      </c>
      <c r="B220" s="13">
        <v>57897</v>
      </c>
    </row>
    <row r="221" spans="1:2" x14ac:dyDescent="0.2">
      <c r="A221" s="11">
        <v>1020369</v>
      </c>
      <c r="B221" s="13">
        <v>546</v>
      </c>
    </row>
    <row r="222" spans="1:2" x14ac:dyDescent="0.2">
      <c r="A222" s="11">
        <v>1020391</v>
      </c>
      <c r="B222" s="13">
        <v>2167</v>
      </c>
    </row>
    <row r="223" spans="1:2" x14ac:dyDescent="0.2">
      <c r="A223" s="11">
        <v>1020409</v>
      </c>
      <c r="B223" s="13">
        <v>304</v>
      </c>
    </row>
    <row r="224" spans="1:2" x14ac:dyDescent="0.2">
      <c r="A224" s="11">
        <v>1020412</v>
      </c>
      <c r="B224" s="13">
        <v>45030</v>
      </c>
    </row>
    <row r="225" spans="1:2" x14ac:dyDescent="0.2">
      <c r="A225" s="11">
        <v>1020417</v>
      </c>
      <c r="B225" s="13">
        <v>10702</v>
      </c>
    </row>
    <row r="226" spans="1:2" x14ac:dyDescent="0.2">
      <c r="A226" s="11">
        <v>1020421</v>
      </c>
      <c r="B226" s="13">
        <v>1809</v>
      </c>
    </row>
    <row r="227" spans="1:2" x14ac:dyDescent="0.2">
      <c r="A227" s="11">
        <v>1020426</v>
      </c>
      <c r="B227" s="13">
        <v>212</v>
      </c>
    </row>
    <row r="228" spans="1:2" x14ac:dyDescent="0.2">
      <c r="A228" s="11">
        <v>1020433</v>
      </c>
      <c r="B228" s="13">
        <v>356</v>
      </c>
    </row>
    <row r="229" spans="1:2" x14ac:dyDescent="0.2">
      <c r="A229" s="11">
        <v>1020439</v>
      </c>
      <c r="B229" s="13">
        <v>480</v>
      </c>
    </row>
    <row r="230" spans="1:2" x14ac:dyDescent="0.2">
      <c r="A230" s="11">
        <v>1020440</v>
      </c>
      <c r="B230" s="13">
        <v>10530</v>
      </c>
    </row>
    <row r="231" spans="1:2" x14ac:dyDescent="0.2">
      <c r="A231" s="11">
        <v>1020442</v>
      </c>
      <c r="B231" s="13">
        <v>1537</v>
      </c>
    </row>
    <row r="232" spans="1:2" x14ac:dyDescent="0.2">
      <c r="A232" s="11">
        <v>1020446</v>
      </c>
      <c r="B232" s="13">
        <v>205</v>
      </c>
    </row>
    <row r="233" spans="1:2" x14ac:dyDescent="0.2">
      <c r="A233" s="11">
        <v>1020447</v>
      </c>
      <c r="B233" s="13">
        <v>10361</v>
      </c>
    </row>
    <row r="234" spans="1:2" x14ac:dyDescent="0.2">
      <c r="A234" s="11">
        <v>1020470</v>
      </c>
      <c r="B234" s="13">
        <v>0</v>
      </c>
    </row>
    <row r="235" spans="1:2" x14ac:dyDescent="0.2">
      <c r="A235" s="11">
        <v>1020589</v>
      </c>
      <c r="B235" s="13">
        <v>60288</v>
      </c>
    </row>
    <row r="236" spans="1:2" x14ac:dyDescent="0.2">
      <c r="A236" s="11">
        <v>1020592</v>
      </c>
      <c r="B236" s="13">
        <v>145088</v>
      </c>
    </row>
    <row r="237" spans="1:2" x14ac:dyDescent="0.2">
      <c r="A237" s="11">
        <v>1020611</v>
      </c>
      <c r="B237" s="13">
        <v>4749</v>
      </c>
    </row>
    <row r="238" spans="1:2" x14ac:dyDescent="0.2">
      <c r="A238" s="11">
        <v>1020614</v>
      </c>
      <c r="B238" s="13">
        <v>1893</v>
      </c>
    </row>
    <row r="239" spans="1:2" x14ac:dyDescent="0.2">
      <c r="A239" s="11">
        <v>1020620</v>
      </c>
      <c r="B239" s="13">
        <v>16587</v>
      </c>
    </row>
    <row r="240" spans="1:2" x14ac:dyDescent="0.2">
      <c r="A240" s="11">
        <v>1020631</v>
      </c>
      <c r="B240" s="13">
        <v>4978</v>
      </c>
    </row>
    <row r="241" spans="1:2" x14ac:dyDescent="0.2">
      <c r="A241" s="11">
        <v>1020636</v>
      </c>
      <c r="B241" s="13">
        <v>18814</v>
      </c>
    </row>
    <row r="242" spans="1:2" x14ac:dyDescent="0.2">
      <c r="A242" s="11">
        <v>1020637</v>
      </c>
      <c r="B242" s="13">
        <v>90839</v>
      </c>
    </row>
    <row r="243" spans="1:2" x14ac:dyDescent="0.2">
      <c r="A243" s="11">
        <v>1020662</v>
      </c>
      <c r="B243" s="13">
        <v>22933</v>
      </c>
    </row>
    <row r="244" spans="1:2" x14ac:dyDescent="0.2">
      <c r="A244" s="11">
        <v>1020664</v>
      </c>
      <c r="B244" s="13">
        <v>1085</v>
      </c>
    </row>
    <row r="245" spans="1:2" x14ac:dyDescent="0.2">
      <c r="A245" s="11">
        <v>1020665</v>
      </c>
      <c r="B245" s="13">
        <v>13179</v>
      </c>
    </row>
    <row r="246" spans="1:2" x14ac:dyDescent="0.2">
      <c r="A246" s="11">
        <v>1020678</v>
      </c>
      <c r="B246" s="13">
        <v>224</v>
      </c>
    </row>
    <row r="247" spans="1:2" x14ac:dyDescent="0.2">
      <c r="A247" s="11">
        <v>1020681</v>
      </c>
      <c r="B247" s="13">
        <v>5508</v>
      </c>
    </row>
    <row r="248" spans="1:2" x14ac:dyDescent="0.2">
      <c r="A248" s="11">
        <v>1020704</v>
      </c>
      <c r="B248" s="13">
        <v>1200</v>
      </c>
    </row>
    <row r="249" spans="1:2" x14ac:dyDescent="0.2">
      <c r="A249" s="11">
        <v>1020715</v>
      </c>
      <c r="B249" s="13">
        <v>2486</v>
      </c>
    </row>
    <row r="250" spans="1:2" x14ac:dyDescent="0.2">
      <c r="A250" s="11">
        <v>1020731</v>
      </c>
      <c r="B250" s="13">
        <v>4198</v>
      </c>
    </row>
    <row r="251" spans="1:2" x14ac:dyDescent="0.2">
      <c r="A251" s="11">
        <v>1020758</v>
      </c>
      <c r="B251" s="13">
        <v>606</v>
      </c>
    </row>
    <row r="252" spans="1:2" x14ac:dyDescent="0.2">
      <c r="A252" s="11">
        <v>1020774</v>
      </c>
      <c r="B252" s="13">
        <v>2980</v>
      </c>
    </row>
    <row r="253" spans="1:2" x14ac:dyDescent="0.2">
      <c r="A253" s="11">
        <v>1020802</v>
      </c>
      <c r="B253" s="13">
        <v>24218</v>
      </c>
    </row>
    <row r="254" spans="1:2" x14ac:dyDescent="0.2">
      <c r="A254" s="11">
        <v>1020810</v>
      </c>
      <c r="B254" s="13">
        <v>480</v>
      </c>
    </row>
    <row r="255" spans="1:2" x14ac:dyDescent="0.2">
      <c r="A255" s="11">
        <v>1020822</v>
      </c>
      <c r="B255" s="13">
        <v>27512</v>
      </c>
    </row>
    <row r="256" spans="1:2" x14ac:dyDescent="0.2">
      <c r="A256" s="11">
        <v>1020828</v>
      </c>
      <c r="B256" s="13">
        <v>34345</v>
      </c>
    </row>
    <row r="257" spans="1:2" x14ac:dyDescent="0.2">
      <c r="A257" s="11">
        <v>1020845</v>
      </c>
      <c r="B257" s="13">
        <v>950</v>
      </c>
    </row>
    <row r="258" spans="1:2" x14ac:dyDescent="0.2">
      <c r="A258" s="11">
        <v>1020848</v>
      </c>
      <c r="B258" s="13">
        <v>58850</v>
      </c>
    </row>
    <row r="259" spans="1:2" x14ac:dyDescent="0.2">
      <c r="A259" s="11">
        <v>1020853</v>
      </c>
      <c r="B259" s="13">
        <v>26456</v>
      </c>
    </row>
    <row r="260" spans="1:2" x14ac:dyDescent="0.2">
      <c r="A260" s="11">
        <v>1020860</v>
      </c>
      <c r="B260" s="13">
        <v>93426</v>
      </c>
    </row>
    <row r="261" spans="1:2" x14ac:dyDescent="0.2">
      <c r="A261" s="11">
        <v>1020861</v>
      </c>
      <c r="B261" s="13">
        <v>86593</v>
      </c>
    </row>
    <row r="262" spans="1:2" x14ac:dyDescent="0.2">
      <c r="A262" s="11">
        <v>1020869</v>
      </c>
      <c r="B262" s="13">
        <v>23529</v>
      </c>
    </row>
    <row r="263" spans="1:2" x14ac:dyDescent="0.2">
      <c r="A263" s="11">
        <v>1020878</v>
      </c>
      <c r="B263" s="13">
        <v>19490</v>
      </c>
    </row>
    <row r="264" spans="1:2" x14ac:dyDescent="0.2">
      <c r="A264" s="11">
        <v>1020886</v>
      </c>
      <c r="B264" s="13">
        <v>1424</v>
      </c>
    </row>
    <row r="265" spans="1:2" x14ac:dyDescent="0.2">
      <c r="A265" s="11">
        <v>1020904</v>
      </c>
      <c r="B265" s="13">
        <v>6628</v>
      </c>
    </row>
    <row r="266" spans="1:2" x14ac:dyDescent="0.2">
      <c r="A266" s="11">
        <v>1020905</v>
      </c>
      <c r="B266" s="13">
        <v>10659</v>
      </c>
    </row>
    <row r="267" spans="1:2" x14ac:dyDescent="0.2">
      <c r="A267" s="11">
        <v>1020914</v>
      </c>
      <c r="B267" s="13">
        <v>1720</v>
      </c>
    </row>
    <row r="268" spans="1:2" x14ac:dyDescent="0.2">
      <c r="A268" s="11">
        <v>1020925</v>
      </c>
      <c r="B268" s="13">
        <v>60823</v>
      </c>
    </row>
    <row r="269" spans="1:2" x14ac:dyDescent="0.2">
      <c r="A269" s="11">
        <v>1020944</v>
      </c>
      <c r="B269" s="13">
        <v>164650</v>
      </c>
    </row>
    <row r="270" spans="1:2" x14ac:dyDescent="0.2">
      <c r="A270" s="11">
        <v>1020990</v>
      </c>
      <c r="B270" s="13">
        <v>7290</v>
      </c>
    </row>
    <row r="271" spans="1:2" x14ac:dyDescent="0.2">
      <c r="A271" s="11">
        <v>1020991</v>
      </c>
      <c r="B271" s="13">
        <v>6059</v>
      </c>
    </row>
    <row r="272" spans="1:2" x14ac:dyDescent="0.2">
      <c r="A272" s="11">
        <v>1020993</v>
      </c>
      <c r="B272" s="13">
        <v>8100</v>
      </c>
    </row>
    <row r="273" spans="1:2" x14ac:dyDescent="0.2">
      <c r="A273" s="11">
        <v>1021012</v>
      </c>
      <c r="B273" s="13">
        <v>82565</v>
      </c>
    </row>
    <row r="274" spans="1:2" x14ac:dyDescent="0.2">
      <c r="A274" s="11">
        <v>1021023</v>
      </c>
      <c r="B274" s="13">
        <v>95075</v>
      </c>
    </row>
    <row r="275" spans="1:2" x14ac:dyDescent="0.2">
      <c r="A275" s="11">
        <v>1021026</v>
      </c>
      <c r="B275" s="13">
        <v>27676</v>
      </c>
    </row>
    <row r="276" spans="1:2" x14ac:dyDescent="0.2">
      <c r="A276" s="11">
        <v>1021039</v>
      </c>
      <c r="B276" s="13">
        <v>42147</v>
      </c>
    </row>
    <row r="277" spans="1:2" x14ac:dyDescent="0.2">
      <c r="A277" s="11">
        <v>1021045</v>
      </c>
      <c r="B277" s="13">
        <v>19175</v>
      </c>
    </row>
    <row r="278" spans="1:2" x14ac:dyDescent="0.2">
      <c r="A278" s="11">
        <v>1021046</v>
      </c>
      <c r="B278" s="13">
        <v>2365</v>
      </c>
    </row>
    <row r="279" spans="1:2" x14ac:dyDescent="0.2">
      <c r="A279" s="11">
        <v>1021077</v>
      </c>
      <c r="B279" s="13">
        <v>39965</v>
      </c>
    </row>
    <row r="280" spans="1:2" x14ac:dyDescent="0.2">
      <c r="A280" s="11">
        <v>1021078</v>
      </c>
      <c r="B280" s="13">
        <v>92242</v>
      </c>
    </row>
    <row r="281" spans="1:2" x14ac:dyDescent="0.2">
      <c r="A281" s="11">
        <v>1021082</v>
      </c>
      <c r="B281" s="13">
        <v>42210</v>
      </c>
    </row>
    <row r="282" spans="1:2" x14ac:dyDescent="0.2">
      <c r="A282" s="11">
        <v>1021085</v>
      </c>
      <c r="B282" s="13">
        <v>9608</v>
      </c>
    </row>
    <row r="283" spans="1:2" x14ac:dyDescent="0.2">
      <c r="A283" s="11">
        <v>1021092</v>
      </c>
      <c r="B283" s="13">
        <v>57673</v>
      </c>
    </row>
    <row r="284" spans="1:2" x14ac:dyDescent="0.2">
      <c r="A284" s="11">
        <v>1021101</v>
      </c>
      <c r="B284" s="13">
        <v>13657</v>
      </c>
    </row>
    <row r="285" spans="1:2" x14ac:dyDescent="0.2">
      <c r="A285" s="11">
        <v>1021105</v>
      </c>
      <c r="B285" s="13">
        <v>6143</v>
      </c>
    </row>
    <row r="286" spans="1:2" x14ac:dyDescent="0.2">
      <c r="A286" s="11">
        <v>1021106</v>
      </c>
      <c r="B286" s="13">
        <v>88378</v>
      </c>
    </row>
    <row r="287" spans="1:2" x14ac:dyDescent="0.2">
      <c r="A287" s="11">
        <v>1021111</v>
      </c>
      <c r="B287" s="13">
        <v>1695</v>
      </c>
    </row>
    <row r="288" spans="1:2" x14ac:dyDescent="0.2">
      <c r="A288" s="11">
        <v>1021115</v>
      </c>
      <c r="B288" s="13">
        <v>22960</v>
      </c>
    </row>
    <row r="289" spans="1:2" x14ac:dyDescent="0.2">
      <c r="A289" s="11">
        <v>1021136</v>
      </c>
      <c r="B289" s="13">
        <v>4210</v>
      </c>
    </row>
    <row r="290" spans="1:2" x14ac:dyDescent="0.2">
      <c r="A290" s="11">
        <v>1021140</v>
      </c>
      <c r="B290" s="13">
        <v>2839</v>
      </c>
    </row>
    <row r="291" spans="1:2" x14ac:dyDescent="0.2">
      <c r="A291" s="11">
        <v>1021149</v>
      </c>
      <c r="B291" s="13">
        <v>58373</v>
      </c>
    </row>
    <row r="292" spans="1:2" x14ac:dyDescent="0.2">
      <c r="A292" s="11">
        <v>1021150</v>
      </c>
      <c r="B292" s="13">
        <v>5984</v>
      </c>
    </row>
    <row r="293" spans="1:2" x14ac:dyDescent="0.2">
      <c r="A293" s="11">
        <v>1021151</v>
      </c>
      <c r="B293" s="13">
        <v>24528</v>
      </c>
    </row>
    <row r="294" spans="1:2" x14ac:dyDescent="0.2">
      <c r="A294" s="11">
        <v>1021152</v>
      </c>
      <c r="B294" s="13">
        <v>4272</v>
      </c>
    </row>
    <row r="295" spans="1:2" x14ac:dyDescent="0.2">
      <c r="A295" s="11">
        <v>1021156</v>
      </c>
      <c r="B295" s="13">
        <v>16560</v>
      </c>
    </row>
    <row r="296" spans="1:2" x14ac:dyDescent="0.2">
      <c r="A296" s="11">
        <v>1021187</v>
      </c>
      <c r="B296" s="13">
        <v>33177</v>
      </c>
    </row>
    <row r="297" spans="1:2" x14ac:dyDescent="0.2">
      <c r="A297" s="11">
        <v>1021237</v>
      </c>
      <c r="B297" s="13">
        <v>40</v>
      </c>
    </row>
    <row r="298" spans="1:2" x14ac:dyDescent="0.2">
      <c r="A298" s="11">
        <v>1021260</v>
      </c>
      <c r="B298" s="13">
        <v>177</v>
      </c>
    </row>
    <row r="299" spans="1:2" x14ac:dyDescent="0.2">
      <c r="A299" s="11">
        <v>1021263</v>
      </c>
      <c r="B299" s="13">
        <v>7578</v>
      </c>
    </row>
    <row r="300" spans="1:2" x14ac:dyDescent="0.2">
      <c r="A300" s="11">
        <v>1021267</v>
      </c>
      <c r="B300" s="13">
        <v>6677</v>
      </c>
    </row>
    <row r="301" spans="1:2" x14ac:dyDescent="0.2">
      <c r="A301" s="11">
        <v>1021270</v>
      </c>
      <c r="B301" s="13">
        <v>67657</v>
      </c>
    </row>
    <row r="302" spans="1:2" x14ac:dyDescent="0.2">
      <c r="A302" s="11">
        <v>1021272</v>
      </c>
      <c r="B302" s="13">
        <v>89653</v>
      </c>
    </row>
    <row r="303" spans="1:2" x14ac:dyDescent="0.2">
      <c r="A303" s="11">
        <v>1021334</v>
      </c>
      <c r="B303" s="13">
        <v>11956</v>
      </c>
    </row>
    <row r="304" spans="1:2" x14ac:dyDescent="0.2">
      <c r="A304" s="11">
        <v>1021385</v>
      </c>
      <c r="B304" s="13">
        <v>203281</v>
      </c>
    </row>
    <row r="305" spans="1:2" x14ac:dyDescent="0.2">
      <c r="A305" s="11">
        <v>1021394</v>
      </c>
      <c r="B305" s="13">
        <v>4246</v>
      </c>
    </row>
    <row r="306" spans="1:2" x14ac:dyDescent="0.2">
      <c r="A306" s="11">
        <v>1021398</v>
      </c>
      <c r="B306" s="13">
        <v>9565</v>
      </c>
    </row>
    <row r="307" spans="1:2" x14ac:dyDescent="0.2">
      <c r="A307" s="11">
        <v>1021433</v>
      </c>
      <c r="B307" s="13">
        <v>19969</v>
      </c>
    </row>
    <row r="308" spans="1:2" x14ac:dyDescent="0.2">
      <c r="A308" s="11">
        <v>1021435</v>
      </c>
      <c r="B308" s="13">
        <v>7850</v>
      </c>
    </row>
    <row r="309" spans="1:2" x14ac:dyDescent="0.2">
      <c r="A309" s="11">
        <v>1021470</v>
      </c>
      <c r="B309" s="13">
        <v>22402</v>
      </c>
    </row>
    <row r="310" spans="1:2" x14ac:dyDescent="0.2">
      <c r="A310" s="11">
        <v>1021477</v>
      </c>
      <c r="B310" s="13">
        <v>24864</v>
      </c>
    </row>
    <row r="311" spans="1:2" x14ac:dyDescent="0.2">
      <c r="A311" s="11">
        <v>1021495</v>
      </c>
      <c r="B311" s="13">
        <v>0</v>
      </c>
    </row>
    <row r="312" spans="1:2" x14ac:dyDescent="0.2">
      <c r="A312" s="11">
        <v>1021533</v>
      </c>
      <c r="B312" s="13">
        <v>4225</v>
      </c>
    </row>
    <row r="313" spans="1:2" x14ac:dyDescent="0.2">
      <c r="A313" s="11">
        <v>1021538</v>
      </c>
      <c r="B313" s="13">
        <v>57278</v>
      </c>
    </row>
    <row r="314" spans="1:2" x14ac:dyDescent="0.2">
      <c r="A314" s="11">
        <v>1021539</v>
      </c>
      <c r="B314" s="13">
        <v>7441</v>
      </c>
    </row>
    <row r="315" spans="1:2" x14ac:dyDescent="0.2">
      <c r="A315" s="11">
        <v>1021550</v>
      </c>
      <c r="B315" s="13">
        <v>3820</v>
      </c>
    </row>
    <row r="316" spans="1:2" x14ac:dyDescent="0.2">
      <c r="A316" s="11">
        <v>1021555</v>
      </c>
      <c r="B316" s="13">
        <v>41116</v>
      </c>
    </row>
    <row r="317" spans="1:2" x14ac:dyDescent="0.2">
      <c r="A317" s="11">
        <v>1021588</v>
      </c>
      <c r="B317" s="13">
        <v>61862</v>
      </c>
    </row>
    <row r="318" spans="1:2" x14ac:dyDescent="0.2">
      <c r="A318" s="11">
        <v>1021596</v>
      </c>
      <c r="B318" s="13">
        <v>15299</v>
      </c>
    </row>
    <row r="319" spans="1:2" x14ac:dyDescent="0.2">
      <c r="A319" s="11">
        <v>1021603</v>
      </c>
      <c r="B319" s="13">
        <v>4294</v>
      </c>
    </row>
    <row r="320" spans="1:2" x14ac:dyDescent="0.2">
      <c r="A320" s="11">
        <v>1021609</v>
      </c>
      <c r="B320" s="13">
        <v>3530</v>
      </c>
    </row>
    <row r="321" spans="1:2" x14ac:dyDescent="0.2">
      <c r="A321" s="11">
        <v>1021620</v>
      </c>
      <c r="B321" s="13">
        <v>43150</v>
      </c>
    </row>
    <row r="322" spans="1:2" x14ac:dyDescent="0.2">
      <c r="A322" s="11">
        <v>1021622</v>
      </c>
      <c r="B322" s="13">
        <v>10950</v>
      </c>
    </row>
    <row r="323" spans="1:2" x14ac:dyDescent="0.2">
      <c r="A323" s="11">
        <v>1021635</v>
      </c>
      <c r="B323" s="13">
        <v>88</v>
      </c>
    </row>
    <row r="324" spans="1:2" x14ac:dyDescent="0.2">
      <c r="A324" s="11">
        <v>1021639</v>
      </c>
      <c r="B324" s="13">
        <v>25775</v>
      </c>
    </row>
    <row r="325" spans="1:2" x14ac:dyDescent="0.2">
      <c r="A325" s="11">
        <v>1021655</v>
      </c>
      <c r="B325" s="13">
        <v>14281</v>
      </c>
    </row>
    <row r="326" spans="1:2" x14ac:dyDescent="0.2">
      <c r="A326" s="11">
        <v>1021664</v>
      </c>
      <c r="B326" s="13">
        <v>13823</v>
      </c>
    </row>
    <row r="327" spans="1:2" x14ac:dyDescent="0.2">
      <c r="A327" s="11">
        <v>1021665</v>
      </c>
      <c r="B327" s="13">
        <v>24208</v>
      </c>
    </row>
    <row r="328" spans="1:2" x14ac:dyDescent="0.2">
      <c r="A328" s="11">
        <v>1021731</v>
      </c>
      <c r="B328" s="13">
        <v>108760</v>
      </c>
    </row>
    <row r="329" spans="1:2" x14ac:dyDescent="0.2">
      <c r="A329" s="11">
        <v>1021732</v>
      </c>
      <c r="B329" s="13">
        <v>133934</v>
      </c>
    </row>
    <row r="330" spans="1:2" x14ac:dyDescent="0.2">
      <c r="A330" s="11">
        <v>1021733</v>
      </c>
      <c r="B330" s="13">
        <v>3150</v>
      </c>
    </row>
    <row r="331" spans="1:2" x14ac:dyDescent="0.2">
      <c r="A331" s="11">
        <v>1021735</v>
      </c>
      <c r="B331" s="13">
        <v>57101</v>
      </c>
    </row>
    <row r="332" spans="1:2" x14ac:dyDescent="0.2">
      <c r="A332" s="11">
        <v>1021737</v>
      </c>
      <c r="B332" s="13">
        <v>29080</v>
      </c>
    </row>
    <row r="333" spans="1:2" x14ac:dyDescent="0.2">
      <c r="A333" s="11">
        <v>1021738</v>
      </c>
      <c r="B333" s="13">
        <v>71021</v>
      </c>
    </row>
    <row r="334" spans="1:2" x14ac:dyDescent="0.2">
      <c r="A334" s="11">
        <v>1021739</v>
      </c>
      <c r="B334" s="13">
        <v>44610</v>
      </c>
    </row>
    <row r="335" spans="1:2" x14ac:dyDescent="0.2">
      <c r="A335" s="11">
        <v>1021766</v>
      </c>
      <c r="B335" s="13">
        <v>125806</v>
      </c>
    </row>
    <row r="336" spans="1:2" x14ac:dyDescent="0.2">
      <c r="A336" s="11">
        <v>1021767</v>
      </c>
      <c r="B336" s="13">
        <v>151490</v>
      </c>
    </row>
    <row r="337" spans="1:2" x14ac:dyDescent="0.2">
      <c r="A337" s="11">
        <v>1021771</v>
      </c>
      <c r="B337" s="13">
        <v>6280</v>
      </c>
    </row>
    <row r="338" spans="1:2" x14ac:dyDescent="0.2">
      <c r="A338" s="11">
        <v>1021772</v>
      </c>
      <c r="B338" s="13">
        <v>7542</v>
      </c>
    </row>
    <row r="339" spans="1:2" x14ac:dyDescent="0.2">
      <c r="A339" s="11">
        <v>1021773</v>
      </c>
      <c r="B339" s="13">
        <v>2930</v>
      </c>
    </row>
    <row r="340" spans="1:2" x14ac:dyDescent="0.2">
      <c r="A340" s="11">
        <v>1021774</v>
      </c>
      <c r="B340" s="13">
        <v>45200</v>
      </c>
    </row>
    <row r="341" spans="1:2" x14ac:dyDescent="0.2">
      <c r="A341" s="11">
        <v>1021819</v>
      </c>
      <c r="B341" s="13">
        <v>23413</v>
      </c>
    </row>
    <row r="342" spans="1:2" x14ac:dyDescent="0.2">
      <c r="A342" s="11">
        <v>1021864</v>
      </c>
      <c r="B342" s="13">
        <v>11547</v>
      </c>
    </row>
    <row r="343" spans="1:2" x14ac:dyDescent="0.2">
      <c r="A343" s="11">
        <v>1021868</v>
      </c>
      <c r="B343" s="13">
        <v>22981</v>
      </c>
    </row>
    <row r="344" spans="1:2" x14ac:dyDescent="0.2">
      <c r="A344" s="11">
        <v>1021874</v>
      </c>
      <c r="B344" s="13">
        <v>70854</v>
      </c>
    </row>
    <row r="345" spans="1:2" x14ac:dyDescent="0.2">
      <c r="A345" s="11">
        <v>1021905</v>
      </c>
      <c r="B345" s="13">
        <v>35477</v>
      </c>
    </row>
    <row r="346" spans="1:2" x14ac:dyDescent="0.2">
      <c r="A346" s="11">
        <v>1021921</v>
      </c>
      <c r="B346" s="13">
        <v>2747</v>
      </c>
    </row>
    <row r="347" spans="1:2" x14ac:dyDescent="0.2">
      <c r="A347" s="11">
        <v>1021924</v>
      </c>
      <c r="B347" s="13">
        <v>40806</v>
      </c>
    </row>
    <row r="348" spans="1:2" x14ac:dyDescent="0.2">
      <c r="A348" s="11">
        <v>1021925</v>
      </c>
      <c r="B348" s="13">
        <v>32436</v>
      </c>
    </row>
    <row r="349" spans="1:2" x14ac:dyDescent="0.2">
      <c r="A349" s="11">
        <v>1021929</v>
      </c>
      <c r="B349" s="13">
        <v>1610</v>
      </c>
    </row>
    <row r="350" spans="1:2" x14ac:dyDescent="0.2">
      <c r="A350" s="11">
        <v>1021931</v>
      </c>
      <c r="B350" s="13">
        <v>20975</v>
      </c>
    </row>
    <row r="351" spans="1:2" x14ac:dyDescent="0.2">
      <c r="A351" s="11">
        <v>1021936</v>
      </c>
      <c r="B351" s="13">
        <v>56027</v>
      </c>
    </row>
    <row r="352" spans="1:2" x14ac:dyDescent="0.2">
      <c r="A352" s="11">
        <v>1021944</v>
      </c>
      <c r="B352" s="13">
        <v>12392</v>
      </c>
    </row>
    <row r="353" spans="1:2" x14ac:dyDescent="0.2">
      <c r="A353" s="11">
        <v>1021945</v>
      </c>
      <c r="B353" s="13">
        <v>10</v>
      </c>
    </row>
    <row r="354" spans="1:2" x14ac:dyDescent="0.2">
      <c r="A354" s="11">
        <v>1021952</v>
      </c>
      <c r="B354" s="13">
        <v>3400</v>
      </c>
    </row>
    <row r="355" spans="1:2" x14ac:dyDescent="0.2">
      <c r="A355" s="11">
        <v>1021971</v>
      </c>
      <c r="B355" s="13">
        <v>10720</v>
      </c>
    </row>
    <row r="356" spans="1:2" x14ac:dyDescent="0.2">
      <c r="A356" s="11">
        <v>1021976</v>
      </c>
      <c r="B356" s="13">
        <v>165022</v>
      </c>
    </row>
    <row r="357" spans="1:2" x14ac:dyDescent="0.2">
      <c r="A357" s="11">
        <v>1021980</v>
      </c>
      <c r="B357" s="13">
        <v>4027</v>
      </c>
    </row>
    <row r="358" spans="1:2" x14ac:dyDescent="0.2">
      <c r="A358" s="11">
        <v>1021987</v>
      </c>
      <c r="B358" s="13">
        <v>6600</v>
      </c>
    </row>
    <row r="359" spans="1:2" x14ac:dyDescent="0.2">
      <c r="A359" s="11">
        <v>1021992</v>
      </c>
      <c r="B359" s="13">
        <v>1900</v>
      </c>
    </row>
    <row r="360" spans="1:2" x14ac:dyDescent="0.2">
      <c r="A360" s="11">
        <v>1021997</v>
      </c>
      <c r="B360" s="13">
        <v>11780</v>
      </c>
    </row>
    <row r="361" spans="1:2" x14ac:dyDescent="0.2">
      <c r="A361" s="11">
        <v>1022025</v>
      </c>
      <c r="B361" s="13">
        <v>4413</v>
      </c>
    </row>
    <row r="362" spans="1:2" x14ac:dyDescent="0.2">
      <c r="A362" s="11">
        <v>1022033</v>
      </c>
      <c r="B362" s="13">
        <v>47252</v>
      </c>
    </row>
    <row r="363" spans="1:2" x14ac:dyDescent="0.2">
      <c r="A363" s="11">
        <v>1022047</v>
      </c>
      <c r="B363" s="13">
        <v>12135</v>
      </c>
    </row>
    <row r="364" spans="1:2" x14ac:dyDescent="0.2">
      <c r="A364" s="11">
        <v>1022073</v>
      </c>
      <c r="B364" s="13">
        <v>21847</v>
      </c>
    </row>
    <row r="365" spans="1:2" x14ac:dyDescent="0.2">
      <c r="A365" s="11">
        <v>1022080</v>
      </c>
      <c r="B365" s="13">
        <v>86251</v>
      </c>
    </row>
    <row r="366" spans="1:2" x14ac:dyDescent="0.2">
      <c r="A366" s="11">
        <v>1022083</v>
      </c>
      <c r="B366" s="13">
        <v>6245</v>
      </c>
    </row>
    <row r="367" spans="1:2" x14ac:dyDescent="0.2">
      <c r="A367" s="11">
        <v>1022084</v>
      </c>
      <c r="B367" s="13">
        <v>1308</v>
      </c>
    </row>
    <row r="368" spans="1:2" x14ac:dyDescent="0.2">
      <c r="A368" s="11">
        <v>1022096</v>
      </c>
      <c r="B368" s="13">
        <v>133039</v>
      </c>
    </row>
    <row r="369" spans="1:2" x14ac:dyDescent="0.2">
      <c r="A369" s="11">
        <v>1022099</v>
      </c>
      <c r="B369" s="13">
        <v>93205</v>
      </c>
    </row>
    <row r="370" spans="1:2" x14ac:dyDescent="0.2">
      <c r="A370" s="11">
        <v>1022100</v>
      </c>
      <c r="B370" s="13">
        <v>10</v>
      </c>
    </row>
    <row r="371" spans="1:2" x14ac:dyDescent="0.2">
      <c r="A371" s="11">
        <v>1022101</v>
      </c>
      <c r="B371" s="13">
        <v>1424</v>
      </c>
    </row>
    <row r="372" spans="1:2" x14ac:dyDescent="0.2">
      <c r="A372" s="11">
        <v>1022108</v>
      </c>
      <c r="B372" s="13">
        <v>1256</v>
      </c>
    </row>
    <row r="373" spans="1:2" x14ac:dyDescent="0.2">
      <c r="A373" s="11">
        <v>1022115</v>
      </c>
      <c r="B373" s="13">
        <v>6422</v>
      </c>
    </row>
    <row r="374" spans="1:2" x14ac:dyDescent="0.2">
      <c r="A374" s="11">
        <v>1022125</v>
      </c>
      <c r="B374" s="13">
        <v>30514</v>
      </c>
    </row>
    <row r="375" spans="1:2" x14ac:dyDescent="0.2">
      <c r="A375" s="11">
        <v>1022128</v>
      </c>
      <c r="B375" s="13">
        <v>11941</v>
      </c>
    </row>
    <row r="376" spans="1:2" x14ac:dyDescent="0.2">
      <c r="A376" s="11">
        <v>1022141</v>
      </c>
      <c r="B376" s="13">
        <v>44034</v>
      </c>
    </row>
    <row r="377" spans="1:2" x14ac:dyDescent="0.2">
      <c r="A377" s="11">
        <v>1022142</v>
      </c>
      <c r="B377" s="13">
        <v>38126</v>
      </c>
    </row>
    <row r="378" spans="1:2" x14ac:dyDescent="0.2">
      <c r="A378" s="11">
        <v>1022145</v>
      </c>
      <c r="B378" s="13">
        <v>16196</v>
      </c>
    </row>
    <row r="379" spans="1:2" x14ac:dyDescent="0.2">
      <c r="A379" s="11">
        <v>1022149</v>
      </c>
      <c r="B379" s="13">
        <v>18288</v>
      </c>
    </row>
    <row r="380" spans="1:2" x14ac:dyDescent="0.2">
      <c r="A380" s="11">
        <v>1022150</v>
      </c>
      <c r="B380" s="13">
        <v>59987</v>
      </c>
    </row>
    <row r="381" spans="1:2" x14ac:dyDescent="0.2">
      <c r="A381" s="11">
        <v>1022169</v>
      </c>
      <c r="B381" s="13">
        <v>81541</v>
      </c>
    </row>
    <row r="382" spans="1:2" x14ac:dyDescent="0.2">
      <c r="A382" s="11">
        <v>1022182</v>
      </c>
      <c r="B382" s="13">
        <v>370</v>
      </c>
    </row>
    <row r="383" spans="1:2" x14ac:dyDescent="0.2">
      <c r="A383" s="11">
        <v>1022183</v>
      </c>
      <c r="B383" s="13">
        <v>219913</v>
      </c>
    </row>
    <row r="384" spans="1:2" x14ac:dyDescent="0.2">
      <c r="A384" s="11">
        <v>1022186</v>
      </c>
      <c r="B384" s="13">
        <v>34973</v>
      </c>
    </row>
    <row r="385" spans="1:2" x14ac:dyDescent="0.2">
      <c r="A385" s="11">
        <v>1022193</v>
      </c>
      <c r="B385" s="13">
        <v>27244</v>
      </c>
    </row>
    <row r="386" spans="1:2" x14ac:dyDescent="0.2">
      <c r="A386" s="11">
        <v>1022196</v>
      </c>
      <c r="B386" s="13">
        <v>15657</v>
      </c>
    </row>
    <row r="387" spans="1:2" x14ac:dyDescent="0.2">
      <c r="A387" s="11">
        <v>1022197</v>
      </c>
      <c r="B387" s="13">
        <v>13297</v>
      </c>
    </row>
    <row r="388" spans="1:2" x14ac:dyDescent="0.2">
      <c r="A388" s="11">
        <v>1022212</v>
      </c>
      <c r="B388" s="13">
        <v>130043</v>
      </c>
    </row>
    <row r="389" spans="1:2" x14ac:dyDescent="0.2">
      <c r="A389" s="11">
        <v>1022217</v>
      </c>
      <c r="B389" s="13">
        <v>114502</v>
      </c>
    </row>
    <row r="390" spans="1:2" x14ac:dyDescent="0.2">
      <c r="A390" s="11">
        <v>1022218</v>
      </c>
      <c r="B390" s="13">
        <v>19798</v>
      </c>
    </row>
    <row r="391" spans="1:2" x14ac:dyDescent="0.2">
      <c r="A391" s="11">
        <v>1022227</v>
      </c>
      <c r="B391" s="13">
        <v>10647</v>
      </c>
    </row>
    <row r="392" spans="1:2" x14ac:dyDescent="0.2">
      <c r="A392" s="11">
        <v>1022232</v>
      </c>
      <c r="B392" s="13">
        <v>3692</v>
      </c>
    </row>
    <row r="393" spans="1:2" x14ac:dyDescent="0.2">
      <c r="A393" s="11">
        <v>1022273</v>
      </c>
      <c r="B393" s="13">
        <v>32681</v>
      </c>
    </row>
    <row r="394" spans="1:2" x14ac:dyDescent="0.2">
      <c r="A394" s="11">
        <v>1022277</v>
      </c>
      <c r="B394" s="13">
        <v>11</v>
      </c>
    </row>
    <row r="395" spans="1:2" x14ac:dyDescent="0.2">
      <c r="A395" s="11">
        <v>1022283</v>
      </c>
      <c r="B395" s="13">
        <v>6971</v>
      </c>
    </row>
    <row r="396" spans="1:2" x14ac:dyDescent="0.2">
      <c r="A396" s="11">
        <v>1022291</v>
      </c>
      <c r="B396" s="13">
        <v>44088</v>
      </c>
    </row>
    <row r="397" spans="1:2" x14ac:dyDescent="0.2">
      <c r="A397" s="11">
        <v>1022293</v>
      </c>
      <c r="B397" s="13">
        <v>3635</v>
      </c>
    </row>
    <row r="398" spans="1:2" x14ac:dyDescent="0.2">
      <c r="A398" s="11">
        <v>1022301</v>
      </c>
      <c r="B398" s="13">
        <v>48</v>
      </c>
    </row>
    <row r="399" spans="1:2" x14ac:dyDescent="0.2">
      <c r="A399" s="11">
        <v>1022304</v>
      </c>
      <c r="B399" s="13">
        <v>12667</v>
      </c>
    </row>
    <row r="400" spans="1:2" x14ac:dyDescent="0.2">
      <c r="A400" s="11">
        <v>1022313</v>
      </c>
      <c r="B400" s="13">
        <v>5871</v>
      </c>
    </row>
    <row r="401" spans="1:2" x14ac:dyDescent="0.2">
      <c r="A401" s="11">
        <v>1022326</v>
      </c>
      <c r="B401" s="13">
        <v>36988</v>
      </c>
    </row>
    <row r="402" spans="1:2" x14ac:dyDescent="0.2">
      <c r="A402" s="11">
        <v>1022330</v>
      </c>
      <c r="B402" s="13">
        <v>900</v>
      </c>
    </row>
    <row r="403" spans="1:2" x14ac:dyDescent="0.2">
      <c r="A403" s="11">
        <v>1022340</v>
      </c>
      <c r="B403" s="13">
        <v>3790</v>
      </c>
    </row>
    <row r="404" spans="1:2" x14ac:dyDescent="0.2">
      <c r="A404" s="11">
        <v>1022344</v>
      </c>
      <c r="B404" s="13">
        <v>9043</v>
      </c>
    </row>
    <row r="405" spans="1:2" x14ac:dyDescent="0.2">
      <c r="A405" s="11">
        <v>1022345</v>
      </c>
      <c r="B405" s="13">
        <v>3060</v>
      </c>
    </row>
    <row r="406" spans="1:2" x14ac:dyDescent="0.2">
      <c r="A406" s="11">
        <v>1022359</v>
      </c>
      <c r="B406" s="13">
        <v>10</v>
      </c>
    </row>
    <row r="407" spans="1:2" x14ac:dyDescent="0.2">
      <c r="A407" s="11">
        <v>1022370</v>
      </c>
      <c r="B407" s="13">
        <v>28593</v>
      </c>
    </row>
    <row r="408" spans="1:2" x14ac:dyDescent="0.2">
      <c r="A408" s="11">
        <v>1022371</v>
      </c>
      <c r="B408" s="13">
        <v>17713</v>
      </c>
    </row>
    <row r="409" spans="1:2" x14ac:dyDescent="0.2">
      <c r="A409" s="11">
        <v>1022373</v>
      </c>
      <c r="B409" s="13">
        <v>51480</v>
      </c>
    </row>
    <row r="410" spans="1:2" x14ac:dyDescent="0.2">
      <c r="A410" s="11">
        <v>1022378</v>
      </c>
      <c r="B410" s="13">
        <v>33400</v>
      </c>
    </row>
    <row r="411" spans="1:2" x14ac:dyDescent="0.2">
      <c r="A411" s="11">
        <v>1022379</v>
      </c>
      <c r="B411" s="13">
        <v>15732</v>
      </c>
    </row>
    <row r="412" spans="1:2" x14ac:dyDescent="0.2">
      <c r="A412" s="11">
        <v>1022380</v>
      </c>
      <c r="B412" s="13">
        <v>5738</v>
      </c>
    </row>
    <row r="413" spans="1:2" x14ac:dyDescent="0.2">
      <c r="A413" s="11">
        <v>1022381</v>
      </c>
      <c r="B413" s="13">
        <v>53390</v>
      </c>
    </row>
    <row r="414" spans="1:2" x14ac:dyDescent="0.2">
      <c r="A414" s="11">
        <v>1022384</v>
      </c>
      <c r="B414" s="13">
        <v>427</v>
      </c>
    </row>
    <row r="415" spans="1:2" x14ac:dyDescent="0.2">
      <c r="A415" s="11">
        <v>1022388</v>
      </c>
      <c r="B415" s="13">
        <v>120072</v>
      </c>
    </row>
    <row r="416" spans="1:2" x14ac:dyDescent="0.2">
      <c r="A416" s="11">
        <v>1022389</v>
      </c>
      <c r="B416" s="13">
        <v>1580</v>
      </c>
    </row>
    <row r="417" spans="1:2" x14ac:dyDescent="0.2">
      <c r="A417" s="11">
        <v>1022390</v>
      </c>
      <c r="B417" s="13">
        <v>1679</v>
      </c>
    </row>
    <row r="418" spans="1:2" x14ac:dyDescent="0.2">
      <c r="A418" s="11">
        <v>1022391</v>
      </c>
      <c r="B418" s="13">
        <v>10886</v>
      </c>
    </row>
    <row r="419" spans="1:2" x14ac:dyDescent="0.2">
      <c r="A419" s="11">
        <v>1022398</v>
      </c>
      <c r="B419" s="13">
        <v>63034</v>
      </c>
    </row>
    <row r="420" spans="1:2" x14ac:dyDescent="0.2">
      <c r="A420" s="11">
        <v>1022406</v>
      </c>
      <c r="B420" s="13">
        <v>8462</v>
      </c>
    </row>
    <row r="421" spans="1:2" x14ac:dyDescent="0.2">
      <c r="A421" s="11">
        <v>1022409</v>
      </c>
      <c r="B421" s="13">
        <v>20790</v>
      </c>
    </row>
    <row r="422" spans="1:2" x14ac:dyDescent="0.2">
      <c r="A422" s="11">
        <v>1022413</v>
      </c>
      <c r="B422" s="13">
        <v>13648</v>
      </c>
    </row>
    <row r="423" spans="1:2" x14ac:dyDescent="0.2">
      <c r="A423" s="11">
        <v>1022414</v>
      </c>
      <c r="B423" s="13">
        <v>123631</v>
      </c>
    </row>
    <row r="424" spans="1:2" x14ac:dyDescent="0.2">
      <c r="A424" s="11">
        <v>1022415</v>
      </c>
      <c r="B424" s="13">
        <v>260</v>
      </c>
    </row>
    <row r="425" spans="1:2" x14ac:dyDescent="0.2">
      <c r="A425" s="11">
        <v>1022416</v>
      </c>
      <c r="B425" s="13">
        <v>1073</v>
      </c>
    </row>
    <row r="426" spans="1:2" x14ac:dyDescent="0.2">
      <c r="A426" s="11">
        <v>1022417</v>
      </c>
      <c r="B426" s="13">
        <v>6680</v>
      </c>
    </row>
    <row r="427" spans="1:2" x14ac:dyDescent="0.2">
      <c r="A427" s="11">
        <v>1022466</v>
      </c>
      <c r="B427" s="13">
        <v>7178</v>
      </c>
    </row>
    <row r="428" spans="1:2" x14ac:dyDescent="0.2">
      <c r="A428" s="11">
        <v>1022472</v>
      </c>
      <c r="B428" s="13">
        <v>18826</v>
      </c>
    </row>
    <row r="429" spans="1:2" x14ac:dyDescent="0.2">
      <c r="A429" s="11">
        <v>1022476</v>
      </c>
      <c r="B429" s="13">
        <v>786</v>
      </c>
    </row>
    <row r="430" spans="1:2" x14ac:dyDescent="0.2">
      <c r="A430" s="11">
        <v>1022499</v>
      </c>
      <c r="B430" s="13">
        <v>3484</v>
      </c>
    </row>
    <row r="431" spans="1:2" x14ac:dyDescent="0.2">
      <c r="A431" s="11">
        <v>1022515</v>
      </c>
      <c r="B431" s="13">
        <v>10839</v>
      </c>
    </row>
    <row r="432" spans="1:2" x14ac:dyDescent="0.2">
      <c r="A432" s="11">
        <v>1022535</v>
      </c>
      <c r="B432" s="13">
        <v>4128</v>
      </c>
    </row>
    <row r="433" spans="1:2" x14ac:dyDescent="0.2">
      <c r="A433" s="11">
        <v>1022541</v>
      </c>
      <c r="B433" s="13">
        <v>68763</v>
      </c>
    </row>
    <row r="434" spans="1:2" x14ac:dyDescent="0.2">
      <c r="A434" s="11">
        <v>1022546</v>
      </c>
      <c r="B434" s="13">
        <v>7176</v>
      </c>
    </row>
    <row r="435" spans="1:2" x14ac:dyDescent="0.2">
      <c r="A435" s="11">
        <v>1022550</v>
      </c>
      <c r="B435" s="13">
        <v>25780</v>
      </c>
    </row>
    <row r="436" spans="1:2" x14ac:dyDescent="0.2">
      <c r="A436" s="11">
        <v>1022558</v>
      </c>
      <c r="B436" s="13">
        <v>818</v>
      </c>
    </row>
    <row r="437" spans="1:2" x14ac:dyDescent="0.2">
      <c r="A437" s="11">
        <v>1022559</v>
      </c>
      <c r="B437" s="13">
        <v>428</v>
      </c>
    </row>
    <row r="438" spans="1:2" x14ac:dyDescent="0.2">
      <c r="A438" s="11">
        <v>1022561</v>
      </c>
      <c r="B438" s="13">
        <v>1987</v>
      </c>
    </row>
    <row r="439" spans="1:2" x14ac:dyDescent="0.2">
      <c r="A439" s="11">
        <v>1022568</v>
      </c>
      <c r="B439" s="13">
        <v>220</v>
      </c>
    </row>
    <row r="440" spans="1:2" x14ac:dyDescent="0.2">
      <c r="A440" s="11">
        <v>1022569</v>
      </c>
      <c r="B440" s="13">
        <v>5110</v>
      </c>
    </row>
    <row r="441" spans="1:2" x14ac:dyDescent="0.2">
      <c r="A441" s="11">
        <v>1022570</v>
      </c>
      <c r="B441" s="13">
        <v>1148</v>
      </c>
    </row>
    <row r="442" spans="1:2" x14ac:dyDescent="0.2">
      <c r="A442" s="11">
        <v>1022587</v>
      </c>
      <c r="B442" s="13">
        <v>4944</v>
      </c>
    </row>
    <row r="443" spans="1:2" x14ac:dyDescent="0.2">
      <c r="A443" s="11">
        <v>1022600</v>
      </c>
      <c r="B443" s="13">
        <v>17726</v>
      </c>
    </row>
    <row r="444" spans="1:2" x14ac:dyDescent="0.2">
      <c r="A444" s="11">
        <v>1022607</v>
      </c>
      <c r="B444" s="13">
        <v>10285</v>
      </c>
    </row>
    <row r="445" spans="1:2" x14ac:dyDescent="0.2">
      <c r="A445" s="11">
        <v>1022619</v>
      </c>
      <c r="B445" s="13">
        <v>9614</v>
      </c>
    </row>
    <row r="446" spans="1:2" x14ac:dyDescent="0.2">
      <c r="A446" s="11">
        <v>1022621</v>
      </c>
      <c r="B446" s="13">
        <v>31207</v>
      </c>
    </row>
    <row r="447" spans="1:2" x14ac:dyDescent="0.2">
      <c r="A447" s="11">
        <v>1022636</v>
      </c>
      <c r="B447" s="13">
        <v>84586</v>
      </c>
    </row>
    <row r="448" spans="1:2" x14ac:dyDescent="0.2">
      <c r="A448" s="11">
        <v>1022637</v>
      </c>
      <c r="B448" s="13">
        <v>69286</v>
      </c>
    </row>
    <row r="449" spans="1:2" x14ac:dyDescent="0.2">
      <c r="A449" s="11">
        <v>1022638</v>
      </c>
      <c r="B449" s="13">
        <v>15347</v>
      </c>
    </row>
    <row r="450" spans="1:2" x14ac:dyDescent="0.2">
      <c r="A450" s="11">
        <v>1022639</v>
      </c>
      <c r="B450" s="13">
        <v>268890</v>
      </c>
    </row>
    <row r="451" spans="1:2" x14ac:dyDescent="0.2">
      <c r="A451" s="11">
        <v>1022640</v>
      </c>
      <c r="B451" s="13">
        <v>47794</v>
      </c>
    </row>
    <row r="452" spans="1:2" x14ac:dyDescent="0.2">
      <c r="A452" s="11">
        <v>1022643</v>
      </c>
      <c r="B452" s="13">
        <v>9824</v>
      </c>
    </row>
    <row r="453" spans="1:2" x14ac:dyDescent="0.2">
      <c r="A453" s="11">
        <v>1022645</v>
      </c>
      <c r="B453" s="13">
        <v>21097</v>
      </c>
    </row>
    <row r="454" spans="1:2" x14ac:dyDescent="0.2">
      <c r="A454" s="11">
        <v>1022646</v>
      </c>
      <c r="B454" s="13">
        <v>9340</v>
      </c>
    </row>
    <row r="455" spans="1:2" x14ac:dyDescent="0.2">
      <c r="A455" s="11">
        <v>1022654</v>
      </c>
      <c r="B455" s="13">
        <v>5800</v>
      </c>
    </row>
    <row r="456" spans="1:2" x14ac:dyDescent="0.2">
      <c r="A456" s="11">
        <v>1022656</v>
      </c>
      <c r="B456" s="13">
        <v>2998</v>
      </c>
    </row>
    <row r="457" spans="1:2" x14ac:dyDescent="0.2">
      <c r="A457" s="11">
        <v>1022657</v>
      </c>
      <c r="B457" s="13">
        <v>5890</v>
      </c>
    </row>
    <row r="458" spans="1:2" x14ac:dyDescent="0.2">
      <c r="A458" s="11">
        <v>1022664</v>
      </c>
      <c r="B458" s="13">
        <v>27610</v>
      </c>
    </row>
    <row r="459" spans="1:2" x14ac:dyDescent="0.2">
      <c r="A459" s="11">
        <v>1022675</v>
      </c>
      <c r="B459" s="13">
        <v>6134</v>
      </c>
    </row>
    <row r="460" spans="1:2" x14ac:dyDescent="0.2">
      <c r="A460" s="11">
        <v>1022676</v>
      </c>
      <c r="B460" s="13">
        <v>3600</v>
      </c>
    </row>
    <row r="461" spans="1:2" x14ac:dyDescent="0.2">
      <c r="A461" s="11">
        <v>1022705</v>
      </c>
      <c r="B461" s="13">
        <v>40</v>
      </c>
    </row>
    <row r="462" spans="1:2" x14ac:dyDescent="0.2">
      <c r="A462" s="11">
        <v>1022709</v>
      </c>
      <c r="B462" s="13">
        <v>117824</v>
      </c>
    </row>
    <row r="463" spans="1:2" x14ac:dyDescent="0.2">
      <c r="A463" s="11">
        <v>1022746</v>
      </c>
      <c r="B463" s="13">
        <v>14</v>
      </c>
    </row>
    <row r="464" spans="1:2" x14ac:dyDescent="0.2">
      <c r="A464" s="11">
        <v>1022748</v>
      </c>
      <c r="B464" s="13">
        <v>78304</v>
      </c>
    </row>
    <row r="465" spans="1:2" x14ac:dyDescent="0.2">
      <c r="A465" s="11">
        <v>1022750</v>
      </c>
      <c r="B465" s="13">
        <v>7333</v>
      </c>
    </row>
    <row r="466" spans="1:2" x14ac:dyDescent="0.2">
      <c r="A466" s="11">
        <v>1022751</v>
      </c>
      <c r="B466" s="13">
        <v>33740</v>
      </c>
    </row>
    <row r="467" spans="1:2" x14ac:dyDescent="0.2">
      <c r="A467" s="11">
        <v>1022753</v>
      </c>
      <c r="B467" s="13">
        <v>67402</v>
      </c>
    </row>
    <row r="468" spans="1:2" x14ac:dyDescent="0.2">
      <c r="A468" s="11">
        <v>1022760</v>
      </c>
      <c r="B468" s="13">
        <v>1051</v>
      </c>
    </row>
    <row r="469" spans="1:2" x14ac:dyDescent="0.2">
      <c r="A469" s="11">
        <v>1022761</v>
      </c>
      <c r="B469" s="13">
        <v>592</v>
      </c>
    </row>
    <row r="470" spans="1:2" x14ac:dyDescent="0.2">
      <c r="A470" s="11">
        <v>1022767</v>
      </c>
      <c r="B470" s="13">
        <v>4020</v>
      </c>
    </row>
    <row r="471" spans="1:2" x14ac:dyDescent="0.2">
      <c r="A471" s="11">
        <v>1022770</v>
      </c>
      <c r="B471" s="13">
        <v>3889</v>
      </c>
    </row>
    <row r="472" spans="1:2" x14ac:dyDescent="0.2">
      <c r="A472" s="11">
        <v>1022792</v>
      </c>
      <c r="B472" s="13">
        <v>792</v>
      </c>
    </row>
    <row r="473" spans="1:2" x14ac:dyDescent="0.2">
      <c r="A473" s="11">
        <v>1022794</v>
      </c>
      <c r="B473" s="13">
        <v>0</v>
      </c>
    </row>
    <row r="474" spans="1:2" x14ac:dyDescent="0.2">
      <c r="A474" s="11">
        <v>1022813</v>
      </c>
      <c r="B474" s="13">
        <v>21</v>
      </c>
    </row>
    <row r="475" spans="1:2" x14ac:dyDescent="0.2">
      <c r="A475" s="11">
        <v>1022823</v>
      </c>
      <c r="B475" s="13">
        <v>45</v>
      </c>
    </row>
    <row r="476" spans="1:2" x14ac:dyDescent="0.2">
      <c r="A476" s="11">
        <v>1022847</v>
      </c>
      <c r="B476" s="13">
        <v>42736</v>
      </c>
    </row>
    <row r="477" spans="1:2" x14ac:dyDescent="0.2">
      <c r="A477" s="11">
        <v>1022853</v>
      </c>
      <c r="B477" s="13">
        <v>1760</v>
      </c>
    </row>
    <row r="478" spans="1:2" x14ac:dyDescent="0.2">
      <c r="A478" s="11">
        <v>1022854</v>
      </c>
      <c r="B478" s="13">
        <v>4659</v>
      </c>
    </row>
    <row r="479" spans="1:2" x14ac:dyDescent="0.2">
      <c r="A479" s="11">
        <v>1022855</v>
      </c>
      <c r="B479" s="13">
        <v>48190</v>
      </c>
    </row>
    <row r="480" spans="1:2" x14ac:dyDescent="0.2">
      <c r="A480" s="11">
        <v>1022856</v>
      </c>
      <c r="B480" s="13">
        <v>10505</v>
      </c>
    </row>
    <row r="481" spans="1:2" x14ac:dyDescent="0.2">
      <c r="A481" s="11">
        <v>1022857</v>
      </c>
      <c r="B481" s="13">
        <v>3029</v>
      </c>
    </row>
    <row r="482" spans="1:2" x14ac:dyDescent="0.2">
      <c r="A482" s="11">
        <v>1022858</v>
      </c>
      <c r="B482" s="13">
        <v>15048</v>
      </c>
    </row>
    <row r="483" spans="1:2" x14ac:dyDescent="0.2">
      <c r="A483" s="11">
        <v>1022863</v>
      </c>
      <c r="B483" s="13">
        <v>96333</v>
      </c>
    </row>
    <row r="484" spans="1:2" x14ac:dyDescent="0.2">
      <c r="A484" s="11">
        <v>1022864</v>
      </c>
      <c r="B484" s="13">
        <v>96922</v>
      </c>
    </row>
    <row r="485" spans="1:2" x14ac:dyDescent="0.2">
      <c r="A485" s="11">
        <v>1022865</v>
      </c>
      <c r="B485" s="13">
        <v>60113</v>
      </c>
    </row>
    <row r="486" spans="1:2" x14ac:dyDescent="0.2">
      <c r="A486" s="11">
        <v>1022866</v>
      </c>
      <c r="B486" s="13">
        <v>35491</v>
      </c>
    </row>
    <row r="487" spans="1:2" x14ac:dyDescent="0.2">
      <c r="A487" s="11">
        <v>1022869</v>
      </c>
      <c r="B487" s="13">
        <v>90</v>
      </c>
    </row>
    <row r="488" spans="1:2" x14ac:dyDescent="0.2">
      <c r="A488" s="11">
        <v>1022883</v>
      </c>
      <c r="B488" s="13">
        <v>24427</v>
      </c>
    </row>
    <row r="489" spans="1:2" x14ac:dyDescent="0.2">
      <c r="A489" s="11">
        <v>1022885</v>
      </c>
      <c r="B489" s="13">
        <v>53539</v>
      </c>
    </row>
    <row r="490" spans="1:2" x14ac:dyDescent="0.2">
      <c r="A490" s="11">
        <v>1022887</v>
      </c>
      <c r="B490" s="13">
        <v>40640</v>
      </c>
    </row>
    <row r="491" spans="1:2" x14ac:dyDescent="0.2">
      <c r="A491" s="11">
        <v>1022889</v>
      </c>
      <c r="B491" s="13">
        <v>206</v>
      </c>
    </row>
    <row r="492" spans="1:2" x14ac:dyDescent="0.2">
      <c r="A492" s="11">
        <v>1022896</v>
      </c>
      <c r="B492" s="13">
        <v>130</v>
      </c>
    </row>
    <row r="493" spans="1:2" x14ac:dyDescent="0.2">
      <c r="A493" s="11">
        <v>1022901</v>
      </c>
      <c r="B493" s="13">
        <v>10328</v>
      </c>
    </row>
    <row r="494" spans="1:2" x14ac:dyDescent="0.2">
      <c r="A494" s="11">
        <v>1022907</v>
      </c>
      <c r="B494" s="13">
        <v>1570</v>
      </c>
    </row>
    <row r="495" spans="1:2" x14ac:dyDescent="0.2">
      <c r="A495" s="11">
        <v>1022914</v>
      </c>
      <c r="B495" s="13">
        <v>15020</v>
      </c>
    </row>
    <row r="496" spans="1:2" x14ac:dyDescent="0.2">
      <c r="A496" s="11">
        <v>1022918</v>
      </c>
      <c r="B496" s="13">
        <v>12723</v>
      </c>
    </row>
    <row r="497" spans="1:2" x14ac:dyDescent="0.2">
      <c r="A497" s="11">
        <v>1022919</v>
      </c>
      <c r="B497" s="13">
        <v>3766</v>
      </c>
    </row>
    <row r="498" spans="1:2" x14ac:dyDescent="0.2">
      <c r="A498" s="11">
        <v>1022921</v>
      </c>
      <c r="B498" s="13">
        <v>23523</v>
      </c>
    </row>
    <row r="499" spans="1:2" x14ac:dyDescent="0.2">
      <c r="A499" s="11">
        <v>1022922</v>
      </c>
      <c r="B499" s="13">
        <v>684</v>
      </c>
    </row>
    <row r="500" spans="1:2" x14ac:dyDescent="0.2">
      <c r="A500" s="11">
        <v>1022928</v>
      </c>
      <c r="B500" s="13">
        <v>3386</v>
      </c>
    </row>
    <row r="501" spans="1:2" x14ac:dyDescent="0.2">
      <c r="A501" s="11">
        <v>1022930</v>
      </c>
      <c r="B501" s="13">
        <v>20885</v>
      </c>
    </row>
    <row r="502" spans="1:2" x14ac:dyDescent="0.2">
      <c r="A502" s="11">
        <v>1022931</v>
      </c>
      <c r="B502" s="13">
        <v>31118</v>
      </c>
    </row>
    <row r="503" spans="1:2" x14ac:dyDescent="0.2">
      <c r="A503" s="11">
        <v>1022933</v>
      </c>
      <c r="B503" s="13">
        <v>2722</v>
      </c>
    </row>
    <row r="504" spans="1:2" x14ac:dyDescent="0.2">
      <c r="A504" s="11">
        <v>1022935</v>
      </c>
      <c r="B504" s="13">
        <v>35626</v>
      </c>
    </row>
    <row r="505" spans="1:2" x14ac:dyDescent="0.2">
      <c r="A505" s="11">
        <v>1022936</v>
      </c>
      <c r="B505" s="13">
        <v>4255</v>
      </c>
    </row>
    <row r="506" spans="1:2" x14ac:dyDescent="0.2">
      <c r="A506" s="11">
        <v>1022939</v>
      </c>
      <c r="B506" s="13">
        <v>5140</v>
      </c>
    </row>
    <row r="507" spans="1:2" x14ac:dyDescent="0.2">
      <c r="A507" s="11">
        <v>1022940</v>
      </c>
      <c r="B507" s="13">
        <v>47438</v>
      </c>
    </row>
    <row r="508" spans="1:2" x14ac:dyDescent="0.2">
      <c r="A508" s="11">
        <v>1022941</v>
      </c>
      <c r="B508" s="13">
        <v>65355</v>
      </c>
    </row>
    <row r="509" spans="1:2" x14ac:dyDescent="0.2">
      <c r="A509" s="11">
        <v>1022943</v>
      </c>
      <c r="B509" s="13">
        <v>56</v>
      </c>
    </row>
    <row r="510" spans="1:2" x14ac:dyDescent="0.2">
      <c r="A510" s="11">
        <v>1022945</v>
      </c>
      <c r="B510" s="13">
        <v>55124</v>
      </c>
    </row>
    <row r="511" spans="1:2" x14ac:dyDescent="0.2">
      <c r="A511" s="11">
        <v>1022985</v>
      </c>
      <c r="B511" s="13">
        <v>5077</v>
      </c>
    </row>
    <row r="512" spans="1:2" x14ac:dyDescent="0.2">
      <c r="A512" s="11">
        <v>1022986</v>
      </c>
      <c r="B512" s="13">
        <v>4536</v>
      </c>
    </row>
    <row r="513" spans="1:2" x14ac:dyDescent="0.2">
      <c r="A513" s="11">
        <v>1022987</v>
      </c>
      <c r="B513" s="13">
        <v>2720</v>
      </c>
    </row>
    <row r="514" spans="1:2" x14ac:dyDescent="0.2">
      <c r="A514" s="11">
        <v>1022989</v>
      </c>
      <c r="B514" s="13">
        <v>60585</v>
      </c>
    </row>
    <row r="515" spans="1:2" x14ac:dyDescent="0.2">
      <c r="A515" s="11">
        <v>1022990</v>
      </c>
      <c r="B515" s="13">
        <v>25205</v>
      </c>
    </row>
    <row r="516" spans="1:2" x14ac:dyDescent="0.2">
      <c r="A516" s="11">
        <v>1022996</v>
      </c>
      <c r="B516" s="13">
        <v>6307</v>
      </c>
    </row>
    <row r="517" spans="1:2" x14ac:dyDescent="0.2">
      <c r="A517" s="11">
        <v>1023034</v>
      </c>
      <c r="B517" s="13">
        <v>50400</v>
      </c>
    </row>
    <row r="518" spans="1:2" x14ac:dyDescent="0.2">
      <c r="A518" s="11">
        <v>1023035</v>
      </c>
      <c r="B518" s="13">
        <v>14755</v>
      </c>
    </row>
    <row r="519" spans="1:2" x14ac:dyDescent="0.2">
      <c r="A519" s="11">
        <v>1023037</v>
      </c>
      <c r="B519" s="13">
        <v>90282</v>
      </c>
    </row>
    <row r="520" spans="1:2" x14ac:dyDescent="0.2">
      <c r="A520" s="11">
        <v>1023038</v>
      </c>
      <c r="B520" s="13">
        <v>33276</v>
      </c>
    </row>
    <row r="521" spans="1:2" x14ac:dyDescent="0.2">
      <c r="A521" s="11">
        <v>1023050</v>
      </c>
      <c r="B521" s="13">
        <v>2470</v>
      </c>
    </row>
    <row r="522" spans="1:2" x14ac:dyDescent="0.2">
      <c r="A522" s="11">
        <v>1023051</v>
      </c>
      <c r="B522" s="13">
        <v>753</v>
      </c>
    </row>
    <row r="523" spans="1:2" x14ac:dyDescent="0.2">
      <c r="A523" s="11">
        <v>1023055</v>
      </c>
      <c r="B523" s="13">
        <v>724</v>
      </c>
    </row>
    <row r="524" spans="1:2" x14ac:dyDescent="0.2">
      <c r="A524" s="11">
        <v>1023071</v>
      </c>
      <c r="B524" s="13">
        <v>1123</v>
      </c>
    </row>
    <row r="525" spans="1:2" x14ac:dyDescent="0.2">
      <c r="A525" s="11">
        <v>1023090</v>
      </c>
      <c r="B525" s="13">
        <v>22818</v>
      </c>
    </row>
    <row r="526" spans="1:2" x14ac:dyDescent="0.2">
      <c r="A526" s="11">
        <v>1023092</v>
      </c>
      <c r="B526" s="13">
        <v>806</v>
      </c>
    </row>
    <row r="527" spans="1:2" x14ac:dyDescent="0.2">
      <c r="A527" s="11">
        <v>1023093</v>
      </c>
      <c r="B527" s="13">
        <v>39838</v>
      </c>
    </row>
    <row r="528" spans="1:2" x14ac:dyDescent="0.2">
      <c r="A528" s="11">
        <v>1023102</v>
      </c>
      <c r="B528" s="13">
        <v>6408</v>
      </c>
    </row>
    <row r="529" spans="1:2" x14ac:dyDescent="0.2">
      <c r="A529" s="11">
        <v>1023108</v>
      </c>
      <c r="B529" s="13">
        <v>21304</v>
      </c>
    </row>
    <row r="530" spans="1:2" x14ac:dyDescent="0.2">
      <c r="A530" s="11">
        <v>1023110</v>
      </c>
      <c r="B530" s="13">
        <v>43629</v>
      </c>
    </row>
    <row r="531" spans="1:2" x14ac:dyDescent="0.2">
      <c r="A531" s="11">
        <v>1023111</v>
      </c>
      <c r="B531" s="13">
        <v>3189</v>
      </c>
    </row>
    <row r="532" spans="1:2" x14ac:dyDescent="0.2">
      <c r="A532" s="11">
        <v>1023112</v>
      </c>
      <c r="B532" s="13">
        <v>10416</v>
      </c>
    </row>
    <row r="533" spans="1:2" x14ac:dyDescent="0.2">
      <c r="A533" s="11">
        <v>1023123</v>
      </c>
      <c r="B533" s="13">
        <v>4393</v>
      </c>
    </row>
    <row r="534" spans="1:2" x14ac:dyDescent="0.2">
      <c r="A534" s="11">
        <v>1023124</v>
      </c>
      <c r="B534" s="13">
        <v>1686</v>
      </c>
    </row>
    <row r="535" spans="1:2" x14ac:dyDescent="0.2">
      <c r="A535" s="11">
        <v>1023126</v>
      </c>
      <c r="B535" s="13">
        <v>2900</v>
      </c>
    </row>
    <row r="536" spans="1:2" x14ac:dyDescent="0.2">
      <c r="A536" s="11">
        <v>1023132</v>
      </c>
      <c r="B536" s="13">
        <v>1475</v>
      </c>
    </row>
    <row r="537" spans="1:2" x14ac:dyDescent="0.2">
      <c r="A537" s="11">
        <v>1023134</v>
      </c>
      <c r="B537" s="13">
        <v>7546</v>
      </c>
    </row>
    <row r="538" spans="1:2" x14ac:dyDescent="0.2">
      <c r="A538" s="11">
        <v>1023144</v>
      </c>
      <c r="B538" s="13">
        <v>18325</v>
      </c>
    </row>
    <row r="539" spans="1:2" x14ac:dyDescent="0.2">
      <c r="A539" s="11">
        <v>1023145</v>
      </c>
      <c r="B539" s="13">
        <v>69</v>
      </c>
    </row>
    <row r="540" spans="1:2" x14ac:dyDescent="0.2">
      <c r="A540" s="11">
        <v>1023153</v>
      </c>
      <c r="B540" s="13">
        <v>1303</v>
      </c>
    </row>
    <row r="541" spans="1:2" x14ac:dyDescent="0.2">
      <c r="A541" s="11">
        <v>1023157</v>
      </c>
      <c r="B541" s="13">
        <v>3040</v>
      </c>
    </row>
    <row r="542" spans="1:2" x14ac:dyDescent="0.2">
      <c r="A542" s="11">
        <v>1023163</v>
      </c>
      <c r="B542" s="13">
        <v>14276</v>
      </c>
    </row>
    <row r="543" spans="1:2" x14ac:dyDescent="0.2">
      <c r="A543" s="11">
        <v>1023166</v>
      </c>
      <c r="B543" s="13">
        <v>100</v>
      </c>
    </row>
    <row r="544" spans="1:2" x14ac:dyDescent="0.2">
      <c r="A544" s="11">
        <v>1023169</v>
      </c>
      <c r="B544" s="13">
        <v>70</v>
      </c>
    </row>
    <row r="545" spans="1:2" x14ac:dyDescent="0.2">
      <c r="A545" s="11">
        <v>1023181</v>
      </c>
      <c r="B545" s="13">
        <v>30</v>
      </c>
    </row>
    <row r="546" spans="1:2" x14ac:dyDescent="0.2">
      <c r="A546" s="11">
        <v>1023183</v>
      </c>
      <c r="B546" s="13">
        <v>43252</v>
      </c>
    </row>
    <row r="547" spans="1:2" x14ac:dyDescent="0.2">
      <c r="A547" s="11">
        <v>1023184</v>
      </c>
      <c r="B547" s="13">
        <v>2152</v>
      </c>
    </row>
    <row r="548" spans="1:2" x14ac:dyDescent="0.2">
      <c r="A548" s="11">
        <v>1023190</v>
      </c>
      <c r="B548" s="13">
        <v>32837</v>
      </c>
    </row>
    <row r="549" spans="1:2" x14ac:dyDescent="0.2">
      <c r="A549" s="11">
        <v>1023194</v>
      </c>
      <c r="B549" s="13">
        <v>6667</v>
      </c>
    </row>
    <row r="550" spans="1:2" x14ac:dyDescent="0.2">
      <c r="A550" s="11">
        <v>1023217</v>
      </c>
      <c r="B550" s="13">
        <v>10</v>
      </c>
    </row>
    <row r="551" spans="1:2" x14ac:dyDescent="0.2">
      <c r="A551" s="11">
        <v>1023233</v>
      </c>
      <c r="B551" s="13">
        <v>45</v>
      </c>
    </row>
    <row r="552" spans="1:2" x14ac:dyDescent="0.2">
      <c r="A552" s="11">
        <v>1023247</v>
      </c>
      <c r="B552" s="13">
        <v>1295</v>
      </c>
    </row>
    <row r="553" spans="1:2" x14ac:dyDescent="0.2">
      <c r="A553" s="11">
        <v>1023256</v>
      </c>
      <c r="B553" s="13">
        <v>2460</v>
      </c>
    </row>
    <row r="554" spans="1:2" x14ac:dyDescent="0.2">
      <c r="A554" s="11">
        <v>1023257</v>
      </c>
      <c r="B554" s="13">
        <v>7027</v>
      </c>
    </row>
    <row r="555" spans="1:2" x14ac:dyDescent="0.2">
      <c r="A555" s="11">
        <v>1023263</v>
      </c>
      <c r="B555" s="13">
        <v>1253</v>
      </c>
    </row>
    <row r="556" spans="1:2" x14ac:dyDescent="0.2">
      <c r="A556" s="11">
        <v>1023264</v>
      </c>
      <c r="B556" s="13">
        <v>8873</v>
      </c>
    </row>
    <row r="557" spans="1:2" x14ac:dyDescent="0.2">
      <c r="A557" s="11">
        <v>1023265</v>
      </c>
      <c r="B557" s="13">
        <v>7161</v>
      </c>
    </row>
    <row r="558" spans="1:2" x14ac:dyDescent="0.2">
      <c r="A558" s="11">
        <v>1023267</v>
      </c>
      <c r="B558" s="13">
        <v>4021</v>
      </c>
    </row>
    <row r="559" spans="1:2" x14ac:dyDescent="0.2">
      <c r="A559" s="11">
        <v>1023268</v>
      </c>
      <c r="B559" s="13">
        <v>25019</v>
      </c>
    </row>
    <row r="560" spans="1:2" x14ac:dyDescent="0.2">
      <c r="A560" s="11">
        <v>1023273</v>
      </c>
      <c r="B560" s="13">
        <v>19629</v>
      </c>
    </row>
    <row r="561" spans="1:2" x14ac:dyDescent="0.2">
      <c r="A561" s="11">
        <v>1023274</v>
      </c>
      <c r="B561" s="13">
        <v>15371</v>
      </c>
    </row>
    <row r="562" spans="1:2" x14ac:dyDescent="0.2">
      <c r="A562" s="11">
        <v>1023275</v>
      </c>
      <c r="B562" s="13">
        <v>1758</v>
      </c>
    </row>
    <row r="563" spans="1:2" x14ac:dyDescent="0.2">
      <c r="A563" s="11">
        <v>1023276</v>
      </c>
      <c r="B563" s="13">
        <v>1179</v>
      </c>
    </row>
    <row r="564" spans="1:2" x14ac:dyDescent="0.2">
      <c r="A564" s="11">
        <v>1023277</v>
      </c>
      <c r="B564" s="13">
        <v>49830</v>
      </c>
    </row>
    <row r="565" spans="1:2" x14ac:dyDescent="0.2">
      <c r="A565" s="11">
        <v>1023283</v>
      </c>
      <c r="B565" s="13">
        <v>42054</v>
      </c>
    </row>
    <row r="566" spans="1:2" x14ac:dyDescent="0.2">
      <c r="A566" s="11">
        <v>1023285</v>
      </c>
      <c r="B566" s="13">
        <v>7061</v>
      </c>
    </row>
    <row r="567" spans="1:2" x14ac:dyDescent="0.2">
      <c r="A567" s="11">
        <v>1023290</v>
      </c>
      <c r="B567" s="13">
        <v>5160</v>
      </c>
    </row>
    <row r="568" spans="1:2" x14ac:dyDescent="0.2">
      <c r="A568" s="11">
        <v>1023291</v>
      </c>
      <c r="B568" s="13">
        <v>23005</v>
      </c>
    </row>
    <row r="569" spans="1:2" x14ac:dyDescent="0.2">
      <c r="A569" s="11">
        <v>1023295</v>
      </c>
      <c r="B569" s="13">
        <v>51</v>
      </c>
    </row>
    <row r="570" spans="1:2" x14ac:dyDescent="0.2">
      <c r="A570" s="11">
        <v>1023297</v>
      </c>
      <c r="B570" s="13">
        <v>15850</v>
      </c>
    </row>
    <row r="571" spans="1:2" x14ac:dyDescent="0.2">
      <c r="A571" s="11">
        <v>1023298</v>
      </c>
      <c r="B571" s="13">
        <v>365</v>
      </c>
    </row>
    <row r="572" spans="1:2" x14ac:dyDescent="0.2">
      <c r="A572" s="11">
        <v>1023299</v>
      </c>
      <c r="B572" s="13">
        <v>3742</v>
      </c>
    </row>
    <row r="573" spans="1:2" x14ac:dyDescent="0.2">
      <c r="A573" s="11">
        <v>1023301</v>
      </c>
      <c r="B573" s="13">
        <v>25855</v>
      </c>
    </row>
    <row r="574" spans="1:2" x14ac:dyDescent="0.2">
      <c r="A574" s="11">
        <v>1023302</v>
      </c>
      <c r="B574" s="13">
        <v>67040</v>
      </c>
    </row>
    <row r="575" spans="1:2" x14ac:dyDescent="0.2">
      <c r="A575" s="11">
        <v>1023304</v>
      </c>
      <c r="B575" s="13">
        <v>3836</v>
      </c>
    </row>
    <row r="576" spans="1:2" x14ac:dyDescent="0.2">
      <c r="A576" s="11">
        <v>1023306</v>
      </c>
      <c r="B576" s="13">
        <v>43360</v>
      </c>
    </row>
    <row r="577" spans="1:2" x14ac:dyDescent="0.2">
      <c r="A577" s="11">
        <v>1023307</v>
      </c>
      <c r="B577" s="13">
        <v>20828</v>
      </c>
    </row>
    <row r="578" spans="1:2" x14ac:dyDescent="0.2">
      <c r="A578" s="11">
        <v>1023308</v>
      </c>
      <c r="B578" s="13">
        <v>6685</v>
      </c>
    </row>
    <row r="579" spans="1:2" x14ac:dyDescent="0.2">
      <c r="A579" s="11">
        <v>1023309</v>
      </c>
      <c r="B579" s="13">
        <v>702</v>
      </c>
    </row>
    <row r="580" spans="1:2" x14ac:dyDescent="0.2">
      <c r="A580" s="11">
        <v>1023310</v>
      </c>
      <c r="B580" s="13">
        <v>360</v>
      </c>
    </row>
    <row r="581" spans="1:2" x14ac:dyDescent="0.2">
      <c r="A581" s="11">
        <v>1023312</v>
      </c>
      <c r="B581" s="13">
        <v>11368</v>
      </c>
    </row>
    <row r="582" spans="1:2" x14ac:dyDescent="0.2">
      <c r="A582" s="11">
        <v>1023314</v>
      </c>
      <c r="B582" s="13">
        <v>552</v>
      </c>
    </row>
    <row r="583" spans="1:2" x14ac:dyDescent="0.2">
      <c r="A583" s="11">
        <v>1023318</v>
      </c>
      <c r="B583" s="13">
        <v>4717</v>
      </c>
    </row>
    <row r="584" spans="1:2" x14ac:dyDescent="0.2">
      <c r="A584" s="11">
        <v>1023319</v>
      </c>
      <c r="B584" s="13">
        <v>32426</v>
      </c>
    </row>
    <row r="585" spans="1:2" x14ac:dyDescent="0.2">
      <c r="A585" s="11">
        <v>1023324</v>
      </c>
      <c r="B585" s="13">
        <v>44867</v>
      </c>
    </row>
    <row r="586" spans="1:2" x14ac:dyDescent="0.2">
      <c r="A586" s="11">
        <v>1023326</v>
      </c>
      <c r="B586" s="13">
        <v>30077</v>
      </c>
    </row>
    <row r="587" spans="1:2" x14ac:dyDescent="0.2">
      <c r="A587" s="11">
        <v>1023329</v>
      </c>
      <c r="B587" s="13">
        <v>15640</v>
      </c>
    </row>
    <row r="588" spans="1:2" x14ac:dyDescent="0.2">
      <c r="A588" s="11">
        <v>1023331</v>
      </c>
      <c r="B588" s="13">
        <v>6060</v>
      </c>
    </row>
    <row r="589" spans="1:2" x14ac:dyDescent="0.2">
      <c r="A589" s="11">
        <v>1023334</v>
      </c>
      <c r="B589" s="13">
        <v>125229</v>
      </c>
    </row>
    <row r="590" spans="1:2" x14ac:dyDescent="0.2">
      <c r="A590" s="11">
        <v>1023336</v>
      </c>
      <c r="B590" s="13">
        <v>43980</v>
      </c>
    </row>
    <row r="591" spans="1:2" x14ac:dyDescent="0.2">
      <c r="A591" s="11">
        <v>1023338</v>
      </c>
      <c r="B591" s="13">
        <v>962</v>
      </c>
    </row>
    <row r="592" spans="1:2" x14ac:dyDescent="0.2">
      <c r="A592" s="11">
        <v>1023339</v>
      </c>
      <c r="B592" s="13">
        <v>18490</v>
      </c>
    </row>
    <row r="593" spans="1:2" x14ac:dyDescent="0.2">
      <c r="A593" s="11">
        <v>1023340</v>
      </c>
      <c r="B593" s="13">
        <v>17250</v>
      </c>
    </row>
    <row r="594" spans="1:2" x14ac:dyDescent="0.2">
      <c r="A594" s="11">
        <v>1023343</v>
      </c>
      <c r="B594" s="13">
        <v>42744</v>
      </c>
    </row>
    <row r="595" spans="1:2" x14ac:dyDescent="0.2">
      <c r="A595" s="11">
        <v>1023349</v>
      </c>
      <c r="B595" s="13">
        <v>8785</v>
      </c>
    </row>
    <row r="596" spans="1:2" x14ac:dyDescent="0.2">
      <c r="A596" s="11">
        <v>1023350</v>
      </c>
      <c r="B596" s="13">
        <v>12730</v>
      </c>
    </row>
    <row r="597" spans="1:2" x14ac:dyDescent="0.2">
      <c r="A597" s="11">
        <v>1023351</v>
      </c>
      <c r="B597" s="13">
        <v>2433</v>
      </c>
    </row>
    <row r="598" spans="1:2" x14ac:dyDescent="0.2">
      <c r="A598" s="11">
        <v>1023352</v>
      </c>
      <c r="B598" s="13">
        <v>20482</v>
      </c>
    </row>
    <row r="599" spans="1:2" x14ac:dyDescent="0.2">
      <c r="A599" s="11">
        <v>1023353</v>
      </c>
      <c r="B599" s="13">
        <v>51810</v>
      </c>
    </row>
    <row r="600" spans="1:2" x14ac:dyDescent="0.2">
      <c r="A600" s="11">
        <v>1023355</v>
      </c>
      <c r="B600" s="13">
        <v>25022</v>
      </c>
    </row>
    <row r="601" spans="1:2" x14ac:dyDescent="0.2">
      <c r="A601" s="11">
        <v>1023362</v>
      </c>
      <c r="B601" s="13">
        <v>8135</v>
      </c>
    </row>
    <row r="602" spans="1:2" x14ac:dyDescent="0.2">
      <c r="A602" s="11">
        <v>1023363</v>
      </c>
      <c r="B602" s="13">
        <v>8439</v>
      </c>
    </row>
    <row r="603" spans="1:2" x14ac:dyDescent="0.2">
      <c r="A603" s="11">
        <v>1023364</v>
      </c>
      <c r="B603" s="13">
        <v>445</v>
      </c>
    </row>
    <row r="604" spans="1:2" x14ac:dyDescent="0.2">
      <c r="A604" s="11">
        <v>1023365</v>
      </c>
      <c r="B604" s="13">
        <v>487</v>
      </c>
    </row>
    <row r="605" spans="1:2" x14ac:dyDescent="0.2">
      <c r="A605" s="11">
        <v>1023366</v>
      </c>
      <c r="B605" s="13">
        <v>480</v>
      </c>
    </row>
    <row r="606" spans="1:2" x14ac:dyDescent="0.2">
      <c r="A606" s="11">
        <v>1023367</v>
      </c>
      <c r="B606" s="13">
        <v>2931</v>
      </c>
    </row>
    <row r="607" spans="1:2" x14ac:dyDescent="0.2">
      <c r="A607" s="11">
        <v>1023368</v>
      </c>
      <c r="B607" s="13">
        <v>8142</v>
      </c>
    </row>
    <row r="608" spans="1:2" x14ac:dyDescent="0.2">
      <c r="A608" s="11">
        <v>1023375</v>
      </c>
      <c r="B608" s="13">
        <v>2644</v>
      </c>
    </row>
    <row r="609" spans="1:2" x14ac:dyDescent="0.2">
      <c r="A609" s="11">
        <v>1023383</v>
      </c>
      <c r="B609" s="13">
        <v>54836</v>
      </c>
    </row>
    <row r="610" spans="1:2" x14ac:dyDescent="0.2">
      <c r="A610" s="11">
        <v>1023397</v>
      </c>
      <c r="B610" s="13">
        <v>36358</v>
      </c>
    </row>
    <row r="611" spans="1:2" x14ac:dyDescent="0.2">
      <c r="A611" s="11">
        <v>1023410</v>
      </c>
      <c r="B611" s="13">
        <v>5</v>
      </c>
    </row>
    <row r="612" spans="1:2" x14ac:dyDescent="0.2">
      <c r="A612" s="11">
        <v>1030009</v>
      </c>
      <c r="B612" s="13">
        <v>216</v>
      </c>
    </row>
    <row r="613" spans="1:2" x14ac:dyDescent="0.2">
      <c r="A613" s="11">
        <v>1030010</v>
      </c>
      <c r="B613" s="13">
        <v>1705</v>
      </c>
    </row>
    <row r="614" spans="1:2" x14ac:dyDescent="0.2">
      <c r="A614" s="11">
        <v>1030018</v>
      </c>
      <c r="B614" s="13">
        <v>12</v>
      </c>
    </row>
    <row r="615" spans="1:2" x14ac:dyDescent="0.2">
      <c r="A615" s="11">
        <v>1030078</v>
      </c>
      <c r="B615" s="13">
        <v>19933</v>
      </c>
    </row>
    <row r="616" spans="1:2" x14ac:dyDescent="0.2">
      <c r="A616" s="11">
        <v>1030083</v>
      </c>
      <c r="B616" s="13">
        <v>26832</v>
      </c>
    </row>
    <row r="617" spans="1:2" x14ac:dyDescent="0.2">
      <c r="A617" s="11">
        <v>1030095</v>
      </c>
      <c r="B617" s="13">
        <v>19120</v>
      </c>
    </row>
    <row r="618" spans="1:2" x14ac:dyDescent="0.2">
      <c r="A618" s="11">
        <v>1030108</v>
      </c>
      <c r="B618" s="13">
        <v>6008</v>
      </c>
    </row>
    <row r="619" spans="1:2" x14ac:dyDescent="0.2">
      <c r="A619" s="11">
        <v>1030114</v>
      </c>
      <c r="B619" s="13">
        <v>6333</v>
      </c>
    </row>
    <row r="620" spans="1:2" x14ac:dyDescent="0.2">
      <c r="A620" s="11">
        <v>1030117</v>
      </c>
      <c r="B620" s="13">
        <v>1711</v>
      </c>
    </row>
    <row r="621" spans="1:2" x14ac:dyDescent="0.2">
      <c r="A621" s="11">
        <v>1030188</v>
      </c>
      <c r="B621" s="13">
        <v>18</v>
      </c>
    </row>
    <row r="622" spans="1:2" x14ac:dyDescent="0.2">
      <c r="A622" s="11">
        <v>1030198</v>
      </c>
      <c r="B622" s="13">
        <v>6409</v>
      </c>
    </row>
    <row r="623" spans="1:2" x14ac:dyDescent="0.2">
      <c r="A623" s="11">
        <v>1030221</v>
      </c>
      <c r="B623" s="13">
        <v>45</v>
      </c>
    </row>
    <row r="624" spans="1:2" x14ac:dyDescent="0.2">
      <c r="A624" s="11">
        <v>1030224</v>
      </c>
      <c r="B624" s="13">
        <v>74305</v>
      </c>
    </row>
    <row r="625" spans="1:2" x14ac:dyDescent="0.2">
      <c r="A625" s="11">
        <v>1030228</v>
      </c>
      <c r="B625" s="13">
        <v>2068</v>
      </c>
    </row>
    <row r="626" spans="1:2" x14ac:dyDescent="0.2">
      <c r="A626" s="11">
        <v>1030239</v>
      </c>
      <c r="B626" s="13">
        <v>4328</v>
      </c>
    </row>
    <row r="627" spans="1:2" x14ac:dyDescent="0.2">
      <c r="A627" s="11">
        <v>1030255</v>
      </c>
      <c r="B627" s="13">
        <v>18420</v>
      </c>
    </row>
    <row r="628" spans="1:2" x14ac:dyDescent="0.2">
      <c r="A628" s="11">
        <v>1030265</v>
      </c>
      <c r="B628" s="13">
        <v>10200</v>
      </c>
    </row>
    <row r="629" spans="1:2" x14ac:dyDescent="0.2">
      <c r="A629" s="11">
        <v>1030319</v>
      </c>
      <c r="B629" s="13">
        <v>3101</v>
      </c>
    </row>
    <row r="630" spans="1:2" x14ac:dyDescent="0.2">
      <c r="A630" s="11">
        <v>1030321</v>
      </c>
      <c r="B630" s="13">
        <v>4706</v>
      </c>
    </row>
    <row r="631" spans="1:2" x14ac:dyDescent="0.2">
      <c r="A631" s="11">
        <v>1030327</v>
      </c>
      <c r="B631" s="13">
        <v>12905</v>
      </c>
    </row>
    <row r="632" spans="1:2" x14ac:dyDescent="0.2">
      <c r="A632" s="11">
        <v>1030332</v>
      </c>
      <c r="B632" s="13">
        <v>34080</v>
      </c>
    </row>
    <row r="633" spans="1:2" x14ac:dyDescent="0.2">
      <c r="A633" s="11">
        <v>1030337</v>
      </c>
      <c r="B633" s="13">
        <v>109500</v>
      </c>
    </row>
    <row r="634" spans="1:2" x14ac:dyDescent="0.2">
      <c r="A634" s="11">
        <v>1030355</v>
      </c>
      <c r="B634" s="13">
        <v>28550</v>
      </c>
    </row>
    <row r="635" spans="1:2" x14ac:dyDescent="0.2">
      <c r="A635" s="11">
        <v>1030360</v>
      </c>
      <c r="B635" s="13">
        <v>1490</v>
      </c>
    </row>
    <row r="636" spans="1:2" x14ac:dyDescent="0.2">
      <c r="A636" s="11">
        <v>1030370</v>
      </c>
      <c r="B636" s="13">
        <v>10467</v>
      </c>
    </row>
    <row r="637" spans="1:2" x14ac:dyDescent="0.2">
      <c r="A637" s="11">
        <v>1030376</v>
      </c>
      <c r="B637" s="13">
        <v>4167</v>
      </c>
    </row>
    <row r="638" spans="1:2" x14ac:dyDescent="0.2">
      <c r="A638" s="11">
        <v>1030378</v>
      </c>
      <c r="B638" s="13">
        <v>970</v>
      </c>
    </row>
    <row r="639" spans="1:2" x14ac:dyDescent="0.2">
      <c r="A639" s="11">
        <v>1030379</v>
      </c>
      <c r="B639" s="13">
        <v>60696</v>
      </c>
    </row>
    <row r="640" spans="1:2" x14ac:dyDescent="0.2">
      <c r="A640" s="11">
        <v>1030388</v>
      </c>
      <c r="B640" s="13">
        <v>12405</v>
      </c>
    </row>
    <row r="641" spans="1:2" x14ac:dyDescent="0.2">
      <c r="A641" s="11">
        <v>1030419</v>
      </c>
      <c r="B641" s="13">
        <v>6405</v>
      </c>
    </row>
    <row r="642" spans="1:2" x14ac:dyDescent="0.2">
      <c r="A642" s="11">
        <v>1030424</v>
      </c>
      <c r="B642" s="13">
        <v>15184</v>
      </c>
    </row>
    <row r="643" spans="1:2" x14ac:dyDescent="0.2">
      <c r="A643" s="11">
        <v>1030425</v>
      </c>
      <c r="B643" s="13">
        <v>31213</v>
      </c>
    </row>
    <row r="644" spans="1:2" x14ac:dyDescent="0.2">
      <c r="A644" s="11">
        <v>1030428</v>
      </c>
      <c r="B644" s="13">
        <v>198</v>
      </c>
    </row>
    <row r="645" spans="1:2" x14ac:dyDescent="0.2">
      <c r="A645" s="11">
        <v>1030444</v>
      </c>
      <c r="B645" s="13">
        <v>2448</v>
      </c>
    </row>
    <row r="646" spans="1:2" x14ac:dyDescent="0.2">
      <c r="A646" s="11">
        <v>1030445</v>
      </c>
      <c r="B646" s="13">
        <v>3228</v>
      </c>
    </row>
    <row r="647" spans="1:2" x14ac:dyDescent="0.2">
      <c r="A647" s="11">
        <v>1030446</v>
      </c>
      <c r="B647" s="13">
        <v>861</v>
      </c>
    </row>
    <row r="648" spans="1:2" x14ac:dyDescent="0.2">
      <c r="A648" s="11">
        <v>1030452</v>
      </c>
      <c r="B648" s="13">
        <v>46319</v>
      </c>
    </row>
    <row r="649" spans="1:2" x14ac:dyDescent="0.2">
      <c r="A649" s="11">
        <v>1030461</v>
      </c>
      <c r="B649" s="13">
        <v>936</v>
      </c>
    </row>
    <row r="650" spans="1:2" x14ac:dyDescent="0.2">
      <c r="A650" s="11">
        <v>1030498</v>
      </c>
      <c r="B650" s="13">
        <v>11600</v>
      </c>
    </row>
    <row r="651" spans="1:2" x14ac:dyDescent="0.2">
      <c r="A651" s="11">
        <v>1030506</v>
      </c>
      <c r="B651" s="13">
        <v>1380</v>
      </c>
    </row>
    <row r="652" spans="1:2" x14ac:dyDescent="0.2">
      <c r="A652" s="11">
        <v>1030525</v>
      </c>
      <c r="B652" s="13">
        <v>10875</v>
      </c>
    </row>
    <row r="653" spans="1:2" x14ac:dyDescent="0.2">
      <c r="A653" s="11">
        <v>1030535</v>
      </c>
      <c r="B653" s="13">
        <v>151</v>
      </c>
    </row>
    <row r="654" spans="1:2" x14ac:dyDescent="0.2">
      <c r="A654" s="11">
        <v>1030542</v>
      </c>
      <c r="B654" s="13">
        <v>1050</v>
      </c>
    </row>
    <row r="655" spans="1:2" x14ac:dyDescent="0.2">
      <c r="A655" s="11">
        <v>1030545</v>
      </c>
      <c r="B655" s="13">
        <v>13485</v>
      </c>
    </row>
    <row r="656" spans="1:2" x14ac:dyDescent="0.2">
      <c r="A656" s="11">
        <v>1030555</v>
      </c>
      <c r="B656" s="13">
        <v>4480</v>
      </c>
    </row>
    <row r="657" spans="1:2" x14ac:dyDescent="0.2">
      <c r="A657" s="11">
        <v>1030566</v>
      </c>
      <c r="B657" s="13">
        <v>5955</v>
      </c>
    </row>
    <row r="658" spans="1:2" x14ac:dyDescent="0.2">
      <c r="A658" s="11">
        <v>1030635</v>
      </c>
      <c r="B658" s="13">
        <v>2510</v>
      </c>
    </row>
    <row r="659" spans="1:2" x14ac:dyDescent="0.2">
      <c r="A659" s="11">
        <v>1030657</v>
      </c>
      <c r="B659" s="13">
        <v>15</v>
      </c>
    </row>
    <row r="660" spans="1:2" x14ac:dyDescent="0.2">
      <c r="A660" s="11">
        <v>1030658</v>
      </c>
      <c r="B660" s="13">
        <v>32307</v>
      </c>
    </row>
    <row r="661" spans="1:2" x14ac:dyDescent="0.2">
      <c r="A661" s="11">
        <v>1030670</v>
      </c>
      <c r="B661" s="13">
        <v>51045</v>
      </c>
    </row>
    <row r="662" spans="1:2" x14ac:dyDescent="0.2">
      <c r="A662" s="11">
        <v>1030683</v>
      </c>
      <c r="B662" s="13">
        <v>72780</v>
      </c>
    </row>
    <row r="663" spans="1:2" x14ac:dyDescent="0.2">
      <c r="A663" s="11">
        <v>1030684</v>
      </c>
      <c r="B663" s="13">
        <v>21165</v>
      </c>
    </row>
    <row r="664" spans="1:2" x14ac:dyDescent="0.2">
      <c r="A664" s="11">
        <v>1030685</v>
      </c>
      <c r="B664" s="13">
        <v>41055</v>
      </c>
    </row>
    <row r="665" spans="1:2" x14ac:dyDescent="0.2">
      <c r="A665" s="11">
        <v>1030686</v>
      </c>
      <c r="B665" s="13">
        <v>32205</v>
      </c>
    </row>
    <row r="666" spans="1:2" x14ac:dyDescent="0.2">
      <c r="A666" s="11">
        <v>1030702</v>
      </c>
      <c r="B666" s="13">
        <v>35096</v>
      </c>
    </row>
    <row r="667" spans="1:2" x14ac:dyDescent="0.2">
      <c r="A667" s="11">
        <v>1030710</v>
      </c>
      <c r="B667" s="13">
        <v>3675</v>
      </c>
    </row>
    <row r="668" spans="1:2" x14ac:dyDescent="0.2">
      <c r="A668" s="11">
        <v>1030711</v>
      </c>
      <c r="B668" s="13">
        <v>4200</v>
      </c>
    </row>
    <row r="669" spans="1:2" x14ac:dyDescent="0.2">
      <c r="A669" s="11">
        <v>1030720</v>
      </c>
      <c r="B669" s="13">
        <v>25633</v>
      </c>
    </row>
    <row r="670" spans="1:2" x14ac:dyDescent="0.2">
      <c r="A670" s="11">
        <v>1030722</v>
      </c>
      <c r="B670" s="13">
        <v>17252</v>
      </c>
    </row>
    <row r="671" spans="1:2" x14ac:dyDescent="0.2">
      <c r="A671" s="11">
        <v>1030726</v>
      </c>
      <c r="B671" s="13">
        <v>3</v>
      </c>
    </row>
    <row r="672" spans="1:2" x14ac:dyDescent="0.2">
      <c r="A672" s="11">
        <v>1030735</v>
      </c>
      <c r="B672" s="13">
        <v>32673</v>
      </c>
    </row>
    <row r="673" spans="1:2" x14ac:dyDescent="0.2">
      <c r="A673" s="11">
        <v>1030744</v>
      </c>
      <c r="B673" s="13">
        <v>10380</v>
      </c>
    </row>
    <row r="674" spans="1:2" x14ac:dyDescent="0.2">
      <c r="A674" s="11">
        <v>1030757</v>
      </c>
      <c r="B674" s="13">
        <v>5002</v>
      </c>
    </row>
    <row r="675" spans="1:2" x14ac:dyDescent="0.2">
      <c r="A675" s="11">
        <v>1030760</v>
      </c>
      <c r="B675" s="13">
        <v>3138</v>
      </c>
    </row>
    <row r="676" spans="1:2" x14ac:dyDescent="0.2">
      <c r="A676" s="11">
        <v>1030762</v>
      </c>
      <c r="B676" s="13">
        <v>2046</v>
      </c>
    </row>
    <row r="677" spans="1:2" x14ac:dyDescent="0.2">
      <c r="A677" s="11">
        <v>1030773</v>
      </c>
      <c r="B677" s="13">
        <v>16240</v>
      </c>
    </row>
    <row r="678" spans="1:2" x14ac:dyDescent="0.2">
      <c r="A678" s="11">
        <v>1030782</v>
      </c>
      <c r="B678" s="13">
        <v>15882</v>
      </c>
    </row>
    <row r="679" spans="1:2" x14ac:dyDescent="0.2">
      <c r="A679" s="11">
        <v>1030783</v>
      </c>
      <c r="B679" s="13">
        <v>927</v>
      </c>
    </row>
    <row r="680" spans="1:2" x14ac:dyDescent="0.2">
      <c r="A680" s="11">
        <v>1030784</v>
      </c>
      <c r="B680" s="13">
        <v>7085</v>
      </c>
    </row>
    <row r="681" spans="1:2" x14ac:dyDescent="0.2">
      <c r="A681" s="11">
        <v>1030785</v>
      </c>
      <c r="B681" s="13">
        <v>1657</v>
      </c>
    </row>
    <row r="682" spans="1:2" x14ac:dyDescent="0.2">
      <c r="A682" s="11">
        <v>1030786</v>
      </c>
      <c r="B682" s="13">
        <v>8314</v>
      </c>
    </row>
    <row r="683" spans="1:2" x14ac:dyDescent="0.2">
      <c r="A683" s="11">
        <v>1030788</v>
      </c>
      <c r="B683" s="13">
        <v>2355</v>
      </c>
    </row>
    <row r="684" spans="1:2" x14ac:dyDescent="0.2">
      <c r="A684" s="11">
        <v>1030791</v>
      </c>
      <c r="B684" s="13">
        <v>2490</v>
      </c>
    </row>
    <row r="685" spans="1:2" x14ac:dyDescent="0.2">
      <c r="A685" s="11">
        <v>1030792</v>
      </c>
      <c r="B685" s="13">
        <v>19290</v>
      </c>
    </row>
    <row r="686" spans="1:2" x14ac:dyDescent="0.2">
      <c r="A686" s="11">
        <v>1030799</v>
      </c>
      <c r="B686" s="13">
        <v>11</v>
      </c>
    </row>
    <row r="687" spans="1:2" x14ac:dyDescent="0.2">
      <c r="A687" s="11">
        <v>1030801</v>
      </c>
      <c r="B687" s="13">
        <v>2707</v>
      </c>
    </row>
    <row r="688" spans="1:2" x14ac:dyDescent="0.2">
      <c r="A688" s="11">
        <v>1030803</v>
      </c>
      <c r="B688" s="13">
        <v>1008</v>
      </c>
    </row>
    <row r="689" spans="1:2" x14ac:dyDescent="0.2">
      <c r="A689" s="11">
        <v>1030809</v>
      </c>
      <c r="B689" s="13">
        <v>45</v>
      </c>
    </row>
    <row r="690" spans="1:2" x14ac:dyDescent="0.2">
      <c r="A690" s="11">
        <v>1030810</v>
      </c>
      <c r="B690" s="13">
        <v>45</v>
      </c>
    </row>
    <row r="691" spans="1:2" x14ac:dyDescent="0.2">
      <c r="A691" s="11">
        <v>1100007</v>
      </c>
      <c r="B691" s="13">
        <v>22906</v>
      </c>
    </row>
    <row r="692" spans="1:2" x14ac:dyDescent="0.2">
      <c r="A692" s="11">
        <v>1100039</v>
      </c>
      <c r="B692" s="13">
        <v>37690</v>
      </c>
    </row>
    <row r="693" spans="1:2" x14ac:dyDescent="0.2">
      <c r="A693" s="11">
        <v>1100041</v>
      </c>
      <c r="B693" s="13">
        <v>12360</v>
      </c>
    </row>
    <row r="694" spans="1:2" x14ac:dyDescent="0.2">
      <c r="A694" s="11">
        <v>1100193</v>
      </c>
      <c r="B694" s="13">
        <v>9456</v>
      </c>
    </row>
    <row r="695" spans="1:2" x14ac:dyDescent="0.2">
      <c r="A695" s="11">
        <v>1100238</v>
      </c>
      <c r="B695" s="13">
        <v>380</v>
      </c>
    </row>
    <row r="696" spans="1:2" x14ac:dyDescent="0.2">
      <c r="A696" s="11">
        <v>1100266</v>
      </c>
      <c r="B696" s="13">
        <v>10240</v>
      </c>
    </row>
    <row r="697" spans="1:2" x14ac:dyDescent="0.2">
      <c r="A697" s="11">
        <v>1100267</v>
      </c>
      <c r="B697" s="13">
        <v>80845</v>
      </c>
    </row>
    <row r="698" spans="1:2" x14ac:dyDescent="0.2">
      <c r="A698" s="11">
        <v>1100334</v>
      </c>
      <c r="B698" s="13">
        <v>3755</v>
      </c>
    </row>
    <row r="699" spans="1:2" x14ac:dyDescent="0.2">
      <c r="A699" s="11">
        <v>1100339</v>
      </c>
      <c r="B699" s="13">
        <v>14094</v>
      </c>
    </row>
    <row r="700" spans="1:2" x14ac:dyDescent="0.2">
      <c r="A700" s="11">
        <v>1100343</v>
      </c>
      <c r="B700" s="13">
        <v>43646</v>
      </c>
    </row>
    <row r="701" spans="1:2" x14ac:dyDescent="0.2">
      <c r="A701" s="11">
        <v>1100346</v>
      </c>
      <c r="B701" s="13">
        <v>9522</v>
      </c>
    </row>
    <row r="702" spans="1:2" x14ac:dyDescent="0.2">
      <c r="A702" s="11">
        <v>1100350</v>
      </c>
      <c r="B702" s="13">
        <v>26846</v>
      </c>
    </row>
    <row r="703" spans="1:2" x14ac:dyDescent="0.2">
      <c r="A703" s="11">
        <v>1100364</v>
      </c>
      <c r="B703" s="13">
        <v>10878</v>
      </c>
    </row>
    <row r="704" spans="1:2" x14ac:dyDescent="0.2">
      <c r="A704" s="11">
        <v>1100365</v>
      </c>
      <c r="B704" s="13">
        <v>19705</v>
      </c>
    </row>
    <row r="705" spans="1:2" x14ac:dyDescent="0.2">
      <c r="A705" s="11">
        <v>1100372</v>
      </c>
      <c r="B705" s="13">
        <v>34351</v>
      </c>
    </row>
    <row r="706" spans="1:2" x14ac:dyDescent="0.2">
      <c r="A706" s="11">
        <v>1100373</v>
      </c>
      <c r="B706" s="13">
        <v>10027</v>
      </c>
    </row>
    <row r="707" spans="1:2" x14ac:dyDescent="0.2">
      <c r="A707" s="11">
        <v>1100393</v>
      </c>
      <c r="B707" s="13">
        <v>25790</v>
      </c>
    </row>
    <row r="708" spans="1:2" x14ac:dyDescent="0.2">
      <c r="A708" s="11">
        <v>1100394</v>
      </c>
      <c r="B708" s="13">
        <v>5525</v>
      </c>
    </row>
    <row r="709" spans="1:2" x14ac:dyDescent="0.2">
      <c r="A709" s="11">
        <v>1100396</v>
      </c>
      <c r="B709" s="13">
        <v>33978</v>
      </c>
    </row>
    <row r="710" spans="1:2" x14ac:dyDescent="0.2">
      <c r="A710" s="11">
        <v>1100397</v>
      </c>
      <c r="B710" s="13">
        <v>13919</v>
      </c>
    </row>
    <row r="711" spans="1:2" x14ac:dyDescent="0.2">
      <c r="A711" s="11">
        <v>1100399</v>
      </c>
      <c r="B711" s="13">
        <v>32118</v>
      </c>
    </row>
    <row r="712" spans="1:2" x14ac:dyDescent="0.2">
      <c r="A712" s="11">
        <v>1100402</v>
      </c>
      <c r="B712" s="13">
        <v>15444</v>
      </c>
    </row>
    <row r="713" spans="1:2" x14ac:dyDescent="0.2">
      <c r="A713" s="11">
        <v>1100407</v>
      </c>
      <c r="B713" s="13">
        <v>2736</v>
      </c>
    </row>
    <row r="714" spans="1:2" x14ac:dyDescent="0.2">
      <c r="A714" s="11">
        <v>1100408</v>
      </c>
      <c r="B714" s="13">
        <v>19010</v>
      </c>
    </row>
    <row r="715" spans="1:2" x14ac:dyDescent="0.2">
      <c r="A715" s="11">
        <v>1100411</v>
      </c>
      <c r="B715" s="13">
        <v>18386</v>
      </c>
    </row>
    <row r="716" spans="1:2" x14ac:dyDescent="0.2">
      <c r="A716" s="11">
        <v>1100412</v>
      </c>
      <c r="B716" s="13">
        <v>10910</v>
      </c>
    </row>
    <row r="717" spans="1:2" x14ac:dyDescent="0.2">
      <c r="A717" s="11">
        <v>1100418</v>
      </c>
      <c r="B717" s="13">
        <v>1908</v>
      </c>
    </row>
    <row r="718" spans="1:2" x14ac:dyDescent="0.2">
      <c r="A718" s="11">
        <v>1100419</v>
      </c>
      <c r="B718" s="13">
        <v>2384</v>
      </c>
    </row>
    <row r="719" spans="1:2" x14ac:dyDescent="0.2">
      <c r="A719" s="11">
        <v>1100423</v>
      </c>
      <c r="B719" s="13">
        <v>3803</v>
      </c>
    </row>
    <row r="720" spans="1:2" x14ac:dyDescent="0.2">
      <c r="A720" s="11">
        <v>1100439</v>
      </c>
      <c r="B720" s="13">
        <v>10158</v>
      </c>
    </row>
    <row r="721" spans="1:2" x14ac:dyDescent="0.2">
      <c r="A721" s="11">
        <v>1100440</v>
      </c>
      <c r="B721" s="13">
        <v>6636</v>
      </c>
    </row>
    <row r="722" spans="1:2" x14ac:dyDescent="0.2">
      <c r="A722" s="11">
        <v>1100442</v>
      </c>
      <c r="B722" s="13">
        <v>27528</v>
      </c>
    </row>
    <row r="723" spans="1:2" x14ac:dyDescent="0.2">
      <c r="A723" s="11">
        <v>1100444</v>
      </c>
      <c r="B723" s="13">
        <v>16240</v>
      </c>
    </row>
    <row r="724" spans="1:2" x14ac:dyDescent="0.2">
      <c r="A724" s="11">
        <v>1100447</v>
      </c>
      <c r="B724" s="13">
        <v>6283</v>
      </c>
    </row>
    <row r="725" spans="1:2" x14ac:dyDescent="0.2">
      <c r="A725" s="11">
        <v>1100448</v>
      </c>
      <c r="B725" s="13">
        <v>4004</v>
      </c>
    </row>
    <row r="726" spans="1:2" x14ac:dyDescent="0.2">
      <c r="A726" s="11">
        <v>1100449</v>
      </c>
      <c r="B726" s="13">
        <v>97205</v>
      </c>
    </row>
    <row r="727" spans="1:2" x14ac:dyDescent="0.2">
      <c r="A727" s="11">
        <v>1100479</v>
      </c>
      <c r="B727" s="13">
        <v>19306</v>
      </c>
    </row>
    <row r="728" spans="1:2" x14ac:dyDescent="0.2">
      <c r="A728" s="11">
        <v>1100490</v>
      </c>
      <c r="B728" s="13">
        <v>2979</v>
      </c>
    </row>
    <row r="729" spans="1:2" x14ac:dyDescent="0.2">
      <c r="A729" s="11">
        <v>1100494</v>
      </c>
      <c r="B729" s="13">
        <v>30244</v>
      </c>
    </row>
    <row r="730" spans="1:2" x14ac:dyDescent="0.2">
      <c r="A730" s="11">
        <v>1100521</v>
      </c>
      <c r="B730" s="13">
        <v>1380</v>
      </c>
    </row>
    <row r="731" spans="1:2" x14ac:dyDescent="0.2">
      <c r="A731" s="11">
        <v>1100522</v>
      </c>
      <c r="B731" s="13">
        <v>567</v>
      </c>
    </row>
    <row r="732" spans="1:2" x14ac:dyDescent="0.2">
      <c r="A732" s="11">
        <v>1100523</v>
      </c>
      <c r="B732" s="13">
        <v>29</v>
      </c>
    </row>
    <row r="733" spans="1:2" x14ac:dyDescent="0.2">
      <c r="A733" s="11">
        <v>1100524</v>
      </c>
      <c r="B733" s="13">
        <v>22</v>
      </c>
    </row>
    <row r="734" spans="1:2" x14ac:dyDescent="0.2">
      <c r="A734" s="11">
        <v>1100533</v>
      </c>
      <c r="B734" s="13">
        <v>5789</v>
      </c>
    </row>
    <row r="735" spans="1:2" x14ac:dyDescent="0.2">
      <c r="A735" s="11">
        <v>1100534</v>
      </c>
      <c r="B735" s="13">
        <v>27259</v>
      </c>
    </row>
    <row r="736" spans="1:2" x14ac:dyDescent="0.2">
      <c r="A736" s="11">
        <v>1100535</v>
      </c>
      <c r="B736" s="13">
        <v>9662</v>
      </c>
    </row>
    <row r="737" spans="1:2" x14ac:dyDescent="0.2">
      <c r="A737" s="11">
        <v>1100536</v>
      </c>
      <c r="B737" s="13">
        <v>6545</v>
      </c>
    </row>
    <row r="738" spans="1:2" x14ac:dyDescent="0.2">
      <c r="A738" s="11">
        <v>1100539</v>
      </c>
      <c r="B738" s="13">
        <v>27413</v>
      </c>
    </row>
    <row r="739" spans="1:2" x14ac:dyDescent="0.2">
      <c r="A739" s="11">
        <v>1100545</v>
      </c>
      <c r="B739" s="13">
        <v>5672</v>
      </c>
    </row>
    <row r="740" spans="1:2" x14ac:dyDescent="0.2">
      <c r="A740" s="11">
        <v>1100547</v>
      </c>
      <c r="B740" s="13">
        <v>54</v>
      </c>
    </row>
    <row r="741" spans="1:2" x14ac:dyDescent="0.2">
      <c r="A741" s="11">
        <v>1100554</v>
      </c>
      <c r="B741" s="13">
        <v>1238</v>
      </c>
    </row>
    <row r="742" spans="1:2" x14ac:dyDescent="0.2">
      <c r="A742" s="11">
        <v>1100558</v>
      </c>
      <c r="B742" s="13">
        <v>538</v>
      </c>
    </row>
    <row r="743" spans="1:2" x14ac:dyDescent="0.2">
      <c r="A743" s="11">
        <v>1100559</v>
      </c>
      <c r="B743" s="13">
        <v>638</v>
      </c>
    </row>
    <row r="744" spans="1:2" x14ac:dyDescent="0.2">
      <c r="A744" s="11">
        <v>1100570</v>
      </c>
      <c r="B744" s="13">
        <v>624</v>
      </c>
    </row>
    <row r="745" spans="1:2" x14ac:dyDescent="0.2">
      <c r="A745" s="11">
        <v>1100572</v>
      </c>
      <c r="B745" s="13">
        <v>86</v>
      </c>
    </row>
    <row r="746" spans="1:2" x14ac:dyDescent="0.2">
      <c r="A746" s="11">
        <v>1100573</v>
      </c>
      <c r="B746" s="13">
        <v>3770</v>
      </c>
    </row>
    <row r="747" spans="1:2" x14ac:dyDescent="0.2">
      <c r="A747" s="11">
        <v>1100574</v>
      </c>
      <c r="B747" s="13">
        <v>5545</v>
      </c>
    </row>
    <row r="748" spans="1:2" x14ac:dyDescent="0.2">
      <c r="A748" s="11">
        <v>1100575</v>
      </c>
      <c r="B748" s="13">
        <v>7845</v>
      </c>
    </row>
    <row r="749" spans="1:2" x14ac:dyDescent="0.2">
      <c r="A749" s="11">
        <v>1100580</v>
      </c>
      <c r="B749" s="13">
        <v>2216</v>
      </c>
    </row>
    <row r="750" spans="1:2" x14ac:dyDescent="0.2">
      <c r="A750" s="11">
        <v>1100581</v>
      </c>
      <c r="B750" s="13">
        <v>15241</v>
      </c>
    </row>
    <row r="751" spans="1:2" x14ac:dyDescent="0.2">
      <c r="A751" s="11">
        <v>1100582</v>
      </c>
      <c r="B751" s="13">
        <v>2088</v>
      </c>
    </row>
    <row r="752" spans="1:2" x14ac:dyDescent="0.2">
      <c r="A752" s="11">
        <v>1100585</v>
      </c>
      <c r="B752" s="13">
        <v>5208</v>
      </c>
    </row>
    <row r="753" spans="1:2" x14ac:dyDescent="0.2">
      <c r="A753" s="11">
        <v>1100586</v>
      </c>
      <c r="B753" s="13">
        <v>3</v>
      </c>
    </row>
    <row r="754" spans="1:2" x14ac:dyDescent="0.2">
      <c r="A754" s="11">
        <v>1100587</v>
      </c>
      <c r="B754" s="13">
        <v>13554</v>
      </c>
    </row>
    <row r="755" spans="1:2" x14ac:dyDescent="0.2">
      <c r="A755" s="11">
        <v>1100588</v>
      </c>
      <c r="B755" s="13">
        <v>1273</v>
      </c>
    </row>
    <row r="756" spans="1:2" x14ac:dyDescent="0.2">
      <c r="A756" s="11">
        <v>1100590</v>
      </c>
      <c r="B756" s="13">
        <v>7884</v>
      </c>
    </row>
    <row r="757" spans="1:2" x14ac:dyDescent="0.2">
      <c r="A757" s="11">
        <v>1100592</v>
      </c>
      <c r="B757" s="13">
        <v>6302</v>
      </c>
    </row>
    <row r="758" spans="1:2" x14ac:dyDescent="0.2">
      <c r="A758" s="11">
        <v>1100593</v>
      </c>
      <c r="B758" s="13">
        <v>13927</v>
      </c>
    </row>
    <row r="759" spans="1:2" x14ac:dyDescent="0.2">
      <c r="A759" s="11">
        <v>1100598</v>
      </c>
      <c r="B759" s="13">
        <v>4682</v>
      </c>
    </row>
    <row r="760" spans="1:2" x14ac:dyDescent="0.2">
      <c r="A760" s="11">
        <v>1100600</v>
      </c>
      <c r="B760" s="13">
        <v>4519</v>
      </c>
    </row>
    <row r="761" spans="1:2" x14ac:dyDescent="0.2">
      <c r="A761" s="11">
        <v>1100601</v>
      </c>
      <c r="B761" s="13">
        <v>6642</v>
      </c>
    </row>
    <row r="762" spans="1:2" x14ac:dyDescent="0.2">
      <c r="A762" s="11">
        <v>1100602</v>
      </c>
      <c r="B762" s="13">
        <v>9743</v>
      </c>
    </row>
    <row r="763" spans="1:2" x14ac:dyDescent="0.2">
      <c r="A763" s="11">
        <v>1100609</v>
      </c>
      <c r="B763" s="13">
        <v>4429</v>
      </c>
    </row>
    <row r="764" spans="1:2" x14ac:dyDescent="0.2">
      <c r="A764" s="11">
        <v>1100621</v>
      </c>
      <c r="B764" s="13">
        <v>1159</v>
      </c>
    </row>
    <row r="765" spans="1:2" x14ac:dyDescent="0.2">
      <c r="A765" s="11">
        <v>1100635</v>
      </c>
      <c r="B765" s="13">
        <v>1840</v>
      </c>
    </row>
    <row r="766" spans="1:2" x14ac:dyDescent="0.2">
      <c r="A766" s="11">
        <v>1100639</v>
      </c>
      <c r="B766" s="13">
        <v>4903</v>
      </c>
    </row>
    <row r="767" spans="1:2" x14ac:dyDescent="0.2">
      <c r="A767" s="11">
        <v>1100640</v>
      </c>
      <c r="B767" s="13">
        <v>9804</v>
      </c>
    </row>
    <row r="768" spans="1:2" x14ac:dyDescent="0.2">
      <c r="A768" s="11">
        <v>1100646</v>
      </c>
      <c r="B768" s="13">
        <v>5240</v>
      </c>
    </row>
    <row r="769" spans="1:2" x14ac:dyDescent="0.2">
      <c r="A769" s="11">
        <v>1100647</v>
      </c>
      <c r="B769" s="13">
        <v>2688</v>
      </c>
    </row>
    <row r="770" spans="1:2" x14ac:dyDescent="0.2">
      <c r="A770" s="11">
        <v>1100649</v>
      </c>
      <c r="B770" s="13">
        <v>6864</v>
      </c>
    </row>
    <row r="771" spans="1:2" x14ac:dyDescent="0.2">
      <c r="A771" s="11">
        <v>1100650</v>
      </c>
      <c r="B771" s="13">
        <v>5933</v>
      </c>
    </row>
    <row r="772" spans="1:2" x14ac:dyDescent="0.2">
      <c r="A772" s="11">
        <v>1100651</v>
      </c>
      <c r="B772" s="13">
        <v>2052</v>
      </c>
    </row>
    <row r="773" spans="1:2" x14ac:dyDescent="0.2">
      <c r="A773" s="11">
        <v>1100652</v>
      </c>
      <c r="B773" s="13">
        <v>11011</v>
      </c>
    </row>
    <row r="774" spans="1:2" x14ac:dyDescent="0.2">
      <c r="A774" s="11">
        <v>1100655</v>
      </c>
      <c r="B774" s="13">
        <v>16821</v>
      </c>
    </row>
    <row r="775" spans="1:2" x14ac:dyDescent="0.2">
      <c r="A775" s="11">
        <v>1100658</v>
      </c>
      <c r="B775" s="13">
        <v>612</v>
      </c>
    </row>
    <row r="776" spans="1:2" x14ac:dyDescent="0.2">
      <c r="A776" s="11">
        <v>1100659</v>
      </c>
      <c r="B776" s="13">
        <v>1416</v>
      </c>
    </row>
    <row r="777" spans="1:2" x14ac:dyDescent="0.2">
      <c r="A777" s="11">
        <v>1100661</v>
      </c>
      <c r="B777" s="13">
        <v>9380</v>
      </c>
    </row>
    <row r="778" spans="1:2" x14ac:dyDescent="0.2">
      <c r="A778" s="11">
        <v>1100666</v>
      </c>
      <c r="B778" s="13">
        <v>1595</v>
      </c>
    </row>
    <row r="779" spans="1:2" x14ac:dyDescent="0.2">
      <c r="A779" s="11">
        <v>1100667</v>
      </c>
      <c r="B779" s="13">
        <v>6215</v>
      </c>
    </row>
    <row r="780" spans="1:2" x14ac:dyDescent="0.2">
      <c r="A780" s="11">
        <v>1100677</v>
      </c>
      <c r="B780" s="13">
        <v>715</v>
      </c>
    </row>
    <row r="781" spans="1:2" x14ac:dyDescent="0.2">
      <c r="A781" s="11">
        <v>1100680</v>
      </c>
      <c r="B781" s="13">
        <v>65</v>
      </c>
    </row>
    <row r="782" spans="1:2" x14ac:dyDescent="0.2">
      <c r="A782" s="11">
        <v>1100681</v>
      </c>
      <c r="B782" s="13">
        <v>8145</v>
      </c>
    </row>
    <row r="783" spans="1:2" x14ac:dyDescent="0.2">
      <c r="A783" s="11">
        <v>1100682</v>
      </c>
      <c r="B783" s="13">
        <v>2234</v>
      </c>
    </row>
    <row r="784" spans="1:2" x14ac:dyDescent="0.2">
      <c r="A784" s="11">
        <v>1100683</v>
      </c>
      <c r="B784" s="13">
        <v>3060</v>
      </c>
    </row>
    <row r="785" spans="1:2" x14ac:dyDescent="0.2">
      <c r="A785" s="11">
        <v>1100684</v>
      </c>
      <c r="B785" s="13">
        <v>570</v>
      </c>
    </row>
    <row r="786" spans="1:2" x14ac:dyDescent="0.2">
      <c r="A786" s="11">
        <v>1100691</v>
      </c>
      <c r="B786" s="13">
        <v>235</v>
      </c>
    </row>
    <row r="787" spans="1:2" x14ac:dyDescent="0.2">
      <c r="A787" s="11">
        <v>1100692</v>
      </c>
      <c r="B787" s="13">
        <v>4200</v>
      </c>
    </row>
    <row r="788" spans="1:2" x14ac:dyDescent="0.2">
      <c r="A788" s="11">
        <v>1100693</v>
      </c>
      <c r="B788" s="13">
        <v>2240</v>
      </c>
    </row>
    <row r="789" spans="1:2" x14ac:dyDescent="0.2">
      <c r="A789" s="11">
        <v>1100694</v>
      </c>
      <c r="B789" s="13">
        <v>8666</v>
      </c>
    </row>
    <row r="790" spans="1:2" x14ac:dyDescent="0.2">
      <c r="A790" s="11">
        <v>1100700</v>
      </c>
      <c r="B790" s="13">
        <v>2797</v>
      </c>
    </row>
    <row r="791" spans="1:2" x14ac:dyDescent="0.2">
      <c r="A791" s="11">
        <v>1100701</v>
      </c>
      <c r="B791" s="13">
        <v>5</v>
      </c>
    </row>
    <row r="792" spans="1:2" x14ac:dyDescent="0.2">
      <c r="A792" s="11">
        <v>1100702</v>
      </c>
      <c r="B792" s="13">
        <v>10255</v>
      </c>
    </row>
    <row r="793" spans="1:2" x14ac:dyDescent="0.2">
      <c r="A793" s="11">
        <v>1100709</v>
      </c>
      <c r="B793" s="13">
        <v>7591</v>
      </c>
    </row>
    <row r="794" spans="1:2" x14ac:dyDescent="0.2">
      <c r="A794" s="11">
        <v>1100732</v>
      </c>
      <c r="B794" s="13">
        <v>2412</v>
      </c>
    </row>
    <row r="795" spans="1:2" x14ac:dyDescent="0.2">
      <c r="A795" s="11" t="s">
        <v>349</v>
      </c>
      <c r="B795" s="13"/>
    </row>
    <row r="796" spans="1:2" x14ac:dyDescent="0.2">
      <c r="A796" s="11" t="s">
        <v>350</v>
      </c>
      <c r="B796" s="13">
        <v>16290551</v>
      </c>
    </row>
  </sheetData>
  <pageMargins left="0.7" right="0.7" top="0.75" bottom="0.75" header="0.3" footer="0.3"/>
  <customProperties>
    <customPr name="_pios_id" r:id="rId2"/>
    <customPr name="IbpWorksheetKeyString_GUID" r:id="rId3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19680-558D-4C93-BF74-A6E48847627A}">
  <sheetPr>
    <tabColor rgb="FFFF0000"/>
  </sheetPr>
  <dimension ref="A1:CD581"/>
  <sheetViews>
    <sheetView showGridLines="0" tabSelected="1" topLeftCell="I3" zoomScaleNormal="100" workbookViewId="0">
      <selection activeCell="O4" sqref="O4"/>
    </sheetView>
  </sheetViews>
  <sheetFormatPr baseColWidth="10" defaultRowHeight="15" outlineLevelCol="2" x14ac:dyDescent="0.2"/>
  <cols>
    <col min="1" max="1" width="2.33203125" customWidth="1"/>
    <col min="2" max="2" width="26.5" bestFit="1" customWidth="1"/>
    <col min="3" max="3" width="10.33203125" customWidth="1"/>
    <col min="4" max="4" width="17.5" customWidth="1"/>
    <col min="5" max="5" width="11" bestFit="1" customWidth="1"/>
    <col min="6" max="6" width="36.6640625" bestFit="1" customWidth="1"/>
    <col min="7" max="7" width="16.1640625" customWidth="1"/>
    <col min="8" max="8" width="20.83203125" bestFit="1" customWidth="1"/>
    <col min="9" max="15" width="15.6640625" customWidth="1" outlineLevel="1"/>
    <col min="16" max="16" width="20.33203125" customWidth="1"/>
    <col min="17" max="20" width="15.6640625" customWidth="1"/>
    <col min="21" max="21" width="16.33203125" customWidth="1"/>
    <col min="22" max="27" width="15.6640625" customWidth="1"/>
    <col min="28" max="31" width="13.83203125" customWidth="1"/>
    <col min="32" max="32" width="16.6640625" customWidth="1"/>
    <col min="33" max="35" width="16.6640625" hidden="1" customWidth="1" outlineLevel="1"/>
    <col min="36" max="36" width="16.6640625" customWidth="1" collapsed="1"/>
    <col min="37" max="38" width="16.6640625" customWidth="1"/>
    <col min="39" max="40" width="44.5" customWidth="1"/>
    <col min="41" max="41" width="16.6640625" customWidth="1"/>
    <col min="42" max="43" width="16.6640625" customWidth="1" outlineLevel="2"/>
    <col min="44" max="45" width="21.83203125" customWidth="1" outlineLevel="2"/>
    <col min="46" max="50" width="15.6640625" customWidth="1" outlineLevel="1"/>
    <col min="51" max="55" width="18" customWidth="1" outlineLevel="1"/>
    <col min="56" max="56" width="71.5" customWidth="1" outlineLevel="1"/>
    <col min="57" max="58" width="18" customWidth="1" outlineLevel="1"/>
    <col min="59" max="72" width="10.83203125" customWidth="1" outlineLevel="1"/>
    <col min="73" max="73" width="24" bestFit="1" customWidth="1"/>
  </cols>
  <sheetData>
    <row r="1" spans="1:82" x14ac:dyDescent="0.2">
      <c r="A1" s="108"/>
      <c r="B1" s="108">
        <v>1</v>
      </c>
      <c r="C1" s="108">
        <f>+B1+1</f>
        <v>2</v>
      </c>
      <c r="D1" s="108">
        <f t="shared" ref="D1:BT1" si="0">+C1+1</f>
        <v>3</v>
      </c>
      <c r="E1" s="108">
        <f t="shared" si="0"/>
        <v>4</v>
      </c>
      <c r="F1" s="108">
        <f t="shared" si="0"/>
        <v>5</v>
      </c>
      <c r="G1" s="108">
        <f t="shared" si="0"/>
        <v>6</v>
      </c>
      <c r="H1" s="108">
        <f t="shared" si="0"/>
        <v>7</v>
      </c>
      <c r="I1" s="108">
        <f t="shared" si="0"/>
        <v>8</v>
      </c>
      <c r="J1" s="108">
        <f t="shared" si="0"/>
        <v>9</v>
      </c>
      <c r="K1" s="108">
        <f t="shared" si="0"/>
        <v>10</v>
      </c>
      <c r="L1" s="108">
        <f t="shared" si="0"/>
        <v>11</v>
      </c>
      <c r="M1" s="108">
        <f t="shared" si="0"/>
        <v>12</v>
      </c>
      <c r="N1" s="108">
        <f t="shared" si="0"/>
        <v>13</v>
      </c>
      <c r="O1" s="108">
        <f t="shared" si="0"/>
        <v>14</v>
      </c>
      <c r="P1" s="108">
        <f t="shared" si="0"/>
        <v>15</v>
      </c>
      <c r="Q1" s="108">
        <f t="shared" si="0"/>
        <v>16</v>
      </c>
      <c r="R1" s="108">
        <f t="shared" si="0"/>
        <v>17</v>
      </c>
      <c r="S1" s="108">
        <f t="shared" si="0"/>
        <v>18</v>
      </c>
      <c r="T1" s="108">
        <f t="shared" si="0"/>
        <v>19</v>
      </c>
      <c r="U1" s="108">
        <f t="shared" si="0"/>
        <v>20</v>
      </c>
      <c r="V1" s="108">
        <f t="shared" si="0"/>
        <v>21</v>
      </c>
      <c r="W1" s="108">
        <f t="shared" si="0"/>
        <v>22</v>
      </c>
      <c r="X1" s="108">
        <f t="shared" si="0"/>
        <v>23</v>
      </c>
      <c r="Y1" s="108">
        <f t="shared" si="0"/>
        <v>24</v>
      </c>
      <c r="Z1" s="108">
        <f t="shared" si="0"/>
        <v>25</v>
      </c>
      <c r="AA1" s="108">
        <f t="shared" si="0"/>
        <v>26</v>
      </c>
      <c r="AB1" s="108"/>
      <c r="AC1" s="108"/>
      <c r="AD1" s="108">
        <f t="shared" ref="AD1" si="1">+AA1+1</f>
        <v>27</v>
      </c>
      <c r="AE1" s="108"/>
      <c r="AF1" s="108">
        <f t="shared" ref="AF1" si="2">+AD1+1</f>
        <v>28</v>
      </c>
      <c r="AG1" s="108">
        <f t="shared" ref="AG1:AM1" si="3">+AF1+1</f>
        <v>29</v>
      </c>
      <c r="AH1" s="108">
        <f t="shared" si="3"/>
        <v>30</v>
      </c>
      <c r="AI1" s="108">
        <f t="shared" si="3"/>
        <v>31</v>
      </c>
      <c r="AJ1" s="108">
        <f t="shared" si="3"/>
        <v>32</v>
      </c>
      <c r="AK1" s="108">
        <f t="shared" si="3"/>
        <v>33</v>
      </c>
      <c r="AL1" s="108">
        <f t="shared" si="3"/>
        <v>34</v>
      </c>
      <c r="AM1" s="108">
        <f t="shared" si="3"/>
        <v>35</v>
      </c>
      <c r="AN1" s="108"/>
      <c r="AO1" s="108"/>
      <c r="AP1" s="108"/>
      <c r="AQ1" s="108"/>
      <c r="AR1" s="108"/>
      <c r="AS1" s="108"/>
      <c r="AT1" s="108">
        <f>+AM1+1</f>
        <v>36</v>
      </c>
      <c r="AU1" s="108">
        <f>+AT1+1</f>
        <v>37</v>
      </c>
      <c r="AV1" s="108">
        <f t="shared" si="0"/>
        <v>38</v>
      </c>
      <c r="AW1" s="108">
        <f t="shared" si="0"/>
        <v>39</v>
      </c>
      <c r="AX1" s="108">
        <f t="shared" si="0"/>
        <v>40</v>
      </c>
      <c r="AY1" s="108">
        <f t="shared" si="0"/>
        <v>41</v>
      </c>
      <c r="AZ1" s="108"/>
      <c r="BA1" s="108"/>
      <c r="BB1" s="108"/>
      <c r="BC1" s="108"/>
      <c r="BD1" s="108"/>
      <c r="BE1" s="108">
        <f>+AY1+1</f>
        <v>42</v>
      </c>
      <c r="BF1" s="108">
        <f t="shared" si="0"/>
        <v>43</v>
      </c>
      <c r="BG1" s="108">
        <f t="shared" si="0"/>
        <v>44</v>
      </c>
      <c r="BH1" s="108">
        <f t="shared" si="0"/>
        <v>45</v>
      </c>
      <c r="BI1" s="108">
        <f t="shared" si="0"/>
        <v>46</v>
      </c>
      <c r="BJ1" s="108">
        <f t="shared" si="0"/>
        <v>47</v>
      </c>
      <c r="BK1" s="108">
        <f t="shared" si="0"/>
        <v>48</v>
      </c>
      <c r="BL1" s="108">
        <f t="shared" si="0"/>
        <v>49</v>
      </c>
      <c r="BM1" s="108"/>
      <c r="BN1" s="108"/>
      <c r="BO1" s="108">
        <f>+BL1+1</f>
        <v>50</v>
      </c>
      <c r="BP1" s="108">
        <f t="shared" si="0"/>
        <v>51</v>
      </c>
      <c r="BQ1" s="108">
        <f t="shared" si="0"/>
        <v>52</v>
      </c>
      <c r="BR1" s="108">
        <f t="shared" si="0"/>
        <v>53</v>
      </c>
      <c r="BS1" s="108">
        <f t="shared" si="0"/>
        <v>54</v>
      </c>
      <c r="BT1" s="108">
        <f t="shared" si="0"/>
        <v>55</v>
      </c>
      <c r="BU1" s="108">
        <f t="shared" ref="BU1" si="4">+BT1+1</f>
        <v>56</v>
      </c>
    </row>
    <row r="2" spans="1:82" x14ac:dyDescent="0.2">
      <c r="G2" s="39"/>
      <c r="H2" s="39"/>
      <c r="I2" s="39"/>
      <c r="J2" s="39"/>
      <c r="V2" s="54"/>
      <c r="Z2" s="44"/>
      <c r="AT2" s="3"/>
    </row>
    <row r="3" spans="1:82" x14ac:dyDescent="0.2">
      <c r="H3" s="159"/>
      <c r="I3" s="3"/>
      <c r="J3" s="3"/>
      <c r="P3" s="3"/>
      <c r="S3" s="3"/>
      <c r="V3" s="7"/>
      <c r="AT3" s="7"/>
    </row>
    <row r="4" spans="1:82" x14ac:dyDescent="0.2">
      <c r="AE4" t="s">
        <v>866</v>
      </c>
    </row>
    <row r="5" spans="1:82" x14ac:dyDescent="0.2">
      <c r="AR5" s="3"/>
      <c r="AS5" s="3"/>
    </row>
    <row r="6" spans="1:82" x14ac:dyDescent="0.2">
      <c r="I6" s="187" t="s">
        <v>774</v>
      </c>
      <c r="J6" s="187" t="s">
        <v>774</v>
      </c>
      <c r="L6" s="3">
        <f>+I8-L8</f>
        <v>8226343.8070734767</v>
      </c>
      <c r="M6" s="159"/>
      <c r="N6" s="159"/>
      <c r="O6" s="159"/>
      <c r="Q6" s="159"/>
      <c r="R6" s="7"/>
      <c r="AF6" s="3"/>
      <c r="AJ6" s="3"/>
      <c r="AR6" s="3"/>
      <c r="AS6" s="3"/>
      <c r="AU6" s="159" t="s">
        <v>774</v>
      </c>
    </row>
    <row r="7" spans="1:82" x14ac:dyDescent="0.2">
      <c r="I7" s="46" t="s">
        <v>140</v>
      </c>
      <c r="K7" s="187" t="s">
        <v>774</v>
      </c>
      <c r="L7" s="40">
        <f>+L8/I8</f>
        <v>0.47599761673130475</v>
      </c>
      <c r="M7" s="187" t="s">
        <v>774</v>
      </c>
      <c r="N7" s="187" t="s">
        <v>774</v>
      </c>
      <c r="O7" s="187" t="s">
        <v>774</v>
      </c>
      <c r="P7" s="77"/>
      <c r="Q7" s="187" t="s">
        <v>774</v>
      </c>
      <c r="V7" s="3"/>
      <c r="X7" s="3"/>
      <c r="AD7" s="187" t="s">
        <v>774</v>
      </c>
      <c r="AE7" s="7"/>
      <c r="AF7" s="7"/>
      <c r="AG7" s="3"/>
      <c r="AJ7" s="3"/>
      <c r="AK7" s="3"/>
      <c r="AL7" s="3"/>
      <c r="AM7" s="3"/>
      <c r="AN7" s="3"/>
      <c r="AO7" s="3"/>
      <c r="AP7" s="3"/>
      <c r="AQ7" s="3"/>
      <c r="AR7" s="3"/>
      <c r="AS7" s="3"/>
    </row>
    <row r="8" spans="1:82" ht="17" thickBot="1" x14ac:dyDescent="0.25">
      <c r="I8" s="7">
        <f>SUBTOTAL(9,I10:I327 )</f>
        <v>15699058</v>
      </c>
      <c r="J8" s="7">
        <f>SUBTOTAL(9,J10:J327)</f>
        <v>10460781</v>
      </c>
      <c r="K8" s="16"/>
      <c r="L8" s="16">
        <f>SUBTOTAL(9,Tabla14[Producción disponible])</f>
        <v>7472714.1929265233</v>
      </c>
      <c r="M8" s="16">
        <f>SUBTOTAL(9,Tabla14[Stock al día])</f>
        <v>8329379.8189999983</v>
      </c>
      <c r="N8" s="16">
        <f>SUBTOTAL(9,Tabla14[Por producir mes N] )</f>
        <v>3715424.6023777234</v>
      </c>
      <c r="O8" s="16">
        <f>SUBTOTAL(9,Tabla14[Producción por despachar mes N] )</f>
        <v>343460</v>
      </c>
      <c r="P8" s="16">
        <f>SUBTOTAL(9,Tabla14[Total disponible])</f>
        <v>18802516.154066484</v>
      </c>
      <c r="Q8" s="16">
        <f>SUBTOTAL(9,Tabla14[Delay])</f>
        <v>10436531.600000001</v>
      </c>
      <c r="R8" s="16">
        <f>SUBTOTAL(101,Tabla14[Vol. prom. Por contenedor])</f>
        <v>18219.823781526979</v>
      </c>
      <c r="S8" s="16">
        <f>SUBTOTAL(9,Tabla14[Atraso a facturar])</f>
        <v>8835452.1904761903</v>
      </c>
      <c r="T8" s="16">
        <f>SUBTOTAL(9,Tabla14[Ajuste atraso])</f>
        <v>-1679962</v>
      </c>
      <c r="U8" s="16">
        <f>SUBTOTAL(9,Tabla14[Facturación atraso])</f>
        <v>7155490.1904761903</v>
      </c>
      <c r="V8" s="16">
        <f>SUBTOTAL(9,Tabla14[Producción para venta nueva])</f>
        <v>11647025.963590277</v>
      </c>
      <c r="W8" s="16">
        <f>SUBTOTAL(9,Tabla14[Venta del mes])</f>
        <v>4884206.2400147859</v>
      </c>
      <c r="X8" s="16">
        <f>SUBTOTAL(9,Tabla14[Ajuste venta nueva])</f>
        <v>-2416786</v>
      </c>
      <c r="Y8" s="16">
        <f>SUBTOTAL(9,Tabla14[Facturación Venta nueva])</f>
        <v>2467420.2400147864</v>
      </c>
      <c r="Z8" s="16">
        <f>SUBTOTAL(9,Tabla14[Saldo Volumen disponible])</f>
        <v>9179605.7235754915</v>
      </c>
      <c r="AA8" s="16">
        <f>SUBTOTAL(9,Tabla14[Disponible stock sin venta])</f>
        <v>340071.42857142858</v>
      </c>
      <c r="AB8" s="16">
        <f>SUBTOTAL(9,Tabla14[Ajuste stock sin venta])</f>
        <v>-137071</v>
      </c>
      <c r="AC8" s="16">
        <f>SUBTOTAL(9,Tabla14[Facturación stock])</f>
        <v>203000.42857142858</v>
      </c>
      <c r="AD8" s="16">
        <f>SUBTOTAL(9,Tabla14[En puerto a facturar])</f>
        <v>1672898.7419999999</v>
      </c>
      <c r="AE8" s="16">
        <f>SUBTOTAL(9,Tabla14[Plan Irrestricto Inicial])</f>
        <v>15732627.601062404</v>
      </c>
      <c r="AF8" s="16">
        <f>SUBTOTAL(9,Tabla14[Plan Irrestricto (DATO)])</f>
        <v>14197667.863265388</v>
      </c>
      <c r="AG8" s="16">
        <f>SUBTOTAL(9,Tabla14[[Puerto ]])</f>
        <v>1672898.7419999999</v>
      </c>
      <c r="AH8" s="16">
        <f>SUBTOTAL(9,Tabla14[Atraso])</f>
        <v>7155490.1904761903</v>
      </c>
      <c r="AI8" s="16">
        <f>SUBTOTAL(9,Tabla14[Venta nueva])</f>
        <v>5369278.9307891959</v>
      </c>
      <c r="AJ8" s="16">
        <f>SUBTOTAL(9,Tabla14[Plan Ajustado])</f>
        <v>11498809.60106241</v>
      </c>
      <c r="AK8" s="16">
        <f>SUBTOTAL(9,Tabla14[[ Atraso ajustado]])</f>
        <v>7155490.1904761903</v>
      </c>
      <c r="AL8" s="16">
        <f>SUBTOTAL(9,Tabla14[Venta nueva Ajustado])</f>
        <v>2670420.668586215</v>
      </c>
      <c r="AM8" s="16"/>
      <c r="AN8" s="16"/>
      <c r="AO8" s="16"/>
      <c r="AP8" s="16">
        <f>SUBTOTAL(9,Tabla14[Necesidad])</f>
        <v>9825910.8590624072</v>
      </c>
      <c r="AQ8" s="16">
        <f>SUBTOTAL(9,Tabla14[Stock Plan])</f>
        <v>5612619.1854897961</v>
      </c>
      <c r="AR8" s="16">
        <f>SUBTOTAL(9,Tabla14[Producción nueva])</f>
        <v>4213291.6735726092</v>
      </c>
      <c r="AS8" s="16"/>
      <c r="AT8" s="47" t="s">
        <v>140</v>
      </c>
      <c r="AU8" s="16"/>
      <c r="AV8" s="16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199" t="s">
        <v>689</v>
      </c>
      <c r="BH8" s="199"/>
      <c r="BI8" s="199"/>
      <c r="BJ8" s="199"/>
      <c r="BK8" s="199"/>
      <c r="BL8" s="199"/>
      <c r="BM8" s="186"/>
      <c r="BN8" s="186"/>
      <c r="BO8" s="200" t="s">
        <v>690</v>
      </c>
      <c r="BP8" s="200"/>
      <c r="BQ8" s="200"/>
      <c r="BR8" s="200"/>
      <c r="BS8" s="200"/>
      <c r="BT8" s="200"/>
      <c r="BV8" s="7">
        <f>SUBTOTAL(9,Tabla14[Saldo mes n-1])</f>
        <v>17405949.530648973</v>
      </c>
      <c r="BW8" s="7">
        <f>SUBTOTAL(9,Tabla14[Asignación mes n+1])</f>
        <v>10783707.262770003</v>
      </c>
      <c r="BX8" s="7">
        <f>SUBTOTAL(9,Tabla14[Ponderación mes n+1])</f>
        <v>5504944.0665619774</v>
      </c>
      <c r="BY8" s="7">
        <f>SUBTOTAL(9,Tabla14[Irrstricto mes n+1])</f>
        <v>22910893.597210951</v>
      </c>
      <c r="BZ8" s="7">
        <f>SUBTOTAL(9,Tabla14[Saldo mes n+2])</f>
        <v>5278763.1962080253</v>
      </c>
      <c r="CA8" s="7">
        <f>SUBTOTAL(9,Tabla14[Asignación mes n+2])</f>
        <v>12239694.82322</v>
      </c>
      <c r="CB8" s="7">
        <f>SUBTOTAL(9,Tabla14[Ponderación mes n+2])</f>
        <v>6166581.5171359126</v>
      </c>
      <c r="CC8" s="7">
        <f>SUBTOTAL(9,Tabla14[Irrstricto mes n+2])</f>
        <v>11445344.713343931</v>
      </c>
      <c r="CD8" s="7">
        <f>SUBTOTAL(9,Tabla14[Saldo mes n+3])</f>
        <v>6073113.306084088</v>
      </c>
    </row>
    <row r="9" spans="1:82" ht="34" customHeight="1" thickBot="1" x14ac:dyDescent="0.25">
      <c r="A9" t="s">
        <v>627</v>
      </c>
      <c r="B9" s="2" t="s">
        <v>330</v>
      </c>
      <c r="C9" s="2" t="s">
        <v>0</v>
      </c>
      <c r="D9" s="2" t="s">
        <v>1</v>
      </c>
      <c r="E9" s="2" t="s">
        <v>4</v>
      </c>
      <c r="F9" s="2" t="s">
        <v>5</v>
      </c>
      <c r="G9" s="2" t="s">
        <v>2</v>
      </c>
      <c r="H9" s="2" t="s">
        <v>3</v>
      </c>
      <c r="I9" s="2" t="s">
        <v>335</v>
      </c>
      <c r="J9" s="2" t="s">
        <v>336</v>
      </c>
      <c r="K9" s="2" t="s">
        <v>331</v>
      </c>
      <c r="L9" s="2" t="s">
        <v>332</v>
      </c>
      <c r="M9" s="2" t="s">
        <v>333</v>
      </c>
      <c r="N9" s="2" t="s">
        <v>681</v>
      </c>
      <c r="O9" s="2" t="s">
        <v>338</v>
      </c>
      <c r="P9" s="2" t="s">
        <v>339</v>
      </c>
      <c r="Q9" s="2" t="s">
        <v>340</v>
      </c>
      <c r="R9" s="2" t="s">
        <v>341</v>
      </c>
      <c r="S9" s="79" t="s">
        <v>342</v>
      </c>
      <c r="T9" s="79" t="s">
        <v>674</v>
      </c>
      <c r="U9" s="78" t="s">
        <v>676</v>
      </c>
      <c r="V9" s="2" t="s">
        <v>677</v>
      </c>
      <c r="W9" s="79" t="s">
        <v>344</v>
      </c>
      <c r="X9" s="79" t="s">
        <v>675</v>
      </c>
      <c r="Y9" s="78" t="s">
        <v>678</v>
      </c>
      <c r="Z9" s="42" t="s">
        <v>679</v>
      </c>
      <c r="AA9" s="79" t="s">
        <v>783</v>
      </c>
      <c r="AB9" s="79" t="s">
        <v>784</v>
      </c>
      <c r="AC9" s="78" t="s">
        <v>782</v>
      </c>
      <c r="AD9" s="78" t="s">
        <v>346</v>
      </c>
      <c r="AE9" s="74" t="s">
        <v>788</v>
      </c>
      <c r="AF9" s="74" t="s">
        <v>867</v>
      </c>
      <c r="AG9" s="102" t="s">
        <v>706</v>
      </c>
      <c r="AH9" s="102" t="s">
        <v>707</v>
      </c>
      <c r="AI9" s="102" t="s">
        <v>708</v>
      </c>
      <c r="AJ9" s="74" t="s">
        <v>680</v>
      </c>
      <c r="AK9" s="102" t="s">
        <v>709</v>
      </c>
      <c r="AL9" s="102" t="s">
        <v>710</v>
      </c>
      <c r="AM9" s="74" t="s">
        <v>691</v>
      </c>
      <c r="AN9" s="74" t="s">
        <v>806</v>
      </c>
      <c r="AO9" s="74" t="s">
        <v>766</v>
      </c>
      <c r="AP9" s="74" t="s">
        <v>768</v>
      </c>
      <c r="AQ9" s="74" t="s">
        <v>769</v>
      </c>
      <c r="AR9" s="74" t="s">
        <v>666</v>
      </c>
      <c r="AS9" s="74" t="s">
        <v>771</v>
      </c>
      <c r="AT9" s="4" t="s">
        <v>580</v>
      </c>
      <c r="AU9" s="4" t="s">
        <v>581</v>
      </c>
      <c r="AV9" s="4" t="s">
        <v>582</v>
      </c>
      <c r="AW9" s="4" t="s">
        <v>584</v>
      </c>
      <c r="AX9" s="4" t="s">
        <v>660</v>
      </c>
      <c r="AY9" s="4" t="s">
        <v>693</v>
      </c>
      <c r="AZ9" s="138" t="s">
        <v>750</v>
      </c>
      <c r="BA9" s="190" t="s">
        <v>751</v>
      </c>
      <c r="BB9" s="190" t="s">
        <v>908</v>
      </c>
      <c r="BC9" s="190" t="s">
        <v>909</v>
      </c>
      <c r="BD9" s="138" t="s">
        <v>752</v>
      </c>
      <c r="BE9" s="4" t="s">
        <v>749</v>
      </c>
      <c r="BF9" s="4" t="s">
        <v>792</v>
      </c>
      <c r="BG9" s="81" t="s">
        <v>414</v>
      </c>
      <c r="BH9" s="81" t="s">
        <v>415</v>
      </c>
      <c r="BI9" s="81" t="s">
        <v>416</v>
      </c>
      <c r="BJ9" s="81" t="s">
        <v>417</v>
      </c>
      <c r="BK9" s="81" t="s">
        <v>418</v>
      </c>
      <c r="BL9" s="81" t="s">
        <v>682</v>
      </c>
      <c r="BM9" s="81" t="s">
        <v>868</v>
      </c>
      <c r="BN9" s="81" t="s">
        <v>869</v>
      </c>
      <c r="BO9" s="21" t="s">
        <v>683</v>
      </c>
      <c r="BP9" s="21" t="s">
        <v>684</v>
      </c>
      <c r="BQ9" s="21" t="s">
        <v>685</v>
      </c>
      <c r="BR9" s="21" t="s">
        <v>686</v>
      </c>
      <c r="BS9" s="21" t="s">
        <v>687</v>
      </c>
      <c r="BT9" s="21" t="s">
        <v>688</v>
      </c>
      <c r="BU9" s="2" t="s">
        <v>626</v>
      </c>
      <c r="BV9" s="22" t="s">
        <v>786</v>
      </c>
      <c r="BW9" s="22" t="s">
        <v>918</v>
      </c>
      <c r="BX9" s="22" t="s">
        <v>919</v>
      </c>
      <c r="BY9" s="19" t="s">
        <v>920</v>
      </c>
      <c r="BZ9" s="22" t="s">
        <v>814</v>
      </c>
      <c r="CA9" s="4" t="s">
        <v>811</v>
      </c>
      <c r="CB9" s="4" t="s">
        <v>812</v>
      </c>
      <c r="CC9" s="19" t="s">
        <v>813</v>
      </c>
      <c r="CD9" s="22" t="s">
        <v>815</v>
      </c>
    </row>
    <row r="10" spans="1:82" ht="16" x14ac:dyDescent="0.2">
      <c r="A10">
        <v>1</v>
      </c>
      <c r="B10" t="str">
        <f>Tabla14[[#This Row],[Oficina]]&amp;Tabla14[[#This Row],[Material]]</f>
        <v>Agro Sudamerica1020017</v>
      </c>
      <c r="C10" t="s">
        <v>6</v>
      </c>
      <c r="D10" t="s">
        <v>17</v>
      </c>
      <c r="E10">
        <v>1020017</v>
      </c>
      <c r="F10" t="s">
        <v>20</v>
      </c>
      <c r="G10" t="s">
        <v>18</v>
      </c>
      <c r="H10" t="s">
        <v>19</v>
      </c>
      <c r="I10" s="7">
        <f>IFERROR(IF(Tabla14[[#This Row],[Oficina]]=$I$7,VLOOKUP(Tabla14[[#This Row],[Material]],'[6]RV Producción'!$Y:$AA,3,FALSE),VLOOKUP(Tabla14[[#This Row],[Llave]],'[6]RV Producción'!$C:$G,5,FALSE)),0)</f>
        <v>0</v>
      </c>
      <c r="J10" s="7">
        <f>IFERROR(IF(Tabla14[[#This Row],[Oficina]]=$I$7,VLOOKUP(Tabla14[[#This Row],[Llave]],'[7]Shangai (Tomas)'!$A:$F,6,FALSE),VLOOKUP(Tabla14[[#This Row],[Llave]],'[6]RV plan de ventas'!$A:$E,5,FALSE)),0)</f>
        <v>0</v>
      </c>
      <c r="K10" s="8">
        <f>IFERROR(VLOOKUP(Tabla14[[#This Row],[Sector]]&amp;Tabla14[[#This Row],[Oficina]],[8]Ponderación!$A$3:$G$22,7,FALSE),0)</f>
        <v>0.3545854356400317</v>
      </c>
      <c r="L10" s="7">
        <f>+Tabla14[[#This Row],[ RV Producción mes n+1]]*Tabla14[[#This Row],[% Uti. producción]]</f>
        <v>0</v>
      </c>
      <c r="M10" s="7">
        <f>IFERROR(VLOOKUP(Tabla14[[#This Row],[Material]],'[9]TD Stock'!$B:$C,2,FALSE),0)</f>
        <v>7463.3590000000004</v>
      </c>
      <c r="N10" s="7">
        <f>IFERROR(VLOOKUP(Tabla14[[#This Row],[Material]],'[10]Consolidado planificación'!$B:$C,2,FALSE),0)</f>
        <v>0</v>
      </c>
      <c r="O10" s="7">
        <f>IFERROR(VLOOKUP(Tabla14[[#This Row],[Llave]],[11]Hoja2!$D:$G,4,FALSE),0)</f>
        <v>0</v>
      </c>
      <c r="P10" s="14">
        <f>SUM(Tabla14[[#This Row],[Producción disponible]],Tabla14[[#This Row],[Stock al día]],(Tabla14[[#This Row],[Por producir mes N]]*0.9))-Tabla14[[#This Row],[Producción por despachar mes N]]</f>
        <v>7463.3590000000004</v>
      </c>
      <c r="Q10" s="7">
        <f>IFERROR(VLOOKUP(Tabla14[[#This Row],[Llave]],[9]DELAY!$A:$D,4,FALSE),0)</f>
        <v>0</v>
      </c>
      <c r="R10" s="9">
        <v>23000</v>
      </c>
      <c r="S10" s="5">
        <f t="shared" ref="S10:S73" si="5">IF(AND(P10&gt;Q10,Q10&gt;0),Q10,IF(AND(P10&lt;Q10,Q10&gt;0),(ROUNDDOWN(P10/R10,0)*R10),0))</f>
        <v>0</v>
      </c>
      <c r="T10" s="76">
        <v>0</v>
      </c>
      <c r="U10" s="5">
        <f>+Tabla14[[#This Row],[Atraso a facturar]]+Tabla14[[#This Row],[Ajuste atraso]]</f>
        <v>0</v>
      </c>
      <c r="V10" s="3">
        <f>+Tabla14[[#This Row],[Total disponible]]-Tabla14[[#This Row],[Facturación atraso]]</f>
        <v>7463.3590000000004</v>
      </c>
      <c r="W10" s="6">
        <f>IFERROR(IF(AND(V10&gt;R10,J10&gt;=R10),ROUNDDOWN((Tabla14[[#This Row],[Producción para venta nueva]])/R10,0)*R10,0),0)</f>
        <v>0</v>
      </c>
      <c r="X10" s="76">
        <v>0</v>
      </c>
      <c r="Y10" s="6">
        <f>IF(Tabla14[[#This Row],[Venta del mes]]&gt;0,Tabla14[[#This Row],[Venta del mes]]+Tabla14[[#This Row],[Ajuste venta nueva]],0)</f>
        <v>0</v>
      </c>
      <c r="Z10" s="6">
        <f>+Tabla14[[#This Row],[Producción para venta nueva]]-Tabla14[[#This Row],[Facturación Venta nueva]]</f>
        <v>7463.3590000000004</v>
      </c>
      <c r="AA10" s="6">
        <f>IF(AND(A10=1,Tabla14[[#This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" s="76">
        <v>0</v>
      </c>
      <c r="AC10" s="6">
        <f>IF(Tabla14[[#This Row],[Disponible stock sin venta]]&gt;0,Tabla14[[#This Row],[Disponible stock sin venta]]+Tabla14[[#This Row],[Ajuste stock sin venta]],0)</f>
        <v>0</v>
      </c>
      <c r="AD10" s="18">
        <f>IFERROR(VLOOKUP(Tabla14[[#This Row],[Llave]],[12]Hoja1!$A:$D,4,FALSE),0)</f>
        <v>4001.22</v>
      </c>
      <c r="AE1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4001.22</v>
      </c>
      <c r="AF10" s="3">
        <v>4001.22</v>
      </c>
      <c r="AG10" s="6">
        <f>+Tabla14[[#This Row],[En puerto a facturar]]</f>
        <v>4001.22</v>
      </c>
      <c r="AH10" s="6">
        <f>+Tabla14[[#This Row],[Facturación atraso]]</f>
        <v>0</v>
      </c>
      <c r="AI10" s="6">
        <f>+Tabla14[[#This Row],[Plan Irrestricto (DATO)]]-Tabla14[[#This Row],[Puerto ]]-Tabla14[[#This Row],[Atraso]]</f>
        <v>0</v>
      </c>
      <c r="AJ10" s="6">
        <f>IF(Tabla14[[#This Row],[Plan Irrestricto (DATO)]]&gt;0,SUM(Tabla14[[#This Row],[Facturación atraso]],Tabla14[[#This Row],[Facturación Venta nueva]],Tabla14[[#This Row],[Facturación stock]],Tabla14[[#This Row],[En puerto a facturar]]),0)</f>
        <v>4001.22</v>
      </c>
      <c r="AK10" s="6">
        <f>+Tabla14[[#This Row],[Facturación atraso]]</f>
        <v>0</v>
      </c>
      <c r="AL10" s="6">
        <f>Tabla14[[#This Row],[Plan Ajustado]]-Tabla14[[#This Row],[ Atraso ajustado]]-Tabla14[[#This Row],[En puerto a facturar]]</f>
        <v>0</v>
      </c>
      <c r="AM10" s="76">
        <v>0</v>
      </c>
      <c r="AN10" s="76" t="s">
        <v>883</v>
      </c>
      <c r="AO10" s="6" t="str">
        <f>IF(Tabla14[[#This Row],[Plan Ajustado]]&gt;Tabla14[[#This Row],[En puerto a facturar]],"Si","No")</f>
        <v>No</v>
      </c>
      <c r="AP10" s="6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0" s="6">
        <f>IF(Tabla14[[#This Row],[Necesidad]]&gt;=Tabla14[[#This Row],[Stock al día]],Tabla14[[#This Row],[Stock al día]],Tabla14[[#This Row],[Necesidad]])</f>
        <v>0</v>
      </c>
      <c r="AR10" s="6">
        <f>+Tabla14[[#This Row],[Necesidad]]-Tabla14[[#This Row],[Stock Plan]]</f>
        <v>0</v>
      </c>
      <c r="AS10" s="155">
        <f>VLOOKUP(Tabla14[[#This Row],[Sector]]&amp;Tabla14[[#This Row],[Oficina]],[8]Ponderación!$A:$H,8,FALSE)</f>
        <v>44813</v>
      </c>
      <c r="AT10" s="30">
        <f>IFERROR(VLOOKUP(Tabla14[[#This Row],[Llave]],'[6]RV plan de ventas'!$A:$F,6,FALSE),0)</f>
        <v>0</v>
      </c>
      <c r="AU10" s="83">
        <f>IFERROR(VLOOKUP(Tabla14[[#This Row],[Llave]],[9]DELAY!$H:$X,17,FALSE),0)</f>
        <v>0</v>
      </c>
      <c r="AV1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0" s="5">
        <f>Tabla14[[#This Row],[Pecio plan]]*Tabla14[[#This Row],[Plan Ajustado]]</f>
        <v>9682.9524000000001</v>
      </c>
      <c r="AX10" s="30">
        <f>IFERROR(VLOOKUP(Tabla14[[#This Row],[Llave]],'[13]Ultimos precios facturados'!$A:$G,7,FALSE),0)</f>
        <v>2.7713806580000813</v>
      </c>
      <c r="AY1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0" s="30">
        <f>IFERROR(VLOOKUP(Tabla14[[#This Row],[Llave]],Hoja2!B:K,10,FALSE),0)</f>
        <v>0</v>
      </c>
      <c r="BA1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2.7713806580000813</v>
      </c>
      <c r="BB10" s="30">
        <v>2.4200000000000004</v>
      </c>
      <c r="BC10" s="30">
        <f>IF(Tabla14[[#This Row],[Market]]=0,Tabla14[[#This Row],[Precio Final]],Tabla14[[#This Row],[Market]])</f>
        <v>2.4200000000000004</v>
      </c>
      <c r="BD10" s="82"/>
      <c r="BE10" s="82" t="str">
        <f>IF(AND(Tabla14[[#This Row],[Atraso a facturar]]&gt;0,Tabla14[[#This Row],[En puerto a facturar]]&gt;0,Tabla14[[#This Row],[Precio Atraso]]=0),"Revisar","OK")</f>
        <v>OK</v>
      </c>
      <c r="BF10" s="82" t="str">
        <f>IF(AND(Tabla14[[#This Row],[Venta del mes]]&gt;0,Tabla14[[#This Row],[Precio venta nueva]]=0),"Revisar","OK")</f>
        <v>OK</v>
      </c>
      <c r="BG10" s="20">
        <f>IFERROR(VLOOKUP(Tabla14[[#This Row],[Llave]],'[5]Consolidación planes'!$A:$M,9,FALSE),0)</f>
        <v>192000</v>
      </c>
      <c r="BH10" s="20">
        <f>IFERROR(VLOOKUP(Tabla14[[#This Row],[Llave]],'[5]Consolidación planes'!$A:$M,10,FALSE),0)</f>
        <v>108000</v>
      </c>
      <c r="BI10" s="20">
        <f>IFERROR(VLOOKUP(Tabla14[[#This Row],[Llave]],'[5]Consolidación planes'!$A:$M,11,FALSE),0)</f>
        <v>132000</v>
      </c>
      <c r="BJ10" s="20">
        <f>IFERROR(VLOOKUP(Tabla14[[#This Row],[Llave]],'[5]Consolidación planes'!$A:$M,12,FALSE),0)</f>
        <v>96000</v>
      </c>
      <c r="BK10" s="20">
        <f>IFERROR(VLOOKUP(Tabla14[[#This Row],[Llave]],'[5]Consolidación planes'!$A:$M,13,FALSE),0)</f>
        <v>37000</v>
      </c>
      <c r="BL10" s="20">
        <f>IFERROR(VLOOKUP(Tabla14[[#This Row],[Llave]],'[13]Base ultimos planes'!$A:$M,13,FALSE),0)</f>
        <v>0</v>
      </c>
      <c r="BM10" s="20">
        <f>IFERROR(VLOOKUP(Tabla14[[#This Row],[Llave]],'[13]Cruce plan irrestricto'!$C:$M,10,FALSE),0)</f>
        <v>0</v>
      </c>
      <c r="BN10" s="20">
        <f>IFERROR(VLOOKUP(Tabla14[[#This Row],[Llave]],'[13]Cruce plan irrestricto'!$C:$M,11,FALSE),0)</f>
        <v>0</v>
      </c>
      <c r="BO10" s="80">
        <f>IFERROR(VLOOKUP(Tabla14[[#This Row],[Llave]],'[13]Base ultimos planes'!$O:$AA,8,FALSE),0)</f>
        <v>518400</v>
      </c>
      <c r="BP10" s="80">
        <f>IFERROR(VLOOKUP(Tabla14[[#This Row],[Llave]],'[13]Base ultimos planes'!$O:$AA,9,FALSE),0)</f>
        <v>287900</v>
      </c>
      <c r="BQ10" s="80">
        <f>IFERROR(VLOOKUP(Tabla14[[#This Row],[Llave]],'[13]Base ultimos planes'!$O:$AA,10,FALSE),0)</f>
        <v>363120</v>
      </c>
      <c r="BR10" s="80">
        <f>IFERROR(VLOOKUP(Tabla14[[#This Row],[Llave]],'[13]Base ultimos planes'!$O:$AA,11,FALSE),0)</f>
        <v>267600</v>
      </c>
      <c r="BS10" s="80">
        <f>IFERROR(VLOOKUP(Tabla14[[#This Row],[Llave]],'[13]Base ultimos planes'!$O:$AA,12,FALSE),0)</f>
        <v>105190</v>
      </c>
      <c r="BT10" s="80">
        <f>IFERROR(VLOOKUP(Tabla14[[#This Row],[Llave]],'[13]Base ultimos planes'!$O:$AA,13,FALSE),0)</f>
        <v>0</v>
      </c>
      <c r="BU10" s="20"/>
      <c r="BV10" s="20">
        <f>Tabla14[[#This Row],[ RV Producción mes n+1]]-Tabla14[[#This Row],[Producción disponible]]+Tabla14[[#This Row],[Saldo Volumen disponible]]</f>
        <v>7463.3590000000004</v>
      </c>
      <c r="BW10" s="20">
        <f>IFERROR(VLOOKUP(Tabla14[[#This Row],[Llave]],[14]Hoja2!$J:$N,4,FALSE),0)</f>
        <v>192000</v>
      </c>
      <c r="BX10" s="20">
        <f>+Tabla14[[#This Row],[Asignación mes n+1]]*Tabla14[[#This Row],[% Uti. producción]]</f>
        <v>68080.403642886085</v>
      </c>
      <c r="BY10" s="20">
        <f>+Tabla14[[#This Row],[Ponderación mes n+1]]+Tabla14[[#This Row],[Saldo mes n-1]]</f>
        <v>75543.762642886082</v>
      </c>
      <c r="BZ10" s="20">
        <f>+Tabla14[[#This Row],[Asignación mes n+1]]-Tabla14[[#This Row],[Ponderación mes n+1]]</f>
        <v>123919.59635711391</v>
      </c>
      <c r="CA10" s="20">
        <f>IFERROR(VLOOKUP(Tabla14[[#This Row],[Llave]],[14]Hoja2!$J:$N,5,FALSE),0)</f>
        <v>192000.00074000002</v>
      </c>
      <c r="CB10" s="20">
        <f>+Tabla14[[#This Row],[Asignación mes n+2]]*Tabla14[[#This Row],[% Uti. producción]]</f>
        <v>68080.403905279309</v>
      </c>
      <c r="CC10" s="20">
        <f>+Tabla14[[#This Row],[Saldo mes n+2]]+Tabla14[[#This Row],[Ponderación mes n+2]]</f>
        <v>192000.00026239321</v>
      </c>
      <c r="CD10" s="20">
        <f>+Tabla14[[#This Row],[Asignación mes n+2]]-Tabla14[[#This Row],[Ponderación mes n+2]]</f>
        <v>123919.59683472071</v>
      </c>
    </row>
    <row r="11" spans="1:82" ht="16" x14ac:dyDescent="0.2">
      <c r="A11">
        <v>1</v>
      </c>
      <c r="B11" t="str">
        <f>Tabla14[[#This Row],[Oficina]]&amp;Tabla14[[#This Row],[Material]]</f>
        <v>Agro Sudamerica1021279</v>
      </c>
      <c r="C11" t="s">
        <v>6</v>
      </c>
      <c r="D11" t="s">
        <v>17</v>
      </c>
      <c r="E11">
        <v>1021279</v>
      </c>
      <c r="F11" t="s">
        <v>671</v>
      </c>
      <c r="G11" t="s">
        <v>92</v>
      </c>
      <c r="H11" t="s">
        <v>93</v>
      </c>
      <c r="I11" s="7">
        <f>IFERROR(IF(Tabla14[[#This Row],[Oficina]]=$I$7,VLOOKUP(Tabla14[[#This Row],[Material]],'[6]RV Producción'!$Y:$AA,3,FALSE),VLOOKUP(Tabla14[[#This Row],[Llave]],'[6]RV Producción'!$C:$G,5,FALSE)),0)</f>
        <v>869</v>
      </c>
      <c r="J11" s="7">
        <f>IFERROR(IF(Tabla14[[#This Row],[Oficina]]=$I$7,VLOOKUP(Tabla14[[#This Row],[Llave]],'[7]Shangai (Tomas)'!$A:$F,6,FALSE),VLOOKUP(Tabla14[[#This Row],[Llave]],'[6]RV plan de ventas'!$A:$E,5,FALSE)),0)</f>
        <v>0</v>
      </c>
      <c r="K11" s="8">
        <f>IFERROR(VLOOKUP(Tabla14[[#This Row],[Sector]]&amp;Tabla14[[#This Row],[Oficina]],[8]Ponderación!$A$3:$G$22,7,FALSE),0)</f>
        <v>0.3545854356400317</v>
      </c>
      <c r="L11" s="7">
        <f>+Tabla14[[#This Row],[ RV Producción mes n+1]]*Tabla14[[#This Row],[% Uti. producción]]</f>
        <v>308.13474357118753</v>
      </c>
      <c r="M11" s="7">
        <f>IFERROR(VLOOKUP(Tabla14[[#This Row],[Material]],'[9]TD Stock'!$B:$C,2,FALSE),0)</f>
        <v>28052.41</v>
      </c>
      <c r="N11" s="7">
        <f>IFERROR(VLOOKUP(Tabla14[[#This Row],[Material]],'[10]Consolidado planificación'!$B:$C,2,FALSE),0)</f>
        <v>9064.5</v>
      </c>
      <c r="O11" s="7">
        <f>IFERROR(VLOOKUP(Tabla14[[#This Row],[Llave]],[11]Hoja2!$D:$G,4,FALSE),0)</f>
        <v>0</v>
      </c>
      <c r="P11" s="213">
        <f>SUM(Tabla14[[#This Row],[Producción disponible]],Tabla14[[#This Row],[Stock al día]],(Tabla14[[#This Row],[Por producir mes N]]*0.9))-Tabla14[[#This Row],[Producción por despachar mes N]]</f>
        <v>36518.594743571186</v>
      </c>
      <c r="Q11" s="214">
        <f>IFERROR(VLOOKUP(Tabla14[[#This Row],[Llave]],[9]DELAY!$A:$D,4,FALSE),0)</f>
        <v>48000</v>
      </c>
      <c r="R11" s="215">
        <v>23000</v>
      </c>
      <c r="S11" s="216">
        <f>IF(AND(P11&gt;Q11,Q11&gt;0),Q11,IF(AND(P11&lt;Q11,Q11&gt;0),(ROUNDDOWN(P11/R11,0)*R11),0))</f>
        <v>23000</v>
      </c>
      <c r="T11" s="76">
        <v>0</v>
      </c>
      <c r="U11" s="5">
        <f>+Tabla14[[#This Row],[Atraso a facturar]]+Tabla14[[#This Row],[Ajuste atraso]]</f>
        <v>23000</v>
      </c>
      <c r="V11" s="3">
        <f>+Tabla14[[#This Row],[Total disponible]]-Tabla14[[#This Row],[Facturación atraso]]</f>
        <v>13518.594743571186</v>
      </c>
      <c r="W11" s="6">
        <f>IFERROR(IF(AND(V11&gt;R11,J11&gt;=R11),ROUNDDOWN((Tabla14[[#This Row],[Producción para venta nueva]])/R11,0)*R11,0),0)</f>
        <v>0</v>
      </c>
      <c r="X11" s="76">
        <v>0</v>
      </c>
      <c r="Y11" s="6">
        <f>IF(Tabla14[[#This Row],[Venta del mes]]&gt;0,Tabla14[[#This Row],[Venta del mes]]+Tabla14[[#This Row],[Ajuste venta nueva]],0)</f>
        <v>0</v>
      </c>
      <c r="Z11" s="6">
        <f>+Tabla14[[#This Row],[Producción para venta nueva]]-Tabla14[[#This Row],[Facturación Venta nueva]]</f>
        <v>13518.594743571186</v>
      </c>
      <c r="AA11" s="6">
        <f>IF(AND(A11=1,Tabla14[[#This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" s="6">
        <v>0</v>
      </c>
      <c r="AC11" s="6">
        <f>IF(Tabla14[[#This Row],[Disponible stock sin venta]]&gt;0,Tabla14[[#This Row],[Disponible stock sin venta]]+Tabla14[[#This Row],[Ajuste stock sin venta]],0)</f>
        <v>0</v>
      </c>
      <c r="AD11" s="3">
        <f>IFERROR(VLOOKUP(Tabla14[[#This Row],[Llave]],[12]Hoja1!$A:$D,4,FALSE),0)</f>
        <v>0</v>
      </c>
      <c r="AE1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11" s="3">
        <v>23000</v>
      </c>
      <c r="AG11" s="3">
        <f>+Tabla14[[#This Row],[En puerto a facturar]]</f>
        <v>0</v>
      </c>
      <c r="AH11" s="3">
        <f>+Tabla14[[#This Row],[Facturación atraso]]</f>
        <v>23000</v>
      </c>
      <c r="AI11" s="3">
        <f>+Tabla14[[#This Row],[Plan Irrestricto (DATO)]]-Tabla14[[#This Row],[Puerto ]]-Tabla14[[#This Row],[Atraso]]</f>
        <v>0</v>
      </c>
      <c r="AJ11" s="6">
        <f>IF(Tabla14[[#This Row],[Plan Irrestricto (DATO)]]&gt;0,SUM(Tabla14[[#This Row],[Facturación atraso]],Tabla14[[#This Row],[Facturación Venta nueva]],Tabla14[[#This Row],[Facturación stock]],Tabla14[[#This Row],[En puerto a facturar]]),0)</f>
        <v>23000</v>
      </c>
      <c r="AK11" s="3">
        <f>+Tabla14[[#This Row],[Facturación atraso]]</f>
        <v>23000</v>
      </c>
      <c r="AL11" s="3">
        <f>Tabla14[[#This Row],[Plan Ajustado]]-Tabla14[[#This Row],[ Atraso ajustado]]-Tabla14[[#This Row],[En puerto a facturar]]</f>
        <v>0</v>
      </c>
      <c r="AM11" s="3">
        <v>0</v>
      </c>
      <c r="AN11" s="3" t="s">
        <v>636</v>
      </c>
      <c r="AO11" s="3" t="str">
        <f>IF(Tabla14[[#This Row],[Plan Ajustado]]&gt;Tabla14[[#This Row],[En puerto a facturar]],"Si","No")</f>
        <v>Si</v>
      </c>
      <c r="AP11" s="3">
        <f>IF(AND(Tabla14[[#This Row],[Plan Ajustado]]&gt;0,Tabla14[[#This Row],[Plan Ajustado]]&gt;Tabla14[[#This Row],[En puerto a facturar]]),(Tabla14[[#This Row],[Plan Ajustado]]-Tabla14[[#This Row],[En puerto a facturar]]),0)</f>
        <v>23000</v>
      </c>
      <c r="AQ11" s="3">
        <f>IF(Tabla14[[#This Row],[Necesidad]]&gt;=Tabla14[[#This Row],[Stock al día]],Tabla14[[#This Row],[Stock al día]],Tabla14[[#This Row],[Necesidad]])</f>
        <v>23000</v>
      </c>
      <c r="AR11" s="3">
        <f>+Tabla14[[#This Row],[Necesidad]]-Tabla14[[#This Row],[Stock Plan]]</f>
        <v>0</v>
      </c>
      <c r="AS11" s="155">
        <f>VLOOKUP(Tabla14[[#This Row],[Sector]]&amp;Tabla14[[#This Row],[Oficina]],[8]Ponderación!$A:$H,8,FALSE)</f>
        <v>44813</v>
      </c>
      <c r="AT11" s="30">
        <f>IFERROR(VLOOKUP(Tabla14[[#This Row],[Llave]],'[6]RV plan de ventas'!$A:$F,6,FALSE),0)</f>
        <v>0</v>
      </c>
      <c r="AU11" s="83">
        <f>IFERROR(VLOOKUP(Tabla14[[#This Row],[Llave]],[9]DELAY!$H:$X,17,FALSE),0)</f>
        <v>1.7201041666666648</v>
      </c>
      <c r="AV1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1.7201041666666648</v>
      </c>
      <c r="AW11" s="5">
        <f>Tabla14[[#This Row],[Pecio plan]]*Tabla14[[#This Row],[Plan Ajustado]]</f>
        <v>30742.489800964271</v>
      </c>
      <c r="AX11" s="30">
        <f>IFERROR(VLOOKUP(Tabla14[[#This Row],[Llave]],'[13]Ultimos precios facturados'!$A:$G,7,FALSE),0)</f>
        <v>0</v>
      </c>
      <c r="AY1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1" s="30">
        <f>IFERROR(VLOOKUP(Tabla14[[#This Row],[Llave]],Hoja2!B:K,10,FALSE),0)</f>
        <v>1.2366666666666666</v>
      </c>
      <c r="BA1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1.7201041666666648</v>
      </c>
      <c r="BB11" s="30">
        <v>1.3366299913462727</v>
      </c>
      <c r="BC11" s="30">
        <f>IF(Tabla14[[#This Row],[Market]]=0,Tabla14[[#This Row],[Precio Final]],Tabla14[[#This Row],[Market]])</f>
        <v>1.3366299913462727</v>
      </c>
      <c r="BD11" s="82"/>
      <c r="BE11" s="82" t="str">
        <f>IF(AND(Tabla14[[#This Row],[Atraso a facturar]]&gt;0,Tabla14[[#This Row],[En puerto a facturar]]&gt;0,Tabla14[[#This Row],[Precio Atraso]]=0),"Revisar","OK")</f>
        <v>OK</v>
      </c>
      <c r="BF11" s="82" t="str">
        <f>IF(AND(Tabla14[[#This Row],[Venta del mes]]&gt;0,Tabla14[[#This Row],[Precio venta nueva]]=0),"Revisar","OK")</f>
        <v>OK</v>
      </c>
      <c r="BG11" s="20">
        <f>IFERROR(VLOOKUP(Tabla14[[#This Row],[Llave]],'[5]Consolidación planes'!$A:$M,9,FALSE),0)</f>
        <v>0</v>
      </c>
      <c r="BH11" s="20">
        <f>IFERROR(VLOOKUP(Tabla14[[#This Row],[Llave]],'[5]Consolidación planes'!$A:$M,10,FALSE),0)</f>
        <v>0</v>
      </c>
      <c r="BI11" s="20">
        <f>IFERROR(VLOOKUP(Tabla14[[#This Row],[Llave]],'[5]Consolidación planes'!$A:$M,11,FALSE),0)</f>
        <v>0</v>
      </c>
      <c r="BJ11" s="20">
        <f>IFERROR(VLOOKUP(Tabla14[[#This Row],[Llave]],'[5]Consolidación planes'!$A:$M,12,FALSE),0)</f>
        <v>0</v>
      </c>
      <c r="BK11" s="20">
        <f>IFERROR(VLOOKUP(Tabla14[[#This Row],[Llave]],'[5]Consolidación planes'!$A:$M,13,FALSE),0)</f>
        <v>0</v>
      </c>
      <c r="BL11" s="20">
        <f>IFERROR(VLOOKUP(Tabla14[[#This Row],[Llave]],'[13]Base ultimos planes'!$A:$M,13,FALSE),0)</f>
        <v>0</v>
      </c>
      <c r="BM11" s="20">
        <f>IFERROR(VLOOKUP(Tabla14[[#This Row],[Llave]],'[13]Cruce plan irrestricto'!$C:$M,10,FALSE),0)</f>
        <v>0</v>
      </c>
      <c r="BN11" s="20">
        <f>IFERROR(VLOOKUP(Tabla14[[#This Row],[Llave]],'[13]Cruce plan irrestricto'!$C:$M,11,FALSE),0)</f>
        <v>24000</v>
      </c>
      <c r="BO11" s="80">
        <f>IFERROR(VLOOKUP(Tabla14[[#This Row],[Llave]],'[13]Base ultimos planes'!$O:$AA,8,FALSE),0)</f>
        <v>0</v>
      </c>
      <c r="BP11" s="20">
        <f>IFERROR(VLOOKUP(Tabla14[[#This Row],[Llave]],'[13]Base ultimos planes'!$O:$AA,9,FALSE),0)</f>
        <v>0</v>
      </c>
      <c r="BQ11" s="20">
        <f>IFERROR(VLOOKUP(Tabla14[[#This Row],[Llave]],'[13]Base ultimos planes'!$O:$AA,10,FALSE),0)</f>
        <v>0</v>
      </c>
      <c r="BR11" s="20">
        <f>IFERROR(VLOOKUP(Tabla14[[#This Row],[Llave]],'[13]Base ultimos planes'!$O:$AA,11,FALSE),0)</f>
        <v>0</v>
      </c>
      <c r="BS11" s="20">
        <f>IFERROR(VLOOKUP(Tabla14[[#This Row],[Llave]],'[13]Base ultimos planes'!$O:$AA,12,FALSE),0)</f>
        <v>0</v>
      </c>
      <c r="BT11" s="20">
        <f>IFERROR(VLOOKUP(Tabla14[[#This Row],[Llave]],'[13]Base ultimos planes'!$O:$AA,13,FALSE),0)</f>
        <v>0</v>
      </c>
      <c r="BU11" s="20"/>
      <c r="BV11" s="20">
        <f>Tabla14[[#This Row],[ RV Producción mes n+1]]-Tabla14[[#This Row],[Producción disponible]]+Tabla14[[#This Row],[Saldo Volumen disponible]]</f>
        <v>14079.46</v>
      </c>
      <c r="BW11" s="20">
        <f>IFERROR(VLOOKUP(Tabla14[[#This Row],[Llave]],[14]Hoja2!$J:$N,4,FALSE),0)</f>
        <v>0</v>
      </c>
      <c r="BX11" s="20">
        <f>+Tabla14[[#This Row],[Asignación mes n+1]]*Tabla14[[#This Row],[% Uti. producción]]</f>
        <v>0</v>
      </c>
      <c r="BY11" s="20">
        <f>+Tabla14[[#This Row],[Ponderación mes n+1]]+Tabla14[[#This Row],[Saldo mes n-1]]</f>
        <v>14079.46</v>
      </c>
      <c r="BZ11" s="20">
        <f>+Tabla14[[#This Row],[Asignación mes n+1]]-Tabla14[[#This Row],[Ponderación mes n+1]]</f>
        <v>0</v>
      </c>
      <c r="CA11" s="20">
        <f>IFERROR(VLOOKUP(Tabla14[[#This Row],[Llave]],[14]Hoja2!$J:$N,5,FALSE),0)</f>
        <v>0</v>
      </c>
      <c r="CB11" s="20">
        <f>+Tabla14[[#This Row],[Asignación mes n+2]]*Tabla14[[#This Row],[% Uti. producción]]</f>
        <v>0</v>
      </c>
      <c r="CC11" s="20">
        <f>+Tabla14[[#This Row],[Saldo mes n+2]]+Tabla14[[#This Row],[Ponderación mes n+2]]</f>
        <v>0</v>
      </c>
      <c r="CD11" s="20">
        <f>+Tabla14[[#This Row],[Asignación mes n+2]]-Tabla14[[#This Row],[Ponderación mes n+2]]</f>
        <v>0</v>
      </c>
    </row>
    <row r="12" spans="1:82" ht="16" x14ac:dyDescent="0.2">
      <c r="A12">
        <v>1</v>
      </c>
      <c r="B12" t="str">
        <f>Tabla14[[#This Row],[Oficina]]&amp;Tabla14[[#This Row],[Material]]</f>
        <v>Agro Sudamerica1020339</v>
      </c>
      <c r="C12" t="s">
        <v>6</v>
      </c>
      <c r="D12" t="s">
        <v>17</v>
      </c>
      <c r="E12">
        <v>1020339</v>
      </c>
      <c r="F12" t="s">
        <v>49</v>
      </c>
      <c r="G12" t="s">
        <v>11</v>
      </c>
      <c r="H12" t="s">
        <v>15</v>
      </c>
      <c r="I12" s="7">
        <f>IFERROR(IF(Tabla14[[#This Row],[Oficina]]=$I$7,VLOOKUP(Tabla14[[#This Row],[Material]],'[6]RV Producción'!$Y:$AA,3,FALSE),VLOOKUP(Tabla14[[#This Row],[Llave]],'[6]RV Producción'!$C:$G,5,FALSE)),0)</f>
        <v>137834</v>
      </c>
      <c r="J12" s="7">
        <f>IFERROR(IF(Tabla14[[#This Row],[Oficina]]=$I$7,VLOOKUP(Tabla14[[#This Row],[Llave]],'[7]Shangai (Tomas)'!$A:$F,6,FALSE),VLOOKUP(Tabla14[[#This Row],[Llave]],'[6]RV plan de ventas'!$A:$E,5,FALSE)),0)</f>
        <v>96000</v>
      </c>
      <c r="K12" s="8">
        <f>IFERROR(VLOOKUP(Tabla14[[#This Row],[Sector]]&amp;Tabla14[[#This Row],[Oficina]],[8]Ponderación!$A$3:$G$22,7,FALSE),0)</f>
        <v>0.3545854356400317</v>
      </c>
      <c r="L12" s="7">
        <f>+Tabla14[[#This Row],[ RV Producción mes n+1]]*Tabla14[[#This Row],[% Uti. producción]]</f>
        <v>48873.928936008131</v>
      </c>
      <c r="M12" s="7">
        <f>IFERROR(VLOOKUP(Tabla14[[#This Row],[Material]],'[9]TD Stock'!$B:$C,2,FALSE),0)</f>
        <v>109538.932</v>
      </c>
      <c r="N12" s="7">
        <f>IFERROR(VLOOKUP(Tabla14[[#This Row],[Material]],'[10]Consolidado planificación'!$B:$C,2,FALSE),0)</f>
        <v>33293.324708693217</v>
      </c>
      <c r="O12" s="7">
        <f>IFERROR(VLOOKUP(Tabla14[[#This Row],[Llave]],[11]Hoja2!$D:$G,4,FALSE),0)</f>
        <v>24000</v>
      </c>
      <c r="P12" s="14">
        <f>SUM(Tabla14[[#This Row],[Producción disponible]],Tabla14[[#This Row],[Stock al día]],(Tabla14[[#This Row],[Por producir mes N]]*0.9))-Tabla14[[#This Row],[Producción por despachar mes N]]</f>
        <v>164376.85317383203</v>
      </c>
      <c r="Q12" s="7">
        <f>IFERROR(VLOOKUP(Tabla14[[#This Row],[Llave]],[9]DELAY!$A:$D,4,FALSE),0)</f>
        <v>24000</v>
      </c>
      <c r="R12" s="9">
        <v>23000</v>
      </c>
      <c r="S12" s="5">
        <f t="shared" si="5"/>
        <v>24000</v>
      </c>
      <c r="T12" s="76">
        <v>0</v>
      </c>
      <c r="U12" s="5">
        <f>+Tabla14[[#This Row],[Atraso a facturar]]+Tabla14[[#This Row],[Ajuste atraso]]</f>
        <v>24000</v>
      </c>
      <c r="V12" s="3">
        <f>+Tabla14[[#This Row],[Total disponible]]-Tabla14[[#This Row],[Facturación atraso]]</f>
        <v>140376.85317383203</v>
      </c>
      <c r="W12" s="6">
        <f>IFERROR(IF(AND(V12&gt;R12,J12&gt;=R12),ROUNDDOWN((Tabla14[[#This Row],[Producción para venta nueva]])/R12,0)*R12,0),0)</f>
        <v>138000</v>
      </c>
      <c r="X12" s="76">
        <v>-42000</v>
      </c>
      <c r="Y12" s="6">
        <f>IF(Tabla14[[#This Row],[Venta del mes]]&gt;0,Tabla14[[#This Row],[Venta del mes]]+Tabla14[[#This Row],[Ajuste venta nueva]],0)</f>
        <v>96000</v>
      </c>
      <c r="Z12" s="6">
        <f>+Tabla14[[#This Row],[Producción para venta nueva]]-Tabla14[[#This Row],[Facturación Venta nueva]]</f>
        <v>44376.853173832031</v>
      </c>
      <c r="AA12" s="6">
        <f>IF(AND(A12=1,Tabla14[[#This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" s="6">
        <v>0</v>
      </c>
      <c r="AC12" s="6">
        <f>IF(Tabla14[[#This Row],[Disponible stock sin venta]]&gt;0,Tabla14[[#This Row],[Disponible stock sin venta]]+Tabla14[[#This Row],[Ajuste stock sin venta]],0)</f>
        <v>0</v>
      </c>
      <c r="AD12" s="3">
        <f>IFERROR(VLOOKUP(Tabla14[[#This Row],[Llave]],[12]Hoja1!$A:$D,4,FALSE),0)</f>
        <v>2518.3200000000002</v>
      </c>
      <c r="AE1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164518.32</v>
      </c>
      <c r="AF12" s="3">
        <v>164518.32</v>
      </c>
      <c r="AG12" s="3">
        <f>+Tabla14[[#This Row],[En puerto a facturar]]</f>
        <v>2518.3200000000002</v>
      </c>
      <c r="AH12" s="3">
        <f>+Tabla14[[#This Row],[Facturación atraso]]</f>
        <v>24000</v>
      </c>
      <c r="AI12" s="3">
        <f>+Tabla14[[#This Row],[Plan Irrestricto (DATO)]]-Tabla14[[#This Row],[Puerto ]]-Tabla14[[#This Row],[Atraso]]</f>
        <v>138000</v>
      </c>
      <c r="AJ12" s="6">
        <f>IF(Tabla14[[#This Row],[Plan Irrestricto (DATO)]]&gt;0,SUM(Tabla14[[#This Row],[Facturación atraso]],Tabla14[[#This Row],[Facturación Venta nueva]],Tabla14[[#This Row],[Facturación stock]],Tabla14[[#This Row],[En puerto a facturar]]),0)</f>
        <v>122518.32</v>
      </c>
      <c r="AK12" s="3">
        <f>+Tabla14[[#This Row],[Facturación atraso]]</f>
        <v>24000</v>
      </c>
      <c r="AL12" s="3">
        <f>Tabla14[[#This Row],[Plan Ajustado]]-Tabla14[[#This Row],[ Atraso ajustado]]-Tabla14[[#This Row],[En puerto a facturar]]</f>
        <v>96000</v>
      </c>
      <c r="AM12" s="3">
        <v>0</v>
      </c>
      <c r="AN12" s="3" t="s">
        <v>884</v>
      </c>
      <c r="AO12" s="3" t="str">
        <f>IF(Tabla14[[#This Row],[Plan Ajustado]]&gt;Tabla14[[#This Row],[En puerto a facturar]],"Si","No")</f>
        <v>Si</v>
      </c>
      <c r="AP12" s="3">
        <f>IF(AND(Tabla14[[#This Row],[Plan Ajustado]]&gt;0,Tabla14[[#This Row],[Plan Ajustado]]&gt;Tabla14[[#This Row],[En puerto a facturar]]),(Tabla14[[#This Row],[Plan Ajustado]]-Tabla14[[#This Row],[En puerto a facturar]]),0)</f>
        <v>120000</v>
      </c>
      <c r="AQ12" s="3">
        <f>IF(Tabla14[[#This Row],[Necesidad]]&gt;=Tabla14[[#This Row],[Stock al día]],Tabla14[[#This Row],[Stock al día]],Tabla14[[#This Row],[Necesidad]])</f>
        <v>109538.932</v>
      </c>
      <c r="AR12" s="3">
        <f>+Tabla14[[#This Row],[Necesidad]]-Tabla14[[#This Row],[Stock Plan]]</f>
        <v>10461.067999999999</v>
      </c>
      <c r="AS12" s="155">
        <f>VLOOKUP(Tabla14[[#This Row],[Sector]]&amp;Tabla14[[#This Row],[Oficina]],[8]Ponderación!$A:$H,8,FALSE)</f>
        <v>44813</v>
      </c>
      <c r="AT12" s="30">
        <f>IFERROR(VLOOKUP(Tabla14[[#This Row],[Llave]],'[6]RV plan de ventas'!$A:$F,6,FALSE),0)</f>
        <v>1.68667708333333</v>
      </c>
      <c r="AU12" s="83">
        <f>IFERROR(VLOOKUP(Tabla14[[#This Row],[Llave]],[9]DELAY!$H:$X,17,FALSE),0)</f>
        <v>1.95</v>
      </c>
      <c r="AV1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1.743671672938379</v>
      </c>
      <c r="AW12" s="5">
        <f>Tabla14[[#This Row],[Pecio plan]]*Tabla14[[#This Row],[Plan Ajustado]]</f>
        <v>205676.228</v>
      </c>
      <c r="AX12" s="30">
        <f>IFERROR(VLOOKUP(Tabla14[[#This Row],[Llave]],'[13]Ultimos precios facturados'!$A:$G,7,FALSE),0)</f>
        <v>1.4936306219854043</v>
      </c>
      <c r="AY1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0.16740487726517572</v>
      </c>
      <c r="AZ12" s="30">
        <f>IFERROR(VLOOKUP(Tabla14[[#This Row],[Llave]],Hoja2!B:K,10,FALSE),0)</f>
        <v>1.4866666666666666</v>
      </c>
      <c r="BA1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1.743671672938379</v>
      </c>
      <c r="BB12" s="30">
        <v>1.6787385592619943</v>
      </c>
      <c r="BC12" s="30">
        <f>IF(Tabla14[[#This Row],[Market]]=0,Tabla14[[#This Row],[Precio Final]],Tabla14[[#This Row],[Market]])</f>
        <v>1.6787385592619943</v>
      </c>
      <c r="BD12" s="82"/>
      <c r="BE12" s="82" t="str">
        <f>IF(AND(Tabla14[[#This Row],[Atraso a facturar]]&gt;0,Tabla14[[#This Row],[En puerto a facturar]]&gt;0,Tabla14[[#This Row],[Precio Atraso]]=0),"Revisar","OK")</f>
        <v>OK</v>
      </c>
      <c r="BF12" s="82" t="str">
        <f>IF(AND(Tabla14[[#This Row],[Venta del mes]]&gt;0,Tabla14[[#This Row],[Precio venta nueva]]=0),"Revisar","OK")</f>
        <v>OK</v>
      </c>
      <c r="BG12" s="20">
        <f>IFERROR(VLOOKUP(Tabla14[[#This Row],[Llave]],'[5]Consolidación planes'!$A:$M,9,FALSE),0)</f>
        <v>34000</v>
      </c>
      <c r="BH12" s="20">
        <f>IFERROR(VLOOKUP(Tabla14[[#This Row],[Llave]],'[5]Consolidación planes'!$A:$M,10,FALSE),0)</f>
        <v>95000</v>
      </c>
      <c r="BI12" s="20">
        <f>IFERROR(VLOOKUP(Tabla14[[#This Row],[Llave]],'[5]Consolidación planes'!$A:$M,11,FALSE),0)</f>
        <v>85000</v>
      </c>
      <c r="BJ12" s="20">
        <f>IFERROR(VLOOKUP(Tabla14[[#This Row],[Llave]],'[5]Consolidación planes'!$A:$M,12,FALSE),0)</f>
        <v>98500</v>
      </c>
      <c r="BK12" s="20">
        <f>IFERROR(VLOOKUP(Tabla14[[#This Row],[Llave]],'[5]Consolidación planes'!$A:$M,13,FALSE),0)</f>
        <v>130881</v>
      </c>
      <c r="BL12" s="20">
        <f>IFERROR(VLOOKUP(Tabla14[[#This Row],[Llave]],'[13]Base ultimos planes'!$A:$M,13,FALSE),0)</f>
        <v>168000</v>
      </c>
      <c r="BM12" s="20">
        <f>IFERROR(VLOOKUP(Tabla14[[#This Row],[Llave]],'[13]Cruce plan irrestricto'!$C:$M,10,FALSE),0)</f>
        <v>48000</v>
      </c>
      <c r="BN12" s="20">
        <f>IFERROR(VLOOKUP(Tabla14[[#This Row],[Llave]],'[13]Cruce plan irrestricto'!$C:$M,11,FALSE),0)</f>
        <v>96000</v>
      </c>
      <c r="BO12" s="80">
        <f>IFERROR(VLOOKUP(Tabla14[[#This Row],[Llave]],'[13]Base ultimos planes'!$O:$AA,8,FALSE),0)</f>
        <v>54400</v>
      </c>
      <c r="BP12" s="20">
        <f>IFERROR(VLOOKUP(Tabla14[[#This Row],[Llave]],'[13]Base ultimos planes'!$O:$AA,9,FALSE),0)</f>
        <v>127400</v>
      </c>
      <c r="BQ12" s="20">
        <f>IFERROR(VLOOKUP(Tabla14[[#This Row],[Llave]],'[13]Base ultimos planes'!$O:$AA,10,FALSE),0)</f>
        <v>115793</v>
      </c>
      <c r="BR12" s="20">
        <f>IFERROR(VLOOKUP(Tabla14[[#This Row],[Llave]],'[13]Base ultimos planes'!$O:$AA,11,FALSE),0)</f>
        <v>135470</v>
      </c>
      <c r="BS12" s="20">
        <f>IFERROR(VLOOKUP(Tabla14[[#This Row],[Llave]],'[13]Base ultimos planes'!$O:$AA,12,FALSE),0)</f>
        <v>186971</v>
      </c>
      <c r="BT12" s="20">
        <f>IFERROR(VLOOKUP(Tabla14[[#This Row],[Llave]],'[13]Base ultimos planes'!$O:$AA,13,FALSE),0)</f>
        <v>263881</v>
      </c>
      <c r="BU12" s="20"/>
      <c r="BV12" s="20">
        <f>Tabla14[[#This Row],[ RV Producción mes n+1]]-Tabla14[[#This Row],[Producción disponible]]+Tabla14[[#This Row],[Saldo Volumen disponible]]</f>
        <v>133336.9242378239</v>
      </c>
      <c r="BW12" s="20">
        <f>IFERROR(VLOOKUP(Tabla14[[#This Row],[Llave]],[14]Hoja2!$J:$N,4,FALSE),0)</f>
        <v>120000.00020000001</v>
      </c>
      <c r="BX12" s="20">
        <f>+Tabla14[[#This Row],[Asignación mes n+1]]*Tabla14[[#This Row],[% Uti. producción]]</f>
        <v>42550.252347720896</v>
      </c>
      <c r="BY12" s="20">
        <f>+Tabla14[[#This Row],[Ponderación mes n+1]]+Tabla14[[#This Row],[Saldo mes n-1]]</f>
        <v>175887.1765855448</v>
      </c>
      <c r="BZ12" s="20">
        <f>+Tabla14[[#This Row],[Asignación mes n+1]]-Tabla14[[#This Row],[Ponderación mes n+1]]</f>
        <v>77449.747852279106</v>
      </c>
      <c r="CA12" s="20">
        <f>IFERROR(VLOOKUP(Tabla14[[#This Row],[Llave]],[14]Hoja2!$J:$N,5,FALSE),0)</f>
        <v>123191.02119999999</v>
      </c>
      <c r="CB12" s="20">
        <f>+Tabla14[[#This Row],[Asignación mes n+2]]*Tabla14[[#This Row],[% Uti. producción]]</f>
        <v>43681.741919142376</v>
      </c>
      <c r="CC12" s="20">
        <f>+Tabla14[[#This Row],[Saldo mes n+2]]+Tabla14[[#This Row],[Ponderación mes n+2]]</f>
        <v>121131.48977142147</v>
      </c>
      <c r="CD12" s="20">
        <f>+Tabla14[[#This Row],[Asignación mes n+2]]-Tabla14[[#This Row],[Ponderación mes n+2]]</f>
        <v>79509.27928085762</v>
      </c>
    </row>
    <row r="13" spans="1:82" ht="16" x14ac:dyDescent="0.2">
      <c r="A13">
        <v>1</v>
      </c>
      <c r="B13" t="str">
        <f>Tabla14[[#This Row],[Oficina]]&amp;Tabla14[[#This Row],[Material]]</f>
        <v>Agro Sudamerica1020349</v>
      </c>
      <c r="C13" t="s">
        <v>6</v>
      </c>
      <c r="D13" t="s">
        <v>17</v>
      </c>
      <c r="E13">
        <v>1020349</v>
      </c>
      <c r="F13" t="s">
        <v>69</v>
      </c>
      <c r="G13" t="s">
        <v>67</v>
      </c>
      <c r="H13" t="s">
        <v>68</v>
      </c>
      <c r="I13" s="7">
        <f>IFERROR(IF(Tabla14[[#This Row],[Oficina]]=$I$7,VLOOKUP(Tabla14[[#This Row],[Material]],'[6]RV Producción'!$Y:$AA,3,FALSE),VLOOKUP(Tabla14[[#This Row],[Llave]],'[6]RV Producción'!$C:$G,5,FALSE)),0)</f>
        <v>0</v>
      </c>
      <c r="J13" s="7">
        <f>IFERROR(IF(Tabla14[[#This Row],[Oficina]]=$I$7,VLOOKUP(Tabla14[[#This Row],[Llave]],'[7]Shangai (Tomas)'!$A:$F,6,FALSE),VLOOKUP(Tabla14[[#This Row],[Llave]],'[6]RV plan de ventas'!$A:$E,5,FALSE)),0)</f>
        <v>0</v>
      </c>
      <c r="K13" s="8">
        <f>IFERROR(VLOOKUP(Tabla14[[#This Row],[Sector]]&amp;Tabla14[[#This Row],[Oficina]],[8]Ponderación!$A$3:$G$22,7,FALSE),0)</f>
        <v>0.3545854356400317</v>
      </c>
      <c r="L13" s="7">
        <f>+Tabla14[[#This Row],[ RV Producción mes n+1]]*Tabla14[[#This Row],[% Uti. producción]]</f>
        <v>0</v>
      </c>
      <c r="M13" s="7">
        <f>IFERROR(VLOOKUP(Tabla14[[#This Row],[Material]],'[9]TD Stock'!$B:$C,2,FALSE),0)</f>
        <v>28922.355</v>
      </c>
      <c r="N13" s="7">
        <f>IFERROR(VLOOKUP(Tabla14[[#This Row],[Material]],'[10]Consolidado planificación'!$B:$C,2,FALSE),0)</f>
        <v>0</v>
      </c>
      <c r="O13" s="7">
        <f>IFERROR(VLOOKUP(Tabla14[[#This Row],[Llave]],[11]Hoja2!$D:$G,4,FALSE),0)</f>
        <v>0</v>
      </c>
      <c r="P13" s="14">
        <f>SUM(Tabla14[[#This Row],[Producción disponible]],Tabla14[[#This Row],[Stock al día]],(Tabla14[[#This Row],[Por producir mes N]]*0.9))-Tabla14[[#This Row],[Producción por despachar mes N]]</f>
        <v>28922.355</v>
      </c>
      <c r="Q13" s="7">
        <f>IFERROR(VLOOKUP(Tabla14[[#This Row],[Llave]],[9]DELAY!$A:$D,4,FALSE),0)</f>
        <v>24000</v>
      </c>
      <c r="R13" s="9">
        <v>23000</v>
      </c>
      <c r="S13" s="5">
        <f t="shared" si="5"/>
        <v>24000</v>
      </c>
      <c r="T13" s="76">
        <v>0</v>
      </c>
      <c r="U13" s="5">
        <f>+Tabla14[[#This Row],[Atraso a facturar]]+Tabla14[[#This Row],[Ajuste atraso]]</f>
        <v>24000</v>
      </c>
      <c r="V13" s="3">
        <f>+Tabla14[[#This Row],[Total disponible]]-Tabla14[[#This Row],[Facturación atraso]]</f>
        <v>4922.3549999999996</v>
      </c>
      <c r="W13" s="6">
        <f>IFERROR(IF(AND(V13&gt;R13,J13&gt;=R13),ROUNDDOWN((Tabla14[[#This Row],[Producción para venta nueva]])/R13,0)*R13,0),0)</f>
        <v>0</v>
      </c>
      <c r="X13" s="76">
        <v>0</v>
      </c>
      <c r="Y13" s="6">
        <f>IF(Tabla14[[#This Row],[Venta del mes]]&gt;0,Tabla14[[#This Row],[Venta del mes]]+Tabla14[[#This Row],[Ajuste venta nueva]],0)</f>
        <v>0</v>
      </c>
      <c r="Z13" s="6">
        <f>+Tabla14[[#This Row],[Producción para venta nueva]]-Tabla14[[#This Row],[Facturación Venta nueva]]</f>
        <v>4922.3549999999996</v>
      </c>
      <c r="AA13" s="6">
        <f>IF(AND(A13=1,Tabla14[[#This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" s="6">
        <v>0</v>
      </c>
      <c r="AC13" s="6">
        <f>IF(Tabla14[[#This Row],[Disponible stock sin venta]]&gt;0,Tabla14[[#This Row],[Disponible stock sin venta]]+Tabla14[[#This Row],[Ajuste stock sin venta]],0)</f>
        <v>0</v>
      </c>
      <c r="AD13" s="3">
        <f>IFERROR(VLOOKUP(Tabla14[[#This Row],[Llave]],[12]Hoja1!$A:$D,4,FALSE),0)</f>
        <v>0</v>
      </c>
      <c r="AE1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13" s="3">
        <v>24000</v>
      </c>
      <c r="AG13" s="3">
        <f>+Tabla14[[#This Row],[En puerto a facturar]]</f>
        <v>0</v>
      </c>
      <c r="AH13" s="3">
        <f>+Tabla14[[#This Row],[Facturación atraso]]</f>
        <v>24000</v>
      </c>
      <c r="AI13" s="3">
        <f>+Tabla14[[#This Row],[Plan Irrestricto (DATO)]]-Tabla14[[#This Row],[Puerto ]]-Tabla14[[#This Row],[Atraso]]</f>
        <v>0</v>
      </c>
      <c r="AJ13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13" s="3">
        <f>+Tabla14[[#This Row],[Facturación atraso]]</f>
        <v>24000</v>
      </c>
      <c r="AL13" s="3">
        <f>Tabla14[[#This Row],[Plan Ajustado]]-Tabla14[[#This Row],[ Atraso ajustado]]-Tabla14[[#This Row],[En puerto a facturar]]</f>
        <v>0</v>
      </c>
      <c r="AM13" s="3">
        <v>0</v>
      </c>
      <c r="AN13" s="3" t="s">
        <v>636</v>
      </c>
      <c r="AO13" s="3" t="str">
        <f>IF(Tabla14[[#This Row],[Plan Ajustado]]&gt;Tabla14[[#This Row],[En puerto a facturar]],"Si","No")</f>
        <v>Si</v>
      </c>
      <c r="AP13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13" s="3">
        <f>IF(Tabla14[[#This Row],[Necesidad]]&gt;=Tabla14[[#This Row],[Stock al día]],Tabla14[[#This Row],[Stock al día]],Tabla14[[#This Row],[Necesidad]])</f>
        <v>24000</v>
      </c>
      <c r="AR13" s="3">
        <f>+Tabla14[[#This Row],[Necesidad]]-Tabla14[[#This Row],[Stock Plan]]</f>
        <v>0</v>
      </c>
      <c r="AS13" s="155">
        <f>VLOOKUP(Tabla14[[#This Row],[Sector]]&amp;Tabla14[[#This Row],[Oficina]],[8]Ponderación!$A:$H,8,FALSE)</f>
        <v>44813</v>
      </c>
      <c r="AT13" s="30">
        <f>IFERROR(VLOOKUP(Tabla14[[#This Row],[Llave]],'[6]RV plan de ventas'!$A:$F,6,FALSE),0)</f>
        <v>0</v>
      </c>
      <c r="AU13" s="83">
        <f>IFERROR(VLOOKUP(Tabla14[[#This Row],[Llave]],[9]DELAY!$H:$X,17,FALSE),0)</f>
        <v>1.7388888888888898</v>
      </c>
      <c r="AV1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1.7388888888888898</v>
      </c>
      <c r="AW13" s="5">
        <f>Tabla14[[#This Row],[Pecio plan]]*Tabla14[[#This Row],[Plan Ajustado]]</f>
        <v>41520</v>
      </c>
      <c r="AX13" s="30">
        <f>IFERROR(VLOOKUP(Tabla14[[#This Row],[Llave]],'[13]Ultimos precios facturados'!$A:$G,7,FALSE),0)</f>
        <v>1.7744762868547115</v>
      </c>
      <c r="AY1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2.005515555741853E-2</v>
      </c>
      <c r="AZ13" s="30">
        <f>IFERROR(VLOOKUP(Tabla14[[#This Row],[Llave]],Hoja2!B:K,10,FALSE),0)</f>
        <v>0</v>
      </c>
      <c r="BA1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1.7388888888888898</v>
      </c>
      <c r="BB13" s="30">
        <v>1.73</v>
      </c>
      <c r="BC13" s="30">
        <f>IF(Tabla14[[#This Row],[Market]]=0,Tabla14[[#This Row],[Precio Final]],Tabla14[[#This Row],[Market]])</f>
        <v>1.73</v>
      </c>
      <c r="BD13" s="82"/>
      <c r="BE13" s="82" t="str">
        <f>IF(AND(Tabla14[[#This Row],[Atraso a facturar]]&gt;0,Tabla14[[#This Row],[En puerto a facturar]]&gt;0,Tabla14[[#This Row],[Precio Atraso]]=0),"Revisar","OK")</f>
        <v>OK</v>
      </c>
      <c r="BF13" s="82" t="str">
        <f>IF(AND(Tabla14[[#This Row],[Venta del mes]]&gt;0,Tabla14[[#This Row],[Precio venta nueva]]=0),"Revisar","OK")</f>
        <v>OK</v>
      </c>
      <c r="BG13" s="20">
        <f>IFERROR(VLOOKUP(Tabla14[[#This Row],[Llave]],'[5]Consolidación planes'!$A:$M,9,FALSE),0)</f>
        <v>120000</v>
      </c>
      <c r="BH13" s="20">
        <f>IFERROR(VLOOKUP(Tabla14[[#This Row],[Llave]],'[5]Consolidación planes'!$A:$M,10,FALSE),0)</f>
        <v>156000</v>
      </c>
      <c r="BI13" s="20">
        <f>IFERROR(VLOOKUP(Tabla14[[#This Row],[Llave]],'[5]Consolidación planes'!$A:$M,11,FALSE),0)</f>
        <v>228000</v>
      </c>
      <c r="BJ13" s="20">
        <f>IFERROR(VLOOKUP(Tabla14[[#This Row],[Llave]],'[5]Consolidación planes'!$A:$M,12,FALSE),0)</f>
        <v>192000</v>
      </c>
      <c r="BK13" s="20">
        <f>IFERROR(VLOOKUP(Tabla14[[#This Row],[Llave]],'[5]Consolidación planes'!$A:$M,13,FALSE),0)</f>
        <v>0</v>
      </c>
      <c r="BL13" s="20">
        <f>IFERROR(VLOOKUP(Tabla14[[#This Row],[Llave]],'[13]Base ultimos planes'!$A:$M,13,FALSE),0)</f>
        <v>24000</v>
      </c>
      <c r="BM13" s="20">
        <f>IFERROR(VLOOKUP(Tabla14[[#This Row],[Llave]],'[13]Cruce plan irrestricto'!$C:$M,10,FALSE),0)</f>
        <v>0</v>
      </c>
      <c r="BN13" s="20">
        <f>IFERROR(VLOOKUP(Tabla14[[#This Row],[Llave]],'[13]Cruce plan irrestricto'!$C:$M,11,FALSE),0)</f>
        <v>0</v>
      </c>
      <c r="BO13" s="80">
        <f>IFERROR(VLOOKUP(Tabla14[[#This Row],[Llave]],'[13]Base ultimos planes'!$O:$AA,8,FALSE),0)</f>
        <v>243200</v>
      </c>
      <c r="BP13" s="20">
        <f>IFERROR(VLOOKUP(Tabla14[[#This Row],[Llave]],'[13]Base ultimos planes'!$O:$AA,9,FALSE),0)</f>
        <v>302179</v>
      </c>
      <c r="BQ13" s="20">
        <f>IFERROR(VLOOKUP(Tabla14[[#This Row],[Llave]],'[13]Base ultimos planes'!$O:$AA,10,FALSE),0)</f>
        <v>424800</v>
      </c>
      <c r="BR13" s="20">
        <f>IFERROR(VLOOKUP(Tabla14[[#This Row],[Llave]],'[13]Base ultimos planes'!$O:$AA,11,FALSE),0)</f>
        <v>335760</v>
      </c>
      <c r="BS13" s="20">
        <f>IFERROR(VLOOKUP(Tabla14[[#This Row],[Llave]],'[13]Base ultimos planes'!$O:$AA,12,FALSE),0)</f>
        <v>0</v>
      </c>
      <c r="BT13" s="20">
        <f>IFERROR(VLOOKUP(Tabla14[[#This Row],[Llave]],'[13]Base ultimos planes'!$O:$AA,13,FALSE),0)</f>
        <v>42186</v>
      </c>
      <c r="BU13" s="20"/>
      <c r="BV13" s="20">
        <f>Tabla14[[#This Row],[ RV Producción mes n+1]]-Tabla14[[#This Row],[Producción disponible]]+Tabla14[[#This Row],[Saldo Volumen disponible]]</f>
        <v>4922.3549999999996</v>
      </c>
      <c r="BW13" s="20">
        <f>IFERROR(VLOOKUP(Tabla14[[#This Row],[Llave]],[14]Hoja2!$J:$N,4,FALSE),0)</f>
        <v>0</v>
      </c>
      <c r="BX13" s="20">
        <f>+Tabla14[[#This Row],[Asignación mes n+1]]*Tabla14[[#This Row],[% Uti. producción]]</f>
        <v>0</v>
      </c>
      <c r="BY13" s="20">
        <f>+Tabla14[[#This Row],[Ponderación mes n+1]]+Tabla14[[#This Row],[Saldo mes n-1]]</f>
        <v>4922.3549999999996</v>
      </c>
      <c r="BZ13" s="20">
        <f>+Tabla14[[#This Row],[Asignación mes n+1]]-Tabla14[[#This Row],[Ponderación mes n+1]]</f>
        <v>0</v>
      </c>
      <c r="CA13" s="20">
        <f>IFERROR(VLOOKUP(Tabla14[[#This Row],[Llave]],[14]Hoja2!$J:$N,5,FALSE),0)</f>
        <v>15088.592000000001</v>
      </c>
      <c r="CB13" s="20">
        <f>+Tabla14[[#This Row],[Asignación mes n+2]]*Tabla14[[#This Row],[% Uti. producción]]</f>
        <v>5350.1949675146971</v>
      </c>
      <c r="CC13" s="20">
        <f>+Tabla14[[#This Row],[Saldo mes n+2]]+Tabla14[[#This Row],[Ponderación mes n+2]]</f>
        <v>5350.1949675146971</v>
      </c>
      <c r="CD13" s="20">
        <f>+Tabla14[[#This Row],[Asignación mes n+2]]-Tabla14[[#This Row],[Ponderación mes n+2]]</f>
        <v>9738.3970324853035</v>
      </c>
    </row>
    <row r="14" spans="1:82" ht="16" x14ac:dyDescent="0.2">
      <c r="A14">
        <v>1</v>
      </c>
      <c r="B14" t="str">
        <f>Tabla14[[#This Row],[Oficina]]&amp;Tabla14[[#This Row],[Material]]</f>
        <v>Agro Sudamerica1020352</v>
      </c>
      <c r="C14" t="s">
        <v>6</v>
      </c>
      <c r="D14" t="s">
        <v>17</v>
      </c>
      <c r="E14">
        <v>1020352</v>
      </c>
      <c r="F14" t="s">
        <v>35</v>
      </c>
      <c r="G14" t="s">
        <v>8</v>
      </c>
      <c r="H14" t="s">
        <v>34</v>
      </c>
      <c r="I14" s="7">
        <f>IFERROR(IF(Tabla14[[#This Row],[Oficina]]=$I$7,VLOOKUP(Tabla14[[#This Row],[Material]],'[6]RV Producción'!$Y:$AA,3,FALSE),VLOOKUP(Tabla14[[#This Row],[Llave]],'[6]RV Producción'!$C:$G,5,FALSE)),0)</f>
        <v>37238</v>
      </c>
      <c r="J14" s="7">
        <f>IFERROR(IF(Tabla14[[#This Row],[Oficina]]=$I$7,VLOOKUP(Tabla14[[#This Row],[Llave]],'[7]Shangai (Tomas)'!$A:$F,6,FALSE),VLOOKUP(Tabla14[[#This Row],[Llave]],'[6]RV plan de ventas'!$A:$E,5,FALSE)),0)</f>
        <v>48000</v>
      </c>
      <c r="K14" s="8">
        <f>IFERROR(VLOOKUP(Tabla14[[#This Row],[Sector]]&amp;Tabla14[[#This Row],[Oficina]],[8]Ponderación!$A$3:$G$22,7,FALSE),0)</f>
        <v>0.3545854356400317</v>
      </c>
      <c r="L14" s="7">
        <f>+Tabla14[[#This Row],[ RV Producción mes n+1]]*Tabla14[[#This Row],[% Uti. producción]]</f>
        <v>13204.052452363501</v>
      </c>
      <c r="M14" s="7">
        <f>IFERROR(VLOOKUP(Tabla14[[#This Row],[Material]],'[9]TD Stock'!$B:$C,2,FALSE),0)</f>
        <v>65313.456999999995</v>
      </c>
      <c r="N14" s="7">
        <f>IFERROR(VLOOKUP(Tabla14[[#This Row],[Material]],'[10]Consolidado planificación'!$B:$C,2,FALSE),0)</f>
        <v>9839</v>
      </c>
      <c r="O14" s="7">
        <f>IFERROR(VLOOKUP(Tabla14[[#This Row],[Llave]],[11]Hoja2!$D:$G,4,FALSE),0)</f>
        <v>0</v>
      </c>
      <c r="P14" s="14">
        <f>SUM(Tabla14[[#This Row],[Producción disponible]],Tabla14[[#This Row],[Stock al día]],(Tabla14[[#This Row],[Por producir mes N]]*0.9))-Tabla14[[#This Row],[Producción por despachar mes N]]</f>
        <v>87372.609452363497</v>
      </c>
      <c r="Q14" s="7">
        <f>IFERROR(VLOOKUP(Tabla14[[#This Row],[Llave]],[9]DELAY!$A:$D,4,FALSE),0)</f>
        <v>72000</v>
      </c>
      <c r="R14" s="9">
        <v>23000</v>
      </c>
      <c r="S14" s="5">
        <f t="shared" si="5"/>
        <v>72000</v>
      </c>
      <c r="T14" s="76">
        <v>0</v>
      </c>
      <c r="U14" s="5">
        <f>+Tabla14[[#This Row],[Atraso a facturar]]+Tabla14[[#This Row],[Ajuste atraso]]</f>
        <v>72000</v>
      </c>
      <c r="V14" s="3">
        <f>+Tabla14[[#This Row],[Total disponible]]-Tabla14[[#This Row],[Facturación atraso]]</f>
        <v>15372.609452363497</v>
      </c>
      <c r="W14" s="6">
        <f>IFERROR(IF(AND(V14&gt;R14,J14&gt;=R14),ROUNDDOWN((Tabla14[[#This Row],[Producción para venta nueva]])/R14,0)*R14,0),0)</f>
        <v>0</v>
      </c>
      <c r="X14" s="76">
        <v>0</v>
      </c>
      <c r="Y14" s="6">
        <f>IF(Tabla14[[#This Row],[Venta del mes]]&gt;0,Tabla14[[#This Row],[Venta del mes]]+Tabla14[[#This Row],[Ajuste venta nueva]],0)</f>
        <v>0</v>
      </c>
      <c r="Z14" s="6">
        <f>+Tabla14[[#This Row],[Producción para venta nueva]]-Tabla14[[#This Row],[Facturación Venta nueva]]</f>
        <v>15372.609452363497</v>
      </c>
      <c r="AA14" s="6">
        <f>IF(AND(A14=1,Tabla14[[#This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" s="6">
        <v>0</v>
      </c>
      <c r="AC14" s="6">
        <f>IF(Tabla14[[#This Row],[Disponible stock sin venta]]&gt;0,Tabla14[[#This Row],[Disponible stock sin venta]]+Tabla14[[#This Row],[Ajuste stock sin venta]],0)</f>
        <v>0</v>
      </c>
      <c r="AD14" s="3">
        <f>IFERROR(VLOOKUP(Tabla14[[#This Row],[Llave]],[12]Hoja1!$A:$D,4,FALSE),0)</f>
        <v>0</v>
      </c>
      <c r="AE1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72000</v>
      </c>
      <c r="AF14" s="3">
        <v>72000</v>
      </c>
      <c r="AG14" s="3">
        <f>+Tabla14[[#This Row],[En puerto a facturar]]</f>
        <v>0</v>
      </c>
      <c r="AH14" s="3">
        <f>+Tabla14[[#This Row],[Facturación atraso]]</f>
        <v>72000</v>
      </c>
      <c r="AI14" s="3">
        <f>+Tabla14[[#This Row],[Plan Irrestricto (DATO)]]-Tabla14[[#This Row],[Puerto ]]-Tabla14[[#This Row],[Atraso]]</f>
        <v>0</v>
      </c>
      <c r="AJ14" s="6">
        <f>IF(Tabla14[[#This Row],[Plan Irrestricto (DATO)]]&gt;0,SUM(Tabla14[[#This Row],[Facturación atraso]],Tabla14[[#This Row],[Facturación Venta nueva]],Tabla14[[#This Row],[Facturación stock]],Tabla14[[#This Row],[En puerto a facturar]]),0)</f>
        <v>72000</v>
      </c>
      <c r="AK14" s="3">
        <f>+Tabla14[[#This Row],[Facturación atraso]]</f>
        <v>72000</v>
      </c>
      <c r="AL14" s="3">
        <f>Tabla14[[#This Row],[Plan Ajustado]]-Tabla14[[#This Row],[ Atraso ajustado]]-Tabla14[[#This Row],[En puerto a facturar]]</f>
        <v>0</v>
      </c>
      <c r="AM14" s="3">
        <v>0</v>
      </c>
      <c r="AN14" s="3" t="s">
        <v>636</v>
      </c>
      <c r="AO14" s="3" t="str">
        <f>IF(Tabla14[[#This Row],[Plan Ajustado]]&gt;Tabla14[[#This Row],[En puerto a facturar]],"Si","No")</f>
        <v>Si</v>
      </c>
      <c r="AP14" s="3">
        <f>IF(AND(Tabla14[[#This Row],[Plan Ajustado]]&gt;0,Tabla14[[#This Row],[Plan Ajustado]]&gt;Tabla14[[#This Row],[En puerto a facturar]]),(Tabla14[[#This Row],[Plan Ajustado]]-Tabla14[[#This Row],[En puerto a facturar]]),0)</f>
        <v>72000</v>
      </c>
      <c r="AQ14" s="3">
        <f>IF(Tabla14[[#This Row],[Necesidad]]&gt;=Tabla14[[#This Row],[Stock al día]],Tabla14[[#This Row],[Stock al día]],Tabla14[[#This Row],[Necesidad]])</f>
        <v>65313.456999999995</v>
      </c>
      <c r="AR14" s="3">
        <f>+Tabla14[[#This Row],[Necesidad]]-Tabla14[[#This Row],[Stock Plan]]</f>
        <v>6686.5430000000051</v>
      </c>
      <c r="AS14" s="155">
        <f>VLOOKUP(Tabla14[[#This Row],[Sector]]&amp;Tabla14[[#This Row],[Oficina]],[8]Ponderación!$A:$H,8,FALSE)</f>
        <v>44813</v>
      </c>
      <c r="AT14" s="30">
        <f>IFERROR(VLOOKUP(Tabla14[[#This Row],[Llave]],'[6]RV plan de ventas'!$A:$F,6,FALSE),0)</f>
        <v>1.38666666666667</v>
      </c>
      <c r="AU14" s="83">
        <f>IFERROR(VLOOKUP(Tabla14[[#This Row],[Llave]],[9]DELAY!$H:$X,17,FALSE),0)</f>
        <v>1.4205902777777766</v>
      </c>
      <c r="AV1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1.4205902777777766</v>
      </c>
      <c r="AW14" s="5">
        <f>Tabla14[[#This Row],[Pecio plan]]*Tabla14[[#This Row],[Plan Ajustado]]</f>
        <v>102240</v>
      </c>
      <c r="AX14" s="30">
        <f>IFERROR(VLOOKUP(Tabla14[[#This Row],[Llave]],'[13]Ultimos precios facturados'!$A:$G,7,FALSE),0)</f>
        <v>1.2933397315970714</v>
      </c>
      <c r="AY1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9.8389110820534961E-2</v>
      </c>
      <c r="AZ14" s="30">
        <f>IFERROR(VLOOKUP(Tabla14[[#This Row],[Llave]],Hoja2!B:K,10,FALSE),0)</f>
        <v>1.2991666666666666</v>
      </c>
      <c r="BA1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1.4205902777777766</v>
      </c>
      <c r="BB14" s="30">
        <v>1.42</v>
      </c>
      <c r="BC14" s="30">
        <f>IF(Tabla14[[#This Row],[Market]]=0,Tabla14[[#This Row],[Precio Final]],Tabla14[[#This Row],[Market]])</f>
        <v>1.42</v>
      </c>
      <c r="BD14" s="82"/>
      <c r="BE14" s="82" t="str">
        <f>IF(AND(Tabla14[[#This Row],[Atraso a facturar]]&gt;0,Tabla14[[#This Row],[En puerto a facturar]]&gt;0,Tabla14[[#This Row],[Precio Atraso]]=0),"Revisar","OK")</f>
        <v>OK</v>
      </c>
      <c r="BF14" s="82" t="str">
        <f>IF(AND(Tabla14[[#This Row],[Venta del mes]]&gt;0,Tabla14[[#This Row],[Precio venta nueva]]=0),"Revisar","OK")</f>
        <v>OK</v>
      </c>
      <c r="BG14" s="20">
        <f>IFERROR(VLOOKUP(Tabla14[[#This Row],[Llave]],'[5]Consolidación planes'!$A:$M,9,FALSE),0)</f>
        <v>35000</v>
      </c>
      <c r="BH14" s="20">
        <f>IFERROR(VLOOKUP(Tabla14[[#This Row],[Llave]],'[5]Consolidación planes'!$A:$M,10,FALSE),0)</f>
        <v>0</v>
      </c>
      <c r="BI14" s="20">
        <f>IFERROR(VLOOKUP(Tabla14[[#This Row],[Llave]],'[5]Consolidación planes'!$A:$M,11,FALSE),0)</f>
        <v>48000</v>
      </c>
      <c r="BJ14" s="20">
        <f>IFERROR(VLOOKUP(Tabla14[[#This Row],[Llave]],'[5]Consolidación planes'!$A:$M,12,FALSE),0)</f>
        <v>48000</v>
      </c>
      <c r="BK14" s="20">
        <f>IFERROR(VLOOKUP(Tabla14[[#This Row],[Llave]],'[5]Consolidación planes'!$A:$M,13,FALSE),0)</f>
        <v>24000</v>
      </c>
      <c r="BL14" s="20">
        <f>IFERROR(VLOOKUP(Tabla14[[#This Row],[Llave]],'[13]Base ultimos planes'!$A:$M,13,FALSE),0)</f>
        <v>48000</v>
      </c>
      <c r="BM14" s="20">
        <f>IFERROR(VLOOKUP(Tabla14[[#This Row],[Llave]],'[13]Cruce plan irrestricto'!$C:$M,10,FALSE),0)</f>
        <v>0</v>
      </c>
      <c r="BN14" s="20">
        <f>IFERROR(VLOOKUP(Tabla14[[#This Row],[Llave]],'[13]Cruce plan irrestricto'!$C:$M,11,FALSE),0)</f>
        <v>71966.820000000007</v>
      </c>
      <c r="BO14" s="80">
        <f>IFERROR(VLOOKUP(Tabla14[[#This Row],[Llave]],'[13]Base ultimos planes'!$O:$AA,8,FALSE),0)</f>
        <v>47250</v>
      </c>
      <c r="BP14" s="20">
        <f>IFERROR(VLOOKUP(Tabla14[[#This Row],[Llave]],'[13]Base ultimos planes'!$O:$AA,9,FALSE),0)</f>
        <v>0</v>
      </c>
      <c r="BQ14" s="20">
        <f>IFERROR(VLOOKUP(Tabla14[[#This Row],[Llave]],'[13]Base ultimos planes'!$O:$AA,10,FALSE),0)</f>
        <v>57310</v>
      </c>
      <c r="BR14" s="20">
        <f>IFERROR(VLOOKUP(Tabla14[[#This Row],[Llave]],'[13]Base ultimos planes'!$O:$AA,11,FALSE),0)</f>
        <v>50880</v>
      </c>
      <c r="BS14" s="20">
        <f>IFERROR(VLOOKUP(Tabla14[[#This Row],[Llave]],'[13]Base ultimos planes'!$O:$AA,12,FALSE),0)</f>
        <v>30240</v>
      </c>
      <c r="BT14" s="20">
        <f>IFERROR(VLOOKUP(Tabla14[[#This Row],[Llave]],'[13]Base ultimos planes'!$O:$AA,13,FALSE),0)</f>
        <v>60230</v>
      </c>
      <c r="BU14" s="20"/>
      <c r="BV14" s="20">
        <f>Tabla14[[#This Row],[ RV Producción mes n+1]]-Tabla14[[#This Row],[Producción disponible]]+Tabla14[[#This Row],[Saldo Volumen disponible]]</f>
        <v>39406.556999999993</v>
      </c>
      <c r="BW14" s="20">
        <f>IFERROR(VLOOKUP(Tabla14[[#This Row],[Llave]],[14]Hoja2!$J:$N,4,FALSE),0)</f>
        <v>51893.341000000008</v>
      </c>
      <c r="BX14" s="20">
        <f>+Tabla14[[#This Row],[Asignación mes n+1]]*Tabla14[[#This Row],[% Uti. producción]]</f>
        <v>18400.622925301719</v>
      </c>
      <c r="BY14" s="20">
        <f>+Tabla14[[#This Row],[Ponderación mes n+1]]+Tabla14[[#This Row],[Saldo mes n-1]]</f>
        <v>57807.179925301709</v>
      </c>
      <c r="BZ14" s="20">
        <f>+Tabla14[[#This Row],[Asignación mes n+1]]-Tabla14[[#This Row],[Ponderación mes n+1]]</f>
        <v>33492.718074698292</v>
      </c>
      <c r="CA14" s="20">
        <f>IFERROR(VLOOKUP(Tabla14[[#This Row],[Llave]],[14]Hoja2!$J:$N,5,FALSE),0)</f>
        <v>71436.5</v>
      </c>
      <c r="CB14" s="20">
        <f>+Tabla14[[#This Row],[Asignación mes n+2]]*Tabla14[[#This Row],[% Uti. producción]]</f>
        <v>25330.342473099125</v>
      </c>
      <c r="CC14" s="20">
        <f>+Tabla14[[#This Row],[Saldo mes n+2]]+Tabla14[[#This Row],[Ponderación mes n+2]]</f>
        <v>58823.060547797417</v>
      </c>
      <c r="CD14" s="20">
        <f>+Tabla14[[#This Row],[Asignación mes n+2]]-Tabla14[[#This Row],[Ponderación mes n+2]]</f>
        <v>46106.157526900875</v>
      </c>
    </row>
    <row r="15" spans="1:82" ht="16" x14ac:dyDescent="0.2">
      <c r="A15">
        <v>1</v>
      </c>
      <c r="B15" t="str">
        <f>Tabla14[[#This Row],[Oficina]]&amp;Tabla14[[#This Row],[Material]]</f>
        <v>Agro Sudamerica1020367</v>
      </c>
      <c r="C15" t="s">
        <v>6</v>
      </c>
      <c r="D15" t="s">
        <v>17</v>
      </c>
      <c r="E15">
        <v>1020367</v>
      </c>
      <c r="F15" t="s">
        <v>42</v>
      </c>
      <c r="G15" t="s">
        <v>11</v>
      </c>
      <c r="H15" t="s">
        <v>41</v>
      </c>
      <c r="I15" s="7">
        <f>IFERROR(IF(Tabla14[[#This Row],[Oficina]]=$I$7,VLOOKUP(Tabla14[[#This Row],[Material]],'[6]RV Producción'!$Y:$AA,3,FALSE),VLOOKUP(Tabla14[[#This Row],[Llave]],'[6]RV Producción'!$C:$G,5,FALSE)),0)</f>
        <v>96000</v>
      </c>
      <c r="J15" s="7">
        <f>IFERROR(IF(Tabla14[[#This Row],[Oficina]]=$I$7,VLOOKUP(Tabla14[[#This Row],[Llave]],'[7]Shangai (Tomas)'!$A:$F,6,FALSE),VLOOKUP(Tabla14[[#This Row],[Llave]],'[6]RV plan de ventas'!$A:$E,5,FALSE)),0)</f>
        <v>120000</v>
      </c>
      <c r="K15" s="8">
        <f>IFERROR(VLOOKUP(Tabla14[[#This Row],[Sector]]&amp;Tabla14[[#This Row],[Oficina]],[8]Ponderación!$A$3:$G$22,7,FALSE),0)</f>
        <v>0.3545854356400317</v>
      </c>
      <c r="L15" s="7">
        <f>+Tabla14[[#This Row],[ RV Producción mes n+1]]*Tabla14[[#This Row],[% Uti. producción]]</f>
        <v>34040.201821443043</v>
      </c>
      <c r="M15" s="7">
        <f>IFERROR(VLOOKUP(Tabla14[[#This Row],[Material]],'[9]TD Stock'!$B:$C,2,FALSE),0)</f>
        <v>100070.492</v>
      </c>
      <c r="N15" s="7">
        <f>IFERROR(VLOOKUP(Tabla14[[#This Row],[Material]],'[10]Consolidado planificación'!$B:$C,2,FALSE),0)</f>
        <v>8772.9384062002591</v>
      </c>
      <c r="O15" s="7">
        <f>IFERROR(VLOOKUP(Tabla14[[#This Row],[Llave]],[11]Hoja2!$D:$G,4,FALSE),0)</f>
        <v>24000</v>
      </c>
      <c r="P15" s="14">
        <f>SUM(Tabla14[[#This Row],[Producción disponible]],Tabla14[[#This Row],[Stock al día]],(Tabla14[[#This Row],[Por producir mes N]]*0.9))-Tabla14[[#This Row],[Producción por despachar mes N]]</f>
        <v>118006.33838702328</v>
      </c>
      <c r="Q15" s="7">
        <f>IFERROR(VLOOKUP(Tabla14[[#This Row],[Llave]],[9]DELAY!$A:$D,4,FALSE),0)</f>
        <v>72000</v>
      </c>
      <c r="R15" s="9">
        <v>23000</v>
      </c>
      <c r="S15" s="5">
        <f t="shared" si="5"/>
        <v>72000</v>
      </c>
      <c r="T15" s="76">
        <v>0</v>
      </c>
      <c r="U15" s="5">
        <f>+Tabla14[[#This Row],[Atraso a facturar]]+Tabla14[[#This Row],[Ajuste atraso]]</f>
        <v>72000</v>
      </c>
      <c r="V15" s="3">
        <f>+Tabla14[[#This Row],[Total disponible]]-Tabla14[[#This Row],[Facturación atraso]]</f>
        <v>46006.338387023279</v>
      </c>
      <c r="W15" s="6">
        <f>IFERROR(IF(AND(V15&gt;R15,J15&gt;=R15),ROUNDDOWN((Tabla14[[#This Row],[Producción para venta nueva]])/R15,0)*R15,0),0)</f>
        <v>46000</v>
      </c>
      <c r="X15" s="76">
        <v>0</v>
      </c>
      <c r="Y15" s="6">
        <f>IF(Tabla14[[#This Row],[Venta del mes]]&gt;0,Tabla14[[#This Row],[Venta del mes]]+Tabla14[[#This Row],[Ajuste venta nueva]],0)</f>
        <v>46000</v>
      </c>
      <c r="Z15" s="6">
        <f>+Tabla14[[#This Row],[Producción para venta nueva]]-Tabla14[[#This Row],[Facturación Venta nueva]]</f>
        <v>6.3383870232792106</v>
      </c>
      <c r="AA15" s="6">
        <f>IF(AND(A15=1,Tabla14[[#This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" s="6">
        <v>0</v>
      </c>
      <c r="AC15" s="6">
        <f>IF(Tabla14[[#This Row],[Disponible stock sin venta]]&gt;0,Tabla14[[#This Row],[Disponible stock sin venta]]+Tabla14[[#This Row],[Ajuste stock sin venta]],0)</f>
        <v>0</v>
      </c>
      <c r="AD15" s="3">
        <f>IFERROR(VLOOKUP(Tabla14[[#This Row],[Llave]],[12]Hoja1!$A:$D,4,FALSE),0)</f>
        <v>24000</v>
      </c>
      <c r="AE1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142000</v>
      </c>
      <c r="AF15" s="3">
        <v>142000</v>
      </c>
      <c r="AG15" s="3">
        <f>+Tabla14[[#This Row],[En puerto a facturar]]</f>
        <v>24000</v>
      </c>
      <c r="AH15" s="3">
        <f>+Tabla14[[#This Row],[Facturación atraso]]</f>
        <v>72000</v>
      </c>
      <c r="AI15" s="3">
        <f>+Tabla14[[#This Row],[Plan Irrestricto (DATO)]]-Tabla14[[#This Row],[Puerto ]]-Tabla14[[#This Row],[Atraso]]</f>
        <v>46000</v>
      </c>
      <c r="AJ15" s="6">
        <f>IF(Tabla14[[#This Row],[Plan Irrestricto (DATO)]]&gt;0,SUM(Tabla14[[#This Row],[Facturación atraso]],Tabla14[[#This Row],[Facturación Venta nueva]],Tabla14[[#This Row],[Facturación stock]],Tabla14[[#This Row],[En puerto a facturar]]),0)</f>
        <v>142000</v>
      </c>
      <c r="AK15" s="3">
        <f>+Tabla14[[#This Row],[Facturación atraso]]</f>
        <v>72000</v>
      </c>
      <c r="AL15" s="3">
        <f>Tabla14[[#This Row],[Plan Ajustado]]-Tabla14[[#This Row],[ Atraso ajustado]]-Tabla14[[#This Row],[En puerto a facturar]]</f>
        <v>46000</v>
      </c>
      <c r="AM15" s="3">
        <v>0</v>
      </c>
      <c r="AN15" s="3" t="s">
        <v>636</v>
      </c>
      <c r="AO15" s="3" t="str">
        <f>IF(Tabla14[[#This Row],[Plan Ajustado]]&gt;Tabla14[[#This Row],[En puerto a facturar]],"Si","No")</f>
        <v>Si</v>
      </c>
      <c r="AP15" s="3">
        <f>IF(AND(Tabla14[[#This Row],[Plan Ajustado]]&gt;0,Tabla14[[#This Row],[Plan Ajustado]]&gt;Tabla14[[#This Row],[En puerto a facturar]]),(Tabla14[[#This Row],[Plan Ajustado]]-Tabla14[[#This Row],[En puerto a facturar]]),0)</f>
        <v>118000</v>
      </c>
      <c r="AQ15" s="3">
        <f>IF(Tabla14[[#This Row],[Necesidad]]&gt;=Tabla14[[#This Row],[Stock al día]],Tabla14[[#This Row],[Stock al día]],Tabla14[[#This Row],[Necesidad]])</f>
        <v>100070.492</v>
      </c>
      <c r="AR15" s="3">
        <f>+Tabla14[[#This Row],[Necesidad]]-Tabla14[[#This Row],[Stock Plan]]</f>
        <v>17929.508000000002</v>
      </c>
      <c r="AS15" s="155">
        <f>VLOOKUP(Tabla14[[#This Row],[Sector]]&amp;Tabla14[[#This Row],[Oficina]],[8]Ponderación!$A:$H,8,FALSE)</f>
        <v>44813</v>
      </c>
      <c r="AT15" s="30">
        <f>IFERROR(VLOOKUP(Tabla14[[#This Row],[Llave]],'[6]RV plan de ventas'!$A:$F,6,FALSE),0)</f>
        <v>1.3366750000000001</v>
      </c>
      <c r="AU15" s="83">
        <f>IFERROR(VLOOKUP(Tabla14[[#This Row],[Llave]],[9]DELAY!$H:$X,17,FALSE),0)</f>
        <v>1.2202895918399692</v>
      </c>
      <c r="AV1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1.2579919071594159</v>
      </c>
      <c r="AW15" s="5">
        <f>Tabla14[[#This Row],[Pecio plan]]*Tabla14[[#This Row],[Plan Ajustado]]</f>
        <v>175407.71666666665</v>
      </c>
      <c r="AX15" s="30">
        <f>IFERROR(VLOOKUP(Tabla14[[#This Row],[Llave]],'[13]Ultimos precios facturados'!$A:$G,7,FALSE),0)</f>
        <v>1.2121438720873106</v>
      </c>
      <c r="AY1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3.782392183623802E-2</v>
      </c>
      <c r="AZ15" s="30">
        <f>IFERROR(VLOOKUP(Tabla14[[#This Row],[Llave]],Hoja2!B:K,10,FALSE),0)</f>
        <v>1.1083623242971887</v>
      </c>
      <c r="BA1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1.2579919071594159</v>
      </c>
      <c r="BB15" s="30">
        <v>1.2352656103286384</v>
      </c>
      <c r="BC15" s="30">
        <f>IF(Tabla14[[#This Row],[Market]]=0,Tabla14[[#This Row],[Precio Final]],Tabla14[[#This Row],[Market]])</f>
        <v>1.2352656103286384</v>
      </c>
      <c r="BD15" s="82"/>
      <c r="BE15" s="82" t="str">
        <f>IF(AND(Tabla14[[#This Row],[Atraso a facturar]]&gt;0,Tabla14[[#This Row],[En puerto a facturar]]&gt;0,Tabla14[[#This Row],[Precio Atraso]]=0),"Revisar","OK")</f>
        <v>OK</v>
      </c>
      <c r="BF15" s="82" t="str">
        <f>IF(AND(Tabla14[[#This Row],[Venta del mes]]&gt;0,Tabla14[[#This Row],[Precio venta nueva]]=0),"Revisar","OK")</f>
        <v>OK</v>
      </c>
      <c r="BG15" s="20">
        <f>IFERROR(VLOOKUP(Tabla14[[#This Row],[Llave]],'[5]Consolidación planes'!$A:$M,9,FALSE),0)</f>
        <v>48000</v>
      </c>
      <c r="BH15" s="20">
        <f>IFERROR(VLOOKUP(Tabla14[[#This Row],[Llave]],'[5]Consolidación planes'!$A:$M,10,FALSE),0)</f>
        <v>72000</v>
      </c>
      <c r="BI15" s="20">
        <f>IFERROR(VLOOKUP(Tabla14[[#This Row],[Llave]],'[5]Consolidación planes'!$A:$M,11,FALSE),0)</f>
        <v>24000</v>
      </c>
      <c r="BJ15" s="20">
        <f>IFERROR(VLOOKUP(Tabla14[[#This Row],[Llave]],'[5]Consolidación planes'!$A:$M,12,FALSE),0)</f>
        <v>48100</v>
      </c>
      <c r="BK15" s="20">
        <f>IFERROR(VLOOKUP(Tabla14[[#This Row],[Llave]],'[5]Consolidación planes'!$A:$M,13,FALSE),0)</f>
        <v>72000</v>
      </c>
      <c r="BL15" s="20">
        <f>IFERROR(VLOOKUP(Tabla14[[#This Row],[Llave]],'[13]Base ultimos planes'!$A:$M,13,FALSE),0)</f>
        <v>145000</v>
      </c>
      <c r="BM15" s="20">
        <f>IFERROR(VLOOKUP(Tabla14[[#This Row],[Llave]],'[13]Cruce plan irrestricto'!$C:$M,10,FALSE),0)</f>
        <v>239000</v>
      </c>
      <c r="BN15" s="20">
        <f>IFERROR(VLOOKUP(Tabla14[[#This Row],[Llave]],'[13]Cruce plan irrestricto'!$C:$M,11,FALSE),0)</f>
        <v>166000</v>
      </c>
      <c r="BO15" s="80">
        <f>IFERROR(VLOOKUP(Tabla14[[#This Row],[Llave]],'[13]Base ultimos planes'!$O:$AA,8,FALSE),0)</f>
        <v>64800</v>
      </c>
      <c r="BP15" s="20">
        <f>IFERROR(VLOOKUP(Tabla14[[#This Row],[Llave]],'[13]Base ultimos planes'!$O:$AA,9,FALSE),0)</f>
        <v>89200</v>
      </c>
      <c r="BQ15" s="20">
        <f>IFERROR(VLOOKUP(Tabla14[[#This Row],[Llave]],'[13]Base ultimos planes'!$O:$AA,10,FALSE),0)</f>
        <v>26400</v>
      </c>
      <c r="BR15" s="20">
        <f>IFERROR(VLOOKUP(Tabla14[[#This Row],[Llave]],'[13]Base ultimos planes'!$O:$AA,11,FALSE),0)</f>
        <v>53143</v>
      </c>
      <c r="BS15" s="20">
        <f>IFERROR(VLOOKUP(Tabla14[[#This Row],[Llave]],'[13]Base ultimos planes'!$O:$AA,12,FALSE),0)</f>
        <v>74627</v>
      </c>
      <c r="BT15" s="20">
        <f>IFERROR(VLOOKUP(Tabla14[[#This Row],[Llave]],'[13]Base ultimos planes'!$O:$AA,13,FALSE),0)</f>
        <v>166475</v>
      </c>
      <c r="BU15" s="20"/>
      <c r="BV15" s="20">
        <f>Tabla14[[#This Row],[ RV Producción mes n+1]]-Tabla14[[#This Row],[Producción disponible]]+Tabla14[[#This Row],[Saldo Volumen disponible]]</f>
        <v>61966.136565580236</v>
      </c>
      <c r="BW15" s="20">
        <f>IFERROR(VLOOKUP(Tabla14[[#This Row],[Llave]],[14]Hoja2!$J:$N,4,FALSE),0)</f>
        <v>168000</v>
      </c>
      <c r="BX15" s="20">
        <f>+Tabla14[[#This Row],[Asignación mes n+1]]*Tabla14[[#This Row],[% Uti. producción]]</f>
        <v>59570.353187525325</v>
      </c>
      <c r="BY15" s="20">
        <f>+Tabla14[[#This Row],[Ponderación mes n+1]]+Tabla14[[#This Row],[Saldo mes n-1]]</f>
        <v>121536.48975310556</v>
      </c>
      <c r="BZ15" s="20">
        <f>+Tabla14[[#This Row],[Asignación mes n+1]]-Tabla14[[#This Row],[Ponderación mes n+1]]</f>
        <v>108429.64681247468</v>
      </c>
      <c r="CA15" s="20">
        <f>IFERROR(VLOOKUP(Tabla14[[#This Row],[Llave]],[14]Hoja2!$J:$N,5,FALSE),0)</f>
        <v>168000</v>
      </c>
      <c r="CB15" s="20">
        <f>+Tabla14[[#This Row],[Asignación mes n+2]]*Tabla14[[#This Row],[% Uti. producción]]</f>
        <v>59570.353187525325</v>
      </c>
      <c r="CC15" s="20">
        <f>+Tabla14[[#This Row],[Saldo mes n+2]]+Tabla14[[#This Row],[Ponderación mes n+2]]</f>
        <v>168000</v>
      </c>
      <c r="CD15" s="20">
        <f>+Tabla14[[#This Row],[Asignación mes n+2]]-Tabla14[[#This Row],[Ponderación mes n+2]]</f>
        <v>108429.64681247468</v>
      </c>
    </row>
    <row r="16" spans="1:82" ht="16" x14ac:dyDescent="0.2">
      <c r="A16">
        <v>1</v>
      </c>
      <c r="B16" t="str">
        <f>Tabla14[[#This Row],[Oficina]]&amp;Tabla14[[#This Row],[Material]]</f>
        <v>Agro Sudamerica1020412</v>
      </c>
      <c r="C16" t="s">
        <v>6</v>
      </c>
      <c r="D16" t="s">
        <v>17</v>
      </c>
      <c r="E16">
        <v>1020412</v>
      </c>
      <c r="F16" t="s">
        <v>73</v>
      </c>
      <c r="G16" t="s">
        <v>71</v>
      </c>
      <c r="H16" t="s">
        <v>72</v>
      </c>
      <c r="I16" s="7">
        <f>IFERROR(IF(Tabla14[[#This Row],[Oficina]]=$I$7,VLOOKUP(Tabla14[[#This Row],[Material]],'[6]RV Producción'!$Y:$AA,3,FALSE),VLOOKUP(Tabla14[[#This Row],[Llave]],'[6]RV Producción'!$C:$G,5,FALSE)),0)</f>
        <v>212933</v>
      </c>
      <c r="J16" s="7">
        <f>IFERROR(IF(Tabla14[[#This Row],[Oficina]]=$I$7,VLOOKUP(Tabla14[[#This Row],[Llave]],'[7]Shangai (Tomas)'!$A:$F,6,FALSE),VLOOKUP(Tabla14[[#This Row],[Llave]],'[6]RV plan de ventas'!$A:$E,5,FALSE)),0)</f>
        <v>264000</v>
      </c>
      <c r="K16" s="8">
        <f>IFERROR(VLOOKUP(Tabla14[[#This Row],[Sector]]&amp;Tabla14[[#This Row],[Oficina]],[8]Ponderación!$A$3:$G$22,7,FALSE),0)</f>
        <v>0.3545854356400317</v>
      </c>
      <c r="L16" s="7">
        <f>+Tabla14[[#This Row],[ RV Producción mes n+1]]*Tabla14[[#This Row],[% Uti. producción]]</f>
        <v>75502.940567138867</v>
      </c>
      <c r="M16" s="7">
        <f>IFERROR(VLOOKUP(Tabla14[[#This Row],[Material]],'[9]TD Stock'!$B:$C,2,FALSE),0)</f>
        <v>31690.139000000003</v>
      </c>
      <c r="N16" s="7">
        <f>IFERROR(VLOOKUP(Tabla14[[#This Row],[Material]],'[10]Consolidado planificación'!$B:$C,2,FALSE),0)</f>
        <v>44406.725745334203</v>
      </c>
      <c r="O16" s="7">
        <f>IFERROR(VLOOKUP(Tabla14[[#This Row],[Llave]],[11]Hoja2!$D:$G,4,FALSE),0)</f>
        <v>0</v>
      </c>
      <c r="P16" s="14">
        <f>SUM(Tabla14[[#This Row],[Producción disponible]],Tabla14[[#This Row],[Stock al día]],(Tabla14[[#This Row],[Por producir mes N]]*0.9))-Tabla14[[#This Row],[Producción por despachar mes N]]</f>
        <v>147159.13273793965</v>
      </c>
      <c r="Q16" s="7">
        <f>IFERROR(VLOOKUP(Tabla14[[#This Row],[Llave]],[9]DELAY!$A:$D,4,FALSE),0)</f>
        <v>36000</v>
      </c>
      <c r="R16" s="9">
        <v>23000</v>
      </c>
      <c r="S16" s="5">
        <f t="shared" si="5"/>
        <v>36000</v>
      </c>
      <c r="T16" s="76">
        <v>0</v>
      </c>
      <c r="U16" s="5">
        <f>+Tabla14[[#This Row],[Atraso a facturar]]+Tabla14[[#This Row],[Ajuste atraso]]</f>
        <v>36000</v>
      </c>
      <c r="V16" s="3">
        <f>+Tabla14[[#This Row],[Total disponible]]-Tabla14[[#This Row],[Facturación atraso]]</f>
        <v>111159.13273793965</v>
      </c>
      <c r="W16" s="6">
        <f>IFERROR(IF(AND(V16&gt;R16,J16&gt;=R16),ROUNDDOWN((Tabla14[[#This Row],[Producción para venta nueva]])/R16,0)*R16,0),0)</f>
        <v>92000</v>
      </c>
      <c r="X16" s="76">
        <v>0</v>
      </c>
      <c r="Y16" s="6">
        <f>IF(Tabla14[[#This Row],[Venta del mes]]&gt;0,Tabla14[[#This Row],[Venta del mes]]+Tabla14[[#This Row],[Ajuste venta nueva]],0)</f>
        <v>92000</v>
      </c>
      <c r="Z16" s="6">
        <f>+Tabla14[[#This Row],[Producción para venta nueva]]-Tabla14[[#This Row],[Facturación Venta nueva]]</f>
        <v>19159.132737939653</v>
      </c>
      <c r="AA16" s="6">
        <f>IF(AND(A16=1,Tabla14[[#This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" s="6">
        <v>0</v>
      </c>
      <c r="AC16" s="6">
        <f>IF(Tabla14[[#This Row],[Disponible stock sin venta]]&gt;0,Tabla14[[#This Row],[Disponible stock sin venta]]+Tabla14[[#This Row],[Ajuste stock sin venta]],0)</f>
        <v>0</v>
      </c>
      <c r="AD16" s="3">
        <f>IFERROR(VLOOKUP(Tabla14[[#This Row],[Llave]],[12]Hoja1!$A:$D,4,FALSE),0)</f>
        <v>0</v>
      </c>
      <c r="AE1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128000</v>
      </c>
      <c r="AF16" s="3">
        <v>128000</v>
      </c>
      <c r="AG16" s="3">
        <f>+Tabla14[[#This Row],[En puerto a facturar]]</f>
        <v>0</v>
      </c>
      <c r="AH16" s="3">
        <f>+Tabla14[[#This Row],[Facturación atraso]]</f>
        <v>36000</v>
      </c>
      <c r="AI16" s="3">
        <f>+Tabla14[[#This Row],[Plan Irrestricto (DATO)]]-Tabla14[[#This Row],[Puerto ]]-Tabla14[[#This Row],[Atraso]]</f>
        <v>92000</v>
      </c>
      <c r="AJ16" s="6">
        <f>IF(Tabla14[[#This Row],[Plan Irrestricto (DATO)]]&gt;0,SUM(Tabla14[[#This Row],[Facturación atraso]],Tabla14[[#This Row],[Facturación Venta nueva]],Tabla14[[#This Row],[Facturación stock]],Tabla14[[#This Row],[En puerto a facturar]]),0)</f>
        <v>128000</v>
      </c>
      <c r="AK16" s="3">
        <f>+Tabla14[[#This Row],[Facturación atraso]]</f>
        <v>36000</v>
      </c>
      <c r="AL16" s="3">
        <f>Tabla14[[#This Row],[Plan Ajustado]]-Tabla14[[#This Row],[ Atraso ajustado]]-Tabla14[[#This Row],[En puerto a facturar]]</f>
        <v>92000</v>
      </c>
      <c r="AM16" s="3">
        <v>0</v>
      </c>
      <c r="AN16" s="3" t="s">
        <v>636</v>
      </c>
      <c r="AO16" s="3" t="str">
        <f>IF(Tabla14[[#This Row],[Plan Ajustado]]&gt;Tabla14[[#This Row],[En puerto a facturar]],"Si","No")</f>
        <v>Si</v>
      </c>
      <c r="AP16" s="3">
        <f>IF(AND(Tabla14[[#This Row],[Plan Ajustado]]&gt;0,Tabla14[[#This Row],[Plan Ajustado]]&gt;Tabla14[[#This Row],[En puerto a facturar]]),(Tabla14[[#This Row],[Plan Ajustado]]-Tabla14[[#This Row],[En puerto a facturar]]),0)</f>
        <v>128000</v>
      </c>
      <c r="AQ16" s="3">
        <f>IF(Tabla14[[#This Row],[Necesidad]]&gt;=Tabla14[[#This Row],[Stock al día]],Tabla14[[#This Row],[Stock al día]],Tabla14[[#This Row],[Necesidad]])</f>
        <v>31690.139000000003</v>
      </c>
      <c r="AR16" s="3">
        <f>+Tabla14[[#This Row],[Necesidad]]-Tabla14[[#This Row],[Stock Plan]]</f>
        <v>96309.861000000004</v>
      </c>
      <c r="AS16" s="155">
        <f>VLOOKUP(Tabla14[[#This Row],[Sector]]&amp;Tabla14[[#This Row],[Oficina]],[8]Ponderación!$A:$H,8,FALSE)</f>
        <v>44813</v>
      </c>
      <c r="AT16" s="30">
        <f>IFERROR(VLOOKUP(Tabla14[[#This Row],[Llave]],'[6]RV plan de ventas'!$A:$F,6,FALSE),0)</f>
        <v>1.75030681818182</v>
      </c>
      <c r="AU16" s="83">
        <f>IFERROR(VLOOKUP(Tabla14[[#This Row],[Llave]],[9]DELAY!$H:$X,17,FALSE),0)</f>
        <v>1.6701662668674699</v>
      </c>
      <c r="AV1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1.7277672881246591</v>
      </c>
      <c r="AW16" s="5">
        <f>Tabla14[[#This Row],[Pecio plan]]*Tabla14[[#This Row],[Plan Ajustado]]</f>
        <v>227551.86920080683</v>
      </c>
      <c r="AX16" s="30">
        <f>IFERROR(VLOOKUP(Tabla14[[#This Row],[Llave]],'[13]Ultimos precios facturados'!$A:$G,7,FALSE),0)</f>
        <v>1.7801020566349952</v>
      </c>
      <c r="AY1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2.9399869695823418E-2</v>
      </c>
      <c r="AZ16" s="30">
        <f>IFERROR(VLOOKUP(Tabla14[[#This Row],[Llave]],Hoja2!B:K,10,FALSE),0)</f>
        <v>1.7722769712233275</v>
      </c>
      <c r="BA1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1.7277672881246591</v>
      </c>
      <c r="BB16" s="30">
        <v>1.7777489781313034</v>
      </c>
      <c r="BC16" s="30">
        <f>IF(Tabla14[[#This Row],[Market]]=0,Tabla14[[#This Row],[Precio Final]],Tabla14[[#This Row],[Market]])</f>
        <v>1.7777489781313034</v>
      </c>
      <c r="BD16" s="82"/>
      <c r="BE16" s="82" t="str">
        <f>IF(AND(Tabla14[[#This Row],[Atraso a facturar]]&gt;0,Tabla14[[#This Row],[En puerto a facturar]]&gt;0,Tabla14[[#This Row],[Precio Atraso]]=0),"Revisar","OK")</f>
        <v>OK</v>
      </c>
      <c r="BF16" s="82" t="str">
        <f>IF(AND(Tabla14[[#This Row],[Venta del mes]]&gt;0,Tabla14[[#This Row],[Precio venta nueva]]=0),"Revisar","OK")</f>
        <v>OK</v>
      </c>
      <c r="BG16" s="20">
        <f>IFERROR(VLOOKUP(Tabla14[[#This Row],[Llave]],'[5]Consolidación planes'!$A:$M,9,FALSE),0)</f>
        <v>48000</v>
      </c>
      <c r="BH16" s="20">
        <f>IFERROR(VLOOKUP(Tabla14[[#This Row],[Llave]],'[5]Consolidación planes'!$A:$M,10,FALSE),0)</f>
        <v>73000</v>
      </c>
      <c r="BI16" s="20">
        <f>IFERROR(VLOOKUP(Tabla14[[#This Row],[Llave]],'[5]Consolidación planes'!$A:$M,11,FALSE),0)</f>
        <v>96000</v>
      </c>
      <c r="BJ16" s="20">
        <f>IFERROR(VLOOKUP(Tabla14[[#This Row],[Llave]],'[5]Consolidación planes'!$A:$M,12,FALSE),0)</f>
        <v>72000</v>
      </c>
      <c r="BK16" s="20">
        <f>IFERROR(VLOOKUP(Tabla14[[#This Row],[Llave]],'[5]Consolidación planes'!$A:$M,13,FALSE),0)</f>
        <v>72000</v>
      </c>
      <c r="BL16" s="20">
        <f>IFERROR(VLOOKUP(Tabla14[[#This Row],[Llave]],'[13]Base ultimos planes'!$A:$M,13,FALSE),0)</f>
        <v>116000</v>
      </c>
      <c r="BM16" s="20">
        <f>IFERROR(VLOOKUP(Tabla14[[#This Row],[Llave]],'[13]Cruce plan irrestricto'!$C:$M,10,FALSE),0)</f>
        <v>263000</v>
      </c>
      <c r="BN16" s="20">
        <f>IFERROR(VLOOKUP(Tabla14[[#This Row],[Llave]],'[13]Cruce plan irrestricto'!$C:$M,11,FALSE),0)</f>
        <v>96000</v>
      </c>
      <c r="BO16" s="80">
        <f>IFERROR(VLOOKUP(Tabla14[[#This Row],[Llave]],'[13]Base ultimos planes'!$O:$AA,8,FALSE),0)</f>
        <v>67200</v>
      </c>
      <c r="BP16" s="20">
        <f>IFERROR(VLOOKUP(Tabla14[[#This Row],[Llave]],'[13]Base ultimos planes'!$O:$AA,9,FALSE),0)</f>
        <v>115910</v>
      </c>
      <c r="BQ16" s="20">
        <f>IFERROR(VLOOKUP(Tabla14[[#This Row],[Llave]],'[13]Base ultimos planes'!$O:$AA,10,FALSE),0)</f>
        <v>139150</v>
      </c>
      <c r="BR16" s="20">
        <f>IFERROR(VLOOKUP(Tabla14[[#This Row],[Llave]],'[13]Base ultimos planes'!$O:$AA,11,FALSE),0)</f>
        <v>115909</v>
      </c>
      <c r="BS16" s="20">
        <f>IFERROR(VLOOKUP(Tabla14[[#This Row],[Llave]],'[13]Base ultimos planes'!$O:$AA,12,FALSE),0)</f>
        <v>121440</v>
      </c>
      <c r="BT16" s="20">
        <f>IFERROR(VLOOKUP(Tabla14[[#This Row],[Llave]],'[13]Base ultimos planes'!$O:$AA,13,FALSE),0)</f>
        <v>208322</v>
      </c>
      <c r="BU16" s="20"/>
      <c r="BV16" s="20">
        <f>Tabla14[[#This Row],[ RV Producción mes n+1]]-Tabla14[[#This Row],[Producción disponible]]+Tabla14[[#This Row],[Saldo Volumen disponible]]</f>
        <v>156589.19217080079</v>
      </c>
      <c r="BW16" s="20">
        <f>IFERROR(VLOOKUP(Tabla14[[#This Row],[Llave]],[14]Hoja2!$J:$N,4,FALSE),0)</f>
        <v>0</v>
      </c>
      <c r="BX16" s="20">
        <f>+Tabla14[[#This Row],[Asignación mes n+1]]*Tabla14[[#This Row],[% Uti. producción]]</f>
        <v>0</v>
      </c>
      <c r="BY16" s="20">
        <f>+Tabla14[[#This Row],[Ponderación mes n+1]]+Tabla14[[#This Row],[Saldo mes n-1]]</f>
        <v>156589.19217080079</v>
      </c>
      <c r="BZ16" s="20">
        <f>+Tabla14[[#This Row],[Asignación mes n+1]]-Tabla14[[#This Row],[Ponderación mes n+1]]</f>
        <v>0</v>
      </c>
      <c r="CA16" s="20">
        <f>IFERROR(VLOOKUP(Tabla14[[#This Row],[Llave]],[14]Hoja2!$J:$N,5,FALSE),0)</f>
        <v>96000</v>
      </c>
      <c r="CB16" s="20">
        <f>+Tabla14[[#This Row],[Asignación mes n+2]]*Tabla14[[#This Row],[% Uti. producción]]</f>
        <v>34040.201821443043</v>
      </c>
      <c r="CC16" s="20">
        <f>+Tabla14[[#This Row],[Saldo mes n+2]]+Tabla14[[#This Row],[Ponderación mes n+2]]</f>
        <v>34040.201821443043</v>
      </c>
      <c r="CD16" s="20">
        <f>+Tabla14[[#This Row],[Asignación mes n+2]]-Tabla14[[#This Row],[Ponderación mes n+2]]</f>
        <v>61959.798178556957</v>
      </c>
    </row>
    <row r="17" spans="1:82" ht="16" x14ac:dyDescent="0.2">
      <c r="A17">
        <v>1</v>
      </c>
      <c r="B17" t="str">
        <f>Tabla14[[#This Row],[Oficina]]&amp;Tabla14[[#This Row],[Material]]</f>
        <v>Agro Sudamerica1021980</v>
      </c>
      <c r="C17" t="s">
        <v>6</v>
      </c>
      <c r="D17" t="s">
        <v>17</v>
      </c>
      <c r="E17">
        <v>1021980</v>
      </c>
      <c r="F17" t="s">
        <v>673</v>
      </c>
      <c r="G17" t="s">
        <v>18</v>
      </c>
      <c r="H17" t="s">
        <v>21</v>
      </c>
      <c r="I17" s="7">
        <f>IFERROR(IF(Tabla14[[#This Row],[Oficina]]=$I$7,VLOOKUP(Tabla14[[#This Row],[Material]],'[6]RV Producción'!$Y:$AA,3,FALSE),VLOOKUP(Tabla14[[#This Row],[Llave]],'[6]RV Producción'!$C:$G,5,FALSE)),0)</f>
        <v>0</v>
      </c>
      <c r="J17" s="7">
        <f>IFERROR(IF(Tabla14[[#This Row],[Oficina]]=$I$7,VLOOKUP(Tabla14[[#This Row],[Llave]],'[7]Shangai (Tomas)'!$A:$F,6,FALSE),VLOOKUP(Tabla14[[#This Row],[Llave]],'[6]RV plan de ventas'!$A:$E,5,FALSE)),0)</f>
        <v>5500</v>
      </c>
      <c r="K17" s="8">
        <f>IFERROR(VLOOKUP(Tabla14[[#This Row],[Sector]]&amp;Tabla14[[#This Row],[Oficina]],[8]Ponderación!$A$3:$G$22,7,FALSE),0)</f>
        <v>0.3545854356400317</v>
      </c>
      <c r="L17" s="7">
        <f>+Tabla14[[#This Row],[ RV Producción mes n+1]]*Tabla14[[#This Row],[% Uti. producción]]</f>
        <v>0</v>
      </c>
      <c r="M17" s="7">
        <f>IFERROR(VLOOKUP(Tabla14[[#This Row],[Material]],'[9]TD Stock'!$B:$C,2,FALSE),0)</f>
        <v>10674.676000000007</v>
      </c>
      <c r="N17" s="7">
        <f>IFERROR(VLOOKUP(Tabla14[[#This Row],[Material]],'[10]Consolidado planificación'!$B:$C,2,FALSE),0)</f>
        <v>790</v>
      </c>
      <c r="O17" s="7">
        <f>IFERROR(VLOOKUP(Tabla14[[#This Row],[Llave]],[11]Hoja2!$D:$G,4,FALSE),0)</f>
        <v>0</v>
      </c>
      <c r="P17" s="14">
        <f>SUM(Tabla14[[#This Row],[Producción disponible]],Tabla14[[#This Row],[Stock al día]],(Tabla14[[#This Row],[Por producir mes N]]*0.9))-Tabla14[[#This Row],[Producción por despachar mes N]]</f>
        <v>11385.676000000007</v>
      </c>
      <c r="Q17" s="7">
        <f>IFERROR(VLOOKUP(Tabla14[[#This Row],[Llave]],[9]DELAY!$A:$D,4,FALSE),0)</f>
        <v>0</v>
      </c>
      <c r="R17" s="9">
        <v>23000</v>
      </c>
      <c r="S17" s="5">
        <f t="shared" si="5"/>
        <v>0</v>
      </c>
      <c r="T17" s="76">
        <v>0</v>
      </c>
      <c r="U17" s="5">
        <f>+Tabla14[[#This Row],[Atraso a facturar]]+Tabla14[[#This Row],[Ajuste atraso]]</f>
        <v>0</v>
      </c>
      <c r="V17" s="3">
        <f>+Tabla14[[#This Row],[Total disponible]]-Tabla14[[#This Row],[Facturación atraso]]</f>
        <v>11385.676000000007</v>
      </c>
      <c r="W17" s="6">
        <f>IFERROR(IF(AND(V17&gt;R17,J17&gt;=R17),ROUNDDOWN((Tabla14[[#This Row],[Producción para venta nueva]])/R17,0)*R17,0),0)</f>
        <v>0</v>
      </c>
      <c r="X17" s="76">
        <v>0</v>
      </c>
      <c r="Y17" s="6">
        <f>IF(Tabla14[[#This Row],[Venta del mes]]&gt;0,Tabla14[[#This Row],[Venta del mes]]+Tabla14[[#This Row],[Ajuste venta nueva]],0)</f>
        <v>0</v>
      </c>
      <c r="Z17" s="6">
        <f>+Tabla14[[#This Row],[Producción para venta nueva]]-Tabla14[[#This Row],[Facturación Venta nueva]]</f>
        <v>11385.676000000007</v>
      </c>
      <c r="AA17" s="6">
        <f>IF(AND(A17=1,Tabla14[[#This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" s="6">
        <v>0</v>
      </c>
      <c r="AC17" s="6">
        <f>IF(Tabla14[[#This Row],[Disponible stock sin venta]]&gt;0,Tabla14[[#This Row],[Disponible stock sin venta]]+Tabla14[[#This Row],[Ajuste stock sin venta]],0)</f>
        <v>0</v>
      </c>
      <c r="AD17" s="3">
        <f>IFERROR(VLOOKUP(Tabla14[[#This Row],[Llave]],[12]Hoja1!$A:$D,4,FALSE),0)</f>
        <v>0</v>
      </c>
      <c r="AE1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7" s="3">
        <v>0</v>
      </c>
      <c r="AG17" s="3">
        <f>+Tabla14[[#This Row],[En puerto a facturar]]</f>
        <v>0</v>
      </c>
      <c r="AH17" s="3">
        <f>+Tabla14[[#This Row],[Facturación atraso]]</f>
        <v>0</v>
      </c>
      <c r="AI17" s="3">
        <f>+Tabla14[[#This Row],[Plan Irrestricto (DATO)]]-Tabla14[[#This Row],[Puerto ]]-Tabla14[[#This Row],[Atraso]]</f>
        <v>0</v>
      </c>
      <c r="AJ1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7" s="3">
        <f>+Tabla14[[#This Row],[Facturación atraso]]</f>
        <v>0</v>
      </c>
      <c r="AL17" s="3">
        <f>Tabla14[[#This Row],[Plan Ajustado]]-Tabla14[[#This Row],[ Atraso ajustado]]-Tabla14[[#This Row],[En puerto a facturar]]</f>
        <v>0</v>
      </c>
      <c r="AM17" s="3">
        <v>0</v>
      </c>
      <c r="AN17" s="3" t="e">
        <v>#REF!</v>
      </c>
      <c r="AO17" s="3" t="str">
        <f>IF(Tabla14[[#This Row],[Plan Ajustado]]&gt;Tabla14[[#This Row],[En puerto a facturar]],"Si","No")</f>
        <v>No</v>
      </c>
      <c r="AP1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7" s="3">
        <f>IF(Tabla14[[#This Row],[Necesidad]]&gt;=Tabla14[[#This Row],[Stock al día]],Tabla14[[#This Row],[Stock al día]],Tabla14[[#This Row],[Necesidad]])</f>
        <v>0</v>
      </c>
      <c r="AR17" s="3">
        <f>+Tabla14[[#This Row],[Necesidad]]-Tabla14[[#This Row],[Stock Plan]]</f>
        <v>0</v>
      </c>
      <c r="AS17" s="155">
        <f>VLOOKUP(Tabla14[[#This Row],[Sector]]&amp;Tabla14[[#This Row],[Oficina]],[8]Ponderación!$A:$H,8,FALSE)</f>
        <v>44813</v>
      </c>
      <c r="AT17" s="30">
        <f>IFERROR(VLOOKUP(Tabla14[[#This Row],[Llave]],'[6]RV plan de ventas'!$A:$F,6,FALSE),0)</f>
        <v>4.9867272727272702</v>
      </c>
      <c r="AU17" s="83">
        <f>IFERROR(VLOOKUP(Tabla14[[#This Row],[Llave]],[9]DELAY!$H:$X,17,FALSE),0)</f>
        <v>0</v>
      </c>
      <c r="AV1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7" s="5">
        <f>Tabla14[[#This Row],[Pecio plan]]*Tabla14[[#This Row],[Plan Ajustado]]</f>
        <v>0</v>
      </c>
      <c r="AX17" s="30">
        <f>IFERROR(VLOOKUP(Tabla14[[#This Row],[Llave]],'[13]Ultimos precios facturados'!$A:$G,7,FALSE),0)</f>
        <v>0</v>
      </c>
      <c r="AY1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7" s="30">
        <f>IFERROR(VLOOKUP(Tabla14[[#This Row],[Llave]],Hoja2!B:K,10,FALSE),0)</f>
        <v>0</v>
      </c>
      <c r="BA1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7" s="30">
        <v>0</v>
      </c>
      <c r="BC17" s="30">
        <f>IF(Tabla14[[#This Row],[Market]]=0,Tabla14[[#This Row],[Precio Final]],Tabla14[[#This Row],[Market]])</f>
        <v>0</v>
      </c>
      <c r="BD17" s="82"/>
      <c r="BE17" s="82" t="str">
        <f>IF(AND(Tabla14[[#This Row],[Atraso a facturar]]&gt;0,Tabla14[[#This Row],[En puerto a facturar]]&gt;0,Tabla14[[#This Row],[Precio Atraso]]=0),"Revisar","OK")</f>
        <v>OK</v>
      </c>
      <c r="BF17" s="82" t="str">
        <f>IF(AND(Tabla14[[#This Row],[Venta del mes]]&gt;0,Tabla14[[#This Row],[Precio venta nueva]]=0),"Revisar","OK")</f>
        <v>OK</v>
      </c>
      <c r="BG17" s="20">
        <f>IFERROR(VLOOKUP(Tabla14[[#This Row],[Llave]],'[5]Consolidación planes'!$A:$M,9,FALSE),0)</f>
        <v>0</v>
      </c>
      <c r="BH17" s="20">
        <f>IFERROR(VLOOKUP(Tabla14[[#This Row],[Llave]],'[5]Consolidación planes'!$A:$M,10,FALSE),0)</f>
        <v>0</v>
      </c>
      <c r="BI17" s="20">
        <f>IFERROR(VLOOKUP(Tabla14[[#This Row],[Llave]],'[5]Consolidación planes'!$A:$M,11,FALSE),0)</f>
        <v>0</v>
      </c>
      <c r="BJ17" s="20">
        <f>IFERROR(VLOOKUP(Tabla14[[#This Row],[Llave]],'[5]Consolidación planes'!$A:$M,12,FALSE),0)</f>
        <v>0</v>
      </c>
      <c r="BK17" s="20">
        <f>IFERROR(VLOOKUP(Tabla14[[#This Row],[Llave]],'[5]Consolidación planes'!$A:$M,13,FALSE),0)</f>
        <v>0</v>
      </c>
      <c r="BL17" s="20">
        <f>IFERROR(VLOOKUP(Tabla14[[#This Row],[Llave]],'[13]Base ultimos planes'!$A:$M,13,FALSE),0)</f>
        <v>0</v>
      </c>
      <c r="BM17" s="20">
        <f>IFERROR(VLOOKUP(Tabla14[[#This Row],[Llave]],'[13]Cruce plan irrestricto'!$C:$M,10,FALSE),0)</f>
        <v>0</v>
      </c>
      <c r="BN17" s="20">
        <f>IFERROR(VLOOKUP(Tabla14[[#This Row],[Llave]],'[13]Cruce plan irrestricto'!$C:$M,11,FALSE),0)</f>
        <v>0</v>
      </c>
      <c r="BO17" s="80">
        <f>IFERROR(VLOOKUP(Tabla14[[#This Row],[Llave]],'[13]Base ultimos planes'!$O:$AA,8,FALSE),0)</f>
        <v>0</v>
      </c>
      <c r="BP17" s="20">
        <f>IFERROR(VLOOKUP(Tabla14[[#This Row],[Llave]],'[13]Base ultimos planes'!$O:$AA,9,FALSE),0)</f>
        <v>0</v>
      </c>
      <c r="BQ17" s="20">
        <f>IFERROR(VLOOKUP(Tabla14[[#This Row],[Llave]],'[13]Base ultimos planes'!$O:$AA,10,FALSE),0)</f>
        <v>0</v>
      </c>
      <c r="BR17" s="20">
        <f>IFERROR(VLOOKUP(Tabla14[[#This Row],[Llave]],'[13]Base ultimos planes'!$O:$AA,11,FALSE),0)</f>
        <v>0</v>
      </c>
      <c r="BS17" s="20">
        <f>IFERROR(VLOOKUP(Tabla14[[#This Row],[Llave]],'[13]Base ultimos planes'!$O:$AA,12,FALSE),0)</f>
        <v>0</v>
      </c>
      <c r="BT17" s="20">
        <f>IFERROR(VLOOKUP(Tabla14[[#This Row],[Llave]],'[13]Base ultimos planes'!$O:$AA,13,FALSE),0)</f>
        <v>0</v>
      </c>
      <c r="BU17" s="20"/>
      <c r="BV17" s="20">
        <f>Tabla14[[#This Row],[ RV Producción mes n+1]]-Tabla14[[#This Row],[Producción disponible]]+Tabla14[[#This Row],[Saldo Volumen disponible]]</f>
        <v>11385.676000000007</v>
      </c>
      <c r="BW17" s="20">
        <f>IFERROR(VLOOKUP(Tabla14[[#This Row],[Llave]],[14]Hoja2!$J:$N,4,FALSE),0)</f>
        <v>2843.9274</v>
      </c>
      <c r="BX17" s="20">
        <f>+Tabla14[[#This Row],[Asignación mes n+1]]*Tabla14[[#This Row],[% Uti. producción]]</f>
        <v>1008.4152360576227</v>
      </c>
      <c r="BY17" s="20">
        <f>+Tabla14[[#This Row],[Ponderación mes n+1]]+Tabla14[[#This Row],[Saldo mes n-1]]</f>
        <v>12394.091236057629</v>
      </c>
      <c r="BZ17" s="20">
        <f>+Tabla14[[#This Row],[Asignación mes n+1]]-Tabla14[[#This Row],[Ponderación mes n+1]]</f>
        <v>1835.5121639423774</v>
      </c>
      <c r="CA17" s="20">
        <f>IFERROR(VLOOKUP(Tabla14[[#This Row],[Llave]],[14]Hoja2!$J:$N,5,FALSE),0)</f>
        <v>0</v>
      </c>
      <c r="CB17" s="20">
        <f>+Tabla14[[#This Row],[Asignación mes n+2]]*Tabla14[[#This Row],[% Uti. producción]]</f>
        <v>0</v>
      </c>
      <c r="CC17" s="20">
        <f>+Tabla14[[#This Row],[Saldo mes n+2]]+Tabla14[[#This Row],[Ponderación mes n+2]]</f>
        <v>1835.5121639423774</v>
      </c>
      <c r="CD17" s="20">
        <f>+Tabla14[[#This Row],[Asignación mes n+2]]-Tabla14[[#This Row],[Ponderación mes n+2]]</f>
        <v>0</v>
      </c>
    </row>
    <row r="18" spans="1:82" ht="16" x14ac:dyDescent="0.2">
      <c r="A18">
        <v>1</v>
      </c>
      <c r="B18" t="str">
        <f>Tabla14[[#This Row],[Oficina]]&amp;Tabla14[[#This Row],[Material]]</f>
        <v>Agro Sudamerica1020848</v>
      </c>
      <c r="C18" t="s">
        <v>6</v>
      </c>
      <c r="D18" t="s">
        <v>17</v>
      </c>
      <c r="E18">
        <v>1020848</v>
      </c>
      <c r="F18" t="s">
        <v>52</v>
      </c>
      <c r="G18" t="s">
        <v>50</v>
      </c>
      <c r="H18" t="s">
        <v>51</v>
      </c>
      <c r="I18" s="7">
        <f>IFERROR(IF(Tabla14[[#This Row],[Oficina]]=$I$7,VLOOKUP(Tabla14[[#This Row],[Material]],'[6]RV Producción'!$Y:$AA,3,FALSE),VLOOKUP(Tabla14[[#This Row],[Llave]],'[6]RV Producción'!$C:$G,5,FALSE)),0)</f>
        <v>121861</v>
      </c>
      <c r="J18" s="7">
        <f>IFERROR(IF(Tabla14[[#This Row],[Oficina]]=$I$7,VLOOKUP(Tabla14[[#This Row],[Llave]],'[7]Shangai (Tomas)'!$A:$F,6,FALSE),VLOOKUP(Tabla14[[#This Row],[Llave]],'[6]RV plan de ventas'!$A:$E,5,FALSE)),0)</f>
        <v>96000</v>
      </c>
      <c r="K18" s="8">
        <f>IFERROR(VLOOKUP(Tabla14[[#This Row],[Sector]]&amp;Tabla14[[#This Row],[Oficina]],[8]Ponderación!$A$3:$G$22,7,FALSE),0)</f>
        <v>0.3545854356400317</v>
      </c>
      <c r="L18" s="7">
        <f>+Tabla14[[#This Row],[ RV Producción mes n+1]]*Tabla14[[#This Row],[% Uti. producción]]</f>
        <v>43210.135772529902</v>
      </c>
      <c r="M18" s="7">
        <f>IFERROR(VLOOKUP(Tabla14[[#This Row],[Material]],'[9]TD Stock'!$B:$C,2,FALSE),0)</f>
        <v>86253.915000000023</v>
      </c>
      <c r="N18" s="7">
        <f>IFERROR(VLOOKUP(Tabla14[[#This Row],[Material]],'[10]Consolidado planificación'!$B:$C,2,FALSE),0)</f>
        <v>19096.033842128214</v>
      </c>
      <c r="O18" s="7">
        <f>IFERROR(VLOOKUP(Tabla14[[#This Row],[Llave]],[11]Hoja2!$D:$G,4,FALSE),0)</f>
        <v>0</v>
      </c>
      <c r="P18" s="14">
        <f>SUM(Tabla14[[#This Row],[Producción disponible]],Tabla14[[#This Row],[Stock al día]],(Tabla14[[#This Row],[Por producir mes N]]*0.9))-Tabla14[[#This Row],[Producción por despachar mes N]]</f>
        <v>146650.48123044532</v>
      </c>
      <c r="Q18" s="7">
        <f>IFERROR(VLOOKUP(Tabla14[[#This Row],[Llave]],[9]DELAY!$A:$D,4,FALSE),0)</f>
        <v>84000</v>
      </c>
      <c r="R18" s="9">
        <v>23000</v>
      </c>
      <c r="S18" s="5">
        <f t="shared" si="5"/>
        <v>84000</v>
      </c>
      <c r="T18" s="76">
        <v>0</v>
      </c>
      <c r="U18" s="5">
        <f>+Tabla14[[#This Row],[Atraso a facturar]]+Tabla14[[#This Row],[Ajuste atraso]]</f>
        <v>84000</v>
      </c>
      <c r="V18" s="3">
        <f>+Tabla14[[#This Row],[Total disponible]]-Tabla14[[#This Row],[Facturación atraso]]</f>
        <v>62650.481230445323</v>
      </c>
      <c r="W18" s="6">
        <f>IFERROR(IF(AND(V18&gt;R18,J18&gt;=R18),ROUNDDOWN((Tabla14[[#This Row],[Producción para venta nueva]])/R18,0)*R18,0),0)</f>
        <v>46000</v>
      </c>
      <c r="X18" s="76">
        <v>0</v>
      </c>
      <c r="Y18" s="6">
        <f>IF(Tabla14[[#This Row],[Venta del mes]]&gt;0,Tabla14[[#This Row],[Venta del mes]]+Tabla14[[#This Row],[Ajuste venta nueva]],0)</f>
        <v>46000</v>
      </c>
      <c r="Z18" s="6">
        <f>+Tabla14[[#This Row],[Producción para venta nueva]]-Tabla14[[#This Row],[Facturación Venta nueva]]</f>
        <v>16650.481230445323</v>
      </c>
      <c r="AA18" s="6">
        <f>IF(AND(A18=1,Tabla14[[#This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8" s="6">
        <v>0</v>
      </c>
      <c r="AC18" s="6">
        <f>IF(Tabla14[[#This Row],[Disponible stock sin venta]]&gt;0,Tabla14[[#This Row],[Disponible stock sin venta]]+Tabla14[[#This Row],[Ajuste stock sin venta]],0)</f>
        <v>0</v>
      </c>
      <c r="AD18" s="3">
        <f>IFERROR(VLOOKUP(Tabla14[[#This Row],[Llave]],[12]Hoja1!$A:$D,4,FALSE),0)</f>
        <v>23796.98</v>
      </c>
      <c r="AE1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153796.98000000001</v>
      </c>
      <c r="AF18" s="3">
        <v>153796.98000000001</v>
      </c>
      <c r="AG18" s="3">
        <f>+Tabla14[[#This Row],[En puerto a facturar]]</f>
        <v>23796.98</v>
      </c>
      <c r="AH18" s="3">
        <f>+Tabla14[[#This Row],[Facturación atraso]]</f>
        <v>84000</v>
      </c>
      <c r="AI18" s="3">
        <f>+Tabla14[[#This Row],[Plan Irrestricto (DATO)]]-Tabla14[[#This Row],[Puerto ]]-Tabla14[[#This Row],[Atraso]]</f>
        <v>46000.000000000015</v>
      </c>
      <c r="AJ18" s="6">
        <f>IF(Tabla14[[#This Row],[Plan Irrestricto (DATO)]]&gt;0,SUM(Tabla14[[#This Row],[Facturación atraso]],Tabla14[[#This Row],[Facturación Venta nueva]],Tabla14[[#This Row],[Facturación stock]],Tabla14[[#This Row],[En puerto a facturar]]),0)</f>
        <v>153796.98000000001</v>
      </c>
      <c r="AK18" s="3">
        <f>+Tabla14[[#This Row],[Facturación atraso]]</f>
        <v>84000</v>
      </c>
      <c r="AL18" s="3">
        <f>Tabla14[[#This Row],[Plan Ajustado]]-Tabla14[[#This Row],[ Atraso ajustado]]-Tabla14[[#This Row],[En puerto a facturar]]</f>
        <v>46000.000000000015</v>
      </c>
      <c r="AM18" s="3">
        <v>0</v>
      </c>
      <c r="AN18" s="3" t="s">
        <v>636</v>
      </c>
      <c r="AO18" s="3" t="str">
        <f>IF(Tabla14[[#This Row],[Plan Ajustado]]&gt;Tabla14[[#This Row],[En puerto a facturar]],"Si","No")</f>
        <v>Si</v>
      </c>
      <c r="AP18" s="3">
        <f>IF(AND(Tabla14[[#This Row],[Plan Ajustado]]&gt;0,Tabla14[[#This Row],[Plan Ajustado]]&gt;Tabla14[[#This Row],[En puerto a facturar]]),(Tabla14[[#This Row],[Plan Ajustado]]-Tabla14[[#This Row],[En puerto a facturar]]),0)</f>
        <v>130000.00000000001</v>
      </c>
      <c r="AQ18" s="3">
        <f>IF(Tabla14[[#This Row],[Necesidad]]&gt;=Tabla14[[#This Row],[Stock al día]],Tabla14[[#This Row],[Stock al día]],Tabla14[[#This Row],[Necesidad]])</f>
        <v>86253.915000000023</v>
      </c>
      <c r="AR18" s="3">
        <f>+Tabla14[[#This Row],[Necesidad]]-Tabla14[[#This Row],[Stock Plan]]</f>
        <v>43746.084999999992</v>
      </c>
      <c r="AS18" s="155">
        <f>VLOOKUP(Tabla14[[#This Row],[Sector]]&amp;Tabla14[[#This Row],[Oficina]],[8]Ponderación!$A:$H,8,FALSE)</f>
        <v>44813</v>
      </c>
      <c r="AT18" s="30">
        <f>IFERROR(VLOOKUP(Tabla14[[#This Row],[Llave]],'[6]RV plan de ventas'!$A:$F,6,FALSE),0)</f>
        <v>3.20667708333333</v>
      </c>
      <c r="AU18" s="83">
        <f>IFERROR(VLOOKUP(Tabla14[[#This Row],[Llave]],[9]DELAY!$H:$X,17,FALSE),0)</f>
        <v>3.3145773809523802</v>
      </c>
      <c r="AV1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3.2823048767037513</v>
      </c>
      <c r="AW18" s="5">
        <f>Tabla14[[#This Row],[Pecio plan]]*Tabla14[[#This Row],[Plan Ajustado]]</f>
        <v>494613.42143333331</v>
      </c>
      <c r="AX18" s="30">
        <f>IFERROR(VLOOKUP(Tabla14[[#This Row],[Llave]],'[13]Ultimos precios facturados'!$A:$G,7,FALSE),0)</f>
        <v>2.7010263567894919</v>
      </c>
      <c r="AY1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0.21520653378783824</v>
      </c>
      <c r="AZ18" s="30">
        <f>IFERROR(VLOOKUP(Tabla14[[#This Row],[Llave]],Hoja2!B:K,10,FALSE),0)</f>
        <v>3.1433333333333335</v>
      </c>
      <c r="BA1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3.2823048767037513</v>
      </c>
      <c r="BB18" s="30">
        <v>3.2160151742468108</v>
      </c>
      <c r="BC18" s="30">
        <f>IF(Tabla14[[#This Row],[Market]]=0,Tabla14[[#This Row],[Precio Final]],Tabla14[[#This Row],[Market]])</f>
        <v>3.2160151742468108</v>
      </c>
      <c r="BD18" s="82"/>
      <c r="BE18" s="82" t="str">
        <f>IF(AND(Tabla14[[#This Row],[Atraso a facturar]]&gt;0,Tabla14[[#This Row],[En puerto a facturar]]&gt;0,Tabla14[[#This Row],[Precio Atraso]]=0),"Revisar","OK")</f>
        <v>OK</v>
      </c>
      <c r="BF18" s="82" t="str">
        <f>IF(AND(Tabla14[[#This Row],[Venta del mes]]&gt;0,Tabla14[[#This Row],[Precio venta nueva]]=0),"Revisar","OK")</f>
        <v>OK</v>
      </c>
      <c r="BG18" s="20">
        <f>IFERROR(VLOOKUP(Tabla14[[#This Row],[Llave]],'[5]Consolidación planes'!$A:$M,9,FALSE),0)</f>
        <v>240000</v>
      </c>
      <c r="BH18" s="20">
        <f>IFERROR(VLOOKUP(Tabla14[[#This Row],[Llave]],'[5]Consolidación planes'!$A:$M,10,FALSE),0)</f>
        <v>147000</v>
      </c>
      <c r="BI18" s="20">
        <f>IFERROR(VLOOKUP(Tabla14[[#This Row],[Llave]],'[5]Consolidación planes'!$A:$M,11,FALSE),0)</f>
        <v>360000</v>
      </c>
      <c r="BJ18" s="20">
        <f>IFERROR(VLOOKUP(Tabla14[[#This Row],[Llave]],'[5]Consolidación planes'!$A:$M,12,FALSE),0)</f>
        <v>192000</v>
      </c>
      <c r="BK18" s="20">
        <f>IFERROR(VLOOKUP(Tabla14[[#This Row],[Llave]],'[5]Consolidación planes'!$A:$M,13,FALSE),0)</f>
        <v>72000</v>
      </c>
      <c r="BL18" s="20">
        <f>IFERROR(VLOOKUP(Tabla14[[#This Row],[Llave]],'[13]Base ultimos planes'!$A:$M,13,FALSE),0)</f>
        <v>72000</v>
      </c>
      <c r="BM18" s="20">
        <f>IFERROR(VLOOKUP(Tabla14[[#This Row],[Llave]],'[13]Cruce plan irrestricto'!$C:$M,10,FALSE),0)</f>
        <v>48000</v>
      </c>
      <c r="BN18" s="20">
        <f>IFERROR(VLOOKUP(Tabla14[[#This Row],[Llave]],'[13]Cruce plan irrestricto'!$C:$M,11,FALSE),0)</f>
        <v>72000</v>
      </c>
      <c r="BO18" s="80">
        <f>IFERROR(VLOOKUP(Tabla14[[#This Row],[Llave]],'[13]Base ultimos planes'!$O:$AA,8,FALSE),0)</f>
        <v>684000</v>
      </c>
      <c r="BP18" s="20">
        <f>IFERROR(VLOOKUP(Tabla14[[#This Row],[Llave]],'[13]Base ultimos planes'!$O:$AA,9,FALSE),0)</f>
        <v>364350</v>
      </c>
      <c r="BQ18" s="20">
        <f>IFERROR(VLOOKUP(Tabla14[[#This Row],[Llave]],'[13]Base ultimos planes'!$O:$AA,10,FALSE),0)</f>
        <v>949090</v>
      </c>
      <c r="BR18" s="20">
        <f>IFERROR(VLOOKUP(Tabla14[[#This Row],[Llave]],'[13]Base ultimos planes'!$O:$AA,11,FALSE),0)</f>
        <v>495200</v>
      </c>
      <c r="BS18" s="20">
        <f>IFERROR(VLOOKUP(Tabla14[[#This Row],[Llave]],'[13]Base ultimos planes'!$O:$AA,12,FALSE),0)</f>
        <v>201467</v>
      </c>
      <c r="BT18" s="20">
        <f>IFERROR(VLOOKUP(Tabla14[[#This Row],[Llave]],'[13]Base ultimos planes'!$O:$AA,13,FALSE),0)</f>
        <v>204416</v>
      </c>
      <c r="BU18" s="20"/>
      <c r="BV18" s="20">
        <f>Tabla14[[#This Row],[ RV Producción mes n+1]]-Tabla14[[#This Row],[Producción disponible]]+Tabla14[[#This Row],[Saldo Volumen disponible]]</f>
        <v>95301.34545791542</v>
      </c>
      <c r="BW18" s="20">
        <f>IFERROR(VLOOKUP(Tabla14[[#This Row],[Llave]],[14]Hoja2!$J:$N,4,FALSE),0)</f>
        <v>192000</v>
      </c>
      <c r="BX18" s="20">
        <f>+Tabla14[[#This Row],[Asignación mes n+1]]*Tabla14[[#This Row],[% Uti. producción]]</f>
        <v>68080.403642886085</v>
      </c>
      <c r="BY18" s="20">
        <f>+Tabla14[[#This Row],[Ponderación mes n+1]]+Tabla14[[#This Row],[Saldo mes n-1]]</f>
        <v>163381.74910080151</v>
      </c>
      <c r="BZ18" s="20">
        <f>+Tabla14[[#This Row],[Asignación mes n+1]]-Tabla14[[#This Row],[Ponderación mes n+1]]</f>
        <v>123919.59635711391</v>
      </c>
      <c r="CA18" s="20">
        <f>IFERROR(VLOOKUP(Tabla14[[#This Row],[Llave]],[14]Hoja2!$J:$N,5,FALSE),0)</f>
        <v>192000</v>
      </c>
      <c r="CB18" s="20">
        <f>+Tabla14[[#This Row],[Asignación mes n+2]]*Tabla14[[#This Row],[% Uti. producción]]</f>
        <v>68080.403642886085</v>
      </c>
      <c r="CC18" s="20">
        <f>+Tabla14[[#This Row],[Saldo mes n+2]]+Tabla14[[#This Row],[Ponderación mes n+2]]</f>
        <v>192000</v>
      </c>
      <c r="CD18" s="20">
        <f>+Tabla14[[#This Row],[Asignación mes n+2]]-Tabla14[[#This Row],[Ponderación mes n+2]]</f>
        <v>123919.59635711391</v>
      </c>
    </row>
    <row r="19" spans="1:82" ht="16" x14ac:dyDescent="0.2">
      <c r="A19">
        <v>1</v>
      </c>
      <c r="B19" t="str">
        <f>Tabla14[[#This Row],[Oficina]]&amp;Tabla14[[#This Row],[Material]]</f>
        <v>Agro Sudamerica1020869</v>
      </c>
      <c r="C19" t="s">
        <v>6</v>
      </c>
      <c r="D19" t="s">
        <v>17</v>
      </c>
      <c r="E19">
        <v>1020869</v>
      </c>
      <c r="F19" t="s">
        <v>27</v>
      </c>
      <c r="G19" t="s">
        <v>25</v>
      </c>
      <c r="H19" t="s">
        <v>26</v>
      </c>
      <c r="I19" s="7">
        <f>IFERROR(IF(Tabla14[[#This Row],[Oficina]]=$I$7,VLOOKUP(Tabla14[[#This Row],[Material]],'[6]RV Producción'!$Y:$AA,3,FALSE),VLOOKUP(Tabla14[[#This Row],[Llave]],'[6]RV Producción'!$C:$G,5,FALSE)),0)</f>
        <v>0</v>
      </c>
      <c r="J19" s="7">
        <f>IFERROR(IF(Tabla14[[#This Row],[Oficina]]=$I$7,VLOOKUP(Tabla14[[#This Row],[Llave]],'[7]Shangai (Tomas)'!$A:$F,6,FALSE),VLOOKUP(Tabla14[[#This Row],[Llave]],'[6]RV plan de ventas'!$A:$E,5,FALSE)),0)</f>
        <v>0</v>
      </c>
      <c r="K19" s="8">
        <f>IFERROR(VLOOKUP(Tabla14[[#This Row],[Sector]]&amp;Tabla14[[#This Row],[Oficina]],[8]Ponderación!$A$3:$G$22,7,FALSE),0)</f>
        <v>0.3545854356400317</v>
      </c>
      <c r="L19" s="7">
        <f>+Tabla14[[#This Row],[ RV Producción mes n+1]]*Tabla14[[#This Row],[% Uti. producción]]</f>
        <v>0</v>
      </c>
      <c r="M19" s="7">
        <f>IFERROR(VLOOKUP(Tabla14[[#This Row],[Material]],'[9]TD Stock'!$B:$C,2,FALSE),0)</f>
        <v>45120.754000000008</v>
      </c>
      <c r="N19" s="7">
        <f>IFERROR(VLOOKUP(Tabla14[[#This Row],[Material]],'[10]Consolidado planificación'!$B:$C,2,FALSE),0)</f>
        <v>3025.5904013062973</v>
      </c>
      <c r="O19" s="7">
        <f>IFERROR(VLOOKUP(Tabla14[[#This Row],[Llave]],[11]Hoja2!$D:$G,4,FALSE),0)</f>
        <v>0</v>
      </c>
      <c r="P19" s="14">
        <f>SUM(Tabla14[[#This Row],[Producción disponible]],Tabla14[[#This Row],[Stock al día]],(Tabla14[[#This Row],[Por producir mes N]]*0.9))-Tabla14[[#This Row],[Producción por despachar mes N]]</f>
        <v>47843.785361175673</v>
      </c>
      <c r="Q19" s="7">
        <f>IFERROR(VLOOKUP(Tabla14[[#This Row],[Llave]],[9]DELAY!$A:$D,4,FALSE),0)</f>
        <v>48000</v>
      </c>
      <c r="R19" s="9">
        <v>23000</v>
      </c>
      <c r="S19" s="5">
        <f t="shared" si="5"/>
        <v>46000</v>
      </c>
      <c r="T19" s="76">
        <v>0</v>
      </c>
      <c r="U19" s="5">
        <f>+Tabla14[[#This Row],[Atraso a facturar]]+Tabla14[[#This Row],[Ajuste atraso]]</f>
        <v>46000</v>
      </c>
      <c r="V19" s="3">
        <f>+Tabla14[[#This Row],[Total disponible]]-Tabla14[[#This Row],[Facturación atraso]]</f>
        <v>1843.7853611756727</v>
      </c>
      <c r="W19" s="6">
        <f>IFERROR(IF(AND(V19&gt;R19,J19&gt;=R19),ROUNDDOWN((Tabla14[[#This Row],[Producción para venta nueva]])/R19,0)*R19,0),0)</f>
        <v>0</v>
      </c>
      <c r="X19" s="76">
        <v>0</v>
      </c>
      <c r="Y19" s="6">
        <f>IF(Tabla14[[#This Row],[Venta del mes]]&gt;0,Tabla14[[#This Row],[Venta del mes]]+Tabla14[[#This Row],[Ajuste venta nueva]],0)</f>
        <v>0</v>
      </c>
      <c r="Z19" s="6">
        <f>+Tabla14[[#This Row],[Producción para venta nueva]]-Tabla14[[#This Row],[Facturación Venta nueva]]</f>
        <v>1843.7853611756727</v>
      </c>
      <c r="AA19" s="6">
        <f>IF(AND(A19=1,Tabla14[[#This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9" s="6">
        <v>0</v>
      </c>
      <c r="AC19" s="6">
        <f>IF(Tabla14[[#This Row],[Disponible stock sin venta]]&gt;0,Tabla14[[#This Row],[Disponible stock sin venta]]+Tabla14[[#This Row],[Ajuste stock sin venta]],0)</f>
        <v>0</v>
      </c>
      <c r="AD19" s="3">
        <f>IFERROR(VLOOKUP(Tabla14[[#This Row],[Llave]],[12]Hoja1!$A:$D,4,FALSE),0)</f>
        <v>0</v>
      </c>
      <c r="AE1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46000</v>
      </c>
      <c r="AF19" s="3">
        <v>46000</v>
      </c>
      <c r="AG19" s="3">
        <f>+Tabla14[[#This Row],[En puerto a facturar]]</f>
        <v>0</v>
      </c>
      <c r="AH19" s="3">
        <f>+Tabla14[[#This Row],[Facturación atraso]]</f>
        <v>46000</v>
      </c>
      <c r="AI19" s="3">
        <f>+Tabla14[[#This Row],[Plan Irrestricto (DATO)]]-Tabla14[[#This Row],[Puerto ]]-Tabla14[[#This Row],[Atraso]]</f>
        <v>0</v>
      </c>
      <c r="AJ19" s="6">
        <f>IF(Tabla14[[#This Row],[Plan Irrestricto (DATO)]]&gt;0,SUM(Tabla14[[#This Row],[Facturación atraso]],Tabla14[[#This Row],[Facturación Venta nueva]],Tabla14[[#This Row],[Facturación stock]],Tabla14[[#This Row],[En puerto a facturar]]),0)</f>
        <v>46000</v>
      </c>
      <c r="AK19" s="3">
        <f>+Tabla14[[#This Row],[Facturación atraso]]</f>
        <v>46000</v>
      </c>
      <c r="AL19" s="3">
        <f>Tabla14[[#This Row],[Plan Ajustado]]-Tabla14[[#This Row],[ Atraso ajustado]]-Tabla14[[#This Row],[En puerto a facturar]]</f>
        <v>0</v>
      </c>
      <c r="AM19" s="3">
        <v>0</v>
      </c>
      <c r="AN19" s="3" t="s">
        <v>636</v>
      </c>
      <c r="AO19" s="3" t="str">
        <f>IF(Tabla14[[#This Row],[Plan Ajustado]]&gt;Tabla14[[#This Row],[En puerto a facturar]],"Si","No")</f>
        <v>Si</v>
      </c>
      <c r="AP19" s="3">
        <f>IF(AND(Tabla14[[#This Row],[Plan Ajustado]]&gt;0,Tabla14[[#This Row],[Plan Ajustado]]&gt;Tabla14[[#This Row],[En puerto a facturar]]),(Tabla14[[#This Row],[Plan Ajustado]]-Tabla14[[#This Row],[En puerto a facturar]]),0)</f>
        <v>46000</v>
      </c>
      <c r="AQ19" s="3">
        <f>IF(Tabla14[[#This Row],[Necesidad]]&gt;=Tabla14[[#This Row],[Stock al día]],Tabla14[[#This Row],[Stock al día]],Tabla14[[#This Row],[Necesidad]])</f>
        <v>45120.754000000008</v>
      </c>
      <c r="AR19" s="3">
        <f>+Tabla14[[#This Row],[Necesidad]]-Tabla14[[#This Row],[Stock Plan]]</f>
        <v>879.24599999999191</v>
      </c>
      <c r="AS19" s="155">
        <f>VLOOKUP(Tabla14[[#This Row],[Sector]]&amp;Tabla14[[#This Row],[Oficina]],[8]Ponderación!$A:$H,8,FALSE)</f>
        <v>44813</v>
      </c>
      <c r="AT19" s="30">
        <f>IFERROR(VLOOKUP(Tabla14[[#This Row],[Llave]],'[6]RV plan de ventas'!$A:$F,6,FALSE),0)</f>
        <v>0</v>
      </c>
      <c r="AU19" s="83">
        <f>IFERROR(VLOOKUP(Tabla14[[#This Row],[Llave]],[9]DELAY!$H:$X,17,FALSE),0)</f>
        <v>4.7720256812499997</v>
      </c>
      <c r="AV1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4.7720256812499997</v>
      </c>
      <c r="AW19" s="5">
        <f>Tabla14[[#This Row],[Pecio plan]]*Tabla14[[#This Row],[Plan Ajustado]]</f>
        <v>192740.00000000003</v>
      </c>
      <c r="AX19" s="30">
        <f>IFERROR(VLOOKUP(Tabla14[[#This Row],[Llave]],'[13]Ultimos precios facturados'!$A:$G,7,FALSE),0)</f>
        <v>4.8511556546752237</v>
      </c>
      <c r="AY1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1.6311571728061074E-2</v>
      </c>
      <c r="AZ19" s="30">
        <f>IFERROR(VLOOKUP(Tabla14[[#This Row],[Llave]],Hoja2!B:K,10,FALSE),0)</f>
        <v>4.2</v>
      </c>
      <c r="BA1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4.7720256812499997</v>
      </c>
      <c r="BB19" s="30">
        <v>4.1900000000000004</v>
      </c>
      <c r="BC19" s="30">
        <f>IF(Tabla14[[#This Row],[Market]]=0,Tabla14[[#This Row],[Precio Final]],Tabla14[[#This Row],[Market]])</f>
        <v>4.1900000000000004</v>
      </c>
      <c r="BD19" s="82"/>
      <c r="BE19" s="82" t="str">
        <f>IF(AND(Tabla14[[#This Row],[Atraso a facturar]]&gt;0,Tabla14[[#This Row],[En puerto a facturar]]&gt;0,Tabla14[[#This Row],[Precio Atraso]]=0),"Revisar","OK")</f>
        <v>OK</v>
      </c>
      <c r="BF19" s="82" t="str">
        <f>IF(AND(Tabla14[[#This Row],[Venta del mes]]&gt;0,Tabla14[[#This Row],[Precio venta nueva]]=0),"Revisar","OK")</f>
        <v>OK</v>
      </c>
      <c r="BG19" s="20">
        <f>IFERROR(VLOOKUP(Tabla14[[#This Row],[Llave]],'[5]Consolidación planes'!$A:$M,9,FALSE),0)</f>
        <v>0</v>
      </c>
      <c r="BH19" s="20">
        <f>IFERROR(VLOOKUP(Tabla14[[#This Row],[Llave]],'[5]Consolidación planes'!$A:$M,10,FALSE),0)</f>
        <v>0</v>
      </c>
      <c r="BI19" s="20">
        <f>IFERROR(VLOOKUP(Tabla14[[#This Row],[Llave]],'[5]Consolidación planes'!$A:$M,11,FALSE),0)</f>
        <v>24000</v>
      </c>
      <c r="BJ19" s="20">
        <f>IFERROR(VLOOKUP(Tabla14[[#This Row],[Llave]],'[5]Consolidación planes'!$A:$M,12,FALSE),0)</f>
        <v>0</v>
      </c>
      <c r="BK19" s="20">
        <f>IFERROR(VLOOKUP(Tabla14[[#This Row],[Llave]],'[5]Consolidación planes'!$A:$M,13,FALSE),0)</f>
        <v>0</v>
      </c>
      <c r="BL19" s="20">
        <f>IFERROR(VLOOKUP(Tabla14[[#This Row],[Llave]],'[13]Base ultimos planes'!$A:$M,13,FALSE),0)</f>
        <v>33000</v>
      </c>
      <c r="BM19" s="20">
        <f>IFERROR(VLOOKUP(Tabla14[[#This Row],[Llave]],'[13]Cruce plan irrestricto'!$C:$M,10,FALSE),0)</f>
        <v>0</v>
      </c>
      <c r="BN19" s="20">
        <f>IFERROR(VLOOKUP(Tabla14[[#This Row],[Llave]],'[13]Cruce plan irrestricto'!$C:$M,11,FALSE),0)</f>
        <v>67000</v>
      </c>
      <c r="BO19" s="80">
        <f>IFERROR(VLOOKUP(Tabla14[[#This Row],[Llave]],'[13]Base ultimos planes'!$O:$AA,8,FALSE),0)</f>
        <v>0</v>
      </c>
      <c r="BP19" s="20">
        <f>IFERROR(VLOOKUP(Tabla14[[#This Row],[Llave]],'[13]Base ultimos planes'!$O:$AA,9,FALSE),0)</f>
        <v>0</v>
      </c>
      <c r="BQ19" s="20">
        <f>IFERROR(VLOOKUP(Tabla14[[#This Row],[Llave]],'[13]Base ultimos planes'!$O:$AA,10,FALSE),0)</f>
        <v>120000</v>
      </c>
      <c r="BR19" s="20">
        <f>IFERROR(VLOOKUP(Tabla14[[#This Row],[Llave]],'[13]Base ultimos planes'!$O:$AA,11,FALSE),0)</f>
        <v>0</v>
      </c>
      <c r="BS19" s="20">
        <f>IFERROR(VLOOKUP(Tabla14[[#This Row],[Llave]],'[13]Base ultimos planes'!$O:$AA,12,FALSE),0)</f>
        <v>0</v>
      </c>
      <c r="BT19" s="20">
        <f>IFERROR(VLOOKUP(Tabla14[[#This Row],[Llave]],'[13]Base ultimos planes'!$O:$AA,13,FALSE),0)</f>
        <v>139067</v>
      </c>
      <c r="BU19" s="20"/>
      <c r="BV19" s="20">
        <f>Tabla14[[#This Row],[ RV Producción mes n+1]]-Tabla14[[#This Row],[Producción disponible]]+Tabla14[[#This Row],[Saldo Volumen disponible]]</f>
        <v>1843.7853611756727</v>
      </c>
      <c r="BW19" s="20">
        <f>IFERROR(VLOOKUP(Tabla14[[#This Row],[Llave]],[14]Hoja2!$J:$N,4,FALSE),0)</f>
        <v>24000</v>
      </c>
      <c r="BX19" s="20">
        <f>+Tabla14[[#This Row],[Asignación mes n+1]]*Tabla14[[#This Row],[% Uti. producción]]</f>
        <v>8510.0504553607607</v>
      </c>
      <c r="BY19" s="20">
        <f>+Tabla14[[#This Row],[Ponderación mes n+1]]+Tabla14[[#This Row],[Saldo mes n-1]]</f>
        <v>10353.835816536433</v>
      </c>
      <c r="BZ19" s="20">
        <f>+Tabla14[[#This Row],[Asignación mes n+1]]-Tabla14[[#This Row],[Ponderación mes n+1]]</f>
        <v>15489.949544639239</v>
      </c>
      <c r="CA19" s="20">
        <f>IFERROR(VLOOKUP(Tabla14[[#This Row],[Llave]],[14]Hoja2!$J:$N,5,FALSE),0)</f>
        <v>24000</v>
      </c>
      <c r="CB19" s="20">
        <f>+Tabla14[[#This Row],[Asignación mes n+2]]*Tabla14[[#This Row],[% Uti. producción]]</f>
        <v>8510.0504553607607</v>
      </c>
      <c r="CC19" s="20">
        <f>+Tabla14[[#This Row],[Saldo mes n+2]]+Tabla14[[#This Row],[Ponderación mes n+2]]</f>
        <v>24000</v>
      </c>
      <c r="CD19" s="20">
        <f>+Tabla14[[#This Row],[Asignación mes n+2]]-Tabla14[[#This Row],[Ponderación mes n+2]]</f>
        <v>15489.949544639239</v>
      </c>
    </row>
    <row r="20" spans="1:82" ht="16" x14ac:dyDescent="0.2">
      <c r="A20">
        <v>1</v>
      </c>
      <c r="B20" t="str">
        <f>Tabla14[[#This Row],[Oficina]]&amp;Tabla14[[#This Row],[Material]]</f>
        <v>Agro Sudamerica1020886</v>
      </c>
      <c r="C20" t="s">
        <v>6</v>
      </c>
      <c r="D20" t="s">
        <v>17</v>
      </c>
      <c r="E20">
        <v>1020886</v>
      </c>
      <c r="F20" t="s">
        <v>282</v>
      </c>
      <c r="G20" t="s">
        <v>56</v>
      </c>
      <c r="H20" t="s">
        <v>57</v>
      </c>
      <c r="I20" s="7">
        <f>IFERROR(IF(Tabla14[[#This Row],[Oficina]]=$I$7,VLOOKUP(Tabla14[[#This Row],[Material]],'[6]RV Producción'!$Y:$AA,3,FALSE),VLOOKUP(Tabla14[[#This Row],[Llave]],'[6]RV Producción'!$C:$G,5,FALSE)),0)</f>
        <v>5273</v>
      </c>
      <c r="J20" s="7">
        <f>IFERROR(IF(Tabla14[[#This Row],[Oficina]]=$I$7,VLOOKUP(Tabla14[[#This Row],[Llave]],'[7]Shangai (Tomas)'!$A:$F,6,FALSE),VLOOKUP(Tabla14[[#This Row],[Llave]],'[6]RV plan de ventas'!$A:$E,5,FALSE)),0)</f>
        <v>0</v>
      </c>
      <c r="K20" s="8">
        <f>IFERROR(VLOOKUP(Tabla14[[#This Row],[Sector]]&amp;Tabla14[[#This Row],[Oficina]],[8]Ponderación!$A$3:$G$22,7,FALSE),0)</f>
        <v>0.3545854356400317</v>
      </c>
      <c r="L20" s="7">
        <f>+Tabla14[[#This Row],[ RV Producción mes n+1]]*Tabla14[[#This Row],[% Uti. producción]]</f>
        <v>1869.7290021298872</v>
      </c>
      <c r="M20" s="7">
        <f>IFERROR(VLOOKUP(Tabla14[[#This Row],[Material]],'[9]TD Stock'!$B:$C,2,FALSE),0)</f>
        <v>17991.988999999998</v>
      </c>
      <c r="N20" s="7">
        <f>IFERROR(VLOOKUP(Tabla14[[#This Row],[Material]],'[10]Consolidado planificación'!$B:$C,2,FALSE),0)</f>
        <v>0</v>
      </c>
      <c r="O20" s="7">
        <f>IFERROR(VLOOKUP(Tabla14[[#This Row],[Llave]],[11]Hoja2!$D:$G,4,FALSE),0)</f>
        <v>0</v>
      </c>
      <c r="P20" s="14">
        <f>SUM(Tabla14[[#This Row],[Producción disponible]],Tabla14[[#This Row],[Stock al día]],(Tabla14[[#This Row],[Por producir mes N]]*0.9))-Tabla14[[#This Row],[Producción por despachar mes N]]</f>
        <v>19861.718002129885</v>
      </c>
      <c r="Q20" s="7">
        <f>IFERROR(VLOOKUP(Tabla14[[#This Row],[Llave]],[9]DELAY!$A:$D,4,FALSE),0)</f>
        <v>18700</v>
      </c>
      <c r="R20" s="9">
        <v>23000</v>
      </c>
      <c r="S20" s="5">
        <f t="shared" si="5"/>
        <v>18700</v>
      </c>
      <c r="T20" s="76">
        <v>0</v>
      </c>
      <c r="U20" s="5">
        <f>+Tabla14[[#This Row],[Atraso a facturar]]+Tabla14[[#This Row],[Ajuste atraso]]</f>
        <v>18700</v>
      </c>
      <c r="V20" s="3">
        <f>+Tabla14[[#This Row],[Total disponible]]-Tabla14[[#This Row],[Facturación atraso]]</f>
        <v>1161.7180021298846</v>
      </c>
      <c r="W20" s="6">
        <f>IFERROR(IF(AND(V20&gt;R20,J20&gt;=R20),ROUNDDOWN((Tabla14[[#This Row],[Producción para venta nueva]])/R20,0)*R20,0),0)</f>
        <v>0</v>
      </c>
      <c r="X20" s="76">
        <v>0</v>
      </c>
      <c r="Y20" s="6">
        <f>IF(Tabla14[[#This Row],[Venta del mes]]&gt;0,Tabla14[[#This Row],[Venta del mes]]+Tabla14[[#This Row],[Ajuste venta nueva]],0)</f>
        <v>0</v>
      </c>
      <c r="Z20" s="6">
        <f>+Tabla14[[#This Row],[Producción para venta nueva]]-Tabla14[[#This Row],[Facturación Venta nueva]]</f>
        <v>1161.7180021298846</v>
      </c>
      <c r="AA20" s="6">
        <f>IF(AND(A20=1,Tabla14[[#This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" s="6">
        <v>0</v>
      </c>
      <c r="AC20" s="6">
        <f>IF(Tabla14[[#This Row],[Disponible stock sin venta]]&gt;0,Tabla14[[#This Row],[Disponible stock sin venta]]+Tabla14[[#This Row],[Ajuste stock sin venta]],0)</f>
        <v>0</v>
      </c>
      <c r="AD20" s="3">
        <f>IFERROR(VLOOKUP(Tabla14[[#This Row],[Llave]],[12]Hoja1!$A:$D,4,FALSE),0)</f>
        <v>0</v>
      </c>
      <c r="AE2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18700</v>
      </c>
      <c r="AF20" s="3">
        <v>18700</v>
      </c>
      <c r="AG20" s="3">
        <f>+Tabla14[[#This Row],[En puerto a facturar]]</f>
        <v>0</v>
      </c>
      <c r="AH20" s="3">
        <f>+Tabla14[[#This Row],[Facturación atraso]]</f>
        <v>18700</v>
      </c>
      <c r="AI20" s="3">
        <f>+Tabla14[[#This Row],[Plan Irrestricto (DATO)]]-Tabla14[[#This Row],[Puerto ]]-Tabla14[[#This Row],[Atraso]]</f>
        <v>0</v>
      </c>
      <c r="AJ20" s="6">
        <f>IF(Tabla14[[#This Row],[Plan Irrestricto (DATO)]]&gt;0,SUM(Tabla14[[#This Row],[Facturación atraso]],Tabla14[[#This Row],[Facturación Venta nueva]],Tabla14[[#This Row],[Facturación stock]],Tabla14[[#This Row],[En puerto a facturar]]),0)</f>
        <v>18700</v>
      </c>
      <c r="AK20" s="3">
        <f>+Tabla14[[#This Row],[Facturación atraso]]</f>
        <v>18700</v>
      </c>
      <c r="AL20" s="3">
        <f>Tabla14[[#This Row],[Plan Ajustado]]-Tabla14[[#This Row],[ Atraso ajustado]]-Tabla14[[#This Row],[En puerto a facturar]]</f>
        <v>0</v>
      </c>
      <c r="AM20" s="3">
        <v>0</v>
      </c>
      <c r="AN20" s="3" t="s">
        <v>636</v>
      </c>
      <c r="AO20" s="3" t="str">
        <f>IF(Tabla14[[#This Row],[Plan Ajustado]]&gt;Tabla14[[#This Row],[En puerto a facturar]],"Si","No")</f>
        <v>Si</v>
      </c>
      <c r="AP20" s="3">
        <f>IF(AND(Tabla14[[#This Row],[Plan Ajustado]]&gt;0,Tabla14[[#This Row],[Plan Ajustado]]&gt;Tabla14[[#This Row],[En puerto a facturar]]),(Tabla14[[#This Row],[Plan Ajustado]]-Tabla14[[#This Row],[En puerto a facturar]]),0)</f>
        <v>18700</v>
      </c>
      <c r="AQ20" s="3">
        <f>IF(Tabla14[[#This Row],[Necesidad]]&gt;=Tabla14[[#This Row],[Stock al día]],Tabla14[[#This Row],[Stock al día]],Tabla14[[#This Row],[Necesidad]])</f>
        <v>17991.988999999998</v>
      </c>
      <c r="AR20" s="3">
        <f>+Tabla14[[#This Row],[Necesidad]]-Tabla14[[#This Row],[Stock Plan]]</f>
        <v>708.01100000000224</v>
      </c>
      <c r="AS20" s="155">
        <f>VLOOKUP(Tabla14[[#This Row],[Sector]]&amp;Tabla14[[#This Row],[Oficina]],[8]Ponderación!$A:$H,8,FALSE)</f>
        <v>44813</v>
      </c>
      <c r="AT20" s="30">
        <f>IFERROR(VLOOKUP(Tabla14[[#This Row],[Llave]],'[6]RV plan de ventas'!$A:$F,6,FALSE),0)</f>
        <v>0</v>
      </c>
      <c r="AU20" s="83">
        <f>IFERROR(VLOOKUP(Tabla14[[#This Row],[Llave]],[9]DELAY!$H:$X,17,FALSE),0)</f>
        <v>3.3516119358288798</v>
      </c>
      <c r="AV2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3.3516119358288798</v>
      </c>
      <c r="AW20" s="5">
        <f>Tabla14[[#This Row],[Pecio plan]]*Tabla14[[#This Row],[Plan Ajustado]]</f>
        <v>62645</v>
      </c>
      <c r="AX20" s="30">
        <f>IFERROR(VLOOKUP(Tabla14[[#This Row],[Llave]],'[13]Ultimos precios facturados'!$A:$G,7,FALSE),0)</f>
        <v>0</v>
      </c>
      <c r="AY2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" s="30">
        <f>IFERROR(VLOOKUP(Tabla14[[#This Row],[Llave]],Hoja2!B:K,10,FALSE),0)</f>
        <v>0</v>
      </c>
      <c r="BA2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3.3516119358288798</v>
      </c>
      <c r="BB20" s="30">
        <v>3.35</v>
      </c>
      <c r="BC20" s="30">
        <f>IF(Tabla14[[#This Row],[Market]]=0,Tabla14[[#This Row],[Precio Final]],Tabla14[[#This Row],[Market]])</f>
        <v>3.35</v>
      </c>
      <c r="BD20" s="82"/>
      <c r="BE20" s="82" t="str">
        <f>IF(AND(Tabla14[[#This Row],[Atraso a facturar]]&gt;0,Tabla14[[#This Row],[En puerto a facturar]]&gt;0,Tabla14[[#This Row],[Precio Atraso]]=0),"Revisar","OK")</f>
        <v>OK</v>
      </c>
      <c r="BF20" s="82" t="str">
        <f>IF(AND(Tabla14[[#This Row],[Venta del mes]]&gt;0,Tabla14[[#This Row],[Precio venta nueva]]=0),"Revisar","OK")</f>
        <v>OK</v>
      </c>
      <c r="BG20" s="20">
        <f>IFERROR(VLOOKUP(Tabla14[[#This Row],[Llave]],'[5]Consolidación planes'!$A:$M,9,FALSE),0)</f>
        <v>0</v>
      </c>
      <c r="BH20" s="20">
        <f>IFERROR(VLOOKUP(Tabla14[[#This Row],[Llave]],'[5]Consolidación planes'!$A:$M,10,FALSE),0)</f>
        <v>10000</v>
      </c>
      <c r="BI20" s="20">
        <f>IFERROR(VLOOKUP(Tabla14[[#This Row],[Llave]],'[5]Consolidación planes'!$A:$M,11,FALSE),0)</f>
        <v>0</v>
      </c>
      <c r="BJ20" s="20">
        <f>IFERROR(VLOOKUP(Tabla14[[#This Row],[Llave]],'[5]Consolidación planes'!$A:$M,12,FALSE),0)</f>
        <v>0</v>
      </c>
      <c r="BK20" s="20">
        <f>IFERROR(VLOOKUP(Tabla14[[#This Row],[Llave]],'[5]Consolidación planes'!$A:$M,13,FALSE),0)</f>
        <v>0</v>
      </c>
      <c r="BL20" s="20">
        <f>IFERROR(VLOOKUP(Tabla14[[#This Row],[Llave]],'[13]Base ultimos planes'!$A:$M,13,FALSE),0)</f>
        <v>0</v>
      </c>
      <c r="BM20" s="20">
        <f>IFERROR(VLOOKUP(Tabla14[[#This Row],[Llave]],'[13]Cruce plan irrestricto'!$C:$M,10,FALSE),0)</f>
        <v>0</v>
      </c>
      <c r="BN20" s="20">
        <f>IFERROR(VLOOKUP(Tabla14[[#This Row],[Llave]],'[13]Cruce plan irrestricto'!$C:$M,11,FALSE),0)</f>
        <v>0</v>
      </c>
      <c r="BO20" s="80">
        <f>IFERROR(VLOOKUP(Tabla14[[#This Row],[Llave]],'[13]Base ultimos planes'!$O:$AA,8,FALSE),0)</f>
        <v>0</v>
      </c>
      <c r="BP20" s="20">
        <f>IFERROR(VLOOKUP(Tabla14[[#This Row],[Llave]],'[13]Base ultimos planes'!$O:$AA,9,FALSE),0)</f>
        <v>51667</v>
      </c>
      <c r="BQ20" s="20">
        <f>IFERROR(VLOOKUP(Tabla14[[#This Row],[Llave]],'[13]Base ultimos planes'!$O:$AA,10,FALSE),0)</f>
        <v>0</v>
      </c>
      <c r="BR20" s="20">
        <f>IFERROR(VLOOKUP(Tabla14[[#This Row],[Llave]],'[13]Base ultimos planes'!$O:$AA,11,FALSE),0)</f>
        <v>0</v>
      </c>
      <c r="BS20" s="20">
        <f>IFERROR(VLOOKUP(Tabla14[[#This Row],[Llave]],'[13]Base ultimos planes'!$O:$AA,12,FALSE),0)</f>
        <v>0</v>
      </c>
      <c r="BT20" s="20">
        <f>IFERROR(VLOOKUP(Tabla14[[#This Row],[Llave]],'[13]Base ultimos planes'!$O:$AA,13,FALSE),0)</f>
        <v>0</v>
      </c>
      <c r="BU20" s="20"/>
      <c r="BV20" s="20">
        <f>Tabla14[[#This Row],[ RV Producción mes n+1]]-Tabla14[[#This Row],[Producción disponible]]+Tabla14[[#This Row],[Saldo Volumen disponible]]</f>
        <v>4564.9889999999978</v>
      </c>
      <c r="BW20" s="20">
        <f>IFERROR(VLOOKUP(Tabla14[[#This Row],[Llave]],[14]Hoja2!$J:$N,4,FALSE),0)</f>
        <v>24000</v>
      </c>
      <c r="BX20" s="20">
        <f>+Tabla14[[#This Row],[Asignación mes n+1]]*Tabla14[[#This Row],[% Uti. producción]]</f>
        <v>8510.0504553607607</v>
      </c>
      <c r="BY20" s="20">
        <f>+Tabla14[[#This Row],[Ponderación mes n+1]]+Tabla14[[#This Row],[Saldo mes n-1]]</f>
        <v>13075.039455360758</v>
      </c>
      <c r="BZ20" s="20">
        <f>+Tabla14[[#This Row],[Asignación mes n+1]]-Tabla14[[#This Row],[Ponderación mes n+1]]</f>
        <v>15489.949544639239</v>
      </c>
      <c r="CA20" s="20">
        <f>IFERROR(VLOOKUP(Tabla14[[#This Row],[Llave]],[14]Hoja2!$J:$N,5,FALSE),0)</f>
        <v>0</v>
      </c>
      <c r="CB20" s="20">
        <f>+Tabla14[[#This Row],[Asignación mes n+2]]*Tabla14[[#This Row],[% Uti. producción]]</f>
        <v>0</v>
      </c>
      <c r="CC20" s="20">
        <f>+Tabla14[[#This Row],[Saldo mes n+2]]+Tabla14[[#This Row],[Ponderación mes n+2]]</f>
        <v>15489.949544639239</v>
      </c>
      <c r="CD20" s="20">
        <f>+Tabla14[[#This Row],[Asignación mes n+2]]-Tabla14[[#This Row],[Ponderación mes n+2]]</f>
        <v>0</v>
      </c>
    </row>
    <row r="21" spans="1:82" ht="16" x14ac:dyDescent="0.2">
      <c r="A21">
        <v>1</v>
      </c>
      <c r="B21" t="str">
        <f>Tabla14[[#This Row],[Oficina]]&amp;Tabla14[[#This Row],[Material]]</f>
        <v>Agro Sudamerica1020915</v>
      </c>
      <c r="C21" t="s">
        <v>6</v>
      </c>
      <c r="D21" t="s">
        <v>17</v>
      </c>
      <c r="E21">
        <v>1020915</v>
      </c>
      <c r="F21" t="s">
        <v>61</v>
      </c>
      <c r="G21" t="s">
        <v>59</v>
      </c>
      <c r="H21" t="s">
        <v>60</v>
      </c>
      <c r="I21" s="7">
        <f>IFERROR(IF(Tabla14[[#This Row],[Oficina]]=$I$7,VLOOKUP(Tabla14[[#This Row],[Material]],'[6]RV Producción'!$Y:$AA,3,FALSE),VLOOKUP(Tabla14[[#This Row],[Llave]],'[6]RV Producción'!$C:$G,5,FALSE)),0)</f>
        <v>0</v>
      </c>
      <c r="J21" s="7">
        <f>IFERROR(IF(Tabla14[[#This Row],[Oficina]]=$I$7,VLOOKUP(Tabla14[[#This Row],[Llave]],'[7]Shangai (Tomas)'!$A:$F,6,FALSE),VLOOKUP(Tabla14[[#This Row],[Llave]],'[6]RV plan de ventas'!$A:$E,5,FALSE)),0)</f>
        <v>0</v>
      </c>
      <c r="K21" s="8">
        <f>IFERROR(VLOOKUP(Tabla14[[#This Row],[Sector]]&amp;Tabla14[[#This Row],[Oficina]],[8]Ponderación!$A$3:$G$22,7,FALSE),0)</f>
        <v>0.3545854356400317</v>
      </c>
      <c r="L21" s="7">
        <f>+Tabla14[[#This Row],[ RV Producción mes n+1]]*Tabla14[[#This Row],[% Uti. producción]]</f>
        <v>0</v>
      </c>
      <c r="M21" s="7">
        <f>IFERROR(VLOOKUP(Tabla14[[#This Row],[Material]],'[9]TD Stock'!$B:$C,2,FALSE),0)</f>
        <v>14598.939000000002</v>
      </c>
      <c r="N21" s="7">
        <f>IFERROR(VLOOKUP(Tabla14[[#This Row],[Material]],'[10]Consolidado planificación'!$B:$C,2,FALSE),0)</f>
        <v>0</v>
      </c>
      <c r="O21" s="7">
        <f>IFERROR(VLOOKUP(Tabla14[[#This Row],[Llave]],[11]Hoja2!$D:$G,4,FALSE),0)</f>
        <v>0</v>
      </c>
      <c r="P21" s="14">
        <f>SUM(Tabla14[[#This Row],[Producción disponible]],Tabla14[[#This Row],[Stock al día]],(Tabla14[[#This Row],[Por producir mes N]]*0.9))-Tabla14[[#This Row],[Producción por despachar mes N]]</f>
        <v>14598.939000000002</v>
      </c>
      <c r="Q21" s="7">
        <f>IFERROR(VLOOKUP(Tabla14[[#This Row],[Llave]],[9]DELAY!$A:$D,4,FALSE),0)</f>
        <v>12530</v>
      </c>
      <c r="R21" s="9">
        <v>23000</v>
      </c>
      <c r="S21" s="5">
        <f t="shared" si="5"/>
        <v>12530</v>
      </c>
      <c r="T21" s="76">
        <v>0</v>
      </c>
      <c r="U21" s="5">
        <f>+Tabla14[[#This Row],[Atraso a facturar]]+Tabla14[[#This Row],[Ajuste atraso]]</f>
        <v>12530</v>
      </c>
      <c r="V21" s="3">
        <f>+Tabla14[[#This Row],[Total disponible]]-Tabla14[[#This Row],[Facturación atraso]]</f>
        <v>2068.9390000000021</v>
      </c>
      <c r="W21" s="6">
        <f>IFERROR(IF(AND(V21&gt;R21,J21&gt;=R21),ROUNDDOWN((Tabla14[[#This Row],[Producción para venta nueva]])/R21,0)*R21,0),0)</f>
        <v>0</v>
      </c>
      <c r="X21" s="76">
        <v>0</v>
      </c>
      <c r="Y21" s="6">
        <f>IF(Tabla14[[#This Row],[Venta del mes]]&gt;0,Tabla14[[#This Row],[Venta del mes]]+Tabla14[[#This Row],[Ajuste venta nueva]],0)</f>
        <v>0</v>
      </c>
      <c r="Z21" s="6">
        <f>+Tabla14[[#This Row],[Producción para venta nueva]]-Tabla14[[#This Row],[Facturación Venta nueva]]</f>
        <v>2068.9390000000021</v>
      </c>
      <c r="AA21" s="6">
        <f>IF(AND(A21=1,Tabla14[[#This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" s="6">
        <v>0</v>
      </c>
      <c r="AC21" s="6">
        <f>IF(Tabla14[[#This Row],[Disponible stock sin venta]]&gt;0,Tabla14[[#This Row],[Disponible stock sin venta]]+Tabla14[[#This Row],[Ajuste stock sin venta]],0)</f>
        <v>0</v>
      </c>
      <c r="AD21" s="3">
        <f>IFERROR(VLOOKUP(Tabla14[[#This Row],[Llave]],[12]Hoja1!$A:$D,4,FALSE),0)</f>
        <v>0</v>
      </c>
      <c r="AE2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12530</v>
      </c>
      <c r="AF21" s="3">
        <v>12530</v>
      </c>
      <c r="AG21" s="3">
        <f>+Tabla14[[#This Row],[En puerto a facturar]]</f>
        <v>0</v>
      </c>
      <c r="AH21" s="3">
        <f>+Tabla14[[#This Row],[Facturación atraso]]</f>
        <v>12530</v>
      </c>
      <c r="AI21" s="3">
        <f>+Tabla14[[#This Row],[Plan Irrestricto (DATO)]]-Tabla14[[#This Row],[Puerto ]]-Tabla14[[#This Row],[Atraso]]</f>
        <v>0</v>
      </c>
      <c r="AJ21" s="6">
        <f>IF(Tabla14[[#This Row],[Plan Irrestricto (DATO)]]&gt;0,SUM(Tabla14[[#This Row],[Facturación atraso]],Tabla14[[#This Row],[Facturación Venta nueva]],Tabla14[[#This Row],[Facturación stock]],Tabla14[[#This Row],[En puerto a facturar]]),0)</f>
        <v>12530</v>
      </c>
      <c r="AK21" s="3">
        <f>+Tabla14[[#This Row],[Facturación atraso]]</f>
        <v>12530</v>
      </c>
      <c r="AL21" s="3">
        <f>Tabla14[[#This Row],[Plan Ajustado]]-Tabla14[[#This Row],[ Atraso ajustado]]-Tabla14[[#This Row],[En puerto a facturar]]</f>
        <v>0</v>
      </c>
      <c r="AM21" s="3">
        <v>0</v>
      </c>
      <c r="AN21" s="3" t="s">
        <v>636</v>
      </c>
      <c r="AO21" s="3" t="str">
        <f>IF(Tabla14[[#This Row],[Plan Ajustado]]&gt;Tabla14[[#This Row],[En puerto a facturar]],"Si","No")</f>
        <v>Si</v>
      </c>
      <c r="AP21" s="3">
        <f>IF(AND(Tabla14[[#This Row],[Plan Ajustado]]&gt;0,Tabla14[[#This Row],[Plan Ajustado]]&gt;Tabla14[[#This Row],[En puerto a facturar]]),(Tabla14[[#This Row],[Plan Ajustado]]-Tabla14[[#This Row],[En puerto a facturar]]),0)</f>
        <v>12530</v>
      </c>
      <c r="AQ21" s="3">
        <f>IF(Tabla14[[#This Row],[Necesidad]]&gt;=Tabla14[[#This Row],[Stock al día]],Tabla14[[#This Row],[Stock al día]],Tabla14[[#This Row],[Necesidad]])</f>
        <v>12530</v>
      </c>
      <c r="AR21" s="3">
        <f>+Tabla14[[#This Row],[Necesidad]]-Tabla14[[#This Row],[Stock Plan]]</f>
        <v>0</v>
      </c>
      <c r="AS21" s="155">
        <f>VLOOKUP(Tabla14[[#This Row],[Sector]]&amp;Tabla14[[#This Row],[Oficina]],[8]Ponderación!$A:$H,8,FALSE)</f>
        <v>44813</v>
      </c>
      <c r="AT21" s="30">
        <f>IFERROR(VLOOKUP(Tabla14[[#This Row],[Llave]],'[6]RV plan de ventas'!$A:$F,6,FALSE),0)</f>
        <v>0</v>
      </c>
      <c r="AU21" s="83">
        <f>IFERROR(VLOOKUP(Tabla14[[#This Row],[Llave]],[9]DELAY!$H:$X,17,FALSE),0)</f>
        <v>1.92752964584996</v>
      </c>
      <c r="AV2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1.92752964584996</v>
      </c>
      <c r="AW21" s="5">
        <f>Tabla14[[#This Row],[Pecio plan]]*Tabla14[[#This Row],[Plan Ajustado]]</f>
        <v>24893.382311880498</v>
      </c>
      <c r="AX21" s="30">
        <f>IFERROR(VLOOKUP(Tabla14[[#This Row],[Llave]],'[13]Ultimos precios facturados'!$A:$G,7,FALSE),0)</f>
        <v>2.2697888366895929</v>
      </c>
      <c r="AY2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0.15078900085648753</v>
      </c>
      <c r="AZ21" s="30">
        <f>IFERROR(VLOOKUP(Tabla14[[#This Row],[Llave]],Hoja2!B:K,10,FALSE),0)</f>
        <v>1.9</v>
      </c>
      <c r="BA2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1.92752964584996</v>
      </c>
      <c r="BB21" s="30">
        <v>1.9867024989529527</v>
      </c>
      <c r="BC21" s="30">
        <f>IF(Tabla14[[#This Row],[Market]]=0,Tabla14[[#This Row],[Precio Final]],Tabla14[[#This Row],[Market]])</f>
        <v>1.9867024989529527</v>
      </c>
      <c r="BD21" s="82"/>
      <c r="BE21" s="82" t="str">
        <f>IF(AND(Tabla14[[#This Row],[Atraso a facturar]]&gt;0,Tabla14[[#This Row],[En puerto a facturar]]&gt;0,Tabla14[[#This Row],[Precio Atraso]]=0),"Revisar","OK")</f>
        <v>OK</v>
      </c>
      <c r="BF21" s="82" t="str">
        <f>IF(AND(Tabla14[[#This Row],[Venta del mes]]&gt;0,Tabla14[[#This Row],[Precio venta nueva]]=0),"Revisar","OK")</f>
        <v>OK</v>
      </c>
      <c r="BG21" s="20">
        <f>IFERROR(VLOOKUP(Tabla14[[#This Row],[Llave]],'[5]Consolidación planes'!$A:$M,9,FALSE),0)</f>
        <v>10000</v>
      </c>
      <c r="BH21" s="20">
        <f>IFERROR(VLOOKUP(Tabla14[[#This Row],[Llave]],'[5]Consolidación planes'!$A:$M,10,FALSE),0)</f>
        <v>2000</v>
      </c>
      <c r="BI21" s="20">
        <f>IFERROR(VLOOKUP(Tabla14[[#This Row],[Llave]],'[5]Consolidación planes'!$A:$M,11,FALSE),0)</f>
        <v>0</v>
      </c>
      <c r="BJ21" s="20">
        <f>IFERROR(VLOOKUP(Tabla14[[#This Row],[Llave]],'[5]Consolidación planes'!$A:$M,12,FALSE),0)</f>
        <v>0</v>
      </c>
      <c r="BK21" s="20">
        <f>IFERROR(VLOOKUP(Tabla14[[#This Row],[Llave]],'[5]Consolidación planes'!$A:$M,13,FALSE),0)</f>
        <v>0</v>
      </c>
      <c r="BL21" s="20">
        <f>IFERROR(VLOOKUP(Tabla14[[#This Row],[Llave]],'[13]Base ultimos planes'!$A:$M,13,FALSE),0)</f>
        <v>0</v>
      </c>
      <c r="BM21" s="20">
        <f>IFERROR(VLOOKUP(Tabla14[[#This Row],[Llave]],'[13]Cruce plan irrestricto'!$C:$M,10,FALSE),0)</f>
        <v>48000</v>
      </c>
      <c r="BN21" s="20">
        <f>IFERROR(VLOOKUP(Tabla14[[#This Row],[Llave]],'[13]Cruce plan irrestricto'!$C:$M,11,FALSE),0)</f>
        <v>52000</v>
      </c>
      <c r="BO21" s="80">
        <f>IFERROR(VLOOKUP(Tabla14[[#This Row],[Llave]],'[13]Base ultimos planes'!$O:$AA,8,FALSE),0)</f>
        <v>17000</v>
      </c>
      <c r="BP21" s="20">
        <f>IFERROR(VLOOKUP(Tabla14[[#This Row],[Llave]],'[13]Base ultimos planes'!$O:$AA,9,FALSE),0)</f>
        <v>4300</v>
      </c>
      <c r="BQ21" s="20">
        <f>IFERROR(VLOOKUP(Tabla14[[#This Row],[Llave]],'[13]Base ultimos planes'!$O:$AA,10,FALSE),0)</f>
        <v>0</v>
      </c>
      <c r="BR21" s="20">
        <f>IFERROR(VLOOKUP(Tabla14[[#This Row],[Llave]],'[13]Base ultimos planes'!$O:$AA,11,FALSE),0)</f>
        <v>0</v>
      </c>
      <c r="BS21" s="20">
        <f>IFERROR(VLOOKUP(Tabla14[[#This Row],[Llave]],'[13]Base ultimos planes'!$O:$AA,12,FALSE),0)</f>
        <v>0</v>
      </c>
      <c r="BT21" s="20">
        <f>IFERROR(VLOOKUP(Tabla14[[#This Row],[Llave]],'[13]Base ultimos planes'!$O:$AA,13,FALSE),0)</f>
        <v>0</v>
      </c>
      <c r="BU21" s="20"/>
      <c r="BV21" s="20">
        <f>Tabla14[[#This Row],[ RV Producción mes n+1]]-Tabla14[[#This Row],[Producción disponible]]+Tabla14[[#This Row],[Saldo Volumen disponible]]</f>
        <v>2068.9390000000021</v>
      </c>
      <c r="BW21" s="20">
        <f>IFERROR(VLOOKUP(Tabla14[[#This Row],[Llave]],[14]Hoja2!$J:$N,4,FALSE),0)</f>
        <v>0</v>
      </c>
      <c r="BX21" s="20">
        <f>+Tabla14[[#This Row],[Asignación mes n+1]]*Tabla14[[#This Row],[% Uti. producción]]</f>
        <v>0</v>
      </c>
      <c r="BY21" s="20">
        <f>+Tabla14[[#This Row],[Ponderación mes n+1]]+Tabla14[[#This Row],[Saldo mes n-1]]</f>
        <v>2068.9390000000021</v>
      </c>
      <c r="BZ21" s="20">
        <f>+Tabla14[[#This Row],[Asignación mes n+1]]-Tabla14[[#This Row],[Ponderación mes n+1]]</f>
        <v>0</v>
      </c>
      <c r="CA21" s="20">
        <f>IFERROR(VLOOKUP(Tabla14[[#This Row],[Llave]],[14]Hoja2!$J:$N,5,FALSE),0)</f>
        <v>0</v>
      </c>
      <c r="CB21" s="20">
        <f>+Tabla14[[#This Row],[Asignación mes n+2]]*Tabla14[[#This Row],[% Uti. producción]]</f>
        <v>0</v>
      </c>
      <c r="CC21" s="20">
        <f>+Tabla14[[#This Row],[Saldo mes n+2]]+Tabla14[[#This Row],[Ponderación mes n+2]]</f>
        <v>0</v>
      </c>
      <c r="CD21" s="20">
        <f>+Tabla14[[#This Row],[Asignación mes n+2]]-Tabla14[[#This Row],[Ponderación mes n+2]]</f>
        <v>0</v>
      </c>
    </row>
    <row r="22" spans="1:82" ht="16" x14ac:dyDescent="0.2">
      <c r="A22">
        <v>1</v>
      </c>
      <c r="B22" t="str">
        <f>Tabla14[[#This Row],[Oficina]]&amp;Tabla14[[#This Row],[Material]]</f>
        <v>Agro Sudamerica1020925</v>
      </c>
      <c r="C22" t="s">
        <v>6</v>
      </c>
      <c r="D22" t="s">
        <v>17</v>
      </c>
      <c r="E22">
        <v>1020925</v>
      </c>
      <c r="F22" t="s">
        <v>13</v>
      </c>
      <c r="G22" t="s">
        <v>11</v>
      </c>
      <c r="H22" t="s">
        <v>12</v>
      </c>
      <c r="I22" s="7">
        <f>IFERROR(IF(Tabla14[[#This Row],[Oficina]]=$I$7,VLOOKUP(Tabla14[[#This Row],[Material]],'[6]RV Producción'!$Y:$AA,3,FALSE),VLOOKUP(Tabla14[[#This Row],[Llave]],'[6]RV Producción'!$C:$G,5,FALSE)),0)</f>
        <v>18363</v>
      </c>
      <c r="J22" s="7">
        <f>IFERROR(IF(Tabla14[[#This Row],[Oficina]]=$I$7,VLOOKUP(Tabla14[[#This Row],[Llave]],'[7]Shangai (Tomas)'!$A:$F,6,FALSE),VLOOKUP(Tabla14[[#This Row],[Llave]],'[6]RV plan de ventas'!$A:$E,5,FALSE)),0)</f>
        <v>0</v>
      </c>
      <c r="K22" s="8">
        <f>IFERROR(VLOOKUP(Tabla14[[#This Row],[Sector]]&amp;Tabla14[[#This Row],[Oficina]],[8]Ponderación!$A$3:$G$22,7,FALSE),0)</f>
        <v>0.3545854356400317</v>
      </c>
      <c r="L22" s="7">
        <f>+Tabla14[[#This Row],[ RV Producción mes n+1]]*Tabla14[[#This Row],[% Uti. producción]]</f>
        <v>6511.2523546579023</v>
      </c>
      <c r="M22" s="7">
        <f>IFERROR(VLOOKUP(Tabla14[[#This Row],[Material]],'[9]TD Stock'!$B:$C,2,FALSE),0)</f>
        <v>90717.78300000001</v>
      </c>
      <c r="N22" s="7">
        <f>IFERROR(VLOOKUP(Tabla14[[#This Row],[Material]],'[10]Consolidado planificación'!$B:$C,2,FALSE),0)</f>
        <v>0</v>
      </c>
      <c r="O22" s="7">
        <f>IFERROR(VLOOKUP(Tabla14[[#This Row],[Llave]],[11]Hoja2!$D:$G,4,FALSE),0)</f>
        <v>0</v>
      </c>
      <c r="P22" s="14">
        <f>SUM(Tabla14[[#This Row],[Producción disponible]],Tabla14[[#This Row],[Stock al día]],(Tabla14[[#This Row],[Por producir mes N]]*0.9))-Tabla14[[#This Row],[Producción por despachar mes N]]</f>
        <v>97229.035354657914</v>
      </c>
      <c r="Q22" s="7">
        <f>IFERROR(VLOOKUP(Tabla14[[#This Row],[Llave]],[9]DELAY!$A:$D,4,FALSE),0)</f>
        <v>150200</v>
      </c>
      <c r="R22" s="9">
        <v>23000</v>
      </c>
      <c r="S22" s="5">
        <f t="shared" si="5"/>
        <v>92000</v>
      </c>
      <c r="T22" s="76">
        <v>0</v>
      </c>
      <c r="U22" s="5">
        <f>+Tabla14[[#This Row],[Atraso a facturar]]+Tabla14[[#This Row],[Ajuste atraso]]</f>
        <v>92000</v>
      </c>
      <c r="V22" s="3">
        <f>+Tabla14[[#This Row],[Total disponible]]-Tabla14[[#This Row],[Facturación atraso]]</f>
        <v>5229.0353546579136</v>
      </c>
      <c r="W22" s="6">
        <f>IFERROR(IF(AND(V22&gt;R22,J22&gt;=R22),ROUNDDOWN((Tabla14[[#This Row],[Producción para venta nueva]])/R22,0)*R22,0),0)</f>
        <v>0</v>
      </c>
      <c r="X22" s="76">
        <v>0</v>
      </c>
      <c r="Y22" s="6">
        <f>IF(Tabla14[[#This Row],[Venta del mes]]&gt;0,Tabla14[[#This Row],[Venta del mes]]+Tabla14[[#This Row],[Ajuste venta nueva]],0)</f>
        <v>0</v>
      </c>
      <c r="Z22" s="6">
        <f>+Tabla14[[#This Row],[Producción para venta nueva]]-Tabla14[[#This Row],[Facturación Venta nueva]]</f>
        <v>5229.0353546579136</v>
      </c>
      <c r="AA22" s="6">
        <f>IF(AND(A22=1,Tabla14[[#This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" s="6">
        <v>0</v>
      </c>
      <c r="AC22" s="6">
        <f>IF(Tabla14[[#This Row],[Disponible stock sin venta]]&gt;0,Tabla14[[#This Row],[Disponible stock sin venta]]+Tabla14[[#This Row],[Ajuste stock sin venta]],0)</f>
        <v>0</v>
      </c>
      <c r="AD22" s="3">
        <f>IFERROR(VLOOKUP(Tabla14[[#This Row],[Llave]],[12]Hoja1!$A:$D,4,FALSE),0)</f>
        <v>0</v>
      </c>
      <c r="AE2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92000</v>
      </c>
      <c r="AF22" s="3">
        <v>92000</v>
      </c>
      <c r="AG22" s="3">
        <f>+Tabla14[[#This Row],[En puerto a facturar]]</f>
        <v>0</v>
      </c>
      <c r="AH22" s="3">
        <f>+Tabla14[[#This Row],[Facturación atraso]]</f>
        <v>92000</v>
      </c>
      <c r="AI22" s="3">
        <f>+Tabla14[[#This Row],[Plan Irrestricto (DATO)]]-Tabla14[[#This Row],[Puerto ]]-Tabla14[[#This Row],[Atraso]]</f>
        <v>0</v>
      </c>
      <c r="AJ22" s="6">
        <f>IF(Tabla14[[#This Row],[Plan Irrestricto (DATO)]]&gt;0,SUM(Tabla14[[#This Row],[Facturación atraso]],Tabla14[[#This Row],[Facturación Venta nueva]],Tabla14[[#This Row],[Facturación stock]],Tabla14[[#This Row],[En puerto a facturar]]),0)</f>
        <v>92000</v>
      </c>
      <c r="AK22" s="3">
        <f>+Tabla14[[#This Row],[Facturación atraso]]</f>
        <v>92000</v>
      </c>
      <c r="AL22" s="3">
        <f>Tabla14[[#This Row],[Plan Ajustado]]-Tabla14[[#This Row],[ Atraso ajustado]]-Tabla14[[#This Row],[En puerto a facturar]]</f>
        <v>0</v>
      </c>
      <c r="AM22" s="3">
        <v>0</v>
      </c>
      <c r="AN22" s="3" t="s">
        <v>885</v>
      </c>
      <c r="AO22" s="3" t="str">
        <f>IF(Tabla14[[#This Row],[Plan Ajustado]]&gt;Tabla14[[#This Row],[En puerto a facturar]],"Si","No")</f>
        <v>Si</v>
      </c>
      <c r="AP22" s="3">
        <f>IF(AND(Tabla14[[#This Row],[Plan Ajustado]]&gt;0,Tabla14[[#This Row],[Plan Ajustado]]&gt;Tabla14[[#This Row],[En puerto a facturar]]),(Tabla14[[#This Row],[Plan Ajustado]]-Tabla14[[#This Row],[En puerto a facturar]]),0)</f>
        <v>92000</v>
      </c>
      <c r="AQ22" s="3">
        <f>IF(Tabla14[[#This Row],[Necesidad]]&gt;=Tabla14[[#This Row],[Stock al día]],Tabla14[[#This Row],[Stock al día]],Tabla14[[#This Row],[Necesidad]])</f>
        <v>90717.78300000001</v>
      </c>
      <c r="AR22" s="3">
        <f>+Tabla14[[#This Row],[Necesidad]]-Tabla14[[#This Row],[Stock Plan]]</f>
        <v>1282.2169999999896</v>
      </c>
      <c r="AS22" s="155">
        <f>VLOOKUP(Tabla14[[#This Row],[Sector]]&amp;Tabla14[[#This Row],[Oficina]],[8]Ponderación!$A:$H,8,FALSE)</f>
        <v>44813</v>
      </c>
      <c r="AT22" s="30">
        <f>IFERROR(VLOOKUP(Tabla14[[#This Row],[Llave]],'[6]RV plan de ventas'!$A:$F,6,FALSE),0)</f>
        <v>0</v>
      </c>
      <c r="AU22" s="83">
        <f>IFERROR(VLOOKUP(Tabla14[[#This Row],[Llave]],[9]DELAY!$H:$X,17,FALSE),0)</f>
        <v>1.4488861961113477</v>
      </c>
      <c r="AV2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1.4488861961113479</v>
      </c>
      <c r="AW22" s="5">
        <f>Tabla14[[#This Row],[Pecio plan]]*Tabla14[[#This Row],[Plan Ajustado]]</f>
        <v>100280.00000000001</v>
      </c>
      <c r="AX22" s="30">
        <f>IFERROR(VLOOKUP(Tabla14[[#This Row],[Llave]],'[13]Ultimos precios facturados'!$A:$G,7,FALSE),0)</f>
        <v>1.3330788976691959</v>
      </c>
      <c r="AY2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8.687205134267284E-2</v>
      </c>
      <c r="AZ22" s="30">
        <f>IFERROR(VLOOKUP(Tabla14[[#This Row],[Llave]],Hoja2!B:K,10,FALSE),0)</f>
        <v>1.45</v>
      </c>
      <c r="BA2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1.4488861961113479</v>
      </c>
      <c r="BB22" s="30">
        <v>1.0900000000000001</v>
      </c>
      <c r="BC22" s="30">
        <f>IF(Tabla14[[#This Row],[Market]]=0,Tabla14[[#This Row],[Precio Final]],Tabla14[[#This Row],[Market]])</f>
        <v>1.0900000000000001</v>
      </c>
      <c r="BD22" s="82"/>
      <c r="BE22" s="82" t="str">
        <f>IF(AND(Tabla14[[#This Row],[Atraso a facturar]]&gt;0,Tabla14[[#This Row],[En puerto a facturar]]&gt;0,Tabla14[[#This Row],[Precio Atraso]]=0),"Revisar","OK")</f>
        <v>OK</v>
      </c>
      <c r="BF22" s="82" t="str">
        <f>IF(AND(Tabla14[[#This Row],[Venta del mes]]&gt;0,Tabla14[[#This Row],[Precio venta nueva]]=0),"Revisar","OK")</f>
        <v>OK</v>
      </c>
      <c r="BG22" s="20">
        <f>IFERROR(VLOOKUP(Tabla14[[#This Row],[Llave]],'[5]Consolidación planes'!$A:$M,9,FALSE),0)</f>
        <v>0</v>
      </c>
      <c r="BH22" s="20">
        <f>IFERROR(VLOOKUP(Tabla14[[#This Row],[Llave]],'[5]Consolidación planes'!$A:$M,10,FALSE),0)</f>
        <v>3000</v>
      </c>
      <c r="BI22" s="20">
        <f>IFERROR(VLOOKUP(Tabla14[[#This Row],[Llave]],'[5]Consolidación planes'!$A:$M,11,FALSE),0)</f>
        <v>14000</v>
      </c>
      <c r="BJ22" s="20">
        <f>IFERROR(VLOOKUP(Tabla14[[#This Row],[Llave]],'[5]Consolidación planes'!$A:$M,12,FALSE),0)</f>
        <v>38000</v>
      </c>
      <c r="BK22" s="20">
        <f>IFERROR(VLOOKUP(Tabla14[[#This Row],[Llave]],'[5]Consolidación planes'!$A:$M,13,FALSE),0)</f>
        <v>48000</v>
      </c>
      <c r="BL22" s="20">
        <f>IFERROR(VLOOKUP(Tabla14[[#This Row],[Llave]],'[13]Base ultimos planes'!$A:$M,13,FALSE),0)</f>
        <v>72000</v>
      </c>
      <c r="BM22" s="20">
        <f>IFERROR(VLOOKUP(Tabla14[[#This Row],[Llave]],'[13]Cruce plan irrestricto'!$C:$M,10,FALSE),0)</f>
        <v>144000</v>
      </c>
      <c r="BN22" s="20">
        <f>IFERROR(VLOOKUP(Tabla14[[#This Row],[Llave]],'[13]Cruce plan irrestricto'!$C:$M,11,FALSE),0)</f>
        <v>96000</v>
      </c>
      <c r="BO22" s="80">
        <f>IFERROR(VLOOKUP(Tabla14[[#This Row],[Llave]],'[13]Base ultimos planes'!$O:$AA,8,FALSE),0)</f>
        <v>0</v>
      </c>
      <c r="BP22" s="20">
        <f>IFERROR(VLOOKUP(Tabla14[[#This Row],[Llave]],'[13]Base ultimos planes'!$O:$AA,9,FALSE),0)</f>
        <v>3450</v>
      </c>
      <c r="BQ22" s="20">
        <f>IFERROR(VLOOKUP(Tabla14[[#This Row],[Llave]],'[13]Base ultimos planes'!$O:$AA,10,FALSE),0)</f>
        <v>13300</v>
      </c>
      <c r="BR22" s="20">
        <f>IFERROR(VLOOKUP(Tabla14[[#This Row],[Llave]],'[13]Base ultimos planes'!$O:$AA,11,FALSE),0)</f>
        <v>44140</v>
      </c>
      <c r="BS22" s="20">
        <f>IFERROR(VLOOKUP(Tabla14[[#This Row],[Llave]],'[13]Base ultimos planes'!$O:$AA,12,FALSE),0)</f>
        <v>69120</v>
      </c>
      <c r="BT22" s="20">
        <f>IFERROR(VLOOKUP(Tabla14[[#This Row],[Llave]],'[13]Base ultimos planes'!$O:$AA,13,FALSE),0)</f>
        <v>103224</v>
      </c>
      <c r="BU22" s="20"/>
      <c r="BV22" s="20">
        <f>Tabla14[[#This Row],[ RV Producción mes n+1]]-Tabla14[[#This Row],[Producción disponible]]+Tabla14[[#This Row],[Saldo Volumen disponible]]</f>
        <v>17080.78300000001</v>
      </c>
      <c r="BW22" s="20">
        <f>IFERROR(VLOOKUP(Tabla14[[#This Row],[Llave]],[14]Hoja2!$J:$N,4,FALSE),0)</f>
        <v>0</v>
      </c>
      <c r="BX22" s="20">
        <f>+Tabla14[[#This Row],[Asignación mes n+1]]*Tabla14[[#This Row],[% Uti. producción]]</f>
        <v>0</v>
      </c>
      <c r="BY22" s="20">
        <f>+Tabla14[[#This Row],[Ponderación mes n+1]]+Tabla14[[#This Row],[Saldo mes n-1]]</f>
        <v>17080.78300000001</v>
      </c>
      <c r="BZ22" s="20">
        <f>+Tabla14[[#This Row],[Asignación mes n+1]]-Tabla14[[#This Row],[Ponderación mes n+1]]</f>
        <v>0</v>
      </c>
      <c r="CA22" s="20">
        <f>IFERROR(VLOOKUP(Tabla14[[#This Row],[Llave]],[14]Hoja2!$J:$N,5,FALSE),0)</f>
        <v>0</v>
      </c>
      <c r="CB22" s="20">
        <f>+Tabla14[[#This Row],[Asignación mes n+2]]*Tabla14[[#This Row],[% Uti. producción]]</f>
        <v>0</v>
      </c>
      <c r="CC22" s="20">
        <f>+Tabla14[[#This Row],[Saldo mes n+2]]+Tabla14[[#This Row],[Ponderación mes n+2]]</f>
        <v>0</v>
      </c>
      <c r="CD22" s="20">
        <f>+Tabla14[[#This Row],[Asignación mes n+2]]-Tabla14[[#This Row],[Ponderación mes n+2]]</f>
        <v>0</v>
      </c>
    </row>
    <row r="23" spans="1:82" ht="16" x14ac:dyDescent="0.2">
      <c r="A23">
        <v>1</v>
      </c>
      <c r="B23" t="str">
        <f>Tabla14[[#This Row],[Oficina]]&amp;Tabla14[[#This Row],[Material]]</f>
        <v>Agro Sudamerica1020944</v>
      </c>
      <c r="C23" t="s">
        <v>6</v>
      </c>
      <c r="D23" t="s">
        <v>17</v>
      </c>
      <c r="E23">
        <v>1020944</v>
      </c>
      <c r="F23" t="s">
        <v>63</v>
      </c>
      <c r="G23" t="s">
        <v>59</v>
      </c>
      <c r="H23" t="s">
        <v>62</v>
      </c>
      <c r="I23" s="7">
        <f>IFERROR(IF(Tabla14[[#This Row],[Oficina]]=$I$7,VLOOKUP(Tabla14[[#This Row],[Material]],'[6]RV Producción'!$Y:$AA,3,FALSE),VLOOKUP(Tabla14[[#This Row],[Llave]],'[6]RV Producción'!$C:$G,5,FALSE)),0)</f>
        <v>221194</v>
      </c>
      <c r="J23" s="7">
        <f>IFERROR(IF(Tabla14[[#This Row],[Oficina]]=$I$7,VLOOKUP(Tabla14[[#This Row],[Llave]],'[7]Shangai (Tomas)'!$A:$F,6,FALSE),VLOOKUP(Tabla14[[#This Row],[Llave]],'[6]RV plan de ventas'!$A:$E,5,FALSE)),0)</f>
        <v>168000</v>
      </c>
      <c r="K23" s="8">
        <f>IFERROR(VLOOKUP(Tabla14[[#This Row],[Sector]]&amp;Tabla14[[#This Row],[Oficina]],[8]Ponderación!$A$3:$G$22,7,FALSE),0)</f>
        <v>0.3545854356400317</v>
      </c>
      <c r="L23" s="7">
        <f>+Tabla14[[#This Row],[ RV Producción mes n+1]]*Tabla14[[#This Row],[% Uti. producción]]</f>
        <v>78432.170850961178</v>
      </c>
      <c r="M23" s="7">
        <f>IFERROR(VLOOKUP(Tabla14[[#This Row],[Material]],'[9]TD Stock'!$B:$C,2,FALSE),0)</f>
        <v>70183.689999999973</v>
      </c>
      <c r="N23" s="7">
        <f>IFERROR(VLOOKUP(Tabla14[[#This Row],[Material]],'[10]Consolidado planificación'!$B:$C,2,FALSE),0)</f>
        <v>0</v>
      </c>
      <c r="O23" s="7">
        <f>IFERROR(VLOOKUP(Tabla14[[#This Row],[Llave]],[11]Hoja2!$D:$G,4,FALSE),0)</f>
        <v>0</v>
      </c>
      <c r="P23" s="14">
        <f>SUM(Tabla14[[#This Row],[Producción disponible]],Tabla14[[#This Row],[Stock al día]],(Tabla14[[#This Row],[Por producir mes N]]*0.9))-Tabla14[[#This Row],[Producción por despachar mes N]]</f>
        <v>148615.86085096115</v>
      </c>
      <c r="Q23" s="7">
        <f>IFERROR(VLOOKUP(Tabla14[[#This Row],[Llave]],[9]DELAY!$A:$D,4,FALSE),0)</f>
        <v>132700</v>
      </c>
      <c r="R23" s="9">
        <v>23000</v>
      </c>
      <c r="S23" s="5">
        <f t="shared" si="5"/>
        <v>132700</v>
      </c>
      <c r="T23" s="76">
        <v>0</v>
      </c>
      <c r="U23" s="5">
        <f>+Tabla14[[#This Row],[Atraso a facturar]]+Tabla14[[#This Row],[Ajuste atraso]]</f>
        <v>132700</v>
      </c>
      <c r="V23" s="3">
        <f>+Tabla14[[#This Row],[Total disponible]]-Tabla14[[#This Row],[Facturación atraso]]</f>
        <v>15915.860850961151</v>
      </c>
      <c r="W23" s="6">
        <f>IFERROR(IF(AND(V23&gt;R23,J23&gt;=R23),ROUNDDOWN((Tabla14[[#This Row],[Producción para venta nueva]])/R23,0)*R23,0),0)</f>
        <v>0</v>
      </c>
      <c r="X23" s="76">
        <v>0</v>
      </c>
      <c r="Y23" s="6">
        <f>IF(Tabla14[[#This Row],[Venta del mes]]&gt;0,Tabla14[[#This Row],[Venta del mes]]+Tabla14[[#This Row],[Ajuste venta nueva]],0)</f>
        <v>0</v>
      </c>
      <c r="Z23" s="6">
        <f>+Tabla14[[#This Row],[Producción para venta nueva]]-Tabla14[[#This Row],[Facturación Venta nueva]]</f>
        <v>15915.860850961151</v>
      </c>
      <c r="AA23" s="6">
        <f>IF(AND(A23=1,Tabla14[[#This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3" s="6">
        <v>0</v>
      </c>
      <c r="AC23" s="6">
        <f>IF(Tabla14[[#This Row],[Disponible stock sin venta]]&gt;0,Tabla14[[#This Row],[Disponible stock sin venta]]+Tabla14[[#This Row],[Ajuste stock sin venta]],0)</f>
        <v>0</v>
      </c>
      <c r="AD23" s="3">
        <f>IFERROR(VLOOKUP(Tabla14[[#This Row],[Llave]],[12]Hoja1!$A:$D,4,FALSE),0)</f>
        <v>47974.38</v>
      </c>
      <c r="AE2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180674.38</v>
      </c>
      <c r="AF23" s="3">
        <v>180674.38</v>
      </c>
      <c r="AG23" s="3">
        <f>+Tabla14[[#This Row],[En puerto a facturar]]</f>
        <v>47974.38</v>
      </c>
      <c r="AH23" s="3">
        <f>+Tabla14[[#This Row],[Facturación atraso]]</f>
        <v>132700</v>
      </c>
      <c r="AI23" s="3">
        <f>+Tabla14[[#This Row],[Plan Irrestricto (DATO)]]-Tabla14[[#This Row],[Puerto ]]-Tabla14[[#This Row],[Atraso]]</f>
        <v>0</v>
      </c>
      <c r="AJ23" s="6">
        <f>IF(Tabla14[[#This Row],[Plan Irrestricto (DATO)]]&gt;0,SUM(Tabla14[[#This Row],[Facturación atraso]],Tabla14[[#This Row],[Facturación Venta nueva]],Tabla14[[#This Row],[Facturación stock]],Tabla14[[#This Row],[En puerto a facturar]]),0)</f>
        <v>180674.38</v>
      </c>
      <c r="AK23" s="3">
        <f>+Tabla14[[#This Row],[Facturación atraso]]</f>
        <v>132700</v>
      </c>
      <c r="AL23" s="3">
        <f>Tabla14[[#This Row],[Plan Ajustado]]-Tabla14[[#This Row],[ Atraso ajustado]]-Tabla14[[#This Row],[En puerto a facturar]]</f>
        <v>0</v>
      </c>
      <c r="AM23" s="3">
        <v>0</v>
      </c>
      <c r="AN23" s="3" t="s">
        <v>636</v>
      </c>
      <c r="AO23" s="3" t="str">
        <f>IF(Tabla14[[#This Row],[Plan Ajustado]]&gt;Tabla14[[#This Row],[En puerto a facturar]],"Si","No")</f>
        <v>Si</v>
      </c>
      <c r="AP23" s="3">
        <f>IF(AND(Tabla14[[#This Row],[Plan Ajustado]]&gt;0,Tabla14[[#This Row],[Plan Ajustado]]&gt;Tabla14[[#This Row],[En puerto a facturar]]),(Tabla14[[#This Row],[Plan Ajustado]]-Tabla14[[#This Row],[En puerto a facturar]]),0)</f>
        <v>132700</v>
      </c>
      <c r="AQ23" s="3">
        <f>IF(Tabla14[[#This Row],[Necesidad]]&gt;=Tabla14[[#This Row],[Stock al día]],Tabla14[[#This Row],[Stock al día]],Tabla14[[#This Row],[Necesidad]])</f>
        <v>70183.689999999973</v>
      </c>
      <c r="AR23" s="3">
        <f>+Tabla14[[#This Row],[Necesidad]]-Tabla14[[#This Row],[Stock Plan]]</f>
        <v>62516.310000000027</v>
      </c>
      <c r="AS23" s="155">
        <f>VLOOKUP(Tabla14[[#This Row],[Sector]]&amp;Tabla14[[#This Row],[Oficina]],[8]Ponderación!$A:$H,8,FALSE)</f>
        <v>44813</v>
      </c>
      <c r="AT23" s="30">
        <f>IFERROR(VLOOKUP(Tabla14[[#This Row],[Llave]],'[6]RV plan de ventas'!$A:$F,6,FALSE),0)</f>
        <v>2.8366726190476199</v>
      </c>
      <c r="AU23" s="83">
        <f>IFERROR(VLOOKUP(Tabla14[[#This Row],[Llave]],[9]DELAY!$H:$X,17,FALSE),0)</f>
        <v>2.8675804246973859</v>
      </c>
      <c r="AV2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2.8675804246973859</v>
      </c>
      <c r="AW23" s="5">
        <f>Tabla14[[#This Row],[Pecio plan]]*Tabla14[[#This Row],[Plan Ajustado]]</f>
        <v>510887.53951364174</v>
      </c>
      <c r="AX23" s="30">
        <f>IFERROR(VLOOKUP(Tabla14[[#This Row],[Llave]],'[13]Ultimos precios facturados'!$A:$G,7,FALSE),0)</f>
        <v>2.4869559132430363</v>
      </c>
      <c r="AY2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0.15304835498993957</v>
      </c>
      <c r="AZ23" s="30">
        <f>IFERROR(VLOOKUP(Tabla14[[#This Row],[Llave]],Hoja2!B:K,10,FALSE),0)</f>
        <v>2.6849973460509213</v>
      </c>
      <c r="BA2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2.8675804246973859</v>
      </c>
      <c r="BB23" s="30">
        <v>2.8276700853416057</v>
      </c>
      <c r="BC23" s="30">
        <f>IF(Tabla14[[#This Row],[Market]]=0,Tabla14[[#This Row],[Precio Final]],Tabla14[[#This Row],[Market]])</f>
        <v>2.8276700853416057</v>
      </c>
      <c r="BD23" s="82"/>
      <c r="BE23" s="82" t="str">
        <f>IF(AND(Tabla14[[#This Row],[Atraso a facturar]]&gt;0,Tabla14[[#This Row],[En puerto a facturar]]&gt;0,Tabla14[[#This Row],[Precio Atraso]]=0),"Revisar","OK")</f>
        <v>OK</v>
      </c>
      <c r="BF23" s="82" t="str">
        <f>IF(AND(Tabla14[[#This Row],[Venta del mes]]&gt;0,Tabla14[[#This Row],[Precio venta nueva]]=0),"Revisar","OK")</f>
        <v>OK</v>
      </c>
      <c r="BG23" s="20">
        <f>IFERROR(VLOOKUP(Tabla14[[#This Row],[Llave]],'[5]Consolidación planes'!$A:$M,9,FALSE),0)</f>
        <v>480000</v>
      </c>
      <c r="BH23" s="20">
        <f>IFERROR(VLOOKUP(Tabla14[[#This Row],[Llave]],'[5]Consolidación planes'!$A:$M,10,FALSE),0)</f>
        <v>508001</v>
      </c>
      <c r="BI23" s="20">
        <f>IFERROR(VLOOKUP(Tabla14[[#This Row],[Llave]],'[5]Consolidación planes'!$A:$M,11,FALSE),0)</f>
        <v>384000</v>
      </c>
      <c r="BJ23" s="20">
        <f>IFERROR(VLOOKUP(Tabla14[[#This Row],[Llave]],'[5]Consolidación planes'!$A:$M,12,FALSE),0)</f>
        <v>188000</v>
      </c>
      <c r="BK23" s="20">
        <f>IFERROR(VLOOKUP(Tabla14[[#This Row],[Llave]],'[5]Consolidación planes'!$A:$M,13,FALSE),0)</f>
        <v>504000</v>
      </c>
      <c r="BL23" s="20">
        <f>IFERROR(VLOOKUP(Tabla14[[#This Row],[Llave]],'[13]Base ultimos planes'!$A:$M,13,FALSE),0)</f>
        <v>262964</v>
      </c>
      <c r="BM23" s="20">
        <f>IFERROR(VLOOKUP(Tabla14[[#This Row],[Llave]],'[13]Cruce plan irrestricto'!$C:$M,10,FALSE),0)</f>
        <v>382300</v>
      </c>
      <c r="BN23" s="20">
        <f>IFERROR(VLOOKUP(Tabla14[[#This Row],[Llave]],'[13]Cruce plan irrestricto'!$C:$M,11,FALSE),0)</f>
        <v>226000</v>
      </c>
      <c r="BO23" s="80">
        <f>IFERROR(VLOOKUP(Tabla14[[#This Row],[Llave]],'[13]Base ultimos planes'!$O:$AA,8,FALSE),0)</f>
        <v>1248000</v>
      </c>
      <c r="BP23" s="20">
        <f>IFERROR(VLOOKUP(Tabla14[[#This Row],[Llave]],'[13]Base ultimos planes'!$O:$AA,9,FALSE),0)</f>
        <v>1281954</v>
      </c>
      <c r="BQ23" s="20">
        <f>IFERROR(VLOOKUP(Tabla14[[#This Row],[Llave]],'[13]Base ultimos planes'!$O:$AA,10,FALSE),0)</f>
        <v>924000</v>
      </c>
      <c r="BR23" s="20">
        <f>IFERROR(VLOOKUP(Tabla14[[#This Row],[Llave]],'[13]Base ultimos planes'!$O:$AA,11,FALSE),0)</f>
        <v>424640</v>
      </c>
      <c r="BS23" s="20">
        <f>IFERROR(VLOOKUP(Tabla14[[#This Row],[Llave]],'[13]Base ultimos planes'!$O:$AA,12,FALSE),0)</f>
        <v>1231920</v>
      </c>
      <c r="BT23" s="20">
        <f>IFERROR(VLOOKUP(Tabla14[[#This Row],[Llave]],'[13]Base ultimos planes'!$O:$AA,13,FALSE),0)</f>
        <v>681801</v>
      </c>
      <c r="BU23" s="20"/>
      <c r="BV23" s="20">
        <f>Tabla14[[#This Row],[ RV Producción mes n+1]]-Tabla14[[#This Row],[Producción disponible]]+Tabla14[[#This Row],[Saldo Volumen disponible]]</f>
        <v>158677.68999999997</v>
      </c>
      <c r="BW23" s="20">
        <f>IFERROR(VLOOKUP(Tabla14[[#This Row],[Llave]],[14]Hoja2!$J:$N,4,FALSE),0)</f>
        <v>312000</v>
      </c>
      <c r="BX23" s="20">
        <f>+Tabla14[[#This Row],[Asignación mes n+1]]*Tabla14[[#This Row],[% Uti. producción]]</f>
        <v>110630.65591968989</v>
      </c>
      <c r="BY23" s="20">
        <f>+Tabla14[[#This Row],[Ponderación mes n+1]]+Tabla14[[#This Row],[Saldo mes n-1]]</f>
        <v>269308.34591968986</v>
      </c>
      <c r="BZ23" s="20">
        <f>+Tabla14[[#This Row],[Asignación mes n+1]]-Tabla14[[#This Row],[Ponderación mes n+1]]</f>
        <v>201369.34408031011</v>
      </c>
      <c r="CA23" s="20">
        <f>IFERROR(VLOOKUP(Tabla14[[#This Row],[Llave]],[14]Hoja2!$J:$N,5,FALSE),0)</f>
        <v>312000</v>
      </c>
      <c r="CB23" s="20">
        <f>+Tabla14[[#This Row],[Asignación mes n+2]]*Tabla14[[#This Row],[% Uti. producción]]</f>
        <v>110630.65591968989</v>
      </c>
      <c r="CC23" s="20">
        <f>+Tabla14[[#This Row],[Saldo mes n+2]]+Tabla14[[#This Row],[Ponderación mes n+2]]</f>
        <v>312000</v>
      </c>
      <c r="CD23" s="20">
        <f>+Tabla14[[#This Row],[Asignación mes n+2]]-Tabla14[[#This Row],[Ponderación mes n+2]]</f>
        <v>201369.34408031011</v>
      </c>
    </row>
    <row r="24" spans="1:82" ht="16" x14ac:dyDescent="0.2">
      <c r="A24">
        <v>1</v>
      </c>
      <c r="B24" t="str">
        <f>Tabla14[[#This Row],[Oficina]]&amp;Tabla14[[#This Row],[Material]]</f>
        <v>Agro Sudamerica1021023</v>
      </c>
      <c r="C24" t="s">
        <v>6</v>
      </c>
      <c r="D24" t="s">
        <v>17</v>
      </c>
      <c r="E24">
        <v>1021023</v>
      </c>
      <c r="F24" t="s">
        <v>43</v>
      </c>
      <c r="G24" t="s">
        <v>11</v>
      </c>
      <c r="H24" t="s">
        <v>41</v>
      </c>
      <c r="I24" s="7">
        <f>IFERROR(IF(Tabla14[[#This Row],[Oficina]]=$I$7,VLOOKUP(Tabla14[[#This Row],[Material]],'[6]RV Producción'!$Y:$AA,3,FALSE),VLOOKUP(Tabla14[[#This Row],[Llave]],'[6]RV Producción'!$C:$G,5,FALSE)),0)</f>
        <v>182908</v>
      </c>
      <c r="J24" s="7">
        <f>IFERROR(IF(Tabla14[[#This Row],[Oficina]]=$I$7,VLOOKUP(Tabla14[[#This Row],[Llave]],'[7]Shangai (Tomas)'!$A:$F,6,FALSE),VLOOKUP(Tabla14[[#This Row],[Llave]],'[6]RV plan de ventas'!$A:$E,5,FALSE)),0)</f>
        <v>192000</v>
      </c>
      <c r="K24" s="8">
        <f>IFERROR(VLOOKUP(Tabla14[[#This Row],[Sector]]&amp;Tabla14[[#This Row],[Oficina]],[8]Ponderación!$A$3:$G$22,7,FALSE),0)</f>
        <v>0.3545854356400317</v>
      </c>
      <c r="L24" s="7">
        <f>+Tabla14[[#This Row],[ RV Producción mes n+1]]*Tabla14[[#This Row],[% Uti. producción]]</f>
        <v>64856.512862046919</v>
      </c>
      <c r="M24" s="7">
        <f>IFERROR(VLOOKUP(Tabla14[[#This Row],[Material]],'[9]TD Stock'!$B:$C,2,FALSE),0)</f>
        <v>44736.615999999965</v>
      </c>
      <c r="N24" s="7">
        <f>IFERROR(VLOOKUP(Tabla14[[#This Row],[Material]],'[10]Consolidado planificación'!$B:$C,2,FALSE),0)</f>
        <v>0</v>
      </c>
      <c r="O24" s="7">
        <f>IFERROR(VLOOKUP(Tabla14[[#This Row],[Llave]],[11]Hoja2!$D:$G,4,FALSE),0)</f>
        <v>0</v>
      </c>
      <c r="P24" s="14">
        <f>SUM(Tabla14[[#This Row],[Producción disponible]],Tabla14[[#This Row],[Stock al día]],(Tabla14[[#This Row],[Por producir mes N]]*0.9))-Tabla14[[#This Row],[Producción por despachar mes N]]</f>
        <v>109593.12886204688</v>
      </c>
      <c r="Q24" s="7">
        <f>IFERROR(VLOOKUP(Tabla14[[#This Row],[Llave]],[9]DELAY!$A:$D,4,FALSE),0)</f>
        <v>38000</v>
      </c>
      <c r="R24" s="9">
        <v>23000</v>
      </c>
      <c r="S24" s="5">
        <f t="shared" si="5"/>
        <v>38000</v>
      </c>
      <c r="T24" s="76">
        <v>0</v>
      </c>
      <c r="U24" s="5">
        <f>+Tabla14[[#This Row],[Atraso a facturar]]+Tabla14[[#This Row],[Ajuste atraso]]</f>
        <v>38000</v>
      </c>
      <c r="V24" s="3">
        <f>+Tabla14[[#This Row],[Total disponible]]-Tabla14[[#This Row],[Facturación atraso]]</f>
        <v>71593.128862046884</v>
      </c>
      <c r="W24" s="6">
        <f>IFERROR(IF(AND(V24&gt;R24,J24&gt;=R24),ROUNDDOWN((Tabla14[[#This Row],[Producción para venta nueva]])/R24,0)*R24,0),0)</f>
        <v>69000</v>
      </c>
      <c r="X24" s="76">
        <v>0</v>
      </c>
      <c r="Y24" s="6">
        <f>IF(Tabla14[[#This Row],[Venta del mes]]&gt;0,Tabla14[[#This Row],[Venta del mes]]+Tabla14[[#This Row],[Ajuste venta nueva]],0)</f>
        <v>69000</v>
      </c>
      <c r="Z24" s="6">
        <f>+Tabla14[[#This Row],[Producción para venta nueva]]-Tabla14[[#This Row],[Facturación Venta nueva]]</f>
        <v>2593.128862046884</v>
      </c>
      <c r="AA24" s="6">
        <f>IF(AND(A24=1,Tabla14[[#This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" s="6">
        <v>0</v>
      </c>
      <c r="AC24" s="6">
        <f>IF(Tabla14[[#This Row],[Disponible stock sin venta]]&gt;0,Tabla14[[#This Row],[Disponible stock sin venta]]+Tabla14[[#This Row],[Ajuste stock sin venta]],0)</f>
        <v>0</v>
      </c>
      <c r="AD24" s="3">
        <f>IFERROR(VLOOKUP(Tabla14[[#This Row],[Llave]],[12]Hoja1!$A:$D,4,FALSE),0)</f>
        <v>23997.03</v>
      </c>
      <c r="AE2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130997.03</v>
      </c>
      <c r="AF24" s="3">
        <v>130997.03</v>
      </c>
      <c r="AG24" s="3">
        <f>+Tabla14[[#This Row],[En puerto a facturar]]</f>
        <v>23997.03</v>
      </c>
      <c r="AH24" s="3">
        <f>+Tabla14[[#This Row],[Facturación atraso]]</f>
        <v>38000</v>
      </c>
      <c r="AI24" s="3">
        <f>+Tabla14[[#This Row],[Plan Irrestricto (DATO)]]-Tabla14[[#This Row],[Puerto ]]-Tabla14[[#This Row],[Atraso]]</f>
        <v>69000</v>
      </c>
      <c r="AJ24" s="6">
        <f>IF(Tabla14[[#This Row],[Plan Irrestricto (DATO)]]&gt;0,SUM(Tabla14[[#This Row],[Facturación atraso]],Tabla14[[#This Row],[Facturación Venta nueva]],Tabla14[[#This Row],[Facturación stock]],Tabla14[[#This Row],[En puerto a facturar]]),0)</f>
        <v>130997.03</v>
      </c>
      <c r="AK24" s="3">
        <f>+Tabla14[[#This Row],[Facturación atraso]]</f>
        <v>38000</v>
      </c>
      <c r="AL24" s="3">
        <f>Tabla14[[#This Row],[Plan Ajustado]]-Tabla14[[#This Row],[ Atraso ajustado]]-Tabla14[[#This Row],[En puerto a facturar]]</f>
        <v>69000</v>
      </c>
      <c r="AM24" s="3">
        <v>0</v>
      </c>
      <c r="AN24" s="3" t="s">
        <v>636</v>
      </c>
      <c r="AO24" s="3" t="str">
        <f>IF(Tabla14[[#This Row],[Plan Ajustado]]&gt;Tabla14[[#This Row],[En puerto a facturar]],"Si","No")</f>
        <v>Si</v>
      </c>
      <c r="AP24" s="3">
        <f>IF(AND(Tabla14[[#This Row],[Plan Ajustado]]&gt;0,Tabla14[[#This Row],[Plan Ajustado]]&gt;Tabla14[[#This Row],[En puerto a facturar]]),(Tabla14[[#This Row],[Plan Ajustado]]-Tabla14[[#This Row],[En puerto a facturar]]),0)</f>
        <v>107000</v>
      </c>
      <c r="AQ24" s="3">
        <f>IF(Tabla14[[#This Row],[Necesidad]]&gt;=Tabla14[[#This Row],[Stock al día]],Tabla14[[#This Row],[Stock al día]],Tabla14[[#This Row],[Necesidad]])</f>
        <v>44736.615999999965</v>
      </c>
      <c r="AR24" s="3">
        <f>+Tabla14[[#This Row],[Necesidad]]-Tabla14[[#This Row],[Stock Plan]]</f>
        <v>62263.384000000035</v>
      </c>
      <c r="AS24" s="155">
        <f>VLOOKUP(Tabla14[[#This Row],[Sector]]&amp;Tabla14[[#This Row],[Oficina]],[8]Ponderación!$A:$H,8,FALSE)</f>
        <v>44813</v>
      </c>
      <c r="AT24" s="30">
        <f>IFERROR(VLOOKUP(Tabla14[[#This Row],[Llave]],'[6]RV plan de ventas'!$A:$F,6,FALSE),0)</f>
        <v>1.2366718750000001</v>
      </c>
      <c r="AU24" s="83">
        <f>IFERROR(VLOOKUP(Tabla14[[#This Row],[Llave]],[9]DELAY!$H:$X,17,FALSE),0)</f>
        <v>1.1840985686980601</v>
      </c>
      <c r="AV2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1.2117904799943227</v>
      </c>
      <c r="AW24" s="5">
        <f>Tabla14[[#This Row],[Pecio plan]]*Tabla14[[#This Row],[Plan Ajustado]]</f>
        <v>159106.825075</v>
      </c>
      <c r="AX24" s="30">
        <f>IFERROR(VLOOKUP(Tabla14[[#This Row],[Llave]],'[13]Ultimos precios facturados'!$A:$G,7,FALSE),0)</f>
        <v>1.1075126748274666</v>
      </c>
      <c r="AY2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9.4154954193279003E-2</v>
      </c>
      <c r="AZ24" s="30">
        <f>IFERROR(VLOOKUP(Tabla14[[#This Row],[Llave]],Hoja2!B:K,10,FALSE),0)</f>
        <v>1.1219623949579831</v>
      </c>
      <c r="BA2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1.2117904799943227</v>
      </c>
      <c r="BB24" s="30">
        <v>1.2145834533424156</v>
      </c>
      <c r="BC24" s="30">
        <f>IF(Tabla14[[#This Row],[Market]]=0,Tabla14[[#This Row],[Precio Final]],Tabla14[[#This Row],[Market]])</f>
        <v>1.2145834533424156</v>
      </c>
      <c r="BD24" s="82"/>
      <c r="BE24" s="82" t="str">
        <f>IF(AND(Tabla14[[#This Row],[Atraso a facturar]]&gt;0,Tabla14[[#This Row],[En puerto a facturar]]&gt;0,Tabla14[[#This Row],[Precio Atraso]]=0),"Revisar","OK")</f>
        <v>OK</v>
      </c>
      <c r="BF24" s="82" t="str">
        <f>IF(AND(Tabla14[[#This Row],[Venta del mes]]&gt;0,Tabla14[[#This Row],[Precio venta nueva]]=0),"Revisar","OK")</f>
        <v>OK</v>
      </c>
      <c r="BG24" s="20">
        <f>IFERROR(VLOOKUP(Tabla14[[#This Row],[Llave]],'[5]Consolidación planes'!$A:$M,9,FALSE),0)</f>
        <v>120000</v>
      </c>
      <c r="BH24" s="20">
        <f>IFERROR(VLOOKUP(Tabla14[[#This Row],[Llave]],'[5]Consolidación planes'!$A:$M,10,FALSE),0)</f>
        <v>216000</v>
      </c>
      <c r="BI24" s="20">
        <f>IFERROR(VLOOKUP(Tabla14[[#This Row],[Llave]],'[5]Consolidación planes'!$A:$M,11,FALSE),0)</f>
        <v>264000</v>
      </c>
      <c r="BJ24" s="20">
        <f>IFERROR(VLOOKUP(Tabla14[[#This Row],[Llave]],'[5]Consolidación planes'!$A:$M,12,FALSE),0)</f>
        <v>167000</v>
      </c>
      <c r="BK24" s="20">
        <f>IFERROR(VLOOKUP(Tabla14[[#This Row],[Llave]],'[5]Consolidación planes'!$A:$M,13,FALSE),0)</f>
        <v>96000</v>
      </c>
      <c r="BL24" s="20">
        <f>IFERROR(VLOOKUP(Tabla14[[#This Row],[Llave]],'[13]Base ultimos planes'!$A:$M,13,FALSE),0)</f>
        <v>120000</v>
      </c>
      <c r="BM24" s="20">
        <f>IFERROR(VLOOKUP(Tabla14[[#This Row],[Llave]],'[13]Cruce plan irrestricto'!$C:$M,10,FALSE),0)</f>
        <v>118000</v>
      </c>
      <c r="BN24" s="20">
        <f>IFERROR(VLOOKUP(Tabla14[[#This Row],[Llave]],'[13]Cruce plan irrestricto'!$C:$M,11,FALSE),0)</f>
        <v>119000</v>
      </c>
      <c r="BO24" s="80">
        <f>IFERROR(VLOOKUP(Tabla14[[#This Row],[Llave]],'[13]Base ultimos planes'!$O:$AA,8,FALSE),0)</f>
        <v>141600</v>
      </c>
      <c r="BP24" s="20">
        <f>IFERROR(VLOOKUP(Tabla14[[#This Row],[Llave]],'[13]Base ultimos planes'!$O:$AA,9,FALSE),0)</f>
        <v>245849</v>
      </c>
      <c r="BQ24" s="20">
        <f>IFERROR(VLOOKUP(Tabla14[[#This Row],[Llave]],'[13]Base ultimos planes'!$O:$AA,10,FALSE),0)</f>
        <v>290400</v>
      </c>
      <c r="BR24" s="20">
        <f>IFERROR(VLOOKUP(Tabla14[[#This Row],[Llave]],'[13]Base ultimos planes'!$O:$AA,11,FALSE),0)</f>
        <v>181920</v>
      </c>
      <c r="BS24" s="20">
        <f>IFERROR(VLOOKUP(Tabla14[[#This Row],[Llave]],'[13]Base ultimos planes'!$O:$AA,12,FALSE),0)</f>
        <v>95760</v>
      </c>
      <c r="BT24" s="20">
        <f>IFERROR(VLOOKUP(Tabla14[[#This Row],[Llave]],'[13]Base ultimos planes'!$O:$AA,13,FALSE),0)</f>
        <v>134889</v>
      </c>
      <c r="BU24" s="20"/>
      <c r="BV24" s="20">
        <f>Tabla14[[#This Row],[ RV Producción mes n+1]]-Tabla14[[#This Row],[Producción disponible]]+Tabla14[[#This Row],[Saldo Volumen disponible]]</f>
        <v>120644.61599999997</v>
      </c>
      <c r="BW24" s="20">
        <f>IFERROR(VLOOKUP(Tabla14[[#This Row],[Llave]],[14]Hoja2!$J:$N,4,FALSE),0)</f>
        <v>157468.85600000003</v>
      </c>
      <c r="BX24" s="20">
        <f>+Tabla14[[#This Row],[Asignación mes n+1]]*Tabla14[[#This Row],[% Uti. producción]]</f>
        <v>55836.162904497432</v>
      </c>
      <c r="BY24" s="20">
        <f>+Tabla14[[#This Row],[Ponderación mes n+1]]+Tabla14[[#This Row],[Saldo mes n-1]]</f>
        <v>176480.77890449739</v>
      </c>
      <c r="BZ24" s="20">
        <f>+Tabla14[[#This Row],[Asignación mes n+1]]-Tabla14[[#This Row],[Ponderación mes n+1]]</f>
        <v>101632.69309550259</v>
      </c>
      <c r="CA24" s="20">
        <f>IFERROR(VLOOKUP(Tabla14[[#This Row],[Llave]],[14]Hoja2!$J:$N,5,FALSE),0)</f>
        <v>172910.098</v>
      </c>
      <c r="CB24" s="20">
        <f>+Tabla14[[#This Row],[Asignación mes n+2]]*Tabla14[[#This Row],[% Uti. producción]]</f>
        <v>61311.40242589057</v>
      </c>
      <c r="CC24" s="20">
        <f>+Tabla14[[#This Row],[Saldo mes n+2]]+Tabla14[[#This Row],[Ponderación mes n+2]]</f>
        <v>162944.09552139317</v>
      </c>
      <c r="CD24" s="20">
        <f>+Tabla14[[#This Row],[Asignación mes n+2]]-Tabla14[[#This Row],[Ponderación mes n+2]]</f>
        <v>111598.69557410943</v>
      </c>
    </row>
    <row r="25" spans="1:82" ht="16" x14ac:dyDescent="0.2">
      <c r="A25">
        <v>1</v>
      </c>
      <c r="B25" t="str">
        <f>Tabla14[[#This Row],[Oficina]]&amp;Tabla14[[#This Row],[Material]]</f>
        <v>Agro Sudamerica1021039</v>
      </c>
      <c r="C25" t="s">
        <v>6</v>
      </c>
      <c r="D25" t="s">
        <v>17</v>
      </c>
      <c r="E25">
        <v>1021039</v>
      </c>
      <c r="F25" t="s">
        <v>36</v>
      </c>
      <c r="G25" t="s">
        <v>8</v>
      </c>
      <c r="H25" t="s">
        <v>9</v>
      </c>
      <c r="I25" s="7">
        <f>IFERROR(IF(Tabla14[[#This Row],[Oficina]]=$I$7,VLOOKUP(Tabla14[[#This Row],[Material]],'[6]RV Producción'!$Y:$AA,3,FALSE),VLOOKUP(Tabla14[[#This Row],[Llave]],'[6]RV Producción'!$C:$G,5,FALSE)),0)</f>
        <v>19000</v>
      </c>
      <c r="J25" s="7">
        <f>IFERROR(IF(Tabla14[[#This Row],[Oficina]]=$I$7,VLOOKUP(Tabla14[[#This Row],[Llave]],'[7]Shangai (Tomas)'!$A:$F,6,FALSE),VLOOKUP(Tabla14[[#This Row],[Llave]],'[6]RV plan de ventas'!$A:$E,5,FALSE)),0)</f>
        <v>48000</v>
      </c>
      <c r="K25" s="8">
        <f>IFERROR(VLOOKUP(Tabla14[[#This Row],[Sector]]&amp;Tabla14[[#This Row],[Oficina]],[8]Ponderación!$A$3:$G$22,7,FALSE),0)</f>
        <v>0.3545854356400317</v>
      </c>
      <c r="L25" s="7">
        <f>+Tabla14[[#This Row],[ RV Producción mes n+1]]*Tabla14[[#This Row],[% Uti. producción]]</f>
        <v>6737.1232771606019</v>
      </c>
      <c r="M25" s="7">
        <f>IFERROR(VLOOKUP(Tabla14[[#This Row],[Material]],'[9]TD Stock'!$B:$C,2,FALSE),0)</f>
        <v>56502.628000000019</v>
      </c>
      <c r="N25" s="7">
        <f>IFERROR(VLOOKUP(Tabla14[[#This Row],[Material]],'[10]Consolidado planificación'!$B:$C,2,FALSE),0)</f>
        <v>0</v>
      </c>
      <c r="O25" s="7">
        <f>IFERROR(VLOOKUP(Tabla14[[#This Row],[Llave]],[11]Hoja2!$D:$G,4,FALSE),0)</f>
        <v>0</v>
      </c>
      <c r="P25" s="14">
        <f>SUM(Tabla14[[#This Row],[Producción disponible]],Tabla14[[#This Row],[Stock al día]],(Tabla14[[#This Row],[Por producir mes N]]*0.9))-Tabla14[[#This Row],[Producción por despachar mes N]]</f>
        <v>63239.75127716062</v>
      </c>
      <c r="Q25" s="7">
        <f>IFERROR(VLOOKUP(Tabla14[[#This Row],[Llave]],[9]DELAY!$A:$D,4,FALSE),0)</f>
        <v>33271</v>
      </c>
      <c r="R25" s="9">
        <v>23000</v>
      </c>
      <c r="S25" s="5">
        <f t="shared" si="5"/>
        <v>33271</v>
      </c>
      <c r="T25" s="76">
        <v>0</v>
      </c>
      <c r="U25" s="5">
        <f>+Tabla14[[#This Row],[Atraso a facturar]]+Tabla14[[#This Row],[Ajuste atraso]]</f>
        <v>33271</v>
      </c>
      <c r="V25" s="3">
        <f>+Tabla14[[#This Row],[Total disponible]]-Tabla14[[#This Row],[Facturación atraso]]</f>
        <v>29968.75127716062</v>
      </c>
      <c r="W25" s="6">
        <f>IFERROR(IF(AND(V25&gt;R25,J25&gt;=R25),ROUNDDOWN((Tabla14[[#This Row],[Producción para venta nueva]])/R25,0)*R25,0),0)</f>
        <v>23000</v>
      </c>
      <c r="X25" s="76">
        <v>-23000</v>
      </c>
      <c r="Y25" s="6">
        <f>IF(Tabla14[[#This Row],[Venta del mes]]&gt;0,Tabla14[[#This Row],[Venta del mes]]+Tabla14[[#This Row],[Ajuste venta nueva]],0)</f>
        <v>0</v>
      </c>
      <c r="Z25" s="6">
        <f>+Tabla14[[#This Row],[Producción para venta nueva]]-Tabla14[[#This Row],[Facturación Venta nueva]]</f>
        <v>29968.75127716062</v>
      </c>
      <c r="AA25" s="6">
        <f>IF(AND(A25=1,Tabla14[[#This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" s="6">
        <v>0</v>
      </c>
      <c r="AC25" s="6">
        <f>IF(Tabla14[[#This Row],[Disponible stock sin venta]]&gt;0,Tabla14[[#This Row],[Disponible stock sin venta]]+Tabla14[[#This Row],[Ajuste stock sin venta]],0)</f>
        <v>0</v>
      </c>
      <c r="AD25" s="3">
        <f>IFERROR(VLOOKUP(Tabla14[[#This Row],[Llave]],[12]Hoja1!$A:$D,4,FALSE),0)</f>
        <v>0</v>
      </c>
      <c r="AE2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56271</v>
      </c>
      <c r="AF25" s="3">
        <v>56271</v>
      </c>
      <c r="AG25" s="3">
        <f>+Tabla14[[#This Row],[En puerto a facturar]]</f>
        <v>0</v>
      </c>
      <c r="AH25" s="3">
        <f>+Tabla14[[#This Row],[Facturación atraso]]</f>
        <v>33271</v>
      </c>
      <c r="AI25" s="3">
        <f>+Tabla14[[#This Row],[Plan Irrestricto (DATO)]]-Tabla14[[#This Row],[Puerto ]]-Tabla14[[#This Row],[Atraso]]</f>
        <v>23000</v>
      </c>
      <c r="AJ25" s="6">
        <f>IF(Tabla14[[#This Row],[Plan Irrestricto (DATO)]]&gt;0,SUM(Tabla14[[#This Row],[Facturación atraso]],Tabla14[[#This Row],[Facturación Venta nueva]],Tabla14[[#This Row],[Facturación stock]],Tabla14[[#This Row],[En puerto a facturar]]),0)</f>
        <v>33271</v>
      </c>
      <c r="AK25" s="3">
        <f>+Tabla14[[#This Row],[Facturación atraso]]</f>
        <v>33271</v>
      </c>
      <c r="AL25" s="3">
        <f>Tabla14[[#This Row],[Plan Ajustado]]-Tabla14[[#This Row],[ Atraso ajustado]]-Tabla14[[#This Row],[En puerto a facturar]]</f>
        <v>0</v>
      </c>
      <c r="AM25" s="3" t="s">
        <v>886</v>
      </c>
      <c r="AN25" s="3" t="s">
        <v>887</v>
      </c>
      <c r="AO25" s="3" t="str">
        <f>IF(Tabla14[[#This Row],[Plan Ajustado]]&gt;Tabla14[[#This Row],[En puerto a facturar]],"Si","No")</f>
        <v>Si</v>
      </c>
      <c r="AP25" s="3">
        <f>IF(AND(Tabla14[[#This Row],[Plan Ajustado]]&gt;0,Tabla14[[#This Row],[Plan Ajustado]]&gt;Tabla14[[#This Row],[En puerto a facturar]]),(Tabla14[[#This Row],[Plan Ajustado]]-Tabla14[[#This Row],[En puerto a facturar]]),0)</f>
        <v>33271</v>
      </c>
      <c r="AQ25" s="3">
        <f>IF(Tabla14[[#This Row],[Necesidad]]&gt;=Tabla14[[#This Row],[Stock al día]],Tabla14[[#This Row],[Stock al día]],Tabla14[[#This Row],[Necesidad]])</f>
        <v>33271</v>
      </c>
      <c r="AR25" s="3">
        <f>+Tabla14[[#This Row],[Necesidad]]-Tabla14[[#This Row],[Stock Plan]]</f>
        <v>0</v>
      </c>
      <c r="AS25" s="155">
        <f>VLOOKUP(Tabla14[[#This Row],[Sector]]&amp;Tabla14[[#This Row],[Oficina]],[8]Ponderación!$A:$H,8,FALSE)</f>
        <v>44813</v>
      </c>
      <c r="AT25" s="30">
        <f>IFERROR(VLOOKUP(Tabla14[[#This Row],[Llave]],'[6]RV plan de ventas'!$A:$F,6,FALSE),0)</f>
        <v>0.60666666666666702</v>
      </c>
      <c r="AU25" s="83">
        <f>IFERROR(VLOOKUP(Tabla14[[#This Row],[Llave]],[9]DELAY!$H:$X,17,FALSE),0)</f>
        <v>0.55002397214819854</v>
      </c>
      <c r="AV2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0.55002397214819854</v>
      </c>
      <c r="AW25" s="5">
        <f>Tabla14[[#This Row],[Pecio plan]]*Tabla14[[#This Row],[Plan Ajustado]]</f>
        <v>17633.63</v>
      </c>
      <c r="AX25" s="30">
        <f>IFERROR(VLOOKUP(Tabla14[[#This Row],[Llave]],'[13]Ultimos precios facturados'!$A:$G,7,FALSE),0)</f>
        <v>0.59102965302721577</v>
      </c>
      <c r="AY2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6.9380073688331517E-2</v>
      </c>
      <c r="AZ25" s="30">
        <f>IFERROR(VLOOKUP(Tabla14[[#This Row],[Llave]],Hoja2!B:K,10,FALSE),0)</f>
        <v>0.50666666666666671</v>
      </c>
      <c r="BA2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0.55002397214819854</v>
      </c>
      <c r="BB25" s="30">
        <v>0.53</v>
      </c>
      <c r="BC25" s="30">
        <f>IF(Tabla14[[#This Row],[Market]]=0,Tabla14[[#This Row],[Precio Final]],Tabla14[[#This Row],[Market]])</f>
        <v>0.53</v>
      </c>
      <c r="BD25" s="82"/>
      <c r="BE25" s="82" t="str">
        <f>IF(AND(Tabla14[[#This Row],[Atraso a facturar]]&gt;0,Tabla14[[#This Row],[En puerto a facturar]]&gt;0,Tabla14[[#This Row],[Precio Atraso]]=0),"Revisar","OK")</f>
        <v>OK</v>
      </c>
      <c r="BF25" s="82" t="str">
        <f>IF(AND(Tabla14[[#This Row],[Venta del mes]]&gt;0,Tabla14[[#This Row],[Precio venta nueva]]=0),"Revisar","OK")</f>
        <v>OK</v>
      </c>
      <c r="BG25" s="20">
        <f>IFERROR(VLOOKUP(Tabla14[[#This Row],[Llave]],'[5]Consolidación planes'!$A:$M,9,FALSE),0)</f>
        <v>24000</v>
      </c>
      <c r="BH25" s="20">
        <f>IFERROR(VLOOKUP(Tabla14[[#This Row],[Llave]],'[5]Consolidación planes'!$A:$M,10,FALSE),0)</f>
        <v>24000</v>
      </c>
      <c r="BI25" s="20">
        <f>IFERROR(VLOOKUP(Tabla14[[#This Row],[Llave]],'[5]Consolidación planes'!$A:$M,11,FALSE),0)</f>
        <v>72000</v>
      </c>
      <c r="BJ25" s="20">
        <f>IFERROR(VLOOKUP(Tabla14[[#This Row],[Llave]],'[5]Consolidación planes'!$A:$M,12,FALSE),0)</f>
        <v>0</v>
      </c>
      <c r="BK25" s="20">
        <f>IFERROR(VLOOKUP(Tabla14[[#This Row],[Llave]],'[5]Consolidación planes'!$A:$M,13,FALSE),0)</f>
        <v>48000</v>
      </c>
      <c r="BL25" s="20">
        <f>IFERROR(VLOOKUP(Tabla14[[#This Row],[Llave]],'[13]Base ultimos planes'!$A:$M,13,FALSE),0)</f>
        <v>48000</v>
      </c>
      <c r="BM25" s="20">
        <f>IFERROR(VLOOKUP(Tabla14[[#This Row],[Llave]],'[13]Cruce plan irrestricto'!$C:$M,10,FALSE),0)</f>
        <v>24000</v>
      </c>
      <c r="BN25" s="20">
        <f>IFERROR(VLOOKUP(Tabla14[[#This Row],[Llave]],'[13]Cruce plan irrestricto'!$C:$M,11,FALSE),0)</f>
        <v>50039</v>
      </c>
      <c r="BO25" s="80">
        <f>IFERROR(VLOOKUP(Tabla14[[#This Row],[Llave]],'[13]Base ultimos planes'!$O:$AA,8,FALSE),0)</f>
        <v>12000</v>
      </c>
      <c r="BP25" s="20">
        <f>IFERROR(VLOOKUP(Tabla14[[#This Row],[Llave]],'[13]Base ultimos planes'!$O:$AA,9,FALSE),0)</f>
        <v>14400</v>
      </c>
      <c r="BQ25" s="20">
        <f>IFERROR(VLOOKUP(Tabla14[[#This Row],[Llave]],'[13]Base ultimos planes'!$O:$AA,10,FALSE),0)</f>
        <v>38880</v>
      </c>
      <c r="BR25" s="20">
        <f>IFERROR(VLOOKUP(Tabla14[[#This Row],[Llave]],'[13]Base ultimos planes'!$O:$AA,11,FALSE),0)</f>
        <v>0</v>
      </c>
      <c r="BS25" s="20">
        <f>IFERROR(VLOOKUP(Tabla14[[#This Row],[Llave]],'[13]Base ultimos planes'!$O:$AA,12,FALSE),0)</f>
        <v>28787</v>
      </c>
      <c r="BT25" s="20">
        <f>IFERROR(VLOOKUP(Tabla14[[#This Row],[Llave]],'[13]Base ultimos planes'!$O:$AA,13,FALSE),0)</f>
        <v>30298</v>
      </c>
      <c r="BU25" s="20"/>
      <c r="BV25" s="20">
        <f>Tabla14[[#This Row],[ RV Producción mes n+1]]-Tabla14[[#This Row],[Producción disponible]]+Tabla14[[#This Row],[Saldo Volumen disponible]]</f>
        <v>42231.628000000019</v>
      </c>
      <c r="BW25" s="20">
        <f>IFERROR(VLOOKUP(Tabla14[[#This Row],[Llave]],[14]Hoja2!$J:$N,4,FALSE),0)</f>
        <v>48000</v>
      </c>
      <c r="BX25" s="20">
        <f>+Tabla14[[#This Row],[Asignación mes n+1]]*Tabla14[[#This Row],[% Uti. producción]]</f>
        <v>17020.100910721521</v>
      </c>
      <c r="BY25" s="20">
        <f>+Tabla14[[#This Row],[Ponderación mes n+1]]+Tabla14[[#This Row],[Saldo mes n-1]]</f>
        <v>59251.72891072154</v>
      </c>
      <c r="BZ25" s="20">
        <f>+Tabla14[[#This Row],[Asignación mes n+1]]-Tabla14[[#This Row],[Ponderación mes n+1]]</f>
        <v>30979.899089278479</v>
      </c>
      <c r="CA25" s="20">
        <f>IFERROR(VLOOKUP(Tabla14[[#This Row],[Llave]],[14]Hoja2!$J:$N,5,FALSE),0)</f>
        <v>48000</v>
      </c>
      <c r="CB25" s="20">
        <f>+Tabla14[[#This Row],[Asignación mes n+2]]*Tabla14[[#This Row],[% Uti. producción]]</f>
        <v>17020.100910721521</v>
      </c>
      <c r="CC25" s="20">
        <f>+Tabla14[[#This Row],[Saldo mes n+2]]+Tabla14[[#This Row],[Ponderación mes n+2]]</f>
        <v>48000</v>
      </c>
      <c r="CD25" s="20">
        <f>+Tabla14[[#This Row],[Asignación mes n+2]]-Tabla14[[#This Row],[Ponderación mes n+2]]</f>
        <v>30979.899089278479</v>
      </c>
    </row>
    <row r="26" spans="1:82" ht="16" x14ac:dyDescent="0.2">
      <c r="A26">
        <v>1</v>
      </c>
      <c r="B26" t="str">
        <f>Tabla14[[#This Row],[Oficina]]&amp;Tabla14[[#This Row],[Material]]</f>
        <v>Agro Sudamerica1021077</v>
      </c>
      <c r="C26" t="s">
        <v>6</v>
      </c>
      <c r="D26" t="s">
        <v>17</v>
      </c>
      <c r="E26">
        <v>1021077</v>
      </c>
      <c r="F26" t="s">
        <v>45</v>
      </c>
      <c r="G26" t="s">
        <v>11</v>
      </c>
      <c r="H26" t="s">
        <v>41</v>
      </c>
      <c r="I26" s="7">
        <f>IFERROR(IF(Tabla14[[#This Row],[Oficina]]=$I$7,VLOOKUP(Tabla14[[#This Row],[Material]],'[6]RV Producción'!$Y:$AA,3,FALSE),VLOOKUP(Tabla14[[#This Row],[Llave]],'[6]RV Producción'!$C:$G,5,FALSE)),0)</f>
        <v>2061</v>
      </c>
      <c r="J26" s="7">
        <f>IFERROR(IF(Tabla14[[#This Row],[Oficina]]=$I$7,VLOOKUP(Tabla14[[#This Row],[Llave]],'[7]Shangai (Tomas)'!$A:$F,6,FALSE),VLOOKUP(Tabla14[[#This Row],[Llave]],'[6]RV plan de ventas'!$A:$E,5,FALSE)),0)</f>
        <v>0</v>
      </c>
      <c r="K26" s="8">
        <f>IFERROR(VLOOKUP(Tabla14[[#This Row],[Sector]]&amp;Tabla14[[#This Row],[Oficina]],[8]Ponderación!$A$3:$G$22,7,FALSE),0)</f>
        <v>0.3545854356400317</v>
      </c>
      <c r="L26" s="7">
        <f>+Tabla14[[#This Row],[ RV Producción mes n+1]]*Tabla14[[#This Row],[% Uti. producción]]</f>
        <v>730.8005828541053</v>
      </c>
      <c r="M26" s="7">
        <f>IFERROR(VLOOKUP(Tabla14[[#This Row],[Material]],'[9]TD Stock'!$B:$C,2,FALSE),0)</f>
        <v>26416.789000000001</v>
      </c>
      <c r="N26" s="7">
        <f>IFERROR(VLOOKUP(Tabla14[[#This Row],[Material]],'[10]Consolidado planificación'!$B:$C,2,FALSE),0)</f>
        <v>0</v>
      </c>
      <c r="O26" s="7">
        <f>IFERROR(VLOOKUP(Tabla14[[#This Row],[Llave]],[11]Hoja2!$D:$G,4,FALSE),0)</f>
        <v>0</v>
      </c>
      <c r="P26" s="14">
        <f>SUM(Tabla14[[#This Row],[Producción disponible]],Tabla14[[#This Row],[Stock al día]],(Tabla14[[#This Row],[Por producir mes N]]*0.9))-Tabla14[[#This Row],[Producción por despachar mes N]]</f>
        <v>27147.589582854107</v>
      </c>
      <c r="Q26" s="7">
        <f>IFERROR(VLOOKUP(Tabla14[[#This Row],[Llave]],[9]DELAY!$A:$D,4,FALSE),0)</f>
        <v>24000</v>
      </c>
      <c r="R26" s="9">
        <v>23000</v>
      </c>
      <c r="S26" s="5">
        <f t="shared" si="5"/>
        <v>24000</v>
      </c>
      <c r="T26" s="76">
        <v>0</v>
      </c>
      <c r="U26" s="5">
        <f>+Tabla14[[#This Row],[Atraso a facturar]]+Tabla14[[#This Row],[Ajuste atraso]]</f>
        <v>24000</v>
      </c>
      <c r="V26" s="3">
        <f>+Tabla14[[#This Row],[Total disponible]]-Tabla14[[#This Row],[Facturación atraso]]</f>
        <v>3147.589582854107</v>
      </c>
      <c r="W26" s="6">
        <f>IFERROR(IF(AND(V26&gt;R26,J26&gt;=R26),ROUNDDOWN((Tabla14[[#This Row],[Producción para venta nueva]])/R26,0)*R26,0),0)</f>
        <v>0</v>
      </c>
      <c r="X26" s="76">
        <v>0</v>
      </c>
      <c r="Y26" s="6">
        <f>IF(Tabla14[[#This Row],[Venta del mes]]&gt;0,Tabla14[[#This Row],[Venta del mes]]+Tabla14[[#This Row],[Ajuste venta nueva]],0)</f>
        <v>0</v>
      </c>
      <c r="Z26" s="6">
        <f>+Tabla14[[#This Row],[Producción para venta nueva]]-Tabla14[[#This Row],[Facturación Venta nueva]]</f>
        <v>3147.589582854107</v>
      </c>
      <c r="AA26" s="6">
        <f>IF(AND(A26=1,Tabla14[[#This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" s="6">
        <v>0</v>
      </c>
      <c r="AC26" s="6">
        <f>IF(Tabla14[[#This Row],[Disponible stock sin venta]]&gt;0,Tabla14[[#This Row],[Disponible stock sin venta]]+Tabla14[[#This Row],[Ajuste stock sin venta]],0)</f>
        <v>0</v>
      </c>
      <c r="AD26" s="3">
        <f>IFERROR(VLOOKUP(Tabla14[[#This Row],[Llave]],[12]Hoja1!$A:$D,4,FALSE),0)</f>
        <v>0</v>
      </c>
      <c r="AE2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26" s="3">
        <v>24000</v>
      </c>
      <c r="AG26" s="3">
        <f>+Tabla14[[#This Row],[En puerto a facturar]]</f>
        <v>0</v>
      </c>
      <c r="AH26" s="3">
        <f>+Tabla14[[#This Row],[Facturación atraso]]</f>
        <v>24000</v>
      </c>
      <c r="AI26" s="3">
        <f>+Tabla14[[#This Row],[Plan Irrestricto (DATO)]]-Tabla14[[#This Row],[Puerto ]]-Tabla14[[#This Row],[Atraso]]</f>
        <v>0</v>
      </c>
      <c r="AJ26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26" s="3">
        <f>+Tabla14[[#This Row],[Facturación atraso]]</f>
        <v>24000</v>
      </c>
      <c r="AL26" s="3">
        <f>Tabla14[[#This Row],[Plan Ajustado]]-Tabla14[[#This Row],[ Atraso ajustado]]-Tabla14[[#This Row],[En puerto a facturar]]</f>
        <v>0</v>
      </c>
      <c r="AM26" s="3">
        <v>0</v>
      </c>
      <c r="AN26" s="3" t="s">
        <v>888</v>
      </c>
      <c r="AO26" s="3" t="str">
        <f>IF(Tabla14[[#This Row],[Plan Ajustado]]&gt;Tabla14[[#This Row],[En puerto a facturar]],"Si","No")</f>
        <v>Si</v>
      </c>
      <c r="AP26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26" s="3">
        <f>IF(Tabla14[[#This Row],[Necesidad]]&gt;=Tabla14[[#This Row],[Stock al día]],Tabla14[[#This Row],[Stock al día]],Tabla14[[#This Row],[Necesidad]])</f>
        <v>24000</v>
      </c>
      <c r="AR26" s="3">
        <f>+Tabla14[[#This Row],[Necesidad]]-Tabla14[[#This Row],[Stock Plan]]</f>
        <v>0</v>
      </c>
      <c r="AS26" s="155">
        <f>VLOOKUP(Tabla14[[#This Row],[Sector]]&amp;Tabla14[[#This Row],[Oficina]],[8]Ponderación!$A:$H,8,FALSE)</f>
        <v>44813</v>
      </c>
      <c r="AT26" s="30">
        <f>IFERROR(VLOOKUP(Tabla14[[#This Row],[Llave]],'[6]RV plan de ventas'!$A:$F,6,FALSE),0)</f>
        <v>0</v>
      </c>
      <c r="AU26" s="83">
        <f>IFERROR(VLOOKUP(Tabla14[[#This Row],[Llave]],[9]DELAY!$H:$X,17,FALSE),0)</f>
        <v>1.4141027837209301</v>
      </c>
      <c r="AV2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1.4141027837209301</v>
      </c>
      <c r="AW26" s="5">
        <f>Tabla14[[#This Row],[Pecio plan]]*Tabla14[[#This Row],[Plan Ajustado]]</f>
        <v>27359.999999999996</v>
      </c>
      <c r="AX26" s="30">
        <f>IFERROR(VLOOKUP(Tabla14[[#This Row],[Llave]],'[13]Ultimos precios facturados'!$A:$G,7,FALSE),0)</f>
        <v>1.1064481911376645</v>
      </c>
      <c r="AY2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0.27805603104374116</v>
      </c>
      <c r="AZ26" s="30">
        <f>IFERROR(VLOOKUP(Tabla14[[#This Row],[Llave]],Hoja2!B:K,10,FALSE),0)</f>
        <v>1.2</v>
      </c>
      <c r="BA2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1.4141027837209301</v>
      </c>
      <c r="BB26" s="30">
        <v>1.1399999999999999</v>
      </c>
      <c r="BC26" s="30">
        <f>IF(Tabla14[[#This Row],[Market]]=0,Tabla14[[#This Row],[Precio Final]],Tabla14[[#This Row],[Market]])</f>
        <v>1.1399999999999999</v>
      </c>
      <c r="BD26" s="82"/>
      <c r="BE26" s="82" t="str">
        <f>IF(AND(Tabla14[[#This Row],[Atraso a facturar]]&gt;0,Tabla14[[#This Row],[En puerto a facturar]]&gt;0,Tabla14[[#This Row],[Precio Atraso]]=0),"Revisar","OK")</f>
        <v>OK</v>
      </c>
      <c r="BF26" s="82" t="str">
        <f>IF(AND(Tabla14[[#This Row],[Venta del mes]]&gt;0,Tabla14[[#This Row],[Precio venta nueva]]=0),"Revisar","OK")</f>
        <v>OK</v>
      </c>
      <c r="BG26" s="20">
        <f>IFERROR(VLOOKUP(Tabla14[[#This Row],[Llave]],'[5]Consolidación planes'!$A:$M,9,FALSE),0)</f>
        <v>0</v>
      </c>
      <c r="BH26" s="20">
        <f>IFERROR(VLOOKUP(Tabla14[[#This Row],[Llave]],'[5]Consolidación planes'!$A:$M,10,FALSE),0)</f>
        <v>24000</v>
      </c>
      <c r="BI26" s="20">
        <f>IFERROR(VLOOKUP(Tabla14[[#This Row],[Llave]],'[5]Consolidación planes'!$A:$M,11,FALSE),0)</f>
        <v>0</v>
      </c>
      <c r="BJ26" s="20">
        <f>IFERROR(VLOOKUP(Tabla14[[#This Row],[Llave]],'[5]Consolidación planes'!$A:$M,12,FALSE),0)</f>
        <v>48000</v>
      </c>
      <c r="BK26" s="20">
        <f>IFERROR(VLOOKUP(Tabla14[[#This Row],[Llave]],'[5]Consolidación planes'!$A:$M,13,FALSE),0)</f>
        <v>0</v>
      </c>
      <c r="BL26" s="20">
        <f>IFERROR(VLOOKUP(Tabla14[[#This Row],[Llave]],'[13]Base ultimos planes'!$A:$M,13,FALSE),0)</f>
        <v>48000</v>
      </c>
      <c r="BM26" s="20">
        <f>IFERROR(VLOOKUP(Tabla14[[#This Row],[Llave]],'[13]Cruce plan irrestricto'!$C:$M,10,FALSE),0)</f>
        <v>35000</v>
      </c>
      <c r="BN26" s="20">
        <f>IFERROR(VLOOKUP(Tabla14[[#This Row],[Llave]],'[13]Cruce plan irrestricto'!$C:$M,11,FALSE),0)</f>
        <v>48000</v>
      </c>
      <c r="BO26" s="80">
        <f>IFERROR(VLOOKUP(Tabla14[[#This Row],[Llave]],'[13]Base ultimos planes'!$O:$AA,8,FALSE),0)</f>
        <v>0</v>
      </c>
      <c r="BP26" s="20">
        <f>IFERROR(VLOOKUP(Tabla14[[#This Row],[Llave]],'[13]Base ultimos planes'!$O:$AA,9,FALSE),0)</f>
        <v>29259</v>
      </c>
      <c r="BQ26" s="20">
        <f>IFERROR(VLOOKUP(Tabla14[[#This Row],[Llave]],'[13]Base ultimos planes'!$O:$AA,10,FALSE),0)</f>
        <v>0</v>
      </c>
      <c r="BR26" s="20">
        <f>IFERROR(VLOOKUP(Tabla14[[#This Row],[Llave]],'[13]Base ultimos planes'!$O:$AA,11,FALSE),0)</f>
        <v>60720</v>
      </c>
      <c r="BS26" s="20">
        <f>IFERROR(VLOOKUP(Tabla14[[#This Row],[Llave]],'[13]Base ultimos planes'!$O:$AA,12,FALSE),0)</f>
        <v>0</v>
      </c>
      <c r="BT26" s="20">
        <f>IFERROR(VLOOKUP(Tabla14[[#This Row],[Llave]],'[13]Base ultimos planes'!$O:$AA,13,FALSE),0)</f>
        <v>69235</v>
      </c>
      <c r="BU26" s="20"/>
      <c r="BV26" s="20">
        <f>Tabla14[[#This Row],[ RV Producción mes n+1]]-Tabla14[[#This Row],[Producción disponible]]+Tabla14[[#This Row],[Saldo Volumen disponible]]</f>
        <v>4477.7890000000016</v>
      </c>
      <c r="BW26" s="20">
        <f>IFERROR(VLOOKUP(Tabla14[[#This Row],[Llave]],[14]Hoja2!$J:$N,4,FALSE),0)</f>
        <v>0</v>
      </c>
      <c r="BX26" s="20">
        <f>+Tabla14[[#This Row],[Asignación mes n+1]]*Tabla14[[#This Row],[% Uti. producción]]</f>
        <v>0</v>
      </c>
      <c r="BY26" s="20">
        <f>+Tabla14[[#This Row],[Ponderación mes n+1]]+Tabla14[[#This Row],[Saldo mes n-1]]</f>
        <v>4477.7890000000016</v>
      </c>
      <c r="BZ26" s="20">
        <f>+Tabla14[[#This Row],[Asignación mes n+1]]-Tabla14[[#This Row],[Ponderación mes n+1]]</f>
        <v>0</v>
      </c>
      <c r="CA26" s="20">
        <f>IFERROR(VLOOKUP(Tabla14[[#This Row],[Llave]],[14]Hoja2!$J:$N,5,FALSE),0)</f>
        <v>0</v>
      </c>
      <c r="CB26" s="20">
        <f>+Tabla14[[#This Row],[Asignación mes n+2]]*Tabla14[[#This Row],[% Uti. producción]]</f>
        <v>0</v>
      </c>
      <c r="CC26" s="20">
        <f>+Tabla14[[#This Row],[Saldo mes n+2]]+Tabla14[[#This Row],[Ponderación mes n+2]]</f>
        <v>0</v>
      </c>
      <c r="CD26" s="20">
        <f>+Tabla14[[#This Row],[Asignación mes n+2]]-Tabla14[[#This Row],[Ponderación mes n+2]]</f>
        <v>0</v>
      </c>
    </row>
    <row r="27" spans="1:82" ht="16" x14ac:dyDescent="0.2">
      <c r="A27">
        <v>1</v>
      </c>
      <c r="B27" t="str">
        <f>Tabla14[[#This Row],[Oficina]]&amp;Tabla14[[#This Row],[Material]]</f>
        <v>Agro Sudamerica1021078</v>
      </c>
      <c r="C27" t="s">
        <v>6</v>
      </c>
      <c r="D27" t="s">
        <v>17</v>
      </c>
      <c r="E27">
        <v>1021078</v>
      </c>
      <c r="F27" t="s">
        <v>74</v>
      </c>
      <c r="G27" t="s">
        <v>71</v>
      </c>
      <c r="H27" t="s">
        <v>72</v>
      </c>
      <c r="I27" s="7">
        <f>IFERROR(IF(Tabla14[[#This Row],[Oficina]]=$I$7,VLOOKUP(Tabla14[[#This Row],[Material]],'[6]RV Producción'!$Y:$AA,3,FALSE),VLOOKUP(Tabla14[[#This Row],[Llave]],'[6]RV Producción'!$C:$G,5,FALSE)),0)</f>
        <v>55716</v>
      </c>
      <c r="J27" s="7">
        <f>IFERROR(IF(Tabla14[[#This Row],[Oficina]]=$I$7,VLOOKUP(Tabla14[[#This Row],[Llave]],'[7]Shangai (Tomas)'!$A:$F,6,FALSE),VLOOKUP(Tabla14[[#This Row],[Llave]],'[6]RV plan de ventas'!$A:$E,5,FALSE)),0)</f>
        <v>48000</v>
      </c>
      <c r="K27" s="8">
        <f>IFERROR(VLOOKUP(Tabla14[[#This Row],[Sector]]&amp;Tabla14[[#This Row],[Oficina]],[8]Ponderación!$A$3:$G$22,7,FALSE),0)</f>
        <v>0.3545854356400317</v>
      </c>
      <c r="L27" s="7">
        <f>+Tabla14[[#This Row],[ RV Producción mes n+1]]*Tabla14[[#This Row],[% Uti. producción]]</f>
        <v>19756.082132120006</v>
      </c>
      <c r="M27" s="7">
        <f>IFERROR(VLOOKUP(Tabla14[[#This Row],[Material]],'[9]TD Stock'!$B:$C,2,FALSE),0)</f>
        <v>72222.813999999984</v>
      </c>
      <c r="N27" s="7">
        <f>IFERROR(VLOOKUP(Tabla14[[#This Row],[Material]],'[10]Consolidado planificación'!$B:$C,2,FALSE),0)</f>
        <v>23730.447871558776</v>
      </c>
      <c r="O27" s="7">
        <f>IFERROR(VLOOKUP(Tabla14[[#This Row],[Llave]],[11]Hoja2!$D:$G,4,FALSE),0)</f>
        <v>0</v>
      </c>
      <c r="P27" s="14">
        <f>SUM(Tabla14[[#This Row],[Producción disponible]],Tabla14[[#This Row],[Stock al día]],(Tabla14[[#This Row],[Por producir mes N]]*0.9))-Tabla14[[#This Row],[Producción por despachar mes N]]</f>
        <v>113336.29921652289</v>
      </c>
      <c r="Q27" s="7">
        <f>IFERROR(VLOOKUP(Tabla14[[#This Row],[Llave]],[9]DELAY!$A:$D,4,FALSE),0)</f>
        <v>182000</v>
      </c>
      <c r="R27" s="9">
        <v>23000</v>
      </c>
      <c r="S27" s="5">
        <f t="shared" si="5"/>
        <v>92000</v>
      </c>
      <c r="T27" s="76">
        <v>-72000</v>
      </c>
      <c r="U27" s="5">
        <f>+Tabla14[[#This Row],[Atraso a facturar]]+Tabla14[[#This Row],[Ajuste atraso]]</f>
        <v>20000</v>
      </c>
      <c r="V27" s="3">
        <f>+Tabla14[[#This Row],[Total disponible]]-Tabla14[[#This Row],[Facturación atraso]]</f>
        <v>93336.299216522893</v>
      </c>
      <c r="W27" s="6">
        <f>IFERROR(IF(AND(V27&gt;R27,J27&gt;=R27),ROUNDDOWN((Tabla14[[#This Row],[Producción para venta nueva]])/R27,0)*R27,0),0)</f>
        <v>92000</v>
      </c>
      <c r="X27" s="76">
        <v>-24000</v>
      </c>
      <c r="Y27" s="6">
        <f>IF(Tabla14[[#This Row],[Venta del mes]]&gt;0,Tabla14[[#This Row],[Venta del mes]]+Tabla14[[#This Row],[Ajuste venta nueva]],0)</f>
        <v>68000</v>
      </c>
      <c r="Z27" s="6">
        <f>+Tabla14[[#This Row],[Producción para venta nueva]]-Tabla14[[#This Row],[Facturación Venta nueva]]</f>
        <v>25336.299216522893</v>
      </c>
      <c r="AA27" s="6">
        <f>IF(AND(A27=1,Tabla14[[#This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" s="6">
        <v>0</v>
      </c>
      <c r="AC27" s="6">
        <f>IF(Tabla14[[#This Row],[Disponible stock sin venta]]&gt;0,Tabla14[[#This Row],[Disponible stock sin venta]]+Tabla14[[#This Row],[Ajuste stock sin venta]],0)</f>
        <v>0</v>
      </c>
      <c r="AD27" s="3">
        <f>IFERROR(VLOOKUP(Tabla14[[#This Row],[Llave]],[12]Hoja1!$A:$D,4,FALSE),0)</f>
        <v>0</v>
      </c>
      <c r="AE2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184000</v>
      </c>
      <c r="AF27" s="3">
        <v>92000</v>
      </c>
      <c r="AG27" s="3">
        <f>+Tabla14[[#This Row],[En puerto a facturar]]</f>
        <v>0</v>
      </c>
      <c r="AH27" s="3">
        <f>+Tabla14[[#This Row],[Facturación atraso]]</f>
        <v>20000</v>
      </c>
      <c r="AI27" s="3">
        <f>+Tabla14[[#This Row],[Plan Irrestricto (DATO)]]-Tabla14[[#This Row],[Puerto ]]-Tabla14[[#This Row],[Atraso]]</f>
        <v>72000</v>
      </c>
      <c r="AJ27" s="6">
        <f>IF(Tabla14[[#This Row],[Plan Irrestricto (DATO)]]&gt;0,SUM(Tabla14[[#This Row],[Facturación atraso]],Tabla14[[#This Row],[Facturación Venta nueva]],Tabla14[[#This Row],[Facturación stock]],Tabla14[[#This Row],[En puerto a facturar]]),0)</f>
        <v>88000</v>
      </c>
      <c r="AK27" s="3">
        <f>+Tabla14[[#This Row],[Facturación atraso]]</f>
        <v>20000</v>
      </c>
      <c r="AL27" s="3">
        <f>Tabla14[[#This Row],[Plan Ajustado]]-Tabla14[[#This Row],[ Atraso ajustado]]-Tabla14[[#This Row],[En puerto a facturar]]</f>
        <v>68000</v>
      </c>
      <c r="AM27" s="3" t="s">
        <v>889</v>
      </c>
      <c r="AN27" s="3" t="s">
        <v>890</v>
      </c>
      <c r="AO27" s="3" t="str">
        <f>IF(Tabla14[[#This Row],[Plan Ajustado]]&gt;Tabla14[[#This Row],[En puerto a facturar]],"Si","No")</f>
        <v>Si</v>
      </c>
      <c r="AP27" s="3">
        <f>IF(AND(Tabla14[[#This Row],[Plan Ajustado]]&gt;0,Tabla14[[#This Row],[Plan Ajustado]]&gt;Tabla14[[#This Row],[En puerto a facturar]]),(Tabla14[[#This Row],[Plan Ajustado]]-Tabla14[[#This Row],[En puerto a facturar]]),0)</f>
        <v>88000</v>
      </c>
      <c r="AQ27" s="3">
        <f>IF(Tabla14[[#This Row],[Necesidad]]&gt;=Tabla14[[#This Row],[Stock al día]],Tabla14[[#This Row],[Stock al día]],Tabla14[[#This Row],[Necesidad]])</f>
        <v>72222.813999999984</v>
      </c>
      <c r="AR27" s="3">
        <f>+Tabla14[[#This Row],[Necesidad]]-Tabla14[[#This Row],[Stock Plan]]</f>
        <v>15777.186000000016</v>
      </c>
      <c r="AS27" s="155">
        <f>VLOOKUP(Tabla14[[#This Row],[Sector]]&amp;Tabla14[[#This Row],[Oficina]],[8]Ponderación!$A:$H,8,FALSE)</f>
        <v>44813</v>
      </c>
      <c r="AT27" s="30">
        <f>IFERROR(VLOOKUP(Tabla14[[#This Row],[Llave]],'[6]RV plan de ventas'!$A:$F,6,FALSE),0)</f>
        <v>2.2866666666666702</v>
      </c>
      <c r="AU27" s="83">
        <f>IFERROR(VLOOKUP(Tabla14[[#This Row],[Llave]],[9]DELAY!$H:$X,17,FALSE),0)</f>
        <v>2.3055464504356675</v>
      </c>
      <c r="AV2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2.2909575266141693</v>
      </c>
      <c r="AW27" s="5">
        <f>Tabla14[[#This Row],[Pecio plan]]*Tabla14[[#This Row],[Plan Ajustado]]</f>
        <v>200893.33333333337</v>
      </c>
      <c r="AX27" s="30">
        <f>IFERROR(VLOOKUP(Tabla14[[#This Row],[Llave]],'[13]Ultimos precios facturados'!$A:$G,7,FALSE),0)</f>
        <v>2.1677225776250446</v>
      </c>
      <c r="AY2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5.6849963303025983E-2</v>
      </c>
      <c r="AZ27" s="30">
        <f>IFERROR(VLOOKUP(Tabla14[[#This Row],[Llave]],Hoja2!B:K,10,FALSE),0)</f>
        <v>2.1033402777777779</v>
      </c>
      <c r="BA2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2.2909575266141693</v>
      </c>
      <c r="BB27" s="30">
        <v>2.2828787878787882</v>
      </c>
      <c r="BC27" s="30">
        <f>IF(Tabla14[[#This Row],[Market]]=0,Tabla14[[#This Row],[Precio Final]],Tabla14[[#This Row],[Market]])</f>
        <v>2.2828787878787882</v>
      </c>
      <c r="BD27" s="82"/>
      <c r="BE27" s="82" t="str">
        <f>IF(AND(Tabla14[[#This Row],[Atraso a facturar]]&gt;0,Tabla14[[#This Row],[En puerto a facturar]]&gt;0,Tabla14[[#This Row],[Precio Atraso]]=0),"Revisar","OK")</f>
        <v>OK</v>
      </c>
      <c r="BF27" s="82" t="str">
        <f>IF(AND(Tabla14[[#This Row],[Venta del mes]]&gt;0,Tabla14[[#This Row],[Precio venta nueva]]=0),"Revisar","OK")</f>
        <v>OK</v>
      </c>
      <c r="BG27" s="20">
        <f>IFERROR(VLOOKUP(Tabla14[[#This Row],[Llave]],'[5]Consolidación planes'!$A:$M,9,FALSE),0)</f>
        <v>48000</v>
      </c>
      <c r="BH27" s="20">
        <f>IFERROR(VLOOKUP(Tabla14[[#This Row],[Llave]],'[5]Consolidación planes'!$A:$M,10,FALSE),0)</f>
        <v>107000</v>
      </c>
      <c r="BI27" s="20">
        <f>IFERROR(VLOOKUP(Tabla14[[#This Row],[Llave]],'[5]Consolidación planes'!$A:$M,11,FALSE),0)</f>
        <v>143000</v>
      </c>
      <c r="BJ27" s="20">
        <f>IFERROR(VLOOKUP(Tabla14[[#This Row],[Llave]],'[5]Consolidación planes'!$A:$M,12,FALSE),0)</f>
        <v>96000</v>
      </c>
      <c r="BK27" s="20">
        <f>IFERROR(VLOOKUP(Tabla14[[#This Row],[Llave]],'[5]Consolidación planes'!$A:$M,13,FALSE),0)</f>
        <v>96000</v>
      </c>
      <c r="BL27" s="20">
        <f>IFERROR(VLOOKUP(Tabla14[[#This Row],[Llave]],'[13]Base ultimos planes'!$A:$M,13,FALSE),0)</f>
        <v>96000</v>
      </c>
      <c r="BM27" s="20">
        <f>IFERROR(VLOOKUP(Tabla14[[#This Row],[Llave]],'[13]Cruce plan irrestricto'!$C:$M,10,FALSE),0)</f>
        <v>96000</v>
      </c>
      <c r="BN27" s="20">
        <f>IFERROR(VLOOKUP(Tabla14[[#This Row],[Llave]],'[13]Cruce plan irrestricto'!$C:$M,11,FALSE),0)</f>
        <v>144000</v>
      </c>
      <c r="BO27" s="80">
        <f>IFERROR(VLOOKUP(Tabla14[[#This Row],[Llave]],'[13]Base ultimos planes'!$O:$AA,8,FALSE),0)</f>
        <v>97440</v>
      </c>
      <c r="BP27" s="20">
        <f>IFERROR(VLOOKUP(Tabla14[[#This Row],[Llave]],'[13]Base ultimos planes'!$O:$AA,9,FALSE),0)</f>
        <v>222108</v>
      </c>
      <c r="BQ27" s="20">
        <f>IFERROR(VLOOKUP(Tabla14[[#This Row],[Llave]],'[13]Base ultimos planes'!$O:$AA,10,FALSE),0)</f>
        <v>309400</v>
      </c>
      <c r="BR27" s="20">
        <f>IFERROR(VLOOKUP(Tabla14[[#This Row],[Llave]],'[13]Base ultimos planes'!$O:$AA,11,FALSE),0)</f>
        <v>198480</v>
      </c>
      <c r="BS27" s="20">
        <f>IFERROR(VLOOKUP(Tabla14[[#This Row],[Llave]],'[13]Base ultimos planes'!$O:$AA,12,FALSE),0)</f>
        <v>209280</v>
      </c>
      <c r="BT27" s="20">
        <f>IFERROR(VLOOKUP(Tabla14[[#This Row],[Llave]],'[13]Base ultimos planes'!$O:$AA,13,FALSE),0)</f>
        <v>209605</v>
      </c>
      <c r="BU27" s="20"/>
      <c r="BV27" s="20">
        <f>Tabla14[[#This Row],[ RV Producción mes n+1]]-Tabla14[[#This Row],[Producción disponible]]+Tabla14[[#This Row],[Saldo Volumen disponible]]</f>
        <v>61296.217084402888</v>
      </c>
      <c r="BW27" s="20">
        <f>IFERROR(VLOOKUP(Tabla14[[#This Row],[Llave]],[14]Hoja2!$J:$N,4,FALSE),0)</f>
        <v>90571.755999999994</v>
      </c>
      <c r="BX27" s="20">
        <f>+Tabla14[[#This Row],[Asignación mes n+1]]*Tabla14[[#This Row],[% Uti. producción]]</f>
        <v>32115.425557942654</v>
      </c>
      <c r="BY27" s="20">
        <f>+Tabla14[[#This Row],[Ponderación mes n+1]]+Tabla14[[#This Row],[Saldo mes n-1]]</f>
        <v>93411.642642345541</v>
      </c>
      <c r="BZ27" s="20">
        <f>+Tabla14[[#This Row],[Asignación mes n+1]]-Tabla14[[#This Row],[Ponderación mes n+1]]</f>
        <v>58456.33044205734</v>
      </c>
      <c r="CA27" s="20">
        <f>IFERROR(VLOOKUP(Tabla14[[#This Row],[Llave]],[14]Hoja2!$J:$N,5,FALSE),0)</f>
        <v>105028.55499999999</v>
      </c>
      <c r="CB27" s="20">
        <f>+Tabla14[[#This Row],[Asignación mes n+2]]*Tabla14[[#This Row],[% Uti. producción]]</f>
        <v>37241.595929318028</v>
      </c>
      <c r="CC27" s="20">
        <f>+Tabla14[[#This Row],[Saldo mes n+2]]+Tabla14[[#This Row],[Ponderación mes n+2]]</f>
        <v>95697.926371375361</v>
      </c>
      <c r="CD27" s="20">
        <f>+Tabla14[[#This Row],[Asignación mes n+2]]-Tabla14[[#This Row],[Ponderación mes n+2]]</f>
        <v>67786.959070681973</v>
      </c>
    </row>
    <row r="28" spans="1:82" ht="16" x14ac:dyDescent="0.2">
      <c r="A28">
        <v>1</v>
      </c>
      <c r="B28" t="str">
        <f>Tabla14[[#This Row],[Oficina]]&amp;Tabla14[[#This Row],[Material]]</f>
        <v>Agro Sudamerica1021082</v>
      </c>
      <c r="C28" t="s">
        <v>6</v>
      </c>
      <c r="D28" t="s">
        <v>17</v>
      </c>
      <c r="E28">
        <v>1021082</v>
      </c>
      <c r="F28" t="s">
        <v>283</v>
      </c>
      <c r="G28" t="s">
        <v>71</v>
      </c>
      <c r="H28" t="s">
        <v>72</v>
      </c>
      <c r="I28" s="7">
        <f>IFERROR(IF(Tabla14[[#This Row],[Oficina]]=$I$7,VLOOKUP(Tabla14[[#This Row],[Material]],'[6]RV Producción'!$Y:$AA,3,FALSE),VLOOKUP(Tabla14[[#This Row],[Llave]],'[6]RV Producción'!$C:$G,5,FALSE)),0)</f>
        <v>0</v>
      </c>
      <c r="J28" s="7">
        <f>IFERROR(IF(Tabla14[[#This Row],[Oficina]]=$I$7,VLOOKUP(Tabla14[[#This Row],[Llave]],'[7]Shangai (Tomas)'!$A:$F,6,FALSE),VLOOKUP(Tabla14[[#This Row],[Llave]],'[6]RV plan de ventas'!$A:$E,5,FALSE)),0)</f>
        <v>0</v>
      </c>
      <c r="K28" s="8">
        <f>IFERROR(VLOOKUP(Tabla14[[#This Row],[Sector]]&amp;Tabla14[[#This Row],[Oficina]],[8]Ponderación!$A$3:$G$22,7,FALSE),0)</f>
        <v>0.3545854356400317</v>
      </c>
      <c r="L28" s="7">
        <f>+Tabla14[[#This Row],[ RV Producción mes n+1]]*Tabla14[[#This Row],[% Uti. producción]]</f>
        <v>0</v>
      </c>
      <c r="M28" s="7">
        <f>IFERROR(VLOOKUP(Tabla14[[#This Row],[Material]],'[9]TD Stock'!$B:$C,2,FALSE),0)</f>
        <v>1099.4390000000001</v>
      </c>
      <c r="N28" s="7">
        <f>IFERROR(VLOOKUP(Tabla14[[#This Row],[Material]],'[10]Consolidado planificación'!$B:$C,2,FALSE),0)</f>
        <v>0</v>
      </c>
      <c r="O28" s="7">
        <f>IFERROR(VLOOKUP(Tabla14[[#This Row],[Llave]],[11]Hoja2!$D:$G,4,FALSE),0)</f>
        <v>0</v>
      </c>
      <c r="P28" s="14">
        <f>SUM(Tabla14[[#This Row],[Producción disponible]],Tabla14[[#This Row],[Stock al día]],(Tabla14[[#This Row],[Por producir mes N]]*0.9))-Tabla14[[#This Row],[Producción por despachar mes N]]</f>
        <v>1099.4390000000001</v>
      </c>
      <c r="Q28" s="7">
        <f>IFERROR(VLOOKUP(Tabla14[[#This Row],[Llave]],[9]DELAY!$A:$D,4,FALSE),0)</f>
        <v>143000</v>
      </c>
      <c r="R28" s="9">
        <v>23000</v>
      </c>
      <c r="S28" s="5">
        <f t="shared" si="5"/>
        <v>0</v>
      </c>
      <c r="T28" s="76">
        <v>0</v>
      </c>
      <c r="U28" s="5">
        <f>+Tabla14[[#This Row],[Atraso a facturar]]+Tabla14[[#This Row],[Ajuste atraso]]</f>
        <v>0</v>
      </c>
      <c r="V28" s="3">
        <f>+Tabla14[[#This Row],[Total disponible]]-Tabla14[[#This Row],[Facturación atraso]]</f>
        <v>1099.4390000000001</v>
      </c>
      <c r="W28" s="6">
        <f>IFERROR(IF(AND(V28&gt;R28,J28&gt;=R28),ROUNDDOWN((Tabla14[[#This Row],[Producción para venta nueva]])/R28,0)*R28,0),0)</f>
        <v>0</v>
      </c>
      <c r="X28" s="76">
        <v>0</v>
      </c>
      <c r="Y28" s="6">
        <f>IF(Tabla14[[#This Row],[Venta del mes]]&gt;0,Tabla14[[#This Row],[Venta del mes]]+Tabla14[[#This Row],[Ajuste venta nueva]],0)</f>
        <v>0</v>
      </c>
      <c r="Z28" s="6">
        <f>+Tabla14[[#This Row],[Producción para venta nueva]]-Tabla14[[#This Row],[Facturación Venta nueva]]</f>
        <v>1099.4390000000001</v>
      </c>
      <c r="AA28" s="6">
        <f>IF(AND(A28=1,Tabla14[[#This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" s="6">
        <v>0</v>
      </c>
      <c r="AC28" s="6">
        <f>IF(Tabla14[[#This Row],[Disponible stock sin venta]]&gt;0,Tabla14[[#This Row],[Disponible stock sin venta]]+Tabla14[[#This Row],[Ajuste stock sin venta]],0)</f>
        <v>0</v>
      </c>
      <c r="AD28" s="3">
        <f>IFERROR(VLOOKUP(Tabla14[[#This Row],[Llave]],[12]Hoja1!$A:$D,4,FALSE),0)</f>
        <v>2505.58</v>
      </c>
      <c r="AE2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2505.58</v>
      </c>
      <c r="AF28" s="3">
        <v>2505.58</v>
      </c>
      <c r="AG28" s="3">
        <f>+Tabla14[[#This Row],[En puerto a facturar]]</f>
        <v>2505.58</v>
      </c>
      <c r="AH28" s="3">
        <f>+Tabla14[[#This Row],[Facturación atraso]]</f>
        <v>0</v>
      </c>
      <c r="AI28" s="3">
        <f>+Tabla14[[#This Row],[Plan Irrestricto (DATO)]]-Tabla14[[#This Row],[Puerto ]]-Tabla14[[#This Row],[Atraso]]</f>
        <v>0</v>
      </c>
      <c r="AJ28" s="6">
        <f>IF(Tabla14[[#This Row],[Plan Irrestricto (DATO)]]&gt;0,SUM(Tabla14[[#This Row],[Facturación atraso]],Tabla14[[#This Row],[Facturación Venta nueva]],Tabla14[[#This Row],[Facturación stock]],Tabla14[[#This Row],[En puerto a facturar]]),0)</f>
        <v>2505.58</v>
      </c>
      <c r="AK28" s="3">
        <f>+Tabla14[[#This Row],[Facturación atraso]]</f>
        <v>0</v>
      </c>
      <c r="AL28" s="3">
        <f>Tabla14[[#This Row],[Plan Ajustado]]-Tabla14[[#This Row],[ Atraso ajustado]]-Tabla14[[#This Row],[En puerto a facturar]]</f>
        <v>0</v>
      </c>
      <c r="AM28" s="3">
        <v>0</v>
      </c>
      <c r="AN28" s="3" t="s">
        <v>636</v>
      </c>
      <c r="AO28" s="3" t="str">
        <f>IF(Tabla14[[#This Row],[Plan Ajustado]]&gt;Tabla14[[#This Row],[En puerto a facturar]],"Si","No")</f>
        <v>No</v>
      </c>
      <c r="AP2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" s="3">
        <f>IF(Tabla14[[#This Row],[Necesidad]]&gt;=Tabla14[[#This Row],[Stock al día]],Tabla14[[#This Row],[Stock al día]],Tabla14[[#This Row],[Necesidad]])</f>
        <v>0</v>
      </c>
      <c r="AR28" s="3">
        <f>+Tabla14[[#This Row],[Necesidad]]-Tabla14[[#This Row],[Stock Plan]]</f>
        <v>0</v>
      </c>
      <c r="AS28" s="155">
        <f>VLOOKUP(Tabla14[[#This Row],[Sector]]&amp;Tabla14[[#This Row],[Oficina]],[8]Ponderación!$A:$H,8,FALSE)</f>
        <v>44813</v>
      </c>
      <c r="AT28" s="30">
        <f>IFERROR(VLOOKUP(Tabla14[[#This Row],[Llave]],'[6]RV plan de ventas'!$A:$F,6,FALSE),0)</f>
        <v>0</v>
      </c>
      <c r="AU28" s="83">
        <f>IFERROR(VLOOKUP(Tabla14[[#This Row],[Llave]],[9]DELAY!$H:$X,17,FALSE),0)</f>
        <v>1.7200192858205645</v>
      </c>
      <c r="AV2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1.7200192858205645</v>
      </c>
      <c r="AW28" s="5">
        <f>Tabla14[[#This Row],[Pecio plan]]*Tabla14[[#This Row],[Plan Ajustado]]</f>
        <v>4134.2069999999994</v>
      </c>
      <c r="AX28" s="30">
        <f>IFERROR(VLOOKUP(Tabla14[[#This Row],[Llave]],'[13]Ultimos precios facturados'!$A:$G,7,FALSE),0)</f>
        <v>1.7154057164580345</v>
      </c>
      <c r="AY2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2.6894916568519292E-3</v>
      </c>
      <c r="AZ28" s="30">
        <f>IFERROR(VLOOKUP(Tabla14[[#This Row],[Llave]],Hoja2!B:K,10,FALSE),0)</f>
        <v>1.5</v>
      </c>
      <c r="BA2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1.7200192858205645</v>
      </c>
      <c r="BB28" s="30">
        <v>1.65</v>
      </c>
      <c r="BC28" s="30">
        <f>IF(Tabla14[[#This Row],[Market]]=0,Tabla14[[#This Row],[Precio Final]],Tabla14[[#This Row],[Market]])</f>
        <v>1.65</v>
      </c>
      <c r="BD28" s="82"/>
      <c r="BE28" s="82" t="str">
        <f>IF(AND(Tabla14[[#This Row],[Atraso a facturar]]&gt;0,Tabla14[[#This Row],[En puerto a facturar]]&gt;0,Tabla14[[#This Row],[Precio Atraso]]=0),"Revisar","OK")</f>
        <v>OK</v>
      </c>
      <c r="BF28" s="82" t="str">
        <f>IF(AND(Tabla14[[#This Row],[Venta del mes]]&gt;0,Tabla14[[#This Row],[Precio venta nueva]]=0),"Revisar","OK")</f>
        <v>OK</v>
      </c>
      <c r="BG28" s="20">
        <f>IFERROR(VLOOKUP(Tabla14[[#This Row],[Llave]],'[5]Consolidación planes'!$A:$M,9,FALSE),0)</f>
        <v>0</v>
      </c>
      <c r="BH28" s="20">
        <f>IFERROR(VLOOKUP(Tabla14[[#This Row],[Llave]],'[5]Consolidación planes'!$A:$M,10,FALSE),0)</f>
        <v>0</v>
      </c>
      <c r="BI28" s="20">
        <f>IFERROR(VLOOKUP(Tabla14[[#This Row],[Llave]],'[5]Consolidación planes'!$A:$M,11,FALSE),0)</f>
        <v>0</v>
      </c>
      <c r="BJ28" s="20">
        <f>IFERROR(VLOOKUP(Tabla14[[#This Row],[Llave]],'[5]Consolidación planes'!$A:$M,12,FALSE),0)</f>
        <v>0</v>
      </c>
      <c r="BK28" s="20">
        <f>IFERROR(VLOOKUP(Tabla14[[#This Row],[Llave]],'[5]Consolidación planes'!$A:$M,13,FALSE),0)</f>
        <v>2500</v>
      </c>
      <c r="BL28" s="20">
        <f>IFERROR(VLOOKUP(Tabla14[[#This Row],[Llave]],'[13]Base ultimos planes'!$A:$M,13,FALSE),0)</f>
        <v>48000</v>
      </c>
      <c r="BM28" s="20">
        <f>IFERROR(VLOOKUP(Tabla14[[#This Row],[Llave]],'[13]Cruce plan irrestricto'!$C:$M,10,FALSE),0)</f>
        <v>24000</v>
      </c>
      <c r="BN28" s="20">
        <f>IFERROR(VLOOKUP(Tabla14[[#This Row],[Llave]],'[13]Cruce plan irrestricto'!$C:$M,11,FALSE),0)</f>
        <v>73500</v>
      </c>
      <c r="BO28" s="80">
        <f>IFERROR(VLOOKUP(Tabla14[[#This Row],[Llave]],'[13]Base ultimos planes'!$O:$AA,8,FALSE),0)</f>
        <v>0</v>
      </c>
      <c r="BP28" s="20">
        <f>IFERROR(VLOOKUP(Tabla14[[#This Row],[Llave]],'[13]Base ultimos planes'!$O:$AA,9,FALSE),0)</f>
        <v>0</v>
      </c>
      <c r="BQ28" s="20">
        <f>IFERROR(VLOOKUP(Tabla14[[#This Row],[Llave]],'[13]Base ultimos planes'!$O:$AA,10,FALSE),0)</f>
        <v>0</v>
      </c>
      <c r="BR28" s="20">
        <f>IFERROR(VLOOKUP(Tabla14[[#This Row],[Llave]],'[13]Base ultimos planes'!$O:$AA,11,FALSE),0)</f>
        <v>0</v>
      </c>
      <c r="BS28" s="20">
        <f>IFERROR(VLOOKUP(Tabla14[[#This Row],[Llave]],'[13]Base ultimos planes'!$O:$AA,12,FALSE),0)</f>
        <v>5125</v>
      </c>
      <c r="BT28" s="20">
        <f>IFERROR(VLOOKUP(Tabla14[[#This Row],[Llave]],'[13]Base ultimos planes'!$O:$AA,13,FALSE),0)</f>
        <v>86646</v>
      </c>
      <c r="BU28" s="20"/>
      <c r="BV28" s="20">
        <f>Tabla14[[#This Row],[ RV Producción mes n+1]]-Tabla14[[#This Row],[Producción disponible]]+Tabla14[[#This Row],[Saldo Volumen disponible]]</f>
        <v>1099.4390000000001</v>
      </c>
      <c r="BW28" s="20">
        <f>IFERROR(VLOOKUP(Tabla14[[#This Row],[Llave]],[14]Hoja2!$J:$N,4,FALSE),0)</f>
        <v>143999.99950000001</v>
      </c>
      <c r="BX28" s="20">
        <f>+Tabla14[[#This Row],[Asignación mes n+1]]*Tabla14[[#This Row],[% Uti. producción]]</f>
        <v>51060.302554871851</v>
      </c>
      <c r="BY28" s="20">
        <f>+Tabla14[[#This Row],[Ponderación mes n+1]]+Tabla14[[#This Row],[Saldo mes n-1]]</f>
        <v>52159.741554871849</v>
      </c>
      <c r="BZ28" s="20">
        <f>+Tabla14[[#This Row],[Asignación mes n+1]]-Tabla14[[#This Row],[Ponderación mes n+1]]</f>
        <v>92939.696945128147</v>
      </c>
      <c r="CA28" s="20">
        <f>IFERROR(VLOOKUP(Tabla14[[#This Row],[Llave]],[14]Hoja2!$J:$N,5,FALSE),0)</f>
        <v>144000</v>
      </c>
      <c r="CB28" s="20">
        <f>+Tabla14[[#This Row],[Asignación mes n+2]]*Tabla14[[#This Row],[% Uti. producción]]</f>
        <v>51060.302732164564</v>
      </c>
      <c r="CC28" s="20">
        <f>+Tabla14[[#This Row],[Saldo mes n+2]]+Tabla14[[#This Row],[Ponderación mes n+2]]</f>
        <v>143999.99967729271</v>
      </c>
      <c r="CD28" s="20">
        <f>+Tabla14[[#This Row],[Asignación mes n+2]]-Tabla14[[#This Row],[Ponderación mes n+2]]</f>
        <v>92939.697267835436</v>
      </c>
    </row>
    <row r="29" spans="1:82" ht="16" x14ac:dyDescent="0.2">
      <c r="A29">
        <v>1</v>
      </c>
      <c r="B29" t="str">
        <f>Tabla14[[#This Row],[Oficina]]&amp;Tabla14[[#This Row],[Material]]</f>
        <v>Agro Sudamerica1021085</v>
      </c>
      <c r="C29" t="s">
        <v>6</v>
      </c>
      <c r="D29" t="s">
        <v>17</v>
      </c>
      <c r="E29">
        <v>1021085</v>
      </c>
      <c r="F29" t="s">
        <v>44</v>
      </c>
      <c r="G29" t="s">
        <v>11</v>
      </c>
      <c r="H29" t="s">
        <v>41</v>
      </c>
      <c r="I29" s="7">
        <f>IFERROR(IF(Tabla14[[#This Row],[Oficina]]=$I$7,VLOOKUP(Tabla14[[#This Row],[Material]],'[6]RV Producción'!$Y:$AA,3,FALSE),VLOOKUP(Tabla14[[#This Row],[Llave]],'[6]RV Producción'!$C:$G,5,FALSE)),0)</f>
        <v>0</v>
      </c>
      <c r="J29" s="7">
        <f>IFERROR(IF(Tabla14[[#This Row],[Oficina]]=$I$7,VLOOKUP(Tabla14[[#This Row],[Llave]],'[7]Shangai (Tomas)'!$A:$F,6,FALSE),VLOOKUP(Tabla14[[#This Row],[Llave]],'[6]RV plan de ventas'!$A:$E,5,FALSE)),0)</f>
        <v>0</v>
      </c>
      <c r="K29" s="8">
        <f>IFERROR(VLOOKUP(Tabla14[[#This Row],[Sector]]&amp;Tabla14[[#This Row],[Oficina]],[8]Ponderación!$A$3:$G$22,7,FALSE),0)</f>
        <v>0.3545854356400317</v>
      </c>
      <c r="L29" s="7">
        <f>+Tabla14[[#This Row],[ RV Producción mes n+1]]*Tabla14[[#This Row],[% Uti. producción]]</f>
        <v>0</v>
      </c>
      <c r="M29" s="7">
        <f>IFERROR(VLOOKUP(Tabla14[[#This Row],[Material]],'[9]TD Stock'!$B:$C,2,FALSE),0)</f>
        <v>50589.191000000028</v>
      </c>
      <c r="N29" s="7">
        <f>IFERROR(VLOOKUP(Tabla14[[#This Row],[Material]],'[10]Consolidado planificación'!$B:$C,2,FALSE),0)</f>
        <v>0</v>
      </c>
      <c r="O29" s="7">
        <f>IFERROR(VLOOKUP(Tabla14[[#This Row],[Llave]],[11]Hoja2!$D:$G,4,FALSE),0)</f>
        <v>0</v>
      </c>
      <c r="P29" s="14">
        <f>SUM(Tabla14[[#This Row],[Producción disponible]],Tabla14[[#This Row],[Stock al día]],(Tabla14[[#This Row],[Por producir mes N]]*0.9))-Tabla14[[#This Row],[Producción por despachar mes N]]</f>
        <v>50589.191000000028</v>
      </c>
      <c r="Q29" s="7">
        <f>IFERROR(VLOOKUP(Tabla14[[#This Row],[Llave]],[9]DELAY!$A:$D,4,FALSE),0)</f>
        <v>45300</v>
      </c>
      <c r="R29" s="9">
        <v>23000</v>
      </c>
      <c r="S29" s="5">
        <f t="shared" si="5"/>
        <v>45300</v>
      </c>
      <c r="T29" s="76">
        <v>0</v>
      </c>
      <c r="U29" s="5">
        <f>+Tabla14[[#This Row],[Atraso a facturar]]+Tabla14[[#This Row],[Ajuste atraso]]</f>
        <v>45300</v>
      </c>
      <c r="V29" s="3">
        <f>+Tabla14[[#This Row],[Total disponible]]-Tabla14[[#This Row],[Facturación atraso]]</f>
        <v>5289.191000000028</v>
      </c>
      <c r="W29" s="6">
        <f>IFERROR(IF(AND(V29&gt;R29,J29&gt;=R29),ROUNDDOWN((Tabla14[[#This Row],[Producción para venta nueva]])/R29,0)*R29,0),0)</f>
        <v>0</v>
      </c>
      <c r="X29" s="76">
        <v>0</v>
      </c>
      <c r="Y29" s="6">
        <f>IF(Tabla14[[#This Row],[Venta del mes]]&gt;0,Tabla14[[#This Row],[Venta del mes]]+Tabla14[[#This Row],[Ajuste venta nueva]],0)</f>
        <v>0</v>
      </c>
      <c r="Z29" s="6">
        <f>+Tabla14[[#This Row],[Producción para venta nueva]]-Tabla14[[#This Row],[Facturación Venta nueva]]</f>
        <v>5289.191000000028</v>
      </c>
      <c r="AA29" s="6">
        <f>IF(AND(A29=1,Tabla14[[#This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" s="6">
        <v>0</v>
      </c>
      <c r="AC29" s="6">
        <f>IF(Tabla14[[#This Row],[Disponible stock sin venta]]&gt;0,Tabla14[[#This Row],[Disponible stock sin venta]]+Tabla14[[#This Row],[Ajuste stock sin venta]],0)</f>
        <v>0</v>
      </c>
      <c r="AD29" s="3">
        <f>IFERROR(VLOOKUP(Tabla14[[#This Row],[Llave]],[12]Hoja1!$A:$D,4,FALSE),0)</f>
        <v>0</v>
      </c>
      <c r="AE2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45300</v>
      </c>
      <c r="AF29" s="3">
        <v>45300</v>
      </c>
      <c r="AG29" s="3">
        <f>+Tabla14[[#This Row],[En puerto a facturar]]</f>
        <v>0</v>
      </c>
      <c r="AH29" s="3">
        <f>+Tabla14[[#This Row],[Facturación atraso]]</f>
        <v>45300</v>
      </c>
      <c r="AI29" s="3">
        <f>+Tabla14[[#This Row],[Plan Irrestricto (DATO)]]-Tabla14[[#This Row],[Puerto ]]-Tabla14[[#This Row],[Atraso]]</f>
        <v>0</v>
      </c>
      <c r="AJ29" s="6">
        <f>IF(Tabla14[[#This Row],[Plan Irrestricto (DATO)]]&gt;0,SUM(Tabla14[[#This Row],[Facturación atraso]],Tabla14[[#This Row],[Facturación Venta nueva]],Tabla14[[#This Row],[Facturación stock]],Tabla14[[#This Row],[En puerto a facturar]]),0)</f>
        <v>45300</v>
      </c>
      <c r="AK29" s="3">
        <f>+Tabla14[[#This Row],[Facturación atraso]]</f>
        <v>45300</v>
      </c>
      <c r="AL29" s="3">
        <f>Tabla14[[#This Row],[Plan Ajustado]]-Tabla14[[#This Row],[ Atraso ajustado]]-Tabla14[[#This Row],[En puerto a facturar]]</f>
        <v>0</v>
      </c>
      <c r="AM29" s="3">
        <v>0</v>
      </c>
      <c r="AN29" s="3" t="s">
        <v>636</v>
      </c>
      <c r="AO29" s="3" t="str">
        <f>IF(Tabla14[[#This Row],[Plan Ajustado]]&gt;Tabla14[[#This Row],[En puerto a facturar]],"Si","No")</f>
        <v>Si</v>
      </c>
      <c r="AP29" s="3">
        <f>IF(AND(Tabla14[[#This Row],[Plan Ajustado]]&gt;0,Tabla14[[#This Row],[Plan Ajustado]]&gt;Tabla14[[#This Row],[En puerto a facturar]]),(Tabla14[[#This Row],[Plan Ajustado]]-Tabla14[[#This Row],[En puerto a facturar]]),0)</f>
        <v>45300</v>
      </c>
      <c r="AQ29" s="3">
        <f>IF(Tabla14[[#This Row],[Necesidad]]&gt;=Tabla14[[#This Row],[Stock al día]],Tabla14[[#This Row],[Stock al día]],Tabla14[[#This Row],[Necesidad]])</f>
        <v>45300</v>
      </c>
      <c r="AR29" s="3">
        <f>+Tabla14[[#This Row],[Necesidad]]-Tabla14[[#This Row],[Stock Plan]]</f>
        <v>0</v>
      </c>
      <c r="AS29" s="155">
        <f>VLOOKUP(Tabla14[[#This Row],[Sector]]&amp;Tabla14[[#This Row],[Oficina]],[8]Ponderación!$A:$H,8,FALSE)</f>
        <v>44813</v>
      </c>
      <c r="AT29" s="30">
        <f>IFERROR(VLOOKUP(Tabla14[[#This Row],[Llave]],'[6]RV plan de ventas'!$A:$F,6,FALSE),0)</f>
        <v>0</v>
      </c>
      <c r="AU29" s="83">
        <f>IFERROR(VLOOKUP(Tabla14[[#This Row],[Llave]],[9]DELAY!$H:$X,17,FALSE),0)</f>
        <v>0.98297578807946817</v>
      </c>
      <c r="AV2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0.98297578807946817</v>
      </c>
      <c r="AW29" s="5">
        <f>Tabla14[[#This Row],[Pecio plan]]*Tabla14[[#This Row],[Plan Ajustado]]</f>
        <v>49377</v>
      </c>
      <c r="AX29" s="30">
        <f>IFERROR(VLOOKUP(Tabla14[[#This Row],[Llave]],'[13]Ultimos precios facturados'!$A:$G,7,FALSE),0)</f>
        <v>0.90077098827902713</v>
      </c>
      <c r="AY2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9.1260487815552169E-2</v>
      </c>
      <c r="AZ29" s="30">
        <f>IFERROR(VLOOKUP(Tabla14[[#This Row],[Llave]],Hoja2!B:K,10,FALSE),0)</f>
        <v>0.95</v>
      </c>
      <c r="BA2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0.98297578807946817</v>
      </c>
      <c r="BB29" s="30">
        <v>1.0900000000000001</v>
      </c>
      <c r="BC29" s="30">
        <f>IF(Tabla14[[#This Row],[Market]]=0,Tabla14[[#This Row],[Precio Final]],Tabla14[[#This Row],[Market]])</f>
        <v>1.0900000000000001</v>
      </c>
      <c r="BD29" s="82"/>
      <c r="BE29" s="82" t="str">
        <f>IF(AND(Tabla14[[#This Row],[Atraso a facturar]]&gt;0,Tabla14[[#This Row],[En puerto a facturar]]&gt;0,Tabla14[[#This Row],[Precio Atraso]]=0),"Revisar","OK")</f>
        <v>OK</v>
      </c>
      <c r="BF29" s="82" t="str">
        <f>IF(AND(Tabla14[[#This Row],[Venta del mes]]&gt;0,Tabla14[[#This Row],[Precio venta nueva]]=0),"Revisar","OK")</f>
        <v>OK</v>
      </c>
      <c r="BG29" s="20">
        <f>IFERROR(VLOOKUP(Tabla14[[#This Row],[Llave]],'[5]Consolidación planes'!$A:$M,9,FALSE),0)</f>
        <v>24000</v>
      </c>
      <c r="BH29" s="20">
        <f>IFERROR(VLOOKUP(Tabla14[[#This Row],[Llave]],'[5]Consolidación planes'!$A:$M,10,FALSE),0)</f>
        <v>24000</v>
      </c>
      <c r="BI29" s="20">
        <f>IFERROR(VLOOKUP(Tabla14[[#This Row],[Llave]],'[5]Consolidación planes'!$A:$M,11,FALSE),0)</f>
        <v>0</v>
      </c>
      <c r="BJ29" s="20">
        <f>IFERROR(VLOOKUP(Tabla14[[#This Row],[Llave]],'[5]Consolidación planes'!$A:$M,12,FALSE),0)</f>
        <v>0</v>
      </c>
      <c r="BK29" s="20">
        <f>IFERROR(VLOOKUP(Tabla14[[#This Row],[Llave]],'[5]Consolidación planes'!$A:$M,13,FALSE),0)</f>
        <v>24000</v>
      </c>
      <c r="BL29" s="20">
        <f>IFERROR(VLOOKUP(Tabla14[[#This Row],[Llave]],'[13]Base ultimos planes'!$A:$M,13,FALSE),0)</f>
        <v>0</v>
      </c>
      <c r="BM29" s="20">
        <f>IFERROR(VLOOKUP(Tabla14[[#This Row],[Llave]],'[13]Cruce plan irrestricto'!$C:$M,10,FALSE),0)</f>
        <v>0</v>
      </c>
      <c r="BN29" s="20">
        <f>IFERROR(VLOOKUP(Tabla14[[#This Row],[Llave]],'[13]Cruce plan irrestricto'!$C:$M,11,FALSE),0)</f>
        <v>21300</v>
      </c>
      <c r="BO29" s="80">
        <f>IFERROR(VLOOKUP(Tabla14[[#This Row],[Llave]],'[13]Base ultimos planes'!$O:$AA,8,FALSE),0)</f>
        <v>28800</v>
      </c>
      <c r="BP29" s="20">
        <f>IFERROR(VLOOKUP(Tabla14[[#This Row],[Llave]],'[13]Base ultimos planes'!$O:$AA,9,FALSE),0)</f>
        <v>21600</v>
      </c>
      <c r="BQ29" s="20">
        <f>IFERROR(VLOOKUP(Tabla14[[#This Row],[Llave]],'[13]Base ultimos planes'!$O:$AA,10,FALSE),0)</f>
        <v>0</v>
      </c>
      <c r="BR29" s="20">
        <f>IFERROR(VLOOKUP(Tabla14[[#This Row],[Llave]],'[13]Base ultimos planes'!$O:$AA,11,FALSE),0)</f>
        <v>0</v>
      </c>
      <c r="BS29" s="20">
        <f>IFERROR(VLOOKUP(Tabla14[[#This Row],[Llave]],'[13]Base ultimos planes'!$O:$AA,12,FALSE),0)</f>
        <v>20400</v>
      </c>
      <c r="BT29" s="20">
        <f>IFERROR(VLOOKUP(Tabla14[[#This Row],[Llave]],'[13]Base ultimos planes'!$O:$AA,13,FALSE),0)</f>
        <v>0</v>
      </c>
      <c r="BU29" s="20"/>
      <c r="BV29" s="20">
        <f>Tabla14[[#This Row],[ RV Producción mes n+1]]-Tabla14[[#This Row],[Producción disponible]]+Tabla14[[#This Row],[Saldo Volumen disponible]]</f>
        <v>5289.191000000028</v>
      </c>
      <c r="BW29" s="20">
        <f>IFERROR(VLOOKUP(Tabla14[[#This Row],[Llave]],[14]Hoja2!$J:$N,4,FALSE),0)</f>
        <v>0</v>
      </c>
      <c r="BX29" s="20">
        <f>+Tabla14[[#This Row],[Asignación mes n+1]]*Tabla14[[#This Row],[% Uti. producción]]</f>
        <v>0</v>
      </c>
      <c r="BY29" s="20">
        <f>+Tabla14[[#This Row],[Ponderación mes n+1]]+Tabla14[[#This Row],[Saldo mes n-1]]</f>
        <v>5289.191000000028</v>
      </c>
      <c r="BZ29" s="20">
        <f>+Tabla14[[#This Row],[Asignación mes n+1]]-Tabla14[[#This Row],[Ponderación mes n+1]]</f>
        <v>0</v>
      </c>
      <c r="CA29" s="20">
        <f>IFERROR(VLOOKUP(Tabla14[[#This Row],[Llave]],[14]Hoja2!$J:$N,5,FALSE),0)</f>
        <v>0</v>
      </c>
      <c r="CB29" s="20">
        <f>+Tabla14[[#This Row],[Asignación mes n+2]]*Tabla14[[#This Row],[% Uti. producción]]</f>
        <v>0</v>
      </c>
      <c r="CC29" s="20">
        <f>+Tabla14[[#This Row],[Saldo mes n+2]]+Tabla14[[#This Row],[Ponderación mes n+2]]</f>
        <v>0</v>
      </c>
      <c r="CD29" s="20">
        <f>+Tabla14[[#This Row],[Asignación mes n+2]]-Tabla14[[#This Row],[Ponderación mes n+2]]</f>
        <v>0</v>
      </c>
    </row>
    <row r="30" spans="1:82" ht="16" x14ac:dyDescent="0.2">
      <c r="A30">
        <v>1</v>
      </c>
      <c r="B30" t="str">
        <f>Tabla14[[#This Row],[Oficina]]&amp;Tabla14[[#This Row],[Material]]</f>
        <v>Agro Sudamerica1021092</v>
      </c>
      <c r="C30" t="s">
        <v>6</v>
      </c>
      <c r="D30" t="s">
        <v>17</v>
      </c>
      <c r="E30">
        <v>1021092</v>
      </c>
      <c r="F30" t="s">
        <v>75</v>
      </c>
      <c r="G30" t="s">
        <v>71</v>
      </c>
      <c r="H30" t="s">
        <v>72</v>
      </c>
      <c r="I30" s="7">
        <f>IFERROR(IF(Tabla14[[#This Row],[Oficina]]=$I$7,VLOOKUP(Tabla14[[#This Row],[Material]],'[6]RV Producción'!$Y:$AA,3,FALSE),VLOOKUP(Tabla14[[#This Row],[Llave]],'[6]RV Producción'!$C:$G,5,FALSE)),0)</f>
        <v>129511</v>
      </c>
      <c r="J30" s="7">
        <f>IFERROR(IF(Tabla14[[#This Row],[Oficina]]=$I$7,VLOOKUP(Tabla14[[#This Row],[Llave]],'[7]Shangai (Tomas)'!$A:$F,6,FALSE),VLOOKUP(Tabla14[[#This Row],[Llave]],'[6]RV plan de ventas'!$A:$E,5,FALSE)),0)</f>
        <v>120000</v>
      </c>
      <c r="K30" s="8">
        <f>IFERROR(VLOOKUP(Tabla14[[#This Row],[Sector]]&amp;Tabla14[[#This Row],[Oficina]],[8]Ponderación!$A$3:$G$22,7,FALSE),0)</f>
        <v>0.3545854356400317</v>
      </c>
      <c r="L30" s="7">
        <f>+Tabla14[[#This Row],[ RV Producción mes n+1]]*Tabla14[[#This Row],[% Uti. producción]]</f>
        <v>45922.714355176147</v>
      </c>
      <c r="M30" s="7">
        <f>IFERROR(VLOOKUP(Tabla14[[#This Row],[Material]],'[9]TD Stock'!$B:$C,2,FALSE),0)</f>
        <v>62516.365000000056</v>
      </c>
      <c r="N30" s="7">
        <f>IFERROR(VLOOKUP(Tabla14[[#This Row],[Material]],'[10]Consolidado planificación'!$B:$C,2,FALSE),0)</f>
        <v>31814.486472340832</v>
      </c>
      <c r="O30" s="7">
        <f>IFERROR(VLOOKUP(Tabla14[[#This Row],[Llave]],[11]Hoja2!$D:$G,4,FALSE),0)</f>
        <v>0</v>
      </c>
      <c r="P30" s="14">
        <f>SUM(Tabla14[[#This Row],[Producción disponible]],Tabla14[[#This Row],[Stock al día]],(Tabla14[[#This Row],[Por producir mes N]]*0.9))-Tabla14[[#This Row],[Producción por despachar mes N]]</f>
        <v>137072.11718028295</v>
      </c>
      <c r="Q30" s="7">
        <f>IFERROR(VLOOKUP(Tabla14[[#This Row],[Llave]],[9]DELAY!$A:$D,4,FALSE),0)</f>
        <v>120000</v>
      </c>
      <c r="R30" s="9">
        <v>23000</v>
      </c>
      <c r="S30" s="5">
        <f t="shared" si="5"/>
        <v>120000</v>
      </c>
      <c r="T30" s="76">
        <v>-48000</v>
      </c>
      <c r="U30" s="5">
        <f>+Tabla14[[#This Row],[Atraso a facturar]]+Tabla14[[#This Row],[Ajuste atraso]]</f>
        <v>72000</v>
      </c>
      <c r="V30" s="3">
        <f>+Tabla14[[#This Row],[Total disponible]]-Tabla14[[#This Row],[Facturación atraso]]</f>
        <v>65072.117180282949</v>
      </c>
      <c r="W30" s="6">
        <f>IFERROR(IF(AND(V30&gt;R30,J30&gt;=R30),ROUNDDOWN((Tabla14[[#This Row],[Producción para venta nueva]])/R30,0)*R30,0),0)</f>
        <v>46000</v>
      </c>
      <c r="X30" s="76">
        <v>-46000</v>
      </c>
      <c r="Y30" s="6">
        <f>IF(Tabla14[[#This Row],[Venta del mes]]&gt;0,Tabla14[[#This Row],[Venta del mes]]+Tabla14[[#This Row],[Ajuste venta nueva]],0)</f>
        <v>0</v>
      </c>
      <c r="Z30" s="6">
        <f>+Tabla14[[#This Row],[Producción para venta nueva]]-Tabla14[[#This Row],[Facturación Venta nueva]]</f>
        <v>65072.117180282949</v>
      </c>
      <c r="AA30" s="6">
        <f>IF(AND(A30=1,Tabla14[[#This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" s="6">
        <v>0</v>
      </c>
      <c r="AC30" s="6">
        <f>IF(Tabla14[[#This Row],[Disponible stock sin venta]]&gt;0,Tabla14[[#This Row],[Disponible stock sin venta]]+Tabla14[[#This Row],[Ajuste stock sin venta]],0)</f>
        <v>0</v>
      </c>
      <c r="AD30" s="3">
        <f>IFERROR(VLOOKUP(Tabla14[[#This Row],[Llave]],[12]Hoja1!$A:$D,4,FALSE),0)</f>
        <v>24016.53</v>
      </c>
      <c r="AE3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190016.53</v>
      </c>
      <c r="AF30" s="3">
        <v>144016.53</v>
      </c>
      <c r="AG30" s="3">
        <f>+Tabla14[[#This Row],[En puerto a facturar]]</f>
        <v>24016.53</v>
      </c>
      <c r="AH30" s="3">
        <f>+Tabla14[[#This Row],[Facturación atraso]]</f>
        <v>72000</v>
      </c>
      <c r="AI30" s="3">
        <f>+Tabla14[[#This Row],[Plan Irrestricto (DATO)]]-Tabla14[[#This Row],[Puerto ]]-Tabla14[[#This Row],[Atraso]]</f>
        <v>48000</v>
      </c>
      <c r="AJ30" s="6">
        <f>IF(Tabla14[[#This Row],[Plan Irrestricto (DATO)]]&gt;0,SUM(Tabla14[[#This Row],[Facturación atraso]],Tabla14[[#This Row],[Facturación Venta nueva]],Tabla14[[#This Row],[Facturación stock]],Tabla14[[#This Row],[En puerto a facturar]]),0)</f>
        <v>96016.53</v>
      </c>
      <c r="AK30" s="3">
        <f>+Tabla14[[#This Row],[Facturación atraso]]</f>
        <v>72000</v>
      </c>
      <c r="AL30" s="3">
        <f>Tabla14[[#This Row],[Plan Ajustado]]-Tabla14[[#This Row],[ Atraso ajustado]]-Tabla14[[#This Row],[En puerto a facturar]]</f>
        <v>0</v>
      </c>
      <c r="AM30" s="3" t="s">
        <v>889</v>
      </c>
      <c r="AN30" s="3" t="s">
        <v>891</v>
      </c>
      <c r="AO30" s="3" t="str">
        <f>IF(Tabla14[[#This Row],[Plan Ajustado]]&gt;Tabla14[[#This Row],[En puerto a facturar]],"Si","No")</f>
        <v>Si</v>
      </c>
      <c r="AP30" s="3">
        <f>IF(AND(Tabla14[[#This Row],[Plan Ajustado]]&gt;0,Tabla14[[#This Row],[Plan Ajustado]]&gt;Tabla14[[#This Row],[En puerto a facturar]]),(Tabla14[[#This Row],[Plan Ajustado]]-Tabla14[[#This Row],[En puerto a facturar]]),0)</f>
        <v>72000</v>
      </c>
      <c r="AQ30" s="3">
        <f>IF(Tabla14[[#This Row],[Necesidad]]&gt;=Tabla14[[#This Row],[Stock al día]],Tabla14[[#This Row],[Stock al día]],Tabla14[[#This Row],[Necesidad]])</f>
        <v>62516.365000000056</v>
      </c>
      <c r="AR30" s="3">
        <f>+Tabla14[[#This Row],[Necesidad]]-Tabla14[[#This Row],[Stock Plan]]</f>
        <v>9483.6349999999438</v>
      </c>
      <c r="AS30" s="155">
        <f>VLOOKUP(Tabla14[[#This Row],[Sector]]&amp;Tabla14[[#This Row],[Oficina]],[8]Ponderación!$A:$H,8,FALSE)</f>
        <v>44813</v>
      </c>
      <c r="AT30" s="30">
        <f>IFERROR(VLOOKUP(Tabla14[[#This Row],[Llave]],'[6]RV plan de ventas'!$A:$F,6,FALSE),0)</f>
        <v>2.5866750000000001</v>
      </c>
      <c r="AU30" s="83">
        <f>IFERROR(VLOOKUP(Tabla14[[#This Row],[Llave]],[9]DELAY!$H:$X,17,FALSE),0)</f>
        <v>2.5402572326249104</v>
      </c>
      <c r="AV3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2.5402572326249104</v>
      </c>
      <c r="AW30" s="5">
        <f>Tabla14[[#This Row],[Pecio plan]]*Tabla14[[#This Row],[Plan Ajustado]]</f>
        <v>237161.49588145834</v>
      </c>
      <c r="AX30" s="30">
        <f>IFERROR(VLOOKUP(Tabla14[[#This Row],[Llave]],'[13]Ultimos precios facturados'!$A:$G,7,FALSE),0)</f>
        <v>2.2749987627241022</v>
      </c>
      <c r="AY3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0.11659719303899119</v>
      </c>
      <c r="AZ30" s="30">
        <f>IFERROR(VLOOKUP(Tabla14[[#This Row],[Llave]],Hoja2!B:K,10,FALSE),0)</f>
        <v>2.3252058033246348</v>
      </c>
      <c r="BA3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2.5402572326249104</v>
      </c>
      <c r="BB30" s="30">
        <v>2.4700069444444446</v>
      </c>
      <c r="BC30" s="30">
        <f>IF(Tabla14[[#This Row],[Market]]=0,Tabla14[[#This Row],[Precio Final]],Tabla14[[#This Row],[Market]])</f>
        <v>2.4700069444444446</v>
      </c>
      <c r="BD30" s="82"/>
      <c r="BE30" s="82" t="str">
        <f>IF(AND(Tabla14[[#This Row],[Atraso a facturar]]&gt;0,Tabla14[[#This Row],[En puerto a facturar]]&gt;0,Tabla14[[#This Row],[Precio Atraso]]=0),"Revisar","OK")</f>
        <v>OK</v>
      </c>
      <c r="BF30" s="82" t="str">
        <f>IF(AND(Tabla14[[#This Row],[Venta del mes]]&gt;0,Tabla14[[#This Row],[Precio venta nueva]]=0),"Revisar","OK")</f>
        <v>OK</v>
      </c>
      <c r="BG30" s="20">
        <f>IFERROR(VLOOKUP(Tabla14[[#This Row],[Llave]],'[5]Consolidación planes'!$A:$M,9,FALSE),0)</f>
        <v>48000</v>
      </c>
      <c r="BH30" s="20">
        <f>IFERROR(VLOOKUP(Tabla14[[#This Row],[Llave]],'[5]Consolidación planes'!$A:$M,10,FALSE),0)</f>
        <v>79070</v>
      </c>
      <c r="BI30" s="20">
        <f>IFERROR(VLOOKUP(Tabla14[[#This Row],[Llave]],'[5]Consolidación planes'!$A:$M,11,FALSE),0)</f>
        <v>0</v>
      </c>
      <c r="BJ30" s="20">
        <f>IFERROR(VLOOKUP(Tabla14[[#This Row],[Llave]],'[5]Consolidación planes'!$A:$M,12,FALSE),0)</f>
        <v>72000</v>
      </c>
      <c r="BK30" s="20">
        <f>IFERROR(VLOOKUP(Tabla14[[#This Row],[Llave]],'[5]Consolidación planes'!$A:$M,13,FALSE),0)</f>
        <v>144000</v>
      </c>
      <c r="BL30" s="20">
        <f>IFERROR(VLOOKUP(Tabla14[[#This Row],[Llave]],'[13]Base ultimos planes'!$A:$M,13,FALSE),0)</f>
        <v>121000</v>
      </c>
      <c r="BM30" s="20">
        <f>IFERROR(VLOOKUP(Tabla14[[#This Row],[Llave]],'[13]Cruce plan irrestricto'!$C:$M,10,FALSE),0)</f>
        <v>169000</v>
      </c>
      <c r="BN30" s="20">
        <f>IFERROR(VLOOKUP(Tabla14[[#This Row],[Llave]],'[13]Cruce plan irrestricto'!$C:$M,11,FALSE),0)</f>
        <v>146000</v>
      </c>
      <c r="BO30" s="80">
        <f>IFERROR(VLOOKUP(Tabla14[[#This Row],[Llave]],'[13]Base ultimos planes'!$O:$AA,8,FALSE),0)</f>
        <v>120000</v>
      </c>
      <c r="BP30" s="20">
        <f>IFERROR(VLOOKUP(Tabla14[[#This Row],[Llave]],'[13]Base ultimos planes'!$O:$AA,9,FALSE),0)</f>
        <v>149977</v>
      </c>
      <c r="BQ30" s="20">
        <f>IFERROR(VLOOKUP(Tabla14[[#This Row],[Llave]],'[13]Base ultimos planes'!$O:$AA,10,FALSE),0)</f>
        <v>0</v>
      </c>
      <c r="BR30" s="20">
        <f>IFERROR(VLOOKUP(Tabla14[[#This Row],[Llave]],'[13]Base ultimos planes'!$O:$AA,11,FALSE),0)</f>
        <v>130800</v>
      </c>
      <c r="BS30" s="20">
        <f>IFERROR(VLOOKUP(Tabla14[[#This Row],[Llave]],'[13]Base ultimos planes'!$O:$AA,12,FALSE),0)</f>
        <v>337200</v>
      </c>
      <c r="BT30" s="20">
        <f>IFERROR(VLOOKUP(Tabla14[[#This Row],[Llave]],'[13]Base ultimos planes'!$O:$AA,13,FALSE),0)</f>
        <v>290729</v>
      </c>
      <c r="BU30" s="20"/>
      <c r="BV30" s="20">
        <f>Tabla14[[#This Row],[ RV Producción mes n+1]]-Tabla14[[#This Row],[Producción disponible]]+Tabla14[[#This Row],[Saldo Volumen disponible]]</f>
        <v>148660.40282510681</v>
      </c>
      <c r="BW30" s="20">
        <f>IFERROR(VLOOKUP(Tabla14[[#This Row],[Llave]],[14]Hoja2!$J:$N,4,FALSE),0)</f>
        <v>84531.643100000001</v>
      </c>
      <c r="BX30" s="20">
        <f>+Tabla14[[#This Row],[Asignación mes n+1]]*Tabla14[[#This Row],[% Uti. producción]]</f>
        <v>29973.689493981179</v>
      </c>
      <c r="BY30" s="20">
        <f>+Tabla14[[#This Row],[Ponderación mes n+1]]+Tabla14[[#This Row],[Saldo mes n-1]]</f>
        <v>178634.092319088</v>
      </c>
      <c r="BZ30" s="20">
        <f>+Tabla14[[#This Row],[Asignación mes n+1]]-Tabla14[[#This Row],[Ponderación mes n+1]]</f>
        <v>54557.953606018826</v>
      </c>
      <c r="CA30" s="20">
        <f>IFERROR(VLOOKUP(Tabla14[[#This Row],[Llave]],[14]Hoja2!$J:$N,5,FALSE),0)</f>
        <v>99624.283199999991</v>
      </c>
      <c r="CB30" s="20">
        <f>+Tabla14[[#This Row],[Asignación mes n+2]]*Tabla14[[#This Row],[% Uti. producción]]</f>
        <v>35325.319858797891</v>
      </c>
      <c r="CC30" s="20">
        <f>+Tabla14[[#This Row],[Saldo mes n+2]]+Tabla14[[#This Row],[Ponderación mes n+2]]</f>
        <v>89883.27346481671</v>
      </c>
      <c r="CD30" s="20">
        <f>+Tabla14[[#This Row],[Asignación mes n+2]]-Tabla14[[#This Row],[Ponderación mes n+2]]</f>
        <v>64298.963341202099</v>
      </c>
    </row>
    <row r="31" spans="1:82" ht="16" x14ac:dyDescent="0.2">
      <c r="A31">
        <v>1</v>
      </c>
      <c r="B31" t="str">
        <f>Tabla14[[#This Row],[Oficina]]&amp;Tabla14[[#This Row],[Material]]</f>
        <v>Agro Sudamerica1021101</v>
      </c>
      <c r="C31" t="s">
        <v>6</v>
      </c>
      <c r="D31" t="s">
        <v>17</v>
      </c>
      <c r="E31">
        <v>1021101</v>
      </c>
      <c r="F31" t="s">
        <v>85</v>
      </c>
      <c r="G31" t="s">
        <v>76</v>
      </c>
      <c r="H31" t="s">
        <v>84</v>
      </c>
      <c r="I31" s="7">
        <f>IFERROR(IF(Tabla14[[#This Row],[Oficina]]=$I$7,VLOOKUP(Tabla14[[#This Row],[Material]],'[6]RV Producción'!$Y:$AA,3,FALSE),VLOOKUP(Tabla14[[#This Row],[Llave]],'[6]RV Producción'!$C:$G,5,FALSE)),0)</f>
        <v>27354</v>
      </c>
      <c r="J31" s="7">
        <f>IFERROR(IF(Tabla14[[#This Row],[Oficina]]=$I$7,VLOOKUP(Tabla14[[#This Row],[Llave]],'[7]Shangai (Tomas)'!$A:$F,6,FALSE),VLOOKUP(Tabla14[[#This Row],[Llave]],'[6]RV plan de ventas'!$A:$E,5,FALSE)),0)</f>
        <v>24000</v>
      </c>
      <c r="K31" s="8">
        <f>IFERROR(VLOOKUP(Tabla14[[#This Row],[Sector]]&amp;Tabla14[[#This Row],[Oficina]],[8]Ponderación!$A$3:$G$22,7,FALSE),0)</f>
        <v>0.3545854356400317</v>
      </c>
      <c r="L31" s="7">
        <f>+Tabla14[[#This Row],[ RV Producción mes n+1]]*Tabla14[[#This Row],[% Uti. producción]]</f>
        <v>9699.3300064974264</v>
      </c>
      <c r="M31" s="7">
        <f>IFERROR(VLOOKUP(Tabla14[[#This Row],[Material]],'[9]TD Stock'!$B:$C,2,FALSE),0)</f>
        <v>23911.156000000006</v>
      </c>
      <c r="N31" s="7">
        <f>IFERROR(VLOOKUP(Tabla14[[#This Row],[Material]],'[10]Consolidado planificación'!$B:$C,2,FALSE),0)</f>
        <v>0</v>
      </c>
      <c r="O31" s="7">
        <f>IFERROR(VLOOKUP(Tabla14[[#This Row],[Llave]],[11]Hoja2!$D:$G,4,FALSE),0)</f>
        <v>0</v>
      </c>
      <c r="P31" s="14">
        <f>SUM(Tabla14[[#This Row],[Producción disponible]],Tabla14[[#This Row],[Stock al día]],(Tabla14[[#This Row],[Por producir mes N]]*0.9))-Tabla14[[#This Row],[Producción por despachar mes N]]</f>
        <v>33610.486006497435</v>
      </c>
      <c r="Q31" s="7">
        <f>IFERROR(VLOOKUP(Tabla14[[#This Row],[Llave]],[9]DELAY!$A:$D,4,FALSE),0)</f>
        <v>24000</v>
      </c>
      <c r="R31" s="9">
        <v>23000</v>
      </c>
      <c r="S31" s="5">
        <f t="shared" si="5"/>
        <v>24000</v>
      </c>
      <c r="T31" s="76">
        <v>0</v>
      </c>
      <c r="U31" s="5">
        <f>+Tabla14[[#This Row],[Atraso a facturar]]+Tabla14[[#This Row],[Ajuste atraso]]</f>
        <v>24000</v>
      </c>
      <c r="V31" s="3">
        <f>+Tabla14[[#This Row],[Total disponible]]-Tabla14[[#This Row],[Facturación atraso]]</f>
        <v>9610.4860064974346</v>
      </c>
      <c r="W31" s="6">
        <f>IFERROR(IF(AND(V31&gt;R31,J31&gt;=R31),ROUNDDOWN((Tabla14[[#This Row],[Producción para venta nueva]])/R31,0)*R31,0),0)</f>
        <v>0</v>
      </c>
      <c r="X31" s="76">
        <v>0</v>
      </c>
      <c r="Y31" s="6">
        <f>IF(Tabla14[[#This Row],[Venta del mes]]&gt;0,Tabla14[[#This Row],[Venta del mes]]+Tabla14[[#This Row],[Ajuste venta nueva]],0)</f>
        <v>0</v>
      </c>
      <c r="Z31" s="6">
        <f>+Tabla14[[#This Row],[Producción para venta nueva]]-Tabla14[[#This Row],[Facturación Venta nueva]]</f>
        <v>9610.4860064974346</v>
      </c>
      <c r="AA31" s="6">
        <f>IF(AND(A31=1,Tabla14[[#This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" s="6">
        <v>0</v>
      </c>
      <c r="AC31" s="6">
        <f>IF(Tabla14[[#This Row],[Disponible stock sin venta]]&gt;0,Tabla14[[#This Row],[Disponible stock sin venta]]+Tabla14[[#This Row],[Ajuste stock sin venta]],0)</f>
        <v>0</v>
      </c>
      <c r="AD31" s="3">
        <f>IFERROR(VLOOKUP(Tabla14[[#This Row],[Llave]],[12]Hoja1!$A:$D,4,FALSE),0)</f>
        <v>0</v>
      </c>
      <c r="AE3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31" s="3">
        <v>24000</v>
      </c>
      <c r="AG31" s="3">
        <f>+Tabla14[[#This Row],[En puerto a facturar]]</f>
        <v>0</v>
      </c>
      <c r="AH31" s="3">
        <f>+Tabla14[[#This Row],[Facturación atraso]]</f>
        <v>24000</v>
      </c>
      <c r="AI31" s="3">
        <f>+Tabla14[[#This Row],[Plan Irrestricto (DATO)]]-Tabla14[[#This Row],[Puerto ]]-Tabla14[[#This Row],[Atraso]]</f>
        <v>0</v>
      </c>
      <c r="AJ31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31" s="3">
        <f>+Tabla14[[#This Row],[Facturación atraso]]</f>
        <v>24000</v>
      </c>
      <c r="AL31" s="3">
        <f>Tabla14[[#This Row],[Plan Ajustado]]-Tabla14[[#This Row],[ Atraso ajustado]]-Tabla14[[#This Row],[En puerto a facturar]]</f>
        <v>0</v>
      </c>
      <c r="AM31" s="3">
        <v>0</v>
      </c>
      <c r="AN31" s="3" t="s">
        <v>636</v>
      </c>
      <c r="AO31" s="3" t="str">
        <f>IF(Tabla14[[#This Row],[Plan Ajustado]]&gt;Tabla14[[#This Row],[En puerto a facturar]],"Si","No")</f>
        <v>Si</v>
      </c>
      <c r="AP31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31" s="3">
        <f>IF(Tabla14[[#This Row],[Necesidad]]&gt;=Tabla14[[#This Row],[Stock al día]],Tabla14[[#This Row],[Stock al día]],Tabla14[[#This Row],[Necesidad]])</f>
        <v>23911.156000000006</v>
      </c>
      <c r="AR31" s="3">
        <f>+Tabla14[[#This Row],[Necesidad]]-Tabla14[[#This Row],[Stock Plan]]</f>
        <v>88.843999999993684</v>
      </c>
      <c r="AS31" s="155">
        <f>VLOOKUP(Tabla14[[#This Row],[Sector]]&amp;Tabla14[[#This Row],[Oficina]],[8]Ponderación!$A:$H,8,FALSE)</f>
        <v>44813</v>
      </c>
      <c r="AT31" s="30">
        <f>IFERROR(VLOOKUP(Tabla14[[#This Row],[Llave]],'[6]RV plan de ventas'!$A:$F,6,FALSE),0)</f>
        <v>1.1866666666666701</v>
      </c>
      <c r="AU31" s="83">
        <f>IFERROR(VLOOKUP(Tabla14[[#This Row],[Llave]],[9]DELAY!$H:$X,17,FALSE),0)</f>
        <v>1.1103030303030299</v>
      </c>
      <c r="AV3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1.1103030303030299</v>
      </c>
      <c r="AW31" s="5">
        <f>Tabla14[[#This Row],[Pecio plan]]*Tabla14[[#This Row],[Plan Ajustado]]</f>
        <v>26640.000000000004</v>
      </c>
      <c r="AX31" s="30">
        <f>IFERROR(VLOOKUP(Tabla14[[#This Row],[Llave]],'[13]Ultimos precios facturados'!$A:$G,7,FALSE),0)</f>
        <v>1.1504196393336146</v>
      </c>
      <c r="AY3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3.487128319003871E-2</v>
      </c>
      <c r="AZ31" s="30">
        <f>IFERROR(VLOOKUP(Tabla14[[#This Row],[Llave]],Hoja2!B:K,10,FALSE),0)</f>
        <v>1.0866666666666667</v>
      </c>
      <c r="BA3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1.1103030303030299</v>
      </c>
      <c r="BB31" s="30">
        <v>1.1100000000000001</v>
      </c>
      <c r="BC31" s="30">
        <f>IF(Tabla14[[#This Row],[Market]]=0,Tabla14[[#This Row],[Precio Final]],Tabla14[[#This Row],[Market]])</f>
        <v>1.1100000000000001</v>
      </c>
      <c r="BD31" s="82"/>
      <c r="BE31" s="82" t="str">
        <f>IF(AND(Tabla14[[#This Row],[Atraso a facturar]]&gt;0,Tabla14[[#This Row],[En puerto a facturar]]&gt;0,Tabla14[[#This Row],[Precio Atraso]]=0),"Revisar","OK")</f>
        <v>OK</v>
      </c>
      <c r="BF31" s="82" t="str">
        <f>IF(AND(Tabla14[[#This Row],[Venta del mes]]&gt;0,Tabla14[[#This Row],[Precio venta nueva]]=0),"Revisar","OK")</f>
        <v>OK</v>
      </c>
      <c r="BG31" s="20">
        <f>IFERROR(VLOOKUP(Tabla14[[#This Row],[Llave]],'[5]Consolidación planes'!$A:$M,9,FALSE),0)</f>
        <v>12000</v>
      </c>
      <c r="BH31" s="20">
        <f>IFERROR(VLOOKUP(Tabla14[[#This Row],[Llave]],'[5]Consolidación planes'!$A:$M,10,FALSE),0)</f>
        <v>48000</v>
      </c>
      <c r="BI31" s="20">
        <f>IFERROR(VLOOKUP(Tabla14[[#This Row],[Llave]],'[5]Consolidación planes'!$A:$M,11,FALSE),0)</f>
        <v>24000</v>
      </c>
      <c r="BJ31" s="20">
        <f>IFERROR(VLOOKUP(Tabla14[[#This Row],[Llave]],'[5]Consolidación planes'!$A:$M,12,FALSE),0)</f>
        <v>24000</v>
      </c>
      <c r="BK31" s="20">
        <f>IFERROR(VLOOKUP(Tabla14[[#This Row],[Llave]],'[5]Consolidación planes'!$A:$M,13,FALSE),0)</f>
        <v>28000</v>
      </c>
      <c r="BL31" s="20">
        <f>IFERROR(VLOOKUP(Tabla14[[#This Row],[Llave]],'[13]Base ultimos planes'!$A:$M,13,FALSE),0)</f>
        <v>24000</v>
      </c>
      <c r="BM31" s="20">
        <f>IFERROR(VLOOKUP(Tabla14[[#This Row],[Llave]],'[13]Cruce plan irrestricto'!$C:$M,10,FALSE),0)</f>
        <v>0</v>
      </c>
      <c r="BN31" s="20">
        <f>IFERROR(VLOOKUP(Tabla14[[#This Row],[Llave]],'[13]Cruce plan irrestricto'!$C:$M,11,FALSE),0)</f>
        <v>24000</v>
      </c>
      <c r="BO31" s="80">
        <f>IFERROR(VLOOKUP(Tabla14[[#This Row],[Llave]],'[13]Base ultimos planes'!$O:$AA,8,FALSE),0)</f>
        <v>14040</v>
      </c>
      <c r="BP31" s="20">
        <f>IFERROR(VLOOKUP(Tabla14[[#This Row],[Llave]],'[13]Base ultimos planes'!$O:$AA,9,FALSE),0)</f>
        <v>56000</v>
      </c>
      <c r="BQ31" s="20">
        <f>IFERROR(VLOOKUP(Tabla14[[#This Row],[Llave]],'[13]Base ultimos planes'!$O:$AA,10,FALSE),0)</f>
        <v>26400</v>
      </c>
      <c r="BR31" s="20">
        <f>IFERROR(VLOOKUP(Tabla14[[#This Row],[Llave]],'[13]Base ultimos planes'!$O:$AA,11,FALSE),0)</f>
        <v>24720</v>
      </c>
      <c r="BS31" s="20">
        <f>IFERROR(VLOOKUP(Tabla14[[#This Row],[Llave]],'[13]Base ultimos planes'!$O:$AA,12,FALSE),0)</f>
        <v>32800</v>
      </c>
      <c r="BT31" s="20">
        <f>IFERROR(VLOOKUP(Tabla14[[#This Row],[Llave]],'[13]Base ultimos planes'!$O:$AA,13,FALSE),0)</f>
        <v>29445</v>
      </c>
      <c r="BU31" s="20"/>
      <c r="BV31" s="20">
        <f>Tabla14[[#This Row],[ RV Producción mes n+1]]-Tabla14[[#This Row],[Producción disponible]]+Tabla14[[#This Row],[Saldo Volumen disponible]]</f>
        <v>27265.15600000001</v>
      </c>
      <c r="BW31" s="20">
        <f>IFERROR(VLOOKUP(Tabla14[[#This Row],[Llave]],[14]Hoja2!$J:$N,4,FALSE),0)</f>
        <v>23999.999599999999</v>
      </c>
      <c r="BX31" s="20">
        <f>+Tabla14[[#This Row],[Asignación mes n+1]]*Tabla14[[#This Row],[% Uti. producción]]</f>
        <v>8510.0503135265863</v>
      </c>
      <c r="BY31" s="20">
        <f>+Tabla14[[#This Row],[Ponderación mes n+1]]+Tabla14[[#This Row],[Saldo mes n-1]]</f>
        <v>35775.206313526593</v>
      </c>
      <c r="BZ31" s="20">
        <f>+Tabla14[[#This Row],[Asignación mes n+1]]-Tabla14[[#This Row],[Ponderación mes n+1]]</f>
        <v>15489.949286473413</v>
      </c>
      <c r="CA31" s="20">
        <f>IFERROR(VLOOKUP(Tabla14[[#This Row],[Llave]],[14]Hoja2!$J:$N,5,FALSE),0)</f>
        <v>24000.0003</v>
      </c>
      <c r="CB31" s="20">
        <f>+Tabla14[[#This Row],[Asignación mes n+2]]*Tabla14[[#This Row],[% Uti. producción]]</f>
        <v>8510.0505617363906</v>
      </c>
      <c r="CC31" s="20">
        <f>+Tabla14[[#This Row],[Saldo mes n+2]]+Tabla14[[#This Row],[Ponderación mes n+2]]</f>
        <v>23999.999848209802</v>
      </c>
      <c r="CD31" s="20">
        <f>+Tabla14[[#This Row],[Asignación mes n+2]]-Tabla14[[#This Row],[Ponderación mes n+2]]</f>
        <v>15489.949738263609</v>
      </c>
    </row>
    <row r="32" spans="1:82" ht="16" x14ac:dyDescent="0.2">
      <c r="A32">
        <v>1</v>
      </c>
      <c r="B32" t="str">
        <f>Tabla14[[#This Row],[Oficina]]&amp;Tabla14[[#This Row],[Material]]</f>
        <v>Agro Sudamerica1021105</v>
      </c>
      <c r="C32" t="s">
        <v>6</v>
      </c>
      <c r="D32" t="s">
        <v>17</v>
      </c>
      <c r="E32">
        <v>1021105</v>
      </c>
      <c r="F32" t="s">
        <v>86</v>
      </c>
      <c r="G32" t="s">
        <v>76</v>
      </c>
      <c r="H32" t="s">
        <v>84</v>
      </c>
      <c r="I32" s="7">
        <f>IFERROR(IF(Tabla14[[#This Row],[Oficina]]=$I$7,VLOOKUP(Tabla14[[#This Row],[Material]],'[6]RV Producción'!$Y:$AA,3,FALSE),VLOOKUP(Tabla14[[#This Row],[Llave]],'[6]RV Producción'!$C:$G,5,FALSE)),0)</f>
        <v>54217</v>
      </c>
      <c r="J32" s="7">
        <f>IFERROR(IF(Tabla14[[#This Row],[Oficina]]=$I$7,VLOOKUP(Tabla14[[#This Row],[Llave]],'[7]Shangai (Tomas)'!$A:$F,6,FALSE),VLOOKUP(Tabla14[[#This Row],[Llave]],'[6]RV plan de ventas'!$A:$E,5,FALSE)),0)</f>
        <v>48000</v>
      </c>
      <c r="K32" s="8">
        <f>IFERROR(VLOOKUP(Tabla14[[#This Row],[Sector]]&amp;Tabla14[[#This Row],[Oficina]],[8]Ponderación!$A$3:$G$22,7,FALSE),0)</f>
        <v>0.3545854356400317</v>
      </c>
      <c r="L32" s="7">
        <f>+Tabla14[[#This Row],[ RV Producción mes n+1]]*Tabla14[[#This Row],[% Uti. producción]]</f>
        <v>19224.558564095598</v>
      </c>
      <c r="M32" s="7">
        <f>IFERROR(VLOOKUP(Tabla14[[#This Row],[Material]],'[9]TD Stock'!$B:$C,2,FALSE),0)</f>
        <v>27955.643000000007</v>
      </c>
      <c r="N32" s="7">
        <f>IFERROR(VLOOKUP(Tabla14[[#This Row],[Material]],'[10]Consolidado planificación'!$B:$C,2,FALSE),0)</f>
        <v>11763</v>
      </c>
      <c r="O32" s="7">
        <f>IFERROR(VLOOKUP(Tabla14[[#This Row],[Llave]],[11]Hoja2!$D:$G,4,FALSE),0)</f>
        <v>0</v>
      </c>
      <c r="P32" s="14">
        <f>SUM(Tabla14[[#This Row],[Producción disponible]],Tabla14[[#This Row],[Stock al día]],(Tabla14[[#This Row],[Por producir mes N]]*0.9))-Tabla14[[#This Row],[Producción por despachar mes N]]</f>
        <v>57766.901564095606</v>
      </c>
      <c r="Q32" s="7">
        <f>IFERROR(VLOOKUP(Tabla14[[#This Row],[Llave]],[9]DELAY!$A:$D,4,FALSE),0)</f>
        <v>70500</v>
      </c>
      <c r="R32" s="9">
        <v>23000</v>
      </c>
      <c r="S32" s="5">
        <f t="shared" si="5"/>
        <v>46000</v>
      </c>
      <c r="T32" s="76">
        <v>-24000</v>
      </c>
      <c r="U32" s="5">
        <f>+Tabla14[[#This Row],[Atraso a facturar]]+Tabla14[[#This Row],[Ajuste atraso]]</f>
        <v>22000</v>
      </c>
      <c r="V32" s="3">
        <f>+Tabla14[[#This Row],[Total disponible]]-Tabla14[[#This Row],[Facturación atraso]]</f>
        <v>35766.901564095606</v>
      </c>
      <c r="W32" s="6">
        <f>IFERROR(IF(AND(V32&gt;R32,J32&gt;=R32),ROUNDDOWN((Tabla14[[#This Row],[Producción para venta nueva]])/R32,0)*R32,0),0)</f>
        <v>23000</v>
      </c>
      <c r="X32" s="76">
        <v>-24000</v>
      </c>
      <c r="Y32" s="6">
        <f>IF(Tabla14[[#This Row],[Venta del mes]]&gt;0,Tabla14[[#This Row],[Venta del mes]]+Tabla14[[#This Row],[Ajuste venta nueva]],0)</f>
        <v>-1000</v>
      </c>
      <c r="Z32" s="6">
        <f>+Tabla14[[#This Row],[Producción para venta nueva]]-Tabla14[[#This Row],[Facturación Venta nueva]]</f>
        <v>36766.901564095606</v>
      </c>
      <c r="AA32" s="6">
        <f>IF(AND(A32=1,Tabla14[[#This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2" s="6">
        <v>0</v>
      </c>
      <c r="AC32" s="6">
        <f>IF(Tabla14[[#This Row],[Disponible stock sin venta]]&gt;0,Tabla14[[#This Row],[Disponible stock sin venta]]+Tabla14[[#This Row],[Ajuste stock sin venta]],0)</f>
        <v>0</v>
      </c>
      <c r="AD32" s="3">
        <f>IFERROR(VLOOKUP(Tabla14[[#This Row],[Llave]],[12]Hoja1!$A:$D,4,FALSE),0)</f>
        <v>0</v>
      </c>
      <c r="AE3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69000</v>
      </c>
      <c r="AF32" s="3">
        <v>46000</v>
      </c>
      <c r="AG32" s="3">
        <f>+Tabla14[[#This Row],[En puerto a facturar]]</f>
        <v>0</v>
      </c>
      <c r="AH32" s="3">
        <f>+Tabla14[[#This Row],[Facturación atraso]]</f>
        <v>22000</v>
      </c>
      <c r="AI32" s="3">
        <f>+Tabla14[[#This Row],[Plan Irrestricto (DATO)]]-Tabla14[[#This Row],[Puerto ]]-Tabla14[[#This Row],[Atraso]]</f>
        <v>24000</v>
      </c>
      <c r="AJ32" s="6">
        <f>IF(Tabla14[[#This Row],[Plan Irrestricto (DATO)]]&gt;0,SUM(Tabla14[[#This Row],[Facturación atraso]],Tabla14[[#This Row],[Facturación Venta nueva]],Tabla14[[#This Row],[Facturación stock]],Tabla14[[#This Row],[En puerto a facturar]]),0)</f>
        <v>21000</v>
      </c>
      <c r="AK32" s="3">
        <f>+Tabla14[[#This Row],[Facturación atraso]]</f>
        <v>22000</v>
      </c>
      <c r="AL32" s="3">
        <f>Tabla14[[#This Row],[Plan Ajustado]]-Tabla14[[#This Row],[ Atraso ajustado]]-Tabla14[[#This Row],[En puerto a facturar]]</f>
        <v>-1000</v>
      </c>
      <c r="AM32" s="3" t="s">
        <v>889</v>
      </c>
      <c r="AN32" s="3" t="s">
        <v>636</v>
      </c>
      <c r="AO32" s="3" t="str">
        <f>IF(Tabla14[[#This Row],[Plan Ajustado]]&gt;Tabla14[[#This Row],[En puerto a facturar]],"Si","No")</f>
        <v>Si</v>
      </c>
      <c r="AP32" s="3">
        <f>IF(AND(Tabla14[[#This Row],[Plan Ajustado]]&gt;0,Tabla14[[#This Row],[Plan Ajustado]]&gt;Tabla14[[#This Row],[En puerto a facturar]]),(Tabla14[[#This Row],[Plan Ajustado]]-Tabla14[[#This Row],[En puerto a facturar]]),0)</f>
        <v>21000</v>
      </c>
      <c r="AQ32" s="3">
        <f>IF(Tabla14[[#This Row],[Necesidad]]&gt;=Tabla14[[#This Row],[Stock al día]],Tabla14[[#This Row],[Stock al día]],Tabla14[[#This Row],[Necesidad]])</f>
        <v>21000</v>
      </c>
      <c r="AR32" s="3">
        <f>+Tabla14[[#This Row],[Necesidad]]-Tabla14[[#This Row],[Stock Plan]]</f>
        <v>0</v>
      </c>
      <c r="AS32" s="155">
        <f>VLOOKUP(Tabla14[[#This Row],[Sector]]&amp;Tabla14[[#This Row],[Oficina]],[8]Ponderación!$A:$H,8,FALSE)</f>
        <v>44813</v>
      </c>
      <c r="AT32" s="30">
        <f>IFERROR(VLOOKUP(Tabla14[[#This Row],[Llave]],'[6]RV plan de ventas'!$A:$F,6,FALSE),0)</f>
        <v>0.76666666666666705</v>
      </c>
      <c r="AU32" s="83">
        <f>IFERROR(VLOOKUP(Tabla14[[#This Row],[Llave]],[9]DELAY!$H:$X,17,FALSE),0)</f>
        <v>0.76824113475177325</v>
      </c>
      <c r="AV3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0.76831610942249262</v>
      </c>
      <c r="AW32" s="5">
        <f>Tabla14[[#This Row],[Pecio plan]]*Tabla14[[#This Row],[Plan Ajustado]]</f>
        <v>15440.380035366388</v>
      </c>
      <c r="AX32" s="30">
        <f>IFERROR(VLOOKUP(Tabla14[[#This Row],[Llave]],'[13]Ultimos precios facturados'!$A:$G,7,FALSE),0)</f>
        <v>0.55910825477008652</v>
      </c>
      <c r="AY3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0.37418130186333132</v>
      </c>
      <c r="AZ32" s="30">
        <f>IFERROR(VLOOKUP(Tabla14[[#This Row],[Llave]],Hoja2!B:K,10,FALSE),0)</f>
        <v>0.63666666666666683</v>
      </c>
      <c r="BA3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0.76831610942249262</v>
      </c>
      <c r="BB32" s="30">
        <v>0.73525619216030424</v>
      </c>
      <c r="BC32" s="30">
        <f>IF(Tabla14[[#This Row],[Market]]=0,Tabla14[[#This Row],[Precio Final]],Tabla14[[#This Row],[Market]])</f>
        <v>0.73525619216030424</v>
      </c>
      <c r="BD32" s="82"/>
      <c r="BE32" s="82" t="str">
        <f>IF(AND(Tabla14[[#This Row],[Atraso a facturar]]&gt;0,Tabla14[[#This Row],[En puerto a facturar]]&gt;0,Tabla14[[#This Row],[Precio Atraso]]=0),"Revisar","OK")</f>
        <v>OK</v>
      </c>
      <c r="BF32" s="82" t="str">
        <f>IF(AND(Tabla14[[#This Row],[Venta del mes]]&gt;0,Tabla14[[#This Row],[Precio venta nueva]]=0),"Revisar","OK")</f>
        <v>OK</v>
      </c>
      <c r="BG32" s="20">
        <f>IFERROR(VLOOKUP(Tabla14[[#This Row],[Llave]],'[5]Consolidación planes'!$A:$M,9,FALSE),0)</f>
        <v>24000</v>
      </c>
      <c r="BH32" s="20">
        <f>IFERROR(VLOOKUP(Tabla14[[#This Row],[Llave]],'[5]Consolidación planes'!$A:$M,10,FALSE),0)</f>
        <v>24000</v>
      </c>
      <c r="BI32" s="20">
        <f>IFERROR(VLOOKUP(Tabla14[[#This Row],[Llave]],'[5]Consolidación planes'!$A:$M,11,FALSE),0)</f>
        <v>24000</v>
      </c>
      <c r="BJ32" s="20">
        <f>IFERROR(VLOOKUP(Tabla14[[#This Row],[Llave]],'[5]Consolidación planes'!$A:$M,12,FALSE),0)</f>
        <v>24000</v>
      </c>
      <c r="BK32" s="20">
        <f>IFERROR(VLOOKUP(Tabla14[[#This Row],[Llave]],'[5]Consolidación planes'!$A:$M,13,FALSE),0)</f>
        <v>0</v>
      </c>
      <c r="BL32" s="20">
        <f>IFERROR(VLOOKUP(Tabla14[[#This Row],[Llave]],'[13]Base ultimos planes'!$A:$M,13,FALSE),0)</f>
        <v>0</v>
      </c>
      <c r="BM32" s="20">
        <f>IFERROR(VLOOKUP(Tabla14[[#This Row],[Llave]],'[13]Cruce plan irrestricto'!$C:$M,10,FALSE),0)</f>
        <v>29211</v>
      </c>
      <c r="BN32" s="20">
        <f>IFERROR(VLOOKUP(Tabla14[[#This Row],[Llave]],'[13]Cruce plan irrestricto'!$C:$M,11,FALSE),0)</f>
        <v>53211</v>
      </c>
      <c r="BO32" s="80">
        <f>IFERROR(VLOOKUP(Tabla14[[#This Row],[Llave]],'[13]Base ultimos planes'!$O:$AA,8,FALSE),0)</f>
        <v>12960</v>
      </c>
      <c r="BP32" s="20">
        <f>IFERROR(VLOOKUP(Tabla14[[#This Row],[Llave]],'[13]Base ultimos planes'!$O:$AA,9,FALSE),0)</f>
        <v>12960</v>
      </c>
      <c r="BQ32" s="20">
        <f>IFERROR(VLOOKUP(Tabla14[[#This Row],[Llave]],'[13]Base ultimos planes'!$O:$AA,10,FALSE),0)</f>
        <v>12000</v>
      </c>
      <c r="BR32" s="20">
        <f>IFERROR(VLOOKUP(Tabla14[[#This Row],[Llave]],'[13]Base ultimos planes'!$O:$AA,11,FALSE),0)</f>
        <v>11760</v>
      </c>
      <c r="BS32" s="20">
        <f>IFERROR(VLOOKUP(Tabla14[[#This Row],[Llave]],'[13]Base ultimos planes'!$O:$AA,12,FALSE),0)</f>
        <v>0</v>
      </c>
      <c r="BT32" s="20">
        <f>IFERROR(VLOOKUP(Tabla14[[#This Row],[Llave]],'[13]Base ultimos planes'!$O:$AA,13,FALSE),0)</f>
        <v>0</v>
      </c>
      <c r="BU32" s="20"/>
      <c r="BV32" s="20">
        <f>Tabla14[[#This Row],[ RV Producción mes n+1]]-Tabla14[[#This Row],[Producción disponible]]+Tabla14[[#This Row],[Saldo Volumen disponible]]</f>
        <v>71759.343000000008</v>
      </c>
      <c r="BW32" s="20">
        <f>IFERROR(VLOOKUP(Tabla14[[#This Row],[Llave]],[14]Hoja2!$J:$N,4,FALSE),0)</f>
        <v>50910.3753</v>
      </c>
      <c r="BX32" s="20">
        <f>+Tabla14[[#This Row],[Asignación mes n+1]]*Tabla14[[#This Row],[% Uti. producción]]</f>
        <v>18052.077604348011</v>
      </c>
      <c r="BY32" s="20">
        <f>+Tabla14[[#This Row],[Ponderación mes n+1]]+Tabla14[[#This Row],[Saldo mes n-1]]</f>
        <v>89811.420604348023</v>
      </c>
      <c r="BZ32" s="20">
        <f>+Tabla14[[#This Row],[Asignación mes n+1]]-Tabla14[[#This Row],[Ponderación mes n+1]]</f>
        <v>32858.297695651985</v>
      </c>
      <c r="CA32" s="20">
        <f>IFERROR(VLOOKUP(Tabla14[[#This Row],[Llave]],[14]Hoja2!$J:$N,5,FALSE),0)</f>
        <v>55902.597200000004</v>
      </c>
      <c r="CB32" s="20">
        <f>+Tabla14[[#This Row],[Asignación mes n+2]]*Tabla14[[#This Row],[% Uti. producción]]</f>
        <v>19822.246781571219</v>
      </c>
      <c r="CC32" s="20">
        <f>+Tabla14[[#This Row],[Saldo mes n+2]]+Tabla14[[#This Row],[Ponderación mes n+2]]</f>
        <v>52680.5444772232</v>
      </c>
      <c r="CD32" s="20">
        <f>+Tabla14[[#This Row],[Asignación mes n+2]]-Tabla14[[#This Row],[Ponderación mes n+2]]</f>
        <v>36080.350418428789</v>
      </c>
    </row>
    <row r="33" spans="1:82" ht="16" x14ac:dyDescent="0.2">
      <c r="A33">
        <v>1</v>
      </c>
      <c r="B33" t="str">
        <f>Tabla14[[#This Row],[Oficina]]&amp;Tabla14[[#This Row],[Material]]</f>
        <v>Agro Sudamerica1021106</v>
      </c>
      <c r="C33" t="s">
        <v>6</v>
      </c>
      <c r="D33" t="s">
        <v>17</v>
      </c>
      <c r="E33">
        <v>1021106</v>
      </c>
      <c r="F33" t="s">
        <v>87</v>
      </c>
      <c r="G33" t="s">
        <v>76</v>
      </c>
      <c r="H33" t="s">
        <v>84</v>
      </c>
      <c r="I33" s="7">
        <f>IFERROR(IF(Tabla14[[#This Row],[Oficina]]=$I$7,VLOOKUP(Tabla14[[#This Row],[Material]],'[6]RV Producción'!$Y:$AA,3,FALSE),VLOOKUP(Tabla14[[#This Row],[Llave]],'[6]RV Producción'!$C:$G,5,FALSE)),0)</f>
        <v>0</v>
      </c>
      <c r="J33" s="7">
        <f>IFERROR(IF(Tabla14[[#This Row],[Oficina]]=$I$7,VLOOKUP(Tabla14[[#This Row],[Llave]],'[7]Shangai (Tomas)'!$A:$F,6,FALSE),VLOOKUP(Tabla14[[#This Row],[Llave]],'[6]RV plan de ventas'!$A:$E,5,FALSE)),0)</f>
        <v>9312</v>
      </c>
      <c r="K33" s="8">
        <f>IFERROR(VLOOKUP(Tabla14[[#This Row],[Sector]]&amp;Tabla14[[#This Row],[Oficina]],[8]Ponderación!$A$3:$G$22,7,FALSE),0)</f>
        <v>0.3545854356400317</v>
      </c>
      <c r="L33" s="7">
        <f>+Tabla14[[#This Row],[ RV Producción mes n+1]]*Tabla14[[#This Row],[% Uti. producción]]</f>
        <v>0</v>
      </c>
      <c r="M33" s="7">
        <f>IFERROR(VLOOKUP(Tabla14[[#This Row],[Material]],'[9]TD Stock'!$B:$C,2,FALSE),0)</f>
        <v>10377.531000000001</v>
      </c>
      <c r="N33" s="7">
        <f>IFERROR(VLOOKUP(Tabla14[[#This Row],[Material]],'[10]Consolidado planificación'!$B:$C,2,FALSE),0)</f>
        <v>0</v>
      </c>
      <c r="O33" s="7">
        <f>IFERROR(VLOOKUP(Tabla14[[#This Row],[Llave]],[11]Hoja2!$D:$G,4,FALSE),0)</f>
        <v>0</v>
      </c>
      <c r="P33" s="14">
        <f>SUM(Tabla14[[#This Row],[Producción disponible]],Tabla14[[#This Row],[Stock al día]],(Tabla14[[#This Row],[Por producir mes N]]*0.9))-Tabla14[[#This Row],[Producción por despachar mes N]]</f>
        <v>10377.531000000001</v>
      </c>
      <c r="Q33" s="7">
        <f>IFERROR(VLOOKUP(Tabla14[[#This Row],[Llave]],[9]DELAY!$A:$D,4,FALSE),0)</f>
        <v>11000</v>
      </c>
      <c r="R33" s="9">
        <v>23000</v>
      </c>
      <c r="S33" s="5">
        <f t="shared" si="5"/>
        <v>0</v>
      </c>
      <c r="T33" s="76">
        <v>0</v>
      </c>
      <c r="U33" s="5">
        <f>+Tabla14[[#This Row],[Atraso a facturar]]+Tabla14[[#This Row],[Ajuste atraso]]</f>
        <v>0</v>
      </c>
      <c r="V33" s="3">
        <f>+Tabla14[[#This Row],[Total disponible]]-Tabla14[[#This Row],[Facturación atraso]]</f>
        <v>10377.531000000001</v>
      </c>
      <c r="W33" s="6">
        <f>IFERROR(IF(AND(V33&gt;R33,J33&gt;=R33),ROUNDDOWN((Tabla14[[#This Row],[Producción para venta nueva]])/R33,0)*R33,0),0)</f>
        <v>0</v>
      </c>
      <c r="X33" s="76">
        <v>0</v>
      </c>
      <c r="Y33" s="6">
        <f>IF(Tabla14[[#This Row],[Venta del mes]]&gt;0,Tabla14[[#This Row],[Venta del mes]]+Tabla14[[#This Row],[Ajuste venta nueva]],0)</f>
        <v>0</v>
      </c>
      <c r="Z33" s="6">
        <f>+Tabla14[[#This Row],[Producción para venta nueva]]-Tabla14[[#This Row],[Facturación Venta nueva]]</f>
        <v>10377.531000000001</v>
      </c>
      <c r="AA33" s="6">
        <f>IF(AND(A33=1,Tabla14[[#This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3" s="6">
        <v>0</v>
      </c>
      <c r="AC33" s="6">
        <f>IF(Tabla14[[#This Row],[Disponible stock sin venta]]&gt;0,Tabla14[[#This Row],[Disponible stock sin venta]]+Tabla14[[#This Row],[Ajuste stock sin venta]],0)</f>
        <v>0</v>
      </c>
      <c r="AD33" s="3">
        <f>IFERROR(VLOOKUP(Tabla14[[#This Row],[Llave]],[12]Hoja1!$A:$D,4,FALSE),0)</f>
        <v>0</v>
      </c>
      <c r="AE3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3" s="3">
        <v>0</v>
      </c>
      <c r="AG33" s="3">
        <f>+Tabla14[[#This Row],[En puerto a facturar]]</f>
        <v>0</v>
      </c>
      <c r="AH33" s="3">
        <f>+Tabla14[[#This Row],[Facturación atraso]]</f>
        <v>0</v>
      </c>
      <c r="AI33" s="3">
        <f>+Tabla14[[#This Row],[Plan Irrestricto (DATO)]]-Tabla14[[#This Row],[Puerto ]]-Tabla14[[#This Row],[Atraso]]</f>
        <v>0</v>
      </c>
      <c r="AJ3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3" s="3">
        <f>+Tabla14[[#This Row],[Facturación atraso]]</f>
        <v>0</v>
      </c>
      <c r="AL33" s="3">
        <f>Tabla14[[#This Row],[Plan Ajustado]]-Tabla14[[#This Row],[ Atraso ajustado]]-Tabla14[[#This Row],[En puerto a facturar]]</f>
        <v>0</v>
      </c>
      <c r="AM33" s="3">
        <v>0</v>
      </c>
      <c r="AN33" s="3" t="e">
        <v>#REF!</v>
      </c>
      <c r="AO33" s="3" t="str">
        <f>IF(Tabla14[[#This Row],[Plan Ajustado]]&gt;Tabla14[[#This Row],[En puerto a facturar]],"Si","No")</f>
        <v>No</v>
      </c>
      <c r="AP3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3" s="3">
        <f>IF(Tabla14[[#This Row],[Necesidad]]&gt;=Tabla14[[#This Row],[Stock al día]],Tabla14[[#This Row],[Stock al día]],Tabla14[[#This Row],[Necesidad]])</f>
        <v>0</v>
      </c>
      <c r="AR33" s="3">
        <f>+Tabla14[[#This Row],[Necesidad]]-Tabla14[[#This Row],[Stock Plan]]</f>
        <v>0</v>
      </c>
      <c r="AS33" s="155">
        <f>VLOOKUP(Tabla14[[#This Row],[Sector]]&amp;Tabla14[[#This Row],[Oficina]],[8]Ponderación!$A:$H,8,FALSE)</f>
        <v>44813</v>
      </c>
      <c r="AT33" s="30">
        <f>IFERROR(VLOOKUP(Tabla14[[#This Row],[Llave]],'[6]RV plan de ventas'!$A:$F,6,FALSE),0)</f>
        <v>0.48668384879725102</v>
      </c>
      <c r="AU33" s="83">
        <f>IFERROR(VLOOKUP(Tabla14[[#This Row],[Llave]],[9]DELAY!$H:$X,17,FALSE),0)</f>
        <v>0.9686591363636361</v>
      </c>
      <c r="AV3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3" s="5">
        <f>Tabla14[[#This Row],[Pecio plan]]*Tabla14[[#This Row],[Plan Ajustado]]</f>
        <v>0</v>
      </c>
      <c r="AX33" s="30">
        <f>IFERROR(VLOOKUP(Tabla14[[#This Row],[Llave]],'[13]Ultimos precios facturados'!$A:$G,7,FALSE),0)</f>
        <v>0.69633615561945283</v>
      </c>
      <c r="AY3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3" s="30">
        <f>IFERROR(VLOOKUP(Tabla14[[#This Row],[Llave]],Hoja2!B:K,10,FALSE),0)</f>
        <v>0</v>
      </c>
      <c r="BA3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3" s="30">
        <v>0</v>
      </c>
      <c r="BC33" s="30">
        <f>IF(Tabla14[[#This Row],[Market]]=0,Tabla14[[#This Row],[Precio Final]],Tabla14[[#This Row],[Market]])</f>
        <v>0</v>
      </c>
      <c r="BD33" s="82"/>
      <c r="BE33" s="82" t="str">
        <f>IF(AND(Tabla14[[#This Row],[Atraso a facturar]]&gt;0,Tabla14[[#This Row],[En puerto a facturar]]&gt;0,Tabla14[[#This Row],[Precio Atraso]]=0),"Revisar","OK")</f>
        <v>OK</v>
      </c>
      <c r="BF33" s="82" t="str">
        <f>IF(AND(Tabla14[[#This Row],[Venta del mes]]&gt;0,Tabla14[[#This Row],[Precio venta nueva]]=0),"Revisar","OK")</f>
        <v>OK</v>
      </c>
      <c r="BG33" s="20">
        <f>IFERROR(VLOOKUP(Tabla14[[#This Row],[Llave]],'[5]Consolidación planes'!$A:$M,9,FALSE),0)</f>
        <v>96000</v>
      </c>
      <c r="BH33" s="20">
        <f>IFERROR(VLOOKUP(Tabla14[[#This Row],[Llave]],'[5]Consolidación planes'!$A:$M,10,FALSE),0)</f>
        <v>144000</v>
      </c>
      <c r="BI33" s="20">
        <f>IFERROR(VLOOKUP(Tabla14[[#This Row],[Llave]],'[5]Consolidación planes'!$A:$M,11,FALSE),0)</f>
        <v>96000</v>
      </c>
      <c r="BJ33" s="20">
        <f>IFERROR(VLOOKUP(Tabla14[[#This Row],[Llave]],'[5]Consolidación planes'!$A:$M,12,FALSE),0)</f>
        <v>120000</v>
      </c>
      <c r="BK33" s="20">
        <f>IFERROR(VLOOKUP(Tabla14[[#This Row],[Llave]],'[5]Consolidación planes'!$A:$M,13,FALSE),0)</f>
        <v>48000</v>
      </c>
      <c r="BL33" s="20">
        <f>IFERROR(VLOOKUP(Tabla14[[#This Row],[Llave]],'[13]Base ultimos planes'!$A:$M,13,FALSE),0)</f>
        <v>120000</v>
      </c>
      <c r="BM33" s="20">
        <f>IFERROR(VLOOKUP(Tabla14[[#This Row],[Llave]],'[13]Cruce plan irrestricto'!$C:$M,10,FALSE),0)</f>
        <v>0</v>
      </c>
      <c r="BN33" s="20">
        <f>IFERROR(VLOOKUP(Tabla14[[#This Row],[Llave]],'[13]Cruce plan irrestricto'!$C:$M,11,FALSE),0)</f>
        <v>0</v>
      </c>
      <c r="BO33" s="80">
        <f>IFERROR(VLOOKUP(Tabla14[[#This Row],[Llave]],'[13]Base ultimos planes'!$O:$AA,8,FALSE),0)</f>
        <v>67008</v>
      </c>
      <c r="BP33" s="20">
        <f>IFERROR(VLOOKUP(Tabla14[[#This Row],[Llave]],'[13]Base ultimos planes'!$O:$AA,9,FALSE),0)</f>
        <v>102640</v>
      </c>
      <c r="BQ33" s="20">
        <f>IFERROR(VLOOKUP(Tabla14[[#This Row],[Llave]],'[13]Base ultimos planes'!$O:$AA,10,FALSE),0)</f>
        <v>67579</v>
      </c>
      <c r="BR33" s="20">
        <f>IFERROR(VLOOKUP(Tabla14[[#This Row],[Llave]],'[13]Base ultimos planes'!$O:$AA,11,FALSE),0)</f>
        <v>84720</v>
      </c>
      <c r="BS33" s="20">
        <f>IFERROR(VLOOKUP(Tabla14[[#This Row],[Llave]],'[13]Base ultimos planes'!$O:$AA,12,FALSE),0)</f>
        <v>30827</v>
      </c>
      <c r="BT33" s="20">
        <f>IFERROR(VLOOKUP(Tabla14[[#This Row],[Llave]],'[13]Base ultimos planes'!$O:$AA,13,FALSE),0)</f>
        <v>80334</v>
      </c>
      <c r="BU33" s="20"/>
      <c r="BV33" s="20">
        <f>Tabla14[[#This Row],[ RV Producción mes n+1]]-Tabla14[[#This Row],[Producción disponible]]+Tabla14[[#This Row],[Saldo Volumen disponible]]</f>
        <v>10377.531000000001</v>
      </c>
      <c r="BW33" s="20">
        <f>IFERROR(VLOOKUP(Tabla14[[#This Row],[Llave]],[14]Hoja2!$J:$N,4,FALSE),0)</f>
        <v>0</v>
      </c>
      <c r="BX33" s="20">
        <f>+Tabla14[[#This Row],[Asignación mes n+1]]*Tabla14[[#This Row],[% Uti. producción]]</f>
        <v>0</v>
      </c>
      <c r="BY33" s="20">
        <f>+Tabla14[[#This Row],[Ponderación mes n+1]]+Tabla14[[#This Row],[Saldo mes n-1]]</f>
        <v>10377.531000000001</v>
      </c>
      <c r="BZ33" s="20">
        <f>+Tabla14[[#This Row],[Asignación mes n+1]]-Tabla14[[#This Row],[Ponderación mes n+1]]</f>
        <v>0</v>
      </c>
      <c r="CA33" s="20">
        <f>IFERROR(VLOOKUP(Tabla14[[#This Row],[Llave]],[14]Hoja2!$J:$N,5,FALSE),0)</f>
        <v>0</v>
      </c>
      <c r="CB33" s="20">
        <f>+Tabla14[[#This Row],[Asignación mes n+2]]*Tabla14[[#This Row],[% Uti. producción]]</f>
        <v>0</v>
      </c>
      <c r="CC33" s="20">
        <f>+Tabla14[[#This Row],[Saldo mes n+2]]+Tabla14[[#This Row],[Ponderación mes n+2]]</f>
        <v>0</v>
      </c>
      <c r="CD33" s="20">
        <f>+Tabla14[[#This Row],[Asignación mes n+2]]-Tabla14[[#This Row],[Ponderación mes n+2]]</f>
        <v>0</v>
      </c>
    </row>
    <row r="34" spans="1:82" ht="16" x14ac:dyDescent="0.2">
      <c r="A34">
        <v>1</v>
      </c>
      <c r="B34" t="str">
        <f>Tabla14[[#This Row],[Oficina]]&amp;Tabla14[[#This Row],[Material]]</f>
        <v>Agro Sudamerica1021111</v>
      </c>
      <c r="C34" t="s">
        <v>6</v>
      </c>
      <c r="D34" t="s">
        <v>17</v>
      </c>
      <c r="E34">
        <v>1021111</v>
      </c>
      <c r="F34" t="s">
        <v>48</v>
      </c>
      <c r="G34" t="s">
        <v>11</v>
      </c>
      <c r="H34" t="s">
        <v>47</v>
      </c>
      <c r="I34" s="7">
        <f>IFERROR(IF(Tabla14[[#This Row],[Oficina]]=$I$7,VLOOKUP(Tabla14[[#This Row],[Material]],'[6]RV Producción'!$Y:$AA,3,FALSE),VLOOKUP(Tabla14[[#This Row],[Llave]],'[6]RV Producción'!$C:$G,5,FALSE)),0)</f>
        <v>4533</v>
      </c>
      <c r="J34" s="7">
        <f>IFERROR(IF(Tabla14[[#This Row],[Oficina]]=$I$7,VLOOKUP(Tabla14[[#This Row],[Llave]],'[7]Shangai (Tomas)'!$A:$F,6,FALSE),VLOOKUP(Tabla14[[#This Row],[Llave]],'[6]RV plan de ventas'!$A:$E,5,FALSE)),0)</f>
        <v>0</v>
      </c>
      <c r="K34" s="8">
        <f>IFERROR(VLOOKUP(Tabla14[[#This Row],[Sector]]&amp;Tabla14[[#This Row],[Oficina]],[8]Ponderación!$A$3:$G$22,7,FALSE),0)</f>
        <v>0.3545854356400317</v>
      </c>
      <c r="L34" s="7">
        <f>+Tabla14[[#This Row],[ RV Producción mes n+1]]*Tabla14[[#This Row],[% Uti. producción]]</f>
        <v>1607.3357797562637</v>
      </c>
      <c r="M34" s="7">
        <f>IFERROR(VLOOKUP(Tabla14[[#This Row],[Material]],'[9]TD Stock'!$B:$C,2,FALSE),0)</f>
        <v>5027.8799999999992</v>
      </c>
      <c r="N34" s="7">
        <f>IFERROR(VLOOKUP(Tabla14[[#This Row],[Material]],'[10]Consolidado planificación'!$B:$C,2,FALSE),0)</f>
        <v>904</v>
      </c>
      <c r="O34" s="7">
        <f>IFERROR(VLOOKUP(Tabla14[[#This Row],[Llave]],[11]Hoja2!$D:$G,4,FALSE),0)</f>
        <v>0</v>
      </c>
      <c r="P34" s="14">
        <f>SUM(Tabla14[[#This Row],[Producción disponible]],Tabla14[[#This Row],[Stock al día]],(Tabla14[[#This Row],[Por producir mes N]]*0.9))-Tabla14[[#This Row],[Producción por despachar mes N]]</f>
        <v>7448.8157797562635</v>
      </c>
      <c r="Q34" s="7">
        <f>IFERROR(VLOOKUP(Tabla14[[#This Row],[Llave]],[9]DELAY!$A:$D,4,FALSE),0)</f>
        <v>9000</v>
      </c>
      <c r="R34" s="9">
        <v>23000</v>
      </c>
      <c r="S34" s="5">
        <f t="shared" si="5"/>
        <v>0</v>
      </c>
      <c r="T34" s="76">
        <v>0</v>
      </c>
      <c r="U34" s="5">
        <f>+Tabla14[[#This Row],[Atraso a facturar]]+Tabla14[[#This Row],[Ajuste atraso]]</f>
        <v>0</v>
      </c>
      <c r="V34" s="3">
        <f>+Tabla14[[#This Row],[Total disponible]]-Tabla14[[#This Row],[Facturación atraso]]</f>
        <v>7448.8157797562635</v>
      </c>
      <c r="W34" s="6">
        <f>IFERROR(IF(AND(V34&gt;R34,J34&gt;=R34),ROUNDDOWN((Tabla14[[#This Row],[Producción para venta nueva]])/R34,0)*R34,0),0)</f>
        <v>0</v>
      </c>
      <c r="X34" s="76">
        <v>0</v>
      </c>
      <c r="Y34" s="6">
        <f>IF(Tabla14[[#This Row],[Venta del mes]]&gt;0,Tabla14[[#This Row],[Venta del mes]]+Tabla14[[#This Row],[Ajuste venta nueva]],0)</f>
        <v>0</v>
      </c>
      <c r="Z34" s="6">
        <f>+Tabla14[[#This Row],[Producción para venta nueva]]-Tabla14[[#This Row],[Facturación Venta nueva]]</f>
        <v>7448.8157797562635</v>
      </c>
      <c r="AA34" s="6">
        <f>IF(AND(A34=1,Tabla14[[#This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4" s="6">
        <v>0</v>
      </c>
      <c r="AC34" s="6">
        <f>IF(Tabla14[[#This Row],[Disponible stock sin venta]]&gt;0,Tabla14[[#This Row],[Disponible stock sin venta]]+Tabla14[[#This Row],[Ajuste stock sin venta]],0)</f>
        <v>0</v>
      </c>
      <c r="AD34" s="3">
        <f>IFERROR(VLOOKUP(Tabla14[[#This Row],[Llave]],[12]Hoja1!$A:$D,4,FALSE),0)</f>
        <v>0</v>
      </c>
      <c r="AE3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4" s="3">
        <v>0</v>
      </c>
      <c r="AG34" s="3">
        <f>+Tabla14[[#This Row],[En puerto a facturar]]</f>
        <v>0</v>
      </c>
      <c r="AH34" s="3">
        <f>+Tabla14[[#This Row],[Facturación atraso]]</f>
        <v>0</v>
      </c>
      <c r="AI34" s="3">
        <f>+Tabla14[[#This Row],[Plan Irrestricto (DATO)]]-Tabla14[[#This Row],[Puerto ]]-Tabla14[[#This Row],[Atraso]]</f>
        <v>0</v>
      </c>
      <c r="AJ3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4" s="3">
        <f>+Tabla14[[#This Row],[Facturación atraso]]</f>
        <v>0</v>
      </c>
      <c r="AL34" s="3">
        <f>Tabla14[[#This Row],[Plan Ajustado]]-Tabla14[[#This Row],[ Atraso ajustado]]-Tabla14[[#This Row],[En puerto a facturar]]</f>
        <v>0</v>
      </c>
      <c r="AM34" s="3">
        <v>0</v>
      </c>
      <c r="AN34" s="3" t="e">
        <v>#REF!</v>
      </c>
      <c r="AO34" s="3" t="str">
        <f>IF(Tabla14[[#This Row],[Plan Ajustado]]&gt;Tabla14[[#This Row],[En puerto a facturar]],"Si","No")</f>
        <v>No</v>
      </c>
      <c r="AP3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4" s="3">
        <f>IF(Tabla14[[#This Row],[Necesidad]]&gt;=Tabla14[[#This Row],[Stock al día]],Tabla14[[#This Row],[Stock al día]],Tabla14[[#This Row],[Necesidad]])</f>
        <v>0</v>
      </c>
      <c r="AR34" s="3">
        <f>+Tabla14[[#This Row],[Necesidad]]-Tabla14[[#This Row],[Stock Plan]]</f>
        <v>0</v>
      </c>
      <c r="AS34" s="155">
        <f>VLOOKUP(Tabla14[[#This Row],[Sector]]&amp;Tabla14[[#This Row],[Oficina]],[8]Ponderación!$A:$H,8,FALSE)</f>
        <v>44813</v>
      </c>
      <c r="AT34" s="30">
        <f>IFERROR(VLOOKUP(Tabla14[[#This Row],[Llave]],'[6]RV plan de ventas'!$A:$F,6,FALSE),0)</f>
        <v>0</v>
      </c>
      <c r="AU34" s="83">
        <f>IFERROR(VLOOKUP(Tabla14[[#This Row],[Llave]],[9]DELAY!$H:$X,17,FALSE),0)</f>
        <v>1.3402777777777766</v>
      </c>
      <c r="AV3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4" s="5">
        <f>Tabla14[[#This Row],[Pecio plan]]*Tabla14[[#This Row],[Plan Ajustado]]</f>
        <v>0</v>
      </c>
      <c r="AX34" s="30">
        <f>IFERROR(VLOOKUP(Tabla14[[#This Row],[Llave]],'[13]Ultimos precios facturados'!$A:$G,7,FALSE),0)</f>
        <v>1.3914103930129227</v>
      </c>
      <c r="AY3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4" s="30">
        <f>IFERROR(VLOOKUP(Tabla14[[#This Row],[Llave]],Hoja2!B:K,10,FALSE),0)</f>
        <v>1.1866666666666665</v>
      </c>
      <c r="BA3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4" s="30">
        <v>0</v>
      </c>
      <c r="BC34" s="30">
        <f>IF(Tabla14[[#This Row],[Market]]=0,Tabla14[[#This Row],[Precio Final]],Tabla14[[#This Row],[Market]])</f>
        <v>0</v>
      </c>
      <c r="BD34" s="82"/>
      <c r="BE34" s="82" t="str">
        <f>IF(AND(Tabla14[[#This Row],[Atraso a facturar]]&gt;0,Tabla14[[#This Row],[En puerto a facturar]]&gt;0,Tabla14[[#This Row],[Precio Atraso]]=0),"Revisar","OK")</f>
        <v>OK</v>
      </c>
      <c r="BF34" s="82" t="str">
        <f>IF(AND(Tabla14[[#This Row],[Venta del mes]]&gt;0,Tabla14[[#This Row],[Precio venta nueva]]=0),"Revisar","OK")</f>
        <v>OK</v>
      </c>
      <c r="BG34" s="20">
        <f>IFERROR(VLOOKUP(Tabla14[[#This Row],[Llave]],'[5]Consolidación planes'!$A:$M,9,FALSE),0)</f>
        <v>3000</v>
      </c>
      <c r="BH34" s="20">
        <f>IFERROR(VLOOKUP(Tabla14[[#This Row],[Llave]],'[5]Consolidación planes'!$A:$M,10,FALSE),0)</f>
        <v>2500</v>
      </c>
      <c r="BI34" s="20">
        <f>IFERROR(VLOOKUP(Tabla14[[#This Row],[Llave]],'[5]Consolidación planes'!$A:$M,11,FALSE),0)</f>
        <v>0</v>
      </c>
      <c r="BJ34" s="20">
        <f>IFERROR(VLOOKUP(Tabla14[[#This Row],[Llave]],'[5]Consolidación planes'!$A:$M,12,FALSE),0)</f>
        <v>0</v>
      </c>
      <c r="BK34" s="20">
        <f>IFERROR(VLOOKUP(Tabla14[[#This Row],[Llave]],'[5]Consolidación planes'!$A:$M,13,FALSE),0)</f>
        <v>0</v>
      </c>
      <c r="BL34" s="20">
        <f>IFERROR(VLOOKUP(Tabla14[[#This Row],[Llave]],'[13]Base ultimos planes'!$A:$M,13,FALSE),0)</f>
        <v>0</v>
      </c>
      <c r="BM34" s="20">
        <f>IFERROR(VLOOKUP(Tabla14[[#This Row],[Llave]],'[13]Cruce plan irrestricto'!$C:$M,10,FALSE),0)</f>
        <v>0</v>
      </c>
      <c r="BN34" s="20">
        <f>IFERROR(VLOOKUP(Tabla14[[#This Row],[Llave]],'[13]Cruce plan irrestricto'!$C:$M,11,FALSE),0)</f>
        <v>9262</v>
      </c>
      <c r="BO34" s="80">
        <f>IFERROR(VLOOKUP(Tabla14[[#This Row],[Llave]],'[13]Base ultimos planes'!$O:$AA,8,FALSE),0)</f>
        <v>3900</v>
      </c>
      <c r="BP34" s="20">
        <f>IFERROR(VLOOKUP(Tabla14[[#This Row],[Llave]],'[13]Base ultimos planes'!$O:$AA,9,FALSE),0)</f>
        <v>3220</v>
      </c>
      <c r="BQ34" s="20">
        <f>IFERROR(VLOOKUP(Tabla14[[#This Row],[Llave]],'[13]Base ultimos planes'!$O:$AA,10,FALSE),0)</f>
        <v>0</v>
      </c>
      <c r="BR34" s="20">
        <f>IFERROR(VLOOKUP(Tabla14[[#This Row],[Llave]],'[13]Base ultimos planes'!$O:$AA,11,FALSE),0)</f>
        <v>0</v>
      </c>
      <c r="BS34" s="20">
        <f>IFERROR(VLOOKUP(Tabla14[[#This Row],[Llave]],'[13]Base ultimos planes'!$O:$AA,12,FALSE),0)</f>
        <v>0</v>
      </c>
      <c r="BT34" s="20">
        <f>IFERROR(VLOOKUP(Tabla14[[#This Row],[Llave]],'[13]Base ultimos planes'!$O:$AA,13,FALSE),0)</f>
        <v>0</v>
      </c>
      <c r="BU34" s="20"/>
      <c r="BV34" s="20">
        <f>Tabla14[[#This Row],[ RV Producción mes n+1]]-Tabla14[[#This Row],[Producción disponible]]+Tabla14[[#This Row],[Saldo Volumen disponible]]</f>
        <v>10374.48</v>
      </c>
      <c r="BW34" s="20">
        <f>IFERROR(VLOOKUP(Tabla14[[#This Row],[Llave]],[14]Hoja2!$J:$N,4,FALSE),0)</f>
        <v>0</v>
      </c>
      <c r="BX34" s="20">
        <f>+Tabla14[[#This Row],[Asignación mes n+1]]*Tabla14[[#This Row],[% Uti. producción]]</f>
        <v>0</v>
      </c>
      <c r="BY34" s="20">
        <f>+Tabla14[[#This Row],[Ponderación mes n+1]]+Tabla14[[#This Row],[Saldo mes n-1]]</f>
        <v>10374.48</v>
      </c>
      <c r="BZ34" s="20">
        <f>+Tabla14[[#This Row],[Asignación mes n+1]]-Tabla14[[#This Row],[Ponderación mes n+1]]</f>
        <v>0</v>
      </c>
      <c r="CA34" s="20">
        <f>IFERROR(VLOOKUP(Tabla14[[#This Row],[Llave]],[14]Hoja2!$J:$N,5,FALSE),0)</f>
        <v>0</v>
      </c>
      <c r="CB34" s="20">
        <f>+Tabla14[[#This Row],[Asignación mes n+2]]*Tabla14[[#This Row],[% Uti. producción]]</f>
        <v>0</v>
      </c>
      <c r="CC34" s="20">
        <f>+Tabla14[[#This Row],[Saldo mes n+2]]+Tabla14[[#This Row],[Ponderación mes n+2]]</f>
        <v>0</v>
      </c>
      <c r="CD34" s="20">
        <f>+Tabla14[[#This Row],[Asignación mes n+2]]-Tabla14[[#This Row],[Ponderación mes n+2]]</f>
        <v>0</v>
      </c>
    </row>
    <row r="35" spans="1:82" ht="16" x14ac:dyDescent="0.2">
      <c r="A35">
        <v>1</v>
      </c>
      <c r="B35" t="str">
        <f>Tabla14[[#This Row],[Oficina]]&amp;Tabla14[[#This Row],[Material]]</f>
        <v>Agro Sudamerica1021187</v>
      </c>
      <c r="C35" t="s">
        <v>6</v>
      </c>
      <c r="D35" t="s">
        <v>17</v>
      </c>
      <c r="E35">
        <v>1021187</v>
      </c>
      <c r="F35" t="s">
        <v>29</v>
      </c>
      <c r="G35" t="s">
        <v>8</v>
      </c>
      <c r="H35" t="s">
        <v>28</v>
      </c>
      <c r="I35" s="7">
        <f>IFERROR(IF(Tabla14[[#This Row],[Oficina]]=$I$7,VLOOKUP(Tabla14[[#This Row],[Material]],'[6]RV Producción'!$Y:$AA,3,FALSE),VLOOKUP(Tabla14[[#This Row],[Llave]],'[6]RV Producción'!$C:$G,5,FALSE)),0)</f>
        <v>52215</v>
      </c>
      <c r="J35" s="7">
        <f>IFERROR(IF(Tabla14[[#This Row],[Oficina]]=$I$7,VLOOKUP(Tabla14[[#This Row],[Llave]],'[7]Shangai (Tomas)'!$A:$F,6,FALSE),VLOOKUP(Tabla14[[#This Row],[Llave]],'[6]RV plan de ventas'!$A:$E,5,FALSE)),0)</f>
        <v>48000</v>
      </c>
      <c r="K35" s="8">
        <f>IFERROR(VLOOKUP(Tabla14[[#This Row],[Sector]]&amp;Tabla14[[#This Row],[Oficina]],[8]Ponderación!$A$3:$G$22,7,FALSE),0)</f>
        <v>0.3545854356400317</v>
      </c>
      <c r="L35" s="7">
        <f>+Tabla14[[#This Row],[ RV Producción mes n+1]]*Tabla14[[#This Row],[% Uti. producción]]</f>
        <v>18514.678521944254</v>
      </c>
      <c r="M35" s="7">
        <f>IFERROR(VLOOKUP(Tabla14[[#This Row],[Material]],'[9]TD Stock'!$B:$C,2,FALSE),0)</f>
        <v>63815.234999999928</v>
      </c>
      <c r="N35" s="7">
        <f>IFERROR(VLOOKUP(Tabla14[[#This Row],[Material]],'[10]Consolidado planificación'!$B:$C,2,FALSE),0)</f>
        <v>11543.6532375732</v>
      </c>
      <c r="O35" s="7">
        <f>IFERROR(VLOOKUP(Tabla14[[#This Row],[Llave]],[11]Hoja2!$D:$G,4,FALSE),0)</f>
        <v>0</v>
      </c>
      <c r="P35" s="14">
        <f>SUM(Tabla14[[#This Row],[Producción disponible]],Tabla14[[#This Row],[Stock al día]],(Tabla14[[#This Row],[Por producir mes N]]*0.9))-Tabla14[[#This Row],[Producción por despachar mes N]]</f>
        <v>92719.201435760056</v>
      </c>
      <c r="Q35" s="7">
        <f>IFERROR(VLOOKUP(Tabla14[[#This Row],[Llave]],[9]DELAY!$A:$D,4,FALSE),0)</f>
        <v>96000</v>
      </c>
      <c r="R35" s="9">
        <v>23000</v>
      </c>
      <c r="S35" s="5">
        <f t="shared" si="5"/>
        <v>92000</v>
      </c>
      <c r="T35" s="76">
        <v>0</v>
      </c>
      <c r="U35" s="5">
        <f>+Tabla14[[#This Row],[Atraso a facturar]]+Tabla14[[#This Row],[Ajuste atraso]]</f>
        <v>92000</v>
      </c>
      <c r="V35" s="3">
        <f>+Tabla14[[#This Row],[Total disponible]]-Tabla14[[#This Row],[Facturación atraso]]</f>
        <v>719.20143576005648</v>
      </c>
      <c r="W35" s="6">
        <f>IFERROR(IF(AND(V35&gt;R35,J35&gt;=R35),ROUNDDOWN((Tabla14[[#This Row],[Producción para venta nueva]])/R35,0)*R35,0),0)</f>
        <v>0</v>
      </c>
      <c r="X35" s="76">
        <v>0</v>
      </c>
      <c r="Y35" s="6">
        <f>IF(Tabla14[[#This Row],[Venta del mes]]&gt;0,Tabla14[[#This Row],[Venta del mes]]+Tabla14[[#This Row],[Ajuste venta nueva]],0)</f>
        <v>0</v>
      </c>
      <c r="Z35" s="6">
        <f>+Tabla14[[#This Row],[Producción para venta nueva]]-Tabla14[[#This Row],[Facturación Venta nueva]]</f>
        <v>719.20143576005648</v>
      </c>
      <c r="AA35" s="6">
        <f>IF(AND(A35=1,Tabla14[[#This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5" s="6">
        <v>0</v>
      </c>
      <c r="AC35" s="6">
        <f>IF(Tabla14[[#This Row],[Disponible stock sin venta]]&gt;0,Tabla14[[#This Row],[Disponible stock sin venta]]+Tabla14[[#This Row],[Ajuste stock sin venta]],0)</f>
        <v>0</v>
      </c>
      <c r="AD35" s="3">
        <f>IFERROR(VLOOKUP(Tabla14[[#This Row],[Llave]],[12]Hoja1!$A:$D,4,FALSE),0)</f>
        <v>0</v>
      </c>
      <c r="AE3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92000</v>
      </c>
      <c r="AF35" s="3">
        <v>92000</v>
      </c>
      <c r="AG35" s="3">
        <f>+Tabla14[[#This Row],[En puerto a facturar]]</f>
        <v>0</v>
      </c>
      <c r="AH35" s="3">
        <f>+Tabla14[[#This Row],[Facturación atraso]]</f>
        <v>92000</v>
      </c>
      <c r="AI35" s="3">
        <f>+Tabla14[[#This Row],[Plan Irrestricto (DATO)]]-Tabla14[[#This Row],[Puerto ]]-Tabla14[[#This Row],[Atraso]]</f>
        <v>0</v>
      </c>
      <c r="AJ35" s="6">
        <f>IF(Tabla14[[#This Row],[Plan Irrestricto (DATO)]]&gt;0,SUM(Tabla14[[#This Row],[Facturación atraso]],Tabla14[[#This Row],[Facturación Venta nueva]],Tabla14[[#This Row],[Facturación stock]],Tabla14[[#This Row],[En puerto a facturar]]),0)</f>
        <v>92000</v>
      </c>
      <c r="AK35" s="3">
        <f>+Tabla14[[#This Row],[Facturación atraso]]</f>
        <v>92000</v>
      </c>
      <c r="AL35" s="3">
        <f>Tabla14[[#This Row],[Plan Ajustado]]-Tabla14[[#This Row],[ Atraso ajustado]]-Tabla14[[#This Row],[En puerto a facturar]]</f>
        <v>0</v>
      </c>
      <c r="AM35" s="3">
        <v>0</v>
      </c>
      <c r="AN35" s="3" t="s">
        <v>892</v>
      </c>
      <c r="AO35" s="3" t="str">
        <f>IF(Tabla14[[#This Row],[Plan Ajustado]]&gt;Tabla14[[#This Row],[En puerto a facturar]],"Si","No")</f>
        <v>Si</v>
      </c>
      <c r="AP35" s="3">
        <f>IF(AND(Tabla14[[#This Row],[Plan Ajustado]]&gt;0,Tabla14[[#This Row],[Plan Ajustado]]&gt;Tabla14[[#This Row],[En puerto a facturar]]),(Tabla14[[#This Row],[Plan Ajustado]]-Tabla14[[#This Row],[En puerto a facturar]]),0)</f>
        <v>92000</v>
      </c>
      <c r="AQ35" s="3">
        <f>IF(Tabla14[[#This Row],[Necesidad]]&gt;=Tabla14[[#This Row],[Stock al día]],Tabla14[[#This Row],[Stock al día]],Tabla14[[#This Row],[Necesidad]])</f>
        <v>63815.234999999928</v>
      </c>
      <c r="AR35" s="3">
        <f>+Tabla14[[#This Row],[Necesidad]]-Tabla14[[#This Row],[Stock Plan]]</f>
        <v>28184.765000000072</v>
      </c>
      <c r="AS35" s="155">
        <f>VLOOKUP(Tabla14[[#This Row],[Sector]]&amp;Tabla14[[#This Row],[Oficina]],[8]Ponderación!$A:$H,8,FALSE)</f>
        <v>44813</v>
      </c>
      <c r="AT35" s="30">
        <f>IFERROR(VLOOKUP(Tabla14[[#This Row],[Llave]],'[6]RV plan de ventas'!$A:$F,6,FALSE),0)</f>
        <v>2.08666666666667</v>
      </c>
      <c r="AU35" s="83">
        <f>IFERROR(VLOOKUP(Tabla14[[#This Row],[Llave]],[9]DELAY!$H:$X,17,FALSE),0)</f>
        <v>2.1945833333333327</v>
      </c>
      <c r="AV3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2.1945833333333327</v>
      </c>
      <c r="AW35" s="5">
        <f>Tabla14[[#This Row],[Pecio plan]]*Tabla14[[#This Row],[Plan Ajustado]]</f>
        <v>191973.33333333331</v>
      </c>
      <c r="AX35" s="30">
        <f>IFERROR(VLOOKUP(Tabla14[[#This Row],[Llave]],'[13]Ultimos precios facturados'!$A:$G,7,FALSE),0)</f>
        <v>1.965779500954816</v>
      </c>
      <c r="AY3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0.11639343693806062</v>
      </c>
      <c r="AZ35" s="30">
        <f>IFERROR(VLOOKUP(Tabla14[[#This Row],[Llave]],Hoja2!B:K,10,FALSE),0)</f>
        <v>1.9866666666666664</v>
      </c>
      <c r="BA3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2.1945833333333327</v>
      </c>
      <c r="BB35" s="30">
        <v>2.0866666666666664</v>
      </c>
      <c r="BC35" s="30">
        <f>IF(Tabla14[[#This Row],[Market]]=0,Tabla14[[#This Row],[Precio Final]],Tabla14[[#This Row],[Market]])</f>
        <v>2.0866666666666664</v>
      </c>
      <c r="BD35" s="82"/>
      <c r="BE35" s="82" t="str">
        <f>IF(AND(Tabla14[[#This Row],[Atraso a facturar]]&gt;0,Tabla14[[#This Row],[En puerto a facturar]]&gt;0,Tabla14[[#This Row],[Precio Atraso]]=0),"Revisar","OK")</f>
        <v>OK</v>
      </c>
      <c r="BF35" s="82" t="str">
        <f>IF(AND(Tabla14[[#This Row],[Venta del mes]]&gt;0,Tabla14[[#This Row],[Precio venta nueva]]=0),"Revisar","OK")</f>
        <v>OK</v>
      </c>
      <c r="BG35" s="20">
        <f>IFERROR(VLOOKUP(Tabla14[[#This Row],[Llave]],'[5]Consolidación planes'!$A:$M,9,FALSE),0)</f>
        <v>72000</v>
      </c>
      <c r="BH35" s="20">
        <f>IFERROR(VLOOKUP(Tabla14[[#This Row],[Llave]],'[5]Consolidación planes'!$A:$M,10,FALSE),0)</f>
        <v>24000</v>
      </c>
      <c r="BI35" s="20">
        <f>IFERROR(VLOOKUP(Tabla14[[#This Row],[Llave]],'[5]Consolidación planes'!$A:$M,11,FALSE),0)</f>
        <v>48000</v>
      </c>
      <c r="BJ35" s="20">
        <f>IFERROR(VLOOKUP(Tabla14[[#This Row],[Llave]],'[5]Consolidación planes'!$A:$M,12,FALSE),0)</f>
        <v>24000</v>
      </c>
      <c r="BK35" s="20">
        <f>IFERROR(VLOOKUP(Tabla14[[#This Row],[Llave]],'[5]Consolidación planes'!$A:$M,13,FALSE),0)</f>
        <v>88000</v>
      </c>
      <c r="BL35" s="20">
        <f>IFERROR(VLOOKUP(Tabla14[[#This Row],[Llave]],'[13]Base ultimos planes'!$A:$M,13,FALSE),0)</f>
        <v>69000</v>
      </c>
      <c r="BM35" s="20">
        <f>IFERROR(VLOOKUP(Tabla14[[#This Row],[Llave]],'[13]Cruce plan irrestricto'!$C:$M,10,FALSE),0)</f>
        <v>96000</v>
      </c>
      <c r="BN35" s="20">
        <f>IFERROR(VLOOKUP(Tabla14[[#This Row],[Llave]],'[13]Cruce plan irrestricto'!$C:$M,11,FALSE),0)</f>
        <v>72000</v>
      </c>
      <c r="BO35" s="80">
        <f>IFERROR(VLOOKUP(Tabla14[[#This Row],[Llave]],'[13]Base ultimos planes'!$O:$AA,8,FALSE),0)</f>
        <v>147600</v>
      </c>
      <c r="BP35" s="20">
        <f>IFERROR(VLOOKUP(Tabla14[[#This Row],[Llave]],'[13]Base ultimos planes'!$O:$AA,9,FALSE),0)</f>
        <v>50100</v>
      </c>
      <c r="BQ35" s="20">
        <f>IFERROR(VLOOKUP(Tabla14[[#This Row],[Llave]],'[13]Base ultimos planes'!$O:$AA,10,FALSE),0)</f>
        <v>90190</v>
      </c>
      <c r="BR35" s="20">
        <f>IFERROR(VLOOKUP(Tabla14[[#This Row],[Llave]],'[13]Base ultimos planes'!$O:$AA,11,FALSE),0)</f>
        <v>48240</v>
      </c>
      <c r="BS35" s="20">
        <f>IFERROR(VLOOKUP(Tabla14[[#This Row],[Llave]],'[13]Base ultimos planes'!$O:$AA,12,FALSE),0)</f>
        <v>173280</v>
      </c>
      <c r="BT35" s="20">
        <f>IFERROR(VLOOKUP(Tabla14[[#This Row],[Llave]],'[13]Base ultimos planes'!$O:$AA,13,FALSE),0)</f>
        <v>143717</v>
      </c>
      <c r="BU35" s="20"/>
      <c r="BV35" s="20">
        <f>Tabla14[[#This Row],[ RV Producción mes n+1]]-Tabla14[[#This Row],[Producción disponible]]+Tabla14[[#This Row],[Saldo Volumen disponible]]</f>
        <v>34419.522913815803</v>
      </c>
      <c r="BW35" s="20">
        <f>IFERROR(VLOOKUP(Tabla14[[#This Row],[Llave]],[14]Hoja2!$J:$N,4,FALSE),0)</f>
        <v>48232.195</v>
      </c>
      <c r="BX35" s="20">
        <f>+Tabla14[[#This Row],[Asignación mes n+1]]*Tabla14[[#This Row],[% Uti. producción]]</f>
        <v>17102.433875949959</v>
      </c>
      <c r="BY35" s="20">
        <f>+Tabla14[[#This Row],[Ponderación mes n+1]]+Tabla14[[#This Row],[Saldo mes n-1]]</f>
        <v>51521.956789765762</v>
      </c>
      <c r="BZ35" s="20">
        <f>+Tabla14[[#This Row],[Asignación mes n+1]]-Tabla14[[#This Row],[Ponderación mes n+1]]</f>
        <v>31129.761124050041</v>
      </c>
      <c r="CA35" s="20">
        <f>IFERROR(VLOOKUP(Tabla14[[#This Row],[Llave]],[14]Hoja2!$J:$N,5,FALSE),0)</f>
        <v>52961.796999999999</v>
      </c>
      <c r="CB35" s="20">
        <f>+Tabla14[[#This Row],[Asignación mes n+2]]*Tabla14[[#This Row],[% Uti. producción]]</f>
        <v>18779.481861523924</v>
      </c>
      <c r="CC35" s="20">
        <f>+Tabla14[[#This Row],[Saldo mes n+2]]+Tabla14[[#This Row],[Ponderación mes n+2]]</f>
        <v>49909.242985573961</v>
      </c>
      <c r="CD35" s="20">
        <f>+Tabla14[[#This Row],[Asignación mes n+2]]-Tabla14[[#This Row],[Ponderación mes n+2]]</f>
        <v>34182.315138476071</v>
      </c>
    </row>
    <row r="36" spans="1:82" ht="16" x14ac:dyDescent="0.2">
      <c r="A36">
        <v>1</v>
      </c>
      <c r="B36" t="str">
        <f>Tabla14[[#This Row],[Oficina]]&amp;Tabla14[[#This Row],[Material]]</f>
        <v>Agro Sudamerica1021237</v>
      </c>
      <c r="C36" t="s">
        <v>6</v>
      </c>
      <c r="D36" t="s">
        <v>17</v>
      </c>
      <c r="E36">
        <v>1021237</v>
      </c>
      <c r="F36" t="s">
        <v>313</v>
      </c>
      <c r="G36" t="s">
        <v>71</v>
      </c>
      <c r="H36" t="s">
        <v>72</v>
      </c>
      <c r="I36" s="7">
        <f>IFERROR(IF(Tabla14[[#This Row],[Oficina]]=$I$7,VLOOKUP(Tabla14[[#This Row],[Material]],'[6]RV Producción'!$Y:$AA,3,FALSE),VLOOKUP(Tabla14[[#This Row],[Llave]],'[6]RV Producción'!$C:$G,5,FALSE)),0)</f>
        <v>0</v>
      </c>
      <c r="J36" s="7">
        <f>IFERROR(IF(Tabla14[[#This Row],[Oficina]]=$I$7,VLOOKUP(Tabla14[[#This Row],[Llave]],'[7]Shangai (Tomas)'!$A:$F,6,FALSE),VLOOKUP(Tabla14[[#This Row],[Llave]],'[6]RV plan de ventas'!$A:$E,5,FALSE)),0)</f>
        <v>0</v>
      </c>
      <c r="K36" s="8">
        <f>IFERROR(VLOOKUP(Tabla14[[#This Row],[Sector]]&amp;Tabla14[[#This Row],[Oficina]],[8]Ponderación!$A$3:$G$22,7,FALSE),0)</f>
        <v>0.3545854356400317</v>
      </c>
      <c r="L36" s="7">
        <f>+Tabla14[[#This Row],[ RV Producción mes n+1]]*Tabla14[[#This Row],[% Uti. producción]]</f>
        <v>0</v>
      </c>
      <c r="M36" s="7">
        <f>IFERROR(VLOOKUP(Tabla14[[#This Row],[Material]],'[9]TD Stock'!$B:$C,2,FALSE),0)</f>
        <v>0</v>
      </c>
      <c r="N36" s="7">
        <f>IFERROR(VLOOKUP(Tabla14[[#This Row],[Material]],'[10]Consolidado planificación'!$B:$C,2,FALSE),0)</f>
        <v>0</v>
      </c>
      <c r="O36" s="7">
        <f>IFERROR(VLOOKUP(Tabla14[[#This Row],[Llave]],[11]Hoja2!$D:$G,4,FALSE),0)</f>
        <v>0</v>
      </c>
      <c r="P36" s="14">
        <f>SUM(Tabla14[[#This Row],[Producción disponible]],Tabla14[[#This Row],[Stock al día]],(Tabla14[[#This Row],[Por producir mes N]]*0.9))-Tabla14[[#This Row],[Producción por despachar mes N]]</f>
        <v>0</v>
      </c>
      <c r="Q36" s="7">
        <f>IFERROR(VLOOKUP(Tabla14[[#This Row],[Llave]],[9]DELAY!$A:$D,4,FALSE),0)</f>
        <v>0</v>
      </c>
      <c r="R36" s="9">
        <v>23000</v>
      </c>
      <c r="S36" s="5">
        <f t="shared" si="5"/>
        <v>0</v>
      </c>
      <c r="T36" s="76">
        <v>0</v>
      </c>
      <c r="U36" s="5">
        <f>+Tabla14[[#This Row],[Atraso a facturar]]+Tabla14[[#This Row],[Ajuste atraso]]</f>
        <v>0</v>
      </c>
      <c r="V36" s="3">
        <f>+Tabla14[[#This Row],[Total disponible]]-Tabla14[[#This Row],[Facturación atraso]]</f>
        <v>0</v>
      </c>
      <c r="W36" s="6">
        <f>IFERROR(IF(AND(V36&gt;R36,J36&gt;=R36),ROUNDDOWN((Tabla14[[#This Row],[Producción para venta nueva]])/R36,0)*R36,0),0)</f>
        <v>0</v>
      </c>
      <c r="X36" s="76">
        <v>0</v>
      </c>
      <c r="Y36" s="6">
        <f>IF(Tabla14[[#This Row],[Venta del mes]]&gt;0,Tabla14[[#This Row],[Venta del mes]]+Tabla14[[#This Row],[Ajuste venta nueva]],0)</f>
        <v>0</v>
      </c>
      <c r="Z36" s="6">
        <f>+Tabla14[[#This Row],[Producción para venta nueva]]-Tabla14[[#This Row],[Facturación Venta nueva]]</f>
        <v>0</v>
      </c>
      <c r="AA36" s="6">
        <f>IF(AND(A36=1,Tabla14[[#This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6" s="6">
        <v>0</v>
      </c>
      <c r="AC36" s="6">
        <f>IF(Tabla14[[#This Row],[Disponible stock sin venta]]&gt;0,Tabla14[[#This Row],[Disponible stock sin venta]]+Tabla14[[#This Row],[Ajuste stock sin venta]],0)</f>
        <v>0</v>
      </c>
      <c r="AD36" s="3">
        <f>IFERROR(VLOOKUP(Tabla14[[#This Row],[Llave]],[12]Hoja1!$A:$D,4,FALSE),0)</f>
        <v>0</v>
      </c>
      <c r="AE36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6" s="3" t="b">
        <v>0</v>
      </c>
      <c r="AG36" s="3">
        <f>+Tabla14[[#This Row],[En puerto a facturar]]</f>
        <v>0</v>
      </c>
      <c r="AH36" s="3">
        <f>+Tabla14[[#This Row],[Facturación atraso]]</f>
        <v>0</v>
      </c>
      <c r="AI36" s="3">
        <f>+Tabla14[[#This Row],[Plan Irrestricto (DATO)]]-Tabla14[[#This Row],[Puerto ]]-Tabla14[[#This Row],[Atraso]]</f>
        <v>0</v>
      </c>
      <c r="AJ3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6" s="3">
        <f>+Tabla14[[#This Row],[Facturación atraso]]</f>
        <v>0</v>
      </c>
      <c r="AL36" s="3">
        <f>Tabla14[[#This Row],[Plan Ajustado]]-Tabla14[[#This Row],[ Atraso ajustado]]-Tabla14[[#This Row],[En puerto a facturar]]</f>
        <v>0</v>
      </c>
      <c r="AM36" s="3">
        <v>0</v>
      </c>
      <c r="AN36" s="3" t="e">
        <v>#REF!</v>
      </c>
      <c r="AO36" s="3" t="str">
        <f>IF(Tabla14[[#This Row],[Plan Ajustado]]&gt;Tabla14[[#This Row],[En puerto a facturar]],"Si","No")</f>
        <v>No</v>
      </c>
      <c r="AP3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6" s="3">
        <f>IF(Tabla14[[#This Row],[Necesidad]]&gt;=Tabla14[[#This Row],[Stock al día]],Tabla14[[#This Row],[Stock al día]],Tabla14[[#This Row],[Necesidad]])</f>
        <v>0</v>
      </c>
      <c r="AR36" s="3">
        <f>+Tabla14[[#This Row],[Necesidad]]-Tabla14[[#This Row],[Stock Plan]]</f>
        <v>0</v>
      </c>
      <c r="AS36" s="155">
        <f>VLOOKUP(Tabla14[[#This Row],[Sector]]&amp;Tabla14[[#This Row],[Oficina]],[8]Ponderación!$A:$H,8,FALSE)</f>
        <v>44813</v>
      </c>
      <c r="AT36" s="30">
        <f>IFERROR(VLOOKUP(Tabla14[[#This Row],[Llave]],'[6]RV plan de ventas'!$A:$F,6,FALSE),0)</f>
        <v>0</v>
      </c>
      <c r="AU36" s="83">
        <f>IFERROR(VLOOKUP(Tabla14[[#This Row],[Llave]],[9]DELAY!$H:$X,17,FALSE),0)</f>
        <v>0</v>
      </c>
      <c r="AV3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6" s="5">
        <f>Tabla14[[#This Row],[Pecio plan]]*Tabla14[[#This Row],[Plan Ajustado]]</f>
        <v>0</v>
      </c>
      <c r="AX36" s="30">
        <f>IFERROR(VLOOKUP(Tabla14[[#This Row],[Llave]],'[13]Ultimos precios facturados'!$A:$G,7,FALSE),0)</f>
        <v>1.8243151654160983</v>
      </c>
      <c r="AY3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6" s="30">
        <f>IFERROR(VLOOKUP(Tabla14[[#This Row],[Llave]],Hoja2!B:K,10,FALSE),0)</f>
        <v>0</v>
      </c>
      <c r="BA3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1.8243151654160983</v>
      </c>
      <c r="BB36" s="30">
        <v>0</v>
      </c>
      <c r="BC36" s="30">
        <f>IF(Tabla14[[#This Row],[Market]]=0,Tabla14[[#This Row],[Precio Final]],Tabla14[[#This Row],[Market]])</f>
        <v>1.8243151654160983</v>
      </c>
      <c r="BD36" s="82"/>
      <c r="BE36" s="82" t="str">
        <f>IF(AND(Tabla14[[#This Row],[Atraso a facturar]]&gt;0,Tabla14[[#This Row],[En puerto a facturar]]&gt;0,Tabla14[[#This Row],[Precio Atraso]]=0),"Revisar","OK")</f>
        <v>OK</v>
      </c>
      <c r="BF36" s="82" t="str">
        <f>IF(AND(Tabla14[[#This Row],[Venta del mes]]&gt;0,Tabla14[[#This Row],[Precio venta nueva]]=0),"Revisar","OK")</f>
        <v>OK</v>
      </c>
      <c r="BG36" s="20">
        <f>IFERROR(VLOOKUP(Tabla14[[#This Row],[Llave]],'[5]Consolidación planes'!$A:$M,9,FALSE),0)</f>
        <v>0</v>
      </c>
      <c r="BH36" s="20">
        <f>IFERROR(VLOOKUP(Tabla14[[#This Row],[Llave]],'[5]Consolidación planes'!$A:$M,10,FALSE),0)</f>
        <v>0</v>
      </c>
      <c r="BI36" s="20">
        <f>IFERROR(VLOOKUP(Tabla14[[#This Row],[Llave]],'[5]Consolidación planes'!$A:$M,11,FALSE),0)</f>
        <v>0</v>
      </c>
      <c r="BJ36" s="20">
        <f>IFERROR(VLOOKUP(Tabla14[[#This Row],[Llave]],'[5]Consolidación planes'!$A:$M,12,FALSE),0)</f>
        <v>61042</v>
      </c>
      <c r="BK36" s="20">
        <f>IFERROR(VLOOKUP(Tabla14[[#This Row],[Llave]],'[5]Consolidación planes'!$A:$M,13,FALSE),0)</f>
        <v>13042</v>
      </c>
      <c r="BL36" s="20">
        <f>IFERROR(VLOOKUP(Tabla14[[#This Row],[Llave]],'[13]Base ultimos planes'!$A:$M,13,FALSE),0)</f>
        <v>0</v>
      </c>
      <c r="BM36" s="20">
        <f>IFERROR(VLOOKUP(Tabla14[[#This Row],[Llave]],'[13]Cruce plan irrestricto'!$C:$M,10,FALSE),0)</f>
        <v>0</v>
      </c>
      <c r="BN36" s="20">
        <f>IFERROR(VLOOKUP(Tabla14[[#This Row],[Llave]],'[13]Cruce plan irrestricto'!$C:$M,11,FALSE),0)</f>
        <v>0</v>
      </c>
      <c r="BO36" s="80">
        <f>IFERROR(VLOOKUP(Tabla14[[#This Row],[Llave]],'[13]Base ultimos planes'!$O:$AA,8,FALSE),0)</f>
        <v>0</v>
      </c>
      <c r="BP36" s="20">
        <f>IFERROR(VLOOKUP(Tabla14[[#This Row],[Llave]],'[13]Base ultimos planes'!$O:$AA,9,FALSE),0)</f>
        <v>0</v>
      </c>
      <c r="BQ36" s="20">
        <f>IFERROR(VLOOKUP(Tabla14[[#This Row],[Llave]],'[13]Base ultimos planes'!$O:$AA,10,FALSE),0)</f>
        <v>0</v>
      </c>
      <c r="BR36" s="20">
        <f>IFERROR(VLOOKUP(Tabla14[[#This Row],[Llave]],'[13]Base ultimos planes'!$O:$AA,11,FALSE),0)</f>
        <v>112844</v>
      </c>
      <c r="BS36" s="20">
        <f>IFERROR(VLOOKUP(Tabla14[[#This Row],[Llave]],'[13]Base ultimos planes'!$O:$AA,12,FALSE),0)</f>
        <v>25041</v>
      </c>
      <c r="BT36" s="20">
        <f>IFERROR(VLOOKUP(Tabla14[[#This Row],[Llave]],'[13]Base ultimos planes'!$O:$AA,13,FALSE),0)</f>
        <v>0</v>
      </c>
      <c r="BU36" s="20"/>
      <c r="BV36" s="20">
        <f>Tabla14[[#This Row],[ RV Producción mes n+1]]-Tabla14[[#This Row],[Producción disponible]]+Tabla14[[#This Row],[Saldo Volumen disponible]]</f>
        <v>0</v>
      </c>
      <c r="BW36" s="20">
        <f>IFERROR(VLOOKUP(Tabla14[[#This Row],[Llave]],[14]Hoja2!$J:$N,4,FALSE),0)</f>
        <v>0</v>
      </c>
      <c r="BX36" s="20">
        <f>+Tabla14[[#This Row],[Asignación mes n+1]]*Tabla14[[#This Row],[% Uti. producción]]</f>
        <v>0</v>
      </c>
      <c r="BY36" s="20">
        <f>+Tabla14[[#This Row],[Ponderación mes n+1]]+Tabla14[[#This Row],[Saldo mes n-1]]</f>
        <v>0</v>
      </c>
      <c r="BZ36" s="20">
        <f>+Tabla14[[#This Row],[Asignación mes n+1]]-Tabla14[[#This Row],[Ponderación mes n+1]]</f>
        <v>0</v>
      </c>
      <c r="CA36" s="20">
        <f>IFERROR(VLOOKUP(Tabla14[[#This Row],[Llave]],[14]Hoja2!$J:$N,5,FALSE),0)</f>
        <v>0</v>
      </c>
      <c r="CB36" s="20">
        <f>+Tabla14[[#This Row],[Asignación mes n+2]]*Tabla14[[#This Row],[% Uti. producción]]</f>
        <v>0</v>
      </c>
      <c r="CC36" s="20">
        <f>+Tabla14[[#This Row],[Saldo mes n+2]]+Tabla14[[#This Row],[Ponderación mes n+2]]</f>
        <v>0</v>
      </c>
      <c r="CD36" s="20">
        <f>+Tabla14[[#This Row],[Asignación mes n+2]]-Tabla14[[#This Row],[Ponderación mes n+2]]</f>
        <v>0</v>
      </c>
    </row>
    <row r="37" spans="1:82" ht="16" x14ac:dyDescent="0.2">
      <c r="A37">
        <v>1</v>
      </c>
      <c r="B37" t="str">
        <f>Tabla14[[#This Row],[Oficina]]&amp;Tabla14[[#This Row],[Material]]</f>
        <v>Agro Sudamerica1021263</v>
      </c>
      <c r="C37" t="s">
        <v>6</v>
      </c>
      <c r="D37" t="s">
        <v>17</v>
      </c>
      <c r="E37">
        <v>1021263</v>
      </c>
      <c r="F37" t="s">
        <v>63</v>
      </c>
      <c r="G37" t="s">
        <v>59</v>
      </c>
      <c r="H37" t="s">
        <v>62</v>
      </c>
      <c r="I37" s="7">
        <f>IFERROR(IF(Tabla14[[#This Row],[Oficina]]=$I$7,VLOOKUP(Tabla14[[#This Row],[Material]],'[6]RV Producción'!$Y:$AA,3,FALSE),VLOOKUP(Tabla14[[#This Row],[Llave]],'[6]RV Producción'!$C:$G,5,FALSE)),0)</f>
        <v>0</v>
      </c>
      <c r="J37" s="7">
        <f>IFERROR(IF(Tabla14[[#This Row],[Oficina]]=$I$7,VLOOKUP(Tabla14[[#This Row],[Llave]],'[7]Shangai (Tomas)'!$A:$F,6,FALSE),VLOOKUP(Tabla14[[#This Row],[Llave]],'[6]RV plan de ventas'!$A:$E,5,FALSE)),0)</f>
        <v>0</v>
      </c>
      <c r="K37" s="8">
        <f>IFERROR(VLOOKUP(Tabla14[[#This Row],[Sector]]&amp;Tabla14[[#This Row],[Oficina]],[8]Ponderación!$A$3:$G$22,7,FALSE),0)</f>
        <v>0.3545854356400317</v>
      </c>
      <c r="L37" s="7">
        <f>+Tabla14[[#This Row],[ RV Producción mes n+1]]*Tabla14[[#This Row],[% Uti. producción]]</f>
        <v>0</v>
      </c>
      <c r="M37" s="7">
        <f>IFERROR(VLOOKUP(Tabla14[[#This Row],[Material]],'[9]TD Stock'!$B:$C,2,FALSE),0)</f>
        <v>40.200000000000003</v>
      </c>
      <c r="N37" s="7">
        <f>IFERROR(VLOOKUP(Tabla14[[#This Row],[Material]],'[10]Consolidado planificación'!$B:$C,2,FALSE),0)</f>
        <v>0</v>
      </c>
      <c r="O37" s="7">
        <f>IFERROR(VLOOKUP(Tabla14[[#This Row],[Llave]],[11]Hoja2!$D:$G,4,FALSE),0)</f>
        <v>0</v>
      </c>
      <c r="P37" s="14">
        <f>SUM(Tabla14[[#This Row],[Producción disponible]],Tabla14[[#This Row],[Stock al día]],(Tabla14[[#This Row],[Por producir mes N]]*0.9))-Tabla14[[#This Row],[Producción por despachar mes N]]</f>
        <v>40.200000000000003</v>
      </c>
      <c r="Q37" s="7">
        <f>IFERROR(VLOOKUP(Tabla14[[#This Row],[Llave]],[9]DELAY!$A:$D,4,FALSE),0)</f>
        <v>0</v>
      </c>
      <c r="R37" s="9">
        <v>23000</v>
      </c>
      <c r="S37" s="5">
        <f t="shared" si="5"/>
        <v>0</v>
      </c>
      <c r="T37" s="76">
        <v>0</v>
      </c>
      <c r="U37" s="5">
        <f>+Tabla14[[#This Row],[Atraso a facturar]]+Tabla14[[#This Row],[Ajuste atraso]]</f>
        <v>0</v>
      </c>
      <c r="V37" s="3">
        <f>+Tabla14[[#This Row],[Total disponible]]-Tabla14[[#This Row],[Facturación atraso]]</f>
        <v>40.200000000000003</v>
      </c>
      <c r="W37" s="6">
        <f>IFERROR(IF(AND(V37&gt;R37,J37&gt;=R37),ROUNDDOWN((Tabla14[[#This Row],[Producción para venta nueva]])/R37,0)*R37,0),0)</f>
        <v>0</v>
      </c>
      <c r="X37" s="76">
        <v>0</v>
      </c>
      <c r="Y37" s="6">
        <f>IF(Tabla14[[#This Row],[Venta del mes]]&gt;0,Tabla14[[#This Row],[Venta del mes]]+Tabla14[[#This Row],[Ajuste venta nueva]],0)</f>
        <v>0</v>
      </c>
      <c r="Z37" s="6">
        <f>+Tabla14[[#This Row],[Producción para venta nueva]]-Tabla14[[#This Row],[Facturación Venta nueva]]</f>
        <v>40.200000000000003</v>
      </c>
      <c r="AA37" s="6">
        <f>IF(AND(A37=1,Tabla14[[#This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7" s="6">
        <v>0</v>
      </c>
      <c r="AC37" s="6">
        <f>IF(Tabla14[[#This Row],[Disponible stock sin venta]]&gt;0,Tabla14[[#This Row],[Disponible stock sin venta]]+Tabla14[[#This Row],[Ajuste stock sin venta]],0)</f>
        <v>0</v>
      </c>
      <c r="AD37" s="3">
        <f>IFERROR(VLOOKUP(Tabla14[[#This Row],[Llave]],[12]Hoja1!$A:$D,4,FALSE),0)</f>
        <v>0</v>
      </c>
      <c r="AE3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7" s="3">
        <v>0</v>
      </c>
      <c r="AG37" s="3">
        <f>+Tabla14[[#This Row],[En puerto a facturar]]</f>
        <v>0</v>
      </c>
      <c r="AH37" s="3">
        <f>+Tabla14[[#This Row],[Facturación atraso]]</f>
        <v>0</v>
      </c>
      <c r="AI37" s="3">
        <f>+Tabla14[[#This Row],[Plan Irrestricto (DATO)]]-Tabla14[[#This Row],[Puerto ]]-Tabla14[[#This Row],[Atraso]]</f>
        <v>0</v>
      </c>
      <c r="AJ3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7" s="3">
        <f>+Tabla14[[#This Row],[Facturación atraso]]</f>
        <v>0</v>
      </c>
      <c r="AL37" s="3">
        <f>Tabla14[[#This Row],[Plan Ajustado]]-Tabla14[[#This Row],[ Atraso ajustado]]-Tabla14[[#This Row],[En puerto a facturar]]</f>
        <v>0</v>
      </c>
      <c r="AM37" s="3">
        <v>0</v>
      </c>
      <c r="AN37" s="3" t="e">
        <v>#REF!</v>
      </c>
      <c r="AO37" s="3" t="str">
        <f>IF(Tabla14[[#This Row],[Plan Ajustado]]&gt;Tabla14[[#This Row],[En puerto a facturar]],"Si","No")</f>
        <v>No</v>
      </c>
      <c r="AP3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7" s="3">
        <f>IF(Tabla14[[#This Row],[Necesidad]]&gt;=Tabla14[[#This Row],[Stock al día]],Tabla14[[#This Row],[Stock al día]],Tabla14[[#This Row],[Necesidad]])</f>
        <v>0</v>
      </c>
      <c r="AR37" s="3">
        <f>+Tabla14[[#This Row],[Necesidad]]-Tabla14[[#This Row],[Stock Plan]]</f>
        <v>0</v>
      </c>
      <c r="AS37" s="155">
        <f>VLOOKUP(Tabla14[[#This Row],[Sector]]&amp;Tabla14[[#This Row],[Oficina]],[8]Ponderación!$A:$H,8,FALSE)</f>
        <v>44813</v>
      </c>
      <c r="AT37" s="30">
        <f>IFERROR(VLOOKUP(Tabla14[[#This Row],[Llave]],'[6]RV plan de ventas'!$A:$F,6,FALSE),0)</f>
        <v>0</v>
      </c>
      <c r="AU37" s="83">
        <f>IFERROR(VLOOKUP(Tabla14[[#This Row],[Llave]],[9]DELAY!$H:$X,17,FALSE),0)</f>
        <v>0</v>
      </c>
      <c r="AV3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7" s="5">
        <f>Tabla14[[#This Row],[Pecio plan]]*Tabla14[[#This Row],[Plan Ajustado]]</f>
        <v>0</v>
      </c>
      <c r="AX37" s="30">
        <f>IFERROR(VLOOKUP(Tabla14[[#This Row],[Llave]],'[13]Ultimos precios facturados'!$A:$G,7,FALSE),0)</f>
        <v>1.8072700223872662</v>
      </c>
      <c r="AY3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7" s="30">
        <f>IFERROR(VLOOKUP(Tabla14[[#This Row],[Llave]],Hoja2!B:K,10,FALSE),0)</f>
        <v>0</v>
      </c>
      <c r="BA3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7" s="30">
        <v>0</v>
      </c>
      <c r="BC37" s="30">
        <f>IF(Tabla14[[#This Row],[Market]]=0,Tabla14[[#This Row],[Precio Final]],Tabla14[[#This Row],[Market]])</f>
        <v>0</v>
      </c>
      <c r="BD37" s="82"/>
      <c r="BE37" s="82" t="str">
        <f>IF(AND(Tabla14[[#This Row],[Atraso a facturar]]&gt;0,Tabla14[[#This Row],[En puerto a facturar]]&gt;0,Tabla14[[#This Row],[Precio Atraso]]=0),"Revisar","OK")</f>
        <v>OK</v>
      </c>
      <c r="BF37" s="82" t="str">
        <f>IF(AND(Tabla14[[#This Row],[Venta del mes]]&gt;0,Tabla14[[#This Row],[Precio venta nueva]]=0),"Revisar","OK")</f>
        <v>OK</v>
      </c>
      <c r="BG37" s="20">
        <f>IFERROR(VLOOKUP(Tabla14[[#This Row],[Llave]],'[5]Consolidación planes'!$A:$M,9,FALSE),0)</f>
        <v>0</v>
      </c>
      <c r="BH37" s="20">
        <f>IFERROR(VLOOKUP(Tabla14[[#This Row],[Llave]],'[5]Consolidación planes'!$A:$M,10,FALSE),0)</f>
        <v>0</v>
      </c>
      <c r="BI37" s="20">
        <f>IFERROR(VLOOKUP(Tabla14[[#This Row],[Llave]],'[5]Consolidación planes'!$A:$M,11,FALSE),0)</f>
        <v>0</v>
      </c>
      <c r="BJ37" s="20">
        <f>IFERROR(VLOOKUP(Tabla14[[#This Row],[Llave]],'[5]Consolidación planes'!$A:$M,12,FALSE),0)</f>
        <v>72000</v>
      </c>
      <c r="BK37" s="20">
        <f>IFERROR(VLOOKUP(Tabla14[[#This Row],[Llave]],'[5]Consolidación planes'!$A:$M,13,FALSE),0)</f>
        <v>48000</v>
      </c>
      <c r="BL37" s="20">
        <f>IFERROR(VLOOKUP(Tabla14[[#This Row],[Llave]],'[13]Base ultimos planes'!$A:$M,13,FALSE),0)</f>
        <v>0</v>
      </c>
      <c r="BM37" s="20">
        <f>IFERROR(VLOOKUP(Tabla14[[#This Row],[Llave]],'[13]Cruce plan irrestricto'!$C:$M,10,FALSE),0)</f>
        <v>0</v>
      </c>
      <c r="BN37" s="20">
        <f>IFERROR(VLOOKUP(Tabla14[[#This Row],[Llave]],'[13]Cruce plan irrestricto'!$C:$M,11,FALSE),0)</f>
        <v>0</v>
      </c>
      <c r="BO37" s="80">
        <f>IFERROR(VLOOKUP(Tabla14[[#This Row],[Llave]],'[13]Base ultimos planes'!$O:$AA,8,FALSE),0)</f>
        <v>0</v>
      </c>
      <c r="BP37" s="20">
        <f>IFERROR(VLOOKUP(Tabla14[[#This Row],[Llave]],'[13]Base ultimos planes'!$O:$AA,9,FALSE),0)</f>
        <v>0</v>
      </c>
      <c r="BQ37" s="20">
        <f>IFERROR(VLOOKUP(Tabla14[[#This Row],[Llave]],'[13]Base ultimos planes'!$O:$AA,10,FALSE),0)</f>
        <v>0</v>
      </c>
      <c r="BR37" s="20">
        <f>IFERROR(VLOOKUP(Tabla14[[#This Row],[Llave]],'[13]Base ultimos planes'!$O:$AA,11,FALSE),0)</f>
        <v>132240</v>
      </c>
      <c r="BS37" s="20">
        <f>IFERROR(VLOOKUP(Tabla14[[#This Row],[Llave]],'[13]Base ultimos planes'!$O:$AA,12,FALSE),0)</f>
        <v>92880</v>
      </c>
      <c r="BT37" s="20">
        <f>IFERROR(VLOOKUP(Tabla14[[#This Row],[Llave]],'[13]Base ultimos planes'!$O:$AA,13,FALSE),0)</f>
        <v>0</v>
      </c>
      <c r="BU37" s="20"/>
      <c r="BV37" s="20">
        <f>Tabla14[[#This Row],[ RV Producción mes n+1]]-Tabla14[[#This Row],[Producción disponible]]+Tabla14[[#This Row],[Saldo Volumen disponible]]</f>
        <v>40.200000000000003</v>
      </c>
      <c r="BW37" s="20">
        <f>IFERROR(VLOOKUP(Tabla14[[#This Row],[Llave]],[14]Hoja2!$J:$N,4,FALSE),0)</f>
        <v>0</v>
      </c>
      <c r="BX37" s="20">
        <f>+Tabla14[[#This Row],[Asignación mes n+1]]*Tabla14[[#This Row],[% Uti. producción]]</f>
        <v>0</v>
      </c>
      <c r="BY37" s="20">
        <f>+Tabla14[[#This Row],[Ponderación mes n+1]]+Tabla14[[#This Row],[Saldo mes n-1]]</f>
        <v>40.200000000000003</v>
      </c>
      <c r="BZ37" s="20">
        <f>+Tabla14[[#This Row],[Asignación mes n+1]]-Tabla14[[#This Row],[Ponderación mes n+1]]</f>
        <v>0</v>
      </c>
      <c r="CA37" s="20">
        <f>IFERROR(VLOOKUP(Tabla14[[#This Row],[Llave]],[14]Hoja2!$J:$N,5,FALSE),0)</f>
        <v>0</v>
      </c>
      <c r="CB37" s="20">
        <f>+Tabla14[[#This Row],[Asignación mes n+2]]*Tabla14[[#This Row],[% Uti. producción]]</f>
        <v>0</v>
      </c>
      <c r="CC37" s="20">
        <f>+Tabla14[[#This Row],[Saldo mes n+2]]+Tabla14[[#This Row],[Ponderación mes n+2]]</f>
        <v>0</v>
      </c>
      <c r="CD37" s="20">
        <f>+Tabla14[[#This Row],[Asignación mes n+2]]-Tabla14[[#This Row],[Ponderación mes n+2]]</f>
        <v>0</v>
      </c>
    </row>
    <row r="38" spans="1:82" ht="16" x14ac:dyDescent="0.2">
      <c r="A38">
        <v>1</v>
      </c>
      <c r="B38" t="str">
        <f>Tabla14[[#This Row],[Oficina]]&amp;Tabla14[[#This Row],[Material]]</f>
        <v>Agro Sudamerica1021287</v>
      </c>
      <c r="C38" t="s">
        <v>6</v>
      </c>
      <c r="D38" t="s">
        <v>17</v>
      </c>
      <c r="E38">
        <v>1021287</v>
      </c>
      <c r="F38" t="s">
        <v>280</v>
      </c>
      <c r="G38" t="s">
        <v>11</v>
      </c>
      <c r="H38" t="s">
        <v>15</v>
      </c>
      <c r="I38" s="7">
        <f>IFERROR(IF(Tabla14[[#This Row],[Oficina]]=$I$7,VLOOKUP(Tabla14[[#This Row],[Material]],'[6]RV Producción'!$Y:$AA,3,FALSE),VLOOKUP(Tabla14[[#This Row],[Llave]],'[6]RV Producción'!$C:$G,5,FALSE)),0)</f>
        <v>0</v>
      </c>
      <c r="J38" s="7">
        <f>IFERROR(IF(Tabla14[[#This Row],[Oficina]]=$I$7,VLOOKUP(Tabla14[[#This Row],[Llave]],'[7]Shangai (Tomas)'!$A:$F,6,FALSE),VLOOKUP(Tabla14[[#This Row],[Llave]],'[6]RV plan de ventas'!$A:$E,5,FALSE)),0)</f>
        <v>0</v>
      </c>
      <c r="K38" s="8">
        <f>IFERROR(VLOOKUP(Tabla14[[#This Row],[Sector]]&amp;Tabla14[[#This Row],[Oficina]],[8]Ponderación!$A$3:$G$22,7,FALSE),0)</f>
        <v>0.3545854356400317</v>
      </c>
      <c r="L38" s="7">
        <f>+Tabla14[[#This Row],[ RV Producción mes n+1]]*Tabla14[[#This Row],[% Uti. producción]]</f>
        <v>0</v>
      </c>
      <c r="M38" s="7">
        <f>IFERROR(VLOOKUP(Tabla14[[#This Row],[Material]],'[9]TD Stock'!$B:$C,2,FALSE),0)</f>
        <v>0</v>
      </c>
      <c r="N38" s="7">
        <f>IFERROR(VLOOKUP(Tabla14[[#This Row],[Material]],'[10]Consolidado planificación'!$B:$C,2,FALSE),0)</f>
        <v>0</v>
      </c>
      <c r="O38" s="7">
        <f>IFERROR(VLOOKUP(Tabla14[[#This Row],[Llave]],[11]Hoja2!$D:$G,4,FALSE),0)</f>
        <v>0</v>
      </c>
      <c r="P38" s="14">
        <f>SUM(Tabla14[[#This Row],[Producción disponible]],Tabla14[[#This Row],[Stock al día]],(Tabla14[[#This Row],[Por producir mes N]]*0.9))-Tabla14[[#This Row],[Producción por despachar mes N]]</f>
        <v>0</v>
      </c>
      <c r="Q38" s="7">
        <f>IFERROR(VLOOKUP(Tabla14[[#This Row],[Llave]],[9]DELAY!$A:$D,4,FALSE),0)</f>
        <v>0</v>
      </c>
      <c r="R38" s="9">
        <v>23000</v>
      </c>
      <c r="S38" s="5">
        <f t="shared" si="5"/>
        <v>0</v>
      </c>
      <c r="T38" s="76">
        <v>0</v>
      </c>
      <c r="U38" s="5">
        <f>+Tabla14[[#This Row],[Atraso a facturar]]+Tabla14[[#This Row],[Ajuste atraso]]</f>
        <v>0</v>
      </c>
      <c r="V38" s="3">
        <f>+Tabla14[[#This Row],[Total disponible]]-Tabla14[[#This Row],[Facturación atraso]]</f>
        <v>0</v>
      </c>
      <c r="W38" s="6">
        <f>IFERROR(IF(AND(V38&gt;R38,J38&gt;=R38),ROUNDDOWN((Tabla14[[#This Row],[Producción para venta nueva]])/R38,0)*R38,0),0)</f>
        <v>0</v>
      </c>
      <c r="X38" s="76">
        <v>0</v>
      </c>
      <c r="Y38" s="6">
        <f>IF(Tabla14[[#This Row],[Venta del mes]]&gt;0,Tabla14[[#This Row],[Venta del mes]]+Tabla14[[#This Row],[Ajuste venta nueva]],0)</f>
        <v>0</v>
      </c>
      <c r="Z38" s="6">
        <f>+Tabla14[[#This Row],[Producción para venta nueva]]-Tabla14[[#This Row],[Facturación Venta nueva]]</f>
        <v>0</v>
      </c>
      <c r="AA38" s="6">
        <f>IF(AND(A38=1,Tabla14[[#This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8" s="6">
        <v>0</v>
      </c>
      <c r="AC38" s="6">
        <f>IF(Tabla14[[#This Row],[Disponible stock sin venta]]&gt;0,Tabla14[[#This Row],[Disponible stock sin venta]]+Tabla14[[#This Row],[Ajuste stock sin venta]],0)</f>
        <v>0</v>
      </c>
      <c r="AD38" s="3">
        <f>IFERROR(VLOOKUP(Tabla14[[#This Row],[Llave]],[12]Hoja1!$A:$D,4,FALSE),0)</f>
        <v>0</v>
      </c>
      <c r="AE38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8" s="3" t="b">
        <v>0</v>
      </c>
      <c r="AG38" s="3">
        <f>+Tabla14[[#This Row],[En puerto a facturar]]</f>
        <v>0</v>
      </c>
      <c r="AH38" s="3">
        <f>+Tabla14[[#This Row],[Facturación atraso]]</f>
        <v>0</v>
      </c>
      <c r="AI38" s="3">
        <f>+Tabla14[[#This Row],[Plan Irrestricto (DATO)]]-Tabla14[[#This Row],[Puerto ]]-Tabla14[[#This Row],[Atraso]]</f>
        <v>0</v>
      </c>
      <c r="AJ3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8" s="3">
        <f>+Tabla14[[#This Row],[Facturación atraso]]</f>
        <v>0</v>
      </c>
      <c r="AL38" s="3">
        <f>Tabla14[[#This Row],[Plan Ajustado]]-Tabla14[[#This Row],[ Atraso ajustado]]-Tabla14[[#This Row],[En puerto a facturar]]</f>
        <v>0</v>
      </c>
      <c r="AM38" s="3">
        <v>0</v>
      </c>
      <c r="AN38" s="3" t="e">
        <v>#REF!</v>
      </c>
      <c r="AO38" s="3" t="str">
        <f>IF(Tabla14[[#This Row],[Plan Ajustado]]&gt;Tabla14[[#This Row],[En puerto a facturar]],"Si","No")</f>
        <v>No</v>
      </c>
      <c r="AP3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8" s="3">
        <f>IF(Tabla14[[#This Row],[Necesidad]]&gt;=Tabla14[[#This Row],[Stock al día]],Tabla14[[#This Row],[Stock al día]],Tabla14[[#This Row],[Necesidad]])</f>
        <v>0</v>
      </c>
      <c r="AR38" s="3">
        <f>+Tabla14[[#This Row],[Necesidad]]-Tabla14[[#This Row],[Stock Plan]]</f>
        <v>0</v>
      </c>
      <c r="AS38" s="155">
        <f>VLOOKUP(Tabla14[[#This Row],[Sector]]&amp;Tabla14[[#This Row],[Oficina]],[8]Ponderación!$A:$H,8,FALSE)</f>
        <v>44813</v>
      </c>
      <c r="AT38" s="30">
        <f>IFERROR(VLOOKUP(Tabla14[[#This Row],[Llave]],'[6]RV plan de ventas'!$A:$F,6,FALSE),0)</f>
        <v>0</v>
      </c>
      <c r="AU38" s="83">
        <f>IFERROR(VLOOKUP(Tabla14[[#This Row],[Llave]],[9]DELAY!$H:$X,17,FALSE),0)</f>
        <v>0</v>
      </c>
      <c r="AV3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8" s="5">
        <f>Tabla14[[#This Row],[Pecio plan]]*Tabla14[[#This Row],[Plan Ajustado]]</f>
        <v>0</v>
      </c>
      <c r="AX38" s="30">
        <f>IFERROR(VLOOKUP(Tabla14[[#This Row],[Llave]],'[13]Ultimos precios facturados'!$A:$G,7,FALSE),0)</f>
        <v>0</v>
      </c>
      <c r="AY3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8" s="30">
        <f>IFERROR(VLOOKUP(Tabla14[[#This Row],[Llave]],Hoja2!B:K,10,FALSE),0)</f>
        <v>0</v>
      </c>
      <c r="BA3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8" s="30">
        <v>0</v>
      </c>
      <c r="BC38" s="30">
        <f>IF(Tabla14[[#This Row],[Market]]=0,Tabla14[[#This Row],[Precio Final]],Tabla14[[#This Row],[Market]])</f>
        <v>0</v>
      </c>
      <c r="BD38" s="82"/>
      <c r="BE38" s="82" t="str">
        <f>IF(AND(Tabla14[[#This Row],[Atraso a facturar]]&gt;0,Tabla14[[#This Row],[En puerto a facturar]]&gt;0,Tabla14[[#This Row],[Precio Atraso]]=0),"Revisar","OK")</f>
        <v>OK</v>
      </c>
      <c r="BF38" s="82" t="str">
        <f>IF(AND(Tabla14[[#This Row],[Venta del mes]]&gt;0,Tabla14[[#This Row],[Precio venta nueva]]=0),"Revisar","OK")</f>
        <v>OK</v>
      </c>
      <c r="BG38" s="20">
        <f>IFERROR(VLOOKUP(Tabla14[[#This Row],[Llave]],'[5]Consolidación planes'!$A:$M,9,FALSE),0)</f>
        <v>0</v>
      </c>
      <c r="BH38" s="20">
        <f>IFERROR(VLOOKUP(Tabla14[[#This Row],[Llave]],'[5]Consolidación planes'!$A:$M,10,FALSE),0)</f>
        <v>5000</v>
      </c>
      <c r="BI38" s="20">
        <f>IFERROR(VLOOKUP(Tabla14[[#This Row],[Llave]],'[5]Consolidación planes'!$A:$M,11,FALSE),0)</f>
        <v>0</v>
      </c>
      <c r="BJ38" s="20">
        <f>IFERROR(VLOOKUP(Tabla14[[#This Row],[Llave]],'[5]Consolidación planes'!$A:$M,12,FALSE),0)</f>
        <v>0</v>
      </c>
      <c r="BK38" s="20">
        <f>IFERROR(VLOOKUP(Tabla14[[#This Row],[Llave]],'[5]Consolidación planes'!$A:$M,13,FALSE),0)</f>
        <v>0</v>
      </c>
      <c r="BL38" s="20">
        <f>IFERROR(VLOOKUP(Tabla14[[#This Row],[Llave]],'[13]Base ultimos planes'!$A:$M,13,FALSE),0)</f>
        <v>0</v>
      </c>
      <c r="BM38" s="20">
        <f>IFERROR(VLOOKUP(Tabla14[[#This Row],[Llave]],'[13]Cruce plan irrestricto'!$C:$M,10,FALSE),0)</f>
        <v>0</v>
      </c>
      <c r="BN38" s="20">
        <f>IFERROR(VLOOKUP(Tabla14[[#This Row],[Llave]],'[13]Cruce plan irrestricto'!$C:$M,11,FALSE),0)</f>
        <v>0</v>
      </c>
      <c r="BO38" s="80">
        <f>IFERROR(VLOOKUP(Tabla14[[#This Row],[Llave]],'[13]Base ultimos planes'!$O:$AA,8,FALSE),0)</f>
        <v>0</v>
      </c>
      <c r="BP38" s="20">
        <f>IFERROR(VLOOKUP(Tabla14[[#This Row],[Llave]],'[13]Base ultimos planes'!$O:$AA,9,FALSE),0)</f>
        <v>6833</v>
      </c>
      <c r="BQ38" s="20">
        <f>IFERROR(VLOOKUP(Tabla14[[#This Row],[Llave]],'[13]Base ultimos planes'!$O:$AA,10,FALSE),0)</f>
        <v>0</v>
      </c>
      <c r="BR38" s="20">
        <f>IFERROR(VLOOKUP(Tabla14[[#This Row],[Llave]],'[13]Base ultimos planes'!$O:$AA,11,FALSE),0)</f>
        <v>0</v>
      </c>
      <c r="BS38" s="20">
        <f>IFERROR(VLOOKUP(Tabla14[[#This Row],[Llave]],'[13]Base ultimos planes'!$O:$AA,12,FALSE),0)</f>
        <v>0</v>
      </c>
      <c r="BT38" s="20">
        <f>IFERROR(VLOOKUP(Tabla14[[#This Row],[Llave]],'[13]Base ultimos planes'!$O:$AA,13,FALSE),0)</f>
        <v>0</v>
      </c>
      <c r="BU38" s="20"/>
      <c r="BV38" s="20">
        <f>Tabla14[[#This Row],[ RV Producción mes n+1]]-Tabla14[[#This Row],[Producción disponible]]+Tabla14[[#This Row],[Saldo Volumen disponible]]</f>
        <v>0</v>
      </c>
      <c r="BW38" s="20">
        <f>IFERROR(VLOOKUP(Tabla14[[#This Row],[Llave]],[14]Hoja2!$J:$N,4,FALSE),0)</f>
        <v>0</v>
      </c>
      <c r="BX38" s="20">
        <f>+Tabla14[[#This Row],[Asignación mes n+1]]*Tabla14[[#This Row],[% Uti. producción]]</f>
        <v>0</v>
      </c>
      <c r="BY38" s="20">
        <f>+Tabla14[[#This Row],[Ponderación mes n+1]]+Tabla14[[#This Row],[Saldo mes n-1]]</f>
        <v>0</v>
      </c>
      <c r="BZ38" s="20">
        <f>+Tabla14[[#This Row],[Asignación mes n+1]]-Tabla14[[#This Row],[Ponderación mes n+1]]</f>
        <v>0</v>
      </c>
      <c r="CA38" s="20">
        <f>IFERROR(VLOOKUP(Tabla14[[#This Row],[Llave]],[14]Hoja2!$J:$N,5,FALSE),0)</f>
        <v>0</v>
      </c>
      <c r="CB38" s="20">
        <f>+Tabla14[[#This Row],[Asignación mes n+2]]*Tabla14[[#This Row],[% Uti. producción]]</f>
        <v>0</v>
      </c>
      <c r="CC38" s="20">
        <f>+Tabla14[[#This Row],[Saldo mes n+2]]+Tabla14[[#This Row],[Ponderación mes n+2]]</f>
        <v>0</v>
      </c>
      <c r="CD38" s="20">
        <f>+Tabla14[[#This Row],[Asignación mes n+2]]-Tabla14[[#This Row],[Ponderación mes n+2]]</f>
        <v>0</v>
      </c>
    </row>
    <row r="39" spans="1:82" ht="16" x14ac:dyDescent="0.2">
      <c r="A39">
        <v>1</v>
      </c>
      <c r="B39" t="str">
        <f>Tabla14[[#This Row],[Oficina]]&amp;Tabla14[[#This Row],[Material]]</f>
        <v>Agro Sudamerica1021385</v>
      </c>
      <c r="C39" t="s">
        <v>6</v>
      </c>
      <c r="D39" t="s">
        <v>17</v>
      </c>
      <c r="E39">
        <v>1021385</v>
      </c>
      <c r="F39" t="s">
        <v>33</v>
      </c>
      <c r="G39" t="s">
        <v>8</v>
      </c>
      <c r="H39" t="s">
        <v>32</v>
      </c>
      <c r="I39" s="7">
        <f>IFERROR(IF(Tabla14[[#This Row],[Oficina]]=$I$7,VLOOKUP(Tabla14[[#This Row],[Material]],'[6]RV Producción'!$Y:$AA,3,FALSE),VLOOKUP(Tabla14[[#This Row],[Llave]],'[6]RV Producción'!$C:$G,5,FALSE)),0)</f>
        <v>150837</v>
      </c>
      <c r="J39" s="7">
        <f>IFERROR(IF(Tabla14[[#This Row],[Oficina]]=$I$7,VLOOKUP(Tabla14[[#This Row],[Llave]],'[7]Shangai (Tomas)'!$A:$F,6,FALSE),VLOOKUP(Tabla14[[#This Row],[Llave]],'[6]RV plan de ventas'!$A:$E,5,FALSE)),0)</f>
        <v>144000</v>
      </c>
      <c r="K39" s="8">
        <f>IFERROR(VLOOKUP(Tabla14[[#This Row],[Sector]]&amp;Tabla14[[#This Row],[Oficina]],[8]Ponderación!$A$3:$G$22,7,FALSE),0)</f>
        <v>0.3545854356400317</v>
      </c>
      <c r="L39" s="7">
        <f>+Tabla14[[#This Row],[ RV Producción mes n+1]]*Tabla14[[#This Row],[% Uti. producción]]</f>
        <v>53484.60335563546</v>
      </c>
      <c r="M39" s="7">
        <f>IFERROR(VLOOKUP(Tabla14[[#This Row],[Material]],'[9]TD Stock'!$B:$C,2,FALSE),0)</f>
        <v>154744.80599999995</v>
      </c>
      <c r="N39" s="7">
        <f>IFERROR(VLOOKUP(Tabla14[[#This Row],[Material]],'[10]Consolidado planificación'!$B:$C,2,FALSE),0)</f>
        <v>0</v>
      </c>
      <c r="O39" s="7">
        <f>IFERROR(VLOOKUP(Tabla14[[#This Row],[Llave]],[11]Hoja2!$D:$G,4,FALSE),0)</f>
        <v>0</v>
      </c>
      <c r="P39" s="14">
        <f>SUM(Tabla14[[#This Row],[Producción disponible]],Tabla14[[#This Row],[Stock al día]],(Tabla14[[#This Row],[Por producir mes N]]*0.9))-Tabla14[[#This Row],[Producción por despachar mes N]]</f>
        <v>208229.40935563541</v>
      </c>
      <c r="Q39" s="7">
        <f>IFERROR(VLOOKUP(Tabla14[[#This Row],[Llave]],[9]DELAY!$A:$D,4,FALSE),0)</f>
        <v>127200</v>
      </c>
      <c r="R39" s="9">
        <v>23000</v>
      </c>
      <c r="S39" s="5">
        <f t="shared" si="5"/>
        <v>127200</v>
      </c>
      <c r="T39" s="76">
        <v>0</v>
      </c>
      <c r="U39" s="5">
        <f>+Tabla14[[#This Row],[Atraso a facturar]]+Tabla14[[#This Row],[Ajuste atraso]]</f>
        <v>127200</v>
      </c>
      <c r="V39" s="3">
        <f>+Tabla14[[#This Row],[Total disponible]]-Tabla14[[#This Row],[Facturación atraso]]</f>
        <v>81029.409355635406</v>
      </c>
      <c r="W39" s="6">
        <f>IFERROR(IF(AND(V39&gt;R39,J39&gt;=R39),ROUNDDOWN((Tabla14[[#This Row],[Producción para venta nueva]])/R39,0)*R39,0),0)</f>
        <v>69000</v>
      </c>
      <c r="X39" s="76">
        <v>-69000</v>
      </c>
      <c r="Y39" s="6">
        <f>IF(Tabla14[[#This Row],[Venta del mes]]&gt;0,Tabla14[[#This Row],[Venta del mes]]+Tabla14[[#This Row],[Ajuste venta nueva]],0)</f>
        <v>0</v>
      </c>
      <c r="Z39" s="6">
        <f>+Tabla14[[#This Row],[Producción para venta nueva]]-Tabla14[[#This Row],[Facturación Venta nueva]]</f>
        <v>81029.409355635406</v>
      </c>
      <c r="AA39" s="6">
        <f>IF(AND(A39=1,Tabla14[[#This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9" s="6">
        <v>0</v>
      </c>
      <c r="AC39" s="6">
        <f>IF(Tabla14[[#This Row],[Disponible stock sin venta]]&gt;0,Tabla14[[#This Row],[Disponible stock sin venta]]+Tabla14[[#This Row],[Ajuste stock sin venta]],0)</f>
        <v>0</v>
      </c>
      <c r="AD39" s="3">
        <f>IFERROR(VLOOKUP(Tabla14[[#This Row],[Llave]],[12]Hoja1!$A:$D,4,FALSE),0)</f>
        <v>0</v>
      </c>
      <c r="AE3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196200</v>
      </c>
      <c r="AF39" s="3">
        <v>196200</v>
      </c>
      <c r="AG39" s="3">
        <f>+Tabla14[[#This Row],[En puerto a facturar]]</f>
        <v>0</v>
      </c>
      <c r="AH39" s="3">
        <f>+Tabla14[[#This Row],[Facturación atraso]]</f>
        <v>127200</v>
      </c>
      <c r="AI39" s="3">
        <f>+Tabla14[[#This Row],[Plan Irrestricto (DATO)]]-Tabla14[[#This Row],[Puerto ]]-Tabla14[[#This Row],[Atraso]]</f>
        <v>69000</v>
      </c>
      <c r="AJ39" s="6">
        <f>IF(Tabla14[[#This Row],[Plan Irrestricto (DATO)]]&gt;0,SUM(Tabla14[[#This Row],[Facturación atraso]],Tabla14[[#This Row],[Facturación Venta nueva]],Tabla14[[#This Row],[Facturación stock]],Tabla14[[#This Row],[En puerto a facturar]]),0)</f>
        <v>127200</v>
      </c>
      <c r="AK39" s="3">
        <f>+Tabla14[[#This Row],[Facturación atraso]]</f>
        <v>127200</v>
      </c>
      <c r="AL39" s="3">
        <f>Tabla14[[#This Row],[Plan Ajustado]]-Tabla14[[#This Row],[ Atraso ajustado]]-Tabla14[[#This Row],[En puerto a facturar]]</f>
        <v>0</v>
      </c>
      <c r="AM39" s="3" t="s">
        <v>904</v>
      </c>
      <c r="AN39" s="3" t="s">
        <v>893</v>
      </c>
      <c r="AO39" s="3" t="str">
        <f>IF(Tabla14[[#This Row],[Plan Ajustado]]&gt;Tabla14[[#This Row],[En puerto a facturar]],"Si","No")</f>
        <v>Si</v>
      </c>
      <c r="AP39" s="3">
        <f>IF(AND(Tabla14[[#This Row],[Plan Ajustado]]&gt;0,Tabla14[[#This Row],[Plan Ajustado]]&gt;Tabla14[[#This Row],[En puerto a facturar]]),(Tabla14[[#This Row],[Plan Ajustado]]-Tabla14[[#This Row],[En puerto a facturar]]),0)</f>
        <v>127200</v>
      </c>
      <c r="AQ39" s="3">
        <f>IF(Tabla14[[#This Row],[Necesidad]]&gt;=Tabla14[[#This Row],[Stock al día]],Tabla14[[#This Row],[Stock al día]],Tabla14[[#This Row],[Necesidad]])</f>
        <v>127200</v>
      </c>
      <c r="AR39" s="3">
        <f>+Tabla14[[#This Row],[Necesidad]]-Tabla14[[#This Row],[Stock Plan]]</f>
        <v>0</v>
      </c>
      <c r="AS39" s="155">
        <f>VLOOKUP(Tabla14[[#This Row],[Sector]]&amp;Tabla14[[#This Row],[Oficina]],[8]Ponderación!$A:$H,8,FALSE)</f>
        <v>44813</v>
      </c>
      <c r="AT39" s="30">
        <f>IFERROR(VLOOKUP(Tabla14[[#This Row],[Llave]],'[6]RV plan de ventas'!$A:$F,6,FALSE),0)</f>
        <v>1.00334027777778</v>
      </c>
      <c r="AU39" s="83">
        <f>IFERROR(VLOOKUP(Tabla14[[#This Row],[Llave]],[9]DELAY!$H:$X,17,FALSE),0)</f>
        <v>0.8880645412264786</v>
      </c>
      <c r="AV3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0.8880645412264786</v>
      </c>
      <c r="AW39" s="5">
        <f>Tabla14[[#This Row],[Pecio plan]]*Tabla14[[#This Row],[Plan Ajustado]]</f>
        <v>136317.06</v>
      </c>
      <c r="AX39" s="30">
        <f>IFERROR(VLOOKUP(Tabla14[[#This Row],[Llave]],'[13]Ultimos precios facturados'!$A:$G,7,FALSE),0)</f>
        <v>0.92736124842586087</v>
      </c>
      <c r="AY3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4.2374756618400906E-2</v>
      </c>
      <c r="AZ39" s="30">
        <f>IFERROR(VLOOKUP(Tabla14[[#This Row],[Llave]],Hoja2!B:K,10,FALSE),0)</f>
        <v>0.99087375764525998</v>
      </c>
      <c r="BA3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0.8880645412264786</v>
      </c>
      <c r="BB39" s="30">
        <v>1.0716749999999999</v>
      </c>
      <c r="BC39" s="30">
        <f>IF(Tabla14[[#This Row],[Market]]=0,Tabla14[[#This Row],[Precio Final]],Tabla14[[#This Row],[Market]])</f>
        <v>1.0716749999999999</v>
      </c>
      <c r="BD39" s="82"/>
      <c r="BE39" s="82" t="str">
        <f>IF(AND(Tabla14[[#This Row],[Atraso a facturar]]&gt;0,Tabla14[[#This Row],[En puerto a facturar]]&gt;0,Tabla14[[#This Row],[Precio Atraso]]=0),"Revisar","OK")</f>
        <v>OK</v>
      </c>
      <c r="BF39" s="82" t="str">
        <f>IF(AND(Tabla14[[#This Row],[Venta del mes]]&gt;0,Tabla14[[#This Row],[Precio venta nueva]]=0),"Revisar","OK")</f>
        <v>OK</v>
      </c>
      <c r="BG39" s="20">
        <f>IFERROR(VLOOKUP(Tabla14[[#This Row],[Llave]],'[5]Consolidación planes'!$A:$M,9,FALSE),0)</f>
        <v>120000</v>
      </c>
      <c r="BH39" s="20">
        <f>IFERROR(VLOOKUP(Tabla14[[#This Row],[Llave]],'[5]Consolidación planes'!$A:$M,10,FALSE),0)</f>
        <v>96000</v>
      </c>
      <c r="BI39" s="20">
        <f>IFERROR(VLOOKUP(Tabla14[[#This Row],[Llave]],'[5]Consolidación planes'!$A:$M,11,FALSE),0)</f>
        <v>144000</v>
      </c>
      <c r="BJ39" s="20">
        <f>IFERROR(VLOOKUP(Tabla14[[#This Row],[Llave]],'[5]Consolidación planes'!$A:$M,12,FALSE),0)</f>
        <v>24000</v>
      </c>
      <c r="BK39" s="20">
        <f>IFERROR(VLOOKUP(Tabla14[[#This Row],[Llave]],'[5]Consolidación planes'!$A:$M,13,FALSE),0)</f>
        <v>144000</v>
      </c>
      <c r="BL39" s="20">
        <f>IFERROR(VLOOKUP(Tabla14[[#This Row],[Llave]],'[13]Base ultimos planes'!$A:$M,13,FALSE),0)</f>
        <v>250000</v>
      </c>
      <c r="BM39" s="20">
        <f>IFERROR(VLOOKUP(Tabla14[[#This Row],[Llave]],'[13]Cruce plan irrestricto'!$C:$M,10,FALSE),0)</f>
        <v>150200</v>
      </c>
      <c r="BN39" s="20">
        <f>IFERROR(VLOOKUP(Tabla14[[#This Row],[Llave]],'[13]Cruce plan irrestricto'!$C:$M,11,FALSE),0)</f>
        <v>174400</v>
      </c>
      <c r="BO39" s="80">
        <f>IFERROR(VLOOKUP(Tabla14[[#This Row],[Llave]],'[13]Base ultimos planes'!$O:$AA,8,FALSE),0)</f>
        <v>114138.1036</v>
      </c>
      <c r="BP39" s="20">
        <f>IFERROR(VLOOKUP(Tabla14[[#This Row],[Llave]],'[13]Base ultimos planes'!$O:$AA,9,FALSE),0)</f>
        <v>93960</v>
      </c>
      <c r="BQ39" s="20">
        <f>IFERROR(VLOOKUP(Tabla14[[#This Row],[Llave]],'[13]Base ultimos planes'!$O:$AA,10,FALSE),0)</f>
        <v>139920</v>
      </c>
      <c r="BR39" s="20">
        <f>IFERROR(VLOOKUP(Tabla14[[#This Row],[Llave]],'[13]Base ultimos planes'!$O:$AA,11,FALSE),0)</f>
        <v>21600</v>
      </c>
      <c r="BS39" s="20">
        <f>IFERROR(VLOOKUP(Tabla14[[#This Row],[Llave]],'[13]Base ultimos planes'!$O:$AA,12,FALSE),0)</f>
        <v>140160</v>
      </c>
      <c r="BT39" s="20">
        <f>IFERROR(VLOOKUP(Tabla14[[#This Row],[Llave]],'[13]Base ultimos planes'!$O:$AA,13,FALSE),0)</f>
        <v>257478</v>
      </c>
      <c r="BU39" s="20"/>
      <c r="BV39" s="20">
        <f>Tabla14[[#This Row],[ RV Producción mes n+1]]-Tabla14[[#This Row],[Producción disponible]]+Tabla14[[#This Row],[Saldo Volumen disponible]]</f>
        <v>178381.80599999995</v>
      </c>
      <c r="BW39" s="20">
        <f>IFERROR(VLOOKUP(Tabla14[[#This Row],[Llave]],[14]Hoja2!$J:$N,4,FALSE),0)</f>
        <v>144000</v>
      </c>
      <c r="BX39" s="20">
        <f>+Tabla14[[#This Row],[Asignación mes n+1]]*Tabla14[[#This Row],[% Uti. producción]]</f>
        <v>51060.302732164564</v>
      </c>
      <c r="BY39" s="20">
        <f>+Tabla14[[#This Row],[Ponderación mes n+1]]+Tabla14[[#This Row],[Saldo mes n-1]]</f>
        <v>229442.10873216452</v>
      </c>
      <c r="BZ39" s="20">
        <f>+Tabla14[[#This Row],[Asignación mes n+1]]-Tabla14[[#This Row],[Ponderación mes n+1]]</f>
        <v>92939.697267835436</v>
      </c>
      <c r="CA39" s="20">
        <f>IFERROR(VLOOKUP(Tabla14[[#This Row],[Llave]],[14]Hoja2!$J:$N,5,FALSE),0)</f>
        <v>144000.0001</v>
      </c>
      <c r="CB39" s="20">
        <f>+Tabla14[[#This Row],[Asignación mes n+2]]*Tabla14[[#This Row],[% Uti. producción]]</f>
        <v>51060.302767623107</v>
      </c>
      <c r="CC39" s="20">
        <f>+Tabla14[[#This Row],[Saldo mes n+2]]+Tabla14[[#This Row],[Ponderación mes n+2]]</f>
        <v>144000.00003545854</v>
      </c>
      <c r="CD39" s="20">
        <f>+Tabla14[[#This Row],[Asignación mes n+2]]-Tabla14[[#This Row],[Ponderación mes n+2]]</f>
        <v>92939.697332376905</v>
      </c>
    </row>
    <row r="40" spans="1:82" ht="16" x14ac:dyDescent="0.2">
      <c r="A40">
        <v>1</v>
      </c>
      <c r="B40" t="str">
        <f>Tabla14[[#This Row],[Oficina]]&amp;Tabla14[[#This Row],[Material]]</f>
        <v>Agro Sudamerica1021435</v>
      </c>
      <c r="C40" t="s">
        <v>6</v>
      </c>
      <c r="D40" t="s">
        <v>17</v>
      </c>
      <c r="E40">
        <v>1021435</v>
      </c>
      <c r="F40" t="s">
        <v>279</v>
      </c>
      <c r="G40" t="s">
        <v>11</v>
      </c>
      <c r="H40" t="s">
        <v>41</v>
      </c>
      <c r="I40" s="7">
        <f>IFERROR(IF(Tabla14[[#This Row],[Oficina]]=$I$7,VLOOKUP(Tabla14[[#This Row],[Material]],'[6]RV Producción'!$Y:$AA,3,FALSE),VLOOKUP(Tabla14[[#This Row],[Llave]],'[6]RV Producción'!$C:$G,5,FALSE)),0)</f>
        <v>0</v>
      </c>
      <c r="J40" s="7">
        <f>IFERROR(IF(Tabla14[[#This Row],[Oficina]]=$I$7,VLOOKUP(Tabla14[[#This Row],[Llave]],'[7]Shangai (Tomas)'!$A:$F,6,FALSE),VLOOKUP(Tabla14[[#This Row],[Llave]],'[6]RV plan de ventas'!$A:$E,5,FALSE)),0)</f>
        <v>0</v>
      </c>
      <c r="K40" s="8">
        <f>IFERROR(VLOOKUP(Tabla14[[#This Row],[Sector]]&amp;Tabla14[[#This Row],[Oficina]],[8]Ponderación!$A$3:$G$22,7,FALSE),0)</f>
        <v>0.3545854356400317</v>
      </c>
      <c r="L40" s="7">
        <f>+Tabla14[[#This Row],[ RV Producción mes n+1]]*Tabla14[[#This Row],[% Uti. producción]]</f>
        <v>0</v>
      </c>
      <c r="M40" s="7">
        <f>IFERROR(VLOOKUP(Tabla14[[#This Row],[Material]],'[9]TD Stock'!$B:$C,2,FALSE),0)</f>
        <v>0</v>
      </c>
      <c r="N40" s="7">
        <f>IFERROR(VLOOKUP(Tabla14[[#This Row],[Material]],'[10]Consolidado planificación'!$B:$C,2,FALSE),0)</f>
        <v>0</v>
      </c>
      <c r="O40" s="7">
        <f>IFERROR(VLOOKUP(Tabla14[[#This Row],[Llave]],[11]Hoja2!$D:$G,4,FALSE),0)</f>
        <v>0</v>
      </c>
      <c r="P40" s="14">
        <f>SUM(Tabla14[[#This Row],[Producción disponible]],Tabla14[[#This Row],[Stock al día]],(Tabla14[[#This Row],[Por producir mes N]]*0.9))-Tabla14[[#This Row],[Producción por despachar mes N]]</f>
        <v>0</v>
      </c>
      <c r="Q40" s="7">
        <f>IFERROR(VLOOKUP(Tabla14[[#This Row],[Llave]],[9]DELAY!$A:$D,4,FALSE),0)</f>
        <v>0</v>
      </c>
      <c r="R40" s="9">
        <v>23000</v>
      </c>
      <c r="S40" s="5">
        <f t="shared" si="5"/>
        <v>0</v>
      </c>
      <c r="T40" s="76">
        <v>0</v>
      </c>
      <c r="U40" s="5">
        <f>+Tabla14[[#This Row],[Atraso a facturar]]+Tabla14[[#This Row],[Ajuste atraso]]</f>
        <v>0</v>
      </c>
      <c r="V40" s="3">
        <f>+Tabla14[[#This Row],[Total disponible]]-Tabla14[[#This Row],[Facturación atraso]]</f>
        <v>0</v>
      </c>
      <c r="W40" s="6">
        <f>IFERROR(IF(AND(V40&gt;R40,J40&gt;=R40),ROUNDDOWN((Tabla14[[#This Row],[Producción para venta nueva]])/R40,0)*R40,0),0)</f>
        <v>0</v>
      </c>
      <c r="X40" s="76">
        <v>0</v>
      </c>
      <c r="Y40" s="6">
        <f>IF(Tabla14[[#This Row],[Venta del mes]]&gt;0,Tabla14[[#This Row],[Venta del mes]]+Tabla14[[#This Row],[Ajuste venta nueva]],0)</f>
        <v>0</v>
      </c>
      <c r="Z40" s="6">
        <f>+Tabla14[[#This Row],[Producción para venta nueva]]-Tabla14[[#This Row],[Facturación Venta nueva]]</f>
        <v>0</v>
      </c>
      <c r="AA40" s="6">
        <f>IF(AND(A40=1,Tabla14[[#This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0" s="6">
        <v>0</v>
      </c>
      <c r="AC40" s="6">
        <f>IF(Tabla14[[#This Row],[Disponible stock sin venta]]&gt;0,Tabla14[[#This Row],[Disponible stock sin venta]]+Tabla14[[#This Row],[Ajuste stock sin venta]],0)</f>
        <v>0</v>
      </c>
      <c r="AD40" s="3">
        <f>IFERROR(VLOOKUP(Tabla14[[#This Row],[Llave]],[12]Hoja1!$A:$D,4,FALSE),0)</f>
        <v>0</v>
      </c>
      <c r="AE40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40" s="3" t="b">
        <v>0</v>
      </c>
      <c r="AG40" s="3">
        <f>+Tabla14[[#This Row],[En puerto a facturar]]</f>
        <v>0</v>
      </c>
      <c r="AH40" s="3">
        <f>+Tabla14[[#This Row],[Facturación atraso]]</f>
        <v>0</v>
      </c>
      <c r="AI40" s="3">
        <f>+Tabla14[[#This Row],[Plan Irrestricto (DATO)]]-Tabla14[[#This Row],[Puerto ]]-Tabla14[[#This Row],[Atraso]]</f>
        <v>0</v>
      </c>
      <c r="AJ4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40" s="3">
        <f>+Tabla14[[#This Row],[Facturación atraso]]</f>
        <v>0</v>
      </c>
      <c r="AL40" s="3">
        <f>Tabla14[[#This Row],[Plan Ajustado]]-Tabla14[[#This Row],[ Atraso ajustado]]-Tabla14[[#This Row],[En puerto a facturar]]</f>
        <v>0</v>
      </c>
      <c r="AM40" s="3">
        <v>0</v>
      </c>
      <c r="AN40" s="3" t="e">
        <v>#REF!</v>
      </c>
      <c r="AO40" s="3" t="str">
        <f>IF(Tabla14[[#This Row],[Plan Ajustado]]&gt;Tabla14[[#This Row],[En puerto a facturar]],"Si","No")</f>
        <v>No</v>
      </c>
      <c r="AP4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40" s="3">
        <f>IF(Tabla14[[#This Row],[Necesidad]]&gt;=Tabla14[[#This Row],[Stock al día]],Tabla14[[#This Row],[Stock al día]],Tabla14[[#This Row],[Necesidad]])</f>
        <v>0</v>
      </c>
      <c r="AR40" s="3">
        <f>+Tabla14[[#This Row],[Necesidad]]-Tabla14[[#This Row],[Stock Plan]]</f>
        <v>0</v>
      </c>
      <c r="AS40" s="155">
        <f>VLOOKUP(Tabla14[[#This Row],[Sector]]&amp;Tabla14[[#This Row],[Oficina]],[8]Ponderación!$A:$H,8,FALSE)</f>
        <v>44813</v>
      </c>
      <c r="AT40" s="30">
        <f>IFERROR(VLOOKUP(Tabla14[[#This Row],[Llave]],'[6]RV plan de ventas'!$A:$F,6,FALSE),0)</f>
        <v>0</v>
      </c>
      <c r="AU40" s="83">
        <f>IFERROR(VLOOKUP(Tabla14[[#This Row],[Llave]],[9]DELAY!$H:$X,17,FALSE),0)</f>
        <v>0</v>
      </c>
      <c r="AV4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40" s="5">
        <f>Tabla14[[#This Row],[Pecio plan]]*Tabla14[[#This Row],[Plan Ajustado]]</f>
        <v>0</v>
      </c>
      <c r="AX40" s="30">
        <f>IFERROR(VLOOKUP(Tabla14[[#This Row],[Llave]],'[13]Ultimos precios facturados'!$A:$G,7,FALSE),0)</f>
        <v>1.0082721879869079</v>
      </c>
      <c r="AY4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40" s="30">
        <f>IFERROR(VLOOKUP(Tabla14[[#This Row],[Llave]],Hoja2!B:K,10,FALSE),0)</f>
        <v>0</v>
      </c>
      <c r="BA4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1.0082721879869079</v>
      </c>
      <c r="BB40" s="30">
        <v>0</v>
      </c>
      <c r="BC40" s="30">
        <f>IF(Tabla14[[#This Row],[Market]]=0,Tabla14[[#This Row],[Precio Final]],Tabla14[[#This Row],[Market]])</f>
        <v>1.0082721879869079</v>
      </c>
      <c r="BD40" s="82"/>
      <c r="BE40" s="82" t="str">
        <f>IF(AND(Tabla14[[#This Row],[Atraso a facturar]]&gt;0,Tabla14[[#This Row],[En puerto a facturar]]&gt;0,Tabla14[[#This Row],[Precio Atraso]]=0),"Revisar","OK")</f>
        <v>OK</v>
      </c>
      <c r="BF40" s="82" t="str">
        <f>IF(AND(Tabla14[[#This Row],[Venta del mes]]&gt;0,Tabla14[[#This Row],[Precio venta nueva]]=0),"Revisar","OK")</f>
        <v>OK</v>
      </c>
      <c r="BG40" s="20">
        <f>IFERROR(VLOOKUP(Tabla14[[#This Row],[Llave]],'[5]Consolidación planes'!$A:$M,9,FALSE),0)</f>
        <v>0</v>
      </c>
      <c r="BH40" s="20">
        <f>IFERROR(VLOOKUP(Tabla14[[#This Row],[Llave]],'[5]Consolidación planes'!$A:$M,10,FALSE),0)</f>
        <v>24000</v>
      </c>
      <c r="BI40" s="20">
        <f>IFERROR(VLOOKUP(Tabla14[[#This Row],[Llave]],'[5]Consolidación planes'!$A:$M,11,FALSE),0)</f>
        <v>0</v>
      </c>
      <c r="BJ40" s="20">
        <f>IFERROR(VLOOKUP(Tabla14[[#This Row],[Llave]],'[5]Consolidación planes'!$A:$M,12,FALSE),0)</f>
        <v>12000</v>
      </c>
      <c r="BK40" s="20">
        <f>IFERROR(VLOOKUP(Tabla14[[#This Row],[Llave]],'[5]Consolidación planes'!$A:$M,13,FALSE),0)</f>
        <v>0</v>
      </c>
      <c r="BL40" s="20">
        <f>IFERROR(VLOOKUP(Tabla14[[#This Row],[Llave]],'[13]Base ultimos planes'!$A:$M,13,FALSE),0)</f>
        <v>0</v>
      </c>
      <c r="BM40" s="20">
        <f>IFERROR(VLOOKUP(Tabla14[[#This Row],[Llave]],'[13]Cruce plan irrestricto'!$C:$M,10,FALSE),0)</f>
        <v>0</v>
      </c>
      <c r="BN40" s="20">
        <f>IFERROR(VLOOKUP(Tabla14[[#This Row],[Llave]],'[13]Cruce plan irrestricto'!$C:$M,11,FALSE),0)</f>
        <v>0</v>
      </c>
      <c r="BO40" s="80">
        <f>IFERROR(VLOOKUP(Tabla14[[#This Row],[Llave]],'[13]Base ultimos planes'!$O:$AA,8,FALSE),0)</f>
        <v>0</v>
      </c>
      <c r="BP40" s="20">
        <f>IFERROR(VLOOKUP(Tabla14[[#This Row],[Llave]],'[13]Base ultimos planes'!$O:$AA,9,FALSE),0)</f>
        <v>26800</v>
      </c>
      <c r="BQ40" s="20">
        <f>IFERROR(VLOOKUP(Tabla14[[#This Row],[Llave]],'[13]Base ultimos planes'!$O:$AA,10,FALSE),0)</f>
        <v>0</v>
      </c>
      <c r="BR40" s="20">
        <f>IFERROR(VLOOKUP(Tabla14[[#This Row],[Llave]],'[13]Base ultimos planes'!$O:$AA,11,FALSE),0)</f>
        <v>10440</v>
      </c>
      <c r="BS40" s="20">
        <f>IFERROR(VLOOKUP(Tabla14[[#This Row],[Llave]],'[13]Base ultimos planes'!$O:$AA,12,FALSE),0)</f>
        <v>0</v>
      </c>
      <c r="BT40" s="20">
        <f>IFERROR(VLOOKUP(Tabla14[[#This Row],[Llave]],'[13]Base ultimos planes'!$O:$AA,13,FALSE),0)</f>
        <v>0</v>
      </c>
      <c r="BU40" s="20"/>
      <c r="BV40" s="20">
        <f>Tabla14[[#This Row],[ RV Producción mes n+1]]-Tabla14[[#This Row],[Producción disponible]]+Tabla14[[#This Row],[Saldo Volumen disponible]]</f>
        <v>0</v>
      </c>
      <c r="BW40" s="20">
        <f>IFERROR(VLOOKUP(Tabla14[[#This Row],[Llave]],[14]Hoja2!$J:$N,4,FALSE),0)</f>
        <v>0</v>
      </c>
      <c r="BX40" s="20">
        <f>+Tabla14[[#This Row],[Asignación mes n+1]]*Tabla14[[#This Row],[% Uti. producción]]</f>
        <v>0</v>
      </c>
      <c r="BY40" s="20">
        <f>+Tabla14[[#This Row],[Ponderación mes n+1]]+Tabla14[[#This Row],[Saldo mes n-1]]</f>
        <v>0</v>
      </c>
      <c r="BZ40" s="20">
        <f>+Tabla14[[#This Row],[Asignación mes n+1]]-Tabla14[[#This Row],[Ponderación mes n+1]]</f>
        <v>0</v>
      </c>
      <c r="CA40" s="20">
        <f>IFERROR(VLOOKUP(Tabla14[[#This Row],[Llave]],[14]Hoja2!$J:$N,5,FALSE),0)</f>
        <v>0</v>
      </c>
      <c r="CB40" s="20">
        <f>+Tabla14[[#This Row],[Asignación mes n+2]]*Tabla14[[#This Row],[% Uti. producción]]</f>
        <v>0</v>
      </c>
      <c r="CC40" s="20">
        <f>+Tabla14[[#This Row],[Saldo mes n+2]]+Tabla14[[#This Row],[Ponderación mes n+2]]</f>
        <v>0</v>
      </c>
      <c r="CD40" s="20">
        <f>+Tabla14[[#This Row],[Asignación mes n+2]]-Tabla14[[#This Row],[Ponderación mes n+2]]</f>
        <v>0</v>
      </c>
    </row>
    <row r="41" spans="1:82" ht="16" x14ac:dyDescent="0.2">
      <c r="A41">
        <v>1</v>
      </c>
      <c r="B41" t="str">
        <f>Tabla14[[#This Row],[Oficina]]&amp;Tabla14[[#This Row],[Material]]</f>
        <v>Agro Sudamerica1021550</v>
      </c>
      <c r="C41" t="s">
        <v>6</v>
      </c>
      <c r="D41" t="s">
        <v>17</v>
      </c>
      <c r="E41">
        <v>1021550</v>
      </c>
      <c r="F41" t="s">
        <v>284</v>
      </c>
      <c r="G41" t="s">
        <v>71</v>
      </c>
      <c r="H41" t="s">
        <v>72</v>
      </c>
      <c r="I41" s="7">
        <f>IFERROR(IF(Tabla14[[#This Row],[Oficina]]=$I$7,VLOOKUP(Tabla14[[#This Row],[Material]],'[6]RV Producción'!$Y:$AA,3,FALSE),VLOOKUP(Tabla14[[#This Row],[Llave]],'[6]RV Producción'!$C:$G,5,FALSE)),0)</f>
        <v>0</v>
      </c>
      <c r="J41" s="7">
        <f>IFERROR(IF(Tabla14[[#This Row],[Oficina]]=$I$7,VLOOKUP(Tabla14[[#This Row],[Llave]],'[7]Shangai (Tomas)'!$A:$F,6,FALSE),VLOOKUP(Tabla14[[#This Row],[Llave]],'[6]RV plan de ventas'!$A:$E,5,FALSE)),0)</f>
        <v>0</v>
      </c>
      <c r="K41" s="8">
        <f>IFERROR(VLOOKUP(Tabla14[[#This Row],[Sector]]&amp;Tabla14[[#This Row],[Oficina]],[8]Ponderación!$A$3:$G$22,7,FALSE),0)</f>
        <v>0.3545854356400317</v>
      </c>
      <c r="L41" s="7">
        <f>+Tabla14[[#This Row],[ RV Producción mes n+1]]*Tabla14[[#This Row],[% Uti. producción]]</f>
        <v>0</v>
      </c>
      <c r="M41" s="7">
        <f>IFERROR(VLOOKUP(Tabla14[[#This Row],[Material]],'[9]TD Stock'!$B:$C,2,FALSE),0)</f>
        <v>0</v>
      </c>
      <c r="N41" s="7">
        <f>IFERROR(VLOOKUP(Tabla14[[#This Row],[Material]],'[10]Consolidado planificación'!$B:$C,2,FALSE),0)</f>
        <v>0</v>
      </c>
      <c r="O41" s="7">
        <f>IFERROR(VLOOKUP(Tabla14[[#This Row],[Llave]],[11]Hoja2!$D:$G,4,FALSE),0)</f>
        <v>0</v>
      </c>
      <c r="P41" s="14">
        <f>SUM(Tabla14[[#This Row],[Producción disponible]],Tabla14[[#This Row],[Stock al día]],(Tabla14[[#This Row],[Por producir mes N]]*0.9))-Tabla14[[#This Row],[Producción por despachar mes N]]</f>
        <v>0</v>
      </c>
      <c r="Q41" s="7">
        <f>IFERROR(VLOOKUP(Tabla14[[#This Row],[Llave]],[9]DELAY!$A:$D,4,FALSE),0)</f>
        <v>0</v>
      </c>
      <c r="R41" s="9">
        <v>23000</v>
      </c>
      <c r="S41" s="5">
        <f t="shared" si="5"/>
        <v>0</v>
      </c>
      <c r="T41" s="76">
        <v>0</v>
      </c>
      <c r="U41" s="5">
        <f>+Tabla14[[#This Row],[Atraso a facturar]]+Tabla14[[#This Row],[Ajuste atraso]]</f>
        <v>0</v>
      </c>
      <c r="V41" s="3">
        <f>+Tabla14[[#This Row],[Total disponible]]-Tabla14[[#This Row],[Facturación atraso]]</f>
        <v>0</v>
      </c>
      <c r="W41" s="6">
        <f>IFERROR(IF(AND(V41&gt;R41,J41&gt;=R41),ROUNDDOWN((Tabla14[[#This Row],[Producción para venta nueva]])/R41,0)*R41,0),0)</f>
        <v>0</v>
      </c>
      <c r="X41" s="76">
        <v>0</v>
      </c>
      <c r="Y41" s="6">
        <f>IF(Tabla14[[#This Row],[Venta del mes]]&gt;0,Tabla14[[#This Row],[Venta del mes]]+Tabla14[[#This Row],[Ajuste venta nueva]],0)</f>
        <v>0</v>
      </c>
      <c r="Z41" s="6">
        <f>+Tabla14[[#This Row],[Producción para venta nueva]]-Tabla14[[#This Row],[Facturación Venta nueva]]</f>
        <v>0</v>
      </c>
      <c r="AA41" s="6">
        <f>IF(AND(A41=1,Tabla14[[#This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1" s="6">
        <v>0</v>
      </c>
      <c r="AC41" s="6">
        <f>IF(Tabla14[[#This Row],[Disponible stock sin venta]]&gt;0,Tabla14[[#This Row],[Disponible stock sin venta]]+Tabla14[[#This Row],[Ajuste stock sin venta]],0)</f>
        <v>0</v>
      </c>
      <c r="AD41" s="3">
        <f>IFERROR(VLOOKUP(Tabla14[[#This Row],[Llave]],[12]Hoja1!$A:$D,4,FALSE),0)</f>
        <v>0</v>
      </c>
      <c r="AE41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41" s="3" t="b">
        <v>0</v>
      </c>
      <c r="AG41" s="3">
        <f>+Tabla14[[#This Row],[En puerto a facturar]]</f>
        <v>0</v>
      </c>
      <c r="AH41" s="3">
        <f>+Tabla14[[#This Row],[Facturación atraso]]</f>
        <v>0</v>
      </c>
      <c r="AI41" s="3">
        <f>+Tabla14[[#This Row],[Plan Irrestricto (DATO)]]-Tabla14[[#This Row],[Puerto ]]-Tabla14[[#This Row],[Atraso]]</f>
        <v>0</v>
      </c>
      <c r="AJ4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41" s="3">
        <f>+Tabla14[[#This Row],[Facturación atraso]]</f>
        <v>0</v>
      </c>
      <c r="AL41" s="3">
        <f>Tabla14[[#This Row],[Plan Ajustado]]-Tabla14[[#This Row],[ Atraso ajustado]]-Tabla14[[#This Row],[En puerto a facturar]]</f>
        <v>0</v>
      </c>
      <c r="AM41" s="3">
        <v>0</v>
      </c>
      <c r="AN41" s="3" t="e">
        <v>#REF!</v>
      </c>
      <c r="AO41" s="3" t="str">
        <f>IF(Tabla14[[#This Row],[Plan Ajustado]]&gt;Tabla14[[#This Row],[En puerto a facturar]],"Si","No")</f>
        <v>No</v>
      </c>
      <c r="AP4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41" s="3">
        <f>IF(Tabla14[[#This Row],[Necesidad]]&gt;=Tabla14[[#This Row],[Stock al día]],Tabla14[[#This Row],[Stock al día]],Tabla14[[#This Row],[Necesidad]])</f>
        <v>0</v>
      </c>
      <c r="AR41" s="3">
        <f>+Tabla14[[#This Row],[Necesidad]]-Tabla14[[#This Row],[Stock Plan]]</f>
        <v>0</v>
      </c>
      <c r="AS41" s="155">
        <f>VLOOKUP(Tabla14[[#This Row],[Sector]]&amp;Tabla14[[#This Row],[Oficina]],[8]Ponderación!$A:$H,8,FALSE)</f>
        <v>44813</v>
      </c>
      <c r="AT41" s="30">
        <f>IFERROR(VLOOKUP(Tabla14[[#This Row],[Llave]],'[6]RV plan de ventas'!$A:$F,6,FALSE),0)</f>
        <v>0</v>
      </c>
      <c r="AU41" s="83">
        <f>IFERROR(VLOOKUP(Tabla14[[#This Row],[Llave]],[9]DELAY!$H:$X,17,FALSE),0)</f>
        <v>0</v>
      </c>
      <c r="AV4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41" s="5">
        <f>Tabla14[[#This Row],[Pecio plan]]*Tabla14[[#This Row],[Plan Ajustado]]</f>
        <v>0</v>
      </c>
      <c r="AX41" s="30">
        <f>IFERROR(VLOOKUP(Tabla14[[#This Row],[Llave]],'[13]Ultimos precios facturados'!$A:$G,7,FALSE),0)</f>
        <v>1.8473233587468809</v>
      </c>
      <c r="AY4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41" s="30">
        <f>IFERROR(VLOOKUP(Tabla14[[#This Row],[Llave]],Hoja2!B:K,10,FALSE),0)</f>
        <v>0</v>
      </c>
      <c r="BA4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1.8473233587468809</v>
      </c>
      <c r="BB41" s="30">
        <v>0</v>
      </c>
      <c r="BC41" s="30">
        <f>IF(Tabla14[[#This Row],[Market]]=0,Tabla14[[#This Row],[Precio Final]],Tabla14[[#This Row],[Market]])</f>
        <v>1.8473233587468809</v>
      </c>
      <c r="BD41" s="82"/>
      <c r="BE41" s="82" t="str">
        <f>IF(AND(Tabla14[[#This Row],[Atraso a facturar]]&gt;0,Tabla14[[#This Row],[En puerto a facturar]]&gt;0,Tabla14[[#This Row],[Precio Atraso]]=0),"Revisar","OK")</f>
        <v>OK</v>
      </c>
      <c r="BF41" s="82" t="str">
        <f>IF(AND(Tabla14[[#This Row],[Venta del mes]]&gt;0,Tabla14[[#This Row],[Precio venta nueva]]=0),"Revisar","OK")</f>
        <v>OK</v>
      </c>
      <c r="BG41" s="20">
        <f>IFERROR(VLOOKUP(Tabla14[[#This Row],[Llave]],'[5]Consolidación planes'!$A:$M,9,FALSE),0)</f>
        <v>0</v>
      </c>
      <c r="BH41" s="20">
        <f>IFERROR(VLOOKUP(Tabla14[[#This Row],[Llave]],'[5]Consolidación planes'!$A:$M,10,FALSE),0)</f>
        <v>5780</v>
      </c>
      <c r="BI41" s="20">
        <f>IFERROR(VLOOKUP(Tabla14[[#This Row],[Llave]],'[5]Consolidación planes'!$A:$M,11,FALSE),0)</f>
        <v>0</v>
      </c>
      <c r="BJ41" s="20">
        <f>IFERROR(VLOOKUP(Tabla14[[#This Row],[Llave]],'[5]Consolidación planes'!$A:$M,12,FALSE),0)</f>
        <v>70958</v>
      </c>
      <c r="BK41" s="20">
        <f>IFERROR(VLOOKUP(Tabla14[[#This Row],[Llave]],'[5]Consolidación planes'!$A:$M,13,FALSE),0)</f>
        <v>34958</v>
      </c>
      <c r="BL41" s="20">
        <f>IFERROR(VLOOKUP(Tabla14[[#This Row],[Llave]],'[13]Base ultimos planes'!$A:$M,13,FALSE),0)</f>
        <v>0</v>
      </c>
      <c r="BM41" s="20">
        <f>IFERROR(VLOOKUP(Tabla14[[#This Row],[Llave]],'[13]Cruce plan irrestricto'!$C:$M,10,FALSE),0)</f>
        <v>0</v>
      </c>
      <c r="BN41" s="20">
        <f>IFERROR(VLOOKUP(Tabla14[[#This Row],[Llave]],'[13]Cruce plan irrestricto'!$C:$M,11,FALSE),0)</f>
        <v>0</v>
      </c>
      <c r="BO41" s="80">
        <f>IFERROR(VLOOKUP(Tabla14[[#This Row],[Llave]],'[13]Base ultimos planes'!$O:$AA,8,FALSE),0)</f>
        <v>0</v>
      </c>
      <c r="BP41" s="20">
        <f>IFERROR(VLOOKUP(Tabla14[[#This Row],[Llave]],'[13]Base ultimos planes'!$O:$AA,9,FALSE),0)</f>
        <v>10500</v>
      </c>
      <c r="BQ41" s="20">
        <f>IFERROR(VLOOKUP(Tabla14[[#This Row],[Llave]],'[13]Base ultimos planes'!$O:$AA,10,FALSE),0)</f>
        <v>0</v>
      </c>
      <c r="BR41" s="20">
        <f>IFERROR(VLOOKUP(Tabla14[[#This Row],[Llave]],'[13]Base ultimos planes'!$O:$AA,11,FALSE),0)</f>
        <v>130996</v>
      </c>
      <c r="BS41" s="20">
        <f>IFERROR(VLOOKUP(Tabla14[[#This Row],[Llave]],'[13]Base ultimos planes'!$O:$AA,12,FALSE),0)</f>
        <v>67119</v>
      </c>
      <c r="BT41" s="20">
        <f>IFERROR(VLOOKUP(Tabla14[[#This Row],[Llave]],'[13]Base ultimos planes'!$O:$AA,13,FALSE),0)</f>
        <v>0</v>
      </c>
      <c r="BU41" s="20"/>
      <c r="BV41" s="20">
        <f>Tabla14[[#This Row],[ RV Producción mes n+1]]-Tabla14[[#This Row],[Producción disponible]]+Tabla14[[#This Row],[Saldo Volumen disponible]]</f>
        <v>0</v>
      </c>
      <c r="BW41" s="20">
        <f>IFERROR(VLOOKUP(Tabla14[[#This Row],[Llave]],[14]Hoja2!$J:$N,4,FALSE),0)</f>
        <v>0</v>
      </c>
      <c r="BX41" s="20">
        <f>+Tabla14[[#This Row],[Asignación mes n+1]]*Tabla14[[#This Row],[% Uti. producción]]</f>
        <v>0</v>
      </c>
      <c r="BY41" s="20">
        <f>+Tabla14[[#This Row],[Ponderación mes n+1]]+Tabla14[[#This Row],[Saldo mes n-1]]</f>
        <v>0</v>
      </c>
      <c r="BZ41" s="20">
        <f>+Tabla14[[#This Row],[Asignación mes n+1]]-Tabla14[[#This Row],[Ponderación mes n+1]]</f>
        <v>0</v>
      </c>
      <c r="CA41" s="20">
        <f>IFERROR(VLOOKUP(Tabla14[[#This Row],[Llave]],[14]Hoja2!$J:$N,5,FALSE),0)</f>
        <v>0</v>
      </c>
      <c r="CB41" s="20">
        <f>+Tabla14[[#This Row],[Asignación mes n+2]]*Tabla14[[#This Row],[% Uti. producción]]</f>
        <v>0</v>
      </c>
      <c r="CC41" s="20">
        <f>+Tabla14[[#This Row],[Saldo mes n+2]]+Tabla14[[#This Row],[Ponderación mes n+2]]</f>
        <v>0</v>
      </c>
      <c r="CD41" s="20">
        <f>+Tabla14[[#This Row],[Asignación mes n+2]]-Tabla14[[#This Row],[Ponderación mes n+2]]</f>
        <v>0</v>
      </c>
    </row>
    <row r="42" spans="1:82" ht="16" x14ac:dyDescent="0.2">
      <c r="A42">
        <v>1</v>
      </c>
      <c r="B42" t="str">
        <f>Tabla14[[#This Row],[Oficina]]&amp;Tabla14[[#This Row],[Material]]</f>
        <v>Agro Sudamerica1021622</v>
      </c>
      <c r="C42" t="s">
        <v>6</v>
      </c>
      <c r="D42" t="s">
        <v>17</v>
      </c>
      <c r="E42">
        <v>1021622</v>
      </c>
      <c r="F42" t="s">
        <v>22</v>
      </c>
      <c r="G42" t="s">
        <v>18</v>
      </c>
      <c r="H42" t="s">
        <v>21</v>
      </c>
      <c r="I42" s="7">
        <f>IFERROR(IF(Tabla14[[#This Row],[Oficina]]=$I$7,VLOOKUP(Tabla14[[#This Row],[Material]],'[6]RV Producción'!$Y:$AA,3,FALSE),VLOOKUP(Tabla14[[#This Row],[Llave]],'[6]RV Producción'!$C:$G,5,FALSE)),0)</f>
        <v>5011</v>
      </c>
      <c r="J42" s="7">
        <f>IFERROR(IF(Tabla14[[#This Row],[Oficina]]=$I$7,VLOOKUP(Tabla14[[#This Row],[Llave]],'[7]Shangai (Tomas)'!$A:$F,6,FALSE),VLOOKUP(Tabla14[[#This Row],[Llave]],'[6]RV plan de ventas'!$A:$E,5,FALSE)),0)</f>
        <v>0</v>
      </c>
      <c r="K42" s="8">
        <f>IFERROR(VLOOKUP(Tabla14[[#This Row],[Sector]]&amp;Tabla14[[#This Row],[Oficina]],[8]Ponderación!$A$3:$G$22,7,FALSE),0)</f>
        <v>0.3545854356400317</v>
      </c>
      <c r="L42" s="7">
        <f>+Tabla14[[#This Row],[ RV Producción mes n+1]]*Tabla14[[#This Row],[% Uti. producción]]</f>
        <v>1776.8276179921988</v>
      </c>
      <c r="M42" s="7">
        <f>IFERROR(VLOOKUP(Tabla14[[#This Row],[Material]],'[9]TD Stock'!$B:$C,2,FALSE),0)</f>
        <v>21704.05</v>
      </c>
      <c r="N42" s="7">
        <f>IFERROR(VLOOKUP(Tabla14[[#This Row],[Material]],'[10]Consolidado planificación'!$B:$C,2,FALSE),0)</f>
        <v>0</v>
      </c>
      <c r="O42" s="7">
        <f>IFERROR(VLOOKUP(Tabla14[[#This Row],[Llave]],[11]Hoja2!$D:$G,4,FALSE),0)</f>
        <v>0</v>
      </c>
      <c r="P42" s="14">
        <f>SUM(Tabla14[[#This Row],[Producción disponible]],Tabla14[[#This Row],[Stock al día]],(Tabla14[[#This Row],[Por producir mes N]]*0.9))-Tabla14[[#This Row],[Producción por despachar mes N]]</f>
        <v>23480.877617992199</v>
      </c>
      <c r="Q42" s="7">
        <f>IFERROR(VLOOKUP(Tabla14[[#This Row],[Llave]],[9]DELAY!$A:$D,4,FALSE),0)</f>
        <v>24000</v>
      </c>
      <c r="R42" s="9">
        <v>23000</v>
      </c>
      <c r="S42" s="5">
        <f t="shared" si="5"/>
        <v>23000</v>
      </c>
      <c r="T42" s="76">
        <v>0</v>
      </c>
      <c r="U42" s="5">
        <f>+Tabla14[[#This Row],[Atraso a facturar]]+Tabla14[[#This Row],[Ajuste atraso]]</f>
        <v>23000</v>
      </c>
      <c r="V42" s="3">
        <f>+Tabla14[[#This Row],[Total disponible]]-Tabla14[[#This Row],[Facturación atraso]]</f>
        <v>480.87761799219879</v>
      </c>
      <c r="W42" s="6">
        <f>IFERROR(IF(AND(V42&gt;R42,J42&gt;=R42),ROUNDDOWN((Tabla14[[#This Row],[Producción para venta nueva]])/R42,0)*R42,0),0)</f>
        <v>0</v>
      </c>
      <c r="X42" s="76">
        <v>0</v>
      </c>
      <c r="Y42" s="6">
        <f>IF(Tabla14[[#This Row],[Venta del mes]]&gt;0,Tabla14[[#This Row],[Venta del mes]]+Tabla14[[#This Row],[Ajuste venta nueva]],0)</f>
        <v>0</v>
      </c>
      <c r="Z42" s="6">
        <f>+Tabla14[[#This Row],[Producción para venta nueva]]-Tabla14[[#This Row],[Facturación Venta nueva]]</f>
        <v>480.87761799219879</v>
      </c>
      <c r="AA42" s="6">
        <f>IF(AND(A42=1,Tabla14[[#This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2" s="6">
        <v>0</v>
      </c>
      <c r="AC42" s="6">
        <f>IF(Tabla14[[#This Row],[Disponible stock sin venta]]&gt;0,Tabla14[[#This Row],[Disponible stock sin venta]]+Tabla14[[#This Row],[Ajuste stock sin venta]],0)</f>
        <v>0</v>
      </c>
      <c r="AD42" s="3">
        <f>IFERROR(VLOOKUP(Tabla14[[#This Row],[Llave]],[12]Hoja1!$A:$D,4,FALSE),0)</f>
        <v>0</v>
      </c>
      <c r="AE4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42" s="3">
        <v>23000</v>
      </c>
      <c r="AG42" s="3">
        <f>+Tabla14[[#This Row],[En puerto a facturar]]</f>
        <v>0</v>
      </c>
      <c r="AH42" s="3">
        <f>+Tabla14[[#This Row],[Facturación atraso]]</f>
        <v>23000</v>
      </c>
      <c r="AI42" s="3">
        <f>+Tabla14[[#This Row],[Plan Irrestricto (DATO)]]-Tabla14[[#This Row],[Puerto ]]-Tabla14[[#This Row],[Atraso]]</f>
        <v>0</v>
      </c>
      <c r="AJ42" s="6">
        <f>IF(Tabla14[[#This Row],[Plan Irrestricto (DATO)]]&gt;0,SUM(Tabla14[[#This Row],[Facturación atraso]],Tabla14[[#This Row],[Facturación Venta nueva]],Tabla14[[#This Row],[Facturación stock]],Tabla14[[#This Row],[En puerto a facturar]]),0)</f>
        <v>23000</v>
      </c>
      <c r="AK42" s="3">
        <f>+Tabla14[[#This Row],[Facturación atraso]]</f>
        <v>23000</v>
      </c>
      <c r="AL42" s="3">
        <f>Tabla14[[#This Row],[Plan Ajustado]]-Tabla14[[#This Row],[ Atraso ajustado]]-Tabla14[[#This Row],[En puerto a facturar]]</f>
        <v>0</v>
      </c>
      <c r="AM42" s="3">
        <v>0</v>
      </c>
      <c r="AN42" s="3" t="s">
        <v>636</v>
      </c>
      <c r="AO42" s="3" t="str">
        <f>IF(Tabla14[[#This Row],[Plan Ajustado]]&gt;Tabla14[[#This Row],[En puerto a facturar]],"Si","No")</f>
        <v>Si</v>
      </c>
      <c r="AP42" s="3">
        <f>IF(AND(Tabla14[[#This Row],[Plan Ajustado]]&gt;0,Tabla14[[#This Row],[Plan Ajustado]]&gt;Tabla14[[#This Row],[En puerto a facturar]]),(Tabla14[[#This Row],[Plan Ajustado]]-Tabla14[[#This Row],[En puerto a facturar]]),0)</f>
        <v>23000</v>
      </c>
      <c r="AQ42" s="3">
        <f>IF(Tabla14[[#This Row],[Necesidad]]&gt;=Tabla14[[#This Row],[Stock al día]],Tabla14[[#This Row],[Stock al día]],Tabla14[[#This Row],[Necesidad]])</f>
        <v>21704.05</v>
      </c>
      <c r="AR42" s="3">
        <f>+Tabla14[[#This Row],[Necesidad]]-Tabla14[[#This Row],[Stock Plan]]</f>
        <v>1295.9500000000007</v>
      </c>
      <c r="AS42" s="155">
        <f>VLOOKUP(Tabla14[[#This Row],[Sector]]&amp;Tabla14[[#This Row],[Oficina]],[8]Ponderación!$A:$H,8,FALSE)</f>
        <v>44813</v>
      </c>
      <c r="AT42" s="30">
        <f>IFERROR(VLOOKUP(Tabla14[[#This Row],[Llave]],'[6]RV plan de ventas'!$A:$F,6,FALSE),0)</f>
        <v>0</v>
      </c>
      <c r="AU42" s="83">
        <f>IFERROR(VLOOKUP(Tabla14[[#This Row],[Llave]],[9]DELAY!$H:$X,17,FALSE),0)</f>
        <v>6.3522916666666687</v>
      </c>
      <c r="AV4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6.3522916666666687</v>
      </c>
      <c r="AW42" s="5">
        <f>Tabla14[[#This Row],[Pecio plan]]*Tabla14[[#This Row],[Plan Ajustado]]</f>
        <v>146050</v>
      </c>
      <c r="AX42" s="30">
        <f>IFERROR(VLOOKUP(Tabla14[[#This Row],[Llave]],'[13]Ultimos precios facturados'!$A:$G,7,FALSE),0)</f>
        <v>6.8628427781523937</v>
      </c>
      <c r="AY4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7.4393531658782222E-2</v>
      </c>
      <c r="AZ42" s="30">
        <f>IFERROR(VLOOKUP(Tabla14[[#This Row],[Llave]],Hoja2!B:K,10,FALSE),0)</f>
        <v>6.3866666666666667</v>
      </c>
      <c r="BA4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6.3522916666666687</v>
      </c>
      <c r="BB42" s="30">
        <v>6.35</v>
      </c>
      <c r="BC42" s="30">
        <f>IF(Tabla14[[#This Row],[Market]]=0,Tabla14[[#This Row],[Precio Final]],Tabla14[[#This Row],[Market]])</f>
        <v>6.35</v>
      </c>
      <c r="BD42" s="82"/>
      <c r="BE42" s="82" t="str">
        <f>IF(AND(Tabla14[[#This Row],[Atraso a facturar]]&gt;0,Tabla14[[#This Row],[En puerto a facturar]]&gt;0,Tabla14[[#This Row],[Precio Atraso]]=0),"Revisar","OK")</f>
        <v>OK</v>
      </c>
      <c r="BF42" s="82" t="str">
        <f>IF(AND(Tabla14[[#This Row],[Venta del mes]]&gt;0,Tabla14[[#This Row],[Precio venta nueva]]=0),"Revisar","OK")</f>
        <v>OK</v>
      </c>
      <c r="BG42" s="20">
        <f>IFERROR(VLOOKUP(Tabla14[[#This Row],[Llave]],'[5]Consolidación planes'!$A:$M,9,FALSE),0)</f>
        <v>0</v>
      </c>
      <c r="BH42" s="20">
        <f>IFERROR(VLOOKUP(Tabla14[[#This Row],[Llave]],'[5]Consolidación planes'!$A:$M,10,FALSE),0)</f>
        <v>6790</v>
      </c>
      <c r="BI42" s="20">
        <f>IFERROR(VLOOKUP(Tabla14[[#This Row],[Llave]],'[5]Consolidación planes'!$A:$M,11,FALSE),0)</f>
        <v>0</v>
      </c>
      <c r="BJ42" s="20">
        <f>IFERROR(VLOOKUP(Tabla14[[#This Row],[Llave]],'[5]Consolidación planes'!$A:$M,12,FALSE),0)</f>
        <v>18000</v>
      </c>
      <c r="BK42" s="20">
        <f>IFERROR(VLOOKUP(Tabla14[[#This Row],[Llave]],'[5]Consolidación planes'!$A:$M,13,FALSE),0)</f>
        <v>110</v>
      </c>
      <c r="BL42" s="20">
        <f>IFERROR(VLOOKUP(Tabla14[[#This Row],[Llave]],'[13]Base ultimos planes'!$A:$M,13,FALSE),0)</f>
        <v>0</v>
      </c>
      <c r="BM42" s="20">
        <f>IFERROR(VLOOKUP(Tabla14[[#This Row],[Llave]],'[13]Cruce plan irrestricto'!$C:$M,10,FALSE),0)</f>
        <v>26000</v>
      </c>
      <c r="BN42" s="20">
        <f>IFERROR(VLOOKUP(Tabla14[[#This Row],[Llave]],'[13]Cruce plan irrestricto'!$C:$M,11,FALSE),0)</f>
        <v>24000</v>
      </c>
      <c r="BO42" s="80">
        <f>IFERROR(VLOOKUP(Tabla14[[#This Row],[Llave]],'[13]Base ultimos planes'!$O:$AA,8,FALSE),0)</f>
        <v>0</v>
      </c>
      <c r="BP42" s="20">
        <f>IFERROR(VLOOKUP(Tabla14[[#This Row],[Llave]],'[13]Base ultimos planes'!$O:$AA,9,FALSE),0)</f>
        <v>53075</v>
      </c>
      <c r="BQ42" s="20">
        <f>IFERROR(VLOOKUP(Tabla14[[#This Row],[Llave]],'[13]Base ultimos planes'!$O:$AA,10,FALSE),0)</f>
        <v>0</v>
      </c>
      <c r="BR42" s="20">
        <f>IFERROR(VLOOKUP(Tabla14[[#This Row],[Llave]],'[13]Base ultimos planes'!$O:$AA,11,FALSE),0)</f>
        <v>131760</v>
      </c>
      <c r="BS42" s="20">
        <f>IFERROR(VLOOKUP(Tabla14[[#This Row],[Llave]],'[13]Base ultimos planes'!$O:$AA,12,FALSE),0)</f>
        <v>374</v>
      </c>
      <c r="BT42" s="20">
        <f>IFERROR(VLOOKUP(Tabla14[[#This Row],[Llave]],'[13]Base ultimos planes'!$O:$AA,13,FALSE),0)</f>
        <v>0</v>
      </c>
      <c r="BU42" s="20"/>
      <c r="BV42" s="20">
        <f>Tabla14[[#This Row],[ RV Producción mes n+1]]-Tabla14[[#This Row],[Producción disponible]]+Tabla14[[#This Row],[Saldo Volumen disponible]]</f>
        <v>3715.05</v>
      </c>
      <c r="BW42" s="20">
        <f>IFERROR(VLOOKUP(Tabla14[[#This Row],[Llave]],[14]Hoja2!$J:$N,4,FALSE),0)</f>
        <v>18000</v>
      </c>
      <c r="BX42" s="20">
        <f>+Tabla14[[#This Row],[Asignación mes n+1]]*Tabla14[[#This Row],[% Uti. producción]]</f>
        <v>6382.5378415205705</v>
      </c>
      <c r="BY42" s="20">
        <f>+Tabla14[[#This Row],[Ponderación mes n+1]]+Tabla14[[#This Row],[Saldo mes n-1]]</f>
        <v>10097.58784152057</v>
      </c>
      <c r="BZ42" s="20">
        <f>+Tabla14[[#This Row],[Asignación mes n+1]]-Tabla14[[#This Row],[Ponderación mes n+1]]</f>
        <v>11617.462158479429</v>
      </c>
      <c r="CA42" s="20">
        <f>IFERROR(VLOOKUP(Tabla14[[#This Row],[Llave]],[14]Hoja2!$J:$N,5,FALSE),0)</f>
        <v>0</v>
      </c>
      <c r="CB42" s="20">
        <f>+Tabla14[[#This Row],[Asignación mes n+2]]*Tabla14[[#This Row],[% Uti. producción]]</f>
        <v>0</v>
      </c>
      <c r="CC42" s="20">
        <f>+Tabla14[[#This Row],[Saldo mes n+2]]+Tabla14[[#This Row],[Ponderación mes n+2]]</f>
        <v>11617.462158479429</v>
      </c>
      <c r="CD42" s="20">
        <f>+Tabla14[[#This Row],[Asignación mes n+2]]-Tabla14[[#This Row],[Ponderación mes n+2]]</f>
        <v>0</v>
      </c>
    </row>
    <row r="43" spans="1:82" ht="16" x14ac:dyDescent="0.2">
      <c r="A43">
        <v>1</v>
      </c>
      <c r="B43" t="str">
        <f>Tabla14[[#This Row],[Oficina]]&amp;Tabla14[[#This Row],[Material]]</f>
        <v>Agro Sudamerica1021623</v>
      </c>
      <c r="C43" t="s">
        <v>6</v>
      </c>
      <c r="D43" t="s">
        <v>17</v>
      </c>
      <c r="E43">
        <v>1021623</v>
      </c>
      <c r="F43" t="s">
        <v>23</v>
      </c>
      <c r="G43" t="s">
        <v>18</v>
      </c>
      <c r="H43" t="s">
        <v>21</v>
      </c>
      <c r="I43" s="7">
        <f>IFERROR(IF(Tabla14[[#This Row],[Oficina]]=$I$7,VLOOKUP(Tabla14[[#This Row],[Material]],'[6]RV Producción'!$Y:$AA,3,FALSE),VLOOKUP(Tabla14[[#This Row],[Llave]],'[6]RV Producción'!$C:$G,5,FALSE)),0)</f>
        <v>0</v>
      </c>
      <c r="J43" s="7">
        <f>IFERROR(IF(Tabla14[[#This Row],[Oficina]]=$I$7,VLOOKUP(Tabla14[[#This Row],[Llave]],'[7]Shangai (Tomas)'!$A:$F,6,FALSE),VLOOKUP(Tabla14[[#This Row],[Llave]],'[6]RV plan de ventas'!$A:$E,5,FALSE)),0)</f>
        <v>0</v>
      </c>
      <c r="K43" s="8">
        <f>IFERROR(VLOOKUP(Tabla14[[#This Row],[Sector]]&amp;Tabla14[[#This Row],[Oficina]],[8]Ponderación!$A$3:$G$22,7,FALSE),0)</f>
        <v>0.3545854356400317</v>
      </c>
      <c r="L43" s="7">
        <f>+Tabla14[[#This Row],[ RV Producción mes n+1]]*Tabla14[[#This Row],[% Uti. producción]]</f>
        <v>0</v>
      </c>
      <c r="M43" s="7">
        <f>IFERROR(VLOOKUP(Tabla14[[#This Row],[Material]],'[9]TD Stock'!$B:$C,2,FALSE),0)</f>
        <v>0</v>
      </c>
      <c r="N43" s="7">
        <f>IFERROR(VLOOKUP(Tabla14[[#This Row],[Material]],'[10]Consolidado planificación'!$B:$C,2,FALSE),0)</f>
        <v>0</v>
      </c>
      <c r="O43" s="7">
        <f>IFERROR(VLOOKUP(Tabla14[[#This Row],[Llave]],[11]Hoja2!$D:$G,4,FALSE),0)</f>
        <v>0</v>
      </c>
      <c r="P43" s="14">
        <f>SUM(Tabla14[[#This Row],[Producción disponible]],Tabla14[[#This Row],[Stock al día]],(Tabla14[[#This Row],[Por producir mes N]]*0.9))-Tabla14[[#This Row],[Producción por despachar mes N]]</f>
        <v>0</v>
      </c>
      <c r="Q43" s="7">
        <f>IFERROR(VLOOKUP(Tabla14[[#This Row],[Llave]],[9]DELAY!$A:$D,4,FALSE),0)</f>
        <v>0</v>
      </c>
      <c r="R43" s="9">
        <v>23000</v>
      </c>
      <c r="S43" s="5">
        <f t="shared" si="5"/>
        <v>0</v>
      </c>
      <c r="T43" s="76">
        <v>0</v>
      </c>
      <c r="U43" s="5">
        <f>+Tabla14[[#This Row],[Atraso a facturar]]+Tabla14[[#This Row],[Ajuste atraso]]</f>
        <v>0</v>
      </c>
      <c r="V43" s="3">
        <f>+Tabla14[[#This Row],[Total disponible]]-Tabla14[[#This Row],[Facturación atraso]]</f>
        <v>0</v>
      </c>
      <c r="W43" s="6">
        <f>IFERROR(IF(AND(V43&gt;R43,J43&gt;=R43),ROUNDDOWN((Tabla14[[#This Row],[Producción para venta nueva]])/R43,0)*R43,0),0)</f>
        <v>0</v>
      </c>
      <c r="X43" s="76">
        <v>0</v>
      </c>
      <c r="Y43" s="6">
        <f>IF(Tabla14[[#This Row],[Venta del mes]]&gt;0,Tabla14[[#This Row],[Venta del mes]]+Tabla14[[#This Row],[Ajuste venta nueva]],0)</f>
        <v>0</v>
      </c>
      <c r="Z43" s="6">
        <f>+Tabla14[[#This Row],[Producción para venta nueva]]-Tabla14[[#This Row],[Facturación Venta nueva]]</f>
        <v>0</v>
      </c>
      <c r="AA43" s="6">
        <f>IF(AND(A43=1,Tabla14[[#This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3" s="6">
        <v>0</v>
      </c>
      <c r="AC43" s="6">
        <f>IF(Tabla14[[#This Row],[Disponible stock sin venta]]&gt;0,Tabla14[[#This Row],[Disponible stock sin venta]]+Tabla14[[#This Row],[Ajuste stock sin venta]],0)</f>
        <v>0</v>
      </c>
      <c r="AD43" s="3">
        <f>IFERROR(VLOOKUP(Tabla14[[#This Row],[Llave]],[12]Hoja1!$A:$D,4,FALSE),0)</f>
        <v>0</v>
      </c>
      <c r="AE43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43" s="3" t="b">
        <v>0</v>
      </c>
      <c r="AG43" s="3">
        <f>+Tabla14[[#This Row],[En puerto a facturar]]</f>
        <v>0</v>
      </c>
      <c r="AH43" s="3">
        <f>+Tabla14[[#This Row],[Facturación atraso]]</f>
        <v>0</v>
      </c>
      <c r="AI43" s="3">
        <f>+Tabla14[[#This Row],[Plan Irrestricto (DATO)]]-Tabla14[[#This Row],[Puerto ]]-Tabla14[[#This Row],[Atraso]]</f>
        <v>0</v>
      </c>
      <c r="AJ4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43" s="3">
        <f>+Tabla14[[#This Row],[Facturación atraso]]</f>
        <v>0</v>
      </c>
      <c r="AL43" s="3">
        <f>Tabla14[[#This Row],[Plan Ajustado]]-Tabla14[[#This Row],[ Atraso ajustado]]-Tabla14[[#This Row],[En puerto a facturar]]</f>
        <v>0</v>
      </c>
      <c r="AM43" s="3">
        <v>0</v>
      </c>
      <c r="AN43" s="3" t="e">
        <v>#REF!</v>
      </c>
      <c r="AO43" s="3" t="str">
        <f>IF(Tabla14[[#This Row],[Plan Ajustado]]&gt;Tabla14[[#This Row],[En puerto a facturar]],"Si","No")</f>
        <v>No</v>
      </c>
      <c r="AP4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43" s="3">
        <f>IF(Tabla14[[#This Row],[Necesidad]]&gt;=Tabla14[[#This Row],[Stock al día]],Tabla14[[#This Row],[Stock al día]],Tabla14[[#This Row],[Necesidad]])</f>
        <v>0</v>
      </c>
      <c r="AR43" s="3">
        <f>+Tabla14[[#This Row],[Necesidad]]-Tabla14[[#This Row],[Stock Plan]]</f>
        <v>0</v>
      </c>
      <c r="AS43" s="155">
        <f>VLOOKUP(Tabla14[[#This Row],[Sector]]&amp;Tabla14[[#This Row],[Oficina]],[8]Ponderación!$A:$H,8,FALSE)</f>
        <v>44813</v>
      </c>
      <c r="AT43" s="30">
        <f>IFERROR(VLOOKUP(Tabla14[[#This Row],[Llave]],'[6]RV plan de ventas'!$A:$F,6,FALSE),0)</f>
        <v>0</v>
      </c>
      <c r="AU43" s="83">
        <f>IFERROR(VLOOKUP(Tabla14[[#This Row],[Llave]],[9]DELAY!$H:$X,17,FALSE),0)</f>
        <v>0</v>
      </c>
      <c r="AV4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43" s="5">
        <f>Tabla14[[#This Row],[Pecio plan]]*Tabla14[[#This Row],[Plan Ajustado]]</f>
        <v>0</v>
      </c>
      <c r="AX43" s="30">
        <f>IFERROR(VLOOKUP(Tabla14[[#This Row],[Llave]],'[13]Ultimos precios facturados'!$A:$G,7,FALSE),0)</f>
        <v>3.4203349056603773</v>
      </c>
      <c r="AY4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43" s="30">
        <f>IFERROR(VLOOKUP(Tabla14[[#This Row],[Llave]],Hoja2!B:K,10,FALSE),0)</f>
        <v>0</v>
      </c>
      <c r="BA4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3.4203349056603773</v>
      </c>
      <c r="BB43" s="30">
        <v>0</v>
      </c>
      <c r="BC43" s="30">
        <f>IF(Tabla14[[#This Row],[Market]]=0,Tabla14[[#This Row],[Precio Final]],Tabla14[[#This Row],[Market]])</f>
        <v>3.4203349056603773</v>
      </c>
      <c r="BD43" s="82"/>
      <c r="BE43" s="82" t="str">
        <f>IF(AND(Tabla14[[#This Row],[Atraso a facturar]]&gt;0,Tabla14[[#This Row],[En puerto a facturar]]&gt;0,Tabla14[[#This Row],[Precio Atraso]]=0),"Revisar","OK")</f>
        <v>OK</v>
      </c>
      <c r="BF43" s="82" t="str">
        <f>IF(AND(Tabla14[[#This Row],[Venta del mes]]&gt;0,Tabla14[[#This Row],[Precio venta nueva]]=0),"Revisar","OK")</f>
        <v>OK</v>
      </c>
      <c r="BG43" s="20">
        <f>IFERROR(VLOOKUP(Tabla14[[#This Row],[Llave]],'[5]Consolidación planes'!$A:$M,9,FALSE),0)</f>
        <v>2000</v>
      </c>
      <c r="BH43" s="20">
        <f>IFERROR(VLOOKUP(Tabla14[[#This Row],[Llave]],'[5]Consolidación planes'!$A:$M,10,FALSE),0)</f>
        <v>0</v>
      </c>
      <c r="BI43" s="20">
        <f>IFERROR(VLOOKUP(Tabla14[[#This Row],[Llave]],'[5]Consolidación planes'!$A:$M,11,FALSE),0)</f>
        <v>0</v>
      </c>
      <c r="BJ43" s="20">
        <f>IFERROR(VLOOKUP(Tabla14[[#This Row],[Llave]],'[5]Consolidación planes'!$A:$M,12,FALSE),0)</f>
        <v>0</v>
      </c>
      <c r="BK43" s="20">
        <f>IFERROR(VLOOKUP(Tabla14[[#This Row],[Llave]],'[5]Consolidación planes'!$A:$M,13,FALSE),0)</f>
        <v>530</v>
      </c>
      <c r="BL43" s="20">
        <f>IFERROR(VLOOKUP(Tabla14[[#This Row],[Llave]],'[13]Base ultimos planes'!$A:$M,13,FALSE),0)</f>
        <v>0</v>
      </c>
      <c r="BM43" s="20">
        <f>IFERROR(VLOOKUP(Tabla14[[#This Row],[Llave]],'[13]Cruce plan irrestricto'!$C:$M,10,FALSE),0)</f>
        <v>0</v>
      </c>
      <c r="BN43" s="20">
        <f>IFERROR(VLOOKUP(Tabla14[[#This Row],[Llave]],'[13]Cruce plan irrestricto'!$C:$M,11,FALSE),0)</f>
        <v>0</v>
      </c>
      <c r="BO43" s="80">
        <f>IFERROR(VLOOKUP(Tabla14[[#This Row],[Llave]],'[13]Base ultimos planes'!$O:$AA,8,FALSE),0)</f>
        <v>10600</v>
      </c>
      <c r="BP43" s="20">
        <f>IFERROR(VLOOKUP(Tabla14[[#This Row],[Llave]],'[13]Base ultimos planes'!$O:$AA,9,FALSE),0)</f>
        <v>0</v>
      </c>
      <c r="BQ43" s="20">
        <f>IFERROR(VLOOKUP(Tabla14[[#This Row],[Llave]],'[13]Base ultimos planes'!$O:$AA,10,FALSE),0)</f>
        <v>0</v>
      </c>
      <c r="BR43" s="20">
        <f>IFERROR(VLOOKUP(Tabla14[[#This Row],[Llave]],'[13]Base ultimos planes'!$O:$AA,11,FALSE),0)</f>
        <v>0</v>
      </c>
      <c r="BS43" s="20">
        <f>IFERROR(VLOOKUP(Tabla14[[#This Row],[Llave]],'[13]Base ultimos planes'!$O:$AA,12,FALSE),0)</f>
        <v>1802</v>
      </c>
      <c r="BT43" s="20">
        <f>IFERROR(VLOOKUP(Tabla14[[#This Row],[Llave]],'[13]Base ultimos planes'!$O:$AA,13,FALSE),0)</f>
        <v>0</v>
      </c>
      <c r="BU43" s="20"/>
      <c r="BV43" s="20">
        <f>Tabla14[[#This Row],[ RV Producción mes n+1]]-Tabla14[[#This Row],[Producción disponible]]+Tabla14[[#This Row],[Saldo Volumen disponible]]</f>
        <v>0</v>
      </c>
      <c r="BW43" s="20">
        <f>IFERROR(VLOOKUP(Tabla14[[#This Row],[Llave]],[14]Hoja2!$J:$N,4,FALSE),0)</f>
        <v>0</v>
      </c>
      <c r="BX43" s="20">
        <f>+Tabla14[[#This Row],[Asignación mes n+1]]*Tabla14[[#This Row],[% Uti. producción]]</f>
        <v>0</v>
      </c>
      <c r="BY43" s="20">
        <f>+Tabla14[[#This Row],[Ponderación mes n+1]]+Tabla14[[#This Row],[Saldo mes n-1]]</f>
        <v>0</v>
      </c>
      <c r="BZ43" s="20">
        <f>+Tabla14[[#This Row],[Asignación mes n+1]]-Tabla14[[#This Row],[Ponderación mes n+1]]</f>
        <v>0</v>
      </c>
      <c r="CA43" s="20">
        <f>IFERROR(VLOOKUP(Tabla14[[#This Row],[Llave]],[14]Hoja2!$J:$N,5,FALSE),0)</f>
        <v>0</v>
      </c>
      <c r="CB43" s="20">
        <f>+Tabla14[[#This Row],[Asignación mes n+2]]*Tabla14[[#This Row],[% Uti. producción]]</f>
        <v>0</v>
      </c>
      <c r="CC43" s="20">
        <f>+Tabla14[[#This Row],[Saldo mes n+2]]+Tabla14[[#This Row],[Ponderación mes n+2]]</f>
        <v>0</v>
      </c>
      <c r="CD43" s="20">
        <f>+Tabla14[[#This Row],[Asignación mes n+2]]-Tabla14[[#This Row],[Ponderación mes n+2]]</f>
        <v>0</v>
      </c>
    </row>
    <row r="44" spans="1:82" ht="16" x14ac:dyDescent="0.2">
      <c r="A44">
        <v>1</v>
      </c>
      <c r="B44" t="str">
        <f>Tabla14[[#This Row],[Oficina]]&amp;Tabla14[[#This Row],[Material]]</f>
        <v>Agro Sudamerica1021639</v>
      </c>
      <c r="C44" t="s">
        <v>6</v>
      </c>
      <c r="D44" t="s">
        <v>17</v>
      </c>
      <c r="E44">
        <v>1021639</v>
      </c>
      <c r="F44" t="s">
        <v>278</v>
      </c>
      <c r="G44" t="s">
        <v>37</v>
      </c>
      <c r="H44" t="s">
        <v>38</v>
      </c>
      <c r="I44" s="7">
        <f>IFERROR(IF(Tabla14[[#This Row],[Oficina]]=$I$7,VLOOKUP(Tabla14[[#This Row],[Material]],'[6]RV Producción'!$Y:$AA,3,FALSE),VLOOKUP(Tabla14[[#This Row],[Llave]],'[6]RV Producción'!$C:$G,5,FALSE)),0)</f>
        <v>0</v>
      </c>
      <c r="J44" s="7">
        <f>IFERROR(IF(Tabla14[[#This Row],[Oficina]]=$I$7,VLOOKUP(Tabla14[[#This Row],[Llave]],'[7]Shangai (Tomas)'!$A:$F,6,FALSE),VLOOKUP(Tabla14[[#This Row],[Llave]],'[6]RV plan de ventas'!$A:$E,5,FALSE)),0)</f>
        <v>0</v>
      </c>
      <c r="K44" s="8">
        <f>IFERROR(VLOOKUP(Tabla14[[#This Row],[Sector]]&amp;Tabla14[[#This Row],[Oficina]],[8]Ponderación!$A$3:$G$22,7,FALSE),0)</f>
        <v>0.3545854356400317</v>
      </c>
      <c r="L44" s="7">
        <f>+Tabla14[[#This Row],[ RV Producción mes n+1]]*Tabla14[[#This Row],[% Uti. producción]]</f>
        <v>0</v>
      </c>
      <c r="M44" s="7">
        <f>IFERROR(VLOOKUP(Tabla14[[#This Row],[Material]],'[9]TD Stock'!$B:$C,2,FALSE),0)</f>
        <v>0</v>
      </c>
      <c r="N44" s="7">
        <f>IFERROR(VLOOKUP(Tabla14[[#This Row],[Material]],'[10]Consolidado planificación'!$B:$C,2,FALSE),0)</f>
        <v>0</v>
      </c>
      <c r="O44" s="7">
        <f>IFERROR(VLOOKUP(Tabla14[[#This Row],[Llave]],[11]Hoja2!$D:$G,4,FALSE),0)</f>
        <v>0</v>
      </c>
      <c r="P44" s="14">
        <f>SUM(Tabla14[[#This Row],[Producción disponible]],Tabla14[[#This Row],[Stock al día]],(Tabla14[[#This Row],[Por producir mes N]]*0.9))-Tabla14[[#This Row],[Producción por despachar mes N]]</f>
        <v>0</v>
      </c>
      <c r="Q44" s="7">
        <f>IFERROR(VLOOKUP(Tabla14[[#This Row],[Llave]],[9]DELAY!$A:$D,4,FALSE),0)</f>
        <v>2115</v>
      </c>
      <c r="R44" s="9">
        <v>23000</v>
      </c>
      <c r="S44" s="5">
        <f t="shared" si="5"/>
        <v>0</v>
      </c>
      <c r="T44" s="76">
        <v>0</v>
      </c>
      <c r="U44" s="5">
        <f>+Tabla14[[#This Row],[Atraso a facturar]]+Tabla14[[#This Row],[Ajuste atraso]]</f>
        <v>0</v>
      </c>
      <c r="V44" s="3">
        <f>+Tabla14[[#This Row],[Total disponible]]-Tabla14[[#This Row],[Facturación atraso]]</f>
        <v>0</v>
      </c>
      <c r="W44" s="6">
        <f>IFERROR(IF(AND(V44&gt;R44,J44&gt;=R44),ROUNDDOWN((Tabla14[[#This Row],[Producción para venta nueva]])/R44,0)*R44,0),0)</f>
        <v>0</v>
      </c>
      <c r="X44" s="76">
        <v>0</v>
      </c>
      <c r="Y44" s="6">
        <f>IF(Tabla14[[#This Row],[Venta del mes]]&gt;0,Tabla14[[#This Row],[Venta del mes]]+Tabla14[[#This Row],[Ajuste venta nueva]],0)</f>
        <v>0</v>
      </c>
      <c r="Z44" s="6">
        <f>+Tabla14[[#This Row],[Producción para venta nueva]]-Tabla14[[#This Row],[Facturación Venta nueva]]</f>
        <v>0</v>
      </c>
      <c r="AA44" s="6">
        <f>IF(AND(A44=1,Tabla14[[#This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4" s="6">
        <v>0</v>
      </c>
      <c r="AC44" s="6">
        <f>IF(Tabla14[[#This Row],[Disponible stock sin venta]]&gt;0,Tabla14[[#This Row],[Disponible stock sin venta]]+Tabla14[[#This Row],[Ajuste stock sin venta]],0)</f>
        <v>0</v>
      </c>
      <c r="AD44" s="3">
        <f>IFERROR(VLOOKUP(Tabla14[[#This Row],[Llave]],[12]Hoja1!$A:$D,4,FALSE),0)</f>
        <v>0</v>
      </c>
      <c r="AE44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44" s="3" t="b">
        <v>0</v>
      </c>
      <c r="AG44" s="3">
        <f>+Tabla14[[#This Row],[En puerto a facturar]]</f>
        <v>0</v>
      </c>
      <c r="AH44" s="3">
        <f>+Tabla14[[#This Row],[Facturación atraso]]</f>
        <v>0</v>
      </c>
      <c r="AI44" s="3">
        <f>+Tabla14[[#This Row],[Plan Irrestricto (DATO)]]-Tabla14[[#This Row],[Puerto ]]-Tabla14[[#This Row],[Atraso]]</f>
        <v>0</v>
      </c>
      <c r="AJ4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44" s="3">
        <f>+Tabla14[[#This Row],[Facturación atraso]]</f>
        <v>0</v>
      </c>
      <c r="AL44" s="3">
        <f>Tabla14[[#This Row],[Plan Ajustado]]-Tabla14[[#This Row],[ Atraso ajustado]]-Tabla14[[#This Row],[En puerto a facturar]]</f>
        <v>0</v>
      </c>
      <c r="AM44" s="3">
        <v>0</v>
      </c>
      <c r="AN44" s="3" t="e">
        <v>#REF!</v>
      </c>
      <c r="AO44" s="3" t="str">
        <f>IF(Tabla14[[#This Row],[Plan Ajustado]]&gt;Tabla14[[#This Row],[En puerto a facturar]],"Si","No")</f>
        <v>No</v>
      </c>
      <c r="AP4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44" s="3">
        <f>IF(Tabla14[[#This Row],[Necesidad]]&gt;=Tabla14[[#This Row],[Stock al día]],Tabla14[[#This Row],[Stock al día]],Tabla14[[#This Row],[Necesidad]])</f>
        <v>0</v>
      </c>
      <c r="AR44" s="3">
        <f>+Tabla14[[#This Row],[Necesidad]]-Tabla14[[#This Row],[Stock Plan]]</f>
        <v>0</v>
      </c>
      <c r="AS44" s="155">
        <f>VLOOKUP(Tabla14[[#This Row],[Sector]]&amp;Tabla14[[#This Row],[Oficina]],[8]Ponderación!$A:$H,8,FALSE)</f>
        <v>44813</v>
      </c>
      <c r="AT44" s="30">
        <f>IFERROR(VLOOKUP(Tabla14[[#This Row],[Llave]],'[6]RV plan de ventas'!$A:$F,6,FALSE),0)</f>
        <v>0</v>
      </c>
      <c r="AU44" s="83">
        <f>IFERROR(VLOOKUP(Tabla14[[#This Row],[Llave]],[9]DELAY!$H:$X,17,FALSE),0)</f>
        <v>3.15</v>
      </c>
      <c r="AV4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44" s="5">
        <f>Tabla14[[#This Row],[Pecio plan]]*Tabla14[[#This Row],[Plan Ajustado]]</f>
        <v>0</v>
      </c>
      <c r="AX44" s="30">
        <f>IFERROR(VLOOKUP(Tabla14[[#This Row],[Llave]],'[13]Ultimos precios facturados'!$A:$G,7,FALSE),0)</f>
        <v>3.0789500139178845</v>
      </c>
      <c r="AY4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44" s="30">
        <f>IFERROR(VLOOKUP(Tabla14[[#This Row],[Llave]],Hoja2!B:K,10,FALSE),0)</f>
        <v>0</v>
      </c>
      <c r="BA4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3.0789500139178845</v>
      </c>
      <c r="BB44" s="30">
        <v>0</v>
      </c>
      <c r="BC44" s="30">
        <f>IF(Tabla14[[#This Row],[Market]]=0,Tabla14[[#This Row],[Precio Final]],Tabla14[[#This Row],[Market]])</f>
        <v>3.0789500139178845</v>
      </c>
      <c r="BD44" s="82"/>
      <c r="BE44" s="82" t="str">
        <f>IF(AND(Tabla14[[#This Row],[Atraso a facturar]]&gt;0,Tabla14[[#This Row],[En puerto a facturar]]&gt;0,Tabla14[[#This Row],[Precio Atraso]]=0),"Revisar","OK")</f>
        <v>OK</v>
      </c>
      <c r="BF44" s="82" t="str">
        <f>IF(AND(Tabla14[[#This Row],[Venta del mes]]&gt;0,Tabla14[[#This Row],[Precio venta nueva]]=0),"Revisar","OK")</f>
        <v>OK</v>
      </c>
      <c r="BG44" s="20">
        <f>IFERROR(VLOOKUP(Tabla14[[#This Row],[Llave]],'[5]Consolidación planes'!$A:$M,9,FALSE),0)</f>
        <v>0</v>
      </c>
      <c r="BH44" s="20">
        <f>IFERROR(VLOOKUP(Tabla14[[#This Row],[Llave]],'[5]Consolidación planes'!$A:$M,10,FALSE),0)</f>
        <v>48000</v>
      </c>
      <c r="BI44" s="20">
        <f>IFERROR(VLOOKUP(Tabla14[[#This Row],[Llave]],'[5]Consolidación planes'!$A:$M,11,FALSE),0)</f>
        <v>24000</v>
      </c>
      <c r="BJ44" s="20">
        <f>IFERROR(VLOOKUP(Tabla14[[#This Row],[Llave]],'[5]Consolidación planes'!$A:$M,12,FALSE),0)</f>
        <v>24000</v>
      </c>
      <c r="BK44" s="20">
        <f>IFERROR(VLOOKUP(Tabla14[[#This Row],[Llave]],'[5]Consolidación planes'!$A:$M,13,FALSE),0)</f>
        <v>24000</v>
      </c>
      <c r="BL44" s="20">
        <f>IFERROR(VLOOKUP(Tabla14[[#This Row],[Llave]],'[13]Base ultimos planes'!$A:$M,13,FALSE),0)</f>
        <v>25000</v>
      </c>
      <c r="BM44" s="20">
        <f>IFERROR(VLOOKUP(Tabla14[[#This Row],[Llave]],'[13]Cruce plan irrestricto'!$C:$M,10,FALSE),0)</f>
        <v>0</v>
      </c>
      <c r="BN44" s="20">
        <f>IFERROR(VLOOKUP(Tabla14[[#This Row],[Llave]],'[13]Cruce plan irrestricto'!$C:$M,11,FALSE),0)</f>
        <v>0</v>
      </c>
      <c r="BO44" s="80">
        <f>IFERROR(VLOOKUP(Tabla14[[#This Row],[Llave]],'[13]Base ultimos planes'!$O:$AA,8,FALSE),0)</f>
        <v>0</v>
      </c>
      <c r="BP44" s="20">
        <f>IFERROR(VLOOKUP(Tabla14[[#This Row],[Llave]],'[13]Base ultimos planes'!$O:$AA,9,FALSE),0)</f>
        <v>147200</v>
      </c>
      <c r="BQ44" s="20">
        <f>IFERROR(VLOOKUP(Tabla14[[#This Row],[Llave]],'[13]Base ultimos planes'!$O:$AA,10,FALSE),0)</f>
        <v>72000</v>
      </c>
      <c r="BR44" s="20">
        <f>IFERROR(VLOOKUP(Tabla14[[#This Row],[Llave]],'[13]Base ultimos planes'!$O:$AA,11,FALSE),0)</f>
        <v>69600</v>
      </c>
      <c r="BS44" s="20">
        <f>IFERROR(VLOOKUP(Tabla14[[#This Row],[Llave]],'[13]Base ultimos planes'!$O:$AA,12,FALSE),0)</f>
        <v>73200</v>
      </c>
      <c r="BT44" s="20">
        <f>IFERROR(VLOOKUP(Tabla14[[#This Row],[Llave]],'[13]Base ultimos planes'!$O:$AA,13,FALSE),0)</f>
        <v>76334</v>
      </c>
      <c r="BU44" s="20"/>
      <c r="BV44" s="20">
        <f>Tabla14[[#This Row],[ RV Producción mes n+1]]-Tabla14[[#This Row],[Producción disponible]]+Tabla14[[#This Row],[Saldo Volumen disponible]]</f>
        <v>0</v>
      </c>
      <c r="BW44" s="20">
        <f>IFERROR(VLOOKUP(Tabla14[[#This Row],[Llave]],[14]Hoja2!$J:$N,4,FALSE),0)</f>
        <v>0</v>
      </c>
      <c r="BX44" s="20">
        <f>+Tabla14[[#This Row],[Asignación mes n+1]]*Tabla14[[#This Row],[% Uti. producción]]</f>
        <v>0</v>
      </c>
      <c r="BY44" s="20">
        <f>+Tabla14[[#This Row],[Ponderación mes n+1]]+Tabla14[[#This Row],[Saldo mes n-1]]</f>
        <v>0</v>
      </c>
      <c r="BZ44" s="20">
        <f>+Tabla14[[#This Row],[Asignación mes n+1]]-Tabla14[[#This Row],[Ponderación mes n+1]]</f>
        <v>0</v>
      </c>
      <c r="CA44" s="20">
        <f>IFERROR(VLOOKUP(Tabla14[[#This Row],[Llave]],[14]Hoja2!$J:$N,5,FALSE),0)</f>
        <v>0</v>
      </c>
      <c r="CB44" s="20">
        <f>+Tabla14[[#This Row],[Asignación mes n+2]]*Tabla14[[#This Row],[% Uti. producción]]</f>
        <v>0</v>
      </c>
      <c r="CC44" s="20">
        <f>+Tabla14[[#This Row],[Saldo mes n+2]]+Tabla14[[#This Row],[Ponderación mes n+2]]</f>
        <v>0</v>
      </c>
      <c r="CD44" s="20">
        <f>+Tabla14[[#This Row],[Asignación mes n+2]]-Tabla14[[#This Row],[Ponderación mes n+2]]</f>
        <v>0</v>
      </c>
    </row>
    <row r="45" spans="1:82" ht="16" x14ac:dyDescent="0.2">
      <c r="A45">
        <v>1</v>
      </c>
      <c r="B45" t="str">
        <f>Tabla14[[#This Row],[Oficina]]&amp;Tabla14[[#This Row],[Material]]</f>
        <v>Agro Sudamerica1021819</v>
      </c>
      <c r="C45" t="s">
        <v>6</v>
      </c>
      <c r="D45" t="s">
        <v>17</v>
      </c>
      <c r="E45">
        <v>1021819</v>
      </c>
      <c r="F45" t="s">
        <v>311</v>
      </c>
      <c r="G45" t="s">
        <v>50</v>
      </c>
      <c r="H45" t="s">
        <v>51</v>
      </c>
      <c r="I45" s="7">
        <f>IFERROR(IF(Tabla14[[#This Row],[Oficina]]=$I$7,VLOOKUP(Tabla14[[#This Row],[Material]],'[6]RV Producción'!$Y:$AA,3,FALSE),VLOOKUP(Tabla14[[#This Row],[Llave]],'[6]RV Producción'!$C:$G,5,FALSE)),0)</f>
        <v>0</v>
      </c>
      <c r="J45" s="7">
        <f>IFERROR(IF(Tabla14[[#This Row],[Oficina]]=$I$7,VLOOKUP(Tabla14[[#This Row],[Llave]],'[7]Shangai (Tomas)'!$A:$F,6,FALSE),VLOOKUP(Tabla14[[#This Row],[Llave]],'[6]RV plan de ventas'!$A:$E,5,FALSE)),0)</f>
        <v>0</v>
      </c>
      <c r="K45" s="8">
        <f>IFERROR(VLOOKUP(Tabla14[[#This Row],[Sector]]&amp;Tabla14[[#This Row],[Oficina]],[8]Ponderación!$A$3:$G$22,7,FALSE),0)</f>
        <v>0.3545854356400317</v>
      </c>
      <c r="L45" s="7">
        <f>+Tabla14[[#This Row],[ RV Producción mes n+1]]*Tabla14[[#This Row],[% Uti. producción]]</f>
        <v>0</v>
      </c>
      <c r="M45" s="7">
        <f>IFERROR(VLOOKUP(Tabla14[[#This Row],[Material]],'[9]TD Stock'!$B:$C,2,FALSE),0)</f>
        <v>0</v>
      </c>
      <c r="N45" s="7">
        <f>IFERROR(VLOOKUP(Tabla14[[#This Row],[Material]],'[10]Consolidado planificación'!$B:$C,2,FALSE),0)</f>
        <v>0</v>
      </c>
      <c r="O45" s="7">
        <f>IFERROR(VLOOKUP(Tabla14[[#This Row],[Llave]],[11]Hoja2!$D:$G,4,FALSE),0)</f>
        <v>0</v>
      </c>
      <c r="P45" s="14">
        <f>SUM(Tabla14[[#This Row],[Producción disponible]],Tabla14[[#This Row],[Stock al día]],(Tabla14[[#This Row],[Por producir mes N]]*0.9))-Tabla14[[#This Row],[Producción por despachar mes N]]</f>
        <v>0</v>
      </c>
      <c r="Q45" s="7">
        <f>IFERROR(VLOOKUP(Tabla14[[#This Row],[Llave]],[9]DELAY!$A:$D,4,FALSE),0)</f>
        <v>0</v>
      </c>
      <c r="R45" s="9">
        <v>23000</v>
      </c>
      <c r="S45" s="5">
        <f t="shared" si="5"/>
        <v>0</v>
      </c>
      <c r="T45" s="76">
        <v>0</v>
      </c>
      <c r="U45" s="5">
        <f>+Tabla14[[#This Row],[Atraso a facturar]]+Tabla14[[#This Row],[Ajuste atraso]]</f>
        <v>0</v>
      </c>
      <c r="V45" s="3">
        <f>+Tabla14[[#This Row],[Total disponible]]-Tabla14[[#This Row],[Facturación atraso]]</f>
        <v>0</v>
      </c>
      <c r="W45" s="6">
        <f>IFERROR(IF(AND(V45&gt;R45,J45&gt;=R45),ROUNDDOWN((Tabla14[[#This Row],[Producción para venta nueva]])/R45,0)*R45,0),0)</f>
        <v>0</v>
      </c>
      <c r="X45" s="76">
        <v>0</v>
      </c>
      <c r="Y45" s="6">
        <f>IF(Tabla14[[#This Row],[Venta del mes]]&gt;0,Tabla14[[#This Row],[Venta del mes]]+Tabla14[[#This Row],[Ajuste venta nueva]],0)</f>
        <v>0</v>
      </c>
      <c r="Z45" s="6">
        <f>+Tabla14[[#This Row],[Producción para venta nueva]]-Tabla14[[#This Row],[Facturación Venta nueva]]</f>
        <v>0</v>
      </c>
      <c r="AA45" s="6">
        <f>IF(AND(A45=1,Tabla14[[#This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5" s="6">
        <v>0</v>
      </c>
      <c r="AC45" s="6">
        <f>IF(Tabla14[[#This Row],[Disponible stock sin venta]]&gt;0,Tabla14[[#This Row],[Disponible stock sin venta]]+Tabla14[[#This Row],[Ajuste stock sin venta]],0)</f>
        <v>0</v>
      </c>
      <c r="AD45" s="3">
        <f>IFERROR(VLOOKUP(Tabla14[[#This Row],[Llave]],[12]Hoja1!$A:$D,4,FALSE),0)</f>
        <v>1</v>
      </c>
      <c r="AE45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45" s="3" t="b">
        <v>0</v>
      </c>
      <c r="AG45" s="3">
        <f>+Tabla14[[#This Row],[En puerto a facturar]]</f>
        <v>1</v>
      </c>
      <c r="AH45" s="3">
        <f>+Tabla14[[#This Row],[Facturación atraso]]</f>
        <v>0</v>
      </c>
      <c r="AI45" s="3">
        <f>+Tabla14[[#This Row],[Plan Irrestricto (DATO)]]-Tabla14[[#This Row],[Puerto ]]-Tabla14[[#This Row],[Atraso]]</f>
        <v>-1</v>
      </c>
      <c r="AJ45" s="6">
        <f>IF(Tabla14[[#This Row],[Plan Irrestricto (DATO)]]&gt;0,SUM(Tabla14[[#This Row],[Facturación atraso]],Tabla14[[#This Row],[Facturación Venta nueva]],Tabla14[[#This Row],[Facturación stock]],Tabla14[[#This Row],[En puerto a facturar]]),0)</f>
        <v>1</v>
      </c>
      <c r="AK45" s="3">
        <f>+Tabla14[[#This Row],[Facturación atraso]]</f>
        <v>0</v>
      </c>
      <c r="AL45" s="3">
        <f>Tabla14[[#This Row],[Plan Ajustado]]-Tabla14[[#This Row],[ Atraso ajustado]]-Tabla14[[#This Row],[En puerto a facturar]]</f>
        <v>0</v>
      </c>
      <c r="AM45" s="3">
        <v>0</v>
      </c>
      <c r="AN45" s="3" t="s">
        <v>636</v>
      </c>
      <c r="AO45" s="3" t="str">
        <f>IF(Tabla14[[#This Row],[Plan Ajustado]]&gt;Tabla14[[#This Row],[En puerto a facturar]],"Si","No")</f>
        <v>No</v>
      </c>
      <c r="AP4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45" s="3">
        <f>IF(Tabla14[[#This Row],[Necesidad]]&gt;=Tabla14[[#This Row],[Stock al día]],Tabla14[[#This Row],[Stock al día]],Tabla14[[#This Row],[Necesidad]])</f>
        <v>0</v>
      </c>
      <c r="AR45" s="3">
        <f>+Tabla14[[#This Row],[Necesidad]]-Tabla14[[#This Row],[Stock Plan]]</f>
        <v>0</v>
      </c>
      <c r="AS45" s="155">
        <f>VLOOKUP(Tabla14[[#This Row],[Sector]]&amp;Tabla14[[#This Row],[Oficina]],[8]Ponderación!$A:$H,8,FALSE)</f>
        <v>44813</v>
      </c>
      <c r="AT45" s="30">
        <f>IFERROR(VLOOKUP(Tabla14[[#This Row],[Llave]],'[6]RV plan de ventas'!$A:$F,6,FALSE),0)</f>
        <v>0</v>
      </c>
      <c r="AU45" s="83">
        <f>IFERROR(VLOOKUP(Tabla14[[#This Row],[Llave]],[9]DELAY!$H:$X,17,FALSE),0)</f>
        <v>0</v>
      </c>
      <c r="AV4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45" s="5">
        <f>Tabla14[[#This Row],[Pecio plan]]*Tabla14[[#This Row],[Plan Ajustado]]</f>
        <v>1.8496507215087774</v>
      </c>
      <c r="AX45" s="30">
        <f>IFERROR(VLOOKUP(Tabla14[[#This Row],[Llave]],'[13]Ultimos precios facturados'!$A:$G,7,FALSE),0)</f>
        <v>1.8496507215087774</v>
      </c>
      <c r="AY4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45" s="30">
        <f>IFERROR(VLOOKUP(Tabla14[[#This Row],[Llave]],Hoja2!B:K,10,FALSE),0)</f>
        <v>0</v>
      </c>
      <c r="BA4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1.8496507215087774</v>
      </c>
      <c r="BB45" s="30">
        <v>0</v>
      </c>
      <c r="BC45" s="30">
        <f>IF(Tabla14[[#This Row],[Market]]=0,Tabla14[[#This Row],[Precio Final]],Tabla14[[#This Row],[Market]])</f>
        <v>1.8496507215087774</v>
      </c>
      <c r="BD45" s="82"/>
      <c r="BE45" s="82" t="str">
        <f>IF(AND(Tabla14[[#This Row],[Atraso a facturar]]&gt;0,Tabla14[[#This Row],[En puerto a facturar]]&gt;0,Tabla14[[#This Row],[Precio Atraso]]=0),"Revisar","OK")</f>
        <v>OK</v>
      </c>
      <c r="BF45" s="82" t="str">
        <f>IF(AND(Tabla14[[#This Row],[Venta del mes]]&gt;0,Tabla14[[#This Row],[Precio venta nueva]]=0),"Revisar","OK")</f>
        <v>OK</v>
      </c>
      <c r="BG45" s="20">
        <f>IFERROR(VLOOKUP(Tabla14[[#This Row],[Llave]],'[5]Consolidación planes'!$A:$M,9,FALSE),0)</f>
        <v>0</v>
      </c>
      <c r="BH45" s="20">
        <f>IFERROR(VLOOKUP(Tabla14[[#This Row],[Llave]],'[5]Consolidación planes'!$A:$M,10,FALSE),0)</f>
        <v>0</v>
      </c>
      <c r="BI45" s="20">
        <f>IFERROR(VLOOKUP(Tabla14[[#This Row],[Llave]],'[5]Consolidación planes'!$A:$M,11,FALSE),0)</f>
        <v>0</v>
      </c>
      <c r="BJ45" s="20">
        <f>IFERROR(VLOOKUP(Tabla14[[#This Row],[Llave]],'[5]Consolidación planes'!$A:$M,12,FALSE),0)</f>
        <v>0</v>
      </c>
      <c r="BK45" s="20">
        <f>IFERROR(VLOOKUP(Tabla14[[#This Row],[Llave]],'[5]Consolidación planes'!$A:$M,13,FALSE),0)</f>
        <v>48000</v>
      </c>
      <c r="BL45" s="20">
        <f>IFERROR(VLOOKUP(Tabla14[[#This Row],[Llave]],'[13]Base ultimos planes'!$A:$M,13,FALSE),0)</f>
        <v>0</v>
      </c>
      <c r="BM45" s="20">
        <f>IFERROR(VLOOKUP(Tabla14[[#This Row],[Llave]],'[13]Cruce plan irrestricto'!$C:$M,10,FALSE),0)</f>
        <v>0</v>
      </c>
      <c r="BN45" s="20">
        <f>IFERROR(VLOOKUP(Tabla14[[#This Row],[Llave]],'[13]Cruce plan irrestricto'!$C:$M,11,FALSE),0)</f>
        <v>0</v>
      </c>
      <c r="BO45" s="80">
        <f>IFERROR(VLOOKUP(Tabla14[[#This Row],[Llave]],'[13]Base ultimos planes'!$O:$AA,8,FALSE),0)</f>
        <v>0</v>
      </c>
      <c r="BP45" s="20">
        <f>IFERROR(VLOOKUP(Tabla14[[#This Row],[Llave]],'[13]Base ultimos planes'!$O:$AA,9,FALSE),0)</f>
        <v>0</v>
      </c>
      <c r="BQ45" s="20">
        <f>IFERROR(VLOOKUP(Tabla14[[#This Row],[Llave]],'[13]Base ultimos planes'!$O:$AA,10,FALSE),0)</f>
        <v>0</v>
      </c>
      <c r="BR45" s="20">
        <f>IFERROR(VLOOKUP(Tabla14[[#This Row],[Llave]],'[13]Base ultimos planes'!$O:$AA,11,FALSE),0)</f>
        <v>0</v>
      </c>
      <c r="BS45" s="20">
        <f>IFERROR(VLOOKUP(Tabla14[[#This Row],[Llave]],'[13]Base ultimos planes'!$O:$AA,12,FALSE),0)</f>
        <v>96000</v>
      </c>
      <c r="BT45" s="20">
        <f>IFERROR(VLOOKUP(Tabla14[[#This Row],[Llave]],'[13]Base ultimos planes'!$O:$AA,13,FALSE),0)</f>
        <v>0</v>
      </c>
      <c r="BU45" s="20"/>
      <c r="BV45" s="20">
        <f>Tabla14[[#This Row],[ RV Producción mes n+1]]-Tabla14[[#This Row],[Producción disponible]]+Tabla14[[#This Row],[Saldo Volumen disponible]]</f>
        <v>0</v>
      </c>
      <c r="BW45" s="20">
        <f>IFERROR(VLOOKUP(Tabla14[[#This Row],[Llave]],[14]Hoja2!$J:$N,4,FALSE),0)</f>
        <v>0</v>
      </c>
      <c r="BX45" s="20">
        <f>+Tabla14[[#This Row],[Asignación mes n+1]]*Tabla14[[#This Row],[% Uti. producción]]</f>
        <v>0</v>
      </c>
      <c r="BY45" s="20">
        <f>+Tabla14[[#This Row],[Ponderación mes n+1]]+Tabla14[[#This Row],[Saldo mes n-1]]</f>
        <v>0</v>
      </c>
      <c r="BZ45" s="20">
        <f>+Tabla14[[#This Row],[Asignación mes n+1]]-Tabla14[[#This Row],[Ponderación mes n+1]]</f>
        <v>0</v>
      </c>
      <c r="CA45" s="20">
        <f>IFERROR(VLOOKUP(Tabla14[[#This Row],[Llave]],[14]Hoja2!$J:$N,5,FALSE),0)</f>
        <v>0</v>
      </c>
      <c r="CB45" s="20">
        <f>+Tabla14[[#This Row],[Asignación mes n+2]]*Tabla14[[#This Row],[% Uti. producción]]</f>
        <v>0</v>
      </c>
      <c r="CC45" s="20">
        <f>+Tabla14[[#This Row],[Saldo mes n+2]]+Tabla14[[#This Row],[Ponderación mes n+2]]</f>
        <v>0</v>
      </c>
      <c r="CD45" s="20">
        <f>+Tabla14[[#This Row],[Asignación mes n+2]]-Tabla14[[#This Row],[Ponderación mes n+2]]</f>
        <v>0</v>
      </c>
    </row>
    <row r="46" spans="1:82" ht="16" x14ac:dyDescent="0.2">
      <c r="A46">
        <v>1</v>
      </c>
      <c r="B46" t="str">
        <f>Tabla14[[#This Row],[Oficina]]&amp;Tabla14[[#This Row],[Material]]</f>
        <v>Agro Sudamerica1021820</v>
      </c>
      <c r="C46" t="s">
        <v>6</v>
      </c>
      <c r="D46" t="s">
        <v>17</v>
      </c>
      <c r="E46">
        <v>1021820</v>
      </c>
      <c r="F46" t="s">
        <v>312</v>
      </c>
      <c r="G46" t="s">
        <v>50</v>
      </c>
      <c r="H46" t="s">
        <v>110</v>
      </c>
      <c r="I46" s="7">
        <f>IFERROR(IF(Tabla14[[#This Row],[Oficina]]=$I$7,VLOOKUP(Tabla14[[#This Row],[Material]],'[6]RV Producción'!$Y:$AA,3,FALSE),VLOOKUP(Tabla14[[#This Row],[Llave]],'[6]RV Producción'!$C:$G,5,FALSE)),0)</f>
        <v>0</v>
      </c>
      <c r="J46" s="7">
        <f>IFERROR(IF(Tabla14[[#This Row],[Oficina]]=$I$7,VLOOKUP(Tabla14[[#This Row],[Llave]],'[7]Shangai (Tomas)'!$A:$F,6,FALSE),VLOOKUP(Tabla14[[#This Row],[Llave]],'[6]RV plan de ventas'!$A:$E,5,FALSE)),0)</f>
        <v>0</v>
      </c>
      <c r="K46" s="8">
        <f>IFERROR(VLOOKUP(Tabla14[[#This Row],[Sector]]&amp;Tabla14[[#This Row],[Oficina]],[8]Ponderación!$A$3:$G$22,7,FALSE),0)</f>
        <v>0.3545854356400317</v>
      </c>
      <c r="L46" s="7">
        <f>+Tabla14[[#This Row],[ RV Producción mes n+1]]*Tabla14[[#This Row],[% Uti. producción]]</f>
        <v>0</v>
      </c>
      <c r="M46" s="7">
        <f>IFERROR(VLOOKUP(Tabla14[[#This Row],[Material]],'[9]TD Stock'!$B:$C,2,FALSE),0)</f>
        <v>0</v>
      </c>
      <c r="N46" s="7">
        <f>IFERROR(VLOOKUP(Tabla14[[#This Row],[Material]],'[10]Consolidado planificación'!$B:$C,2,FALSE),0)</f>
        <v>0</v>
      </c>
      <c r="O46" s="7">
        <f>IFERROR(VLOOKUP(Tabla14[[#This Row],[Llave]],[11]Hoja2!$D:$G,4,FALSE),0)</f>
        <v>0</v>
      </c>
      <c r="P46" s="14">
        <f>SUM(Tabla14[[#This Row],[Producción disponible]],Tabla14[[#This Row],[Stock al día]],(Tabla14[[#This Row],[Por producir mes N]]*0.9))-Tabla14[[#This Row],[Producción por despachar mes N]]</f>
        <v>0</v>
      </c>
      <c r="Q46" s="7">
        <f>IFERROR(VLOOKUP(Tabla14[[#This Row],[Llave]],[9]DELAY!$A:$D,4,FALSE),0)</f>
        <v>0</v>
      </c>
      <c r="R46" s="9">
        <v>23000</v>
      </c>
      <c r="S46" s="5">
        <f t="shared" si="5"/>
        <v>0</v>
      </c>
      <c r="T46" s="76">
        <v>0</v>
      </c>
      <c r="U46" s="5">
        <f>+Tabla14[[#This Row],[Atraso a facturar]]+Tabla14[[#This Row],[Ajuste atraso]]</f>
        <v>0</v>
      </c>
      <c r="V46" s="3">
        <f>+Tabla14[[#This Row],[Total disponible]]-Tabla14[[#This Row],[Facturación atraso]]</f>
        <v>0</v>
      </c>
      <c r="W46" s="6">
        <f>IFERROR(IF(AND(V46&gt;R46,J46&gt;=R46),ROUNDDOWN((Tabla14[[#This Row],[Producción para venta nueva]])/R46,0)*R46,0),0)</f>
        <v>0</v>
      </c>
      <c r="X46" s="76">
        <v>0</v>
      </c>
      <c r="Y46" s="6">
        <f>IF(Tabla14[[#This Row],[Venta del mes]]&gt;0,Tabla14[[#This Row],[Venta del mes]]+Tabla14[[#This Row],[Ajuste venta nueva]],0)</f>
        <v>0</v>
      </c>
      <c r="Z46" s="6">
        <f>+Tabla14[[#This Row],[Producción para venta nueva]]-Tabla14[[#This Row],[Facturación Venta nueva]]</f>
        <v>0</v>
      </c>
      <c r="AA46" s="6">
        <f>IF(AND(A46=1,Tabla14[[#This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6" s="6">
        <v>0</v>
      </c>
      <c r="AC46" s="6">
        <f>IF(Tabla14[[#This Row],[Disponible stock sin venta]]&gt;0,Tabla14[[#This Row],[Disponible stock sin venta]]+Tabla14[[#This Row],[Ajuste stock sin venta]],0)</f>
        <v>0</v>
      </c>
      <c r="AD46" s="3">
        <f>IFERROR(VLOOKUP(Tabla14[[#This Row],[Llave]],[12]Hoja1!$A:$D,4,FALSE),0)</f>
        <v>0</v>
      </c>
      <c r="AE46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46" s="3" t="b">
        <v>0</v>
      </c>
      <c r="AG46" s="3">
        <f>+Tabla14[[#This Row],[En puerto a facturar]]</f>
        <v>0</v>
      </c>
      <c r="AH46" s="3">
        <f>+Tabla14[[#This Row],[Facturación atraso]]</f>
        <v>0</v>
      </c>
      <c r="AI46" s="3">
        <f>+Tabla14[[#This Row],[Plan Irrestricto (DATO)]]-Tabla14[[#This Row],[Puerto ]]-Tabla14[[#This Row],[Atraso]]</f>
        <v>0</v>
      </c>
      <c r="AJ4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46" s="3">
        <f>+Tabla14[[#This Row],[Facturación atraso]]</f>
        <v>0</v>
      </c>
      <c r="AL46" s="3">
        <f>Tabla14[[#This Row],[Plan Ajustado]]-Tabla14[[#This Row],[ Atraso ajustado]]-Tabla14[[#This Row],[En puerto a facturar]]</f>
        <v>0</v>
      </c>
      <c r="AM46" s="3">
        <v>0</v>
      </c>
      <c r="AN46" s="3" t="e">
        <v>#REF!</v>
      </c>
      <c r="AO46" s="3" t="str">
        <f>IF(Tabla14[[#This Row],[Plan Ajustado]]&gt;Tabla14[[#This Row],[En puerto a facturar]],"Si","No")</f>
        <v>No</v>
      </c>
      <c r="AP4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46" s="3">
        <f>IF(Tabla14[[#This Row],[Necesidad]]&gt;=Tabla14[[#This Row],[Stock al día]],Tabla14[[#This Row],[Stock al día]],Tabla14[[#This Row],[Necesidad]])</f>
        <v>0</v>
      </c>
      <c r="AR46" s="3">
        <f>+Tabla14[[#This Row],[Necesidad]]-Tabla14[[#This Row],[Stock Plan]]</f>
        <v>0</v>
      </c>
      <c r="AS46" s="155">
        <f>VLOOKUP(Tabla14[[#This Row],[Sector]]&amp;Tabla14[[#This Row],[Oficina]],[8]Ponderación!$A:$H,8,FALSE)</f>
        <v>44813</v>
      </c>
      <c r="AT46" s="30">
        <f>IFERROR(VLOOKUP(Tabla14[[#This Row],[Llave]],'[6]RV plan de ventas'!$A:$F,6,FALSE),0)</f>
        <v>0</v>
      </c>
      <c r="AU46" s="83">
        <f>IFERROR(VLOOKUP(Tabla14[[#This Row],[Llave]],[9]DELAY!$H:$X,17,FALSE),0)</f>
        <v>0</v>
      </c>
      <c r="AV4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46" s="5">
        <f>Tabla14[[#This Row],[Pecio plan]]*Tabla14[[#This Row],[Plan Ajustado]]</f>
        <v>0</v>
      </c>
      <c r="AX46" s="30">
        <f>IFERROR(VLOOKUP(Tabla14[[#This Row],[Llave]],'[13]Ultimos precios facturados'!$A:$G,7,FALSE),0)</f>
        <v>2.1166914882926338</v>
      </c>
      <c r="AY4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46" s="30">
        <f>IFERROR(VLOOKUP(Tabla14[[#This Row],[Llave]],Hoja2!B:K,10,FALSE),0)</f>
        <v>0</v>
      </c>
      <c r="BA4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2.1166914882926338</v>
      </c>
      <c r="BB46" s="30">
        <v>0</v>
      </c>
      <c r="BC46" s="30">
        <f>IF(Tabla14[[#This Row],[Market]]=0,Tabla14[[#This Row],[Precio Final]],Tabla14[[#This Row],[Market]])</f>
        <v>2.1166914882926338</v>
      </c>
      <c r="BD46" s="82"/>
      <c r="BE46" s="82" t="str">
        <f>IF(AND(Tabla14[[#This Row],[Atraso a facturar]]&gt;0,Tabla14[[#This Row],[En puerto a facturar]]&gt;0,Tabla14[[#This Row],[Precio Atraso]]=0),"Revisar","OK")</f>
        <v>OK</v>
      </c>
      <c r="BF46" s="82" t="str">
        <f>IF(AND(Tabla14[[#This Row],[Venta del mes]]&gt;0,Tabla14[[#This Row],[Precio venta nueva]]=0),"Revisar","OK")</f>
        <v>OK</v>
      </c>
      <c r="BG46" s="20">
        <f>IFERROR(VLOOKUP(Tabla14[[#This Row],[Llave]],'[5]Consolidación planes'!$A:$M,9,FALSE),0)</f>
        <v>0</v>
      </c>
      <c r="BH46" s="20">
        <f>IFERROR(VLOOKUP(Tabla14[[#This Row],[Llave]],'[5]Consolidación planes'!$A:$M,10,FALSE),0)</f>
        <v>0</v>
      </c>
      <c r="BI46" s="20">
        <f>IFERROR(VLOOKUP(Tabla14[[#This Row],[Llave]],'[5]Consolidación planes'!$A:$M,11,FALSE),0)</f>
        <v>0</v>
      </c>
      <c r="BJ46" s="20">
        <f>IFERROR(VLOOKUP(Tabla14[[#This Row],[Llave]],'[5]Consolidación planes'!$A:$M,12,FALSE),0)</f>
        <v>0</v>
      </c>
      <c r="BK46" s="20">
        <f>IFERROR(VLOOKUP(Tabla14[[#This Row],[Llave]],'[5]Consolidación planes'!$A:$M,13,FALSE),0)</f>
        <v>0</v>
      </c>
      <c r="BL46" s="20">
        <f>IFERROR(VLOOKUP(Tabla14[[#This Row],[Llave]],'[13]Base ultimos planes'!$A:$M,13,FALSE),0)</f>
        <v>0</v>
      </c>
      <c r="BM46" s="20">
        <f>IFERROR(VLOOKUP(Tabla14[[#This Row],[Llave]],'[13]Cruce plan irrestricto'!$C:$M,10,FALSE),0)</f>
        <v>0</v>
      </c>
      <c r="BN46" s="20">
        <f>IFERROR(VLOOKUP(Tabla14[[#This Row],[Llave]],'[13]Cruce plan irrestricto'!$C:$M,11,FALSE),0)</f>
        <v>0</v>
      </c>
      <c r="BO46" s="80">
        <f>IFERROR(VLOOKUP(Tabla14[[#This Row],[Llave]],'[13]Base ultimos planes'!$O:$AA,8,FALSE),0)</f>
        <v>0</v>
      </c>
      <c r="BP46" s="20">
        <f>IFERROR(VLOOKUP(Tabla14[[#This Row],[Llave]],'[13]Base ultimos planes'!$O:$AA,9,FALSE),0)</f>
        <v>0</v>
      </c>
      <c r="BQ46" s="20">
        <f>IFERROR(VLOOKUP(Tabla14[[#This Row],[Llave]],'[13]Base ultimos planes'!$O:$AA,10,FALSE),0)</f>
        <v>0</v>
      </c>
      <c r="BR46" s="20">
        <f>IFERROR(VLOOKUP(Tabla14[[#This Row],[Llave]],'[13]Base ultimos planes'!$O:$AA,11,FALSE),0)</f>
        <v>0</v>
      </c>
      <c r="BS46" s="20">
        <f>IFERROR(VLOOKUP(Tabla14[[#This Row],[Llave]],'[13]Base ultimos planes'!$O:$AA,12,FALSE),0)</f>
        <v>0</v>
      </c>
      <c r="BT46" s="20">
        <f>IFERROR(VLOOKUP(Tabla14[[#This Row],[Llave]],'[13]Base ultimos planes'!$O:$AA,13,FALSE),0)</f>
        <v>0</v>
      </c>
      <c r="BU46" s="20"/>
      <c r="BV46" s="20">
        <f>Tabla14[[#This Row],[ RV Producción mes n+1]]-Tabla14[[#This Row],[Producción disponible]]+Tabla14[[#This Row],[Saldo Volumen disponible]]</f>
        <v>0</v>
      </c>
      <c r="BW46" s="20">
        <f>IFERROR(VLOOKUP(Tabla14[[#This Row],[Llave]],[14]Hoja2!$J:$N,4,FALSE),0)</f>
        <v>0</v>
      </c>
      <c r="BX46" s="20">
        <f>+Tabla14[[#This Row],[Asignación mes n+1]]*Tabla14[[#This Row],[% Uti. producción]]</f>
        <v>0</v>
      </c>
      <c r="BY46" s="20">
        <f>+Tabla14[[#This Row],[Ponderación mes n+1]]+Tabla14[[#This Row],[Saldo mes n-1]]</f>
        <v>0</v>
      </c>
      <c r="BZ46" s="20">
        <f>+Tabla14[[#This Row],[Asignación mes n+1]]-Tabla14[[#This Row],[Ponderación mes n+1]]</f>
        <v>0</v>
      </c>
      <c r="CA46" s="20">
        <f>IFERROR(VLOOKUP(Tabla14[[#This Row],[Llave]],[14]Hoja2!$J:$N,5,FALSE),0)</f>
        <v>0</v>
      </c>
      <c r="CB46" s="20">
        <f>+Tabla14[[#This Row],[Asignación mes n+2]]*Tabla14[[#This Row],[% Uti. producción]]</f>
        <v>0</v>
      </c>
      <c r="CC46" s="20">
        <f>+Tabla14[[#This Row],[Saldo mes n+2]]+Tabla14[[#This Row],[Ponderación mes n+2]]</f>
        <v>0</v>
      </c>
      <c r="CD46" s="20">
        <f>+Tabla14[[#This Row],[Asignación mes n+2]]-Tabla14[[#This Row],[Ponderación mes n+2]]</f>
        <v>0</v>
      </c>
    </row>
    <row r="47" spans="1:82" ht="16" x14ac:dyDescent="0.2">
      <c r="A47">
        <v>1</v>
      </c>
      <c r="B47" t="str">
        <f>Tabla14[[#This Row],[Oficina]]&amp;Tabla14[[#This Row],[Material]]</f>
        <v>Agro Sudamerica1021868</v>
      </c>
      <c r="C47" t="s">
        <v>6</v>
      </c>
      <c r="D47" t="s">
        <v>17</v>
      </c>
      <c r="E47">
        <v>1021868</v>
      </c>
      <c r="F47" t="s">
        <v>66</v>
      </c>
      <c r="G47" t="s">
        <v>59</v>
      </c>
      <c r="H47" t="s">
        <v>65</v>
      </c>
      <c r="I47" s="7">
        <f>IFERROR(IF(Tabla14[[#This Row],[Oficina]]=$I$7,VLOOKUP(Tabla14[[#This Row],[Material]],'[6]RV Producción'!$Y:$AA,3,FALSE),VLOOKUP(Tabla14[[#This Row],[Llave]],'[6]RV Producción'!$C:$G,5,FALSE)),0)</f>
        <v>60279</v>
      </c>
      <c r="J47" s="7">
        <f>IFERROR(IF(Tabla14[[#This Row],[Oficina]]=$I$7,VLOOKUP(Tabla14[[#This Row],[Llave]],'[7]Shangai (Tomas)'!$A:$F,6,FALSE),VLOOKUP(Tabla14[[#This Row],[Llave]],'[6]RV plan de ventas'!$A:$E,5,FALSE)),0)</f>
        <v>48000</v>
      </c>
      <c r="K47" s="8">
        <f>IFERROR(VLOOKUP(Tabla14[[#This Row],[Sector]]&amp;Tabla14[[#This Row],[Oficina]],[8]Ponderación!$A$3:$G$22,7,FALSE),0)</f>
        <v>0.3545854356400317</v>
      </c>
      <c r="L47" s="7">
        <f>+Tabla14[[#This Row],[ RV Producción mes n+1]]*Tabla14[[#This Row],[% Uti. producción]]</f>
        <v>21374.055474945471</v>
      </c>
      <c r="M47" s="7">
        <f>IFERROR(VLOOKUP(Tabla14[[#This Row],[Material]],'[9]TD Stock'!$B:$C,2,FALSE),0)</f>
        <v>19678.294000000002</v>
      </c>
      <c r="N47" s="7">
        <f>IFERROR(VLOOKUP(Tabla14[[#This Row],[Material]],'[10]Consolidado planificación'!$B:$C,2,FALSE),0)</f>
        <v>0</v>
      </c>
      <c r="O47" s="7">
        <f>IFERROR(VLOOKUP(Tabla14[[#This Row],[Llave]],[11]Hoja2!$D:$G,4,FALSE),0)</f>
        <v>0</v>
      </c>
      <c r="P47" s="14">
        <f>SUM(Tabla14[[#This Row],[Producción disponible]],Tabla14[[#This Row],[Stock al día]],(Tabla14[[#This Row],[Por producir mes N]]*0.9))-Tabla14[[#This Row],[Producción por despachar mes N]]</f>
        <v>41052.349474945469</v>
      </c>
      <c r="Q47" s="7">
        <f>IFERROR(VLOOKUP(Tabla14[[#This Row],[Llave]],[9]DELAY!$A:$D,4,FALSE),0)</f>
        <v>37000</v>
      </c>
      <c r="R47" s="9">
        <v>23000</v>
      </c>
      <c r="S47" s="5">
        <f t="shared" si="5"/>
        <v>37000</v>
      </c>
      <c r="T47" s="76">
        <v>0</v>
      </c>
      <c r="U47" s="5">
        <f>+Tabla14[[#This Row],[Atraso a facturar]]+Tabla14[[#This Row],[Ajuste atraso]]</f>
        <v>37000</v>
      </c>
      <c r="V47" s="3">
        <f>+Tabla14[[#This Row],[Total disponible]]-Tabla14[[#This Row],[Facturación atraso]]</f>
        <v>4052.3494749454694</v>
      </c>
      <c r="W47" s="6">
        <f>IFERROR(IF(AND(V47&gt;R47,J47&gt;=R47),ROUNDDOWN((Tabla14[[#This Row],[Producción para venta nueva]])/R47,0)*R47,0),0)</f>
        <v>0</v>
      </c>
      <c r="X47" s="76">
        <v>0</v>
      </c>
      <c r="Y47" s="6">
        <f>IF(Tabla14[[#This Row],[Venta del mes]]&gt;0,Tabla14[[#This Row],[Venta del mes]]+Tabla14[[#This Row],[Ajuste venta nueva]],0)</f>
        <v>0</v>
      </c>
      <c r="Z47" s="6">
        <f>+Tabla14[[#This Row],[Producción para venta nueva]]-Tabla14[[#This Row],[Facturación Venta nueva]]</f>
        <v>4052.3494749454694</v>
      </c>
      <c r="AA47" s="6">
        <f>IF(AND(A47=1,Tabla14[[#This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7" s="6">
        <v>0</v>
      </c>
      <c r="AC47" s="6">
        <f>IF(Tabla14[[#This Row],[Disponible stock sin venta]]&gt;0,Tabla14[[#This Row],[Disponible stock sin venta]]+Tabla14[[#This Row],[Ajuste stock sin venta]],0)</f>
        <v>0</v>
      </c>
      <c r="AD47" s="3">
        <f>IFERROR(VLOOKUP(Tabla14[[#This Row],[Llave]],[12]Hoja1!$A:$D,4,FALSE),0)</f>
        <v>0</v>
      </c>
      <c r="AE4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37000</v>
      </c>
      <c r="AF47" s="3">
        <v>37000</v>
      </c>
      <c r="AG47" s="3">
        <f>+Tabla14[[#This Row],[En puerto a facturar]]</f>
        <v>0</v>
      </c>
      <c r="AH47" s="3">
        <f>+Tabla14[[#This Row],[Facturación atraso]]</f>
        <v>37000</v>
      </c>
      <c r="AI47" s="3">
        <f>+Tabla14[[#This Row],[Plan Irrestricto (DATO)]]-Tabla14[[#This Row],[Puerto ]]-Tabla14[[#This Row],[Atraso]]</f>
        <v>0</v>
      </c>
      <c r="AJ47" s="6">
        <f>IF(Tabla14[[#This Row],[Plan Irrestricto (DATO)]]&gt;0,SUM(Tabla14[[#This Row],[Facturación atraso]],Tabla14[[#This Row],[Facturación Venta nueva]],Tabla14[[#This Row],[Facturación stock]],Tabla14[[#This Row],[En puerto a facturar]]),0)</f>
        <v>37000</v>
      </c>
      <c r="AK47" s="3">
        <f>+Tabla14[[#This Row],[Facturación atraso]]</f>
        <v>37000</v>
      </c>
      <c r="AL47" s="3">
        <f>Tabla14[[#This Row],[Plan Ajustado]]-Tabla14[[#This Row],[ Atraso ajustado]]-Tabla14[[#This Row],[En puerto a facturar]]</f>
        <v>0</v>
      </c>
      <c r="AM47" s="3">
        <v>0</v>
      </c>
      <c r="AN47" s="3" t="s">
        <v>636</v>
      </c>
      <c r="AO47" s="3" t="str">
        <f>IF(Tabla14[[#This Row],[Plan Ajustado]]&gt;Tabla14[[#This Row],[En puerto a facturar]],"Si","No")</f>
        <v>Si</v>
      </c>
      <c r="AP47" s="3">
        <f>IF(AND(Tabla14[[#This Row],[Plan Ajustado]]&gt;0,Tabla14[[#This Row],[Plan Ajustado]]&gt;Tabla14[[#This Row],[En puerto a facturar]]),(Tabla14[[#This Row],[Plan Ajustado]]-Tabla14[[#This Row],[En puerto a facturar]]),0)</f>
        <v>37000</v>
      </c>
      <c r="AQ47" s="3">
        <f>IF(Tabla14[[#This Row],[Necesidad]]&gt;=Tabla14[[#This Row],[Stock al día]],Tabla14[[#This Row],[Stock al día]],Tabla14[[#This Row],[Necesidad]])</f>
        <v>19678.294000000002</v>
      </c>
      <c r="AR47" s="3">
        <f>+Tabla14[[#This Row],[Necesidad]]-Tabla14[[#This Row],[Stock Plan]]</f>
        <v>17321.705999999998</v>
      </c>
      <c r="AS47" s="155">
        <f>VLOOKUP(Tabla14[[#This Row],[Sector]]&amp;Tabla14[[#This Row],[Oficina]],[8]Ponderación!$A:$H,8,FALSE)</f>
        <v>44813</v>
      </c>
      <c r="AT47" s="30">
        <f>IFERROR(VLOOKUP(Tabla14[[#This Row],[Llave]],'[6]RV plan de ventas'!$A:$F,6,FALSE),0)</f>
        <v>3</v>
      </c>
      <c r="AU47" s="83">
        <f>IFERROR(VLOOKUP(Tabla14[[#This Row],[Llave]],[9]DELAY!$H:$X,17,FALSE),0)</f>
        <v>2.9977363485934894</v>
      </c>
      <c r="AV4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2.9977363485934894</v>
      </c>
      <c r="AW47" s="5">
        <f>Tabla14[[#This Row],[Pecio plan]]*Tabla14[[#This Row],[Plan Ajustado]]</f>
        <v>106930</v>
      </c>
      <c r="AX47" s="30">
        <f>IFERROR(VLOOKUP(Tabla14[[#This Row],[Llave]],'[13]Ultimos precios facturados'!$A:$G,7,FALSE),0)</f>
        <v>2.7651993616343189</v>
      </c>
      <c r="AY4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8.4094112773747301E-2</v>
      </c>
      <c r="AZ47" s="30">
        <f>IFERROR(VLOOKUP(Tabla14[[#This Row],[Llave]],Hoja2!B:K,10,FALSE),0)</f>
        <v>2.9066666666666663</v>
      </c>
      <c r="BA4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2.9977363485934894</v>
      </c>
      <c r="BB47" s="30">
        <v>2.89</v>
      </c>
      <c r="BC47" s="30">
        <f>IF(Tabla14[[#This Row],[Market]]=0,Tabla14[[#This Row],[Precio Final]],Tabla14[[#This Row],[Market]])</f>
        <v>2.89</v>
      </c>
      <c r="BD47" s="82"/>
      <c r="BE47" s="82" t="str">
        <f>IF(AND(Tabla14[[#This Row],[Atraso a facturar]]&gt;0,Tabla14[[#This Row],[En puerto a facturar]]&gt;0,Tabla14[[#This Row],[Precio Atraso]]=0),"Revisar","OK")</f>
        <v>OK</v>
      </c>
      <c r="BF47" s="82" t="str">
        <f>IF(AND(Tabla14[[#This Row],[Venta del mes]]&gt;0,Tabla14[[#This Row],[Precio venta nueva]]=0),"Revisar","OK")</f>
        <v>OK</v>
      </c>
      <c r="BG47" s="20">
        <f>IFERROR(VLOOKUP(Tabla14[[#This Row],[Llave]],'[5]Consolidación planes'!$A:$M,9,FALSE),0)</f>
        <v>24000</v>
      </c>
      <c r="BH47" s="20">
        <f>IFERROR(VLOOKUP(Tabla14[[#This Row],[Llave]],'[5]Consolidación planes'!$A:$M,10,FALSE),0)</f>
        <v>48000</v>
      </c>
      <c r="BI47" s="20">
        <f>IFERROR(VLOOKUP(Tabla14[[#This Row],[Llave]],'[5]Consolidación planes'!$A:$M,11,FALSE),0)</f>
        <v>48000</v>
      </c>
      <c r="BJ47" s="20">
        <f>IFERROR(VLOOKUP(Tabla14[[#This Row],[Llave]],'[5]Consolidación planes'!$A:$M,12,FALSE),0)</f>
        <v>34000</v>
      </c>
      <c r="BK47" s="20">
        <f>IFERROR(VLOOKUP(Tabla14[[#This Row],[Llave]],'[5]Consolidación planes'!$A:$M,13,FALSE),0)</f>
        <v>24000</v>
      </c>
      <c r="BL47" s="20">
        <f>IFERROR(VLOOKUP(Tabla14[[#This Row],[Llave]],'[13]Base ultimos planes'!$A:$M,13,FALSE),0)</f>
        <v>24000</v>
      </c>
      <c r="BM47" s="20">
        <f>IFERROR(VLOOKUP(Tabla14[[#This Row],[Llave]],'[13]Cruce plan irrestricto'!$C:$M,10,FALSE),0)</f>
        <v>142000</v>
      </c>
      <c r="BN47" s="20">
        <f>IFERROR(VLOOKUP(Tabla14[[#This Row],[Llave]],'[13]Cruce plan irrestricto'!$C:$M,11,FALSE),0)</f>
        <v>49000</v>
      </c>
      <c r="BO47" s="80">
        <f>IFERROR(VLOOKUP(Tabla14[[#This Row],[Llave]],'[13]Base ultimos planes'!$O:$AA,8,FALSE),0)</f>
        <v>66000</v>
      </c>
      <c r="BP47" s="20">
        <f>IFERROR(VLOOKUP(Tabla14[[#This Row],[Llave]],'[13]Base ultimos planes'!$O:$AA,9,FALSE),0)</f>
        <v>134400</v>
      </c>
      <c r="BQ47" s="20">
        <f>IFERROR(VLOOKUP(Tabla14[[#This Row],[Llave]],'[13]Base ultimos planes'!$O:$AA,10,FALSE),0)</f>
        <v>119520</v>
      </c>
      <c r="BR47" s="20">
        <f>IFERROR(VLOOKUP(Tabla14[[#This Row],[Llave]],'[13]Base ultimos planes'!$O:$AA,11,FALSE),0)</f>
        <v>86500</v>
      </c>
      <c r="BS47" s="20">
        <f>IFERROR(VLOOKUP(Tabla14[[#This Row],[Llave]],'[13]Base ultimos planes'!$O:$AA,12,FALSE),0)</f>
        <v>60000</v>
      </c>
      <c r="BT47" s="20">
        <f>IFERROR(VLOOKUP(Tabla14[[#This Row],[Llave]],'[13]Base ultimos planes'!$O:$AA,13,FALSE),0)</f>
        <v>73172</v>
      </c>
      <c r="BU47" s="20"/>
      <c r="BV47" s="20">
        <f>Tabla14[[#This Row],[ RV Producción mes n+1]]-Tabla14[[#This Row],[Producción disponible]]+Tabla14[[#This Row],[Saldo Volumen disponible]]</f>
        <v>42957.293999999994</v>
      </c>
      <c r="BW47" s="20">
        <f>IFERROR(VLOOKUP(Tabla14[[#This Row],[Llave]],[14]Hoja2!$J:$N,4,FALSE),0)</f>
        <v>48000</v>
      </c>
      <c r="BX47" s="20">
        <f>+Tabla14[[#This Row],[Asignación mes n+1]]*Tabla14[[#This Row],[% Uti. producción]]</f>
        <v>17020.100910721521</v>
      </c>
      <c r="BY47" s="20">
        <f>+Tabla14[[#This Row],[Ponderación mes n+1]]+Tabla14[[#This Row],[Saldo mes n-1]]</f>
        <v>59977.394910721516</v>
      </c>
      <c r="BZ47" s="20">
        <f>+Tabla14[[#This Row],[Asignación mes n+1]]-Tabla14[[#This Row],[Ponderación mes n+1]]</f>
        <v>30979.899089278479</v>
      </c>
      <c r="CA47" s="20">
        <f>IFERROR(VLOOKUP(Tabla14[[#This Row],[Llave]],[14]Hoja2!$J:$N,5,FALSE),0)</f>
        <v>53451.162199999999</v>
      </c>
      <c r="CB47" s="20">
        <f>+Tabla14[[#This Row],[Asignación mes n+2]]*Tabla14[[#This Row],[% Uti. producción]]</f>
        <v>18953.003634152996</v>
      </c>
      <c r="CC47" s="20">
        <f>+Tabla14[[#This Row],[Saldo mes n+2]]+Tabla14[[#This Row],[Ponderación mes n+2]]</f>
        <v>49932.902723431471</v>
      </c>
      <c r="CD47" s="20">
        <f>+Tabla14[[#This Row],[Asignación mes n+2]]-Tabla14[[#This Row],[Ponderación mes n+2]]</f>
        <v>34498.158565846999</v>
      </c>
    </row>
    <row r="48" spans="1:82" ht="16" x14ac:dyDescent="0.2">
      <c r="A48">
        <v>1</v>
      </c>
      <c r="B48" t="str">
        <f>Tabla14[[#This Row],[Oficina]]&amp;Tabla14[[#This Row],[Material]]</f>
        <v>Agro Sudamerica1021903</v>
      </c>
      <c r="C48" t="s">
        <v>6</v>
      </c>
      <c r="D48" t="s">
        <v>17</v>
      </c>
      <c r="E48">
        <v>1021903</v>
      </c>
      <c r="F48" t="s">
        <v>298</v>
      </c>
      <c r="G48" t="s">
        <v>76</v>
      </c>
      <c r="H48" t="s">
        <v>84</v>
      </c>
      <c r="I48" s="7">
        <f>IFERROR(IF(Tabla14[[#This Row],[Oficina]]=$I$7,VLOOKUP(Tabla14[[#This Row],[Material]],'[6]RV Producción'!$Y:$AA,3,FALSE),VLOOKUP(Tabla14[[#This Row],[Llave]],'[6]RV Producción'!$C:$G,5,FALSE)),0)</f>
        <v>0</v>
      </c>
      <c r="J48" s="7">
        <f>IFERROR(IF(Tabla14[[#This Row],[Oficina]]=$I$7,VLOOKUP(Tabla14[[#This Row],[Llave]],'[7]Shangai (Tomas)'!$A:$F,6,FALSE),VLOOKUP(Tabla14[[#This Row],[Llave]],'[6]RV plan de ventas'!$A:$E,5,FALSE)),0)</f>
        <v>0</v>
      </c>
      <c r="K48" s="8">
        <f>IFERROR(VLOOKUP(Tabla14[[#This Row],[Sector]]&amp;Tabla14[[#This Row],[Oficina]],[8]Ponderación!$A$3:$G$22,7,FALSE),0)</f>
        <v>0.3545854356400317</v>
      </c>
      <c r="L48" s="7">
        <f>+Tabla14[[#This Row],[ RV Producción mes n+1]]*Tabla14[[#This Row],[% Uti. producción]]</f>
        <v>0</v>
      </c>
      <c r="M48" s="7">
        <f>IFERROR(VLOOKUP(Tabla14[[#This Row],[Material]],'[9]TD Stock'!$B:$C,2,FALSE),0)</f>
        <v>0</v>
      </c>
      <c r="N48" s="7">
        <f>IFERROR(VLOOKUP(Tabla14[[#This Row],[Material]],'[10]Consolidado planificación'!$B:$C,2,FALSE),0)</f>
        <v>0</v>
      </c>
      <c r="O48" s="7">
        <f>IFERROR(VLOOKUP(Tabla14[[#This Row],[Llave]],[11]Hoja2!$D:$G,4,FALSE),0)</f>
        <v>0</v>
      </c>
      <c r="P48" s="14">
        <f>SUM(Tabla14[[#This Row],[Producción disponible]],Tabla14[[#This Row],[Stock al día]],(Tabla14[[#This Row],[Por producir mes N]]*0.9))-Tabla14[[#This Row],[Producción por despachar mes N]]</f>
        <v>0</v>
      </c>
      <c r="Q48" s="7">
        <f>IFERROR(VLOOKUP(Tabla14[[#This Row],[Llave]],[9]DELAY!$A:$D,4,FALSE),0)</f>
        <v>0</v>
      </c>
      <c r="R48" s="9">
        <v>23000</v>
      </c>
      <c r="S48" s="5">
        <f t="shared" si="5"/>
        <v>0</v>
      </c>
      <c r="T48" s="76">
        <v>0</v>
      </c>
      <c r="U48" s="5">
        <f>+Tabla14[[#This Row],[Atraso a facturar]]+Tabla14[[#This Row],[Ajuste atraso]]</f>
        <v>0</v>
      </c>
      <c r="V48" s="3">
        <f>+Tabla14[[#This Row],[Total disponible]]-Tabla14[[#This Row],[Facturación atraso]]</f>
        <v>0</v>
      </c>
      <c r="W48" s="6">
        <f>IFERROR(IF(AND(V48&gt;R48,J48&gt;=R48),ROUNDDOWN((Tabla14[[#This Row],[Producción para venta nueva]])/R48,0)*R48,0),0)</f>
        <v>0</v>
      </c>
      <c r="X48" s="76">
        <v>0</v>
      </c>
      <c r="Y48" s="6">
        <f>IF(Tabla14[[#This Row],[Venta del mes]]&gt;0,Tabla14[[#This Row],[Venta del mes]]+Tabla14[[#This Row],[Ajuste venta nueva]],0)</f>
        <v>0</v>
      </c>
      <c r="Z48" s="6">
        <f>+Tabla14[[#This Row],[Producción para venta nueva]]-Tabla14[[#This Row],[Facturación Venta nueva]]</f>
        <v>0</v>
      </c>
      <c r="AA48" s="6">
        <f>IF(AND(A48=1,Tabla14[[#This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8" s="6">
        <v>0</v>
      </c>
      <c r="AC48" s="6">
        <f>IF(Tabla14[[#This Row],[Disponible stock sin venta]]&gt;0,Tabla14[[#This Row],[Disponible stock sin venta]]+Tabla14[[#This Row],[Ajuste stock sin venta]],0)</f>
        <v>0</v>
      </c>
      <c r="AD48" s="3">
        <f>IFERROR(VLOOKUP(Tabla14[[#This Row],[Llave]],[12]Hoja1!$A:$D,4,FALSE),0)</f>
        <v>0</v>
      </c>
      <c r="AE48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48" s="3" t="b">
        <v>0</v>
      </c>
      <c r="AG48" s="3">
        <f>+Tabla14[[#This Row],[En puerto a facturar]]</f>
        <v>0</v>
      </c>
      <c r="AH48" s="3">
        <f>+Tabla14[[#This Row],[Facturación atraso]]</f>
        <v>0</v>
      </c>
      <c r="AI48" s="3">
        <f>+Tabla14[[#This Row],[Plan Irrestricto (DATO)]]-Tabla14[[#This Row],[Puerto ]]-Tabla14[[#This Row],[Atraso]]</f>
        <v>0</v>
      </c>
      <c r="AJ4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48" s="3">
        <f>+Tabla14[[#This Row],[Facturación atraso]]</f>
        <v>0</v>
      </c>
      <c r="AL48" s="3">
        <f>Tabla14[[#This Row],[Plan Ajustado]]-Tabla14[[#This Row],[ Atraso ajustado]]-Tabla14[[#This Row],[En puerto a facturar]]</f>
        <v>0</v>
      </c>
      <c r="AM48" s="3">
        <v>0</v>
      </c>
      <c r="AN48" s="3" t="e">
        <v>#REF!</v>
      </c>
      <c r="AO48" s="3" t="str">
        <f>IF(Tabla14[[#This Row],[Plan Ajustado]]&gt;Tabla14[[#This Row],[En puerto a facturar]],"Si","No")</f>
        <v>No</v>
      </c>
      <c r="AP4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48" s="3">
        <f>IF(Tabla14[[#This Row],[Necesidad]]&gt;=Tabla14[[#This Row],[Stock al día]],Tabla14[[#This Row],[Stock al día]],Tabla14[[#This Row],[Necesidad]])</f>
        <v>0</v>
      </c>
      <c r="AR48" s="3">
        <f>+Tabla14[[#This Row],[Necesidad]]-Tabla14[[#This Row],[Stock Plan]]</f>
        <v>0</v>
      </c>
      <c r="AS48" s="155">
        <f>VLOOKUP(Tabla14[[#This Row],[Sector]]&amp;Tabla14[[#This Row],[Oficina]],[8]Ponderación!$A:$H,8,FALSE)</f>
        <v>44813</v>
      </c>
      <c r="AT48" s="30">
        <f>IFERROR(VLOOKUP(Tabla14[[#This Row],[Llave]],'[6]RV plan de ventas'!$A:$F,6,FALSE),0)</f>
        <v>0</v>
      </c>
      <c r="AU48" s="83">
        <f>IFERROR(VLOOKUP(Tabla14[[#This Row],[Llave]],[9]DELAY!$H:$X,17,FALSE),0)</f>
        <v>0</v>
      </c>
      <c r="AV4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48" s="5">
        <f>Tabla14[[#This Row],[Pecio plan]]*Tabla14[[#This Row],[Plan Ajustado]]</f>
        <v>0</v>
      </c>
      <c r="AX48" s="30">
        <f>IFERROR(VLOOKUP(Tabla14[[#This Row],[Llave]],'[13]Ultimos precios facturados'!$A:$G,7,FALSE),0)</f>
        <v>1.2161043669806706</v>
      </c>
      <c r="AY4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48" s="30">
        <f>IFERROR(VLOOKUP(Tabla14[[#This Row],[Llave]],Hoja2!B:K,10,FALSE),0)</f>
        <v>0</v>
      </c>
      <c r="BA4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1.2161043669806706</v>
      </c>
      <c r="BB48" s="30">
        <v>0</v>
      </c>
      <c r="BC48" s="30">
        <f>IF(Tabla14[[#This Row],[Market]]=0,Tabla14[[#This Row],[Precio Final]],Tabla14[[#This Row],[Market]])</f>
        <v>1.2161043669806706</v>
      </c>
      <c r="BD48" s="82"/>
      <c r="BE48" s="82" t="str">
        <f>IF(AND(Tabla14[[#This Row],[Atraso a facturar]]&gt;0,Tabla14[[#This Row],[En puerto a facturar]]&gt;0,Tabla14[[#This Row],[Precio Atraso]]=0),"Revisar","OK")</f>
        <v>OK</v>
      </c>
      <c r="BF48" s="82" t="str">
        <f>IF(AND(Tabla14[[#This Row],[Venta del mes]]&gt;0,Tabla14[[#This Row],[Precio venta nueva]]=0),"Revisar","OK")</f>
        <v>OK</v>
      </c>
      <c r="BG48" s="20">
        <f>IFERROR(VLOOKUP(Tabla14[[#This Row],[Llave]],'[5]Consolidación planes'!$A:$M,9,FALSE),0)</f>
        <v>0</v>
      </c>
      <c r="BH48" s="20">
        <f>IFERROR(VLOOKUP(Tabla14[[#This Row],[Llave]],'[5]Consolidación planes'!$A:$M,10,FALSE),0)</f>
        <v>0</v>
      </c>
      <c r="BI48" s="20">
        <f>IFERROR(VLOOKUP(Tabla14[[#This Row],[Llave]],'[5]Consolidación planes'!$A:$M,11,FALSE),0)</f>
        <v>0</v>
      </c>
      <c r="BJ48" s="20">
        <f>IFERROR(VLOOKUP(Tabla14[[#This Row],[Llave]],'[5]Consolidación planes'!$A:$M,12,FALSE),0)</f>
        <v>0</v>
      </c>
      <c r="BK48" s="20">
        <f>IFERROR(VLOOKUP(Tabla14[[#This Row],[Llave]],'[5]Consolidación planes'!$A:$M,13,FALSE),0)</f>
        <v>24000</v>
      </c>
      <c r="BL48" s="20">
        <f>IFERROR(VLOOKUP(Tabla14[[#This Row],[Llave]],'[13]Base ultimos planes'!$A:$M,13,FALSE),0)</f>
        <v>0</v>
      </c>
      <c r="BM48" s="20">
        <f>IFERROR(VLOOKUP(Tabla14[[#This Row],[Llave]],'[13]Cruce plan irrestricto'!$C:$M,10,FALSE),0)</f>
        <v>0</v>
      </c>
      <c r="BN48" s="20">
        <f>IFERROR(VLOOKUP(Tabla14[[#This Row],[Llave]],'[13]Cruce plan irrestricto'!$C:$M,11,FALSE),0)</f>
        <v>0</v>
      </c>
      <c r="BO48" s="80">
        <f>IFERROR(VLOOKUP(Tabla14[[#This Row],[Llave]],'[13]Base ultimos planes'!$O:$AA,8,FALSE),0)</f>
        <v>0</v>
      </c>
      <c r="BP48" s="20">
        <f>IFERROR(VLOOKUP(Tabla14[[#This Row],[Llave]],'[13]Base ultimos planes'!$O:$AA,9,FALSE),0)</f>
        <v>0</v>
      </c>
      <c r="BQ48" s="20">
        <f>IFERROR(VLOOKUP(Tabla14[[#This Row],[Llave]],'[13]Base ultimos planes'!$O:$AA,10,FALSE),0)</f>
        <v>0</v>
      </c>
      <c r="BR48" s="20">
        <f>IFERROR(VLOOKUP(Tabla14[[#This Row],[Llave]],'[13]Base ultimos planes'!$O:$AA,11,FALSE),0)</f>
        <v>0</v>
      </c>
      <c r="BS48" s="20">
        <f>IFERROR(VLOOKUP(Tabla14[[#This Row],[Llave]],'[13]Base ultimos planes'!$O:$AA,12,FALSE),0)</f>
        <v>29280</v>
      </c>
      <c r="BT48" s="20">
        <f>IFERROR(VLOOKUP(Tabla14[[#This Row],[Llave]],'[13]Base ultimos planes'!$O:$AA,13,FALSE),0)</f>
        <v>0</v>
      </c>
      <c r="BU48" s="20"/>
      <c r="BV48" s="20">
        <f>Tabla14[[#This Row],[ RV Producción mes n+1]]-Tabla14[[#This Row],[Producción disponible]]+Tabla14[[#This Row],[Saldo Volumen disponible]]</f>
        <v>0</v>
      </c>
      <c r="BW48" s="20">
        <f>IFERROR(VLOOKUP(Tabla14[[#This Row],[Llave]],[14]Hoja2!$J:$N,4,FALSE),0)</f>
        <v>0</v>
      </c>
      <c r="BX48" s="20">
        <f>+Tabla14[[#This Row],[Asignación mes n+1]]*Tabla14[[#This Row],[% Uti. producción]]</f>
        <v>0</v>
      </c>
      <c r="BY48" s="20">
        <f>+Tabla14[[#This Row],[Ponderación mes n+1]]+Tabla14[[#This Row],[Saldo mes n-1]]</f>
        <v>0</v>
      </c>
      <c r="BZ48" s="20">
        <f>+Tabla14[[#This Row],[Asignación mes n+1]]-Tabla14[[#This Row],[Ponderación mes n+1]]</f>
        <v>0</v>
      </c>
      <c r="CA48" s="20">
        <f>IFERROR(VLOOKUP(Tabla14[[#This Row],[Llave]],[14]Hoja2!$J:$N,5,FALSE),0)</f>
        <v>0</v>
      </c>
      <c r="CB48" s="20">
        <f>+Tabla14[[#This Row],[Asignación mes n+2]]*Tabla14[[#This Row],[% Uti. producción]]</f>
        <v>0</v>
      </c>
      <c r="CC48" s="20">
        <f>+Tabla14[[#This Row],[Saldo mes n+2]]+Tabla14[[#This Row],[Ponderación mes n+2]]</f>
        <v>0</v>
      </c>
      <c r="CD48" s="20">
        <f>+Tabla14[[#This Row],[Asignación mes n+2]]-Tabla14[[#This Row],[Ponderación mes n+2]]</f>
        <v>0</v>
      </c>
    </row>
    <row r="49" spans="1:82" ht="16" x14ac:dyDescent="0.2">
      <c r="A49">
        <v>1</v>
      </c>
      <c r="B49" t="str">
        <f>Tabla14[[#This Row],[Oficina]]&amp;Tabla14[[#This Row],[Material]]</f>
        <v>Agro Sudamerica1021976</v>
      </c>
      <c r="C49" t="s">
        <v>6</v>
      </c>
      <c r="D49" t="s">
        <v>17</v>
      </c>
      <c r="E49">
        <v>1021976</v>
      </c>
      <c r="F49" t="s">
        <v>55</v>
      </c>
      <c r="G49" t="s">
        <v>53</v>
      </c>
      <c r="H49" t="s">
        <v>54</v>
      </c>
      <c r="I49" s="7">
        <f>IFERROR(IF(Tabla14[[#This Row],[Oficina]]=$I$7,VLOOKUP(Tabla14[[#This Row],[Material]],'[6]RV Producción'!$Y:$AA,3,FALSE),VLOOKUP(Tabla14[[#This Row],[Llave]],'[6]RV Producción'!$C:$G,5,FALSE)),0)</f>
        <v>55532</v>
      </c>
      <c r="J49" s="7">
        <f>IFERROR(IF(Tabla14[[#This Row],[Oficina]]=$I$7,VLOOKUP(Tabla14[[#This Row],[Llave]],'[7]Shangai (Tomas)'!$A:$F,6,FALSE),VLOOKUP(Tabla14[[#This Row],[Llave]],'[6]RV plan de ventas'!$A:$E,5,FALSE)),0)</f>
        <v>120000</v>
      </c>
      <c r="K49" s="8">
        <f>IFERROR(VLOOKUP(Tabla14[[#This Row],[Sector]]&amp;Tabla14[[#This Row],[Oficina]],[8]Ponderación!$A$3:$G$22,7,FALSE),0)</f>
        <v>0.3545854356400317</v>
      </c>
      <c r="L49" s="7">
        <f>+Tabla14[[#This Row],[ RV Producción mes n+1]]*Tabla14[[#This Row],[% Uti. producción]]</f>
        <v>19690.838411962239</v>
      </c>
      <c r="M49" s="7">
        <f>IFERROR(VLOOKUP(Tabla14[[#This Row],[Material]],'[9]TD Stock'!$B:$C,2,FALSE),0)</f>
        <v>93731.432000000001</v>
      </c>
      <c r="N49" s="7">
        <f>IFERROR(VLOOKUP(Tabla14[[#This Row],[Material]],'[10]Consolidado planificación'!$B:$C,2,FALSE),0)</f>
        <v>50032.588711942568</v>
      </c>
      <c r="O49" s="7">
        <f>IFERROR(VLOOKUP(Tabla14[[#This Row],[Llave]],[11]Hoja2!$D:$G,4,FALSE),0)</f>
        <v>0</v>
      </c>
      <c r="P49" s="14">
        <f>SUM(Tabla14[[#This Row],[Producción disponible]],Tabla14[[#This Row],[Stock al día]],(Tabla14[[#This Row],[Por producir mes N]]*0.9))-Tabla14[[#This Row],[Producción por despachar mes N]]</f>
        <v>158451.60025271054</v>
      </c>
      <c r="Q49" s="7">
        <f>IFERROR(VLOOKUP(Tabla14[[#This Row],[Llave]],[9]DELAY!$A:$D,4,FALSE),0)</f>
        <v>202859</v>
      </c>
      <c r="R49" s="9">
        <v>23000</v>
      </c>
      <c r="S49" s="5">
        <f t="shared" si="5"/>
        <v>138000</v>
      </c>
      <c r="T49" s="76">
        <v>0</v>
      </c>
      <c r="U49" s="5">
        <f>+Tabla14[[#This Row],[Atraso a facturar]]+Tabla14[[#This Row],[Ajuste atraso]]</f>
        <v>138000</v>
      </c>
      <c r="V49" s="3">
        <f>+Tabla14[[#This Row],[Total disponible]]-Tabla14[[#This Row],[Facturación atraso]]</f>
        <v>20451.600252710545</v>
      </c>
      <c r="W49" s="6">
        <f>IFERROR(IF(AND(V49&gt;R49,J49&gt;=R49),ROUNDDOWN((Tabla14[[#This Row],[Producción para venta nueva]])/R49,0)*R49,0),0)</f>
        <v>0</v>
      </c>
      <c r="X49" s="76">
        <v>0</v>
      </c>
      <c r="Y49" s="6">
        <f>IF(Tabla14[[#This Row],[Venta del mes]]&gt;0,Tabla14[[#This Row],[Venta del mes]]+Tabla14[[#This Row],[Ajuste venta nueva]],0)</f>
        <v>0</v>
      </c>
      <c r="Z49" s="6">
        <f>+Tabla14[[#This Row],[Producción para venta nueva]]-Tabla14[[#This Row],[Facturación Venta nueva]]</f>
        <v>20451.600252710545</v>
      </c>
      <c r="AA49" s="6">
        <f>IF(AND(A49=1,Tabla14[[#This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49" s="6">
        <v>0</v>
      </c>
      <c r="AC49" s="6">
        <f>IF(Tabla14[[#This Row],[Disponible stock sin venta]]&gt;0,Tabla14[[#This Row],[Disponible stock sin venta]]+Tabla14[[#This Row],[Ajuste stock sin venta]],0)</f>
        <v>0</v>
      </c>
      <c r="AD49" s="3">
        <f>IFERROR(VLOOKUP(Tabla14[[#This Row],[Llave]],[12]Hoja1!$A:$D,4,FALSE),0)</f>
        <v>4003.94</v>
      </c>
      <c r="AE4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142003.94</v>
      </c>
      <c r="AF49" s="3">
        <v>142003.94</v>
      </c>
      <c r="AG49" s="3">
        <f>+Tabla14[[#This Row],[En puerto a facturar]]</f>
        <v>4003.94</v>
      </c>
      <c r="AH49" s="3">
        <f>+Tabla14[[#This Row],[Facturación atraso]]</f>
        <v>138000</v>
      </c>
      <c r="AI49" s="3">
        <f>+Tabla14[[#This Row],[Plan Irrestricto (DATO)]]-Tabla14[[#This Row],[Puerto ]]-Tabla14[[#This Row],[Atraso]]</f>
        <v>0</v>
      </c>
      <c r="AJ49" s="6">
        <f>IF(Tabla14[[#This Row],[Plan Irrestricto (DATO)]]&gt;0,SUM(Tabla14[[#This Row],[Facturación atraso]],Tabla14[[#This Row],[Facturación Venta nueva]],Tabla14[[#This Row],[Facturación stock]],Tabla14[[#This Row],[En puerto a facturar]]),0)</f>
        <v>142003.94</v>
      </c>
      <c r="AK49" s="3">
        <f>+Tabla14[[#This Row],[Facturación atraso]]</f>
        <v>138000</v>
      </c>
      <c r="AL49" s="3">
        <f>Tabla14[[#This Row],[Plan Ajustado]]-Tabla14[[#This Row],[ Atraso ajustado]]-Tabla14[[#This Row],[En puerto a facturar]]</f>
        <v>0</v>
      </c>
      <c r="AM49" s="3">
        <v>0</v>
      </c>
      <c r="AN49" s="3" t="s">
        <v>636</v>
      </c>
      <c r="AO49" s="3" t="str">
        <f>IF(Tabla14[[#This Row],[Plan Ajustado]]&gt;Tabla14[[#This Row],[En puerto a facturar]],"Si","No")</f>
        <v>Si</v>
      </c>
      <c r="AP49" s="3">
        <f>IF(AND(Tabla14[[#This Row],[Plan Ajustado]]&gt;0,Tabla14[[#This Row],[Plan Ajustado]]&gt;Tabla14[[#This Row],[En puerto a facturar]]),(Tabla14[[#This Row],[Plan Ajustado]]-Tabla14[[#This Row],[En puerto a facturar]]),0)</f>
        <v>138000</v>
      </c>
      <c r="AQ49" s="3">
        <f>IF(Tabla14[[#This Row],[Necesidad]]&gt;=Tabla14[[#This Row],[Stock al día]],Tabla14[[#This Row],[Stock al día]],Tabla14[[#This Row],[Necesidad]])</f>
        <v>93731.432000000001</v>
      </c>
      <c r="AR49" s="3">
        <f>+Tabla14[[#This Row],[Necesidad]]-Tabla14[[#This Row],[Stock Plan]]</f>
        <v>44268.567999999999</v>
      </c>
      <c r="AS49" s="155">
        <f>VLOOKUP(Tabla14[[#This Row],[Sector]]&amp;Tabla14[[#This Row],[Oficina]],[8]Ponderación!$A:$H,8,FALSE)</f>
        <v>44813</v>
      </c>
      <c r="AT49" s="30">
        <f>IFERROR(VLOOKUP(Tabla14[[#This Row],[Llave]],'[6]RV plan de ventas'!$A:$F,6,FALSE),0)</f>
        <v>2.6</v>
      </c>
      <c r="AU49" s="83">
        <f>IFERROR(VLOOKUP(Tabla14[[#This Row],[Llave]],[9]DELAY!$H:$X,17,FALSE),0)</f>
        <v>2.6388972150927668</v>
      </c>
      <c r="AV4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2.6388972150927668</v>
      </c>
      <c r="AW49" s="5">
        <f>Tabla14[[#This Row],[Pecio plan]]*Tabla14[[#This Row],[Plan Ajustado]]</f>
        <v>369210.24400000001</v>
      </c>
      <c r="AX49" s="30">
        <f>IFERROR(VLOOKUP(Tabla14[[#This Row],[Llave]],'[13]Ultimos precios facturados'!$A:$G,7,FALSE),0)</f>
        <v>2.2858013679076996</v>
      </c>
      <c r="AY4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0.15447354793923856</v>
      </c>
      <c r="AZ49" s="30">
        <f>IFERROR(VLOOKUP(Tabla14[[#This Row],[Llave]],Hoja2!B:K,10,FALSE),0)</f>
        <v>2.4333370535714285</v>
      </c>
      <c r="BA4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2.6388972150927668</v>
      </c>
      <c r="BB49" s="30">
        <v>2.6</v>
      </c>
      <c r="BC49" s="30">
        <f>IF(Tabla14[[#This Row],[Market]]=0,Tabla14[[#This Row],[Precio Final]],Tabla14[[#This Row],[Market]])</f>
        <v>2.6</v>
      </c>
      <c r="BD49" s="82"/>
      <c r="BE49" s="82" t="str">
        <f>IF(AND(Tabla14[[#This Row],[Atraso a facturar]]&gt;0,Tabla14[[#This Row],[En puerto a facturar]]&gt;0,Tabla14[[#This Row],[Precio Atraso]]=0),"Revisar","OK")</f>
        <v>OK</v>
      </c>
      <c r="BF49" s="82" t="str">
        <f>IF(AND(Tabla14[[#This Row],[Venta del mes]]&gt;0,Tabla14[[#This Row],[Precio venta nueva]]=0),"Revisar","OK")</f>
        <v>OK</v>
      </c>
      <c r="BG49" s="20">
        <f>IFERROR(VLOOKUP(Tabla14[[#This Row],[Llave]],'[5]Consolidación planes'!$A:$M,9,FALSE),0)</f>
        <v>80000</v>
      </c>
      <c r="BH49" s="20">
        <f>IFERROR(VLOOKUP(Tabla14[[#This Row],[Llave]],'[5]Consolidación planes'!$A:$M,10,FALSE),0)</f>
        <v>187000</v>
      </c>
      <c r="BI49" s="20">
        <f>IFERROR(VLOOKUP(Tabla14[[#This Row],[Llave]],'[5]Consolidación planes'!$A:$M,11,FALSE),0)</f>
        <v>312000</v>
      </c>
      <c r="BJ49" s="20">
        <f>IFERROR(VLOOKUP(Tabla14[[#This Row],[Llave]],'[5]Consolidación planes'!$A:$M,12,FALSE),0)</f>
        <v>168000</v>
      </c>
      <c r="BK49" s="20">
        <f>IFERROR(VLOOKUP(Tabla14[[#This Row],[Llave]],'[5]Consolidación planes'!$A:$M,13,FALSE),0)</f>
        <v>340000</v>
      </c>
      <c r="BL49" s="20">
        <f>IFERROR(VLOOKUP(Tabla14[[#This Row],[Llave]],'[13]Base ultimos planes'!$A:$M,13,FALSE),0)</f>
        <v>254000</v>
      </c>
      <c r="BM49" s="20">
        <f>IFERROR(VLOOKUP(Tabla14[[#This Row],[Llave]],'[13]Cruce plan irrestricto'!$C:$M,10,FALSE),0)</f>
        <v>220000</v>
      </c>
      <c r="BN49" s="20">
        <f>IFERROR(VLOOKUP(Tabla14[[#This Row],[Llave]],'[13]Cruce plan irrestricto'!$C:$M,11,FALSE),0)</f>
        <v>168000</v>
      </c>
      <c r="BO49" s="80">
        <f>IFERROR(VLOOKUP(Tabla14[[#This Row],[Llave]],'[13]Base ultimos planes'!$O:$AA,8,FALSE),0)</f>
        <v>179200</v>
      </c>
      <c r="BP49" s="20">
        <f>IFERROR(VLOOKUP(Tabla14[[#This Row],[Llave]],'[13]Base ultimos planes'!$O:$AA,9,FALSE),0)</f>
        <v>405233</v>
      </c>
      <c r="BQ49" s="20">
        <f>IFERROR(VLOOKUP(Tabla14[[#This Row],[Llave]],'[13]Base ultimos planes'!$O:$AA,10,FALSE),0)</f>
        <v>682914</v>
      </c>
      <c r="BR49" s="20">
        <f>IFERROR(VLOOKUP(Tabla14[[#This Row],[Llave]],'[13]Base ultimos planes'!$O:$AA,11,FALSE),0)</f>
        <v>369600</v>
      </c>
      <c r="BS49" s="20">
        <f>IFERROR(VLOOKUP(Tabla14[[#This Row],[Llave]],'[13]Base ultimos planes'!$O:$AA,12,FALSE),0)</f>
        <v>769345</v>
      </c>
      <c r="BT49" s="20">
        <f>IFERROR(VLOOKUP(Tabla14[[#This Row],[Llave]],'[13]Base ultimos planes'!$O:$AA,13,FALSE),0)</f>
        <v>595202</v>
      </c>
      <c r="BU49" s="20"/>
      <c r="BV49" s="20">
        <f>Tabla14[[#This Row],[ RV Producción mes n+1]]-Tabla14[[#This Row],[Producción disponible]]+Tabla14[[#This Row],[Saldo Volumen disponible]]</f>
        <v>56292.76184074831</v>
      </c>
      <c r="BW49" s="20">
        <f>IFERROR(VLOOKUP(Tabla14[[#This Row],[Llave]],[14]Hoja2!$J:$N,4,FALSE),0)</f>
        <v>120000</v>
      </c>
      <c r="BX49" s="20">
        <f>+Tabla14[[#This Row],[Asignación mes n+1]]*Tabla14[[#This Row],[% Uti. producción]]</f>
        <v>42550.252276803803</v>
      </c>
      <c r="BY49" s="20">
        <f>+Tabla14[[#This Row],[Ponderación mes n+1]]+Tabla14[[#This Row],[Saldo mes n-1]]</f>
        <v>98843.014117552113</v>
      </c>
      <c r="BZ49" s="20">
        <f>+Tabla14[[#This Row],[Asignación mes n+1]]-Tabla14[[#This Row],[Ponderación mes n+1]]</f>
        <v>77449.747723196197</v>
      </c>
      <c r="CA49" s="20">
        <f>IFERROR(VLOOKUP(Tabla14[[#This Row],[Llave]],[14]Hoja2!$J:$N,5,FALSE),0)</f>
        <v>192000</v>
      </c>
      <c r="CB49" s="20">
        <f>+Tabla14[[#This Row],[Asignación mes n+2]]*Tabla14[[#This Row],[% Uti. producción]]</f>
        <v>68080.403642886085</v>
      </c>
      <c r="CC49" s="20">
        <f>+Tabla14[[#This Row],[Saldo mes n+2]]+Tabla14[[#This Row],[Ponderación mes n+2]]</f>
        <v>145530.15136608228</v>
      </c>
      <c r="CD49" s="20">
        <f>+Tabla14[[#This Row],[Asignación mes n+2]]-Tabla14[[#This Row],[Ponderación mes n+2]]</f>
        <v>123919.59635711391</v>
      </c>
    </row>
    <row r="50" spans="1:82" ht="16" x14ac:dyDescent="0.2">
      <c r="A50">
        <v>1</v>
      </c>
      <c r="B50" t="str">
        <f>Tabla14[[#This Row],[Oficina]]&amp;Tabla14[[#This Row],[Material]]</f>
        <v>Agro Sudamerica1022047</v>
      </c>
      <c r="C50" t="s">
        <v>6</v>
      </c>
      <c r="D50" t="s">
        <v>17</v>
      </c>
      <c r="E50">
        <v>1022047</v>
      </c>
      <c r="F50" t="s">
        <v>314</v>
      </c>
      <c r="G50" t="s">
        <v>71</v>
      </c>
      <c r="H50" t="s">
        <v>72</v>
      </c>
      <c r="I50" s="7">
        <f>IFERROR(IF(Tabla14[[#This Row],[Oficina]]=$I$7,VLOOKUP(Tabla14[[#This Row],[Material]],'[6]RV Producción'!$Y:$AA,3,FALSE),VLOOKUP(Tabla14[[#This Row],[Llave]],'[6]RV Producción'!$C:$G,5,FALSE)),0)</f>
        <v>24000</v>
      </c>
      <c r="J50" s="7">
        <f>IFERROR(IF(Tabla14[[#This Row],[Oficina]]=$I$7,VLOOKUP(Tabla14[[#This Row],[Llave]],'[7]Shangai (Tomas)'!$A:$F,6,FALSE),VLOOKUP(Tabla14[[#This Row],[Llave]],'[6]RV plan de ventas'!$A:$E,5,FALSE)),0)</f>
        <v>24000</v>
      </c>
      <c r="K50" s="8">
        <f>IFERROR(VLOOKUP(Tabla14[[#This Row],[Sector]]&amp;Tabla14[[#This Row],[Oficina]],[8]Ponderación!$A$3:$G$22,7,FALSE),0)</f>
        <v>0.3545854356400317</v>
      </c>
      <c r="L50" s="7">
        <f>+Tabla14[[#This Row],[ RV Producción mes n+1]]*Tabla14[[#This Row],[% Uti. producción]]</f>
        <v>8510.0504553607607</v>
      </c>
      <c r="M50" s="7">
        <f>IFERROR(VLOOKUP(Tabla14[[#This Row],[Material]],'[9]TD Stock'!$B:$C,2,FALSE),0)</f>
        <v>1603.085</v>
      </c>
      <c r="N50" s="7">
        <f>IFERROR(VLOOKUP(Tabla14[[#This Row],[Material]],'[10]Consolidado planificación'!$B:$C,2,FALSE),0)</f>
        <v>0</v>
      </c>
      <c r="O50" s="7">
        <f>IFERROR(VLOOKUP(Tabla14[[#This Row],[Llave]],[11]Hoja2!$D:$G,4,FALSE),0)</f>
        <v>0</v>
      </c>
      <c r="P50" s="14">
        <f>SUM(Tabla14[[#This Row],[Producción disponible]],Tabla14[[#This Row],[Stock al día]],(Tabla14[[#This Row],[Por producir mes N]]*0.9))-Tabla14[[#This Row],[Producción por despachar mes N]]</f>
        <v>10113.13545536076</v>
      </c>
      <c r="Q50" s="7">
        <f>IFERROR(VLOOKUP(Tabla14[[#This Row],[Llave]],[9]DELAY!$A:$D,4,FALSE),0)</f>
        <v>0</v>
      </c>
      <c r="R50" s="9">
        <v>23000</v>
      </c>
      <c r="S50" s="5">
        <f t="shared" si="5"/>
        <v>0</v>
      </c>
      <c r="T50" s="76">
        <v>0</v>
      </c>
      <c r="U50" s="5">
        <f>+Tabla14[[#This Row],[Atraso a facturar]]+Tabla14[[#This Row],[Ajuste atraso]]</f>
        <v>0</v>
      </c>
      <c r="V50" s="3">
        <f>+Tabla14[[#This Row],[Total disponible]]-Tabla14[[#This Row],[Facturación atraso]]</f>
        <v>10113.13545536076</v>
      </c>
      <c r="W50" s="6">
        <f>IFERROR(IF(AND(V50&gt;R50,J50&gt;=R50),ROUNDDOWN((Tabla14[[#This Row],[Producción para venta nueva]])/R50,0)*R50,0),0)</f>
        <v>0</v>
      </c>
      <c r="X50" s="76">
        <v>0</v>
      </c>
      <c r="Y50" s="6">
        <f>IF(Tabla14[[#This Row],[Venta del mes]]&gt;0,Tabla14[[#This Row],[Venta del mes]]+Tabla14[[#This Row],[Ajuste venta nueva]],0)</f>
        <v>0</v>
      </c>
      <c r="Z50" s="6">
        <f>+Tabla14[[#This Row],[Producción para venta nueva]]-Tabla14[[#This Row],[Facturación Venta nueva]]</f>
        <v>10113.13545536076</v>
      </c>
      <c r="AA50" s="6">
        <f>IF(AND(A50=1,Tabla14[[#This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0" s="6">
        <v>0</v>
      </c>
      <c r="AC50" s="6">
        <f>IF(Tabla14[[#This Row],[Disponible stock sin venta]]&gt;0,Tabla14[[#This Row],[Disponible stock sin venta]]+Tabla14[[#This Row],[Ajuste stock sin venta]],0)</f>
        <v>0</v>
      </c>
      <c r="AD50" s="3">
        <f>IFERROR(VLOOKUP(Tabla14[[#This Row],[Llave]],[12]Hoja1!$A:$D,4,FALSE),0)</f>
        <v>0</v>
      </c>
      <c r="AE5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50" s="3">
        <v>0</v>
      </c>
      <c r="AG50" s="3">
        <f>+Tabla14[[#This Row],[En puerto a facturar]]</f>
        <v>0</v>
      </c>
      <c r="AH50" s="3">
        <f>+Tabla14[[#This Row],[Facturación atraso]]</f>
        <v>0</v>
      </c>
      <c r="AI50" s="3">
        <f>+Tabla14[[#This Row],[Plan Irrestricto (DATO)]]-Tabla14[[#This Row],[Puerto ]]-Tabla14[[#This Row],[Atraso]]</f>
        <v>0</v>
      </c>
      <c r="AJ5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50" s="3">
        <f>+Tabla14[[#This Row],[Facturación atraso]]</f>
        <v>0</v>
      </c>
      <c r="AL50" s="3">
        <f>Tabla14[[#This Row],[Plan Ajustado]]-Tabla14[[#This Row],[ Atraso ajustado]]-Tabla14[[#This Row],[En puerto a facturar]]</f>
        <v>0</v>
      </c>
      <c r="AM50" s="3">
        <v>0</v>
      </c>
      <c r="AN50" s="3" t="e">
        <v>#REF!</v>
      </c>
      <c r="AO50" s="3" t="str">
        <f>IF(Tabla14[[#This Row],[Plan Ajustado]]&gt;Tabla14[[#This Row],[En puerto a facturar]],"Si","No")</f>
        <v>No</v>
      </c>
      <c r="AP5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50" s="3">
        <f>IF(Tabla14[[#This Row],[Necesidad]]&gt;=Tabla14[[#This Row],[Stock al día]],Tabla14[[#This Row],[Stock al día]],Tabla14[[#This Row],[Necesidad]])</f>
        <v>0</v>
      </c>
      <c r="AR50" s="3">
        <f>+Tabla14[[#This Row],[Necesidad]]-Tabla14[[#This Row],[Stock Plan]]</f>
        <v>0</v>
      </c>
      <c r="AS50" s="155">
        <f>VLOOKUP(Tabla14[[#This Row],[Sector]]&amp;Tabla14[[#This Row],[Oficina]],[8]Ponderación!$A:$H,8,FALSE)</f>
        <v>44813</v>
      </c>
      <c r="AT50" s="30">
        <f>IFERROR(VLOOKUP(Tabla14[[#This Row],[Llave]],'[6]RV plan de ventas'!$A:$F,6,FALSE),0)</f>
        <v>1.4866666666666699</v>
      </c>
      <c r="AU50" s="83">
        <f>IFERROR(VLOOKUP(Tabla14[[#This Row],[Llave]],[9]DELAY!$H:$X,17,FALSE),0)</f>
        <v>0</v>
      </c>
      <c r="AV5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50" s="5">
        <f>Tabla14[[#This Row],[Pecio plan]]*Tabla14[[#This Row],[Plan Ajustado]]</f>
        <v>0</v>
      </c>
      <c r="AX50" s="30">
        <f>IFERROR(VLOOKUP(Tabla14[[#This Row],[Llave]],'[13]Ultimos precios facturados'!$A:$G,7,FALSE),0)</f>
        <v>1.3361597521241988</v>
      </c>
      <c r="AY5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50" s="30">
        <f>IFERROR(VLOOKUP(Tabla14[[#This Row],[Llave]],Hoja2!B:K,10,FALSE),0)</f>
        <v>0</v>
      </c>
      <c r="BA5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50" s="30">
        <v>0</v>
      </c>
      <c r="BC50" s="30">
        <f>IF(Tabla14[[#This Row],[Market]]=0,Tabla14[[#This Row],[Precio Final]],Tabla14[[#This Row],[Market]])</f>
        <v>0</v>
      </c>
      <c r="BD50" s="82"/>
      <c r="BE50" s="82" t="str">
        <f>IF(AND(Tabla14[[#This Row],[Atraso a facturar]]&gt;0,Tabla14[[#This Row],[En puerto a facturar]]&gt;0,Tabla14[[#This Row],[Precio Atraso]]=0),"Revisar","OK")</f>
        <v>OK</v>
      </c>
      <c r="BF50" s="82" t="str">
        <f>IF(AND(Tabla14[[#This Row],[Venta del mes]]&gt;0,Tabla14[[#This Row],[Precio venta nueva]]=0),"Revisar","OK")</f>
        <v>OK</v>
      </c>
      <c r="BG50" s="20">
        <f>IFERROR(VLOOKUP(Tabla14[[#This Row],[Llave]],'[5]Consolidación planes'!$A:$M,9,FALSE),0)</f>
        <v>0</v>
      </c>
      <c r="BH50" s="20">
        <f>IFERROR(VLOOKUP(Tabla14[[#This Row],[Llave]],'[5]Consolidación planes'!$A:$M,10,FALSE),0)</f>
        <v>0</v>
      </c>
      <c r="BI50" s="20">
        <f>IFERROR(VLOOKUP(Tabla14[[#This Row],[Llave]],'[5]Consolidación planes'!$A:$M,11,FALSE),0)</f>
        <v>0</v>
      </c>
      <c r="BJ50" s="20">
        <f>IFERROR(VLOOKUP(Tabla14[[#This Row],[Llave]],'[5]Consolidación planes'!$A:$M,12,FALSE),0)</f>
        <v>48000</v>
      </c>
      <c r="BK50" s="20">
        <f>IFERROR(VLOOKUP(Tabla14[[#This Row],[Llave]],'[5]Consolidación planes'!$A:$M,13,FALSE),0)</f>
        <v>0</v>
      </c>
      <c r="BL50" s="20">
        <f>IFERROR(VLOOKUP(Tabla14[[#This Row],[Llave]],'[13]Base ultimos planes'!$A:$M,13,FALSE),0)</f>
        <v>0</v>
      </c>
      <c r="BM50" s="20">
        <f>IFERROR(VLOOKUP(Tabla14[[#This Row],[Llave]],'[13]Cruce plan irrestricto'!$C:$M,10,FALSE),0)</f>
        <v>24000</v>
      </c>
      <c r="BN50" s="20">
        <f>IFERROR(VLOOKUP(Tabla14[[#This Row],[Llave]],'[13]Cruce plan irrestricto'!$C:$M,11,FALSE),0)</f>
        <v>0</v>
      </c>
      <c r="BO50" s="80">
        <f>IFERROR(VLOOKUP(Tabla14[[#This Row],[Llave]],'[13]Base ultimos planes'!$O:$AA,8,FALSE),0)</f>
        <v>0</v>
      </c>
      <c r="BP50" s="20">
        <f>IFERROR(VLOOKUP(Tabla14[[#This Row],[Llave]],'[13]Base ultimos planes'!$O:$AA,9,FALSE),0)</f>
        <v>0</v>
      </c>
      <c r="BQ50" s="20">
        <f>IFERROR(VLOOKUP(Tabla14[[#This Row],[Llave]],'[13]Base ultimos planes'!$O:$AA,10,FALSE),0)</f>
        <v>0</v>
      </c>
      <c r="BR50" s="20">
        <f>IFERROR(VLOOKUP(Tabla14[[#This Row],[Llave]],'[13]Base ultimos planes'!$O:$AA,11,FALSE),0)</f>
        <v>63600</v>
      </c>
      <c r="BS50" s="20">
        <f>IFERROR(VLOOKUP(Tabla14[[#This Row],[Llave]],'[13]Base ultimos planes'!$O:$AA,12,FALSE),0)</f>
        <v>0</v>
      </c>
      <c r="BT50" s="20">
        <f>IFERROR(VLOOKUP(Tabla14[[#This Row],[Llave]],'[13]Base ultimos planes'!$O:$AA,13,FALSE),0)</f>
        <v>0</v>
      </c>
      <c r="BU50" s="20"/>
      <c r="BV50" s="20">
        <f>Tabla14[[#This Row],[ RV Producción mes n+1]]-Tabla14[[#This Row],[Producción disponible]]+Tabla14[[#This Row],[Saldo Volumen disponible]]</f>
        <v>25603.084999999999</v>
      </c>
      <c r="BW50" s="20">
        <f>IFERROR(VLOOKUP(Tabla14[[#This Row],[Llave]],[14]Hoja2!$J:$N,4,FALSE),0)</f>
        <v>0</v>
      </c>
      <c r="BX50" s="20">
        <f>+Tabla14[[#This Row],[Asignación mes n+1]]*Tabla14[[#This Row],[% Uti. producción]]</f>
        <v>0</v>
      </c>
      <c r="BY50" s="20">
        <f>+Tabla14[[#This Row],[Ponderación mes n+1]]+Tabla14[[#This Row],[Saldo mes n-1]]</f>
        <v>25603.084999999999</v>
      </c>
      <c r="BZ50" s="20">
        <f>+Tabla14[[#This Row],[Asignación mes n+1]]-Tabla14[[#This Row],[Ponderación mes n+1]]</f>
        <v>0</v>
      </c>
      <c r="CA50" s="20">
        <f>IFERROR(VLOOKUP(Tabla14[[#This Row],[Llave]],[14]Hoja2!$J:$N,5,FALSE),0)</f>
        <v>0</v>
      </c>
      <c r="CB50" s="20">
        <f>+Tabla14[[#This Row],[Asignación mes n+2]]*Tabla14[[#This Row],[% Uti. producción]]</f>
        <v>0</v>
      </c>
      <c r="CC50" s="20">
        <f>+Tabla14[[#This Row],[Saldo mes n+2]]+Tabla14[[#This Row],[Ponderación mes n+2]]</f>
        <v>0</v>
      </c>
      <c r="CD50" s="20">
        <f>+Tabla14[[#This Row],[Asignación mes n+2]]-Tabla14[[#This Row],[Ponderación mes n+2]]</f>
        <v>0</v>
      </c>
    </row>
    <row r="51" spans="1:82" ht="16" x14ac:dyDescent="0.2">
      <c r="A51">
        <v>1</v>
      </c>
      <c r="B51" t="str">
        <f>Tabla14[[#This Row],[Oficina]]&amp;Tabla14[[#This Row],[Material]]</f>
        <v>Agro Sudamerica1022149</v>
      </c>
      <c r="C51" t="s">
        <v>6</v>
      </c>
      <c r="D51" t="s">
        <v>17</v>
      </c>
      <c r="E51">
        <v>1022149</v>
      </c>
      <c r="F51" t="s">
        <v>70</v>
      </c>
      <c r="G51" t="s">
        <v>67</v>
      </c>
      <c r="H51" t="s">
        <v>68</v>
      </c>
      <c r="I51" s="7">
        <f>IFERROR(IF(Tabla14[[#This Row],[Oficina]]=$I$7,VLOOKUP(Tabla14[[#This Row],[Material]],'[6]RV Producción'!$Y:$AA,3,FALSE),VLOOKUP(Tabla14[[#This Row],[Llave]],'[6]RV Producción'!$C:$G,5,FALSE)),0)</f>
        <v>0</v>
      </c>
      <c r="J51" s="7">
        <f>IFERROR(IF(Tabla14[[#This Row],[Oficina]]=$I$7,VLOOKUP(Tabla14[[#This Row],[Llave]],'[7]Shangai (Tomas)'!$A:$F,6,FALSE),VLOOKUP(Tabla14[[#This Row],[Llave]],'[6]RV plan de ventas'!$A:$E,5,FALSE)),0)</f>
        <v>0</v>
      </c>
      <c r="K51" s="8">
        <f>IFERROR(VLOOKUP(Tabla14[[#This Row],[Sector]]&amp;Tabla14[[#This Row],[Oficina]],[8]Ponderación!$A$3:$G$22,7,FALSE),0)</f>
        <v>0.3545854356400317</v>
      </c>
      <c r="L51" s="7">
        <f>+Tabla14[[#This Row],[ RV Producción mes n+1]]*Tabla14[[#This Row],[% Uti. producción]]</f>
        <v>0</v>
      </c>
      <c r="M51" s="7">
        <f>IFERROR(VLOOKUP(Tabla14[[#This Row],[Material]],'[9]TD Stock'!$B:$C,2,FALSE),0)</f>
        <v>19080.382999999994</v>
      </c>
      <c r="N51" s="7">
        <f>IFERROR(VLOOKUP(Tabla14[[#This Row],[Material]],'[10]Consolidado planificación'!$B:$C,2,FALSE),0)</f>
        <v>11200</v>
      </c>
      <c r="O51" s="7">
        <f>IFERROR(VLOOKUP(Tabla14[[#This Row],[Llave]],[11]Hoja2!$D:$G,4,FALSE),0)</f>
        <v>0</v>
      </c>
      <c r="P51" s="14">
        <f>SUM(Tabla14[[#This Row],[Producción disponible]],Tabla14[[#This Row],[Stock al día]],(Tabla14[[#This Row],[Por producir mes N]]*0.9))-Tabla14[[#This Row],[Producción por despachar mes N]]</f>
        <v>29160.382999999994</v>
      </c>
      <c r="Q51" s="7">
        <f>IFERROR(VLOOKUP(Tabla14[[#This Row],[Llave]],[9]DELAY!$A:$D,4,FALSE),0)</f>
        <v>60000</v>
      </c>
      <c r="R51" s="9">
        <v>23000</v>
      </c>
      <c r="S51" s="5">
        <f t="shared" si="5"/>
        <v>23000</v>
      </c>
      <c r="T51" s="76">
        <v>0</v>
      </c>
      <c r="U51" s="5">
        <f>+Tabla14[[#This Row],[Atraso a facturar]]+Tabla14[[#This Row],[Ajuste atraso]]</f>
        <v>23000</v>
      </c>
      <c r="V51" s="3">
        <f>+Tabla14[[#This Row],[Total disponible]]-Tabla14[[#This Row],[Facturación atraso]]</f>
        <v>6160.3829999999944</v>
      </c>
      <c r="W51" s="6">
        <f>IFERROR(IF(AND(V51&gt;R51,J51&gt;=R51),ROUNDDOWN((Tabla14[[#This Row],[Producción para venta nueva]])/R51,0)*R51,0),0)</f>
        <v>0</v>
      </c>
      <c r="X51" s="76">
        <v>0</v>
      </c>
      <c r="Y51" s="6">
        <f>IF(Tabla14[[#This Row],[Venta del mes]]&gt;0,Tabla14[[#This Row],[Venta del mes]]+Tabla14[[#This Row],[Ajuste venta nueva]],0)</f>
        <v>0</v>
      </c>
      <c r="Z51" s="6">
        <f>+Tabla14[[#This Row],[Producción para venta nueva]]-Tabla14[[#This Row],[Facturación Venta nueva]]</f>
        <v>6160.3829999999944</v>
      </c>
      <c r="AA51" s="6">
        <f>IF(AND(A51=1,Tabla14[[#This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1" s="6">
        <v>0</v>
      </c>
      <c r="AC51" s="6">
        <f>IF(Tabla14[[#This Row],[Disponible stock sin venta]]&gt;0,Tabla14[[#This Row],[Disponible stock sin venta]]+Tabla14[[#This Row],[Ajuste stock sin venta]],0)</f>
        <v>0</v>
      </c>
      <c r="AD51" s="3">
        <f>IFERROR(VLOOKUP(Tabla14[[#This Row],[Llave]],[12]Hoja1!$A:$D,4,FALSE),0)</f>
        <v>0</v>
      </c>
      <c r="AE5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51" s="3">
        <v>23000</v>
      </c>
      <c r="AG51" s="3">
        <f>+Tabla14[[#This Row],[En puerto a facturar]]</f>
        <v>0</v>
      </c>
      <c r="AH51" s="3">
        <f>+Tabla14[[#This Row],[Facturación atraso]]</f>
        <v>23000</v>
      </c>
      <c r="AI51" s="3">
        <f>+Tabla14[[#This Row],[Plan Irrestricto (DATO)]]-Tabla14[[#This Row],[Puerto ]]-Tabla14[[#This Row],[Atraso]]</f>
        <v>0</v>
      </c>
      <c r="AJ51" s="6">
        <f>IF(Tabla14[[#This Row],[Plan Irrestricto (DATO)]]&gt;0,SUM(Tabla14[[#This Row],[Facturación atraso]],Tabla14[[#This Row],[Facturación Venta nueva]],Tabla14[[#This Row],[Facturación stock]],Tabla14[[#This Row],[En puerto a facturar]]),0)</f>
        <v>23000</v>
      </c>
      <c r="AK51" s="3">
        <f>+Tabla14[[#This Row],[Facturación atraso]]</f>
        <v>23000</v>
      </c>
      <c r="AL51" s="3">
        <f>Tabla14[[#This Row],[Plan Ajustado]]-Tabla14[[#This Row],[ Atraso ajustado]]-Tabla14[[#This Row],[En puerto a facturar]]</f>
        <v>0</v>
      </c>
      <c r="AM51" s="3">
        <v>0</v>
      </c>
      <c r="AN51" s="3" t="s">
        <v>636</v>
      </c>
      <c r="AO51" s="3" t="str">
        <f>IF(Tabla14[[#This Row],[Plan Ajustado]]&gt;Tabla14[[#This Row],[En puerto a facturar]],"Si","No")</f>
        <v>Si</v>
      </c>
      <c r="AP51" s="3">
        <f>IF(AND(Tabla14[[#This Row],[Plan Ajustado]]&gt;0,Tabla14[[#This Row],[Plan Ajustado]]&gt;Tabla14[[#This Row],[En puerto a facturar]]),(Tabla14[[#This Row],[Plan Ajustado]]-Tabla14[[#This Row],[En puerto a facturar]]),0)</f>
        <v>23000</v>
      </c>
      <c r="AQ51" s="3">
        <f>IF(Tabla14[[#This Row],[Necesidad]]&gt;=Tabla14[[#This Row],[Stock al día]],Tabla14[[#This Row],[Stock al día]],Tabla14[[#This Row],[Necesidad]])</f>
        <v>19080.382999999994</v>
      </c>
      <c r="AR51" s="3">
        <f>+Tabla14[[#This Row],[Necesidad]]-Tabla14[[#This Row],[Stock Plan]]</f>
        <v>3919.6170000000056</v>
      </c>
      <c r="AS51" s="155">
        <f>VLOOKUP(Tabla14[[#This Row],[Sector]]&amp;Tabla14[[#This Row],[Oficina]],[8]Ponderación!$A:$H,8,FALSE)</f>
        <v>44813</v>
      </c>
      <c r="AT51" s="30">
        <f>IFERROR(VLOOKUP(Tabla14[[#This Row],[Llave]],'[6]RV plan de ventas'!$A:$F,6,FALSE),0)</f>
        <v>0</v>
      </c>
      <c r="AU51" s="83">
        <f>IFERROR(VLOOKUP(Tabla14[[#This Row],[Llave]],[9]DELAY!$H:$X,17,FALSE),0)</f>
        <v>2.2946469449999998</v>
      </c>
      <c r="AV5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2.2946469449999998</v>
      </c>
      <c r="AW51" s="5">
        <f>Tabla14[[#This Row],[Pecio plan]]*Tabla14[[#This Row],[Plan Ajustado]]</f>
        <v>46229.999999999993</v>
      </c>
      <c r="AX51" s="30">
        <f>IFERROR(VLOOKUP(Tabla14[[#This Row],[Llave]],'[13]Ultimos precios facturados'!$A:$G,7,FALSE),0)</f>
        <v>1.9971284910800347</v>
      </c>
      <c r="AY5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0.14897311577537456</v>
      </c>
      <c r="AZ51" s="30">
        <f>IFERROR(VLOOKUP(Tabla14[[#This Row],[Llave]],Hoja2!B:K,10,FALSE),0)</f>
        <v>0</v>
      </c>
      <c r="BA5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2.2946469449999998</v>
      </c>
      <c r="BB51" s="30">
        <v>2.0099999999999998</v>
      </c>
      <c r="BC51" s="30">
        <f>IF(Tabla14[[#This Row],[Market]]=0,Tabla14[[#This Row],[Precio Final]],Tabla14[[#This Row],[Market]])</f>
        <v>2.0099999999999998</v>
      </c>
      <c r="BD51" s="82"/>
      <c r="BE51" s="82" t="str">
        <f>IF(AND(Tabla14[[#This Row],[Atraso a facturar]]&gt;0,Tabla14[[#This Row],[En puerto a facturar]]&gt;0,Tabla14[[#This Row],[Precio Atraso]]=0),"Revisar","OK")</f>
        <v>OK</v>
      </c>
      <c r="BF51" s="82" t="str">
        <f>IF(AND(Tabla14[[#This Row],[Venta del mes]]&gt;0,Tabla14[[#This Row],[Precio venta nueva]]=0),"Revisar","OK")</f>
        <v>OK</v>
      </c>
      <c r="BG51" s="20">
        <f>IFERROR(VLOOKUP(Tabla14[[#This Row],[Llave]],'[5]Consolidación planes'!$A:$M,9,FALSE),0)</f>
        <v>72000</v>
      </c>
      <c r="BH51" s="20">
        <f>IFERROR(VLOOKUP(Tabla14[[#This Row],[Llave]],'[5]Consolidación planes'!$A:$M,10,FALSE),0)</f>
        <v>36000</v>
      </c>
      <c r="BI51" s="20">
        <f>IFERROR(VLOOKUP(Tabla14[[#This Row],[Llave]],'[5]Consolidación planes'!$A:$M,11,FALSE),0)</f>
        <v>48000</v>
      </c>
      <c r="BJ51" s="20">
        <f>IFERROR(VLOOKUP(Tabla14[[#This Row],[Llave]],'[5]Consolidación planes'!$A:$M,12,FALSE),0)</f>
        <v>24000</v>
      </c>
      <c r="BK51" s="20">
        <f>IFERROR(VLOOKUP(Tabla14[[#This Row],[Llave]],'[5]Consolidación planes'!$A:$M,13,FALSE),0)</f>
        <v>24000</v>
      </c>
      <c r="BL51" s="20">
        <f>IFERROR(VLOOKUP(Tabla14[[#This Row],[Llave]],'[13]Base ultimos planes'!$A:$M,13,FALSE),0)</f>
        <v>24000</v>
      </c>
      <c r="BM51" s="20">
        <f>IFERROR(VLOOKUP(Tabla14[[#This Row],[Llave]],'[13]Cruce plan irrestricto'!$C:$M,10,FALSE),0)</f>
        <v>14000</v>
      </c>
      <c r="BN51" s="20">
        <f>IFERROR(VLOOKUP(Tabla14[[#This Row],[Llave]],'[13]Cruce plan irrestricto'!$C:$M,11,FALSE),0)</f>
        <v>0</v>
      </c>
      <c r="BO51" s="80">
        <f>IFERROR(VLOOKUP(Tabla14[[#This Row],[Llave]],'[13]Base ultimos planes'!$O:$AA,8,FALSE),0)</f>
        <v>149040</v>
      </c>
      <c r="BP51" s="20">
        <f>IFERROR(VLOOKUP(Tabla14[[#This Row],[Llave]],'[13]Base ultimos planes'!$O:$AA,9,FALSE),0)</f>
        <v>81300</v>
      </c>
      <c r="BQ51" s="20">
        <f>IFERROR(VLOOKUP(Tabla14[[#This Row],[Llave]],'[13]Base ultimos planes'!$O:$AA,10,FALSE),0)</f>
        <v>86400</v>
      </c>
      <c r="BR51" s="20">
        <f>IFERROR(VLOOKUP(Tabla14[[#This Row],[Llave]],'[13]Base ultimos planes'!$O:$AA,11,FALSE),0)</f>
        <v>41040</v>
      </c>
      <c r="BS51" s="20">
        <f>IFERROR(VLOOKUP(Tabla14[[#This Row],[Llave]],'[13]Base ultimos planes'!$O:$AA,12,FALSE),0)</f>
        <v>44640</v>
      </c>
      <c r="BT51" s="20">
        <f>IFERROR(VLOOKUP(Tabla14[[#This Row],[Llave]],'[13]Base ultimos planes'!$O:$AA,13,FALSE),0)</f>
        <v>44765</v>
      </c>
      <c r="BU51" s="20"/>
      <c r="BV51" s="20">
        <f>Tabla14[[#This Row],[ RV Producción mes n+1]]-Tabla14[[#This Row],[Producción disponible]]+Tabla14[[#This Row],[Saldo Volumen disponible]]</f>
        <v>6160.3829999999944</v>
      </c>
      <c r="BW51" s="20">
        <f>IFERROR(VLOOKUP(Tabla14[[#This Row],[Llave]],[14]Hoja2!$J:$N,4,FALSE),0)</f>
        <v>25764.1247</v>
      </c>
      <c r="BX51" s="20">
        <f>+Tabla14[[#This Row],[Asignación mes n+1]]*Tabla14[[#This Row],[% Uti. producción]]</f>
        <v>9135.5833806336013</v>
      </c>
      <c r="BY51" s="20">
        <f>+Tabla14[[#This Row],[Ponderación mes n+1]]+Tabla14[[#This Row],[Saldo mes n-1]]</f>
        <v>15295.966380633596</v>
      </c>
      <c r="BZ51" s="20">
        <f>+Tabla14[[#This Row],[Asignación mes n+1]]-Tabla14[[#This Row],[Ponderación mes n+1]]</f>
        <v>16628.541319366399</v>
      </c>
      <c r="CA51" s="20">
        <f>IFERROR(VLOOKUP(Tabla14[[#This Row],[Llave]],[14]Hoja2!$J:$N,5,FALSE),0)</f>
        <v>65841.083499999993</v>
      </c>
      <c r="CB51" s="20">
        <f>+Tabla14[[#This Row],[Asignación mes n+2]]*Tabla14[[#This Row],[% Uti. producción]]</f>
        <v>23346.289275859202</v>
      </c>
      <c r="CC51" s="20">
        <f>+Tabla14[[#This Row],[Saldo mes n+2]]+Tabla14[[#This Row],[Ponderación mes n+2]]</f>
        <v>39974.830595225605</v>
      </c>
      <c r="CD51" s="20">
        <f>+Tabla14[[#This Row],[Asignación mes n+2]]-Tabla14[[#This Row],[Ponderación mes n+2]]</f>
        <v>42494.794224140787</v>
      </c>
    </row>
    <row r="52" spans="1:82" ht="16" x14ac:dyDescent="0.2">
      <c r="A52">
        <v>1</v>
      </c>
      <c r="B52" t="str">
        <f>Tabla14[[#This Row],[Oficina]]&amp;Tabla14[[#This Row],[Material]]</f>
        <v>Agro Sudamerica1022150</v>
      </c>
      <c r="C52" t="s">
        <v>6</v>
      </c>
      <c r="D52" t="s">
        <v>17</v>
      </c>
      <c r="E52">
        <v>1022150</v>
      </c>
      <c r="F52" t="s">
        <v>45</v>
      </c>
      <c r="G52" t="s">
        <v>11</v>
      </c>
      <c r="H52" t="s">
        <v>41</v>
      </c>
      <c r="I52" s="7">
        <f>IFERROR(IF(Tabla14[[#This Row],[Oficina]]=$I$7,VLOOKUP(Tabla14[[#This Row],[Material]],'[6]RV Producción'!$Y:$AA,3,FALSE),VLOOKUP(Tabla14[[#This Row],[Llave]],'[6]RV Producción'!$C:$G,5,FALSE)),0)</f>
        <v>113453</v>
      </c>
      <c r="J52" s="7">
        <f>IFERROR(IF(Tabla14[[#This Row],[Oficina]]=$I$7,VLOOKUP(Tabla14[[#This Row],[Llave]],'[7]Shangai (Tomas)'!$A:$F,6,FALSE),VLOOKUP(Tabla14[[#This Row],[Llave]],'[6]RV plan de ventas'!$A:$E,5,FALSE)),0)</f>
        <v>52932</v>
      </c>
      <c r="K52" s="8">
        <f>IFERROR(VLOOKUP(Tabla14[[#This Row],[Sector]]&amp;Tabla14[[#This Row],[Oficina]],[8]Ponderación!$A$3:$G$22,7,FALSE),0)</f>
        <v>0.3545854356400317</v>
      </c>
      <c r="L52" s="7">
        <f>+Tabla14[[#This Row],[ RV Producción mes n+1]]*Tabla14[[#This Row],[% Uti. producción]]</f>
        <v>40228.781429668517</v>
      </c>
      <c r="M52" s="7">
        <f>IFERROR(VLOOKUP(Tabla14[[#This Row],[Material]],'[9]TD Stock'!$B:$C,2,FALSE),0)</f>
        <v>86445.472000000009</v>
      </c>
      <c r="N52" s="7">
        <f>IFERROR(VLOOKUP(Tabla14[[#This Row],[Material]],'[10]Consolidado planificación'!$B:$C,2,FALSE),0)</f>
        <v>23513.777967470342</v>
      </c>
      <c r="O52" s="7">
        <f>IFERROR(VLOOKUP(Tabla14[[#This Row],[Llave]],[11]Hoja2!$D:$G,4,FALSE),0)</f>
        <v>0</v>
      </c>
      <c r="P52" s="14">
        <f>SUM(Tabla14[[#This Row],[Producción disponible]],Tabla14[[#This Row],[Stock al día]],(Tabla14[[#This Row],[Por producir mes N]]*0.9))-Tabla14[[#This Row],[Producción por despachar mes N]]</f>
        <v>147836.65360039182</v>
      </c>
      <c r="Q52" s="7">
        <f>IFERROR(VLOOKUP(Tabla14[[#This Row],[Llave]],[9]DELAY!$A:$D,4,FALSE),0)</f>
        <v>180000</v>
      </c>
      <c r="R52" s="9">
        <v>23000</v>
      </c>
      <c r="S52" s="5">
        <f t="shared" si="5"/>
        <v>138000</v>
      </c>
      <c r="T52" s="76">
        <v>0</v>
      </c>
      <c r="U52" s="5">
        <f>+Tabla14[[#This Row],[Atraso a facturar]]+Tabla14[[#This Row],[Ajuste atraso]]</f>
        <v>138000</v>
      </c>
      <c r="V52" s="3">
        <f>+Tabla14[[#This Row],[Total disponible]]-Tabla14[[#This Row],[Facturación atraso]]</f>
        <v>9836.6536003918154</v>
      </c>
      <c r="W52" s="6">
        <f>IFERROR(IF(AND(V52&gt;R52,J52&gt;=R52),ROUNDDOWN((Tabla14[[#This Row],[Producción para venta nueva]])/R52,0)*R52,0),0)</f>
        <v>0</v>
      </c>
      <c r="X52" s="76">
        <v>0</v>
      </c>
      <c r="Y52" s="6">
        <f>IF(Tabla14[[#This Row],[Venta del mes]]&gt;0,Tabla14[[#This Row],[Venta del mes]]+Tabla14[[#This Row],[Ajuste venta nueva]],0)</f>
        <v>0</v>
      </c>
      <c r="Z52" s="6">
        <f>+Tabla14[[#This Row],[Producción para venta nueva]]-Tabla14[[#This Row],[Facturación Venta nueva]]</f>
        <v>9836.6536003918154</v>
      </c>
      <c r="AA52" s="6">
        <f>IF(AND(A52=1,Tabla14[[#This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2" s="6">
        <v>0</v>
      </c>
      <c r="AC52" s="6">
        <f>IF(Tabla14[[#This Row],[Disponible stock sin venta]]&gt;0,Tabla14[[#This Row],[Disponible stock sin venta]]+Tabla14[[#This Row],[Ajuste stock sin venta]],0)</f>
        <v>0</v>
      </c>
      <c r="AD52" s="3">
        <f>IFERROR(VLOOKUP(Tabla14[[#This Row],[Llave]],[12]Hoja1!$A:$D,4,FALSE),0)</f>
        <v>0</v>
      </c>
      <c r="AE5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138000</v>
      </c>
      <c r="AF52" s="3">
        <v>138000</v>
      </c>
      <c r="AG52" s="3">
        <f>+Tabla14[[#This Row],[En puerto a facturar]]</f>
        <v>0</v>
      </c>
      <c r="AH52" s="3">
        <f>+Tabla14[[#This Row],[Facturación atraso]]</f>
        <v>138000</v>
      </c>
      <c r="AI52" s="3">
        <f>+Tabla14[[#This Row],[Plan Irrestricto (DATO)]]-Tabla14[[#This Row],[Puerto ]]-Tabla14[[#This Row],[Atraso]]</f>
        <v>0</v>
      </c>
      <c r="AJ52" s="6">
        <f>IF(Tabla14[[#This Row],[Plan Irrestricto (DATO)]]&gt;0,SUM(Tabla14[[#This Row],[Facturación atraso]],Tabla14[[#This Row],[Facturación Venta nueva]],Tabla14[[#This Row],[Facturación stock]],Tabla14[[#This Row],[En puerto a facturar]]),0)</f>
        <v>138000</v>
      </c>
      <c r="AK52" s="3">
        <f>+Tabla14[[#This Row],[Facturación atraso]]</f>
        <v>138000</v>
      </c>
      <c r="AL52" s="3">
        <f>Tabla14[[#This Row],[Plan Ajustado]]-Tabla14[[#This Row],[ Atraso ajustado]]-Tabla14[[#This Row],[En puerto a facturar]]</f>
        <v>0</v>
      </c>
      <c r="AM52" s="3">
        <v>0</v>
      </c>
      <c r="AN52" s="3" t="s">
        <v>885</v>
      </c>
      <c r="AO52" s="3" t="str">
        <f>IF(Tabla14[[#This Row],[Plan Ajustado]]&gt;Tabla14[[#This Row],[En puerto a facturar]],"Si","No")</f>
        <v>Si</v>
      </c>
      <c r="AP52" s="3">
        <f>IF(AND(Tabla14[[#This Row],[Plan Ajustado]]&gt;0,Tabla14[[#This Row],[Plan Ajustado]]&gt;Tabla14[[#This Row],[En puerto a facturar]]),(Tabla14[[#This Row],[Plan Ajustado]]-Tabla14[[#This Row],[En puerto a facturar]]),0)</f>
        <v>138000</v>
      </c>
      <c r="AQ52" s="3">
        <f>IF(Tabla14[[#This Row],[Necesidad]]&gt;=Tabla14[[#This Row],[Stock al día]],Tabla14[[#This Row],[Stock al día]],Tabla14[[#This Row],[Necesidad]])</f>
        <v>86445.472000000009</v>
      </c>
      <c r="AR52" s="3">
        <f>+Tabla14[[#This Row],[Necesidad]]-Tabla14[[#This Row],[Stock Plan]]</f>
        <v>51554.527999999991</v>
      </c>
      <c r="AS52" s="155">
        <f>VLOOKUP(Tabla14[[#This Row],[Sector]]&amp;Tabla14[[#This Row],[Oficina]],[8]Ponderación!$A:$H,8,FALSE)</f>
        <v>44813</v>
      </c>
      <c r="AT52" s="30">
        <f>IFERROR(VLOOKUP(Tabla14[[#This Row],[Llave]],'[6]RV plan de ventas'!$A:$F,6,FALSE),0)</f>
        <v>1.28666968941283</v>
      </c>
      <c r="AU52" s="83">
        <f>IFERROR(VLOOKUP(Tabla14[[#This Row],[Llave]],[9]DELAY!$H:$X,17,FALSE),0)</f>
        <v>1.2106149381600977</v>
      </c>
      <c r="AV5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1.2106149381600977</v>
      </c>
      <c r="AW52" s="5">
        <f>Tabla14[[#This Row],[Pecio plan]]*Tabla14[[#This Row],[Plan Ajustado]]</f>
        <v>177561.28503765006</v>
      </c>
      <c r="AX52" s="30">
        <f>IFERROR(VLOOKUP(Tabla14[[#This Row],[Llave]],'[13]Ultimos precios facturados'!$A:$G,7,FALSE),0)</f>
        <v>1.1398270374000383</v>
      </c>
      <c r="AY5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6.2104072317434734E-2</v>
      </c>
      <c r="AZ52" s="30">
        <f>IFERROR(VLOOKUP(Tabla14[[#This Row],[Llave]],Hoja2!B:K,10,FALSE),0)</f>
        <v>1.2029273995328864</v>
      </c>
      <c r="BA5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1.2106149381600977</v>
      </c>
      <c r="BB52" s="30">
        <v>1.2866759785336961</v>
      </c>
      <c r="BC52" s="30">
        <f>IF(Tabla14[[#This Row],[Market]]=0,Tabla14[[#This Row],[Precio Final]],Tabla14[[#This Row],[Market]])</f>
        <v>1.2866759785336961</v>
      </c>
      <c r="BD52" s="82"/>
      <c r="BE52" s="82" t="str">
        <f>IF(AND(Tabla14[[#This Row],[Atraso a facturar]]&gt;0,Tabla14[[#This Row],[En puerto a facturar]]&gt;0,Tabla14[[#This Row],[Precio Atraso]]=0),"Revisar","OK")</f>
        <v>OK</v>
      </c>
      <c r="BF52" s="82" t="str">
        <f>IF(AND(Tabla14[[#This Row],[Venta del mes]]&gt;0,Tabla14[[#This Row],[Precio venta nueva]]=0),"Revisar","OK")</f>
        <v>OK</v>
      </c>
      <c r="BG52" s="20">
        <f>IFERROR(VLOOKUP(Tabla14[[#This Row],[Llave]],'[5]Consolidación planes'!$A:$M,9,FALSE),0)</f>
        <v>120000</v>
      </c>
      <c r="BH52" s="20">
        <f>IFERROR(VLOOKUP(Tabla14[[#This Row],[Llave]],'[5]Consolidación planes'!$A:$M,10,FALSE),0)</f>
        <v>174000</v>
      </c>
      <c r="BI52" s="20">
        <f>IFERROR(VLOOKUP(Tabla14[[#This Row],[Llave]],'[5]Consolidación planes'!$A:$M,11,FALSE),0)</f>
        <v>132000</v>
      </c>
      <c r="BJ52" s="20">
        <f>IFERROR(VLOOKUP(Tabla14[[#This Row],[Llave]],'[5]Consolidación planes'!$A:$M,12,FALSE),0)</f>
        <v>96000</v>
      </c>
      <c r="BK52" s="20">
        <f>IFERROR(VLOOKUP(Tabla14[[#This Row],[Llave]],'[5]Consolidación planes'!$A:$M,13,FALSE),0)</f>
        <v>168000</v>
      </c>
      <c r="BL52" s="20">
        <f>IFERROR(VLOOKUP(Tabla14[[#This Row],[Llave]],'[13]Base ultimos planes'!$A:$M,13,FALSE),0)</f>
        <v>168000</v>
      </c>
      <c r="BM52" s="20">
        <f>IFERROR(VLOOKUP(Tabla14[[#This Row],[Llave]],'[13]Cruce plan irrestricto'!$C:$M,10,FALSE),0)</f>
        <v>197000</v>
      </c>
      <c r="BN52" s="20">
        <f>IFERROR(VLOOKUP(Tabla14[[#This Row],[Llave]],'[13]Cruce plan irrestricto'!$C:$M,11,FALSE),0)</f>
        <v>191989.89</v>
      </c>
      <c r="BO52" s="80">
        <f>IFERROR(VLOOKUP(Tabla14[[#This Row],[Llave]],'[13]Base ultimos planes'!$O:$AA,8,FALSE),0)</f>
        <v>124800</v>
      </c>
      <c r="BP52" s="20">
        <f>IFERROR(VLOOKUP(Tabla14[[#This Row],[Llave]],'[13]Base ultimos planes'!$O:$AA,9,FALSE),0)</f>
        <v>183900</v>
      </c>
      <c r="BQ52" s="20">
        <f>IFERROR(VLOOKUP(Tabla14[[#This Row],[Llave]],'[13]Base ultimos planes'!$O:$AA,10,FALSE),0)</f>
        <v>127200</v>
      </c>
      <c r="BR52" s="20">
        <f>IFERROR(VLOOKUP(Tabla14[[#This Row],[Llave]],'[13]Base ultimos planes'!$O:$AA,11,FALSE),0)</f>
        <v>88560</v>
      </c>
      <c r="BS52" s="20">
        <f>IFERROR(VLOOKUP(Tabla14[[#This Row],[Llave]],'[13]Base ultimos planes'!$O:$AA,12,FALSE),0)</f>
        <v>187440</v>
      </c>
      <c r="BT52" s="20">
        <f>IFERROR(VLOOKUP(Tabla14[[#This Row],[Llave]],'[13]Base ultimos planes'!$O:$AA,13,FALSE),0)</f>
        <v>218215</v>
      </c>
      <c r="BU52" s="20"/>
      <c r="BV52" s="20">
        <f>Tabla14[[#This Row],[ RV Producción mes n+1]]-Tabla14[[#This Row],[Producción disponible]]+Tabla14[[#This Row],[Saldo Volumen disponible]]</f>
        <v>83060.872170723305</v>
      </c>
      <c r="BW52" s="20">
        <f>IFERROR(VLOOKUP(Tabla14[[#This Row],[Llave]],[14]Hoja2!$J:$N,4,FALSE),0)</f>
        <v>144000</v>
      </c>
      <c r="BX52" s="20">
        <f>+Tabla14[[#This Row],[Asignación mes n+1]]*Tabla14[[#This Row],[% Uti. producción]]</f>
        <v>51060.302732164564</v>
      </c>
      <c r="BY52" s="20">
        <f>+Tabla14[[#This Row],[Ponderación mes n+1]]+Tabla14[[#This Row],[Saldo mes n-1]]</f>
        <v>134121.17490288787</v>
      </c>
      <c r="BZ52" s="20">
        <f>+Tabla14[[#This Row],[Asignación mes n+1]]-Tabla14[[#This Row],[Ponderación mes n+1]]</f>
        <v>92939.697267835436</v>
      </c>
      <c r="CA52" s="20">
        <f>IFERROR(VLOOKUP(Tabla14[[#This Row],[Llave]],[14]Hoja2!$J:$N,5,FALSE),0)</f>
        <v>144000</v>
      </c>
      <c r="CB52" s="20">
        <f>+Tabla14[[#This Row],[Asignación mes n+2]]*Tabla14[[#This Row],[% Uti. producción]]</f>
        <v>51060.302732164564</v>
      </c>
      <c r="CC52" s="20">
        <f>+Tabla14[[#This Row],[Saldo mes n+2]]+Tabla14[[#This Row],[Ponderación mes n+2]]</f>
        <v>144000</v>
      </c>
      <c r="CD52" s="20">
        <f>+Tabla14[[#This Row],[Asignación mes n+2]]-Tabla14[[#This Row],[Ponderación mes n+2]]</f>
        <v>92939.697267835436</v>
      </c>
    </row>
    <row r="53" spans="1:82" ht="16" x14ac:dyDescent="0.2">
      <c r="A53">
        <v>1</v>
      </c>
      <c r="B53" t="str">
        <f>Tabla14[[#This Row],[Oficina]]&amp;Tabla14[[#This Row],[Material]]</f>
        <v>Agro Sudamerica1022196</v>
      </c>
      <c r="C53" t="s">
        <v>6</v>
      </c>
      <c r="D53" t="s">
        <v>17</v>
      </c>
      <c r="E53">
        <v>1022196</v>
      </c>
      <c r="F53" t="s">
        <v>31</v>
      </c>
      <c r="G53" t="s">
        <v>8</v>
      </c>
      <c r="H53" t="s">
        <v>30</v>
      </c>
      <c r="I53" s="7">
        <f>IFERROR(IF(Tabla14[[#This Row],[Oficina]]=$I$7,VLOOKUP(Tabla14[[#This Row],[Material]],'[6]RV Producción'!$Y:$AA,3,FALSE),VLOOKUP(Tabla14[[#This Row],[Llave]],'[6]RV Producción'!$C:$G,5,FALSE)),0)</f>
        <v>32990</v>
      </c>
      <c r="J53" s="7">
        <f>IFERROR(IF(Tabla14[[#This Row],[Oficina]]=$I$7,VLOOKUP(Tabla14[[#This Row],[Llave]],'[7]Shangai (Tomas)'!$A:$F,6,FALSE),VLOOKUP(Tabla14[[#This Row],[Llave]],'[6]RV plan de ventas'!$A:$E,5,FALSE)),0)</f>
        <v>0</v>
      </c>
      <c r="K53" s="8">
        <f>IFERROR(VLOOKUP(Tabla14[[#This Row],[Sector]]&amp;Tabla14[[#This Row],[Oficina]],[8]Ponderación!$A$3:$G$22,7,FALSE),0)</f>
        <v>0.3545854356400317</v>
      </c>
      <c r="L53" s="7">
        <f>+Tabla14[[#This Row],[ RV Producción mes n+1]]*Tabla14[[#This Row],[% Uti. producción]]</f>
        <v>11697.773521764646</v>
      </c>
      <c r="M53" s="7">
        <f>IFERROR(VLOOKUP(Tabla14[[#This Row],[Material]],'[9]TD Stock'!$B:$C,2,FALSE),0)</f>
        <v>47704.794000000009</v>
      </c>
      <c r="N53" s="7">
        <f>IFERROR(VLOOKUP(Tabla14[[#This Row],[Material]],'[10]Consolidado planificación'!$B:$C,2,FALSE),0)</f>
        <v>10061</v>
      </c>
      <c r="O53" s="7">
        <f>IFERROR(VLOOKUP(Tabla14[[#This Row],[Llave]],[11]Hoja2!$D:$G,4,FALSE),0)</f>
        <v>0</v>
      </c>
      <c r="P53" s="14">
        <f>SUM(Tabla14[[#This Row],[Producción disponible]],Tabla14[[#This Row],[Stock al día]],(Tabla14[[#This Row],[Por producir mes N]]*0.9))-Tabla14[[#This Row],[Producción por despachar mes N]]</f>
        <v>68457.467521764658</v>
      </c>
      <c r="Q53" s="7">
        <f>IFERROR(VLOOKUP(Tabla14[[#This Row],[Llave]],[9]DELAY!$A:$D,4,FALSE),0)</f>
        <v>96800</v>
      </c>
      <c r="R53" s="9">
        <v>23000</v>
      </c>
      <c r="S53" s="5">
        <f t="shared" si="5"/>
        <v>46000</v>
      </c>
      <c r="T53" s="76">
        <v>0</v>
      </c>
      <c r="U53" s="5">
        <f>+Tabla14[[#This Row],[Atraso a facturar]]+Tabla14[[#This Row],[Ajuste atraso]]</f>
        <v>46000</v>
      </c>
      <c r="V53" s="3">
        <f>+Tabla14[[#This Row],[Total disponible]]-Tabla14[[#This Row],[Facturación atraso]]</f>
        <v>22457.467521764658</v>
      </c>
      <c r="W53" s="6">
        <f>IFERROR(IF(AND(V53&gt;R53,J53&gt;=R53),ROUNDDOWN((Tabla14[[#This Row],[Producción para venta nueva]])/R53,0)*R53,0),0)</f>
        <v>0</v>
      </c>
      <c r="X53" s="76">
        <v>0</v>
      </c>
      <c r="Y53" s="6">
        <f>IF(Tabla14[[#This Row],[Venta del mes]]&gt;0,Tabla14[[#This Row],[Venta del mes]]+Tabla14[[#This Row],[Ajuste venta nueva]],0)</f>
        <v>0</v>
      </c>
      <c r="Z53" s="6">
        <f>+Tabla14[[#This Row],[Producción para venta nueva]]-Tabla14[[#This Row],[Facturación Venta nueva]]</f>
        <v>22457.467521764658</v>
      </c>
      <c r="AA53" s="6">
        <f>IF(AND(A53=1,Tabla14[[#This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3" s="6">
        <v>0</v>
      </c>
      <c r="AC53" s="6">
        <f>IF(Tabla14[[#This Row],[Disponible stock sin venta]]&gt;0,Tabla14[[#This Row],[Disponible stock sin venta]]+Tabla14[[#This Row],[Ajuste stock sin venta]],0)</f>
        <v>0</v>
      </c>
      <c r="AD53" s="3">
        <f>IFERROR(VLOOKUP(Tabla14[[#This Row],[Llave]],[12]Hoja1!$A:$D,4,FALSE),0)</f>
        <v>0</v>
      </c>
      <c r="AE5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46000</v>
      </c>
      <c r="AF53" s="3">
        <v>46000</v>
      </c>
      <c r="AG53" s="3">
        <f>+Tabla14[[#This Row],[En puerto a facturar]]</f>
        <v>0</v>
      </c>
      <c r="AH53" s="3">
        <f>+Tabla14[[#This Row],[Facturación atraso]]</f>
        <v>46000</v>
      </c>
      <c r="AI53" s="3">
        <f>+Tabla14[[#This Row],[Plan Irrestricto (DATO)]]-Tabla14[[#This Row],[Puerto ]]-Tabla14[[#This Row],[Atraso]]</f>
        <v>0</v>
      </c>
      <c r="AJ53" s="6">
        <f>IF(Tabla14[[#This Row],[Plan Irrestricto (DATO)]]&gt;0,SUM(Tabla14[[#This Row],[Facturación atraso]],Tabla14[[#This Row],[Facturación Venta nueva]],Tabla14[[#This Row],[Facturación stock]],Tabla14[[#This Row],[En puerto a facturar]]),0)</f>
        <v>46000</v>
      </c>
      <c r="AK53" s="3">
        <f>+Tabla14[[#This Row],[Facturación atraso]]</f>
        <v>46000</v>
      </c>
      <c r="AL53" s="3">
        <f>Tabla14[[#This Row],[Plan Ajustado]]-Tabla14[[#This Row],[ Atraso ajustado]]-Tabla14[[#This Row],[En puerto a facturar]]</f>
        <v>0</v>
      </c>
      <c r="AM53" s="3">
        <v>0</v>
      </c>
      <c r="AN53" s="3" t="s">
        <v>636</v>
      </c>
      <c r="AO53" s="3" t="str">
        <f>IF(Tabla14[[#This Row],[Plan Ajustado]]&gt;Tabla14[[#This Row],[En puerto a facturar]],"Si","No")</f>
        <v>Si</v>
      </c>
      <c r="AP53" s="3">
        <f>IF(AND(Tabla14[[#This Row],[Plan Ajustado]]&gt;0,Tabla14[[#This Row],[Plan Ajustado]]&gt;Tabla14[[#This Row],[En puerto a facturar]]),(Tabla14[[#This Row],[Plan Ajustado]]-Tabla14[[#This Row],[En puerto a facturar]]),0)</f>
        <v>46000</v>
      </c>
      <c r="AQ53" s="3">
        <f>IF(Tabla14[[#This Row],[Necesidad]]&gt;=Tabla14[[#This Row],[Stock al día]],Tabla14[[#This Row],[Stock al día]],Tabla14[[#This Row],[Necesidad]])</f>
        <v>46000</v>
      </c>
      <c r="AR53" s="3">
        <f>+Tabla14[[#This Row],[Necesidad]]-Tabla14[[#This Row],[Stock Plan]]</f>
        <v>0</v>
      </c>
      <c r="AS53" s="155">
        <f>VLOOKUP(Tabla14[[#This Row],[Sector]]&amp;Tabla14[[#This Row],[Oficina]],[8]Ponderación!$A:$H,8,FALSE)</f>
        <v>44813</v>
      </c>
      <c r="AT53" s="30">
        <f>IFERROR(VLOOKUP(Tabla14[[#This Row],[Llave]],'[6]RV plan de ventas'!$A:$F,6,FALSE),0)</f>
        <v>0</v>
      </c>
      <c r="AU53" s="83">
        <f>IFERROR(VLOOKUP(Tabla14[[#This Row],[Llave]],[9]DELAY!$H:$X,17,FALSE),0)</f>
        <v>1.0060697216998211</v>
      </c>
      <c r="AV5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1.0060697216998211</v>
      </c>
      <c r="AW53" s="5">
        <f>Tabla14[[#This Row],[Pecio plan]]*Tabla14[[#This Row],[Plan Ajustado]]</f>
        <v>54586.666666666672</v>
      </c>
      <c r="AX53" s="30">
        <f>IFERROR(VLOOKUP(Tabla14[[#This Row],[Llave]],'[13]Ultimos precios facturados'!$A:$G,7,FALSE),0)</f>
        <v>0.71656003675645841</v>
      </c>
      <c r="AY5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0.40402711579317407</v>
      </c>
      <c r="AZ53" s="30">
        <f>IFERROR(VLOOKUP(Tabla14[[#This Row],[Llave]],Hoja2!B:K,10,FALSE),0)</f>
        <v>0.81166666666666665</v>
      </c>
      <c r="BA5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1.0060697216998211</v>
      </c>
      <c r="BB53" s="30">
        <v>1.1866666666666668</v>
      </c>
      <c r="BC53" s="30">
        <f>IF(Tabla14[[#This Row],[Market]]=0,Tabla14[[#This Row],[Precio Final]],Tabla14[[#This Row],[Market]])</f>
        <v>1.1866666666666668</v>
      </c>
      <c r="BD53" s="82"/>
      <c r="BE53" s="82" t="str">
        <f>IF(AND(Tabla14[[#This Row],[Atraso a facturar]]&gt;0,Tabla14[[#This Row],[En puerto a facturar]]&gt;0,Tabla14[[#This Row],[Precio Atraso]]=0),"Revisar","OK")</f>
        <v>OK</v>
      </c>
      <c r="BF53" s="82" t="str">
        <f>IF(AND(Tabla14[[#This Row],[Venta del mes]]&gt;0,Tabla14[[#This Row],[Precio venta nueva]]=0),"Revisar","OK")</f>
        <v>OK</v>
      </c>
      <c r="BG53" s="20">
        <f>IFERROR(VLOOKUP(Tabla14[[#This Row],[Llave]],'[5]Consolidación planes'!$A:$M,9,FALSE),0)</f>
        <v>0</v>
      </c>
      <c r="BH53" s="20">
        <f>IFERROR(VLOOKUP(Tabla14[[#This Row],[Llave]],'[5]Consolidación planes'!$A:$M,10,FALSE),0)</f>
        <v>24000</v>
      </c>
      <c r="BI53" s="20">
        <f>IFERROR(VLOOKUP(Tabla14[[#This Row],[Llave]],'[5]Consolidación planes'!$A:$M,11,FALSE),0)</f>
        <v>48000</v>
      </c>
      <c r="BJ53" s="20">
        <f>IFERROR(VLOOKUP(Tabla14[[#This Row],[Llave]],'[5]Consolidación planes'!$A:$M,12,FALSE),0)</f>
        <v>0</v>
      </c>
      <c r="BK53" s="20">
        <f>IFERROR(VLOOKUP(Tabla14[[#This Row],[Llave]],'[5]Consolidación planes'!$A:$M,13,FALSE),0)</f>
        <v>24000</v>
      </c>
      <c r="BL53" s="20">
        <f>IFERROR(VLOOKUP(Tabla14[[#This Row],[Llave]],'[13]Base ultimos planes'!$A:$M,13,FALSE),0)</f>
        <v>24000</v>
      </c>
      <c r="BM53" s="20">
        <f>IFERROR(VLOOKUP(Tabla14[[#This Row],[Llave]],'[13]Cruce plan irrestricto'!$C:$M,10,FALSE),0)</f>
        <v>72000</v>
      </c>
      <c r="BN53" s="20">
        <f>IFERROR(VLOOKUP(Tabla14[[#This Row],[Llave]],'[13]Cruce plan irrestricto'!$C:$M,11,FALSE),0)</f>
        <v>96000</v>
      </c>
      <c r="BO53" s="80">
        <f>IFERROR(VLOOKUP(Tabla14[[#This Row],[Llave]],'[13]Base ultimos planes'!$O:$AA,8,FALSE),0)</f>
        <v>0</v>
      </c>
      <c r="BP53" s="20">
        <f>IFERROR(VLOOKUP(Tabla14[[#This Row],[Llave]],'[13]Base ultimos planes'!$O:$AA,9,FALSE),0)</f>
        <v>15600</v>
      </c>
      <c r="BQ53" s="20">
        <f>IFERROR(VLOOKUP(Tabla14[[#This Row],[Llave]],'[13]Base ultimos planes'!$O:$AA,10,FALSE),0)</f>
        <v>31200</v>
      </c>
      <c r="BR53" s="20">
        <f>IFERROR(VLOOKUP(Tabla14[[#This Row],[Llave]],'[13]Base ultimos planes'!$O:$AA,11,FALSE),0)</f>
        <v>0</v>
      </c>
      <c r="BS53" s="20">
        <f>IFERROR(VLOOKUP(Tabla14[[#This Row],[Llave]],'[13]Base ultimos planes'!$O:$AA,12,FALSE),0)</f>
        <v>10800</v>
      </c>
      <c r="BT53" s="20">
        <f>IFERROR(VLOOKUP(Tabla14[[#This Row],[Llave]],'[13]Base ultimos planes'!$O:$AA,13,FALSE),0)</f>
        <v>16440</v>
      </c>
      <c r="BU53" s="20"/>
      <c r="BV53" s="20">
        <f>Tabla14[[#This Row],[ RV Producción mes n+1]]-Tabla14[[#This Row],[Producción disponible]]+Tabla14[[#This Row],[Saldo Volumen disponible]]</f>
        <v>43749.69400000001</v>
      </c>
      <c r="BW53" s="20">
        <f>IFERROR(VLOOKUP(Tabla14[[#This Row],[Llave]],[14]Hoja2!$J:$N,4,FALSE),0)</f>
        <v>72000</v>
      </c>
      <c r="BX53" s="20">
        <f>+Tabla14[[#This Row],[Asignación mes n+1]]*Tabla14[[#This Row],[% Uti. producción]]</f>
        <v>25530.151366082282</v>
      </c>
      <c r="BY53" s="20">
        <f>+Tabla14[[#This Row],[Ponderación mes n+1]]+Tabla14[[#This Row],[Saldo mes n-1]]</f>
        <v>69279.8453660823</v>
      </c>
      <c r="BZ53" s="20">
        <f>+Tabla14[[#This Row],[Asignación mes n+1]]-Tabla14[[#This Row],[Ponderación mes n+1]]</f>
        <v>46469.848633917718</v>
      </c>
      <c r="CA53" s="20">
        <f>IFERROR(VLOOKUP(Tabla14[[#This Row],[Llave]],[14]Hoja2!$J:$N,5,FALSE),0)</f>
        <v>72000</v>
      </c>
      <c r="CB53" s="20">
        <f>+Tabla14[[#This Row],[Asignación mes n+2]]*Tabla14[[#This Row],[% Uti. producción]]</f>
        <v>25530.151366082282</v>
      </c>
      <c r="CC53" s="20">
        <f>+Tabla14[[#This Row],[Saldo mes n+2]]+Tabla14[[#This Row],[Ponderación mes n+2]]</f>
        <v>72000</v>
      </c>
      <c r="CD53" s="20">
        <f>+Tabla14[[#This Row],[Asignación mes n+2]]-Tabla14[[#This Row],[Ponderación mes n+2]]</f>
        <v>46469.848633917718</v>
      </c>
    </row>
    <row r="54" spans="1:82" ht="16" x14ac:dyDescent="0.2">
      <c r="A54">
        <v>1</v>
      </c>
      <c r="B54" t="str">
        <f>Tabla14[[#This Row],[Oficina]]&amp;Tabla14[[#This Row],[Material]]</f>
        <v>Agro Sudamerica1022197</v>
      </c>
      <c r="C54" t="s">
        <v>6</v>
      </c>
      <c r="D54" t="s">
        <v>17</v>
      </c>
      <c r="E54">
        <v>1022197</v>
      </c>
      <c r="F54" t="s">
        <v>300</v>
      </c>
      <c r="G54" t="s">
        <v>8</v>
      </c>
      <c r="H54" t="s">
        <v>30</v>
      </c>
      <c r="I54" s="7">
        <f>IFERROR(IF(Tabla14[[#This Row],[Oficina]]=$I$7,VLOOKUP(Tabla14[[#This Row],[Material]],'[6]RV Producción'!$Y:$AA,3,FALSE),VLOOKUP(Tabla14[[#This Row],[Llave]],'[6]RV Producción'!$C:$G,5,FALSE)),0)</f>
        <v>0</v>
      </c>
      <c r="J54" s="7">
        <f>IFERROR(IF(Tabla14[[#This Row],[Oficina]]=$I$7,VLOOKUP(Tabla14[[#This Row],[Llave]],'[7]Shangai (Tomas)'!$A:$F,6,FALSE),VLOOKUP(Tabla14[[#This Row],[Llave]],'[6]RV plan de ventas'!$A:$E,5,FALSE)),0)</f>
        <v>0</v>
      </c>
      <c r="K54" s="8">
        <f>IFERROR(VLOOKUP(Tabla14[[#This Row],[Sector]]&amp;Tabla14[[#This Row],[Oficina]],[8]Ponderación!$A$3:$G$22,7,FALSE),0)</f>
        <v>0.3545854356400317</v>
      </c>
      <c r="L54" s="7">
        <f>+Tabla14[[#This Row],[ RV Producción mes n+1]]*Tabla14[[#This Row],[% Uti. producción]]</f>
        <v>0</v>
      </c>
      <c r="M54" s="7">
        <f>IFERROR(VLOOKUP(Tabla14[[#This Row],[Material]],'[9]TD Stock'!$B:$C,2,FALSE),0)</f>
        <v>9433.0899999999983</v>
      </c>
      <c r="N54" s="7">
        <f>IFERROR(VLOOKUP(Tabla14[[#This Row],[Material]],'[10]Consolidado planificación'!$B:$C,2,FALSE),0)</f>
        <v>0</v>
      </c>
      <c r="O54" s="7">
        <f>IFERROR(VLOOKUP(Tabla14[[#This Row],[Llave]],[11]Hoja2!$D:$G,4,FALSE),0)</f>
        <v>0</v>
      </c>
      <c r="P54" s="14">
        <f>SUM(Tabla14[[#This Row],[Producción disponible]],Tabla14[[#This Row],[Stock al día]],(Tabla14[[#This Row],[Por producir mes N]]*0.9))-Tabla14[[#This Row],[Producción por despachar mes N]]</f>
        <v>9433.0899999999983</v>
      </c>
      <c r="Q54" s="7">
        <f>IFERROR(VLOOKUP(Tabla14[[#This Row],[Llave]],[9]DELAY!$A:$D,4,FALSE),0)</f>
        <v>0</v>
      </c>
      <c r="R54" s="9">
        <v>23000</v>
      </c>
      <c r="S54" s="5">
        <f t="shared" si="5"/>
        <v>0</v>
      </c>
      <c r="T54" s="76">
        <v>0</v>
      </c>
      <c r="U54" s="5">
        <f>+Tabla14[[#This Row],[Atraso a facturar]]+Tabla14[[#This Row],[Ajuste atraso]]</f>
        <v>0</v>
      </c>
      <c r="V54" s="3">
        <f>+Tabla14[[#This Row],[Total disponible]]-Tabla14[[#This Row],[Facturación atraso]]</f>
        <v>9433.0899999999983</v>
      </c>
      <c r="W54" s="6">
        <f>IFERROR(IF(AND(V54&gt;R54,J54&gt;=R54),ROUNDDOWN((Tabla14[[#This Row],[Producción para venta nueva]])/R54,0)*R54,0),0)</f>
        <v>0</v>
      </c>
      <c r="X54" s="76">
        <v>0</v>
      </c>
      <c r="Y54" s="6">
        <f>IF(Tabla14[[#This Row],[Venta del mes]]&gt;0,Tabla14[[#This Row],[Venta del mes]]+Tabla14[[#This Row],[Ajuste venta nueva]],0)</f>
        <v>0</v>
      </c>
      <c r="Z54" s="6">
        <f>+Tabla14[[#This Row],[Producción para venta nueva]]-Tabla14[[#This Row],[Facturación Venta nueva]]</f>
        <v>9433.0899999999983</v>
      </c>
      <c r="AA54" s="33">
        <f>IF(AND(A54=1,Tabla14[[#This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4" s="33">
        <v>0</v>
      </c>
      <c r="AC54" s="33">
        <f>IF(Tabla14[[#This Row],[Disponible stock sin venta]]&gt;0,Tabla14[[#This Row],[Disponible stock sin venta]]+Tabla14[[#This Row],[Ajuste stock sin venta]],0)</f>
        <v>0</v>
      </c>
      <c r="AD54" s="3">
        <f>IFERROR(VLOOKUP(Tabla14[[#This Row],[Llave]],[12]Hoja1!$A:$D,4,FALSE),0)</f>
        <v>0</v>
      </c>
      <c r="AE5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54" s="3">
        <v>0</v>
      </c>
      <c r="AG54" s="3">
        <f>+Tabla14[[#This Row],[En puerto a facturar]]</f>
        <v>0</v>
      </c>
      <c r="AH54" s="3">
        <f>+Tabla14[[#This Row],[Facturación atraso]]</f>
        <v>0</v>
      </c>
      <c r="AI54" s="3">
        <f>+Tabla14[[#This Row],[Plan Irrestricto (DATO)]]-Tabla14[[#This Row],[Puerto ]]-Tabla14[[#This Row],[Atraso]]</f>
        <v>0</v>
      </c>
      <c r="AJ5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54" s="3">
        <f>+Tabla14[[#This Row],[Facturación atraso]]</f>
        <v>0</v>
      </c>
      <c r="AL54" s="3">
        <f>Tabla14[[#This Row],[Plan Ajustado]]-Tabla14[[#This Row],[ Atraso ajustado]]-Tabla14[[#This Row],[En puerto a facturar]]</f>
        <v>0</v>
      </c>
      <c r="AM54" s="3">
        <v>0</v>
      </c>
      <c r="AN54" s="3" t="e">
        <v>#REF!</v>
      </c>
      <c r="AO54" s="3" t="str">
        <f>IF(Tabla14[[#This Row],[Plan Ajustado]]&gt;Tabla14[[#This Row],[En puerto a facturar]],"Si","No")</f>
        <v>No</v>
      </c>
      <c r="AP5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54" s="3">
        <f>IF(Tabla14[[#This Row],[Necesidad]]&gt;=Tabla14[[#This Row],[Stock al día]],Tabla14[[#This Row],[Stock al día]],Tabla14[[#This Row],[Necesidad]])</f>
        <v>0</v>
      </c>
      <c r="AR54" s="3">
        <f>+Tabla14[[#This Row],[Necesidad]]-Tabla14[[#This Row],[Stock Plan]]</f>
        <v>0</v>
      </c>
      <c r="AS54" s="155">
        <f>VLOOKUP(Tabla14[[#This Row],[Sector]]&amp;Tabla14[[#This Row],[Oficina]],[8]Ponderación!$A:$H,8,FALSE)</f>
        <v>44813</v>
      </c>
      <c r="AT54" s="30">
        <f>IFERROR(VLOOKUP(Tabla14[[#This Row],[Llave]],'[6]RV plan de ventas'!$A:$F,6,FALSE),0)</f>
        <v>0</v>
      </c>
      <c r="AU54" s="83">
        <f>IFERROR(VLOOKUP(Tabla14[[#This Row],[Llave]],[9]DELAY!$H:$X,17,FALSE),0)</f>
        <v>0</v>
      </c>
      <c r="AV5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54" s="5">
        <f>Tabla14[[#This Row],[Pecio plan]]*Tabla14[[#This Row],[Plan Ajustado]]</f>
        <v>0</v>
      </c>
      <c r="AX54" s="30">
        <f>IFERROR(VLOOKUP(Tabla14[[#This Row],[Llave]],'[13]Ultimos precios facturados'!$A:$G,7,FALSE),0)</f>
        <v>0.8368374268383223</v>
      </c>
      <c r="AY5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54" s="30">
        <f>IFERROR(VLOOKUP(Tabla14[[#This Row],[Llave]],Hoja2!B:K,10,FALSE),0)</f>
        <v>0.5</v>
      </c>
      <c r="BA5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54" s="30">
        <v>0</v>
      </c>
      <c r="BC54" s="30">
        <f>IF(Tabla14[[#This Row],[Market]]=0,Tabla14[[#This Row],[Precio Final]],Tabla14[[#This Row],[Market]])</f>
        <v>0</v>
      </c>
      <c r="BD54" s="82"/>
      <c r="BE54" s="82" t="str">
        <f>IF(AND(Tabla14[[#This Row],[Atraso a facturar]]&gt;0,Tabla14[[#This Row],[En puerto a facturar]]&gt;0,Tabla14[[#This Row],[Precio Atraso]]=0),"Revisar","OK")</f>
        <v>OK</v>
      </c>
      <c r="BF54" s="82" t="str">
        <f>IF(AND(Tabla14[[#This Row],[Venta del mes]]&gt;0,Tabla14[[#This Row],[Precio venta nueva]]=0),"Revisar","OK")</f>
        <v>OK</v>
      </c>
      <c r="BG54" s="20">
        <f>IFERROR(VLOOKUP(Tabla14[[#This Row],[Llave]],'[5]Consolidación planes'!$A:$M,9,FALSE),0)</f>
        <v>0</v>
      </c>
      <c r="BH54" s="20">
        <f>IFERROR(VLOOKUP(Tabla14[[#This Row],[Llave]],'[5]Consolidación planes'!$A:$M,10,FALSE),0)</f>
        <v>0</v>
      </c>
      <c r="BI54" s="20">
        <f>IFERROR(VLOOKUP(Tabla14[[#This Row],[Llave]],'[5]Consolidación planes'!$A:$M,11,FALSE),0)</f>
        <v>24000</v>
      </c>
      <c r="BJ54" s="20">
        <f>IFERROR(VLOOKUP(Tabla14[[#This Row],[Llave]],'[5]Consolidación planes'!$A:$M,12,FALSE),0)</f>
        <v>24000</v>
      </c>
      <c r="BK54" s="20">
        <f>IFERROR(VLOOKUP(Tabla14[[#This Row],[Llave]],'[5]Consolidación planes'!$A:$M,13,FALSE),0)</f>
        <v>0</v>
      </c>
      <c r="BL54" s="20">
        <f>IFERROR(VLOOKUP(Tabla14[[#This Row],[Llave]],'[13]Base ultimos planes'!$A:$M,13,FALSE),0)</f>
        <v>0</v>
      </c>
      <c r="BM54" s="20">
        <f>IFERROR(VLOOKUP(Tabla14[[#This Row],[Llave]],'[13]Cruce plan irrestricto'!$C:$M,10,FALSE),0)</f>
        <v>0</v>
      </c>
      <c r="BN54" s="20">
        <f>IFERROR(VLOOKUP(Tabla14[[#This Row],[Llave]],'[13]Cruce plan irrestricto'!$C:$M,11,FALSE),0)</f>
        <v>4698</v>
      </c>
      <c r="BO54" s="80">
        <f>IFERROR(VLOOKUP(Tabla14[[#This Row],[Llave]],'[13]Base ultimos planes'!$O:$AA,8,FALSE),0)</f>
        <v>0</v>
      </c>
      <c r="BP54" s="20">
        <f>IFERROR(VLOOKUP(Tabla14[[#This Row],[Llave]],'[13]Base ultimos planes'!$O:$AA,9,FALSE),0)</f>
        <v>0</v>
      </c>
      <c r="BQ54" s="20">
        <f>IFERROR(VLOOKUP(Tabla14[[#This Row],[Llave]],'[13]Base ultimos planes'!$O:$AA,10,FALSE),0)</f>
        <v>21600</v>
      </c>
      <c r="BR54" s="20">
        <f>IFERROR(VLOOKUP(Tabla14[[#This Row],[Llave]],'[13]Base ultimos planes'!$O:$AA,11,FALSE),0)</f>
        <v>18240</v>
      </c>
      <c r="BS54" s="20">
        <f>IFERROR(VLOOKUP(Tabla14[[#This Row],[Llave]],'[13]Base ultimos planes'!$O:$AA,12,FALSE),0)</f>
        <v>0</v>
      </c>
      <c r="BT54" s="20">
        <f>IFERROR(VLOOKUP(Tabla14[[#This Row],[Llave]],'[13]Base ultimos planes'!$O:$AA,13,FALSE),0)</f>
        <v>0</v>
      </c>
      <c r="BU54" s="20"/>
      <c r="BV54" s="20">
        <f>Tabla14[[#This Row],[ RV Producción mes n+1]]-Tabla14[[#This Row],[Producción disponible]]+Tabla14[[#This Row],[Saldo Volumen disponible]]</f>
        <v>9433.0899999999983</v>
      </c>
      <c r="BW54" s="20">
        <f>IFERROR(VLOOKUP(Tabla14[[#This Row],[Llave]],[14]Hoja2!$J:$N,4,FALSE),0)</f>
        <v>0</v>
      </c>
      <c r="BX54" s="20">
        <f>+Tabla14[[#This Row],[Asignación mes n+1]]*Tabla14[[#This Row],[% Uti. producción]]</f>
        <v>0</v>
      </c>
      <c r="BY54" s="20">
        <f>+Tabla14[[#This Row],[Ponderación mes n+1]]+Tabla14[[#This Row],[Saldo mes n-1]]</f>
        <v>9433.0899999999983</v>
      </c>
      <c r="BZ54" s="20">
        <f>+Tabla14[[#This Row],[Asignación mes n+1]]-Tabla14[[#This Row],[Ponderación mes n+1]]</f>
        <v>0</v>
      </c>
      <c r="CA54" s="20">
        <f>IFERROR(VLOOKUP(Tabla14[[#This Row],[Llave]],[14]Hoja2!$J:$N,5,FALSE),0)</f>
        <v>0</v>
      </c>
      <c r="CB54" s="20">
        <f>+Tabla14[[#This Row],[Asignación mes n+2]]*Tabla14[[#This Row],[% Uti. producción]]</f>
        <v>0</v>
      </c>
      <c r="CC54" s="20">
        <f>+Tabla14[[#This Row],[Saldo mes n+2]]+Tabla14[[#This Row],[Ponderación mes n+2]]</f>
        <v>0</v>
      </c>
      <c r="CD54" s="20">
        <f>+Tabla14[[#This Row],[Asignación mes n+2]]-Tabla14[[#This Row],[Ponderación mes n+2]]</f>
        <v>0</v>
      </c>
    </row>
    <row r="55" spans="1:82" ht="16" x14ac:dyDescent="0.2">
      <c r="A55">
        <v>1</v>
      </c>
      <c r="B55" t="str">
        <f>Tabla14[[#This Row],[Oficina]]&amp;Tabla14[[#This Row],[Material]]</f>
        <v>Agro Sudamerica1022247</v>
      </c>
      <c r="C55" t="s">
        <v>6</v>
      </c>
      <c r="D55" t="s">
        <v>17</v>
      </c>
      <c r="E55">
        <v>1022247</v>
      </c>
      <c r="F55" t="s">
        <v>315</v>
      </c>
      <c r="G55" t="s">
        <v>71</v>
      </c>
      <c r="H55" t="s">
        <v>72</v>
      </c>
      <c r="I55" s="7">
        <f>IFERROR(IF(Tabla14[[#This Row],[Oficina]]=$I$7,VLOOKUP(Tabla14[[#This Row],[Material]],'[6]RV Producción'!$Y:$AA,3,FALSE),VLOOKUP(Tabla14[[#This Row],[Llave]],'[6]RV Producción'!$C:$G,5,FALSE)),0)</f>
        <v>0</v>
      </c>
      <c r="J55" s="7">
        <f>IFERROR(IF(Tabla14[[#This Row],[Oficina]]=$I$7,VLOOKUP(Tabla14[[#This Row],[Llave]],'[7]Shangai (Tomas)'!$A:$F,6,FALSE),VLOOKUP(Tabla14[[#This Row],[Llave]],'[6]RV plan de ventas'!$A:$E,5,FALSE)),0)</f>
        <v>0</v>
      </c>
      <c r="K55" s="8">
        <f>IFERROR(VLOOKUP(Tabla14[[#This Row],[Sector]]&amp;Tabla14[[#This Row],[Oficina]],[8]Ponderación!$A$3:$G$22,7,FALSE),0)</f>
        <v>0.3545854356400317</v>
      </c>
      <c r="L55" s="7">
        <f>+Tabla14[[#This Row],[ RV Producción mes n+1]]*Tabla14[[#This Row],[% Uti. producción]]</f>
        <v>0</v>
      </c>
      <c r="M55" s="7">
        <f>IFERROR(VLOOKUP(Tabla14[[#This Row],[Material]],'[9]TD Stock'!$B:$C,2,FALSE),0)</f>
        <v>0</v>
      </c>
      <c r="N55" s="7">
        <f>IFERROR(VLOOKUP(Tabla14[[#This Row],[Material]],'[10]Consolidado planificación'!$B:$C,2,FALSE),0)</f>
        <v>0</v>
      </c>
      <c r="O55" s="7">
        <f>IFERROR(VLOOKUP(Tabla14[[#This Row],[Llave]],[11]Hoja2!$D:$G,4,FALSE),0)</f>
        <v>0</v>
      </c>
      <c r="P55" s="14">
        <f>SUM(Tabla14[[#This Row],[Producción disponible]],Tabla14[[#This Row],[Stock al día]],(Tabla14[[#This Row],[Por producir mes N]]*0.9))-Tabla14[[#This Row],[Producción por despachar mes N]]</f>
        <v>0</v>
      </c>
      <c r="Q55" s="7">
        <f>IFERROR(VLOOKUP(Tabla14[[#This Row],[Llave]],[9]DELAY!$A:$D,4,FALSE),0)</f>
        <v>0</v>
      </c>
      <c r="R55" s="9">
        <v>23000</v>
      </c>
      <c r="S55" s="5">
        <f t="shared" si="5"/>
        <v>0</v>
      </c>
      <c r="T55" s="76">
        <v>0</v>
      </c>
      <c r="U55" s="5">
        <f>+Tabla14[[#This Row],[Atraso a facturar]]+Tabla14[[#This Row],[Ajuste atraso]]</f>
        <v>0</v>
      </c>
      <c r="V55" s="3">
        <f>+Tabla14[[#This Row],[Total disponible]]-Tabla14[[#This Row],[Facturación atraso]]</f>
        <v>0</v>
      </c>
      <c r="W55" s="6">
        <f>IFERROR(IF(AND(V55&gt;R55,J55&gt;=R55),ROUNDDOWN((Tabla14[[#This Row],[Producción para venta nueva]])/R55,0)*R55,0),0)</f>
        <v>0</v>
      </c>
      <c r="X55" s="76">
        <v>0</v>
      </c>
      <c r="Y55" s="6">
        <f>IF(Tabla14[[#This Row],[Venta del mes]]&gt;0,Tabla14[[#This Row],[Venta del mes]]+Tabla14[[#This Row],[Ajuste venta nueva]],0)</f>
        <v>0</v>
      </c>
      <c r="Z55" s="6">
        <f>+Tabla14[[#This Row],[Producción para venta nueva]]-Tabla14[[#This Row],[Facturación Venta nueva]]</f>
        <v>0</v>
      </c>
      <c r="AA55" s="6">
        <f>IF(AND(A55=1,Tabla14[[#This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5" s="6">
        <v>0</v>
      </c>
      <c r="AC55" s="6">
        <f>IF(Tabla14[[#This Row],[Disponible stock sin venta]]&gt;0,Tabla14[[#This Row],[Disponible stock sin venta]]+Tabla14[[#This Row],[Ajuste stock sin venta]],0)</f>
        <v>0</v>
      </c>
      <c r="AD55" s="3">
        <f>IFERROR(VLOOKUP(Tabla14[[#This Row],[Llave]],[12]Hoja1!$A:$D,4,FALSE),0)</f>
        <v>0</v>
      </c>
      <c r="AE55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55" s="3" t="b">
        <v>0</v>
      </c>
      <c r="AG55" s="3">
        <f>+Tabla14[[#This Row],[En puerto a facturar]]</f>
        <v>0</v>
      </c>
      <c r="AH55" s="3">
        <f>+Tabla14[[#This Row],[Facturación atraso]]</f>
        <v>0</v>
      </c>
      <c r="AI55" s="3">
        <f>+Tabla14[[#This Row],[Plan Irrestricto (DATO)]]-Tabla14[[#This Row],[Puerto ]]-Tabla14[[#This Row],[Atraso]]</f>
        <v>0</v>
      </c>
      <c r="AJ5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55" s="3">
        <f>+Tabla14[[#This Row],[Facturación atraso]]</f>
        <v>0</v>
      </c>
      <c r="AL55" s="3">
        <f>Tabla14[[#This Row],[Plan Ajustado]]-Tabla14[[#This Row],[ Atraso ajustado]]-Tabla14[[#This Row],[En puerto a facturar]]</f>
        <v>0</v>
      </c>
      <c r="AM55" s="3">
        <v>0</v>
      </c>
      <c r="AN55" s="3" t="e">
        <v>#REF!</v>
      </c>
      <c r="AO55" s="3" t="str">
        <f>IF(Tabla14[[#This Row],[Plan Ajustado]]&gt;Tabla14[[#This Row],[En puerto a facturar]],"Si","No")</f>
        <v>No</v>
      </c>
      <c r="AP5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55" s="3">
        <f>IF(Tabla14[[#This Row],[Necesidad]]&gt;=Tabla14[[#This Row],[Stock al día]],Tabla14[[#This Row],[Stock al día]],Tabla14[[#This Row],[Necesidad]])</f>
        <v>0</v>
      </c>
      <c r="AR55" s="3">
        <f>+Tabla14[[#This Row],[Necesidad]]-Tabla14[[#This Row],[Stock Plan]]</f>
        <v>0</v>
      </c>
      <c r="AS55" s="155">
        <f>VLOOKUP(Tabla14[[#This Row],[Sector]]&amp;Tabla14[[#This Row],[Oficina]],[8]Ponderación!$A:$H,8,FALSE)</f>
        <v>44813</v>
      </c>
      <c r="AT55" s="30">
        <f>IFERROR(VLOOKUP(Tabla14[[#This Row],[Llave]],'[6]RV plan de ventas'!$A:$F,6,FALSE),0)</f>
        <v>0</v>
      </c>
      <c r="AU55" s="83">
        <f>IFERROR(VLOOKUP(Tabla14[[#This Row],[Llave]],[9]DELAY!$H:$X,17,FALSE),0)</f>
        <v>0</v>
      </c>
      <c r="AV5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55" s="5">
        <f>Tabla14[[#This Row],[Pecio plan]]*Tabla14[[#This Row],[Plan Ajustado]]</f>
        <v>0</v>
      </c>
      <c r="AX55" s="30">
        <f>IFERROR(VLOOKUP(Tabla14[[#This Row],[Llave]],'[13]Ultimos precios facturados'!$A:$G,7,FALSE),0)</f>
        <v>0</v>
      </c>
      <c r="AY5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55" s="30">
        <f>IFERROR(VLOOKUP(Tabla14[[#This Row],[Llave]],Hoja2!B:K,10,FALSE),0)</f>
        <v>0</v>
      </c>
      <c r="BA5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55" s="30">
        <v>0</v>
      </c>
      <c r="BC55" s="30">
        <f>IF(Tabla14[[#This Row],[Market]]=0,Tabla14[[#This Row],[Precio Final]],Tabla14[[#This Row],[Market]])</f>
        <v>0</v>
      </c>
      <c r="BD55" s="82"/>
      <c r="BE55" s="82" t="str">
        <f>IF(AND(Tabla14[[#This Row],[Atraso a facturar]]&gt;0,Tabla14[[#This Row],[En puerto a facturar]]&gt;0,Tabla14[[#This Row],[Precio Atraso]]=0),"Revisar","OK")</f>
        <v>OK</v>
      </c>
      <c r="BF55" s="82" t="str">
        <f>IF(AND(Tabla14[[#This Row],[Venta del mes]]&gt;0,Tabla14[[#This Row],[Precio venta nueva]]=0),"Revisar","OK")</f>
        <v>OK</v>
      </c>
      <c r="BG55" s="20">
        <f>IFERROR(VLOOKUP(Tabla14[[#This Row],[Llave]],'[5]Consolidación planes'!$A:$M,9,FALSE),0)</f>
        <v>0</v>
      </c>
      <c r="BH55" s="20">
        <f>IFERROR(VLOOKUP(Tabla14[[#This Row],[Llave]],'[5]Consolidación planes'!$A:$M,10,FALSE),0)</f>
        <v>0</v>
      </c>
      <c r="BI55" s="20">
        <f>IFERROR(VLOOKUP(Tabla14[[#This Row],[Llave]],'[5]Consolidación planes'!$A:$M,11,FALSE),0)</f>
        <v>0</v>
      </c>
      <c r="BJ55" s="20">
        <f>IFERROR(VLOOKUP(Tabla14[[#This Row],[Llave]],'[5]Consolidación planes'!$A:$M,12,FALSE),0)</f>
        <v>48000</v>
      </c>
      <c r="BK55" s="20">
        <f>IFERROR(VLOOKUP(Tabla14[[#This Row],[Llave]],'[5]Consolidación planes'!$A:$M,13,FALSE),0)</f>
        <v>0</v>
      </c>
      <c r="BL55" s="20">
        <f>IFERROR(VLOOKUP(Tabla14[[#This Row],[Llave]],'[13]Base ultimos planes'!$A:$M,13,FALSE),0)</f>
        <v>0</v>
      </c>
      <c r="BM55" s="20">
        <f>IFERROR(VLOOKUP(Tabla14[[#This Row],[Llave]],'[13]Cruce plan irrestricto'!$C:$M,10,FALSE),0)</f>
        <v>0</v>
      </c>
      <c r="BN55" s="20">
        <f>IFERROR(VLOOKUP(Tabla14[[#This Row],[Llave]],'[13]Cruce plan irrestricto'!$C:$M,11,FALSE),0)</f>
        <v>0</v>
      </c>
      <c r="BO55" s="80">
        <f>IFERROR(VLOOKUP(Tabla14[[#This Row],[Llave]],'[13]Base ultimos planes'!$O:$AA,8,FALSE),0)</f>
        <v>0</v>
      </c>
      <c r="BP55" s="20">
        <f>IFERROR(VLOOKUP(Tabla14[[#This Row],[Llave]],'[13]Base ultimos planes'!$O:$AA,9,FALSE),0)</f>
        <v>0</v>
      </c>
      <c r="BQ55" s="20">
        <f>IFERROR(VLOOKUP(Tabla14[[#This Row],[Llave]],'[13]Base ultimos planes'!$O:$AA,10,FALSE),0)</f>
        <v>0</v>
      </c>
      <c r="BR55" s="20">
        <f>IFERROR(VLOOKUP(Tabla14[[#This Row],[Llave]],'[13]Base ultimos planes'!$O:$AA,11,FALSE),0)</f>
        <v>64560</v>
      </c>
      <c r="BS55" s="20">
        <f>IFERROR(VLOOKUP(Tabla14[[#This Row],[Llave]],'[13]Base ultimos planes'!$O:$AA,12,FALSE),0)</f>
        <v>0</v>
      </c>
      <c r="BT55" s="20">
        <f>IFERROR(VLOOKUP(Tabla14[[#This Row],[Llave]],'[13]Base ultimos planes'!$O:$AA,13,FALSE),0)</f>
        <v>0</v>
      </c>
      <c r="BU55" s="20"/>
      <c r="BV55" s="20">
        <f>Tabla14[[#This Row],[ RV Producción mes n+1]]-Tabla14[[#This Row],[Producción disponible]]+Tabla14[[#This Row],[Saldo Volumen disponible]]</f>
        <v>0</v>
      </c>
      <c r="BW55" s="20">
        <f>IFERROR(VLOOKUP(Tabla14[[#This Row],[Llave]],[14]Hoja2!$J:$N,4,FALSE),0)</f>
        <v>0</v>
      </c>
      <c r="BX55" s="20">
        <f>+Tabla14[[#This Row],[Asignación mes n+1]]*Tabla14[[#This Row],[% Uti. producción]]</f>
        <v>0</v>
      </c>
      <c r="BY55" s="20">
        <f>+Tabla14[[#This Row],[Ponderación mes n+1]]+Tabla14[[#This Row],[Saldo mes n-1]]</f>
        <v>0</v>
      </c>
      <c r="BZ55" s="20">
        <f>+Tabla14[[#This Row],[Asignación mes n+1]]-Tabla14[[#This Row],[Ponderación mes n+1]]</f>
        <v>0</v>
      </c>
      <c r="CA55" s="20">
        <f>IFERROR(VLOOKUP(Tabla14[[#This Row],[Llave]],[14]Hoja2!$J:$N,5,FALSE),0)</f>
        <v>0</v>
      </c>
      <c r="CB55" s="20">
        <f>+Tabla14[[#This Row],[Asignación mes n+2]]*Tabla14[[#This Row],[% Uti. producción]]</f>
        <v>0</v>
      </c>
      <c r="CC55" s="20">
        <f>+Tabla14[[#This Row],[Saldo mes n+2]]+Tabla14[[#This Row],[Ponderación mes n+2]]</f>
        <v>0</v>
      </c>
      <c r="CD55" s="20">
        <f>+Tabla14[[#This Row],[Asignación mes n+2]]-Tabla14[[#This Row],[Ponderación mes n+2]]</f>
        <v>0</v>
      </c>
    </row>
    <row r="56" spans="1:82" ht="16" x14ac:dyDescent="0.2">
      <c r="A56">
        <v>1</v>
      </c>
      <c r="B56" t="str">
        <f>Tabla14[[#This Row],[Oficina]]&amp;Tabla14[[#This Row],[Material]]</f>
        <v>Agro Sudamerica1022384</v>
      </c>
      <c r="C56" t="s">
        <v>6</v>
      </c>
      <c r="D56" t="s">
        <v>17</v>
      </c>
      <c r="E56">
        <v>1022384</v>
      </c>
      <c r="F56" t="s">
        <v>24</v>
      </c>
      <c r="G56" t="s">
        <v>18</v>
      </c>
      <c r="H56" t="s">
        <v>21</v>
      </c>
      <c r="I56" s="7">
        <f>IFERROR(IF(Tabla14[[#This Row],[Oficina]]=$I$7,VLOOKUP(Tabla14[[#This Row],[Material]],'[6]RV Producción'!$Y:$AA,3,FALSE),VLOOKUP(Tabla14[[#This Row],[Llave]],'[6]RV Producción'!$C:$G,5,FALSE)),0)</f>
        <v>0</v>
      </c>
      <c r="J56" s="7">
        <f>IFERROR(IF(Tabla14[[#This Row],[Oficina]]=$I$7,VLOOKUP(Tabla14[[#This Row],[Llave]],'[7]Shangai (Tomas)'!$A:$F,6,FALSE),VLOOKUP(Tabla14[[#This Row],[Llave]],'[6]RV plan de ventas'!$A:$E,5,FALSE)),0)</f>
        <v>0</v>
      </c>
      <c r="K56" s="8">
        <f>IFERROR(VLOOKUP(Tabla14[[#This Row],[Sector]]&amp;Tabla14[[#This Row],[Oficina]],[8]Ponderación!$A$3:$G$22,7,FALSE),0)</f>
        <v>0.3545854356400317</v>
      </c>
      <c r="L56" s="7">
        <f>+Tabla14[[#This Row],[ RV Producción mes n+1]]*Tabla14[[#This Row],[% Uti. producción]]</f>
        <v>0</v>
      </c>
      <c r="M56" s="7">
        <f>IFERROR(VLOOKUP(Tabla14[[#This Row],[Material]],'[9]TD Stock'!$B:$C,2,FALSE),0)</f>
        <v>0</v>
      </c>
      <c r="N56" s="7">
        <f>IFERROR(VLOOKUP(Tabla14[[#This Row],[Material]],'[10]Consolidado planificación'!$B:$C,2,FALSE),0)</f>
        <v>0</v>
      </c>
      <c r="O56" s="7">
        <f>IFERROR(VLOOKUP(Tabla14[[#This Row],[Llave]],[11]Hoja2!$D:$G,4,FALSE),0)</f>
        <v>0</v>
      </c>
      <c r="P56" s="14">
        <f>SUM(Tabla14[[#This Row],[Producción disponible]],Tabla14[[#This Row],[Stock al día]],(Tabla14[[#This Row],[Por producir mes N]]*0.9))-Tabla14[[#This Row],[Producción por despachar mes N]]</f>
        <v>0</v>
      </c>
      <c r="Q56" s="7">
        <f>IFERROR(VLOOKUP(Tabla14[[#This Row],[Llave]],[9]DELAY!$A:$D,4,FALSE),0)</f>
        <v>0</v>
      </c>
      <c r="R56" s="9">
        <v>23000</v>
      </c>
      <c r="S56" s="5">
        <f t="shared" si="5"/>
        <v>0</v>
      </c>
      <c r="T56" s="76">
        <v>0</v>
      </c>
      <c r="U56" s="5">
        <f>+Tabla14[[#This Row],[Atraso a facturar]]+Tabla14[[#This Row],[Ajuste atraso]]</f>
        <v>0</v>
      </c>
      <c r="V56" s="3">
        <f>+Tabla14[[#This Row],[Total disponible]]-Tabla14[[#This Row],[Facturación atraso]]</f>
        <v>0</v>
      </c>
      <c r="W56" s="6">
        <f>IFERROR(IF(AND(V56&gt;R56,J56&gt;=R56),ROUNDDOWN((Tabla14[[#This Row],[Producción para venta nueva]])/R56,0)*R56,0),0)</f>
        <v>0</v>
      </c>
      <c r="X56" s="76">
        <v>0</v>
      </c>
      <c r="Y56" s="6">
        <f>IF(Tabla14[[#This Row],[Venta del mes]]&gt;0,Tabla14[[#This Row],[Venta del mes]]+Tabla14[[#This Row],[Ajuste venta nueva]],0)</f>
        <v>0</v>
      </c>
      <c r="Z56" s="6">
        <f>+Tabla14[[#This Row],[Producción para venta nueva]]-Tabla14[[#This Row],[Facturación Venta nueva]]</f>
        <v>0</v>
      </c>
      <c r="AA56" s="6">
        <f>IF(AND(A56=1,Tabla14[[#This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6" s="6">
        <v>0</v>
      </c>
      <c r="AC56" s="6">
        <f>IF(Tabla14[[#This Row],[Disponible stock sin venta]]&gt;0,Tabla14[[#This Row],[Disponible stock sin venta]]+Tabla14[[#This Row],[Ajuste stock sin venta]],0)</f>
        <v>0</v>
      </c>
      <c r="AD56" s="3">
        <f>IFERROR(VLOOKUP(Tabla14[[#This Row],[Llave]],[12]Hoja1!$A:$D,4,FALSE),0)</f>
        <v>0</v>
      </c>
      <c r="AE56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56" s="3" t="b">
        <v>0</v>
      </c>
      <c r="AG56" s="3">
        <f>+Tabla14[[#This Row],[En puerto a facturar]]</f>
        <v>0</v>
      </c>
      <c r="AH56" s="3">
        <f>+Tabla14[[#This Row],[Facturación atraso]]</f>
        <v>0</v>
      </c>
      <c r="AI56" s="3">
        <f>+Tabla14[[#This Row],[Plan Irrestricto (DATO)]]-Tabla14[[#This Row],[Puerto ]]-Tabla14[[#This Row],[Atraso]]</f>
        <v>0</v>
      </c>
      <c r="AJ5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56" s="3">
        <f>+Tabla14[[#This Row],[Facturación atraso]]</f>
        <v>0</v>
      </c>
      <c r="AL56" s="3">
        <f>Tabla14[[#This Row],[Plan Ajustado]]-Tabla14[[#This Row],[ Atraso ajustado]]-Tabla14[[#This Row],[En puerto a facturar]]</f>
        <v>0</v>
      </c>
      <c r="AM56" s="3">
        <v>0</v>
      </c>
      <c r="AN56" s="3" t="e">
        <v>#REF!</v>
      </c>
      <c r="AO56" s="3" t="str">
        <f>IF(Tabla14[[#This Row],[Plan Ajustado]]&gt;Tabla14[[#This Row],[En puerto a facturar]],"Si","No")</f>
        <v>No</v>
      </c>
      <c r="AP5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56" s="3">
        <f>IF(Tabla14[[#This Row],[Necesidad]]&gt;=Tabla14[[#This Row],[Stock al día]],Tabla14[[#This Row],[Stock al día]],Tabla14[[#This Row],[Necesidad]])</f>
        <v>0</v>
      </c>
      <c r="AR56" s="3">
        <f>+Tabla14[[#This Row],[Necesidad]]-Tabla14[[#This Row],[Stock Plan]]</f>
        <v>0</v>
      </c>
      <c r="AS56" s="155">
        <f>VLOOKUP(Tabla14[[#This Row],[Sector]]&amp;Tabla14[[#This Row],[Oficina]],[8]Ponderación!$A:$H,8,FALSE)</f>
        <v>44813</v>
      </c>
      <c r="AT56" s="30">
        <f>IFERROR(VLOOKUP(Tabla14[[#This Row],[Llave]],'[6]RV plan de ventas'!$A:$F,6,FALSE),0)</f>
        <v>0</v>
      </c>
      <c r="AU56" s="83">
        <f>IFERROR(VLOOKUP(Tabla14[[#This Row],[Llave]],[9]DELAY!$H:$X,17,FALSE),0)</f>
        <v>0</v>
      </c>
      <c r="AV5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56" s="5">
        <f>Tabla14[[#This Row],[Pecio plan]]*Tabla14[[#This Row],[Plan Ajustado]]</f>
        <v>0</v>
      </c>
      <c r="AX56" s="30">
        <f>IFERROR(VLOOKUP(Tabla14[[#This Row],[Llave]],'[13]Ultimos precios facturados'!$A:$G,7,FALSE),0)</f>
        <v>4.5641475029685861</v>
      </c>
      <c r="AY5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56" s="30">
        <f>IFERROR(VLOOKUP(Tabla14[[#This Row],[Llave]],Hoja2!B:K,10,FALSE),0)</f>
        <v>0</v>
      </c>
      <c r="BA5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4.5641475029685861</v>
      </c>
      <c r="BB56" s="30">
        <v>0</v>
      </c>
      <c r="BC56" s="30">
        <f>IF(Tabla14[[#This Row],[Market]]=0,Tabla14[[#This Row],[Precio Final]],Tabla14[[#This Row],[Market]])</f>
        <v>4.5641475029685861</v>
      </c>
      <c r="BD56" s="82"/>
      <c r="BE56" s="82" t="str">
        <f>IF(AND(Tabla14[[#This Row],[Atraso a facturar]]&gt;0,Tabla14[[#This Row],[En puerto a facturar]]&gt;0,Tabla14[[#This Row],[Precio Atraso]]=0),"Revisar","OK")</f>
        <v>OK</v>
      </c>
      <c r="BF56" s="82" t="str">
        <f>IF(AND(Tabla14[[#This Row],[Venta del mes]]&gt;0,Tabla14[[#This Row],[Precio venta nueva]]=0),"Revisar","OK")</f>
        <v>OK</v>
      </c>
      <c r="BG56" s="20">
        <f>IFERROR(VLOOKUP(Tabla14[[#This Row],[Llave]],'[5]Consolidación planes'!$A:$M,9,FALSE),0)</f>
        <v>2947</v>
      </c>
      <c r="BH56" s="20">
        <f>IFERROR(VLOOKUP(Tabla14[[#This Row],[Llave]],'[5]Consolidación planes'!$A:$M,10,FALSE),0)</f>
        <v>0</v>
      </c>
      <c r="BI56" s="20">
        <f>IFERROR(VLOOKUP(Tabla14[[#This Row],[Llave]],'[5]Consolidación planes'!$A:$M,11,FALSE),0)</f>
        <v>0</v>
      </c>
      <c r="BJ56" s="20">
        <f>IFERROR(VLOOKUP(Tabla14[[#This Row],[Llave]],'[5]Consolidación planes'!$A:$M,12,FALSE),0)</f>
        <v>0</v>
      </c>
      <c r="BK56" s="20">
        <f>IFERROR(VLOOKUP(Tabla14[[#This Row],[Llave]],'[5]Consolidación planes'!$A:$M,13,FALSE),0)</f>
        <v>619</v>
      </c>
      <c r="BL56" s="20">
        <f>IFERROR(VLOOKUP(Tabla14[[#This Row],[Llave]],'[13]Base ultimos planes'!$A:$M,13,FALSE),0)</f>
        <v>0</v>
      </c>
      <c r="BM56" s="20">
        <f>IFERROR(VLOOKUP(Tabla14[[#This Row],[Llave]],'[13]Cruce plan irrestricto'!$C:$M,10,FALSE),0)</f>
        <v>0</v>
      </c>
      <c r="BN56" s="20">
        <f>IFERROR(VLOOKUP(Tabla14[[#This Row],[Llave]],'[13]Cruce plan irrestricto'!$C:$M,11,FALSE),0)</f>
        <v>0</v>
      </c>
      <c r="BO56" s="80">
        <f>IFERROR(VLOOKUP(Tabla14[[#This Row],[Llave]],'[13]Base ultimos planes'!$O:$AA,8,FALSE),0)</f>
        <v>15619.1</v>
      </c>
      <c r="BP56" s="20">
        <f>IFERROR(VLOOKUP(Tabla14[[#This Row],[Llave]],'[13]Base ultimos planes'!$O:$AA,9,FALSE),0)</f>
        <v>0</v>
      </c>
      <c r="BQ56" s="20">
        <f>IFERROR(VLOOKUP(Tabla14[[#This Row],[Llave]],'[13]Base ultimos planes'!$O:$AA,10,FALSE),0)</f>
        <v>0</v>
      </c>
      <c r="BR56" s="20">
        <f>IFERROR(VLOOKUP(Tabla14[[#This Row],[Llave]],'[13]Base ultimos planes'!$O:$AA,11,FALSE),0)</f>
        <v>0</v>
      </c>
      <c r="BS56" s="20">
        <f>IFERROR(VLOOKUP(Tabla14[[#This Row],[Llave]],'[13]Base ultimos planes'!$O:$AA,12,FALSE),0)</f>
        <v>2105</v>
      </c>
      <c r="BT56" s="20">
        <f>IFERROR(VLOOKUP(Tabla14[[#This Row],[Llave]],'[13]Base ultimos planes'!$O:$AA,13,FALSE),0)</f>
        <v>0</v>
      </c>
      <c r="BU56" s="20"/>
      <c r="BV56" s="20">
        <f>Tabla14[[#This Row],[ RV Producción mes n+1]]-Tabla14[[#This Row],[Producción disponible]]+Tabla14[[#This Row],[Saldo Volumen disponible]]</f>
        <v>0</v>
      </c>
      <c r="BW56" s="20">
        <f>IFERROR(VLOOKUP(Tabla14[[#This Row],[Llave]],[14]Hoja2!$J:$N,4,FALSE),0)</f>
        <v>0</v>
      </c>
      <c r="BX56" s="20">
        <f>+Tabla14[[#This Row],[Asignación mes n+1]]*Tabla14[[#This Row],[% Uti. producción]]</f>
        <v>0</v>
      </c>
      <c r="BY56" s="20">
        <f>+Tabla14[[#This Row],[Ponderación mes n+1]]+Tabla14[[#This Row],[Saldo mes n-1]]</f>
        <v>0</v>
      </c>
      <c r="BZ56" s="20">
        <f>+Tabla14[[#This Row],[Asignación mes n+1]]-Tabla14[[#This Row],[Ponderación mes n+1]]</f>
        <v>0</v>
      </c>
      <c r="CA56" s="20">
        <f>IFERROR(VLOOKUP(Tabla14[[#This Row],[Llave]],[14]Hoja2!$J:$N,5,FALSE),0)</f>
        <v>0</v>
      </c>
      <c r="CB56" s="20">
        <f>+Tabla14[[#This Row],[Asignación mes n+2]]*Tabla14[[#This Row],[% Uti. producción]]</f>
        <v>0</v>
      </c>
      <c r="CC56" s="20">
        <f>+Tabla14[[#This Row],[Saldo mes n+2]]+Tabla14[[#This Row],[Ponderación mes n+2]]</f>
        <v>0</v>
      </c>
      <c r="CD56" s="20">
        <f>+Tabla14[[#This Row],[Asignación mes n+2]]-Tabla14[[#This Row],[Ponderación mes n+2]]</f>
        <v>0</v>
      </c>
    </row>
    <row r="57" spans="1:82" ht="16" x14ac:dyDescent="0.2">
      <c r="A57">
        <v>1</v>
      </c>
      <c r="B57" t="str">
        <f>Tabla14[[#This Row],[Oficina]]&amp;Tabla14[[#This Row],[Material]]</f>
        <v>Agro Sudamerica1022406</v>
      </c>
      <c r="C57" t="s">
        <v>6</v>
      </c>
      <c r="D57" t="s">
        <v>17</v>
      </c>
      <c r="E57">
        <v>1022406</v>
      </c>
      <c r="F57" t="s">
        <v>78</v>
      </c>
      <c r="G57" t="s">
        <v>76</v>
      </c>
      <c r="H57" t="s">
        <v>77</v>
      </c>
      <c r="I57" s="7">
        <f>IFERROR(IF(Tabla14[[#This Row],[Oficina]]=$I$7,VLOOKUP(Tabla14[[#This Row],[Material]],'[6]RV Producción'!$Y:$AA,3,FALSE),VLOOKUP(Tabla14[[#This Row],[Llave]],'[6]RV Producción'!$C:$G,5,FALSE)),0)</f>
        <v>0</v>
      </c>
      <c r="J57" s="7">
        <f>IFERROR(IF(Tabla14[[#This Row],[Oficina]]=$I$7,VLOOKUP(Tabla14[[#This Row],[Llave]],'[7]Shangai (Tomas)'!$A:$F,6,FALSE),VLOOKUP(Tabla14[[#This Row],[Llave]],'[6]RV plan de ventas'!$A:$E,5,FALSE)),0)</f>
        <v>0</v>
      </c>
      <c r="K57" s="8">
        <f>IFERROR(VLOOKUP(Tabla14[[#This Row],[Sector]]&amp;Tabla14[[#This Row],[Oficina]],[8]Ponderación!$A$3:$G$22,7,FALSE),0)</f>
        <v>0.3545854356400317</v>
      </c>
      <c r="L57" s="7">
        <f>+Tabla14[[#This Row],[ RV Producción mes n+1]]*Tabla14[[#This Row],[% Uti. producción]]</f>
        <v>0</v>
      </c>
      <c r="M57" s="7">
        <f>IFERROR(VLOOKUP(Tabla14[[#This Row],[Material]],'[9]TD Stock'!$B:$C,2,FALSE),0)</f>
        <v>19092.253000000015</v>
      </c>
      <c r="N57" s="7">
        <f>IFERROR(VLOOKUP(Tabla14[[#This Row],[Material]],'[10]Consolidado planificación'!$B:$C,2,FALSE),0)</f>
        <v>0</v>
      </c>
      <c r="O57" s="7">
        <f>IFERROR(VLOOKUP(Tabla14[[#This Row],[Llave]],[11]Hoja2!$D:$G,4,FALSE),0)</f>
        <v>0</v>
      </c>
      <c r="P57" s="14">
        <f>SUM(Tabla14[[#This Row],[Producción disponible]],Tabla14[[#This Row],[Stock al día]],(Tabla14[[#This Row],[Por producir mes N]]*0.9))-Tabla14[[#This Row],[Producción por despachar mes N]]</f>
        <v>19092.253000000015</v>
      </c>
      <c r="Q57" s="7">
        <f>IFERROR(VLOOKUP(Tabla14[[#This Row],[Llave]],[9]DELAY!$A:$D,4,FALSE),0)</f>
        <v>20000</v>
      </c>
      <c r="R57" s="9">
        <v>23000</v>
      </c>
      <c r="S57" s="5">
        <f t="shared" si="5"/>
        <v>0</v>
      </c>
      <c r="T57" s="76">
        <v>0</v>
      </c>
      <c r="U57" s="5">
        <f>+Tabla14[[#This Row],[Atraso a facturar]]+Tabla14[[#This Row],[Ajuste atraso]]</f>
        <v>0</v>
      </c>
      <c r="V57" s="3">
        <f>+Tabla14[[#This Row],[Total disponible]]-Tabla14[[#This Row],[Facturación atraso]]</f>
        <v>19092.253000000015</v>
      </c>
      <c r="W57" s="6">
        <f>IFERROR(IF(AND(V57&gt;R57,J57&gt;=R57),ROUNDDOWN((Tabla14[[#This Row],[Producción para venta nueva]])/R57,0)*R57,0),0)</f>
        <v>0</v>
      </c>
      <c r="X57" s="76">
        <v>0</v>
      </c>
      <c r="Y57" s="6">
        <f>IF(Tabla14[[#This Row],[Venta del mes]]&gt;0,Tabla14[[#This Row],[Venta del mes]]+Tabla14[[#This Row],[Ajuste venta nueva]],0)</f>
        <v>0</v>
      </c>
      <c r="Z57" s="6">
        <f>+Tabla14[[#This Row],[Producción para venta nueva]]-Tabla14[[#This Row],[Facturación Venta nueva]]</f>
        <v>19092.253000000015</v>
      </c>
      <c r="AA57" s="6">
        <f>IF(AND(A57=1,Tabla14[[#This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7" s="6">
        <v>0</v>
      </c>
      <c r="AC57" s="6">
        <f>IF(Tabla14[[#This Row],[Disponible stock sin venta]]&gt;0,Tabla14[[#This Row],[Disponible stock sin venta]]+Tabla14[[#This Row],[Ajuste stock sin venta]],0)</f>
        <v>0</v>
      </c>
      <c r="AD57" s="3">
        <f>IFERROR(VLOOKUP(Tabla14[[#This Row],[Llave]],[12]Hoja1!$A:$D,4,FALSE),0)</f>
        <v>0</v>
      </c>
      <c r="AE5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57" s="3">
        <v>0</v>
      </c>
      <c r="AG57" s="3">
        <f>+Tabla14[[#This Row],[En puerto a facturar]]</f>
        <v>0</v>
      </c>
      <c r="AH57" s="3">
        <f>+Tabla14[[#This Row],[Facturación atraso]]</f>
        <v>0</v>
      </c>
      <c r="AI57" s="3">
        <f>+Tabla14[[#This Row],[Plan Irrestricto (DATO)]]-Tabla14[[#This Row],[Puerto ]]-Tabla14[[#This Row],[Atraso]]</f>
        <v>0</v>
      </c>
      <c r="AJ5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57" s="3">
        <f>+Tabla14[[#This Row],[Facturación atraso]]</f>
        <v>0</v>
      </c>
      <c r="AL57" s="3">
        <f>Tabla14[[#This Row],[Plan Ajustado]]-Tabla14[[#This Row],[ Atraso ajustado]]-Tabla14[[#This Row],[En puerto a facturar]]</f>
        <v>0</v>
      </c>
      <c r="AM57" s="3">
        <v>0</v>
      </c>
      <c r="AN57" s="3" t="e">
        <v>#REF!</v>
      </c>
      <c r="AO57" s="3" t="str">
        <f>IF(Tabla14[[#This Row],[Plan Ajustado]]&gt;Tabla14[[#This Row],[En puerto a facturar]],"Si","No")</f>
        <v>No</v>
      </c>
      <c r="AP5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57" s="3">
        <f>IF(Tabla14[[#This Row],[Necesidad]]&gt;=Tabla14[[#This Row],[Stock al día]],Tabla14[[#This Row],[Stock al día]],Tabla14[[#This Row],[Necesidad]])</f>
        <v>0</v>
      </c>
      <c r="AR57" s="3">
        <f>+Tabla14[[#This Row],[Necesidad]]-Tabla14[[#This Row],[Stock Plan]]</f>
        <v>0</v>
      </c>
      <c r="AS57" s="155">
        <f>VLOOKUP(Tabla14[[#This Row],[Sector]]&amp;Tabla14[[#This Row],[Oficina]],[8]Ponderación!$A:$H,8,FALSE)</f>
        <v>44813</v>
      </c>
      <c r="AT57" s="30">
        <f>IFERROR(VLOOKUP(Tabla14[[#This Row],[Llave]],'[6]RV plan de ventas'!$A:$F,6,FALSE),0)</f>
        <v>0</v>
      </c>
      <c r="AU57" s="83">
        <f>IFERROR(VLOOKUP(Tabla14[[#This Row],[Llave]],[9]DELAY!$H:$X,17,FALSE),0)</f>
        <v>0.8</v>
      </c>
      <c r="AV5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57" s="5">
        <f>Tabla14[[#This Row],[Pecio plan]]*Tabla14[[#This Row],[Plan Ajustado]]</f>
        <v>0</v>
      </c>
      <c r="AX57" s="30">
        <f>IFERROR(VLOOKUP(Tabla14[[#This Row],[Llave]],'[13]Ultimos precios facturados'!$A:$G,7,FALSE),0)</f>
        <v>2.1843070367596704</v>
      </c>
      <c r="AY5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57" s="30">
        <f>IFERROR(VLOOKUP(Tabla14[[#This Row],[Llave]],Hoja2!B:K,10,FALSE),0)</f>
        <v>0</v>
      </c>
      <c r="BA5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57" s="30">
        <v>0</v>
      </c>
      <c r="BC57" s="30">
        <f>IF(Tabla14[[#This Row],[Market]]=0,Tabla14[[#This Row],[Precio Final]],Tabla14[[#This Row],[Market]])</f>
        <v>0</v>
      </c>
      <c r="BD57" s="82"/>
      <c r="BE57" s="82" t="str">
        <f>IF(AND(Tabla14[[#This Row],[Atraso a facturar]]&gt;0,Tabla14[[#This Row],[En puerto a facturar]]&gt;0,Tabla14[[#This Row],[Precio Atraso]]=0),"Revisar","OK")</f>
        <v>OK</v>
      </c>
      <c r="BF57" s="82" t="str">
        <f>IF(AND(Tabla14[[#This Row],[Venta del mes]]&gt;0,Tabla14[[#This Row],[Precio venta nueva]]=0),"Revisar","OK")</f>
        <v>OK</v>
      </c>
      <c r="BG57" s="20">
        <f>IFERROR(VLOOKUP(Tabla14[[#This Row],[Llave]],'[5]Consolidación planes'!$A:$M,9,FALSE),0)</f>
        <v>0</v>
      </c>
      <c r="BH57" s="20">
        <f>IFERROR(VLOOKUP(Tabla14[[#This Row],[Llave]],'[5]Consolidación planes'!$A:$M,10,FALSE),0)</f>
        <v>0</v>
      </c>
      <c r="BI57" s="20">
        <f>IFERROR(VLOOKUP(Tabla14[[#This Row],[Llave]],'[5]Consolidación planes'!$A:$M,11,FALSE),0)</f>
        <v>0</v>
      </c>
      <c r="BJ57" s="20">
        <f>IFERROR(VLOOKUP(Tabla14[[#This Row],[Llave]],'[5]Consolidación planes'!$A:$M,12,FALSE),0)</f>
        <v>0</v>
      </c>
      <c r="BK57" s="20">
        <f>IFERROR(VLOOKUP(Tabla14[[#This Row],[Llave]],'[5]Consolidación planes'!$A:$M,13,FALSE),0)</f>
        <v>0</v>
      </c>
      <c r="BL57" s="20">
        <f>IFERROR(VLOOKUP(Tabla14[[#This Row],[Llave]],'[13]Base ultimos planes'!$A:$M,13,FALSE),0)</f>
        <v>0</v>
      </c>
      <c r="BM57" s="20">
        <f>IFERROR(VLOOKUP(Tabla14[[#This Row],[Llave]],'[13]Cruce plan irrestricto'!$C:$M,10,FALSE),0)</f>
        <v>0</v>
      </c>
      <c r="BN57" s="20">
        <f>IFERROR(VLOOKUP(Tabla14[[#This Row],[Llave]],'[13]Cruce plan irrestricto'!$C:$M,11,FALSE),0)</f>
        <v>0</v>
      </c>
      <c r="BO57" s="80">
        <f>IFERROR(VLOOKUP(Tabla14[[#This Row],[Llave]],'[13]Base ultimos planes'!$O:$AA,8,FALSE),0)</f>
        <v>0</v>
      </c>
      <c r="BP57" s="20">
        <f>IFERROR(VLOOKUP(Tabla14[[#This Row],[Llave]],'[13]Base ultimos planes'!$O:$AA,9,FALSE),0)</f>
        <v>0</v>
      </c>
      <c r="BQ57" s="20">
        <f>IFERROR(VLOOKUP(Tabla14[[#This Row],[Llave]],'[13]Base ultimos planes'!$O:$AA,10,FALSE),0)</f>
        <v>0</v>
      </c>
      <c r="BR57" s="20">
        <f>IFERROR(VLOOKUP(Tabla14[[#This Row],[Llave]],'[13]Base ultimos planes'!$O:$AA,11,FALSE),0)</f>
        <v>0</v>
      </c>
      <c r="BS57" s="20">
        <f>IFERROR(VLOOKUP(Tabla14[[#This Row],[Llave]],'[13]Base ultimos planes'!$O:$AA,12,FALSE),0)</f>
        <v>0</v>
      </c>
      <c r="BT57" s="20">
        <f>IFERROR(VLOOKUP(Tabla14[[#This Row],[Llave]],'[13]Base ultimos planes'!$O:$AA,13,FALSE),0)</f>
        <v>0</v>
      </c>
      <c r="BU57" s="20"/>
      <c r="BV57" s="20">
        <f>Tabla14[[#This Row],[ RV Producción mes n+1]]-Tabla14[[#This Row],[Producción disponible]]+Tabla14[[#This Row],[Saldo Volumen disponible]]</f>
        <v>19092.253000000015</v>
      </c>
      <c r="BW57" s="20">
        <f>IFERROR(VLOOKUP(Tabla14[[#This Row],[Llave]],[14]Hoja2!$J:$N,4,FALSE),0)</f>
        <v>0</v>
      </c>
      <c r="BX57" s="20">
        <f>+Tabla14[[#This Row],[Asignación mes n+1]]*Tabla14[[#This Row],[% Uti. producción]]</f>
        <v>0</v>
      </c>
      <c r="BY57" s="20">
        <f>+Tabla14[[#This Row],[Ponderación mes n+1]]+Tabla14[[#This Row],[Saldo mes n-1]]</f>
        <v>19092.253000000015</v>
      </c>
      <c r="BZ57" s="20">
        <f>+Tabla14[[#This Row],[Asignación mes n+1]]-Tabla14[[#This Row],[Ponderación mes n+1]]</f>
        <v>0</v>
      </c>
      <c r="CA57" s="20">
        <f>IFERROR(VLOOKUP(Tabla14[[#This Row],[Llave]],[14]Hoja2!$J:$N,5,FALSE),0)</f>
        <v>0</v>
      </c>
      <c r="CB57" s="20">
        <f>+Tabla14[[#This Row],[Asignación mes n+2]]*Tabla14[[#This Row],[% Uti. producción]]</f>
        <v>0</v>
      </c>
      <c r="CC57" s="20">
        <f>+Tabla14[[#This Row],[Saldo mes n+2]]+Tabla14[[#This Row],[Ponderación mes n+2]]</f>
        <v>0</v>
      </c>
      <c r="CD57" s="20">
        <f>+Tabla14[[#This Row],[Asignación mes n+2]]-Tabla14[[#This Row],[Ponderación mes n+2]]</f>
        <v>0</v>
      </c>
    </row>
    <row r="58" spans="1:82" ht="16" x14ac:dyDescent="0.2">
      <c r="A58">
        <v>1</v>
      </c>
      <c r="B58" t="str">
        <f>Tabla14[[#This Row],[Oficina]]&amp;Tabla14[[#This Row],[Material]]</f>
        <v>Agro Sudamerica1022409</v>
      </c>
      <c r="C58" t="s">
        <v>6</v>
      </c>
      <c r="D58" t="s">
        <v>17</v>
      </c>
      <c r="E58">
        <v>1022409</v>
      </c>
      <c r="F58" t="s">
        <v>80</v>
      </c>
      <c r="G58" t="s">
        <v>76</v>
      </c>
      <c r="H58" t="s">
        <v>79</v>
      </c>
      <c r="I58" s="7">
        <f>IFERROR(IF(Tabla14[[#This Row],[Oficina]]=$I$7,VLOOKUP(Tabla14[[#This Row],[Material]],'[6]RV Producción'!$Y:$AA,3,FALSE),VLOOKUP(Tabla14[[#This Row],[Llave]],'[6]RV Producción'!$C:$G,5,FALSE)),0)</f>
        <v>24171</v>
      </c>
      <c r="J58" s="7">
        <f>IFERROR(IF(Tabla14[[#This Row],[Oficina]]=$I$7,VLOOKUP(Tabla14[[#This Row],[Llave]],'[7]Shangai (Tomas)'!$A:$F,6,FALSE),VLOOKUP(Tabla14[[#This Row],[Llave]],'[6]RV plan de ventas'!$A:$E,5,FALSE)),0)</f>
        <v>0</v>
      </c>
      <c r="K58" s="8">
        <f>IFERROR(VLOOKUP(Tabla14[[#This Row],[Sector]]&amp;Tabla14[[#This Row],[Oficina]],[8]Ponderación!$A$3:$G$22,7,FALSE),0)</f>
        <v>0.3545854356400317</v>
      </c>
      <c r="L58" s="7">
        <f>+Tabla14[[#This Row],[ RV Producción mes n+1]]*Tabla14[[#This Row],[% Uti. producción]]</f>
        <v>8570.6845648552062</v>
      </c>
      <c r="M58" s="7">
        <f>IFERROR(VLOOKUP(Tabla14[[#This Row],[Material]],'[9]TD Stock'!$B:$C,2,FALSE),0)</f>
        <v>18585</v>
      </c>
      <c r="N58" s="7">
        <f>IFERROR(VLOOKUP(Tabla14[[#This Row],[Material]],'[10]Consolidado planificación'!$B:$C,2,FALSE),0)</f>
        <v>1200</v>
      </c>
      <c r="O58" s="7">
        <f>IFERROR(VLOOKUP(Tabla14[[#This Row],[Llave]],[11]Hoja2!$D:$G,4,FALSE),0)</f>
        <v>0</v>
      </c>
      <c r="P58" s="14">
        <f>SUM(Tabla14[[#This Row],[Producción disponible]],Tabla14[[#This Row],[Stock al día]],(Tabla14[[#This Row],[Por producir mes N]]*0.9))-Tabla14[[#This Row],[Producción por despachar mes N]]</f>
        <v>28235.684564855204</v>
      </c>
      <c r="Q58" s="7">
        <f>IFERROR(VLOOKUP(Tabla14[[#This Row],[Llave]],[9]DELAY!$A:$D,4,FALSE),0)</f>
        <v>47880</v>
      </c>
      <c r="R58" s="9">
        <v>23000</v>
      </c>
      <c r="S58" s="5">
        <f t="shared" si="5"/>
        <v>23000</v>
      </c>
      <c r="T58" s="76">
        <v>0</v>
      </c>
      <c r="U58" s="5">
        <f>+Tabla14[[#This Row],[Atraso a facturar]]+Tabla14[[#This Row],[Ajuste atraso]]</f>
        <v>23000</v>
      </c>
      <c r="V58" s="3">
        <f>+Tabla14[[#This Row],[Total disponible]]-Tabla14[[#This Row],[Facturación atraso]]</f>
        <v>5235.6845648552044</v>
      </c>
      <c r="W58" s="6">
        <f>IFERROR(IF(AND(V58&gt;R58,J58&gt;=R58),ROUNDDOWN((Tabla14[[#This Row],[Producción para venta nueva]])/R58,0)*R58,0),0)</f>
        <v>0</v>
      </c>
      <c r="X58" s="76">
        <v>0</v>
      </c>
      <c r="Y58" s="6">
        <f>IF(Tabla14[[#This Row],[Venta del mes]]&gt;0,Tabla14[[#This Row],[Venta del mes]]+Tabla14[[#This Row],[Ajuste venta nueva]],0)</f>
        <v>0</v>
      </c>
      <c r="Z58" s="6">
        <f>+Tabla14[[#This Row],[Producción para venta nueva]]-Tabla14[[#This Row],[Facturación Venta nueva]]</f>
        <v>5235.6845648552044</v>
      </c>
      <c r="AA58" s="6">
        <f>IF(AND(A58=1,Tabla14[[#This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8" s="6">
        <v>0</v>
      </c>
      <c r="AC58" s="6">
        <f>IF(Tabla14[[#This Row],[Disponible stock sin venta]]&gt;0,Tabla14[[#This Row],[Disponible stock sin venta]]+Tabla14[[#This Row],[Ajuste stock sin venta]],0)</f>
        <v>0</v>
      </c>
      <c r="AD58" s="3">
        <f>IFERROR(VLOOKUP(Tabla14[[#This Row],[Llave]],[12]Hoja1!$A:$D,4,FALSE),0)</f>
        <v>0</v>
      </c>
      <c r="AE5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58" s="3">
        <v>23000</v>
      </c>
      <c r="AG58" s="3">
        <f>+Tabla14[[#This Row],[En puerto a facturar]]</f>
        <v>0</v>
      </c>
      <c r="AH58" s="3">
        <f>+Tabla14[[#This Row],[Facturación atraso]]</f>
        <v>23000</v>
      </c>
      <c r="AI58" s="3">
        <f>+Tabla14[[#This Row],[Plan Irrestricto (DATO)]]-Tabla14[[#This Row],[Puerto ]]-Tabla14[[#This Row],[Atraso]]</f>
        <v>0</v>
      </c>
      <c r="AJ58" s="6">
        <f>IF(Tabla14[[#This Row],[Plan Irrestricto (DATO)]]&gt;0,SUM(Tabla14[[#This Row],[Facturación atraso]],Tabla14[[#This Row],[Facturación Venta nueva]],Tabla14[[#This Row],[Facturación stock]],Tabla14[[#This Row],[En puerto a facturar]]),0)</f>
        <v>23000</v>
      </c>
      <c r="AK58" s="3">
        <f>+Tabla14[[#This Row],[Facturación atraso]]</f>
        <v>23000</v>
      </c>
      <c r="AL58" s="3">
        <f>Tabla14[[#This Row],[Plan Ajustado]]-Tabla14[[#This Row],[ Atraso ajustado]]-Tabla14[[#This Row],[En puerto a facturar]]</f>
        <v>0</v>
      </c>
      <c r="AM58" s="3">
        <v>0</v>
      </c>
      <c r="AN58" s="3" t="s">
        <v>636</v>
      </c>
      <c r="AO58" s="3" t="str">
        <f>IF(Tabla14[[#This Row],[Plan Ajustado]]&gt;Tabla14[[#This Row],[En puerto a facturar]],"Si","No")</f>
        <v>Si</v>
      </c>
      <c r="AP58" s="3">
        <f>IF(AND(Tabla14[[#This Row],[Plan Ajustado]]&gt;0,Tabla14[[#This Row],[Plan Ajustado]]&gt;Tabla14[[#This Row],[En puerto a facturar]]),(Tabla14[[#This Row],[Plan Ajustado]]-Tabla14[[#This Row],[En puerto a facturar]]),0)</f>
        <v>23000</v>
      </c>
      <c r="AQ58" s="3">
        <f>IF(Tabla14[[#This Row],[Necesidad]]&gt;=Tabla14[[#This Row],[Stock al día]],Tabla14[[#This Row],[Stock al día]],Tabla14[[#This Row],[Necesidad]])</f>
        <v>18585</v>
      </c>
      <c r="AR58" s="3">
        <f>+Tabla14[[#This Row],[Necesidad]]-Tabla14[[#This Row],[Stock Plan]]</f>
        <v>4415</v>
      </c>
      <c r="AS58" s="155">
        <f>VLOOKUP(Tabla14[[#This Row],[Sector]]&amp;Tabla14[[#This Row],[Oficina]],[8]Ponderación!$A:$H,8,FALSE)</f>
        <v>44813</v>
      </c>
      <c r="AT58" s="30">
        <f>IFERROR(VLOOKUP(Tabla14[[#This Row],[Llave]],'[6]RV plan de ventas'!$A:$F,6,FALSE),0)</f>
        <v>0</v>
      </c>
      <c r="AU58" s="83">
        <f>IFERROR(VLOOKUP(Tabla14[[#This Row],[Llave]],[9]DELAY!$H:$X,17,FALSE),0)</f>
        <v>4.8652203425229699</v>
      </c>
      <c r="AV5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4.8652203425229699</v>
      </c>
      <c r="AW58" s="5">
        <f>Tabla14[[#This Row],[Pecio plan]]*Tabla14[[#This Row],[Plan Ajustado]]</f>
        <v>112930</v>
      </c>
      <c r="AX58" s="30">
        <f>IFERROR(VLOOKUP(Tabla14[[#This Row],[Llave]],'[13]Ultimos precios facturados'!$A:$G,7,FALSE),0)</f>
        <v>4.767687552213868</v>
      </c>
      <c r="AY5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2.0457043218742952E-2</v>
      </c>
      <c r="AZ58" s="30">
        <f>IFERROR(VLOOKUP(Tabla14[[#This Row],[Llave]],Hoja2!B:K,10,FALSE),0)</f>
        <v>0</v>
      </c>
      <c r="BA5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4.8652203425229699</v>
      </c>
      <c r="BB58" s="30">
        <v>4.91</v>
      </c>
      <c r="BC58" s="30">
        <f>IF(Tabla14[[#This Row],[Market]]=0,Tabla14[[#This Row],[Precio Final]],Tabla14[[#This Row],[Market]])</f>
        <v>4.91</v>
      </c>
      <c r="BD58" s="82"/>
      <c r="BE58" s="82" t="str">
        <f>IF(AND(Tabla14[[#This Row],[Atraso a facturar]]&gt;0,Tabla14[[#This Row],[En puerto a facturar]]&gt;0,Tabla14[[#This Row],[Precio Atraso]]=0),"Revisar","OK")</f>
        <v>OK</v>
      </c>
      <c r="BF58" s="82" t="str">
        <f>IF(AND(Tabla14[[#This Row],[Venta del mes]]&gt;0,Tabla14[[#This Row],[Precio venta nueva]]=0),"Revisar","OK")</f>
        <v>OK</v>
      </c>
      <c r="BG58" s="20">
        <f>IFERROR(VLOOKUP(Tabla14[[#This Row],[Llave]],'[5]Consolidación planes'!$A:$M,9,FALSE),0)</f>
        <v>23940</v>
      </c>
      <c r="BH58" s="20">
        <f>IFERROR(VLOOKUP(Tabla14[[#This Row],[Llave]],'[5]Consolidación planes'!$A:$M,10,FALSE),0)</f>
        <v>13680</v>
      </c>
      <c r="BI58" s="20">
        <f>IFERROR(VLOOKUP(Tabla14[[#This Row],[Llave]],'[5]Consolidación planes'!$A:$M,11,FALSE),0)</f>
        <v>23940</v>
      </c>
      <c r="BJ58" s="20">
        <f>IFERROR(VLOOKUP(Tabla14[[#This Row],[Llave]],'[5]Consolidación planes'!$A:$M,12,FALSE),0)</f>
        <v>13680</v>
      </c>
      <c r="BK58" s="20">
        <f>IFERROR(VLOOKUP(Tabla14[[#This Row],[Llave]],'[5]Consolidación planes'!$A:$M,13,FALSE),0)</f>
        <v>0</v>
      </c>
      <c r="BL58" s="20">
        <f>IFERROR(VLOOKUP(Tabla14[[#This Row],[Llave]],'[13]Base ultimos planes'!$A:$M,13,FALSE),0)</f>
        <v>13680</v>
      </c>
      <c r="BM58" s="20">
        <f>IFERROR(VLOOKUP(Tabla14[[#This Row],[Llave]],'[13]Cruce plan irrestricto'!$C:$M,10,FALSE),0)</f>
        <v>23940</v>
      </c>
      <c r="BN58" s="20">
        <f>IFERROR(VLOOKUP(Tabla14[[#This Row],[Llave]],'[13]Cruce plan irrestricto'!$C:$M,11,FALSE),0)</f>
        <v>0</v>
      </c>
      <c r="BO58" s="80">
        <f>IFERROR(VLOOKUP(Tabla14[[#This Row],[Llave]],'[13]Base ultimos planes'!$O:$AA,8,FALSE),0)</f>
        <v>113715</v>
      </c>
      <c r="BP58" s="20">
        <f>IFERROR(VLOOKUP(Tabla14[[#This Row],[Llave]],'[13]Base ultimos planes'!$O:$AA,9,FALSE),0)</f>
        <v>114912</v>
      </c>
      <c r="BQ58" s="20">
        <f>IFERROR(VLOOKUP(Tabla14[[#This Row],[Llave]],'[13]Base ultimos planes'!$O:$AA,10,FALSE),0)</f>
        <v>116348</v>
      </c>
      <c r="BR58" s="20">
        <f>IFERROR(VLOOKUP(Tabla14[[#This Row],[Llave]],'[13]Base ultimos planes'!$O:$AA,11,FALSE),0)</f>
        <v>114228</v>
      </c>
      <c r="BS58" s="20">
        <f>IFERROR(VLOOKUP(Tabla14[[#This Row],[Llave]],'[13]Base ultimos planes'!$O:$AA,12,FALSE),0)</f>
        <v>0</v>
      </c>
      <c r="BT58" s="20">
        <f>IFERROR(VLOOKUP(Tabla14[[#This Row],[Llave]],'[13]Base ultimos planes'!$O:$AA,13,FALSE),0)</f>
        <v>115520</v>
      </c>
      <c r="BU58" s="20"/>
      <c r="BV58" s="20">
        <f>Tabla14[[#This Row],[ RV Producción mes n+1]]-Tabla14[[#This Row],[Producción disponible]]+Tabla14[[#This Row],[Saldo Volumen disponible]]</f>
        <v>20836</v>
      </c>
      <c r="BW58" s="20">
        <f>IFERROR(VLOOKUP(Tabla14[[#This Row],[Llave]],[14]Hoja2!$J:$N,4,FALSE),0)</f>
        <v>29962.339800000002</v>
      </c>
      <c r="BX58" s="20">
        <f>+Tabla14[[#This Row],[Asignación mes n+1]]*Tabla14[[#This Row],[% Uti. producción]]</f>
        <v>10624.20931077766</v>
      </c>
      <c r="BY58" s="20">
        <f>+Tabla14[[#This Row],[Ponderación mes n+1]]+Tabla14[[#This Row],[Saldo mes n-1]]</f>
        <v>31460.20931077766</v>
      </c>
      <c r="BZ58" s="20">
        <f>+Tabla14[[#This Row],[Asignación mes n+1]]-Tabla14[[#This Row],[Ponderación mes n+1]]</f>
        <v>19338.130489222342</v>
      </c>
      <c r="CA58" s="20">
        <f>IFERROR(VLOOKUP(Tabla14[[#This Row],[Llave]],[14]Hoja2!$J:$N,5,FALSE),0)</f>
        <v>36193.715700000001</v>
      </c>
      <c r="CB58" s="20">
        <f>+Tabla14[[#This Row],[Asignación mes n+2]]*Tabla14[[#This Row],[% Uti. producción]]</f>
        <v>12833.764448915956</v>
      </c>
      <c r="CC58" s="20">
        <f>+Tabla14[[#This Row],[Saldo mes n+2]]+Tabla14[[#This Row],[Ponderación mes n+2]]</f>
        <v>32171.894938138299</v>
      </c>
      <c r="CD58" s="20">
        <f>+Tabla14[[#This Row],[Asignación mes n+2]]-Tabla14[[#This Row],[Ponderación mes n+2]]</f>
        <v>23359.951251084043</v>
      </c>
    </row>
    <row r="59" spans="1:82" ht="16" x14ac:dyDescent="0.2">
      <c r="A59">
        <v>1</v>
      </c>
      <c r="B59" t="str">
        <f>Tabla14[[#This Row],[Oficina]]&amp;Tabla14[[#This Row],[Material]]</f>
        <v>Agro Sudamerica1022569</v>
      </c>
      <c r="C59" t="s">
        <v>6</v>
      </c>
      <c r="D59" t="s">
        <v>17</v>
      </c>
      <c r="E59">
        <v>1022569</v>
      </c>
      <c r="F59" t="s">
        <v>277</v>
      </c>
      <c r="G59" t="s">
        <v>18</v>
      </c>
      <c r="H59" t="s">
        <v>21</v>
      </c>
      <c r="I59" s="7">
        <f>IFERROR(IF(Tabla14[[#This Row],[Oficina]]=$I$7,VLOOKUP(Tabla14[[#This Row],[Material]],'[6]RV Producción'!$Y:$AA,3,FALSE),VLOOKUP(Tabla14[[#This Row],[Llave]],'[6]RV Producción'!$C:$G,5,FALSE)),0)</f>
        <v>0</v>
      </c>
      <c r="J59" s="7">
        <f>IFERROR(IF(Tabla14[[#This Row],[Oficina]]=$I$7,VLOOKUP(Tabla14[[#This Row],[Llave]],'[7]Shangai (Tomas)'!$A:$F,6,FALSE),VLOOKUP(Tabla14[[#This Row],[Llave]],'[6]RV plan de ventas'!$A:$E,5,FALSE)),0)</f>
        <v>0</v>
      </c>
      <c r="K59" s="8">
        <f>IFERROR(VLOOKUP(Tabla14[[#This Row],[Sector]]&amp;Tabla14[[#This Row],[Oficina]],[8]Ponderación!$A$3:$G$22,7,FALSE),0)</f>
        <v>0.3545854356400317</v>
      </c>
      <c r="L59" s="7">
        <f>+Tabla14[[#This Row],[ RV Producción mes n+1]]*Tabla14[[#This Row],[% Uti. producción]]</f>
        <v>0</v>
      </c>
      <c r="M59" s="7">
        <f>IFERROR(VLOOKUP(Tabla14[[#This Row],[Material]],'[9]TD Stock'!$B:$C,2,FALSE),0)</f>
        <v>80</v>
      </c>
      <c r="N59" s="7">
        <f>IFERROR(VLOOKUP(Tabla14[[#This Row],[Material]],'[10]Consolidado planificación'!$B:$C,2,FALSE),0)</f>
        <v>0</v>
      </c>
      <c r="O59" s="7">
        <f>IFERROR(VLOOKUP(Tabla14[[#This Row],[Llave]],[11]Hoja2!$D:$G,4,FALSE),0)</f>
        <v>0</v>
      </c>
      <c r="P59" s="14">
        <f>SUM(Tabla14[[#This Row],[Producción disponible]],Tabla14[[#This Row],[Stock al día]],(Tabla14[[#This Row],[Por producir mes N]]*0.9))-Tabla14[[#This Row],[Producción por despachar mes N]]</f>
        <v>80</v>
      </c>
      <c r="Q59" s="7">
        <f>IFERROR(VLOOKUP(Tabla14[[#This Row],[Llave]],[9]DELAY!$A:$D,4,FALSE),0)</f>
        <v>0</v>
      </c>
      <c r="R59" s="9">
        <v>23000</v>
      </c>
      <c r="S59" s="5">
        <f t="shared" si="5"/>
        <v>0</v>
      </c>
      <c r="T59" s="76">
        <v>0</v>
      </c>
      <c r="U59" s="5">
        <f>+Tabla14[[#This Row],[Atraso a facturar]]+Tabla14[[#This Row],[Ajuste atraso]]</f>
        <v>0</v>
      </c>
      <c r="V59" s="3">
        <f>+Tabla14[[#This Row],[Total disponible]]-Tabla14[[#This Row],[Facturación atraso]]</f>
        <v>80</v>
      </c>
      <c r="W59" s="6">
        <f>IFERROR(IF(AND(V59&gt;R59,J59&gt;=R59),ROUNDDOWN((Tabla14[[#This Row],[Producción para venta nueva]])/R59,0)*R59,0),0)</f>
        <v>0</v>
      </c>
      <c r="X59" s="76">
        <v>0</v>
      </c>
      <c r="Y59" s="6">
        <f>IF(Tabla14[[#This Row],[Venta del mes]]&gt;0,Tabla14[[#This Row],[Venta del mes]]+Tabla14[[#This Row],[Ajuste venta nueva]],0)</f>
        <v>0</v>
      </c>
      <c r="Z59" s="6">
        <f>+Tabla14[[#This Row],[Producción para venta nueva]]-Tabla14[[#This Row],[Facturación Venta nueva]]</f>
        <v>80</v>
      </c>
      <c r="AA59" s="6">
        <f>IF(AND(A59=1,Tabla14[[#This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59" s="6">
        <v>0</v>
      </c>
      <c r="AC59" s="6">
        <f>IF(Tabla14[[#This Row],[Disponible stock sin venta]]&gt;0,Tabla14[[#This Row],[Disponible stock sin venta]]+Tabla14[[#This Row],[Ajuste stock sin venta]],0)</f>
        <v>0</v>
      </c>
      <c r="AD59" s="3">
        <f>IFERROR(VLOOKUP(Tabla14[[#This Row],[Llave]],[12]Hoja1!$A:$D,4,FALSE),0)</f>
        <v>0</v>
      </c>
      <c r="AE5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59" s="3">
        <v>0</v>
      </c>
      <c r="AG59" s="3">
        <f>+Tabla14[[#This Row],[En puerto a facturar]]</f>
        <v>0</v>
      </c>
      <c r="AH59" s="3">
        <f>+Tabla14[[#This Row],[Facturación atraso]]</f>
        <v>0</v>
      </c>
      <c r="AI59" s="3">
        <f>+Tabla14[[#This Row],[Plan Irrestricto (DATO)]]-Tabla14[[#This Row],[Puerto ]]-Tabla14[[#This Row],[Atraso]]</f>
        <v>0</v>
      </c>
      <c r="AJ5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59" s="3">
        <f>+Tabla14[[#This Row],[Facturación atraso]]</f>
        <v>0</v>
      </c>
      <c r="AL59" s="3">
        <f>Tabla14[[#This Row],[Plan Ajustado]]-Tabla14[[#This Row],[ Atraso ajustado]]-Tabla14[[#This Row],[En puerto a facturar]]</f>
        <v>0</v>
      </c>
      <c r="AM59" s="3">
        <v>0</v>
      </c>
      <c r="AN59" s="3" t="e">
        <v>#REF!</v>
      </c>
      <c r="AO59" s="3" t="str">
        <f>IF(Tabla14[[#This Row],[Plan Ajustado]]&gt;Tabla14[[#This Row],[En puerto a facturar]],"Si","No")</f>
        <v>No</v>
      </c>
      <c r="AP5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59" s="3">
        <f>IF(Tabla14[[#This Row],[Necesidad]]&gt;=Tabla14[[#This Row],[Stock al día]],Tabla14[[#This Row],[Stock al día]],Tabla14[[#This Row],[Necesidad]])</f>
        <v>0</v>
      </c>
      <c r="AR59" s="3">
        <f>+Tabla14[[#This Row],[Necesidad]]-Tabla14[[#This Row],[Stock Plan]]</f>
        <v>0</v>
      </c>
      <c r="AS59" s="155">
        <f>VLOOKUP(Tabla14[[#This Row],[Sector]]&amp;Tabla14[[#This Row],[Oficina]],[8]Ponderación!$A:$H,8,FALSE)</f>
        <v>44813</v>
      </c>
      <c r="AT59" s="30">
        <f>IFERROR(VLOOKUP(Tabla14[[#This Row],[Llave]],'[6]RV plan de ventas'!$A:$F,6,FALSE),0)</f>
        <v>0</v>
      </c>
      <c r="AU59" s="83">
        <f>IFERROR(VLOOKUP(Tabla14[[#This Row],[Llave]],[9]DELAY!$H:$X,17,FALSE),0)</f>
        <v>0</v>
      </c>
      <c r="AV5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59" s="5">
        <f>Tabla14[[#This Row],[Pecio plan]]*Tabla14[[#This Row],[Plan Ajustado]]</f>
        <v>0</v>
      </c>
      <c r="AX59" s="30">
        <f>IFERROR(VLOOKUP(Tabla14[[#This Row],[Llave]],'[13]Ultimos precios facturados'!$A:$G,7,FALSE),0)</f>
        <v>7.0788385399999996</v>
      </c>
      <c r="AY5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59" s="30">
        <f>IFERROR(VLOOKUP(Tabla14[[#This Row],[Llave]],Hoja2!B:K,10,FALSE),0)</f>
        <v>0</v>
      </c>
      <c r="BA5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59" s="30">
        <v>0</v>
      </c>
      <c r="BC59" s="30">
        <f>IF(Tabla14[[#This Row],[Market]]=0,Tabla14[[#This Row],[Precio Final]],Tabla14[[#This Row],[Market]])</f>
        <v>0</v>
      </c>
      <c r="BD59" s="82"/>
      <c r="BE59" s="82" t="str">
        <f>IF(AND(Tabla14[[#This Row],[Atraso a facturar]]&gt;0,Tabla14[[#This Row],[En puerto a facturar]]&gt;0,Tabla14[[#This Row],[Precio Atraso]]=0),"Revisar","OK")</f>
        <v>OK</v>
      </c>
      <c r="BF59" s="82" t="str">
        <f>IF(AND(Tabla14[[#This Row],[Venta del mes]]&gt;0,Tabla14[[#This Row],[Precio venta nueva]]=0),"Revisar","OK")</f>
        <v>OK</v>
      </c>
      <c r="BG59" s="20">
        <f>IFERROR(VLOOKUP(Tabla14[[#This Row],[Llave]],'[5]Consolidación planes'!$A:$M,9,FALSE),0)</f>
        <v>0</v>
      </c>
      <c r="BH59" s="20">
        <f>IFERROR(VLOOKUP(Tabla14[[#This Row],[Llave]],'[5]Consolidación planes'!$A:$M,10,FALSE),0)</f>
        <v>5000</v>
      </c>
      <c r="BI59" s="20">
        <f>IFERROR(VLOOKUP(Tabla14[[#This Row],[Llave]],'[5]Consolidación planes'!$A:$M,11,FALSE),0)</f>
        <v>0</v>
      </c>
      <c r="BJ59" s="20">
        <f>IFERROR(VLOOKUP(Tabla14[[#This Row],[Llave]],'[5]Consolidación planes'!$A:$M,12,FALSE),0)</f>
        <v>0</v>
      </c>
      <c r="BK59" s="20">
        <f>IFERROR(VLOOKUP(Tabla14[[#This Row],[Llave]],'[5]Consolidación planes'!$A:$M,13,FALSE),0)</f>
        <v>5000</v>
      </c>
      <c r="BL59" s="20">
        <f>IFERROR(VLOOKUP(Tabla14[[#This Row],[Llave]],'[13]Base ultimos planes'!$A:$M,13,FALSE),0)</f>
        <v>5000</v>
      </c>
      <c r="BM59" s="20">
        <f>IFERROR(VLOOKUP(Tabla14[[#This Row],[Llave]],'[13]Cruce plan irrestricto'!$C:$M,10,FALSE),0)</f>
        <v>0</v>
      </c>
      <c r="BN59" s="20">
        <f>IFERROR(VLOOKUP(Tabla14[[#This Row],[Llave]],'[13]Cruce plan irrestricto'!$C:$M,11,FALSE),0)</f>
        <v>0</v>
      </c>
      <c r="BO59" s="80">
        <f>IFERROR(VLOOKUP(Tabla14[[#This Row],[Llave]],'[13]Base ultimos planes'!$O:$AA,8,FALSE),0)</f>
        <v>0</v>
      </c>
      <c r="BP59" s="20">
        <f>IFERROR(VLOOKUP(Tabla14[[#This Row],[Llave]],'[13]Base ultimos planes'!$O:$AA,9,FALSE),0)</f>
        <v>35667</v>
      </c>
      <c r="BQ59" s="20">
        <f>IFERROR(VLOOKUP(Tabla14[[#This Row],[Llave]],'[13]Base ultimos planes'!$O:$AA,10,FALSE),0)</f>
        <v>0</v>
      </c>
      <c r="BR59" s="20">
        <f>IFERROR(VLOOKUP(Tabla14[[#This Row],[Llave]],'[13]Base ultimos planes'!$O:$AA,11,FALSE),0)</f>
        <v>0</v>
      </c>
      <c r="BS59" s="20">
        <f>IFERROR(VLOOKUP(Tabla14[[#This Row],[Llave]],'[13]Base ultimos planes'!$O:$AA,12,FALSE),0)</f>
        <v>35400</v>
      </c>
      <c r="BT59" s="20">
        <f>IFERROR(VLOOKUP(Tabla14[[#This Row],[Llave]],'[13]Base ultimos planes'!$O:$AA,13,FALSE),0)</f>
        <v>35437</v>
      </c>
      <c r="BU59" s="20"/>
      <c r="BV59" s="20">
        <f>Tabla14[[#This Row],[ RV Producción mes n+1]]-Tabla14[[#This Row],[Producción disponible]]+Tabla14[[#This Row],[Saldo Volumen disponible]]</f>
        <v>80</v>
      </c>
      <c r="BW59" s="20">
        <f>IFERROR(VLOOKUP(Tabla14[[#This Row],[Llave]],[14]Hoja2!$J:$N,4,FALSE),0)</f>
        <v>0</v>
      </c>
      <c r="BX59" s="20">
        <f>+Tabla14[[#This Row],[Asignación mes n+1]]*Tabla14[[#This Row],[% Uti. producción]]</f>
        <v>0</v>
      </c>
      <c r="BY59" s="20">
        <f>+Tabla14[[#This Row],[Ponderación mes n+1]]+Tabla14[[#This Row],[Saldo mes n-1]]</f>
        <v>80</v>
      </c>
      <c r="BZ59" s="20">
        <f>+Tabla14[[#This Row],[Asignación mes n+1]]-Tabla14[[#This Row],[Ponderación mes n+1]]</f>
        <v>0</v>
      </c>
      <c r="CA59" s="20">
        <f>IFERROR(VLOOKUP(Tabla14[[#This Row],[Llave]],[14]Hoja2!$J:$N,5,FALSE),0)</f>
        <v>0</v>
      </c>
      <c r="CB59" s="20">
        <f>+Tabla14[[#This Row],[Asignación mes n+2]]*Tabla14[[#This Row],[% Uti. producción]]</f>
        <v>0</v>
      </c>
      <c r="CC59" s="20">
        <f>+Tabla14[[#This Row],[Saldo mes n+2]]+Tabla14[[#This Row],[Ponderación mes n+2]]</f>
        <v>0</v>
      </c>
      <c r="CD59" s="20">
        <f>+Tabla14[[#This Row],[Asignación mes n+2]]-Tabla14[[#This Row],[Ponderación mes n+2]]</f>
        <v>0</v>
      </c>
    </row>
    <row r="60" spans="1:82" ht="16" x14ac:dyDescent="0.2">
      <c r="A60">
        <v>1</v>
      </c>
      <c r="B60" t="str">
        <f>Tabla14[[#This Row],[Oficina]]&amp;Tabla14[[#This Row],[Material]]</f>
        <v>Agro Sudamerica1022654</v>
      </c>
      <c r="C60" t="s">
        <v>6</v>
      </c>
      <c r="D60" t="s">
        <v>17</v>
      </c>
      <c r="E60">
        <v>1022654</v>
      </c>
      <c r="F60" t="s">
        <v>286</v>
      </c>
      <c r="G60" t="s">
        <v>71</v>
      </c>
      <c r="H60" t="s">
        <v>72</v>
      </c>
      <c r="I60" s="7">
        <f>IFERROR(IF(Tabla14[[#This Row],[Oficina]]=$I$7,VLOOKUP(Tabla14[[#This Row],[Material]],'[6]RV Producción'!$Y:$AA,3,FALSE),VLOOKUP(Tabla14[[#This Row],[Llave]],'[6]RV Producción'!$C:$G,5,FALSE)),0)</f>
        <v>0</v>
      </c>
      <c r="J60" s="7">
        <f>IFERROR(IF(Tabla14[[#This Row],[Oficina]]=$I$7,VLOOKUP(Tabla14[[#This Row],[Llave]],'[7]Shangai (Tomas)'!$A:$F,6,FALSE),VLOOKUP(Tabla14[[#This Row],[Llave]],'[6]RV plan de ventas'!$A:$E,5,FALSE)),0)</f>
        <v>0</v>
      </c>
      <c r="K60" s="8">
        <f>IFERROR(VLOOKUP(Tabla14[[#This Row],[Sector]]&amp;Tabla14[[#This Row],[Oficina]],[8]Ponderación!$A$3:$G$22,7,FALSE),0)</f>
        <v>0.3545854356400317</v>
      </c>
      <c r="L60" s="7">
        <f>+Tabla14[[#This Row],[ RV Producción mes n+1]]*Tabla14[[#This Row],[% Uti. producción]]</f>
        <v>0</v>
      </c>
      <c r="M60" s="7">
        <f>IFERROR(VLOOKUP(Tabla14[[#This Row],[Material]],'[9]TD Stock'!$B:$C,2,FALSE),0)</f>
        <v>0</v>
      </c>
      <c r="N60" s="7">
        <f>IFERROR(VLOOKUP(Tabla14[[#This Row],[Material]],'[10]Consolidado planificación'!$B:$C,2,FALSE),0)</f>
        <v>0</v>
      </c>
      <c r="O60" s="7">
        <f>IFERROR(VLOOKUP(Tabla14[[#This Row],[Llave]],[11]Hoja2!$D:$G,4,FALSE),0)</f>
        <v>0</v>
      </c>
      <c r="P60" s="14">
        <f>SUM(Tabla14[[#This Row],[Producción disponible]],Tabla14[[#This Row],[Stock al día]],(Tabla14[[#This Row],[Por producir mes N]]*0.9))-Tabla14[[#This Row],[Producción por despachar mes N]]</f>
        <v>0</v>
      </c>
      <c r="Q60" s="7">
        <f>IFERROR(VLOOKUP(Tabla14[[#This Row],[Llave]],[9]DELAY!$A:$D,4,FALSE),0)</f>
        <v>0</v>
      </c>
      <c r="R60" s="9">
        <v>23000</v>
      </c>
      <c r="S60" s="5">
        <f t="shared" si="5"/>
        <v>0</v>
      </c>
      <c r="T60" s="76">
        <v>0</v>
      </c>
      <c r="U60" s="5">
        <f>+Tabla14[[#This Row],[Atraso a facturar]]+Tabla14[[#This Row],[Ajuste atraso]]</f>
        <v>0</v>
      </c>
      <c r="V60" s="3">
        <f>+Tabla14[[#This Row],[Total disponible]]-Tabla14[[#This Row],[Facturación atraso]]</f>
        <v>0</v>
      </c>
      <c r="W60" s="6">
        <f>IFERROR(IF(AND(V60&gt;R60,J60&gt;=R60),ROUNDDOWN((Tabla14[[#This Row],[Producción para venta nueva]])/R60,0)*R60,0),0)</f>
        <v>0</v>
      </c>
      <c r="X60" s="76">
        <v>0</v>
      </c>
      <c r="Y60" s="6">
        <f>IF(Tabla14[[#This Row],[Venta del mes]]&gt;0,Tabla14[[#This Row],[Venta del mes]]+Tabla14[[#This Row],[Ajuste venta nueva]],0)</f>
        <v>0</v>
      </c>
      <c r="Z60" s="6">
        <f>+Tabla14[[#This Row],[Producción para venta nueva]]-Tabla14[[#This Row],[Facturación Venta nueva]]</f>
        <v>0</v>
      </c>
      <c r="AA60" s="6">
        <f>IF(AND(A60=1,Tabla14[[#This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0" s="6">
        <v>0</v>
      </c>
      <c r="AC60" s="6">
        <f>IF(Tabla14[[#This Row],[Disponible stock sin venta]]&gt;0,Tabla14[[#This Row],[Disponible stock sin venta]]+Tabla14[[#This Row],[Ajuste stock sin venta]],0)</f>
        <v>0</v>
      </c>
      <c r="AD60" s="3">
        <f>IFERROR(VLOOKUP(Tabla14[[#This Row],[Llave]],[12]Hoja1!$A:$D,4,FALSE),0)</f>
        <v>0</v>
      </c>
      <c r="AE60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60" s="3" t="b">
        <v>0</v>
      </c>
      <c r="AG60" s="3">
        <f>+Tabla14[[#This Row],[En puerto a facturar]]</f>
        <v>0</v>
      </c>
      <c r="AH60" s="3">
        <f>+Tabla14[[#This Row],[Facturación atraso]]</f>
        <v>0</v>
      </c>
      <c r="AI60" s="3">
        <f>+Tabla14[[#This Row],[Plan Irrestricto (DATO)]]-Tabla14[[#This Row],[Puerto ]]-Tabla14[[#This Row],[Atraso]]</f>
        <v>0</v>
      </c>
      <c r="AJ6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60" s="3">
        <f>+Tabla14[[#This Row],[Facturación atraso]]</f>
        <v>0</v>
      </c>
      <c r="AL60" s="3">
        <f>Tabla14[[#This Row],[Plan Ajustado]]-Tabla14[[#This Row],[ Atraso ajustado]]-Tabla14[[#This Row],[En puerto a facturar]]</f>
        <v>0</v>
      </c>
      <c r="AM60" s="3">
        <v>0</v>
      </c>
      <c r="AN60" s="3" t="e">
        <v>#REF!</v>
      </c>
      <c r="AO60" s="3" t="str">
        <f>IF(Tabla14[[#This Row],[Plan Ajustado]]&gt;Tabla14[[#This Row],[En puerto a facturar]],"Si","No")</f>
        <v>No</v>
      </c>
      <c r="AP6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60" s="3">
        <f>IF(Tabla14[[#This Row],[Necesidad]]&gt;=Tabla14[[#This Row],[Stock al día]],Tabla14[[#This Row],[Stock al día]],Tabla14[[#This Row],[Necesidad]])</f>
        <v>0</v>
      </c>
      <c r="AR60" s="3">
        <f>+Tabla14[[#This Row],[Necesidad]]-Tabla14[[#This Row],[Stock Plan]]</f>
        <v>0</v>
      </c>
      <c r="AS60" s="155">
        <f>VLOOKUP(Tabla14[[#This Row],[Sector]]&amp;Tabla14[[#This Row],[Oficina]],[8]Ponderación!$A:$H,8,FALSE)</f>
        <v>44813</v>
      </c>
      <c r="AT60" s="30">
        <f>IFERROR(VLOOKUP(Tabla14[[#This Row],[Llave]],'[6]RV plan de ventas'!$A:$F,6,FALSE),0)</f>
        <v>0</v>
      </c>
      <c r="AU60" s="83">
        <f>IFERROR(VLOOKUP(Tabla14[[#This Row],[Llave]],[9]DELAY!$H:$X,17,FALSE),0)</f>
        <v>0</v>
      </c>
      <c r="AV6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60" s="5">
        <f>Tabla14[[#This Row],[Pecio plan]]*Tabla14[[#This Row],[Plan Ajustado]]</f>
        <v>0</v>
      </c>
      <c r="AX60" s="30">
        <f>IFERROR(VLOOKUP(Tabla14[[#This Row],[Llave]],'[13]Ultimos precios facturados'!$A:$G,7,FALSE),0)</f>
        <v>0</v>
      </c>
      <c r="AY6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60" s="30">
        <f>IFERROR(VLOOKUP(Tabla14[[#This Row],[Llave]],Hoja2!B:K,10,FALSE),0)</f>
        <v>0</v>
      </c>
      <c r="BA6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60" s="30">
        <v>0</v>
      </c>
      <c r="BC60" s="30">
        <f>IF(Tabla14[[#This Row],[Market]]=0,Tabla14[[#This Row],[Precio Final]],Tabla14[[#This Row],[Market]])</f>
        <v>0</v>
      </c>
      <c r="BD60" s="82"/>
      <c r="BE60" s="82" t="str">
        <f>IF(AND(Tabla14[[#This Row],[Atraso a facturar]]&gt;0,Tabla14[[#This Row],[En puerto a facturar]]&gt;0,Tabla14[[#This Row],[Precio Atraso]]=0),"Revisar","OK")</f>
        <v>OK</v>
      </c>
      <c r="BF60" s="82" t="str">
        <f>IF(AND(Tabla14[[#This Row],[Venta del mes]]&gt;0,Tabla14[[#This Row],[Precio venta nueva]]=0),"Revisar","OK")</f>
        <v>OK</v>
      </c>
      <c r="BG60" s="20">
        <f>IFERROR(VLOOKUP(Tabla14[[#This Row],[Llave]],'[5]Consolidación planes'!$A:$M,9,FALSE),0)</f>
        <v>0</v>
      </c>
      <c r="BH60" s="20">
        <f>IFERROR(VLOOKUP(Tabla14[[#This Row],[Llave]],'[5]Consolidación planes'!$A:$M,10,FALSE),0)</f>
        <v>3360</v>
      </c>
      <c r="BI60" s="20">
        <f>IFERROR(VLOOKUP(Tabla14[[#This Row],[Llave]],'[5]Consolidación planes'!$A:$M,11,FALSE),0)</f>
        <v>0</v>
      </c>
      <c r="BJ60" s="20">
        <f>IFERROR(VLOOKUP(Tabla14[[#This Row],[Llave]],'[5]Consolidación planes'!$A:$M,12,FALSE),0)</f>
        <v>0</v>
      </c>
      <c r="BK60" s="20">
        <f>IFERROR(VLOOKUP(Tabla14[[#This Row],[Llave]],'[5]Consolidación planes'!$A:$M,13,FALSE),0)</f>
        <v>0</v>
      </c>
      <c r="BL60" s="20">
        <f>IFERROR(VLOOKUP(Tabla14[[#This Row],[Llave]],'[13]Base ultimos planes'!$A:$M,13,FALSE),0)</f>
        <v>0</v>
      </c>
      <c r="BM60" s="20">
        <f>IFERROR(VLOOKUP(Tabla14[[#This Row],[Llave]],'[13]Cruce plan irrestricto'!$C:$M,10,FALSE),0)</f>
        <v>0</v>
      </c>
      <c r="BN60" s="20">
        <f>IFERROR(VLOOKUP(Tabla14[[#This Row],[Llave]],'[13]Cruce plan irrestricto'!$C:$M,11,FALSE),0)</f>
        <v>0</v>
      </c>
      <c r="BO60" s="80">
        <f>IFERROR(VLOOKUP(Tabla14[[#This Row],[Llave]],'[13]Base ultimos planes'!$O:$AA,8,FALSE),0)</f>
        <v>0</v>
      </c>
      <c r="BP60" s="20">
        <f>IFERROR(VLOOKUP(Tabla14[[#This Row],[Llave]],'[13]Base ultimos planes'!$O:$AA,9,FALSE),0)</f>
        <v>6104</v>
      </c>
      <c r="BQ60" s="20">
        <f>IFERROR(VLOOKUP(Tabla14[[#This Row],[Llave]],'[13]Base ultimos planes'!$O:$AA,10,FALSE),0)</f>
        <v>0</v>
      </c>
      <c r="BR60" s="20">
        <f>IFERROR(VLOOKUP(Tabla14[[#This Row],[Llave]],'[13]Base ultimos planes'!$O:$AA,11,FALSE),0)</f>
        <v>0</v>
      </c>
      <c r="BS60" s="20">
        <f>IFERROR(VLOOKUP(Tabla14[[#This Row],[Llave]],'[13]Base ultimos planes'!$O:$AA,12,FALSE),0)</f>
        <v>0</v>
      </c>
      <c r="BT60" s="20">
        <f>IFERROR(VLOOKUP(Tabla14[[#This Row],[Llave]],'[13]Base ultimos planes'!$O:$AA,13,FALSE),0)</f>
        <v>0</v>
      </c>
      <c r="BU60" s="20"/>
      <c r="BV60" s="20">
        <f>Tabla14[[#This Row],[ RV Producción mes n+1]]-Tabla14[[#This Row],[Producción disponible]]+Tabla14[[#This Row],[Saldo Volumen disponible]]</f>
        <v>0</v>
      </c>
      <c r="BW60" s="20">
        <f>IFERROR(VLOOKUP(Tabla14[[#This Row],[Llave]],[14]Hoja2!$J:$N,4,FALSE),0)</f>
        <v>0</v>
      </c>
      <c r="BX60" s="20">
        <f>+Tabla14[[#This Row],[Asignación mes n+1]]*Tabla14[[#This Row],[% Uti. producción]]</f>
        <v>0</v>
      </c>
      <c r="BY60" s="20">
        <f>+Tabla14[[#This Row],[Ponderación mes n+1]]+Tabla14[[#This Row],[Saldo mes n-1]]</f>
        <v>0</v>
      </c>
      <c r="BZ60" s="20">
        <f>+Tabla14[[#This Row],[Asignación mes n+1]]-Tabla14[[#This Row],[Ponderación mes n+1]]</f>
        <v>0</v>
      </c>
      <c r="CA60" s="20">
        <f>IFERROR(VLOOKUP(Tabla14[[#This Row],[Llave]],[14]Hoja2!$J:$N,5,FALSE),0)</f>
        <v>0</v>
      </c>
      <c r="CB60" s="20">
        <f>+Tabla14[[#This Row],[Asignación mes n+2]]*Tabla14[[#This Row],[% Uti. producción]]</f>
        <v>0</v>
      </c>
      <c r="CC60" s="20">
        <f>+Tabla14[[#This Row],[Saldo mes n+2]]+Tabla14[[#This Row],[Ponderación mes n+2]]</f>
        <v>0</v>
      </c>
      <c r="CD60" s="20">
        <f>+Tabla14[[#This Row],[Asignación mes n+2]]-Tabla14[[#This Row],[Ponderación mes n+2]]</f>
        <v>0</v>
      </c>
    </row>
    <row r="61" spans="1:82" ht="16" x14ac:dyDescent="0.2">
      <c r="A61">
        <v>1</v>
      </c>
      <c r="B61" t="str">
        <f>Tabla14[[#This Row],[Oficina]]&amp;Tabla14[[#This Row],[Material]]</f>
        <v>Agro Sudamerica1022705</v>
      </c>
      <c r="C61" t="s">
        <v>6</v>
      </c>
      <c r="D61" t="s">
        <v>17</v>
      </c>
      <c r="E61">
        <v>1022705</v>
      </c>
      <c r="F61" t="s">
        <v>150</v>
      </c>
      <c r="G61" t="s">
        <v>11</v>
      </c>
      <c r="H61" t="s">
        <v>47</v>
      </c>
      <c r="I61" s="7">
        <f>IFERROR(IF(Tabla14[[#This Row],[Oficina]]=$I$7,VLOOKUP(Tabla14[[#This Row],[Material]],'[6]RV Producción'!$Y:$AA,3,FALSE),VLOOKUP(Tabla14[[#This Row],[Llave]],'[6]RV Producción'!$C:$G,5,FALSE)),0)</f>
        <v>24000</v>
      </c>
      <c r="J61" s="7">
        <f>IFERROR(IF(Tabla14[[#This Row],[Oficina]]=$I$7,VLOOKUP(Tabla14[[#This Row],[Llave]],'[7]Shangai (Tomas)'!$A:$F,6,FALSE),VLOOKUP(Tabla14[[#This Row],[Llave]],'[6]RV plan de ventas'!$A:$E,5,FALSE)),0)</f>
        <v>24000</v>
      </c>
      <c r="K61" s="8">
        <f>IFERROR(VLOOKUP(Tabla14[[#This Row],[Sector]]&amp;Tabla14[[#This Row],[Oficina]],[8]Ponderación!$A$3:$G$22,7,FALSE),0)</f>
        <v>0.3545854356400317</v>
      </c>
      <c r="L61" s="7">
        <f>+Tabla14[[#This Row],[ RV Producción mes n+1]]*Tabla14[[#This Row],[% Uti. producción]]</f>
        <v>8510.0504553607607</v>
      </c>
      <c r="M61" s="7">
        <f>IFERROR(VLOOKUP(Tabla14[[#This Row],[Material]],'[9]TD Stock'!$B:$C,2,FALSE),0)</f>
        <v>0</v>
      </c>
      <c r="N61" s="7">
        <f>IFERROR(VLOOKUP(Tabla14[[#This Row],[Material]],'[10]Consolidado planificación'!$B:$C,2,FALSE),0)</f>
        <v>0</v>
      </c>
      <c r="O61" s="7">
        <f>IFERROR(VLOOKUP(Tabla14[[#This Row],[Llave]],[11]Hoja2!$D:$G,4,FALSE),0)</f>
        <v>0</v>
      </c>
      <c r="P61" s="14">
        <f>SUM(Tabla14[[#This Row],[Producción disponible]],Tabla14[[#This Row],[Stock al día]],(Tabla14[[#This Row],[Por producir mes N]]*0.9))-Tabla14[[#This Row],[Producción por despachar mes N]]</f>
        <v>8510.0504553607607</v>
      </c>
      <c r="Q61" s="7">
        <f>IFERROR(VLOOKUP(Tabla14[[#This Row],[Llave]],[9]DELAY!$A:$D,4,FALSE),0)</f>
        <v>0</v>
      </c>
      <c r="R61" s="9">
        <v>23000</v>
      </c>
      <c r="S61" s="5">
        <f t="shared" si="5"/>
        <v>0</v>
      </c>
      <c r="T61" s="76">
        <v>0</v>
      </c>
      <c r="U61" s="5">
        <f>+Tabla14[[#This Row],[Atraso a facturar]]+Tabla14[[#This Row],[Ajuste atraso]]</f>
        <v>0</v>
      </c>
      <c r="V61" s="3">
        <f>+Tabla14[[#This Row],[Total disponible]]-Tabla14[[#This Row],[Facturación atraso]]</f>
        <v>8510.0504553607607</v>
      </c>
      <c r="W61" s="6">
        <f>IFERROR(IF(AND(V61&gt;R61,J61&gt;=R61),ROUNDDOWN((Tabla14[[#This Row],[Producción para venta nueva]])/R61,0)*R61,0),0)</f>
        <v>0</v>
      </c>
      <c r="X61" s="76">
        <v>0</v>
      </c>
      <c r="Y61" s="6">
        <f>IF(Tabla14[[#This Row],[Venta del mes]]&gt;0,Tabla14[[#This Row],[Venta del mes]]+Tabla14[[#This Row],[Ajuste venta nueva]],0)</f>
        <v>0</v>
      </c>
      <c r="Z61" s="6">
        <f>+Tabla14[[#This Row],[Producción para venta nueva]]-Tabla14[[#This Row],[Facturación Venta nueva]]</f>
        <v>8510.0504553607607</v>
      </c>
      <c r="AA61" s="6">
        <f>IF(AND(A61=1,Tabla14[[#This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1" s="6">
        <v>0</v>
      </c>
      <c r="AC61" s="6">
        <f>IF(Tabla14[[#This Row],[Disponible stock sin venta]]&gt;0,Tabla14[[#This Row],[Disponible stock sin venta]]+Tabla14[[#This Row],[Ajuste stock sin venta]],0)</f>
        <v>0</v>
      </c>
      <c r="AD61" s="3">
        <f>IFERROR(VLOOKUP(Tabla14[[#This Row],[Llave]],[12]Hoja1!$A:$D,4,FALSE),0)</f>
        <v>0</v>
      </c>
      <c r="AE6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61" s="3">
        <v>0</v>
      </c>
      <c r="AG61" s="3">
        <f>+Tabla14[[#This Row],[En puerto a facturar]]</f>
        <v>0</v>
      </c>
      <c r="AH61" s="3">
        <f>+Tabla14[[#This Row],[Facturación atraso]]</f>
        <v>0</v>
      </c>
      <c r="AI61" s="3">
        <f>+Tabla14[[#This Row],[Plan Irrestricto (DATO)]]-Tabla14[[#This Row],[Puerto ]]-Tabla14[[#This Row],[Atraso]]</f>
        <v>0</v>
      </c>
      <c r="AJ6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61" s="3">
        <f>+Tabla14[[#This Row],[Facturación atraso]]</f>
        <v>0</v>
      </c>
      <c r="AL61" s="3">
        <f>Tabla14[[#This Row],[Plan Ajustado]]-Tabla14[[#This Row],[ Atraso ajustado]]-Tabla14[[#This Row],[En puerto a facturar]]</f>
        <v>0</v>
      </c>
      <c r="AM61" s="3">
        <v>0</v>
      </c>
      <c r="AN61" s="3" t="e">
        <v>#REF!</v>
      </c>
      <c r="AO61" s="3" t="str">
        <f>IF(Tabla14[[#This Row],[Plan Ajustado]]&gt;Tabla14[[#This Row],[En puerto a facturar]],"Si","No")</f>
        <v>No</v>
      </c>
      <c r="AP6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61" s="3">
        <f>IF(Tabla14[[#This Row],[Necesidad]]&gt;=Tabla14[[#This Row],[Stock al día]],Tabla14[[#This Row],[Stock al día]],Tabla14[[#This Row],[Necesidad]])</f>
        <v>0</v>
      </c>
      <c r="AR61" s="3">
        <f>+Tabla14[[#This Row],[Necesidad]]-Tabla14[[#This Row],[Stock Plan]]</f>
        <v>0</v>
      </c>
      <c r="AS61" s="155">
        <f>VLOOKUP(Tabla14[[#This Row],[Sector]]&amp;Tabla14[[#This Row],[Oficina]],[8]Ponderación!$A:$H,8,FALSE)</f>
        <v>44813</v>
      </c>
      <c r="AT61" s="30">
        <f>IFERROR(VLOOKUP(Tabla14[[#This Row],[Llave]],'[6]RV plan de ventas'!$A:$F,6,FALSE),0)</f>
        <v>0.99666666666666703</v>
      </c>
      <c r="AU61" s="83">
        <f>IFERROR(VLOOKUP(Tabla14[[#This Row],[Llave]],[9]DELAY!$H:$X,17,FALSE),0)</f>
        <v>0</v>
      </c>
      <c r="AV6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61" s="5">
        <f>Tabla14[[#This Row],[Pecio plan]]*Tabla14[[#This Row],[Plan Ajustado]]</f>
        <v>0</v>
      </c>
      <c r="AX61" s="30">
        <f>IFERROR(VLOOKUP(Tabla14[[#This Row],[Llave]],'[13]Ultimos precios facturados'!$A:$G,7,FALSE),0)</f>
        <v>0</v>
      </c>
      <c r="AY6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61" s="30">
        <f>IFERROR(VLOOKUP(Tabla14[[#This Row],[Llave]],Hoja2!B:K,10,FALSE),0)</f>
        <v>0</v>
      </c>
      <c r="BA6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61" s="30">
        <v>0</v>
      </c>
      <c r="BC61" s="30">
        <f>IF(Tabla14[[#This Row],[Market]]=0,Tabla14[[#This Row],[Precio Final]],Tabla14[[#This Row],[Market]])</f>
        <v>0</v>
      </c>
      <c r="BD61" s="82"/>
      <c r="BE61" s="82" t="str">
        <f>IF(AND(Tabla14[[#This Row],[Atraso a facturar]]&gt;0,Tabla14[[#This Row],[En puerto a facturar]]&gt;0,Tabla14[[#This Row],[Precio Atraso]]=0),"Revisar","OK")</f>
        <v>OK</v>
      </c>
      <c r="BF61" s="82" t="str">
        <f>IF(AND(Tabla14[[#This Row],[Venta del mes]]&gt;0,Tabla14[[#This Row],[Precio venta nueva]]=0),"Revisar","OK")</f>
        <v>OK</v>
      </c>
      <c r="BG61" s="20">
        <f>IFERROR(VLOOKUP(Tabla14[[#This Row],[Llave]],'[5]Consolidación planes'!$A:$M,9,FALSE),0)</f>
        <v>0</v>
      </c>
      <c r="BH61" s="20">
        <f>IFERROR(VLOOKUP(Tabla14[[#This Row],[Llave]],'[5]Consolidación planes'!$A:$M,10,FALSE),0)</f>
        <v>0</v>
      </c>
      <c r="BI61" s="20">
        <f>IFERROR(VLOOKUP(Tabla14[[#This Row],[Llave]],'[5]Consolidación planes'!$A:$M,11,FALSE),0)</f>
        <v>0</v>
      </c>
      <c r="BJ61" s="20">
        <f>IFERROR(VLOOKUP(Tabla14[[#This Row],[Llave]],'[5]Consolidación planes'!$A:$M,12,FALSE),0)</f>
        <v>0</v>
      </c>
      <c r="BK61" s="20">
        <f>IFERROR(VLOOKUP(Tabla14[[#This Row],[Llave]],'[5]Consolidación planes'!$A:$M,13,FALSE),0)</f>
        <v>0</v>
      </c>
      <c r="BL61" s="20">
        <f>IFERROR(VLOOKUP(Tabla14[[#This Row],[Llave]],'[13]Base ultimos planes'!$A:$M,13,FALSE),0)</f>
        <v>0</v>
      </c>
      <c r="BM61" s="20">
        <f>IFERROR(VLOOKUP(Tabla14[[#This Row],[Llave]],'[13]Cruce plan irrestricto'!$C:$M,10,FALSE),0)</f>
        <v>0</v>
      </c>
      <c r="BN61" s="20">
        <f>IFERROR(VLOOKUP(Tabla14[[#This Row],[Llave]],'[13]Cruce plan irrestricto'!$C:$M,11,FALSE),0)</f>
        <v>0</v>
      </c>
      <c r="BO61" s="80">
        <f>IFERROR(VLOOKUP(Tabla14[[#This Row],[Llave]],'[13]Base ultimos planes'!$O:$AA,8,FALSE),0)</f>
        <v>0</v>
      </c>
      <c r="BP61" s="20">
        <f>IFERROR(VLOOKUP(Tabla14[[#This Row],[Llave]],'[13]Base ultimos planes'!$O:$AA,9,FALSE),0)</f>
        <v>0</v>
      </c>
      <c r="BQ61" s="20">
        <f>IFERROR(VLOOKUP(Tabla14[[#This Row],[Llave]],'[13]Base ultimos planes'!$O:$AA,10,FALSE),0)</f>
        <v>0</v>
      </c>
      <c r="BR61" s="20">
        <f>IFERROR(VLOOKUP(Tabla14[[#This Row],[Llave]],'[13]Base ultimos planes'!$O:$AA,11,FALSE),0)</f>
        <v>0</v>
      </c>
      <c r="BS61" s="20">
        <f>IFERROR(VLOOKUP(Tabla14[[#This Row],[Llave]],'[13]Base ultimos planes'!$O:$AA,12,FALSE),0)</f>
        <v>0</v>
      </c>
      <c r="BT61" s="20">
        <f>IFERROR(VLOOKUP(Tabla14[[#This Row],[Llave]],'[13]Base ultimos planes'!$O:$AA,13,FALSE),0)</f>
        <v>0</v>
      </c>
      <c r="BU61" s="20"/>
      <c r="BV61" s="20">
        <f>Tabla14[[#This Row],[ RV Producción mes n+1]]-Tabla14[[#This Row],[Producción disponible]]+Tabla14[[#This Row],[Saldo Volumen disponible]]</f>
        <v>24000</v>
      </c>
      <c r="BW61" s="20">
        <f>IFERROR(VLOOKUP(Tabla14[[#This Row],[Llave]],[14]Hoja2!$J:$N,4,FALSE),0)</f>
        <v>24000</v>
      </c>
      <c r="BX61" s="20">
        <f>+Tabla14[[#This Row],[Asignación mes n+1]]*Tabla14[[#This Row],[% Uti. producción]]</f>
        <v>8510.0504553607607</v>
      </c>
      <c r="BY61" s="20">
        <f>+Tabla14[[#This Row],[Ponderación mes n+1]]+Tabla14[[#This Row],[Saldo mes n-1]]</f>
        <v>32510.050455360761</v>
      </c>
      <c r="BZ61" s="20">
        <f>+Tabla14[[#This Row],[Asignación mes n+1]]-Tabla14[[#This Row],[Ponderación mes n+1]]</f>
        <v>15489.949544639239</v>
      </c>
      <c r="CA61" s="20">
        <f>IFERROR(VLOOKUP(Tabla14[[#This Row],[Llave]],[14]Hoja2!$J:$N,5,FALSE),0)</f>
        <v>24000</v>
      </c>
      <c r="CB61" s="20">
        <f>+Tabla14[[#This Row],[Asignación mes n+2]]*Tabla14[[#This Row],[% Uti. producción]]</f>
        <v>8510.0504553607607</v>
      </c>
      <c r="CC61" s="20">
        <f>+Tabla14[[#This Row],[Saldo mes n+2]]+Tabla14[[#This Row],[Ponderación mes n+2]]</f>
        <v>24000</v>
      </c>
      <c r="CD61" s="20">
        <f>+Tabla14[[#This Row],[Asignación mes n+2]]-Tabla14[[#This Row],[Ponderación mes n+2]]</f>
        <v>15489.949544639239</v>
      </c>
    </row>
    <row r="62" spans="1:82" ht="16" x14ac:dyDescent="0.2">
      <c r="A62">
        <v>1</v>
      </c>
      <c r="B62" t="str">
        <f>Tabla14[[#This Row],[Oficina]]&amp;Tabla14[[#This Row],[Material]]</f>
        <v>Agro Sudamerica1022709</v>
      </c>
      <c r="C62" t="s">
        <v>6</v>
      </c>
      <c r="D62" t="s">
        <v>17</v>
      </c>
      <c r="E62">
        <v>1022709</v>
      </c>
      <c r="F62" t="s">
        <v>64</v>
      </c>
      <c r="G62" t="s">
        <v>59</v>
      </c>
      <c r="H62" t="s">
        <v>62</v>
      </c>
      <c r="I62" s="7">
        <f>IFERROR(IF(Tabla14[[#This Row],[Oficina]]=$I$7,VLOOKUP(Tabla14[[#This Row],[Material]],'[6]RV Producción'!$Y:$AA,3,FALSE),VLOOKUP(Tabla14[[#This Row],[Llave]],'[6]RV Producción'!$C:$G,5,FALSE)),0)</f>
        <v>288000</v>
      </c>
      <c r="J62" s="7">
        <f>IFERROR(IF(Tabla14[[#This Row],[Oficina]]=$I$7,VLOOKUP(Tabla14[[#This Row],[Llave]],'[7]Shangai (Tomas)'!$A:$F,6,FALSE),VLOOKUP(Tabla14[[#This Row],[Llave]],'[6]RV plan de ventas'!$A:$E,5,FALSE)),0)</f>
        <v>240000</v>
      </c>
      <c r="K62" s="8">
        <f>IFERROR(VLOOKUP(Tabla14[[#This Row],[Sector]]&amp;Tabla14[[#This Row],[Oficina]],[8]Ponderación!$A$3:$G$22,7,FALSE),0)</f>
        <v>0.3545854356400317</v>
      </c>
      <c r="L62" s="7">
        <f>+Tabla14[[#This Row],[ RV Producción mes n+1]]*Tabla14[[#This Row],[% Uti. producción]]</f>
        <v>102120.60546432913</v>
      </c>
      <c r="M62" s="7">
        <f>IFERROR(VLOOKUP(Tabla14[[#This Row],[Material]],'[9]TD Stock'!$B:$C,2,FALSE),0)</f>
        <v>70743.286999999997</v>
      </c>
      <c r="N62" s="7">
        <f>IFERROR(VLOOKUP(Tabla14[[#This Row],[Material]],'[10]Consolidado planificación'!$B:$C,2,FALSE),0)</f>
        <v>0</v>
      </c>
      <c r="O62" s="7">
        <f>IFERROR(VLOOKUP(Tabla14[[#This Row],[Llave]],[11]Hoja2!$D:$G,4,FALSE),0)</f>
        <v>0</v>
      </c>
      <c r="P62" s="14">
        <f>SUM(Tabla14[[#This Row],[Producción disponible]],Tabla14[[#This Row],[Stock al día]],(Tabla14[[#This Row],[Por producir mes N]]*0.9))-Tabla14[[#This Row],[Producción por despachar mes N]]</f>
        <v>172863.89246432914</v>
      </c>
      <c r="Q62" s="7">
        <f>IFERROR(VLOOKUP(Tabla14[[#This Row],[Llave]],[9]DELAY!$A:$D,4,FALSE),0)</f>
        <v>118000</v>
      </c>
      <c r="R62" s="9">
        <v>23000</v>
      </c>
      <c r="S62" s="5">
        <f t="shared" si="5"/>
        <v>118000</v>
      </c>
      <c r="T62" s="76">
        <v>0</v>
      </c>
      <c r="U62" s="5">
        <f>+Tabla14[[#This Row],[Atraso a facturar]]+Tabla14[[#This Row],[Ajuste atraso]]</f>
        <v>118000</v>
      </c>
      <c r="V62" s="3">
        <f>+Tabla14[[#This Row],[Total disponible]]-Tabla14[[#This Row],[Facturación atraso]]</f>
        <v>54863.892464329139</v>
      </c>
      <c r="W62" s="6">
        <f>IFERROR(IF(AND(V62&gt;R62,J62&gt;=R62),ROUNDDOWN((Tabla14[[#This Row],[Producción para venta nueva]])/R62,0)*R62,0),0)</f>
        <v>46000</v>
      </c>
      <c r="X62" s="76">
        <v>0</v>
      </c>
      <c r="Y62" s="6">
        <f>IF(Tabla14[[#This Row],[Venta del mes]]&gt;0,Tabla14[[#This Row],[Venta del mes]]+Tabla14[[#This Row],[Ajuste venta nueva]],0)</f>
        <v>46000</v>
      </c>
      <c r="Z62" s="6">
        <f>+Tabla14[[#This Row],[Producción para venta nueva]]-Tabla14[[#This Row],[Facturación Venta nueva]]</f>
        <v>8863.8924643291393</v>
      </c>
      <c r="AA62" s="6">
        <f>IF(AND(A62=1,Tabla14[[#This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2" s="6">
        <v>0</v>
      </c>
      <c r="AC62" s="6">
        <f>IF(Tabla14[[#This Row],[Disponible stock sin venta]]&gt;0,Tabla14[[#This Row],[Disponible stock sin venta]]+Tabla14[[#This Row],[Ajuste stock sin venta]],0)</f>
        <v>0</v>
      </c>
      <c r="AD62" s="3">
        <f>IFERROR(VLOOKUP(Tabla14[[#This Row],[Llave]],[12]Hoja1!$A:$D,4,FALSE),0)</f>
        <v>11011.61</v>
      </c>
      <c r="AE6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175011.61</v>
      </c>
      <c r="AF62" s="3">
        <v>175011.61</v>
      </c>
      <c r="AG62" s="3">
        <f>+Tabla14[[#This Row],[En puerto a facturar]]</f>
        <v>11011.61</v>
      </c>
      <c r="AH62" s="3">
        <f>+Tabla14[[#This Row],[Facturación atraso]]</f>
        <v>118000</v>
      </c>
      <c r="AI62" s="3">
        <f>+Tabla14[[#This Row],[Plan Irrestricto (DATO)]]-Tabla14[[#This Row],[Puerto ]]-Tabla14[[#This Row],[Atraso]]</f>
        <v>46000</v>
      </c>
      <c r="AJ62" s="6">
        <f>IF(Tabla14[[#This Row],[Plan Irrestricto (DATO)]]&gt;0,SUM(Tabla14[[#This Row],[Facturación atraso]],Tabla14[[#This Row],[Facturación Venta nueva]],Tabla14[[#This Row],[Facturación stock]],Tabla14[[#This Row],[En puerto a facturar]]),0)</f>
        <v>175011.61</v>
      </c>
      <c r="AK62" s="3">
        <f>+Tabla14[[#This Row],[Facturación atraso]]</f>
        <v>118000</v>
      </c>
      <c r="AL62" s="3">
        <f>Tabla14[[#This Row],[Plan Ajustado]]-Tabla14[[#This Row],[ Atraso ajustado]]-Tabla14[[#This Row],[En puerto a facturar]]</f>
        <v>45999.999999999985</v>
      </c>
      <c r="AM62" s="3">
        <v>0</v>
      </c>
      <c r="AN62" s="3" t="s">
        <v>636</v>
      </c>
      <c r="AO62" s="3" t="str">
        <f>IF(Tabla14[[#This Row],[Plan Ajustado]]&gt;Tabla14[[#This Row],[En puerto a facturar]],"Si","No")</f>
        <v>Si</v>
      </c>
      <c r="AP62" s="3">
        <f>IF(AND(Tabla14[[#This Row],[Plan Ajustado]]&gt;0,Tabla14[[#This Row],[Plan Ajustado]]&gt;Tabla14[[#This Row],[En puerto a facturar]]),(Tabla14[[#This Row],[Plan Ajustado]]-Tabla14[[#This Row],[En puerto a facturar]]),0)</f>
        <v>164000</v>
      </c>
      <c r="AQ62" s="3">
        <f>IF(Tabla14[[#This Row],[Necesidad]]&gt;=Tabla14[[#This Row],[Stock al día]],Tabla14[[#This Row],[Stock al día]],Tabla14[[#This Row],[Necesidad]])</f>
        <v>70743.286999999997</v>
      </c>
      <c r="AR62" s="3">
        <f>+Tabla14[[#This Row],[Necesidad]]-Tabla14[[#This Row],[Stock Plan]]</f>
        <v>93256.713000000003</v>
      </c>
      <c r="AS62" s="155">
        <f>VLOOKUP(Tabla14[[#This Row],[Sector]]&amp;Tabla14[[#This Row],[Oficina]],[8]Ponderación!$A:$H,8,FALSE)</f>
        <v>44813</v>
      </c>
      <c r="AT62" s="30">
        <f>IFERROR(VLOOKUP(Tabla14[[#This Row],[Llave]],'[6]RV plan de ventas'!$A:$F,6,FALSE),0)</f>
        <v>2.96</v>
      </c>
      <c r="AU62" s="83">
        <f>IFERROR(VLOOKUP(Tabla14[[#This Row],[Llave]],[9]DELAY!$H:$X,17,FALSE),0)</f>
        <v>2.9352430442107402</v>
      </c>
      <c r="AV6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2.9417501551750131</v>
      </c>
      <c r="AW62" s="5">
        <f>Tabla14[[#This Row],[Pecio plan]]*Tabla14[[#This Row],[Plan Ajustado]]</f>
        <v>508144.37141395832</v>
      </c>
      <c r="AX62" s="30">
        <f>IFERROR(VLOOKUP(Tabla14[[#This Row],[Llave]],'[13]Ultimos precios facturados'!$A:$G,7,FALSE),0)</f>
        <v>2.7396977497390669</v>
      </c>
      <c r="AY6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7.3749889182188097E-2</v>
      </c>
      <c r="AZ62" s="30">
        <f>IFERROR(VLOOKUP(Tabla14[[#This Row],[Llave]],Hoja2!B:K,10,FALSE),0)</f>
        <v>2.8208964939072234</v>
      </c>
      <c r="BA6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2.9417501551750131</v>
      </c>
      <c r="BB62" s="30">
        <v>2.9034894965765892</v>
      </c>
      <c r="BC62" s="30">
        <f>IF(Tabla14[[#This Row],[Market]]=0,Tabla14[[#This Row],[Precio Final]],Tabla14[[#This Row],[Market]])</f>
        <v>2.9034894965765892</v>
      </c>
      <c r="BD62" s="82"/>
      <c r="BE62" s="82" t="str">
        <f>IF(AND(Tabla14[[#This Row],[Atraso a facturar]]&gt;0,Tabla14[[#This Row],[En puerto a facturar]]&gt;0,Tabla14[[#This Row],[Precio Atraso]]=0),"Revisar","OK")</f>
        <v>OK</v>
      </c>
      <c r="BF62" s="82" t="str">
        <f>IF(AND(Tabla14[[#This Row],[Venta del mes]]&gt;0,Tabla14[[#This Row],[Precio venta nueva]]=0),"Revisar","OK")</f>
        <v>OK</v>
      </c>
      <c r="BG62" s="20">
        <f>IFERROR(VLOOKUP(Tabla14[[#This Row],[Llave]],'[5]Consolidación planes'!$A:$M,9,FALSE),0)</f>
        <v>0</v>
      </c>
      <c r="BH62" s="20">
        <f>IFERROR(VLOOKUP(Tabla14[[#This Row],[Llave]],'[5]Consolidación planes'!$A:$M,10,FALSE),0)</f>
        <v>65000</v>
      </c>
      <c r="BI62" s="20">
        <f>IFERROR(VLOOKUP(Tabla14[[#This Row],[Llave]],'[5]Consolidación planes'!$A:$M,11,FALSE),0)</f>
        <v>48000</v>
      </c>
      <c r="BJ62" s="20">
        <f>IFERROR(VLOOKUP(Tabla14[[#This Row],[Llave]],'[5]Consolidación planes'!$A:$M,12,FALSE),0)</f>
        <v>120000</v>
      </c>
      <c r="BK62" s="20">
        <f>IFERROR(VLOOKUP(Tabla14[[#This Row],[Llave]],'[5]Consolidación planes'!$A:$M,13,FALSE),0)</f>
        <v>83000</v>
      </c>
      <c r="BL62" s="20">
        <f>IFERROR(VLOOKUP(Tabla14[[#This Row],[Llave]],'[13]Base ultimos planes'!$A:$M,13,FALSE),0)</f>
        <v>419000</v>
      </c>
      <c r="BM62" s="20">
        <f>IFERROR(VLOOKUP(Tabla14[[#This Row],[Llave]],'[13]Cruce plan irrestricto'!$C:$M,10,FALSE),0)</f>
        <v>179000</v>
      </c>
      <c r="BN62" s="20">
        <f>IFERROR(VLOOKUP(Tabla14[[#This Row],[Llave]],'[13]Cruce plan irrestricto'!$C:$M,11,FALSE),0)</f>
        <v>179991.64</v>
      </c>
      <c r="BO62" s="80">
        <f>IFERROR(VLOOKUP(Tabla14[[#This Row],[Llave]],'[13]Base ultimos planes'!$O:$AA,8,FALSE),0)</f>
        <v>0</v>
      </c>
      <c r="BP62" s="20">
        <f>IFERROR(VLOOKUP(Tabla14[[#This Row],[Llave]],'[13]Base ultimos planes'!$O:$AA,9,FALSE),0)</f>
        <v>171870</v>
      </c>
      <c r="BQ62" s="20">
        <f>IFERROR(VLOOKUP(Tabla14[[#This Row],[Llave]],'[13]Base ultimos planes'!$O:$AA,10,FALSE),0)</f>
        <v>122400</v>
      </c>
      <c r="BR62" s="20">
        <f>IFERROR(VLOOKUP(Tabla14[[#This Row],[Llave]],'[13]Base ultimos planes'!$O:$AA,11,FALSE),0)</f>
        <v>301920</v>
      </c>
      <c r="BS62" s="20">
        <f>IFERROR(VLOOKUP(Tabla14[[#This Row],[Llave]],'[13]Base ultimos planes'!$O:$AA,12,FALSE),0)</f>
        <v>224037</v>
      </c>
      <c r="BT62" s="20">
        <f>IFERROR(VLOOKUP(Tabla14[[#This Row],[Llave]],'[13]Base ultimos planes'!$O:$AA,13,FALSE),0)</f>
        <v>1168954</v>
      </c>
      <c r="BU62" s="20"/>
      <c r="BV62" s="20">
        <f>Tabla14[[#This Row],[ RV Producción mes n+1]]-Tabla14[[#This Row],[Producción disponible]]+Tabla14[[#This Row],[Saldo Volumen disponible]]</f>
        <v>194743.28700000001</v>
      </c>
      <c r="BW62" s="20">
        <f>IFERROR(VLOOKUP(Tabla14[[#This Row],[Llave]],[14]Hoja2!$J:$N,4,FALSE),0)</f>
        <v>168000</v>
      </c>
      <c r="BX62" s="20">
        <f>+Tabla14[[#This Row],[Asignación mes n+1]]*Tabla14[[#This Row],[% Uti. producción]]</f>
        <v>59570.353187525325</v>
      </c>
      <c r="BY62" s="20">
        <f>+Tabla14[[#This Row],[Ponderación mes n+1]]+Tabla14[[#This Row],[Saldo mes n-1]]</f>
        <v>254313.64018752534</v>
      </c>
      <c r="BZ62" s="20">
        <f>+Tabla14[[#This Row],[Asignación mes n+1]]-Tabla14[[#This Row],[Ponderación mes n+1]]</f>
        <v>108429.64681247468</v>
      </c>
      <c r="CA62" s="20">
        <f>IFERROR(VLOOKUP(Tabla14[[#This Row],[Llave]],[14]Hoja2!$J:$N,5,FALSE),0)</f>
        <v>222143.03</v>
      </c>
      <c r="CB62" s="20">
        <f>+Tabla14[[#This Row],[Asignación mes n+2]]*Tabla14[[#This Row],[% Uti. producción]]</f>
        <v>78768.683066946629</v>
      </c>
      <c r="CC62" s="20">
        <f>+Tabla14[[#This Row],[Saldo mes n+2]]+Tabla14[[#This Row],[Ponderación mes n+2]]</f>
        <v>187198.3298794213</v>
      </c>
      <c r="CD62" s="20">
        <f>+Tabla14[[#This Row],[Asignación mes n+2]]-Tabla14[[#This Row],[Ponderación mes n+2]]</f>
        <v>143374.34693305337</v>
      </c>
    </row>
    <row r="63" spans="1:82" ht="16" x14ac:dyDescent="0.2">
      <c r="A63">
        <v>1</v>
      </c>
      <c r="B63" t="str">
        <f>Tabla14[[#This Row],[Oficina]]&amp;Tabla14[[#This Row],[Material]]</f>
        <v>Agro Sudamerica1022847</v>
      </c>
      <c r="C63" t="s">
        <v>6</v>
      </c>
      <c r="D63" t="s">
        <v>17</v>
      </c>
      <c r="E63">
        <v>1022847</v>
      </c>
      <c r="F63" t="s">
        <v>58</v>
      </c>
      <c r="G63" t="s">
        <v>56</v>
      </c>
      <c r="H63" t="s">
        <v>57</v>
      </c>
      <c r="I63" s="7">
        <f>IFERROR(IF(Tabla14[[#This Row],[Oficina]]=$I$7,VLOOKUP(Tabla14[[#This Row],[Material]],'[6]RV Producción'!$Y:$AA,3,FALSE),VLOOKUP(Tabla14[[#This Row],[Llave]],'[6]RV Producción'!$C:$G,5,FALSE)),0)</f>
        <v>24220</v>
      </c>
      <c r="J63" s="7">
        <f>IFERROR(IF(Tabla14[[#This Row],[Oficina]]=$I$7,VLOOKUP(Tabla14[[#This Row],[Llave]],'[7]Shangai (Tomas)'!$A:$F,6,FALSE),VLOOKUP(Tabla14[[#This Row],[Llave]],'[6]RV plan de ventas'!$A:$E,5,FALSE)),0)</f>
        <v>24000</v>
      </c>
      <c r="K63" s="8">
        <f>IFERROR(VLOOKUP(Tabla14[[#This Row],[Sector]]&amp;Tabla14[[#This Row],[Oficina]],[8]Ponderación!$A$3:$G$22,7,FALSE),0)</f>
        <v>0.3545854356400317</v>
      </c>
      <c r="L63" s="7">
        <f>+Tabla14[[#This Row],[ RV Producción mes n+1]]*Tabla14[[#This Row],[% Uti. producción]]</f>
        <v>8588.0592512015683</v>
      </c>
      <c r="M63" s="7">
        <f>IFERROR(VLOOKUP(Tabla14[[#This Row],[Material]],'[9]TD Stock'!$B:$C,2,FALSE),0)</f>
        <v>23193.885000000002</v>
      </c>
      <c r="N63" s="7">
        <f>IFERROR(VLOOKUP(Tabla14[[#This Row],[Material]],'[10]Consolidado planificación'!$B:$C,2,FALSE),0)</f>
        <v>5249</v>
      </c>
      <c r="O63" s="7">
        <f>IFERROR(VLOOKUP(Tabla14[[#This Row],[Llave]],[11]Hoja2!$D:$G,4,FALSE),0)</f>
        <v>0</v>
      </c>
      <c r="P63" s="14">
        <f>SUM(Tabla14[[#This Row],[Producción disponible]],Tabla14[[#This Row],[Stock al día]],(Tabla14[[#This Row],[Por producir mes N]]*0.9))-Tabla14[[#This Row],[Producción por despachar mes N]]</f>
        <v>36506.044251201572</v>
      </c>
      <c r="Q63" s="7">
        <f>IFERROR(VLOOKUP(Tabla14[[#This Row],[Llave]],[9]DELAY!$A:$D,4,FALSE),0)</f>
        <v>24000</v>
      </c>
      <c r="R63" s="9">
        <v>23000</v>
      </c>
      <c r="S63" s="5">
        <f t="shared" si="5"/>
        <v>24000</v>
      </c>
      <c r="T63" s="76">
        <v>0</v>
      </c>
      <c r="U63" s="5">
        <f>+Tabla14[[#This Row],[Atraso a facturar]]+Tabla14[[#This Row],[Ajuste atraso]]</f>
        <v>24000</v>
      </c>
      <c r="V63" s="3">
        <f>+Tabla14[[#This Row],[Total disponible]]-Tabla14[[#This Row],[Facturación atraso]]</f>
        <v>12506.044251201572</v>
      </c>
      <c r="W63" s="6">
        <f>IFERROR(IF(AND(V63&gt;R63,J63&gt;=R63),ROUNDDOWN((Tabla14[[#This Row],[Producción para venta nueva]])/R63,0)*R63,0),0)</f>
        <v>0</v>
      </c>
      <c r="X63" s="76">
        <v>0</v>
      </c>
      <c r="Y63" s="6">
        <f>IF(Tabla14[[#This Row],[Venta del mes]]&gt;0,Tabla14[[#This Row],[Venta del mes]]+Tabla14[[#This Row],[Ajuste venta nueva]],0)</f>
        <v>0</v>
      </c>
      <c r="Z63" s="6">
        <f>+Tabla14[[#This Row],[Producción para venta nueva]]-Tabla14[[#This Row],[Facturación Venta nueva]]</f>
        <v>12506.044251201572</v>
      </c>
      <c r="AA63" s="6">
        <f>IF(AND(A63=1,Tabla14[[#This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3" s="6">
        <v>0</v>
      </c>
      <c r="AC63" s="6">
        <f>IF(Tabla14[[#This Row],[Disponible stock sin venta]]&gt;0,Tabla14[[#This Row],[Disponible stock sin venta]]+Tabla14[[#This Row],[Ajuste stock sin venta]],0)</f>
        <v>0</v>
      </c>
      <c r="AD63" s="3">
        <f>IFERROR(VLOOKUP(Tabla14[[#This Row],[Llave]],[12]Hoja1!$A:$D,4,FALSE),0)</f>
        <v>0</v>
      </c>
      <c r="AE6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63" s="3">
        <v>24000</v>
      </c>
      <c r="AG63" s="3">
        <f>+Tabla14[[#This Row],[En puerto a facturar]]</f>
        <v>0</v>
      </c>
      <c r="AH63" s="3">
        <f>+Tabla14[[#This Row],[Facturación atraso]]</f>
        <v>24000</v>
      </c>
      <c r="AI63" s="3">
        <f>+Tabla14[[#This Row],[Plan Irrestricto (DATO)]]-Tabla14[[#This Row],[Puerto ]]-Tabla14[[#This Row],[Atraso]]</f>
        <v>0</v>
      </c>
      <c r="AJ63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63" s="3">
        <f>+Tabla14[[#This Row],[Facturación atraso]]</f>
        <v>24000</v>
      </c>
      <c r="AL63" s="3">
        <f>Tabla14[[#This Row],[Plan Ajustado]]-Tabla14[[#This Row],[ Atraso ajustado]]-Tabla14[[#This Row],[En puerto a facturar]]</f>
        <v>0</v>
      </c>
      <c r="AM63" s="3">
        <v>0</v>
      </c>
      <c r="AN63" s="3" t="s">
        <v>636</v>
      </c>
      <c r="AO63" s="3" t="str">
        <f>IF(Tabla14[[#This Row],[Plan Ajustado]]&gt;Tabla14[[#This Row],[En puerto a facturar]],"Si","No")</f>
        <v>Si</v>
      </c>
      <c r="AP63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63" s="3">
        <f>IF(Tabla14[[#This Row],[Necesidad]]&gt;=Tabla14[[#This Row],[Stock al día]],Tabla14[[#This Row],[Stock al día]],Tabla14[[#This Row],[Necesidad]])</f>
        <v>23193.885000000002</v>
      </c>
      <c r="AR63" s="3">
        <f>+Tabla14[[#This Row],[Necesidad]]-Tabla14[[#This Row],[Stock Plan]]</f>
        <v>806.11499999999796</v>
      </c>
      <c r="AS63" s="155">
        <f>VLOOKUP(Tabla14[[#This Row],[Sector]]&amp;Tabla14[[#This Row],[Oficina]],[8]Ponderación!$A:$H,8,FALSE)</f>
        <v>44813</v>
      </c>
      <c r="AT63" s="30">
        <f>IFERROR(VLOOKUP(Tabla14[[#This Row],[Llave]],'[6]RV plan de ventas'!$A:$F,6,FALSE),0)</f>
        <v>1.53666666666667</v>
      </c>
      <c r="AU63" s="83">
        <f>IFERROR(VLOOKUP(Tabla14[[#This Row],[Llave]],[9]DELAY!$H:$X,17,FALSE),0)</f>
        <v>1.58960416666667</v>
      </c>
      <c r="AV6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1.58960416666667</v>
      </c>
      <c r="AW63" s="5">
        <f>Tabla14[[#This Row],[Pecio plan]]*Tabla14[[#This Row],[Plan Ajustado]]</f>
        <v>36957.888120678821</v>
      </c>
      <c r="AX63" s="30">
        <f>IFERROR(VLOOKUP(Tabla14[[#This Row],[Llave]],'[13]Ultimos precios facturados'!$A:$G,7,FALSE),0)</f>
        <v>1.3661233038687408</v>
      </c>
      <c r="AY6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0.16358762211657696</v>
      </c>
      <c r="AZ63" s="30">
        <f>IFERROR(VLOOKUP(Tabla14[[#This Row],[Llave]],Hoja2!B:K,10,FALSE),0)</f>
        <v>1.4166666666666667</v>
      </c>
      <c r="BA6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1.58960416666667</v>
      </c>
      <c r="BB63" s="30">
        <v>1.5399120050282842</v>
      </c>
      <c r="BC63" s="30">
        <f>IF(Tabla14[[#This Row],[Market]]=0,Tabla14[[#This Row],[Precio Final]],Tabla14[[#This Row],[Market]])</f>
        <v>1.5399120050282842</v>
      </c>
      <c r="BD63" s="82"/>
      <c r="BE63" s="82" t="str">
        <f>IF(AND(Tabla14[[#This Row],[Atraso a facturar]]&gt;0,Tabla14[[#This Row],[En puerto a facturar]]&gt;0,Tabla14[[#This Row],[Precio Atraso]]=0),"Revisar","OK")</f>
        <v>OK</v>
      </c>
      <c r="BF63" s="82" t="str">
        <f>IF(AND(Tabla14[[#This Row],[Venta del mes]]&gt;0,Tabla14[[#This Row],[Precio venta nueva]]=0),"Revisar","OK")</f>
        <v>OK</v>
      </c>
      <c r="BG63" s="20">
        <f>IFERROR(VLOOKUP(Tabla14[[#This Row],[Llave]],'[5]Consolidación planes'!$A:$M,9,FALSE),0)</f>
        <v>28000</v>
      </c>
      <c r="BH63" s="20">
        <f>IFERROR(VLOOKUP(Tabla14[[#This Row],[Llave]],'[5]Consolidación planes'!$A:$M,10,FALSE),0)</f>
        <v>72000</v>
      </c>
      <c r="BI63" s="20">
        <f>IFERROR(VLOOKUP(Tabla14[[#This Row],[Llave]],'[5]Consolidación planes'!$A:$M,11,FALSE),0)</f>
        <v>60000</v>
      </c>
      <c r="BJ63" s="20">
        <f>IFERROR(VLOOKUP(Tabla14[[#This Row],[Llave]],'[5]Consolidación planes'!$A:$M,12,FALSE),0)</f>
        <v>24000</v>
      </c>
      <c r="BK63" s="20">
        <f>IFERROR(VLOOKUP(Tabla14[[#This Row],[Llave]],'[5]Consolidación planes'!$A:$M,13,FALSE),0)</f>
        <v>24000</v>
      </c>
      <c r="BL63" s="20">
        <f>IFERROR(VLOOKUP(Tabla14[[#This Row],[Llave]],'[13]Base ultimos planes'!$A:$M,13,FALSE),0)</f>
        <v>48000</v>
      </c>
      <c r="BM63" s="20">
        <f>IFERROR(VLOOKUP(Tabla14[[#This Row],[Llave]],'[13]Cruce plan irrestricto'!$C:$M,10,FALSE),0)</f>
        <v>48000</v>
      </c>
      <c r="BN63" s="20">
        <f>IFERROR(VLOOKUP(Tabla14[[#This Row],[Llave]],'[13]Cruce plan irrestricto'!$C:$M,11,FALSE),0)</f>
        <v>24000</v>
      </c>
      <c r="BO63" s="80">
        <f>IFERROR(VLOOKUP(Tabla14[[#This Row],[Llave]],'[13]Base ultimos planes'!$O:$AA,8,FALSE),0)</f>
        <v>36776.119400000003</v>
      </c>
      <c r="BP63" s="20">
        <f>IFERROR(VLOOKUP(Tabla14[[#This Row],[Llave]],'[13]Base ultimos planes'!$O:$AA,9,FALSE),0)</f>
        <v>95110</v>
      </c>
      <c r="BQ63" s="20">
        <f>IFERROR(VLOOKUP(Tabla14[[#This Row],[Llave]],'[13]Base ultimos planes'!$O:$AA,10,FALSE),0)</f>
        <v>77274</v>
      </c>
      <c r="BR63" s="20">
        <f>IFERROR(VLOOKUP(Tabla14[[#This Row],[Llave]],'[13]Base ultimos planes'!$O:$AA,11,FALSE),0)</f>
        <v>28800</v>
      </c>
      <c r="BS63" s="20">
        <f>IFERROR(VLOOKUP(Tabla14[[#This Row],[Llave]],'[13]Base ultimos planes'!$O:$AA,12,FALSE),0)</f>
        <v>31440</v>
      </c>
      <c r="BT63" s="20">
        <f>IFERROR(VLOOKUP(Tabla14[[#This Row],[Llave]],'[13]Base ultimos planes'!$O:$AA,13,FALSE),0)</f>
        <v>67857</v>
      </c>
      <c r="BU63" s="20"/>
      <c r="BV63" s="20">
        <f>Tabla14[[#This Row],[ RV Producción mes n+1]]-Tabla14[[#This Row],[Producción disponible]]+Tabla14[[#This Row],[Saldo Volumen disponible]]</f>
        <v>28137.985000000004</v>
      </c>
      <c r="BW63" s="20">
        <f>IFERROR(VLOOKUP(Tabla14[[#This Row],[Llave]],[14]Hoja2!$J:$N,4,FALSE),0)</f>
        <v>31728.300300000003</v>
      </c>
      <c r="BX63" s="20">
        <f>+Tabla14[[#This Row],[Asignación mes n+1]]*Tabla14[[#This Row],[% Uti. producción]]</f>
        <v>11250.39318399325</v>
      </c>
      <c r="BY63" s="20">
        <f>+Tabla14[[#This Row],[Ponderación mes n+1]]+Tabla14[[#This Row],[Saldo mes n-1]]</f>
        <v>39388.378183993256</v>
      </c>
      <c r="BZ63" s="20">
        <f>+Tabla14[[#This Row],[Asignación mes n+1]]-Tabla14[[#This Row],[Ponderación mes n+1]]</f>
        <v>20477.907116006754</v>
      </c>
      <c r="CA63" s="20">
        <f>IFERROR(VLOOKUP(Tabla14[[#This Row],[Llave]],[14]Hoja2!$J:$N,5,FALSE),0)</f>
        <v>35722.078099999999</v>
      </c>
      <c r="CB63" s="20">
        <f>+Tabla14[[#This Row],[Asignación mes n+2]]*Tabla14[[#This Row],[% Uti. producción]]</f>
        <v>12666.528625055735</v>
      </c>
      <c r="CC63" s="20">
        <f>+Tabla14[[#This Row],[Saldo mes n+2]]+Tabla14[[#This Row],[Ponderación mes n+2]]</f>
        <v>33144.435741062487</v>
      </c>
      <c r="CD63" s="20">
        <f>+Tabla14[[#This Row],[Asignación mes n+2]]-Tabla14[[#This Row],[Ponderación mes n+2]]</f>
        <v>23055.549474944266</v>
      </c>
    </row>
    <row r="64" spans="1:82" ht="16" x14ac:dyDescent="0.2">
      <c r="A64">
        <v>1</v>
      </c>
      <c r="B64" t="str">
        <f>Tabla14[[#This Row],[Oficina]]&amp;Tabla14[[#This Row],[Material]]</f>
        <v>Agro Sudamerica1022855</v>
      </c>
      <c r="C64" t="s">
        <v>6</v>
      </c>
      <c r="D64" t="s">
        <v>17</v>
      </c>
      <c r="E64">
        <v>1022855</v>
      </c>
      <c r="F64" t="s">
        <v>40</v>
      </c>
      <c r="G64" t="s">
        <v>11</v>
      </c>
      <c r="H64" t="s">
        <v>12</v>
      </c>
      <c r="I64" s="7">
        <f>IFERROR(IF(Tabla14[[#This Row],[Oficina]]=$I$7,VLOOKUP(Tabla14[[#This Row],[Material]],'[6]RV Producción'!$Y:$AA,3,FALSE),VLOOKUP(Tabla14[[#This Row],[Llave]],'[6]RV Producción'!$C:$G,5,FALSE)),0)</f>
        <v>17929</v>
      </c>
      <c r="J64" s="7">
        <f>IFERROR(IF(Tabla14[[#This Row],[Oficina]]=$I$7,VLOOKUP(Tabla14[[#This Row],[Llave]],'[7]Shangai (Tomas)'!$A:$F,6,FALSE),VLOOKUP(Tabla14[[#This Row],[Llave]],'[6]RV plan de ventas'!$A:$E,5,FALSE)),0)</f>
        <v>9529</v>
      </c>
      <c r="K64" s="8">
        <f>IFERROR(VLOOKUP(Tabla14[[#This Row],[Sector]]&amp;Tabla14[[#This Row],[Oficina]],[8]Ponderación!$A$3:$G$22,7,FALSE),0)</f>
        <v>0.3545854356400317</v>
      </c>
      <c r="L64" s="7">
        <f>+Tabla14[[#This Row],[ RV Producción mes n+1]]*Tabla14[[#This Row],[% Uti. producción]]</f>
        <v>6357.3622755901288</v>
      </c>
      <c r="M64" s="7">
        <f>IFERROR(VLOOKUP(Tabla14[[#This Row],[Material]],'[9]TD Stock'!$B:$C,2,FALSE),0)</f>
        <v>23921.142999999993</v>
      </c>
      <c r="N64" s="7">
        <f>IFERROR(VLOOKUP(Tabla14[[#This Row],[Material]],'[10]Consolidado planificación'!$B:$C,2,FALSE),0)</f>
        <v>4748</v>
      </c>
      <c r="O64" s="7">
        <f>IFERROR(VLOOKUP(Tabla14[[#This Row],[Llave]],[11]Hoja2!$D:$G,4,FALSE),0)</f>
        <v>0</v>
      </c>
      <c r="P64" s="14">
        <f>SUM(Tabla14[[#This Row],[Producción disponible]],Tabla14[[#This Row],[Stock al día]],(Tabla14[[#This Row],[Por producir mes N]]*0.9))-Tabla14[[#This Row],[Producción por despachar mes N]]</f>
        <v>34551.705275590117</v>
      </c>
      <c r="Q64" s="7">
        <f>IFERROR(VLOOKUP(Tabla14[[#This Row],[Llave]],[9]DELAY!$A:$D,4,FALSE),0)</f>
        <v>47000</v>
      </c>
      <c r="R64" s="9">
        <v>23000</v>
      </c>
      <c r="S64" s="5">
        <f t="shared" si="5"/>
        <v>23000</v>
      </c>
      <c r="T64" s="76">
        <v>0</v>
      </c>
      <c r="U64" s="5">
        <f>+Tabla14[[#This Row],[Atraso a facturar]]+Tabla14[[#This Row],[Ajuste atraso]]</f>
        <v>23000</v>
      </c>
      <c r="V64" s="3">
        <f>+Tabla14[[#This Row],[Total disponible]]-Tabla14[[#This Row],[Facturación atraso]]</f>
        <v>11551.705275590117</v>
      </c>
      <c r="W64" s="6">
        <f>IFERROR(IF(AND(V64&gt;R64,J64&gt;=R64),ROUNDDOWN((Tabla14[[#This Row],[Producción para venta nueva]])/R64,0)*R64,0),0)</f>
        <v>0</v>
      </c>
      <c r="X64" s="76">
        <v>0</v>
      </c>
      <c r="Y64" s="6">
        <f>IF(Tabla14[[#This Row],[Venta del mes]]&gt;0,Tabla14[[#This Row],[Venta del mes]]+Tabla14[[#This Row],[Ajuste venta nueva]],0)</f>
        <v>0</v>
      </c>
      <c r="Z64" s="6">
        <f>+Tabla14[[#This Row],[Producción para venta nueva]]-Tabla14[[#This Row],[Facturación Venta nueva]]</f>
        <v>11551.705275590117</v>
      </c>
      <c r="AA64" s="6">
        <f>IF(AND(A64=1,Tabla14[[#This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4" s="6">
        <v>0</v>
      </c>
      <c r="AC64" s="6">
        <f>IF(Tabla14[[#This Row],[Disponible stock sin venta]]&gt;0,Tabla14[[#This Row],[Disponible stock sin venta]]+Tabla14[[#This Row],[Ajuste stock sin venta]],0)</f>
        <v>0</v>
      </c>
      <c r="AD64" s="3">
        <f>IFERROR(VLOOKUP(Tabla14[[#This Row],[Llave]],[12]Hoja1!$A:$D,4,FALSE),0)</f>
        <v>0</v>
      </c>
      <c r="AE6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64" s="3">
        <v>23000</v>
      </c>
      <c r="AG64" s="3">
        <f>+Tabla14[[#This Row],[En puerto a facturar]]</f>
        <v>0</v>
      </c>
      <c r="AH64" s="3">
        <f>+Tabla14[[#This Row],[Facturación atraso]]</f>
        <v>23000</v>
      </c>
      <c r="AI64" s="3">
        <f>+Tabla14[[#This Row],[Plan Irrestricto (DATO)]]-Tabla14[[#This Row],[Puerto ]]-Tabla14[[#This Row],[Atraso]]</f>
        <v>0</v>
      </c>
      <c r="AJ64" s="6">
        <f>IF(Tabla14[[#This Row],[Plan Irrestricto (DATO)]]&gt;0,SUM(Tabla14[[#This Row],[Facturación atraso]],Tabla14[[#This Row],[Facturación Venta nueva]],Tabla14[[#This Row],[Facturación stock]],Tabla14[[#This Row],[En puerto a facturar]]),0)</f>
        <v>23000</v>
      </c>
      <c r="AK64" s="3">
        <f>+Tabla14[[#This Row],[Facturación atraso]]</f>
        <v>23000</v>
      </c>
      <c r="AL64" s="3">
        <f>Tabla14[[#This Row],[Plan Ajustado]]-Tabla14[[#This Row],[ Atraso ajustado]]-Tabla14[[#This Row],[En puerto a facturar]]</f>
        <v>0</v>
      </c>
      <c r="AM64" s="3">
        <v>0</v>
      </c>
      <c r="AN64" s="3" t="s">
        <v>636</v>
      </c>
      <c r="AO64" s="3" t="str">
        <f>IF(Tabla14[[#This Row],[Plan Ajustado]]&gt;Tabla14[[#This Row],[En puerto a facturar]],"Si","No")</f>
        <v>Si</v>
      </c>
      <c r="AP64" s="3">
        <f>IF(AND(Tabla14[[#This Row],[Plan Ajustado]]&gt;0,Tabla14[[#This Row],[Plan Ajustado]]&gt;Tabla14[[#This Row],[En puerto a facturar]]),(Tabla14[[#This Row],[Plan Ajustado]]-Tabla14[[#This Row],[En puerto a facturar]]),0)</f>
        <v>23000</v>
      </c>
      <c r="AQ64" s="3">
        <f>IF(Tabla14[[#This Row],[Necesidad]]&gt;=Tabla14[[#This Row],[Stock al día]],Tabla14[[#This Row],[Stock al día]],Tabla14[[#This Row],[Necesidad]])</f>
        <v>23000</v>
      </c>
      <c r="AR64" s="3">
        <f>+Tabla14[[#This Row],[Necesidad]]-Tabla14[[#This Row],[Stock Plan]]</f>
        <v>0</v>
      </c>
      <c r="AS64" s="155">
        <f>VLOOKUP(Tabla14[[#This Row],[Sector]]&amp;Tabla14[[#This Row],[Oficina]],[8]Ponderación!$A:$H,8,FALSE)</f>
        <v>44813</v>
      </c>
      <c r="AT64" s="30">
        <f>IFERROR(VLOOKUP(Tabla14[[#This Row],[Llave]],'[6]RV plan de ventas'!$A:$F,6,FALSE),0)</f>
        <v>1.40675831671739</v>
      </c>
      <c r="AU64" s="83">
        <f>IFERROR(VLOOKUP(Tabla14[[#This Row],[Llave]],[9]DELAY!$H:$X,17,FALSE),0)</f>
        <v>1.4182978723404256</v>
      </c>
      <c r="AV6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1.4182978723404256</v>
      </c>
      <c r="AW64" s="5">
        <f>Tabla14[[#This Row],[Pecio plan]]*Tabla14[[#This Row],[Plan Ajustado]]</f>
        <v>25070.000000000004</v>
      </c>
      <c r="AX64" s="30">
        <f>IFERROR(VLOOKUP(Tabla14[[#This Row],[Llave]],'[13]Ultimos precios facturados'!$A:$G,7,FALSE),0)</f>
        <v>1.4075576951496656</v>
      </c>
      <c r="AY6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7.6303637341260345E-3</v>
      </c>
      <c r="AZ64" s="30">
        <f>IFERROR(VLOOKUP(Tabla14[[#This Row],[Llave]],Hoja2!B:K,10,FALSE),0)</f>
        <v>1.04</v>
      </c>
      <c r="BA6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1.4182978723404256</v>
      </c>
      <c r="BB64" s="30">
        <v>1.0900000000000001</v>
      </c>
      <c r="BC64" s="30">
        <f>IF(Tabla14[[#This Row],[Market]]=0,Tabla14[[#This Row],[Precio Final]],Tabla14[[#This Row],[Market]])</f>
        <v>1.0900000000000001</v>
      </c>
      <c r="BD64" s="82"/>
      <c r="BE64" s="82" t="str">
        <f>IF(AND(Tabla14[[#This Row],[Atraso a facturar]]&gt;0,Tabla14[[#This Row],[En puerto a facturar]]&gt;0,Tabla14[[#This Row],[Precio Atraso]]=0),"Revisar","OK")</f>
        <v>OK</v>
      </c>
      <c r="BF64" s="82" t="str">
        <f>IF(AND(Tabla14[[#This Row],[Venta del mes]]&gt;0,Tabla14[[#This Row],[Precio venta nueva]]=0),"Revisar","OK")</f>
        <v>OK</v>
      </c>
      <c r="BG64" s="20">
        <f>IFERROR(VLOOKUP(Tabla14[[#This Row],[Llave]],'[5]Consolidación planes'!$A:$M,9,FALSE),0)</f>
        <v>16600</v>
      </c>
      <c r="BH64" s="20">
        <f>IFERROR(VLOOKUP(Tabla14[[#This Row],[Llave]],'[5]Consolidación planes'!$A:$M,10,FALSE),0)</f>
        <v>24000</v>
      </c>
      <c r="BI64" s="20">
        <f>IFERROR(VLOOKUP(Tabla14[[#This Row],[Llave]],'[5]Consolidación planes'!$A:$M,11,FALSE),0)</f>
        <v>0</v>
      </c>
      <c r="BJ64" s="20">
        <f>IFERROR(VLOOKUP(Tabla14[[#This Row],[Llave]],'[5]Consolidación planes'!$A:$M,12,FALSE),0)</f>
        <v>24000</v>
      </c>
      <c r="BK64" s="20">
        <f>IFERROR(VLOOKUP(Tabla14[[#This Row],[Llave]],'[5]Consolidación planes'!$A:$M,13,FALSE),0)</f>
        <v>24000</v>
      </c>
      <c r="BL64" s="20">
        <f>IFERROR(VLOOKUP(Tabla14[[#This Row],[Llave]],'[13]Base ultimos planes'!$A:$M,13,FALSE),0)</f>
        <v>48000</v>
      </c>
      <c r="BM64" s="20">
        <f>IFERROR(VLOOKUP(Tabla14[[#This Row],[Llave]],'[13]Cruce plan irrestricto'!$C:$M,10,FALSE),0)</f>
        <v>24000</v>
      </c>
      <c r="BN64" s="20">
        <f>IFERROR(VLOOKUP(Tabla14[[#This Row],[Llave]],'[13]Cruce plan irrestricto'!$C:$M,11,FALSE),0)</f>
        <v>72000</v>
      </c>
      <c r="BO64" s="80">
        <f>IFERROR(VLOOKUP(Tabla14[[#This Row],[Llave]],'[13]Base ultimos planes'!$O:$AA,8,FALSE),0)</f>
        <v>25937.5</v>
      </c>
      <c r="BP64" s="20">
        <f>IFERROR(VLOOKUP(Tabla14[[#This Row],[Llave]],'[13]Base ultimos planes'!$O:$AA,9,FALSE),0)</f>
        <v>33060</v>
      </c>
      <c r="BQ64" s="20">
        <f>IFERROR(VLOOKUP(Tabla14[[#This Row],[Llave]],'[13]Base ultimos planes'!$O:$AA,10,FALSE),0)</f>
        <v>0</v>
      </c>
      <c r="BR64" s="20">
        <f>IFERROR(VLOOKUP(Tabla14[[#This Row],[Llave]],'[13]Base ultimos planes'!$O:$AA,11,FALSE),0)</f>
        <v>30240</v>
      </c>
      <c r="BS64" s="20">
        <f>IFERROR(VLOOKUP(Tabla14[[#This Row],[Llave]],'[13]Base ultimos planes'!$O:$AA,12,FALSE),0)</f>
        <v>33840</v>
      </c>
      <c r="BT64" s="20">
        <f>IFERROR(VLOOKUP(Tabla14[[#This Row],[Llave]],'[13]Base ultimos planes'!$O:$AA,13,FALSE),0)</f>
        <v>67900</v>
      </c>
      <c r="BU64" s="20"/>
      <c r="BV64" s="20">
        <f>Tabla14[[#This Row],[ RV Producción mes n+1]]-Tabla14[[#This Row],[Producción disponible]]+Tabla14[[#This Row],[Saldo Volumen disponible]]</f>
        <v>23123.342999999986</v>
      </c>
      <c r="BW64" s="20">
        <f>IFERROR(VLOOKUP(Tabla14[[#This Row],[Llave]],[14]Hoja2!$J:$N,4,FALSE),0)</f>
        <v>15675.873899999999</v>
      </c>
      <c r="BX64" s="20">
        <f>+Tabla14[[#This Row],[Asignación mes n+1]]*Tabla14[[#This Row],[% Uti. producción]]</f>
        <v>5558.4365758697022</v>
      </c>
      <c r="BY64" s="20">
        <f>+Tabla14[[#This Row],[Ponderación mes n+1]]+Tabla14[[#This Row],[Saldo mes n-1]]</f>
        <v>28681.779575869688</v>
      </c>
      <c r="BZ64" s="20">
        <f>+Tabla14[[#This Row],[Asignación mes n+1]]-Tabla14[[#This Row],[Ponderación mes n+1]]</f>
        <v>10117.437324130296</v>
      </c>
      <c r="CA64" s="20">
        <f>IFERROR(VLOOKUP(Tabla14[[#This Row],[Llave]],[14]Hoja2!$J:$N,5,FALSE),0)</f>
        <v>17213.034800000001</v>
      </c>
      <c r="CB64" s="20">
        <f>+Tabla14[[#This Row],[Asignación mes n+2]]*Tabla14[[#This Row],[% Uti. producción]]</f>
        <v>6103.4914432450259</v>
      </c>
      <c r="CC64" s="20">
        <f>+Tabla14[[#This Row],[Saldo mes n+2]]+Tabla14[[#This Row],[Ponderación mes n+2]]</f>
        <v>16220.928767375322</v>
      </c>
      <c r="CD64" s="20">
        <f>+Tabla14[[#This Row],[Asignación mes n+2]]-Tabla14[[#This Row],[Ponderación mes n+2]]</f>
        <v>11109.543356754975</v>
      </c>
    </row>
    <row r="65" spans="1:82" ht="16" x14ac:dyDescent="0.2">
      <c r="A65">
        <v>1</v>
      </c>
      <c r="B65" t="str">
        <f>Tabla14[[#This Row],[Oficina]]&amp;Tabla14[[#This Row],[Material]]</f>
        <v>Agro Sudamerica1022920</v>
      </c>
      <c r="C65" t="s">
        <v>6</v>
      </c>
      <c r="D65" t="s">
        <v>17</v>
      </c>
      <c r="E65">
        <v>1022920</v>
      </c>
      <c r="F65" t="s">
        <v>329</v>
      </c>
      <c r="G65" t="s">
        <v>11</v>
      </c>
      <c r="H65" t="s">
        <v>41</v>
      </c>
      <c r="I65" s="7">
        <f>IFERROR(IF(Tabla14[[#This Row],[Oficina]]=$I$7,VLOOKUP(Tabla14[[#This Row],[Material]],'[6]RV Producción'!$Y:$AA,3,FALSE),VLOOKUP(Tabla14[[#This Row],[Llave]],'[6]RV Producción'!$C:$G,5,FALSE)),0)</f>
        <v>0</v>
      </c>
      <c r="J65" s="7">
        <f>IFERROR(IF(Tabla14[[#This Row],[Oficina]]=$I$7,VLOOKUP(Tabla14[[#This Row],[Llave]],'[7]Shangai (Tomas)'!$A:$F,6,FALSE),VLOOKUP(Tabla14[[#This Row],[Llave]],'[6]RV plan de ventas'!$A:$E,5,FALSE)),0)</f>
        <v>0</v>
      </c>
      <c r="K65" s="8">
        <f>IFERROR(VLOOKUP(Tabla14[[#This Row],[Sector]]&amp;Tabla14[[#This Row],[Oficina]],[8]Ponderación!$A$3:$G$22,7,FALSE),0)</f>
        <v>0.3545854356400317</v>
      </c>
      <c r="L65" s="7">
        <f>+Tabla14[[#This Row],[ RV Producción mes n+1]]*Tabla14[[#This Row],[% Uti. producción]]</f>
        <v>0</v>
      </c>
      <c r="M65" s="7">
        <f>IFERROR(VLOOKUP(Tabla14[[#This Row],[Material]],'[9]TD Stock'!$B:$C,2,FALSE),0)</f>
        <v>25660.548999999992</v>
      </c>
      <c r="N65" s="7">
        <f>IFERROR(VLOOKUP(Tabla14[[#This Row],[Material]],'[10]Consolidado planificación'!$B:$C,2,FALSE),0)</f>
        <v>4560</v>
      </c>
      <c r="O65" s="7">
        <f>IFERROR(VLOOKUP(Tabla14[[#This Row],[Llave]],[11]Hoja2!$D:$G,4,FALSE),0)</f>
        <v>24000</v>
      </c>
      <c r="P65" s="14">
        <f>SUM(Tabla14[[#This Row],[Producción disponible]],Tabla14[[#This Row],[Stock al día]],(Tabla14[[#This Row],[Por producir mes N]]*0.9))-Tabla14[[#This Row],[Producción por despachar mes N]]</f>
        <v>5764.5489999999918</v>
      </c>
      <c r="Q65" s="7">
        <f>IFERROR(VLOOKUP(Tabla14[[#This Row],[Llave]],[9]DELAY!$A:$D,4,FALSE),0)</f>
        <v>6425</v>
      </c>
      <c r="R65" s="9">
        <v>23000</v>
      </c>
      <c r="S65" s="5">
        <f t="shared" si="5"/>
        <v>0</v>
      </c>
      <c r="T65" s="76">
        <v>0</v>
      </c>
      <c r="U65" s="5">
        <f>+Tabla14[[#This Row],[Atraso a facturar]]+Tabla14[[#This Row],[Ajuste atraso]]</f>
        <v>0</v>
      </c>
      <c r="V65" s="3">
        <f>+Tabla14[[#This Row],[Total disponible]]-Tabla14[[#This Row],[Facturación atraso]]</f>
        <v>5764.5489999999918</v>
      </c>
      <c r="W65" s="6">
        <f>IFERROR(IF(AND(V65&gt;R65,J65&gt;=R65),ROUNDDOWN((Tabla14[[#This Row],[Producción para venta nueva]])/R65,0)*R65,0),0)</f>
        <v>0</v>
      </c>
      <c r="X65" s="76">
        <v>0</v>
      </c>
      <c r="Y65" s="6">
        <f>IF(Tabla14[[#This Row],[Venta del mes]]&gt;0,Tabla14[[#This Row],[Venta del mes]]+Tabla14[[#This Row],[Ajuste venta nueva]],0)</f>
        <v>0</v>
      </c>
      <c r="Z65" s="6">
        <f>+Tabla14[[#This Row],[Producción para venta nueva]]-Tabla14[[#This Row],[Facturación Venta nueva]]</f>
        <v>5764.5489999999918</v>
      </c>
      <c r="AA65" s="6">
        <f>IF(AND(A65=1,Tabla14[[#This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5" s="6">
        <v>0</v>
      </c>
      <c r="AC65" s="6">
        <f>IF(Tabla14[[#This Row],[Disponible stock sin venta]]&gt;0,Tabla14[[#This Row],[Disponible stock sin venta]]+Tabla14[[#This Row],[Ajuste stock sin venta]],0)</f>
        <v>0</v>
      </c>
      <c r="AD65" s="3">
        <f>IFERROR(VLOOKUP(Tabla14[[#This Row],[Llave]],[12]Hoja1!$A:$D,4,FALSE),0)</f>
        <v>0</v>
      </c>
      <c r="AE6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65" s="3">
        <v>0</v>
      </c>
      <c r="AG65" s="3">
        <f>+Tabla14[[#This Row],[En puerto a facturar]]</f>
        <v>0</v>
      </c>
      <c r="AH65" s="3">
        <f>+Tabla14[[#This Row],[Facturación atraso]]</f>
        <v>0</v>
      </c>
      <c r="AI65" s="3">
        <f>+Tabla14[[#This Row],[Plan Irrestricto (DATO)]]-Tabla14[[#This Row],[Puerto ]]-Tabla14[[#This Row],[Atraso]]</f>
        <v>0</v>
      </c>
      <c r="AJ6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65" s="3">
        <f>+Tabla14[[#This Row],[Facturación atraso]]</f>
        <v>0</v>
      </c>
      <c r="AL65" s="3">
        <f>Tabla14[[#This Row],[Plan Ajustado]]-Tabla14[[#This Row],[ Atraso ajustado]]-Tabla14[[#This Row],[En puerto a facturar]]</f>
        <v>0</v>
      </c>
      <c r="AM65" s="3">
        <v>0</v>
      </c>
      <c r="AN65" s="3" t="e">
        <v>#REF!</v>
      </c>
      <c r="AO65" s="3" t="str">
        <f>IF(Tabla14[[#This Row],[Plan Ajustado]]&gt;Tabla14[[#This Row],[En puerto a facturar]],"Si","No")</f>
        <v>No</v>
      </c>
      <c r="AP6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65" s="3">
        <f>IF(Tabla14[[#This Row],[Necesidad]]&gt;=Tabla14[[#This Row],[Stock al día]],Tabla14[[#This Row],[Stock al día]],Tabla14[[#This Row],[Necesidad]])</f>
        <v>0</v>
      </c>
      <c r="AR65" s="3">
        <f>+Tabla14[[#This Row],[Necesidad]]-Tabla14[[#This Row],[Stock Plan]]</f>
        <v>0</v>
      </c>
      <c r="AS65" s="155">
        <f>VLOOKUP(Tabla14[[#This Row],[Sector]]&amp;Tabla14[[#This Row],[Oficina]],[8]Ponderación!$A:$H,8,FALSE)</f>
        <v>44813</v>
      </c>
      <c r="AT65" s="30">
        <f>IFERROR(VLOOKUP(Tabla14[[#This Row],[Llave]],'[6]RV plan de ventas'!$A:$F,6,FALSE),0)</f>
        <v>0</v>
      </c>
      <c r="AU65" s="83">
        <f>IFERROR(VLOOKUP(Tabla14[[#This Row],[Llave]],[9]DELAY!$H:$X,17,FALSE),0)</f>
        <v>1.1708333385214</v>
      </c>
      <c r="AV6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65" s="5">
        <f>Tabla14[[#This Row],[Pecio plan]]*Tabla14[[#This Row],[Plan Ajustado]]</f>
        <v>0</v>
      </c>
      <c r="AX65" s="30">
        <f>IFERROR(VLOOKUP(Tabla14[[#This Row],[Llave]],'[13]Ultimos precios facturados'!$A:$G,7,FALSE),0)</f>
        <v>0.92024489751700844</v>
      </c>
      <c r="AY6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65" s="30">
        <f>IFERROR(VLOOKUP(Tabla14[[#This Row],[Llave]],Hoja2!B:K,10,FALSE),0)</f>
        <v>1.0866536964980544</v>
      </c>
      <c r="BA6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65" s="30">
        <v>0</v>
      </c>
      <c r="BC65" s="30">
        <f>IF(Tabla14[[#This Row],[Market]]=0,Tabla14[[#This Row],[Precio Final]],Tabla14[[#This Row],[Market]])</f>
        <v>0</v>
      </c>
      <c r="BD65" s="82"/>
      <c r="BE65" s="82" t="str">
        <f>IF(AND(Tabla14[[#This Row],[Atraso a facturar]]&gt;0,Tabla14[[#This Row],[En puerto a facturar]]&gt;0,Tabla14[[#This Row],[Precio Atraso]]=0),"Revisar","OK")</f>
        <v>OK</v>
      </c>
      <c r="BF65" s="82" t="str">
        <f>IF(AND(Tabla14[[#This Row],[Venta del mes]]&gt;0,Tabla14[[#This Row],[Precio venta nueva]]=0),"Revisar","OK")</f>
        <v>OK</v>
      </c>
      <c r="BG65" s="20">
        <f>IFERROR(VLOOKUP(Tabla14[[#This Row],[Llave]],'[5]Consolidación planes'!$A:$M,9,FALSE),0)</f>
        <v>0</v>
      </c>
      <c r="BH65" s="20">
        <f>IFERROR(VLOOKUP(Tabla14[[#This Row],[Llave]],'[5]Consolidación planes'!$A:$M,10,FALSE),0)</f>
        <v>0</v>
      </c>
      <c r="BI65" s="20">
        <f>IFERROR(VLOOKUP(Tabla14[[#This Row],[Llave]],'[5]Consolidación planes'!$A:$M,11,FALSE),0)</f>
        <v>0</v>
      </c>
      <c r="BJ65" s="20">
        <f>IFERROR(VLOOKUP(Tabla14[[#This Row],[Llave]],'[5]Consolidación planes'!$A:$M,12,FALSE),0)</f>
        <v>0</v>
      </c>
      <c r="BK65" s="20">
        <f>IFERROR(VLOOKUP(Tabla14[[#This Row],[Llave]],'[5]Consolidación planes'!$A:$M,13,FALSE),0)</f>
        <v>4619</v>
      </c>
      <c r="BL65" s="20">
        <f>IFERROR(VLOOKUP(Tabla14[[#This Row],[Llave]],'[13]Base ultimos planes'!$A:$M,13,FALSE),0)</f>
        <v>0</v>
      </c>
      <c r="BM65" s="20">
        <f>IFERROR(VLOOKUP(Tabla14[[#This Row],[Llave]],'[13]Cruce plan irrestricto'!$C:$M,10,FALSE),0)</f>
        <v>0</v>
      </c>
      <c r="BN65" s="20">
        <f>IFERROR(VLOOKUP(Tabla14[[#This Row],[Llave]],'[13]Cruce plan irrestricto'!$C:$M,11,FALSE),0)</f>
        <v>24000</v>
      </c>
      <c r="BO65" s="80">
        <f>IFERROR(VLOOKUP(Tabla14[[#This Row],[Llave]],'[13]Base ultimos planes'!$O:$AA,8,FALSE),0)</f>
        <v>0</v>
      </c>
      <c r="BP65" s="20">
        <f>IFERROR(VLOOKUP(Tabla14[[#This Row],[Llave]],'[13]Base ultimos planes'!$O:$AA,9,FALSE),0)</f>
        <v>0</v>
      </c>
      <c r="BQ65" s="20">
        <f>IFERROR(VLOOKUP(Tabla14[[#This Row],[Llave]],'[13]Base ultimos planes'!$O:$AA,10,FALSE),0)</f>
        <v>0</v>
      </c>
      <c r="BR65" s="20">
        <f>IFERROR(VLOOKUP(Tabla14[[#This Row],[Llave]],'[13]Base ultimos planes'!$O:$AA,11,FALSE),0)</f>
        <v>0</v>
      </c>
      <c r="BS65" s="20">
        <f>IFERROR(VLOOKUP(Tabla14[[#This Row],[Llave]],'[13]Base ultimos planes'!$O:$AA,12,FALSE),0)</f>
        <v>4249</v>
      </c>
      <c r="BT65" s="20">
        <f>IFERROR(VLOOKUP(Tabla14[[#This Row],[Llave]],'[13]Base ultimos planes'!$O:$AA,13,FALSE),0)</f>
        <v>0</v>
      </c>
      <c r="BU65" s="20"/>
      <c r="BV65" s="20">
        <f>Tabla14[[#This Row],[ RV Producción mes n+1]]-Tabla14[[#This Row],[Producción disponible]]+Tabla14[[#This Row],[Saldo Volumen disponible]]</f>
        <v>5764.5489999999918</v>
      </c>
      <c r="BW65" s="20">
        <f>IFERROR(VLOOKUP(Tabla14[[#This Row],[Llave]],[14]Hoja2!$J:$N,4,FALSE),0)</f>
        <v>8665.4599999999991</v>
      </c>
      <c r="BX65" s="20">
        <f>+Tabla14[[#This Row],[Asignación mes n+1]]*Tabla14[[#This Row],[% Uti. producción]]</f>
        <v>3072.6459091212687</v>
      </c>
      <c r="BY65" s="20">
        <f>+Tabla14[[#This Row],[Ponderación mes n+1]]+Tabla14[[#This Row],[Saldo mes n-1]]</f>
        <v>8837.1949091212609</v>
      </c>
      <c r="BZ65" s="20">
        <f>+Tabla14[[#This Row],[Asignación mes n+1]]-Tabla14[[#This Row],[Ponderación mes n+1]]</f>
        <v>5592.81409087873</v>
      </c>
      <c r="CA65" s="20">
        <f>IFERROR(VLOOKUP(Tabla14[[#This Row],[Llave]],[14]Hoja2!$J:$N,5,FALSE),0)</f>
        <v>0</v>
      </c>
      <c r="CB65" s="20">
        <f>+Tabla14[[#This Row],[Asignación mes n+2]]*Tabla14[[#This Row],[% Uti. producción]]</f>
        <v>0</v>
      </c>
      <c r="CC65" s="20">
        <f>+Tabla14[[#This Row],[Saldo mes n+2]]+Tabla14[[#This Row],[Ponderación mes n+2]]</f>
        <v>5592.81409087873</v>
      </c>
      <c r="CD65" s="20">
        <f>+Tabla14[[#This Row],[Asignación mes n+2]]-Tabla14[[#This Row],[Ponderación mes n+2]]</f>
        <v>0</v>
      </c>
    </row>
    <row r="66" spans="1:82" ht="16" x14ac:dyDescent="0.2">
      <c r="A66">
        <v>1</v>
      </c>
      <c r="B66" t="str">
        <f>Tabla14[[#This Row],[Oficina]]&amp;Tabla14[[#This Row],[Material]]</f>
        <v>Agro Sudamerica1022921</v>
      </c>
      <c r="C66" t="s">
        <v>6</v>
      </c>
      <c r="D66" t="s">
        <v>17</v>
      </c>
      <c r="E66">
        <v>1022921</v>
      </c>
      <c r="F66" t="s">
        <v>45</v>
      </c>
      <c r="G66" t="s">
        <v>11</v>
      </c>
      <c r="H66" t="s">
        <v>41</v>
      </c>
      <c r="I66" s="7">
        <f>IFERROR(IF(Tabla14[[#This Row],[Oficina]]=$I$7,VLOOKUP(Tabla14[[#This Row],[Material]],'[6]RV Producción'!$Y:$AA,3,FALSE),VLOOKUP(Tabla14[[#This Row],[Llave]],'[6]RV Producción'!$C:$G,5,FALSE)),0)</f>
        <v>19082</v>
      </c>
      <c r="J66" s="7">
        <f>IFERROR(IF(Tabla14[[#This Row],[Oficina]]=$I$7,VLOOKUP(Tabla14[[#This Row],[Llave]],'[7]Shangai (Tomas)'!$A:$F,6,FALSE),VLOOKUP(Tabla14[[#This Row],[Llave]],'[6]RV plan de ventas'!$A:$E,5,FALSE)),0)</f>
        <v>21452</v>
      </c>
      <c r="K66" s="8">
        <f>IFERROR(VLOOKUP(Tabla14[[#This Row],[Sector]]&amp;Tabla14[[#This Row],[Oficina]],[8]Ponderación!$A$3:$G$22,7,FALSE),0)</f>
        <v>0.3545854356400317</v>
      </c>
      <c r="L66" s="7">
        <f>+Tabla14[[#This Row],[ RV Producción mes n+1]]*Tabla14[[#This Row],[% Uti. producción]]</f>
        <v>6766.1992828830853</v>
      </c>
      <c r="M66" s="7">
        <f>IFERROR(VLOOKUP(Tabla14[[#This Row],[Material]],'[9]TD Stock'!$B:$C,2,FALSE),0)</f>
        <v>30213.228000000003</v>
      </c>
      <c r="N66" s="7">
        <f>IFERROR(VLOOKUP(Tabla14[[#This Row],[Material]],'[10]Consolidado planificación'!$B:$C,2,FALSE),0)</f>
        <v>9350</v>
      </c>
      <c r="O66" s="7">
        <f>IFERROR(VLOOKUP(Tabla14[[#This Row],[Llave]],[11]Hoja2!$D:$G,4,FALSE),0)</f>
        <v>0</v>
      </c>
      <c r="P66" s="14">
        <f>SUM(Tabla14[[#This Row],[Producción disponible]],Tabla14[[#This Row],[Stock al día]],(Tabla14[[#This Row],[Por producir mes N]]*0.9))-Tabla14[[#This Row],[Producción por despachar mes N]]</f>
        <v>45394.427282883087</v>
      </c>
      <c r="Q66" s="7">
        <f>IFERROR(VLOOKUP(Tabla14[[#This Row],[Llave]],[9]DELAY!$A:$D,4,FALSE),0)</f>
        <v>37575</v>
      </c>
      <c r="R66" s="9">
        <v>23000</v>
      </c>
      <c r="S66" s="5">
        <f t="shared" si="5"/>
        <v>37575</v>
      </c>
      <c r="T66" s="76">
        <v>0</v>
      </c>
      <c r="U66" s="5">
        <f>+Tabla14[[#This Row],[Atraso a facturar]]+Tabla14[[#This Row],[Ajuste atraso]]</f>
        <v>37575</v>
      </c>
      <c r="V66" s="3">
        <f>+Tabla14[[#This Row],[Total disponible]]-Tabla14[[#This Row],[Facturación atraso]]</f>
        <v>7819.4272828830872</v>
      </c>
      <c r="W66" s="6">
        <f>IFERROR(IF(AND(V66&gt;R66,J66&gt;=R66),ROUNDDOWN((Tabla14[[#This Row],[Producción para venta nueva]])/R66,0)*R66,0),0)</f>
        <v>0</v>
      </c>
      <c r="X66" s="76">
        <v>0</v>
      </c>
      <c r="Y66" s="6">
        <f>IF(Tabla14[[#This Row],[Venta del mes]]&gt;0,Tabla14[[#This Row],[Venta del mes]]+Tabla14[[#This Row],[Ajuste venta nueva]],0)</f>
        <v>0</v>
      </c>
      <c r="Z66" s="6">
        <f>+Tabla14[[#This Row],[Producción para venta nueva]]-Tabla14[[#This Row],[Facturación Venta nueva]]</f>
        <v>7819.4272828830872</v>
      </c>
      <c r="AA66" s="6">
        <f>IF(AND(A66=1,Tabla14[[#This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6" s="6">
        <v>0</v>
      </c>
      <c r="AC66" s="6">
        <f>IF(Tabla14[[#This Row],[Disponible stock sin venta]]&gt;0,Tabla14[[#This Row],[Disponible stock sin venta]]+Tabla14[[#This Row],[Ajuste stock sin venta]],0)</f>
        <v>0</v>
      </c>
      <c r="AD66" s="3">
        <f>IFERROR(VLOOKUP(Tabla14[[#This Row],[Llave]],[12]Hoja1!$A:$D,4,FALSE),0)</f>
        <v>0</v>
      </c>
      <c r="AE6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37575</v>
      </c>
      <c r="AF66" s="3">
        <v>37575</v>
      </c>
      <c r="AG66" s="3">
        <f>+Tabla14[[#This Row],[En puerto a facturar]]</f>
        <v>0</v>
      </c>
      <c r="AH66" s="3">
        <f>+Tabla14[[#This Row],[Facturación atraso]]</f>
        <v>37575</v>
      </c>
      <c r="AI66" s="3">
        <f>+Tabla14[[#This Row],[Plan Irrestricto (DATO)]]-Tabla14[[#This Row],[Puerto ]]-Tabla14[[#This Row],[Atraso]]</f>
        <v>0</v>
      </c>
      <c r="AJ66" s="6">
        <f>IF(Tabla14[[#This Row],[Plan Irrestricto (DATO)]]&gt;0,SUM(Tabla14[[#This Row],[Facturación atraso]],Tabla14[[#This Row],[Facturación Venta nueva]],Tabla14[[#This Row],[Facturación stock]],Tabla14[[#This Row],[En puerto a facturar]]),0)</f>
        <v>37575</v>
      </c>
      <c r="AK66" s="3">
        <f>+Tabla14[[#This Row],[Facturación atraso]]</f>
        <v>37575</v>
      </c>
      <c r="AL66" s="3">
        <f>Tabla14[[#This Row],[Plan Ajustado]]-Tabla14[[#This Row],[ Atraso ajustado]]-Tabla14[[#This Row],[En puerto a facturar]]</f>
        <v>0</v>
      </c>
      <c r="AM66" s="3">
        <v>0</v>
      </c>
      <c r="AN66" s="3" t="s">
        <v>636</v>
      </c>
      <c r="AO66" s="3" t="str">
        <f>IF(Tabla14[[#This Row],[Plan Ajustado]]&gt;Tabla14[[#This Row],[En puerto a facturar]],"Si","No")</f>
        <v>Si</v>
      </c>
      <c r="AP66" s="3">
        <f>IF(AND(Tabla14[[#This Row],[Plan Ajustado]]&gt;0,Tabla14[[#This Row],[Plan Ajustado]]&gt;Tabla14[[#This Row],[En puerto a facturar]]),(Tabla14[[#This Row],[Plan Ajustado]]-Tabla14[[#This Row],[En puerto a facturar]]),0)</f>
        <v>37575</v>
      </c>
      <c r="AQ66" s="3">
        <f>IF(Tabla14[[#This Row],[Necesidad]]&gt;=Tabla14[[#This Row],[Stock al día]],Tabla14[[#This Row],[Stock al día]],Tabla14[[#This Row],[Necesidad]])</f>
        <v>30213.228000000003</v>
      </c>
      <c r="AR66" s="3">
        <f>+Tabla14[[#This Row],[Necesidad]]-Tabla14[[#This Row],[Stock Plan]]</f>
        <v>7361.7719999999972</v>
      </c>
      <c r="AS66" s="155">
        <f>VLOOKUP(Tabla14[[#This Row],[Sector]]&amp;Tabla14[[#This Row],[Oficina]],[8]Ponderación!$A:$H,8,FALSE)</f>
        <v>44813</v>
      </c>
      <c r="AT66" s="30">
        <f>IFERROR(VLOOKUP(Tabla14[[#This Row],[Llave]],'[6]RV plan de ventas'!$A:$F,6,FALSE),0)</f>
        <v>1.38667723289204</v>
      </c>
      <c r="AU66" s="83">
        <f>IFERROR(VLOOKUP(Tabla14[[#This Row],[Llave]],[9]DELAY!$H:$X,17,FALSE),0)</f>
        <v>1.3964443326679963</v>
      </c>
      <c r="AV6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1.3964443326679963</v>
      </c>
      <c r="AW66" s="5">
        <f>Tabla14[[#This Row],[Pecio plan]]*Tabla14[[#This Row],[Plan Ajustado]]</f>
        <v>52229.249999999993</v>
      </c>
      <c r="AX66" s="30">
        <f>IFERROR(VLOOKUP(Tabla14[[#This Row],[Llave]],'[13]Ultimos precios facturados'!$A:$G,7,FALSE),0)</f>
        <v>1.0165138595666714</v>
      </c>
      <c r="AY6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0.37375828133153544</v>
      </c>
      <c r="AZ66" s="30">
        <f>IFERROR(VLOOKUP(Tabla14[[#This Row],[Llave]],Hoja2!B:K,10,FALSE),0)</f>
        <v>1.2999999999999998</v>
      </c>
      <c r="BA6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1.3964443326679963</v>
      </c>
      <c r="BB66" s="30">
        <v>1.39</v>
      </c>
      <c r="BC66" s="30">
        <f>IF(Tabla14[[#This Row],[Market]]=0,Tabla14[[#This Row],[Precio Final]],Tabla14[[#This Row],[Market]])</f>
        <v>1.39</v>
      </c>
      <c r="BD66" s="82"/>
      <c r="BE66" s="82" t="str">
        <f>IF(AND(Tabla14[[#This Row],[Atraso a facturar]]&gt;0,Tabla14[[#This Row],[En puerto a facturar]]&gt;0,Tabla14[[#This Row],[Precio Atraso]]=0),"Revisar","OK")</f>
        <v>OK</v>
      </c>
      <c r="BF66" s="82" t="str">
        <f>IF(AND(Tabla14[[#This Row],[Venta del mes]]&gt;0,Tabla14[[#This Row],[Precio venta nueva]]=0),"Revisar","OK")</f>
        <v>OK</v>
      </c>
      <c r="BG66" s="20">
        <f>IFERROR(VLOOKUP(Tabla14[[#This Row],[Llave]],'[5]Consolidación planes'!$A:$M,9,FALSE),0)</f>
        <v>10000</v>
      </c>
      <c r="BH66" s="20">
        <f>IFERROR(VLOOKUP(Tabla14[[#This Row],[Llave]],'[5]Consolidación planes'!$A:$M,10,FALSE),0)</f>
        <v>48000</v>
      </c>
      <c r="BI66" s="20">
        <f>IFERROR(VLOOKUP(Tabla14[[#This Row],[Llave]],'[5]Consolidación planes'!$A:$M,11,FALSE),0)</f>
        <v>10000</v>
      </c>
      <c r="BJ66" s="20">
        <f>IFERROR(VLOOKUP(Tabla14[[#This Row],[Llave]],'[5]Consolidación planes'!$A:$M,12,FALSE),0)</f>
        <v>12000</v>
      </c>
      <c r="BK66" s="20">
        <f>IFERROR(VLOOKUP(Tabla14[[#This Row],[Llave]],'[5]Consolidación planes'!$A:$M,13,FALSE),0)</f>
        <v>47000</v>
      </c>
      <c r="BL66" s="20">
        <f>IFERROR(VLOOKUP(Tabla14[[#This Row],[Llave]],'[13]Base ultimos planes'!$A:$M,13,FALSE),0)</f>
        <v>0</v>
      </c>
      <c r="BM66" s="20">
        <f>IFERROR(VLOOKUP(Tabla14[[#This Row],[Llave]],'[13]Cruce plan irrestricto'!$C:$M,10,FALSE),0)</f>
        <v>0</v>
      </c>
      <c r="BN66" s="20">
        <f>IFERROR(VLOOKUP(Tabla14[[#This Row],[Llave]],'[13]Cruce plan irrestricto'!$C:$M,11,FALSE),0)</f>
        <v>24000</v>
      </c>
      <c r="BO66" s="80">
        <f>IFERROR(VLOOKUP(Tabla14[[#This Row],[Llave]],'[13]Base ultimos planes'!$O:$AA,8,FALSE),0)</f>
        <v>10000</v>
      </c>
      <c r="BP66" s="20">
        <f>IFERROR(VLOOKUP(Tabla14[[#This Row],[Llave]],'[13]Base ultimos planes'!$O:$AA,9,FALSE),0)</f>
        <v>45600</v>
      </c>
      <c r="BQ66" s="20">
        <f>IFERROR(VLOOKUP(Tabla14[[#This Row],[Llave]],'[13]Base ultimos planes'!$O:$AA,10,FALSE),0)</f>
        <v>10500</v>
      </c>
      <c r="BR66" s="20">
        <f>IFERROR(VLOOKUP(Tabla14[[#This Row],[Llave]],'[13]Base ultimos planes'!$O:$AA,11,FALSE),0)</f>
        <v>8040</v>
      </c>
      <c r="BS66" s="20">
        <f>IFERROR(VLOOKUP(Tabla14[[#This Row],[Llave]],'[13]Base ultimos planes'!$O:$AA,12,FALSE),0)</f>
        <v>46740</v>
      </c>
      <c r="BT66" s="20">
        <f>IFERROR(VLOOKUP(Tabla14[[#This Row],[Llave]],'[13]Base ultimos planes'!$O:$AA,13,FALSE),0)</f>
        <v>0</v>
      </c>
      <c r="BU66" s="20"/>
      <c r="BV66" s="20">
        <f>Tabla14[[#This Row],[ RV Producción mes n+1]]-Tabla14[[#This Row],[Producción disponible]]+Tabla14[[#This Row],[Saldo Volumen disponible]]</f>
        <v>20135.228000000003</v>
      </c>
      <c r="BW66" s="20">
        <f>IFERROR(VLOOKUP(Tabla14[[#This Row],[Llave]],[14]Hoja2!$J:$N,4,FALSE),0)</f>
        <v>40728.299899999998</v>
      </c>
      <c r="BX66" s="20">
        <f>+Tabla14[[#This Row],[Asignación mes n+1]]*Tabla14[[#This Row],[% Uti. producción]]</f>
        <v>14441.661962919359</v>
      </c>
      <c r="BY66" s="20">
        <f>+Tabla14[[#This Row],[Ponderación mes n+1]]+Tabla14[[#This Row],[Saldo mes n-1]]</f>
        <v>34576.889962919362</v>
      </c>
      <c r="BZ66" s="20">
        <f>+Tabla14[[#This Row],[Asignación mes n+1]]-Tabla14[[#This Row],[Ponderación mes n+1]]</f>
        <v>26286.637937080639</v>
      </c>
      <c r="CA66" s="20">
        <f>IFERROR(VLOOKUP(Tabla14[[#This Row],[Llave]],[14]Hoja2!$J:$N,5,FALSE),0)</f>
        <v>44722.078100000006</v>
      </c>
      <c r="CB66" s="20">
        <f>+Tabla14[[#This Row],[Asignación mes n+2]]*Tabla14[[#This Row],[% Uti. producción]]</f>
        <v>15857.797545816024</v>
      </c>
      <c r="CC66" s="20">
        <f>+Tabla14[[#This Row],[Saldo mes n+2]]+Tabla14[[#This Row],[Ponderación mes n+2]]</f>
        <v>42144.435482896661</v>
      </c>
      <c r="CD66" s="20">
        <f>+Tabla14[[#This Row],[Asignación mes n+2]]-Tabla14[[#This Row],[Ponderación mes n+2]]</f>
        <v>28864.280554183984</v>
      </c>
    </row>
    <row r="67" spans="1:82" ht="16" x14ac:dyDescent="0.2">
      <c r="A67">
        <v>1</v>
      </c>
      <c r="B67" t="str">
        <f>Tabla14[[#This Row],[Oficina]]&amp;Tabla14[[#This Row],[Material]]</f>
        <v>Agro Sudamerica1022922</v>
      </c>
      <c r="C67" t="s">
        <v>6</v>
      </c>
      <c r="D67" t="s">
        <v>17</v>
      </c>
      <c r="E67">
        <v>1022922</v>
      </c>
      <c r="F67" t="s">
        <v>314</v>
      </c>
      <c r="G67" t="s">
        <v>71</v>
      </c>
      <c r="H67" t="s">
        <v>72</v>
      </c>
      <c r="I67" s="7">
        <f>IFERROR(IF(Tabla14[[#This Row],[Oficina]]=$I$7,VLOOKUP(Tabla14[[#This Row],[Material]],'[6]RV Producción'!$Y:$AA,3,FALSE),VLOOKUP(Tabla14[[#This Row],[Llave]],'[6]RV Producción'!$C:$G,5,FALSE)),0)</f>
        <v>0</v>
      </c>
      <c r="J67" s="7">
        <f>IFERROR(IF(Tabla14[[#This Row],[Oficina]]=$I$7,VLOOKUP(Tabla14[[#This Row],[Llave]],'[7]Shangai (Tomas)'!$A:$F,6,FALSE),VLOOKUP(Tabla14[[#This Row],[Llave]],'[6]RV plan de ventas'!$A:$E,5,FALSE)),0)</f>
        <v>0</v>
      </c>
      <c r="K67" s="8">
        <f>IFERROR(VLOOKUP(Tabla14[[#This Row],[Sector]]&amp;Tabla14[[#This Row],[Oficina]],[8]Ponderación!$A$3:$G$22,7,FALSE),0)</f>
        <v>0.3545854356400317</v>
      </c>
      <c r="L67" s="7">
        <f>+Tabla14[[#This Row],[ RV Producción mes n+1]]*Tabla14[[#This Row],[% Uti. producción]]</f>
        <v>0</v>
      </c>
      <c r="M67" s="7">
        <f>IFERROR(VLOOKUP(Tabla14[[#This Row],[Material]],'[9]TD Stock'!$B:$C,2,FALSE),0)</f>
        <v>46.56</v>
      </c>
      <c r="N67" s="7">
        <f>IFERROR(VLOOKUP(Tabla14[[#This Row],[Material]],'[10]Consolidado planificación'!$B:$C,2,FALSE),0)</f>
        <v>0</v>
      </c>
      <c r="O67" s="7">
        <f>IFERROR(VLOOKUP(Tabla14[[#This Row],[Llave]],[11]Hoja2!$D:$G,4,FALSE),0)</f>
        <v>0</v>
      </c>
      <c r="P67" s="14">
        <f>SUM(Tabla14[[#This Row],[Producción disponible]],Tabla14[[#This Row],[Stock al día]],(Tabla14[[#This Row],[Por producir mes N]]*0.9))-Tabla14[[#This Row],[Producción por despachar mes N]]</f>
        <v>46.56</v>
      </c>
      <c r="Q67" s="7">
        <f>IFERROR(VLOOKUP(Tabla14[[#This Row],[Llave]],[9]DELAY!$A:$D,4,FALSE),0)</f>
        <v>0</v>
      </c>
      <c r="R67" s="9">
        <v>23000</v>
      </c>
      <c r="S67" s="5">
        <f t="shared" si="5"/>
        <v>0</v>
      </c>
      <c r="T67" s="76">
        <v>0</v>
      </c>
      <c r="U67" s="5">
        <f>+Tabla14[[#This Row],[Atraso a facturar]]+Tabla14[[#This Row],[Ajuste atraso]]</f>
        <v>0</v>
      </c>
      <c r="V67" s="3">
        <f>+Tabla14[[#This Row],[Total disponible]]-Tabla14[[#This Row],[Facturación atraso]]</f>
        <v>46.56</v>
      </c>
      <c r="W67" s="6">
        <f>IFERROR(IF(AND(V67&gt;R67,J67&gt;=R67),ROUNDDOWN((Tabla14[[#This Row],[Producción para venta nueva]])/R67,0)*R67,0),0)</f>
        <v>0</v>
      </c>
      <c r="X67" s="76">
        <v>0</v>
      </c>
      <c r="Y67" s="6">
        <f>IF(Tabla14[[#This Row],[Venta del mes]]&gt;0,Tabla14[[#This Row],[Venta del mes]]+Tabla14[[#This Row],[Ajuste venta nueva]],0)</f>
        <v>0</v>
      </c>
      <c r="Z67" s="6">
        <f>+Tabla14[[#This Row],[Producción para venta nueva]]-Tabla14[[#This Row],[Facturación Venta nueva]]</f>
        <v>46.56</v>
      </c>
      <c r="AA67" s="6">
        <f>IF(AND(A67=1,Tabla14[[#This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7" s="6">
        <v>0</v>
      </c>
      <c r="AC67" s="6">
        <f>IF(Tabla14[[#This Row],[Disponible stock sin venta]]&gt;0,Tabla14[[#This Row],[Disponible stock sin venta]]+Tabla14[[#This Row],[Ajuste stock sin venta]],0)</f>
        <v>0</v>
      </c>
      <c r="AD67" s="3">
        <f>IFERROR(VLOOKUP(Tabla14[[#This Row],[Llave]],[12]Hoja1!$A:$D,4,FALSE),0)</f>
        <v>0</v>
      </c>
      <c r="AE6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67" s="3">
        <v>0</v>
      </c>
      <c r="AG67" s="3">
        <f>+Tabla14[[#This Row],[En puerto a facturar]]</f>
        <v>0</v>
      </c>
      <c r="AH67" s="3">
        <f>+Tabla14[[#This Row],[Facturación atraso]]</f>
        <v>0</v>
      </c>
      <c r="AI67" s="3">
        <f>+Tabla14[[#This Row],[Plan Irrestricto (DATO)]]-Tabla14[[#This Row],[Puerto ]]-Tabla14[[#This Row],[Atraso]]</f>
        <v>0</v>
      </c>
      <c r="AJ6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67" s="3">
        <f>+Tabla14[[#This Row],[Facturación atraso]]</f>
        <v>0</v>
      </c>
      <c r="AL67" s="3">
        <f>Tabla14[[#This Row],[Plan Ajustado]]-Tabla14[[#This Row],[ Atraso ajustado]]-Tabla14[[#This Row],[En puerto a facturar]]</f>
        <v>0</v>
      </c>
      <c r="AM67" s="3">
        <v>0</v>
      </c>
      <c r="AN67" s="3" t="e">
        <v>#REF!</v>
      </c>
      <c r="AO67" s="3" t="str">
        <f>IF(Tabla14[[#This Row],[Plan Ajustado]]&gt;Tabla14[[#This Row],[En puerto a facturar]],"Si","No")</f>
        <v>No</v>
      </c>
      <c r="AP6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67" s="3">
        <f>IF(Tabla14[[#This Row],[Necesidad]]&gt;=Tabla14[[#This Row],[Stock al día]],Tabla14[[#This Row],[Stock al día]],Tabla14[[#This Row],[Necesidad]])</f>
        <v>0</v>
      </c>
      <c r="AR67" s="3">
        <f>+Tabla14[[#This Row],[Necesidad]]-Tabla14[[#This Row],[Stock Plan]]</f>
        <v>0</v>
      </c>
      <c r="AS67" s="155">
        <f>VLOOKUP(Tabla14[[#This Row],[Sector]]&amp;Tabla14[[#This Row],[Oficina]],[8]Ponderación!$A:$H,8,FALSE)</f>
        <v>44813</v>
      </c>
      <c r="AT67" s="30">
        <f>IFERROR(VLOOKUP(Tabla14[[#This Row],[Llave]],'[6]RV plan de ventas'!$A:$F,6,FALSE),0)</f>
        <v>0</v>
      </c>
      <c r="AU67" s="83">
        <f>IFERROR(VLOOKUP(Tabla14[[#This Row],[Llave]],[9]DELAY!$H:$X,17,FALSE),0)</f>
        <v>0</v>
      </c>
      <c r="AV6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67" s="5">
        <f>Tabla14[[#This Row],[Pecio plan]]*Tabla14[[#This Row],[Plan Ajustado]]</f>
        <v>0</v>
      </c>
      <c r="AX67" s="30">
        <f>IFERROR(VLOOKUP(Tabla14[[#This Row],[Llave]],'[13]Ultimos precios facturados'!$A:$G,7,FALSE),0)</f>
        <v>1.4005937318696935</v>
      </c>
      <c r="AY6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67" s="30">
        <f>IFERROR(VLOOKUP(Tabla14[[#This Row],[Llave]],Hoja2!B:K,10,FALSE),0)</f>
        <v>0</v>
      </c>
      <c r="BA6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67" s="30">
        <v>0</v>
      </c>
      <c r="BC67" s="30">
        <f>IF(Tabla14[[#This Row],[Market]]=0,Tabla14[[#This Row],[Precio Final]],Tabla14[[#This Row],[Market]])</f>
        <v>0</v>
      </c>
      <c r="BD67" s="82"/>
      <c r="BE67" s="82" t="str">
        <f>IF(AND(Tabla14[[#This Row],[Atraso a facturar]]&gt;0,Tabla14[[#This Row],[En puerto a facturar]]&gt;0,Tabla14[[#This Row],[Precio Atraso]]=0),"Revisar","OK")</f>
        <v>OK</v>
      </c>
      <c r="BF67" s="82" t="str">
        <f>IF(AND(Tabla14[[#This Row],[Venta del mes]]&gt;0,Tabla14[[#This Row],[Precio venta nueva]]=0),"Revisar","OK")</f>
        <v>OK</v>
      </c>
      <c r="BG67" s="20">
        <f>IFERROR(VLOOKUP(Tabla14[[#This Row],[Llave]],'[5]Consolidación planes'!$A:$M,9,FALSE),0)</f>
        <v>0</v>
      </c>
      <c r="BH67" s="20">
        <f>IFERROR(VLOOKUP(Tabla14[[#This Row],[Llave]],'[5]Consolidación planes'!$A:$M,10,FALSE),0)</f>
        <v>0</v>
      </c>
      <c r="BI67" s="20">
        <f>IFERROR(VLOOKUP(Tabla14[[#This Row],[Llave]],'[5]Consolidación planes'!$A:$M,11,FALSE),0)</f>
        <v>0</v>
      </c>
      <c r="BJ67" s="20">
        <f>IFERROR(VLOOKUP(Tabla14[[#This Row],[Llave]],'[5]Consolidación planes'!$A:$M,12,FALSE),0)</f>
        <v>17000</v>
      </c>
      <c r="BK67" s="20">
        <f>IFERROR(VLOOKUP(Tabla14[[#This Row],[Llave]],'[5]Consolidación planes'!$A:$M,13,FALSE),0)</f>
        <v>6000</v>
      </c>
      <c r="BL67" s="20">
        <f>IFERROR(VLOOKUP(Tabla14[[#This Row],[Llave]],'[13]Base ultimos planes'!$A:$M,13,FALSE),0)</f>
        <v>0</v>
      </c>
      <c r="BM67" s="20">
        <f>IFERROR(VLOOKUP(Tabla14[[#This Row],[Llave]],'[13]Cruce plan irrestricto'!$C:$M,10,FALSE),0)</f>
        <v>0</v>
      </c>
      <c r="BN67" s="20">
        <f>IFERROR(VLOOKUP(Tabla14[[#This Row],[Llave]],'[13]Cruce plan irrestricto'!$C:$M,11,FALSE),0)</f>
        <v>0</v>
      </c>
      <c r="BO67" s="80">
        <f>IFERROR(VLOOKUP(Tabla14[[#This Row],[Llave]],'[13]Base ultimos planes'!$O:$AA,8,FALSE),0)</f>
        <v>0</v>
      </c>
      <c r="BP67" s="20">
        <f>IFERROR(VLOOKUP(Tabla14[[#This Row],[Llave]],'[13]Base ultimos planes'!$O:$AA,9,FALSE),0)</f>
        <v>0</v>
      </c>
      <c r="BQ67" s="20">
        <f>IFERROR(VLOOKUP(Tabla14[[#This Row],[Llave]],'[13]Base ultimos planes'!$O:$AA,10,FALSE),0)</f>
        <v>0</v>
      </c>
      <c r="BR67" s="20">
        <f>IFERROR(VLOOKUP(Tabla14[[#This Row],[Llave]],'[13]Base ultimos planes'!$O:$AA,11,FALSE),0)</f>
        <v>20740</v>
      </c>
      <c r="BS67" s="20">
        <f>IFERROR(VLOOKUP(Tabla14[[#This Row],[Llave]],'[13]Base ultimos planes'!$O:$AA,12,FALSE),0)</f>
        <v>7320</v>
      </c>
      <c r="BT67" s="20">
        <f>IFERROR(VLOOKUP(Tabla14[[#This Row],[Llave]],'[13]Base ultimos planes'!$O:$AA,13,FALSE),0)</f>
        <v>0</v>
      </c>
      <c r="BU67" s="20"/>
      <c r="BV67" s="20">
        <f>Tabla14[[#This Row],[ RV Producción mes n+1]]-Tabla14[[#This Row],[Producción disponible]]+Tabla14[[#This Row],[Saldo Volumen disponible]]</f>
        <v>46.56</v>
      </c>
      <c r="BW67" s="20">
        <f>IFERROR(VLOOKUP(Tabla14[[#This Row],[Llave]],[14]Hoja2!$J:$N,4,FALSE),0)</f>
        <v>0</v>
      </c>
      <c r="BX67" s="20">
        <f>+Tabla14[[#This Row],[Asignación mes n+1]]*Tabla14[[#This Row],[% Uti. producción]]</f>
        <v>0</v>
      </c>
      <c r="BY67" s="20">
        <f>+Tabla14[[#This Row],[Ponderación mes n+1]]+Tabla14[[#This Row],[Saldo mes n-1]]</f>
        <v>46.56</v>
      </c>
      <c r="BZ67" s="20">
        <f>+Tabla14[[#This Row],[Asignación mes n+1]]-Tabla14[[#This Row],[Ponderación mes n+1]]</f>
        <v>0</v>
      </c>
      <c r="CA67" s="20">
        <f>IFERROR(VLOOKUP(Tabla14[[#This Row],[Llave]],[14]Hoja2!$J:$N,5,FALSE),0)</f>
        <v>0</v>
      </c>
      <c r="CB67" s="20">
        <f>+Tabla14[[#This Row],[Asignación mes n+2]]*Tabla14[[#This Row],[% Uti. producción]]</f>
        <v>0</v>
      </c>
      <c r="CC67" s="20">
        <f>+Tabla14[[#This Row],[Saldo mes n+2]]+Tabla14[[#This Row],[Ponderación mes n+2]]</f>
        <v>0</v>
      </c>
      <c r="CD67" s="20">
        <f>+Tabla14[[#This Row],[Asignación mes n+2]]-Tabla14[[#This Row],[Ponderación mes n+2]]</f>
        <v>0</v>
      </c>
    </row>
    <row r="68" spans="1:82" ht="16" x14ac:dyDescent="0.2">
      <c r="A68">
        <v>1</v>
      </c>
      <c r="B68" t="str">
        <f>Tabla14[[#This Row],[Oficina]]&amp;Tabla14[[#This Row],[Material]]</f>
        <v>Agro Sudamerica1022928</v>
      </c>
      <c r="C68" t="s">
        <v>6</v>
      </c>
      <c r="D68" t="s">
        <v>17</v>
      </c>
      <c r="E68">
        <v>1022928</v>
      </c>
      <c r="F68" t="s">
        <v>310</v>
      </c>
      <c r="G68" t="s">
        <v>8</v>
      </c>
      <c r="H68" t="s">
        <v>32</v>
      </c>
      <c r="I68" s="7">
        <f>IFERROR(IF(Tabla14[[#This Row],[Oficina]]=$I$7,VLOOKUP(Tabla14[[#This Row],[Material]],'[6]RV Producción'!$Y:$AA,3,FALSE),VLOOKUP(Tabla14[[#This Row],[Llave]],'[6]RV Producción'!$C:$G,5,FALSE)),0)</f>
        <v>22</v>
      </c>
      <c r="J68" s="7">
        <f>IFERROR(IF(Tabla14[[#This Row],[Oficina]]=$I$7,VLOOKUP(Tabla14[[#This Row],[Llave]],'[7]Shangai (Tomas)'!$A:$F,6,FALSE),VLOOKUP(Tabla14[[#This Row],[Llave]],'[6]RV plan de ventas'!$A:$E,5,FALSE)),0)</f>
        <v>0</v>
      </c>
      <c r="K68" s="8">
        <f>IFERROR(VLOOKUP(Tabla14[[#This Row],[Sector]]&amp;Tabla14[[#This Row],[Oficina]],[8]Ponderación!$A$3:$G$22,7,FALSE),0)</f>
        <v>0.3545854356400317</v>
      </c>
      <c r="L68" s="7">
        <f>+Tabla14[[#This Row],[ RV Producción mes n+1]]*Tabla14[[#This Row],[% Uti. producción]]</f>
        <v>7.8008795840806977</v>
      </c>
      <c r="M68" s="7">
        <f>IFERROR(VLOOKUP(Tabla14[[#This Row],[Material]],'[9]TD Stock'!$B:$C,2,FALSE),0)</f>
        <v>5781.8189999999995</v>
      </c>
      <c r="N68" s="7">
        <f>IFERROR(VLOOKUP(Tabla14[[#This Row],[Material]],'[10]Consolidado planificación'!$B:$C,2,FALSE),0)</f>
        <v>0</v>
      </c>
      <c r="O68" s="7">
        <f>IFERROR(VLOOKUP(Tabla14[[#This Row],[Llave]],[11]Hoja2!$D:$G,4,FALSE),0)</f>
        <v>0</v>
      </c>
      <c r="P68" s="14">
        <f>SUM(Tabla14[[#This Row],[Producción disponible]],Tabla14[[#This Row],[Stock al día]],(Tabla14[[#This Row],[Por producir mes N]]*0.9))-Tabla14[[#This Row],[Producción por despachar mes N]]</f>
        <v>5789.6198795840801</v>
      </c>
      <c r="Q68" s="7">
        <f>IFERROR(VLOOKUP(Tabla14[[#This Row],[Llave]],[9]DELAY!$A:$D,4,FALSE),0)</f>
        <v>0</v>
      </c>
      <c r="R68" s="9">
        <v>23000</v>
      </c>
      <c r="S68" s="5">
        <f t="shared" si="5"/>
        <v>0</v>
      </c>
      <c r="T68" s="76">
        <v>0</v>
      </c>
      <c r="U68" s="5">
        <f>+Tabla14[[#This Row],[Atraso a facturar]]+Tabla14[[#This Row],[Ajuste atraso]]</f>
        <v>0</v>
      </c>
      <c r="V68" s="3">
        <f>+Tabla14[[#This Row],[Total disponible]]-Tabla14[[#This Row],[Facturación atraso]]</f>
        <v>5789.6198795840801</v>
      </c>
      <c r="W68" s="6">
        <f>IFERROR(IF(AND(V68&gt;R68,J68&gt;=R68),ROUNDDOWN((Tabla14[[#This Row],[Producción para venta nueva]])/R68,0)*R68,0),0)</f>
        <v>0</v>
      </c>
      <c r="X68" s="76">
        <v>0</v>
      </c>
      <c r="Y68" s="6">
        <f>IF(Tabla14[[#This Row],[Venta del mes]]&gt;0,Tabla14[[#This Row],[Venta del mes]]+Tabla14[[#This Row],[Ajuste venta nueva]],0)</f>
        <v>0</v>
      </c>
      <c r="Z68" s="6">
        <f>+Tabla14[[#This Row],[Producción para venta nueva]]-Tabla14[[#This Row],[Facturación Venta nueva]]</f>
        <v>5789.6198795840801</v>
      </c>
      <c r="AA68" s="6">
        <f>IF(AND(A68=1,Tabla14[[#This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8" s="6">
        <v>0</v>
      </c>
      <c r="AC68" s="6">
        <f>IF(Tabla14[[#This Row],[Disponible stock sin venta]]&gt;0,Tabla14[[#This Row],[Disponible stock sin venta]]+Tabla14[[#This Row],[Ajuste stock sin venta]],0)</f>
        <v>0</v>
      </c>
      <c r="AD68" s="3">
        <f>IFERROR(VLOOKUP(Tabla14[[#This Row],[Llave]],[12]Hoja1!$A:$D,4,FALSE),0)</f>
        <v>0</v>
      </c>
      <c r="AE6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68" s="3">
        <v>0</v>
      </c>
      <c r="AG68" s="3">
        <f>+Tabla14[[#This Row],[En puerto a facturar]]</f>
        <v>0</v>
      </c>
      <c r="AH68" s="3">
        <f>+Tabla14[[#This Row],[Facturación atraso]]</f>
        <v>0</v>
      </c>
      <c r="AI68" s="3">
        <f>+Tabla14[[#This Row],[Plan Irrestricto (DATO)]]-Tabla14[[#This Row],[Puerto ]]-Tabla14[[#This Row],[Atraso]]</f>
        <v>0</v>
      </c>
      <c r="AJ6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68" s="3">
        <f>+Tabla14[[#This Row],[Facturación atraso]]</f>
        <v>0</v>
      </c>
      <c r="AL68" s="3">
        <f>Tabla14[[#This Row],[Plan Ajustado]]-Tabla14[[#This Row],[ Atraso ajustado]]-Tabla14[[#This Row],[En puerto a facturar]]</f>
        <v>0</v>
      </c>
      <c r="AM68" s="3">
        <v>0</v>
      </c>
      <c r="AN68" s="3" t="e">
        <v>#REF!</v>
      </c>
      <c r="AO68" s="3" t="str">
        <f>IF(Tabla14[[#This Row],[Plan Ajustado]]&gt;Tabla14[[#This Row],[En puerto a facturar]],"Si","No")</f>
        <v>No</v>
      </c>
      <c r="AP6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68" s="3">
        <f>IF(Tabla14[[#This Row],[Necesidad]]&gt;=Tabla14[[#This Row],[Stock al día]],Tabla14[[#This Row],[Stock al día]],Tabla14[[#This Row],[Necesidad]])</f>
        <v>0</v>
      </c>
      <c r="AR68" s="3">
        <f>+Tabla14[[#This Row],[Necesidad]]-Tabla14[[#This Row],[Stock Plan]]</f>
        <v>0</v>
      </c>
      <c r="AS68" s="155">
        <f>VLOOKUP(Tabla14[[#This Row],[Sector]]&amp;Tabla14[[#This Row],[Oficina]],[8]Ponderación!$A:$H,8,FALSE)</f>
        <v>44813</v>
      </c>
      <c r="AT68" s="30">
        <f>IFERROR(VLOOKUP(Tabla14[[#This Row],[Llave]],'[6]RV plan de ventas'!$A:$F,6,FALSE),0)</f>
        <v>0</v>
      </c>
      <c r="AU68" s="83">
        <f>IFERROR(VLOOKUP(Tabla14[[#This Row],[Llave]],[9]DELAY!$H:$X,17,FALSE),0)</f>
        <v>0</v>
      </c>
      <c r="AV6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68" s="5">
        <f>Tabla14[[#This Row],[Pecio plan]]*Tabla14[[#This Row],[Plan Ajustado]]</f>
        <v>0</v>
      </c>
      <c r="AX68" s="30">
        <f>IFERROR(VLOOKUP(Tabla14[[#This Row],[Llave]],'[13]Ultimos precios facturados'!$A:$G,7,FALSE),0)</f>
        <v>0.9</v>
      </c>
      <c r="AY6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68" s="30">
        <f>IFERROR(VLOOKUP(Tabla14[[#This Row],[Llave]],Hoja2!B:K,10,FALSE),0)</f>
        <v>0</v>
      </c>
      <c r="BA6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68" s="30">
        <v>0</v>
      </c>
      <c r="BC68" s="30">
        <f>IF(Tabla14[[#This Row],[Market]]=0,Tabla14[[#This Row],[Precio Final]],Tabla14[[#This Row],[Market]])</f>
        <v>0</v>
      </c>
      <c r="BD68" s="82"/>
      <c r="BE68" s="82" t="str">
        <f>IF(AND(Tabla14[[#This Row],[Atraso a facturar]]&gt;0,Tabla14[[#This Row],[En puerto a facturar]]&gt;0,Tabla14[[#This Row],[Precio Atraso]]=0),"Revisar","OK")</f>
        <v>OK</v>
      </c>
      <c r="BF68" s="82" t="str">
        <f>IF(AND(Tabla14[[#This Row],[Venta del mes]]&gt;0,Tabla14[[#This Row],[Precio venta nueva]]=0),"Revisar","OK")</f>
        <v>OK</v>
      </c>
      <c r="BG68" s="20">
        <f>IFERROR(VLOOKUP(Tabla14[[#This Row],[Llave]],'[5]Consolidación planes'!$A:$M,9,FALSE),0)</f>
        <v>0</v>
      </c>
      <c r="BH68" s="20">
        <f>IFERROR(VLOOKUP(Tabla14[[#This Row],[Llave]],'[5]Consolidación planes'!$A:$M,10,FALSE),0)</f>
        <v>0</v>
      </c>
      <c r="BI68" s="20">
        <f>IFERROR(VLOOKUP(Tabla14[[#This Row],[Llave]],'[5]Consolidación planes'!$A:$M,11,FALSE),0)</f>
        <v>0</v>
      </c>
      <c r="BJ68" s="20">
        <f>IFERROR(VLOOKUP(Tabla14[[#This Row],[Llave]],'[5]Consolidación planes'!$A:$M,12,FALSE),0)</f>
        <v>16000</v>
      </c>
      <c r="BK68" s="20">
        <f>IFERROR(VLOOKUP(Tabla14[[#This Row],[Llave]],'[5]Consolidación planes'!$A:$M,13,FALSE),0)</f>
        <v>5000</v>
      </c>
      <c r="BL68" s="20">
        <f>IFERROR(VLOOKUP(Tabla14[[#This Row],[Llave]],'[13]Base ultimos planes'!$A:$M,13,FALSE),0)</f>
        <v>0</v>
      </c>
      <c r="BM68" s="20">
        <f>IFERROR(VLOOKUP(Tabla14[[#This Row],[Llave]],'[13]Cruce plan irrestricto'!$C:$M,10,FALSE),0)</f>
        <v>0</v>
      </c>
      <c r="BN68" s="20">
        <f>IFERROR(VLOOKUP(Tabla14[[#This Row],[Llave]],'[13]Cruce plan irrestricto'!$C:$M,11,FALSE),0)</f>
        <v>0</v>
      </c>
      <c r="BO68" s="80">
        <f>IFERROR(VLOOKUP(Tabla14[[#This Row],[Llave]],'[13]Base ultimos planes'!$O:$AA,8,FALSE),0)</f>
        <v>0</v>
      </c>
      <c r="BP68" s="20">
        <f>IFERROR(VLOOKUP(Tabla14[[#This Row],[Llave]],'[13]Base ultimos planes'!$O:$AA,9,FALSE),0)</f>
        <v>0</v>
      </c>
      <c r="BQ68" s="20">
        <f>IFERROR(VLOOKUP(Tabla14[[#This Row],[Llave]],'[13]Base ultimos planes'!$O:$AA,10,FALSE),0)</f>
        <v>0</v>
      </c>
      <c r="BR68" s="20">
        <f>IFERROR(VLOOKUP(Tabla14[[#This Row],[Llave]],'[13]Base ultimos planes'!$O:$AA,11,FALSE),0)</f>
        <v>9870</v>
      </c>
      <c r="BS68" s="20">
        <f>IFERROR(VLOOKUP(Tabla14[[#This Row],[Llave]],'[13]Base ultimos planes'!$O:$AA,12,FALSE),0)</f>
        <v>3600</v>
      </c>
      <c r="BT68" s="20">
        <f>IFERROR(VLOOKUP(Tabla14[[#This Row],[Llave]],'[13]Base ultimos planes'!$O:$AA,13,FALSE),0)</f>
        <v>0</v>
      </c>
      <c r="BU68" s="20"/>
      <c r="BV68" s="20">
        <f>Tabla14[[#This Row],[ RV Producción mes n+1]]-Tabla14[[#This Row],[Producción disponible]]+Tabla14[[#This Row],[Saldo Volumen disponible]]</f>
        <v>5803.8189999999995</v>
      </c>
      <c r="BW68" s="20">
        <f>IFERROR(VLOOKUP(Tabla14[[#This Row],[Llave]],[14]Hoja2!$J:$N,4,FALSE),0)</f>
        <v>0</v>
      </c>
      <c r="BX68" s="20">
        <f>+Tabla14[[#This Row],[Asignación mes n+1]]*Tabla14[[#This Row],[% Uti. producción]]</f>
        <v>0</v>
      </c>
      <c r="BY68" s="20">
        <f>+Tabla14[[#This Row],[Ponderación mes n+1]]+Tabla14[[#This Row],[Saldo mes n-1]]</f>
        <v>5803.8189999999995</v>
      </c>
      <c r="BZ68" s="20">
        <f>+Tabla14[[#This Row],[Asignación mes n+1]]-Tabla14[[#This Row],[Ponderación mes n+1]]</f>
        <v>0</v>
      </c>
      <c r="CA68" s="20">
        <f>IFERROR(VLOOKUP(Tabla14[[#This Row],[Llave]],[14]Hoja2!$J:$N,5,FALSE),0)</f>
        <v>0</v>
      </c>
      <c r="CB68" s="20">
        <f>+Tabla14[[#This Row],[Asignación mes n+2]]*Tabla14[[#This Row],[% Uti. producción]]</f>
        <v>0</v>
      </c>
      <c r="CC68" s="20">
        <f>+Tabla14[[#This Row],[Saldo mes n+2]]+Tabla14[[#This Row],[Ponderación mes n+2]]</f>
        <v>0</v>
      </c>
      <c r="CD68" s="20">
        <f>+Tabla14[[#This Row],[Asignación mes n+2]]-Tabla14[[#This Row],[Ponderación mes n+2]]</f>
        <v>0</v>
      </c>
    </row>
    <row r="69" spans="1:82" ht="16" x14ac:dyDescent="0.2">
      <c r="A69">
        <v>1</v>
      </c>
      <c r="B69" t="str">
        <f>Tabla14[[#This Row],[Oficina]]&amp;Tabla14[[#This Row],[Material]]</f>
        <v>Agro Sudamerica1022996</v>
      </c>
      <c r="C69" t="s">
        <v>6</v>
      </c>
      <c r="D69" t="s">
        <v>17</v>
      </c>
      <c r="E69">
        <v>1022996</v>
      </c>
      <c r="F69" t="s">
        <v>46</v>
      </c>
      <c r="G69" t="s">
        <v>11</v>
      </c>
      <c r="H69" t="s">
        <v>41</v>
      </c>
      <c r="I69" s="7">
        <f>IFERROR(IF(Tabla14[[#This Row],[Oficina]]=$I$7,VLOOKUP(Tabla14[[#This Row],[Material]],'[6]RV Producción'!$Y:$AA,3,FALSE),VLOOKUP(Tabla14[[#This Row],[Llave]],'[6]RV Producción'!$C:$G,5,FALSE)),0)</f>
        <v>0</v>
      </c>
      <c r="J69" s="7">
        <f>IFERROR(IF(Tabla14[[#This Row],[Oficina]]=$I$7,VLOOKUP(Tabla14[[#This Row],[Llave]],'[7]Shangai (Tomas)'!$A:$F,6,FALSE),VLOOKUP(Tabla14[[#This Row],[Llave]],'[6]RV plan de ventas'!$A:$E,5,FALSE)),0)</f>
        <v>0</v>
      </c>
      <c r="K69" s="8">
        <f>IFERROR(VLOOKUP(Tabla14[[#This Row],[Sector]]&amp;Tabla14[[#This Row],[Oficina]],[8]Ponderación!$A$3:$G$22,7,FALSE),0)</f>
        <v>0.3545854356400317</v>
      </c>
      <c r="L69" s="7">
        <f>+Tabla14[[#This Row],[ RV Producción mes n+1]]*Tabla14[[#This Row],[% Uti. producción]]</f>
        <v>0</v>
      </c>
      <c r="M69" s="7">
        <f>IFERROR(VLOOKUP(Tabla14[[#This Row],[Material]],'[9]TD Stock'!$B:$C,2,FALSE),0)</f>
        <v>0</v>
      </c>
      <c r="N69" s="7">
        <f>IFERROR(VLOOKUP(Tabla14[[#This Row],[Material]],'[10]Consolidado planificación'!$B:$C,2,FALSE),0)</f>
        <v>0</v>
      </c>
      <c r="O69" s="7">
        <f>IFERROR(VLOOKUP(Tabla14[[#This Row],[Llave]],[11]Hoja2!$D:$G,4,FALSE),0)</f>
        <v>0</v>
      </c>
      <c r="P69" s="14">
        <f>SUM(Tabla14[[#This Row],[Producción disponible]],Tabla14[[#This Row],[Stock al día]],(Tabla14[[#This Row],[Por producir mes N]]*0.9))-Tabla14[[#This Row],[Producción por despachar mes N]]</f>
        <v>0</v>
      </c>
      <c r="Q69" s="7">
        <f>IFERROR(VLOOKUP(Tabla14[[#This Row],[Llave]],[9]DELAY!$A:$D,4,FALSE),0)</f>
        <v>0</v>
      </c>
      <c r="R69" s="9">
        <v>23000</v>
      </c>
      <c r="S69" s="5">
        <f t="shared" si="5"/>
        <v>0</v>
      </c>
      <c r="T69" s="76">
        <v>0</v>
      </c>
      <c r="U69" s="5">
        <f>+Tabla14[[#This Row],[Atraso a facturar]]+Tabla14[[#This Row],[Ajuste atraso]]</f>
        <v>0</v>
      </c>
      <c r="V69" s="3">
        <f>+Tabla14[[#This Row],[Total disponible]]-Tabla14[[#This Row],[Facturación atraso]]</f>
        <v>0</v>
      </c>
      <c r="W69" s="6">
        <f>IFERROR(IF(AND(V69&gt;R69,J69&gt;=R69),ROUNDDOWN((Tabla14[[#This Row],[Producción para venta nueva]])/R69,0)*R69,0),0)</f>
        <v>0</v>
      </c>
      <c r="X69" s="76">
        <v>0</v>
      </c>
      <c r="Y69" s="6">
        <f>IF(Tabla14[[#This Row],[Venta del mes]]&gt;0,Tabla14[[#This Row],[Venta del mes]]+Tabla14[[#This Row],[Ajuste venta nueva]],0)</f>
        <v>0</v>
      </c>
      <c r="Z69" s="6">
        <f>+Tabla14[[#This Row],[Producción para venta nueva]]-Tabla14[[#This Row],[Facturación Venta nueva]]</f>
        <v>0</v>
      </c>
      <c r="AA69" s="6">
        <f>IF(AND(A69=1,Tabla14[[#This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69" s="6">
        <v>0</v>
      </c>
      <c r="AC69" s="6">
        <f>IF(Tabla14[[#This Row],[Disponible stock sin venta]]&gt;0,Tabla14[[#This Row],[Disponible stock sin venta]]+Tabla14[[#This Row],[Ajuste stock sin venta]],0)</f>
        <v>0</v>
      </c>
      <c r="AD69" s="3">
        <f>IFERROR(VLOOKUP(Tabla14[[#This Row],[Llave]],[12]Hoja1!$A:$D,4,FALSE),0)</f>
        <v>0</v>
      </c>
      <c r="AE69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69" s="3" t="b">
        <v>0</v>
      </c>
      <c r="AG69" s="3">
        <f>+Tabla14[[#This Row],[En puerto a facturar]]</f>
        <v>0</v>
      </c>
      <c r="AH69" s="3">
        <f>+Tabla14[[#This Row],[Facturación atraso]]</f>
        <v>0</v>
      </c>
      <c r="AI69" s="3">
        <f>+Tabla14[[#This Row],[Plan Irrestricto (DATO)]]-Tabla14[[#This Row],[Puerto ]]-Tabla14[[#This Row],[Atraso]]</f>
        <v>0</v>
      </c>
      <c r="AJ6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69" s="3">
        <f>+Tabla14[[#This Row],[Facturación atraso]]</f>
        <v>0</v>
      </c>
      <c r="AL69" s="3">
        <f>Tabla14[[#This Row],[Plan Ajustado]]-Tabla14[[#This Row],[ Atraso ajustado]]-Tabla14[[#This Row],[En puerto a facturar]]</f>
        <v>0</v>
      </c>
      <c r="AM69" s="3">
        <v>0</v>
      </c>
      <c r="AN69" s="3" t="e">
        <v>#REF!</v>
      </c>
      <c r="AO69" s="3" t="str">
        <f>IF(Tabla14[[#This Row],[Plan Ajustado]]&gt;Tabla14[[#This Row],[En puerto a facturar]],"Si","No")</f>
        <v>No</v>
      </c>
      <c r="AP6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69" s="3">
        <f>IF(Tabla14[[#This Row],[Necesidad]]&gt;=Tabla14[[#This Row],[Stock al día]],Tabla14[[#This Row],[Stock al día]],Tabla14[[#This Row],[Necesidad]])</f>
        <v>0</v>
      </c>
      <c r="AR69" s="3">
        <f>+Tabla14[[#This Row],[Necesidad]]-Tabla14[[#This Row],[Stock Plan]]</f>
        <v>0</v>
      </c>
      <c r="AS69" s="155">
        <f>VLOOKUP(Tabla14[[#This Row],[Sector]]&amp;Tabla14[[#This Row],[Oficina]],[8]Ponderación!$A:$H,8,FALSE)</f>
        <v>44813</v>
      </c>
      <c r="AT69" s="30">
        <f>IFERROR(VLOOKUP(Tabla14[[#This Row],[Llave]],'[6]RV plan de ventas'!$A:$F,6,FALSE),0)</f>
        <v>0</v>
      </c>
      <c r="AU69" s="83">
        <f>IFERROR(VLOOKUP(Tabla14[[#This Row],[Llave]],[9]DELAY!$H:$X,17,FALSE),0)</f>
        <v>0</v>
      </c>
      <c r="AV6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69" s="5">
        <f>Tabla14[[#This Row],[Pecio plan]]*Tabla14[[#This Row],[Plan Ajustado]]</f>
        <v>0</v>
      </c>
      <c r="AX69" s="30">
        <f>IFERROR(VLOOKUP(Tabla14[[#This Row],[Llave]],'[13]Ultimos precios facturados'!$A:$G,7,FALSE),0)</f>
        <v>1.0351744554482312</v>
      </c>
      <c r="AY6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69" s="30">
        <f>IFERROR(VLOOKUP(Tabla14[[#This Row],[Llave]],Hoja2!B:K,10,FALSE),0)</f>
        <v>0</v>
      </c>
      <c r="BA6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1.0351744554482312</v>
      </c>
      <c r="BB69" s="30">
        <v>0</v>
      </c>
      <c r="BC69" s="30">
        <f>IF(Tabla14[[#This Row],[Market]]=0,Tabla14[[#This Row],[Precio Final]],Tabla14[[#This Row],[Market]])</f>
        <v>1.0351744554482312</v>
      </c>
      <c r="BD69" s="82"/>
      <c r="BE69" s="82" t="str">
        <f>IF(AND(Tabla14[[#This Row],[Atraso a facturar]]&gt;0,Tabla14[[#This Row],[En puerto a facturar]]&gt;0,Tabla14[[#This Row],[Precio Atraso]]=0),"Revisar","OK")</f>
        <v>OK</v>
      </c>
      <c r="BF69" s="82" t="str">
        <f>IF(AND(Tabla14[[#This Row],[Venta del mes]]&gt;0,Tabla14[[#This Row],[Precio venta nueva]]=0),"Revisar","OK")</f>
        <v>OK</v>
      </c>
      <c r="BG69" s="20">
        <f>IFERROR(VLOOKUP(Tabla14[[#This Row],[Llave]],'[5]Consolidación planes'!$A:$M,9,FALSE),0)</f>
        <v>36000</v>
      </c>
      <c r="BH69" s="20">
        <f>IFERROR(VLOOKUP(Tabla14[[#This Row],[Llave]],'[5]Consolidación planes'!$A:$M,10,FALSE),0)</f>
        <v>24000</v>
      </c>
      <c r="BI69" s="20">
        <f>IFERROR(VLOOKUP(Tabla14[[#This Row],[Llave]],'[5]Consolidación planes'!$A:$M,11,FALSE),0)</f>
        <v>24000</v>
      </c>
      <c r="BJ69" s="20">
        <f>IFERROR(VLOOKUP(Tabla14[[#This Row],[Llave]],'[5]Consolidación planes'!$A:$M,12,FALSE),0)</f>
        <v>0</v>
      </c>
      <c r="BK69" s="20">
        <f>IFERROR(VLOOKUP(Tabla14[[#This Row],[Llave]],'[5]Consolidación planes'!$A:$M,13,FALSE),0)</f>
        <v>0</v>
      </c>
      <c r="BL69" s="20">
        <f>IFERROR(VLOOKUP(Tabla14[[#This Row],[Llave]],'[13]Base ultimos planes'!$A:$M,13,FALSE),0)</f>
        <v>0</v>
      </c>
      <c r="BM69" s="20">
        <f>IFERROR(VLOOKUP(Tabla14[[#This Row],[Llave]],'[13]Cruce plan irrestricto'!$C:$M,10,FALSE),0)</f>
        <v>0</v>
      </c>
      <c r="BN69" s="20">
        <f>IFERROR(VLOOKUP(Tabla14[[#This Row],[Llave]],'[13]Cruce plan irrestricto'!$C:$M,11,FALSE),0)</f>
        <v>0</v>
      </c>
      <c r="BO69" s="80">
        <f>IFERROR(VLOOKUP(Tabla14[[#This Row],[Llave]],'[13]Base ultimos planes'!$O:$AA,8,FALSE),0)</f>
        <v>44712</v>
      </c>
      <c r="BP69" s="20">
        <f>IFERROR(VLOOKUP(Tabla14[[#This Row],[Llave]],'[13]Base ultimos planes'!$O:$AA,9,FALSE),0)</f>
        <v>26640</v>
      </c>
      <c r="BQ69" s="20">
        <f>IFERROR(VLOOKUP(Tabla14[[#This Row],[Llave]],'[13]Base ultimos planes'!$O:$AA,10,FALSE),0)</f>
        <v>25200</v>
      </c>
      <c r="BR69" s="20">
        <f>IFERROR(VLOOKUP(Tabla14[[#This Row],[Llave]],'[13]Base ultimos planes'!$O:$AA,11,FALSE),0)</f>
        <v>0</v>
      </c>
      <c r="BS69" s="20">
        <f>IFERROR(VLOOKUP(Tabla14[[#This Row],[Llave]],'[13]Base ultimos planes'!$O:$AA,12,FALSE),0)</f>
        <v>0</v>
      </c>
      <c r="BT69" s="20">
        <f>IFERROR(VLOOKUP(Tabla14[[#This Row],[Llave]],'[13]Base ultimos planes'!$O:$AA,13,FALSE),0)</f>
        <v>0</v>
      </c>
      <c r="BU69" s="20"/>
      <c r="BV69" s="20">
        <f>Tabla14[[#This Row],[ RV Producción mes n+1]]-Tabla14[[#This Row],[Producción disponible]]+Tabla14[[#This Row],[Saldo Volumen disponible]]</f>
        <v>0</v>
      </c>
      <c r="BW69" s="20">
        <f>IFERROR(VLOOKUP(Tabla14[[#This Row],[Llave]],[14]Hoja2!$J:$N,4,FALSE),0)</f>
        <v>0</v>
      </c>
      <c r="BX69" s="20">
        <f>+Tabla14[[#This Row],[Asignación mes n+1]]*Tabla14[[#This Row],[% Uti. producción]]</f>
        <v>0</v>
      </c>
      <c r="BY69" s="20">
        <f>+Tabla14[[#This Row],[Ponderación mes n+1]]+Tabla14[[#This Row],[Saldo mes n-1]]</f>
        <v>0</v>
      </c>
      <c r="BZ69" s="20">
        <f>+Tabla14[[#This Row],[Asignación mes n+1]]-Tabla14[[#This Row],[Ponderación mes n+1]]</f>
        <v>0</v>
      </c>
      <c r="CA69" s="20">
        <f>IFERROR(VLOOKUP(Tabla14[[#This Row],[Llave]],[14]Hoja2!$J:$N,5,FALSE),0)</f>
        <v>0</v>
      </c>
      <c r="CB69" s="20">
        <f>+Tabla14[[#This Row],[Asignación mes n+2]]*Tabla14[[#This Row],[% Uti. producción]]</f>
        <v>0</v>
      </c>
      <c r="CC69" s="20">
        <f>+Tabla14[[#This Row],[Saldo mes n+2]]+Tabla14[[#This Row],[Ponderación mes n+2]]</f>
        <v>0</v>
      </c>
      <c r="CD69" s="20">
        <f>+Tabla14[[#This Row],[Asignación mes n+2]]-Tabla14[[#This Row],[Ponderación mes n+2]]</f>
        <v>0</v>
      </c>
    </row>
    <row r="70" spans="1:82" ht="16" x14ac:dyDescent="0.2">
      <c r="A70">
        <v>1</v>
      </c>
      <c r="B70" t="str">
        <f>Tabla14[[#This Row],[Oficina]]&amp;Tabla14[[#This Row],[Material]]</f>
        <v>Agro Sudamerica1023312</v>
      </c>
      <c r="C70" t="s">
        <v>6</v>
      </c>
      <c r="D70" t="s">
        <v>17</v>
      </c>
      <c r="E70">
        <v>1023312</v>
      </c>
      <c r="F70" t="s">
        <v>39</v>
      </c>
      <c r="G70" t="s">
        <v>37</v>
      </c>
      <c r="H70" t="s">
        <v>38</v>
      </c>
      <c r="I70" s="7">
        <f>IFERROR(IF(Tabla14[[#This Row],[Oficina]]=$I$7,VLOOKUP(Tabla14[[#This Row],[Material]],'[6]RV Producción'!$Y:$AA,3,FALSE),VLOOKUP(Tabla14[[#This Row],[Llave]],'[6]RV Producción'!$C:$G,5,FALSE)),0)</f>
        <v>0</v>
      </c>
      <c r="J70" s="7">
        <f>IFERROR(IF(Tabla14[[#This Row],[Oficina]]=$I$7,VLOOKUP(Tabla14[[#This Row],[Llave]],'[7]Shangai (Tomas)'!$A:$F,6,FALSE),VLOOKUP(Tabla14[[#This Row],[Llave]],'[6]RV plan de ventas'!$A:$E,5,FALSE)),0)</f>
        <v>0</v>
      </c>
      <c r="K70" s="8">
        <f>IFERROR(VLOOKUP(Tabla14[[#This Row],[Sector]]&amp;Tabla14[[#This Row],[Oficina]],[8]Ponderación!$A$3:$G$22,7,FALSE),0)</f>
        <v>0.3545854356400317</v>
      </c>
      <c r="L70" s="7">
        <f>+Tabla14[[#This Row],[ RV Producción mes n+1]]*Tabla14[[#This Row],[% Uti. producción]]</f>
        <v>0</v>
      </c>
      <c r="M70" s="7">
        <f>IFERROR(VLOOKUP(Tabla14[[#This Row],[Material]],'[9]TD Stock'!$B:$C,2,FALSE),0)</f>
        <v>0</v>
      </c>
      <c r="N70" s="7">
        <f>IFERROR(VLOOKUP(Tabla14[[#This Row],[Material]],'[10]Consolidado planificación'!$B:$C,2,FALSE),0)</f>
        <v>0</v>
      </c>
      <c r="O70" s="7">
        <f>IFERROR(VLOOKUP(Tabla14[[#This Row],[Llave]],[11]Hoja2!$D:$G,4,FALSE),0)</f>
        <v>0</v>
      </c>
      <c r="P70" s="14">
        <f>SUM(Tabla14[[#This Row],[Producción disponible]],Tabla14[[#This Row],[Stock al día]],(Tabla14[[#This Row],[Por producir mes N]]*0.9))-Tabla14[[#This Row],[Producción por despachar mes N]]</f>
        <v>0</v>
      </c>
      <c r="Q70" s="7">
        <f>IFERROR(VLOOKUP(Tabla14[[#This Row],[Llave]],[9]DELAY!$A:$D,4,FALSE),0)</f>
        <v>0</v>
      </c>
      <c r="R70" s="9">
        <v>23000</v>
      </c>
      <c r="S70" s="5">
        <f t="shared" si="5"/>
        <v>0</v>
      </c>
      <c r="T70" s="76">
        <v>0</v>
      </c>
      <c r="U70" s="5">
        <f>+Tabla14[[#This Row],[Atraso a facturar]]+Tabla14[[#This Row],[Ajuste atraso]]</f>
        <v>0</v>
      </c>
      <c r="V70" s="3">
        <f>+Tabla14[[#This Row],[Total disponible]]-Tabla14[[#This Row],[Facturación atraso]]</f>
        <v>0</v>
      </c>
      <c r="W70" s="6">
        <f>IFERROR(IF(AND(V70&gt;R70,J70&gt;=R70),ROUNDDOWN((Tabla14[[#This Row],[Producción para venta nueva]])/R70,0)*R70,0),0)</f>
        <v>0</v>
      </c>
      <c r="X70" s="76">
        <v>0</v>
      </c>
      <c r="Y70" s="6">
        <f>IF(Tabla14[[#This Row],[Venta del mes]]&gt;0,Tabla14[[#This Row],[Venta del mes]]+Tabla14[[#This Row],[Ajuste venta nueva]],0)</f>
        <v>0</v>
      </c>
      <c r="Z70" s="6">
        <f>+Tabla14[[#This Row],[Producción para venta nueva]]-Tabla14[[#This Row],[Facturación Venta nueva]]</f>
        <v>0</v>
      </c>
      <c r="AA70" s="6">
        <f>IF(AND(A70=1,Tabla14[[#This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0" s="6">
        <v>0</v>
      </c>
      <c r="AC70" s="6">
        <f>IF(Tabla14[[#This Row],[Disponible stock sin venta]]&gt;0,Tabla14[[#This Row],[Disponible stock sin venta]]+Tabla14[[#This Row],[Ajuste stock sin venta]],0)</f>
        <v>0</v>
      </c>
      <c r="AD70" s="3">
        <f>IFERROR(VLOOKUP(Tabla14[[#This Row],[Llave]],[12]Hoja1!$A:$D,4,FALSE),0)</f>
        <v>0</v>
      </c>
      <c r="AE70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70" s="3" t="b">
        <v>0</v>
      </c>
      <c r="AG70" s="3">
        <f>+Tabla14[[#This Row],[En puerto a facturar]]</f>
        <v>0</v>
      </c>
      <c r="AH70" s="3">
        <f>+Tabla14[[#This Row],[Facturación atraso]]</f>
        <v>0</v>
      </c>
      <c r="AI70" s="3">
        <f>+Tabla14[[#This Row],[Plan Irrestricto (DATO)]]-Tabla14[[#This Row],[Puerto ]]-Tabla14[[#This Row],[Atraso]]</f>
        <v>0</v>
      </c>
      <c r="AJ7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70" s="3">
        <f>+Tabla14[[#This Row],[Facturación atraso]]</f>
        <v>0</v>
      </c>
      <c r="AL70" s="3">
        <f>Tabla14[[#This Row],[Plan Ajustado]]-Tabla14[[#This Row],[ Atraso ajustado]]-Tabla14[[#This Row],[En puerto a facturar]]</f>
        <v>0</v>
      </c>
      <c r="AM70" s="3">
        <v>0</v>
      </c>
      <c r="AN70" s="3" t="e">
        <v>#REF!</v>
      </c>
      <c r="AO70" s="3" t="str">
        <f>IF(Tabla14[[#This Row],[Plan Ajustado]]&gt;Tabla14[[#This Row],[En puerto a facturar]],"Si","No")</f>
        <v>No</v>
      </c>
      <c r="AP7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70" s="3">
        <f>IF(Tabla14[[#This Row],[Necesidad]]&gt;=Tabla14[[#This Row],[Stock al día]],Tabla14[[#This Row],[Stock al día]],Tabla14[[#This Row],[Necesidad]])</f>
        <v>0</v>
      </c>
      <c r="AR70" s="3">
        <f>+Tabla14[[#This Row],[Necesidad]]-Tabla14[[#This Row],[Stock Plan]]</f>
        <v>0</v>
      </c>
      <c r="AS70" s="155">
        <f>VLOOKUP(Tabla14[[#This Row],[Sector]]&amp;Tabla14[[#This Row],[Oficina]],[8]Ponderación!$A:$H,8,FALSE)</f>
        <v>44813</v>
      </c>
      <c r="AT70" s="30">
        <f>IFERROR(VLOOKUP(Tabla14[[#This Row],[Llave]],'[6]RV plan de ventas'!$A:$F,6,FALSE),0)</f>
        <v>0</v>
      </c>
      <c r="AU70" s="83">
        <f>IFERROR(VLOOKUP(Tabla14[[#This Row],[Llave]],[9]DELAY!$H:$X,17,FALSE),0)</f>
        <v>0</v>
      </c>
      <c r="AV7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70" s="5">
        <f>Tabla14[[#This Row],[Pecio plan]]*Tabla14[[#This Row],[Plan Ajustado]]</f>
        <v>0</v>
      </c>
      <c r="AX70" s="30">
        <f>IFERROR(VLOOKUP(Tabla14[[#This Row],[Llave]],'[13]Ultimos precios facturados'!$A:$G,7,FALSE),0)</f>
        <v>0</v>
      </c>
      <c r="AY7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70" s="30">
        <f>IFERROR(VLOOKUP(Tabla14[[#This Row],[Llave]],Hoja2!B:K,10,FALSE),0)</f>
        <v>0</v>
      </c>
      <c r="BA7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70" s="30">
        <v>0</v>
      </c>
      <c r="BC70" s="30">
        <f>IF(Tabla14[[#This Row],[Market]]=0,Tabla14[[#This Row],[Precio Final]],Tabla14[[#This Row],[Market]])</f>
        <v>0</v>
      </c>
      <c r="BD70" s="82"/>
      <c r="BE70" s="82" t="str">
        <f>IF(AND(Tabla14[[#This Row],[Atraso a facturar]]&gt;0,Tabla14[[#This Row],[En puerto a facturar]]&gt;0,Tabla14[[#This Row],[Precio Atraso]]=0),"Revisar","OK")</f>
        <v>OK</v>
      </c>
      <c r="BF70" s="82" t="str">
        <f>IF(AND(Tabla14[[#This Row],[Venta del mes]]&gt;0,Tabla14[[#This Row],[Precio venta nueva]]=0),"Revisar","OK")</f>
        <v>OK</v>
      </c>
      <c r="BG70" s="20">
        <f>IFERROR(VLOOKUP(Tabla14[[#This Row],[Llave]],'[5]Consolidación planes'!$A:$M,9,FALSE),0)</f>
        <v>0</v>
      </c>
      <c r="BH70" s="20">
        <f>IFERROR(VLOOKUP(Tabla14[[#This Row],[Llave]],'[5]Consolidación planes'!$A:$M,10,FALSE),0)</f>
        <v>0</v>
      </c>
      <c r="BI70" s="20">
        <f>IFERROR(VLOOKUP(Tabla14[[#This Row],[Llave]],'[5]Consolidación planes'!$A:$M,11,FALSE),0)</f>
        <v>10221</v>
      </c>
      <c r="BJ70" s="20">
        <f>IFERROR(VLOOKUP(Tabla14[[#This Row],[Llave]],'[5]Consolidación planes'!$A:$M,12,FALSE),0)</f>
        <v>0</v>
      </c>
      <c r="BK70" s="20">
        <f>IFERROR(VLOOKUP(Tabla14[[#This Row],[Llave]],'[5]Consolidación planes'!$A:$M,13,FALSE),0)</f>
        <v>0</v>
      </c>
      <c r="BL70" s="20">
        <f>IFERROR(VLOOKUP(Tabla14[[#This Row],[Llave]],'[13]Base ultimos planes'!$A:$M,13,FALSE),0)</f>
        <v>0</v>
      </c>
      <c r="BM70" s="20">
        <f>IFERROR(VLOOKUP(Tabla14[[#This Row],[Llave]],'[13]Cruce plan irrestricto'!$C:$M,10,FALSE),0)</f>
        <v>0</v>
      </c>
      <c r="BN70" s="20">
        <f>IFERROR(VLOOKUP(Tabla14[[#This Row],[Llave]],'[13]Cruce plan irrestricto'!$C:$M,11,FALSE),0)</f>
        <v>0</v>
      </c>
      <c r="BO70" s="80">
        <f>IFERROR(VLOOKUP(Tabla14[[#This Row],[Llave]],'[13]Base ultimos planes'!$O:$AA,8,FALSE),0)</f>
        <v>0</v>
      </c>
      <c r="BP70" s="20">
        <f>IFERROR(VLOOKUP(Tabla14[[#This Row],[Llave]],'[13]Base ultimos planes'!$O:$AA,9,FALSE),0)</f>
        <v>0</v>
      </c>
      <c r="BQ70" s="20">
        <f>IFERROR(VLOOKUP(Tabla14[[#This Row],[Llave]],'[13]Base ultimos planes'!$O:$AA,10,FALSE),0)</f>
        <v>28823</v>
      </c>
      <c r="BR70" s="20">
        <f>IFERROR(VLOOKUP(Tabla14[[#This Row],[Llave]],'[13]Base ultimos planes'!$O:$AA,11,FALSE),0)</f>
        <v>0</v>
      </c>
      <c r="BS70" s="20">
        <f>IFERROR(VLOOKUP(Tabla14[[#This Row],[Llave]],'[13]Base ultimos planes'!$O:$AA,12,FALSE),0)</f>
        <v>0</v>
      </c>
      <c r="BT70" s="20">
        <f>IFERROR(VLOOKUP(Tabla14[[#This Row],[Llave]],'[13]Base ultimos planes'!$O:$AA,13,FALSE),0)</f>
        <v>0</v>
      </c>
      <c r="BU70" s="20"/>
      <c r="BV70" s="20">
        <f>Tabla14[[#This Row],[ RV Producción mes n+1]]-Tabla14[[#This Row],[Producción disponible]]+Tabla14[[#This Row],[Saldo Volumen disponible]]</f>
        <v>0</v>
      </c>
      <c r="BW70" s="20">
        <f>IFERROR(VLOOKUP(Tabla14[[#This Row],[Llave]],[14]Hoja2!$J:$N,4,FALSE),0)</f>
        <v>0</v>
      </c>
      <c r="BX70" s="20">
        <f>+Tabla14[[#This Row],[Asignación mes n+1]]*Tabla14[[#This Row],[% Uti. producción]]</f>
        <v>0</v>
      </c>
      <c r="BY70" s="20">
        <f>+Tabla14[[#This Row],[Ponderación mes n+1]]+Tabla14[[#This Row],[Saldo mes n-1]]</f>
        <v>0</v>
      </c>
      <c r="BZ70" s="20">
        <f>+Tabla14[[#This Row],[Asignación mes n+1]]-Tabla14[[#This Row],[Ponderación mes n+1]]</f>
        <v>0</v>
      </c>
      <c r="CA70" s="20">
        <f>IFERROR(VLOOKUP(Tabla14[[#This Row],[Llave]],[14]Hoja2!$J:$N,5,FALSE),0)</f>
        <v>0</v>
      </c>
      <c r="CB70" s="20">
        <f>+Tabla14[[#This Row],[Asignación mes n+2]]*Tabla14[[#This Row],[% Uti. producción]]</f>
        <v>0</v>
      </c>
      <c r="CC70" s="20">
        <f>+Tabla14[[#This Row],[Saldo mes n+2]]+Tabla14[[#This Row],[Ponderación mes n+2]]</f>
        <v>0</v>
      </c>
      <c r="CD70" s="20">
        <f>+Tabla14[[#This Row],[Asignación mes n+2]]-Tabla14[[#This Row],[Ponderación mes n+2]]</f>
        <v>0</v>
      </c>
    </row>
    <row r="71" spans="1:82" ht="16" x14ac:dyDescent="0.2">
      <c r="A71">
        <v>1</v>
      </c>
      <c r="B71" t="str">
        <f>Tabla14[[#This Row],[Oficina]]&amp;Tabla14[[#This Row],[Material]]</f>
        <v>Agro Sudamerica1023331</v>
      </c>
      <c r="C71" t="s">
        <v>6</v>
      </c>
      <c r="D71" t="s">
        <v>17</v>
      </c>
      <c r="E71">
        <v>1023331</v>
      </c>
      <c r="F71" t="s">
        <v>281</v>
      </c>
      <c r="G71" t="s">
        <v>50</v>
      </c>
      <c r="H71" t="s">
        <v>110</v>
      </c>
      <c r="I71" s="7">
        <f>IFERROR(IF(Tabla14[[#This Row],[Oficina]]=$I$7,VLOOKUP(Tabla14[[#This Row],[Material]],'[6]RV Producción'!$Y:$AA,3,FALSE),VLOOKUP(Tabla14[[#This Row],[Llave]],'[6]RV Producción'!$C:$G,5,FALSE)),0)</f>
        <v>0</v>
      </c>
      <c r="J71" s="7">
        <f>IFERROR(IF(Tabla14[[#This Row],[Oficina]]=$I$7,VLOOKUP(Tabla14[[#This Row],[Llave]],'[7]Shangai (Tomas)'!$A:$F,6,FALSE),VLOOKUP(Tabla14[[#This Row],[Llave]],'[6]RV plan de ventas'!$A:$E,5,FALSE)),0)</f>
        <v>0</v>
      </c>
      <c r="K71" s="8">
        <f>IFERROR(VLOOKUP(Tabla14[[#This Row],[Sector]]&amp;Tabla14[[#This Row],[Oficina]],[8]Ponderación!$A$3:$G$22,7,FALSE),0)</f>
        <v>0.3545854356400317</v>
      </c>
      <c r="L71" s="7">
        <f>+Tabla14[[#This Row],[ RV Producción mes n+1]]*Tabla14[[#This Row],[% Uti. producción]]</f>
        <v>0</v>
      </c>
      <c r="M71" s="7">
        <f>IFERROR(VLOOKUP(Tabla14[[#This Row],[Material]],'[9]TD Stock'!$B:$C,2,FALSE),0)</f>
        <v>9829.9619999999995</v>
      </c>
      <c r="N71" s="7">
        <f>IFERROR(VLOOKUP(Tabla14[[#This Row],[Material]],'[10]Consolidado planificación'!$B:$C,2,FALSE),0)</f>
        <v>0</v>
      </c>
      <c r="O71" s="7">
        <f>IFERROR(VLOOKUP(Tabla14[[#This Row],[Llave]],[11]Hoja2!$D:$G,4,FALSE),0)</f>
        <v>0</v>
      </c>
      <c r="P71" s="14">
        <f>SUM(Tabla14[[#This Row],[Producción disponible]],Tabla14[[#This Row],[Stock al día]],(Tabla14[[#This Row],[Por producir mes N]]*0.9))-Tabla14[[#This Row],[Producción por despachar mes N]]</f>
        <v>9829.9619999999995</v>
      </c>
      <c r="Q71" s="7">
        <f>IFERROR(VLOOKUP(Tabla14[[#This Row],[Llave]],[9]DELAY!$A:$D,4,FALSE),0)</f>
        <v>17900</v>
      </c>
      <c r="R71" s="9">
        <v>23000</v>
      </c>
      <c r="S71" s="5">
        <f t="shared" si="5"/>
        <v>0</v>
      </c>
      <c r="T71" s="76">
        <v>0</v>
      </c>
      <c r="U71" s="5">
        <f>+Tabla14[[#This Row],[Atraso a facturar]]+Tabla14[[#This Row],[Ajuste atraso]]</f>
        <v>0</v>
      </c>
      <c r="V71" s="3">
        <f>+Tabla14[[#This Row],[Total disponible]]-Tabla14[[#This Row],[Facturación atraso]]</f>
        <v>9829.9619999999995</v>
      </c>
      <c r="W71" s="6">
        <f>IFERROR(IF(AND(V71&gt;R71,J71&gt;=R71),ROUNDDOWN((Tabla14[[#This Row],[Producción para venta nueva]])/R71,0)*R71,0),0)</f>
        <v>0</v>
      </c>
      <c r="X71" s="76">
        <v>0</v>
      </c>
      <c r="Y71" s="6">
        <f>IF(Tabla14[[#This Row],[Venta del mes]]&gt;0,Tabla14[[#This Row],[Venta del mes]]+Tabla14[[#This Row],[Ajuste venta nueva]],0)</f>
        <v>0</v>
      </c>
      <c r="Z71" s="6">
        <f>+Tabla14[[#This Row],[Producción para venta nueva]]-Tabla14[[#This Row],[Facturación Venta nueva]]</f>
        <v>9829.9619999999995</v>
      </c>
      <c r="AA71" s="6">
        <f>IF(AND(A71=1,Tabla14[[#This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1" s="6">
        <v>0</v>
      </c>
      <c r="AC71" s="6">
        <f>IF(Tabla14[[#This Row],[Disponible stock sin venta]]&gt;0,Tabla14[[#This Row],[Disponible stock sin venta]]+Tabla14[[#This Row],[Ajuste stock sin venta]],0)</f>
        <v>0</v>
      </c>
      <c r="AD71" s="3">
        <f>IFERROR(VLOOKUP(Tabla14[[#This Row],[Llave]],[12]Hoja1!$A:$D,4,FALSE),0)</f>
        <v>0</v>
      </c>
      <c r="AE7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71" s="3">
        <v>0</v>
      </c>
      <c r="AG71" s="3">
        <f>+Tabla14[[#This Row],[En puerto a facturar]]</f>
        <v>0</v>
      </c>
      <c r="AH71" s="3">
        <f>+Tabla14[[#This Row],[Facturación atraso]]</f>
        <v>0</v>
      </c>
      <c r="AI71" s="3">
        <f>+Tabla14[[#This Row],[Plan Irrestricto (DATO)]]-Tabla14[[#This Row],[Puerto ]]-Tabla14[[#This Row],[Atraso]]</f>
        <v>0</v>
      </c>
      <c r="AJ7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71" s="3">
        <f>+Tabla14[[#This Row],[Facturación atraso]]</f>
        <v>0</v>
      </c>
      <c r="AL71" s="3">
        <f>Tabla14[[#This Row],[Plan Ajustado]]-Tabla14[[#This Row],[ Atraso ajustado]]-Tabla14[[#This Row],[En puerto a facturar]]</f>
        <v>0</v>
      </c>
      <c r="AM71" s="3">
        <v>0</v>
      </c>
      <c r="AN71" s="3" t="e">
        <v>#REF!</v>
      </c>
      <c r="AO71" s="3" t="str">
        <f>IF(Tabla14[[#This Row],[Plan Ajustado]]&gt;Tabla14[[#This Row],[En puerto a facturar]],"Si","No")</f>
        <v>No</v>
      </c>
      <c r="AP7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71" s="3">
        <f>IF(Tabla14[[#This Row],[Necesidad]]&gt;=Tabla14[[#This Row],[Stock al día]],Tabla14[[#This Row],[Stock al día]],Tabla14[[#This Row],[Necesidad]])</f>
        <v>0</v>
      </c>
      <c r="AR71" s="3">
        <f>+Tabla14[[#This Row],[Necesidad]]-Tabla14[[#This Row],[Stock Plan]]</f>
        <v>0</v>
      </c>
      <c r="AS71" s="155">
        <f>VLOOKUP(Tabla14[[#This Row],[Sector]]&amp;Tabla14[[#This Row],[Oficina]],[8]Ponderación!$A:$H,8,FALSE)</f>
        <v>44813</v>
      </c>
      <c r="AT71" s="30">
        <f>IFERROR(VLOOKUP(Tabla14[[#This Row],[Llave]],'[6]RV plan de ventas'!$A:$F,6,FALSE),0)</f>
        <v>0</v>
      </c>
      <c r="AU71" s="83">
        <f>IFERROR(VLOOKUP(Tabla14[[#This Row],[Llave]],[9]DELAY!$H:$X,17,FALSE),0)</f>
        <v>2.2000000000000002</v>
      </c>
      <c r="AV7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71" s="5">
        <f>Tabla14[[#This Row],[Pecio plan]]*Tabla14[[#This Row],[Plan Ajustado]]</f>
        <v>0</v>
      </c>
      <c r="AX71" s="30">
        <f>IFERROR(VLOOKUP(Tabla14[[#This Row],[Llave]],'[13]Ultimos precios facturados'!$A:$G,7,FALSE),0)</f>
        <v>2.5677309441596563</v>
      </c>
      <c r="AY7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71" s="30">
        <f>IFERROR(VLOOKUP(Tabla14[[#This Row],[Llave]],Hoja2!B:K,10,FALSE),0)</f>
        <v>0</v>
      </c>
      <c r="BA7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71" s="30">
        <v>0</v>
      </c>
      <c r="BC71" s="30">
        <f>IF(Tabla14[[#This Row],[Market]]=0,Tabla14[[#This Row],[Precio Final]],Tabla14[[#This Row],[Market]])</f>
        <v>0</v>
      </c>
      <c r="BD71" s="82"/>
      <c r="BE71" s="82" t="str">
        <f>IF(AND(Tabla14[[#This Row],[Atraso a facturar]]&gt;0,Tabla14[[#This Row],[En puerto a facturar]]&gt;0,Tabla14[[#This Row],[Precio Atraso]]=0),"Revisar","OK")</f>
        <v>OK</v>
      </c>
      <c r="BF71" s="82" t="str">
        <f>IF(AND(Tabla14[[#This Row],[Venta del mes]]&gt;0,Tabla14[[#This Row],[Precio venta nueva]]=0),"Revisar","OK")</f>
        <v>OK</v>
      </c>
      <c r="BG71" s="20">
        <f>IFERROR(VLOOKUP(Tabla14[[#This Row],[Llave]],'[5]Consolidación planes'!$A:$M,9,FALSE),0)</f>
        <v>0</v>
      </c>
      <c r="BH71" s="20">
        <f>IFERROR(VLOOKUP(Tabla14[[#This Row],[Llave]],'[5]Consolidación planes'!$A:$M,10,FALSE),0)</f>
        <v>23000</v>
      </c>
      <c r="BI71" s="20">
        <f>IFERROR(VLOOKUP(Tabla14[[#This Row],[Llave]],'[5]Consolidación planes'!$A:$M,11,FALSE),0)</f>
        <v>0</v>
      </c>
      <c r="BJ71" s="20">
        <f>IFERROR(VLOOKUP(Tabla14[[#This Row],[Llave]],'[5]Consolidación planes'!$A:$M,12,FALSE),0)</f>
        <v>23000</v>
      </c>
      <c r="BK71" s="20">
        <f>IFERROR(VLOOKUP(Tabla14[[#This Row],[Llave]],'[5]Consolidación planes'!$A:$M,13,FALSE),0)</f>
        <v>0</v>
      </c>
      <c r="BL71" s="20">
        <f>IFERROR(VLOOKUP(Tabla14[[#This Row],[Llave]],'[13]Base ultimos planes'!$A:$M,13,FALSE),0)</f>
        <v>0</v>
      </c>
      <c r="BM71" s="20">
        <f>IFERROR(VLOOKUP(Tabla14[[#This Row],[Llave]],'[13]Cruce plan irrestricto'!$C:$M,10,FALSE),0)</f>
        <v>0</v>
      </c>
      <c r="BN71" s="20">
        <f>IFERROR(VLOOKUP(Tabla14[[#This Row],[Llave]],'[13]Cruce plan irrestricto'!$C:$M,11,FALSE),0)</f>
        <v>0</v>
      </c>
      <c r="BO71" s="80">
        <f>IFERROR(VLOOKUP(Tabla14[[#This Row],[Llave]],'[13]Base ultimos planes'!$O:$AA,8,FALSE),0)</f>
        <v>0</v>
      </c>
      <c r="BP71" s="20">
        <f>IFERROR(VLOOKUP(Tabla14[[#This Row],[Llave]],'[13]Base ultimos planes'!$O:$AA,9,FALSE),0)</f>
        <v>59608</v>
      </c>
      <c r="BQ71" s="20">
        <f>IFERROR(VLOOKUP(Tabla14[[#This Row],[Llave]],'[13]Base ultimos planes'!$O:$AA,10,FALSE),0)</f>
        <v>0</v>
      </c>
      <c r="BR71" s="20">
        <f>IFERROR(VLOOKUP(Tabla14[[#This Row],[Llave]],'[13]Base ultimos planes'!$O:$AA,11,FALSE),0)</f>
        <v>57730</v>
      </c>
      <c r="BS71" s="20">
        <f>IFERROR(VLOOKUP(Tabla14[[#This Row],[Llave]],'[13]Base ultimos planes'!$O:$AA,12,FALSE),0)</f>
        <v>0</v>
      </c>
      <c r="BT71" s="20">
        <f>IFERROR(VLOOKUP(Tabla14[[#This Row],[Llave]],'[13]Base ultimos planes'!$O:$AA,13,FALSE),0)</f>
        <v>0</v>
      </c>
      <c r="BU71" s="20"/>
      <c r="BV71" s="20">
        <f>Tabla14[[#This Row],[ RV Producción mes n+1]]-Tabla14[[#This Row],[Producción disponible]]+Tabla14[[#This Row],[Saldo Volumen disponible]]</f>
        <v>9829.9619999999995</v>
      </c>
      <c r="BW71" s="20">
        <f>IFERROR(VLOOKUP(Tabla14[[#This Row],[Llave]],[14]Hoja2!$J:$N,4,FALSE),0)</f>
        <v>0</v>
      </c>
      <c r="BX71" s="20">
        <f>+Tabla14[[#This Row],[Asignación mes n+1]]*Tabla14[[#This Row],[% Uti. producción]]</f>
        <v>0</v>
      </c>
      <c r="BY71" s="20">
        <f>+Tabla14[[#This Row],[Ponderación mes n+1]]+Tabla14[[#This Row],[Saldo mes n-1]]</f>
        <v>9829.9619999999995</v>
      </c>
      <c r="BZ71" s="20">
        <f>+Tabla14[[#This Row],[Asignación mes n+1]]-Tabla14[[#This Row],[Ponderación mes n+1]]</f>
        <v>0</v>
      </c>
      <c r="CA71" s="20">
        <f>IFERROR(VLOOKUP(Tabla14[[#This Row],[Llave]],[14]Hoja2!$J:$N,5,FALSE),0)</f>
        <v>0</v>
      </c>
      <c r="CB71" s="20">
        <f>+Tabla14[[#This Row],[Asignación mes n+2]]*Tabla14[[#This Row],[% Uti. producción]]</f>
        <v>0</v>
      </c>
      <c r="CC71" s="20">
        <f>+Tabla14[[#This Row],[Saldo mes n+2]]+Tabla14[[#This Row],[Ponderación mes n+2]]</f>
        <v>0</v>
      </c>
      <c r="CD71" s="20">
        <f>+Tabla14[[#This Row],[Asignación mes n+2]]-Tabla14[[#This Row],[Ponderación mes n+2]]</f>
        <v>0</v>
      </c>
    </row>
    <row r="72" spans="1:82" ht="16" x14ac:dyDescent="0.2">
      <c r="A72">
        <v>1</v>
      </c>
      <c r="B72" t="str">
        <f>Tabla14[[#This Row],[Oficina]]&amp;Tabla14[[#This Row],[Material]]</f>
        <v>Agro Sudamerica1023355</v>
      </c>
      <c r="C72" t="s">
        <v>6</v>
      </c>
      <c r="D72" t="s">
        <v>17</v>
      </c>
      <c r="E72">
        <v>1023355</v>
      </c>
      <c r="F72" t="s">
        <v>203</v>
      </c>
      <c r="G72" t="s">
        <v>76</v>
      </c>
      <c r="H72" t="s">
        <v>84</v>
      </c>
      <c r="I72" s="7">
        <f>IFERROR(IF(Tabla14[[#This Row],[Oficina]]=$I$7,VLOOKUP(Tabla14[[#This Row],[Material]],'[6]RV Producción'!$Y:$AA,3,FALSE),VLOOKUP(Tabla14[[#This Row],[Llave]],'[6]RV Producción'!$C:$G,5,FALSE)),0)</f>
        <v>24500</v>
      </c>
      <c r="J72" s="7">
        <f>IFERROR(IF(Tabla14[[#This Row],[Oficina]]=$I$7,VLOOKUP(Tabla14[[#This Row],[Llave]],'[7]Shangai (Tomas)'!$A:$F,6,FALSE),VLOOKUP(Tabla14[[#This Row],[Llave]],'[6]RV plan de ventas'!$A:$E,5,FALSE)),0)</f>
        <v>24000</v>
      </c>
      <c r="K72" s="8">
        <f>IFERROR(VLOOKUP(Tabla14[[#This Row],[Sector]]&amp;Tabla14[[#This Row],[Oficina]],[8]Ponderación!$A$3:$G$22,7,FALSE),0)</f>
        <v>0.3545854356400317</v>
      </c>
      <c r="L72" s="7">
        <f>+Tabla14[[#This Row],[ RV Producción mes n+1]]*Tabla14[[#This Row],[% Uti. producción]]</f>
        <v>8687.3431731807759</v>
      </c>
      <c r="M72" s="7">
        <f>IFERROR(VLOOKUP(Tabla14[[#This Row],[Material]],'[9]TD Stock'!$B:$C,2,FALSE),0)</f>
        <v>4644.9089999999997</v>
      </c>
      <c r="N72" s="7">
        <f>IFERROR(VLOOKUP(Tabla14[[#This Row],[Material]],'[10]Consolidado planificación'!$B:$C,2,FALSE),0)</f>
        <v>6200</v>
      </c>
      <c r="O72" s="7">
        <f>IFERROR(VLOOKUP(Tabla14[[#This Row],[Llave]],[11]Hoja2!$D:$G,4,FALSE),0)</f>
        <v>0</v>
      </c>
      <c r="P72" s="14">
        <f>SUM(Tabla14[[#This Row],[Producción disponible]],Tabla14[[#This Row],[Stock al día]],(Tabla14[[#This Row],[Por producir mes N]]*0.9))-Tabla14[[#This Row],[Producción por despachar mes N]]</f>
        <v>18912.252173180776</v>
      </c>
      <c r="Q72" s="7">
        <f>IFERROR(VLOOKUP(Tabla14[[#This Row],[Llave]],[9]DELAY!$A:$D,4,FALSE),0)</f>
        <v>1000</v>
      </c>
      <c r="R72" s="9">
        <v>23000</v>
      </c>
      <c r="S72" s="5">
        <f t="shared" si="5"/>
        <v>1000</v>
      </c>
      <c r="T72" s="76">
        <v>0</v>
      </c>
      <c r="U72" s="5">
        <f>+Tabla14[[#This Row],[Atraso a facturar]]+Tabla14[[#This Row],[Ajuste atraso]]</f>
        <v>1000</v>
      </c>
      <c r="V72" s="3">
        <f>+Tabla14[[#This Row],[Total disponible]]-Tabla14[[#This Row],[Facturación atraso]]</f>
        <v>17912.252173180776</v>
      </c>
      <c r="W72" s="6">
        <f>IFERROR(IF(AND(V72&gt;R72,J72&gt;=R72),ROUNDDOWN((Tabla14[[#This Row],[Producción para venta nueva]])/R72,0)*R72,0),0)</f>
        <v>0</v>
      </c>
      <c r="X72" s="76">
        <v>0</v>
      </c>
      <c r="Y72" s="6">
        <f>IF(Tabla14[[#This Row],[Venta del mes]]&gt;0,Tabla14[[#This Row],[Venta del mes]]+Tabla14[[#This Row],[Ajuste venta nueva]],0)</f>
        <v>0</v>
      </c>
      <c r="Z72" s="6">
        <f>+Tabla14[[#This Row],[Producción para venta nueva]]-Tabla14[[#This Row],[Facturación Venta nueva]]</f>
        <v>17912.252173180776</v>
      </c>
      <c r="AA72" s="6">
        <f>IF(AND(A72=1,Tabla14[[#This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2" s="6">
        <v>0</v>
      </c>
      <c r="AC72" s="6">
        <f>IF(Tabla14[[#This Row],[Disponible stock sin venta]]&gt;0,Tabla14[[#This Row],[Disponible stock sin venta]]+Tabla14[[#This Row],[Ajuste stock sin venta]],0)</f>
        <v>0</v>
      </c>
      <c r="AD72" s="3">
        <f>IFERROR(VLOOKUP(Tabla14[[#This Row],[Llave]],[12]Hoja1!$A:$D,4,FALSE),0)</f>
        <v>22500.02</v>
      </c>
      <c r="AE7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23500.02</v>
      </c>
      <c r="AF72" s="3">
        <v>23500.02</v>
      </c>
      <c r="AG72" s="3">
        <f>+Tabla14[[#This Row],[En puerto a facturar]]</f>
        <v>22500.02</v>
      </c>
      <c r="AH72" s="3">
        <f>+Tabla14[[#This Row],[Facturación atraso]]</f>
        <v>1000</v>
      </c>
      <c r="AI72" s="3">
        <f>+Tabla14[[#This Row],[Plan Irrestricto (DATO)]]-Tabla14[[#This Row],[Puerto ]]-Tabla14[[#This Row],[Atraso]]</f>
        <v>0</v>
      </c>
      <c r="AJ72" s="6">
        <f>IF(Tabla14[[#This Row],[Plan Irrestricto (DATO)]]&gt;0,SUM(Tabla14[[#This Row],[Facturación atraso]],Tabla14[[#This Row],[Facturación Venta nueva]],Tabla14[[#This Row],[Facturación stock]],Tabla14[[#This Row],[En puerto a facturar]]),0)</f>
        <v>23500.02</v>
      </c>
      <c r="AK72" s="3">
        <f>+Tabla14[[#This Row],[Facturación atraso]]</f>
        <v>1000</v>
      </c>
      <c r="AL72" s="3">
        <f>Tabla14[[#This Row],[Plan Ajustado]]-Tabla14[[#This Row],[ Atraso ajustado]]-Tabla14[[#This Row],[En puerto a facturar]]</f>
        <v>0</v>
      </c>
      <c r="AM72" s="3">
        <v>0</v>
      </c>
      <c r="AN72" s="3" t="s">
        <v>636</v>
      </c>
      <c r="AO72" s="3" t="str">
        <f>IF(Tabla14[[#This Row],[Plan Ajustado]]&gt;Tabla14[[#This Row],[En puerto a facturar]],"Si","No")</f>
        <v>Si</v>
      </c>
      <c r="AP72" s="3">
        <f>IF(AND(Tabla14[[#This Row],[Plan Ajustado]]&gt;0,Tabla14[[#This Row],[Plan Ajustado]]&gt;Tabla14[[#This Row],[En puerto a facturar]]),(Tabla14[[#This Row],[Plan Ajustado]]-Tabla14[[#This Row],[En puerto a facturar]]),0)</f>
        <v>1000</v>
      </c>
      <c r="AQ72" s="3">
        <f>IF(Tabla14[[#This Row],[Necesidad]]&gt;=Tabla14[[#This Row],[Stock al día]],Tabla14[[#This Row],[Stock al día]],Tabla14[[#This Row],[Necesidad]])</f>
        <v>1000</v>
      </c>
      <c r="AR72" s="3">
        <f>+Tabla14[[#This Row],[Necesidad]]-Tabla14[[#This Row],[Stock Plan]]</f>
        <v>0</v>
      </c>
      <c r="AS72" s="155">
        <f>VLOOKUP(Tabla14[[#This Row],[Sector]]&amp;Tabla14[[#This Row],[Oficina]],[8]Ponderación!$A:$H,8,FALSE)</f>
        <v>44813</v>
      </c>
      <c r="AT72" s="30">
        <f>IFERROR(VLOOKUP(Tabla14[[#This Row],[Llave]],'[6]RV plan de ventas'!$A:$F,6,FALSE),0)</f>
        <v>0.73666666666666702</v>
      </c>
      <c r="AU72" s="83">
        <f>IFERROR(VLOOKUP(Tabla14[[#This Row],[Llave]],[9]DELAY!$H:$X,17,FALSE),0)</f>
        <v>0.70695652173913004</v>
      </c>
      <c r="AV7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0.70695652173913004</v>
      </c>
      <c r="AW72" s="5">
        <f>Tabla14[[#This Row],[Pecio plan]]*Tabla14[[#This Row],[Plan Ajustado]]</f>
        <v>15509.793650589747</v>
      </c>
      <c r="AX72" s="30">
        <f>IFERROR(VLOOKUP(Tabla14[[#This Row],[Llave]],'[13]Ultimos precios facturados'!$A:$G,7,FALSE),0)</f>
        <v>0.65103105102954539</v>
      </c>
      <c r="AY7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8.5902923710234225E-2</v>
      </c>
      <c r="AZ72" s="30">
        <f>IFERROR(VLOOKUP(Tabla14[[#This Row],[Llave]],Hoja2!B:K,10,FALSE),0)</f>
        <v>0.62451130708637681</v>
      </c>
      <c r="BA7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0.70695652173913004</v>
      </c>
      <c r="BB72" s="30">
        <v>0.65999065747985519</v>
      </c>
      <c r="BC72" s="30">
        <f>IF(Tabla14[[#This Row],[Market]]=0,Tabla14[[#This Row],[Precio Final]],Tabla14[[#This Row],[Market]])</f>
        <v>0.65999065747985519</v>
      </c>
      <c r="BD72" s="82"/>
      <c r="BE72" s="82" t="str">
        <f>IF(AND(Tabla14[[#This Row],[Atraso a facturar]]&gt;0,Tabla14[[#This Row],[En puerto a facturar]]&gt;0,Tabla14[[#This Row],[Precio Atraso]]=0),"Revisar","OK")</f>
        <v>OK</v>
      </c>
      <c r="BF72" s="82" t="str">
        <f>IF(AND(Tabla14[[#This Row],[Venta del mes]]&gt;0,Tabla14[[#This Row],[Precio venta nueva]]=0),"Revisar","OK")</f>
        <v>OK</v>
      </c>
      <c r="BG72" s="20">
        <f>IFERROR(VLOOKUP(Tabla14[[#This Row],[Llave]],'[5]Consolidación planes'!$A:$M,9,FALSE),0)</f>
        <v>0</v>
      </c>
      <c r="BH72" s="20">
        <f>IFERROR(VLOOKUP(Tabla14[[#This Row],[Llave]],'[5]Consolidación planes'!$A:$M,10,FALSE),0)</f>
        <v>0</v>
      </c>
      <c r="BI72" s="20">
        <f>IFERROR(VLOOKUP(Tabla14[[#This Row],[Llave]],'[5]Consolidación planes'!$A:$M,11,FALSE),0)</f>
        <v>0</v>
      </c>
      <c r="BJ72" s="20">
        <f>IFERROR(VLOOKUP(Tabla14[[#This Row],[Llave]],'[5]Consolidación planes'!$A:$M,12,FALSE),0)</f>
        <v>0</v>
      </c>
      <c r="BK72" s="20">
        <f>IFERROR(VLOOKUP(Tabla14[[#This Row],[Llave]],'[5]Consolidación planes'!$A:$M,13,FALSE),0)</f>
        <v>24000</v>
      </c>
      <c r="BL72" s="20">
        <f>IFERROR(VLOOKUP(Tabla14[[#This Row],[Llave]],'[13]Base ultimos planes'!$A:$M,13,FALSE),0)</f>
        <v>24000</v>
      </c>
      <c r="BM72" s="20">
        <f>IFERROR(VLOOKUP(Tabla14[[#This Row],[Llave]],'[13]Cruce plan irrestricto'!$C:$M,10,FALSE),0)</f>
        <v>69000</v>
      </c>
      <c r="BN72" s="20">
        <f>IFERROR(VLOOKUP(Tabla14[[#This Row],[Llave]],'[13]Cruce plan irrestricto'!$C:$M,11,FALSE),0)</f>
        <v>46500</v>
      </c>
      <c r="BO72" s="80">
        <f>IFERROR(VLOOKUP(Tabla14[[#This Row],[Llave]],'[13]Base ultimos planes'!$O:$AA,8,FALSE),0)</f>
        <v>0</v>
      </c>
      <c r="BP72" s="20">
        <f>IFERROR(VLOOKUP(Tabla14[[#This Row],[Llave]],'[13]Base ultimos planes'!$O:$AA,9,FALSE),0)</f>
        <v>0</v>
      </c>
      <c r="BQ72" s="20">
        <f>IFERROR(VLOOKUP(Tabla14[[#This Row],[Llave]],'[13]Base ultimos planes'!$O:$AA,10,FALSE),0)</f>
        <v>0</v>
      </c>
      <c r="BR72" s="20">
        <f>IFERROR(VLOOKUP(Tabla14[[#This Row],[Llave]],'[13]Base ultimos planes'!$O:$AA,11,FALSE),0)</f>
        <v>0</v>
      </c>
      <c r="BS72" s="20">
        <f>IFERROR(VLOOKUP(Tabla14[[#This Row],[Llave]],'[13]Base ultimos planes'!$O:$AA,12,FALSE),0)</f>
        <v>12240</v>
      </c>
      <c r="BT72" s="20">
        <f>IFERROR(VLOOKUP(Tabla14[[#This Row],[Llave]],'[13]Base ultimos planes'!$O:$AA,13,FALSE),0)</f>
        <v>15157</v>
      </c>
      <c r="BU72" s="20"/>
      <c r="BV72" s="20">
        <f>Tabla14[[#This Row],[ RV Producción mes n+1]]-Tabla14[[#This Row],[Producción disponible]]+Tabla14[[#This Row],[Saldo Volumen disponible]]</f>
        <v>33724.909</v>
      </c>
      <c r="BW72" s="20">
        <f>IFERROR(VLOOKUP(Tabla14[[#This Row],[Llave]],[14]Hoja2!$J:$N,4,FALSE),0)</f>
        <v>25455.187999999998</v>
      </c>
      <c r="BX72" s="20">
        <f>+Tabla14[[#This Row],[Asignación mes n+1]]*Tabla14[[#This Row],[% Uti. producción]]</f>
        <v>9026.0389262789067</v>
      </c>
      <c r="BY72" s="20">
        <f>+Tabla14[[#This Row],[Ponderación mes n+1]]+Tabla14[[#This Row],[Saldo mes n-1]]</f>
        <v>42750.94792627891</v>
      </c>
      <c r="BZ72" s="20">
        <f>+Tabla14[[#This Row],[Asignación mes n+1]]-Tabla14[[#This Row],[Ponderación mes n+1]]</f>
        <v>16429.149073721092</v>
      </c>
      <c r="CA72" s="20">
        <f>IFERROR(VLOOKUP(Tabla14[[#This Row],[Llave]],[14]Hoja2!$J:$N,5,FALSE),0)</f>
        <v>27951.298000000003</v>
      </c>
      <c r="CB72" s="20">
        <f>+Tabla14[[#This Row],[Asignación mes n+2]]*Tabla14[[#This Row],[% Uti. producción]]</f>
        <v>9911.1231780343478</v>
      </c>
      <c r="CC72" s="20">
        <f>+Tabla14[[#This Row],[Saldo mes n+2]]+Tabla14[[#This Row],[Ponderación mes n+2]]</f>
        <v>26340.272251755439</v>
      </c>
      <c r="CD72" s="20">
        <f>+Tabla14[[#This Row],[Asignación mes n+2]]-Tabla14[[#This Row],[Ponderación mes n+2]]</f>
        <v>18040.174821965655</v>
      </c>
    </row>
    <row r="73" spans="1:82" ht="16" x14ac:dyDescent="0.2">
      <c r="A73">
        <v>1</v>
      </c>
      <c r="B73" t="str">
        <f>Tabla14[[#This Row],[Oficina]]&amp;Tabla14[[#This Row],[Material]]</f>
        <v>Agrosuper Asia1020860</v>
      </c>
      <c r="C73" t="s">
        <v>6</v>
      </c>
      <c r="D73" t="s">
        <v>173</v>
      </c>
      <c r="E73">
        <v>1020860</v>
      </c>
      <c r="F73" t="s">
        <v>182</v>
      </c>
      <c r="G73" t="s">
        <v>50</v>
      </c>
      <c r="H73" t="s">
        <v>110</v>
      </c>
      <c r="I73" s="7">
        <f>IFERROR(IF(Tabla14[[#This Row],[Oficina]]=$I$7,VLOOKUP(Tabla14[[#This Row],[Material]],'[6]RV Producción'!$Y:$AA,3,FALSE),VLOOKUP(Tabla14[[#This Row],[Llave]],'[6]RV Producción'!$C:$G,5,FALSE)),0)</f>
        <v>57661</v>
      </c>
      <c r="J73" s="7">
        <f>IFERROR(IF(Tabla14[[#This Row],[Oficina]]=$I$7,VLOOKUP(Tabla14[[#This Row],[Llave]],'[7]Shangai (Tomas)'!$A:$F,6,FALSE),VLOOKUP(Tabla14[[#This Row],[Llave]],'[6]RV plan de ventas'!$A:$E,5,FALSE)),0)</f>
        <v>57474</v>
      </c>
      <c r="K73" s="8">
        <f>IFERROR(VLOOKUP(Tabla14[[#This Row],[Sector]]&amp;Tabla14[[#This Row],[Oficina]],[8]Ponderación!$A$3:$G$22,7,FALSE),0)</f>
        <v>0.38476266834449474</v>
      </c>
      <c r="L73" s="7">
        <f>+Tabla14[[#This Row],[ RV Producción mes n+1]]*Tabla14[[#This Row],[% Uti. producción]]</f>
        <v>22185.800219411911</v>
      </c>
      <c r="M73" s="7">
        <f>IFERROR(VLOOKUP(Tabla14[[#This Row],[Material]],'[9]TD Stock'!$B:$C,2,FALSE),0)</f>
        <v>44155.947999999989</v>
      </c>
      <c r="N73" s="7">
        <f>IFERROR(VLOOKUP(Tabla14[[#This Row],[Material]],'[10]Consolidado planificación'!$B:$C,2,FALSE),0)</f>
        <v>0</v>
      </c>
      <c r="O73" s="7">
        <f>IFERROR(VLOOKUP(Tabla14[[#This Row],[Llave]],[11]Hoja2!$D:$G,4,FALSE),0)</f>
        <v>0</v>
      </c>
      <c r="P73" s="14">
        <f>SUM(Tabla14[[#This Row],[Producción disponible]],Tabla14[[#This Row],[Stock al día]],(Tabla14[[#This Row],[Por producir mes N]]*0.9))-Tabla14[[#This Row],[Producción por despachar mes N]]</f>
        <v>66341.748219411907</v>
      </c>
      <c r="Q73" s="7">
        <f>IFERROR(VLOOKUP(Tabla14[[#This Row],[Llave]],[9]DELAY!$A:$D,4,FALSE),0)</f>
        <v>44000</v>
      </c>
      <c r="R73" s="9">
        <v>22000</v>
      </c>
      <c r="S73" s="5">
        <f t="shared" si="5"/>
        <v>44000</v>
      </c>
      <c r="T73" s="76">
        <v>0</v>
      </c>
      <c r="U73" s="5">
        <f>+Tabla14[[#This Row],[Atraso a facturar]]+Tabla14[[#This Row],[Ajuste atraso]]</f>
        <v>44000</v>
      </c>
      <c r="V73" s="3">
        <f>+Tabla14[[#This Row],[Total disponible]]-Tabla14[[#This Row],[Facturación atraso]]</f>
        <v>22341.748219411907</v>
      </c>
      <c r="W73" s="6">
        <f>IFERROR(IF(AND(V73&gt;R73,J73&gt;=R73),ROUNDDOWN((Tabla14[[#This Row],[Producción para venta nueva]])/R73,0)*R73,0),0)</f>
        <v>22000</v>
      </c>
      <c r="X73" s="76">
        <v>0</v>
      </c>
      <c r="Y73" s="6">
        <f>IF(Tabla14[[#This Row],[Venta del mes]]&gt;0,Tabla14[[#This Row],[Venta del mes]]+Tabla14[[#This Row],[Ajuste venta nueva]],0)</f>
        <v>22000</v>
      </c>
      <c r="Z73" s="6">
        <f>+Tabla14[[#This Row],[Producción para venta nueva]]-Tabla14[[#This Row],[Facturación Venta nueva]]</f>
        <v>341.74821941190748</v>
      </c>
      <c r="AA73" s="6">
        <f>IF(AND(A73=1,Tabla14[[#This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3" s="6">
        <v>0</v>
      </c>
      <c r="AC73" s="6">
        <f>IF(Tabla14[[#This Row],[Disponible stock sin venta]]&gt;0,Tabla14[[#This Row],[Disponible stock sin venta]]+Tabla14[[#This Row],[Ajuste stock sin venta]],0)</f>
        <v>0</v>
      </c>
      <c r="AD73" s="3">
        <f>IFERROR(VLOOKUP(Tabla14[[#This Row],[Llave]],[12]Hoja1!$A:$D,4,FALSE),0)</f>
        <v>22009.75</v>
      </c>
      <c r="AE7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88009.75</v>
      </c>
      <c r="AF73" s="3">
        <v>88009.75</v>
      </c>
      <c r="AG73" s="3">
        <f>+Tabla14[[#This Row],[En puerto a facturar]]</f>
        <v>22009.75</v>
      </c>
      <c r="AH73" s="3">
        <f>+Tabla14[[#This Row],[Facturación atraso]]</f>
        <v>44000</v>
      </c>
      <c r="AI73" s="3">
        <f>+Tabla14[[#This Row],[Plan Irrestricto (DATO)]]-Tabla14[[#This Row],[Puerto ]]-Tabla14[[#This Row],[Atraso]]</f>
        <v>22000</v>
      </c>
      <c r="AJ73" s="6">
        <f>IF(Tabla14[[#This Row],[Plan Irrestricto (DATO)]]&gt;0,SUM(Tabla14[[#This Row],[Facturación atraso]],Tabla14[[#This Row],[Facturación Venta nueva]],Tabla14[[#This Row],[Facturación stock]],Tabla14[[#This Row],[En puerto a facturar]]),0)</f>
        <v>88009.75</v>
      </c>
      <c r="AK73" s="3">
        <f>+Tabla14[[#This Row],[Facturación atraso]]</f>
        <v>44000</v>
      </c>
      <c r="AL73" s="3">
        <f>Tabla14[[#This Row],[Plan Ajustado]]-Tabla14[[#This Row],[ Atraso ajustado]]-Tabla14[[#This Row],[En puerto a facturar]]</f>
        <v>22000</v>
      </c>
      <c r="AM73" s="76">
        <v>0</v>
      </c>
      <c r="AN73" s="76"/>
      <c r="AO73" s="3" t="str">
        <f>IF(Tabla14[[#This Row],[Plan Ajustado]]&gt;Tabla14[[#This Row],[En puerto a facturar]],"Si","No")</f>
        <v>Si</v>
      </c>
      <c r="AP73" s="3">
        <f>IF(AND(Tabla14[[#This Row],[Plan Ajustado]]&gt;0,Tabla14[[#This Row],[Plan Ajustado]]&gt;Tabla14[[#This Row],[En puerto a facturar]]),(Tabla14[[#This Row],[Plan Ajustado]]-Tabla14[[#This Row],[En puerto a facturar]]),0)</f>
        <v>66000</v>
      </c>
      <c r="AQ73" s="3">
        <f>IF(Tabla14[[#This Row],[Necesidad]]&gt;=Tabla14[[#This Row],[Stock al día]],Tabla14[[#This Row],[Stock al día]],Tabla14[[#This Row],[Necesidad]])</f>
        <v>44155.947999999989</v>
      </c>
      <c r="AR73" s="3">
        <f>+Tabla14[[#This Row],[Necesidad]]-Tabla14[[#This Row],[Stock Plan]]</f>
        <v>21844.052000000011</v>
      </c>
      <c r="AS73" s="155">
        <f>VLOOKUP(Tabla14[[#This Row],[Sector]]&amp;Tabla14[[#This Row],[Oficina]],[8]Ponderación!$A:$H,8,FALSE)</f>
        <v>44814</v>
      </c>
      <c r="AT73" s="30">
        <f>IFERROR(VLOOKUP(Tabla14[[#This Row],[Llave]],'[6]RV plan de ventas'!$A:$F,6,FALSE),0)</f>
        <v>3.9636183317674099</v>
      </c>
      <c r="AU73" s="83">
        <f>IFERROR(VLOOKUP(Tabla14[[#This Row],[Llave]],[9]DELAY!$H:$X,17,FALSE),0)</f>
        <v>4.2103863636363599</v>
      </c>
      <c r="AV7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4.1487011901059621</v>
      </c>
      <c r="AW73" s="5">
        <f>Tabla14[[#This Row],[Pecio plan]]*Tabla14[[#This Row],[Plan Ajustado]]</f>
        <v>365126.15456592821</v>
      </c>
      <c r="AX73" s="30">
        <f>IFERROR(VLOOKUP(Tabla14[[#This Row],[Llave]],'[13]Ultimos precios facturados'!$A:$G,7,FALSE),0)</f>
        <v>4.07112515479088</v>
      </c>
      <c r="AY7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1.905518311658657E-2</v>
      </c>
      <c r="AZ73" s="30">
        <f>IFERROR(VLOOKUP(Tabla14[[#This Row],[Llave]],Hoja2!B:K,10,FALSE),0)</f>
        <v>4.1805000000000003</v>
      </c>
      <c r="BA7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4.1487011901059621</v>
      </c>
      <c r="BB73" s="30">
        <v>0</v>
      </c>
      <c r="BC73" s="30">
        <f>IF(Tabla14[[#This Row],[Market]]=0,Tabla14[[#This Row],[Precio Final]],Tabla14[[#This Row],[Market]])</f>
        <v>4.1487011901059621</v>
      </c>
      <c r="BD73" s="82"/>
      <c r="BE73" s="82" t="str">
        <f>IF(AND(Tabla14[[#This Row],[Atraso a facturar]]&gt;0,Tabla14[[#This Row],[En puerto a facturar]]&gt;0,Tabla14[[#This Row],[Precio Atraso]]=0),"Revisar","OK")</f>
        <v>OK</v>
      </c>
      <c r="BF73" s="82" t="str">
        <f>IF(AND(Tabla14[[#This Row],[Venta del mes]]&gt;0,Tabla14[[#This Row],[Precio venta nueva]]=0),"Revisar","OK")</f>
        <v>OK</v>
      </c>
      <c r="BG73" s="20">
        <f>IFERROR(VLOOKUP(Tabla14[[#This Row],[Llave]],'[5]Consolidación planes'!$A:$M,9,FALSE),0)</f>
        <v>154000</v>
      </c>
      <c r="BH73" s="20">
        <f>IFERROR(VLOOKUP(Tabla14[[#This Row],[Llave]],'[5]Consolidación planes'!$A:$M,10,FALSE),0)</f>
        <v>66000</v>
      </c>
      <c r="BI73" s="20">
        <f>IFERROR(VLOOKUP(Tabla14[[#This Row],[Llave]],'[5]Consolidación planes'!$A:$M,11,FALSE),0)</f>
        <v>88000</v>
      </c>
      <c r="BJ73" s="20">
        <f>IFERROR(VLOOKUP(Tabla14[[#This Row],[Llave]],'[5]Consolidación planes'!$A:$M,12,FALSE),0)</f>
        <v>154000</v>
      </c>
      <c r="BK73" s="20">
        <f>IFERROR(VLOOKUP(Tabla14[[#This Row],[Llave]],'[5]Consolidación planes'!$A:$M,13,FALSE),0)</f>
        <v>176000</v>
      </c>
      <c r="BL73" s="20">
        <f>IFERROR(VLOOKUP(Tabla14[[#This Row],[Llave]],'[13]Base ultimos planes'!$A:$M,13,FALSE),0)</f>
        <v>187000</v>
      </c>
      <c r="BM73" s="20">
        <f>IFERROR(VLOOKUP(Tabla14[[#This Row],[Llave]],'[13]Cruce plan irrestricto'!$C:$M,10,FALSE),0)</f>
        <v>88000</v>
      </c>
      <c r="BN73" s="20">
        <f>IFERROR(VLOOKUP(Tabla14[[#This Row],[Llave]],'[13]Cruce plan irrestricto'!$C:$M,11,FALSE),0)</f>
        <v>110000</v>
      </c>
      <c r="BO73" s="80">
        <f>IFERROR(VLOOKUP(Tabla14[[#This Row],[Llave]],'[13]Base ultimos planes'!$O:$AA,8,FALSE),0)</f>
        <v>643647.0895</v>
      </c>
      <c r="BP73" s="20">
        <f>IFERROR(VLOOKUP(Tabla14[[#This Row],[Llave]],'[13]Base ultimos planes'!$O:$AA,9,FALSE),0)</f>
        <v>265650</v>
      </c>
      <c r="BQ73" s="20">
        <f>IFERROR(VLOOKUP(Tabla14[[#This Row],[Llave]],'[13]Base ultimos planes'!$O:$AA,10,FALSE),0)</f>
        <v>335280</v>
      </c>
      <c r="BR73" s="20">
        <f>IFERROR(VLOOKUP(Tabla14[[#This Row],[Llave]],'[13]Base ultimos planes'!$O:$AA,11,FALSE),0)</f>
        <v>607165</v>
      </c>
      <c r="BS73" s="20">
        <f>IFERROR(VLOOKUP(Tabla14[[#This Row],[Llave]],'[13]Base ultimos planes'!$O:$AA,12,FALSE),0)</f>
        <v>682827</v>
      </c>
      <c r="BT73" s="20">
        <f>IFERROR(VLOOKUP(Tabla14[[#This Row],[Llave]],'[13]Base ultimos planes'!$O:$AA,13,FALSE),0)</f>
        <v>786186</v>
      </c>
      <c r="BU73" s="20"/>
      <c r="BV73" s="20">
        <f>Tabla14[[#This Row],[ RV Producción mes n+1]]-Tabla14[[#This Row],[Producción disponible]]+Tabla14[[#This Row],[Saldo Volumen disponible]]</f>
        <v>35816.947999999997</v>
      </c>
      <c r="BW73" s="20">
        <f>IFERROR(VLOOKUP(Tabla14[[#This Row],[Llave]],[14]Hoja2!$J:$N,4,FALSE),0)</f>
        <v>0</v>
      </c>
      <c r="BX73" s="20">
        <f>+Tabla14[[#This Row],[Asignación mes n+1]]*Tabla14[[#This Row],[% Uti. producción]]</f>
        <v>0</v>
      </c>
      <c r="BY73" s="20">
        <f>+Tabla14[[#This Row],[Ponderación mes n+1]]+Tabla14[[#This Row],[Saldo mes n-1]]</f>
        <v>35816.947999999997</v>
      </c>
      <c r="BZ73" s="20">
        <f>+Tabla14[[#This Row],[Asignación mes n+1]]-Tabla14[[#This Row],[Ponderación mes n+1]]</f>
        <v>0</v>
      </c>
      <c r="CA73" s="20">
        <f>IFERROR(VLOOKUP(Tabla14[[#This Row],[Llave]],[14]Hoja2!$J:$N,5,FALSE),0)</f>
        <v>110000</v>
      </c>
      <c r="CB73" s="20">
        <f>+Tabla14[[#This Row],[Asignación mes n+2]]*Tabla14[[#This Row],[% Uti. producción]]</f>
        <v>42323.893517894423</v>
      </c>
      <c r="CC73" s="20">
        <f>+Tabla14[[#This Row],[Saldo mes n+2]]+Tabla14[[#This Row],[Ponderación mes n+2]]</f>
        <v>42323.893517894423</v>
      </c>
      <c r="CD73" s="20">
        <f>+Tabla14[[#This Row],[Asignación mes n+2]]-Tabla14[[#This Row],[Ponderación mes n+2]]</f>
        <v>67676.106482105577</v>
      </c>
    </row>
    <row r="74" spans="1:82" ht="16" x14ac:dyDescent="0.2">
      <c r="A74">
        <v>1</v>
      </c>
      <c r="B74" t="str">
        <f>Tabla14[[#This Row],[Oficina]]&amp;Tabla14[[#This Row],[Material]]</f>
        <v>Agrosuper Asia1020861</v>
      </c>
      <c r="C74" t="s">
        <v>6</v>
      </c>
      <c r="D74" t="s">
        <v>173</v>
      </c>
      <c r="E74">
        <v>1020861</v>
      </c>
      <c r="F74" t="s">
        <v>183</v>
      </c>
      <c r="G74" t="s">
        <v>50</v>
      </c>
      <c r="H74" t="s">
        <v>110</v>
      </c>
      <c r="I74" s="7">
        <f>IFERROR(IF(Tabla14[[#This Row],[Oficina]]=$I$7,VLOOKUP(Tabla14[[#This Row],[Material]],'[6]RV Producción'!$Y:$AA,3,FALSE),VLOOKUP(Tabla14[[#This Row],[Llave]],'[6]RV Producción'!$C:$G,5,FALSE)),0)</f>
        <v>127021</v>
      </c>
      <c r="J74" s="7">
        <f>IFERROR(IF(Tabla14[[#This Row],[Oficina]]=$I$7,VLOOKUP(Tabla14[[#This Row],[Llave]],'[7]Shangai (Tomas)'!$A:$F,6,FALSE),VLOOKUP(Tabla14[[#This Row],[Llave]],'[6]RV plan de ventas'!$A:$E,5,FALSE)),0)</f>
        <v>110000</v>
      </c>
      <c r="K74" s="8">
        <f>IFERROR(VLOOKUP(Tabla14[[#This Row],[Sector]]&amp;Tabla14[[#This Row],[Oficina]],[8]Ponderación!$A$3:$G$22,7,FALSE),0)</f>
        <v>0.38476266834449474</v>
      </c>
      <c r="L74" s="7">
        <f>+Tabla14[[#This Row],[ RV Producción mes n+1]]*Tabla14[[#This Row],[% Uti. producción]]</f>
        <v>48872.938895786065</v>
      </c>
      <c r="M74" s="7">
        <f>IFERROR(VLOOKUP(Tabla14[[#This Row],[Material]],'[9]TD Stock'!$B:$C,2,FALSE),0)</f>
        <v>48332.861000000004</v>
      </c>
      <c r="N74" s="7">
        <f>IFERROR(VLOOKUP(Tabla14[[#This Row],[Material]],'[10]Consolidado planificación'!$B:$C,2,FALSE),0)</f>
        <v>8669.0785707958166</v>
      </c>
      <c r="O74" s="7">
        <f>IFERROR(VLOOKUP(Tabla14[[#This Row],[Llave]],[11]Hoja2!$D:$G,4,FALSE),0)</f>
        <v>0</v>
      </c>
      <c r="P74" s="14">
        <f>SUM(Tabla14[[#This Row],[Producción disponible]],Tabla14[[#This Row],[Stock al día]],(Tabla14[[#This Row],[Por producir mes N]]*0.9))-Tabla14[[#This Row],[Producción por despachar mes N]]</f>
        <v>105007.9706095023</v>
      </c>
      <c r="Q74" s="7">
        <f>IFERROR(VLOOKUP(Tabla14[[#This Row],[Llave]],[9]DELAY!$A:$D,4,FALSE),0)</f>
        <v>100000</v>
      </c>
      <c r="R74" s="9">
        <v>22000</v>
      </c>
      <c r="S74" s="5">
        <f t="shared" ref="S74:S137" si="6">IF(AND(P74&gt;Q74,Q74&gt;0),Q74,IF(AND(P74&lt;Q74,Q74&gt;0),(ROUNDDOWN(P74/R74,0)*R74),0))</f>
        <v>100000</v>
      </c>
      <c r="T74" s="76">
        <v>0</v>
      </c>
      <c r="U74" s="5">
        <f>+Tabla14[[#This Row],[Atraso a facturar]]+Tabla14[[#This Row],[Ajuste atraso]]</f>
        <v>100000</v>
      </c>
      <c r="V74" s="3">
        <f>+Tabla14[[#This Row],[Total disponible]]-Tabla14[[#This Row],[Facturación atraso]]</f>
        <v>5007.9706095022993</v>
      </c>
      <c r="W74" s="6">
        <f>IFERROR(IF(AND(V74&gt;R74,J74&gt;=R74),ROUNDDOWN((Tabla14[[#This Row],[Producción para venta nueva]])/R74,0)*R74,0),0)</f>
        <v>0</v>
      </c>
      <c r="X74" s="76">
        <v>0</v>
      </c>
      <c r="Y74" s="6">
        <f>IF(Tabla14[[#This Row],[Venta del mes]]&gt;0,Tabla14[[#This Row],[Venta del mes]]+Tabla14[[#This Row],[Ajuste venta nueva]],0)</f>
        <v>0</v>
      </c>
      <c r="Z74" s="6">
        <f>+Tabla14[[#This Row],[Producción para venta nueva]]-Tabla14[[#This Row],[Facturación Venta nueva]]</f>
        <v>5007.9706095022993</v>
      </c>
      <c r="AA74" s="6">
        <f>IF(AND(A74=1,Tabla14[[#This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4" s="6">
        <v>0</v>
      </c>
      <c r="AC74" s="6">
        <f>IF(Tabla14[[#This Row],[Disponible stock sin venta]]&gt;0,Tabla14[[#This Row],[Disponible stock sin venta]]+Tabla14[[#This Row],[Ajuste stock sin venta]],0)</f>
        <v>0</v>
      </c>
      <c r="AD74" s="3">
        <f>IFERROR(VLOOKUP(Tabla14[[#This Row],[Llave]],[12]Hoja1!$A:$D,4,FALSE),0)</f>
        <v>22010.87</v>
      </c>
      <c r="AE7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122010.87</v>
      </c>
      <c r="AF74" s="3">
        <v>122010.87</v>
      </c>
      <c r="AG74" s="3">
        <f>+Tabla14[[#This Row],[En puerto a facturar]]</f>
        <v>22010.87</v>
      </c>
      <c r="AH74" s="3">
        <f>+Tabla14[[#This Row],[Facturación atraso]]</f>
        <v>100000</v>
      </c>
      <c r="AI74" s="3">
        <f>+Tabla14[[#This Row],[Plan Irrestricto (DATO)]]-Tabla14[[#This Row],[Puerto ]]-Tabla14[[#This Row],[Atraso]]</f>
        <v>0</v>
      </c>
      <c r="AJ74" s="6">
        <f>IF(Tabla14[[#This Row],[Plan Irrestricto (DATO)]]&gt;0,SUM(Tabla14[[#This Row],[Facturación atraso]],Tabla14[[#This Row],[Facturación Venta nueva]],Tabla14[[#This Row],[Facturación stock]],Tabla14[[#This Row],[En puerto a facturar]]),0)</f>
        <v>122010.87</v>
      </c>
      <c r="AK74" s="3">
        <f>+Tabla14[[#This Row],[Facturación atraso]]</f>
        <v>100000</v>
      </c>
      <c r="AL74" s="3">
        <f>Tabla14[[#This Row],[Plan Ajustado]]-Tabla14[[#This Row],[ Atraso ajustado]]-Tabla14[[#This Row],[En puerto a facturar]]</f>
        <v>0</v>
      </c>
      <c r="AM74" s="3">
        <v>0</v>
      </c>
      <c r="AN74" s="3"/>
      <c r="AO74" s="3" t="str">
        <f>IF(Tabla14[[#This Row],[Plan Ajustado]]&gt;Tabla14[[#This Row],[En puerto a facturar]],"Si","No")</f>
        <v>Si</v>
      </c>
      <c r="AP74" s="3">
        <f>IF(AND(Tabla14[[#This Row],[Plan Ajustado]]&gt;0,Tabla14[[#This Row],[Plan Ajustado]]&gt;Tabla14[[#This Row],[En puerto a facturar]]),(Tabla14[[#This Row],[Plan Ajustado]]-Tabla14[[#This Row],[En puerto a facturar]]),0)</f>
        <v>100000</v>
      </c>
      <c r="AQ74" s="3">
        <f>IF(Tabla14[[#This Row],[Necesidad]]&gt;=Tabla14[[#This Row],[Stock al día]],Tabla14[[#This Row],[Stock al día]],Tabla14[[#This Row],[Necesidad]])</f>
        <v>48332.861000000004</v>
      </c>
      <c r="AR74" s="3">
        <f>+Tabla14[[#This Row],[Necesidad]]-Tabla14[[#This Row],[Stock Plan]]</f>
        <v>51667.138999999996</v>
      </c>
      <c r="AS74" s="155">
        <f>VLOOKUP(Tabla14[[#This Row],[Sector]]&amp;Tabla14[[#This Row],[Oficina]],[8]Ponderación!$A:$H,8,FALSE)</f>
        <v>44814</v>
      </c>
      <c r="AT74" s="30">
        <f>IFERROR(VLOOKUP(Tabla14[[#This Row],[Llave]],'[6]RV plan de ventas'!$A:$F,6,FALSE),0)</f>
        <v>3.96360909090909</v>
      </c>
      <c r="AU74" s="83">
        <f>IFERROR(VLOOKUP(Tabla14[[#This Row],[Llave]],[9]DELAY!$H:$X,17,FALSE),0)</f>
        <v>4.1677906024096369</v>
      </c>
      <c r="AV7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4.1677906024096369</v>
      </c>
      <c r="AW74" s="5">
        <f>Tabla14[[#This Row],[Pecio plan]]*Tabla14[[#This Row],[Plan Ajustado]]</f>
        <v>508515.75737782387</v>
      </c>
      <c r="AX74" s="30">
        <f>IFERROR(VLOOKUP(Tabla14[[#This Row],[Llave]],'[13]Ultimos precios facturados'!$A:$G,7,FALSE),0)</f>
        <v>4.0593452788958864</v>
      </c>
      <c r="AY7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2.6714978909911046E-2</v>
      </c>
      <c r="AZ74" s="30">
        <f>IFERROR(VLOOKUP(Tabla14[[#This Row],[Llave]],Hoja2!B:K,10,FALSE),0)</f>
        <v>4.1846624909275665</v>
      </c>
      <c r="BA7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4.1677906024096369</v>
      </c>
      <c r="BB74" s="30">
        <v>0</v>
      </c>
      <c r="BC74" s="30">
        <f>IF(Tabla14[[#This Row],[Market]]=0,Tabla14[[#This Row],[Precio Final]],Tabla14[[#This Row],[Market]])</f>
        <v>4.1677906024096369</v>
      </c>
      <c r="BD74" s="82"/>
      <c r="BE74" s="82" t="str">
        <f>IF(AND(Tabla14[[#This Row],[Atraso a facturar]]&gt;0,Tabla14[[#This Row],[En puerto a facturar]]&gt;0,Tabla14[[#This Row],[Precio Atraso]]=0),"Revisar","OK")</f>
        <v>OK</v>
      </c>
      <c r="BF74" s="82" t="str">
        <f>IF(AND(Tabla14[[#This Row],[Venta del mes]]&gt;0,Tabla14[[#This Row],[Precio venta nueva]]=0),"Revisar","OK")</f>
        <v>OK</v>
      </c>
      <c r="BG74" s="20">
        <f>IFERROR(VLOOKUP(Tabla14[[#This Row],[Llave]],'[5]Consolidación planes'!$A:$M,9,FALSE),0)</f>
        <v>88000</v>
      </c>
      <c r="BH74" s="20">
        <f>IFERROR(VLOOKUP(Tabla14[[#This Row],[Llave]],'[5]Consolidación planes'!$A:$M,10,FALSE),0)</f>
        <v>66000</v>
      </c>
      <c r="BI74" s="20">
        <f>IFERROR(VLOOKUP(Tabla14[[#This Row],[Llave]],'[5]Consolidación planes'!$A:$M,11,FALSE),0)</f>
        <v>66000</v>
      </c>
      <c r="BJ74" s="20">
        <f>IFERROR(VLOOKUP(Tabla14[[#This Row],[Llave]],'[5]Consolidación planes'!$A:$M,12,FALSE),0)</f>
        <v>154000</v>
      </c>
      <c r="BK74" s="20">
        <f>IFERROR(VLOOKUP(Tabla14[[#This Row],[Llave]],'[5]Consolidación planes'!$A:$M,13,FALSE),0)</f>
        <v>153860</v>
      </c>
      <c r="BL74" s="20">
        <f>IFERROR(VLOOKUP(Tabla14[[#This Row],[Llave]],'[13]Base ultimos planes'!$A:$M,13,FALSE),0)</f>
        <v>198044</v>
      </c>
      <c r="BM74" s="20">
        <f>IFERROR(VLOOKUP(Tabla14[[#This Row],[Llave]],'[13]Cruce plan irrestricto'!$C:$M,10,FALSE),0)</f>
        <v>144000</v>
      </c>
      <c r="BN74" s="20">
        <f>IFERROR(VLOOKUP(Tabla14[[#This Row],[Llave]],'[13]Cruce plan irrestricto'!$C:$M,11,FALSE),0)</f>
        <v>166000</v>
      </c>
      <c r="BO74" s="80">
        <f>IFERROR(VLOOKUP(Tabla14[[#This Row],[Llave]],'[13]Base ultimos planes'!$O:$AA,8,FALSE),0)</f>
        <v>375760</v>
      </c>
      <c r="BP74" s="20">
        <f>IFERROR(VLOOKUP(Tabla14[[#This Row],[Llave]],'[13]Base ultimos planes'!$O:$AA,9,FALSE),0)</f>
        <v>264000</v>
      </c>
      <c r="BQ74" s="20">
        <f>IFERROR(VLOOKUP(Tabla14[[#This Row],[Llave]],'[13]Base ultimos planes'!$O:$AA,10,FALSE),0)</f>
        <v>252780</v>
      </c>
      <c r="BR74" s="20">
        <f>IFERROR(VLOOKUP(Tabla14[[#This Row],[Llave]],'[13]Base ultimos planes'!$O:$AA,11,FALSE),0)</f>
        <v>601865</v>
      </c>
      <c r="BS74" s="20">
        <f>IFERROR(VLOOKUP(Tabla14[[#This Row],[Llave]],'[13]Base ultimos planes'!$O:$AA,12,FALSE),0)</f>
        <v>601173</v>
      </c>
      <c r="BT74" s="20">
        <f>IFERROR(VLOOKUP(Tabla14[[#This Row],[Llave]],'[13]Base ultimos planes'!$O:$AA,13,FALSE),0)</f>
        <v>832508</v>
      </c>
      <c r="BU74" s="20"/>
      <c r="BV74" s="20">
        <f>Tabla14[[#This Row],[ RV Producción mes n+1]]-Tabla14[[#This Row],[Producción disponible]]+Tabla14[[#This Row],[Saldo Volumen disponible]]</f>
        <v>83156.031713716235</v>
      </c>
      <c r="BW74" s="20">
        <f>IFERROR(VLOOKUP(Tabla14[[#This Row],[Llave]],[14]Hoja2!$J:$N,4,FALSE),0)</f>
        <v>110000</v>
      </c>
      <c r="BX74" s="20">
        <f>+Tabla14[[#This Row],[Asignación mes n+1]]*Tabla14[[#This Row],[% Uti. producción]]</f>
        <v>42323.893517894423</v>
      </c>
      <c r="BY74" s="20">
        <f>+Tabla14[[#This Row],[Ponderación mes n+1]]+Tabla14[[#This Row],[Saldo mes n-1]]</f>
        <v>125479.92523161066</v>
      </c>
      <c r="BZ74" s="20">
        <f>+Tabla14[[#This Row],[Asignación mes n+1]]-Tabla14[[#This Row],[Ponderación mes n+1]]</f>
        <v>67676.106482105577</v>
      </c>
      <c r="CA74" s="20">
        <f>IFERROR(VLOOKUP(Tabla14[[#This Row],[Llave]],[14]Hoja2!$J:$N,5,FALSE),0)</f>
        <v>109999.9951</v>
      </c>
      <c r="CB74" s="20">
        <f>+Tabla14[[#This Row],[Asignación mes n+2]]*Tabla14[[#This Row],[% Uti. producción]]</f>
        <v>42323.891632557345</v>
      </c>
      <c r="CC74" s="20">
        <f>+Tabla14[[#This Row],[Saldo mes n+2]]+Tabla14[[#This Row],[Ponderación mes n+2]]</f>
        <v>109999.99811466291</v>
      </c>
      <c r="CD74" s="20">
        <f>+Tabla14[[#This Row],[Asignación mes n+2]]-Tabla14[[#This Row],[Ponderación mes n+2]]</f>
        <v>67676.103467442648</v>
      </c>
    </row>
    <row r="75" spans="1:82" ht="16" x14ac:dyDescent="0.2">
      <c r="A75">
        <v>1</v>
      </c>
      <c r="B75" t="str">
        <f>Tabla14[[#This Row],[Oficina]]&amp;Tabla14[[#This Row],[Material]]</f>
        <v>Agrosuper Asia1020904</v>
      </c>
      <c r="C75" t="s">
        <v>6</v>
      </c>
      <c r="D75" t="s">
        <v>173</v>
      </c>
      <c r="E75">
        <v>1020904</v>
      </c>
      <c r="F75" t="s">
        <v>186</v>
      </c>
      <c r="G75" t="s">
        <v>56</v>
      </c>
      <c r="H75" t="s">
        <v>118</v>
      </c>
      <c r="I75" s="7">
        <f>IFERROR(IF(Tabla14[[#This Row],[Oficina]]=$I$7,VLOOKUP(Tabla14[[#This Row],[Material]],'[6]RV Producción'!$Y:$AA,3,FALSE),VLOOKUP(Tabla14[[#This Row],[Llave]],'[6]RV Producción'!$C:$G,5,FALSE)),0)</f>
        <v>0</v>
      </c>
      <c r="J75" s="7">
        <f>IFERROR(IF(Tabla14[[#This Row],[Oficina]]=$I$7,VLOOKUP(Tabla14[[#This Row],[Llave]],'[7]Shangai (Tomas)'!$A:$F,6,FALSE),VLOOKUP(Tabla14[[#This Row],[Llave]],'[6]RV plan de ventas'!$A:$E,5,FALSE)),0)</f>
        <v>9371</v>
      </c>
      <c r="K75" s="8">
        <f>IFERROR(VLOOKUP(Tabla14[[#This Row],[Sector]]&amp;Tabla14[[#This Row],[Oficina]],[8]Ponderación!$A$3:$G$22,7,FALSE),0)</f>
        <v>0.38476266834449474</v>
      </c>
      <c r="L75" s="7">
        <f>+Tabla14[[#This Row],[ RV Producción mes n+1]]*Tabla14[[#This Row],[% Uti. producción]]</f>
        <v>0</v>
      </c>
      <c r="M75" s="7">
        <f>IFERROR(VLOOKUP(Tabla14[[#This Row],[Material]],'[9]TD Stock'!$B:$C,2,FALSE),0)</f>
        <v>28607.257999999994</v>
      </c>
      <c r="N75" s="7">
        <f>IFERROR(VLOOKUP(Tabla14[[#This Row],[Material]],'[10]Consolidado planificación'!$B:$C,2,FALSE),0)</f>
        <v>9696.4277981498471</v>
      </c>
      <c r="O75" s="7">
        <f>IFERROR(VLOOKUP(Tabla14[[#This Row],[Llave]],[11]Hoja2!$D:$G,4,FALSE),0)</f>
        <v>0</v>
      </c>
      <c r="P75" s="14">
        <f>SUM(Tabla14[[#This Row],[Producción disponible]],Tabla14[[#This Row],[Stock al día]],(Tabla14[[#This Row],[Por producir mes N]]*0.9))-Tabla14[[#This Row],[Producción por despachar mes N]]</f>
        <v>37334.043018334858</v>
      </c>
      <c r="Q75" s="7">
        <f>IFERROR(VLOOKUP(Tabla14[[#This Row],[Llave]],[9]DELAY!$A:$D,4,FALSE),0)</f>
        <v>66000</v>
      </c>
      <c r="R75" s="9">
        <v>22000</v>
      </c>
      <c r="S75" s="5">
        <f t="shared" si="6"/>
        <v>22000</v>
      </c>
      <c r="T75" s="76">
        <v>0</v>
      </c>
      <c r="U75" s="5">
        <f>+Tabla14[[#This Row],[Atraso a facturar]]+Tabla14[[#This Row],[Ajuste atraso]]</f>
        <v>22000</v>
      </c>
      <c r="V75" s="3">
        <f>+Tabla14[[#This Row],[Total disponible]]-Tabla14[[#This Row],[Facturación atraso]]</f>
        <v>15334.043018334858</v>
      </c>
      <c r="W75" s="6">
        <f>IFERROR(IF(AND(V75&gt;R75,J75&gt;=R75),ROUNDDOWN((Tabla14[[#This Row],[Producción para venta nueva]])/R75,0)*R75,0),0)</f>
        <v>0</v>
      </c>
      <c r="X75" s="76">
        <v>0</v>
      </c>
      <c r="Y75" s="6">
        <f>IF(Tabla14[[#This Row],[Venta del mes]]&gt;0,Tabla14[[#This Row],[Venta del mes]]+Tabla14[[#This Row],[Ajuste venta nueva]],0)</f>
        <v>0</v>
      </c>
      <c r="Z75" s="6">
        <f>+Tabla14[[#This Row],[Producción para venta nueva]]-Tabla14[[#This Row],[Facturación Venta nueva]]</f>
        <v>15334.043018334858</v>
      </c>
      <c r="AA75" s="6">
        <f>IF(AND(A75=1,Tabla14[[#This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5" s="6">
        <v>0</v>
      </c>
      <c r="AC75" s="6">
        <f>IF(Tabla14[[#This Row],[Disponible stock sin venta]]&gt;0,Tabla14[[#This Row],[Disponible stock sin venta]]+Tabla14[[#This Row],[Ajuste stock sin venta]],0)</f>
        <v>0</v>
      </c>
      <c r="AD75" s="3">
        <f>IFERROR(VLOOKUP(Tabla14[[#This Row],[Llave]],[12]Hoja1!$A:$D,4,FALSE),0)</f>
        <v>22012.3</v>
      </c>
      <c r="AE7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44012.3</v>
      </c>
      <c r="AF75" s="3">
        <v>44012.3</v>
      </c>
      <c r="AG75" s="3">
        <f>+Tabla14[[#This Row],[En puerto a facturar]]</f>
        <v>22012.3</v>
      </c>
      <c r="AH75" s="3">
        <f>+Tabla14[[#This Row],[Facturación atraso]]</f>
        <v>22000</v>
      </c>
      <c r="AI75" s="3">
        <f>+Tabla14[[#This Row],[Plan Irrestricto (DATO)]]-Tabla14[[#This Row],[Puerto ]]-Tabla14[[#This Row],[Atraso]]</f>
        <v>0</v>
      </c>
      <c r="AJ75" s="6">
        <f>IF(Tabla14[[#This Row],[Plan Irrestricto (DATO)]]&gt;0,SUM(Tabla14[[#This Row],[Facturación atraso]],Tabla14[[#This Row],[Facturación Venta nueva]],Tabla14[[#This Row],[Facturación stock]],Tabla14[[#This Row],[En puerto a facturar]]),0)</f>
        <v>44012.3</v>
      </c>
      <c r="AK75" s="3">
        <f>+Tabla14[[#This Row],[Facturación atraso]]</f>
        <v>22000</v>
      </c>
      <c r="AL75" s="3">
        <f>Tabla14[[#This Row],[Plan Ajustado]]-Tabla14[[#This Row],[ Atraso ajustado]]-Tabla14[[#This Row],[En puerto a facturar]]</f>
        <v>0</v>
      </c>
      <c r="AM75" s="3">
        <v>0</v>
      </c>
      <c r="AN75" s="3"/>
      <c r="AO75" s="3" t="str">
        <f>IF(Tabla14[[#This Row],[Plan Ajustado]]&gt;Tabla14[[#This Row],[En puerto a facturar]],"Si","No")</f>
        <v>Si</v>
      </c>
      <c r="AP75" s="3">
        <f>IF(AND(Tabla14[[#This Row],[Plan Ajustado]]&gt;0,Tabla14[[#This Row],[Plan Ajustado]]&gt;Tabla14[[#This Row],[En puerto a facturar]]),(Tabla14[[#This Row],[Plan Ajustado]]-Tabla14[[#This Row],[En puerto a facturar]]),0)</f>
        <v>22000.000000000004</v>
      </c>
      <c r="AQ75" s="3">
        <f>IF(Tabla14[[#This Row],[Necesidad]]&gt;=Tabla14[[#This Row],[Stock al día]],Tabla14[[#This Row],[Stock al día]],Tabla14[[#This Row],[Necesidad]])</f>
        <v>22000.000000000004</v>
      </c>
      <c r="AR75" s="3">
        <f>+Tabla14[[#This Row],[Necesidad]]-Tabla14[[#This Row],[Stock Plan]]</f>
        <v>0</v>
      </c>
      <c r="AS75" s="155">
        <f>VLOOKUP(Tabla14[[#This Row],[Sector]]&amp;Tabla14[[#This Row],[Oficina]],[8]Ponderación!$A:$H,8,FALSE)</f>
        <v>44814</v>
      </c>
      <c r="AT75" s="30">
        <f>IFERROR(VLOOKUP(Tabla14[[#This Row],[Llave]],'[6]RV plan de ventas'!$A:$F,6,FALSE),0)</f>
        <v>5.5633336890406602</v>
      </c>
      <c r="AU75" s="83">
        <f>IFERROR(VLOOKUP(Tabla14[[#This Row],[Llave]],[9]DELAY!$H:$X,17,FALSE),0)</f>
        <v>5.9374393939393943</v>
      </c>
      <c r="AV7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5.9374393939393935</v>
      </c>
      <c r="AW75" s="5">
        <f>Tabla14[[#This Row],[Pecio plan]]*Tabla14[[#This Row],[Plan Ajustado]]</f>
        <v>261320.36383787877</v>
      </c>
      <c r="AX75" s="30">
        <f>IFERROR(VLOOKUP(Tabla14[[#This Row],[Llave]],'[13]Ultimos precios facturados'!$A:$G,7,FALSE),0)</f>
        <v>6.2549065063738905</v>
      </c>
      <c r="AY7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5.0754893316309502E-2</v>
      </c>
      <c r="AZ75" s="30">
        <f>IFERROR(VLOOKUP(Tabla14[[#This Row],[Llave]],Hoja2!B:K,10,FALSE),0)</f>
        <v>6</v>
      </c>
      <c r="BA7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5.9374393939393935</v>
      </c>
      <c r="BB75" s="30">
        <v>0</v>
      </c>
      <c r="BC75" s="30">
        <f>IF(Tabla14[[#This Row],[Market]]=0,Tabla14[[#This Row],[Precio Final]],Tabla14[[#This Row],[Market]])</f>
        <v>5.9374393939393935</v>
      </c>
      <c r="BD75" s="82"/>
      <c r="BE75" s="82" t="str">
        <f>IF(AND(Tabla14[[#This Row],[Atraso a facturar]]&gt;0,Tabla14[[#This Row],[En puerto a facturar]]&gt;0,Tabla14[[#This Row],[Precio Atraso]]=0),"Revisar","OK")</f>
        <v>OK</v>
      </c>
      <c r="BF75" s="82" t="str">
        <f>IF(AND(Tabla14[[#This Row],[Venta del mes]]&gt;0,Tabla14[[#This Row],[Precio venta nueva]]=0),"Revisar","OK")</f>
        <v>OK</v>
      </c>
      <c r="BG75" s="20">
        <f>IFERROR(VLOOKUP(Tabla14[[#This Row],[Llave]],'[5]Consolidación planes'!$A:$M,9,FALSE),0)</f>
        <v>22000</v>
      </c>
      <c r="BH75" s="20">
        <f>IFERROR(VLOOKUP(Tabla14[[#This Row],[Llave]],'[5]Consolidación planes'!$A:$M,10,FALSE),0)</f>
        <v>154000</v>
      </c>
      <c r="BI75" s="20">
        <f>IFERROR(VLOOKUP(Tabla14[[#This Row],[Llave]],'[5]Consolidación planes'!$A:$M,11,FALSE),0)</f>
        <v>66000</v>
      </c>
      <c r="BJ75" s="20">
        <f>IFERROR(VLOOKUP(Tabla14[[#This Row],[Llave]],'[5]Consolidación planes'!$A:$M,12,FALSE),0)</f>
        <v>22000</v>
      </c>
      <c r="BK75" s="20">
        <f>IFERROR(VLOOKUP(Tabla14[[#This Row],[Llave]],'[5]Consolidación planes'!$A:$M,13,FALSE),0)</f>
        <v>22000</v>
      </c>
      <c r="BL75" s="20">
        <f>IFERROR(VLOOKUP(Tabla14[[#This Row],[Llave]],'[13]Base ultimos planes'!$A:$M,13,FALSE),0)</f>
        <v>0</v>
      </c>
      <c r="BM75" s="20">
        <f>IFERROR(VLOOKUP(Tabla14[[#This Row],[Llave]],'[13]Cruce plan irrestricto'!$C:$M,10,FALSE),0)</f>
        <v>44000</v>
      </c>
      <c r="BN75" s="20">
        <f>IFERROR(VLOOKUP(Tabla14[[#This Row],[Llave]],'[13]Cruce plan irrestricto'!$C:$M,11,FALSE),0)</f>
        <v>44000</v>
      </c>
      <c r="BO75" s="80">
        <f>IFERROR(VLOOKUP(Tabla14[[#This Row],[Llave]],'[13]Base ultimos planes'!$O:$AA,8,FALSE),0)</f>
        <v>147276.35709999999</v>
      </c>
      <c r="BP75" s="20">
        <f>IFERROR(VLOOKUP(Tabla14[[#This Row],[Llave]],'[13]Base ultimos planes'!$O:$AA,9,FALSE),0)</f>
        <v>970200</v>
      </c>
      <c r="BQ75" s="20">
        <f>IFERROR(VLOOKUP(Tabla14[[#This Row],[Llave]],'[13]Base ultimos planes'!$O:$AA,10,FALSE),0)</f>
        <v>412500</v>
      </c>
      <c r="BR75" s="20">
        <f>IFERROR(VLOOKUP(Tabla14[[#This Row],[Llave]],'[13]Base ultimos planes'!$O:$AA,11,FALSE),0)</f>
        <v>140295</v>
      </c>
      <c r="BS75" s="20">
        <f>IFERROR(VLOOKUP(Tabla14[[#This Row],[Llave]],'[13]Base ultimos planes'!$O:$AA,12,FALSE),0)</f>
        <v>139028</v>
      </c>
      <c r="BT75" s="20">
        <f>IFERROR(VLOOKUP(Tabla14[[#This Row],[Llave]],'[13]Base ultimos planes'!$O:$AA,13,FALSE),0)</f>
        <v>0</v>
      </c>
      <c r="BU75" s="20"/>
      <c r="BV75" s="20">
        <f>Tabla14[[#This Row],[ RV Producción mes n+1]]-Tabla14[[#This Row],[Producción disponible]]+Tabla14[[#This Row],[Saldo Volumen disponible]]</f>
        <v>15334.043018334858</v>
      </c>
      <c r="BW75" s="20">
        <f>IFERROR(VLOOKUP(Tabla14[[#This Row],[Llave]],[14]Hoja2!$J:$N,4,FALSE),0)</f>
        <v>0</v>
      </c>
      <c r="BX75" s="20">
        <f>+Tabla14[[#This Row],[Asignación mes n+1]]*Tabla14[[#This Row],[% Uti. producción]]</f>
        <v>0</v>
      </c>
      <c r="BY75" s="20">
        <f>+Tabla14[[#This Row],[Ponderación mes n+1]]+Tabla14[[#This Row],[Saldo mes n-1]]</f>
        <v>15334.043018334858</v>
      </c>
      <c r="BZ75" s="20">
        <f>+Tabla14[[#This Row],[Asignación mes n+1]]-Tabla14[[#This Row],[Ponderación mes n+1]]</f>
        <v>0</v>
      </c>
      <c r="CA75" s="20">
        <f>IFERROR(VLOOKUP(Tabla14[[#This Row],[Llave]],[14]Hoja2!$J:$N,5,FALSE),0)</f>
        <v>0</v>
      </c>
      <c r="CB75" s="20">
        <f>+Tabla14[[#This Row],[Asignación mes n+2]]*Tabla14[[#This Row],[% Uti. producción]]</f>
        <v>0</v>
      </c>
      <c r="CC75" s="20">
        <f>+Tabla14[[#This Row],[Saldo mes n+2]]+Tabla14[[#This Row],[Ponderación mes n+2]]</f>
        <v>0</v>
      </c>
      <c r="CD75" s="20">
        <f>+Tabla14[[#This Row],[Asignación mes n+2]]-Tabla14[[#This Row],[Ponderación mes n+2]]</f>
        <v>0</v>
      </c>
    </row>
    <row r="76" spans="1:82" ht="16" x14ac:dyDescent="0.2">
      <c r="A76">
        <v>1</v>
      </c>
      <c r="B76" t="str">
        <f>Tabla14[[#This Row],[Oficina]]&amp;Tabla14[[#This Row],[Material]]</f>
        <v>Agrosuper Asia1020905</v>
      </c>
      <c r="C76" t="s">
        <v>6</v>
      </c>
      <c r="D76" t="s">
        <v>173</v>
      </c>
      <c r="E76">
        <v>1020905</v>
      </c>
      <c r="F76" t="s">
        <v>187</v>
      </c>
      <c r="G76" t="s">
        <v>56</v>
      </c>
      <c r="H76" t="s">
        <v>118</v>
      </c>
      <c r="I76" s="7">
        <f>IFERROR(IF(Tabla14[[#This Row],[Oficina]]=$I$7,VLOOKUP(Tabla14[[#This Row],[Material]],'[6]RV Producción'!$Y:$AA,3,FALSE),VLOOKUP(Tabla14[[#This Row],[Llave]],'[6]RV Producción'!$C:$G,5,FALSE)),0)</f>
        <v>0</v>
      </c>
      <c r="J76" s="7">
        <f>IFERROR(IF(Tabla14[[#This Row],[Oficina]]=$I$7,VLOOKUP(Tabla14[[#This Row],[Llave]],'[7]Shangai (Tomas)'!$A:$F,6,FALSE),VLOOKUP(Tabla14[[#This Row],[Llave]],'[6]RV plan de ventas'!$A:$E,5,FALSE)),0)</f>
        <v>8517</v>
      </c>
      <c r="K76" s="8">
        <f>IFERROR(VLOOKUP(Tabla14[[#This Row],[Sector]]&amp;Tabla14[[#This Row],[Oficina]],[8]Ponderación!$A$3:$G$22,7,FALSE),0)</f>
        <v>0.38476266834449474</v>
      </c>
      <c r="L76" s="7">
        <f>+Tabla14[[#This Row],[ RV Producción mes n+1]]*Tabla14[[#This Row],[% Uti. producción]]</f>
        <v>0</v>
      </c>
      <c r="M76" s="7">
        <f>IFERROR(VLOOKUP(Tabla14[[#This Row],[Material]],'[9]TD Stock'!$B:$C,2,FALSE),0)</f>
        <v>17253.326000000005</v>
      </c>
      <c r="N76" s="7">
        <f>IFERROR(VLOOKUP(Tabla14[[#This Row],[Material]],'[10]Consolidado planificación'!$B:$C,2,FALSE),0)</f>
        <v>0</v>
      </c>
      <c r="O76" s="7">
        <f>IFERROR(VLOOKUP(Tabla14[[#This Row],[Llave]],[11]Hoja2!$D:$G,4,FALSE),0)</f>
        <v>0</v>
      </c>
      <c r="P76" s="14">
        <f>SUM(Tabla14[[#This Row],[Producción disponible]],Tabla14[[#This Row],[Stock al día]],(Tabla14[[#This Row],[Por producir mes N]]*0.9))-Tabla14[[#This Row],[Producción por despachar mes N]]</f>
        <v>17253.326000000005</v>
      </c>
      <c r="Q76" s="7">
        <f>IFERROR(VLOOKUP(Tabla14[[#This Row],[Llave]],[9]DELAY!$A:$D,4,FALSE),0)</f>
        <v>44000</v>
      </c>
      <c r="R76" s="9">
        <v>22000</v>
      </c>
      <c r="S76" s="5">
        <f t="shared" si="6"/>
        <v>0</v>
      </c>
      <c r="T76" s="76">
        <v>0</v>
      </c>
      <c r="U76" s="5">
        <f>+Tabla14[[#This Row],[Atraso a facturar]]+Tabla14[[#This Row],[Ajuste atraso]]</f>
        <v>0</v>
      </c>
      <c r="V76" s="3">
        <f>+Tabla14[[#This Row],[Total disponible]]-Tabla14[[#This Row],[Facturación atraso]]</f>
        <v>17253.326000000005</v>
      </c>
      <c r="W76" s="6">
        <f>IFERROR(IF(AND(V76&gt;R76,J76&gt;=R76),ROUNDDOWN((Tabla14[[#This Row],[Producción para venta nueva]])/R76,0)*R76,0),0)</f>
        <v>0</v>
      </c>
      <c r="X76" s="76">
        <v>0</v>
      </c>
      <c r="Y76" s="6">
        <f>IF(Tabla14[[#This Row],[Venta del mes]]&gt;0,Tabla14[[#This Row],[Venta del mes]]+Tabla14[[#This Row],[Ajuste venta nueva]],0)</f>
        <v>0</v>
      </c>
      <c r="Z76" s="6">
        <f>+Tabla14[[#This Row],[Producción para venta nueva]]-Tabla14[[#This Row],[Facturación Venta nueva]]</f>
        <v>17253.326000000005</v>
      </c>
      <c r="AA76" s="6">
        <f>IF(AND(A76=1,Tabla14[[#This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6" s="6">
        <v>0</v>
      </c>
      <c r="AC76" s="6">
        <f>IF(Tabla14[[#This Row],[Disponible stock sin venta]]&gt;0,Tabla14[[#This Row],[Disponible stock sin venta]]+Tabla14[[#This Row],[Ajuste stock sin venta]],0)</f>
        <v>0</v>
      </c>
      <c r="AD76" s="3">
        <f>IFERROR(VLOOKUP(Tabla14[[#This Row],[Llave]],[12]Hoja1!$A:$D,4,FALSE),0)</f>
        <v>22010.02</v>
      </c>
      <c r="AE7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22010.02</v>
      </c>
      <c r="AF76" s="3">
        <v>22010.02</v>
      </c>
      <c r="AG76" s="3">
        <f>+Tabla14[[#This Row],[En puerto a facturar]]</f>
        <v>22010.02</v>
      </c>
      <c r="AH76" s="3">
        <f>+Tabla14[[#This Row],[Facturación atraso]]</f>
        <v>0</v>
      </c>
      <c r="AI76" s="3">
        <f>+Tabla14[[#This Row],[Plan Irrestricto (DATO)]]-Tabla14[[#This Row],[Puerto ]]-Tabla14[[#This Row],[Atraso]]</f>
        <v>0</v>
      </c>
      <c r="AJ76" s="6">
        <f>IF(Tabla14[[#This Row],[Plan Irrestricto (DATO)]]&gt;0,SUM(Tabla14[[#This Row],[Facturación atraso]],Tabla14[[#This Row],[Facturación Venta nueva]],Tabla14[[#This Row],[Facturación stock]],Tabla14[[#This Row],[En puerto a facturar]]),0)</f>
        <v>22010.02</v>
      </c>
      <c r="AK76" s="3">
        <f>+Tabla14[[#This Row],[Facturación atraso]]</f>
        <v>0</v>
      </c>
      <c r="AL76" s="3">
        <f>Tabla14[[#This Row],[Plan Ajustado]]-Tabla14[[#This Row],[ Atraso ajustado]]-Tabla14[[#This Row],[En puerto a facturar]]</f>
        <v>0</v>
      </c>
      <c r="AM76" s="3">
        <v>0</v>
      </c>
      <c r="AN76" s="3"/>
      <c r="AO76" s="3" t="str">
        <f>IF(Tabla14[[#This Row],[Plan Ajustado]]&gt;Tabla14[[#This Row],[En puerto a facturar]],"Si","No")</f>
        <v>No</v>
      </c>
      <c r="AP7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76" s="3">
        <f>IF(Tabla14[[#This Row],[Necesidad]]&gt;=Tabla14[[#This Row],[Stock al día]],Tabla14[[#This Row],[Stock al día]],Tabla14[[#This Row],[Necesidad]])</f>
        <v>0</v>
      </c>
      <c r="AR76" s="3">
        <f>+Tabla14[[#This Row],[Necesidad]]-Tabla14[[#This Row],[Stock Plan]]</f>
        <v>0</v>
      </c>
      <c r="AS76" s="155">
        <f>VLOOKUP(Tabla14[[#This Row],[Sector]]&amp;Tabla14[[#This Row],[Oficina]],[8]Ponderación!$A:$H,8,FALSE)</f>
        <v>44814</v>
      </c>
      <c r="AT76" s="30">
        <f>IFERROR(VLOOKUP(Tabla14[[#This Row],[Llave]],'[6]RV plan de ventas'!$A:$F,6,FALSE),0)</f>
        <v>5.56369613713749</v>
      </c>
      <c r="AU76" s="83">
        <f>IFERROR(VLOOKUP(Tabla14[[#This Row],[Llave]],[9]DELAY!$H:$X,17,FALSE),0)</f>
        <v>6</v>
      </c>
      <c r="AV7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6</v>
      </c>
      <c r="AW76" s="5">
        <f>Tabla14[[#This Row],[Pecio plan]]*Tabla14[[#This Row],[Plan Ajustado]]</f>
        <v>132060.12</v>
      </c>
      <c r="AX76" s="30">
        <f>IFERROR(VLOOKUP(Tabla14[[#This Row],[Llave]],'[13]Ultimos precios facturados'!$A:$G,7,FALSE),0)</f>
        <v>6.1031511748444016</v>
      </c>
      <c r="AY7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1.6901297688571744E-2</v>
      </c>
      <c r="AZ76" s="30">
        <f>IFERROR(VLOOKUP(Tabla14[[#This Row],[Llave]],Hoja2!B:K,10,FALSE),0)</f>
        <v>6</v>
      </c>
      <c r="BA7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6</v>
      </c>
      <c r="BB76" s="30">
        <v>0</v>
      </c>
      <c r="BC76" s="30">
        <f>IF(Tabla14[[#This Row],[Market]]=0,Tabla14[[#This Row],[Precio Final]],Tabla14[[#This Row],[Market]])</f>
        <v>6</v>
      </c>
      <c r="BD76" s="82"/>
      <c r="BE76" s="82" t="str">
        <f>IF(AND(Tabla14[[#This Row],[Atraso a facturar]]&gt;0,Tabla14[[#This Row],[En puerto a facturar]]&gt;0,Tabla14[[#This Row],[Precio Atraso]]=0),"Revisar","OK")</f>
        <v>OK</v>
      </c>
      <c r="BF76" s="82" t="str">
        <f>IF(AND(Tabla14[[#This Row],[Venta del mes]]&gt;0,Tabla14[[#This Row],[Precio venta nueva]]=0),"Revisar","OK")</f>
        <v>OK</v>
      </c>
      <c r="BG76" s="20">
        <f>IFERROR(VLOOKUP(Tabla14[[#This Row],[Llave]],'[5]Consolidación planes'!$A:$M,9,FALSE),0)</f>
        <v>22000</v>
      </c>
      <c r="BH76" s="20">
        <f>IFERROR(VLOOKUP(Tabla14[[#This Row],[Llave]],'[5]Consolidación planes'!$A:$M,10,FALSE),0)</f>
        <v>22000</v>
      </c>
      <c r="BI76" s="20">
        <f>IFERROR(VLOOKUP(Tabla14[[#This Row],[Llave]],'[5]Consolidación planes'!$A:$M,11,FALSE),0)</f>
        <v>0</v>
      </c>
      <c r="BJ76" s="20">
        <f>IFERROR(VLOOKUP(Tabla14[[#This Row],[Llave]],'[5]Consolidación planes'!$A:$M,12,FALSE),0)</f>
        <v>44000</v>
      </c>
      <c r="BK76" s="20">
        <f>IFERROR(VLOOKUP(Tabla14[[#This Row],[Llave]],'[5]Consolidación planes'!$A:$M,13,FALSE),0)</f>
        <v>22000</v>
      </c>
      <c r="BL76" s="20">
        <f>IFERROR(VLOOKUP(Tabla14[[#This Row],[Llave]],'[13]Base ultimos planes'!$A:$M,13,FALSE),0)</f>
        <v>0</v>
      </c>
      <c r="BM76" s="20">
        <f>IFERROR(VLOOKUP(Tabla14[[#This Row],[Llave]],'[13]Cruce plan irrestricto'!$C:$M,10,FALSE),0)</f>
        <v>22000</v>
      </c>
      <c r="BN76" s="20">
        <f>IFERROR(VLOOKUP(Tabla14[[#This Row],[Llave]],'[13]Cruce plan irrestricto'!$C:$M,11,FALSE),0)</f>
        <v>22000</v>
      </c>
      <c r="BO76" s="80">
        <f>IFERROR(VLOOKUP(Tabla14[[#This Row],[Llave]],'[13]Base ultimos planes'!$O:$AA,8,FALSE),0)</f>
        <v>153120</v>
      </c>
      <c r="BP76" s="20">
        <f>IFERROR(VLOOKUP(Tabla14[[#This Row],[Llave]],'[13]Base ultimos planes'!$O:$AA,9,FALSE),0)</f>
        <v>138600</v>
      </c>
      <c r="BQ76" s="20">
        <f>IFERROR(VLOOKUP(Tabla14[[#This Row],[Llave]],'[13]Base ultimos planes'!$O:$AA,10,FALSE),0)</f>
        <v>0</v>
      </c>
      <c r="BR76" s="20">
        <f>IFERROR(VLOOKUP(Tabla14[[#This Row],[Llave]],'[13]Base ultimos planes'!$O:$AA,11,FALSE),0)</f>
        <v>281600</v>
      </c>
      <c r="BS76" s="20">
        <f>IFERROR(VLOOKUP(Tabla14[[#This Row],[Llave]],'[13]Base ultimos planes'!$O:$AA,12,FALSE),0)</f>
        <v>139661</v>
      </c>
      <c r="BT76" s="20">
        <f>IFERROR(VLOOKUP(Tabla14[[#This Row],[Llave]],'[13]Base ultimos planes'!$O:$AA,13,FALSE),0)</f>
        <v>0</v>
      </c>
      <c r="BU76" s="20"/>
      <c r="BV76" s="20">
        <f>Tabla14[[#This Row],[ RV Producción mes n+1]]-Tabla14[[#This Row],[Producción disponible]]+Tabla14[[#This Row],[Saldo Volumen disponible]]</f>
        <v>17253.326000000005</v>
      </c>
      <c r="BW76" s="20">
        <f>IFERROR(VLOOKUP(Tabla14[[#This Row],[Llave]],[14]Hoja2!$J:$N,4,FALSE),0)</f>
        <v>0</v>
      </c>
      <c r="BX76" s="20">
        <f>+Tabla14[[#This Row],[Asignación mes n+1]]*Tabla14[[#This Row],[% Uti. producción]]</f>
        <v>0</v>
      </c>
      <c r="BY76" s="20">
        <f>+Tabla14[[#This Row],[Ponderación mes n+1]]+Tabla14[[#This Row],[Saldo mes n-1]]</f>
        <v>17253.326000000005</v>
      </c>
      <c r="BZ76" s="20">
        <f>+Tabla14[[#This Row],[Asignación mes n+1]]-Tabla14[[#This Row],[Ponderación mes n+1]]</f>
        <v>0</v>
      </c>
      <c r="CA76" s="20">
        <f>IFERROR(VLOOKUP(Tabla14[[#This Row],[Llave]],[14]Hoja2!$J:$N,5,FALSE),0)</f>
        <v>0</v>
      </c>
      <c r="CB76" s="20">
        <f>+Tabla14[[#This Row],[Asignación mes n+2]]*Tabla14[[#This Row],[% Uti. producción]]</f>
        <v>0</v>
      </c>
      <c r="CC76" s="20">
        <f>+Tabla14[[#This Row],[Saldo mes n+2]]+Tabla14[[#This Row],[Ponderación mes n+2]]</f>
        <v>0</v>
      </c>
      <c r="CD76" s="20">
        <f>+Tabla14[[#This Row],[Asignación mes n+2]]-Tabla14[[#This Row],[Ponderación mes n+2]]</f>
        <v>0</v>
      </c>
    </row>
    <row r="77" spans="1:82" ht="16" x14ac:dyDescent="0.2">
      <c r="A77">
        <v>1</v>
      </c>
      <c r="B77" t="str">
        <f>Tabla14[[#This Row],[Oficina]]&amp;Tabla14[[#This Row],[Material]]</f>
        <v>Agrosuper Asia1021012</v>
      </c>
      <c r="C77" t="s">
        <v>6</v>
      </c>
      <c r="D77" t="s">
        <v>173</v>
      </c>
      <c r="E77">
        <v>1021012</v>
      </c>
      <c r="F77" t="s">
        <v>197</v>
      </c>
      <c r="G77" t="s">
        <v>67</v>
      </c>
      <c r="H77" t="s">
        <v>68</v>
      </c>
      <c r="I77" s="7">
        <f>IFERROR(IF(Tabla14[[#This Row],[Oficina]]=$I$7,VLOOKUP(Tabla14[[#This Row],[Material]],'[6]RV Producción'!$Y:$AA,3,FALSE),VLOOKUP(Tabla14[[#This Row],[Llave]],'[6]RV Producción'!$C:$G,5,FALSE)),0)</f>
        <v>144763</v>
      </c>
      <c r="J77" s="7">
        <f>IFERROR(IF(Tabla14[[#This Row],[Oficina]]=$I$7,VLOOKUP(Tabla14[[#This Row],[Llave]],'[7]Shangai (Tomas)'!$A:$F,6,FALSE),VLOOKUP(Tabla14[[#This Row],[Llave]],'[6]RV plan de ventas'!$A:$E,5,FALSE)),0)</f>
        <v>198000</v>
      </c>
      <c r="K77" s="8">
        <f>IFERROR(VLOOKUP(Tabla14[[#This Row],[Sector]]&amp;Tabla14[[#This Row],[Oficina]],[8]Ponderación!$A$3:$G$22,7,FALSE),0)</f>
        <v>0.38476266834449474</v>
      </c>
      <c r="L77" s="7">
        <f>+Tabla14[[#This Row],[ RV Producción mes n+1]]*Tabla14[[#This Row],[% Uti. producción]]</f>
        <v>55699.398157554089</v>
      </c>
      <c r="M77" s="7">
        <f>IFERROR(VLOOKUP(Tabla14[[#This Row],[Material]],'[9]TD Stock'!$B:$C,2,FALSE),0)</f>
        <v>59559.228999999985</v>
      </c>
      <c r="N77" s="7">
        <f>IFERROR(VLOOKUP(Tabla14[[#This Row],[Material]],'[10]Consolidado planificación'!$B:$C,2,FALSE),0)</f>
        <v>23256.79237396258</v>
      </c>
      <c r="O77" s="7">
        <f>IFERROR(VLOOKUP(Tabla14[[#This Row],[Llave]],[11]Hoja2!$D:$G,4,FALSE),0)</f>
        <v>0</v>
      </c>
      <c r="P77" s="14">
        <f>SUM(Tabla14[[#This Row],[Producción disponible]],Tabla14[[#This Row],[Stock al día]],(Tabla14[[#This Row],[Por producir mes N]]*0.9))-Tabla14[[#This Row],[Producción por despachar mes N]]</f>
        <v>136189.74029412039</v>
      </c>
      <c r="Q77" s="7">
        <f>IFERROR(VLOOKUP(Tabla14[[#This Row],[Llave]],[9]DELAY!$A:$D,4,FALSE),0)</f>
        <v>0</v>
      </c>
      <c r="R77" s="9">
        <v>22000</v>
      </c>
      <c r="S77" s="5">
        <f t="shared" si="6"/>
        <v>0</v>
      </c>
      <c r="T77" s="76">
        <v>0</v>
      </c>
      <c r="U77" s="5">
        <f>+Tabla14[[#This Row],[Atraso a facturar]]+Tabla14[[#This Row],[Ajuste atraso]]</f>
        <v>0</v>
      </c>
      <c r="V77" s="3">
        <f>+Tabla14[[#This Row],[Total disponible]]-Tabla14[[#This Row],[Facturación atraso]]</f>
        <v>136189.74029412039</v>
      </c>
      <c r="W77" s="6">
        <f>IFERROR(IF(AND(V77&gt;R77,J77&gt;=R77),ROUNDDOWN((Tabla14[[#This Row],[Producción para venta nueva]])/R77,0)*R77,0),0)</f>
        <v>132000</v>
      </c>
      <c r="X77" s="76">
        <v>0</v>
      </c>
      <c r="Y77" s="6">
        <f>IF(Tabla14[[#This Row],[Venta del mes]]&gt;0,Tabla14[[#This Row],[Venta del mes]]+Tabla14[[#This Row],[Ajuste venta nueva]],0)</f>
        <v>132000</v>
      </c>
      <c r="Z77" s="6">
        <f>+Tabla14[[#This Row],[Producción para venta nueva]]-Tabla14[[#This Row],[Facturación Venta nueva]]</f>
        <v>4189.7402941203909</v>
      </c>
      <c r="AA77" s="6">
        <f>IF(AND(A77=1,Tabla14[[#This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7" s="6">
        <v>0</v>
      </c>
      <c r="AC77" s="6">
        <f>IF(Tabla14[[#This Row],[Disponible stock sin venta]]&gt;0,Tabla14[[#This Row],[Disponible stock sin venta]]+Tabla14[[#This Row],[Ajuste stock sin venta]],0)</f>
        <v>0</v>
      </c>
      <c r="AD77" s="3">
        <f>IFERROR(VLOOKUP(Tabla14[[#This Row],[Llave]],[12]Hoja1!$A:$D,4,FALSE),0)</f>
        <v>66222.06</v>
      </c>
      <c r="AE7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198222.06</v>
      </c>
      <c r="AF77" s="3">
        <v>198222.06</v>
      </c>
      <c r="AG77" s="3">
        <f>+Tabla14[[#This Row],[En puerto a facturar]]</f>
        <v>66222.06</v>
      </c>
      <c r="AH77" s="3">
        <f>+Tabla14[[#This Row],[Facturación atraso]]</f>
        <v>0</v>
      </c>
      <c r="AI77" s="3">
        <f>+Tabla14[[#This Row],[Plan Irrestricto (DATO)]]-Tabla14[[#This Row],[Puerto ]]-Tabla14[[#This Row],[Atraso]]</f>
        <v>132000</v>
      </c>
      <c r="AJ77" s="6">
        <f>IF(Tabla14[[#This Row],[Plan Irrestricto (DATO)]]&gt;0,SUM(Tabla14[[#This Row],[Facturación atraso]],Tabla14[[#This Row],[Facturación Venta nueva]],Tabla14[[#This Row],[Facturación stock]],Tabla14[[#This Row],[En puerto a facturar]]),0)</f>
        <v>198222.06</v>
      </c>
      <c r="AK77" s="3">
        <f>+Tabla14[[#This Row],[Facturación atraso]]</f>
        <v>0</v>
      </c>
      <c r="AL77" s="3">
        <f>Tabla14[[#This Row],[Plan Ajustado]]-Tabla14[[#This Row],[ Atraso ajustado]]-Tabla14[[#This Row],[En puerto a facturar]]</f>
        <v>132000</v>
      </c>
      <c r="AM77" s="3">
        <v>0</v>
      </c>
      <c r="AN77" s="3"/>
      <c r="AO77" s="3" t="str">
        <f>IF(Tabla14[[#This Row],[Plan Ajustado]]&gt;Tabla14[[#This Row],[En puerto a facturar]],"Si","No")</f>
        <v>Si</v>
      </c>
      <c r="AP77" s="3">
        <f>IF(AND(Tabla14[[#This Row],[Plan Ajustado]]&gt;0,Tabla14[[#This Row],[Plan Ajustado]]&gt;Tabla14[[#This Row],[En puerto a facturar]]),(Tabla14[[#This Row],[Plan Ajustado]]-Tabla14[[#This Row],[En puerto a facturar]]),0)</f>
        <v>132000</v>
      </c>
      <c r="AQ77" s="3">
        <f>IF(Tabla14[[#This Row],[Necesidad]]&gt;=Tabla14[[#This Row],[Stock al día]],Tabla14[[#This Row],[Stock al día]],Tabla14[[#This Row],[Necesidad]])</f>
        <v>59559.228999999985</v>
      </c>
      <c r="AR77" s="3">
        <f>+Tabla14[[#This Row],[Necesidad]]-Tabla14[[#This Row],[Stock Plan]]</f>
        <v>72440.771000000008</v>
      </c>
      <c r="AS77" s="155">
        <f>VLOOKUP(Tabla14[[#This Row],[Sector]]&amp;Tabla14[[#This Row],[Oficina]],[8]Ponderación!$A:$H,8,FALSE)</f>
        <v>44814</v>
      </c>
      <c r="AT77" s="30">
        <f>IFERROR(VLOOKUP(Tabla14[[#This Row],[Llave]],'[6]RV plan de ventas'!$A:$F,6,FALSE),0)</f>
        <v>1.6636060606060601</v>
      </c>
      <c r="AU77" s="83">
        <f>IFERROR(VLOOKUP(Tabla14[[#This Row],[Llave]],[9]DELAY!$H:$X,17,FALSE),0)</f>
        <v>0</v>
      </c>
      <c r="AV7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1.107828260890841</v>
      </c>
      <c r="AW77" s="5">
        <f>Tabla14[[#This Row],[Pecio plan]]*Tabla14[[#This Row],[Plan Ajustado]]</f>
        <v>219595.99999999994</v>
      </c>
      <c r="AX77" s="30">
        <f>IFERROR(VLOOKUP(Tabla14[[#This Row],[Llave]],'[13]Ultimos precios facturados'!$A:$G,7,FALSE),0)</f>
        <v>1.9705036714707902</v>
      </c>
      <c r="AY7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0.43779436855149101</v>
      </c>
      <c r="AZ77" s="30">
        <f>IFERROR(VLOOKUP(Tabla14[[#This Row],[Llave]],Hoja2!B:K,10,FALSE),0)</f>
        <v>1.92</v>
      </c>
      <c r="BA7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1.107828260890841</v>
      </c>
      <c r="BB77" s="30">
        <v>0</v>
      </c>
      <c r="BC77" s="30">
        <f>IF(Tabla14[[#This Row],[Market]]=0,Tabla14[[#This Row],[Precio Final]],Tabla14[[#This Row],[Market]])</f>
        <v>1.107828260890841</v>
      </c>
      <c r="BD77" s="82"/>
      <c r="BE77" s="82" t="str">
        <f>IF(AND(Tabla14[[#This Row],[Atraso a facturar]]&gt;0,Tabla14[[#This Row],[En puerto a facturar]]&gt;0,Tabla14[[#This Row],[Precio Atraso]]=0),"Revisar","OK")</f>
        <v>OK</v>
      </c>
      <c r="BF77" s="82" t="str">
        <f>IF(AND(Tabla14[[#This Row],[Venta del mes]]&gt;0,Tabla14[[#This Row],[Precio venta nueva]]=0),"Revisar","OK")</f>
        <v>OK</v>
      </c>
      <c r="BG77" s="20">
        <f>IFERROR(VLOOKUP(Tabla14[[#This Row],[Llave]],'[5]Consolidación planes'!$A:$M,9,FALSE),0)</f>
        <v>110000</v>
      </c>
      <c r="BH77" s="20">
        <f>IFERROR(VLOOKUP(Tabla14[[#This Row],[Llave]],'[5]Consolidación planes'!$A:$M,10,FALSE),0)</f>
        <v>66000</v>
      </c>
      <c r="BI77" s="20">
        <f>IFERROR(VLOOKUP(Tabla14[[#This Row],[Llave]],'[5]Consolidación planes'!$A:$M,11,FALSE),0)</f>
        <v>0</v>
      </c>
      <c r="BJ77" s="20">
        <f>IFERROR(VLOOKUP(Tabla14[[#This Row],[Llave]],'[5]Consolidación planes'!$A:$M,12,FALSE),0)</f>
        <v>22000</v>
      </c>
      <c r="BK77" s="20">
        <f>IFERROR(VLOOKUP(Tabla14[[#This Row],[Llave]],'[5]Consolidación planes'!$A:$M,13,FALSE),0)</f>
        <v>176010</v>
      </c>
      <c r="BL77" s="20">
        <f>IFERROR(VLOOKUP(Tabla14[[#This Row],[Llave]],'[13]Base ultimos planes'!$A:$M,13,FALSE),0)</f>
        <v>219933</v>
      </c>
      <c r="BM77" s="20">
        <f>IFERROR(VLOOKUP(Tabla14[[#This Row],[Llave]],'[13]Cruce plan irrestricto'!$C:$M,10,FALSE),0)</f>
        <v>143000</v>
      </c>
      <c r="BN77" s="20">
        <f>IFERROR(VLOOKUP(Tabla14[[#This Row],[Llave]],'[13]Cruce plan irrestricto'!$C:$M,11,FALSE),0)</f>
        <v>154000</v>
      </c>
      <c r="BO77" s="80">
        <f>IFERROR(VLOOKUP(Tabla14[[#This Row],[Llave]],'[13]Base ultimos planes'!$O:$AA,8,FALSE),0)</f>
        <v>247500</v>
      </c>
      <c r="BP77" s="20">
        <f>IFERROR(VLOOKUP(Tabla14[[#This Row],[Llave]],'[13]Base ultimos planes'!$O:$AA,9,FALSE),0)</f>
        <v>108240</v>
      </c>
      <c r="BQ77" s="20">
        <f>IFERROR(VLOOKUP(Tabla14[[#This Row],[Llave]],'[13]Base ultimos planes'!$O:$AA,10,FALSE),0)</f>
        <v>0</v>
      </c>
      <c r="BR77" s="20">
        <f>IFERROR(VLOOKUP(Tabla14[[#This Row],[Llave]],'[13]Base ultimos planes'!$O:$AA,11,FALSE),0)</f>
        <v>38720</v>
      </c>
      <c r="BS77" s="20">
        <f>IFERROR(VLOOKUP(Tabla14[[#This Row],[Llave]],'[13]Base ultimos planes'!$O:$AA,12,FALSE),0)</f>
        <v>346371</v>
      </c>
      <c r="BT77" s="20">
        <f>IFERROR(VLOOKUP(Tabla14[[#This Row],[Llave]],'[13]Base ultimos planes'!$O:$AA,13,FALSE),0)</f>
        <v>424319</v>
      </c>
      <c r="BU77" s="20"/>
      <c r="BV77" s="20">
        <f>Tabla14[[#This Row],[ RV Producción mes n+1]]-Tabla14[[#This Row],[Producción disponible]]+Tabla14[[#This Row],[Saldo Volumen disponible]]</f>
        <v>93253.342136566294</v>
      </c>
      <c r="BW77" s="20">
        <f>IFERROR(VLOOKUP(Tabla14[[#This Row],[Llave]],[14]Hoja2!$J:$N,4,FALSE),0)</f>
        <v>193325.61800000002</v>
      </c>
      <c r="BX77" s="20">
        <f>+Tabla14[[#This Row],[Asignación mes n+1]]*Tabla14[[#This Row],[% Uti. producción]]</f>
        <v>74384.480641028495</v>
      </c>
      <c r="BY77" s="20">
        <f>+Tabla14[[#This Row],[Ponderación mes n+1]]+Tabla14[[#This Row],[Saldo mes n-1]]</f>
        <v>167637.82277759479</v>
      </c>
      <c r="BZ77" s="20">
        <f>+Tabla14[[#This Row],[Asignación mes n+1]]-Tabla14[[#This Row],[Ponderación mes n+1]]</f>
        <v>118941.13735897152</v>
      </c>
      <c r="CA77" s="20">
        <f>IFERROR(VLOOKUP(Tabla14[[#This Row],[Llave]],[14]Hoja2!$J:$N,5,FALSE),0)</f>
        <v>197999.997</v>
      </c>
      <c r="CB77" s="20">
        <f>+Tabla14[[#This Row],[Asignación mes n+2]]*Tabla14[[#This Row],[% Uti. producción]]</f>
        <v>76183.007177921958</v>
      </c>
      <c r="CC77" s="20">
        <f>+Tabla14[[#This Row],[Saldo mes n+2]]+Tabla14[[#This Row],[Ponderación mes n+2]]</f>
        <v>195124.14453689347</v>
      </c>
      <c r="CD77" s="20">
        <f>+Tabla14[[#This Row],[Asignación mes n+2]]-Tabla14[[#This Row],[Ponderación mes n+2]]</f>
        <v>121816.98982207805</v>
      </c>
    </row>
    <row r="78" spans="1:82" ht="16" x14ac:dyDescent="0.2">
      <c r="A78">
        <v>1</v>
      </c>
      <c r="B78" t="str">
        <f>Tabla14[[#This Row],[Oficina]]&amp;Tabla14[[#This Row],[Material]]</f>
        <v>Agrosuper Asia1021045</v>
      </c>
      <c r="C78" t="s">
        <v>6</v>
      </c>
      <c r="D78" t="s">
        <v>173</v>
      </c>
      <c r="E78">
        <v>1021045</v>
      </c>
      <c r="F78" t="s">
        <v>194</v>
      </c>
      <c r="G78" t="s">
        <v>159</v>
      </c>
      <c r="H78" t="s">
        <v>160</v>
      </c>
      <c r="I78" s="7">
        <f>IFERROR(IF(Tabla14[[#This Row],[Oficina]]=$I$7,VLOOKUP(Tabla14[[#This Row],[Material]],'[6]RV Producción'!$Y:$AA,3,FALSE),VLOOKUP(Tabla14[[#This Row],[Llave]],'[6]RV Producción'!$C:$G,5,FALSE)),0)</f>
        <v>88340</v>
      </c>
      <c r="J78" s="7">
        <f>IFERROR(IF(Tabla14[[#This Row],[Oficina]]=$I$7,VLOOKUP(Tabla14[[#This Row],[Llave]],'[7]Shangai (Tomas)'!$A:$F,6,FALSE),VLOOKUP(Tabla14[[#This Row],[Llave]],'[6]RV plan de ventas'!$A:$E,5,FALSE)),0)</f>
        <v>86000</v>
      </c>
      <c r="K78" s="8">
        <f>IFERROR(VLOOKUP(Tabla14[[#This Row],[Sector]]&amp;Tabla14[[#This Row],[Oficina]],[8]Ponderación!$A$3:$G$22,7,FALSE),0)</f>
        <v>0.38476266834449474</v>
      </c>
      <c r="L78" s="7">
        <f>+Tabla14[[#This Row],[ RV Producción mes n+1]]*Tabla14[[#This Row],[% Uti. producción]]</f>
        <v>33989.934121552666</v>
      </c>
      <c r="M78" s="7">
        <f>IFERROR(VLOOKUP(Tabla14[[#This Row],[Material]],'[9]TD Stock'!$B:$C,2,FALSE),0)</f>
        <v>23028.943999999992</v>
      </c>
      <c r="N78" s="7">
        <f>IFERROR(VLOOKUP(Tabla14[[#This Row],[Material]],'[10]Consolidado planificación'!$B:$C,2,FALSE),0)</f>
        <v>0</v>
      </c>
      <c r="O78" s="7">
        <f>IFERROR(VLOOKUP(Tabla14[[#This Row],[Llave]],[11]Hoja2!$D:$G,4,FALSE),0)</f>
        <v>0</v>
      </c>
      <c r="P78" s="14">
        <f>SUM(Tabla14[[#This Row],[Producción disponible]],Tabla14[[#This Row],[Stock al día]],(Tabla14[[#This Row],[Por producir mes N]]*0.9))-Tabla14[[#This Row],[Producción por despachar mes N]]</f>
        <v>57018.878121552654</v>
      </c>
      <c r="Q78" s="7">
        <f>IFERROR(VLOOKUP(Tabla14[[#This Row],[Llave]],[9]DELAY!$A:$D,4,FALSE),0)</f>
        <v>44000</v>
      </c>
      <c r="R78" s="9">
        <v>22000</v>
      </c>
      <c r="S78" s="5">
        <f t="shared" si="6"/>
        <v>44000</v>
      </c>
      <c r="T78" s="76">
        <v>-22000</v>
      </c>
      <c r="U78" s="5">
        <f>+Tabla14[[#This Row],[Atraso a facturar]]+Tabla14[[#This Row],[Ajuste atraso]]</f>
        <v>22000</v>
      </c>
      <c r="V78" s="3">
        <f>+Tabla14[[#This Row],[Total disponible]]-Tabla14[[#This Row],[Facturación atraso]]</f>
        <v>35018.878121552654</v>
      </c>
      <c r="W78" s="6">
        <f>IFERROR(IF(AND(V78&gt;R78,J78&gt;=R78),ROUNDDOWN((Tabla14[[#This Row],[Producción para venta nueva]])/R78,0)*R78,0),0)</f>
        <v>22000</v>
      </c>
      <c r="X78" s="76">
        <v>-22000</v>
      </c>
      <c r="Y78" s="6">
        <f>IF(Tabla14[[#This Row],[Venta del mes]]&gt;0,Tabla14[[#This Row],[Venta del mes]]+Tabla14[[#This Row],[Ajuste venta nueva]],0)</f>
        <v>0</v>
      </c>
      <c r="Z78" s="6">
        <f>+Tabla14[[#This Row],[Producción para venta nueva]]-Tabla14[[#This Row],[Facturación Venta nueva]]</f>
        <v>35018.878121552654</v>
      </c>
      <c r="AA78" s="6">
        <f>IF(AND(A78=1,Tabla14[[#This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8" s="6">
        <v>0</v>
      </c>
      <c r="AC78" s="6">
        <f>IF(Tabla14[[#This Row],[Disponible stock sin venta]]&gt;0,Tabla14[[#This Row],[Disponible stock sin venta]]+Tabla14[[#This Row],[Ajuste stock sin venta]],0)</f>
        <v>0</v>
      </c>
      <c r="AD78" s="3">
        <f>IFERROR(VLOOKUP(Tabla14[[#This Row],[Llave]],[12]Hoja1!$A:$D,4,FALSE),0)</f>
        <v>22004.639999999999</v>
      </c>
      <c r="AE7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88004.64</v>
      </c>
      <c r="AF78" s="3">
        <v>66004.639999999999</v>
      </c>
      <c r="AG78" s="3">
        <f>+Tabla14[[#This Row],[En puerto a facturar]]</f>
        <v>22004.639999999999</v>
      </c>
      <c r="AH78" s="3">
        <f>+Tabla14[[#This Row],[Facturación atraso]]</f>
        <v>22000</v>
      </c>
      <c r="AI78" s="3">
        <f>+Tabla14[[#This Row],[Plan Irrestricto (DATO)]]-Tabla14[[#This Row],[Puerto ]]-Tabla14[[#This Row],[Atraso]]</f>
        <v>22000</v>
      </c>
      <c r="AJ78" s="6">
        <f>IF(Tabla14[[#This Row],[Plan Irrestricto (DATO)]]&gt;0,SUM(Tabla14[[#This Row],[Facturación atraso]],Tabla14[[#This Row],[Facturación Venta nueva]],Tabla14[[#This Row],[Facturación stock]],Tabla14[[#This Row],[En puerto a facturar]]),0)</f>
        <v>44004.639999999999</v>
      </c>
      <c r="AK78" s="3">
        <f>+Tabla14[[#This Row],[Facturación atraso]]</f>
        <v>22000</v>
      </c>
      <c r="AL78" s="3">
        <f>Tabla14[[#This Row],[Plan Ajustado]]-Tabla14[[#This Row],[ Atraso ajustado]]-Tabla14[[#This Row],[En puerto a facturar]]</f>
        <v>0</v>
      </c>
      <c r="AM78" s="3" t="s">
        <v>874</v>
      </c>
      <c r="AN78" s="3"/>
      <c r="AO78" s="3" t="str">
        <f>IF(Tabla14[[#This Row],[Plan Ajustado]]&gt;Tabla14[[#This Row],[En puerto a facturar]],"Si","No")</f>
        <v>Si</v>
      </c>
      <c r="AP78" s="3">
        <f>IF(AND(Tabla14[[#This Row],[Plan Ajustado]]&gt;0,Tabla14[[#This Row],[Plan Ajustado]]&gt;Tabla14[[#This Row],[En puerto a facturar]]),(Tabla14[[#This Row],[Plan Ajustado]]-Tabla14[[#This Row],[En puerto a facturar]]),0)</f>
        <v>22000</v>
      </c>
      <c r="AQ78" s="3">
        <f>IF(Tabla14[[#This Row],[Necesidad]]&gt;=Tabla14[[#This Row],[Stock al día]],Tabla14[[#This Row],[Stock al día]],Tabla14[[#This Row],[Necesidad]])</f>
        <v>22000</v>
      </c>
      <c r="AR78" s="3">
        <f>+Tabla14[[#This Row],[Necesidad]]-Tabla14[[#This Row],[Stock Plan]]</f>
        <v>0</v>
      </c>
      <c r="AS78" s="155">
        <f>VLOOKUP(Tabla14[[#This Row],[Sector]]&amp;Tabla14[[#This Row],[Oficina]],[8]Ponderación!$A:$H,8,FALSE)</f>
        <v>44814</v>
      </c>
      <c r="AT78" s="30">
        <f>IFERROR(VLOOKUP(Tabla14[[#This Row],[Llave]],'[6]RV plan de ventas'!$A:$F,6,FALSE),0)</f>
        <v>1.96360465116279</v>
      </c>
      <c r="AU78" s="83">
        <f>IFERROR(VLOOKUP(Tabla14[[#This Row],[Llave]],[9]DELAY!$H:$X,17,FALSE),0)</f>
        <v>2.0123181818181801</v>
      </c>
      <c r="AV7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2.0123181818181801</v>
      </c>
      <c r="AW78" s="5">
        <f>Tabla14[[#This Row],[Pecio plan]]*Tabla14[[#This Row],[Plan Ajustado]]</f>
        <v>88551.337156363559</v>
      </c>
      <c r="AX78" s="30">
        <f>IFERROR(VLOOKUP(Tabla14[[#This Row],[Llave]],'[13]Ultimos precios facturados'!$A:$G,7,FALSE),0)</f>
        <v>2.0113766220216358</v>
      </c>
      <c r="AY7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4.6811710260306639E-4</v>
      </c>
      <c r="AZ78" s="30">
        <f>IFERROR(VLOOKUP(Tabla14[[#This Row],[Llave]],Hoja2!B:K,10,FALSE),0)</f>
        <v>2.1335303030303034</v>
      </c>
      <c r="BA7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2.0123181818181801</v>
      </c>
      <c r="BB78" s="30">
        <v>0</v>
      </c>
      <c r="BC78" s="30">
        <f>IF(Tabla14[[#This Row],[Market]]=0,Tabla14[[#This Row],[Precio Final]],Tabla14[[#This Row],[Market]])</f>
        <v>2.0123181818181801</v>
      </c>
      <c r="BD78" s="82"/>
      <c r="BE78" s="82" t="str">
        <f>IF(AND(Tabla14[[#This Row],[Atraso a facturar]]&gt;0,Tabla14[[#This Row],[En puerto a facturar]]&gt;0,Tabla14[[#This Row],[Precio Atraso]]=0),"Revisar","OK")</f>
        <v>OK</v>
      </c>
      <c r="BF78" s="82" t="str">
        <f>IF(AND(Tabla14[[#This Row],[Venta del mes]]&gt;0,Tabla14[[#This Row],[Precio venta nueva]]=0),"Revisar","OK")</f>
        <v>OK</v>
      </c>
      <c r="BG78" s="20">
        <f>IFERROR(VLOOKUP(Tabla14[[#This Row],[Llave]],'[5]Consolidación planes'!$A:$M,9,FALSE),0)</f>
        <v>88000</v>
      </c>
      <c r="BH78" s="20">
        <f>IFERROR(VLOOKUP(Tabla14[[#This Row],[Llave]],'[5]Consolidación planes'!$A:$M,10,FALSE),0)</f>
        <v>44000</v>
      </c>
      <c r="BI78" s="20">
        <f>IFERROR(VLOOKUP(Tabla14[[#This Row],[Llave]],'[5]Consolidación planes'!$A:$M,11,FALSE),0)</f>
        <v>22000</v>
      </c>
      <c r="BJ78" s="20">
        <f>IFERROR(VLOOKUP(Tabla14[[#This Row],[Llave]],'[5]Consolidación planes'!$A:$M,12,FALSE),0)</f>
        <v>44000</v>
      </c>
      <c r="BK78" s="20">
        <f>IFERROR(VLOOKUP(Tabla14[[#This Row],[Llave]],'[5]Consolidación planes'!$A:$M,13,FALSE),0)</f>
        <v>22000</v>
      </c>
      <c r="BL78" s="20">
        <f>IFERROR(VLOOKUP(Tabla14[[#This Row],[Llave]],'[13]Base ultimos planes'!$A:$M,13,FALSE),0)</f>
        <v>22000</v>
      </c>
      <c r="BM78" s="20">
        <f>IFERROR(VLOOKUP(Tabla14[[#This Row],[Llave]],'[13]Cruce plan irrestricto'!$C:$M,10,FALSE),0)</f>
        <v>66000</v>
      </c>
      <c r="BN78" s="20">
        <f>IFERROR(VLOOKUP(Tabla14[[#This Row],[Llave]],'[13]Cruce plan irrestricto'!$C:$M,11,FALSE),0)</f>
        <v>44000</v>
      </c>
      <c r="BO78" s="80">
        <f>IFERROR(VLOOKUP(Tabla14[[#This Row],[Llave]],'[13]Base ultimos planes'!$O:$AA,8,FALSE),0)</f>
        <v>237667.5</v>
      </c>
      <c r="BP78" s="20">
        <f>IFERROR(VLOOKUP(Tabla14[[#This Row],[Llave]],'[13]Base ultimos planes'!$O:$AA,9,FALSE),0)</f>
        <v>114400</v>
      </c>
      <c r="BQ78" s="20">
        <f>IFERROR(VLOOKUP(Tabla14[[#This Row],[Llave]],'[13]Base ultimos planes'!$O:$AA,10,FALSE),0)</f>
        <v>43120</v>
      </c>
      <c r="BR78" s="20">
        <f>IFERROR(VLOOKUP(Tabla14[[#This Row],[Llave]],'[13]Base ultimos planes'!$O:$AA,11,FALSE),0)</f>
        <v>91571</v>
      </c>
      <c r="BS78" s="20">
        <f>IFERROR(VLOOKUP(Tabla14[[#This Row],[Llave]],'[13]Base ultimos planes'!$O:$AA,12,FALSE),0)</f>
        <v>45756</v>
      </c>
      <c r="BT78" s="20">
        <f>IFERROR(VLOOKUP(Tabla14[[#This Row],[Llave]],'[13]Base ultimos planes'!$O:$AA,13,FALSE),0)</f>
        <v>42091</v>
      </c>
      <c r="BU78" s="20"/>
      <c r="BV78" s="20">
        <f>Tabla14[[#This Row],[ RV Producción mes n+1]]-Tabla14[[#This Row],[Producción disponible]]+Tabla14[[#This Row],[Saldo Volumen disponible]]</f>
        <v>89368.943999999989</v>
      </c>
      <c r="BW78" s="20">
        <f>IFERROR(VLOOKUP(Tabla14[[#This Row],[Llave]],[14]Hoja2!$J:$N,4,FALSE),0)</f>
        <v>77708.881999999983</v>
      </c>
      <c r="BX78" s="20">
        <f>+Tabla14[[#This Row],[Asignación mes n+1]]*Tabla14[[#This Row],[% Uti. producción]]</f>
        <v>29899.476792387472</v>
      </c>
      <c r="BY78" s="20">
        <f>+Tabla14[[#This Row],[Ponderación mes n+1]]+Tabla14[[#This Row],[Saldo mes n-1]]</f>
        <v>119268.42079238746</v>
      </c>
      <c r="BZ78" s="20">
        <f>+Tabla14[[#This Row],[Asignación mes n+1]]-Tabla14[[#This Row],[Ponderación mes n+1]]</f>
        <v>47809.405207612508</v>
      </c>
      <c r="CA78" s="20">
        <f>IFERROR(VLOOKUP(Tabla14[[#This Row],[Llave]],[14]Hoja2!$J:$N,5,FALSE),0)</f>
        <v>85328.938999999984</v>
      </c>
      <c r="CB78" s="20">
        <f>+Tabla14[[#This Row],[Asignación mes n+2]]*Tabla14[[#This Row],[% Uti. producción]]</f>
        <v>32831.39025664462</v>
      </c>
      <c r="CC78" s="20">
        <f>+Tabla14[[#This Row],[Saldo mes n+2]]+Tabla14[[#This Row],[Ponderación mes n+2]]</f>
        <v>80640.795464257128</v>
      </c>
      <c r="CD78" s="20">
        <f>+Tabla14[[#This Row],[Asignación mes n+2]]-Tabla14[[#This Row],[Ponderación mes n+2]]</f>
        <v>52497.548743355364</v>
      </c>
    </row>
    <row r="79" spans="1:82" ht="16" x14ac:dyDescent="0.2">
      <c r="A79">
        <v>1</v>
      </c>
      <c r="B79" t="str">
        <f>Tabla14[[#This Row],[Oficina]]&amp;Tabla14[[#This Row],[Material]]</f>
        <v>Agrosuper Asia1021046</v>
      </c>
      <c r="C79" t="s">
        <v>6</v>
      </c>
      <c r="D79" t="s">
        <v>173</v>
      </c>
      <c r="E79">
        <v>1021046</v>
      </c>
      <c r="F79" t="s">
        <v>195</v>
      </c>
      <c r="G79" t="s">
        <v>159</v>
      </c>
      <c r="H79" t="s">
        <v>160</v>
      </c>
      <c r="I79" s="7">
        <f>IFERROR(IF(Tabla14[[#This Row],[Oficina]]=$I$7,VLOOKUP(Tabla14[[#This Row],[Material]],'[6]RV Producción'!$Y:$AA,3,FALSE),VLOOKUP(Tabla14[[#This Row],[Llave]],'[6]RV Producción'!$C:$G,5,FALSE)),0)</f>
        <v>42000</v>
      </c>
      <c r="J79" s="7">
        <f>IFERROR(IF(Tabla14[[#This Row],[Oficina]]=$I$7,VLOOKUP(Tabla14[[#This Row],[Llave]],'[7]Shangai (Tomas)'!$A:$F,6,FALSE),VLOOKUP(Tabla14[[#This Row],[Llave]],'[6]RV plan de ventas'!$A:$E,5,FALSE)),0)</f>
        <v>48641</v>
      </c>
      <c r="K79" s="8">
        <f>IFERROR(VLOOKUP(Tabla14[[#This Row],[Sector]]&amp;Tabla14[[#This Row],[Oficina]],[8]Ponderación!$A$3:$G$22,7,FALSE),0)</f>
        <v>0.38476266834449474</v>
      </c>
      <c r="L79" s="7">
        <f>+Tabla14[[#This Row],[ RV Producción mes n+1]]*Tabla14[[#This Row],[% Uti. producción]]</f>
        <v>16160.032070468778</v>
      </c>
      <c r="M79" s="7">
        <f>IFERROR(VLOOKUP(Tabla14[[#This Row],[Material]],'[9]TD Stock'!$B:$C,2,FALSE),0)</f>
        <v>40688.584999999999</v>
      </c>
      <c r="N79" s="7">
        <f>IFERROR(VLOOKUP(Tabla14[[#This Row],[Material]],'[10]Consolidado planificación'!$B:$C,2,FALSE),0)</f>
        <v>74663.056800000006</v>
      </c>
      <c r="O79" s="7">
        <f>IFERROR(VLOOKUP(Tabla14[[#This Row],[Llave]],[11]Hoja2!$D:$G,4,FALSE),0)</f>
        <v>0</v>
      </c>
      <c r="P79" s="14">
        <f>SUM(Tabla14[[#This Row],[Producción disponible]],Tabla14[[#This Row],[Stock al día]],(Tabla14[[#This Row],[Por producir mes N]]*0.9))-Tabla14[[#This Row],[Producción por despachar mes N]]</f>
        <v>124045.36819046878</v>
      </c>
      <c r="Q79" s="7">
        <f>IFERROR(VLOOKUP(Tabla14[[#This Row],[Llave]],[9]DELAY!$A:$D,4,FALSE),0)</f>
        <v>154000</v>
      </c>
      <c r="R79" s="9">
        <v>22000</v>
      </c>
      <c r="S79" s="5">
        <f t="shared" si="6"/>
        <v>110000</v>
      </c>
      <c r="T79" s="76">
        <v>-22000</v>
      </c>
      <c r="U79" s="5">
        <f>+Tabla14[[#This Row],[Atraso a facturar]]+Tabla14[[#This Row],[Ajuste atraso]]</f>
        <v>88000</v>
      </c>
      <c r="V79" s="3">
        <f>+Tabla14[[#This Row],[Total disponible]]-Tabla14[[#This Row],[Facturación atraso]]</f>
        <v>36045.368190468784</v>
      </c>
      <c r="W79" s="6">
        <f>IFERROR(IF(AND(V79&gt;R79,J79&gt;=R79),ROUNDDOWN((Tabla14[[#This Row],[Producción para venta nueva]])/R79,0)*R79,0),0)</f>
        <v>22000</v>
      </c>
      <c r="X79" s="76">
        <v>-22000</v>
      </c>
      <c r="Y79" s="6">
        <f>IF(Tabla14[[#This Row],[Venta del mes]]&gt;0,Tabla14[[#This Row],[Venta del mes]]+Tabla14[[#This Row],[Ajuste venta nueva]],0)</f>
        <v>0</v>
      </c>
      <c r="Z79" s="6">
        <f>+Tabla14[[#This Row],[Producción para venta nueva]]-Tabla14[[#This Row],[Facturación Venta nueva]]</f>
        <v>36045.368190468784</v>
      </c>
      <c r="AA79" s="6">
        <f>IF(AND(A79=1,Tabla14[[#This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79" s="6">
        <v>0</v>
      </c>
      <c r="AC79" s="6">
        <f>IF(Tabla14[[#This Row],[Disponible stock sin venta]]&gt;0,Tabla14[[#This Row],[Disponible stock sin venta]]+Tabla14[[#This Row],[Ajuste stock sin venta]],0)</f>
        <v>0</v>
      </c>
      <c r="AD79" s="3">
        <f>IFERROR(VLOOKUP(Tabla14[[#This Row],[Llave]],[12]Hoja1!$A:$D,4,FALSE),0)</f>
        <v>22011.06</v>
      </c>
      <c r="AE7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154011.06</v>
      </c>
      <c r="AF79" s="3">
        <v>132011.06</v>
      </c>
      <c r="AG79" s="3">
        <f>+Tabla14[[#This Row],[En puerto a facturar]]</f>
        <v>22011.06</v>
      </c>
      <c r="AH79" s="3">
        <f>+Tabla14[[#This Row],[Facturación atraso]]</f>
        <v>88000</v>
      </c>
      <c r="AI79" s="3">
        <f>+Tabla14[[#This Row],[Plan Irrestricto (DATO)]]-Tabla14[[#This Row],[Puerto ]]-Tabla14[[#This Row],[Atraso]]</f>
        <v>22000</v>
      </c>
      <c r="AJ79" s="6">
        <f>IF(Tabla14[[#This Row],[Plan Irrestricto (DATO)]]&gt;0,SUM(Tabla14[[#This Row],[Facturación atraso]],Tabla14[[#This Row],[Facturación Venta nueva]],Tabla14[[#This Row],[Facturación stock]],Tabla14[[#This Row],[En puerto a facturar]]),0)</f>
        <v>110011.06</v>
      </c>
      <c r="AK79" s="3">
        <f>+Tabla14[[#This Row],[Facturación atraso]]</f>
        <v>88000</v>
      </c>
      <c r="AL79" s="3">
        <f>Tabla14[[#This Row],[Plan Ajustado]]-Tabla14[[#This Row],[ Atraso ajustado]]-Tabla14[[#This Row],[En puerto a facturar]]</f>
        <v>0</v>
      </c>
      <c r="AM79" s="3" t="s">
        <v>874</v>
      </c>
      <c r="AN79" s="3"/>
      <c r="AO79" s="3" t="str">
        <f>IF(Tabla14[[#This Row],[Plan Ajustado]]&gt;Tabla14[[#This Row],[En puerto a facturar]],"Si","No")</f>
        <v>Si</v>
      </c>
      <c r="AP79" s="3">
        <f>IF(AND(Tabla14[[#This Row],[Plan Ajustado]]&gt;0,Tabla14[[#This Row],[Plan Ajustado]]&gt;Tabla14[[#This Row],[En puerto a facturar]]),(Tabla14[[#This Row],[Plan Ajustado]]-Tabla14[[#This Row],[En puerto a facturar]]),0)</f>
        <v>88000</v>
      </c>
      <c r="AQ79" s="3">
        <f>IF(Tabla14[[#This Row],[Necesidad]]&gt;=Tabla14[[#This Row],[Stock al día]],Tabla14[[#This Row],[Stock al día]],Tabla14[[#This Row],[Necesidad]])</f>
        <v>40688.584999999999</v>
      </c>
      <c r="AR79" s="3">
        <f>+Tabla14[[#This Row],[Necesidad]]-Tabla14[[#This Row],[Stock Plan]]</f>
        <v>47311.415000000001</v>
      </c>
      <c r="AS79" s="155">
        <f>VLOOKUP(Tabla14[[#This Row],[Sector]]&amp;Tabla14[[#This Row],[Oficina]],[8]Ponderación!$A:$H,8,FALSE)</f>
        <v>44814</v>
      </c>
      <c r="AT79" s="30">
        <f>IFERROR(VLOOKUP(Tabla14[[#This Row],[Llave]],'[6]RV plan de ventas'!$A:$F,6,FALSE),0)</f>
        <v>1.9636109454986499</v>
      </c>
      <c r="AU79" s="83">
        <f>IFERROR(VLOOKUP(Tabla14[[#This Row],[Llave]],[9]DELAY!$H:$X,17,FALSE),0)</f>
        <v>1.5530795454545501</v>
      </c>
      <c r="AV7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1.5530795454545501</v>
      </c>
      <c r="AW79" s="5">
        <f>Tabla14[[#This Row],[Pecio plan]]*Tabla14[[#This Row],[Plan Ajustado]]</f>
        <v>170855.92705977324</v>
      </c>
      <c r="AX79" s="30">
        <f>IFERROR(VLOOKUP(Tabla14[[#This Row],[Llave]],'[13]Ultimos precios facturados'!$A:$G,7,FALSE),0)</f>
        <v>2.1213245413754449</v>
      </c>
      <c r="AY7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0.26787272990885713</v>
      </c>
      <c r="AZ79" s="30">
        <f>IFERROR(VLOOKUP(Tabla14[[#This Row],[Llave]],Hoja2!B:K,10,FALSE),0)</f>
        <v>0</v>
      </c>
      <c r="BA7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1.5530795454545501</v>
      </c>
      <c r="BB79" s="30">
        <v>0</v>
      </c>
      <c r="BC79" s="30">
        <f>IF(Tabla14[[#This Row],[Market]]=0,Tabla14[[#This Row],[Precio Final]],Tabla14[[#This Row],[Market]])</f>
        <v>1.5530795454545501</v>
      </c>
      <c r="BD79" s="82"/>
      <c r="BE79" s="82" t="str">
        <f>IF(AND(Tabla14[[#This Row],[Atraso a facturar]]&gt;0,Tabla14[[#This Row],[En puerto a facturar]]&gt;0,Tabla14[[#This Row],[Precio Atraso]]=0),"Revisar","OK")</f>
        <v>OK</v>
      </c>
      <c r="BF79" s="82" t="str">
        <f>IF(AND(Tabla14[[#This Row],[Venta del mes]]&gt;0,Tabla14[[#This Row],[Precio venta nueva]]=0),"Revisar","OK")</f>
        <v>OK</v>
      </c>
      <c r="BG79" s="20">
        <f>IFERROR(VLOOKUP(Tabla14[[#This Row],[Llave]],'[5]Consolidación planes'!$A:$M,9,FALSE),0)</f>
        <v>88000</v>
      </c>
      <c r="BH79" s="20">
        <f>IFERROR(VLOOKUP(Tabla14[[#This Row],[Llave]],'[5]Consolidación planes'!$A:$M,10,FALSE),0)</f>
        <v>66000</v>
      </c>
      <c r="BI79" s="20">
        <f>IFERROR(VLOOKUP(Tabla14[[#This Row],[Llave]],'[5]Consolidación planes'!$A:$M,11,FALSE),0)</f>
        <v>44000</v>
      </c>
      <c r="BJ79" s="20">
        <f>IFERROR(VLOOKUP(Tabla14[[#This Row],[Llave]],'[5]Consolidación planes'!$A:$M,12,FALSE),0)</f>
        <v>44000</v>
      </c>
      <c r="BK79" s="20">
        <f>IFERROR(VLOOKUP(Tabla14[[#This Row],[Llave]],'[5]Consolidación planes'!$A:$M,13,FALSE),0)</f>
        <v>22105</v>
      </c>
      <c r="BL79" s="20">
        <f>IFERROR(VLOOKUP(Tabla14[[#This Row],[Llave]],'[13]Base ultimos planes'!$A:$M,13,FALSE),0)</f>
        <v>44022</v>
      </c>
      <c r="BM79" s="20">
        <f>IFERROR(VLOOKUP(Tabla14[[#This Row],[Llave]],'[13]Cruce plan irrestricto'!$C:$M,10,FALSE),0)</f>
        <v>0</v>
      </c>
      <c r="BN79" s="20">
        <f>IFERROR(VLOOKUP(Tabla14[[#This Row],[Llave]],'[13]Cruce plan irrestricto'!$C:$M,11,FALSE),0)</f>
        <v>0</v>
      </c>
      <c r="BO79" s="80">
        <f>IFERROR(VLOOKUP(Tabla14[[#This Row],[Llave]],'[13]Base ultimos planes'!$O:$AA,8,FALSE),0)</f>
        <v>227040</v>
      </c>
      <c r="BP79" s="20">
        <f>IFERROR(VLOOKUP(Tabla14[[#This Row],[Llave]],'[13]Base ultimos planes'!$O:$AA,9,FALSE),0)</f>
        <v>171600</v>
      </c>
      <c r="BQ79" s="20">
        <f>IFERROR(VLOOKUP(Tabla14[[#This Row],[Llave]],'[13]Base ultimos planes'!$O:$AA,10,FALSE),0)</f>
        <v>99220</v>
      </c>
      <c r="BR79" s="20">
        <f>IFERROR(VLOOKUP(Tabla14[[#This Row],[Llave]],'[13]Base ultimos planes'!$O:$AA,11,FALSE),0)</f>
        <v>88542</v>
      </c>
      <c r="BS79" s="20">
        <f>IFERROR(VLOOKUP(Tabla14[[#This Row],[Llave]],'[13]Base ultimos planes'!$O:$AA,12,FALSE),0)</f>
        <v>45973</v>
      </c>
      <c r="BT79" s="20">
        <f>IFERROR(VLOOKUP(Tabla14[[#This Row],[Llave]],'[13]Base ultimos planes'!$O:$AA,13,FALSE),0)</f>
        <v>42091</v>
      </c>
      <c r="BU79" s="20"/>
      <c r="BV79" s="20">
        <f>Tabla14[[#This Row],[ RV Producción mes n+1]]-Tabla14[[#This Row],[Producción disponible]]+Tabla14[[#This Row],[Saldo Volumen disponible]]</f>
        <v>61885.336120000007</v>
      </c>
      <c r="BW79" s="20">
        <f>IFERROR(VLOOKUP(Tabla14[[#This Row],[Llave]],[14]Hoja2!$J:$N,4,FALSE),0)</f>
        <v>0</v>
      </c>
      <c r="BX79" s="20">
        <f>+Tabla14[[#This Row],[Asignación mes n+1]]*Tabla14[[#This Row],[% Uti. producción]]</f>
        <v>0</v>
      </c>
      <c r="BY79" s="20">
        <f>+Tabla14[[#This Row],[Ponderación mes n+1]]+Tabla14[[#This Row],[Saldo mes n-1]]</f>
        <v>61885.336120000007</v>
      </c>
      <c r="BZ79" s="20">
        <f>+Tabla14[[#This Row],[Asignación mes n+1]]-Tabla14[[#This Row],[Ponderación mes n+1]]</f>
        <v>0</v>
      </c>
      <c r="CA79" s="20">
        <f>IFERROR(VLOOKUP(Tabla14[[#This Row],[Llave]],[14]Hoja2!$J:$N,5,FALSE),0)</f>
        <v>0</v>
      </c>
      <c r="CB79" s="20">
        <f>+Tabla14[[#This Row],[Asignación mes n+2]]*Tabla14[[#This Row],[% Uti. producción]]</f>
        <v>0</v>
      </c>
      <c r="CC79" s="20">
        <f>+Tabla14[[#This Row],[Saldo mes n+2]]+Tabla14[[#This Row],[Ponderación mes n+2]]</f>
        <v>0</v>
      </c>
      <c r="CD79" s="20">
        <f>+Tabla14[[#This Row],[Asignación mes n+2]]-Tabla14[[#This Row],[Ponderación mes n+2]]</f>
        <v>0</v>
      </c>
    </row>
    <row r="80" spans="1:82" ht="16" x14ac:dyDescent="0.2">
      <c r="A80">
        <v>1</v>
      </c>
      <c r="B80" t="str">
        <f>Tabla14[[#This Row],[Oficina]]&amp;Tabla14[[#This Row],[Material]]</f>
        <v>Agrosuper Asia1021149</v>
      </c>
      <c r="C80" t="s">
        <v>6</v>
      </c>
      <c r="D80" t="s">
        <v>173</v>
      </c>
      <c r="E80">
        <v>1021149</v>
      </c>
      <c r="F80" t="s">
        <v>177</v>
      </c>
      <c r="G80" t="s">
        <v>92</v>
      </c>
      <c r="H80" t="s">
        <v>93</v>
      </c>
      <c r="I80" s="7">
        <f>IFERROR(IF(Tabla14[[#This Row],[Oficina]]=$I$7,VLOOKUP(Tabla14[[#This Row],[Material]],'[6]RV Producción'!$Y:$AA,3,FALSE),VLOOKUP(Tabla14[[#This Row],[Llave]],'[6]RV Producción'!$C:$G,5,FALSE)),0)</f>
        <v>150836</v>
      </c>
      <c r="J80" s="7">
        <f>IFERROR(IF(Tabla14[[#This Row],[Oficina]]=$I$7,VLOOKUP(Tabla14[[#This Row],[Llave]],'[7]Shangai (Tomas)'!$A:$F,6,FALSE),VLOOKUP(Tabla14[[#This Row],[Llave]],'[6]RV plan de ventas'!$A:$E,5,FALSE)),0)</f>
        <v>154000</v>
      </c>
      <c r="K80" s="8">
        <f>IFERROR(VLOOKUP(Tabla14[[#This Row],[Sector]]&amp;Tabla14[[#This Row],[Oficina]],[8]Ponderación!$A$3:$G$22,7,FALSE),0)</f>
        <v>0.38476266834449474</v>
      </c>
      <c r="L80" s="7">
        <f>+Tabla14[[#This Row],[ RV Producción mes n+1]]*Tabla14[[#This Row],[% Uti. producción]]</f>
        <v>58036.061842410207</v>
      </c>
      <c r="M80" s="7">
        <f>IFERROR(VLOOKUP(Tabla14[[#This Row],[Material]],'[9]TD Stock'!$B:$C,2,FALSE),0)</f>
        <v>33872.85</v>
      </c>
      <c r="N80" s="7">
        <f>IFERROR(VLOOKUP(Tabla14[[#This Row],[Material]],'[10]Consolidado planificación'!$B:$C,2,FALSE),0)</f>
        <v>22300</v>
      </c>
      <c r="O80" s="7">
        <f>IFERROR(VLOOKUP(Tabla14[[#This Row],[Llave]],[11]Hoja2!$D:$G,4,FALSE),0)</f>
        <v>0</v>
      </c>
      <c r="P80" s="14">
        <f>SUM(Tabla14[[#This Row],[Producción disponible]],Tabla14[[#This Row],[Stock al día]],(Tabla14[[#This Row],[Por producir mes N]]*0.9))-Tabla14[[#This Row],[Producción por despachar mes N]]</f>
        <v>111978.91184241021</v>
      </c>
      <c r="Q80" s="7">
        <f>IFERROR(VLOOKUP(Tabla14[[#This Row],[Llave]],[9]DELAY!$A:$D,4,FALSE),0)</f>
        <v>35000</v>
      </c>
      <c r="R80" s="9">
        <v>22000</v>
      </c>
      <c r="S80" s="5">
        <f t="shared" si="6"/>
        <v>35000</v>
      </c>
      <c r="T80" s="76">
        <v>8000</v>
      </c>
      <c r="U80" s="5">
        <f>+Tabla14[[#This Row],[Atraso a facturar]]+Tabla14[[#This Row],[Ajuste atraso]]</f>
        <v>43000</v>
      </c>
      <c r="V80" s="3">
        <f>+Tabla14[[#This Row],[Total disponible]]-Tabla14[[#This Row],[Facturación atraso]]</f>
        <v>68978.911842410205</v>
      </c>
      <c r="W80" s="6">
        <f>IFERROR(IF(AND(V80&gt;R80,J80&gt;=R80),ROUNDDOWN((Tabla14[[#This Row],[Producción para venta nueva]])/R80,0)*R80,0),0)</f>
        <v>66000</v>
      </c>
      <c r="X80" s="76">
        <v>-44000</v>
      </c>
      <c r="Y80" s="6">
        <f>IF(Tabla14[[#This Row],[Venta del mes]]&gt;0,Tabla14[[#This Row],[Venta del mes]]+Tabla14[[#This Row],[Ajuste venta nueva]],0)</f>
        <v>22000</v>
      </c>
      <c r="Z80" s="6">
        <f>+Tabla14[[#This Row],[Producción para venta nueva]]-Tabla14[[#This Row],[Facturación Venta nueva]]</f>
        <v>46978.911842410205</v>
      </c>
      <c r="AA80" s="6">
        <f>IF(AND(A80=1,Tabla14[[#This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80" s="6">
        <v>0</v>
      </c>
      <c r="AC80" s="6">
        <f>IF(Tabla14[[#This Row],[Disponible stock sin venta]]&gt;0,Tabla14[[#This Row],[Disponible stock sin venta]]+Tabla14[[#This Row],[Ajuste stock sin venta]],0)</f>
        <v>0</v>
      </c>
      <c r="AD80" s="3">
        <f>IFERROR(VLOOKUP(Tabla14[[#This Row],[Llave]],[12]Hoja1!$A:$D,4,FALSE),0)</f>
        <v>0</v>
      </c>
      <c r="AE8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101000</v>
      </c>
      <c r="AF80" s="3">
        <v>101000</v>
      </c>
      <c r="AG80" s="3">
        <f>+Tabla14[[#This Row],[En puerto a facturar]]</f>
        <v>0</v>
      </c>
      <c r="AH80" s="3">
        <f>+Tabla14[[#This Row],[Facturación atraso]]</f>
        <v>43000</v>
      </c>
      <c r="AI80" s="3">
        <f>+Tabla14[[#This Row],[Plan Irrestricto (DATO)]]-Tabla14[[#This Row],[Puerto ]]-Tabla14[[#This Row],[Atraso]]</f>
        <v>58000</v>
      </c>
      <c r="AJ80" s="6">
        <f>IF(Tabla14[[#This Row],[Plan Irrestricto (DATO)]]&gt;0,SUM(Tabla14[[#This Row],[Facturación atraso]],Tabla14[[#This Row],[Facturación Venta nueva]],Tabla14[[#This Row],[Facturación stock]],Tabla14[[#This Row],[En puerto a facturar]]),0)</f>
        <v>65000</v>
      </c>
      <c r="AK80" s="3">
        <f>+Tabla14[[#This Row],[Facturación atraso]]</f>
        <v>43000</v>
      </c>
      <c r="AL80" s="3">
        <f>Tabla14[[#This Row],[Plan Ajustado]]-Tabla14[[#This Row],[ Atraso ajustado]]-Tabla14[[#This Row],[En puerto a facturar]]</f>
        <v>22000</v>
      </c>
      <c r="AM80" s="3" t="s">
        <v>875</v>
      </c>
      <c r="AN80" s="3"/>
      <c r="AO80" s="3" t="str">
        <f>IF(Tabla14[[#This Row],[Plan Ajustado]]&gt;Tabla14[[#This Row],[En puerto a facturar]],"Si","No")</f>
        <v>Si</v>
      </c>
      <c r="AP80" s="3">
        <f>IF(AND(Tabla14[[#This Row],[Plan Ajustado]]&gt;0,Tabla14[[#This Row],[Plan Ajustado]]&gt;Tabla14[[#This Row],[En puerto a facturar]]),(Tabla14[[#This Row],[Plan Ajustado]]-Tabla14[[#This Row],[En puerto a facturar]]),0)</f>
        <v>65000</v>
      </c>
      <c r="AQ80" s="3">
        <f>IF(Tabla14[[#This Row],[Necesidad]]&gt;=Tabla14[[#This Row],[Stock al día]],Tabla14[[#This Row],[Stock al día]],Tabla14[[#This Row],[Necesidad]])</f>
        <v>33872.85</v>
      </c>
      <c r="AR80" s="3">
        <f>+Tabla14[[#This Row],[Necesidad]]-Tabla14[[#This Row],[Stock Plan]]</f>
        <v>31127.15</v>
      </c>
      <c r="AS80" s="155">
        <f>VLOOKUP(Tabla14[[#This Row],[Sector]]&amp;Tabla14[[#This Row],[Oficina]],[8]Ponderación!$A:$H,8,FALSE)</f>
        <v>44814</v>
      </c>
      <c r="AT80" s="30">
        <f>IFERROR(VLOOKUP(Tabla14[[#This Row],[Llave]],'[6]RV plan de ventas'!$A:$F,6,FALSE),0)</f>
        <v>0.66360389610389603</v>
      </c>
      <c r="AU80" s="83">
        <f>IFERROR(VLOOKUP(Tabla14[[#This Row],[Llave]],[9]DELAY!$H:$X,17,FALSE),0)</f>
        <v>0.673035941860465</v>
      </c>
      <c r="AV8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0.66984355714285704</v>
      </c>
      <c r="AW80" s="5">
        <f>Tabla14[[#This Row],[Pecio plan]]*Tabla14[[#This Row],[Plan Ajustado]]</f>
        <v>43539.83121428571</v>
      </c>
      <c r="AX80" s="30">
        <f>IFERROR(VLOOKUP(Tabla14[[#This Row],[Llave]],'[13]Ultimos precios facturados'!$A:$G,7,FALSE),0)</f>
        <v>0.84587359159195552</v>
      </c>
      <c r="AY8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0.20810442151031752</v>
      </c>
      <c r="AZ80" s="30">
        <f>IFERROR(VLOOKUP(Tabla14[[#This Row],[Llave]],Hoja2!B:K,10,FALSE),0)</f>
        <v>0.77812499999999996</v>
      </c>
      <c r="BA8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0.66984355714285704</v>
      </c>
      <c r="BB80" s="30">
        <v>0</v>
      </c>
      <c r="BC80" s="30">
        <f>IF(Tabla14[[#This Row],[Market]]=0,Tabla14[[#This Row],[Precio Final]],Tabla14[[#This Row],[Market]])</f>
        <v>0.66984355714285704</v>
      </c>
      <c r="BD80" s="82"/>
      <c r="BE80" s="82" t="str">
        <f>IF(AND(Tabla14[[#This Row],[Atraso a facturar]]&gt;0,Tabla14[[#This Row],[En puerto a facturar]]&gt;0,Tabla14[[#This Row],[Precio Atraso]]=0),"Revisar","OK")</f>
        <v>OK</v>
      </c>
      <c r="BF80" s="82" t="str">
        <f>IF(AND(Tabla14[[#This Row],[Venta del mes]]&gt;0,Tabla14[[#This Row],[Precio venta nueva]]=0),"Revisar","OK")</f>
        <v>OK</v>
      </c>
      <c r="BG80" s="20">
        <f>IFERROR(VLOOKUP(Tabla14[[#This Row],[Llave]],'[5]Consolidación planes'!$A:$M,9,FALSE),0)</f>
        <v>66000</v>
      </c>
      <c r="BH80" s="20">
        <f>IFERROR(VLOOKUP(Tabla14[[#This Row],[Llave]],'[5]Consolidación planes'!$A:$M,10,FALSE),0)</f>
        <v>44000</v>
      </c>
      <c r="BI80" s="20">
        <f>IFERROR(VLOOKUP(Tabla14[[#This Row],[Llave]],'[5]Consolidación planes'!$A:$M,11,FALSE),0)</f>
        <v>66000</v>
      </c>
      <c r="BJ80" s="20">
        <f>IFERROR(VLOOKUP(Tabla14[[#This Row],[Llave]],'[5]Consolidación planes'!$A:$M,12,FALSE),0)</f>
        <v>44000</v>
      </c>
      <c r="BK80" s="20">
        <f>IFERROR(VLOOKUP(Tabla14[[#This Row],[Llave]],'[5]Consolidación planes'!$A:$M,13,FALSE),0)</f>
        <v>66000</v>
      </c>
      <c r="BL80" s="20">
        <f>IFERROR(VLOOKUP(Tabla14[[#This Row],[Llave]],'[13]Base ultimos planes'!$A:$M,13,FALSE),0)</f>
        <v>110000</v>
      </c>
      <c r="BM80" s="20">
        <f>IFERROR(VLOOKUP(Tabla14[[#This Row],[Llave]],'[13]Cruce plan irrestricto'!$C:$M,10,FALSE),0)</f>
        <v>44000</v>
      </c>
      <c r="BN80" s="20">
        <f>IFERROR(VLOOKUP(Tabla14[[#This Row],[Llave]],'[13]Cruce plan irrestricto'!$C:$M,11,FALSE),0)</f>
        <v>22000</v>
      </c>
      <c r="BO80" s="80">
        <f>IFERROR(VLOOKUP(Tabla14[[#This Row],[Llave]],'[13]Base ultimos planes'!$O:$AA,8,FALSE),0)</f>
        <v>75240</v>
      </c>
      <c r="BP80" s="20">
        <f>IFERROR(VLOOKUP(Tabla14[[#This Row],[Llave]],'[13]Base ultimos planes'!$O:$AA,9,FALSE),0)</f>
        <v>72160</v>
      </c>
      <c r="BQ80" s="20">
        <f>IFERROR(VLOOKUP(Tabla14[[#This Row],[Llave]],'[13]Base ultimos planes'!$O:$AA,10,FALSE),0)</f>
        <v>67980</v>
      </c>
      <c r="BR80" s="20">
        <f>IFERROR(VLOOKUP(Tabla14[[#This Row],[Llave]],'[13]Base ultimos planes'!$O:$AA,11,FALSE),0)</f>
        <v>46640</v>
      </c>
      <c r="BS80" s="20">
        <f>IFERROR(VLOOKUP(Tabla14[[#This Row],[Llave]],'[13]Base ultimos planes'!$O:$AA,12,FALSE),0)</f>
        <v>54659</v>
      </c>
      <c r="BT80" s="20">
        <f>IFERROR(VLOOKUP(Tabla14[[#This Row],[Llave]],'[13]Base ultimos planes'!$O:$AA,13,FALSE),0)</f>
        <v>81377</v>
      </c>
      <c r="BU80" s="20"/>
      <c r="BV80" s="20">
        <f>Tabla14[[#This Row],[ RV Producción mes n+1]]-Tabla14[[#This Row],[Producción disponible]]+Tabla14[[#This Row],[Saldo Volumen disponible]]</f>
        <v>139778.84999999998</v>
      </c>
      <c r="BW80" s="20">
        <f>IFERROR(VLOOKUP(Tabla14[[#This Row],[Llave]],[14]Hoja2!$J:$N,4,FALSE),0)</f>
        <v>154000</v>
      </c>
      <c r="BX80" s="20">
        <f>+Tabla14[[#This Row],[Asignación mes n+1]]*Tabla14[[#This Row],[% Uti. producción]]</f>
        <v>59253.450925052188</v>
      </c>
      <c r="BY80" s="20">
        <f>+Tabla14[[#This Row],[Ponderación mes n+1]]+Tabla14[[#This Row],[Saldo mes n-1]]</f>
        <v>199032.30092505217</v>
      </c>
      <c r="BZ80" s="20">
        <f>+Tabla14[[#This Row],[Asignación mes n+1]]-Tabla14[[#This Row],[Ponderación mes n+1]]</f>
        <v>94746.549074947805</v>
      </c>
      <c r="CA80" s="20">
        <f>IFERROR(VLOOKUP(Tabla14[[#This Row],[Llave]],[14]Hoja2!$J:$N,5,FALSE),0)</f>
        <v>154000</v>
      </c>
      <c r="CB80" s="20">
        <f>+Tabla14[[#This Row],[Asignación mes n+2]]*Tabla14[[#This Row],[% Uti. producción]]</f>
        <v>59253.450925052188</v>
      </c>
      <c r="CC80" s="20">
        <f>+Tabla14[[#This Row],[Saldo mes n+2]]+Tabla14[[#This Row],[Ponderación mes n+2]]</f>
        <v>154000</v>
      </c>
      <c r="CD80" s="20">
        <f>+Tabla14[[#This Row],[Asignación mes n+2]]-Tabla14[[#This Row],[Ponderación mes n+2]]</f>
        <v>94746.549074947805</v>
      </c>
    </row>
    <row r="81" spans="1:82" ht="16" x14ac:dyDescent="0.2">
      <c r="A81">
        <v>1</v>
      </c>
      <c r="B81" t="str">
        <f>Tabla14[[#This Row],[Oficina]]&amp;Tabla14[[#This Row],[Material]]</f>
        <v>Agrosuper Asia1021150</v>
      </c>
      <c r="C81" t="s">
        <v>6</v>
      </c>
      <c r="D81" t="s">
        <v>173</v>
      </c>
      <c r="E81">
        <v>1021150</v>
      </c>
      <c r="F81" t="s">
        <v>178</v>
      </c>
      <c r="G81" t="s">
        <v>92</v>
      </c>
      <c r="H81" t="s">
        <v>93</v>
      </c>
      <c r="I81" s="7">
        <f>IFERROR(IF(Tabla14[[#This Row],[Oficina]]=$I$7,VLOOKUP(Tabla14[[#This Row],[Material]],'[6]RV Producción'!$Y:$AA,3,FALSE),VLOOKUP(Tabla14[[#This Row],[Llave]],'[6]RV Producción'!$C:$G,5,FALSE)),0)</f>
        <v>3581</v>
      </c>
      <c r="J81" s="7">
        <f>IFERROR(IF(Tabla14[[#This Row],[Oficina]]=$I$7,VLOOKUP(Tabla14[[#This Row],[Llave]],'[7]Shangai (Tomas)'!$A:$F,6,FALSE),VLOOKUP(Tabla14[[#This Row],[Llave]],'[6]RV plan de ventas'!$A:$E,5,FALSE)),0)</f>
        <v>15768</v>
      </c>
      <c r="K81" s="8">
        <f>IFERROR(VLOOKUP(Tabla14[[#This Row],[Sector]]&amp;Tabla14[[#This Row],[Oficina]],[8]Ponderación!$A$3:$G$22,7,FALSE),0)</f>
        <v>0.38476266834449474</v>
      </c>
      <c r="L81" s="7">
        <f>+Tabla14[[#This Row],[ RV Producción mes n+1]]*Tabla14[[#This Row],[% Uti. producción]]</f>
        <v>1377.8351153416356</v>
      </c>
      <c r="M81" s="7">
        <f>IFERROR(VLOOKUP(Tabla14[[#This Row],[Material]],'[9]TD Stock'!$B:$C,2,FALSE),0)</f>
        <v>50293.22</v>
      </c>
      <c r="N81" s="7">
        <f>IFERROR(VLOOKUP(Tabla14[[#This Row],[Material]],'[10]Consolidado planificación'!$B:$C,2,FALSE),0)</f>
        <v>0</v>
      </c>
      <c r="O81" s="7">
        <f>IFERROR(VLOOKUP(Tabla14[[#This Row],[Llave]],[11]Hoja2!$D:$G,4,FALSE),0)</f>
        <v>0</v>
      </c>
      <c r="P81" s="14">
        <f>SUM(Tabla14[[#This Row],[Producción disponible]],Tabla14[[#This Row],[Stock al día]],(Tabla14[[#This Row],[Por producir mes N]]*0.9))-Tabla14[[#This Row],[Producción por despachar mes N]]</f>
        <v>51671.055115341638</v>
      </c>
      <c r="Q81" s="7">
        <f>IFERROR(VLOOKUP(Tabla14[[#This Row],[Llave]],[9]DELAY!$A:$D,4,FALSE),0)</f>
        <v>44000</v>
      </c>
      <c r="R81" s="9">
        <v>22000</v>
      </c>
      <c r="S81" s="5">
        <f t="shared" si="6"/>
        <v>44000</v>
      </c>
      <c r="T81" s="76">
        <v>-22000</v>
      </c>
      <c r="U81" s="5">
        <f>+Tabla14[[#This Row],[Atraso a facturar]]+Tabla14[[#This Row],[Ajuste atraso]]</f>
        <v>22000</v>
      </c>
      <c r="V81" s="3">
        <f>+Tabla14[[#This Row],[Total disponible]]-Tabla14[[#This Row],[Facturación atraso]]</f>
        <v>29671.055115341638</v>
      </c>
      <c r="W81" s="6">
        <f>IFERROR(IF(AND(V81&gt;R81,J81&gt;=R81),ROUNDDOWN((Tabla14[[#This Row],[Producción para venta nueva]])/R81,0)*R81,0),0)</f>
        <v>0</v>
      </c>
      <c r="X81" s="76">
        <v>0</v>
      </c>
      <c r="Y81" s="6">
        <f>IF(Tabla14[[#This Row],[Venta del mes]]&gt;0,Tabla14[[#This Row],[Venta del mes]]+Tabla14[[#This Row],[Ajuste venta nueva]],0)</f>
        <v>0</v>
      </c>
      <c r="Z81" s="6">
        <f>+Tabla14[[#This Row],[Producción para venta nueva]]-Tabla14[[#This Row],[Facturación Venta nueva]]</f>
        <v>29671.055115341638</v>
      </c>
      <c r="AA81" s="6">
        <f>IF(AND(A81=1,Tabla14[[#This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22000</v>
      </c>
      <c r="AB81" s="6">
        <v>0</v>
      </c>
      <c r="AC81" s="6">
        <f>IF(Tabla14[[#This Row],[Disponible stock sin venta]]&gt;0,Tabla14[[#This Row],[Disponible stock sin venta]]+Tabla14[[#This Row],[Ajuste stock sin venta]],0)</f>
        <v>22000</v>
      </c>
      <c r="AD81" s="3">
        <f>IFERROR(VLOOKUP(Tabla14[[#This Row],[Llave]],[12]Hoja1!$A:$D,4,FALSE),0)</f>
        <v>66000</v>
      </c>
      <c r="AE8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132000</v>
      </c>
      <c r="AF81" s="3">
        <v>110000</v>
      </c>
      <c r="AG81" s="3">
        <f>+Tabla14[[#This Row],[En puerto a facturar]]</f>
        <v>66000</v>
      </c>
      <c r="AH81" s="3">
        <f>+Tabla14[[#This Row],[Facturación atraso]]</f>
        <v>22000</v>
      </c>
      <c r="AI81" s="3">
        <f>+Tabla14[[#This Row],[Plan Irrestricto (DATO)]]-Tabla14[[#This Row],[Puerto ]]-Tabla14[[#This Row],[Atraso]]</f>
        <v>22000</v>
      </c>
      <c r="AJ81" s="6">
        <f>IF(Tabla14[[#This Row],[Plan Irrestricto (DATO)]]&gt;0,SUM(Tabla14[[#This Row],[Facturación atraso]],Tabla14[[#This Row],[Facturación Venta nueva]],Tabla14[[#This Row],[Facturación stock]],Tabla14[[#This Row],[En puerto a facturar]]),0)</f>
        <v>110000</v>
      </c>
      <c r="AK81" s="3">
        <f>+Tabla14[[#This Row],[Facturación atraso]]</f>
        <v>22000</v>
      </c>
      <c r="AL81" s="3">
        <f>Tabla14[[#This Row],[Plan Ajustado]]-Tabla14[[#This Row],[ Atraso ajustado]]-Tabla14[[#This Row],[En puerto a facturar]]</f>
        <v>22000</v>
      </c>
      <c r="AM81" s="3" t="s">
        <v>874</v>
      </c>
      <c r="AN81" s="3"/>
      <c r="AO81" s="3" t="str">
        <f>IF(Tabla14[[#This Row],[Plan Ajustado]]&gt;Tabla14[[#This Row],[En puerto a facturar]],"Si","No")</f>
        <v>Si</v>
      </c>
      <c r="AP81" s="3">
        <f>IF(AND(Tabla14[[#This Row],[Plan Ajustado]]&gt;0,Tabla14[[#This Row],[Plan Ajustado]]&gt;Tabla14[[#This Row],[En puerto a facturar]]),(Tabla14[[#This Row],[Plan Ajustado]]-Tabla14[[#This Row],[En puerto a facturar]]),0)</f>
        <v>44000</v>
      </c>
      <c r="AQ81" s="3">
        <f>IF(Tabla14[[#This Row],[Necesidad]]&gt;=Tabla14[[#This Row],[Stock al día]],Tabla14[[#This Row],[Stock al día]],Tabla14[[#This Row],[Necesidad]])</f>
        <v>44000</v>
      </c>
      <c r="AR81" s="3">
        <f>+Tabla14[[#This Row],[Necesidad]]-Tabla14[[#This Row],[Stock Plan]]</f>
        <v>0</v>
      </c>
      <c r="AS81" s="155">
        <f>VLOOKUP(Tabla14[[#This Row],[Sector]]&amp;Tabla14[[#This Row],[Oficina]],[8]Ponderación!$A:$H,8,FALSE)</f>
        <v>44814</v>
      </c>
      <c r="AT81" s="30">
        <f>IFERROR(VLOOKUP(Tabla14[[#This Row],[Llave]],'[6]RV plan de ventas'!$A:$F,6,FALSE),0)</f>
        <v>0.66362252663622501</v>
      </c>
      <c r="AU81" s="83">
        <f>IFERROR(VLOOKUP(Tabla14[[#This Row],[Llave]],[9]DELAY!$H:$X,17,FALSE),0)</f>
        <v>0.77487878787878794</v>
      </c>
      <c r="AV8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0.77487878787878806</v>
      </c>
      <c r="AW81" s="5">
        <f>Tabla14[[#This Row],[Pecio plan]]*Tabla14[[#This Row],[Plan Ajustado]]</f>
        <v>85236.666666666686</v>
      </c>
      <c r="AX81" s="30">
        <f>IFERROR(VLOOKUP(Tabla14[[#This Row],[Llave]],'[13]Ultimos precios facturados'!$A:$G,7,FALSE),0)</f>
        <v>0.92425965578539115</v>
      </c>
      <c r="AY8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0.16162218806323042</v>
      </c>
      <c r="AZ81" s="30">
        <f>IFERROR(VLOOKUP(Tabla14[[#This Row],[Llave]],Hoja2!B:K,10,FALSE),0)</f>
        <v>0.85019696969696967</v>
      </c>
      <c r="BA8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0.77487878787878806</v>
      </c>
      <c r="BB81" s="30">
        <v>0</v>
      </c>
      <c r="BC81" s="30">
        <f>IF(Tabla14[[#This Row],[Market]]=0,Tabla14[[#This Row],[Precio Final]],Tabla14[[#This Row],[Market]])</f>
        <v>0.77487878787878806</v>
      </c>
      <c r="BD81" s="82"/>
      <c r="BE81" s="82" t="str">
        <f>IF(AND(Tabla14[[#This Row],[Atraso a facturar]]&gt;0,Tabla14[[#This Row],[En puerto a facturar]]&gt;0,Tabla14[[#This Row],[Precio Atraso]]=0),"Revisar","OK")</f>
        <v>OK</v>
      </c>
      <c r="BF81" s="82" t="str">
        <f>IF(AND(Tabla14[[#This Row],[Venta del mes]]&gt;0,Tabla14[[#This Row],[Precio venta nueva]]=0),"Revisar","OK")</f>
        <v>OK</v>
      </c>
      <c r="BG81" s="20">
        <f>IFERROR(VLOOKUP(Tabla14[[#This Row],[Llave]],'[5]Consolidación planes'!$A:$M,9,FALSE),0)</f>
        <v>44000</v>
      </c>
      <c r="BH81" s="20">
        <f>IFERROR(VLOOKUP(Tabla14[[#This Row],[Llave]],'[5]Consolidación planes'!$A:$M,10,FALSE),0)</f>
        <v>66000</v>
      </c>
      <c r="BI81" s="20">
        <f>IFERROR(VLOOKUP(Tabla14[[#This Row],[Llave]],'[5]Consolidación planes'!$A:$M,11,FALSE),0)</f>
        <v>22000</v>
      </c>
      <c r="BJ81" s="20">
        <f>IFERROR(VLOOKUP(Tabla14[[#This Row],[Llave]],'[5]Consolidación planes'!$A:$M,12,FALSE),0)</f>
        <v>44000</v>
      </c>
      <c r="BK81" s="20">
        <f>IFERROR(VLOOKUP(Tabla14[[#This Row],[Llave]],'[5]Consolidación planes'!$A:$M,13,FALSE),0)</f>
        <v>22000</v>
      </c>
      <c r="BL81" s="20">
        <f>IFERROR(VLOOKUP(Tabla14[[#This Row],[Llave]],'[13]Base ultimos planes'!$A:$M,13,FALSE),0)</f>
        <v>88000</v>
      </c>
      <c r="BM81" s="20">
        <f>IFERROR(VLOOKUP(Tabla14[[#This Row],[Llave]],'[13]Cruce plan irrestricto'!$C:$M,10,FALSE),0)</f>
        <v>44000</v>
      </c>
      <c r="BN81" s="20">
        <f>IFERROR(VLOOKUP(Tabla14[[#This Row],[Llave]],'[13]Cruce plan irrestricto'!$C:$M,11,FALSE),0)</f>
        <v>22000</v>
      </c>
      <c r="BO81" s="80">
        <f>IFERROR(VLOOKUP(Tabla14[[#This Row],[Llave]],'[13]Base ultimos planes'!$O:$AA,8,FALSE),0)</f>
        <v>49824.5</v>
      </c>
      <c r="BP81" s="20">
        <f>IFERROR(VLOOKUP(Tabla14[[#This Row],[Llave]],'[13]Base ultimos planes'!$O:$AA,9,FALSE),0)</f>
        <v>108240</v>
      </c>
      <c r="BQ81" s="20">
        <f>IFERROR(VLOOKUP(Tabla14[[#This Row],[Llave]],'[13]Base ultimos planes'!$O:$AA,10,FALSE),0)</f>
        <v>23100</v>
      </c>
      <c r="BR81" s="20">
        <f>IFERROR(VLOOKUP(Tabla14[[#This Row],[Llave]],'[13]Base ultimos planes'!$O:$AA,11,FALSE),0)</f>
        <v>49060</v>
      </c>
      <c r="BS81" s="20">
        <f>IFERROR(VLOOKUP(Tabla14[[#This Row],[Llave]],'[13]Base ultimos planes'!$O:$AA,12,FALSE),0)</f>
        <v>23341</v>
      </c>
      <c r="BT81" s="20">
        <f>IFERROR(VLOOKUP(Tabla14[[#This Row],[Llave]],'[13]Base ultimos planes'!$O:$AA,13,FALSE),0)</f>
        <v>65304</v>
      </c>
      <c r="BU81" s="20"/>
      <c r="BV81" s="20">
        <f>Tabla14[[#This Row],[ RV Producción mes n+1]]-Tabla14[[#This Row],[Producción disponible]]+Tabla14[[#This Row],[Saldo Volumen disponible]]</f>
        <v>31874.22</v>
      </c>
      <c r="BW81" s="20">
        <f>IFERROR(VLOOKUP(Tabla14[[#This Row],[Llave]],[14]Hoja2!$J:$N,4,FALSE),0)</f>
        <v>3134.1377000000002</v>
      </c>
      <c r="BX81" s="20">
        <f>+Tabla14[[#This Row],[Asignación mes n+1]]*Tabla14[[#This Row],[% Uti. producción]]</f>
        <v>1205.8991844110776</v>
      </c>
      <c r="BY81" s="20">
        <f>+Tabla14[[#This Row],[Ponderación mes n+1]]+Tabla14[[#This Row],[Saldo mes n-1]]</f>
        <v>33080.11918441108</v>
      </c>
      <c r="BZ81" s="20">
        <f>+Tabla14[[#This Row],[Asignación mes n+1]]-Tabla14[[#This Row],[Ponderación mes n+1]]</f>
        <v>1928.2385155889226</v>
      </c>
      <c r="CA81" s="20">
        <f>IFERROR(VLOOKUP(Tabla14[[#This Row],[Llave]],[14]Hoja2!$J:$N,5,FALSE),0)</f>
        <v>16560.666999999998</v>
      </c>
      <c r="CB81" s="20">
        <f>+Tabla14[[#This Row],[Asignación mes n+2]]*Tabla14[[#This Row],[% Uti. producción]]</f>
        <v>6371.9264244846181</v>
      </c>
      <c r="CC81" s="20">
        <f>+Tabla14[[#This Row],[Saldo mes n+2]]+Tabla14[[#This Row],[Ponderación mes n+2]]</f>
        <v>8300.1649400735405</v>
      </c>
      <c r="CD81" s="20">
        <f>+Tabla14[[#This Row],[Asignación mes n+2]]-Tabla14[[#This Row],[Ponderación mes n+2]]</f>
        <v>10188.74057551538</v>
      </c>
    </row>
    <row r="82" spans="1:82" ht="16" x14ac:dyDescent="0.2">
      <c r="A82">
        <v>1</v>
      </c>
      <c r="B82" t="str">
        <f>Tabla14[[#This Row],[Oficina]]&amp;Tabla14[[#This Row],[Material]]</f>
        <v>Agrosuper Asia1021151</v>
      </c>
      <c r="C82" t="s">
        <v>6</v>
      </c>
      <c r="D82" t="s">
        <v>173</v>
      </c>
      <c r="E82">
        <v>1021151</v>
      </c>
      <c r="F82" t="s">
        <v>180</v>
      </c>
      <c r="G82" t="s">
        <v>92</v>
      </c>
      <c r="H82" t="s">
        <v>153</v>
      </c>
      <c r="I82" s="7">
        <f>IFERROR(IF(Tabla14[[#This Row],[Oficina]]=$I$7,VLOOKUP(Tabla14[[#This Row],[Material]],'[6]RV Producción'!$Y:$AA,3,FALSE),VLOOKUP(Tabla14[[#This Row],[Llave]],'[6]RV Producción'!$C:$G,5,FALSE)),0)</f>
        <v>0</v>
      </c>
      <c r="J82" s="7">
        <f>IFERROR(IF(Tabla14[[#This Row],[Oficina]]=$I$7,VLOOKUP(Tabla14[[#This Row],[Llave]],'[7]Shangai (Tomas)'!$A:$F,6,FALSE),VLOOKUP(Tabla14[[#This Row],[Llave]],'[6]RV plan de ventas'!$A:$E,5,FALSE)),0)</f>
        <v>28442</v>
      </c>
      <c r="K82" s="8">
        <f>IFERROR(VLOOKUP(Tabla14[[#This Row],[Sector]]&amp;Tabla14[[#This Row],[Oficina]],[8]Ponderación!$A$3:$G$22,7,FALSE),0)</f>
        <v>0.38476266834449474</v>
      </c>
      <c r="L82" s="7">
        <f>+Tabla14[[#This Row],[ RV Producción mes n+1]]*Tabla14[[#This Row],[% Uti. producción]]</f>
        <v>0</v>
      </c>
      <c r="M82" s="7">
        <f>IFERROR(VLOOKUP(Tabla14[[#This Row],[Material]],'[9]TD Stock'!$B:$C,2,FALSE),0)</f>
        <v>40243.300000000003</v>
      </c>
      <c r="N82" s="7">
        <f>IFERROR(VLOOKUP(Tabla14[[#This Row],[Material]],'[10]Consolidado planificación'!$B:$C,2,FALSE),0)</f>
        <v>23079</v>
      </c>
      <c r="O82" s="7">
        <f>IFERROR(VLOOKUP(Tabla14[[#This Row],[Llave]],[11]Hoja2!$D:$G,4,FALSE),0)</f>
        <v>0</v>
      </c>
      <c r="P82" s="14">
        <f>SUM(Tabla14[[#This Row],[Producción disponible]],Tabla14[[#This Row],[Stock al día]],(Tabla14[[#This Row],[Por producir mes N]]*0.9))-Tabla14[[#This Row],[Producción por despachar mes N]]</f>
        <v>61014.400000000009</v>
      </c>
      <c r="Q82" s="7">
        <f>IFERROR(VLOOKUP(Tabla14[[#This Row],[Llave]],[9]DELAY!$A:$D,4,FALSE),0)</f>
        <v>22000</v>
      </c>
      <c r="R82" s="9">
        <v>22000</v>
      </c>
      <c r="S82" s="5">
        <f t="shared" si="6"/>
        <v>22000</v>
      </c>
      <c r="T82" s="76">
        <v>0</v>
      </c>
      <c r="U82" s="5">
        <f>+Tabla14[[#This Row],[Atraso a facturar]]+Tabla14[[#This Row],[Ajuste atraso]]</f>
        <v>22000</v>
      </c>
      <c r="V82" s="3">
        <f>+Tabla14[[#This Row],[Total disponible]]-Tabla14[[#This Row],[Facturación atraso]]</f>
        <v>39014.400000000009</v>
      </c>
      <c r="W82" s="6">
        <f>IFERROR(IF(AND(V82&gt;R82,J82&gt;=R82),ROUNDDOWN((Tabla14[[#This Row],[Producción para venta nueva]])/R82,0)*R82,0),0)</f>
        <v>22000</v>
      </c>
      <c r="X82" s="76">
        <v>-22000</v>
      </c>
      <c r="Y82" s="6">
        <f>IF(Tabla14[[#This Row],[Venta del mes]]&gt;0,Tabla14[[#This Row],[Venta del mes]]+Tabla14[[#This Row],[Ajuste venta nueva]],0)</f>
        <v>0</v>
      </c>
      <c r="Z82" s="6">
        <f>+Tabla14[[#This Row],[Producción para venta nueva]]-Tabla14[[#This Row],[Facturación Venta nueva]]</f>
        <v>39014.400000000009</v>
      </c>
      <c r="AA82" s="6">
        <f>IF(AND(A82=1,Tabla14[[#This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82" s="6">
        <v>0</v>
      </c>
      <c r="AC82" s="6">
        <f>IF(Tabla14[[#This Row],[Disponible stock sin venta]]&gt;0,Tabla14[[#This Row],[Disponible stock sin venta]]+Tabla14[[#This Row],[Ajuste stock sin venta]],0)</f>
        <v>0</v>
      </c>
      <c r="AD82" s="3">
        <f>IFERROR(VLOOKUP(Tabla14[[#This Row],[Llave]],[12]Hoja1!$A:$D,4,FALSE),0)</f>
        <v>66000</v>
      </c>
      <c r="AE8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110000</v>
      </c>
      <c r="AF82" s="3">
        <v>110000</v>
      </c>
      <c r="AG82" s="3">
        <f>+Tabla14[[#This Row],[En puerto a facturar]]</f>
        <v>66000</v>
      </c>
      <c r="AH82" s="3">
        <f>+Tabla14[[#This Row],[Facturación atraso]]</f>
        <v>22000</v>
      </c>
      <c r="AI82" s="3">
        <f>+Tabla14[[#This Row],[Plan Irrestricto (DATO)]]-Tabla14[[#This Row],[Puerto ]]-Tabla14[[#This Row],[Atraso]]</f>
        <v>22000</v>
      </c>
      <c r="AJ82" s="6">
        <f>IF(Tabla14[[#This Row],[Plan Irrestricto (DATO)]]&gt;0,SUM(Tabla14[[#This Row],[Facturación atraso]],Tabla14[[#This Row],[Facturación Venta nueva]],Tabla14[[#This Row],[Facturación stock]],Tabla14[[#This Row],[En puerto a facturar]]),0)</f>
        <v>88000</v>
      </c>
      <c r="AK82" s="3">
        <f>+Tabla14[[#This Row],[Facturación atraso]]</f>
        <v>22000</v>
      </c>
      <c r="AL82" s="3">
        <f>Tabla14[[#This Row],[Plan Ajustado]]-Tabla14[[#This Row],[ Atraso ajustado]]-Tabla14[[#This Row],[En puerto a facturar]]</f>
        <v>0</v>
      </c>
      <c r="AM82" s="3" t="s">
        <v>874</v>
      </c>
      <c r="AN82" s="3"/>
      <c r="AO82" s="3" t="str">
        <f>IF(Tabla14[[#This Row],[Plan Ajustado]]&gt;Tabla14[[#This Row],[En puerto a facturar]],"Si","No")</f>
        <v>Si</v>
      </c>
      <c r="AP82" s="3">
        <f>IF(AND(Tabla14[[#This Row],[Plan Ajustado]]&gt;0,Tabla14[[#This Row],[Plan Ajustado]]&gt;Tabla14[[#This Row],[En puerto a facturar]]),(Tabla14[[#This Row],[Plan Ajustado]]-Tabla14[[#This Row],[En puerto a facturar]]),0)</f>
        <v>22000</v>
      </c>
      <c r="AQ82" s="3">
        <f>IF(Tabla14[[#This Row],[Necesidad]]&gt;=Tabla14[[#This Row],[Stock al día]],Tabla14[[#This Row],[Stock al día]],Tabla14[[#This Row],[Necesidad]])</f>
        <v>22000</v>
      </c>
      <c r="AR82" s="3">
        <f>+Tabla14[[#This Row],[Necesidad]]-Tabla14[[#This Row],[Stock Plan]]</f>
        <v>0</v>
      </c>
      <c r="AS82" s="155">
        <f>VLOOKUP(Tabla14[[#This Row],[Sector]]&amp;Tabla14[[#This Row],[Oficina]],[8]Ponderación!$A:$H,8,FALSE)</f>
        <v>44814</v>
      </c>
      <c r="AT82" s="30">
        <f>IFERROR(VLOOKUP(Tabla14[[#This Row],[Llave]],'[6]RV plan de ventas'!$A:$F,6,FALSE),0)</f>
        <v>1.06360312214331</v>
      </c>
      <c r="AU82" s="83">
        <f>IFERROR(VLOOKUP(Tabla14[[#This Row],[Llave]],[9]DELAY!$H:$X,17,FALSE),0)</f>
        <v>1.06966322272727</v>
      </c>
      <c r="AV8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1.06966322272727</v>
      </c>
      <c r="AW82" s="5">
        <f>Tabla14[[#This Row],[Pecio plan]]*Tabla14[[#This Row],[Plan Ajustado]]</f>
        <v>94130.363599999764</v>
      </c>
      <c r="AX82" s="30">
        <f>IFERROR(VLOOKUP(Tabla14[[#This Row],[Llave]],'[13]Ultimos precios facturados'!$A:$G,7,FALSE),0)</f>
        <v>1.4685055358008727</v>
      </c>
      <c r="AY8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0.27159741883852534</v>
      </c>
      <c r="AZ82" s="30">
        <f>IFERROR(VLOOKUP(Tabla14[[#This Row],[Llave]],Hoja2!B:K,10,FALSE),0)</f>
        <v>1.3</v>
      </c>
      <c r="BA8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1.06966322272727</v>
      </c>
      <c r="BB82" s="30">
        <v>0</v>
      </c>
      <c r="BC82" s="30">
        <f>IF(Tabla14[[#This Row],[Market]]=0,Tabla14[[#This Row],[Precio Final]],Tabla14[[#This Row],[Market]])</f>
        <v>1.06966322272727</v>
      </c>
      <c r="BD82" s="82"/>
      <c r="BE82" s="82" t="str">
        <f>IF(AND(Tabla14[[#This Row],[Atraso a facturar]]&gt;0,Tabla14[[#This Row],[En puerto a facturar]]&gt;0,Tabla14[[#This Row],[Precio Atraso]]=0),"Revisar","OK")</f>
        <v>OK</v>
      </c>
      <c r="BF82" s="82" t="str">
        <f>IF(AND(Tabla14[[#This Row],[Venta del mes]]&gt;0,Tabla14[[#This Row],[Precio venta nueva]]=0),"Revisar","OK")</f>
        <v>OK</v>
      </c>
      <c r="BG82" s="20">
        <f>IFERROR(VLOOKUP(Tabla14[[#This Row],[Llave]],'[5]Consolidación planes'!$A:$M,9,FALSE),0)</f>
        <v>44000</v>
      </c>
      <c r="BH82" s="20">
        <f>IFERROR(VLOOKUP(Tabla14[[#This Row],[Llave]],'[5]Consolidación planes'!$A:$M,10,FALSE),0)</f>
        <v>22000</v>
      </c>
      <c r="BI82" s="20">
        <f>IFERROR(VLOOKUP(Tabla14[[#This Row],[Llave]],'[5]Consolidación planes'!$A:$M,11,FALSE),0)</f>
        <v>22000</v>
      </c>
      <c r="BJ82" s="20">
        <f>IFERROR(VLOOKUP(Tabla14[[#This Row],[Llave]],'[5]Consolidación planes'!$A:$M,12,FALSE),0)</f>
        <v>44000</v>
      </c>
      <c r="BK82" s="20">
        <f>IFERROR(VLOOKUP(Tabla14[[#This Row],[Llave]],'[5]Consolidación planes'!$A:$M,13,FALSE),0)</f>
        <v>44000</v>
      </c>
      <c r="BL82" s="20">
        <f>IFERROR(VLOOKUP(Tabla14[[#This Row],[Llave]],'[13]Base ultimos planes'!$A:$M,13,FALSE),0)</f>
        <v>22000</v>
      </c>
      <c r="BM82" s="20">
        <f>IFERROR(VLOOKUP(Tabla14[[#This Row],[Llave]],'[13]Cruce plan irrestricto'!$C:$M,10,FALSE),0)</f>
        <v>44000</v>
      </c>
      <c r="BN82" s="20">
        <f>IFERROR(VLOOKUP(Tabla14[[#This Row],[Llave]],'[13]Cruce plan irrestricto'!$C:$M,11,FALSE),0)</f>
        <v>22000</v>
      </c>
      <c r="BO82" s="80">
        <f>IFERROR(VLOOKUP(Tabla14[[#This Row],[Llave]],'[13]Base ultimos planes'!$O:$AA,8,FALSE),0)</f>
        <v>73726.666700000002</v>
      </c>
      <c r="BP82" s="20">
        <f>IFERROR(VLOOKUP(Tabla14[[#This Row],[Llave]],'[13]Base ultimos planes'!$O:$AA,9,FALSE),0)</f>
        <v>35200</v>
      </c>
      <c r="BQ82" s="20">
        <f>IFERROR(VLOOKUP(Tabla14[[#This Row],[Llave]],'[13]Base ultimos planes'!$O:$AA,10,FALSE),0)</f>
        <v>34100</v>
      </c>
      <c r="BR82" s="20">
        <f>IFERROR(VLOOKUP(Tabla14[[#This Row],[Llave]],'[13]Base ultimos planes'!$O:$AA,11,FALSE),0)</f>
        <v>71771</v>
      </c>
      <c r="BS82" s="20">
        <f>IFERROR(VLOOKUP(Tabla14[[#This Row],[Llave]],'[13]Base ultimos planes'!$O:$AA,12,FALSE),0)</f>
        <v>70197</v>
      </c>
      <c r="BT82" s="20">
        <f>IFERROR(VLOOKUP(Tabla14[[#This Row],[Llave]],'[13]Base ultimos planes'!$O:$AA,13,FALSE),0)</f>
        <v>24490</v>
      </c>
      <c r="BU82" s="20"/>
      <c r="BV82" s="20">
        <f>Tabla14[[#This Row],[ RV Producción mes n+1]]-Tabla14[[#This Row],[Producción disponible]]+Tabla14[[#This Row],[Saldo Volumen disponible]]</f>
        <v>39014.400000000009</v>
      </c>
      <c r="BW82" s="20">
        <f>IFERROR(VLOOKUP(Tabla14[[#This Row],[Llave]],[14]Hoja2!$J:$N,4,FALSE),0)</f>
        <v>0</v>
      </c>
      <c r="BX82" s="20">
        <f>+Tabla14[[#This Row],[Asignación mes n+1]]*Tabla14[[#This Row],[% Uti. producción]]</f>
        <v>0</v>
      </c>
      <c r="BY82" s="20">
        <f>+Tabla14[[#This Row],[Ponderación mes n+1]]+Tabla14[[#This Row],[Saldo mes n-1]]</f>
        <v>39014.400000000009</v>
      </c>
      <c r="BZ82" s="20">
        <f>+Tabla14[[#This Row],[Asignación mes n+1]]-Tabla14[[#This Row],[Ponderación mes n+1]]</f>
        <v>0</v>
      </c>
      <c r="CA82" s="20">
        <f>IFERROR(VLOOKUP(Tabla14[[#This Row],[Llave]],[14]Hoja2!$J:$N,5,FALSE),0)</f>
        <v>0</v>
      </c>
      <c r="CB82" s="20">
        <f>+Tabla14[[#This Row],[Asignación mes n+2]]*Tabla14[[#This Row],[% Uti. producción]]</f>
        <v>0</v>
      </c>
      <c r="CC82" s="20">
        <f>+Tabla14[[#This Row],[Saldo mes n+2]]+Tabla14[[#This Row],[Ponderación mes n+2]]</f>
        <v>0</v>
      </c>
      <c r="CD82" s="20">
        <f>+Tabla14[[#This Row],[Asignación mes n+2]]-Tabla14[[#This Row],[Ponderación mes n+2]]</f>
        <v>0</v>
      </c>
    </row>
    <row r="83" spans="1:82" ht="16" x14ac:dyDescent="0.2">
      <c r="A83">
        <v>1</v>
      </c>
      <c r="B83" t="str">
        <f>Tabla14[[#This Row],[Oficina]]&amp;Tabla14[[#This Row],[Material]]</f>
        <v>Agrosuper Asia1021152</v>
      </c>
      <c r="C83" t="s">
        <v>6</v>
      </c>
      <c r="D83" t="s">
        <v>173</v>
      </c>
      <c r="E83">
        <v>1021152</v>
      </c>
      <c r="F83" t="s">
        <v>181</v>
      </c>
      <c r="G83" t="s">
        <v>92</v>
      </c>
      <c r="H83" t="s">
        <v>153</v>
      </c>
      <c r="I83" s="7">
        <f>IFERROR(IF(Tabla14[[#This Row],[Oficina]]=$I$7,VLOOKUP(Tabla14[[#This Row],[Material]],'[6]RV Producción'!$Y:$AA,3,FALSE),VLOOKUP(Tabla14[[#This Row],[Llave]],'[6]RV Producción'!$C:$G,5,FALSE)),0)</f>
        <v>57578</v>
      </c>
      <c r="J83" s="7">
        <f>IFERROR(IF(Tabla14[[#This Row],[Oficina]]=$I$7,VLOOKUP(Tabla14[[#This Row],[Llave]],'[7]Shangai (Tomas)'!$A:$F,6,FALSE),VLOOKUP(Tabla14[[#This Row],[Llave]],'[6]RV plan de ventas'!$A:$E,5,FALSE)),0)</f>
        <v>36000</v>
      </c>
      <c r="K83" s="8">
        <f>IFERROR(VLOOKUP(Tabla14[[#This Row],[Sector]]&amp;Tabla14[[#This Row],[Oficina]],[8]Ponderación!$A$3:$G$22,7,FALSE),0)</f>
        <v>0.38476266834449474</v>
      </c>
      <c r="L83" s="7">
        <f>+Tabla14[[#This Row],[ RV Producción mes n+1]]*Tabla14[[#This Row],[% Uti. producción]]</f>
        <v>22153.864917939318</v>
      </c>
      <c r="M83" s="7">
        <f>IFERROR(VLOOKUP(Tabla14[[#This Row],[Material]],'[9]TD Stock'!$B:$C,2,FALSE),0)</f>
        <v>44514.83</v>
      </c>
      <c r="N83" s="7">
        <f>IFERROR(VLOOKUP(Tabla14[[#This Row],[Material]],'[10]Consolidado planificación'!$B:$C,2,FALSE),0)</f>
        <v>0</v>
      </c>
      <c r="O83" s="7">
        <f>IFERROR(VLOOKUP(Tabla14[[#This Row],[Llave]],[11]Hoja2!$D:$G,4,FALSE),0)</f>
        <v>0</v>
      </c>
      <c r="P83" s="14">
        <f>SUM(Tabla14[[#This Row],[Producción disponible]],Tabla14[[#This Row],[Stock al día]],(Tabla14[[#This Row],[Por producir mes N]]*0.9))-Tabla14[[#This Row],[Producción por despachar mes N]]</f>
        <v>66668.694917939312</v>
      </c>
      <c r="Q83" s="7">
        <f>IFERROR(VLOOKUP(Tabla14[[#This Row],[Llave]],[9]DELAY!$A:$D,4,FALSE),0)</f>
        <v>66000</v>
      </c>
      <c r="R83" s="9">
        <v>22000</v>
      </c>
      <c r="S83" s="5">
        <f t="shared" si="6"/>
        <v>66000</v>
      </c>
      <c r="T83" s="76">
        <v>-22000</v>
      </c>
      <c r="U83" s="5">
        <f>+Tabla14[[#This Row],[Atraso a facturar]]+Tabla14[[#This Row],[Ajuste atraso]]</f>
        <v>44000</v>
      </c>
      <c r="V83" s="3">
        <f>+Tabla14[[#This Row],[Total disponible]]-Tabla14[[#This Row],[Facturación atraso]]</f>
        <v>22668.694917939312</v>
      </c>
      <c r="W83" s="6">
        <f>IFERROR(IF(AND(V83&gt;R83,J83&gt;=R83),ROUNDDOWN((Tabla14[[#This Row],[Producción para venta nueva]])/R83,0)*R83,0),0)</f>
        <v>22000</v>
      </c>
      <c r="X83" s="76">
        <v>-22000</v>
      </c>
      <c r="Y83" s="6">
        <f>IF(Tabla14[[#This Row],[Venta del mes]]&gt;0,Tabla14[[#This Row],[Venta del mes]]+Tabla14[[#This Row],[Ajuste venta nueva]],0)</f>
        <v>0</v>
      </c>
      <c r="Z83" s="6">
        <f>+Tabla14[[#This Row],[Producción para venta nueva]]-Tabla14[[#This Row],[Facturación Venta nueva]]</f>
        <v>22668.694917939312</v>
      </c>
      <c r="AA83" s="6">
        <f>IF(AND(A83=1,Tabla14[[#This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83" s="6">
        <v>0</v>
      </c>
      <c r="AC83" s="6">
        <f>IF(Tabla14[[#This Row],[Disponible stock sin venta]]&gt;0,Tabla14[[#This Row],[Disponible stock sin venta]]+Tabla14[[#This Row],[Ajuste stock sin venta]],0)</f>
        <v>0</v>
      </c>
      <c r="AD83" s="3">
        <f>IFERROR(VLOOKUP(Tabla14[[#This Row],[Llave]],[12]Hoja1!$A:$D,4,FALSE),0)</f>
        <v>0</v>
      </c>
      <c r="AE8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88000</v>
      </c>
      <c r="AF83" s="3">
        <v>66000</v>
      </c>
      <c r="AG83" s="3">
        <f>+Tabla14[[#This Row],[En puerto a facturar]]</f>
        <v>0</v>
      </c>
      <c r="AH83" s="3">
        <f>+Tabla14[[#This Row],[Facturación atraso]]</f>
        <v>44000</v>
      </c>
      <c r="AI83" s="3">
        <f>+Tabla14[[#This Row],[Plan Irrestricto (DATO)]]-Tabla14[[#This Row],[Puerto ]]-Tabla14[[#This Row],[Atraso]]</f>
        <v>22000</v>
      </c>
      <c r="AJ83" s="6">
        <f>IF(Tabla14[[#This Row],[Plan Irrestricto (DATO)]]&gt;0,SUM(Tabla14[[#This Row],[Facturación atraso]],Tabla14[[#This Row],[Facturación Venta nueva]],Tabla14[[#This Row],[Facturación stock]],Tabla14[[#This Row],[En puerto a facturar]]),0)</f>
        <v>44000</v>
      </c>
      <c r="AK83" s="3">
        <f>+Tabla14[[#This Row],[Facturación atraso]]</f>
        <v>44000</v>
      </c>
      <c r="AL83" s="3">
        <f>Tabla14[[#This Row],[Plan Ajustado]]-Tabla14[[#This Row],[ Atraso ajustado]]-Tabla14[[#This Row],[En puerto a facturar]]</f>
        <v>0</v>
      </c>
      <c r="AM83" s="3" t="s">
        <v>876</v>
      </c>
      <c r="AN83" s="3"/>
      <c r="AO83" s="3" t="str">
        <f>IF(Tabla14[[#This Row],[Plan Ajustado]]&gt;Tabla14[[#This Row],[En puerto a facturar]],"Si","No")</f>
        <v>Si</v>
      </c>
      <c r="AP83" s="3">
        <f>IF(AND(Tabla14[[#This Row],[Plan Ajustado]]&gt;0,Tabla14[[#This Row],[Plan Ajustado]]&gt;Tabla14[[#This Row],[En puerto a facturar]]),(Tabla14[[#This Row],[Plan Ajustado]]-Tabla14[[#This Row],[En puerto a facturar]]),0)</f>
        <v>44000</v>
      </c>
      <c r="AQ83" s="3">
        <f>IF(Tabla14[[#This Row],[Necesidad]]&gt;=Tabla14[[#This Row],[Stock al día]],Tabla14[[#This Row],[Stock al día]],Tabla14[[#This Row],[Necesidad]])</f>
        <v>44000</v>
      </c>
      <c r="AR83" s="3">
        <f>+Tabla14[[#This Row],[Necesidad]]-Tabla14[[#This Row],[Stock Plan]]</f>
        <v>0</v>
      </c>
      <c r="AS83" s="155">
        <f>VLOOKUP(Tabla14[[#This Row],[Sector]]&amp;Tabla14[[#This Row],[Oficina]],[8]Ponderación!$A:$H,8,FALSE)</f>
        <v>44814</v>
      </c>
      <c r="AT83" s="30">
        <f>IFERROR(VLOOKUP(Tabla14[[#This Row],[Llave]],'[6]RV plan de ventas'!$A:$F,6,FALSE),0)</f>
        <v>1.06361111111111</v>
      </c>
      <c r="AU83" s="83">
        <f>IFERROR(VLOOKUP(Tabla14[[#This Row],[Llave]],[9]DELAY!$H:$X,17,FALSE),0)</f>
        <v>1.0832727272727267</v>
      </c>
      <c r="AV8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1.0832727272727267</v>
      </c>
      <c r="AW83" s="5">
        <f>Tabla14[[#This Row],[Pecio plan]]*Tabla14[[#This Row],[Plan Ajustado]]</f>
        <v>47663.999999999978</v>
      </c>
      <c r="AX83" s="30">
        <f>IFERROR(VLOOKUP(Tabla14[[#This Row],[Llave]],'[13]Ultimos precios facturados'!$A:$G,7,FALSE),0)</f>
        <v>1.5623181818181817</v>
      </c>
      <c r="AY8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0.30662477088243029</v>
      </c>
      <c r="AZ83" s="30">
        <f>IFERROR(VLOOKUP(Tabla14[[#This Row],[Llave]],Hoja2!B:K,10,FALSE),0)</f>
        <v>1.3</v>
      </c>
      <c r="BA8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1.0832727272727267</v>
      </c>
      <c r="BB83" s="30">
        <v>0</v>
      </c>
      <c r="BC83" s="30">
        <f>IF(Tabla14[[#This Row],[Market]]=0,Tabla14[[#This Row],[Precio Final]],Tabla14[[#This Row],[Market]])</f>
        <v>1.0832727272727267</v>
      </c>
      <c r="BD83" s="82"/>
      <c r="BE83" s="82" t="str">
        <f>IF(AND(Tabla14[[#This Row],[Atraso a facturar]]&gt;0,Tabla14[[#This Row],[En puerto a facturar]]&gt;0,Tabla14[[#This Row],[Precio Atraso]]=0),"Revisar","OK")</f>
        <v>OK</v>
      </c>
      <c r="BF83" s="82" t="str">
        <f>IF(AND(Tabla14[[#This Row],[Venta del mes]]&gt;0,Tabla14[[#This Row],[Precio venta nueva]]=0),"Revisar","OK")</f>
        <v>OK</v>
      </c>
      <c r="BG83" s="20">
        <f>IFERROR(VLOOKUP(Tabla14[[#This Row],[Llave]],'[5]Consolidación planes'!$A:$M,9,FALSE),0)</f>
        <v>44000</v>
      </c>
      <c r="BH83" s="20">
        <f>IFERROR(VLOOKUP(Tabla14[[#This Row],[Llave]],'[5]Consolidación planes'!$A:$M,10,FALSE),0)</f>
        <v>22000</v>
      </c>
      <c r="BI83" s="20">
        <f>IFERROR(VLOOKUP(Tabla14[[#This Row],[Llave]],'[5]Consolidación planes'!$A:$M,11,FALSE),0)</f>
        <v>44000</v>
      </c>
      <c r="BJ83" s="20">
        <f>IFERROR(VLOOKUP(Tabla14[[#This Row],[Llave]],'[5]Consolidación planes'!$A:$M,12,FALSE),0)</f>
        <v>22000</v>
      </c>
      <c r="BK83" s="20">
        <f>IFERROR(VLOOKUP(Tabla14[[#This Row],[Llave]],'[5]Consolidación planes'!$A:$M,13,FALSE),0)</f>
        <v>0</v>
      </c>
      <c r="BL83" s="20">
        <f>IFERROR(VLOOKUP(Tabla14[[#This Row],[Llave]],'[13]Base ultimos planes'!$A:$M,13,FALSE),0)</f>
        <v>22000</v>
      </c>
      <c r="BM83" s="20">
        <f>IFERROR(VLOOKUP(Tabla14[[#This Row],[Llave]],'[13]Cruce plan irrestricto'!$C:$M,10,FALSE),0)</f>
        <v>0</v>
      </c>
      <c r="BN83" s="20">
        <f>IFERROR(VLOOKUP(Tabla14[[#This Row],[Llave]],'[13]Cruce plan irrestricto'!$C:$M,11,FALSE),0)</f>
        <v>22000</v>
      </c>
      <c r="BO83" s="80">
        <f>IFERROR(VLOOKUP(Tabla14[[#This Row],[Llave]],'[13]Base ultimos planes'!$O:$AA,8,FALSE),0)</f>
        <v>71559.5</v>
      </c>
      <c r="BP83" s="20">
        <f>IFERROR(VLOOKUP(Tabla14[[#This Row],[Llave]],'[13]Base ultimos planes'!$O:$AA,9,FALSE),0)</f>
        <v>35200</v>
      </c>
      <c r="BQ83" s="20">
        <f>IFERROR(VLOOKUP(Tabla14[[#This Row],[Llave]],'[13]Base ultimos planes'!$O:$AA,10,FALSE),0)</f>
        <v>68200</v>
      </c>
      <c r="BR83" s="20">
        <f>IFERROR(VLOOKUP(Tabla14[[#This Row],[Llave]],'[13]Base ultimos planes'!$O:$AA,11,FALSE),0)</f>
        <v>34320</v>
      </c>
      <c r="BS83" s="20">
        <f>IFERROR(VLOOKUP(Tabla14[[#This Row],[Llave]],'[13]Base ultimos planes'!$O:$AA,12,FALSE),0)</f>
        <v>0</v>
      </c>
      <c r="BT83" s="20">
        <f>IFERROR(VLOOKUP(Tabla14[[#This Row],[Llave]],'[13]Base ultimos planes'!$O:$AA,13,FALSE),0)</f>
        <v>24491</v>
      </c>
      <c r="BU83" s="20"/>
      <c r="BV83" s="20">
        <f>Tabla14[[#This Row],[ RV Producción mes n+1]]-Tabla14[[#This Row],[Producción disponible]]+Tabla14[[#This Row],[Saldo Volumen disponible]]</f>
        <v>58092.829999999994</v>
      </c>
      <c r="BW83" s="20">
        <f>IFERROR(VLOOKUP(Tabla14[[#This Row],[Llave]],[14]Hoja2!$J:$N,4,FALSE),0)</f>
        <v>20364.150099999999</v>
      </c>
      <c r="BX83" s="20">
        <f>+Tabla14[[#This Row],[Asignación mes n+1]]*Tabla14[[#This Row],[% Uti. producción]]</f>
        <v>7835.3647310438091</v>
      </c>
      <c r="BY83" s="20">
        <f>+Tabla14[[#This Row],[Ponderación mes n+1]]+Tabla14[[#This Row],[Saldo mes n-1]]</f>
        <v>65928.194731043797</v>
      </c>
      <c r="BZ83" s="20">
        <f>+Tabla14[[#This Row],[Asignación mes n+1]]-Tabla14[[#This Row],[Ponderación mes n+1]]</f>
        <v>12528.785368956189</v>
      </c>
      <c r="CA83" s="20">
        <f>IFERROR(VLOOKUP(Tabla14[[#This Row],[Llave]],[14]Hoja2!$J:$N,5,FALSE),0)</f>
        <v>22361.038</v>
      </c>
      <c r="CB83" s="20">
        <f>+Tabla14[[#This Row],[Asignación mes n+2]]*Tabla14[[#This Row],[% Uti. producción]]</f>
        <v>8603.6926478326441</v>
      </c>
      <c r="CC83" s="20">
        <f>+Tabla14[[#This Row],[Saldo mes n+2]]+Tabla14[[#This Row],[Ponderación mes n+2]]</f>
        <v>21132.478016788831</v>
      </c>
      <c r="CD83" s="20">
        <f>+Tabla14[[#This Row],[Asignación mes n+2]]-Tabla14[[#This Row],[Ponderación mes n+2]]</f>
        <v>13757.345352167356</v>
      </c>
    </row>
    <row r="84" spans="1:82" ht="16" x14ac:dyDescent="0.2">
      <c r="A84">
        <v>1</v>
      </c>
      <c r="B84" t="str">
        <f>Tabla14[[#This Row],[Oficina]]&amp;Tabla14[[#This Row],[Material]]</f>
        <v>Agrosuper Asia1021156</v>
      </c>
      <c r="C84" t="s">
        <v>6</v>
      </c>
      <c r="D84" t="s">
        <v>173</v>
      </c>
      <c r="E84">
        <v>1021156</v>
      </c>
      <c r="F84" t="s">
        <v>179</v>
      </c>
      <c r="G84" t="s">
        <v>92</v>
      </c>
      <c r="H84" t="s">
        <v>93</v>
      </c>
      <c r="I84" s="7">
        <f>IFERROR(IF(Tabla14[[#This Row],[Oficina]]=$I$7,VLOOKUP(Tabla14[[#This Row],[Material]],'[6]RV Producción'!$Y:$AA,3,FALSE),VLOOKUP(Tabla14[[#This Row],[Llave]],'[6]RV Producción'!$C:$G,5,FALSE)),0)</f>
        <v>48465</v>
      </c>
      <c r="J84" s="7">
        <f>IFERROR(IF(Tabla14[[#This Row],[Oficina]]=$I$7,VLOOKUP(Tabla14[[#This Row],[Llave]],'[7]Shangai (Tomas)'!$A:$F,6,FALSE),VLOOKUP(Tabla14[[#This Row],[Llave]],'[6]RV plan de ventas'!$A:$E,5,FALSE)),0)</f>
        <v>48000</v>
      </c>
      <c r="K84" s="8">
        <f>IFERROR(VLOOKUP(Tabla14[[#This Row],[Sector]]&amp;Tabla14[[#This Row],[Oficina]],[8]Ponderación!$A$3:$G$22,7,FALSE),0)</f>
        <v>0.38476266834449474</v>
      </c>
      <c r="L84" s="7">
        <f>+Tabla14[[#This Row],[ RV Producción mes n+1]]*Tabla14[[#This Row],[% Uti. producción]]</f>
        <v>18647.522721315938</v>
      </c>
      <c r="M84" s="7">
        <f>IFERROR(VLOOKUP(Tabla14[[#This Row],[Material]],'[9]TD Stock'!$B:$C,2,FALSE),0)</f>
        <v>25530.58</v>
      </c>
      <c r="N84" s="7">
        <f>IFERROR(VLOOKUP(Tabla14[[#This Row],[Material]],'[10]Consolidado planificación'!$B:$C,2,FALSE),0)</f>
        <v>2909.64</v>
      </c>
      <c r="O84" s="7">
        <f>IFERROR(VLOOKUP(Tabla14[[#This Row],[Llave]],[11]Hoja2!$D:$G,4,FALSE),0)</f>
        <v>0</v>
      </c>
      <c r="P84" s="14">
        <f>SUM(Tabla14[[#This Row],[Producción disponible]],Tabla14[[#This Row],[Stock al día]],(Tabla14[[#This Row],[Por producir mes N]]*0.9))-Tabla14[[#This Row],[Producción por despachar mes N]]</f>
        <v>46796.778721315939</v>
      </c>
      <c r="Q84" s="7">
        <f>IFERROR(VLOOKUP(Tabla14[[#This Row],[Llave]],[9]DELAY!$A:$D,4,FALSE),0)</f>
        <v>24000</v>
      </c>
      <c r="R84" s="9">
        <v>23000</v>
      </c>
      <c r="S84" s="5">
        <f t="shared" si="6"/>
        <v>24000</v>
      </c>
      <c r="T84" s="76">
        <v>0</v>
      </c>
      <c r="U84" s="5">
        <f>+Tabla14[[#This Row],[Atraso a facturar]]+Tabla14[[#This Row],[Ajuste atraso]]</f>
        <v>24000</v>
      </c>
      <c r="V84" s="3">
        <f>+Tabla14[[#This Row],[Total disponible]]-Tabla14[[#This Row],[Facturación atraso]]</f>
        <v>22796.778721315939</v>
      </c>
      <c r="W84" s="6">
        <f>IFERROR(IF(AND(V84&gt;R84,J84&gt;=R84),ROUNDDOWN((Tabla14[[#This Row],[Producción para venta nueva]])/R84,0)*R84,0),0)</f>
        <v>0</v>
      </c>
      <c r="X84" s="76">
        <v>0</v>
      </c>
      <c r="Y84" s="6">
        <f>IF(Tabla14[[#This Row],[Venta del mes]]&gt;0,Tabla14[[#This Row],[Venta del mes]]+Tabla14[[#This Row],[Ajuste venta nueva]],0)</f>
        <v>0</v>
      </c>
      <c r="Z84" s="6">
        <f>+Tabla14[[#This Row],[Producción para venta nueva]]-Tabla14[[#This Row],[Facturación Venta nueva]]</f>
        <v>22796.778721315939</v>
      </c>
      <c r="AA84" s="6">
        <f>IF(AND(A84=1,Tabla14[[#This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84" s="6">
        <v>0</v>
      </c>
      <c r="AC84" s="6">
        <f>IF(Tabla14[[#This Row],[Disponible stock sin venta]]&gt;0,Tabla14[[#This Row],[Disponible stock sin venta]]+Tabla14[[#This Row],[Ajuste stock sin venta]],0)</f>
        <v>0</v>
      </c>
      <c r="AD84" s="3">
        <f>IFERROR(VLOOKUP(Tabla14[[#This Row],[Llave]],[12]Hoja1!$A:$D,4,FALSE),0)</f>
        <v>24000</v>
      </c>
      <c r="AE8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48000</v>
      </c>
      <c r="AF84" s="3">
        <v>48000</v>
      </c>
      <c r="AG84" s="3">
        <f>+Tabla14[[#This Row],[En puerto a facturar]]</f>
        <v>24000</v>
      </c>
      <c r="AH84" s="3">
        <f>+Tabla14[[#This Row],[Facturación atraso]]</f>
        <v>24000</v>
      </c>
      <c r="AI84" s="3">
        <f>+Tabla14[[#This Row],[Plan Irrestricto (DATO)]]-Tabla14[[#This Row],[Puerto ]]-Tabla14[[#This Row],[Atraso]]</f>
        <v>0</v>
      </c>
      <c r="AJ84" s="6">
        <f>IF(Tabla14[[#This Row],[Plan Irrestricto (DATO)]]&gt;0,SUM(Tabla14[[#This Row],[Facturación atraso]],Tabla14[[#This Row],[Facturación Venta nueva]],Tabla14[[#This Row],[Facturación stock]],Tabla14[[#This Row],[En puerto a facturar]]),0)</f>
        <v>48000</v>
      </c>
      <c r="AK84" s="3">
        <f>+Tabla14[[#This Row],[Facturación atraso]]</f>
        <v>24000</v>
      </c>
      <c r="AL84" s="3">
        <f>Tabla14[[#This Row],[Plan Ajustado]]-Tabla14[[#This Row],[ Atraso ajustado]]-Tabla14[[#This Row],[En puerto a facturar]]</f>
        <v>0</v>
      </c>
      <c r="AM84" s="3">
        <v>0</v>
      </c>
      <c r="AN84" s="3"/>
      <c r="AO84" s="3" t="str">
        <f>IF(Tabla14[[#This Row],[Plan Ajustado]]&gt;Tabla14[[#This Row],[En puerto a facturar]],"Si","No")</f>
        <v>Si</v>
      </c>
      <c r="AP84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84" s="3">
        <f>IF(Tabla14[[#This Row],[Necesidad]]&gt;=Tabla14[[#This Row],[Stock al día]],Tabla14[[#This Row],[Stock al día]],Tabla14[[#This Row],[Necesidad]])</f>
        <v>24000</v>
      </c>
      <c r="AR84" s="3">
        <f>+Tabla14[[#This Row],[Necesidad]]-Tabla14[[#This Row],[Stock Plan]]</f>
        <v>0</v>
      </c>
      <c r="AS84" s="155">
        <f>VLOOKUP(Tabla14[[#This Row],[Sector]]&amp;Tabla14[[#This Row],[Oficina]],[8]Ponderación!$A:$H,8,FALSE)</f>
        <v>44814</v>
      </c>
      <c r="AT84" s="30">
        <f>IFERROR(VLOOKUP(Tabla14[[#This Row],[Llave]],'[6]RV plan de ventas'!$A:$F,6,FALSE),0)</f>
        <v>2.42566666666667</v>
      </c>
      <c r="AU84" s="83">
        <f>IFERROR(VLOOKUP(Tabla14[[#This Row],[Llave]],[9]DELAY!$H:$X,17,FALSE),0)</f>
        <v>2.9</v>
      </c>
      <c r="AV8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2.9</v>
      </c>
      <c r="AW84" s="5">
        <f>Tabla14[[#This Row],[Pecio plan]]*Tabla14[[#This Row],[Plan Ajustado]]</f>
        <v>139200</v>
      </c>
      <c r="AX84" s="30">
        <f>IFERROR(VLOOKUP(Tabla14[[#This Row],[Llave]],'[13]Ultimos precios facturados'!$A:$G,7,FALSE),0)</f>
        <v>2.7171174416666668</v>
      </c>
      <c r="AY8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6.7307564821767085E-2</v>
      </c>
      <c r="AZ84" s="30">
        <f>IFERROR(VLOOKUP(Tabla14[[#This Row],[Llave]],Hoja2!B:K,10,FALSE),0)</f>
        <v>2.7385106382978726</v>
      </c>
      <c r="BA8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2.9</v>
      </c>
      <c r="BB84" s="30">
        <v>0</v>
      </c>
      <c r="BC84" s="30">
        <f>IF(Tabla14[[#This Row],[Market]]=0,Tabla14[[#This Row],[Precio Final]],Tabla14[[#This Row],[Market]])</f>
        <v>2.9</v>
      </c>
      <c r="BD84" s="82"/>
      <c r="BE84" s="82" t="str">
        <f>IF(AND(Tabla14[[#This Row],[Atraso a facturar]]&gt;0,Tabla14[[#This Row],[En puerto a facturar]]&gt;0,Tabla14[[#This Row],[Precio Atraso]]=0),"Revisar","OK")</f>
        <v>OK</v>
      </c>
      <c r="BF84" s="82" t="str">
        <f>IF(AND(Tabla14[[#This Row],[Venta del mes]]&gt;0,Tabla14[[#This Row],[Precio venta nueva]]=0),"Revisar","OK")</f>
        <v>OK</v>
      </c>
      <c r="BG84" s="20">
        <f>IFERROR(VLOOKUP(Tabla14[[#This Row],[Llave]],'[5]Consolidación planes'!$A:$M,9,FALSE),0)</f>
        <v>46000</v>
      </c>
      <c r="BH84" s="20">
        <f>IFERROR(VLOOKUP(Tabla14[[#This Row],[Llave]],'[5]Consolidación planes'!$A:$M,10,FALSE),0)</f>
        <v>72000</v>
      </c>
      <c r="BI84" s="20">
        <f>IFERROR(VLOOKUP(Tabla14[[#This Row],[Llave]],'[5]Consolidación planes'!$A:$M,11,FALSE),0)</f>
        <v>7000</v>
      </c>
      <c r="BJ84" s="20">
        <f>IFERROR(VLOOKUP(Tabla14[[#This Row],[Llave]],'[5]Consolidación planes'!$A:$M,12,FALSE),0)</f>
        <v>14000</v>
      </c>
      <c r="BK84" s="20">
        <f>IFERROR(VLOOKUP(Tabla14[[#This Row],[Llave]],'[5]Consolidación planes'!$A:$M,13,FALSE),0)</f>
        <v>24000</v>
      </c>
      <c r="BL84" s="20">
        <f>IFERROR(VLOOKUP(Tabla14[[#This Row],[Llave]],'[13]Base ultimos planes'!$A:$M,13,FALSE),0)</f>
        <v>24000</v>
      </c>
      <c r="BM84" s="20">
        <f>IFERROR(VLOOKUP(Tabla14[[#This Row],[Llave]],'[13]Cruce plan irrestricto'!$C:$M,10,FALSE),0)</f>
        <v>24000</v>
      </c>
      <c r="BN84" s="20">
        <f>IFERROR(VLOOKUP(Tabla14[[#This Row],[Llave]],'[13]Cruce plan irrestricto'!$C:$M,11,FALSE),0)</f>
        <v>47000</v>
      </c>
      <c r="BO84" s="80">
        <f>IFERROR(VLOOKUP(Tabla14[[#This Row],[Llave]],'[13]Base ultimos planes'!$O:$AA,8,FALSE),0)</f>
        <v>134780</v>
      </c>
      <c r="BP84" s="20">
        <f>IFERROR(VLOOKUP(Tabla14[[#This Row],[Llave]],'[13]Base ultimos planes'!$O:$AA,9,FALSE),0)</f>
        <v>181080</v>
      </c>
      <c r="BQ84" s="20">
        <f>IFERROR(VLOOKUP(Tabla14[[#This Row],[Llave]],'[13]Base ultimos planes'!$O:$AA,10,FALSE),0)</f>
        <v>17570</v>
      </c>
      <c r="BR84" s="20">
        <f>IFERROR(VLOOKUP(Tabla14[[#This Row],[Llave]],'[13]Base ultimos planes'!$O:$AA,11,FALSE),0)</f>
        <v>35840</v>
      </c>
      <c r="BS84" s="20">
        <f>IFERROR(VLOOKUP(Tabla14[[#This Row],[Llave]],'[13]Base ultimos planes'!$O:$AA,12,FALSE),0)</f>
        <v>86720</v>
      </c>
      <c r="BT84" s="20">
        <f>IFERROR(VLOOKUP(Tabla14[[#This Row],[Llave]],'[13]Base ultimos planes'!$O:$AA,13,FALSE),0)</f>
        <v>65716</v>
      </c>
      <c r="BU84" s="20"/>
      <c r="BV84" s="20">
        <f>Tabla14[[#This Row],[ RV Producción mes n+1]]-Tabla14[[#This Row],[Producción disponible]]+Tabla14[[#This Row],[Saldo Volumen disponible]]</f>
        <v>52614.256000000001</v>
      </c>
      <c r="BW84" s="20">
        <f>IFERROR(VLOOKUP(Tabla14[[#This Row],[Llave]],[14]Hoja2!$J:$N,4,FALSE),0)</f>
        <v>48000</v>
      </c>
      <c r="BX84" s="20">
        <f>+Tabla14[[#This Row],[Asignación mes n+1]]*Tabla14[[#This Row],[% Uti. producción]]</f>
        <v>18468.608080535749</v>
      </c>
      <c r="BY84" s="20">
        <f>+Tabla14[[#This Row],[Ponderación mes n+1]]+Tabla14[[#This Row],[Saldo mes n-1]]</f>
        <v>71082.864080535743</v>
      </c>
      <c r="BZ84" s="20">
        <f>+Tabla14[[#This Row],[Asignación mes n+1]]-Tabla14[[#This Row],[Ponderación mes n+1]]</f>
        <v>29531.391919464251</v>
      </c>
      <c r="CA84" s="20">
        <f>IFERROR(VLOOKUP(Tabla14[[#This Row],[Llave]],[14]Hoja2!$J:$N,5,FALSE),0)</f>
        <v>48000</v>
      </c>
      <c r="CB84" s="20">
        <f>+Tabla14[[#This Row],[Asignación mes n+2]]*Tabla14[[#This Row],[% Uti. producción]]</f>
        <v>18468.608080535749</v>
      </c>
      <c r="CC84" s="20">
        <f>+Tabla14[[#This Row],[Saldo mes n+2]]+Tabla14[[#This Row],[Ponderación mes n+2]]</f>
        <v>48000</v>
      </c>
      <c r="CD84" s="20">
        <f>+Tabla14[[#This Row],[Asignación mes n+2]]-Tabla14[[#This Row],[Ponderación mes n+2]]</f>
        <v>29531.391919464251</v>
      </c>
    </row>
    <row r="85" spans="1:82" ht="16" x14ac:dyDescent="0.2">
      <c r="A85">
        <v>1</v>
      </c>
      <c r="B85" t="str">
        <f>Tabla14[[#This Row],[Oficina]]&amp;Tabla14[[#This Row],[Material]]</f>
        <v>Agrosuper Asia1021204</v>
      </c>
      <c r="C85" t="s">
        <v>6</v>
      </c>
      <c r="D85" t="s">
        <v>173</v>
      </c>
      <c r="E85">
        <v>1021204</v>
      </c>
      <c r="F85" t="s">
        <v>49</v>
      </c>
      <c r="G85" t="s">
        <v>11</v>
      </c>
      <c r="H85" t="s">
        <v>15</v>
      </c>
      <c r="I85" s="7">
        <f>IFERROR(IF(Tabla14[[#This Row],[Oficina]]=$I$7,VLOOKUP(Tabla14[[#This Row],[Material]],'[6]RV Producción'!$Y:$AA,3,FALSE),VLOOKUP(Tabla14[[#This Row],[Llave]],'[6]RV Producción'!$C:$G,5,FALSE)),0)</f>
        <v>0</v>
      </c>
      <c r="J85" s="7">
        <f>IFERROR(IF(Tabla14[[#This Row],[Oficina]]=$I$7,VLOOKUP(Tabla14[[#This Row],[Llave]],'[7]Shangai (Tomas)'!$A:$F,6,FALSE),VLOOKUP(Tabla14[[#This Row],[Llave]],'[6]RV plan de ventas'!$A:$E,5,FALSE)),0)</f>
        <v>14545</v>
      </c>
      <c r="K85" s="8">
        <f>IFERROR(VLOOKUP(Tabla14[[#This Row],[Sector]]&amp;Tabla14[[#This Row],[Oficina]],[8]Ponderación!$A$3:$G$22,7,FALSE),0)</f>
        <v>0.38476266834449474</v>
      </c>
      <c r="L85" s="7">
        <f>+Tabla14[[#This Row],[ RV Producción mes n+1]]*Tabla14[[#This Row],[% Uti. producción]]</f>
        <v>0</v>
      </c>
      <c r="M85" s="7">
        <f>IFERROR(VLOOKUP(Tabla14[[#This Row],[Material]],'[9]TD Stock'!$B:$C,2,FALSE),0)</f>
        <v>34300</v>
      </c>
      <c r="N85" s="7">
        <f>IFERROR(VLOOKUP(Tabla14[[#This Row],[Material]],'[10]Consolidado planificación'!$B:$C,2,FALSE),0)</f>
        <v>0</v>
      </c>
      <c r="O85" s="7">
        <f>IFERROR(VLOOKUP(Tabla14[[#This Row],[Llave]],[11]Hoja2!$D:$G,4,FALSE),0)</f>
        <v>0</v>
      </c>
      <c r="P85" s="14">
        <f>SUM(Tabla14[[#This Row],[Producción disponible]],Tabla14[[#This Row],[Stock al día]],(Tabla14[[#This Row],[Por producir mes N]]*0.9))-Tabla14[[#This Row],[Producción por despachar mes N]]</f>
        <v>34300</v>
      </c>
      <c r="Q85" s="7">
        <f>IFERROR(VLOOKUP(Tabla14[[#This Row],[Llave]],[9]DELAY!$A:$D,4,FALSE),0)</f>
        <v>48000</v>
      </c>
      <c r="R85" s="9">
        <v>23000</v>
      </c>
      <c r="S85" s="5">
        <f t="shared" si="6"/>
        <v>23000</v>
      </c>
      <c r="T85" s="76">
        <v>1000</v>
      </c>
      <c r="U85" s="5">
        <f>+Tabla14[[#This Row],[Atraso a facturar]]+Tabla14[[#This Row],[Ajuste atraso]]</f>
        <v>24000</v>
      </c>
      <c r="V85" s="3">
        <f>+Tabla14[[#This Row],[Total disponible]]-Tabla14[[#This Row],[Facturación atraso]]</f>
        <v>10300</v>
      </c>
      <c r="W85" s="6">
        <f>IFERROR(IF(AND(V85&gt;R85,J85&gt;=R85),ROUNDDOWN((Tabla14[[#This Row],[Producción para venta nueva]])/R85,0)*R85,0),0)</f>
        <v>0</v>
      </c>
      <c r="X85" s="76">
        <v>0</v>
      </c>
      <c r="Y85" s="6">
        <f>IF(Tabla14[[#This Row],[Venta del mes]]&gt;0,Tabla14[[#This Row],[Venta del mes]]+Tabla14[[#This Row],[Ajuste venta nueva]],0)</f>
        <v>0</v>
      </c>
      <c r="Z85" s="6">
        <f>+Tabla14[[#This Row],[Producción para venta nueva]]-Tabla14[[#This Row],[Facturación Venta nueva]]</f>
        <v>10300</v>
      </c>
      <c r="AA85" s="6">
        <f>IF(AND(A85=1,Tabla14[[#This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85" s="6">
        <v>0</v>
      </c>
      <c r="AC85" s="6">
        <f>IF(Tabla14[[#This Row],[Disponible stock sin venta]]&gt;0,Tabla14[[#This Row],[Disponible stock sin venta]]+Tabla14[[#This Row],[Ajuste stock sin venta]],0)</f>
        <v>0</v>
      </c>
      <c r="AD85" s="3">
        <f>IFERROR(VLOOKUP(Tabla14[[#This Row],[Llave]],[12]Hoja1!$A:$D,4,FALSE),0)</f>
        <v>0</v>
      </c>
      <c r="AE8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85" s="3">
        <v>23000</v>
      </c>
      <c r="AG85" s="3">
        <f>+Tabla14[[#This Row],[En puerto a facturar]]</f>
        <v>0</v>
      </c>
      <c r="AH85" s="3">
        <f>+Tabla14[[#This Row],[Facturación atraso]]</f>
        <v>24000</v>
      </c>
      <c r="AI85" s="3">
        <f>+Tabla14[[#This Row],[Plan Irrestricto (DATO)]]-Tabla14[[#This Row],[Puerto ]]-Tabla14[[#This Row],[Atraso]]</f>
        <v>-1000</v>
      </c>
      <c r="AJ85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85" s="3">
        <f>+Tabla14[[#This Row],[Facturación atraso]]</f>
        <v>24000</v>
      </c>
      <c r="AL85" s="3">
        <f>Tabla14[[#This Row],[Plan Ajustado]]-Tabla14[[#This Row],[ Atraso ajustado]]-Tabla14[[#This Row],[En puerto a facturar]]</f>
        <v>0</v>
      </c>
      <c r="AM85" s="3" t="s">
        <v>875</v>
      </c>
      <c r="AN85" s="3"/>
      <c r="AO85" s="3" t="str">
        <f>IF(Tabla14[[#This Row],[Plan Ajustado]]&gt;Tabla14[[#This Row],[En puerto a facturar]],"Si","No")</f>
        <v>Si</v>
      </c>
      <c r="AP85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85" s="3">
        <f>IF(Tabla14[[#This Row],[Necesidad]]&gt;=Tabla14[[#This Row],[Stock al día]],Tabla14[[#This Row],[Stock al día]],Tabla14[[#This Row],[Necesidad]])</f>
        <v>24000</v>
      </c>
      <c r="AR85" s="3">
        <f>+Tabla14[[#This Row],[Necesidad]]-Tabla14[[#This Row],[Stock Plan]]</f>
        <v>0</v>
      </c>
      <c r="AS85" s="155">
        <f>VLOOKUP(Tabla14[[#This Row],[Sector]]&amp;Tabla14[[#This Row],[Oficina]],[8]Ponderación!$A:$H,8,FALSE)</f>
        <v>44814</v>
      </c>
      <c r="AT85" s="30">
        <f>IFERROR(VLOOKUP(Tabla14[[#This Row],[Llave]],'[6]RV plan de ventas'!$A:$F,6,FALSE),0)</f>
        <v>1.1135097971811601</v>
      </c>
      <c r="AU85" s="83">
        <f>IFERROR(VLOOKUP(Tabla14[[#This Row],[Llave]],[9]DELAY!$H:$X,17,FALSE),0)</f>
        <v>1.4637256250000001</v>
      </c>
      <c r="AV8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1.4637256250000001</v>
      </c>
      <c r="AW85" s="5">
        <f>Tabla14[[#This Row],[Pecio plan]]*Tabla14[[#This Row],[Plan Ajustado]]</f>
        <v>35129.415000000001</v>
      </c>
      <c r="AX85" s="30">
        <f>IFERROR(VLOOKUP(Tabla14[[#This Row],[Llave]],'[13]Ultimos precios facturados'!$A:$G,7,FALSE),0)</f>
        <v>1.3549024999999999</v>
      </c>
      <c r="AY8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8.0318048715682683E-2</v>
      </c>
      <c r="AZ85" s="30">
        <f>IFERROR(VLOOKUP(Tabla14[[#This Row],[Llave]],Hoja2!B:K,10,FALSE),0)</f>
        <v>1.35</v>
      </c>
      <c r="BA8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1.4637256250000001</v>
      </c>
      <c r="BB85" s="30">
        <v>0</v>
      </c>
      <c r="BC85" s="30">
        <f>IF(Tabla14[[#This Row],[Market]]=0,Tabla14[[#This Row],[Precio Final]],Tabla14[[#This Row],[Market]])</f>
        <v>1.4637256250000001</v>
      </c>
      <c r="BD85" s="82"/>
      <c r="BE85" s="82" t="str">
        <f>IF(AND(Tabla14[[#This Row],[Atraso a facturar]]&gt;0,Tabla14[[#This Row],[En puerto a facturar]]&gt;0,Tabla14[[#This Row],[Precio Atraso]]=0),"Revisar","OK")</f>
        <v>OK</v>
      </c>
      <c r="BF85" s="82" t="str">
        <f>IF(AND(Tabla14[[#This Row],[Venta del mes]]&gt;0,Tabla14[[#This Row],[Precio venta nueva]]=0),"Revisar","OK")</f>
        <v>OK</v>
      </c>
      <c r="BG85" s="20">
        <f>IFERROR(VLOOKUP(Tabla14[[#This Row],[Llave]],'[5]Consolidación planes'!$A:$M,9,FALSE),0)</f>
        <v>24000</v>
      </c>
      <c r="BH85" s="20">
        <f>IFERROR(VLOOKUP(Tabla14[[#This Row],[Llave]],'[5]Consolidación planes'!$A:$M,10,FALSE),0)</f>
        <v>0</v>
      </c>
      <c r="BI85" s="20">
        <f>IFERROR(VLOOKUP(Tabla14[[#This Row],[Llave]],'[5]Consolidación planes'!$A:$M,11,FALSE),0)</f>
        <v>0</v>
      </c>
      <c r="BJ85" s="20">
        <f>IFERROR(VLOOKUP(Tabla14[[#This Row],[Llave]],'[5]Consolidación planes'!$A:$M,12,FALSE),0)</f>
        <v>0</v>
      </c>
      <c r="BK85" s="20">
        <f>IFERROR(VLOOKUP(Tabla14[[#This Row],[Llave]],'[5]Consolidación planes'!$A:$M,13,FALSE),0)</f>
        <v>0</v>
      </c>
      <c r="BL85" s="20">
        <f>IFERROR(VLOOKUP(Tabla14[[#This Row],[Llave]],'[13]Base ultimos planes'!$A:$M,13,FALSE),0)</f>
        <v>24000</v>
      </c>
      <c r="BM85" s="20">
        <f>IFERROR(VLOOKUP(Tabla14[[#This Row],[Llave]],'[13]Cruce plan irrestricto'!$C:$M,10,FALSE),0)</f>
        <v>24000</v>
      </c>
      <c r="BN85" s="20">
        <f>IFERROR(VLOOKUP(Tabla14[[#This Row],[Llave]],'[13]Cruce plan irrestricto'!$C:$M,11,FALSE),0)</f>
        <v>24000</v>
      </c>
      <c r="BO85" s="80">
        <f>IFERROR(VLOOKUP(Tabla14[[#This Row],[Llave]],'[13]Base ultimos planes'!$O:$AA,8,FALSE),0)</f>
        <v>32880</v>
      </c>
      <c r="BP85" s="20">
        <f>IFERROR(VLOOKUP(Tabla14[[#This Row],[Llave]],'[13]Base ultimos planes'!$O:$AA,9,FALSE),0)</f>
        <v>0</v>
      </c>
      <c r="BQ85" s="20">
        <f>IFERROR(VLOOKUP(Tabla14[[#This Row],[Llave]],'[13]Base ultimos planes'!$O:$AA,10,FALSE),0)</f>
        <v>0</v>
      </c>
      <c r="BR85" s="20">
        <f>IFERROR(VLOOKUP(Tabla14[[#This Row],[Llave]],'[13]Base ultimos planes'!$O:$AA,11,FALSE),0)</f>
        <v>0</v>
      </c>
      <c r="BS85" s="20">
        <f>IFERROR(VLOOKUP(Tabla14[[#This Row],[Llave]],'[13]Base ultimos planes'!$O:$AA,12,FALSE),0)</f>
        <v>0</v>
      </c>
      <c r="BT85" s="20">
        <f>IFERROR(VLOOKUP(Tabla14[[#This Row],[Llave]],'[13]Base ultimos planes'!$O:$AA,13,FALSE),0)</f>
        <v>30925</v>
      </c>
      <c r="BU85" s="20"/>
      <c r="BV85" s="20">
        <f>Tabla14[[#This Row],[ RV Producción mes n+1]]-Tabla14[[#This Row],[Producción disponible]]+Tabla14[[#This Row],[Saldo Volumen disponible]]</f>
        <v>10300</v>
      </c>
      <c r="BW85" s="20">
        <f>IFERROR(VLOOKUP(Tabla14[[#This Row],[Llave]],[14]Hoja2!$J:$N,4,FALSE),0)</f>
        <v>0</v>
      </c>
      <c r="BX85" s="20">
        <f>+Tabla14[[#This Row],[Asignación mes n+1]]*Tabla14[[#This Row],[% Uti. producción]]</f>
        <v>0</v>
      </c>
      <c r="BY85" s="20">
        <f>+Tabla14[[#This Row],[Ponderación mes n+1]]+Tabla14[[#This Row],[Saldo mes n-1]]</f>
        <v>10300</v>
      </c>
      <c r="BZ85" s="20">
        <f>+Tabla14[[#This Row],[Asignación mes n+1]]-Tabla14[[#This Row],[Ponderación mes n+1]]</f>
        <v>0</v>
      </c>
      <c r="CA85" s="20">
        <f>IFERROR(VLOOKUP(Tabla14[[#This Row],[Llave]],[14]Hoja2!$J:$N,5,FALSE),0)</f>
        <v>0</v>
      </c>
      <c r="CB85" s="20">
        <f>+Tabla14[[#This Row],[Asignación mes n+2]]*Tabla14[[#This Row],[% Uti. producción]]</f>
        <v>0</v>
      </c>
      <c r="CC85" s="20">
        <f>+Tabla14[[#This Row],[Saldo mes n+2]]+Tabla14[[#This Row],[Ponderación mes n+2]]</f>
        <v>0</v>
      </c>
      <c r="CD85" s="20">
        <f>+Tabla14[[#This Row],[Asignación mes n+2]]-Tabla14[[#This Row],[Ponderación mes n+2]]</f>
        <v>0</v>
      </c>
    </row>
    <row r="86" spans="1:82" ht="16" x14ac:dyDescent="0.2">
      <c r="A86">
        <v>1</v>
      </c>
      <c r="B86" t="str">
        <f>Tabla14[[#This Row],[Oficina]]&amp;Tabla14[[#This Row],[Material]]</f>
        <v>Agrosuper Asia1021470</v>
      </c>
      <c r="C86" t="s">
        <v>6</v>
      </c>
      <c r="D86" t="s">
        <v>173</v>
      </c>
      <c r="E86">
        <v>1021470</v>
      </c>
      <c r="F86" t="s">
        <v>196</v>
      </c>
      <c r="G86" t="s">
        <v>159</v>
      </c>
      <c r="H86" t="s">
        <v>160</v>
      </c>
      <c r="I86" s="7">
        <f>IFERROR(IF(Tabla14[[#This Row],[Oficina]]=$I$7,VLOOKUP(Tabla14[[#This Row],[Material]],'[6]RV Producción'!$Y:$AA,3,FALSE),VLOOKUP(Tabla14[[#This Row],[Llave]],'[6]RV Producción'!$C:$G,5,FALSE)),0)</f>
        <v>38202</v>
      </c>
      <c r="J86" s="7">
        <f>IFERROR(IF(Tabla14[[#This Row],[Oficina]]=$I$7,VLOOKUP(Tabla14[[#This Row],[Llave]],'[7]Shangai (Tomas)'!$A:$F,6,FALSE),VLOOKUP(Tabla14[[#This Row],[Llave]],'[6]RV plan de ventas'!$A:$E,5,FALSE)),0)</f>
        <v>44000</v>
      </c>
      <c r="K86" s="8">
        <f>IFERROR(VLOOKUP(Tabla14[[#This Row],[Sector]]&amp;Tabla14[[#This Row],[Oficina]],[8]Ponderación!$A$3:$G$22,7,FALSE),0)</f>
        <v>0.38476266834449474</v>
      </c>
      <c r="L86" s="7">
        <f>+Tabla14[[#This Row],[ RV Producción mes n+1]]*Tabla14[[#This Row],[% Uti. producción]]</f>
        <v>14698.703456096388</v>
      </c>
      <c r="M86" s="7">
        <f>IFERROR(VLOOKUP(Tabla14[[#This Row],[Material]],'[9]TD Stock'!$B:$C,2,FALSE),0)</f>
        <v>10167.202000000001</v>
      </c>
      <c r="N86" s="7">
        <f>IFERROR(VLOOKUP(Tabla14[[#This Row],[Material]],'[10]Consolidado planificación'!$B:$C,2,FALSE),0)</f>
        <v>0</v>
      </c>
      <c r="O86" s="7">
        <f>IFERROR(VLOOKUP(Tabla14[[#This Row],[Llave]],[11]Hoja2!$D:$G,4,FALSE),0)</f>
        <v>0</v>
      </c>
      <c r="P86" s="14">
        <f>SUM(Tabla14[[#This Row],[Producción disponible]],Tabla14[[#This Row],[Stock al día]],(Tabla14[[#This Row],[Por producir mes N]]*0.9))-Tabla14[[#This Row],[Producción por despachar mes N]]</f>
        <v>24865.905456096389</v>
      </c>
      <c r="Q86" s="7">
        <f>IFERROR(VLOOKUP(Tabla14[[#This Row],[Llave]],[9]DELAY!$A:$D,4,FALSE),0)</f>
        <v>0</v>
      </c>
      <c r="R86" s="9">
        <v>22000</v>
      </c>
      <c r="S86" s="5">
        <f t="shared" si="6"/>
        <v>0</v>
      </c>
      <c r="T86" s="76">
        <v>0</v>
      </c>
      <c r="U86" s="5">
        <f>+Tabla14[[#This Row],[Atraso a facturar]]+Tabla14[[#This Row],[Ajuste atraso]]</f>
        <v>0</v>
      </c>
      <c r="V86" s="3">
        <f>+Tabla14[[#This Row],[Total disponible]]-Tabla14[[#This Row],[Facturación atraso]]</f>
        <v>24865.905456096389</v>
      </c>
      <c r="W86" s="6">
        <f>IFERROR(IF(AND(V86&gt;R86,J86&gt;=R86),ROUNDDOWN((Tabla14[[#This Row],[Producción para venta nueva]])/R86,0)*R86,0),0)</f>
        <v>22000</v>
      </c>
      <c r="X86" s="76">
        <v>0</v>
      </c>
      <c r="Y86" s="6">
        <f>IF(Tabla14[[#This Row],[Venta del mes]]&gt;0,Tabla14[[#This Row],[Venta del mes]]+Tabla14[[#This Row],[Ajuste venta nueva]],0)</f>
        <v>22000</v>
      </c>
      <c r="Z86" s="6">
        <f>+Tabla14[[#This Row],[Producción para venta nueva]]-Tabla14[[#This Row],[Facturación Venta nueva]]</f>
        <v>2865.9054560963887</v>
      </c>
      <c r="AA86" s="6">
        <f>IF(AND(A86=1,Tabla14[[#This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86" s="6">
        <v>0</v>
      </c>
      <c r="AC86" s="6">
        <f>IF(Tabla14[[#This Row],[Disponible stock sin venta]]&gt;0,Tabla14[[#This Row],[Disponible stock sin venta]]+Tabla14[[#This Row],[Ajuste stock sin venta]],0)</f>
        <v>0</v>
      </c>
      <c r="AD86" s="3">
        <f>IFERROR(VLOOKUP(Tabla14[[#This Row],[Llave]],[12]Hoja1!$A:$D,4,FALSE),0)</f>
        <v>44011.659999999996</v>
      </c>
      <c r="AE8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66011.66</v>
      </c>
      <c r="AF86" s="3">
        <v>66011.66</v>
      </c>
      <c r="AG86" s="3">
        <f>+Tabla14[[#This Row],[En puerto a facturar]]</f>
        <v>44011.659999999996</v>
      </c>
      <c r="AH86" s="3">
        <f>+Tabla14[[#This Row],[Facturación atraso]]</f>
        <v>0</v>
      </c>
      <c r="AI86" s="3">
        <f>+Tabla14[[#This Row],[Plan Irrestricto (DATO)]]-Tabla14[[#This Row],[Puerto ]]-Tabla14[[#This Row],[Atraso]]</f>
        <v>22000.000000000007</v>
      </c>
      <c r="AJ86" s="6">
        <f>IF(Tabla14[[#This Row],[Plan Irrestricto (DATO)]]&gt;0,SUM(Tabla14[[#This Row],[Facturación atraso]],Tabla14[[#This Row],[Facturación Venta nueva]],Tabla14[[#This Row],[Facturación stock]],Tabla14[[#This Row],[En puerto a facturar]]),0)</f>
        <v>66011.66</v>
      </c>
      <c r="AK86" s="3">
        <f>+Tabla14[[#This Row],[Facturación atraso]]</f>
        <v>0</v>
      </c>
      <c r="AL86" s="3">
        <f>Tabla14[[#This Row],[Plan Ajustado]]-Tabla14[[#This Row],[ Atraso ajustado]]-Tabla14[[#This Row],[En puerto a facturar]]</f>
        <v>22000.000000000007</v>
      </c>
      <c r="AM86" s="3">
        <v>0</v>
      </c>
      <c r="AN86" s="3"/>
      <c r="AO86" s="3" t="str">
        <f>IF(Tabla14[[#This Row],[Plan Ajustado]]&gt;Tabla14[[#This Row],[En puerto a facturar]],"Si","No")</f>
        <v>Si</v>
      </c>
      <c r="AP86" s="3">
        <f>IF(AND(Tabla14[[#This Row],[Plan Ajustado]]&gt;0,Tabla14[[#This Row],[Plan Ajustado]]&gt;Tabla14[[#This Row],[En puerto a facturar]]),(Tabla14[[#This Row],[Plan Ajustado]]-Tabla14[[#This Row],[En puerto a facturar]]),0)</f>
        <v>22000.000000000007</v>
      </c>
      <c r="AQ86" s="3">
        <f>IF(Tabla14[[#This Row],[Necesidad]]&gt;=Tabla14[[#This Row],[Stock al día]],Tabla14[[#This Row],[Stock al día]],Tabla14[[#This Row],[Necesidad]])</f>
        <v>10167.202000000001</v>
      </c>
      <c r="AR86" s="3">
        <f>+Tabla14[[#This Row],[Necesidad]]-Tabla14[[#This Row],[Stock Plan]]</f>
        <v>11832.798000000006</v>
      </c>
      <c r="AS86" s="155">
        <f>VLOOKUP(Tabla14[[#This Row],[Sector]]&amp;Tabla14[[#This Row],[Oficina]],[8]Ponderación!$A:$H,8,FALSE)</f>
        <v>44814</v>
      </c>
      <c r="AT86" s="30">
        <f>IFERROR(VLOOKUP(Tabla14[[#This Row],[Llave]],'[6]RV plan de ventas'!$A:$F,6,FALSE),0)</f>
        <v>1.16361363636364</v>
      </c>
      <c r="AU86" s="83">
        <f>IFERROR(VLOOKUP(Tabla14[[#This Row],[Llave]],[9]DELAY!$H:$X,17,FALSE),0)</f>
        <v>0</v>
      </c>
      <c r="AV8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0.38780270031082509</v>
      </c>
      <c r="AW86" s="5">
        <f>Tabla14[[#This Row],[Pecio plan]]*Tabla14[[#This Row],[Plan Ajustado]]</f>
        <v>25599.50000000008</v>
      </c>
      <c r="AX86" s="30">
        <f>IFERROR(VLOOKUP(Tabla14[[#This Row],[Llave]],'[13]Ultimos precios facturados'!$A:$G,7,FALSE),0)</f>
        <v>1.7281294102637377</v>
      </c>
      <c r="AY8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0.77559394683778871</v>
      </c>
      <c r="AZ86" s="30">
        <f>IFERROR(VLOOKUP(Tabla14[[#This Row],[Llave]],Hoja2!B:K,10,FALSE),0)</f>
        <v>1.6</v>
      </c>
      <c r="BA8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0.38780270031082509</v>
      </c>
      <c r="BB86" s="30">
        <v>0</v>
      </c>
      <c r="BC86" s="30">
        <f>IF(Tabla14[[#This Row],[Market]]=0,Tabla14[[#This Row],[Precio Final]],Tabla14[[#This Row],[Market]])</f>
        <v>0.38780270031082509</v>
      </c>
      <c r="BD86" s="82"/>
      <c r="BE86" s="82" t="str">
        <f>IF(AND(Tabla14[[#This Row],[Atraso a facturar]]&gt;0,Tabla14[[#This Row],[En puerto a facturar]]&gt;0,Tabla14[[#This Row],[Precio Atraso]]=0),"Revisar","OK")</f>
        <v>OK</v>
      </c>
      <c r="BF86" s="82" t="str">
        <f>IF(AND(Tabla14[[#This Row],[Venta del mes]]&gt;0,Tabla14[[#This Row],[Precio venta nueva]]=0),"Revisar","OK")</f>
        <v>OK</v>
      </c>
      <c r="BG86" s="20">
        <f>IFERROR(VLOOKUP(Tabla14[[#This Row],[Llave]],'[5]Consolidación planes'!$A:$M,9,FALSE),0)</f>
        <v>22000</v>
      </c>
      <c r="BH86" s="20">
        <f>IFERROR(VLOOKUP(Tabla14[[#This Row],[Llave]],'[5]Consolidación planes'!$A:$M,10,FALSE),0)</f>
        <v>22000</v>
      </c>
      <c r="BI86" s="20">
        <f>IFERROR(VLOOKUP(Tabla14[[#This Row],[Llave]],'[5]Consolidación planes'!$A:$M,11,FALSE),0)</f>
        <v>0</v>
      </c>
      <c r="BJ86" s="20">
        <f>IFERROR(VLOOKUP(Tabla14[[#This Row],[Llave]],'[5]Consolidación planes'!$A:$M,12,FALSE),0)</f>
        <v>22000</v>
      </c>
      <c r="BK86" s="20">
        <f>IFERROR(VLOOKUP(Tabla14[[#This Row],[Llave]],'[5]Consolidación planes'!$A:$M,13,FALSE),0)</f>
        <v>0</v>
      </c>
      <c r="BL86" s="20">
        <f>IFERROR(VLOOKUP(Tabla14[[#This Row],[Llave]],'[13]Base ultimos planes'!$A:$M,13,FALSE),0)</f>
        <v>22000</v>
      </c>
      <c r="BM86" s="20">
        <f>IFERROR(VLOOKUP(Tabla14[[#This Row],[Llave]],'[13]Cruce plan irrestricto'!$C:$M,10,FALSE),0)</f>
        <v>0</v>
      </c>
      <c r="BN86" s="20">
        <f>IFERROR(VLOOKUP(Tabla14[[#This Row],[Llave]],'[13]Cruce plan irrestricto'!$C:$M,11,FALSE),0)</f>
        <v>22000</v>
      </c>
      <c r="BO86" s="80">
        <f>IFERROR(VLOOKUP(Tabla14[[#This Row],[Llave]],'[13]Base ultimos planes'!$O:$AA,8,FALSE),0)</f>
        <v>41800</v>
      </c>
      <c r="BP86" s="20">
        <f>IFERROR(VLOOKUP(Tabla14[[#This Row],[Llave]],'[13]Base ultimos planes'!$O:$AA,9,FALSE),0)</f>
        <v>45540</v>
      </c>
      <c r="BQ86" s="20">
        <f>IFERROR(VLOOKUP(Tabla14[[#This Row],[Llave]],'[13]Base ultimos planes'!$O:$AA,10,FALSE),0)</f>
        <v>0</v>
      </c>
      <c r="BR86" s="20">
        <f>IFERROR(VLOOKUP(Tabla14[[#This Row],[Llave]],'[13]Base ultimos planes'!$O:$AA,11,FALSE),0)</f>
        <v>39600</v>
      </c>
      <c r="BS86" s="20">
        <f>IFERROR(VLOOKUP(Tabla14[[#This Row],[Llave]],'[13]Base ultimos planes'!$O:$AA,12,FALSE),0)</f>
        <v>0</v>
      </c>
      <c r="BT86" s="20">
        <f>IFERROR(VLOOKUP(Tabla14[[#This Row],[Llave]],'[13]Base ultimos planes'!$O:$AA,13,FALSE),0)</f>
        <v>36511</v>
      </c>
      <c r="BU86" s="20"/>
      <c r="BV86" s="20">
        <f>Tabla14[[#This Row],[ RV Producción mes n+1]]-Tabla14[[#This Row],[Producción disponible]]+Tabla14[[#This Row],[Saldo Volumen disponible]]</f>
        <v>26369.202000000001</v>
      </c>
      <c r="BW86" s="20">
        <f>IFERROR(VLOOKUP(Tabla14[[#This Row],[Llave]],[14]Hoja2!$J:$N,4,FALSE),0)</f>
        <v>44000</v>
      </c>
      <c r="BX86" s="20">
        <f>+Tabla14[[#This Row],[Asignación mes n+1]]*Tabla14[[#This Row],[% Uti. producción]]</f>
        <v>16929.557407157768</v>
      </c>
      <c r="BY86" s="20">
        <f>+Tabla14[[#This Row],[Ponderación mes n+1]]+Tabla14[[#This Row],[Saldo mes n-1]]</f>
        <v>43298.75940715777</v>
      </c>
      <c r="BZ86" s="20">
        <f>+Tabla14[[#This Row],[Asignación mes n+1]]-Tabla14[[#This Row],[Ponderación mes n+1]]</f>
        <v>27070.442592842232</v>
      </c>
      <c r="CA86" s="20">
        <f>IFERROR(VLOOKUP(Tabla14[[#This Row],[Llave]],[14]Hoja2!$J:$N,5,FALSE),0)</f>
        <v>44000</v>
      </c>
      <c r="CB86" s="20">
        <f>+Tabla14[[#This Row],[Asignación mes n+2]]*Tabla14[[#This Row],[% Uti. producción]]</f>
        <v>16929.557407157768</v>
      </c>
      <c r="CC86" s="20">
        <f>+Tabla14[[#This Row],[Saldo mes n+2]]+Tabla14[[#This Row],[Ponderación mes n+2]]</f>
        <v>44000</v>
      </c>
      <c r="CD86" s="20">
        <f>+Tabla14[[#This Row],[Asignación mes n+2]]-Tabla14[[#This Row],[Ponderación mes n+2]]</f>
        <v>27070.442592842232</v>
      </c>
    </row>
    <row r="87" spans="1:82" ht="16" x14ac:dyDescent="0.2">
      <c r="A87">
        <v>1</v>
      </c>
      <c r="B87" t="str">
        <f>Tabla14[[#This Row],[Oficina]]&amp;Tabla14[[#This Row],[Material]]</f>
        <v>Agrosuper Asia1021655</v>
      </c>
      <c r="C87" t="s">
        <v>6</v>
      </c>
      <c r="D87" t="s">
        <v>173</v>
      </c>
      <c r="E87">
        <v>1021655</v>
      </c>
      <c r="F87" t="s">
        <v>326</v>
      </c>
      <c r="G87" t="s">
        <v>76</v>
      </c>
      <c r="H87" t="s">
        <v>84</v>
      </c>
      <c r="I87" s="7">
        <f>IFERROR(IF(Tabla14[[#This Row],[Oficina]]=$I$7,VLOOKUP(Tabla14[[#This Row],[Material]],'[6]RV Producción'!$Y:$AA,3,FALSE),VLOOKUP(Tabla14[[#This Row],[Llave]],'[6]RV Producción'!$C:$G,5,FALSE)),0)</f>
        <v>0</v>
      </c>
      <c r="J87" s="7">
        <f>IFERROR(IF(Tabla14[[#This Row],[Oficina]]=$I$7,VLOOKUP(Tabla14[[#This Row],[Llave]],'[7]Shangai (Tomas)'!$A:$F,6,FALSE),VLOOKUP(Tabla14[[#This Row],[Llave]],'[6]RV plan de ventas'!$A:$E,5,FALSE)),0)</f>
        <v>0</v>
      </c>
      <c r="K87" s="8">
        <f>IFERROR(VLOOKUP(Tabla14[[#This Row],[Sector]]&amp;Tabla14[[#This Row],[Oficina]],[8]Ponderación!$A$3:$G$22,7,FALSE),0)</f>
        <v>0.38476266834449474</v>
      </c>
      <c r="L87" s="7">
        <f>+Tabla14[[#This Row],[ RV Producción mes n+1]]*Tabla14[[#This Row],[% Uti. producción]]</f>
        <v>0</v>
      </c>
      <c r="M87" s="7">
        <f>IFERROR(VLOOKUP(Tabla14[[#This Row],[Material]],'[9]TD Stock'!$B:$C,2,FALSE),0)</f>
        <v>3020</v>
      </c>
      <c r="N87" s="7">
        <f>IFERROR(VLOOKUP(Tabla14[[#This Row],[Material]],'[10]Consolidado planificación'!$B:$C,2,FALSE),0)</f>
        <v>5825</v>
      </c>
      <c r="O87" s="7">
        <f>IFERROR(VLOOKUP(Tabla14[[#This Row],[Llave]],[11]Hoja2!$D:$G,4,FALSE),0)</f>
        <v>0</v>
      </c>
      <c r="P87" s="14">
        <f>SUM(Tabla14[[#This Row],[Producción disponible]],Tabla14[[#This Row],[Stock al día]],(Tabla14[[#This Row],[Por producir mes N]]*0.9))-Tabla14[[#This Row],[Producción por despachar mes N]]</f>
        <v>8262.5</v>
      </c>
      <c r="Q87" s="7">
        <f>IFERROR(VLOOKUP(Tabla14[[#This Row],[Llave]],[9]DELAY!$A:$D,4,FALSE),0)</f>
        <v>0</v>
      </c>
      <c r="R87" s="9">
        <v>23000</v>
      </c>
      <c r="S87" s="5">
        <f t="shared" si="6"/>
        <v>0</v>
      </c>
      <c r="T87" s="76">
        <v>0</v>
      </c>
      <c r="U87" s="5">
        <f>+Tabla14[[#This Row],[Atraso a facturar]]+Tabla14[[#This Row],[Ajuste atraso]]</f>
        <v>0</v>
      </c>
      <c r="V87" s="3">
        <f>+Tabla14[[#This Row],[Total disponible]]-Tabla14[[#This Row],[Facturación atraso]]</f>
        <v>8262.5</v>
      </c>
      <c r="W87" s="6">
        <f>IFERROR(IF(AND(V87&gt;R87,J87&gt;=R87),ROUNDDOWN((Tabla14[[#This Row],[Producción para venta nueva]])/R87,0)*R87,0),0)</f>
        <v>0</v>
      </c>
      <c r="X87" s="76">
        <v>0</v>
      </c>
      <c r="Y87" s="6">
        <f>IF(Tabla14[[#This Row],[Venta del mes]]&gt;0,Tabla14[[#This Row],[Venta del mes]]+Tabla14[[#This Row],[Ajuste venta nueva]],0)</f>
        <v>0</v>
      </c>
      <c r="Z87" s="6">
        <f>+Tabla14[[#This Row],[Producción para venta nueva]]-Tabla14[[#This Row],[Facturación Venta nueva]]</f>
        <v>8262.5</v>
      </c>
      <c r="AA87" s="6">
        <f>IF(AND(A87=1,Tabla14[[#This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87" s="6">
        <v>0</v>
      </c>
      <c r="AC87" s="6">
        <f>IF(Tabla14[[#This Row],[Disponible stock sin venta]]&gt;0,Tabla14[[#This Row],[Disponible stock sin venta]]+Tabla14[[#This Row],[Ajuste stock sin venta]],0)</f>
        <v>0</v>
      </c>
      <c r="AD87" s="3">
        <f>IFERROR(VLOOKUP(Tabla14[[#This Row],[Llave]],[12]Hoja1!$A:$D,4,FALSE),0)</f>
        <v>0</v>
      </c>
      <c r="AE8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87" s="3">
        <v>0</v>
      </c>
      <c r="AG87" s="3">
        <f>+Tabla14[[#This Row],[En puerto a facturar]]</f>
        <v>0</v>
      </c>
      <c r="AH87" s="3">
        <f>+Tabla14[[#This Row],[Facturación atraso]]</f>
        <v>0</v>
      </c>
      <c r="AI87" s="3">
        <f>+Tabla14[[#This Row],[Plan Irrestricto (DATO)]]-Tabla14[[#This Row],[Puerto ]]-Tabla14[[#This Row],[Atraso]]</f>
        <v>0</v>
      </c>
      <c r="AJ8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87" s="3">
        <f>+Tabla14[[#This Row],[Facturación atraso]]</f>
        <v>0</v>
      </c>
      <c r="AL87" s="3">
        <f>Tabla14[[#This Row],[Plan Ajustado]]-Tabla14[[#This Row],[ Atraso ajustado]]-Tabla14[[#This Row],[En puerto a facturar]]</f>
        <v>0</v>
      </c>
      <c r="AM87" s="3">
        <v>0</v>
      </c>
      <c r="AN87" s="3"/>
      <c r="AO87" s="3" t="str">
        <f>IF(Tabla14[[#This Row],[Plan Ajustado]]&gt;Tabla14[[#This Row],[En puerto a facturar]],"Si","No")</f>
        <v>No</v>
      </c>
      <c r="AP8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87" s="3">
        <f>IF(Tabla14[[#This Row],[Necesidad]]&gt;=Tabla14[[#This Row],[Stock al día]],Tabla14[[#This Row],[Stock al día]],Tabla14[[#This Row],[Necesidad]])</f>
        <v>0</v>
      </c>
      <c r="AR87" s="3">
        <f>+Tabla14[[#This Row],[Necesidad]]-Tabla14[[#This Row],[Stock Plan]]</f>
        <v>0</v>
      </c>
      <c r="AS87" s="155">
        <f>VLOOKUP(Tabla14[[#This Row],[Sector]]&amp;Tabla14[[#This Row],[Oficina]],[8]Ponderación!$A:$H,8,FALSE)</f>
        <v>44814</v>
      </c>
      <c r="AT87" s="30">
        <f>IFERROR(VLOOKUP(Tabla14[[#This Row],[Llave]],'[6]RV plan de ventas'!$A:$F,6,FALSE),0)</f>
        <v>0</v>
      </c>
      <c r="AU87" s="83">
        <f>IFERROR(VLOOKUP(Tabla14[[#This Row],[Llave]],[9]DELAY!$H:$X,17,FALSE),0)</f>
        <v>0</v>
      </c>
      <c r="AV8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87" s="5">
        <f>Tabla14[[#This Row],[Pecio plan]]*Tabla14[[#This Row],[Plan Ajustado]]</f>
        <v>0</v>
      </c>
      <c r="AX87" s="30">
        <f>IFERROR(VLOOKUP(Tabla14[[#This Row],[Llave]],'[13]Ultimos precios facturados'!$A:$G,7,FALSE),0)</f>
        <v>1.8645504166666667</v>
      </c>
      <c r="AY8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87" s="30">
        <f>IFERROR(VLOOKUP(Tabla14[[#This Row],[Llave]],Hoja2!B:K,10,FALSE),0)</f>
        <v>0</v>
      </c>
      <c r="BA8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87" s="30">
        <v>0</v>
      </c>
      <c r="BC87" s="30">
        <f>IF(Tabla14[[#This Row],[Market]]=0,Tabla14[[#This Row],[Precio Final]],Tabla14[[#This Row],[Market]])</f>
        <v>0</v>
      </c>
      <c r="BD87" s="82"/>
      <c r="BE87" s="82" t="str">
        <f>IF(AND(Tabla14[[#This Row],[Atraso a facturar]]&gt;0,Tabla14[[#This Row],[En puerto a facturar]]&gt;0,Tabla14[[#This Row],[Precio Atraso]]=0),"Revisar","OK")</f>
        <v>OK</v>
      </c>
      <c r="BF87" s="82" t="str">
        <f>IF(AND(Tabla14[[#This Row],[Venta del mes]]&gt;0,Tabla14[[#This Row],[Precio venta nueva]]=0),"Revisar","OK")</f>
        <v>OK</v>
      </c>
      <c r="BG87" s="20">
        <f>IFERROR(VLOOKUP(Tabla14[[#This Row],[Llave]],'[5]Consolidación planes'!$A:$M,9,FALSE),0)</f>
        <v>0</v>
      </c>
      <c r="BH87" s="20">
        <f>IFERROR(VLOOKUP(Tabla14[[#This Row],[Llave]],'[5]Consolidación planes'!$A:$M,10,FALSE),0)</f>
        <v>0</v>
      </c>
      <c r="BI87" s="20">
        <f>IFERROR(VLOOKUP(Tabla14[[#This Row],[Llave]],'[5]Consolidación planes'!$A:$M,11,FALSE),0)</f>
        <v>0</v>
      </c>
      <c r="BJ87" s="20">
        <f>IFERROR(VLOOKUP(Tabla14[[#This Row],[Llave]],'[5]Consolidación planes'!$A:$M,12,FALSE),0)</f>
        <v>0</v>
      </c>
      <c r="BK87" s="20">
        <f>IFERROR(VLOOKUP(Tabla14[[#This Row],[Llave]],'[5]Consolidación planes'!$A:$M,13,FALSE),0)</f>
        <v>48000</v>
      </c>
      <c r="BL87" s="20">
        <f>IFERROR(VLOOKUP(Tabla14[[#This Row],[Llave]],'[13]Base ultimos planes'!$A:$M,13,FALSE),0)</f>
        <v>24000</v>
      </c>
      <c r="BM87" s="20">
        <f>IFERROR(VLOOKUP(Tabla14[[#This Row],[Llave]],'[13]Cruce plan irrestricto'!$C:$M,10,FALSE),0)</f>
        <v>0</v>
      </c>
      <c r="BN87" s="20">
        <f>IFERROR(VLOOKUP(Tabla14[[#This Row],[Llave]],'[13]Cruce plan irrestricto'!$C:$M,11,FALSE),0)</f>
        <v>0</v>
      </c>
      <c r="BO87" s="80">
        <f>IFERROR(VLOOKUP(Tabla14[[#This Row],[Llave]],'[13]Base ultimos planes'!$O:$AA,8,FALSE),0)</f>
        <v>0</v>
      </c>
      <c r="BP87" s="20">
        <f>IFERROR(VLOOKUP(Tabla14[[#This Row],[Llave]],'[13]Base ultimos planes'!$O:$AA,9,FALSE),0)</f>
        <v>0</v>
      </c>
      <c r="BQ87" s="20">
        <f>IFERROR(VLOOKUP(Tabla14[[#This Row],[Llave]],'[13]Base ultimos planes'!$O:$AA,10,FALSE),0)</f>
        <v>0</v>
      </c>
      <c r="BR87" s="20">
        <f>IFERROR(VLOOKUP(Tabla14[[#This Row],[Llave]],'[13]Base ultimos planes'!$O:$AA,11,FALSE),0)</f>
        <v>0</v>
      </c>
      <c r="BS87" s="20">
        <f>IFERROR(VLOOKUP(Tabla14[[#This Row],[Llave]],'[13]Base ultimos planes'!$O:$AA,12,FALSE),0)</f>
        <v>96000</v>
      </c>
      <c r="BT87" s="20">
        <f>IFERROR(VLOOKUP(Tabla14[[#This Row],[Llave]],'[13]Base ultimos planes'!$O:$AA,13,FALSE),0)</f>
        <v>46375</v>
      </c>
      <c r="BU87" s="20"/>
      <c r="BV87" s="20">
        <f>Tabla14[[#This Row],[ RV Producción mes n+1]]-Tabla14[[#This Row],[Producción disponible]]+Tabla14[[#This Row],[Saldo Volumen disponible]]</f>
        <v>8262.5</v>
      </c>
      <c r="BW87" s="20">
        <f>IFERROR(VLOOKUP(Tabla14[[#This Row],[Llave]],[14]Hoja2!$J:$N,4,FALSE),0)</f>
        <v>0</v>
      </c>
      <c r="BX87" s="20">
        <f>+Tabla14[[#This Row],[Asignación mes n+1]]*Tabla14[[#This Row],[% Uti. producción]]</f>
        <v>0</v>
      </c>
      <c r="BY87" s="20">
        <f>+Tabla14[[#This Row],[Ponderación mes n+1]]+Tabla14[[#This Row],[Saldo mes n-1]]</f>
        <v>8262.5</v>
      </c>
      <c r="BZ87" s="20">
        <f>+Tabla14[[#This Row],[Asignación mes n+1]]-Tabla14[[#This Row],[Ponderación mes n+1]]</f>
        <v>0</v>
      </c>
      <c r="CA87" s="20">
        <f>IFERROR(VLOOKUP(Tabla14[[#This Row],[Llave]],[14]Hoja2!$J:$N,5,FALSE),0)</f>
        <v>0</v>
      </c>
      <c r="CB87" s="20">
        <f>+Tabla14[[#This Row],[Asignación mes n+2]]*Tabla14[[#This Row],[% Uti. producción]]</f>
        <v>0</v>
      </c>
      <c r="CC87" s="20">
        <f>+Tabla14[[#This Row],[Saldo mes n+2]]+Tabla14[[#This Row],[Ponderación mes n+2]]</f>
        <v>0</v>
      </c>
      <c r="CD87" s="20">
        <f>+Tabla14[[#This Row],[Asignación mes n+2]]-Tabla14[[#This Row],[Ponderación mes n+2]]</f>
        <v>0</v>
      </c>
    </row>
    <row r="88" spans="1:82" ht="16" x14ac:dyDescent="0.2">
      <c r="A88">
        <v>1</v>
      </c>
      <c r="B88" t="str">
        <f>Tabla14[[#This Row],[Oficina]]&amp;Tabla14[[#This Row],[Material]]</f>
        <v>Agrosuper Asia1021664</v>
      </c>
      <c r="C88" t="s">
        <v>6</v>
      </c>
      <c r="D88" t="s">
        <v>173</v>
      </c>
      <c r="E88">
        <v>1021664</v>
      </c>
      <c r="F88" t="s">
        <v>174</v>
      </c>
      <c r="G88" t="s">
        <v>25</v>
      </c>
      <c r="H88" t="s">
        <v>26</v>
      </c>
      <c r="I88" s="7">
        <f>IFERROR(IF(Tabla14[[#This Row],[Oficina]]=$I$7,VLOOKUP(Tabla14[[#This Row],[Material]],'[6]RV Producción'!$Y:$AA,3,FALSE),VLOOKUP(Tabla14[[#This Row],[Llave]],'[6]RV Producción'!$C:$G,5,FALSE)),0)</f>
        <v>0</v>
      </c>
      <c r="J88" s="7">
        <f>IFERROR(IF(Tabla14[[#This Row],[Oficina]]=$I$7,VLOOKUP(Tabla14[[#This Row],[Llave]],'[7]Shangai (Tomas)'!$A:$F,6,FALSE),VLOOKUP(Tabla14[[#This Row],[Llave]],'[6]RV plan de ventas'!$A:$E,5,FALSE)),0)</f>
        <v>11484</v>
      </c>
      <c r="K88" s="8">
        <f>IFERROR(VLOOKUP(Tabla14[[#This Row],[Sector]]&amp;Tabla14[[#This Row],[Oficina]],[8]Ponderación!$A$3:$G$22,7,FALSE),0)</f>
        <v>0.38476266834449474</v>
      </c>
      <c r="L88" s="7">
        <f>+Tabla14[[#This Row],[ RV Producción mes n+1]]*Tabla14[[#This Row],[% Uti. producción]]</f>
        <v>0</v>
      </c>
      <c r="M88" s="7">
        <f>IFERROR(VLOOKUP(Tabla14[[#This Row],[Material]],'[9]TD Stock'!$B:$C,2,FALSE),0)</f>
        <v>28484.276000000002</v>
      </c>
      <c r="N88" s="7">
        <f>IFERROR(VLOOKUP(Tabla14[[#This Row],[Material]],'[10]Consolidado planificación'!$B:$C,2,FALSE),0)</f>
        <v>0</v>
      </c>
      <c r="O88" s="7">
        <f>IFERROR(VLOOKUP(Tabla14[[#This Row],[Llave]],[11]Hoja2!$D:$G,4,FALSE),0)</f>
        <v>0</v>
      </c>
      <c r="P88" s="14">
        <f>SUM(Tabla14[[#This Row],[Producción disponible]],Tabla14[[#This Row],[Stock al día]],(Tabla14[[#This Row],[Por producir mes N]]*0.9))-Tabla14[[#This Row],[Producción por despachar mes N]]</f>
        <v>28484.276000000002</v>
      </c>
      <c r="Q88" s="7">
        <f>IFERROR(VLOOKUP(Tabla14[[#This Row],[Llave]],[9]DELAY!$A:$D,4,FALSE),0)</f>
        <v>17000</v>
      </c>
      <c r="R88" s="9">
        <v>22000</v>
      </c>
      <c r="S88" s="5">
        <f t="shared" si="6"/>
        <v>17000</v>
      </c>
      <c r="T88" s="76">
        <v>0</v>
      </c>
      <c r="U88" s="5">
        <f>+Tabla14[[#This Row],[Atraso a facturar]]+Tabla14[[#This Row],[Ajuste atraso]]</f>
        <v>17000</v>
      </c>
      <c r="V88" s="3">
        <f>+Tabla14[[#This Row],[Total disponible]]-Tabla14[[#This Row],[Facturación atraso]]</f>
        <v>11484.276000000002</v>
      </c>
      <c r="W88" s="6">
        <f>IFERROR(IF(AND(V88&gt;R88,J88&gt;=R88),ROUNDDOWN((Tabla14[[#This Row],[Producción para venta nueva]])/R88,0)*R88,0),0)</f>
        <v>0</v>
      </c>
      <c r="X88" s="76">
        <v>0</v>
      </c>
      <c r="Y88" s="6">
        <f>IF(Tabla14[[#This Row],[Venta del mes]]&gt;0,Tabla14[[#This Row],[Venta del mes]]+Tabla14[[#This Row],[Ajuste venta nueva]],0)</f>
        <v>0</v>
      </c>
      <c r="Z88" s="6">
        <f>+Tabla14[[#This Row],[Producción para venta nueva]]-Tabla14[[#This Row],[Facturación Venta nueva]]</f>
        <v>11484.276000000002</v>
      </c>
      <c r="AA88" s="6">
        <f>IF(AND(A88=1,Tabla14[[#This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88" s="6">
        <v>0</v>
      </c>
      <c r="AC88" s="6">
        <f>IF(Tabla14[[#This Row],[Disponible stock sin venta]]&gt;0,Tabla14[[#This Row],[Disponible stock sin venta]]+Tabla14[[#This Row],[Ajuste stock sin venta]],0)</f>
        <v>0</v>
      </c>
      <c r="AD88" s="3">
        <f>IFERROR(VLOOKUP(Tabla14[[#This Row],[Llave]],[12]Hoja1!$A:$D,4,FALSE),0)</f>
        <v>0</v>
      </c>
      <c r="AE8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17000</v>
      </c>
      <c r="AF88" s="3">
        <v>17000</v>
      </c>
      <c r="AG88" s="3">
        <f>+Tabla14[[#This Row],[En puerto a facturar]]</f>
        <v>0</v>
      </c>
      <c r="AH88" s="3">
        <f>+Tabla14[[#This Row],[Facturación atraso]]</f>
        <v>17000</v>
      </c>
      <c r="AI88" s="3">
        <f>+Tabla14[[#This Row],[Plan Irrestricto (DATO)]]-Tabla14[[#This Row],[Puerto ]]-Tabla14[[#This Row],[Atraso]]</f>
        <v>0</v>
      </c>
      <c r="AJ88" s="6">
        <f>IF(Tabla14[[#This Row],[Plan Irrestricto (DATO)]]&gt;0,SUM(Tabla14[[#This Row],[Facturación atraso]],Tabla14[[#This Row],[Facturación Venta nueva]],Tabla14[[#This Row],[Facturación stock]],Tabla14[[#This Row],[En puerto a facturar]]),0)</f>
        <v>17000</v>
      </c>
      <c r="AK88" s="3">
        <f>+Tabla14[[#This Row],[Facturación atraso]]</f>
        <v>17000</v>
      </c>
      <c r="AL88" s="3">
        <f>Tabla14[[#This Row],[Plan Ajustado]]-Tabla14[[#This Row],[ Atraso ajustado]]-Tabla14[[#This Row],[En puerto a facturar]]</f>
        <v>0</v>
      </c>
      <c r="AM88" s="3">
        <v>0</v>
      </c>
      <c r="AN88" s="3"/>
      <c r="AO88" s="3" t="str">
        <f>IF(Tabla14[[#This Row],[Plan Ajustado]]&gt;Tabla14[[#This Row],[En puerto a facturar]],"Si","No")</f>
        <v>Si</v>
      </c>
      <c r="AP88" s="3">
        <f>IF(AND(Tabla14[[#This Row],[Plan Ajustado]]&gt;0,Tabla14[[#This Row],[Plan Ajustado]]&gt;Tabla14[[#This Row],[En puerto a facturar]]),(Tabla14[[#This Row],[Plan Ajustado]]-Tabla14[[#This Row],[En puerto a facturar]]),0)</f>
        <v>17000</v>
      </c>
      <c r="AQ88" s="3">
        <f>IF(Tabla14[[#This Row],[Necesidad]]&gt;=Tabla14[[#This Row],[Stock al día]],Tabla14[[#This Row],[Stock al día]],Tabla14[[#This Row],[Necesidad]])</f>
        <v>17000</v>
      </c>
      <c r="AR88" s="3">
        <f>+Tabla14[[#This Row],[Necesidad]]-Tabla14[[#This Row],[Stock Plan]]</f>
        <v>0</v>
      </c>
      <c r="AS88" s="155">
        <f>VLOOKUP(Tabla14[[#This Row],[Sector]]&amp;Tabla14[[#This Row],[Oficina]],[8]Ponderación!$A:$H,8,FALSE)</f>
        <v>44814</v>
      </c>
      <c r="AT88" s="30">
        <f>IFERROR(VLOOKUP(Tabla14[[#This Row],[Llave]],'[6]RV plan de ventas'!$A:$F,6,FALSE),0)</f>
        <v>5.0635667014977397</v>
      </c>
      <c r="AU88" s="83">
        <f>IFERROR(VLOOKUP(Tabla14[[#This Row],[Llave]],[9]DELAY!$H:$X,17,FALSE),0)</f>
        <v>5.6448846153846199</v>
      </c>
      <c r="AV8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5.6448846153846199</v>
      </c>
      <c r="AW88" s="5">
        <f>Tabla14[[#This Row],[Pecio plan]]*Tabla14[[#This Row],[Plan Ajustado]]</f>
        <v>95963.038461538541</v>
      </c>
      <c r="AX88" s="30">
        <f>IFERROR(VLOOKUP(Tabla14[[#This Row],[Llave]],'[13]Ultimos precios facturados'!$A:$G,7,FALSE),0)</f>
        <v>5.5295502933023597</v>
      </c>
      <c r="AY8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2.0857812292974055E-2</v>
      </c>
      <c r="AZ88" s="30">
        <f>IFERROR(VLOOKUP(Tabla14[[#This Row],[Llave]],Hoja2!B:K,10,FALSE),0)</f>
        <v>5.7157179487179501</v>
      </c>
      <c r="BA8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5.6448846153846199</v>
      </c>
      <c r="BB88" s="30">
        <v>0</v>
      </c>
      <c r="BC88" s="30">
        <f>IF(Tabla14[[#This Row],[Market]]=0,Tabla14[[#This Row],[Precio Final]],Tabla14[[#This Row],[Market]])</f>
        <v>5.6448846153846199</v>
      </c>
      <c r="BD88" s="82"/>
      <c r="BE88" s="82" t="str">
        <f>IF(AND(Tabla14[[#This Row],[Atraso a facturar]]&gt;0,Tabla14[[#This Row],[En puerto a facturar]]&gt;0,Tabla14[[#This Row],[Precio Atraso]]=0),"Revisar","OK")</f>
        <v>OK</v>
      </c>
      <c r="BF88" s="82" t="str">
        <f>IF(AND(Tabla14[[#This Row],[Venta del mes]]&gt;0,Tabla14[[#This Row],[Precio venta nueva]]=0),"Revisar","OK")</f>
        <v>OK</v>
      </c>
      <c r="BG88" s="20">
        <f>IFERROR(VLOOKUP(Tabla14[[#This Row],[Llave]],'[5]Consolidación planes'!$A:$M,9,FALSE),0)</f>
        <v>154000</v>
      </c>
      <c r="BH88" s="20">
        <f>IFERROR(VLOOKUP(Tabla14[[#This Row],[Llave]],'[5]Consolidación planes'!$A:$M,10,FALSE),0)</f>
        <v>66000</v>
      </c>
      <c r="BI88" s="20">
        <f>IFERROR(VLOOKUP(Tabla14[[#This Row],[Llave]],'[5]Consolidación planes'!$A:$M,11,FALSE),0)</f>
        <v>66000</v>
      </c>
      <c r="BJ88" s="20">
        <f>IFERROR(VLOOKUP(Tabla14[[#This Row],[Llave]],'[5]Consolidación planes'!$A:$M,12,FALSE),0)</f>
        <v>66000</v>
      </c>
      <c r="BK88" s="20">
        <f>IFERROR(VLOOKUP(Tabla14[[#This Row],[Llave]],'[5]Consolidación planes'!$A:$M,13,FALSE),0)</f>
        <v>44000</v>
      </c>
      <c r="BL88" s="20">
        <f>IFERROR(VLOOKUP(Tabla14[[#This Row],[Llave]],'[13]Base ultimos planes'!$A:$M,13,FALSE),0)</f>
        <v>0</v>
      </c>
      <c r="BM88" s="20">
        <f>IFERROR(VLOOKUP(Tabla14[[#This Row],[Llave]],'[13]Cruce plan irrestricto'!$C:$M,10,FALSE),0)</f>
        <v>0</v>
      </c>
      <c r="BN88" s="20">
        <f>IFERROR(VLOOKUP(Tabla14[[#This Row],[Llave]],'[13]Cruce plan irrestricto'!$C:$M,11,FALSE),0)</f>
        <v>22000</v>
      </c>
      <c r="BO88" s="80">
        <f>IFERROR(VLOOKUP(Tabla14[[#This Row],[Llave]],'[13]Base ultimos planes'!$O:$AA,8,FALSE),0)</f>
        <v>927442.25</v>
      </c>
      <c r="BP88" s="20">
        <f>IFERROR(VLOOKUP(Tabla14[[#This Row],[Llave]],'[13]Base ultimos planes'!$O:$AA,9,FALSE),0)</f>
        <v>349140</v>
      </c>
      <c r="BQ88" s="20">
        <f>IFERROR(VLOOKUP(Tabla14[[#This Row],[Llave]],'[13]Base ultimos planes'!$O:$AA,10,FALSE),0)</f>
        <v>364980</v>
      </c>
      <c r="BR88" s="20">
        <f>IFERROR(VLOOKUP(Tabla14[[#This Row],[Llave]],'[13]Base ultimos planes'!$O:$AA,11,FALSE),0)</f>
        <v>362785</v>
      </c>
      <c r="BS88" s="20">
        <f>IFERROR(VLOOKUP(Tabla14[[#This Row],[Llave]],'[13]Base ultimos planes'!$O:$AA,12,FALSE),0)</f>
        <v>242281</v>
      </c>
      <c r="BT88" s="20">
        <f>IFERROR(VLOOKUP(Tabla14[[#This Row],[Llave]],'[13]Base ultimos planes'!$O:$AA,13,FALSE),0)</f>
        <v>0</v>
      </c>
      <c r="BU88" s="20"/>
      <c r="BV88" s="20">
        <f>Tabla14[[#This Row],[ RV Producción mes n+1]]-Tabla14[[#This Row],[Producción disponible]]+Tabla14[[#This Row],[Saldo Volumen disponible]]</f>
        <v>11484.276000000002</v>
      </c>
      <c r="BW88" s="20">
        <f>IFERROR(VLOOKUP(Tabla14[[#This Row],[Llave]],[14]Hoja2!$J:$N,4,FALSE),0)</f>
        <v>0</v>
      </c>
      <c r="BX88" s="20">
        <f>+Tabla14[[#This Row],[Asignación mes n+1]]*Tabla14[[#This Row],[% Uti. producción]]</f>
        <v>0</v>
      </c>
      <c r="BY88" s="20">
        <f>+Tabla14[[#This Row],[Ponderación mes n+1]]+Tabla14[[#This Row],[Saldo mes n-1]]</f>
        <v>11484.276000000002</v>
      </c>
      <c r="BZ88" s="20">
        <f>+Tabla14[[#This Row],[Asignación mes n+1]]-Tabla14[[#This Row],[Ponderación mes n+1]]</f>
        <v>0</v>
      </c>
      <c r="CA88" s="20">
        <f>IFERROR(VLOOKUP(Tabla14[[#This Row],[Llave]],[14]Hoja2!$J:$N,5,FALSE),0)</f>
        <v>0</v>
      </c>
      <c r="CB88" s="20">
        <f>+Tabla14[[#This Row],[Asignación mes n+2]]*Tabla14[[#This Row],[% Uti. producción]]</f>
        <v>0</v>
      </c>
      <c r="CC88" s="20">
        <f>+Tabla14[[#This Row],[Saldo mes n+2]]+Tabla14[[#This Row],[Ponderación mes n+2]]</f>
        <v>0</v>
      </c>
      <c r="CD88" s="20">
        <f>+Tabla14[[#This Row],[Asignación mes n+2]]-Tabla14[[#This Row],[Ponderación mes n+2]]</f>
        <v>0</v>
      </c>
    </row>
    <row r="89" spans="1:82" ht="16" x14ac:dyDescent="0.2">
      <c r="A89">
        <v>1</v>
      </c>
      <c r="B89" t="str">
        <f>Tabla14[[#This Row],[Oficina]]&amp;Tabla14[[#This Row],[Material]]</f>
        <v>Agrosuper Asia1021665</v>
      </c>
      <c r="C89" t="s">
        <v>6</v>
      </c>
      <c r="D89" t="s">
        <v>173</v>
      </c>
      <c r="E89">
        <v>1021665</v>
      </c>
      <c r="F89" t="s">
        <v>175</v>
      </c>
      <c r="G89" t="s">
        <v>25</v>
      </c>
      <c r="H89" t="s">
        <v>26</v>
      </c>
      <c r="I89" s="7">
        <f>IFERROR(IF(Tabla14[[#This Row],[Oficina]]=$I$7,VLOOKUP(Tabla14[[#This Row],[Material]],'[6]RV Producción'!$Y:$AA,3,FALSE),VLOOKUP(Tabla14[[#This Row],[Llave]],'[6]RV Producción'!$C:$G,5,FALSE)),0)</f>
        <v>0</v>
      </c>
      <c r="J89" s="7">
        <f>IFERROR(IF(Tabla14[[#This Row],[Oficina]]=$I$7,VLOOKUP(Tabla14[[#This Row],[Llave]],'[7]Shangai (Tomas)'!$A:$F,6,FALSE),VLOOKUP(Tabla14[[#This Row],[Llave]],'[6]RV plan de ventas'!$A:$E,5,FALSE)),0)</f>
        <v>1774</v>
      </c>
      <c r="K89" s="8">
        <f>IFERROR(VLOOKUP(Tabla14[[#This Row],[Sector]]&amp;Tabla14[[#This Row],[Oficina]],[8]Ponderación!$A$3:$G$22,7,FALSE),0)</f>
        <v>0.38476266834449474</v>
      </c>
      <c r="L89" s="7">
        <f>+Tabla14[[#This Row],[ RV Producción mes n+1]]*Tabla14[[#This Row],[% Uti. producción]]</f>
        <v>0</v>
      </c>
      <c r="M89" s="7">
        <f>IFERROR(VLOOKUP(Tabla14[[#This Row],[Material]],'[9]TD Stock'!$B:$C,2,FALSE),0)</f>
        <v>1774.02</v>
      </c>
      <c r="N89" s="7">
        <f>IFERROR(VLOOKUP(Tabla14[[#This Row],[Material]],'[10]Consolidado planificación'!$B:$C,2,FALSE),0)</f>
        <v>0</v>
      </c>
      <c r="O89" s="7">
        <f>IFERROR(VLOOKUP(Tabla14[[#This Row],[Llave]],[11]Hoja2!$D:$G,4,FALSE),0)</f>
        <v>0</v>
      </c>
      <c r="P89" s="14">
        <f>SUM(Tabla14[[#This Row],[Producción disponible]],Tabla14[[#This Row],[Stock al día]],(Tabla14[[#This Row],[Por producir mes N]]*0.9))-Tabla14[[#This Row],[Producción por despachar mes N]]</f>
        <v>1774.02</v>
      </c>
      <c r="Q89" s="7">
        <f>IFERROR(VLOOKUP(Tabla14[[#This Row],[Llave]],[9]DELAY!$A:$D,4,FALSE),0)</f>
        <v>0</v>
      </c>
      <c r="R89" s="9">
        <v>22000</v>
      </c>
      <c r="S89" s="5">
        <f t="shared" si="6"/>
        <v>0</v>
      </c>
      <c r="T89" s="76">
        <v>0</v>
      </c>
      <c r="U89" s="5">
        <f>+Tabla14[[#This Row],[Atraso a facturar]]+Tabla14[[#This Row],[Ajuste atraso]]</f>
        <v>0</v>
      </c>
      <c r="V89" s="3">
        <f>+Tabla14[[#This Row],[Total disponible]]-Tabla14[[#This Row],[Facturación atraso]]</f>
        <v>1774.02</v>
      </c>
      <c r="W89" s="6">
        <f>IFERROR(IF(AND(V89&gt;R89,J89&gt;=R89),ROUNDDOWN((Tabla14[[#This Row],[Producción para venta nueva]])/R89,0)*R89,0),0)</f>
        <v>0</v>
      </c>
      <c r="X89" s="76">
        <v>0</v>
      </c>
      <c r="Y89" s="6">
        <f>IF(Tabla14[[#This Row],[Venta del mes]]&gt;0,Tabla14[[#This Row],[Venta del mes]]+Tabla14[[#This Row],[Ajuste venta nueva]],0)</f>
        <v>0</v>
      </c>
      <c r="Z89" s="6">
        <f>+Tabla14[[#This Row],[Producción para venta nueva]]-Tabla14[[#This Row],[Facturación Venta nueva]]</f>
        <v>1774.02</v>
      </c>
      <c r="AA89" s="6">
        <f>IF(AND(A89=1,Tabla14[[#This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89" s="6">
        <v>0</v>
      </c>
      <c r="AC89" s="6">
        <f>IF(Tabla14[[#This Row],[Disponible stock sin venta]]&gt;0,Tabla14[[#This Row],[Disponible stock sin venta]]+Tabla14[[#This Row],[Ajuste stock sin venta]],0)</f>
        <v>0</v>
      </c>
      <c r="AD89" s="3">
        <f>IFERROR(VLOOKUP(Tabla14[[#This Row],[Llave]],[12]Hoja1!$A:$D,4,FALSE),0)</f>
        <v>0</v>
      </c>
      <c r="AE8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89" s="3">
        <v>0</v>
      </c>
      <c r="AG89" s="3">
        <f>+Tabla14[[#This Row],[En puerto a facturar]]</f>
        <v>0</v>
      </c>
      <c r="AH89" s="3">
        <f>+Tabla14[[#This Row],[Facturación atraso]]</f>
        <v>0</v>
      </c>
      <c r="AI89" s="3">
        <f>+Tabla14[[#This Row],[Plan Irrestricto (DATO)]]-Tabla14[[#This Row],[Puerto ]]-Tabla14[[#This Row],[Atraso]]</f>
        <v>0</v>
      </c>
      <c r="AJ8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89" s="3">
        <f>+Tabla14[[#This Row],[Facturación atraso]]</f>
        <v>0</v>
      </c>
      <c r="AL89" s="3">
        <f>Tabla14[[#This Row],[Plan Ajustado]]-Tabla14[[#This Row],[ Atraso ajustado]]-Tabla14[[#This Row],[En puerto a facturar]]</f>
        <v>0</v>
      </c>
      <c r="AM89" s="3">
        <v>0</v>
      </c>
      <c r="AN89" s="3"/>
      <c r="AO89" s="3" t="str">
        <f>IF(Tabla14[[#This Row],[Plan Ajustado]]&gt;Tabla14[[#This Row],[En puerto a facturar]],"Si","No")</f>
        <v>No</v>
      </c>
      <c r="AP8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89" s="3">
        <f>IF(Tabla14[[#This Row],[Necesidad]]&gt;=Tabla14[[#This Row],[Stock al día]],Tabla14[[#This Row],[Stock al día]],Tabla14[[#This Row],[Necesidad]])</f>
        <v>0</v>
      </c>
      <c r="AR89" s="3">
        <f>+Tabla14[[#This Row],[Necesidad]]-Tabla14[[#This Row],[Stock Plan]]</f>
        <v>0</v>
      </c>
      <c r="AS89" s="155">
        <f>VLOOKUP(Tabla14[[#This Row],[Sector]]&amp;Tabla14[[#This Row],[Oficina]],[8]Ponderación!$A:$H,8,FALSE)</f>
        <v>44814</v>
      </c>
      <c r="AT89" s="30">
        <f>IFERROR(VLOOKUP(Tabla14[[#This Row],[Llave]],'[6]RV plan de ventas'!$A:$F,6,FALSE),0)</f>
        <v>5.0636978579481404</v>
      </c>
      <c r="AU89" s="83">
        <f>IFERROR(VLOOKUP(Tabla14[[#This Row],[Llave]],[9]DELAY!$H:$X,17,FALSE),0)</f>
        <v>0</v>
      </c>
      <c r="AV8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89" s="5">
        <f>Tabla14[[#This Row],[Pecio plan]]*Tabla14[[#This Row],[Plan Ajustado]]</f>
        <v>0</v>
      </c>
      <c r="AX89" s="30">
        <f>IFERROR(VLOOKUP(Tabla14[[#This Row],[Llave]],'[13]Ultimos precios facturados'!$A:$G,7,FALSE),0)</f>
        <v>5.4951879051817549</v>
      </c>
      <c r="AY8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89" s="30">
        <f>IFERROR(VLOOKUP(Tabla14[[#This Row],[Llave]],Hoja2!B:K,10,FALSE),0)</f>
        <v>0</v>
      </c>
      <c r="BA8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89" s="30">
        <v>0</v>
      </c>
      <c r="BC89" s="30">
        <f>IF(Tabla14[[#This Row],[Market]]=0,Tabla14[[#This Row],[Precio Final]],Tabla14[[#This Row],[Market]])</f>
        <v>0</v>
      </c>
      <c r="BD89" s="82"/>
      <c r="BE89" s="82" t="str">
        <f>IF(AND(Tabla14[[#This Row],[Atraso a facturar]]&gt;0,Tabla14[[#This Row],[En puerto a facturar]]&gt;0,Tabla14[[#This Row],[Precio Atraso]]=0),"Revisar","OK")</f>
        <v>OK</v>
      </c>
      <c r="BF89" s="82" t="str">
        <f>IF(AND(Tabla14[[#This Row],[Venta del mes]]&gt;0,Tabla14[[#This Row],[Precio venta nueva]]=0),"Revisar","OK")</f>
        <v>OK</v>
      </c>
      <c r="BG89" s="20">
        <f>IFERROR(VLOOKUP(Tabla14[[#This Row],[Llave]],'[5]Consolidación planes'!$A:$M,9,FALSE),0)</f>
        <v>44000</v>
      </c>
      <c r="BH89" s="20">
        <f>IFERROR(VLOOKUP(Tabla14[[#This Row],[Llave]],'[5]Consolidación planes'!$A:$M,10,FALSE),0)</f>
        <v>110000</v>
      </c>
      <c r="BI89" s="20">
        <f>IFERROR(VLOOKUP(Tabla14[[#This Row],[Llave]],'[5]Consolidación planes'!$A:$M,11,FALSE),0)</f>
        <v>44000</v>
      </c>
      <c r="BJ89" s="20">
        <f>IFERROR(VLOOKUP(Tabla14[[#This Row],[Llave]],'[5]Consolidación planes'!$A:$M,12,FALSE),0)</f>
        <v>66000</v>
      </c>
      <c r="BK89" s="20">
        <f>IFERROR(VLOOKUP(Tabla14[[#This Row],[Llave]],'[5]Consolidación planes'!$A:$M,13,FALSE),0)</f>
        <v>44061</v>
      </c>
      <c r="BL89" s="20">
        <f>IFERROR(VLOOKUP(Tabla14[[#This Row],[Llave]],'[13]Base ultimos planes'!$A:$M,13,FALSE),0)</f>
        <v>21786</v>
      </c>
      <c r="BM89" s="20">
        <f>IFERROR(VLOOKUP(Tabla14[[#This Row],[Llave]],'[13]Cruce plan irrestricto'!$C:$M,10,FALSE),0)</f>
        <v>0</v>
      </c>
      <c r="BN89" s="20">
        <f>IFERROR(VLOOKUP(Tabla14[[#This Row],[Llave]],'[13]Cruce plan irrestricto'!$C:$M,11,FALSE),0)</f>
        <v>0</v>
      </c>
      <c r="BO89" s="80">
        <f>IFERROR(VLOOKUP(Tabla14[[#This Row],[Llave]],'[13]Base ultimos planes'!$O:$AA,8,FALSE),0)</f>
        <v>265776</v>
      </c>
      <c r="BP89" s="20">
        <f>IFERROR(VLOOKUP(Tabla14[[#This Row],[Llave]],'[13]Base ultimos planes'!$O:$AA,9,FALSE),0)</f>
        <v>584650</v>
      </c>
      <c r="BQ89" s="20">
        <f>IFERROR(VLOOKUP(Tabla14[[#This Row],[Llave]],'[13]Base ultimos planes'!$O:$AA,10,FALSE),0)</f>
        <v>243320</v>
      </c>
      <c r="BR89" s="20">
        <f>IFERROR(VLOOKUP(Tabla14[[#This Row],[Llave]],'[13]Base ultimos planes'!$O:$AA,11,FALSE),0)</f>
        <v>366571</v>
      </c>
      <c r="BS89" s="20">
        <f>IFERROR(VLOOKUP(Tabla14[[#This Row],[Llave]],'[13]Base ultimos planes'!$O:$AA,12,FALSE),0)</f>
        <v>243648</v>
      </c>
      <c r="BT89" s="20">
        <f>IFERROR(VLOOKUP(Tabla14[[#This Row],[Llave]],'[13]Base ultimos planes'!$O:$AA,13,FALSE),0)</f>
        <v>118940</v>
      </c>
      <c r="BU89" s="20"/>
      <c r="BV89" s="20">
        <f>Tabla14[[#This Row],[ RV Producción mes n+1]]-Tabla14[[#This Row],[Producción disponible]]+Tabla14[[#This Row],[Saldo Volumen disponible]]</f>
        <v>1774.02</v>
      </c>
      <c r="BW89" s="20">
        <f>IFERROR(VLOOKUP(Tabla14[[#This Row],[Llave]],[14]Hoja2!$J:$N,4,FALSE),0)</f>
        <v>0</v>
      </c>
      <c r="BX89" s="20">
        <f>+Tabla14[[#This Row],[Asignación mes n+1]]*Tabla14[[#This Row],[% Uti. producción]]</f>
        <v>0</v>
      </c>
      <c r="BY89" s="20">
        <f>+Tabla14[[#This Row],[Ponderación mes n+1]]+Tabla14[[#This Row],[Saldo mes n-1]]</f>
        <v>1774.02</v>
      </c>
      <c r="BZ89" s="20">
        <f>+Tabla14[[#This Row],[Asignación mes n+1]]-Tabla14[[#This Row],[Ponderación mes n+1]]</f>
        <v>0</v>
      </c>
      <c r="CA89" s="20">
        <f>IFERROR(VLOOKUP(Tabla14[[#This Row],[Llave]],[14]Hoja2!$J:$N,5,FALSE),0)</f>
        <v>0</v>
      </c>
      <c r="CB89" s="20">
        <f>+Tabla14[[#This Row],[Asignación mes n+2]]*Tabla14[[#This Row],[% Uti. producción]]</f>
        <v>0</v>
      </c>
      <c r="CC89" s="20">
        <f>+Tabla14[[#This Row],[Saldo mes n+2]]+Tabla14[[#This Row],[Ponderación mes n+2]]</f>
        <v>0</v>
      </c>
      <c r="CD89" s="20">
        <f>+Tabla14[[#This Row],[Asignación mes n+2]]-Tabla14[[#This Row],[Ponderación mes n+2]]</f>
        <v>0</v>
      </c>
    </row>
    <row r="90" spans="1:82" ht="16" x14ac:dyDescent="0.2">
      <c r="A90">
        <v>1</v>
      </c>
      <c r="B90" t="str">
        <f>Tabla14[[#This Row],[Oficina]]&amp;Tabla14[[#This Row],[Material]]</f>
        <v>Agrosuper Asia1022182</v>
      </c>
      <c r="C90" t="s">
        <v>6</v>
      </c>
      <c r="D90" t="s">
        <v>173</v>
      </c>
      <c r="E90">
        <v>1022182</v>
      </c>
      <c r="F90" t="s">
        <v>22</v>
      </c>
      <c r="G90" t="s">
        <v>18</v>
      </c>
      <c r="H90" t="s">
        <v>21</v>
      </c>
      <c r="I90" s="7">
        <f>IFERROR(IF(Tabla14[[#This Row],[Oficina]]=$I$7,VLOOKUP(Tabla14[[#This Row],[Material]],'[6]RV Producción'!$Y:$AA,3,FALSE),VLOOKUP(Tabla14[[#This Row],[Llave]],'[6]RV Producción'!$C:$G,5,FALSE)),0)</f>
        <v>0</v>
      </c>
      <c r="J90" s="7">
        <f>IFERROR(IF(Tabla14[[#This Row],[Oficina]]=$I$7,VLOOKUP(Tabla14[[#This Row],[Llave]],'[7]Shangai (Tomas)'!$A:$F,6,FALSE),VLOOKUP(Tabla14[[#This Row],[Llave]],'[6]RV plan de ventas'!$A:$E,5,FALSE)),0)</f>
        <v>1150</v>
      </c>
      <c r="K90" s="8">
        <f>IFERROR(VLOOKUP(Tabla14[[#This Row],[Sector]]&amp;Tabla14[[#This Row],[Oficina]],[8]Ponderación!$A$3:$G$22,7,FALSE),0)</f>
        <v>0.38476266834449474</v>
      </c>
      <c r="L90" s="7">
        <f>+Tabla14[[#This Row],[ RV Producción mes n+1]]*Tabla14[[#This Row],[% Uti. producción]]</f>
        <v>0</v>
      </c>
      <c r="M90" s="7">
        <f>IFERROR(VLOOKUP(Tabla14[[#This Row],[Material]],'[9]TD Stock'!$B:$C,2,FALSE),0)</f>
        <v>1150</v>
      </c>
      <c r="N90" s="7">
        <f>IFERROR(VLOOKUP(Tabla14[[#This Row],[Material]],'[10]Consolidado planificación'!$B:$C,2,FALSE),0)</f>
        <v>0</v>
      </c>
      <c r="O90" s="7">
        <f>IFERROR(VLOOKUP(Tabla14[[#This Row],[Llave]],[11]Hoja2!$D:$G,4,FALSE),0)</f>
        <v>0</v>
      </c>
      <c r="P90" s="14">
        <f>SUM(Tabla14[[#This Row],[Producción disponible]],Tabla14[[#This Row],[Stock al día]],(Tabla14[[#This Row],[Por producir mes N]]*0.9))-Tabla14[[#This Row],[Producción por despachar mes N]]</f>
        <v>1150</v>
      </c>
      <c r="Q90" s="7">
        <f>IFERROR(VLOOKUP(Tabla14[[#This Row],[Llave]],[9]DELAY!$A:$D,4,FALSE),0)</f>
        <v>0</v>
      </c>
      <c r="R90" s="9">
        <v>22000</v>
      </c>
      <c r="S90" s="5">
        <f t="shared" si="6"/>
        <v>0</v>
      </c>
      <c r="T90" s="76">
        <v>0</v>
      </c>
      <c r="U90" s="5">
        <f>+Tabla14[[#This Row],[Atraso a facturar]]+Tabla14[[#This Row],[Ajuste atraso]]</f>
        <v>0</v>
      </c>
      <c r="V90" s="3">
        <f>+Tabla14[[#This Row],[Total disponible]]-Tabla14[[#This Row],[Facturación atraso]]</f>
        <v>1150</v>
      </c>
      <c r="W90" s="6">
        <f>IFERROR(IF(AND(V90&gt;R90,J90&gt;=R90),ROUNDDOWN((Tabla14[[#This Row],[Producción para venta nueva]])/R90,0)*R90,0),0)</f>
        <v>0</v>
      </c>
      <c r="X90" s="76">
        <v>0</v>
      </c>
      <c r="Y90" s="6">
        <f>IF(Tabla14[[#This Row],[Venta del mes]]&gt;0,Tabla14[[#This Row],[Venta del mes]]+Tabla14[[#This Row],[Ajuste venta nueva]],0)</f>
        <v>0</v>
      </c>
      <c r="Z90" s="6">
        <f>+Tabla14[[#This Row],[Producción para venta nueva]]-Tabla14[[#This Row],[Facturación Venta nueva]]</f>
        <v>1150</v>
      </c>
      <c r="AA90" s="6">
        <f>IF(AND(A90=1,Tabla14[[#This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0" s="6">
        <v>0</v>
      </c>
      <c r="AC90" s="6">
        <f>IF(Tabla14[[#This Row],[Disponible stock sin venta]]&gt;0,Tabla14[[#This Row],[Disponible stock sin venta]]+Tabla14[[#This Row],[Ajuste stock sin venta]],0)</f>
        <v>0</v>
      </c>
      <c r="AD90" s="3">
        <f>IFERROR(VLOOKUP(Tabla14[[#This Row],[Llave]],[12]Hoja1!$A:$D,4,FALSE),0)</f>
        <v>0</v>
      </c>
      <c r="AE9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90" s="3">
        <v>0</v>
      </c>
      <c r="AG90" s="3">
        <f>+Tabla14[[#This Row],[En puerto a facturar]]</f>
        <v>0</v>
      </c>
      <c r="AH90" s="3">
        <f>+Tabla14[[#This Row],[Facturación atraso]]</f>
        <v>0</v>
      </c>
      <c r="AI90" s="3">
        <f>+Tabla14[[#This Row],[Plan Irrestricto (DATO)]]-Tabla14[[#This Row],[Puerto ]]-Tabla14[[#This Row],[Atraso]]</f>
        <v>0</v>
      </c>
      <c r="AJ9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90" s="3">
        <f>+Tabla14[[#This Row],[Facturación atraso]]</f>
        <v>0</v>
      </c>
      <c r="AL90" s="3">
        <f>Tabla14[[#This Row],[Plan Ajustado]]-Tabla14[[#This Row],[ Atraso ajustado]]-Tabla14[[#This Row],[En puerto a facturar]]</f>
        <v>0</v>
      </c>
      <c r="AM90" s="3">
        <v>0</v>
      </c>
      <c r="AN90" s="3"/>
      <c r="AO90" s="3" t="str">
        <f>IF(Tabla14[[#This Row],[Plan Ajustado]]&gt;Tabla14[[#This Row],[En puerto a facturar]],"Si","No")</f>
        <v>No</v>
      </c>
      <c r="AP9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90" s="3">
        <f>IF(Tabla14[[#This Row],[Necesidad]]&gt;=Tabla14[[#This Row],[Stock al día]],Tabla14[[#This Row],[Stock al día]],Tabla14[[#This Row],[Necesidad]])</f>
        <v>0</v>
      </c>
      <c r="AR90" s="3">
        <f>+Tabla14[[#This Row],[Necesidad]]-Tabla14[[#This Row],[Stock Plan]]</f>
        <v>0</v>
      </c>
      <c r="AS90" s="155">
        <f>VLOOKUP(Tabla14[[#This Row],[Sector]]&amp;Tabla14[[#This Row],[Oficina]],[8]Ponderación!$A:$H,8,FALSE)</f>
        <v>44814</v>
      </c>
      <c r="AT90" s="30">
        <f>IFERROR(VLOOKUP(Tabla14[[#This Row],[Llave]],'[6]RV plan de ventas'!$A:$F,6,FALSE),0)</f>
        <v>5.2634782608695598</v>
      </c>
      <c r="AU90" s="83">
        <f>IFERROR(VLOOKUP(Tabla14[[#This Row],[Llave]],[9]DELAY!$H:$X,17,FALSE),0)</f>
        <v>0</v>
      </c>
      <c r="AV9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90" s="5">
        <f>Tabla14[[#This Row],[Pecio plan]]*Tabla14[[#This Row],[Plan Ajustado]]</f>
        <v>0</v>
      </c>
      <c r="AX90" s="30">
        <f>IFERROR(VLOOKUP(Tabla14[[#This Row],[Llave]],'[13]Ultimos precios facturados'!$A:$G,7,FALSE),0)</f>
        <v>5.3605</v>
      </c>
      <c r="AY9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90" s="30">
        <f>IFERROR(VLOOKUP(Tabla14[[#This Row],[Llave]],Hoja2!B:K,10,FALSE),0)</f>
        <v>0</v>
      </c>
      <c r="BA9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90" s="30">
        <v>0</v>
      </c>
      <c r="BC90" s="30">
        <f>IF(Tabla14[[#This Row],[Market]]=0,Tabla14[[#This Row],[Precio Final]],Tabla14[[#This Row],[Market]])</f>
        <v>0</v>
      </c>
      <c r="BD90" s="82"/>
      <c r="BE90" s="82" t="str">
        <f>IF(AND(Tabla14[[#This Row],[Atraso a facturar]]&gt;0,Tabla14[[#This Row],[En puerto a facturar]]&gt;0,Tabla14[[#This Row],[Precio Atraso]]=0),"Revisar","OK")</f>
        <v>OK</v>
      </c>
      <c r="BF90" s="82" t="str">
        <f>IF(AND(Tabla14[[#This Row],[Venta del mes]]&gt;0,Tabla14[[#This Row],[Precio venta nueva]]=0),"Revisar","OK")</f>
        <v>OK</v>
      </c>
      <c r="BG90" s="20">
        <f>IFERROR(VLOOKUP(Tabla14[[#This Row],[Llave]],'[5]Consolidación planes'!$A:$M,9,FALSE),0)</f>
        <v>0</v>
      </c>
      <c r="BH90" s="20">
        <f>IFERROR(VLOOKUP(Tabla14[[#This Row],[Llave]],'[5]Consolidación planes'!$A:$M,10,FALSE),0)</f>
        <v>0</v>
      </c>
      <c r="BI90" s="20">
        <f>IFERROR(VLOOKUP(Tabla14[[#This Row],[Llave]],'[5]Consolidación planes'!$A:$M,11,FALSE),0)</f>
        <v>0</v>
      </c>
      <c r="BJ90" s="20">
        <f>IFERROR(VLOOKUP(Tabla14[[#This Row],[Llave]],'[5]Consolidación planes'!$A:$M,12,FALSE),0)</f>
        <v>22000</v>
      </c>
      <c r="BK90" s="20">
        <f>IFERROR(VLOOKUP(Tabla14[[#This Row],[Llave]],'[5]Consolidación planes'!$A:$M,13,FALSE),0)</f>
        <v>0</v>
      </c>
      <c r="BL90" s="20">
        <f>IFERROR(VLOOKUP(Tabla14[[#This Row],[Llave]],'[13]Base ultimos planes'!$A:$M,13,FALSE),0)</f>
        <v>22000</v>
      </c>
      <c r="BM90" s="20">
        <f>IFERROR(VLOOKUP(Tabla14[[#This Row],[Llave]],'[13]Cruce plan irrestricto'!$C:$M,10,FALSE),0)</f>
        <v>0</v>
      </c>
      <c r="BN90" s="20">
        <f>IFERROR(VLOOKUP(Tabla14[[#This Row],[Llave]],'[13]Cruce plan irrestricto'!$C:$M,11,FALSE),0)</f>
        <v>0</v>
      </c>
      <c r="BO90" s="80">
        <f>IFERROR(VLOOKUP(Tabla14[[#This Row],[Llave]],'[13]Base ultimos planes'!$O:$AA,8,FALSE),0)</f>
        <v>0</v>
      </c>
      <c r="BP90" s="20">
        <f>IFERROR(VLOOKUP(Tabla14[[#This Row],[Llave]],'[13]Base ultimos planes'!$O:$AA,9,FALSE),0)</f>
        <v>0</v>
      </c>
      <c r="BQ90" s="20">
        <f>IFERROR(VLOOKUP(Tabla14[[#This Row],[Llave]],'[13]Base ultimos planes'!$O:$AA,10,FALSE),0)</f>
        <v>0</v>
      </c>
      <c r="BR90" s="20">
        <f>IFERROR(VLOOKUP(Tabla14[[#This Row],[Llave]],'[13]Base ultimos planes'!$O:$AA,11,FALSE),0)</f>
        <v>121000</v>
      </c>
      <c r="BS90" s="20">
        <f>IFERROR(VLOOKUP(Tabla14[[#This Row],[Llave]],'[13]Base ultimos planes'!$O:$AA,12,FALSE),0)</f>
        <v>0</v>
      </c>
      <c r="BT90" s="20">
        <f>IFERROR(VLOOKUP(Tabla14[[#This Row],[Llave]],'[13]Base ultimos planes'!$O:$AA,13,FALSE),0)</f>
        <v>116891</v>
      </c>
      <c r="BU90" s="20"/>
      <c r="BV90" s="20">
        <f>Tabla14[[#This Row],[ RV Producción mes n+1]]-Tabla14[[#This Row],[Producción disponible]]+Tabla14[[#This Row],[Saldo Volumen disponible]]</f>
        <v>1150</v>
      </c>
      <c r="BW90" s="20">
        <f>IFERROR(VLOOKUP(Tabla14[[#This Row],[Llave]],[14]Hoja2!$J:$N,4,FALSE),0)</f>
        <v>0</v>
      </c>
      <c r="BX90" s="20">
        <f>+Tabla14[[#This Row],[Asignación mes n+1]]*Tabla14[[#This Row],[% Uti. producción]]</f>
        <v>0</v>
      </c>
      <c r="BY90" s="20">
        <f>+Tabla14[[#This Row],[Ponderación mes n+1]]+Tabla14[[#This Row],[Saldo mes n-1]]</f>
        <v>1150</v>
      </c>
      <c r="BZ90" s="20">
        <f>+Tabla14[[#This Row],[Asignación mes n+1]]-Tabla14[[#This Row],[Ponderación mes n+1]]</f>
        <v>0</v>
      </c>
      <c r="CA90" s="20">
        <f>IFERROR(VLOOKUP(Tabla14[[#This Row],[Llave]],[14]Hoja2!$J:$N,5,FALSE),0)</f>
        <v>0</v>
      </c>
      <c r="CB90" s="20">
        <f>+Tabla14[[#This Row],[Asignación mes n+2]]*Tabla14[[#This Row],[% Uti. producción]]</f>
        <v>0</v>
      </c>
      <c r="CC90" s="20">
        <f>+Tabla14[[#This Row],[Saldo mes n+2]]+Tabla14[[#This Row],[Ponderación mes n+2]]</f>
        <v>0</v>
      </c>
      <c r="CD90" s="20">
        <f>+Tabla14[[#This Row],[Asignación mes n+2]]-Tabla14[[#This Row],[Ponderación mes n+2]]</f>
        <v>0</v>
      </c>
    </row>
    <row r="91" spans="1:82" ht="16" x14ac:dyDescent="0.2">
      <c r="A91">
        <v>1</v>
      </c>
      <c r="B91" t="str">
        <f>Tabla14[[#This Row],[Oficina]]&amp;Tabla14[[#This Row],[Material]]</f>
        <v>Agrosuper Asia1022283</v>
      </c>
      <c r="C91" t="s">
        <v>6</v>
      </c>
      <c r="D91" t="s">
        <v>173</v>
      </c>
      <c r="E91">
        <v>1022283</v>
      </c>
      <c r="F91" t="s">
        <v>198</v>
      </c>
      <c r="G91" t="s">
        <v>134</v>
      </c>
      <c r="H91" t="s">
        <v>135</v>
      </c>
      <c r="I91" s="7">
        <f>IFERROR(IF(Tabla14[[#This Row],[Oficina]]=$I$7,VLOOKUP(Tabla14[[#This Row],[Material]],'[6]RV Producción'!$Y:$AA,3,FALSE),VLOOKUP(Tabla14[[#This Row],[Llave]],'[6]RV Producción'!$C:$G,5,FALSE)),0)</f>
        <v>0</v>
      </c>
      <c r="J91" s="7">
        <f>IFERROR(IF(Tabla14[[#This Row],[Oficina]]=$I$7,VLOOKUP(Tabla14[[#This Row],[Llave]],'[7]Shangai (Tomas)'!$A:$F,6,FALSE),VLOOKUP(Tabla14[[#This Row],[Llave]],'[6]RV plan de ventas'!$A:$E,5,FALSE)),0)</f>
        <v>828</v>
      </c>
      <c r="K91" s="8">
        <f>IFERROR(VLOOKUP(Tabla14[[#This Row],[Sector]]&amp;Tabla14[[#This Row],[Oficina]],[8]Ponderación!$A$3:$G$22,7,FALSE),0)</f>
        <v>0.38476266834449474</v>
      </c>
      <c r="L91" s="7">
        <f>+Tabla14[[#This Row],[ RV Producción mes n+1]]*Tabla14[[#This Row],[% Uti. producción]]</f>
        <v>0</v>
      </c>
      <c r="M91" s="7">
        <f>IFERROR(VLOOKUP(Tabla14[[#This Row],[Material]],'[9]TD Stock'!$B:$C,2,FALSE),0)</f>
        <v>7750.8890000000019</v>
      </c>
      <c r="N91" s="7">
        <f>IFERROR(VLOOKUP(Tabla14[[#This Row],[Material]],'[10]Consolidado planificación'!$B:$C,2,FALSE),0)</f>
        <v>0</v>
      </c>
      <c r="O91" s="7">
        <f>IFERROR(VLOOKUP(Tabla14[[#This Row],[Llave]],[11]Hoja2!$D:$G,4,FALSE),0)</f>
        <v>0</v>
      </c>
      <c r="P91" s="14">
        <f>SUM(Tabla14[[#This Row],[Producción disponible]],Tabla14[[#This Row],[Stock al día]],(Tabla14[[#This Row],[Por producir mes N]]*0.9))-Tabla14[[#This Row],[Producción por despachar mes N]]</f>
        <v>7750.8890000000019</v>
      </c>
      <c r="Q91" s="7">
        <f>IFERROR(VLOOKUP(Tabla14[[#This Row],[Llave]],[9]DELAY!$A:$D,4,FALSE),0)</f>
        <v>7000</v>
      </c>
      <c r="R91" s="9">
        <v>5000</v>
      </c>
      <c r="S91" s="5">
        <f t="shared" si="6"/>
        <v>7000</v>
      </c>
      <c r="T91" s="76">
        <v>0</v>
      </c>
      <c r="U91" s="5">
        <f>+Tabla14[[#This Row],[Atraso a facturar]]+Tabla14[[#This Row],[Ajuste atraso]]</f>
        <v>7000</v>
      </c>
      <c r="V91" s="3">
        <f>+Tabla14[[#This Row],[Total disponible]]-Tabla14[[#This Row],[Facturación atraso]]</f>
        <v>750.88900000000194</v>
      </c>
      <c r="W91" s="6">
        <f>IFERROR(IF(AND(V91&gt;R91,J91&gt;=R91),ROUNDDOWN((Tabla14[[#This Row],[Producción para venta nueva]])/R91,0)*R91,0),0)</f>
        <v>0</v>
      </c>
      <c r="X91" s="76">
        <v>0</v>
      </c>
      <c r="Y91" s="6">
        <f>IF(Tabla14[[#This Row],[Venta del mes]]&gt;0,Tabla14[[#This Row],[Venta del mes]]+Tabla14[[#This Row],[Ajuste venta nueva]],0)</f>
        <v>0</v>
      </c>
      <c r="Z91" s="6">
        <f>+Tabla14[[#This Row],[Producción para venta nueva]]-Tabla14[[#This Row],[Facturación Venta nueva]]</f>
        <v>750.88900000000194</v>
      </c>
      <c r="AA91" s="6">
        <f>IF(AND(A91=1,Tabla14[[#This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1" s="6">
        <v>0</v>
      </c>
      <c r="AC91" s="6">
        <f>IF(Tabla14[[#This Row],[Disponible stock sin venta]]&gt;0,Tabla14[[#This Row],[Disponible stock sin venta]]+Tabla14[[#This Row],[Ajuste stock sin venta]],0)</f>
        <v>0</v>
      </c>
      <c r="AD91" s="3">
        <f>IFERROR(VLOOKUP(Tabla14[[#This Row],[Llave]],[12]Hoja1!$A:$D,4,FALSE),0)</f>
        <v>0</v>
      </c>
      <c r="AE9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7000</v>
      </c>
      <c r="AF91" s="3">
        <v>7000</v>
      </c>
      <c r="AG91" s="3">
        <f>+Tabla14[[#This Row],[En puerto a facturar]]</f>
        <v>0</v>
      </c>
      <c r="AH91" s="3">
        <f>+Tabla14[[#This Row],[Facturación atraso]]</f>
        <v>7000</v>
      </c>
      <c r="AI91" s="3">
        <f>+Tabla14[[#This Row],[Plan Irrestricto (DATO)]]-Tabla14[[#This Row],[Puerto ]]-Tabla14[[#This Row],[Atraso]]</f>
        <v>0</v>
      </c>
      <c r="AJ91" s="6">
        <f>IF(Tabla14[[#This Row],[Plan Irrestricto (DATO)]]&gt;0,SUM(Tabla14[[#This Row],[Facturación atraso]],Tabla14[[#This Row],[Facturación Venta nueva]],Tabla14[[#This Row],[Facturación stock]],Tabla14[[#This Row],[En puerto a facturar]]),0)</f>
        <v>7000</v>
      </c>
      <c r="AK91" s="3">
        <f>+Tabla14[[#This Row],[Facturación atraso]]</f>
        <v>7000</v>
      </c>
      <c r="AL91" s="3">
        <f>Tabla14[[#This Row],[Plan Ajustado]]-Tabla14[[#This Row],[ Atraso ajustado]]-Tabla14[[#This Row],[En puerto a facturar]]</f>
        <v>0</v>
      </c>
      <c r="AM91" s="3">
        <v>0</v>
      </c>
      <c r="AN91" s="3"/>
      <c r="AO91" s="3" t="str">
        <f>IF(Tabla14[[#This Row],[Plan Ajustado]]&gt;Tabla14[[#This Row],[En puerto a facturar]],"Si","No")</f>
        <v>Si</v>
      </c>
      <c r="AP91" s="3">
        <f>IF(AND(Tabla14[[#This Row],[Plan Ajustado]]&gt;0,Tabla14[[#This Row],[Plan Ajustado]]&gt;Tabla14[[#This Row],[En puerto a facturar]]),(Tabla14[[#This Row],[Plan Ajustado]]-Tabla14[[#This Row],[En puerto a facturar]]),0)</f>
        <v>7000</v>
      </c>
      <c r="AQ91" s="3">
        <f>IF(Tabla14[[#This Row],[Necesidad]]&gt;=Tabla14[[#This Row],[Stock al día]],Tabla14[[#This Row],[Stock al día]],Tabla14[[#This Row],[Necesidad]])</f>
        <v>7000</v>
      </c>
      <c r="AR91" s="3">
        <f>+Tabla14[[#This Row],[Necesidad]]-Tabla14[[#This Row],[Stock Plan]]</f>
        <v>0</v>
      </c>
      <c r="AS91" s="155">
        <f>VLOOKUP(Tabla14[[#This Row],[Sector]]&amp;Tabla14[[#This Row],[Oficina]],[8]Ponderación!$A:$H,8,FALSE)</f>
        <v>44814</v>
      </c>
      <c r="AT91" s="30">
        <f>IFERROR(VLOOKUP(Tabla14[[#This Row],[Llave]],'[6]RV plan de ventas'!$A:$F,6,FALSE),0)</f>
        <v>6.2657004830917904</v>
      </c>
      <c r="AU91" s="83">
        <f>IFERROR(VLOOKUP(Tabla14[[#This Row],[Llave]],[9]DELAY!$H:$X,17,FALSE),0)</f>
        <v>6.473162342857143</v>
      </c>
      <c r="AV9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6.473162342857143</v>
      </c>
      <c r="AW91" s="5">
        <f>Tabla14[[#This Row],[Pecio plan]]*Tabla14[[#This Row],[Plan Ajustado]]</f>
        <v>45312.136400000003</v>
      </c>
      <c r="AX91" s="30">
        <f>IFERROR(VLOOKUP(Tabla14[[#This Row],[Llave]],'[13]Ultimos precios facturados'!$A:$G,7,FALSE),0)</f>
        <v>5.7817064004038814</v>
      </c>
      <c r="AY9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0.11959374872528289</v>
      </c>
      <c r="AZ91" s="30">
        <f>IFERROR(VLOOKUP(Tabla14[[#This Row],[Llave]],Hoja2!B:K,10,FALSE),0)</f>
        <v>6.5</v>
      </c>
      <c r="BA9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6.473162342857143</v>
      </c>
      <c r="BB91" s="30">
        <v>0</v>
      </c>
      <c r="BC91" s="30">
        <f>IF(Tabla14[[#This Row],[Market]]=0,Tabla14[[#This Row],[Precio Final]],Tabla14[[#This Row],[Market]])</f>
        <v>6.473162342857143</v>
      </c>
      <c r="BD91" s="82"/>
      <c r="BE91" s="82" t="str">
        <f>IF(AND(Tabla14[[#This Row],[Atraso a facturar]]&gt;0,Tabla14[[#This Row],[En puerto a facturar]]&gt;0,Tabla14[[#This Row],[Precio Atraso]]=0),"Revisar","OK")</f>
        <v>OK</v>
      </c>
      <c r="BF91" s="82" t="str">
        <f>IF(AND(Tabla14[[#This Row],[Venta del mes]]&gt;0,Tabla14[[#This Row],[Precio venta nueva]]=0),"Revisar","OK")</f>
        <v>OK</v>
      </c>
      <c r="BG91" s="20">
        <f>IFERROR(VLOOKUP(Tabla14[[#This Row],[Llave]],'[5]Consolidación planes'!$A:$M,9,FALSE),0)</f>
        <v>11000</v>
      </c>
      <c r="BH91" s="20">
        <f>IFERROR(VLOOKUP(Tabla14[[#This Row],[Llave]],'[5]Consolidación planes'!$A:$M,10,FALSE),0)</f>
        <v>9000</v>
      </c>
      <c r="BI91" s="20">
        <f>IFERROR(VLOOKUP(Tabla14[[#This Row],[Llave]],'[5]Consolidación planes'!$A:$M,11,FALSE),0)</f>
        <v>0</v>
      </c>
      <c r="BJ91" s="20">
        <f>IFERROR(VLOOKUP(Tabla14[[#This Row],[Llave]],'[5]Consolidación planes'!$A:$M,12,FALSE),0)</f>
        <v>5000</v>
      </c>
      <c r="BK91" s="20">
        <f>IFERROR(VLOOKUP(Tabla14[[#This Row],[Llave]],'[5]Consolidación planes'!$A:$M,13,FALSE),0)</f>
        <v>6000</v>
      </c>
      <c r="BL91" s="20">
        <f>IFERROR(VLOOKUP(Tabla14[[#This Row],[Llave]],'[13]Base ultimos planes'!$A:$M,13,FALSE),0)</f>
        <v>10000</v>
      </c>
      <c r="BM91" s="20">
        <f>IFERROR(VLOOKUP(Tabla14[[#This Row],[Llave]],'[13]Cruce plan irrestricto'!$C:$M,10,FALSE),0)</f>
        <v>10000</v>
      </c>
      <c r="BN91" s="20">
        <f>IFERROR(VLOOKUP(Tabla14[[#This Row],[Llave]],'[13]Cruce plan irrestricto'!$C:$M,11,FALSE),0)</f>
        <v>5000</v>
      </c>
      <c r="BO91" s="80">
        <f>IFERROR(VLOOKUP(Tabla14[[#This Row],[Llave]],'[13]Base ultimos planes'!$O:$AA,8,FALSE),0)</f>
        <v>62981.599999999999</v>
      </c>
      <c r="BP91" s="20">
        <f>IFERROR(VLOOKUP(Tabla14[[#This Row],[Llave]],'[13]Base ultimos planes'!$O:$AA,9,FALSE),0)</f>
        <v>48600</v>
      </c>
      <c r="BQ91" s="20">
        <f>IFERROR(VLOOKUP(Tabla14[[#This Row],[Llave]],'[13]Base ultimos planes'!$O:$AA,10,FALSE),0)</f>
        <v>0</v>
      </c>
      <c r="BR91" s="20">
        <f>IFERROR(VLOOKUP(Tabla14[[#This Row],[Llave]],'[13]Base ultimos planes'!$O:$AA,11,FALSE),0)</f>
        <v>28500</v>
      </c>
      <c r="BS91" s="20">
        <f>IFERROR(VLOOKUP(Tabla14[[#This Row],[Llave]],'[13]Base ultimos planes'!$O:$AA,12,FALSE),0)</f>
        <v>32760</v>
      </c>
      <c r="BT91" s="20">
        <f>IFERROR(VLOOKUP(Tabla14[[#This Row],[Llave]],'[13]Base ultimos planes'!$O:$AA,13,FALSE),0)</f>
        <v>60298</v>
      </c>
      <c r="BU91" s="20"/>
      <c r="BV91" s="20">
        <f>Tabla14[[#This Row],[ RV Producción mes n+1]]-Tabla14[[#This Row],[Producción disponible]]+Tabla14[[#This Row],[Saldo Volumen disponible]]</f>
        <v>750.88900000000194</v>
      </c>
      <c r="BW91" s="20">
        <f>IFERROR(VLOOKUP(Tabla14[[#This Row],[Llave]],[14]Hoja2!$J:$N,4,FALSE),0)</f>
        <v>0</v>
      </c>
      <c r="BX91" s="20">
        <f>+Tabla14[[#This Row],[Asignación mes n+1]]*Tabla14[[#This Row],[% Uti. producción]]</f>
        <v>0</v>
      </c>
      <c r="BY91" s="20">
        <f>+Tabla14[[#This Row],[Ponderación mes n+1]]+Tabla14[[#This Row],[Saldo mes n-1]]</f>
        <v>750.88900000000194</v>
      </c>
      <c r="BZ91" s="20">
        <f>+Tabla14[[#This Row],[Asignación mes n+1]]-Tabla14[[#This Row],[Ponderación mes n+1]]</f>
        <v>0</v>
      </c>
      <c r="CA91" s="20">
        <f>IFERROR(VLOOKUP(Tabla14[[#This Row],[Llave]],[14]Hoja2!$J:$N,5,FALSE),0)</f>
        <v>0</v>
      </c>
      <c r="CB91" s="20">
        <f>+Tabla14[[#This Row],[Asignación mes n+2]]*Tabla14[[#This Row],[% Uti. producción]]</f>
        <v>0</v>
      </c>
      <c r="CC91" s="20">
        <f>+Tabla14[[#This Row],[Saldo mes n+2]]+Tabla14[[#This Row],[Ponderación mes n+2]]</f>
        <v>0</v>
      </c>
      <c r="CD91" s="20">
        <f>+Tabla14[[#This Row],[Asignación mes n+2]]-Tabla14[[#This Row],[Ponderación mes n+2]]</f>
        <v>0</v>
      </c>
    </row>
    <row r="92" spans="1:82" ht="16" x14ac:dyDescent="0.2">
      <c r="A92">
        <v>1</v>
      </c>
      <c r="B92" t="str">
        <f>Tabla14[[#This Row],[Oficina]]&amp;Tabla14[[#This Row],[Material]]</f>
        <v>Agrosuper Asia1022607</v>
      </c>
      <c r="C92" t="s">
        <v>6</v>
      </c>
      <c r="D92" t="s">
        <v>173</v>
      </c>
      <c r="E92">
        <v>1022607</v>
      </c>
      <c r="F92" t="s">
        <v>200</v>
      </c>
      <c r="G92" t="s">
        <v>134</v>
      </c>
      <c r="H92" t="s">
        <v>199</v>
      </c>
      <c r="I92" s="7">
        <f>IFERROR(IF(Tabla14[[#This Row],[Oficina]]=$I$7,VLOOKUP(Tabla14[[#This Row],[Material]],'[6]RV Producción'!$Y:$AA,3,FALSE),VLOOKUP(Tabla14[[#This Row],[Llave]],'[6]RV Producción'!$C:$G,5,FALSE)),0)</f>
        <v>27022</v>
      </c>
      <c r="J92" s="7">
        <f>IFERROR(IF(Tabla14[[#This Row],[Oficina]]=$I$7,VLOOKUP(Tabla14[[#This Row],[Llave]],'[7]Shangai (Tomas)'!$A:$F,6,FALSE),VLOOKUP(Tabla14[[#This Row],[Llave]],'[6]RV plan de ventas'!$A:$E,5,FALSE)),0)</f>
        <v>44000</v>
      </c>
      <c r="K92" s="8">
        <f>IFERROR(VLOOKUP(Tabla14[[#This Row],[Sector]]&amp;Tabla14[[#This Row],[Oficina]],[8]Ponderación!$A$3:$G$22,7,FALSE),0)</f>
        <v>0.38476266834449474</v>
      </c>
      <c r="L92" s="7">
        <f>+Tabla14[[#This Row],[ RV Producción mes n+1]]*Tabla14[[#This Row],[% Uti. producción]]</f>
        <v>10397.056824004936</v>
      </c>
      <c r="M92" s="7">
        <f>IFERROR(VLOOKUP(Tabla14[[#This Row],[Material]],'[9]TD Stock'!$B:$C,2,FALSE),0)</f>
        <v>26027.268000000011</v>
      </c>
      <c r="N92" s="7">
        <f>IFERROR(VLOOKUP(Tabla14[[#This Row],[Material]],'[10]Consolidado planificación'!$B:$C,2,FALSE),0)</f>
        <v>4946</v>
      </c>
      <c r="O92" s="7">
        <f>IFERROR(VLOOKUP(Tabla14[[#This Row],[Llave]],[11]Hoja2!$D:$G,4,FALSE),0)</f>
        <v>0</v>
      </c>
      <c r="P92" s="14">
        <f>SUM(Tabla14[[#This Row],[Producción disponible]],Tabla14[[#This Row],[Stock al día]],(Tabla14[[#This Row],[Por producir mes N]]*0.9))-Tabla14[[#This Row],[Producción por despachar mes N]]</f>
        <v>40875.724824004945</v>
      </c>
      <c r="Q92" s="7">
        <f>IFERROR(VLOOKUP(Tabla14[[#This Row],[Llave]],[9]DELAY!$A:$D,4,FALSE),0)</f>
        <v>22000</v>
      </c>
      <c r="R92" s="9">
        <v>22000</v>
      </c>
      <c r="S92" s="5">
        <f t="shared" si="6"/>
        <v>22000</v>
      </c>
      <c r="T92" s="76">
        <v>0</v>
      </c>
      <c r="U92" s="5">
        <f>+Tabla14[[#This Row],[Atraso a facturar]]+Tabla14[[#This Row],[Ajuste atraso]]</f>
        <v>22000</v>
      </c>
      <c r="V92" s="3">
        <f>+Tabla14[[#This Row],[Total disponible]]-Tabla14[[#This Row],[Facturación atraso]]</f>
        <v>18875.724824004945</v>
      </c>
      <c r="W92" s="6">
        <f>IFERROR(IF(AND(V92&gt;R92,J92&gt;=R92),ROUNDDOWN((Tabla14[[#This Row],[Producción para venta nueva]])/R92,0)*R92,0),0)</f>
        <v>0</v>
      </c>
      <c r="X92" s="76">
        <v>0</v>
      </c>
      <c r="Y92" s="6">
        <f>IF(Tabla14[[#This Row],[Venta del mes]]&gt;0,Tabla14[[#This Row],[Venta del mes]]+Tabla14[[#This Row],[Ajuste venta nueva]],0)</f>
        <v>0</v>
      </c>
      <c r="Z92" s="6">
        <f>+Tabla14[[#This Row],[Producción para venta nueva]]-Tabla14[[#This Row],[Facturación Venta nueva]]</f>
        <v>18875.724824004945</v>
      </c>
      <c r="AA92" s="6">
        <f>IF(AND(A92=1,Tabla14[[#This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2" s="6">
        <v>0</v>
      </c>
      <c r="AC92" s="6">
        <f>IF(Tabla14[[#This Row],[Disponible stock sin venta]]&gt;0,Tabla14[[#This Row],[Disponible stock sin venta]]+Tabla14[[#This Row],[Ajuste stock sin venta]],0)</f>
        <v>0</v>
      </c>
      <c r="AD92" s="3">
        <f>IFERROR(VLOOKUP(Tabla14[[#This Row],[Llave]],[12]Hoja1!$A:$D,4,FALSE),0)</f>
        <v>0</v>
      </c>
      <c r="AE9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22000</v>
      </c>
      <c r="AF92" s="3">
        <v>22000</v>
      </c>
      <c r="AG92" s="3">
        <f>+Tabla14[[#This Row],[En puerto a facturar]]</f>
        <v>0</v>
      </c>
      <c r="AH92" s="3">
        <f>+Tabla14[[#This Row],[Facturación atraso]]</f>
        <v>22000</v>
      </c>
      <c r="AI92" s="3">
        <f>+Tabla14[[#This Row],[Plan Irrestricto (DATO)]]-Tabla14[[#This Row],[Puerto ]]-Tabla14[[#This Row],[Atraso]]</f>
        <v>0</v>
      </c>
      <c r="AJ92" s="6">
        <f>IF(Tabla14[[#This Row],[Plan Irrestricto (DATO)]]&gt;0,SUM(Tabla14[[#This Row],[Facturación atraso]],Tabla14[[#This Row],[Facturación Venta nueva]],Tabla14[[#This Row],[Facturación stock]],Tabla14[[#This Row],[En puerto a facturar]]),0)</f>
        <v>22000</v>
      </c>
      <c r="AK92" s="3">
        <f>+Tabla14[[#This Row],[Facturación atraso]]</f>
        <v>22000</v>
      </c>
      <c r="AL92" s="3">
        <f>Tabla14[[#This Row],[Plan Ajustado]]-Tabla14[[#This Row],[ Atraso ajustado]]-Tabla14[[#This Row],[En puerto a facturar]]</f>
        <v>0</v>
      </c>
      <c r="AM92" s="3">
        <v>0</v>
      </c>
      <c r="AN92" s="3"/>
      <c r="AO92" s="3" t="str">
        <f>IF(Tabla14[[#This Row],[Plan Ajustado]]&gt;Tabla14[[#This Row],[En puerto a facturar]],"Si","No")</f>
        <v>Si</v>
      </c>
      <c r="AP92" s="3">
        <f>IF(AND(Tabla14[[#This Row],[Plan Ajustado]]&gt;0,Tabla14[[#This Row],[Plan Ajustado]]&gt;Tabla14[[#This Row],[En puerto a facturar]]),(Tabla14[[#This Row],[Plan Ajustado]]-Tabla14[[#This Row],[En puerto a facturar]]),0)</f>
        <v>22000</v>
      </c>
      <c r="AQ92" s="3">
        <f>IF(Tabla14[[#This Row],[Necesidad]]&gt;=Tabla14[[#This Row],[Stock al día]],Tabla14[[#This Row],[Stock al día]],Tabla14[[#This Row],[Necesidad]])</f>
        <v>22000</v>
      </c>
      <c r="AR92" s="3">
        <f>+Tabla14[[#This Row],[Necesidad]]-Tabla14[[#This Row],[Stock Plan]]</f>
        <v>0</v>
      </c>
      <c r="AS92" s="155">
        <f>VLOOKUP(Tabla14[[#This Row],[Sector]]&amp;Tabla14[[#This Row],[Oficina]],[8]Ponderación!$A:$H,8,FALSE)</f>
        <v>44814</v>
      </c>
      <c r="AT92" s="30">
        <f>IFERROR(VLOOKUP(Tabla14[[#This Row],[Llave]],'[6]RV plan de ventas'!$A:$F,6,FALSE),0)</f>
        <v>5.0636363636363599</v>
      </c>
      <c r="AU92" s="83">
        <f>IFERROR(VLOOKUP(Tabla14[[#This Row],[Llave]],[9]DELAY!$H:$X,17,FALSE),0)</f>
        <v>5.3123181818181804</v>
      </c>
      <c r="AV9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5.3123181818181804</v>
      </c>
      <c r="AW92" s="5">
        <f>Tabla14[[#This Row],[Pecio plan]]*Tabla14[[#This Row],[Plan Ajustado]]</f>
        <v>116870.99999999997</v>
      </c>
      <c r="AX92" s="30">
        <f>IFERROR(VLOOKUP(Tabla14[[#This Row],[Llave]],'[13]Ultimos precios facturados'!$A:$G,7,FALSE),0)</f>
        <v>5.1823690857706888</v>
      </c>
      <c r="AY9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2.5075229860469578E-2</v>
      </c>
      <c r="AZ92" s="30">
        <f>IFERROR(VLOOKUP(Tabla14[[#This Row],[Llave]],Hoja2!B:K,10,FALSE),0)</f>
        <v>5.5</v>
      </c>
      <c r="BA9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5.3123181818181804</v>
      </c>
      <c r="BB92" s="30">
        <v>0</v>
      </c>
      <c r="BC92" s="30">
        <f>IF(Tabla14[[#This Row],[Market]]=0,Tabla14[[#This Row],[Precio Final]],Tabla14[[#This Row],[Market]])</f>
        <v>5.3123181818181804</v>
      </c>
      <c r="BD92" s="82"/>
      <c r="BE92" s="82" t="str">
        <f>IF(AND(Tabla14[[#This Row],[Atraso a facturar]]&gt;0,Tabla14[[#This Row],[En puerto a facturar]]&gt;0,Tabla14[[#This Row],[Precio Atraso]]=0),"Revisar","OK")</f>
        <v>OK</v>
      </c>
      <c r="BF92" s="82" t="str">
        <f>IF(AND(Tabla14[[#This Row],[Venta del mes]]&gt;0,Tabla14[[#This Row],[Precio venta nueva]]=0),"Revisar","OK")</f>
        <v>OK</v>
      </c>
      <c r="BG92" s="20">
        <f>IFERROR(VLOOKUP(Tabla14[[#This Row],[Llave]],'[5]Consolidación planes'!$A:$M,9,FALSE),0)</f>
        <v>22000</v>
      </c>
      <c r="BH92" s="20">
        <f>IFERROR(VLOOKUP(Tabla14[[#This Row],[Llave]],'[5]Consolidación planes'!$A:$M,10,FALSE),0)</f>
        <v>22000</v>
      </c>
      <c r="BI92" s="20">
        <f>IFERROR(VLOOKUP(Tabla14[[#This Row],[Llave]],'[5]Consolidación planes'!$A:$M,11,FALSE),0)</f>
        <v>22000</v>
      </c>
      <c r="BJ92" s="20">
        <f>IFERROR(VLOOKUP(Tabla14[[#This Row],[Llave]],'[5]Consolidación planes'!$A:$M,12,FALSE),0)</f>
        <v>44000</v>
      </c>
      <c r="BK92" s="20">
        <f>IFERROR(VLOOKUP(Tabla14[[#This Row],[Llave]],'[5]Consolidación planes'!$A:$M,13,FALSE),0)</f>
        <v>44001</v>
      </c>
      <c r="BL92" s="20">
        <f>IFERROR(VLOOKUP(Tabla14[[#This Row],[Llave]],'[13]Base ultimos planes'!$A:$M,13,FALSE),0)</f>
        <v>22000</v>
      </c>
      <c r="BM92" s="20">
        <f>IFERROR(VLOOKUP(Tabla14[[#This Row],[Llave]],'[13]Cruce plan irrestricto'!$C:$M,10,FALSE),0)</f>
        <v>22000</v>
      </c>
      <c r="BN92" s="20">
        <f>IFERROR(VLOOKUP(Tabla14[[#This Row],[Llave]],'[13]Cruce plan irrestricto'!$C:$M,11,FALSE),0)</f>
        <v>22000</v>
      </c>
      <c r="BO92" s="80">
        <f>IFERROR(VLOOKUP(Tabla14[[#This Row],[Llave]],'[13]Base ultimos planes'!$O:$AA,8,FALSE),0)</f>
        <v>126060</v>
      </c>
      <c r="BP92" s="20">
        <f>IFERROR(VLOOKUP(Tabla14[[#This Row],[Llave]],'[13]Base ultimos planes'!$O:$AA,9,FALSE),0)</f>
        <v>114400</v>
      </c>
      <c r="BQ92" s="20">
        <f>IFERROR(VLOOKUP(Tabla14[[#This Row],[Llave]],'[13]Base ultimos planes'!$O:$AA,10,FALSE),0)</f>
        <v>112860</v>
      </c>
      <c r="BR92" s="20">
        <f>IFERROR(VLOOKUP(Tabla14[[#This Row],[Llave]],'[13]Base ultimos planes'!$O:$AA,11,FALSE),0)</f>
        <v>233200</v>
      </c>
      <c r="BS92" s="20">
        <f>IFERROR(VLOOKUP(Tabla14[[#This Row],[Llave]],'[13]Base ultimos planes'!$O:$AA,12,FALSE),0)</f>
        <v>233204</v>
      </c>
      <c r="BT92" s="20">
        <f>IFERROR(VLOOKUP(Tabla14[[#This Row],[Llave]],'[13]Base ultimos planes'!$O:$AA,13,FALSE),0)</f>
        <v>116600</v>
      </c>
      <c r="BU92" s="20"/>
      <c r="BV92" s="20">
        <f>Tabla14[[#This Row],[ RV Producción mes n+1]]-Tabla14[[#This Row],[Producción disponible]]+Tabla14[[#This Row],[Saldo Volumen disponible]]</f>
        <v>35500.668000000005</v>
      </c>
      <c r="BW92" s="20">
        <f>IFERROR(VLOOKUP(Tabla14[[#This Row],[Llave]],[14]Hoja2!$J:$N,4,FALSE),0)</f>
        <v>25368.355</v>
      </c>
      <c r="BX92" s="20">
        <f>+Tabla14[[#This Row],[Asignación mes n+1]]*Tabla14[[#This Row],[% Uti. producción]]</f>
        <v>9760.7959613104049</v>
      </c>
      <c r="BY92" s="20">
        <f>+Tabla14[[#This Row],[Ponderación mes n+1]]+Tabla14[[#This Row],[Saldo mes n-1]]</f>
        <v>45261.463961310408</v>
      </c>
      <c r="BZ92" s="20">
        <f>+Tabla14[[#This Row],[Asignación mes n+1]]-Tabla14[[#This Row],[Ponderación mes n+1]]</f>
        <v>15607.559038689595</v>
      </c>
      <c r="CA92" s="20">
        <f>IFERROR(VLOOKUP(Tabla14[[#This Row],[Llave]],[14]Hoja2!$J:$N,5,FALSE),0)</f>
        <v>27804.937999999998</v>
      </c>
      <c r="CB92" s="20">
        <f>+Tabla14[[#This Row],[Asignación mes n+2]]*Tabla14[[#This Row],[% Uti. producción]]</f>
        <v>10698.302138033237</v>
      </c>
      <c r="CC92" s="20">
        <f>+Tabla14[[#This Row],[Saldo mes n+2]]+Tabla14[[#This Row],[Ponderación mes n+2]]</f>
        <v>26305.861176722832</v>
      </c>
      <c r="CD92" s="20">
        <f>+Tabla14[[#This Row],[Asignación mes n+2]]-Tabla14[[#This Row],[Ponderación mes n+2]]</f>
        <v>17106.635861966759</v>
      </c>
    </row>
    <row r="93" spans="1:82" ht="16" x14ac:dyDescent="0.2">
      <c r="A93">
        <v>1</v>
      </c>
      <c r="B93" t="str">
        <f>Tabla14[[#This Row],[Oficina]]&amp;Tabla14[[#This Row],[Material]]</f>
        <v>Agrosuper Asia1022885</v>
      </c>
      <c r="C93" t="s">
        <v>6</v>
      </c>
      <c r="D93" t="s">
        <v>173</v>
      </c>
      <c r="E93">
        <v>1022885</v>
      </c>
      <c r="F93" t="s">
        <v>188</v>
      </c>
      <c r="G93" t="s">
        <v>56</v>
      </c>
      <c r="H93" t="s">
        <v>57</v>
      </c>
      <c r="I93" s="7">
        <f>IFERROR(IF(Tabla14[[#This Row],[Oficina]]=$I$7,VLOOKUP(Tabla14[[#This Row],[Material]],'[6]RV Producción'!$Y:$AA,3,FALSE),VLOOKUP(Tabla14[[#This Row],[Llave]],'[6]RV Producción'!$C:$G,5,FALSE)),0)</f>
        <v>517682</v>
      </c>
      <c r="J93" s="7">
        <f>IFERROR(IF(Tabla14[[#This Row],[Oficina]]=$I$7,VLOOKUP(Tabla14[[#This Row],[Llave]],'[7]Shangai (Tomas)'!$A:$F,6,FALSE),VLOOKUP(Tabla14[[#This Row],[Llave]],'[6]RV plan de ventas'!$A:$E,5,FALSE)),0)</f>
        <v>550000</v>
      </c>
      <c r="K93" s="8">
        <f>IFERROR(VLOOKUP(Tabla14[[#This Row],[Sector]]&amp;Tabla14[[#This Row],[Oficina]],[8]Ponderación!$A$3:$G$22,7,FALSE),0)</f>
        <v>0.38476266834449474</v>
      </c>
      <c r="L93" s="7">
        <f>+Tabla14[[#This Row],[ RV Producción mes n+1]]*Tabla14[[#This Row],[% Uti. producción]]</f>
        <v>199184.70767391473</v>
      </c>
      <c r="M93" s="7">
        <f>IFERROR(VLOOKUP(Tabla14[[#This Row],[Material]],'[9]TD Stock'!$B:$C,2,FALSE),0)</f>
        <v>148634.766</v>
      </c>
      <c r="N93" s="7">
        <f>IFERROR(VLOOKUP(Tabla14[[#This Row],[Material]],'[10]Consolidado planificación'!$B:$C,2,FALSE),0)</f>
        <v>147581.47196012054</v>
      </c>
      <c r="O93" s="7">
        <f>IFERROR(VLOOKUP(Tabla14[[#This Row],[Llave]],[11]Hoja2!$D:$G,4,FALSE),0)</f>
        <v>0</v>
      </c>
      <c r="P93" s="14">
        <f>SUM(Tabla14[[#This Row],[Producción disponible]],Tabla14[[#This Row],[Stock al día]],(Tabla14[[#This Row],[Por producir mes N]]*0.9))-Tabla14[[#This Row],[Producción por despachar mes N]]</f>
        <v>480642.79843802319</v>
      </c>
      <c r="Q93" s="7">
        <f>IFERROR(VLOOKUP(Tabla14[[#This Row],[Llave]],[9]DELAY!$A:$D,4,FALSE),0)</f>
        <v>257000</v>
      </c>
      <c r="R93" s="9">
        <v>22000</v>
      </c>
      <c r="S93" s="5">
        <f>IF(AND(P93&gt;Q93,Q93&gt;0),Q93,IF(AND(P93&lt;Q93,Q93&gt;0),(ROUNDDOWN(P93/R93,0)*R93),0))</f>
        <v>257000</v>
      </c>
      <c r="T93" s="76">
        <v>0</v>
      </c>
      <c r="U93" s="5">
        <f>+Tabla14[[#This Row],[Atraso a facturar]]+Tabla14[[#This Row],[Ajuste atraso]]</f>
        <v>257000</v>
      </c>
      <c r="V93" s="3">
        <f>+Tabla14[[#This Row],[Total disponible]]-Tabla14[[#This Row],[Facturación atraso]]</f>
        <v>223642.79843802319</v>
      </c>
      <c r="W93" s="6">
        <f>IFERROR(IF(AND(V93&gt;R93,J93&gt;=R93),ROUNDDOWN((Tabla14[[#This Row],[Producción para venta nueva]])/R93,0)*R93,0),0)</f>
        <v>220000</v>
      </c>
      <c r="X93" s="76">
        <v>0</v>
      </c>
      <c r="Y93" s="6">
        <f>IF(Tabla14[[#This Row],[Venta del mes]]&gt;0,Tabla14[[#This Row],[Venta del mes]]+Tabla14[[#This Row],[Ajuste venta nueva]],0)</f>
        <v>220000</v>
      </c>
      <c r="Z93" s="6">
        <f>+Tabla14[[#This Row],[Producción para venta nueva]]-Tabla14[[#This Row],[Facturación Venta nueva]]</f>
        <v>3642.7984380231937</v>
      </c>
      <c r="AA93" s="6">
        <f>IF(AND(A93=1,Tabla14[[#This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3" s="6">
        <v>0</v>
      </c>
      <c r="AC93" s="6">
        <f>IF(Tabla14[[#This Row],[Disponible stock sin venta]]&gt;0,Tabla14[[#This Row],[Disponible stock sin venta]]+Tabla14[[#This Row],[Ajuste stock sin venta]],0)</f>
        <v>0</v>
      </c>
      <c r="AD93" s="3">
        <f>IFERROR(VLOOKUP(Tabla14[[#This Row],[Llave]],[12]Hoja1!$A:$D,4,FALSE),0)</f>
        <v>176027.80000000002</v>
      </c>
      <c r="AE9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653027.80000000005</v>
      </c>
      <c r="AF93" s="3">
        <v>653027.80000000005</v>
      </c>
      <c r="AG93" s="3">
        <f>+Tabla14[[#This Row],[En puerto a facturar]]</f>
        <v>176027.80000000002</v>
      </c>
      <c r="AH93" s="3">
        <f>+Tabla14[[#This Row],[Facturación atraso]]</f>
        <v>257000</v>
      </c>
      <c r="AI93" s="3">
        <f>+Tabla14[[#This Row],[Plan Irrestricto (DATO)]]-Tabla14[[#This Row],[Puerto ]]-Tabla14[[#This Row],[Atraso]]</f>
        <v>220000</v>
      </c>
      <c r="AJ93" s="6">
        <f>IF(Tabla14[[#This Row],[Plan Irrestricto (DATO)]]&gt;0,SUM(Tabla14[[#This Row],[Facturación atraso]],Tabla14[[#This Row],[Facturación Venta nueva]],Tabla14[[#This Row],[Facturación stock]],Tabla14[[#This Row],[En puerto a facturar]]),0)</f>
        <v>653027.80000000005</v>
      </c>
      <c r="AK93" s="3">
        <f>+Tabla14[[#This Row],[Facturación atraso]]</f>
        <v>257000</v>
      </c>
      <c r="AL93" s="3">
        <f>Tabla14[[#This Row],[Plan Ajustado]]-Tabla14[[#This Row],[ Atraso ajustado]]-Tabla14[[#This Row],[En puerto a facturar]]</f>
        <v>220000.00000000003</v>
      </c>
      <c r="AM93" s="3">
        <v>0</v>
      </c>
      <c r="AN93" s="3"/>
      <c r="AO93" s="3" t="str">
        <f>IF(Tabla14[[#This Row],[Plan Ajustado]]&gt;Tabla14[[#This Row],[En puerto a facturar]],"Si","No")</f>
        <v>Si</v>
      </c>
      <c r="AP93" s="3">
        <f>IF(AND(Tabla14[[#This Row],[Plan Ajustado]]&gt;0,Tabla14[[#This Row],[Plan Ajustado]]&gt;Tabla14[[#This Row],[En puerto a facturar]]),(Tabla14[[#This Row],[Plan Ajustado]]-Tabla14[[#This Row],[En puerto a facturar]]),0)</f>
        <v>477000</v>
      </c>
      <c r="AQ93" s="3">
        <f>IF(Tabla14[[#This Row],[Necesidad]]&gt;=Tabla14[[#This Row],[Stock al día]],Tabla14[[#This Row],[Stock al día]],Tabla14[[#This Row],[Necesidad]])</f>
        <v>148634.766</v>
      </c>
      <c r="AR93" s="3">
        <f>+Tabla14[[#This Row],[Necesidad]]-Tabla14[[#This Row],[Stock Plan]]</f>
        <v>328365.234</v>
      </c>
      <c r="AS93" s="155">
        <f>VLOOKUP(Tabla14[[#This Row],[Sector]]&amp;Tabla14[[#This Row],[Oficina]],[8]Ponderación!$A:$H,8,FALSE)</f>
        <v>44814</v>
      </c>
      <c r="AT93" s="30">
        <f>IFERROR(VLOOKUP(Tabla14[[#This Row],[Llave]],'[6]RV plan de ventas'!$A:$F,6,FALSE),0)</f>
        <v>5.7636072727272696</v>
      </c>
      <c r="AU93" s="83">
        <f>IFERROR(VLOOKUP(Tabla14[[#This Row],[Llave]],[9]DELAY!$H:$X,17,FALSE),0)</f>
        <v>6.0123181817699098</v>
      </c>
      <c r="AV9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5.9285294058718838</v>
      </c>
      <c r="AW93" s="5">
        <f>Tabla14[[#This Row],[Pecio plan]]*Tabla14[[#This Row],[Plan Ajustado]]</f>
        <v>3871494.5151518239</v>
      </c>
      <c r="AX93" s="30">
        <f>IFERROR(VLOOKUP(Tabla14[[#This Row],[Llave]],'[13]Ultimos precios facturados'!$A:$G,7,FALSE),0)</f>
        <v>6.0372157568540956</v>
      </c>
      <c r="AY9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1.8002727641267313E-2</v>
      </c>
      <c r="AZ93" s="30">
        <f>IFERROR(VLOOKUP(Tabla14[[#This Row],[Llave]],Hoja2!B:K,10,FALSE),0)</f>
        <v>6.04</v>
      </c>
      <c r="BA9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5.9285294058718838</v>
      </c>
      <c r="BB93" s="30">
        <v>0</v>
      </c>
      <c r="BC93" s="30">
        <f>IF(Tabla14[[#This Row],[Market]]=0,Tabla14[[#This Row],[Precio Final]],Tabla14[[#This Row],[Market]])</f>
        <v>5.9285294058718838</v>
      </c>
      <c r="BD93" s="82"/>
      <c r="BE93" s="82" t="str">
        <f>IF(AND(Tabla14[[#This Row],[Atraso a facturar]]&gt;0,Tabla14[[#This Row],[En puerto a facturar]]&gt;0,Tabla14[[#This Row],[Precio Atraso]]=0),"Revisar","OK")</f>
        <v>OK</v>
      </c>
      <c r="BF93" s="82" t="str">
        <f>IF(AND(Tabla14[[#This Row],[Venta del mes]]&gt;0,Tabla14[[#This Row],[Precio venta nueva]]=0),"Revisar","OK")</f>
        <v>OK</v>
      </c>
      <c r="BG93" s="20">
        <f>IFERROR(VLOOKUP(Tabla14[[#This Row],[Llave]],'[5]Consolidación planes'!$A:$M,9,FALSE),0)</f>
        <v>660000</v>
      </c>
      <c r="BH93" s="20">
        <f>IFERROR(VLOOKUP(Tabla14[[#This Row],[Llave]],'[5]Consolidación planes'!$A:$M,10,FALSE),0)</f>
        <v>597000</v>
      </c>
      <c r="BI93" s="20">
        <f>IFERROR(VLOOKUP(Tabla14[[#This Row],[Llave]],'[5]Consolidación planes'!$A:$M,11,FALSE),0)</f>
        <v>476000</v>
      </c>
      <c r="BJ93" s="20">
        <f>IFERROR(VLOOKUP(Tabla14[[#This Row],[Llave]],'[5]Consolidación planes'!$A:$M,12,FALSE),0)</f>
        <v>702000</v>
      </c>
      <c r="BK93" s="20">
        <f>IFERROR(VLOOKUP(Tabla14[[#This Row],[Llave]],'[5]Consolidación planes'!$A:$M,13,FALSE),0)</f>
        <v>615555</v>
      </c>
      <c r="BL93" s="20">
        <f>IFERROR(VLOOKUP(Tabla14[[#This Row],[Llave]],'[13]Base ultimos planes'!$A:$M,13,FALSE),0)</f>
        <v>469016</v>
      </c>
      <c r="BM93" s="20">
        <f>IFERROR(VLOOKUP(Tabla14[[#This Row],[Llave]],'[13]Cruce plan irrestricto'!$C:$M,10,FALSE),0)</f>
        <v>352000</v>
      </c>
      <c r="BN93" s="20">
        <f>IFERROR(VLOOKUP(Tabla14[[#This Row],[Llave]],'[13]Cruce plan irrestricto'!$C:$M,11,FALSE),0)</f>
        <v>528004.15</v>
      </c>
      <c r="BO93" s="80">
        <f>IFERROR(VLOOKUP(Tabla14[[#This Row],[Llave]],'[13]Base ultimos planes'!$O:$AA,8,FALSE),0)</f>
        <v>4448231.7450000001</v>
      </c>
      <c r="BP93" s="20">
        <f>IFERROR(VLOOKUP(Tabla14[[#This Row],[Llave]],'[13]Base ultimos planes'!$O:$AA,9,FALSE),0)</f>
        <v>3883485</v>
      </c>
      <c r="BQ93" s="20">
        <f>IFERROR(VLOOKUP(Tabla14[[#This Row],[Llave]],'[13]Base ultimos planes'!$O:$AA,10,FALSE),0)</f>
        <v>2975000</v>
      </c>
      <c r="BR93" s="20">
        <f>IFERROR(VLOOKUP(Tabla14[[#This Row],[Llave]],'[13]Base ultimos planes'!$O:$AA,11,FALSE),0)</f>
        <v>4283678</v>
      </c>
      <c r="BS93" s="20">
        <f>IFERROR(VLOOKUP(Tabla14[[#This Row],[Llave]],'[13]Base ultimos planes'!$O:$AA,12,FALSE),0)</f>
        <v>3723805</v>
      </c>
      <c r="BT93" s="20">
        <f>IFERROR(VLOOKUP(Tabla14[[#This Row],[Llave]],'[13]Base ultimos planes'!$O:$AA,13,FALSE),0)</f>
        <v>2830975</v>
      </c>
      <c r="BU93" s="20"/>
      <c r="BV93" s="20">
        <f>Tabla14[[#This Row],[ RV Producción mes n+1]]-Tabla14[[#This Row],[Producción disponible]]+Tabla14[[#This Row],[Saldo Volumen disponible]]</f>
        <v>322140.09076410846</v>
      </c>
      <c r="BW93" s="20">
        <f>IFERROR(VLOOKUP(Tabla14[[#This Row],[Llave]],[14]Hoja2!$J:$N,4,FALSE),0)</f>
        <v>660000</v>
      </c>
      <c r="BX93" s="20">
        <f>+Tabla14[[#This Row],[Asignación mes n+1]]*Tabla14[[#This Row],[% Uti. producción]]</f>
        <v>253943.36110736654</v>
      </c>
      <c r="BY93" s="20">
        <f>+Tabla14[[#This Row],[Ponderación mes n+1]]+Tabla14[[#This Row],[Saldo mes n-1]]</f>
        <v>576083.45187147497</v>
      </c>
      <c r="BZ93" s="20">
        <f>+Tabla14[[#This Row],[Asignación mes n+1]]-Tabla14[[#This Row],[Ponderación mes n+1]]</f>
        <v>406056.63889263349</v>
      </c>
      <c r="CA93" s="20">
        <f>IFERROR(VLOOKUP(Tabla14[[#This Row],[Llave]],[14]Hoja2!$J:$N,5,FALSE),0)</f>
        <v>660000</v>
      </c>
      <c r="CB93" s="20">
        <f>+Tabla14[[#This Row],[Asignación mes n+2]]*Tabla14[[#This Row],[% Uti. producción]]</f>
        <v>253943.36110736654</v>
      </c>
      <c r="CC93" s="20">
        <f>+Tabla14[[#This Row],[Saldo mes n+2]]+Tabla14[[#This Row],[Ponderación mes n+2]]</f>
        <v>660000</v>
      </c>
      <c r="CD93" s="20">
        <f>+Tabla14[[#This Row],[Asignación mes n+2]]-Tabla14[[#This Row],[Ponderación mes n+2]]</f>
        <v>406056.63889263349</v>
      </c>
    </row>
    <row r="94" spans="1:82" ht="16" x14ac:dyDescent="0.2">
      <c r="A94">
        <v>1</v>
      </c>
      <c r="B94" t="str">
        <f>Tabla14[[#This Row],[Oficina]]&amp;Tabla14[[#This Row],[Material]]</f>
        <v>Agrosuper Asia1022887</v>
      </c>
      <c r="C94" t="s">
        <v>6</v>
      </c>
      <c r="D94" t="s">
        <v>173</v>
      </c>
      <c r="E94">
        <v>1022887</v>
      </c>
      <c r="F94" t="s">
        <v>189</v>
      </c>
      <c r="G94" t="s">
        <v>56</v>
      </c>
      <c r="H94" t="s">
        <v>57</v>
      </c>
      <c r="I94" s="7">
        <f>IFERROR(IF(Tabla14[[#This Row],[Oficina]]=$I$7,VLOOKUP(Tabla14[[#This Row],[Material]],'[6]RV Producción'!$Y:$AA,3,FALSE),VLOOKUP(Tabla14[[#This Row],[Llave]],'[6]RV Producción'!$C:$G,5,FALSE)),0)</f>
        <v>63649</v>
      </c>
      <c r="J94" s="7">
        <f>IFERROR(IF(Tabla14[[#This Row],[Oficina]]=$I$7,VLOOKUP(Tabla14[[#This Row],[Llave]],'[7]Shangai (Tomas)'!$A:$F,6,FALSE),VLOOKUP(Tabla14[[#This Row],[Llave]],'[6]RV plan de ventas'!$A:$E,5,FALSE)),0)</f>
        <v>154000</v>
      </c>
      <c r="K94" s="8">
        <f>IFERROR(VLOOKUP(Tabla14[[#This Row],[Sector]]&amp;Tabla14[[#This Row],[Oficina]],[8]Ponderación!$A$3:$G$22,7,FALSE),0)</f>
        <v>0.38476266834449474</v>
      </c>
      <c r="L94" s="7">
        <f>+Tabla14[[#This Row],[ RV Producción mes n+1]]*Tabla14[[#This Row],[% Uti. producción]]</f>
        <v>24489.759077458744</v>
      </c>
      <c r="M94" s="7">
        <f>IFERROR(VLOOKUP(Tabla14[[#This Row],[Material]],'[9]TD Stock'!$B:$C,2,FALSE),0)</f>
        <v>93007.912000000011</v>
      </c>
      <c r="N94" s="7">
        <f>IFERROR(VLOOKUP(Tabla14[[#This Row],[Material]],'[10]Consolidado planificación'!$B:$C,2,FALSE),0)</f>
        <v>24046.716341179294</v>
      </c>
      <c r="O94" s="7">
        <f>IFERROR(VLOOKUP(Tabla14[[#This Row],[Llave]],[11]Hoja2!$D:$G,4,FALSE),0)</f>
        <v>0</v>
      </c>
      <c r="P94" s="14">
        <f>SUM(Tabla14[[#This Row],[Producción disponible]],Tabla14[[#This Row],[Stock al día]],(Tabla14[[#This Row],[Por producir mes N]]*0.9))-Tabla14[[#This Row],[Producción por despachar mes N]]</f>
        <v>139139.71578452011</v>
      </c>
      <c r="Q94" s="7">
        <f>IFERROR(VLOOKUP(Tabla14[[#This Row],[Llave]],[9]DELAY!$A:$D,4,FALSE),0)</f>
        <v>0</v>
      </c>
      <c r="R94" s="9">
        <v>22000</v>
      </c>
      <c r="S94" s="5">
        <f t="shared" si="6"/>
        <v>0</v>
      </c>
      <c r="T94" s="76">
        <v>0</v>
      </c>
      <c r="U94" s="5">
        <f>+Tabla14[[#This Row],[Atraso a facturar]]+Tabla14[[#This Row],[Ajuste atraso]]</f>
        <v>0</v>
      </c>
      <c r="V94" s="3">
        <f>+Tabla14[[#This Row],[Total disponible]]-Tabla14[[#This Row],[Facturación atraso]]</f>
        <v>139139.71578452011</v>
      </c>
      <c r="W94" s="6">
        <f>IFERROR(IF(AND(V94&gt;R94,J94&gt;=R94),ROUNDDOWN((Tabla14[[#This Row],[Producción para venta nueva]])/R94,0)*R94,0),0)</f>
        <v>132000</v>
      </c>
      <c r="X94" s="76">
        <v>0</v>
      </c>
      <c r="Y94" s="6">
        <f>IF(Tabla14[[#This Row],[Venta del mes]]&gt;0,Tabla14[[#This Row],[Venta del mes]]+Tabla14[[#This Row],[Ajuste venta nueva]],0)</f>
        <v>132000</v>
      </c>
      <c r="Z94" s="6">
        <f>+Tabla14[[#This Row],[Producción para venta nueva]]-Tabla14[[#This Row],[Facturación Venta nueva]]</f>
        <v>7139.7157845201145</v>
      </c>
      <c r="AA94" s="6">
        <f>IF(AND(A94=1,Tabla14[[#This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4" s="6">
        <v>0</v>
      </c>
      <c r="AC94" s="6">
        <f>IF(Tabla14[[#This Row],[Disponible stock sin venta]]&gt;0,Tabla14[[#This Row],[Disponible stock sin venta]]+Tabla14[[#This Row],[Ajuste stock sin venta]],0)</f>
        <v>0</v>
      </c>
      <c r="AD94" s="3">
        <f>IFERROR(VLOOKUP(Tabla14[[#This Row],[Llave]],[12]Hoja1!$A:$D,4,FALSE),0)</f>
        <v>22011.200000000001</v>
      </c>
      <c r="AE9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154011.20000000001</v>
      </c>
      <c r="AF94" s="3">
        <v>154011.20000000001</v>
      </c>
      <c r="AG94" s="3">
        <f>+Tabla14[[#This Row],[En puerto a facturar]]</f>
        <v>22011.200000000001</v>
      </c>
      <c r="AH94" s="3">
        <f>+Tabla14[[#This Row],[Facturación atraso]]</f>
        <v>0</v>
      </c>
      <c r="AI94" s="3">
        <f>+Tabla14[[#This Row],[Plan Irrestricto (DATO)]]-Tabla14[[#This Row],[Puerto ]]-Tabla14[[#This Row],[Atraso]]</f>
        <v>132000</v>
      </c>
      <c r="AJ94" s="6">
        <f>IF(Tabla14[[#This Row],[Plan Irrestricto (DATO)]]&gt;0,SUM(Tabla14[[#This Row],[Facturación atraso]],Tabla14[[#This Row],[Facturación Venta nueva]],Tabla14[[#This Row],[Facturación stock]],Tabla14[[#This Row],[En puerto a facturar]]),0)</f>
        <v>154011.20000000001</v>
      </c>
      <c r="AK94" s="3">
        <f>+Tabla14[[#This Row],[Facturación atraso]]</f>
        <v>0</v>
      </c>
      <c r="AL94" s="3">
        <f>Tabla14[[#This Row],[Plan Ajustado]]-Tabla14[[#This Row],[ Atraso ajustado]]-Tabla14[[#This Row],[En puerto a facturar]]</f>
        <v>132000</v>
      </c>
      <c r="AM94" s="3">
        <v>0</v>
      </c>
      <c r="AN94" s="3"/>
      <c r="AO94" s="3" t="str">
        <f>IF(Tabla14[[#This Row],[Plan Ajustado]]&gt;Tabla14[[#This Row],[En puerto a facturar]],"Si","No")</f>
        <v>Si</v>
      </c>
      <c r="AP94" s="3">
        <f>IF(AND(Tabla14[[#This Row],[Plan Ajustado]]&gt;0,Tabla14[[#This Row],[Plan Ajustado]]&gt;Tabla14[[#This Row],[En puerto a facturar]]),(Tabla14[[#This Row],[Plan Ajustado]]-Tabla14[[#This Row],[En puerto a facturar]]),0)</f>
        <v>132000</v>
      </c>
      <c r="AQ94" s="3">
        <f>IF(Tabla14[[#This Row],[Necesidad]]&gt;=Tabla14[[#This Row],[Stock al día]],Tabla14[[#This Row],[Stock al día]],Tabla14[[#This Row],[Necesidad]])</f>
        <v>93007.912000000011</v>
      </c>
      <c r="AR94" s="3">
        <f>+Tabla14[[#This Row],[Necesidad]]-Tabla14[[#This Row],[Stock Plan]]</f>
        <v>38992.087999999989</v>
      </c>
      <c r="AS94" s="155">
        <f>VLOOKUP(Tabla14[[#This Row],[Sector]]&amp;Tabla14[[#This Row],[Oficina]],[8]Ponderación!$A:$H,8,FALSE)</f>
        <v>44814</v>
      </c>
      <c r="AT94" s="30">
        <f>IFERROR(VLOOKUP(Tabla14[[#This Row],[Llave]],'[6]RV plan de ventas'!$A:$F,6,FALSE),0)</f>
        <v>5.7636038961039002</v>
      </c>
      <c r="AU94" s="83">
        <f>IFERROR(VLOOKUP(Tabla14[[#This Row],[Llave]],[9]DELAY!$H:$X,17,FALSE),0)</f>
        <v>0</v>
      </c>
      <c r="AV9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4.9398726474809278</v>
      </c>
      <c r="AW94" s="5">
        <f>Tabla14[[#This Row],[Pecio plan]]*Tabla14[[#This Row],[Plan Ajustado]]</f>
        <v>760795.71428571467</v>
      </c>
      <c r="AX94" s="30">
        <f>IFERROR(VLOOKUP(Tabla14[[#This Row],[Llave]],'[13]Ultimos precios facturados'!$A:$G,7,FALSE),0)</f>
        <v>6.0227654675665612</v>
      </c>
      <c r="AY9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0.17979993176177347</v>
      </c>
      <c r="AZ94" s="30">
        <f>IFERROR(VLOOKUP(Tabla14[[#This Row],[Llave]],Hoja2!B:K,10,FALSE),0)</f>
        <v>6.0912673611111128</v>
      </c>
      <c r="BA9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4.9398726474809278</v>
      </c>
      <c r="BB94" s="30">
        <v>0</v>
      </c>
      <c r="BC94" s="30">
        <f>IF(Tabla14[[#This Row],[Market]]=0,Tabla14[[#This Row],[Precio Final]],Tabla14[[#This Row],[Market]])</f>
        <v>4.9398726474809278</v>
      </c>
      <c r="BD94" s="82"/>
      <c r="BE94" s="82" t="str">
        <f>IF(AND(Tabla14[[#This Row],[Atraso a facturar]]&gt;0,Tabla14[[#This Row],[En puerto a facturar]]&gt;0,Tabla14[[#This Row],[Precio Atraso]]=0),"Revisar","OK")</f>
        <v>OK</v>
      </c>
      <c r="BF94" s="82" t="str">
        <f>IF(AND(Tabla14[[#This Row],[Venta del mes]]&gt;0,Tabla14[[#This Row],[Precio venta nueva]]=0),"Revisar","OK")</f>
        <v>OK</v>
      </c>
      <c r="BG94" s="20">
        <f>IFERROR(VLOOKUP(Tabla14[[#This Row],[Llave]],'[5]Consolidación planes'!$A:$M,9,FALSE),0)</f>
        <v>198000</v>
      </c>
      <c r="BH94" s="20">
        <f>IFERROR(VLOOKUP(Tabla14[[#This Row],[Llave]],'[5]Consolidación planes'!$A:$M,10,FALSE),0)</f>
        <v>275000</v>
      </c>
      <c r="BI94" s="20">
        <f>IFERROR(VLOOKUP(Tabla14[[#This Row],[Llave]],'[5]Consolidación planes'!$A:$M,11,FALSE),0)</f>
        <v>385000</v>
      </c>
      <c r="BJ94" s="20">
        <f>IFERROR(VLOOKUP(Tabla14[[#This Row],[Llave]],'[5]Consolidación planes'!$A:$M,12,FALSE),0)</f>
        <v>352000</v>
      </c>
      <c r="BK94" s="20">
        <f>IFERROR(VLOOKUP(Tabla14[[#This Row],[Llave]],'[5]Consolidación planes'!$A:$M,13,FALSE),0)</f>
        <v>308028</v>
      </c>
      <c r="BL94" s="20">
        <f>IFERROR(VLOOKUP(Tabla14[[#This Row],[Llave]],'[13]Base ultimos planes'!$A:$M,13,FALSE),0)</f>
        <v>209000</v>
      </c>
      <c r="BM94" s="20">
        <f>IFERROR(VLOOKUP(Tabla14[[#This Row],[Llave]],'[13]Cruce plan irrestricto'!$C:$M,10,FALSE),0)</f>
        <v>198000</v>
      </c>
      <c r="BN94" s="20">
        <f>IFERROR(VLOOKUP(Tabla14[[#This Row],[Llave]],'[13]Cruce plan irrestricto'!$C:$M,11,FALSE),0)</f>
        <v>264000</v>
      </c>
      <c r="BO94" s="80">
        <f>IFERROR(VLOOKUP(Tabla14[[#This Row],[Llave]],'[13]Base ultimos planes'!$O:$AA,8,FALSE),0)</f>
        <v>1378080</v>
      </c>
      <c r="BP94" s="20">
        <f>IFERROR(VLOOKUP(Tabla14[[#This Row],[Llave]],'[13]Base ultimos planes'!$O:$AA,9,FALSE),0)</f>
        <v>1761375</v>
      </c>
      <c r="BQ94" s="20">
        <f>IFERROR(VLOOKUP(Tabla14[[#This Row],[Llave]],'[13]Base ultimos planes'!$O:$AA,10,FALSE),0)</f>
        <v>2321550</v>
      </c>
      <c r="BR94" s="20">
        <f>IFERROR(VLOOKUP(Tabla14[[#This Row],[Llave]],'[13]Base ultimos planes'!$O:$AA,11,FALSE),0)</f>
        <v>2089499</v>
      </c>
      <c r="BS94" s="20">
        <f>IFERROR(VLOOKUP(Tabla14[[#This Row],[Llave]],'[13]Base ultimos planes'!$O:$AA,12,FALSE),0)</f>
        <v>1830564</v>
      </c>
      <c r="BT94" s="20">
        <f>IFERROR(VLOOKUP(Tabla14[[#This Row],[Llave]],'[13]Base ultimos planes'!$O:$AA,13,FALSE),0)</f>
        <v>1258453</v>
      </c>
      <c r="BU94" s="20"/>
      <c r="BV94" s="20">
        <f>Tabla14[[#This Row],[ RV Producción mes n+1]]-Tabla14[[#This Row],[Producción disponible]]+Tabla14[[#This Row],[Saldo Volumen disponible]]</f>
        <v>46298.95670706137</v>
      </c>
      <c r="BW94" s="20">
        <f>IFERROR(VLOOKUP(Tabla14[[#This Row],[Llave]],[14]Hoja2!$J:$N,4,FALSE),0)</f>
        <v>0</v>
      </c>
      <c r="BX94" s="20">
        <f>+Tabla14[[#This Row],[Asignación mes n+1]]*Tabla14[[#This Row],[% Uti. producción]]</f>
        <v>0</v>
      </c>
      <c r="BY94" s="20">
        <f>+Tabla14[[#This Row],[Ponderación mes n+1]]+Tabla14[[#This Row],[Saldo mes n-1]]</f>
        <v>46298.95670706137</v>
      </c>
      <c r="BZ94" s="20">
        <f>+Tabla14[[#This Row],[Asignación mes n+1]]-Tabla14[[#This Row],[Ponderación mes n+1]]</f>
        <v>0</v>
      </c>
      <c r="CA94" s="20">
        <f>IFERROR(VLOOKUP(Tabla14[[#This Row],[Llave]],[14]Hoja2!$J:$N,5,FALSE),0)</f>
        <v>115037.52</v>
      </c>
      <c r="CB94" s="20">
        <f>+Tabla14[[#This Row],[Asignación mes n+2]]*Tabla14[[#This Row],[% Uti. producción]]</f>
        <v>44262.143154933183</v>
      </c>
      <c r="CC94" s="20">
        <f>+Tabla14[[#This Row],[Saldo mes n+2]]+Tabla14[[#This Row],[Ponderación mes n+2]]</f>
        <v>44262.143154933183</v>
      </c>
      <c r="CD94" s="20">
        <f>+Tabla14[[#This Row],[Asignación mes n+2]]-Tabla14[[#This Row],[Ponderación mes n+2]]</f>
        <v>70775.376845066814</v>
      </c>
    </row>
    <row r="95" spans="1:82" ht="16" x14ac:dyDescent="0.2">
      <c r="A95">
        <v>1</v>
      </c>
      <c r="B95" t="str">
        <f>Tabla14[[#This Row],[Oficina]]&amp;Tabla14[[#This Row],[Material]]</f>
        <v>Agrosuper Asia1022930</v>
      </c>
      <c r="C95" t="s">
        <v>6</v>
      </c>
      <c r="D95" t="s">
        <v>173</v>
      </c>
      <c r="E95">
        <v>1022930</v>
      </c>
      <c r="F95" t="s">
        <v>190</v>
      </c>
      <c r="G95" t="s">
        <v>56</v>
      </c>
      <c r="H95" t="s">
        <v>57</v>
      </c>
      <c r="I95" s="7">
        <f>IFERROR(IF(Tabla14[[#This Row],[Oficina]]=$I$7,VLOOKUP(Tabla14[[#This Row],[Material]],'[6]RV Producción'!$Y:$AA,3,FALSE),VLOOKUP(Tabla14[[#This Row],[Llave]],'[6]RV Producción'!$C:$G,5,FALSE)),0)</f>
        <v>222261</v>
      </c>
      <c r="J95" s="7">
        <f>IFERROR(IF(Tabla14[[#This Row],[Oficina]]=$I$7,VLOOKUP(Tabla14[[#This Row],[Llave]],'[7]Shangai (Tomas)'!$A:$F,6,FALSE),VLOOKUP(Tabla14[[#This Row],[Llave]],'[6]RV plan de ventas'!$A:$E,5,FALSE)),0)</f>
        <v>220000</v>
      </c>
      <c r="K95" s="8">
        <f>IFERROR(VLOOKUP(Tabla14[[#This Row],[Sector]]&amp;Tabla14[[#This Row],[Oficina]],[8]Ponderación!$A$3:$G$22,7,FALSE),0)</f>
        <v>0.38476266834449474</v>
      </c>
      <c r="L95" s="7">
        <f>+Tabla14[[#This Row],[ RV Producción mes n+1]]*Tabla14[[#This Row],[% Uti. producción]]</f>
        <v>85517.735428915752</v>
      </c>
      <c r="M95" s="7">
        <f>IFERROR(VLOOKUP(Tabla14[[#This Row],[Material]],'[9]TD Stock'!$B:$C,2,FALSE),0)</f>
        <v>68062.732000000018</v>
      </c>
      <c r="N95" s="7">
        <f>IFERROR(VLOOKUP(Tabla14[[#This Row],[Material]],'[10]Consolidado planificación'!$B:$C,2,FALSE),0)</f>
        <v>38273.540112621515</v>
      </c>
      <c r="O95" s="7">
        <f>IFERROR(VLOOKUP(Tabla14[[#This Row],[Llave]],[11]Hoja2!$D:$G,4,FALSE),0)</f>
        <v>0</v>
      </c>
      <c r="P95" s="14">
        <f>SUM(Tabla14[[#This Row],[Producción disponible]],Tabla14[[#This Row],[Stock al día]],(Tabla14[[#This Row],[Por producir mes N]]*0.9))-Tabla14[[#This Row],[Producción por despachar mes N]]</f>
        <v>188026.65353027516</v>
      </c>
      <c r="Q95" s="7">
        <f>IFERROR(VLOOKUP(Tabla14[[#This Row],[Llave]],[9]DELAY!$A:$D,4,FALSE),0)</f>
        <v>88000</v>
      </c>
      <c r="R95" s="9">
        <v>22000</v>
      </c>
      <c r="S95" s="5">
        <f t="shared" si="6"/>
        <v>88000</v>
      </c>
      <c r="T95" s="76">
        <v>0</v>
      </c>
      <c r="U95" s="5">
        <f>+Tabla14[[#This Row],[Atraso a facturar]]+Tabla14[[#This Row],[Ajuste atraso]]</f>
        <v>88000</v>
      </c>
      <c r="V95" s="3">
        <f>+Tabla14[[#This Row],[Total disponible]]-Tabla14[[#This Row],[Facturación atraso]]</f>
        <v>100026.65353027516</v>
      </c>
      <c r="W95" s="6">
        <f>IFERROR(IF(AND(V95&gt;R95,J95&gt;=R95),ROUNDDOWN((Tabla14[[#This Row],[Producción para venta nueva]])/R95,0)*R95,0),0)</f>
        <v>88000</v>
      </c>
      <c r="X95" s="76">
        <v>-66000</v>
      </c>
      <c r="Y95" s="6">
        <f>IF(Tabla14[[#This Row],[Venta del mes]]&gt;0,Tabla14[[#This Row],[Venta del mes]]+Tabla14[[#This Row],[Ajuste venta nueva]],0)</f>
        <v>22000</v>
      </c>
      <c r="Z95" s="6">
        <f>+Tabla14[[#This Row],[Producción para venta nueva]]-Tabla14[[#This Row],[Facturación Venta nueva]]</f>
        <v>78026.653530275158</v>
      </c>
      <c r="AA95" s="6">
        <f>IF(AND(A95=1,Tabla14[[#This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5" s="6">
        <v>0</v>
      </c>
      <c r="AC95" s="6">
        <f>IF(Tabla14[[#This Row],[Disponible stock sin venta]]&gt;0,Tabla14[[#This Row],[Disponible stock sin venta]]+Tabla14[[#This Row],[Ajuste stock sin venta]],0)</f>
        <v>0</v>
      </c>
      <c r="AD95" s="3">
        <f>IFERROR(VLOOKUP(Tabla14[[#This Row],[Llave]],[12]Hoja1!$A:$D,4,FALSE),0)</f>
        <v>22016.21</v>
      </c>
      <c r="AE9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198016.21</v>
      </c>
      <c r="AF95" s="3">
        <v>198016.21</v>
      </c>
      <c r="AG95" s="3">
        <f>+Tabla14[[#This Row],[En puerto a facturar]]</f>
        <v>22016.21</v>
      </c>
      <c r="AH95" s="3">
        <f>+Tabla14[[#This Row],[Facturación atraso]]</f>
        <v>88000</v>
      </c>
      <c r="AI95" s="3">
        <f>+Tabla14[[#This Row],[Plan Irrestricto (DATO)]]-Tabla14[[#This Row],[Puerto ]]-Tabla14[[#This Row],[Atraso]]</f>
        <v>88000</v>
      </c>
      <c r="AJ95" s="6">
        <f>IF(Tabla14[[#This Row],[Plan Irrestricto (DATO)]]&gt;0,SUM(Tabla14[[#This Row],[Facturación atraso]],Tabla14[[#This Row],[Facturación Venta nueva]],Tabla14[[#This Row],[Facturación stock]],Tabla14[[#This Row],[En puerto a facturar]]),0)</f>
        <v>132016.21</v>
      </c>
      <c r="AK95" s="3">
        <f>+Tabla14[[#This Row],[Facturación atraso]]</f>
        <v>88000</v>
      </c>
      <c r="AL95" s="3">
        <f>Tabla14[[#This Row],[Plan Ajustado]]-Tabla14[[#This Row],[ Atraso ajustado]]-Tabla14[[#This Row],[En puerto a facturar]]</f>
        <v>21999.999999999993</v>
      </c>
      <c r="AM95" s="3" t="s">
        <v>874</v>
      </c>
      <c r="AN95" s="3"/>
      <c r="AO95" s="3" t="str">
        <f>IF(Tabla14[[#This Row],[Plan Ajustado]]&gt;Tabla14[[#This Row],[En puerto a facturar]],"Si","No")</f>
        <v>Si</v>
      </c>
      <c r="AP95" s="3">
        <f>IF(AND(Tabla14[[#This Row],[Plan Ajustado]]&gt;0,Tabla14[[#This Row],[Plan Ajustado]]&gt;Tabla14[[#This Row],[En puerto a facturar]]),(Tabla14[[#This Row],[Plan Ajustado]]-Tabla14[[#This Row],[En puerto a facturar]]),0)</f>
        <v>110000</v>
      </c>
      <c r="AQ95" s="3">
        <f>IF(Tabla14[[#This Row],[Necesidad]]&gt;=Tabla14[[#This Row],[Stock al día]],Tabla14[[#This Row],[Stock al día]],Tabla14[[#This Row],[Necesidad]])</f>
        <v>68062.732000000018</v>
      </c>
      <c r="AR95" s="3">
        <f>+Tabla14[[#This Row],[Necesidad]]-Tabla14[[#This Row],[Stock Plan]]</f>
        <v>41937.267999999982</v>
      </c>
      <c r="AS95" s="155">
        <f>VLOOKUP(Tabla14[[#This Row],[Sector]]&amp;Tabla14[[#This Row],[Oficina]],[8]Ponderación!$A:$H,8,FALSE)</f>
        <v>44814</v>
      </c>
      <c r="AT95" s="30">
        <f>IFERROR(VLOOKUP(Tabla14[[#This Row],[Llave]],'[6]RV plan de ventas'!$A:$F,6,FALSE),0)</f>
        <v>5.9636045454545501</v>
      </c>
      <c r="AU95" s="83">
        <f>IFERROR(VLOOKUP(Tabla14[[#This Row],[Llave]],[9]DELAY!$H:$X,17,FALSE),0)</f>
        <v>6.2123181818181807</v>
      </c>
      <c r="AV9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6.1708709989305657</v>
      </c>
      <c r="AW95" s="5">
        <f>Tabla14[[#This Row],[Pecio plan]]*Tabla14[[#This Row],[Plan Ajustado]]</f>
        <v>814655.00167772733</v>
      </c>
      <c r="AX95" s="30">
        <f>IFERROR(VLOOKUP(Tabla14[[#This Row],[Llave]],'[13]Ultimos precios facturados'!$A:$G,7,FALSE),0)</f>
        <v>6.1824058765919077</v>
      </c>
      <c r="AY9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1.8657587178182256E-3</v>
      </c>
      <c r="AZ95" s="30">
        <f>IFERROR(VLOOKUP(Tabla14[[#This Row],[Llave]],Hoja2!B:K,10,FALSE),0)</f>
        <v>6.3083115361902395</v>
      </c>
      <c r="BA9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6.1708709989305657</v>
      </c>
      <c r="BB95" s="30">
        <v>0</v>
      </c>
      <c r="BC95" s="30">
        <f>IF(Tabla14[[#This Row],[Market]]=0,Tabla14[[#This Row],[Precio Final]],Tabla14[[#This Row],[Market]])</f>
        <v>6.1708709989305657</v>
      </c>
      <c r="BD95" s="82"/>
      <c r="BE95" s="82" t="str">
        <f>IF(AND(Tabla14[[#This Row],[Atraso a facturar]]&gt;0,Tabla14[[#This Row],[En puerto a facturar]]&gt;0,Tabla14[[#This Row],[Precio Atraso]]=0),"Revisar","OK")</f>
        <v>OK</v>
      </c>
      <c r="BF95" s="82" t="str">
        <f>IF(AND(Tabla14[[#This Row],[Venta del mes]]&gt;0,Tabla14[[#This Row],[Precio venta nueva]]=0),"Revisar","OK")</f>
        <v>OK</v>
      </c>
      <c r="BG95" s="20">
        <f>IFERROR(VLOOKUP(Tabla14[[#This Row],[Llave]],'[5]Consolidación planes'!$A:$M,9,FALSE),0)</f>
        <v>154000</v>
      </c>
      <c r="BH95" s="20">
        <f>IFERROR(VLOOKUP(Tabla14[[#This Row],[Llave]],'[5]Consolidación planes'!$A:$M,10,FALSE),0)</f>
        <v>44000</v>
      </c>
      <c r="BI95" s="20">
        <f>IFERROR(VLOOKUP(Tabla14[[#This Row],[Llave]],'[5]Consolidación planes'!$A:$M,11,FALSE),0)</f>
        <v>44000</v>
      </c>
      <c r="BJ95" s="20">
        <f>IFERROR(VLOOKUP(Tabla14[[#This Row],[Llave]],'[5]Consolidación planes'!$A:$M,12,FALSE),0)</f>
        <v>88000</v>
      </c>
      <c r="BK95" s="20">
        <f>IFERROR(VLOOKUP(Tabla14[[#This Row],[Llave]],'[5]Consolidación planes'!$A:$M,13,FALSE),0)</f>
        <v>65946</v>
      </c>
      <c r="BL95" s="20">
        <f>IFERROR(VLOOKUP(Tabla14[[#This Row],[Llave]],'[13]Base ultimos planes'!$A:$M,13,FALSE),0)</f>
        <v>22000</v>
      </c>
      <c r="BM95" s="20">
        <f>IFERROR(VLOOKUP(Tabla14[[#This Row],[Llave]],'[13]Cruce plan irrestricto'!$C:$M,10,FALSE),0)</f>
        <v>110000</v>
      </c>
      <c r="BN95" s="20">
        <f>IFERROR(VLOOKUP(Tabla14[[#This Row],[Llave]],'[13]Cruce plan irrestricto'!$C:$M,11,FALSE),0)</f>
        <v>242031.5</v>
      </c>
      <c r="BO95" s="80">
        <f>IFERROR(VLOOKUP(Tabla14[[#This Row],[Llave]],'[13]Base ultimos planes'!$O:$AA,8,FALSE),0)</f>
        <v>1083909.05</v>
      </c>
      <c r="BP95" s="20">
        <f>IFERROR(VLOOKUP(Tabla14[[#This Row],[Llave]],'[13]Base ultimos planes'!$O:$AA,9,FALSE),0)</f>
        <v>286440</v>
      </c>
      <c r="BQ95" s="20">
        <f>IFERROR(VLOOKUP(Tabla14[[#This Row],[Llave]],'[13]Base ultimos planes'!$O:$AA,10,FALSE),0)</f>
        <v>264440</v>
      </c>
      <c r="BR95" s="20">
        <f>IFERROR(VLOOKUP(Tabla14[[#This Row],[Llave]],'[13]Base ultimos planes'!$O:$AA,11,FALSE),0)</f>
        <v>533280</v>
      </c>
      <c r="BS95" s="20">
        <f>IFERROR(VLOOKUP(Tabla14[[#This Row],[Llave]],'[13]Base ultimos planes'!$O:$AA,12,FALSE),0)</f>
        <v>273348</v>
      </c>
      <c r="BT95" s="20">
        <f>IFERROR(VLOOKUP(Tabla14[[#This Row],[Llave]],'[13]Base ultimos planes'!$O:$AA,13,FALSE),0)</f>
        <v>138292</v>
      </c>
      <c r="BU95" s="20"/>
      <c r="BV95" s="20">
        <f>Tabla14[[#This Row],[ RV Producción mes n+1]]-Tabla14[[#This Row],[Producción disponible]]+Tabla14[[#This Row],[Saldo Volumen disponible]]</f>
        <v>214769.91810135939</v>
      </c>
      <c r="BW95" s="20">
        <f>IFERROR(VLOOKUP(Tabla14[[#This Row],[Llave]],[14]Hoja2!$J:$N,4,FALSE),0)</f>
        <v>209689.734</v>
      </c>
      <c r="BX95" s="20">
        <f>+Tabla14[[#This Row],[Asignación mes n+1]]*Tabla14[[#This Row],[% Uti. producción]]</f>
        <v>80680.781578287322</v>
      </c>
      <c r="BY95" s="20">
        <f>+Tabla14[[#This Row],[Ponderación mes n+1]]+Tabla14[[#This Row],[Saldo mes n-1]]</f>
        <v>295450.6996796467</v>
      </c>
      <c r="BZ95" s="20">
        <f>+Tabla14[[#This Row],[Asignación mes n+1]]-Tabla14[[#This Row],[Ponderación mes n+1]]</f>
        <v>129008.95242171267</v>
      </c>
      <c r="CA95" s="20">
        <f>IFERROR(VLOOKUP(Tabla14[[#This Row],[Llave]],[14]Hoja2!$J:$N,5,FALSE),0)</f>
        <v>220000</v>
      </c>
      <c r="CB95" s="20">
        <f>+Tabla14[[#This Row],[Asignación mes n+2]]*Tabla14[[#This Row],[% Uti. producción]]</f>
        <v>84647.787035788846</v>
      </c>
      <c r="CC95" s="20">
        <f>+Tabla14[[#This Row],[Saldo mes n+2]]+Tabla14[[#This Row],[Ponderación mes n+2]]</f>
        <v>213656.73945750151</v>
      </c>
      <c r="CD95" s="20">
        <f>+Tabla14[[#This Row],[Asignación mes n+2]]-Tabla14[[#This Row],[Ponderación mes n+2]]</f>
        <v>135352.21296421115</v>
      </c>
    </row>
    <row r="96" spans="1:82" ht="16" x14ac:dyDescent="0.2">
      <c r="A96">
        <v>1</v>
      </c>
      <c r="B96" t="str">
        <f>Tabla14[[#This Row],[Oficina]]&amp;Tabla14[[#This Row],[Material]]</f>
        <v>Agrosuper Asia1022985</v>
      </c>
      <c r="C96" t="s">
        <v>6</v>
      </c>
      <c r="D96" t="s">
        <v>173</v>
      </c>
      <c r="E96">
        <v>1022985</v>
      </c>
      <c r="F96" t="s">
        <v>184</v>
      </c>
      <c r="G96" t="s">
        <v>50</v>
      </c>
      <c r="H96" t="s">
        <v>110</v>
      </c>
      <c r="I96" s="7">
        <f>IFERROR(IF(Tabla14[[#This Row],[Oficina]]=$I$7,VLOOKUP(Tabla14[[#This Row],[Material]],'[6]RV Producción'!$Y:$AA,3,FALSE),VLOOKUP(Tabla14[[#This Row],[Llave]],'[6]RV Producción'!$C:$G,5,FALSE)),0)</f>
        <v>0</v>
      </c>
      <c r="J96" s="7">
        <f>IFERROR(IF(Tabla14[[#This Row],[Oficina]]=$I$7,VLOOKUP(Tabla14[[#This Row],[Llave]],'[7]Shangai (Tomas)'!$A:$F,6,FALSE),VLOOKUP(Tabla14[[#This Row],[Llave]],'[6]RV plan de ventas'!$A:$E,5,FALSE)),0)</f>
        <v>5000</v>
      </c>
      <c r="K96" s="8">
        <f>IFERROR(VLOOKUP(Tabla14[[#This Row],[Sector]]&amp;Tabla14[[#This Row],[Oficina]],[8]Ponderación!$A$3:$G$22,7,FALSE),0)</f>
        <v>0.38476266834449474</v>
      </c>
      <c r="L96" s="7">
        <f>+Tabla14[[#This Row],[ RV Producción mes n+1]]*Tabla14[[#This Row],[% Uti. producción]]</f>
        <v>0</v>
      </c>
      <c r="M96" s="7">
        <f>IFERROR(VLOOKUP(Tabla14[[#This Row],[Material]],'[9]TD Stock'!$B:$C,2,FALSE),0)</f>
        <v>12955.874000000002</v>
      </c>
      <c r="N96" s="7">
        <f>IFERROR(VLOOKUP(Tabla14[[#This Row],[Material]],'[10]Consolidado planificación'!$B:$C,2,FALSE),0)</f>
        <v>991.19302614766548</v>
      </c>
      <c r="O96" s="7">
        <f>IFERROR(VLOOKUP(Tabla14[[#This Row],[Llave]],[11]Hoja2!$D:$G,4,FALSE),0)</f>
        <v>0</v>
      </c>
      <c r="P96" s="14">
        <f>SUM(Tabla14[[#This Row],[Producción disponible]],Tabla14[[#This Row],[Stock al día]],(Tabla14[[#This Row],[Por producir mes N]]*0.9))-Tabla14[[#This Row],[Producción por despachar mes N]]</f>
        <v>13847.947723532901</v>
      </c>
      <c r="Q96" s="7">
        <f>IFERROR(VLOOKUP(Tabla14[[#This Row],[Llave]],[9]DELAY!$A:$D,4,FALSE),0)</f>
        <v>10000</v>
      </c>
      <c r="R96" s="9">
        <v>5000</v>
      </c>
      <c r="S96" s="5">
        <f t="shared" si="6"/>
        <v>10000</v>
      </c>
      <c r="T96" s="76">
        <v>0</v>
      </c>
      <c r="U96" s="5">
        <f>+Tabla14[[#This Row],[Atraso a facturar]]+Tabla14[[#This Row],[Ajuste atraso]]</f>
        <v>10000</v>
      </c>
      <c r="V96" s="3">
        <f>+Tabla14[[#This Row],[Total disponible]]-Tabla14[[#This Row],[Facturación atraso]]</f>
        <v>3847.9477235329014</v>
      </c>
      <c r="W96" s="6">
        <f>IFERROR(IF(AND(V96&gt;R96,J96&gt;=R96),ROUNDDOWN((Tabla14[[#This Row],[Producción para venta nueva]])/R96,0)*R96,0),0)</f>
        <v>0</v>
      </c>
      <c r="X96" s="76">
        <v>0</v>
      </c>
      <c r="Y96" s="6">
        <f>IF(Tabla14[[#This Row],[Venta del mes]]&gt;0,Tabla14[[#This Row],[Venta del mes]]+Tabla14[[#This Row],[Ajuste venta nueva]],0)</f>
        <v>0</v>
      </c>
      <c r="Z96" s="6">
        <f>+Tabla14[[#This Row],[Producción para venta nueva]]-Tabla14[[#This Row],[Facturación Venta nueva]]</f>
        <v>3847.9477235329014</v>
      </c>
      <c r="AA96" s="6">
        <f>IF(AND(A96=1,Tabla14[[#This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6" s="6">
        <v>0</v>
      </c>
      <c r="AC96" s="6">
        <f>IF(Tabla14[[#This Row],[Disponible stock sin venta]]&gt;0,Tabla14[[#This Row],[Disponible stock sin venta]]+Tabla14[[#This Row],[Ajuste stock sin venta]],0)</f>
        <v>0</v>
      </c>
      <c r="AD96" s="3">
        <f>IFERROR(VLOOKUP(Tabla14[[#This Row],[Llave]],[12]Hoja1!$A:$D,4,FALSE),0)</f>
        <v>0</v>
      </c>
      <c r="AE9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10000</v>
      </c>
      <c r="AF96" s="3">
        <v>10000</v>
      </c>
      <c r="AG96" s="3">
        <f>+Tabla14[[#This Row],[En puerto a facturar]]</f>
        <v>0</v>
      </c>
      <c r="AH96" s="3">
        <f>+Tabla14[[#This Row],[Facturación atraso]]</f>
        <v>10000</v>
      </c>
      <c r="AI96" s="3">
        <f>+Tabla14[[#This Row],[Plan Irrestricto (DATO)]]-Tabla14[[#This Row],[Puerto ]]-Tabla14[[#This Row],[Atraso]]</f>
        <v>0</v>
      </c>
      <c r="AJ96" s="6">
        <f>IF(Tabla14[[#This Row],[Plan Irrestricto (DATO)]]&gt;0,SUM(Tabla14[[#This Row],[Facturación atraso]],Tabla14[[#This Row],[Facturación Venta nueva]],Tabla14[[#This Row],[Facturación stock]],Tabla14[[#This Row],[En puerto a facturar]]),0)</f>
        <v>10000</v>
      </c>
      <c r="AK96" s="3">
        <f>+Tabla14[[#This Row],[Facturación atraso]]</f>
        <v>10000</v>
      </c>
      <c r="AL96" s="3">
        <f>Tabla14[[#This Row],[Plan Ajustado]]-Tabla14[[#This Row],[ Atraso ajustado]]-Tabla14[[#This Row],[En puerto a facturar]]</f>
        <v>0</v>
      </c>
      <c r="AM96" s="3">
        <v>0</v>
      </c>
      <c r="AN96" s="3"/>
      <c r="AO96" s="3" t="str">
        <f>IF(Tabla14[[#This Row],[Plan Ajustado]]&gt;Tabla14[[#This Row],[En puerto a facturar]],"Si","No")</f>
        <v>Si</v>
      </c>
      <c r="AP96" s="3">
        <f>IF(AND(Tabla14[[#This Row],[Plan Ajustado]]&gt;0,Tabla14[[#This Row],[Plan Ajustado]]&gt;Tabla14[[#This Row],[En puerto a facturar]]),(Tabla14[[#This Row],[Plan Ajustado]]-Tabla14[[#This Row],[En puerto a facturar]]),0)</f>
        <v>10000</v>
      </c>
      <c r="AQ96" s="3">
        <f>IF(Tabla14[[#This Row],[Necesidad]]&gt;=Tabla14[[#This Row],[Stock al día]],Tabla14[[#This Row],[Stock al día]],Tabla14[[#This Row],[Necesidad]])</f>
        <v>10000</v>
      </c>
      <c r="AR96" s="3">
        <f>+Tabla14[[#This Row],[Necesidad]]-Tabla14[[#This Row],[Stock Plan]]</f>
        <v>0</v>
      </c>
      <c r="AS96" s="155">
        <f>VLOOKUP(Tabla14[[#This Row],[Sector]]&amp;Tabla14[[#This Row],[Oficina]],[8]Ponderación!$A:$H,8,FALSE)</f>
        <v>44814</v>
      </c>
      <c r="AT96" s="30">
        <f>IFERROR(VLOOKUP(Tabla14[[#This Row],[Llave]],'[6]RV plan de ventas'!$A:$F,6,FALSE),0)</f>
        <v>3.9636</v>
      </c>
      <c r="AU96" s="83">
        <f>IFERROR(VLOOKUP(Tabla14[[#This Row],[Llave]],[9]DELAY!$H:$X,17,FALSE),0)</f>
        <v>4.2811590899999992</v>
      </c>
      <c r="AV9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4.2811590899999992</v>
      </c>
      <c r="AW96" s="5">
        <f>Tabla14[[#This Row],[Pecio plan]]*Tabla14[[#This Row],[Plan Ajustado]]</f>
        <v>42811.590899999988</v>
      </c>
      <c r="AX96" s="30">
        <f>IFERROR(VLOOKUP(Tabla14[[#This Row],[Llave]],'[13]Ultimos precios facturados'!$A:$G,7,FALSE),0)</f>
        <v>4.0226816865344555</v>
      </c>
      <c r="AY9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6.4254997936021699E-2</v>
      </c>
      <c r="AZ96" s="30">
        <f>IFERROR(VLOOKUP(Tabla14[[#This Row],[Llave]],Hoja2!B:K,10,FALSE),0)</f>
        <v>4.26</v>
      </c>
      <c r="BA9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4.2811590899999992</v>
      </c>
      <c r="BB96" s="30">
        <v>0</v>
      </c>
      <c r="BC96" s="30">
        <f>IF(Tabla14[[#This Row],[Market]]=0,Tabla14[[#This Row],[Precio Final]],Tabla14[[#This Row],[Market]])</f>
        <v>4.2811590899999992</v>
      </c>
      <c r="BD96" s="82"/>
      <c r="BE96" s="82" t="str">
        <f>IF(AND(Tabla14[[#This Row],[Atraso a facturar]]&gt;0,Tabla14[[#This Row],[En puerto a facturar]]&gt;0,Tabla14[[#This Row],[Precio Atraso]]=0),"Revisar","OK")</f>
        <v>OK</v>
      </c>
      <c r="BF96" s="82" t="str">
        <f>IF(AND(Tabla14[[#This Row],[Venta del mes]]&gt;0,Tabla14[[#This Row],[Precio venta nueva]]=0),"Revisar","OK")</f>
        <v>OK</v>
      </c>
      <c r="BG96" s="20">
        <f>IFERROR(VLOOKUP(Tabla14[[#This Row],[Llave]],'[5]Consolidación planes'!$A:$M,9,FALSE),0)</f>
        <v>10000</v>
      </c>
      <c r="BH96" s="20">
        <f>IFERROR(VLOOKUP(Tabla14[[#This Row],[Llave]],'[5]Consolidación planes'!$A:$M,10,FALSE),0)</f>
        <v>10000</v>
      </c>
      <c r="BI96" s="20">
        <f>IFERROR(VLOOKUP(Tabla14[[#This Row],[Llave]],'[5]Consolidación planes'!$A:$M,11,FALSE),0)</f>
        <v>17000</v>
      </c>
      <c r="BJ96" s="20">
        <f>IFERROR(VLOOKUP(Tabla14[[#This Row],[Llave]],'[5]Consolidación planes'!$A:$M,12,FALSE),0)</f>
        <v>12000</v>
      </c>
      <c r="BK96" s="20">
        <f>IFERROR(VLOOKUP(Tabla14[[#This Row],[Llave]],'[5]Consolidación planes'!$A:$M,13,FALSE),0)</f>
        <v>8000</v>
      </c>
      <c r="BL96" s="20">
        <f>IFERROR(VLOOKUP(Tabla14[[#This Row],[Llave]],'[13]Base ultimos planes'!$A:$M,13,FALSE),0)</f>
        <v>5000</v>
      </c>
      <c r="BM96" s="20">
        <f>IFERROR(VLOOKUP(Tabla14[[#This Row],[Llave]],'[13]Cruce plan irrestricto'!$C:$M,10,FALSE),0)</f>
        <v>5000</v>
      </c>
      <c r="BN96" s="20">
        <f>IFERROR(VLOOKUP(Tabla14[[#This Row],[Llave]],'[13]Cruce plan irrestricto'!$C:$M,11,FALSE),0)</f>
        <v>10000</v>
      </c>
      <c r="BO96" s="80">
        <f>IFERROR(VLOOKUP(Tabla14[[#This Row],[Llave]],'[13]Base ultimos planes'!$O:$AA,8,FALSE),0)</f>
        <v>42616</v>
      </c>
      <c r="BP96" s="20">
        <f>IFERROR(VLOOKUP(Tabla14[[#This Row],[Llave]],'[13]Base ultimos planes'!$O:$AA,9,FALSE),0)</f>
        <v>41000</v>
      </c>
      <c r="BQ96" s="20">
        <f>IFERROR(VLOOKUP(Tabla14[[#This Row],[Llave]],'[13]Base ultimos planes'!$O:$AA,10,FALSE),0)</f>
        <v>66243</v>
      </c>
      <c r="BR96" s="20">
        <f>IFERROR(VLOOKUP(Tabla14[[#This Row],[Llave]],'[13]Base ultimos planes'!$O:$AA,11,FALSE),0)</f>
        <v>49200</v>
      </c>
      <c r="BS96" s="20">
        <f>IFERROR(VLOOKUP(Tabla14[[#This Row],[Llave]],'[13]Base ultimos planes'!$O:$AA,12,FALSE),0)</f>
        <v>31677</v>
      </c>
      <c r="BT96" s="20">
        <f>IFERROR(VLOOKUP(Tabla14[[#This Row],[Llave]],'[13]Base ultimos planes'!$O:$AA,13,FALSE),0)</f>
        <v>19798</v>
      </c>
      <c r="BU96" s="20"/>
      <c r="BV96" s="20">
        <f>Tabla14[[#This Row],[ RV Producción mes n+1]]-Tabla14[[#This Row],[Producción disponible]]+Tabla14[[#This Row],[Saldo Volumen disponible]]</f>
        <v>3847.9477235329014</v>
      </c>
      <c r="BW96" s="20">
        <f>IFERROR(VLOOKUP(Tabla14[[#This Row],[Llave]],[14]Hoja2!$J:$N,4,FALSE),0)</f>
        <v>88.924075000000002</v>
      </c>
      <c r="BX96" s="20">
        <f>+Tabla14[[#This Row],[Asignación mes n+1]]*Tabla14[[#This Row],[% Uti. producción]]</f>
        <v>34.214664377065979</v>
      </c>
      <c r="BY96" s="20">
        <f>+Tabla14[[#This Row],[Ponderación mes n+1]]+Tabla14[[#This Row],[Saldo mes n-1]]</f>
        <v>3882.1623879099675</v>
      </c>
      <c r="BZ96" s="20">
        <f>+Tabla14[[#This Row],[Asignación mes n+1]]-Tabla14[[#This Row],[Ponderación mes n+1]]</f>
        <v>54.709410622934023</v>
      </c>
      <c r="CA96" s="20">
        <f>IFERROR(VLOOKUP(Tabla14[[#This Row],[Llave]],[14]Hoja2!$J:$N,5,FALSE),0)</f>
        <v>0</v>
      </c>
      <c r="CB96" s="20">
        <f>+Tabla14[[#This Row],[Asignación mes n+2]]*Tabla14[[#This Row],[% Uti. producción]]</f>
        <v>0</v>
      </c>
      <c r="CC96" s="20">
        <f>+Tabla14[[#This Row],[Saldo mes n+2]]+Tabla14[[#This Row],[Ponderación mes n+2]]</f>
        <v>54.709410622934023</v>
      </c>
      <c r="CD96" s="20">
        <f>+Tabla14[[#This Row],[Asignación mes n+2]]-Tabla14[[#This Row],[Ponderación mes n+2]]</f>
        <v>0</v>
      </c>
    </row>
    <row r="97" spans="1:82" ht="16" x14ac:dyDescent="0.2">
      <c r="A97">
        <v>1</v>
      </c>
      <c r="B97" t="str">
        <f>Tabla14[[#This Row],[Oficina]]&amp;Tabla14[[#This Row],[Material]]</f>
        <v>Agrosuper Asia1022986</v>
      </c>
      <c r="C97" t="s">
        <v>6</v>
      </c>
      <c r="D97" t="s">
        <v>173</v>
      </c>
      <c r="E97">
        <v>1022986</v>
      </c>
      <c r="F97" t="s">
        <v>191</v>
      </c>
      <c r="G97" t="s">
        <v>56</v>
      </c>
      <c r="H97" t="s">
        <v>57</v>
      </c>
      <c r="I97" s="7">
        <f>IFERROR(IF(Tabla14[[#This Row],[Oficina]]=$I$7,VLOOKUP(Tabla14[[#This Row],[Material]],'[6]RV Producción'!$Y:$AA,3,FALSE),VLOOKUP(Tabla14[[#This Row],[Llave]],'[6]RV Producción'!$C:$G,5,FALSE)),0)</f>
        <v>3528</v>
      </c>
      <c r="J97" s="7">
        <f>IFERROR(IF(Tabla14[[#This Row],[Oficina]]=$I$7,VLOOKUP(Tabla14[[#This Row],[Llave]],'[7]Shangai (Tomas)'!$A:$F,6,FALSE),VLOOKUP(Tabla14[[#This Row],[Llave]],'[6]RV plan de ventas'!$A:$E,5,FALSE)),0)</f>
        <v>0</v>
      </c>
      <c r="K97" s="8">
        <f>IFERROR(VLOOKUP(Tabla14[[#This Row],[Sector]]&amp;Tabla14[[#This Row],[Oficina]],[8]Ponderación!$A$3:$G$22,7,FALSE),0)</f>
        <v>0.38476266834449474</v>
      </c>
      <c r="L97" s="7">
        <f>+Tabla14[[#This Row],[ RV Producción mes n+1]]*Tabla14[[#This Row],[% Uti. producción]]</f>
        <v>1357.4426939193775</v>
      </c>
      <c r="M97" s="7">
        <f>IFERROR(VLOOKUP(Tabla14[[#This Row],[Material]],'[9]TD Stock'!$B:$C,2,FALSE),0)</f>
        <v>1545.742</v>
      </c>
      <c r="N97" s="7">
        <f>IFERROR(VLOOKUP(Tabla14[[#This Row],[Material]],'[10]Consolidado planificación'!$B:$C,2,FALSE),0)</f>
        <v>0</v>
      </c>
      <c r="O97" s="7">
        <f>IFERROR(VLOOKUP(Tabla14[[#This Row],[Llave]],[11]Hoja2!$D:$G,4,FALSE),0)</f>
        <v>0</v>
      </c>
      <c r="P97" s="14">
        <f>SUM(Tabla14[[#This Row],[Producción disponible]],Tabla14[[#This Row],[Stock al día]],(Tabla14[[#This Row],[Por producir mes N]]*0.9))-Tabla14[[#This Row],[Producción por despachar mes N]]</f>
        <v>2903.1846939193774</v>
      </c>
      <c r="Q97" s="7">
        <f>IFERROR(VLOOKUP(Tabla14[[#This Row],[Llave]],[9]DELAY!$A:$D,4,FALSE),0)</f>
        <v>5000</v>
      </c>
      <c r="R97" s="9">
        <v>5000</v>
      </c>
      <c r="S97" s="5">
        <f t="shared" si="6"/>
        <v>0</v>
      </c>
      <c r="T97" s="76">
        <v>0</v>
      </c>
      <c r="U97" s="5">
        <f>+Tabla14[[#This Row],[Atraso a facturar]]+Tabla14[[#This Row],[Ajuste atraso]]</f>
        <v>0</v>
      </c>
      <c r="V97" s="3">
        <f>+Tabla14[[#This Row],[Total disponible]]-Tabla14[[#This Row],[Facturación atraso]]</f>
        <v>2903.1846939193774</v>
      </c>
      <c r="W97" s="6">
        <f>IFERROR(IF(AND(V97&gt;R97,J97&gt;=R97),ROUNDDOWN((Tabla14[[#This Row],[Producción para venta nueva]])/R97,0)*R97,0),0)</f>
        <v>0</v>
      </c>
      <c r="X97" s="76">
        <v>0</v>
      </c>
      <c r="Y97" s="6">
        <f>IF(Tabla14[[#This Row],[Venta del mes]]&gt;0,Tabla14[[#This Row],[Venta del mes]]+Tabla14[[#This Row],[Ajuste venta nueva]],0)</f>
        <v>0</v>
      </c>
      <c r="Z97" s="6">
        <f>+Tabla14[[#This Row],[Producción para venta nueva]]-Tabla14[[#This Row],[Facturación Venta nueva]]</f>
        <v>2903.1846939193774</v>
      </c>
      <c r="AA97" s="6">
        <f>IF(AND(A97=1,Tabla14[[#This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7" s="6">
        <v>0</v>
      </c>
      <c r="AC97" s="6">
        <f>IF(Tabla14[[#This Row],[Disponible stock sin venta]]&gt;0,Tabla14[[#This Row],[Disponible stock sin venta]]+Tabla14[[#This Row],[Ajuste stock sin venta]],0)</f>
        <v>0</v>
      </c>
      <c r="AD97" s="3">
        <f>IFERROR(VLOOKUP(Tabla14[[#This Row],[Llave]],[12]Hoja1!$A:$D,4,FALSE),0)</f>
        <v>0</v>
      </c>
      <c r="AE9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97" s="3">
        <v>0</v>
      </c>
      <c r="AG97" s="3">
        <f>+Tabla14[[#This Row],[En puerto a facturar]]</f>
        <v>0</v>
      </c>
      <c r="AH97" s="3">
        <f>+Tabla14[[#This Row],[Facturación atraso]]</f>
        <v>0</v>
      </c>
      <c r="AI97" s="3">
        <f>+Tabla14[[#This Row],[Plan Irrestricto (DATO)]]-Tabla14[[#This Row],[Puerto ]]-Tabla14[[#This Row],[Atraso]]</f>
        <v>0</v>
      </c>
      <c r="AJ9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97" s="3">
        <f>+Tabla14[[#This Row],[Facturación atraso]]</f>
        <v>0</v>
      </c>
      <c r="AL97" s="3">
        <f>Tabla14[[#This Row],[Plan Ajustado]]-Tabla14[[#This Row],[ Atraso ajustado]]-Tabla14[[#This Row],[En puerto a facturar]]</f>
        <v>0</v>
      </c>
      <c r="AM97" s="3">
        <v>0</v>
      </c>
      <c r="AN97" s="3"/>
      <c r="AO97" s="3" t="str">
        <f>IF(Tabla14[[#This Row],[Plan Ajustado]]&gt;Tabla14[[#This Row],[En puerto a facturar]],"Si","No")</f>
        <v>No</v>
      </c>
      <c r="AP9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97" s="3">
        <f>IF(Tabla14[[#This Row],[Necesidad]]&gt;=Tabla14[[#This Row],[Stock al día]],Tabla14[[#This Row],[Stock al día]],Tabla14[[#This Row],[Necesidad]])</f>
        <v>0</v>
      </c>
      <c r="AR97" s="3">
        <f>+Tabla14[[#This Row],[Necesidad]]-Tabla14[[#This Row],[Stock Plan]]</f>
        <v>0</v>
      </c>
      <c r="AS97" s="155">
        <f>VLOOKUP(Tabla14[[#This Row],[Sector]]&amp;Tabla14[[#This Row],[Oficina]],[8]Ponderación!$A:$H,8,FALSE)</f>
        <v>44814</v>
      </c>
      <c r="AT97" s="30">
        <f>IFERROR(VLOOKUP(Tabla14[[#This Row],[Llave]],'[6]RV plan de ventas'!$A:$F,6,FALSE),0)</f>
        <v>0</v>
      </c>
      <c r="AU97" s="83">
        <f>IFERROR(VLOOKUP(Tabla14[[#This Row],[Llave]],[9]DELAY!$H:$X,17,FALSE),0)</f>
        <v>6.2</v>
      </c>
      <c r="AV9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97" s="5">
        <f>Tabla14[[#This Row],[Pecio plan]]*Tabla14[[#This Row],[Plan Ajustado]]</f>
        <v>0</v>
      </c>
      <c r="AX97" s="30">
        <f>IFERROR(VLOOKUP(Tabla14[[#This Row],[Llave]],'[13]Ultimos precios facturados'!$A:$G,7,FALSE),0)</f>
        <v>6.5106754042781025</v>
      </c>
      <c r="AY9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97" s="30">
        <f>IFERROR(VLOOKUP(Tabla14[[#This Row],[Llave]],Hoja2!B:K,10,FALSE),0)</f>
        <v>0</v>
      </c>
      <c r="BA9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97" s="30">
        <v>0</v>
      </c>
      <c r="BC97" s="30">
        <f>IF(Tabla14[[#This Row],[Market]]=0,Tabla14[[#This Row],[Precio Final]],Tabla14[[#This Row],[Market]])</f>
        <v>0</v>
      </c>
      <c r="BD97" s="82"/>
      <c r="BE97" s="82" t="str">
        <f>IF(AND(Tabla14[[#This Row],[Atraso a facturar]]&gt;0,Tabla14[[#This Row],[En puerto a facturar]]&gt;0,Tabla14[[#This Row],[Precio Atraso]]=0),"Revisar","OK")</f>
        <v>OK</v>
      </c>
      <c r="BF97" s="82" t="str">
        <f>IF(AND(Tabla14[[#This Row],[Venta del mes]]&gt;0,Tabla14[[#This Row],[Precio venta nueva]]=0),"Revisar","OK")</f>
        <v>OK</v>
      </c>
      <c r="BG97" s="20">
        <f>IFERROR(VLOOKUP(Tabla14[[#This Row],[Llave]],'[5]Consolidación planes'!$A:$M,9,FALSE),0)</f>
        <v>20000</v>
      </c>
      <c r="BH97" s="20">
        <f>IFERROR(VLOOKUP(Tabla14[[#This Row],[Llave]],'[5]Consolidación planes'!$A:$M,10,FALSE),0)</f>
        <v>17000</v>
      </c>
      <c r="BI97" s="20">
        <f>IFERROR(VLOOKUP(Tabla14[[#This Row],[Llave]],'[5]Consolidación planes'!$A:$M,11,FALSE),0)</f>
        <v>0</v>
      </c>
      <c r="BJ97" s="20">
        <f>IFERROR(VLOOKUP(Tabla14[[#This Row],[Llave]],'[5]Consolidación planes'!$A:$M,12,FALSE),0)</f>
        <v>5000</v>
      </c>
      <c r="BK97" s="20">
        <f>IFERROR(VLOOKUP(Tabla14[[#This Row],[Llave]],'[5]Consolidación planes'!$A:$M,13,FALSE),0)</f>
        <v>7500</v>
      </c>
      <c r="BL97" s="20">
        <f>IFERROR(VLOOKUP(Tabla14[[#This Row],[Llave]],'[13]Base ultimos planes'!$A:$M,13,FALSE),0)</f>
        <v>0</v>
      </c>
      <c r="BM97" s="20">
        <f>IFERROR(VLOOKUP(Tabla14[[#This Row],[Llave]],'[13]Cruce plan irrestricto'!$C:$M,10,FALSE),0)</f>
        <v>0</v>
      </c>
      <c r="BN97" s="20">
        <f>IFERROR(VLOOKUP(Tabla14[[#This Row],[Llave]],'[13]Cruce plan irrestricto'!$C:$M,11,FALSE),0)</f>
        <v>0</v>
      </c>
      <c r="BO97" s="80">
        <f>IFERROR(VLOOKUP(Tabla14[[#This Row],[Llave]],'[13]Base ultimos planes'!$O:$AA,8,FALSE),0)</f>
        <v>137818.6667</v>
      </c>
      <c r="BP97" s="20">
        <f>IFERROR(VLOOKUP(Tabla14[[#This Row],[Llave]],'[13]Base ultimos planes'!$O:$AA,9,FALSE),0)</f>
        <v>113900</v>
      </c>
      <c r="BQ97" s="20">
        <f>IFERROR(VLOOKUP(Tabla14[[#This Row],[Llave]],'[13]Base ultimos planes'!$O:$AA,10,FALSE),0)</f>
        <v>0</v>
      </c>
      <c r="BR97" s="20">
        <f>IFERROR(VLOOKUP(Tabla14[[#This Row],[Llave]],'[13]Base ultimos planes'!$O:$AA,11,FALSE),0)</f>
        <v>32500</v>
      </c>
      <c r="BS97" s="20">
        <f>IFERROR(VLOOKUP(Tabla14[[#This Row],[Llave]],'[13]Base ultimos planes'!$O:$AA,12,FALSE),0)</f>
        <v>48822</v>
      </c>
      <c r="BT97" s="20">
        <f>IFERROR(VLOOKUP(Tabla14[[#This Row],[Llave]],'[13]Base ultimos planes'!$O:$AA,13,FALSE),0)</f>
        <v>0</v>
      </c>
      <c r="BU97" s="20"/>
      <c r="BV97" s="20">
        <f>Tabla14[[#This Row],[ RV Producción mes n+1]]-Tabla14[[#This Row],[Producción disponible]]+Tabla14[[#This Row],[Saldo Volumen disponible]]</f>
        <v>5073.7420000000002</v>
      </c>
      <c r="BW97" s="20">
        <f>IFERROR(VLOOKUP(Tabla14[[#This Row],[Llave]],[14]Hoja2!$J:$N,4,FALSE),0)</f>
        <v>10000</v>
      </c>
      <c r="BX97" s="20">
        <f>+Tabla14[[#This Row],[Asignación mes n+1]]*Tabla14[[#This Row],[% Uti. producción]]</f>
        <v>3847.6266834449475</v>
      </c>
      <c r="BY97" s="20">
        <f>+Tabla14[[#This Row],[Ponderación mes n+1]]+Tabla14[[#This Row],[Saldo mes n-1]]</f>
        <v>8921.3686834449472</v>
      </c>
      <c r="BZ97" s="20">
        <f>+Tabla14[[#This Row],[Asignación mes n+1]]-Tabla14[[#This Row],[Ponderación mes n+1]]</f>
        <v>6152.373316555053</v>
      </c>
      <c r="CA97" s="20">
        <f>IFERROR(VLOOKUP(Tabla14[[#This Row],[Llave]],[14]Hoja2!$J:$N,5,FALSE),0)</f>
        <v>10000</v>
      </c>
      <c r="CB97" s="20">
        <f>+Tabla14[[#This Row],[Asignación mes n+2]]*Tabla14[[#This Row],[% Uti. producción]]</f>
        <v>3847.6266834449475</v>
      </c>
      <c r="CC97" s="20">
        <f>+Tabla14[[#This Row],[Saldo mes n+2]]+Tabla14[[#This Row],[Ponderación mes n+2]]</f>
        <v>10000</v>
      </c>
      <c r="CD97" s="20">
        <f>+Tabla14[[#This Row],[Asignación mes n+2]]-Tabla14[[#This Row],[Ponderación mes n+2]]</f>
        <v>6152.373316555053</v>
      </c>
    </row>
    <row r="98" spans="1:82" ht="16" x14ac:dyDescent="0.2">
      <c r="A98">
        <v>1</v>
      </c>
      <c r="B98" t="str">
        <f>Tabla14[[#This Row],[Oficina]]&amp;Tabla14[[#This Row],[Material]]</f>
        <v>Agrosuper Asia1023037</v>
      </c>
      <c r="C98" t="s">
        <v>6</v>
      </c>
      <c r="D98" t="s">
        <v>173</v>
      </c>
      <c r="E98">
        <v>1023037</v>
      </c>
      <c r="F98" t="s">
        <v>192</v>
      </c>
      <c r="G98" t="s">
        <v>56</v>
      </c>
      <c r="H98" t="s">
        <v>57</v>
      </c>
      <c r="I98" s="7">
        <f>IFERROR(IF(Tabla14[[#This Row],[Oficina]]=$I$7,VLOOKUP(Tabla14[[#This Row],[Material]],'[6]RV Producción'!$Y:$AA,3,FALSE),VLOOKUP(Tabla14[[#This Row],[Llave]],'[6]RV Producción'!$C:$G,5,FALSE)),0)</f>
        <v>72440</v>
      </c>
      <c r="J98" s="7">
        <f>IFERROR(IF(Tabla14[[#This Row],[Oficina]]=$I$7,VLOOKUP(Tabla14[[#This Row],[Llave]],'[7]Shangai (Tomas)'!$A:$F,6,FALSE),VLOOKUP(Tabla14[[#This Row],[Llave]],'[6]RV plan de ventas'!$A:$E,5,FALSE)),0)</f>
        <v>88000</v>
      </c>
      <c r="K98" s="8">
        <f>IFERROR(VLOOKUP(Tabla14[[#This Row],[Sector]]&amp;Tabla14[[#This Row],[Oficina]],[8]Ponderación!$A$3:$G$22,7,FALSE),0)</f>
        <v>0.38476266834449474</v>
      </c>
      <c r="L98" s="7">
        <f>+Tabla14[[#This Row],[ RV Producción mes n+1]]*Tabla14[[#This Row],[% Uti. producción]]</f>
        <v>27872.2076948752</v>
      </c>
      <c r="M98" s="7">
        <f>IFERROR(VLOOKUP(Tabla14[[#This Row],[Material]],'[9]TD Stock'!$B:$C,2,FALSE),0)</f>
        <v>16004.743999999997</v>
      </c>
      <c r="N98" s="7">
        <f>IFERROR(VLOOKUP(Tabla14[[#This Row],[Material]],'[10]Consolidado planificación'!$B:$C,2,FALSE),0)</f>
        <v>0</v>
      </c>
      <c r="O98" s="7">
        <f>IFERROR(VLOOKUP(Tabla14[[#This Row],[Llave]],[11]Hoja2!$D:$G,4,FALSE),0)</f>
        <v>0</v>
      </c>
      <c r="P98" s="14">
        <f>SUM(Tabla14[[#This Row],[Producción disponible]],Tabla14[[#This Row],[Stock al día]],(Tabla14[[#This Row],[Por producir mes N]]*0.9))-Tabla14[[#This Row],[Producción por despachar mes N]]</f>
        <v>43876.951694875199</v>
      </c>
      <c r="Q98" s="7">
        <f>IFERROR(VLOOKUP(Tabla14[[#This Row],[Llave]],[9]DELAY!$A:$D,4,FALSE),0)</f>
        <v>0</v>
      </c>
      <c r="R98" s="9">
        <v>22000</v>
      </c>
      <c r="S98" s="5">
        <f t="shared" si="6"/>
        <v>0</v>
      </c>
      <c r="T98" s="76">
        <v>0</v>
      </c>
      <c r="U98" s="5">
        <f>+Tabla14[[#This Row],[Atraso a facturar]]+Tabla14[[#This Row],[Ajuste atraso]]</f>
        <v>0</v>
      </c>
      <c r="V98" s="3">
        <f>+Tabla14[[#This Row],[Total disponible]]-Tabla14[[#This Row],[Facturación atraso]]</f>
        <v>43876.951694875199</v>
      </c>
      <c r="W98" s="6">
        <f>IFERROR(IF(AND(V98&gt;R98,J98&gt;=R98),ROUNDDOWN((Tabla14[[#This Row],[Producción para venta nueva]])/R98,0)*R98,0),0)</f>
        <v>22000</v>
      </c>
      <c r="X98" s="76">
        <v>0</v>
      </c>
      <c r="Y98" s="6">
        <f>IF(Tabla14[[#This Row],[Venta del mes]]&gt;0,Tabla14[[#This Row],[Venta del mes]]+Tabla14[[#This Row],[Ajuste venta nueva]],0)</f>
        <v>22000</v>
      </c>
      <c r="Z98" s="6">
        <f>+Tabla14[[#This Row],[Producción para venta nueva]]-Tabla14[[#This Row],[Facturación Venta nueva]]</f>
        <v>21876.951694875199</v>
      </c>
      <c r="AA98" s="6">
        <f>IF(AND(A98=1,Tabla14[[#This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8" s="6">
        <v>0</v>
      </c>
      <c r="AC98" s="6">
        <f>IF(Tabla14[[#This Row],[Disponible stock sin venta]]&gt;0,Tabla14[[#This Row],[Disponible stock sin venta]]+Tabla14[[#This Row],[Ajuste stock sin venta]],0)</f>
        <v>0</v>
      </c>
      <c r="AD98" s="3">
        <f>IFERROR(VLOOKUP(Tabla14[[#This Row],[Llave]],[12]Hoja1!$A:$D,4,FALSE),0)</f>
        <v>0</v>
      </c>
      <c r="AE9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22000</v>
      </c>
      <c r="AF98" s="3">
        <v>22000</v>
      </c>
      <c r="AG98" s="3">
        <f>+Tabla14[[#This Row],[En puerto a facturar]]</f>
        <v>0</v>
      </c>
      <c r="AH98" s="3">
        <f>+Tabla14[[#This Row],[Facturación atraso]]</f>
        <v>0</v>
      </c>
      <c r="AI98" s="3">
        <f>+Tabla14[[#This Row],[Plan Irrestricto (DATO)]]-Tabla14[[#This Row],[Puerto ]]-Tabla14[[#This Row],[Atraso]]</f>
        <v>22000</v>
      </c>
      <c r="AJ98" s="6">
        <f>IF(Tabla14[[#This Row],[Plan Irrestricto (DATO)]]&gt;0,SUM(Tabla14[[#This Row],[Facturación atraso]],Tabla14[[#This Row],[Facturación Venta nueva]],Tabla14[[#This Row],[Facturación stock]],Tabla14[[#This Row],[En puerto a facturar]]),0)</f>
        <v>22000</v>
      </c>
      <c r="AK98" s="3">
        <f>+Tabla14[[#This Row],[Facturación atraso]]</f>
        <v>0</v>
      </c>
      <c r="AL98" s="3">
        <f>Tabla14[[#This Row],[Plan Ajustado]]-Tabla14[[#This Row],[ Atraso ajustado]]-Tabla14[[#This Row],[En puerto a facturar]]</f>
        <v>22000</v>
      </c>
      <c r="AM98" s="3">
        <v>0</v>
      </c>
      <c r="AN98" s="3"/>
      <c r="AO98" s="3" t="str">
        <f>IF(Tabla14[[#This Row],[Plan Ajustado]]&gt;Tabla14[[#This Row],[En puerto a facturar]],"Si","No")</f>
        <v>Si</v>
      </c>
      <c r="AP98" s="3">
        <f>IF(AND(Tabla14[[#This Row],[Plan Ajustado]]&gt;0,Tabla14[[#This Row],[Plan Ajustado]]&gt;Tabla14[[#This Row],[En puerto a facturar]]),(Tabla14[[#This Row],[Plan Ajustado]]-Tabla14[[#This Row],[En puerto a facturar]]),0)</f>
        <v>22000</v>
      </c>
      <c r="AQ98" s="3">
        <f>IF(Tabla14[[#This Row],[Necesidad]]&gt;=Tabla14[[#This Row],[Stock al día]],Tabla14[[#This Row],[Stock al día]],Tabla14[[#This Row],[Necesidad]])</f>
        <v>16004.743999999997</v>
      </c>
      <c r="AR98" s="3">
        <f>+Tabla14[[#This Row],[Necesidad]]-Tabla14[[#This Row],[Stock Plan]]</f>
        <v>5995.256000000003</v>
      </c>
      <c r="AS98" s="155">
        <f>VLOOKUP(Tabla14[[#This Row],[Sector]]&amp;Tabla14[[#This Row],[Oficina]],[8]Ponderación!$A:$H,8,FALSE)</f>
        <v>44814</v>
      </c>
      <c r="AT98" s="30">
        <f>IFERROR(VLOOKUP(Tabla14[[#This Row],[Llave]],'[6]RV plan de ventas'!$A:$F,6,FALSE),0)</f>
        <v>6.1636022727272701</v>
      </c>
      <c r="AU98" s="83">
        <f>IFERROR(VLOOKUP(Tabla14[[#This Row],[Llave]],[9]DELAY!$H:$X,17,FALSE),0)</f>
        <v>0</v>
      </c>
      <c r="AV9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6.1636022727272701</v>
      </c>
      <c r="AW98" s="5">
        <f>Tabla14[[#This Row],[Pecio plan]]*Tabla14[[#This Row],[Plan Ajustado]]</f>
        <v>135599.24999999994</v>
      </c>
      <c r="AX98" s="30">
        <f>IFERROR(VLOOKUP(Tabla14[[#This Row],[Llave]],'[13]Ultimos precios facturados'!$A:$G,7,FALSE),0)</f>
        <v>6.2516628229335334</v>
      </c>
      <c r="AY9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1.4085940445032138E-2</v>
      </c>
      <c r="AZ98" s="30">
        <f>IFERROR(VLOOKUP(Tabla14[[#This Row],[Llave]],Hoja2!B:K,10,FALSE),0)</f>
        <v>6.3126098901098899</v>
      </c>
      <c r="BA9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6.1636022727272701</v>
      </c>
      <c r="BB98" s="30">
        <v>0</v>
      </c>
      <c r="BC98" s="30">
        <f>IF(Tabla14[[#This Row],[Market]]=0,Tabla14[[#This Row],[Precio Final]],Tabla14[[#This Row],[Market]])</f>
        <v>6.1636022727272701</v>
      </c>
      <c r="BD98" s="82"/>
      <c r="BE98" s="82" t="str">
        <f>IF(AND(Tabla14[[#This Row],[Atraso a facturar]]&gt;0,Tabla14[[#This Row],[En puerto a facturar]]&gt;0,Tabla14[[#This Row],[Precio Atraso]]=0),"Revisar","OK")</f>
        <v>OK</v>
      </c>
      <c r="BF98" s="82" t="str">
        <f>IF(AND(Tabla14[[#This Row],[Venta del mes]]&gt;0,Tabla14[[#This Row],[Precio venta nueva]]=0),"Revisar","OK")</f>
        <v>OK</v>
      </c>
      <c r="BG98" s="20">
        <f>IFERROR(VLOOKUP(Tabla14[[#This Row],[Llave]],'[5]Consolidación planes'!$A:$M,9,FALSE),0)</f>
        <v>66000</v>
      </c>
      <c r="BH98" s="20">
        <f>IFERROR(VLOOKUP(Tabla14[[#This Row],[Llave]],'[5]Consolidación planes'!$A:$M,10,FALSE),0)</f>
        <v>110000</v>
      </c>
      <c r="BI98" s="20">
        <f>IFERROR(VLOOKUP(Tabla14[[#This Row],[Llave]],'[5]Consolidación planes'!$A:$M,11,FALSE),0)</f>
        <v>176000</v>
      </c>
      <c r="BJ98" s="20">
        <f>IFERROR(VLOOKUP(Tabla14[[#This Row],[Llave]],'[5]Consolidación planes'!$A:$M,12,FALSE),0)</f>
        <v>176000</v>
      </c>
      <c r="BK98" s="20">
        <f>IFERROR(VLOOKUP(Tabla14[[#This Row],[Llave]],'[5]Consolidación planes'!$A:$M,13,FALSE),0)</f>
        <v>99000</v>
      </c>
      <c r="BL98" s="20">
        <f>IFERROR(VLOOKUP(Tabla14[[#This Row],[Llave]],'[13]Base ultimos planes'!$A:$M,13,FALSE),0)</f>
        <v>143000</v>
      </c>
      <c r="BM98" s="20">
        <f>IFERROR(VLOOKUP(Tabla14[[#This Row],[Llave]],'[13]Cruce plan irrestricto'!$C:$M,10,FALSE),0)</f>
        <v>198000</v>
      </c>
      <c r="BN98" s="20">
        <f>IFERROR(VLOOKUP(Tabla14[[#This Row],[Llave]],'[13]Cruce plan irrestricto'!$C:$M,11,FALSE),0)</f>
        <v>77000</v>
      </c>
      <c r="BO98" s="80">
        <f>IFERROR(VLOOKUP(Tabla14[[#This Row],[Llave]],'[13]Base ultimos planes'!$O:$AA,8,FALSE),0)</f>
        <v>465306.14689999999</v>
      </c>
      <c r="BP98" s="20">
        <f>IFERROR(VLOOKUP(Tabla14[[#This Row],[Llave]],'[13]Base ultimos planes'!$O:$AA,9,FALSE),0)</f>
        <v>743600</v>
      </c>
      <c r="BQ98" s="20">
        <f>IFERROR(VLOOKUP(Tabla14[[#This Row],[Llave]],'[13]Base ultimos planes'!$O:$AA,10,FALSE),0)</f>
        <v>1096480</v>
      </c>
      <c r="BR98" s="20">
        <f>IFERROR(VLOOKUP(Tabla14[[#This Row],[Llave]],'[13]Base ultimos planes'!$O:$AA,11,FALSE),0)</f>
        <v>1099808</v>
      </c>
      <c r="BS98" s="20">
        <f>IFERROR(VLOOKUP(Tabla14[[#This Row],[Llave]],'[13]Base ultimos planes'!$O:$AA,12,FALSE),0)</f>
        <v>613267</v>
      </c>
      <c r="BT98" s="20">
        <f>IFERROR(VLOOKUP(Tabla14[[#This Row],[Llave]],'[13]Base ultimos planes'!$O:$AA,13,FALSE),0)</f>
        <v>899875</v>
      </c>
      <c r="BU98" s="20"/>
      <c r="BV98" s="20">
        <f>Tabla14[[#This Row],[ RV Producción mes n+1]]-Tabla14[[#This Row],[Producción disponible]]+Tabla14[[#This Row],[Saldo Volumen disponible]]</f>
        <v>66444.744000000006</v>
      </c>
      <c r="BW98" s="20">
        <f>IFERROR(VLOOKUP(Tabla14[[#This Row],[Llave]],[14]Hoja2!$J:$N,4,FALSE),0)</f>
        <v>176000</v>
      </c>
      <c r="BX98" s="20">
        <f>+Tabla14[[#This Row],[Asignación mes n+1]]*Tabla14[[#This Row],[% Uti. producción]]</f>
        <v>67718.229628631074</v>
      </c>
      <c r="BY98" s="20">
        <f>+Tabla14[[#This Row],[Ponderación mes n+1]]+Tabla14[[#This Row],[Saldo mes n-1]]</f>
        <v>134162.97362863109</v>
      </c>
      <c r="BZ98" s="20">
        <f>+Tabla14[[#This Row],[Asignación mes n+1]]-Tabla14[[#This Row],[Ponderación mes n+1]]</f>
        <v>108281.77037136893</v>
      </c>
      <c r="CA98" s="20">
        <f>IFERROR(VLOOKUP(Tabla14[[#This Row],[Llave]],[14]Hoja2!$J:$N,5,FALSE),0)</f>
        <v>175999.99610000002</v>
      </c>
      <c r="CB98" s="20">
        <f>+Tabla14[[#This Row],[Asignación mes n+2]]*Tabla14[[#This Row],[% Uti. producción]]</f>
        <v>67718.228128056668</v>
      </c>
      <c r="CC98" s="20">
        <f>+Tabla14[[#This Row],[Saldo mes n+2]]+Tabla14[[#This Row],[Ponderación mes n+2]]</f>
        <v>175999.99849942559</v>
      </c>
      <c r="CD98" s="20">
        <f>+Tabla14[[#This Row],[Asignación mes n+2]]-Tabla14[[#This Row],[Ponderación mes n+2]]</f>
        <v>108281.76797194335</v>
      </c>
    </row>
    <row r="99" spans="1:82" ht="16" x14ac:dyDescent="0.2">
      <c r="A99">
        <v>1</v>
      </c>
      <c r="B99" t="str">
        <f>Tabla14[[#This Row],[Oficina]]&amp;Tabla14[[#This Row],[Material]]</f>
        <v>Agrosuper Asia1023038</v>
      </c>
      <c r="C99" t="s">
        <v>6</v>
      </c>
      <c r="D99" t="s">
        <v>173</v>
      </c>
      <c r="E99">
        <v>1023038</v>
      </c>
      <c r="F99" t="s">
        <v>185</v>
      </c>
      <c r="G99" t="s">
        <v>50</v>
      </c>
      <c r="H99" t="s">
        <v>110</v>
      </c>
      <c r="I99" s="7">
        <f>IFERROR(IF(Tabla14[[#This Row],[Oficina]]=$I$7,VLOOKUP(Tabla14[[#This Row],[Material]],'[6]RV Producción'!$Y:$AA,3,FALSE),VLOOKUP(Tabla14[[#This Row],[Llave]],'[6]RV Producción'!$C:$G,5,FALSE)),0)</f>
        <v>123314</v>
      </c>
      <c r="J99" s="7">
        <f>IFERROR(IF(Tabla14[[#This Row],[Oficina]]=$I$7,VLOOKUP(Tabla14[[#This Row],[Llave]],'[7]Shangai (Tomas)'!$A:$F,6,FALSE),VLOOKUP(Tabla14[[#This Row],[Llave]],'[6]RV plan de ventas'!$A:$E,5,FALSE)),0)</f>
        <v>110000</v>
      </c>
      <c r="K99" s="8">
        <f>IFERROR(VLOOKUP(Tabla14[[#This Row],[Sector]]&amp;Tabla14[[#This Row],[Oficina]],[8]Ponderación!$A$3:$G$22,7,FALSE),0)</f>
        <v>0.38476266834449474</v>
      </c>
      <c r="L99" s="7">
        <f>+Tabla14[[#This Row],[ RV Producción mes n+1]]*Tabla14[[#This Row],[% Uti. producción]]</f>
        <v>47446.623684233025</v>
      </c>
      <c r="M99" s="7">
        <f>IFERROR(VLOOKUP(Tabla14[[#This Row],[Material]],'[9]TD Stock'!$B:$C,2,FALSE),0)</f>
        <v>9734.69</v>
      </c>
      <c r="N99" s="7">
        <f>IFERROR(VLOOKUP(Tabla14[[#This Row],[Material]],'[10]Consolidado planificación'!$B:$C,2,FALSE),0)</f>
        <v>11239.472897861195</v>
      </c>
      <c r="O99" s="7">
        <f>IFERROR(VLOOKUP(Tabla14[[#This Row],[Llave]],[11]Hoja2!$D:$G,4,FALSE),0)</f>
        <v>0</v>
      </c>
      <c r="P99" s="14">
        <f>SUM(Tabla14[[#This Row],[Producción disponible]],Tabla14[[#This Row],[Stock al día]],(Tabla14[[#This Row],[Por producir mes N]]*0.9))-Tabla14[[#This Row],[Producción por despachar mes N]]</f>
        <v>67296.839292308097</v>
      </c>
      <c r="Q99" s="7">
        <f>IFERROR(VLOOKUP(Tabla14[[#This Row],[Llave]],[9]DELAY!$A:$D,4,FALSE),0)</f>
        <v>44000</v>
      </c>
      <c r="R99" s="9">
        <v>22000</v>
      </c>
      <c r="S99" s="5">
        <f t="shared" si="6"/>
        <v>44000</v>
      </c>
      <c r="T99" s="76">
        <v>0</v>
      </c>
      <c r="U99" s="5">
        <f>+Tabla14[[#This Row],[Atraso a facturar]]+Tabla14[[#This Row],[Ajuste atraso]]</f>
        <v>44000</v>
      </c>
      <c r="V99" s="3">
        <f>+Tabla14[[#This Row],[Total disponible]]-Tabla14[[#This Row],[Facturación atraso]]</f>
        <v>23296.839292308097</v>
      </c>
      <c r="W99" s="6">
        <f>IFERROR(IF(AND(V99&gt;R99,J99&gt;=R99),ROUNDDOWN((Tabla14[[#This Row],[Producción para venta nueva]])/R99,0)*R99,0),0)</f>
        <v>22000</v>
      </c>
      <c r="X99" s="76">
        <v>0</v>
      </c>
      <c r="Y99" s="6">
        <f>IF(Tabla14[[#This Row],[Venta del mes]]&gt;0,Tabla14[[#This Row],[Venta del mes]]+Tabla14[[#This Row],[Ajuste venta nueva]],0)</f>
        <v>22000</v>
      </c>
      <c r="Z99" s="6">
        <f>+Tabla14[[#This Row],[Producción para venta nueva]]-Tabla14[[#This Row],[Facturación Venta nueva]]</f>
        <v>1296.8392923080974</v>
      </c>
      <c r="AA99" s="6">
        <f>IF(AND(A99=1,Tabla14[[#This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99" s="6">
        <v>0</v>
      </c>
      <c r="AC99" s="6">
        <f>IF(Tabla14[[#This Row],[Disponible stock sin venta]]&gt;0,Tabla14[[#This Row],[Disponible stock sin venta]]+Tabla14[[#This Row],[Ajuste stock sin venta]],0)</f>
        <v>0</v>
      </c>
      <c r="AD99" s="3">
        <f>IFERROR(VLOOKUP(Tabla14[[#This Row],[Llave]],[12]Hoja1!$A:$D,4,FALSE),0)</f>
        <v>22009.96</v>
      </c>
      <c r="AE9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88009.959999999992</v>
      </c>
      <c r="AF99" s="3">
        <v>88009.959999999992</v>
      </c>
      <c r="AG99" s="3">
        <f>+Tabla14[[#This Row],[En puerto a facturar]]</f>
        <v>22009.96</v>
      </c>
      <c r="AH99" s="3">
        <f>+Tabla14[[#This Row],[Facturación atraso]]</f>
        <v>44000</v>
      </c>
      <c r="AI99" s="3">
        <f>+Tabla14[[#This Row],[Plan Irrestricto (DATO)]]-Tabla14[[#This Row],[Puerto ]]-Tabla14[[#This Row],[Atraso]]</f>
        <v>22000</v>
      </c>
      <c r="AJ99" s="6">
        <f>IF(Tabla14[[#This Row],[Plan Irrestricto (DATO)]]&gt;0,SUM(Tabla14[[#This Row],[Facturación atraso]],Tabla14[[#This Row],[Facturación Venta nueva]],Tabla14[[#This Row],[Facturación stock]],Tabla14[[#This Row],[En puerto a facturar]]),0)</f>
        <v>88009.959999999992</v>
      </c>
      <c r="AK99" s="3">
        <f>+Tabla14[[#This Row],[Facturación atraso]]</f>
        <v>44000</v>
      </c>
      <c r="AL99" s="3">
        <f>Tabla14[[#This Row],[Plan Ajustado]]-Tabla14[[#This Row],[ Atraso ajustado]]-Tabla14[[#This Row],[En puerto a facturar]]</f>
        <v>21999.999999999993</v>
      </c>
      <c r="AM99" s="3">
        <v>0</v>
      </c>
      <c r="AN99" s="3"/>
      <c r="AO99" s="3" t="str">
        <f>IF(Tabla14[[#This Row],[Plan Ajustado]]&gt;Tabla14[[#This Row],[En puerto a facturar]],"Si","No")</f>
        <v>Si</v>
      </c>
      <c r="AP99" s="3">
        <f>IF(AND(Tabla14[[#This Row],[Plan Ajustado]]&gt;0,Tabla14[[#This Row],[Plan Ajustado]]&gt;Tabla14[[#This Row],[En puerto a facturar]]),(Tabla14[[#This Row],[Plan Ajustado]]-Tabla14[[#This Row],[En puerto a facturar]]),0)</f>
        <v>66000</v>
      </c>
      <c r="AQ99" s="3">
        <f>IF(Tabla14[[#This Row],[Necesidad]]&gt;=Tabla14[[#This Row],[Stock al día]],Tabla14[[#This Row],[Stock al día]],Tabla14[[#This Row],[Necesidad]])</f>
        <v>9734.69</v>
      </c>
      <c r="AR99" s="3">
        <f>+Tabla14[[#This Row],[Necesidad]]-Tabla14[[#This Row],[Stock Plan]]</f>
        <v>56265.31</v>
      </c>
      <c r="AS99" s="155">
        <f>VLOOKUP(Tabla14[[#This Row],[Sector]]&amp;Tabla14[[#This Row],[Oficina]],[8]Ponderación!$A:$H,8,FALSE)</f>
        <v>44814</v>
      </c>
      <c r="AT99" s="30">
        <f>IFERROR(VLOOKUP(Tabla14[[#This Row],[Llave]],'[6]RV plan de ventas'!$A:$F,6,FALSE),0)</f>
        <v>4.1636090909090901</v>
      </c>
      <c r="AU99" s="83">
        <f>IFERROR(VLOOKUP(Tabla14[[#This Row],[Llave]],[9]DELAY!$H:$X,17,FALSE),0)</f>
        <v>4.4624173553719002</v>
      </c>
      <c r="AV9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4.3877237432150284</v>
      </c>
      <c r="AW99" s="5">
        <f>Tabla14[[#This Row],[Pecio plan]]*Tabla14[[#This Row],[Plan Ajustado]]</f>
        <v>386163.3911314049</v>
      </c>
      <c r="AX99" s="30">
        <f>IFERROR(VLOOKUP(Tabla14[[#This Row],[Llave]],'[13]Ultimos precios facturados'!$A:$G,7,FALSE),0)</f>
        <v>4.2907324198450656</v>
      </c>
      <c r="AY9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2.2604840824230452E-2</v>
      </c>
      <c r="AZ99" s="30">
        <f>IFERROR(VLOOKUP(Tabla14[[#This Row],[Llave]],Hoja2!B:K,10,FALSE),0)</f>
        <v>4.3809353622313862</v>
      </c>
      <c r="BA9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4.3877237432150284</v>
      </c>
      <c r="BB99" s="30">
        <v>0</v>
      </c>
      <c r="BC99" s="30">
        <f>IF(Tabla14[[#This Row],[Market]]=0,Tabla14[[#This Row],[Precio Final]],Tabla14[[#This Row],[Market]])</f>
        <v>4.3877237432150284</v>
      </c>
      <c r="BD99" s="82"/>
      <c r="BE99" s="82" t="str">
        <f>IF(AND(Tabla14[[#This Row],[Atraso a facturar]]&gt;0,Tabla14[[#This Row],[En puerto a facturar]]&gt;0,Tabla14[[#This Row],[Precio Atraso]]=0),"Revisar","OK")</f>
        <v>OK</v>
      </c>
      <c r="BF99" s="82" t="str">
        <f>IF(AND(Tabla14[[#This Row],[Venta del mes]]&gt;0,Tabla14[[#This Row],[Precio venta nueva]]=0),"Revisar","OK")</f>
        <v>OK</v>
      </c>
      <c r="BG99" s="20">
        <f>IFERROR(VLOOKUP(Tabla14[[#This Row],[Llave]],'[5]Consolidación planes'!$A:$M,9,FALSE),0)</f>
        <v>66000</v>
      </c>
      <c r="BH99" s="20">
        <f>IFERROR(VLOOKUP(Tabla14[[#This Row],[Llave]],'[5]Consolidación planes'!$A:$M,10,FALSE),0)</f>
        <v>77000</v>
      </c>
      <c r="BI99" s="20">
        <f>IFERROR(VLOOKUP(Tabla14[[#This Row],[Llave]],'[5]Consolidación planes'!$A:$M,11,FALSE),0)</f>
        <v>77000</v>
      </c>
      <c r="BJ99" s="20">
        <f>IFERROR(VLOOKUP(Tabla14[[#This Row],[Llave]],'[5]Consolidación planes'!$A:$M,12,FALSE),0)</f>
        <v>66000</v>
      </c>
      <c r="BK99" s="20">
        <f>IFERROR(VLOOKUP(Tabla14[[#This Row],[Llave]],'[5]Consolidación planes'!$A:$M,13,FALSE),0)</f>
        <v>113643</v>
      </c>
      <c r="BL99" s="20">
        <f>IFERROR(VLOOKUP(Tabla14[[#This Row],[Llave]],'[13]Base ultimos planes'!$A:$M,13,FALSE),0)</f>
        <v>77000</v>
      </c>
      <c r="BM99" s="20">
        <f>IFERROR(VLOOKUP(Tabla14[[#This Row],[Llave]],'[13]Cruce plan irrestricto'!$C:$M,10,FALSE),0)</f>
        <v>88000</v>
      </c>
      <c r="BN99" s="20">
        <f>IFERROR(VLOOKUP(Tabla14[[#This Row],[Llave]],'[13]Cruce plan irrestricto'!$C:$M,11,FALSE),0)</f>
        <v>121010.71</v>
      </c>
      <c r="BO99" s="80">
        <f>IFERROR(VLOOKUP(Tabla14[[#This Row],[Llave]],'[13]Base ultimos planes'!$O:$AA,8,FALSE),0)</f>
        <v>290424.40000000002</v>
      </c>
      <c r="BP99" s="20">
        <f>IFERROR(VLOOKUP(Tabla14[[#This Row],[Llave]],'[13]Base ultimos planes'!$O:$AA,9,FALSE),0)</f>
        <v>315700</v>
      </c>
      <c r="BQ99" s="20">
        <f>IFERROR(VLOOKUP(Tabla14[[#This Row],[Llave]],'[13]Base ultimos planes'!$O:$AA,10,FALSE),0)</f>
        <v>310310</v>
      </c>
      <c r="BR99" s="20">
        <f>IFERROR(VLOOKUP(Tabla14[[#This Row],[Llave]],'[13]Base ultimos planes'!$O:$AA,11,FALSE),0)</f>
        <v>272657</v>
      </c>
      <c r="BS99" s="20">
        <f>IFERROR(VLOOKUP(Tabla14[[#This Row],[Llave]],'[13]Base ultimos planes'!$O:$AA,12,FALSE),0)</f>
        <v>467607</v>
      </c>
      <c r="BT99" s="20">
        <f>IFERROR(VLOOKUP(Tabla14[[#This Row],[Llave]],'[13]Base ultimos planes'!$O:$AA,13,FALSE),0)</f>
        <v>330247</v>
      </c>
      <c r="BU99" s="20"/>
      <c r="BV99" s="20">
        <f>Tabla14[[#This Row],[ RV Producción mes n+1]]-Tabla14[[#This Row],[Producción disponible]]+Tabla14[[#This Row],[Saldo Volumen disponible]]</f>
        <v>77164.215608075072</v>
      </c>
      <c r="BW99" s="20">
        <f>IFERROR(VLOOKUP(Tabla14[[#This Row],[Llave]],[14]Hoja2!$J:$N,4,FALSE),0)</f>
        <v>110000</v>
      </c>
      <c r="BX99" s="20">
        <f>+Tabla14[[#This Row],[Asignación mes n+1]]*Tabla14[[#This Row],[% Uti. producción]]</f>
        <v>42323.893517894423</v>
      </c>
      <c r="BY99" s="20">
        <f>+Tabla14[[#This Row],[Ponderación mes n+1]]+Tabla14[[#This Row],[Saldo mes n-1]]</f>
        <v>119488.10912596949</v>
      </c>
      <c r="BZ99" s="20">
        <f>+Tabla14[[#This Row],[Asignación mes n+1]]-Tabla14[[#This Row],[Ponderación mes n+1]]</f>
        <v>67676.106482105577</v>
      </c>
      <c r="CA99" s="20">
        <f>IFERROR(VLOOKUP(Tabla14[[#This Row],[Llave]],[14]Hoja2!$J:$N,5,FALSE),0)</f>
        <v>110000</v>
      </c>
      <c r="CB99" s="20">
        <f>+Tabla14[[#This Row],[Asignación mes n+2]]*Tabla14[[#This Row],[% Uti. producción]]</f>
        <v>42323.893517894423</v>
      </c>
      <c r="CC99" s="20">
        <f>+Tabla14[[#This Row],[Saldo mes n+2]]+Tabla14[[#This Row],[Ponderación mes n+2]]</f>
        <v>110000</v>
      </c>
      <c r="CD99" s="20">
        <f>+Tabla14[[#This Row],[Asignación mes n+2]]-Tabla14[[#This Row],[Ponderación mes n+2]]</f>
        <v>67676.106482105577</v>
      </c>
    </row>
    <row r="100" spans="1:82" ht="16" x14ac:dyDescent="0.2">
      <c r="A100">
        <v>1</v>
      </c>
      <c r="B100" t="str">
        <f>Tabla14[[#This Row],[Oficina]]&amp;Tabla14[[#This Row],[Material]]</f>
        <v>Agrosuper Asia1023090</v>
      </c>
      <c r="C100" t="s">
        <v>6</v>
      </c>
      <c r="D100" t="s">
        <v>173</v>
      </c>
      <c r="E100">
        <v>1023090</v>
      </c>
      <c r="F100" t="s">
        <v>193</v>
      </c>
      <c r="G100" t="s">
        <v>56</v>
      </c>
      <c r="H100" t="s">
        <v>57</v>
      </c>
      <c r="I100" s="7">
        <f>IFERROR(IF(Tabla14[[#This Row],[Oficina]]=$I$7,VLOOKUP(Tabla14[[#This Row],[Material]],'[6]RV Producción'!$Y:$AA,3,FALSE),VLOOKUP(Tabla14[[#This Row],[Llave]],'[6]RV Producción'!$C:$G,5,FALSE)),0)</f>
        <v>6766</v>
      </c>
      <c r="J100" s="7">
        <f>IFERROR(IF(Tabla14[[#This Row],[Oficina]]=$I$7,VLOOKUP(Tabla14[[#This Row],[Llave]],'[7]Shangai (Tomas)'!$A:$F,6,FALSE),VLOOKUP(Tabla14[[#This Row],[Llave]],'[6]RV plan de ventas'!$A:$E,5,FALSE)),0)</f>
        <v>0</v>
      </c>
      <c r="K100" s="8">
        <f>IFERROR(VLOOKUP(Tabla14[[#This Row],[Sector]]&amp;Tabla14[[#This Row],[Oficina]],[8]Ponderación!$A$3:$G$22,7,FALSE),0)</f>
        <v>0.38476266834449474</v>
      </c>
      <c r="L100" s="7">
        <f>+Tabla14[[#This Row],[ RV Producción mes n+1]]*Tabla14[[#This Row],[% Uti. producción]]</f>
        <v>2603.3042140188513</v>
      </c>
      <c r="M100" s="7">
        <f>IFERROR(VLOOKUP(Tabla14[[#This Row],[Material]],'[9]TD Stock'!$B:$C,2,FALSE),0)</f>
        <v>21124.760999999999</v>
      </c>
      <c r="N100" s="7">
        <f>IFERROR(VLOOKUP(Tabla14[[#This Row],[Material]],'[10]Consolidado planificación'!$B:$C,2,FALSE),0)</f>
        <v>8909.4342435484177</v>
      </c>
      <c r="O100" s="7">
        <f>IFERROR(VLOOKUP(Tabla14[[#This Row],[Llave]],[11]Hoja2!$D:$G,4,FALSE),0)</f>
        <v>0</v>
      </c>
      <c r="P100" s="14">
        <f>SUM(Tabla14[[#This Row],[Producción disponible]],Tabla14[[#This Row],[Stock al día]],(Tabla14[[#This Row],[Por producir mes N]]*0.9))-Tabla14[[#This Row],[Producción por despachar mes N]]</f>
        <v>31746.556033212426</v>
      </c>
      <c r="Q100" s="7">
        <f>IFERROR(VLOOKUP(Tabla14[[#This Row],[Llave]],[9]DELAY!$A:$D,4,FALSE),0)</f>
        <v>44000</v>
      </c>
      <c r="R100" s="9">
        <v>22000</v>
      </c>
      <c r="S100" s="5">
        <f t="shared" si="6"/>
        <v>22000</v>
      </c>
      <c r="T100" s="76">
        <v>0</v>
      </c>
      <c r="U100" s="5">
        <f>+Tabla14[[#This Row],[Atraso a facturar]]+Tabla14[[#This Row],[Ajuste atraso]]</f>
        <v>22000</v>
      </c>
      <c r="V100" s="3">
        <f>+Tabla14[[#This Row],[Total disponible]]-Tabla14[[#This Row],[Facturación atraso]]</f>
        <v>9746.556033212426</v>
      </c>
      <c r="W100" s="6">
        <f>IFERROR(IF(AND(V100&gt;R100,J100&gt;=R100),ROUNDDOWN((Tabla14[[#This Row],[Producción para venta nueva]])/R100,0)*R100,0),0)</f>
        <v>0</v>
      </c>
      <c r="X100" s="76">
        <v>0</v>
      </c>
      <c r="Y100" s="6">
        <f>IF(Tabla14[[#This Row],[Venta del mes]]&gt;0,Tabla14[[#This Row],[Venta del mes]]+Tabla14[[#This Row],[Ajuste venta nueva]],0)</f>
        <v>0</v>
      </c>
      <c r="Z100" s="6">
        <f>+Tabla14[[#This Row],[Producción para venta nueva]]-Tabla14[[#This Row],[Facturación Venta nueva]]</f>
        <v>9746.556033212426</v>
      </c>
      <c r="AA100" s="6">
        <f>IF(AND(A100=1,Tabla14[[#This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0" s="6">
        <v>0</v>
      </c>
      <c r="AC100" s="6">
        <f>IF(Tabla14[[#This Row],[Disponible stock sin venta]]&gt;0,Tabla14[[#This Row],[Disponible stock sin venta]]+Tabla14[[#This Row],[Ajuste stock sin venta]],0)</f>
        <v>0</v>
      </c>
      <c r="AD100" s="3">
        <f>IFERROR(VLOOKUP(Tabla14[[#This Row],[Llave]],[12]Hoja1!$A:$D,4,FALSE),0)</f>
        <v>0</v>
      </c>
      <c r="AE10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22000</v>
      </c>
      <c r="AF100" s="3">
        <v>22000</v>
      </c>
      <c r="AG100" s="3">
        <f>+Tabla14[[#This Row],[En puerto a facturar]]</f>
        <v>0</v>
      </c>
      <c r="AH100" s="3">
        <f>+Tabla14[[#This Row],[Facturación atraso]]</f>
        <v>22000</v>
      </c>
      <c r="AI100" s="3">
        <f>+Tabla14[[#This Row],[Plan Irrestricto (DATO)]]-Tabla14[[#This Row],[Puerto ]]-Tabla14[[#This Row],[Atraso]]</f>
        <v>0</v>
      </c>
      <c r="AJ100" s="6">
        <f>IF(Tabla14[[#This Row],[Plan Irrestricto (DATO)]]&gt;0,SUM(Tabla14[[#This Row],[Facturación atraso]],Tabla14[[#This Row],[Facturación Venta nueva]],Tabla14[[#This Row],[Facturación stock]],Tabla14[[#This Row],[En puerto a facturar]]),0)</f>
        <v>22000</v>
      </c>
      <c r="AK100" s="3">
        <f>+Tabla14[[#This Row],[Facturación atraso]]</f>
        <v>22000</v>
      </c>
      <c r="AL100" s="3">
        <f>Tabla14[[#This Row],[Plan Ajustado]]-Tabla14[[#This Row],[ Atraso ajustado]]-Tabla14[[#This Row],[En puerto a facturar]]</f>
        <v>0</v>
      </c>
      <c r="AM100" s="3">
        <v>0</v>
      </c>
      <c r="AN100" s="3"/>
      <c r="AO100" s="3" t="str">
        <f>IF(Tabla14[[#This Row],[Plan Ajustado]]&gt;Tabla14[[#This Row],[En puerto a facturar]],"Si","No")</f>
        <v>Si</v>
      </c>
      <c r="AP100" s="3">
        <f>IF(AND(Tabla14[[#This Row],[Plan Ajustado]]&gt;0,Tabla14[[#This Row],[Plan Ajustado]]&gt;Tabla14[[#This Row],[En puerto a facturar]]),(Tabla14[[#This Row],[Plan Ajustado]]-Tabla14[[#This Row],[En puerto a facturar]]),0)</f>
        <v>22000</v>
      </c>
      <c r="AQ100" s="3">
        <f>IF(Tabla14[[#This Row],[Necesidad]]&gt;=Tabla14[[#This Row],[Stock al día]],Tabla14[[#This Row],[Stock al día]],Tabla14[[#This Row],[Necesidad]])</f>
        <v>21124.760999999999</v>
      </c>
      <c r="AR100" s="3">
        <f>+Tabla14[[#This Row],[Necesidad]]-Tabla14[[#This Row],[Stock Plan]]</f>
        <v>875.2390000000014</v>
      </c>
      <c r="AS100" s="155">
        <f>VLOOKUP(Tabla14[[#This Row],[Sector]]&amp;Tabla14[[#This Row],[Oficina]],[8]Ponderación!$A:$H,8,FALSE)</f>
        <v>44814</v>
      </c>
      <c r="AT100" s="30">
        <f>IFERROR(VLOOKUP(Tabla14[[#This Row],[Llave]],'[6]RV plan de ventas'!$A:$F,6,FALSE),0)</f>
        <v>0</v>
      </c>
      <c r="AU100" s="83">
        <f>IFERROR(VLOOKUP(Tabla14[[#This Row],[Llave]],[9]DELAY!$H:$X,17,FALSE),0)</f>
        <v>6.4187500000000002</v>
      </c>
      <c r="AV10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6.4187500000000002</v>
      </c>
      <c r="AW100" s="5">
        <f>Tabla14[[#This Row],[Pecio plan]]*Tabla14[[#This Row],[Plan Ajustado]]</f>
        <v>141212.5</v>
      </c>
      <c r="AX100" s="30">
        <f>IFERROR(VLOOKUP(Tabla14[[#This Row],[Llave]],'[13]Ultimos precios facturados'!$A:$G,7,FALSE),0)</f>
        <v>6.315884412690874</v>
      </c>
      <c r="AY10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1.6286806500516761E-2</v>
      </c>
      <c r="AZ100" s="30">
        <f>IFERROR(VLOOKUP(Tabla14[[#This Row],[Llave]],Hoja2!B:K,10,FALSE),0)</f>
        <v>6.5</v>
      </c>
      <c r="BA10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6.4187500000000002</v>
      </c>
      <c r="BB100" s="30">
        <v>0</v>
      </c>
      <c r="BC100" s="30">
        <f>IF(Tabla14[[#This Row],[Market]]=0,Tabla14[[#This Row],[Precio Final]],Tabla14[[#This Row],[Market]])</f>
        <v>6.4187500000000002</v>
      </c>
      <c r="BD100" s="82"/>
      <c r="BE100" s="82" t="str">
        <f>IF(AND(Tabla14[[#This Row],[Atraso a facturar]]&gt;0,Tabla14[[#This Row],[En puerto a facturar]]&gt;0,Tabla14[[#This Row],[Precio Atraso]]=0),"Revisar","OK")</f>
        <v>OK</v>
      </c>
      <c r="BF100" s="82" t="str">
        <f>IF(AND(Tabla14[[#This Row],[Venta del mes]]&gt;0,Tabla14[[#This Row],[Precio venta nueva]]=0),"Revisar","OK")</f>
        <v>OK</v>
      </c>
      <c r="BG100" s="20">
        <f>IFERROR(VLOOKUP(Tabla14[[#This Row],[Llave]],'[5]Consolidación planes'!$A:$M,9,FALSE),0)</f>
        <v>22000</v>
      </c>
      <c r="BH100" s="20">
        <f>IFERROR(VLOOKUP(Tabla14[[#This Row],[Llave]],'[5]Consolidación planes'!$A:$M,10,FALSE),0)</f>
        <v>22000</v>
      </c>
      <c r="BI100" s="20">
        <f>IFERROR(VLOOKUP(Tabla14[[#This Row],[Llave]],'[5]Consolidación planes'!$A:$M,11,FALSE),0)</f>
        <v>22000</v>
      </c>
      <c r="BJ100" s="20">
        <f>IFERROR(VLOOKUP(Tabla14[[#This Row],[Llave]],'[5]Consolidación planes'!$A:$M,12,FALSE),0)</f>
        <v>22000</v>
      </c>
      <c r="BK100" s="20">
        <f>IFERROR(VLOOKUP(Tabla14[[#This Row],[Llave]],'[5]Consolidación planes'!$A:$M,13,FALSE),0)</f>
        <v>22008</v>
      </c>
      <c r="BL100" s="20">
        <f>IFERROR(VLOOKUP(Tabla14[[#This Row],[Llave]],'[13]Base ultimos planes'!$A:$M,13,FALSE),0)</f>
        <v>22000</v>
      </c>
      <c r="BM100" s="20">
        <f>IFERROR(VLOOKUP(Tabla14[[#This Row],[Llave]],'[13]Cruce plan irrestricto'!$C:$M,10,FALSE),0)</f>
        <v>0</v>
      </c>
      <c r="BN100" s="20">
        <f>IFERROR(VLOOKUP(Tabla14[[#This Row],[Llave]],'[13]Cruce plan irrestricto'!$C:$M,11,FALSE),0)</f>
        <v>22000</v>
      </c>
      <c r="BO100" s="80">
        <f>IFERROR(VLOOKUP(Tabla14[[#This Row],[Llave]],'[13]Base ultimos planes'!$O:$AA,8,FALSE),0)</f>
        <v>149600</v>
      </c>
      <c r="BP100" s="20">
        <f>IFERROR(VLOOKUP(Tabla14[[#This Row],[Llave]],'[13]Base ultimos planes'!$O:$AA,9,FALSE),0)</f>
        <v>147400</v>
      </c>
      <c r="BQ100" s="20">
        <f>IFERROR(VLOOKUP(Tabla14[[#This Row],[Llave]],'[13]Base ultimos planes'!$O:$AA,10,FALSE),0)</f>
        <v>144100</v>
      </c>
      <c r="BR100" s="20">
        <f>IFERROR(VLOOKUP(Tabla14[[#This Row],[Llave]],'[13]Base ultimos planes'!$O:$AA,11,FALSE),0)</f>
        <v>137060</v>
      </c>
      <c r="BS100" s="20">
        <f>IFERROR(VLOOKUP(Tabla14[[#This Row],[Llave]],'[13]Base ultimos planes'!$O:$AA,12,FALSE),0)</f>
        <v>138925</v>
      </c>
      <c r="BT100" s="20">
        <f>IFERROR(VLOOKUP(Tabla14[[#This Row],[Llave]],'[13]Base ultimos planes'!$O:$AA,13,FALSE),0)</f>
        <v>143000</v>
      </c>
      <c r="BU100" s="20"/>
      <c r="BV100" s="20">
        <f>Tabla14[[#This Row],[ RV Producción mes n+1]]-Tabla14[[#This Row],[Producción disponible]]+Tabla14[[#This Row],[Saldo Volumen disponible]]</f>
        <v>13909.251819193574</v>
      </c>
      <c r="BW100" s="20">
        <f>IFERROR(VLOOKUP(Tabla14[[#This Row],[Llave]],[14]Hoja2!$J:$N,4,FALSE),0)</f>
        <v>44000</v>
      </c>
      <c r="BX100" s="20">
        <f>+Tabla14[[#This Row],[Asignación mes n+1]]*Tabla14[[#This Row],[% Uti. producción]]</f>
        <v>16929.557407157768</v>
      </c>
      <c r="BY100" s="20">
        <f>+Tabla14[[#This Row],[Ponderación mes n+1]]+Tabla14[[#This Row],[Saldo mes n-1]]</f>
        <v>30838.809226351343</v>
      </c>
      <c r="BZ100" s="20">
        <f>+Tabla14[[#This Row],[Asignación mes n+1]]-Tabla14[[#This Row],[Ponderación mes n+1]]</f>
        <v>27070.442592842232</v>
      </c>
      <c r="CA100" s="20">
        <f>IFERROR(VLOOKUP(Tabla14[[#This Row],[Llave]],[14]Hoja2!$J:$N,5,FALSE),0)</f>
        <v>44000</v>
      </c>
      <c r="CB100" s="20">
        <f>+Tabla14[[#This Row],[Asignación mes n+2]]*Tabla14[[#This Row],[% Uti. producción]]</f>
        <v>16929.557407157768</v>
      </c>
      <c r="CC100" s="20">
        <f>+Tabla14[[#This Row],[Saldo mes n+2]]+Tabla14[[#This Row],[Ponderación mes n+2]]</f>
        <v>44000</v>
      </c>
      <c r="CD100" s="20">
        <f>+Tabla14[[#This Row],[Asignación mes n+2]]-Tabla14[[#This Row],[Ponderación mes n+2]]</f>
        <v>27070.442592842232</v>
      </c>
    </row>
    <row r="101" spans="1:82" ht="16" x14ac:dyDescent="0.2">
      <c r="A101">
        <v>1</v>
      </c>
      <c r="B101" t="str">
        <f>Tabla14[[#This Row],[Oficina]]&amp;Tabla14[[#This Row],[Material]]</f>
        <v>Agrosuper Asia1023144</v>
      </c>
      <c r="C101" t="s">
        <v>6</v>
      </c>
      <c r="D101" t="s">
        <v>173</v>
      </c>
      <c r="E101">
        <v>1023144</v>
      </c>
      <c r="F101" t="s">
        <v>325</v>
      </c>
      <c r="G101" t="s">
        <v>67</v>
      </c>
      <c r="H101" t="s">
        <v>324</v>
      </c>
      <c r="I101" s="7">
        <f>IFERROR(IF(Tabla14[[#This Row],[Oficina]]=$I$7,VLOOKUP(Tabla14[[#This Row],[Material]],'[6]RV Producción'!$Y:$AA,3,FALSE),VLOOKUP(Tabla14[[#This Row],[Llave]],'[6]RV Producción'!$C:$G,5,FALSE)),0)</f>
        <v>0</v>
      </c>
      <c r="J101" s="7">
        <f>IFERROR(IF(Tabla14[[#This Row],[Oficina]]=$I$7,VLOOKUP(Tabla14[[#This Row],[Llave]],'[7]Shangai (Tomas)'!$A:$F,6,FALSE),VLOOKUP(Tabla14[[#This Row],[Llave]],'[6]RV plan de ventas'!$A:$E,5,FALSE)),0)</f>
        <v>0</v>
      </c>
      <c r="K101" s="8">
        <f>IFERROR(VLOOKUP(Tabla14[[#This Row],[Sector]]&amp;Tabla14[[#This Row],[Oficina]],[8]Ponderación!$A$3:$G$22,7,FALSE),0)</f>
        <v>0.38476266834449474</v>
      </c>
      <c r="L101" s="7">
        <f>+Tabla14[[#This Row],[ RV Producción mes n+1]]*Tabla14[[#This Row],[% Uti. producción]]</f>
        <v>0</v>
      </c>
      <c r="M101" s="7">
        <f>IFERROR(VLOOKUP(Tabla14[[#This Row],[Material]],'[9]TD Stock'!$B:$C,2,FALSE),0)</f>
        <v>37675.527000000009</v>
      </c>
      <c r="N101" s="7">
        <f>IFERROR(VLOOKUP(Tabla14[[#This Row],[Material]],'[10]Consolidado planificación'!$B:$C,2,FALSE),0)</f>
        <v>21073</v>
      </c>
      <c r="O101" s="7">
        <f>IFERROR(VLOOKUP(Tabla14[[#This Row],[Llave]],[11]Hoja2!$D:$G,4,FALSE),0)</f>
        <v>0</v>
      </c>
      <c r="P101" s="14">
        <f>SUM(Tabla14[[#This Row],[Producción disponible]],Tabla14[[#This Row],[Stock al día]],(Tabla14[[#This Row],[Por producir mes N]]*0.9))-Tabla14[[#This Row],[Producción por despachar mes N]]</f>
        <v>56641.227000000014</v>
      </c>
      <c r="Q101" s="7">
        <f>IFERROR(VLOOKUP(Tabla14[[#This Row],[Llave]],[9]DELAY!$A:$D,4,FALSE),0)</f>
        <v>96000</v>
      </c>
      <c r="R101" s="9">
        <v>23000</v>
      </c>
      <c r="S101" s="5">
        <f t="shared" si="6"/>
        <v>46000</v>
      </c>
      <c r="T101" s="76">
        <v>-22000</v>
      </c>
      <c r="U101" s="5">
        <f>+Tabla14[[#This Row],[Atraso a facturar]]+Tabla14[[#This Row],[Ajuste atraso]]</f>
        <v>24000</v>
      </c>
      <c r="V101" s="3">
        <f>+Tabla14[[#This Row],[Total disponible]]-Tabla14[[#This Row],[Facturación atraso]]</f>
        <v>32641.227000000014</v>
      </c>
      <c r="W101" s="6">
        <f>IFERROR(IF(AND(V101&gt;R101,J101&gt;=R101),ROUNDDOWN((Tabla14[[#This Row],[Producción para venta nueva]])/R101,0)*R101,0),0)</f>
        <v>0</v>
      </c>
      <c r="X101" s="76">
        <v>0</v>
      </c>
      <c r="Y101" s="6">
        <f>IF(Tabla14[[#This Row],[Venta del mes]]&gt;0,Tabla14[[#This Row],[Venta del mes]]+Tabla14[[#This Row],[Ajuste venta nueva]],0)</f>
        <v>0</v>
      </c>
      <c r="Z101" s="6">
        <f>+Tabla14[[#This Row],[Producción para venta nueva]]-Tabla14[[#This Row],[Facturación Venta nueva]]</f>
        <v>32641.227000000014</v>
      </c>
      <c r="AA101" s="6">
        <f>IF(AND(A101=1,Tabla14[[#This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1" s="6">
        <v>0</v>
      </c>
      <c r="AC101" s="6">
        <f>IF(Tabla14[[#This Row],[Disponible stock sin venta]]&gt;0,Tabla14[[#This Row],[Disponible stock sin venta]]+Tabla14[[#This Row],[Ajuste stock sin venta]],0)</f>
        <v>0</v>
      </c>
      <c r="AD101" s="3">
        <f>IFERROR(VLOOKUP(Tabla14[[#This Row],[Llave]],[12]Hoja1!$A:$D,4,FALSE),0)</f>
        <v>0</v>
      </c>
      <c r="AE10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46000</v>
      </c>
      <c r="AF101" s="3">
        <v>46000</v>
      </c>
      <c r="AG101" s="3">
        <f>+Tabla14[[#This Row],[En puerto a facturar]]</f>
        <v>0</v>
      </c>
      <c r="AH101" s="3">
        <f>+Tabla14[[#This Row],[Facturación atraso]]</f>
        <v>24000</v>
      </c>
      <c r="AI101" s="3">
        <f>+Tabla14[[#This Row],[Plan Irrestricto (DATO)]]-Tabla14[[#This Row],[Puerto ]]-Tabla14[[#This Row],[Atraso]]</f>
        <v>22000</v>
      </c>
      <c r="AJ101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101" s="3">
        <f>+Tabla14[[#This Row],[Facturación atraso]]</f>
        <v>24000</v>
      </c>
      <c r="AL101" s="3">
        <f>Tabla14[[#This Row],[Plan Ajustado]]-Tabla14[[#This Row],[ Atraso ajustado]]-Tabla14[[#This Row],[En puerto a facturar]]</f>
        <v>0</v>
      </c>
      <c r="AM101" s="3" t="s">
        <v>877</v>
      </c>
      <c r="AN101" s="3"/>
      <c r="AO101" s="3" t="str">
        <f>IF(Tabla14[[#This Row],[Plan Ajustado]]&gt;Tabla14[[#This Row],[En puerto a facturar]],"Si","No")</f>
        <v>Si</v>
      </c>
      <c r="AP101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101" s="3">
        <f>IF(Tabla14[[#This Row],[Necesidad]]&gt;=Tabla14[[#This Row],[Stock al día]],Tabla14[[#This Row],[Stock al día]],Tabla14[[#This Row],[Necesidad]])</f>
        <v>24000</v>
      </c>
      <c r="AR101" s="3">
        <f>+Tabla14[[#This Row],[Necesidad]]-Tabla14[[#This Row],[Stock Plan]]</f>
        <v>0</v>
      </c>
      <c r="AS101" s="155">
        <f>VLOOKUP(Tabla14[[#This Row],[Sector]]&amp;Tabla14[[#This Row],[Oficina]],[8]Ponderación!$A:$H,8,FALSE)</f>
        <v>44814</v>
      </c>
      <c r="AT101" s="30">
        <f>IFERROR(VLOOKUP(Tabla14[[#This Row],[Llave]],'[6]RV plan de ventas'!$A:$F,6,FALSE),0)</f>
        <v>0</v>
      </c>
      <c r="AU101" s="83">
        <f>IFERROR(VLOOKUP(Tabla14[[#This Row],[Llave]],[9]DELAY!$H:$X,17,FALSE),0)</f>
        <v>2.1825036791666648</v>
      </c>
      <c r="AV10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2.1825036791666648</v>
      </c>
      <c r="AW101" s="5">
        <f>Tabla14[[#This Row],[Pecio plan]]*Tabla14[[#This Row],[Plan Ajustado]]</f>
        <v>52380.088299999952</v>
      </c>
      <c r="AX101" s="30">
        <f>IFERROR(VLOOKUP(Tabla14[[#This Row],[Llave]],'[13]Ultimos precios facturados'!$A:$G,7,FALSE),0)</f>
        <v>1.9921693228570512</v>
      </c>
      <c r="AY10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9.5541254513771615E-2</v>
      </c>
      <c r="AZ101" s="30">
        <f>IFERROR(VLOOKUP(Tabla14[[#This Row],[Llave]],Hoja2!B:K,10,FALSE),0)</f>
        <v>2.191071666666665</v>
      </c>
      <c r="BA10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2.1825036791666648</v>
      </c>
      <c r="BB101" s="30">
        <v>0</v>
      </c>
      <c r="BC101" s="30">
        <f>IF(Tabla14[[#This Row],[Market]]=0,Tabla14[[#This Row],[Precio Final]],Tabla14[[#This Row],[Market]])</f>
        <v>2.1825036791666648</v>
      </c>
      <c r="BD101" s="82"/>
      <c r="BE101" s="82" t="str">
        <f>IF(AND(Tabla14[[#This Row],[Atraso a facturar]]&gt;0,Tabla14[[#This Row],[En puerto a facturar]]&gt;0,Tabla14[[#This Row],[Precio Atraso]]=0),"Revisar","OK")</f>
        <v>OK</v>
      </c>
      <c r="BF101" s="82" t="str">
        <f>IF(AND(Tabla14[[#This Row],[Venta del mes]]&gt;0,Tabla14[[#This Row],[Precio venta nueva]]=0),"Revisar","OK")</f>
        <v>OK</v>
      </c>
      <c r="BG101" s="20">
        <f>IFERROR(VLOOKUP(Tabla14[[#This Row],[Llave]],'[5]Consolidación planes'!$A:$M,9,FALSE),0)</f>
        <v>0</v>
      </c>
      <c r="BH101" s="20">
        <f>IFERROR(VLOOKUP(Tabla14[[#This Row],[Llave]],'[5]Consolidación planes'!$A:$M,10,FALSE),0)</f>
        <v>0</v>
      </c>
      <c r="BI101" s="20">
        <f>IFERROR(VLOOKUP(Tabla14[[#This Row],[Llave]],'[5]Consolidación planes'!$A:$M,11,FALSE),0)</f>
        <v>0</v>
      </c>
      <c r="BJ101" s="20">
        <f>IFERROR(VLOOKUP(Tabla14[[#This Row],[Llave]],'[5]Consolidación planes'!$A:$M,12,FALSE),0)</f>
        <v>0</v>
      </c>
      <c r="BK101" s="20">
        <f>IFERROR(VLOOKUP(Tabla14[[#This Row],[Llave]],'[5]Consolidación planes'!$A:$M,13,FALSE),0)</f>
        <v>24000</v>
      </c>
      <c r="BL101" s="20">
        <f>IFERROR(VLOOKUP(Tabla14[[#This Row],[Llave]],'[13]Base ultimos planes'!$A:$M,13,FALSE),0)</f>
        <v>48000</v>
      </c>
      <c r="BM101" s="20">
        <f>IFERROR(VLOOKUP(Tabla14[[#This Row],[Llave]],'[13]Cruce plan irrestricto'!$C:$M,10,FALSE),0)</f>
        <v>48000</v>
      </c>
      <c r="BN101" s="20">
        <f>IFERROR(VLOOKUP(Tabla14[[#This Row],[Llave]],'[13]Cruce plan irrestricto'!$C:$M,11,FALSE),0)</f>
        <v>72000</v>
      </c>
      <c r="BO101" s="80">
        <f>IFERROR(VLOOKUP(Tabla14[[#This Row],[Llave]],'[13]Base ultimos planes'!$O:$AA,8,FALSE),0)</f>
        <v>0</v>
      </c>
      <c r="BP101" s="20">
        <f>IFERROR(VLOOKUP(Tabla14[[#This Row],[Llave]],'[13]Base ultimos planes'!$O:$AA,9,FALSE),0)</f>
        <v>0</v>
      </c>
      <c r="BQ101" s="20">
        <f>IFERROR(VLOOKUP(Tabla14[[#This Row],[Llave]],'[13]Base ultimos planes'!$O:$AA,10,FALSE),0)</f>
        <v>0</v>
      </c>
      <c r="BR101" s="20">
        <f>IFERROR(VLOOKUP(Tabla14[[#This Row],[Llave]],'[13]Base ultimos planes'!$O:$AA,11,FALSE),0)</f>
        <v>0</v>
      </c>
      <c r="BS101" s="20">
        <f>IFERROR(VLOOKUP(Tabla14[[#This Row],[Llave]],'[13]Base ultimos planes'!$O:$AA,12,FALSE),0)</f>
        <v>42907</v>
      </c>
      <c r="BT101" s="20">
        <f>IFERROR(VLOOKUP(Tabla14[[#This Row],[Llave]],'[13]Base ultimos planes'!$O:$AA,13,FALSE),0)</f>
        <v>103200</v>
      </c>
      <c r="BU101" s="20"/>
      <c r="BV101" s="20">
        <f>Tabla14[[#This Row],[ RV Producción mes n+1]]-Tabla14[[#This Row],[Producción disponible]]+Tabla14[[#This Row],[Saldo Volumen disponible]]</f>
        <v>32641.227000000014</v>
      </c>
      <c r="BW101" s="20">
        <f>IFERROR(VLOOKUP(Tabla14[[#This Row],[Llave]],[14]Hoja2!$J:$N,4,FALSE),0)</f>
        <v>40728.299999999996</v>
      </c>
      <c r="BX101" s="20">
        <f>+Tabla14[[#This Row],[Asignación mes n+1]]*Tabla14[[#This Row],[% Uti. producción]]</f>
        <v>15670.729385135084</v>
      </c>
      <c r="BY101" s="20">
        <f>+Tabla14[[#This Row],[Ponderación mes n+1]]+Tabla14[[#This Row],[Saldo mes n-1]]</f>
        <v>48311.956385135098</v>
      </c>
      <c r="BZ101" s="20">
        <f>+Tabla14[[#This Row],[Asignación mes n+1]]-Tabla14[[#This Row],[Ponderación mes n+1]]</f>
        <v>25057.570614864911</v>
      </c>
      <c r="CA101" s="20">
        <f>IFERROR(VLOOKUP(Tabla14[[#This Row],[Llave]],[14]Hoja2!$J:$N,5,FALSE),0)</f>
        <v>44722.077900000004</v>
      </c>
      <c r="CB101" s="20">
        <f>+Tabla14[[#This Row],[Asignación mes n+2]]*Tabla14[[#This Row],[% Uti. producción]]</f>
        <v>17207.386026714361</v>
      </c>
      <c r="CC101" s="20">
        <f>+Tabla14[[#This Row],[Saldo mes n+2]]+Tabla14[[#This Row],[Ponderación mes n+2]]</f>
        <v>42264.956641579272</v>
      </c>
      <c r="CD101" s="20">
        <f>+Tabla14[[#This Row],[Asignación mes n+2]]-Tabla14[[#This Row],[Ponderación mes n+2]]</f>
        <v>27514.691873285643</v>
      </c>
    </row>
    <row r="102" spans="1:82" ht="16" x14ac:dyDescent="0.2">
      <c r="A102">
        <v>1</v>
      </c>
      <c r="B102" t="str">
        <f>Tabla14[[#This Row],[Oficina]]&amp;Tabla14[[#This Row],[Material]]</f>
        <v>Agrosuper Asia1023183</v>
      </c>
      <c r="C102" t="s">
        <v>6</v>
      </c>
      <c r="D102" t="s">
        <v>173</v>
      </c>
      <c r="E102">
        <v>1023183</v>
      </c>
      <c r="F102" t="s">
        <v>176</v>
      </c>
      <c r="G102" t="s">
        <v>25</v>
      </c>
      <c r="H102" t="s">
        <v>26</v>
      </c>
      <c r="I102" s="7">
        <f>IFERROR(IF(Tabla14[[#This Row],[Oficina]]=$I$7,VLOOKUP(Tabla14[[#This Row],[Material]],'[6]RV Producción'!$Y:$AA,3,FALSE),VLOOKUP(Tabla14[[#This Row],[Llave]],'[6]RV Producción'!$C:$G,5,FALSE)),0)</f>
        <v>32000</v>
      </c>
      <c r="J102" s="7">
        <f>IFERROR(IF(Tabla14[[#This Row],[Oficina]]=$I$7,VLOOKUP(Tabla14[[#This Row],[Llave]],'[7]Shangai (Tomas)'!$A:$F,6,FALSE),VLOOKUP(Tabla14[[#This Row],[Llave]],'[6]RV plan de ventas'!$A:$E,5,FALSE)),0)</f>
        <v>44000</v>
      </c>
      <c r="K102" s="8">
        <f>IFERROR(VLOOKUP(Tabla14[[#This Row],[Sector]]&amp;Tabla14[[#This Row],[Oficina]],[8]Ponderación!$A$3:$G$22,7,FALSE),0)</f>
        <v>0.38476266834449474</v>
      </c>
      <c r="L102" s="7">
        <f>+Tabla14[[#This Row],[ RV Producción mes n+1]]*Tabla14[[#This Row],[% Uti. producción]]</f>
        <v>12312.405387023831</v>
      </c>
      <c r="M102" s="7">
        <f>IFERROR(VLOOKUP(Tabla14[[#This Row],[Material]],'[9]TD Stock'!$B:$C,2,FALSE),0)</f>
        <v>8516.6299999999992</v>
      </c>
      <c r="N102" s="7">
        <f>IFERROR(VLOOKUP(Tabla14[[#This Row],[Material]],'[10]Consolidado planificación'!$B:$C,2,FALSE),0)</f>
        <v>0</v>
      </c>
      <c r="O102" s="7">
        <f>IFERROR(VLOOKUP(Tabla14[[#This Row],[Llave]],[11]Hoja2!$D:$G,4,FALSE),0)</f>
        <v>0</v>
      </c>
      <c r="P102" s="14">
        <f>SUM(Tabla14[[#This Row],[Producción disponible]],Tabla14[[#This Row],[Stock al día]],(Tabla14[[#This Row],[Por producir mes N]]*0.9))-Tabla14[[#This Row],[Producción por despachar mes N]]</f>
        <v>20829.035387023832</v>
      </c>
      <c r="Q102" s="7">
        <f>IFERROR(VLOOKUP(Tabla14[[#This Row],[Llave]],[9]DELAY!$A:$D,4,FALSE),0)</f>
        <v>0</v>
      </c>
      <c r="R102" s="9">
        <v>22000</v>
      </c>
      <c r="S102" s="5">
        <f t="shared" si="6"/>
        <v>0</v>
      </c>
      <c r="T102" s="76">
        <v>0</v>
      </c>
      <c r="U102" s="5">
        <f>+Tabla14[[#This Row],[Atraso a facturar]]+Tabla14[[#This Row],[Ajuste atraso]]</f>
        <v>0</v>
      </c>
      <c r="V102" s="3">
        <f>+Tabla14[[#This Row],[Total disponible]]-Tabla14[[#This Row],[Facturación atraso]]</f>
        <v>20829.035387023832</v>
      </c>
      <c r="W102" s="6">
        <f>IFERROR(IF(AND(V102&gt;R102,J102&gt;=R102),ROUNDDOWN((Tabla14[[#This Row],[Producción para venta nueva]])/R102,0)*R102,0),0)</f>
        <v>0</v>
      </c>
      <c r="X102" s="76">
        <v>0</v>
      </c>
      <c r="Y102" s="6">
        <f>IF(Tabla14[[#This Row],[Venta del mes]]&gt;0,Tabla14[[#This Row],[Venta del mes]]+Tabla14[[#This Row],[Ajuste venta nueva]],0)</f>
        <v>0</v>
      </c>
      <c r="Z102" s="6">
        <f>+Tabla14[[#This Row],[Producción para venta nueva]]-Tabla14[[#This Row],[Facturación Venta nueva]]</f>
        <v>20829.035387023832</v>
      </c>
      <c r="AA102" s="6">
        <f>IF(AND(A102=1,Tabla14[[#This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2" s="6">
        <v>0</v>
      </c>
      <c r="AC102" s="6">
        <f>IF(Tabla14[[#This Row],[Disponible stock sin venta]]&gt;0,Tabla14[[#This Row],[Disponible stock sin venta]]+Tabla14[[#This Row],[Ajuste stock sin venta]],0)</f>
        <v>0</v>
      </c>
      <c r="AD102" s="3">
        <f>IFERROR(VLOOKUP(Tabla14[[#This Row],[Llave]],[12]Hoja1!$A:$D,4,FALSE),0)</f>
        <v>0</v>
      </c>
      <c r="AE10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02" s="3">
        <v>0</v>
      </c>
      <c r="AG102" s="3">
        <f>+Tabla14[[#This Row],[En puerto a facturar]]</f>
        <v>0</v>
      </c>
      <c r="AH102" s="3">
        <f>+Tabla14[[#This Row],[Facturación atraso]]</f>
        <v>0</v>
      </c>
      <c r="AI102" s="3">
        <f>+Tabla14[[#This Row],[Plan Irrestricto (DATO)]]-Tabla14[[#This Row],[Puerto ]]-Tabla14[[#This Row],[Atraso]]</f>
        <v>0</v>
      </c>
      <c r="AJ10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02" s="3">
        <f>+Tabla14[[#This Row],[Facturación atraso]]</f>
        <v>0</v>
      </c>
      <c r="AL102" s="3">
        <f>Tabla14[[#This Row],[Plan Ajustado]]-Tabla14[[#This Row],[ Atraso ajustado]]-Tabla14[[#This Row],[En puerto a facturar]]</f>
        <v>0</v>
      </c>
      <c r="AM102" s="3">
        <v>0</v>
      </c>
      <c r="AN102" s="3"/>
      <c r="AO102" s="3" t="str">
        <f>IF(Tabla14[[#This Row],[Plan Ajustado]]&gt;Tabla14[[#This Row],[En puerto a facturar]],"Si","No")</f>
        <v>No</v>
      </c>
      <c r="AP10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02" s="3">
        <f>IF(Tabla14[[#This Row],[Necesidad]]&gt;=Tabla14[[#This Row],[Stock al día]],Tabla14[[#This Row],[Stock al día]],Tabla14[[#This Row],[Necesidad]])</f>
        <v>0</v>
      </c>
      <c r="AR102" s="3">
        <f>+Tabla14[[#This Row],[Necesidad]]-Tabla14[[#This Row],[Stock Plan]]</f>
        <v>0</v>
      </c>
      <c r="AS102" s="155">
        <f>VLOOKUP(Tabla14[[#This Row],[Sector]]&amp;Tabla14[[#This Row],[Oficina]],[8]Ponderación!$A:$H,8,FALSE)</f>
        <v>44814</v>
      </c>
      <c r="AT102" s="30">
        <f>IFERROR(VLOOKUP(Tabla14[[#This Row],[Llave]],'[6]RV plan de ventas'!$A:$F,6,FALSE),0)</f>
        <v>5.2636590909090897</v>
      </c>
      <c r="AU102" s="83">
        <f>IFERROR(VLOOKUP(Tabla14[[#This Row],[Llave]],[9]DELAY!$H:$X,17,FALSE),0)</f>
        <v>0</v>
      </c>
      <c r="AV10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02" s="5">
        <f>Tabla14[[#This Row],[Pecio plan]]*Tabla14[[#This Row],[Plan Ajustado]]</f>
        <v>0</v>
      </c>
      <c r="AX102" s="30">
        <f>IFERROR(VLOOKUP(Tabla14[[#This Row],[Llave]],'[13]Ultimos precios facturados'!$A:$G,7,FALSE),0)</f>
        <v>5.7930188267373666</v>
      </c>
      <c r="AY10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02" s="30">
        <f>IFERROR(VLOOKUP(Tabla14[[#This Row],[Llave]],Hoja2!B:K,10,FALSE),0)</f>
        <v>0</v>
      </c>
      <c r="BA10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02" s="30">
        <v>0</v>
      </c>
      <c r="BC102" s="30">
        <f>IF(Tabla14[[#This Row],[Market]]=0,Tabla14[[#This Row],[Precio Final]],Tabla14[[#This Row],[Market]])</f>
        <v>0</v>
      </c>
      <c r="BD102" s="82"/>
      <c r="BE102" s="82" t="str">
        <f>IF(AND(Tabla14[[#This Row],[Atraso a facturar]]&gt;0,Tabla14[[#This Row],[En puerto a facturar]]&gt;0,Tabla14[[#This Row],[Precio Atraso]]=0),"Revisar","OK")</f>
        <v>OK</v>
      </c>
      <c r="BF102" s="82" t="str">
        <f>IF(AND(Tabla14[[#This Row],[Venta del mes]]&gt;0,Tabla14[[#This Row],[Precio venta nueva]]=0),"Revisar","OK")</f>
        <v>OK</v>
      </c>
      <c r="BG102" s="20">
        <f>IFERROR(VLOOKUP(Tabla14[[#This Row],[Llave]],'[5]Consolidación planes'!$A:$M,9,FALSE),0)</f>
        <v>22000</v>
      </c>
      <c r="BH102" s="20">
        <f>IFERROR(VLOOKUP(Tabla14[[#This Row],[Llave]],'[5]Consolidación planes'!$A:$M,10,FALSE),0)</f>
        <v>44000</v>
      </c>
      <c r="BI102" s="20">
        <f>IFERROR(VLOOKUP(Tabla14[[#This Row],[Llave]],'[5]Consolidación planes'!$A:$M,11,FALSE),0)</f>
        <v>66000</v>
      </c>
      <c r="BJ102" s="20">
        <f>IFERROR(VLOOKUP(Tabla14[[#This Row],[Llave]],'[5]Consolidación planes'!$A:$M,12,FALSE),0)</f>
        <v>0</v>
      </c>
      <c r="BK102" s="20">
        <f>IFERROR(VLOOKUP(Tabla14[[#This Row],[Llave]],'[5]Consolidación planes'!$A:$M,13,FALSE),0)</f>
        <v>22000</v>
      </c>
      <c r="BL102" s="20">
        <f>IFERROR(VLOOKUP(Tabla14[[#This Row],[Llave]],'[13]Base ultimos planes'!$A:$M,13,FALSE),0)</f>
        <v>22000</v>
      </c>
      <c r="BM102" s="20">
        <f>IFERROR(VLOOKUP(Tabla14[[#This Row],[Llave]],'[13]Cruce plan irrestricto'!$C:$M,10,FALSE),0)</f>
        <v>44000</v>
      </c>
      <c r="BN102" s="20">
        <f>IFERROR(VLOOKUP(Tabla14[[#This Row],[Llave]],'[13]Cruce plan irrestricto'!$C:$M,11,FALSE),0)</f>
        <v>0</v>
      </c>
      <c r="BO102" s="80">
        <f>IFERROR(VLOOKUP(Tabla14[[#This Row],[Llave]],'[13]Base ultimos planes'!$O:$AA,8,FALSE),0)</f>
        <v>136200.5</v>
      </c>
      <c r="BP102" s="20">
        <f>IFERROR(VLOOKUP(Tabla14[[#This Row],[Llave]],'[13]Base ultimos planes'!$O:$AA,9,FALSE),0)</f>
        <v>259600</v>
      </c>
      <c r="BQ102" s="20">
        <f>IFERROR(VLOOKUP(Tabla14[[#This Row],[Llave]],'[13]Base ultimos planes'!$O:$AA,10,FALSE),0)</f>
        <v>378180</v>
      </c>
      <c r="BR102" s="20">
        <f>IFERROR(VLOOKUP(Tabla14[[#This Row],[Llave]],'[13]Base ultimos planes'!$O:$AA,11,FALSE),0)</f>
        <v>0</v>
      </c>
      <c r="BS102" s="20">
        <f>IFERROR(VLOOKUP(Tabla14[[#This Row],[Llave]],'[13]Base ultimos planes'!$O:$AA,12,FALSE),0)</f>
        <v>124511</v>
      </c>
      <c r="BT102" s="20">
        <f>IFERROR(VLOOKUP(Tabla14[[#This Row],[Llave]],'[13]Base ultimos planes'!$O:$AA,13,FALSE),0)</f>
        <v>126688</v>
      </c>
      <c r="BU102" s="20"/>
      <c r="BV102" s="20">
        <f>Tabla14[[#This Row],[ RV Producción mes n+1]]-Tabla14[[#This Row],[Producción disponible]]+Tabla14[[#This Row],[Saldo Volumen disponible]]</f>
        <v>40516.630000000005</v>
      </c>
      <c r="BW102" s="20">
        <f>IFERROR(VLOOKUP(Tabla14[[#This Row],[Llave]],[14]Hoja2!$J:$N,4,FALSE),0)</f>
        <v>0</v>
      </c>
      <c r="BX102" s="20">
        <f>+Tabla14[[#This Row],[Asignación mes n+1]]*Tabla14[[#This Row],[% Uti. producción]]</f>
        <v>0</v>
      </c>
      <c r="BY102" s="20">
        <f>+Tabla14[[#This Row],[Ponderación mes n+1]]+Tabla14[[#This Row],[Saldo mes n-1]]</f>
        <v>40516.630000000005</v>
      </c>
      <c r="BZ102" s="20">
        <f>+Tabla14[[#This Row],[Asignación mes n+1]]-Tabla14[[#This Row],[Ponderación mes n+1]]</f>
        <v>0</v>
      </c>
      <c r="CA102" s="20">
        <f>IFERROR(VLOOKUP(Tabla14[[#This Row],[Llave]],[14]Hoja2!$J:$N,5,FALSE),0)</f>
        <v>0</v>
      </c>
      <c r="CB102" s="20">
        <f>+Tabla14[[#This Row],[Asignación mes n+2]]*Tabla14[[#This Row],[% Uti. producción]]</f>
        <v>0</v>
      </c>
      <c r="CC102" s="20">
        <f>+Tabla14[[#This Row],[Saldo mes n+2]]+Tabla14[[#This Row],[Ponderación mes n+2]]</f>
        <v>0</v>
      </c>
      <c r="CD102" s="20">
        <f>+Tabla14[[#This Row],[Asignación mes n+2]]-Tabla14[[#This Row],[Ponderación mes n+2]]</f>
        <v>0</v>
      </c>
    </row>
    <row r="103" spans="1:82" ht="16" x14ac:dyDescent="0.2">
      <c r="A103">
        <v>1</v>
      </c>
      <c r="B103" t="str">
        <f>Tabla14[[#This Row],[Oficina]]&amp;Tabla14[[#This Row],[Material]]</f>
        <v>Agrosuper Asia1023283</v>
      </c>
      <c r="C103" t="s">
        <v>6</v>
      </c>
      <c r="D103" t="s">
        <v>173</v>
      </c>
      <c r="E103">
        <v>1023283</v>
      </c>
      <c r="F103" t="s">
        <v>202</v>
      </c>
      <c r="G103" t="s">
        <v>76</v>
      </c>
      <c r="H103" t="s">
        <v>201</v>
      </c>
      <c r="I103" s="7">
        <f>IFERROR(IF(Tabla14[[#This Row],[Oficina]]=$I$7,VLOOKUP(Tabla14[[#This Row],[Material]],'[6]RV Producción'!$Y:$AA,3,FALSE),VLOOKUP(Tabla14[[#This Row],[Llave]],'[6]RV Producción'!$C:$G,5,FALSE)),0)</f>
        <v>84038</v>
      </c>
      <c r="J103" s="7">
        <f>IFERROR(IF(Tabla14[[#This Row],[Oficina]]=$I$7,VLOOKUP(Tabla14[[#This Row],[Llave]],'[7]Shangai (Tomas)'!$A:$F,6,FALSE),VLOOKUP(Tabla14[[#This Row],[Llave]],'[6]RV plan de ventas'!$A:$E,5,FALSE)),0)</f>
        <v>72000</v>
      </c>
      <c r="K103" s="8">
        <f>IFERROR(VLOOKUP(Tabla14[[#This Row],[Sector]]&amp;Tabla14[[#This Row],[Oficina]],[8]Ponderación!$A$3:$G$22,7,FALSE),0)</f>
        <v>0.38476266834449474</v>
      </c>
      <c r="L103" s="7">
        <f>+Tabla14[[#This Row],[ RV Producción mes n+1]]*Tabla14[[#This Row],[% Uti. producción]]</f>
        <v>32334.685122334649</v>
      </c>
      <c r="M103" s="7">
        <f>IFERROR(VLOOKUP(Tabla14[[#This Row],[Material]],'[9]TD Stock'!$B:$C,2,FALSE),0)</f>
        <v>26279.275999999991</v>
      </c>
      <c r="N103" s="7">
        <f>IFERROR(VLOOKUP(Tabla14[[#This Row],[Material]],'[10]Consolidado planificación'!$B:$C,2,FALSE),0)</f>
        <v>19066</v>
      </c>
      <c r="O103" s="7">
        <f>IFERROR(VLOOKUP(Tabla14[[#This Row],[Llave]],[11]Hoja2!$D:$G,4,FALSE),0)</f>
        <v>0</v>
      </c>
      <c r="P103" s="14">
        <f>SUM(Tabla14[[#This Row],[Producción disponible]],Tabla14[[#This Row],[Stock al día]],(Tabla14[[#This Row],[Por producir mes N]]*0.9))-Tabla14[[#This Row],[Producción por despachar mes N]]</f>
        <v>75773.361122334638</v>
      </c>
      <c r="Q103" s="7">
        <f>IFERROR(VLOOKUP(Tabla14[[#This Row],[Llave]],[9]DELAY!$A:$D,4,FALSE),0)</f>
        <v>72000</v>
      </c>
      <c r="R103" s="9">
        <v>23000</v>
      </c>
      <c r="S103" s="5">
        <f t="shared" si="6"/>
        <v>72000</v>
      </c>
      <c r="T103" s="76">
        <v>-24000</v>
      </c>
      <c r="U103" s="5">
        <f>+Tabla14[[#This Row],[Atraso a facturar]]+Tabla14[[#This Row],[Ajuste atraso]]</f>
        <v>48000</v>
      </c>
      <c r="V103" s="3">
        <f>+Tabla14[[#This Row],[Total disponible]]-Tabla14[[#This Row],[Facturación atraso]]</f>
        <v>27773.361122334638</v>
      </c>
      <c r="W103" s="6">
        <f>IFERROR(IF(AND(V103&gt;R103,J103&gt;=R103),ROUNDDOWN((Tabla14[[#This Row],[Producción para venta nueva]])/R103,0)*R103,0),0)</f>
        <v>23000</v>
      </c>
      <c r="X103" s="76">
        <v>-23000</v>
      </c>
      <c r="Y103" s="6">
        <f>IF(Tabla14[[#This Row],[Venta del mes]]&gt;0,Tabla14[[#This Row],[Venta del mes]]+Tabla14[[#This Row],[Ajuste venta nueva]],0)</f>
        <v>0</v>
      </c>
      <c r="Z103" s="6">
        <f>+Tabla14[[#This Row],[Producción para venta nueva]]-Tabla14[[#This Row],[Facturación Venta nueva]]</f>
        <v>27773.361122334638</v>
      </c>
      <c r="AA103" s="6">
        <f>IF(AND(A103=1,Tabla14[[#This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3" s="6">
        <v>0</v>
      </c>
      <c r="AC103" s="6">
        <f>IF(Tabla14[[#This Row],[Disponible stock sin venta]]&gt;0,Tabla14[[#This Row],[Disponible stock sin venta]]+Tabla14[[#This Row],[Ajuste stock sin venta]],0)</f>
        <v>0</v>
      </c>
      <c r="AD103" s="3">
        <f>IFERROR(VLOOKUP(Tabla14[[#This Row],[Llave]],[12]Hoja1!$A:$D,4,FALSE),0)</f>
        <v>47976.12</v>
      </c>
      <c r="AE10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142976.12</v>
      </c>
      <c r="AF103" s="3">
        <v>119976.12</v>
      </c>
      <c r="AG103" s="3">
        <f>+Tabla14[[#This Row],[En puerto a facturar]]</f>
        <v>47976.12</v>
      </c>
      <c r="AH103" s="3">
        <f>+Tabla14[[#This Row],[Facturación atraso]]</f>
        <v>48000</v>
      </c>
      <c r="AI103" s="3">
        <f>+Tabla14[[#This Row],[Plan Irrestricto (DATO)]]-Tabla14[[#This Row],[Puerto ]]-Tabla14[[#This Row],[Atraso]]</f>
        <v>24000</v>
      </c>
      <c r="AJ103" s="6">
        <f>IF(Tabla14[[#This Row],[Plan Irrestricto (DATO)]]&gt;0,SUM(Tabla14[[#This Row],[Facturación atraso]],Tabla14[[#This Row],[Facturación Venta nueva]],Tabla14[[#This Row],[Facturación stock]],Tabla14[[#This Row],[En puerto a facturar]]),0)</f>
        <v>95976.12</v>
      </c>
      <c r="AK103" s="3">
        <f>+Tabla14[[#This Row],[Facturación atraso]]</f>
        <v>48000</v>
      </c>
      <c r="AL103" s="3">
        <f>Tabla14[[#This Row],[Plan Ajustado]]-Tabla14[[#This Row],[ Atraso ajustado]]-Tabla14[[#This Row],[En puerto a facturar]]</f>
        <v>0</v>
      </c>
      <c r="AM103" s="3" t="s">
        <v>877</v>
      </c>
      <c r="AN103" s="3"/>
      <c r="AO103" s="3" t="str">
        <f>IF(Tabla14[[#This Row],[Plan Ajustado]]&gt;Tabla14[[#This Row],[En puerto a facturar]],"Si","No")</f>
        <v>Si</v>
      </c>
      <c r="AP103" s="3">
        <f>IF(AND(Tabla14[[#This Row],[Plan Ajustado]]&gt;0,Tabla14[[#This Row],[Plan Ajustado]]&gt;Tabla14[[#This Row],[En puerto a facturar]]),(Tabla14[[#This Row],[Plan Ajustado]]-Tabla14[[#This Row],[En puerto a facturar]]),0)</f>
        <v>47999.999999999993</v>
      </c>
      <c r="AQ103" s="3">
        <f>IF(Tabla14[[#This Row],[Necesidad]]&gt;=Tabla14[[#This Row],[Stock al día]],Tabla14[[#This Row],[Stock al día]],Tabla14[[#This Row],[Necesidad]])</f>
        <v>26279.275999999991</v>
      </c>
      <c r="AR103" s="3">
        <f>+Tabla14[[#This Row],[Necesidad]]-Tabla14[[#This Row],[Stock Plan]]</f>
        <v>21720.724000000002</v>
      </c>
      <c r="AS103" s="155">
        <f>VLOOKUP(Tabla14[[#This Row],[Sector]]&amp;Tabla14[[#This Row],[Oficina]],[8]Ponderación!$A:$H,8,FALSE)</f>
        <v>44814</v>
      </c>
      <c r="AT103" s="30">
        <f>IFERROR(VLOOKUP(Tabla14[[#This Row],[Llave]],'[6]RV plan de ventas'!$A:$F,6,FALSE),0)</f>
        <v>0.71361111111111097</v>
      </c>
      <c r="AU103" s="83">
        <f>IFERROR(VLOOKUP(Tabla14[[#This Row],[Llave]],[9]DELAY!$H:$X,17,FALSE),0)</f>
        <v>1.0099200925925911</v>
      </c>
      <c r="AV10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1.0099200925925913</v>
      </c>
      <c r="AW103" s="5">
        <f>Tabla14[[#This Row],[Pecio plan]]*Tabla14[[#This Row],[Plan Ajustado]]</f>
        <v>96928.211997077655</v>
      </c>
      <c r="AX103" s="30">
        <f>IFERROR(VLOOKUP(Tabla14[[#This Row],[Llave]],'[13]Ultimos precios facturados'!$A:$G,7,FALSE),0)</f>
        <v>0.88880537752916122</v>
      </c>
      <c r="AY10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0.136266856755664</v>
      </c>
      <c r="AZ103" s="30">
        <f>IFERROR(VLOOKUP(Tabla14[[#This Row],[Llave]],Hoja2!B:K,10,FALSE),0)</f>
        <v>0.88798602083333322</v>
      </c>
      <c r="BA10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1.0099200925925913</v>
      </c>
      <c r="BB103" s="30">
        <v>0</v>
      </c>
      <c r="BC103" s="30">
        <f>IF(Tabla14[[#This Row],[Market]]=0,Tabla14[[#This Row],[Precio Final]],Tabla14[[#This Row],[Market]])</f>
        <v>1.0099200925925913</v>
      </c>
      <c r="BD103" s="82"/>
      <c r="BE103" s="82" t="str">
        <f>IF(AND(Tabla14[[#This Row],[Atraso a facturar]]&gt;0,Tabla14[[#This Row],[En puerto a facturar]]&gt;0,Tabla14[[#This Row],[Precio Atraso]]=0),"Revisar","OK")</f>
        <v>OK</v>
      </c>
      <c r="BF103" s="82" t="str">
        <f>IF(AND(Tabla14[[#This Row],[Venta del mes]]&gt;0,Tabla14[[#This Row],[Precio venta nueva]]=0),"Revisar","OK")</f>
        <v>OK</v>
      </c>
      <c r="BG103" s="20">
        <f>IFERROR(VLOOKUP(Tabla14[[#This Row],[Llave]],'[5]Consolidación planes'!$A:$M,9,FALSE),0)</f>
        <v>120000</v>
      </c>
      <c r="BH103" s="20">
        <f>IFERROR(VLOOKUP(Tabla14[[#This Row],[Llave]],'[5]Consolidación planes'!$A:$M,10,FALSE),0)</f>
        <v>96000</v>
      </c>
      <c r="BI103" s="20">
        <f>IFERROR(VLOOKUP(Tabla14[[#This Row],[Llave]],'[5]Consolidación planes'!$A:$M,11,FALSE),0)</f>
        <v>178000</v>
      </c>
      <c r="BJ103" s="20">
        <f>IFERROR(VLOOKUP(Tabla14[[#This Row],[Llave]],'[5]Consolidación planes'!$A:$M,12,FALSE),0)</f>
        <v>216000</v>
      </c>
      <c r="BK103" s="20">
        <f>IFERROR(VLOOKUP(Tabla14[[#This Row],[Llave]],'[5]Consolidación planes'!$A:$M,13,FALSE),0)</f>
        <v>144149</v>
      </c>
      <c r="BL103" s="20">
        <f>IFERROR(VLOOKUP(Tabla14[[#This Row],[Llave]],'[13]Base ultimos planes'!$A:$M,13,FALSE),0)</f>
        <v>72000</v>
      </c>
      <c r="BM103" s="20">
        <f>IFERROR(VLOOKUP(Tabla14[[#This Row],[Llave]],'[13]Cruce plan irrestricto'!$C:$M,10,FALSE),0)</f>
        <v>120000</v>
      </c>
      <c r="BN103" s="20">
        <f>IFERROR(VLOOKUP(Tabla14[[#This Row],[Llave]],'[13]Cruce plan irrestricto'!$C:$M,11,FALSE),0)</f>
        <v>120000</v>
      </c>
      <c r="BO103" s="80">
        <f>IFERROR(VLOOKUP(Tabla14[[#This Row],[Llave]],'[13]Base ultimos planes'!$O:$AA,8,FALSE),0)</f>
        <v>107052.12119999999</v>
      </c>
      <c r="BP103" s="20">
        <f>IFERROR(VLOOKUP(Tabla14[[#This Row],[Llave]],'[13]Base ultimos planes'!$O:$AA,9,FALSE),0)</f>
        <v>89280</v>
      </c>
      <c r="BQ103" s="20">
        <f>IFERROR(VLOOKUP(Tabla14[[#This Row],[Llave]],'[13]Base ultimos planes'!$O:$AA,10,FALSE),0)</f>
        <v>157911</v>
      </c>
      <c r="BR103" s="20">
        <f>IFERROR(VLOOKUP(Tabla14[[#This Row],[Llave]],'[13]Base ultimos planes'!$O:$AA,11,FALSE),0)</f>
        <v>220922</v>
      </c>
      <c r="BS103" s="20">
        <f>IFERROR(VLOOKUP(Tabla14[[#This Row],[Llave]],'[13]Base ultimos planes'!$O:$AA,12,FALSE),0)</f>
        <v>136463</v>
      </c>
      <c r="BT103" s="20">
        <f>IFERROR(VLOOKUP(Tabla14[[#This Row],[Llave]],'[13]Base ultimos planes'!$O:$AA,13,FALSE),0)</f>
        <v>70008</v>
      </c>
      <c r="BU103" s="20"/>
      <c r="BV103" s="20">
        <f>Tabla14[[#This Row],[ RV Producción mes n+1]]-Tabla14[[#This Row],[Producción disponible]]+Tabla14[[#This Row],[Saldo Volumen disponible]]</f>
        <v>79476.675999999992</v>
      </c>
      <c r="BW103" s="20">
        <f>IFERROR(VLOOKUP(Tabla14[[#This Row],[Llave]],[14]Hoja2!$J:$N,4,FALSE),0)</f>
        <v>0</v>
      </c>
      <c r="BX103" s="20">
        <f>+Tabla14[[#This Row],[Asignación mes n+1]]*Tabla14[[#This Row],[% Uti. producción]]</f>
        <v>0</v>
      </c>
      <c r="BY103" s="20">
        <f>+Tabla14[[#This Row],[Ponderación mes n+1]]+Tabla14[[#This Row],[Saldo mes n-1]]</f>
        <v>79476.675999999992</v>
      </c>
      <c r="BZ103" s="20">
        <f>+Tabla14[[#This Row],[Asignación mes n+1]]-Tabla14[[#This Row],[Ponderación mes n+1]]</f>
        <v>0</v>
      </c>
      <c r="CA103" s="20">
        <f>IFERROR(VLOOKUP(Tabla14[[#This Row],[Llave]],[14]Hoja2!$J:$N,5,FALSE),0)</f>
        <v>0</v>
      </c>
      <c r="CB103" s="20">
        <f>+Tabla14[[#This Row],[Asignación mes n+2]]*Tabla14[[#This Row],[% Uti. producción]]</f>
        <v>0</v>
      </c>
      <c r="CC103" s="20">
        <f>+Tabla14[[#This Row],[Saldo mes n+2]]+Tabla14[[#This Row],[Ponderación mes n+2]]</f>
        <v>0</v>
      </c>
      <c r="CD103" s="20">
        <f>+Tabla14[[#This Row],[Asignación mes n+2]]-Tabla14[[#This Row],[Ponderación mes n+2]]</f>
        <v>0</v>
      </c>
    </row>
    <row r="104" spans="1:82" ht="16" x14ac:dyDescent="0.2">
      <c r="A104">
        <v>1</v>
      </c>
      <c r="B104" t="str">
        <f>Tabla14[[#This Row],[Oficina]]&amp;Tabla14[[#This Row],[Material]]</f>
        <v>Agrosuper Asia1023305</v>
      </c>
      <c r="C104" t="s">
        <v>6</v>
      </c>
      <c r="D104" t="s">
        <v>173</v>
      </c>
      <c r="E104">
        <v>1023305</v>
      </c>
      <c r="F104" t="s">
        <v>297</v>
      </c>
      <c r="G104" t="s">
        <v>76</v>
      </c>
      <c r="H104" t="s">
        <v>296</v>
      </c>
      <c r="I104" s="7">
        <f>IFERROR(IF(Tabla14[[#This Row],[Oficina]]=$I$7,VLOOKUP(Tabla14[[#This Row],[Material]],'[6]RV Producción'!$Y:$AA,3,FALSE),VLOOKUP(Tabla14[[#This Row],[Llave]],'[6]RV Producción'!$C:$G,5,FALSE)),0)</f>
        <v>0</v>
      </c>
      <c r="J104" s="7">
        <f>IFERROR(IF(Tabla14[[#This Row],[Oficina]]=$I$7,VLOOKUP(Tabla14[[#This Row],[Llave]],'[7]Shangai (Tomas)'!$A:$F,6,FALSE),VLOOKUP(Tabla14[[#This Row],[Llave]],'[6]RV plan de ventas'!$A:$E,5,FALSE)),0)</f>
        <v>0</v>
      </c>
      <c r="K104" s="8">
        <f>IFERROR(VLOOKUP(Tabla14[[#This Row],[Sector]]&amp;Tabla14[[#This Row],[Oficina]],[8]Ponderación!$A$3:$G$22,7,FALSE),0)</f>
        <v>0.38476266834449474</v>
      </c>
      <c r="L104" s="7">
        <f>+Tabla14[[#This Row],[ RV Producción mes n+1]]*Tabla14[[#This Row],[% Uti. producción]]</f>
        <v>0</v>
      </c>
      <c r="M104" s="7">
        <f>IFERROR(VLOOKUP(Tabla14[[#This Row],[Material]],'[9]TD Stock'!$B:$C,2,FALSE),0)</f>
        <v>0</v>
      </c>
      <c r="N104" s="7">
        <f>IFERROR(VLOOKUP(Tabla14[[#This Row],[Material]],'[10]Consolidado planificación'!$B:$C,2,FALSE),0)</f>
        <v>0</v>
      </c>
      <c r="O104" s="7">
        <f>IFERROR(VLOOKUP(Tabla14[[#This Row],[Llave]],[11]Hoja2!$D:$G,4,FALSE),0)</f>
        <v>0</v>
      </c>
      <c r="P104" s="14">
        <f>SUM(Tabla14[[#This Row],[Producción disponible]],Tabla14[[#This Row],[Stock al día]],(Tabla14[[#This Row],[Por producir mes N]]*0.9))-Tabla14[[#This Row],[Producción por despachar mes N]]</f>
        <v>0</v>
      </c>
      <c r="Q104" s="7">
        <f>IFERROR(VLOOKUP(Tabla14[[#This Row],[Llave]],[9]DELAY!$A:$D,4,FALSE),0)</f>
        <v>0</v>
      </c>
      <c r="R104" s="9">
        <v>23000</v>
      </c>
      <c r="S104" s="5">
        <f t="shared" si="6"/>
        <v>0</v>
      </c>
      <c r="T104" s="76">
        <v>0</v>
      </c>
      <c r="U104" s="5">
        <f>+Tabla14[[#This Row],[Atraso a facturar]]+Tabla14[[#This Row],[Ajuste atraso]]</f>
        <v>0</v>
      </c>
      <c r="V104" s="3">
        <f>+Tabla14[[#This Row],[Total disponible]]-Tabla14[[#This Row],[Facturación atraso]]</f>
        <v>0</v>
      </c>
      <c r="W104" s="6">
        <f>IFERROR(IF(AND(V104&gt;R104,J104&gt;=R104),ROUNDDOWN((Tabla14[[#This Row],[Producción para venta nueva]])/R104,0)*R104,0),0)</f>
        <v>0</v>
      </c>
      <c r="X104" s="76">
        <v>0</v>
      </c>
      <c r="Y104" s="6">
        <f>IF(Tabla14[[#This Row],[Venta del mes]]&gt;0,Tabla14[[#This Row],[Venta del mes]]+Tabla14[[#This Row],[Ajuste venta nueva]],0)</f>
        <v>0</v>
      </c>
      <c r="Z104" s="6">
        <f>+Tabla14[[#This Row],[Producción para venta nueva]]-Tabla14[[#This Row],[Facturación Venta nueva]]</f>
        <v>0</v>
      </c>
      <c r="AA104" s="6">
        <f>IF(AND(A104=1,Tabla14[[#This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4" s="6">
        <v>0</v>
      </c>
      <c r="AC104" s="6">
        <f>IF(Tabla14[[#This Row],[Disponible stock sin venta]]&gt;0,Tabla14[[#This Row],[Disponible stock sin venta]]+Tabla14[[#This Row],[Ajuste stock sin venta]],0)</f>
        <v>0</v>
      </c>
      <c r="AD104" s="3">
        <f>IFERROR(VLOOKUP(Tabla14[[#This Row],[Llave]],[12]Hoja1!$A:$D,4,FALSE),0)</f>
        <v>0</v>
      </c>
      <c r="AE104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04" s="3" t="b">
        <v>0</v>
      </c>
      <c r="AG104" s="3">
        <f>+Tabla14[[#This Row],[En puerto a facturar]]</f>
        <v>0</v>
      </c>
      <c r="AH104" s="3">
        <f>+Tabla14[[#This Row],[Facturación atraso]]</f>
        <v>0</v>
      </c>
      <c r="AI104" s="3">
        <f>+Tabla14[[#This Row],[Plan Irrestricto (DATO)]]-Tabla14[[#This Row],[Puerto ]]-Tabla14[[#This Row],[Atraso]]</f>
        <v>0</v>
      </c>
      <c r="AJ10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04" s="3">
        <f>+Tabla14[[#This Row],[Facturación atraso]]</f>
        <v>0</v>
      </c>
      <c r="AL104" s="3">
        <f>Tabla14[[#This Row],[Plan Ajustado]]-Tabla14[[#This Row],[ Atraso ajustado]]-Tabla14[[#This Row],[En puerto a facturar]]</f>
        <v>0</v>
      </c>
      <c r="AM104" s="3">
        <v>0</v>
      </c>
      <c r="AN104" s="3"/>
      <c r="AO104" s="3" t="str">
        <f>IF(Tabla14[[#This Row],[Plan Ajustado]]&gt;Tabla14[[#This Row],[En puerto a facturar]],"Si","No")</f>
        <v>No</v>
      </c>
      <c r="AP10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04" s="3">
        <f>IF(Tabla14[[#This Row],[Necesidad]]&gt;=Tabla14[[#This Row],[Stock al día]],Tabla14[[#This Row],[Stock al día]],Tabla14[[#This Row],[Necesidad]])</f>
        <v>0</v>
      </c>
      <c r="AR104" s="3">
        <f>+Tabla14[[#This Row],[Necesidad]]-Tabla14[[#This Row],[Stock Plan]]</f>
        <v>0</v>
      </c>
      <c r="AS104" s="155">
        <f>VLOOKUP(Tabla14[[#This Row],[Sector]]&amp;Tabla14[[#This Row],[Oficina]],[8]Ponderación!$A:$H,8,FALSE)</f>
        <v>44814</v>
      </c>
      <c r="AT104" s="30">
        <f>IFERROR(VLOOKUP(Tabla14[[#This Row],[Llave]],'[6]RV plan de ventas'!$A:$F,6,FALSE),0)</f>
        <v>0</v>
      </c>
      <c r="AU104" s="83">
        <f>IFERROR(VLOOKUP(Tabla14[[#This Row],[Llave]],[9]DELAY!$H:$X,17,FALSE),0)</f>
        <v>0</v>
      </c>
      <c r="AV10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04" s="5">
        <f>Tabla14[[#This Row],[Pecio plan]]*Tabla14[[#This Row],[Plan Ajustado]]</f>
        <v>0</v>
      </c>
      <c r="AX104" s="30">
        <f>IFERROR(VLOOKUP(Tabla14[[#This Row],[Llave]],'[13]Ultimos precios facturados'!$A:$G,7,FALSE),0)</f>
        <v>1.7623119232692395</v>
      </c>
      <c r="AY10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04" s="30">
        <f>IFERROR(VLOOKUP(Tabla14[[#This Row],[Llave]],Hoja2!B:K,10,FALSE),0)</f>
        <v>0</v>
      </c>
      <c r="BA10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1.7623119232692395</v>
      </c>
      <c r="BB104" s="30">
        <v>0</v>
      </c>
      <c r="BC104" s="30">
        <f>IF(Tabla14[[#This Row],[Market]]=0,Tabla14[[#This Row],[Precio Final]],Tabla14[[#This Row],[Market]])</f>
        <v>1.7623119232692395</v>
      </c>
      <c r="BD104" s="82"/>
      <c r="BE104" s="82" t="str">
        <f>IF(AND(Tabla14[[#This Row],[Atraso a facturar]]&gt;0,Tabla14[[#This Row],[En puerto a facturar]]&gt;0,Tabla14[[#This Row],[Precio Atraso]]=0),"Revisar","OK")</f>
        <v>OK</v>
      </c>
      <c r="BF104" s="82" t="str">
        <f>IF(AND(Tabla14[[#This Row],[Venta del mes]]&gt;0,Tabla14[[#This Row],[Precio venta nueva]]=0),"Revisar","OK")</f>
        <v>OK</v>
      </c>
      <c r="BG104" s="20">
        <f>IFERROR(VLOOKUP(Tabla14[[#This Row],[Llave]],'[5]Consolidación planes'!$A:$M,9,FALSE),0)</f>
        <v>0</v>
      </c>
      <c r="BH104" s="20">
        <f>IFERROR(VLOOKUP(Tabla14[[#This Row],[Llave]],'[5]Consolidación planes'!$A:$M,10,FALSE),0)</f>
        <v>0</v>
      </c>
      <c r="BI104" s="20">
        <f>IFERROR(VLOOKUP(Tabla14[[#This Row],[Llave]],'[5]Consolidación planes'!$A:$M,11,FALSE),0)</f>
        <v>0</v>
      </c>
      <c r="BJ104" s="20">
        <f>IFERROR(VLOOKUP(Tabla14[[#This Row],[Llave]],'[5]Consolidación planes'!$A:$M,12,FALSE),0)</f>
        <v>0</v>
      </c>
      <c r="BK104" s="20">
        <f>IFERROR(VLOOKUP(Tabla14[[#This Row],[Llave]],'[5]Consolidación planes'!$A:$M,13,FALSE),0)</f>
        <v>0</v>
      </c>
      <c r="BL104" s="20">
        <f>IFERROR(VLOOKUP(Tabla14[[#This Row],[Llave]],'[13]Base ultimos planes'!$A:$M,13,FALSE),0)</f>
        <v>0</v>
      </c>
      <c r="BM104" s="20">
        <f>IFERROR(VLOOKUP(Tabla14[[#This Row],[Llave]],'[13]Cruce plan irrestricto'!$C:$M,10,FALSE),0)</f>
        <v>0</v>
      </c>
      <c r="BN104" s="20">
        <f>IFERROR(VLOOKUP(Tabla14[[#This Row],[Llave]],'[13]Cruce plan irrestricto'!$C:$M,11,FALSE),0)</f>
        <v>0</v>
      </c>
      <c r="BO104" s="80">
        <f>IFERROR(VLOOKUP(Tabla14[[#This Row],[Llave]],'[13]Base ultimos planes'!$O:$AA,8,FALSE),0)</f>
        <v>0</v>
      </c>
      <c r="BP104" s="20">
        <f>IFERROR(VLOOKUP(Tabla14[[#This Row],[Llave]],'[13]Base ultimos planes'!$O:$AA,9,FALSE),0)</f>
        <v>0</v>
      </c>
      <c r="BQ104" s="20">
        <f>IFERROR(VLOOKUP(Tabla14[[#This Row],[Llave]],'[13]Base ultimos planes'!$O:$AA,10,FALSE),0)</f>
        <v>0</v>
      </c>
      <c r="BR104" s="20">
        <f>IFERROR(VLOOKUP(Tabla14[[#This Row],[Llave]],'[13]Base ultimos planes'!$O:$AA,11,FALSE),0)</f>
        <v>0</v>
      </c>
      <c r="BS104" s="20">
        <f>IFERROR(VLOOKUP(Tabla14[[#This Row],[Llave]],'[13]Base ultimos planes'!$O:$AA,12,FALSE),0)</f>
        <v>0</v>
      </c>
      <c r="BT104" s="20">
        <f>IFERROR(VLOOKUP(Tabla14[[#This Row],[Llave]],'[13]Base ultimos planes'!$O:$AA,13,FALSE),0)</f>
        <v>0</v>
      </c>
      <c r="BU104" s="20"/>
      <c r="BV104" s="20">
        <f>Tabla14[[#This Row],[ RV Producción mes n+1]]-Tabla14[[#This Row],[Producción disponible]]+Tabla14[[#This Row],[Saldo Volumen disponible]]</f>
        <v>0</v>
      </c>
      <c r="BW104" s="20">
        <f>IFERROR(VLOOKUP(Tabla14[[#This Row],[Llave]],[14]Hoja2!$J:$N,4,FALSE),0)</f>
        <v>0</v>
      </c>
      <c r="BX104" s="20">
        <f>+Tabla14[[#This Row],[Asignación mes n+1]]*Tabla14[[#This Row],[% Uti. producción]]</f>
        <v>0</v>
      </c>
      <c r="BY104" s="20">
        <f>+Tabla14[[#This Row],[Ponderación mes n+1]]+Tabla14[[#This Row],[Saldo mes n-1]]</f>
        <v>0</v>
      </c>
      <c r="BZ104" s="20">
        <f>+Tabla14[[#This Row],[Asignación mes n+1]]-Tabla14[[#This Row],[Ponderación mes n+1]]</f>
        <v>0</v>
      </c>
      <c r="CA104" s="20">
        <f>IFERROR(VLOOKUP(Tabla14[[#This Row],[Llave]],[14]Hoja2!$J:$N,5,FALSE),0)</f>
        <v>0</v>
      </c>
      <c r="CB104" s="20">
        <f>+Tabla14[[#This Row],[Asignación mes n+2]]*Tabla14[[#This Row],[% Uti. producción]]</f>
        <v>0</v>
      </c>
      <c r="CC104" s="20">
        <f>+Tabla14[[#This Row],[Saldo mes n+2]]+Tabla14[[#This Row],[Ponderación mes n+2]]</f>
        <v>0</v>
      </c>
      <c r="CD104" s="20">
        <f>+Tabla14[[#This Row],[Asignación mes n+2]]-Tabla14[[#This Row],[Ponderación mes n+2]]</f>
        <v>0</v>
      </c>
    </row>
    <row r="105" spans="1:82" ht="16" x14ac:dyDescent="0.2">
      <c r="A105">
        <v>1</v>
      </c>
      <c r="B105" t="str">
        <f>Tabla14[[#This Row],[Oficina]]&amp;Tabla14[[#This Row],[Material]]</f>
        <v>Agrosuper Asia1023307</v>
      </c>
      <c r="C105" t="s">
        <v>6</v>
      </c>
      <c r="D105" t="s">
        <v>173</v>
      </c>
      <c r="E105">
        <v>1023307</v>
      </c>
      <c r="F105" t="s">
        <v>203</v>
      </c>
      <c r="G105" t="s">
        <v>76</v>
      </c>
      <c r="H105" t="s">
        <v>84</v>
      </c>
      <c r="I105" s="7">
        <f>IFERROR(IF(Tabla14[[#This Row],[Oficina]]=$I$7,VLOOKUP(Tabla14[[#This Row],[Material]],'[6]RV Producción'!$Y:$AA,3,FALSE),VLOOKUP(Tabla14[[#This Row],[Llave]],'[6]RV Producción'!$C:$G,5,FALSE)),0)</f>
        <v>1274</v>
      </c>
      <c r="J105" s="7">
        <f>IFERROR(IF(Tabla14[[#This Row],[Oficina]]=$I$7,VLOOKUP(Tabla14[[#This Row],[Llave]],'[7]Shangai (Tomas)'!$A:$F,6,FALSE),VLOOKUP(Tabla14[[#This Row],[Llave]],'[6]RV plan de ventas'!$A:$E,5,FALSE)),0)</f>
        <v>0</v>
      </c>
      <c r="K105" s="8">
        <f>IFERROR(VLOOKUP(Tabla14[[#This Row],[Sector]]&amp;Tabla14[[#This Row],[Oficina]],[8]Ponderación!$A$3:$G$22,7,FALSE),0)</f>
        <v>0.38476266834449474</v>
      </c>
      <c r="L105" s="7">
        <f>+Tabla14[[#This Row],[ RV Producción mes n+1]]*Tabla14[[#This Row],[% Uti. producción]]</f>
        <v>490.18763947088632</v>
      </c>
      <c r="M105" s="7">
        <f>IFERROR(VLOOKUP(Tabla14[[#This Row],[Material]],'[9]TD Stock'!$B:$C,2,FALSE),0)</f>
        <v>23995.88700000001</v>
      </c>
      <c r="N105" s="7">
        <f>IFERROR(VLOOKUP(Tabla14[[#This Row],[Material]],'[10]Consolidado planificación'!$B:$C,2,FALSE),0)</f>
        <v>0</v>
      </c>
      <c r="O105" s="7">
        <f>IFERROR(VLOOKUP(Tabla14[[#This Row],[Llave]],[11]Hoja2!$D:$G,4,FALSE),0)</f>
        <v>0</v>
      </c>
      <c r="P105" s="14">
        <f>SUM(Tabla14[[#This Row],[Producción disponible]],Tabla14[[#This Row],[Stock al día]],(Tabla14[[#This Row],[Por producir mes N]]*0.9))-Tabla14[[#This Row],[Producción por despachar mes N]]</f>
        <v>24486.074639470895</v>
      </c>
      <c r="Q105" s="7">
        <f>IFERROR(VLOOKUP(Tabla14[[#This Row],[Llave]],[9]DELAY!$A:$D,4,FALSE),0)</f>
        <v>24000</v>
      </c>
      <c r="R105" s="9">
        <v>23000</v>
      </c>
      <c r="S105" s="5">
        <f t="shared" si="6"/>
        <v>24000</v>
      </c>
      <c r="T105" s="76">
        <v>0</v>
      </c>
      <c r="U105" s="5">
        <f>+Tabla14[[#This Row],[Atraso a facturar]]+Tabla14[[#This Row],[Ajuste atraso]]</f>
        <v>24000</v>
      </c>
      <c r="V105" s="3">
        <f>+Tabla14[[#This Row],[Total disponible]]-Tabla14[[#This Row],[Facturación atraso]]</f>
        <v>486.07463947089491</v>
      </c>
      <c r="W105" s="6">
        <f>IFERROR(IF(AND(V105&gt;R105,J105&gt;=R105),ROUNDDOWN((Tabla14[[#This Row],[Producción para venta nueva]])/R105,0)*R105,0),0)</f>
        <v>0</v>
      </c>
      <c r="X105" s="76">
        <v>0</v>
      </c>
      <c r="Y105" s="6">
        <f>IF(Tabla14[[#This Row],[Venta del mes]]&gt;0,Tabla14[[#This Row],[Venta del mes]]+Tabla14[[#This Row],[Ajuste venta nueva]],0)</f>
        <v>0</v>
      </c>
      <c r="Z105" s="6">
        <f>+Tabla14[[#This Row],[Producción para venta nueva]]-Tabla14[[#This Row],[Facturación Venta nueva]]</f>
        <v>486.07463947089491</v>
      </c>
      <c r="AA105" s="6">
        <f>IF(AND(A105=1,Tabla14[[#This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5" s="6">
        <v>0</v>
      </c>
      <c r="AC105" s="6">
        <f>IF(Tabla14[[#This Row],[Disponible stock sin venta]]&gt;0,Tabla14[[#This Row],[Disponible stock sin venta]]+Tabla14[[#This Row],[Ajuste stock sin venta]],0)</f>
        <v>0</v>
      </c>
      <c r="AD105" s="3">
        <f>IFERROR(VLOOKUP(Tabla14[[#This Row],[Llave]],[12]Hoja1!$A:$D,4,FALSE),0)</f>
        <v>0</v>
      </c>
      <c r="AE10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105" s="3">
        <v>24000</v>
      </c>
      <c r="AG105" s="3">
        <f>+Tabla14[[#This Row],[En puerto a facturar]]</f>
        <v>0</v>
      </c>
      <c r="AH105" s="3">
        <f>+Tabla14[[#This Row],[Facturación atraso]]</f>
        <v>24000</v>
      </c>
      <c r="AI105" s="3">
        <f>+Tabla14[[#This Row],[Plan Irrestricto (DATO)]]-Tabla14[[#This Row],[Puerto ]]-Tabla14[[#This Row],[Atraso]]</f>
        <v>0</v>
      </c>
      <c r="AJ105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105" s="3">
        <f>+Tabla14[[#This Row],[Facturación atraso]]</f>
        <v>24000</v>
      </c>
      <c r="AL105" s="3">
        <f>Tabla14[[#This Row],[Plan Ajustado]]-Tabla14[[#This Row],[ Atraso ajustado]]-Tabla14[[#This Row],[En puerto a facturar]]</f>
        <v>0</v>
      </c>
      <c r="AM105" s="3">
        <v>0</v>
      </c>
      <c r="AN105" s="3"/>
      <c r="AO105" s="3" t="str">
        <f>IF(Tabla14[[#This Row],[Plan Ajustado]]&gt;Tabla14[[#This Row],[En puerto a facturar]],"Si","No")</f>
        <v>Si</v>
      </c>
      <c r="AP105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105" s="3">
        <f>IF(Tabla14[[#This Row],[Necesidad]]&gt;=Tabla14[[#This Row],[Stock al día]],Tabla14[[#This Row],[Stock al día]],Tabla14[[#This Row],[Necesidad]])</f>
        <v>23995.88700000001</v>
      </c>
      <c r="AR105" s="3">
        <f>+Tabla14[[#This Row],[Necesidad]]-Tabla14[[#This Row],[Stock Plan]]</f>
        <v>4.1129999999902793</v>
      </c>
      <c r="AS105" s="155">
        <f>VLOOKUP(Tabla14[[#This Row],[Sector]]&amp;Tabla14[[#This Row],[Oficina]],[8]Ponderación!$A:$H,8,FALSE)</f>
        <v>44814</v>
      </c>
      <c r="AT105" s="30">
        <f>IFERROR(VLOOKUP(Tabla14[[#This Row],[Llave]],'[6]RV plan de ventas'!$A:$F,6,FALSE),0)</f>
        <v>0</v>
      </c>
      <c r="AU105" s="83">
        <f>IFERROR(VLOOKUP(Tabla14[[#This Row],[Llave]],[9]DELAY!$H:$X,17,FALSE),0)</f>
        <v>0.67419916666666702</v>
      </c>
      <c r="AV10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0.67419916666666702</v>
      </c>
      <c r="AW105" s="5">
        <f>Tabla14[[#This Row],[Pecio plan]]*Tabla14[[#This Row],[Plan Ajustado]]</f>
        <v>16180.780000000008</v>
      </c>
      <c r="AX105" s="30">
        <f>IFERROR(VLOOKUP(Tabla14[[#This Row],[Llave]],'[13]Ultimos precios facturados'!$A:$G,7,FALSE),0)</f>
        <v>0.67256219584883381</v>
      </c>
      <c r="AY10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2.433932248849047E-3</v>
      </c>
      <c r="AZ105" s="30">
        <f>IFERROR(VLOOKUP(Tabla14[[#This Row],[Llave]],Hoja2!B:K,10,FALSE),0)</f>
        <v>0.76571666666666705</v>
      </c>
      <c r="BA10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0.67419916666666702</v>
      </c>
      <c r="BB105" s="30">
        <v>0</v>
      </c>
      <c r="BC105" s="30">
        <f>IF(Tabla14[[#This Row],[Market]]=0,Tabla14[[#This Row],[Precio Final]],Tabla14[[#This Row],[Market]])</f>
        <v>0.67419916666666702</v>
      </c>
      <c r="BD105" s="82"/>
      <c r="BE105" s="82" t="str">
        <f>IF(AND(Tabla14[[#This Row],[Atraso a facturar]]&gt;0,Tabla14[[#This Row],[En puerto a facturar]]&gt;0,Tabla14[[#This Row],[Precio Atraso]]=0),"Revisar","OK")</f>
        <v>OK</v>
      </c>
      <c r="BF105" s="82" t="str">
        <f>IF(AND(Tabla14[[#This Row],[Venta del mes]]&gt;0,Tabla14[[#This Row],[Precio venta nueva]]=0),"Revisar","OK")</f>
        <v>OK</v>
      </c>
      <c r="BG105" s="20">
        <f>IFERROR(VLOOKUP(Tabla14[[#This Row],[Llave]],'[5]Consolidación planes'!$A:$M,9,FALSE),0)</f>
        <v>22000</v>
      </c>
      <c r="BH105" s="20">
        <f>IFERROR(VLOOKUP(Tabla14[[#This Row],[Llave]],'[5]Consolidación planes'!$A:$M,10,FALSE),0)</f>
        <v>24000</v>
      </c>
      <c r="BI105" s="20">
        <f>IFERROR(VLOOKUP(Tabla14[[#This Row],[Llave]],'[5]Consolidación planes'!$A:$M,11,FALSE),0)</f>
        <v>22000</v>
      </c>
      <c r="BJ105" s="20">
        <f>IFERROR(VLOOKUP(Tabla14[[#This Row],[Llave]],'[5]Consolidación planes'!$A:$M,12,FALSE),0)</f>
        <v>48000</v>
      </c>
      <c r="BK105" s="20">
        <f>IFERROR(VLOOKUP(Tabla14[[#This Row],[Llave]],'[5]Consolidación planes'!$A:$M,13,FALSE),0)</f>
        <v>24000</v>
      </c>
      <c r="BL105" s="20">
        <f>IFERROR(VLOOKUP(Tabla14[[#This Row],[Llave]],'[13]Base ultimos planes'!$A:$M,13,FALSE),0)</f>
        <v>48000</v>
      </c>
      <c r="BM105" s="20">
        <f>IFERROR(VLOOKUP(Tabla14[[#This Row],[Llave]],'[13]Cruce plan irrestricto'!$C:$M,10,FALSE),0)</f>
        <v>48000</v>
      </c>
      <c r="BN105" s="20">
        <f>IFERROR(VLOOKUP(Tabla14[[#This Row],[Llave]],'[13]Cruce plan irrestricto'!$C:$M,11,FALSE),0)</f>
        <v>24000</v>
      </c>
      <c r="BO105" s="80">
        <f>IFERROR(VLOOKUP(Tabla14[[#This Row],[Llave]],'[13]Base ultimos planes'!$O:$AA,8,FALSE),0)</f>
        <v>16376.75</v>
      </c>
      <c r="BP105" s="20">
        <f>IFERROR(VLOOKUP(Tabla14[[#This Row],[Llave]],'[13]Base ultimos planes'!$O:$AA,9,FALSE),0)</f>
        <v>16800</v>
      </c>
      <c r="BQ105" s="20">
        <f>IFERROR(VLOOKUP(Tabla14[[#This Row],[Llave]],'[13]Base ultimos planes'!$O:$AA,10,FALSE),0)</f>
        <v>14667</v>
      </c>
      <c r="BR105" s="20">
        <f>IFERROR(VLOOKUP(Tabla14[[#This Row],[Llave]],'[13]Base ultimos planes'!$O:$AA,11,FALSE),0)</f>
        <v>35843</v>
      </c>
      <c r="BS105" s="20">
        <f>IFERROR(VLOOKUP(Tabla14[[#This Row],[Llave]],'[13]Base ultimos planes'!$O:$AA,12,FALSE),0)</f>
        <v>17322</v>
      </c>
      <c r="BT105" s="20">
        <f>IFERROR(VLOOKUP(Tabla14[[#This Row],[Llave]],'[13]Base ultimos planes'!$O:$AA,13,FALSE),0)</f>
        <v>40800</v>
      </c>
      <c r="BU105" s="20"/>
      <c r="BV105" s="20">
        <f>Tabla14[[#This Row],[ RV Producción mes n+1]]-Tabla14[[#This Row],[Producción disponible]]+Tabla14[[#This Row],[Saldo Volumen disponible]]</f>
        <v>1269.8870000000086</v>
      </c>
      <c r="BW105" s="20">
        <f>IFERROR(VLOOKUP(Tabla14[[#This Row],[Llave]],[14]Hoja2!$J:$N,4,FALSE),0)</f>
        <v>0</v>
      </c>
      <c r="BX105" s="20">
        <f>+Tabla14[[#This Row],[Asignación mes n+1]]*Tabla14[[#This Row],[% Uti. producción]]</f>
        <v>0</v>
      </c>
      <c r="BY105" s="20">
        <f>+Tabla14[[#This Row],[Ponderación mes n+1]]+Tabla14[[#This Row],[Saldo mes n-1]]</f>
        <v>1269.8870000000086</v>
      </c>
      <c r="BZ105" s="20">
        <f>+Tabla14[[#This Row],[Asignación mes n+1]]-Tabla14[[#This Row],[Ponderación mes n+1]]</f>
        <v>0</v>
      </c>
      <c r="CA105" s="20">
        <f>IFERROR(VLOOKUP(Tabla14[[#This Row],[Llave]],[14]Hoja2!$J:$N,5,FALSE),0)</f>
        <v>0</v>
      </c>
      <c r="CB105" s="20">
        <f>+Tabla14[[#This Row],[Asignación mes n+2]]*Tabla14[[#This Row],[% Uti. producción]]</f>
        <v>0</v>
      </c>
      <c r="CC105" s="20">
        <f>+Tabla14[[#This Row],[Saldo mes n+2]]+Tabla14[[#This Row],[Ponderación mes n+2]]</f>
        <v>0</v>
      </c>
      <c r="CD105" s="20">
        <f>+Tabla14[[#This Row],[Asignación mes n+2]]-Tabla14[[#This Row],[Ponderación mes n+2]]</f>
        <v>0</v>
      </c>
    </row>
    <row r="106" spans="1:82" ht="16" x14ac:dyDescent="0.2">
      <c r="A106">
        <v>1</v>
      </c>
      <c r="B106" t="str">
        <f>Tabla14[[#This Row],[Oficina]]&amp;Tabla14[[#This Row],[Material]]</f>
        <v>Agrosuper Asia1023326</v>
      </c>
      <c r="C106" t="s">
        <v>6</v>
      </c>
      <c r="D106" t="s">
        <v>173</v>
      </c>
      <c r="E106">
        <v>1023326</v>
      </c>
      <c r="F106" t="s">
        <v>298</v>
      </c>
      <c r="G106" t="s">
        <v>76</v>
      </c>
      <c r="H106" t="s">
        <v>84</v>
      </c>
      <c r="I106" s="7">
        <f>IFERROR(IF(Tabla14[[#This Row],[Oficina]]=$I$7,VLOOKUP(Tabla14[[#This Row],[Material]],'[6]RV Producción'!$Y:$AA,3,FALSE),VLOOKUP(Tabla14[[#This Row],[Llave]],'[6]RV Producción'!$C:$G,5,FALSE)),0)</f>
        <v>20997</v>
      </c>
      <c r="J106" s="7">
        <f>IFERROR(IF(Tabla14[[#This Row],[Oficina]]=$I$7,VLOOKUP(Tabla14[[#This Row],[Llave]],'[7]Shangai (Tomas)'!$A:$F,6,FALSE),VLOOKUP(Tabla14[[#This Row],[Llave]],'[6]RV plan de ventas'!$A:$E,5,FALSE)),0)</f>
        <v>0</v>
      </c>
      <c r="K106" s="8">
        <f>IFERROR(VLOOKUP(Tabla14[[#This Row],[Sector]]&amp;Tabla14[[#This Row],[Oficina]],[8]Ponderación!$A$3:$G$22,7,FALSE),0)</f>
        <v>0.38476266834449474</v>
      </c>
      <c r="L106" s="7">
        <f>+Tabla14[[#This Row],[ RV Producción mes n+1]]*Tabla14[[#This Row],[% Uti. producción]]</f>
        <v>8078.8617472293563</v>
      </c>
      <c r="M106" s="7">
        <f>IFERROR(VLOOKUP(Tabla14[[#This Row],[Material]],'[9]TD Stock'!$B:$C,2,FALSE),0)</f>
        <v>51007.450999999979</v>
      </c>
      <c r="N106" s="7">
        <f>IFERROR(VLOOKUP(Tabla14[[#This Row],[Material]],'[10]Consolidado planificación'!$B:$C,2,FALSE),0)</f>
        <v>11867.955403606347</v>
      </c>
      <c r="O106" s="7">
        <f>IFERROR(VLOOKUP(Tabla14[[#This Row],[Llave]],[11]Hoja2!$D:$G,4,FALSE),0)</f>
        <v>0</v>
      </c>
      <c r="P106" s="14">
        <f>SUM(Tabla14[[#This Row],[Producción disponible]],Tabla14[[#This Row],[Stock al día]],(Tabla14[[#This Row],[Por producir mes N]]*0.9))-Tabla14[[#This Row],[Producción por despachar mes N]]</f>
        <v>69767.472610475044</v>
      </c>
      <c r="Q106" s="7">
        <f>IFERROR(VLOOKUP(Tabla14[[#This Row],[Llave]],[9]DELAY!$A:$D,4,FALSE),0)</f>
        <v>96000</v>
      </c>
      <c r="R106" s="9">
        <v>23000</v>
      </c>
      <c r="S106" s="5">
        <f t="shared" si="6"/>
        <v>69000</v>
      </c>
      <c r="T106" s="76">
        <v>-45000</v>
      </c>
      <c r="U106" s="5">
        <f>+Tabla14[[#This Row],[Atraso a facturar]]+Tabla14[[#This Row],[Ajuste atraso]]</f>
        <v>24000</v>
      </c>
      <c r="V106" s="3">
        <f>+Tabla14[[#This Row],[Total disponible]]-Tabla14[[#This Row],[Facturación atraso]]</f>
        <v>45767.472610475044</v>
      </c>
      <c r="W106" s="6">
        <f>IFERROR(IF(AND(V106&gt;R106,J106&gt;=R106),ROUNDDOWN((Tabla14[[#This Row],[Producción para venta nueva]])/R106,0)*R106,0),0)</f>
        <v>0</v>
      </c>
      <c r="X106" s="76">
        <v>0</v>
      </c>
      <c r="Y106" s="6">
        <f>IF(Tabla14[[#This Row],[Venta del mes]]&gt;0,Tabla14[[#This Row],[Venta del mes]]+Tabla14[[#This Row],[Ajuste venta nueva]],0)</f>
        <v>0</v>
      </c>
      <c r="Z106" s="6">
        <f>+Tabla14[[#This Row],[Producción para venta nueva]]-Tabla14[[#This Row],[Facturación Venta nueva]]</f>
        <v>45767.472610475044</v>
      </c>
      <c r="AA106" s="6">
        <f>IF(AND(A106=1,Tabla14[[#This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6" s="6">
        <v>0</v>
      </c>
      <c r="AC106" s="6">
        <f>IF(Tabla14[[#This Row],[Disponible stock sin venta]]&gt;0,Tabla14[[#This Row],[Disponible stock sin venta]]+Tabla14[[#This Row],[Ajuste stock sin venta]],0)</f>
        <v>0</v>
      </c>
      <c r="AD106" s="3">
        <f>IFERROR(VLOOKUP(Tabla14[[#This Row],[Llave]],[12]Hoja1!$A:$D,4,FALSE),0)</f>
        <v>0</v>
      </c>
      <c r="AE10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69000</v>
      </c>
      <c r="AF106" s="3">
        <v>69000</v>
      </c>
      <c r="AG106" s="3">
        <f>+Tabla14[[#This Row],[En puerto a facturar]]</f>
        <v>0</v>
      </c>
      <c r="AH106" s="3">
        <f>+Tabla14[[#This Row],[Facturación atraso]]</f>
        <v>24000</v>
      </c>
      <c r="AI106" s="3">
        <f>+Tabla14[[#This Row],[Plan Irrestricto (DATO)]]-Tabla14[[#This Row],[Puerto ]]-Tabla14[[#This Row],[Atraso]]</f>
        <v>45000</v>
      </c>
      <c r="AJ106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106" s="3">
        <f>+Tabla14[[#This Row],[Facturación atraso]]</f>
        <v>24000</v>
      </c>
      <c r="AL106" s="3">
        <f>Tabla14[[#This Row],[Plan Ajustado]]-Tabla14[[#This Row],[ Atraso ajustado]]-Tabla14[[#This Row],[En puerto a facturar]]</f>
        <v>0</v>
      </c>
      <c r="AM106" s="3" t="s">
        <v>877</v>
      </c>
      <c r="AN106" s="3"/>
      <c r="AO106" s="3" t="str">
        <f>IF(Tabla14[[#This Row],[Plan Ajustado]]&gt;Tabla14[[#This Row],[En puerto a facturar]],"Si","No")</f>
        <v>Si</v>
      </c>
      <c r="AP106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106" s="3">
        <f>IF(Tabla14[[#This Row],[Necesidad]]&gt;=Tabla14[[#This Row],[Stock al día]],Tabla14[[#This Row],[Stock al día]],Tabla14[[#This Row],[Necesidad]])</f>
        <v>24000</v>
      </c>
      <c r="AR106" s="3">
        <f>+Tabla14[[#This Row],[Necesidad]]-Tabla14[[#This Row],[Stock Plan]]</f>
        <v>0</v>
      </c>
      <c r="AS106" s="155">
        <f>VLOOKUP(Tabla14[[#This Row],[Sector]]&amp;Tabla14[[#This Row],[Oficina]],[8]Ponderación!$A:$H,8,FALSE)</f>
        <v>44814</v>
      </c>
      <c r="AT106" s="30">
        <f>IFERROR(VLOOKUP(Tabla14[[#This Row],[Llave]],'[6]RV plan de ventas'!$A:$F,6,FALSE),0)</f>
        <v>0</v>
      </c>
      <c r="AU106" s="83">
        <f>IFERROR(VLOOKUP(Tabla14[[#This Row],[Llave]],[9]DELAY!$H:$X,17,FALSE),0)</f>
        <v>0.80698593749999992</v>
      </c>
      <c r="AV10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0.80698593749999992</v>
      </c>
      <c r="AW106" s="5">
        <f>Tabla14[[#This Row],[Pecio plan]]*Tabla14[[#This Row],[Plan Ajustado]]</f>
        <v>19367.662499999999</v>
      </c>
      <c r="AX106" s="30">
        <f>IFERROR(VLOOKUP(Tabla14[[#This Row],[Llave]],'[13]Ultimos precios facturados'!$A:$G,7,FALSE),0)</f>
        <v>0.79162784757732074</v>
      </c>
      <c r="AY10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1.9400643837480847E-2</v>
      </c>
      <c r="AZ106" s="30">
        <f>IFERROR(VLOOKUP(Tabla14[[#This Row],[Llave]],Hoja2!B:K,10,FALSE),0)</f>
        <v>0.95</v>
      </c>
      <c r="BA10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0.80698593749999992</v>
      </c>
      <c r="BB106" s="30">
        <v>0</v>
      </c>
      <c r="BC106" s="30">
        <f>IF(Tabla14[[#This Row],[Market]]=0,Tabla14[[#This Row],[Precio Final]],Tabla14[[#This Row],[Market]])</f>
        <v>0.80698593749999992</v>
      </c>
      <c r="BD106" s="82"/>
      <c r="BE106" s="82" t="str">
        <f>IF(AND(Tabla14[[#This Row],[Atraso a facturar]]&gt;0,Tabla14[[#This Row],[En puerto a facturar]]&gt;0,Tabla14[[#This Row],[Precio Atraso]]=0),"Revisar","OK")</f>
        <v>OK</v>
      </c>
      <c r="BF106" s="82" t="str">
        <f>IF(AND(Tabla14[[#This Row],[Venta del mes]]&gt;0,Tabla14[[#This Row],[Precio venta nueva]]=0),"Revisar","OK")</f>
        <v>OK</v>
      </c>
      <c r="BG106" s="20">
        <f>IFERROR(VLOOKUP(Tabla14[[#This Row],[Llave]],'[5]Consolidación planes'!$A:$M,9,FALSE),0)</f>
        <v>0</v>
      </c>
      <c r="BH106" s="20">
        <f>IFERROR(VLOOKUP(Tabla14[[#This Row],[Llave]],'[5]Consolidación planes'!$A:$M,10,FALSE),0)</f>
        <v>0</v>
      </c>
      <c r="BI106" s="20">
        <f>IFERROR(VLOOKUP(Tabla14[[#This Row],[Llave]],'[5]Consolidación planes'!$A:$M,11,FALSE),0)</f>
        <v>44000</v>
      </c>
      <c r="BJ106" s="20">
        <f>IFERROR(VLOOKUP(Tabla14[[#This Row],[Llave]],'[5]Consolidación planes'!$A:$M,12,FALSE),0)</f>
        <v>48000</v>
      </c>
      <c r="BK106" s="20">
        <f>IFERROR(VLOOKUP(Tabla14[[#This Row],[Llave]],'[5]Consolidación planes'!$A:$M,13,FALSE),0)</f>
        <v>48003</v>
      </c>
      <c r="BL106" s="20">
        <f>IFERROR(VLOOKUP(Tabla14[[#This Row],[Llave]],'[13]Base ultimos planes'!$A:$M,13,FALSE),0)</f>
        <v>48000</v>
      </c>
      <c r="BM106" s="20">
        <f>IFERROR(VLOOKUP(Tabla14[[#This Row],[Llave]],'[13]Cruce plan irrestricto'!$C:$M,10,FALSE),0)</f>
        <v>24000</v>
      </c>
      <c r="BN106" s="20">
        <f>IFERROR(VLOOKUP(Tabla14[[#This Row],[Llave]],'[13]Cruce plan irrestricto'!$C:$M,11,FALSE),0)</f>
        <v>48000</v>
      </c>
      <c r="BO106" s="80">
        <f>IFERROR(VLOOKUP(Tabla14[[#This Row],[Llave]],'[13]Base ultimos planes'!$O:$AA,8,FALSE),0)</f>
        <v>0</v>
      </c>
      <c r="BP106" s="20">
        <f>IFERROR(VLOOKUP(Tabla14[[#This Row],[Llave]],'[13]Base ultimos planes'!$O:$AA,9,FALSE),0)</f>
        <v>0</v>
      </c>
      <c r="BQ106" s="20">
        <f>IFERROR(VLOOKUP(Tabla14[[#This Row],[Llave]],'[13]Base ultimos planes'!$O:$AA,10,FALSE),0)</f>
        <v>35200</v>
      </c>
      <c r="BR106" s="20">
        <f>IFERROR(VLOOKUP(Tabla14[[#This Row],[Llave]],'[13]Base ultimos planes'!$O:$AA,11,FALSE),0)</f>
        <v>45600</v>
      </c>
      <c r="BS106" s="20">
        <f>IFERROR(VLOOKUP(Tabla14[[#This Row],[Llave]],'[13]Base ultimos planes'!$O:$AA,12,FALSE),0)</f>
        <v>37999</v>
      </c>
      <c r="BT106" s="20">
        <f>IFERROR(VLOOKUP(Tabla14[[#This Row],[Llave]],'[13]Base ultimos planes'!$O:$AA,13,FALSE),0)</f>
        <v>39917</v>
      </c>
      <c r="BU106" s="20"/>
      <c r="BV106" s="20">
        <f>Tabla14[[#This Row],[ RV Producción mes n+1]]-Tabla14[[#This Row],[Producción disponible]]+Tabla14[[#This Row],[Saldo Volumen disponible]]</f>
        <v>58685.610863245689</v>
      </c>
      <c r="BW106" s="20">
        <f>IFERROR(VLOOKUP(Tabla14[[#This Row],[Llave]],[14]Hoja2!$J:$N,4,FALSE),0)</f>
        <v>0</v>
      </c>
      <c r="BX106" s="20">
        <f>+Tabla14[[#This Row],[Asignación mes n+1]]*Tabla14[[#This Row],[% Uti. producción]]</f>
        <v>0</v>
      </c>
      <c r="BY106" s="20">
        <f>+Tabla14[[#This Row],[Ponderación mes n+1]]+Tabla14[[#This Row],[Saldo mes n-1]]</f>
        <v>58685.610863245689</v>
      </c>
      <c r="BZ106" s="20">
        <f>+Tabla14[[#This Row],[Asignación mes n+1]]-Tabla14[[#This Row],[Ponderación mes n+1]]</f>
        <v>0</v>
      </c>
      <c r="CA106" s="20">
        <f>IFERROR(VLOOKUP(Tabla14[[#This Row],[Llave]],[14]Hoja2!$J:$N,5,FALSE),0)</f>
        <v>0</v>
      </c>
      <c r="CB106" s="20">
        <f>+Tabla14[[#This Row],[Asignación mes n+2]]*Tabla14[[#This Row],[% Uti. producción]]</f>
        <v>0</v>
      </c>
      <c r="CC106" s="20">
        <f>+Tabla14[[#This Row],[Saldo mes n+2]]+Tabla14[[#This Row],[Ponderación mes n+2]]</f>
        <v>0</v>
      </c>
      <c r="CD106" s="20">
        <f>+Tabla14[[#This Row],[Asignación mes n+2]]-Tabla14[[#This Row],[Ponderación mes n+2]]</f>
        <v>0</v>
      </c>
    </row>
    <row r="107" spans="1:82" ht="16" x14ac:dyDescent="0.2">
      <c r="A107">
        <v>2</v>
      </c>
      <c r="B107" t="str">
        <f>Tabla14[[#This Row],[Oficina]]&amp;Tabla14[[#This Row],[Material]]</f>
        <v>Agrosuper Brasil1021864</v>
      </c>
      <c r="C107" t="s">
        <v>6</v>
      </c>
      <c r="D107" t="s">
        <v>7</v>
      </c>
      <c r="E107">
        <v>1021864</v>
      </c>
      <c r="F107" t="s">
        <v>10</v>
      </c>
      <c r="G107" t="s">
        <v>8</v>
      </c>
      <c r="H107" t="s">
        <v>9</v>
      </c>
      <c r="I107" s="7">
        <f>IFERROR(IF(Tabla14[[#This Row],[Oficina]]=$I$7,VLOOKUP(Tabla14[[#This Row],[Material]],'[6]RV Producción'!$Y:$AA,3,FALSE),VLOOKUP(Tabla14[[#This Row],[Llave]],'[6]RV Producción'!$C:$G,5,FALSE)),0)</f>
        <v>61480</v>
      </c>
      <c r="J107" s="7">
        <f>IFERROR(IF(Tabla14[[#This Row],[Oficina]]=$I$7,VLOOKUP(Tabla14[[#This Row],[Llave]],'[7]Shangai (Tomas)'!$A:$F,6,FALSE),VLOOKUP(Tabla14[[#This Row],[Llave]],'[6]RV plan de ventas'!$A:$E,5,FALSE)),0)</f>
        <v>48000</v>
      </c>
      <c r="K107" s="8">
        <f>IFERROR(VLOOKUP(Tabla14[[#This Row],[Sector]]&amp;Tabla14[[#This Row],[Oficina]],[8]Ponderación!$A$3:$G$22,7,FALSE),0)</f>
        <v>0.77338883776001444</v>
      </c>
      <c r="L107" s="7">
        <f>+Tabla14[[#This Row],[ RV Producción mes n+1]]*Tabla14[[#This Row],[% Uti. producción]]</f>
        <v>47547.945745485689</v>
      </c>
      <c r="M107" s="7">
        <f>IFERROR(VLOOKUP(Tabla14[[#This Row],[Material]],'[9]TD Stock'!$B:$C,2,FALSE),0)</f>
        <v>13477.258000000002</v>
      </c>
      <c r="N107" s="7">
        <f>IFERROR(VLOOKUP(Tabla14[[#This Row],[Material]],'[10]Consolidado planificación'!$B:$C,2,FALSE),0)</f>
        <v>13025.359886711134</v>
      </c>
      <c r="O107" s="7">
        <f>IFERROR(VLOOKUP(Tabla14[[#This Row],[Llave]],[11]Hoja2!$D:$G,4,FALSE),0)</f>
        <v>0</v>
      </c>
      <c r="P107" s="14">
        <f>SUM(Tabla14[[#This Row],[Producción disponible]],Tabla14[[#This Row],[Stock al día]],(Tabla14[[#This Row],[Por producir mes N]]*0.9))-Tabla14[[#This Row],[Producción por despachar mes N]]</f>
        <v>72748.027643525711</v>
      </c>
      <c r="Q107" s="7">
        <f>IFERROR(VLOOKUP(Tabla14[[#This Row],[Llave]],[9]DELAY!$A:$D,4,FALSE),0)</f>
        <v>24000</v>
      </c>
      <c r="R107" s="9">
        <v>23000</v>
      </c>
      <c r="S107" s="5">
        <f t="shared" si="6"/>
        <v>24000</v>
      </c>
      <c r="T107" s="76">
        <v>0</v>
      </c>
      <c r="U107" s="5">
        <f>+Tabla14[[#This Row],[Atraso a facturar]]+Tabla14[[#This Row],[Ajuste atraso]]</f>
        <v>24000</v>
      </c>
      <c r="V107" s="3">
        <f>+Tabla14[[#This Row],[Total disponible]]-Tabla14[[#This Row],[Facturación atraso]]</f>
        <v>48748.027643525711</v>
      </c>
      <c r="W107" s="6">
        <f>IFERROR(IF(AND(V107&gt;R107,J107&gt;=R107),ROUNDDOWN((Tabla14[[#This Row],[Producción para venta nueva]])/R107,0)*R107,0),0)</f>
        <v>46000</v>
      </c>
      <c r="X107" s="76">
        <v>-46000</v>
      </c>
      <c r="Y107" s="6">
        <f>IF(Tabla14[[#This Row],[Venta del mes]]&gt;0,Tabla14[[#This Row],[Venta del mes]]+Tabla14[[#This Row],[Ajuste venta nueva]],0)</f>
        <v>0</v>
      </c>
      <c r="Z107" s="6">
        <f>+Tabla14[[#This Row],[Producción para venta nueva]]-Tabla14[[#This Row],[Facturación Venta nueva]]</f>
        <v>48748.027643525711</v>
      </c>
      <c r="AA107" s="6">
        <f>IF(AND(A107=1,Tabla14[[#This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7" s="6">
        <v>0</v>
      </c>
      <c r="AC107" s="6">
        <f>IF(Tabla14[[#This Row],[Disponible stock sin venta]]&gt;0,Tabla14[[#This Row],[Disponible stock sin venta]]+Tabla14[[#This Row],[Ajuste stock sin venta]],0)</f>
        <v>0</v>
      </c>
      <c r="AD107" s="3">
        <f>IFERROR(VLOOKUP(Tabla14[[#This Row],[Llave]],[12]Hoja1!$A:$D,4,FALSE),0)</f>
        <v>0</v>
      </c>
      <c r="AE10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70000</v>
      </c>
      <c r="AF107" s="3">
        <v>70000</v>
      </c>
      <c r="AG107" s="3">
        <f>+Tabla14[[#This Row],[En puerto a facturar]]</f>
        <v>0</v>
      </c>
      <c r="AH107" s="3">
        <f>+Tabla14[[#This Row],[Facturación atraso]]</f>
        <v>24000</v>
      </c>
      <c r="AI107" s="3">
        <f>+Tabla14[[#This Row],[Plan Irrestricto (DATO)]]-Tabla14[[#This Row],[Puerto ]]-Tabla14[[#This Row],[Atraso]]</f>
        <v>46000</v>
      </c>
      <c r="AJ107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107" s="3">
        <f>+Tabla14[[#This Row],[Facturación atraso]]</f>
        <v>24000</v>
      </c>
      <c r="AL107" s="3">
        <f>Tabla14[[#This Row],[Plan Ajustado]]-Tabla14[[#This Row],[ Atraso ajustado]]-Tabla14[[#This Row],[En puerto a facturar]]</f>
        <v>0</v>
      </c>
      <c r="AM107" s="3" t="s">
        <v>875</v>
      </c>
      <c r="AN107" s="3" t="s">
        <v>906</v>
      </c>
      <c r="AO107" s="3" t="str">
        <f>IF(Tabla14[[#This Row],[Plan Ajustado]]&gt;Tabla14[[#This Row],[En puerto a facturar]],"Si","No")</f>
        <v>Si</v>
      </c>
      <c r="AP107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107" s="3">
        <f>IF(Tabla14[[#This Row],[Necesidad]]&gt;=Tabla14[[#This Row],[Stock al día]],Tabla14[[#This Row],[Stock al día]],Tabla14[[#This Row],[Necesidad]])</f>
        <v>13477.258000000002</v>
      </c>
      <c r="AR107" s="3">
        <f>+Tabla14[[#This Row],[Necesidad]]-Tabla14[[#This Row],[Stock Plan]]</f>
        <v>10522.741999999998</v>
      </c>
      <c r="AS107" s="155">
        <f>VLOOKUP(Tabla14[[#This Row],[Sector]]&amp;Tabla14[[#This Row],[Oficina]],[8]Ponderación!$A:$H,8,FALSE)</f>
        <v>44817</v>
      </c>
      <c r="AT107" s="30">
        <f>IFERROR(VLOOKUP(Tabla14[[#This Row],[Llave]],'[6]RV plan de ventas'!$A:$F,6,FALSE),0)</f>
        <v>0.63666666666666705</v>
      </c>
      <c r="AU107" s="83">
        <f>IFERROR(VLOOKUP(Tabla14[[#This Row],[Llave]],[9]DELAY!$H:$X,17,FALSE),0)</f>
        <v>0.55000000000000004</v>
      </c>
      <c r="AV10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0.55000000000000004</v>
      </c>
      <c r="AW107" s="5">
        <f>Tabla14[[#This Row],[Pecio plan]]*Tabla14[[#This Row],[Plan Ajustado]]</f>
        <v>13200.000000000002</v>
      </c>
      <c r="AX107" s="30">
        <f>IFERROR(VLOOKUP(Tabla14[[#This Row],[Llave]],'[13]Ultimos precios facturados'!$A:$G,7,FALSE),0)</f>
        <v>0.55000000000000004</v>
      </c>
      <c r="AY10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</v>
      </c>
      <c r="AZ107" s="30">
        <f>IFERROR(VLOOKUP(Tabla14[[#This Row],[Llave]],Hoja2!B:K,10,FALSE),0)</f>
        <v>0.5</v>
      </c>
      <c r="BA10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0.55000000000000004</v>
      </c>
      <c r="BB107" s="30">
        <v>0.55000000000000004</v>
      </c>
      <c r="BC107" s="30">
        <f>IF(Tabla14[[#This Row],[Market]]=0,Tabla14[[#This Row],[Precio Final]],Tabla14[[#This Row],[Market]])</f>
        <v>0.55000000000000004</v>
      </c>
      <c r="BD107" s="82"/>
      <c r="BE107" s="82" t="str">
        <f>IF(AND(Tabla14[[#This Row],[Atraso a facturar]]&gt;0,Tabla14[[#This Row],[En puerto a facturar]]&gt;0,Tabla14[[#This Row],[Precio Atraso]]=0),"Revisar","OK")</f>
        <v>OK</v>
      </c>
      <c r="BF107" s="82" t="str">
        <f>IF(AND(Tabla14[[#This Row],[Venta del mes]]&gt;0,Tabla14[[#This Row],[Precio venta nueva]]=0),"Revisar","OK")</f>
        <v>OK</v>
      </c>
      <c r="BG107" s="20">
        <f>IFERROR(VLOOKUP(Tabla14[[#This Row],[Llave]],'[5]Consolidación planes'!$A:$M,9,FALSE),0)</f>
        <v>48000</v>
      </c>
      <c r="BH107" s="20">
        <f>IFERROR(VLOOKUP(Tabla14[[#This Row],[Llave]],'[5]Consolidación planes'!$A:$M,10,FALSE),0)</f>
        <v>48000</v>
      </c>
      <c r="BI107" s="20">
        <f>IFERROR(VLOOKUP(Tabla14[[#This Row],[Llave]],'[5]Consolidación planes'!$A:$M,11,FALSE),0)</f>
        <v>48000</v>
      </c>
      <c r="BJ107" s="20">
        <f>IFERROR(VLOOKUP(Tabla14[[#This Row],[Llave]],'[5]Consolidación planes'!$A:$M,12,FALSE),0)</f>
        <v>24000</v>
      </c>
      <c r="BK107" s="20">
        <f>IFERROR(VLOOKUP(Tabla14[[#This Row],[Llave]],'[5]Consolidación planes'!$A:$M,13,FALSE),0)</f>
        <v>48000</v>
      </c>
      <c r="BL107" s="20">
        <f>IFERROR(VLOOKUP(Tabla14[[#This Row],[Llave]],'[13]Base ultimos planes'!$A:$M,13,FALSE),0)</f>
        <v>48000</v>
      </c>
      <c r="BM107" s="20">
        <f>IFERROR(VLOOKUP(Tabla14[[#This Row],[Llave]],'[13]Cruce plan irrestricto'!$C:$M,10,FALSE),0)</f>
        <v>0</v>
      </c>
      <c r="BN107" s="20">
        <f>IFERROR(VLOOKUP(Tabla14[[#This Row],[Llave]],'[13]Cruce plan irrestricto'!$C:$M,11,FALSE),0)</f>
        <v>72000</v>
      </c>
      <c r="BO107" s="80">
        <f>IFERROR(VLOOKUP(Tabla14[[#This Row],[Llave]],'[13]Base ultimos planes'!$O:$AA,8,FALSE),0)</f>
        <v>26400</v>
      </c>
      <c r="BP107" s="20">
        <f>IFERROR(VLOOKUP(Tabla14[[#This Row],[Llave]],'[13]Base ultimos planes'!$O:$AA,9,FALSE),0)</f>
        <v>26400</v>
      </c>
      <c r="BQ107" s="20">
        <f>IFERROR(VLOOKUP(Tabla14[[#This Row],[Llave]],'[13]Base ultimos planes'!$O:$AA,10,FALSE),0)</f>
        <v>26400</v>
      </c>
      <c r="BR107" s="20">
        <f>IFERROR(VLOOKUP(Tabla14[[#This Row],[Llave]],'[13]Base ultimos planes'!$O:$AA,11,FALSE),0)</f>
        <v>12000</v>
      </c>
      <c r="BS107" s="20">
        <f>IFERROR(VLOOKUP(Tabla14[[#This Row],[Llave]],'[13]Base ultimos planes'!$O:$AA,12,FALSE),0)</f>
        <v>26400</v>
      </c>
      <c r="BT107" s="20">
        <f>IFERROR(VLOOKUP(Tabla14[[#This Row],[Llave]],'[13]Base ultimos planes'!$O:$AA,13,FALSE),0)</f>
        <v>23734</v>
      </c>
      <c r="BU107" s="20"/>
      <c r="BV107" s="20">
        <f>Tabla14[[#This Row],[ RV Producción mes n+1]]-Tabla14[[#This Row],[Producción disponible]]+Tabla14[[#This Row],[Saldo Volumen disponible]]</f>
        <v>62680.081898040022</v>
      </c>
      <c r="BW107" s="20">
        <f>IFERROR(VLOOKUP(Tabla14[[#This Row],[Llave]],[14]Hoja2!$J:$N,4,FALSE),0)</f>
        <v>48000.000200000002</v>
      </c>
      <c r="BX107" s="20">
        <f>+Tabla14[[#This Row],[Asignación mes n+1]]*Tabla14[[#This Row],[% Uti. producción]]</f>
        <v>37122.664367158461</v>
      </c>
      <c r="BY107" s="20">
        <f>+Tabla14[[#This Row],[Ponderación mes n+1]]+Tabla14[[#This Row],[Saldo mes n-1]]</f>
        <v>99802.746265198482</v>
      </c>
      <c r="BZ107" s="20">
        <f>+Tabla14[[#This Row],[Asignación mes n+1]]-Tabla14[[#This Row],[Ponderación mes n+1]]</f>
        <v>10877.335832841542</v>
      </c>
      <c r="CA107" s="20">
        <f>IFERROR(VLOOKUP(Tabla14[[#This Row],[Llave]],[14]Hoja2!$J:$N,5,FALSE),0)</f>
        <v>47999.999600000003</v>
      </c>
      <c r="CB107" s="20">
        <f>+Tabla14[[#This Row],[Asignación mes n+2]]*Tabla14[[#This Row],[% Uti. producción]]</f>
        <v>37122.663903125162</v>
      </c>
      <c r="CC107" s="20">
        <f>+Tabla14[[#This Row],[Saldo mes n+2]]+Tabla14[[#This Row],[Ponderación mes n+2]]</f>
        <v>47999.999735966703</v>
      </c>
      <c r="CD107" s="20">
        <f>+Tabla14[[#This Row],[Asignación mes n+2]]-Tabla14[[#This Row],[Ponderación mes n+2]]</f>
        <v>10877.335696874841</v>
      </c>
    </row>
    <row r="108" spans="1:82" ht="16" x14ac:dyDescent="0.2">
      <c r="A108">
        <v>1</v>
      </c>
      <c r="B108" t="str">
        <f>Tabla14[[#This Row],[Oficina]]&amp;Tabla14[[#This Row],[Material]]</f>
        <v>Agrosuper Brasil1022217</v>
      </c>
      <c r="C108" t="s">
        <v>6</v>
      </c>
      <c r="D108" t="s">
        <v>7</v>
      </c>
      <c r="E108">
        <v>1022217</v>
      </c>
      <c r="F108" t="s">
        <v>16</v>
      </c>
      <c r="G108" t="s">
        <v>11</v>
      </c>
      <c r="H108" t="s">
        <v>15</v>
      </c>
      <c r="I108" s="7">
        <f>IFERROR(IF(Tabla14[[#This Row],[Oficina]]=$I$7,VLOOKUP(Tabla14[[#This Row],[Material]],'[6]RV Producción'!$Y:$AA,3,FALSE),VLOOKUP(Tabla14[[#This Row],[Llave]],'[6]RV Producción'!$C:$G,5,FALSE)),0)</f>
        <v>363942</v>
      </c>
      <c r="J108" s="7">
        <f>IFERROR(IF(Tabla14[[#This Row],[Oficina]]=$I$7,VLOOKUP(Tabla14[[#This Row],[Llave]],'[7]Shangai (Tomas)'!$A:$F,6,FALSE),VLOOKUP(Tabla14[[#This Row],[Llave]],'[6]RV plan de ventas'!$A:$E,5,FALSE)),0)</f>
        <v>312000</v>
      </c>
      <c r="K108" s="8">
        <f>IFERROR(VLOOKUP(Tabla14[[#This Row],[Sector]]&amp;Tabla14[[#This Row],[Oficina]],[8]Ponderación!$A$3:$G$22,7,FALSE),0)</f>
        <v>0.77338883776001444</v>
      </c>
      <c r="L108" s="7">
        <f>+Tabla14[[#This Row],[ RV Producción mes n+1]]*Tabla14[[#This Row],[% Uti. producción]]</f>
        <v>281468.68039205519</v>
      </c>
      <c r="M108" s="7">
        <f>IFERROR(VLOOKUP(Tabla14[[#This Row],[Material]],'[9]TD Stock'!$B:$C,2,FALSE),0)</f>
        <v>180863.94400000016</v>
      </c>
      <c r="N108" s="7">
        <f>IFERROR(VLOOKUP(Tabla14[[#This Row],[Material]],'[10]Consolidado planificación'!$B:$C,2,FALSE),0)</f>
        <v>12861.67327406388</v>
      </c>
      <c r="O108" s="7">
        <f>IFERROR(VLOOKUP(Tabla14[[#This Row],[Llave]],[11]Hoja2!$D:$G,4,FALSE),0)</f>
        <v>0</v>
      </c>
      <c r="P108" s="14">
        <f>SUM(Tabla14[[#This Row],[Producción disponible]],Tabla14[[#This Row],[Stock al día]],(Tabla14[[#This Row],[Por producir mes N]]*0.9))-Tabla14[[#This Row],[Producción por despachar mes N]]</f>
        <v>473908.13033871283</v>
      </c>
      <c r="Q108" s="7">
        <f>IFERROR(VLOOKUP(Tabla14[[#This Row],[Llave]],[9]DELAY!$A:$D,4,FALSE),0)</f>
        <v>264000</v>
      </c>
      <c r="R108" s="9">
        <v>23000</v>
      </c>
      <c r="S108" s="5">
        <f t="shared" si="6"/>
        <v>264000</v>
      </c>
      <c r="T108" s="76">
        <v>0</v>
      </c>
      <c r="U108" s="5">
        <f>+Tabla14[[#This Row],[Atraso a facturar]]+Tabla14[[#This Row],[Ajuste atraso]]</f>
        <v>264000</v>
      </c>
      <c r="V108" s="3">
        <f>+Tabla14[[#This Row],[Total disponible]]-Tabla14[[#This Row],[Facturación atraso]]</f>
        <v>209908.13033871283</v>
      </c>
      <c r="W108" s="6">
        <f>IFERROR(IF(AND(V108&gt;R108,J108&gt;=R108),ROUNDDOWN((Tabla14[[#This Row],[Producción para venta nueva]])/R108,0)*R108,0),0)</f>
        <v>207000</v>
      </c>
      <c r="X108" s="76">
        <v>-207000</v>
      </c>
      <c r="Y108" s="6">
        <f>IF(Tabla14[[#This Row],[Venta del mes]]&gt;0,Tabla14[[#This Row],[Venta del mes]]+Tabla14[[#This Row],[Ajuste venta nueva]],0)</f>
        <v>0</v>
      </c>
      <c r="Z108" s="6">
        <f>+Tabla14[[#This Row],[Producción para venta nueva]]-Tabla14[[#This Row],[Facturación Venta nueva]]</f>
        <v>209908.13033871283</v>
      </c>
      <c r="AA108" s="6">
        <f>IF(AND(A108=1,Tabla14[[#This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8" s="6">
        <v>0</v>
      </c>
      <c r="AC108" s="6">
        <f>IF(Tabla14[[#This Row],[Disponible stock sin venta]]&gt;0,Tabla14[[#This Row],[Disponible stock sin venta]]+Tabla14[[#This Row],[Ajuste stock sin venta]],0)</f>
        <v>0</v>
      </c>
      <c r="AD108" s="3">
        <f>IFERROR(VLOOKUP(Tabla14[[#This Row],[Llave]],[12]Hoja1!$A:$D,4,FALSE),0)</f>
        <v>0</v>
      </c>
      <c r="AE10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471000</v>
      </c>
      <c r="AF108" s="3">
        <v>471000</v>
      </c>
      <c r="AG108" s="3">
        <f>+Tabla14[[#This Row],[En puerto a facturar]]</f>
        <v>0</v>
      </c>
      <c r="AH108" s="3">
        <f>+Tabla14[[#This Row],[Facturación atraso]]</f>
        <v>264000</v>
      </c>
      <c r="AI108" s="3">
        <f>+Tabla14[[#This Row],[Plan Irrestricto (DATO)]]-Tabla14[[#This Row],[Puerto ]]-Tabla14[[#This Row],[Atraso]]</f>
        <v>207000</v>
      </c>
      <c r="AJ108" s="6">
        <f>IF(Tabla14[[#This Row],[Plan Irrestricto (DATO)]]&gt;0,SUM(Tabla14[[#This Row],[Facturación atraso]],Tabla14[[#This Row],[Facturación Venta nueva]],Tabla14[[#This Row],[Facturación stock]],Tabla14[[#This Row],[En puerto a facturar]]),0)</f>
        <v>264000</v>
      </c>
      <c r="AK108" s="3">
        <f>+Tabla14[[#This Row],[Facturación atraso]]</f>
        <v>264000</v>
      </c>
      <c r="AL108" s="3">
        <f>Tabla14[[#This Row],[Plan Ajustado]]-Tabla14[[#This Row],[ Atraso ajustado]]-Tabla14[[#This Row],[En puerto a facturar]]</f>
        <v>0</v>
      </c>
      <c r="AM108" s="3" t="s">
        <v>875</v>
      </c>
      <c r="AN108" s="3" t="s">
        <v>907</v>
      </c>
      <c r="AO108" s="3" t="str">
        <f>IF(Tabla14[[#This Row],[Plan Ajustado]]&gt;Tabla14[[#This Row],[En puerto a facturar]],"Si","No")</f>
        <v>Si</v>
      </c>
      <c r="AP108" s="3">
        <f>IF(AND(Tabla14[[#This Row],[Plan Ajustado]]&gt;0,Tabla14[[#This Row],[Plan Ajustado]]&gt;Tabla14[[#This Row],[En puerto a facturar]]),(Tabla14[[#This Row],[Plan Ajustado]]-Tabla14[[#This Row],[En puerto a facturar]]),0)</f>
        <v>264000</v>
      </c>
      <c r="AQ108" s="3">
        <f>IF(Tabla14[[#This Row],[Necesidad]]&gt;=Tabla14[[#This Row],[Stock al día]],Tabla14[[#This Row],[Stock al día]],Tabla14[[#This Row],[Necesidad]])</f>
        <v>180863.94400000016</v>
      </c>
      <c r="AR108" s="3">
        <f>+Tabla14[[#This Row],[Necesidad]]-Tabla14[[#This Row],[Stock Plan]]</f>
        <v>83136.055999999837</v>
      </c>
      <c r="AS108" s="155">
        <f>VLOOKUP(Tabla14[[#This Row],[Sector]]&amp;Tabla14[[#This Row],[Oficina]],[8]Ponderación!$A:$H,8,FALSE)</f>
        <v>44817</v>
      </c>
      <c r="AT108" s="30">
        <f>IFERROR(VLOOKUP(Tabla14[[#This Row],[Llave]],'[6]RV plan de ventas'!$A:$F,6,FALSE),0)</f>
        <v>1.73667307692308</v>
      </c>
      <c r="AU108" s="83">
        <f>IFERROR(VLOOKUP(Tabla14[[#This Row],[Llave]],[9]DELAY!$H:$X,17,FALSE),0)</f>
        <v>1.85663704545455</v>
      </c>
      <c r="AV10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1.85663704545455</v>
      </c>
      <c r="AW108" s="5">
        <f>Tabla14[[#This Row],[Pecio plan]]*Tabla14[[#This Row],[Plan Ajustado]]</f>
        <v>448799.34374067816</v>
      </c>
      <c r="AX108" s="30">
        <f>IFERROR(VLOOKUP(Tabla14[[#This Row],[Llave]],'[13]Ultimos precios facturados'!$A:$G,7,FALSE),0)</f>
        <v>1.5892208235126042</v>
      </c>
      <c r="AY10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0.16826876289657736</v>
      </c>
      <c r="AZ108" s="30">
        <f>IFERROR(VLOOKUP(Tabla14[[#This Row],[Llave]],Hoja2!B:K,10,FALSE),0)</f>
        <v>1.5</v>
      </c>
      <c r="BA10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1.85663704545455</v>
      </c>
      <c r="BB108" s="30">
        <v>1.6999975141692354</v>
      </c>
      <c r="BC108" s="30">
        <f>IF(Tabla14[[#This Row],[Market]]=0,Tabla14[[#This Row],[Precio Final]],Tabla14[[#This Row],[Market]])</f>
        <v>1.6999975141692354</v>
      </c>
      <c r="BD108" s="82"/>
      <c r="BE108" s="82" t="str">
        <f>IF(AND(Tabla14[[#This Row],[Atraso a facturar]]&gt;0,Tabla14[[#This Row],[En puerto a facturar]]&gt;0,Tabla14[[#This Row],[Precio Atraso]]=0),"Revisar","OK")</f>
        <v>OK</v>
      </c>
      <c r="BF108" s="82" t="str">
        <f>IF(AND(Tabla14[[#This Row],[Venta del mes]]&gt;0,Tabla14[[#This Row],[Precio venta nueva]]=0),"Revisar","OK")</f>
        <v>OK</v>
      </c>
      <c r="BG108" s="20">
        <f>IFERROR(VLOOKUP(Tabla14[[#This Row],[Llave]],'[5]Consolidación planes'!$A:$M,9,FALSE),0)</f>
        <v>96000</v>
      </c>
      <c r="BH108" s="20">
        <f>IFERROR(VLOOKUP(Tabla14[[#This Row],[Llave]],'[5]Consolidación planes'!$A:$M,10,FALSE),0)</f>
        <v>47994</v>
      </c>
      <c r="BI108" s="20">
        <f>IFERROR(VLOOKUP(Tabla14[[#This Row],[Llave]],'[5]Consolidación planes'!$A:$M,11,FALSE),0)</f>
        <v>72000</v>
      </c>
      <c r="BJ108" s="20">
        <f>IFERROR(VLOOKUP(Tabla14[[#This Row],[Llave]],'[5]Consolidación planes'!$A:$M,12,FALSE),0)</f>
        <v>264000</v>
      </c>
      <c r="BK108" s="20">
        <f>IFERROR(VLOOKUP(Tabla14[[#This Row],[Llave]],'[5]Consolidación planes'!$A:$M,13,FALSE),0)</f>
        <v>168000</v>
      </c>
      <c r="BL108" s="20">
        <f>IFERROR(VLOOKUP(Tabla14[[#This Row],[Llave]],'[13]Base ultimos planes'!$A:$M,13,FALSE),0)</f>
        <v>216000</v>
      </c>
      <c r="BM108" s="20">
        <f>IFERROR(VLOOKUP(Tabla14[[#This Row],[Llave]],'[13]Cruce plan irrestricto'!$C:$M,10,FALSE),0)</f>
        <v>168000</v>
      </c>
      <c r="BN108" s="20">
        <f>IFERROR(VLOOKUP(Tabla14[[#This Row],[Llave]],'[13]Cruce plan irrestricto'!$C:$M,11,FALSE),0)</f>
        <v>192000</v>
      </c>
      <c r="BO108" s="80">
        <f>IFERROR(VLOOKUP(Tabla14[[#This Row],[Llave]],'[13]Base ultimos planes'!$O:$AA,8,FALSE),0)</f>
        <v>153600</v>
      </c>
      <c r="BP108" s="20">
        <f>IFERROR(VLOOKUP(Tabla14[[#This Row],[Llave]],'[13]Base ultimos planes'!$O:$AA,9,FALSE),0)</f>
        <v>64392</v>
      </c>
      <c r="BQ108" s="20">
        <f>IFERROR(VLOOKUP(Tabla14[[#This Row],[Llave]],'[13]Base ultimos planes'!$O:$AA,10,FALSE),0)</f>
        <v>103820</v>
      </c>
      <c r="BR108" s="20">
        <f>IFERROR(VLOOKUP(Tabla14[[#This Row],[Llave]],'[13]Base ultimos planes'!$O:$AA,11,FALSE),0)</f>
        <v>414000</v>
      </c>
      <c r="BS108" s="20">
        <f>IFERROR(VLOOKUP(Tabla14[[#This Row],[Llave]],'[13]Base ultimos planes'!$O:$AA,12,FALSE),0)</f>
        <v>279600</v>
      </c>
      <c r="BT108" s="20">
        <f>IFERROR(VLOOKUP(Tabla14[[#This Row],[Llave]],'[13]Base ultimos planes'!$O:$AA,13,FALSE),0)</f>
        <v>335772</v>
      </c>
      <c r="BU108" s="20"/>
      <c r="BV108" s="20">
        <f>Tabla14[[#This Row],[ RV Producción mes n+1]]-Tabla14[[#This Row],[Producción disponible]]+Tabla14[[#This Row],[Saldo Volumen disponible]]</f>
        <v>292381.44994665764</v>
      </c>
      <c r="BW108" s="20">
        <f>IFERROR(VLOOKUP(Tabla14[[#This Row],[Llave]],[14]Hoja2!$J:$N,4,FALSE),0)</f>
        <v>321469.83600000001</v>
      </c>
      <c r="BX108" s="20">
        <f>+Tabla14[[#This Row],[Asignación mes n+1]]*Tabla14[[#This Row],[% Uti. producción]]</f>
        <v>248621.18283894245</v>
      </c>
      <c r="BY108" s="20">
        <f>+Tabla14[[#This Row],[Ponderación mes n+1]]+Tabla14[[#This Row],[Saldo mes n-1]]</f>
        <v>541002.63278560014</v>
      </c>
      <c r="BZ108" s="20">
        <f>+Tabla14[[#This Row],[Asignación mes n+1]]-Tabla14[[#This Row],[Ponderación mes n+1]]</f>
        <v>72848.653161057562</v>
      </c>
      <c r="CA108" s="20">
        <f>IFERROR(VLOOKUP(Tabla14[[#This Row],[Llave]],[14]Hoja2!$J:$N,5,FALSE),0)</f>
        <v>352985.36499999999</v>
      </c>
      <c r="CB108" s="20">
        <f>+Tabla14[[#This Row],[Asignación mes n+2]]*Tabla14[[#This Row],[% Uti. producción]]</f>
        <v>272994.94118364446</v>
      </c>
      <c r="CC108" s="20">
        <f>+Tabla14[[#This Row],[Saldo mes n+2]]+Tabla14[[#This Row],[Ponderación mes n+2]]</f>
        <v>345843.59434470203</v>
      </c>
      <c r="CD108" s="20">
        <f>+Tabla14[[#This Row],[Asignación mes n+2]]-Tabla14[[#This Row],[Ponderación mes n+2]]</f>
        <v>79990.423816355527</v>
      </c>
    </row>
    <row r="109" spans="1:82" ht="16" x14ac:dyDescent="0.2">
      <c r="A109">
        <v>1</v>
      </c>
      <c r="B109" t="str">
        <f>Tabla14[[#This Row],[Oficina]]&amp;Tabla14[[#This Row],[Material]]</f>
        <v>Agrosuper Brasil1022218</v>
      </c>
      <c r="C109" t="s">
        <v>6</v>
      </c>
      <c r="D109" t="s">
        <v>7</v>
      </c>
      <c r="E109">
        <v>1022218</v>
      </c>
      <c r="F109" t="s">
        <v>13</v>
      </c>
      <c r="G109" t="s">
        <v>11</v>
      </c>
      <c r="H109" t="s">
        <v>12</v>
      </c>
      <c r="I109" s="7">
        <f>IFERROR(IF(Tabla14[[#This Row],[Oficina]]=$I$7,VLOOKUP(Tabla14[[#This Row],[Material]],'[6]RV Producción'!$Y:$AA,3,FALSE),VLOOKUP(Tabla14[[#This Row],[Llave]],'[6]RV Producción'!$C:$G,5,FALSE)),0)</f>
        <v>71836</v>
      </c>
      <c r="J109" s="7">
        <f>IFERROR(IF(Tabla14[[#This Row],[Oficina]]=$I$7,VLOOKUP(Tabla14[[#This Row],[Llave]],'[7]Shangai (Tomas)'!$A:$F,6,FALSE),VLOOKUP(Tabla14[[#This Row],[Llave]],'[6]RV plan de ventas'!$A:$E,5,FALSE)),0)</f>
        <v>72000</v>
      </c>
      <c r="K109" s="8">
        <f>IFERROR(VLOOKUP(Tabla14[[#This Row],[Sector]]&amp;Tabla14[[#This Row],[Oficina]],[8]Ponderación!$A$3:$G$22,7,FALSE),0)</f>
        <v>0.77338883776001444</v>
      </c>
      <c r="L109" s="7">
        <f>+Tabla14[[#This Row],[ RV Producción mes n+1]]*Tabla14[[#This Row],[% Uti. producción]]</f>
        <v>55557.160549328401</v>
      </c>
      <c r="M109" s="7">
        <f>IFERROR(VLOOKUP(Tabla14[[#This Row],[Material]],'[9]TD Stock'!$B:$C,2,FALSE),0)</f>
        <v>88441.50499999999</v>
      </c>
      <c r="N109" s="7">
        <f>IFERROR(VLOOKUP(Tabla14[[#This Row],[Material]],'[10]Consolidado planificación'!$B:$C,2,FALSE),0)</f>
        <v>14343.854117008967</v>
      </c>
      <c r="O109" s="7">
        <f>IFERROR(VLOOKUP(Tabla14[[#This Row],[Llave]],[11]Hoja2!$D:$G,4,FALSE),0)</f>
        <v>24000</v>
      </c>
      <c r="P109" s="14">
        <f>SUM(Tabla14[[#This Row],[Producción disponible]],Tabla14[[#This Row],[Stock al día]],(Tabla14[[#This Row],[Por producir mes N]]*0.9))-Tabla14[[#This Row],[Producción por despachar mes N]]</f>
        <v>132908.13425463645</v>
      </c>
      <c r="Q109" s="7">
        <f>IFERROR(VLOOKUP(Tabla14[[#This Row],[Llave]],[9]DELAY!$A:$D,4,FALSE),0)</f>
        <v>72000</v>
      </c>
      <c r="R109" s="9">
        <v>23000</v>
      </c>
      <c r="S109" s="5">
        <f t="shared" si="6"/>
        <v>72000</v>
      </c>
      <c r="T109" s="76">
        <v>-48000</v>
      </c>
      <c r="U109" s="5">
        <f>+Tabla14[[#This Row],[Atraso a facturar]]+Tabla14[[#This Row],[Ajuste atraso]]</f>
        <v>24000</v>
      </c>
      <c r="V109" s="3">
        <f>+Tabla14[[#This Row],[Total disponible]]-Tabla14[[#This Row],[Facturación atraso]]</f>
        <v>108908.13425463645</v>
      </c>
      <c r="W109" s="6">
        <f>IFERROR(IF(AND(V109&gt;R109,J109&gt;=R109),ROUNDDOWN((Tabla14[[#This Row],[Producción para venta nueva]])/R109,0)*R109,0),0)</f>
        <v>92000</v>
      </c>
      <c r="X109" s="76">
        <v>-92000</v>
      </c>
      <c r="Y109" s="6">
        <f>IF(Tabla14[[#This Row],[Venta del mes]]&gt;0,Tabla14[[#This Row],[Venta del mes]]+Tabla14[[#This Row],[Ajuste venta nueva]],0)</f>
        <v>0</v>
      </c>
      <c r="Z109" s="6">
        <f>+Tabla14[[#This Row],[Producción para venta nueva]]-Tabla14[[#This Row],[Facturación Venta nueva]]</f>
        <v>108908.13425463645</v>
      </c>
      <c r="AA109" s="6">
        <f>IF(AND(A109=1,Tabla14[[#This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09" s="6">
        <v>0</v>
      </c>
      <c r="AC109" s="6">
        <f>IF(Tabla14[[#This Row],[Disponible stock sin venta]]&gt;0,Tabla14[[#This Row],[Disponible stock sin venta]]+Tabla14[[#This Row],[Ajuste stock sin venta]],0)</f>
        <v>0</v>
      </c>
      <c r="AD109" s="3">
        <f>IFERROR(VLOOKUP(Tabla14[[#This Row],[Llave]],[12]Hoja1!$A:$D,4,FALSE),0)</f>
        <v>0</v>
      </c>
      <c r="AE10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164000</v>
      </c>
      <c r="AF109" s="3">
        <v>118000</v>
      </c>
      <c r="AG109" s="3">
        <f>+Tabla14[[#This Row],[En puerto a facturar]]</f>
        <v>0</v>
      </c>
      <c r="AH109" s="3">
        <f>+Tabla14[[#This Row],[Facturación atraso]]</f>
        <v>24000</v>
      </c>
      <c r="AI109" s="3">
        <f>+Tabla14[[#This Row],[Plan Irrestricto (DATO)]]-Tabla14[[#This Row],[Puerto ]]-Tabla14[[#This Row],[Atraso]]</f>
        <v>94000</v>
      </c>
      <c r="AJ109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109" s="3">
        <f>+Tabla14[[#This Row],[Facturación atraso]]</f>
        <v>24000</v>
      </c>
      <c r="AL109" s="3">
        <f>Tabla14[[#This Row],[Plan Ajustado]]-Tabla14[[#This Row],[ Atraso ajustado]]-Tabla14[[#This Row],[En puerto a facturar]]</f>
        <v>0</v>
      </c>
      <c r="AM109" s="3" t="s">
        <v>875</v>
      </c>
      <c r="AN109" s="3" t="s">
        <v>907</v>
      </c>
      <c r="AO109" s="3" t="str">
        <f>IF(Tabla14[[#This Row],[Plan Ajustado]]&gt;Tabla14[[#This Row],[En puerto a facturar]],"Si","No")</f>
        <v>Si</v>
      </c>
      <c r="AP109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109" s="3">
        <f>IF(Tabla14[[#This Row],[Necesidad]]&gt;=Tabla14[[#This Row],[Stock al día]],Tabla14[[#This Row],[Stock al día]],Tabla14[[#This Row],[Necesidad]])</f>
        <v>24000</v>
      </c>
      <c r="AR109" s="3">
        <f>+Tabla14[[#This Row],[Necesidad]]-Tabla14[[#This Row],[Stock Plan]]</f>
        <v>0</v>
      </c>
      <c r="AS109" s="155">
        <f>VLOOKUP(Tabla14[[#This Row],[Sector]]&amp;Tabla14[[#This Row],[Oficina]],[8]Ponderación!$A:$H,8,FALSE)</f>
        <v>44817</v>
      </c>
      <c r="AT109" s="30">
        <f>IFERROR(VLOOKUP(Tabla14[[#This Row],[Llave]],'[6]RV plan de ventas'!$A:$F,6,FALSE),0)</f>
        <v>1.53666666666667</v>
      </c>
      <c r="AU109" s="83">
        <f>IFERROR(VLOOKUP(Tabla14[[#This Row],[Llave]],[9]DELAY!$H:$X,17,FALSE),0)</f>
        <v>1.5916666666666666</v>
      </c>
      <c r="AV10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1.5916666666666666</v>
      </c>
      <c r="AW109" s="5">
        <f>Tabla14[[#This Row],[Pecio plan]]*Tabla14[[#This Row],[Plan Ajustado]]</f>
        <v>37199.800033327774</v>
      </c>
      <c r="AX109" s="30">
        <f>IFERROR(VLOOKUP(Tabla14[[#This Row],[Llave]],'[13]Ultimos precios facturados'!$A:$G,7,FALSE),0)</f>
        <v>1.4780444199175597</v>
      </c>
      <c r="AY10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7.6873364032891703E-2</v>
      </c>
      <c r="AZ109" s="30">
        <f>IFERROR(VLOOKUP(Tabla14[[#This Row],[Llave]],Hoja2!B:K,10,FALSE),0)</f>
        <v>1.5</v>
      </c>
      <c r="BA10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1.5916666666666666</v>
      </c>
      <c r="BB109" s="30">
        <v>1.5499916680553238</v>
      </c>
      <c r="BC109" s="30">
        <f>IF(Tabla14[[#This Row],[Market]]=0,Tabla14[[#This Row],[Precio Final]],Tabla14[[#This Row],[Market]])</f>
        <v>1.5499916680553238</v>
      </c>
      <c r="BD109" s="82"/>
      <c r="BE109" s="82" t="str">
        <f>IF(AND(Tabla14[[#This Row],[Atraso a facturar]]&gt;0,Tabla14[[#This Row],[En puerto a facturar]]&gt;0,Tabla14[[#This Row],[Precio Atraso]]=0),"Revisar","OK")</f>
        <v>OK</v>
      </c>
      <c r="BF109" s="82" t="str">
        <f>IF(AND(Tabla14[[#This Row],[Venta del mes]]&gt;0,Tabla14[[#This Row],[Precio venta nueva]]=0),"Revisar","OK")</f>
        <v>OK</v>
      </c>
      <c r="BG109" s="20">
        <f>IFERROR(VLOOKUP(Tabla14[[#This Row],[Llave]],'[5]Consolidación planes'!$A:$M,9,FALSE),0)</f>
        <v>120000</v>
      </c>
      <c r="BH109" s="20">
        <f>IFERROR(VLOOKUP(Tabla14[[#This Row],[Llave]],'[5]Consolidación planes'!$A:$M,10,FALSE),0)</f>
        <v>48000</v>
      </c>
      <c r="BI109" s="20">
        <f>IFERROR(VLOOKUP(Tabla14[[#This Row],[Llave]],'[5]Consolidación planes'!$A:$M,11,FALSE),0)</f>
        <v>96000</v>
      </c>
      <c r="BJ109" s="20">
        <f>IFERROR(VLOOKUP(Tabla14[[#This Row],[Llave]],'[5]Consolidación planes'!$A:$M,12,FALSE),0)</f>
        <v>96000</v>
      </c>
      <c r="BK109" s="20">
        <f>IFERROR(VLOOKUP(Tabla14[[#This Row],[Llave]],'[5]Consolidación planes'!$A:$M,13,FALSE),0)</f>
        <v>96000</v>
      </c>
      <c r="BL109" s="20">
        <f>IFERROR(VLOOKUP(Tabla14[[#This Row],[Llave]],'[13]Base ultimos planes'!$A:$M,13,FALSE),0)</f>
        <v>48000</v>
      </c>
      <c r="BM109" s="20">
        <f>IFERROR(VLOOKUP(Tabla14[[#This Row],[Llave]],'[13]Cruce plan irrestricto'!$C:$M,10,FALSE),0)</f>
        <v>48000</v>
      </c>
      <c r="BN109" s="20">
        <f>IFERROR(VLOOKUP(Tabla14[[#This Row],[Llave]],'[13]Cruce plan irrestricto'!$C:$M,11,FALSE),0)</f>
        <v>96000</v>
      </c>
      <c r="BO109" s="80">
        <f>IFERROR(VLOOKUP(Tabla14[[#This Row],[Llave]],'[13]Base ultimos planes'!$O:$AA,8,FALSE),0)</f>
        <v>180000</v>
      </c>
      <c r="BP109" s="20">
        <f>IFERROR(VLOOKUP(Tabla14[[#This Row],[Llave]],'[13]Base ultimos planes'!$O:$AA,9,FALSE),0)</f>
        <v>69600</v>
      </c>
      <c r="BQ109" s="20">
        <f>IFERROR(VLOOKUP(Tabla14[[#This Row],[Llave]],'[13]Base ultimos planes'!$O:$AA,10,FALSE),0)</f>
        <v>140400</v>
      </c>
      <c r="BR109" s="20">
        <f>IFERROR(VLOOKUP(Tabla14[[#This Row],[Llave]],'[13]Base ultimos planes'!$O:$AA,11,FALSE),0)</f>
        <v>136320</v>
      </c>
      <c r="BS109" s="20">
        <f>IFERROR(VLOOKUP(Tabla14[[#This Row],[Llave]],'[13]Base ultimos planes'!$O:$AA,12,FALSE),0)</f>
        <v>145200</v>
      </c>
      <c r="BT109" s="20">
        <f>IFERROR(VLOOKUP(Tabla14[[#This Row],[Llave]],'[13]Base ultimos planes'!$O:$AA,13,FALSE),0)</f>
        <v>72686</v>
      </c>
      <c r="BU109" s="20"/>
      <c r="BV109" s="20">
        <f>Tabla14[[#This Row],[ RV Producción mes n+1]]-Tabla14[[#This Row],[Producción disponible]]+Tabla14[[#This Row],[Saldo Volumen disponible]]</f>
        <v>125186.97370530805</v>
      </c>
      <c r="BW109" s="20">
        <f>IFERROR(VLOOKUP(Tabla14[[#This Row],[Llave]],[14]Hoja2!$J:$N,4,FALSE),0)</f>
        <v>64475.914000000004</v>
      </c>
      <c r="BX109" s="20">
        <f>+Tabla14[[#This Row],[Asignación mes n+1]]*Tabla14[[#This Row],[% Uti. producción]]</f>
        <v>49864.952191974648</v>
      </c>
      <c r="BY109" s="20">
        <f>+Tabla14[[#This Row],[Ponderación mes n+1]]+Tabla14[[#This Row],[Saldo mes n-1]]</f>
        <v>175051.92589728269</v>
      </c>
      <c r="BZ109" s="20">
        <f>+Tabla14[[#This Row],[Asignación mes n+1]]-Tabla14[[#This Row],[Ponderación mes n+1]]</f>
        <v>14610.961808025357</v>
      </c>
      <c r="CA109" s="20">
        <f>IFERROR(VLOOKUP(Tabla14[[#This Row],[Llave]],[14]Hoja2!$J:$N,5,FALSE),0)</f>
        <v>70798.36</v>
      </c>
      <c r="CB109" s="20">
        <f>+Tabla14[[#This Row],[Asignación mes n+2]]*Tabla14[[#This Row],[% Uti. producción]]</f>
        <v>54754.661355715099</v>
      </c>
      <c r="CC109" s="20">
        <f>+Tabla14[[#This Row],[Saldo mes n+2]]+Tabla14[[#This Row],[Ponderación mes n+2]]</f>
        <v>69365.623163740456</v>
      </c>
      <c r="CD109" s="20">
        <f>+Tabla14[[#This Row],[Asignación mes n+2]]-Tabla14[[#This Row],[Ponderación mes n+2]]</f>
        <v>16043.698644284901</v>
      </c>
    </row>
    <row r="110" spans="1:82" ht="16" x14ac:dyDescent="0.2">
      <c r="A110">
        <v>1</v>
      </c>
      <c r="B110" t="str">
        <f>Tabla14[[#This Row],[Oficina]]&amp;Tabla14[[#This Row],[Material]]</f>
        <v>Agrosuper Brasil1022273</v>
      </c>
      <c r="C110" t="s">
        <v>6</v>
      </c>
      <c r="D110" t="s">
        <v>7</v>
      </c>
      <c r="E110">
        <v>1022273</v>
      </c>
      <c r="F110" t="s">
        <v>14</v>
      </c>
      <c r="G110" t="s">
        <v>11</v>
      </c>
      <c r="H110" t="s">
        <v>12</v>
      </c>
      <c r="I110" s="7">
        <f>IFERROR(IF(Tabla14[[#This Row],[Oficina]]=$I$7,VLOOKUP(Tabla14[[#This Row],[Material]],'[6]RV Producción'!$Y:$AA,3,FALSE),VLOOKUP(Tabla14[[#This Row],[Llave]],'[6]RV Producción'!$C:$G,5,FALSE)),0)</f>
        <v>195308</v>
      </c>
      <c r="J110" s="7">
        <f>IFERROR(IF(Tabla14[[#This Row],[Oficina]]=$I$7,VLOOKUP(Tabla14[[#This Row],[Llave]],'[7]Shangai (Tomas)'!$A:$F,6,FALSE),VLOOKUP(Tabla14[[#This Row],[Llave]],'[6]RV plan de ventas'!$A:$E,5,FALSE)),0)</f>
        <v>192000</v>
      </c>
      <c r="K110" s="8">
        <f>IFERROR(VLOOKUP(Tabla14[[#This Row],[Sector]]&amp;Tabla14[[#This Row],[Oficina]],[8]Ponderación!$A$3:$G$22,7,FALSE),0)</f>
        <v>0.77338883776001444</v>
      </c>
      <c r="L110" s="7">
        <f>+Tabla14[[#This Row],[ RV Producción mes n+1]]*Tabla14[[#This Row],[% Uti. producción]]</f>
        <v>151049.02712523291</v>
      </c>
      <c r="M110" s="7">
        <f>IFERROR(VLOOKUP(Tabla14[[#This Row],[Material]],'[9]TD Stock'!$B:$C,2,FALSE),0)</f>
        <v>246974.92399999991</v>
      </c>
      <c r="N110" s="7">
        <f>IFERROR(VLOOKUP(Tabla14[[#This Row],[Material]],'[10]Consolidado planificación'!$B:$C,2,FALSE),0)</f>
        <v>60281.5573381625</v>
      </c>
      <c r="O110" s="7">
        <f>IFERROR(VLOOKUP(Tabla14[[#This Row],[Llave]],[11]Hoja2!$D:$G,4,FALSE),0)</f>
        <v>48000</v>
      </c>
      <c r="P110" s="14">
        <f>SUM(Tabla14[[#This Row],[Producción disponible]],Tabla14[[#This Row],[Stock al día]],(Tabla14[[#This Row],[Por producir mes N]]*0.9))-Tabla14[[#This Row],[Producción por despachar mes N]]</f>
        <v>404277.35272957908</v>
      </c>
      <c r="Q110" s="7">
        <f>IFERROR(VLOOKUP(Tabla14[[#This Row],[Llave]],[9]DELAY!$A:$D,4,FALSE),0)</f>
        <v>214000</v>
      </c>
      <c r="R110" s="9">
        <v>23000</v>
      </c>
      <c r="S110" s="5">
        <f t="shared" si="6"/>
        <v>214000</v>
      </c>
      <c r="T110" s="76">
        <v>0</v>
      </c>
      <c r="U110" s="5">
        <f>+Tabla14[[#This Row],[Atraso a facturar]]+Tabla14[[#This Row],[Ajuste atraso]]</f>
        <v>214000</v>
      </c>
      <c r="V110" s="3">
        <f>+Tabla14[[#This Row],[Total disponible]]-Tabla14[[#This Row],[Facturación atraso]]</f>
        <v>190277.35272957908</v>
      </c>
      <c r="W110" s="6">
        <f>IFERROR(IF(AND(V110&gt;R110,J110&gt;=R110),ROUNDDOWN((Tabla14[[#This Row],[Producción para venta nueva]])/R110,0)*R110,0),0)</f>
        <v>184000</v>
      </c>
      <c r="X110" s="76">
        <v>-160000</v>
      </c>
      <c r="Y110" s="6">
        <f>IF(Tabla14[[#This Row],[Venta del mes]]&gt;0,Tabla14[[#This Row],[Venta del mes]]+Tabla14[[#This Row],[Ajuste venta nueva]],0)</f>
        <v>24000</v>
      </c>
      <c r="Z110" s="6">
        <f>+Tabla14[[#This Row],[Producción para venta nueva]]-Tabla14[[#This Row],[Facturación Venta nueva]]</f>
        <v>166277.35272957908</v>
      </c>
      <c r="AA110" s="6">
        <f>IF(AND(A110=1,Tabla14[[#This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0" s="6">
        <v>0</v>
      </c>
      <c r="AC110" s="6">
        <f>IF(Tabla14[[#This Row],[Disponible stock sin venta]]&gt;0,Tabla14[[#This Row],[Disponible stock sin venta]]+Tabla14[[#This Row],[Ajuste stock sin venta]],0)</f>
        <v>0</v>
      </c>
      <c r="AD110" s="3">
        <f>IFERROR(VLOOKUP(Tabla14[[#This Row],[Llave]],[12]Hoja1!$A:$D,4,FALSE),0)</f>
        <v>0</v>
      </c>
      <c r="AE11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398000</v>
      </c>
      <c r="AF110" s="3">
        <v>398000</v>
      </c>
      <c r="AG110" s="3">
        <f>+Tabla14[[#This Row],[En puerto a facturar]]</f>
        <v>0</v>
      </c>
      <c r="AH110" s="3">
        <f>+Tabla14[[#This Row],[Facturación atraso]]</f>
        <v>214000</v>
      </c>
      <c r="AI110" s="3">
        <f>+Tabla14[[#This Row],[Plan Irrestricto (DATO)]]-Tabla14[[#This Row],[Puerto ]]-Tabla14[[#This Row],[Atraso]]</f>
        <v>184000</v>
      </c>
      <c r="AJ110" s="6">
        <f>IF(Tabla14[[#This Row],[Plan Irrestricto (DATO)]]&gt;0,SUM(Tabla14[[#This Row],[Facturación atraso]],Tabla14[[#This Row],[Facturación Venta nueva]],Tabla14[[#This Row],[Facturación stock]],Tabla14[[#This Row],[En puerto a facturar]]),0)</f>
        <v>238000</v>
      </c>
      <c r="AK110" s="3">
        <f>+Tabla14[[#This Row],[Facturación atraso]]</f>
        <v>214000</v>
      </c>
      <c r="AL110" s="3">
        <f>Tabla14[[#This Row],[Plan Ajustado]]-Tabla14[[#This Row],[ Atraso ajustado]]-Tabla14[[#This Row],[En puerto a facturar]]</f>
        <v>24000</v>
      </c>
      <c r="AM110" s="3" t="s">
        <v>875</v>
      </c>
      <c r="AN110" s="3" t="s">
        <v>907</v>
      </c>
      <c r="AO110" s="3" t="str">
        <f>IF(Tabla14[[#This Row],[Plan Ajustado]]&gt;Tabla14[[#This Row],[En puerto a facturar]],"Si","No")</f>
        <v>Si</v>
      </c>
      <c r="AP110" s="3">
        <f>IF(AND(Tabla14[[#This Row],[Plan Ajustado]]&gt;0,Tabla14[[#This Row],[Plan Ajustado]]&gt;Tabla14[[#This Row],[En puerto a facturar]]),(Tabla14[[#This Row],[Plan Ajustado]]-Tabla14[[#This Row],[En puerto a facturar]]),0)</f>
        <v>238000</v>
      </c>
      <c r="AQ110" s="3">
        <f>IF(Tabla14[[#This Row],[Necesidad]]&gt;=Tabla14[[#This Row],[Stock al día]],Tabla14[[#This Row],[Stock al día]],Tabla14[[#This Row],[Necesidad]])</f>
        <v>238000</v>
      </c>
      <c r="AR110" s="3">
        <f>+Tabla14[[#This Row],[Necesidad]]-Tabla14[[#This Row],[Stock Plan]]</f>
        <v>0</v>
      </c>
      <c r="AS110" s="155">
        <f>VLOOKUP(Tabla14[[#This Row],[Sector]]&amp;Tabla14[[#This Row],[Oficina]],[8]Ponderación!$A:$H,8,FALSE)</f>
        <v>44817</v>
      </c>
      <c r="AT110" s="30">
        <f>IFERROR(VLOOKUP(Tabla14[[#This Row],[Llave]],'[6]RV plan de ventas'!$A:$F,6,FALSE),0)</f>
        <v>1.5679218749999999</v>
      </c>
      <c r="AU110" s="83">
        <f>IFERROR(VLOOKUP(Tabla14[[#This Row],[Llave]],[9]DELAY!$H:$X,17,FALSE),0)</f>
        <v>1.6526683254323029</v>
      </c>
      <c r="AV11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1.6441224648845076</v>
      </c>
      <c r="AW110" s="5">
        <f>Tabla14[[#This Row],[Pecio plan]]*Tabla14[[#This Row],[Plan Ajustado]]</f>
        <v>369330.73178235226</v>
      </c>
      <c r="AX110" s="30">
        <f>IFERROR(VLOOKUP(Tabla14[[#This Row],[Llave]],'[13]Ultimos precios facturados'!$A:$G,7,FALSE),0)</f>
        <v>1.4578467213218094</v>
      </c>
      <c r="AY11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0.12777457385492808</v>
      </c>
      <c r="AZ110" s="30">
        <f>IFERROR(VLOOKUP(Tabla14[[#This Row],[Llave]],Hoja2!B:K,10,FALSE),0)</f>
        <v>1.4</v>
      </c>
      <c r="BA11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1.6441224648845076</v>
      </c>
      <c r="BB110" s="30">
        <v>1.5518097974048415</v>
      </c>
      <c r="BC110" s="30">
        <f>IF(Tabla14[[#This Row],[Market]]=0,Tabla14[[#This Row],[Precio Final]],Tabla14[[#This Row],[Market]])</f>
        <v>1.5518097974048415</v>
      </c>
      <c r="BD110" s="82"/>
      <c r="BE110" s="82" t="str">
        <f>IF(AND(Tabla14[[#This Row],[Atraso a facturar]]&gt;0,Tabla14[[#This Row],[En puerto a facturar]]&gt;0,Tabla14[[#This Row],[Precio Atraso]]=0),"Revisar","OK")</f>
        <v>OK</v>
      </c>
      <c r="BF110" s="82" t="str">
        <f>IF(AND(Tabla14[[#This Row],[Venta del mes]]&gt;0,Tabla14[[#This Row],[Precio venta nueva]]=0),"Revisar","OK")</f>
        <v>OK</v>
      </c>
      <c r="BG110" s="20">
        <f>IFERROR(VLOOKUP(Tabla14[[#This Row],[Llave]],'[5]Consolidación planes'!$A:$M,9,FALSE),0)</f>
        <v>0</v>
      </c>
      <c r="BH110" s="20">
        <f>IFERROR(VLOOKUP(Tabla14[[#This Row],[Llave]],'[5]Consolidación planes'!$A:$M,10,FALSE),0)</f>
        <v>144000</v>
      </c>
      <c r="BI110" s="20">
        <f>IFERROR(VLOOKUP(Tabla14[[#This Row],[Llave]],'[5]Consolidación planes'!$A:$M,11,FALSE),0)</f>
        <v>144000</v>
      </c>
      <c r="BJ110" s="20">
        <f>IFERROR(VLOOKUP(Tabla14[[#This Row],[Llave]],'[5]Consolidación planes'!$A:$M,12,FALSE),0)</f>
        <v>120000</v>
      </c>
      <c r="BK110" s="20">
        <f>IFERROR(VLOOKUP(Tabla14[[#This Row],[Llave]],'[5]Consolidación planes'!$A:$M,13,FALSE),0)</f>
        <v>168000</v>
      </c>
      <c r="BL110" s="20">
        <f>IFERROR(VLOOKUP(Tabla14[[#This Row],[Llave]],'[13]Base ultimos planes'!$A:$M,13,FALSE),0)</f>
        <v>48000</v>
      </c>
      <c r="BM110" s="20">
        <f>IFERROR(VLOOKUP(Tabla14[[#This Row],[Llave]],'[13]Cruce plan irrestricto'!$C:$M,10,FALSE),0)</f>
        <v>48000</v>
      </c>
      <c r="BN110" s="20">
        <f>IFERROR(VLOOKUP(Tabla14[[#This Row],[Llave]],'[13]Cruce plan irrestricto'!$C:$M,11,FALSE),0)</f>
        <v>190000</v>
      </c>
      <c r="BO110" s="80">
        <f>IFERROR(VLOOKUP(Tabla14[[#This Row],[Llave]],'[13]Base ultimos planes'!$O:$AA,8,FALSE),0)</f>
        <v>0</v>
      </c>
      <c r="BP110" s="20">
        <f>IFERROR(VLOOKUP(Tabla14[[#This Row],[Llave]],'[13]Base ultimos planes'!$O:$AA,9,FALSE),0)</f>
        <v>208800</v>
      </c>
      <c r="BQ110" s="20">
        <f>IFERROR(VLOOKUP(Tabla14[[#This Row],[Llave]],'[13]Base ultimos planes'!$O:$AA,10,FALSE),0)</f>
        <v>208800</v>
      </c>
      <c r="BR110" s="20">
        <f>IFERROR(VLOOKUP(Tabla14[[#This Row],[Llave]],'[13]Base ultimos planes'!$O:$AA,11,FALSE),0)</f>
        <v>180000</v>
      </c>
      <c r="BS110" s="20">
        <f>IFERROR(VLOOKUP(Tabla14[[#This Row],[Llave]],'[13]Base ultimos planes'!$O:$AA,12,FALSE),0)</f>
        <v>252000</v>
      </c>
      <c r="BT110" s="20">
        <f>IFERROR(VLOOKUP(Tabla14[[#This Row],[Llave]],'[13]Base ultimos planes'!$O:$AA,13,FALSE),0)</f>
        <v>68267</v>
      </c>
      <c r="BU110" s="20"/>
      <c r="BV110" s="20">
        <f>Tabla14[[#This Row],[ RV Producción mes n+1]]-Tabla14[[#This Row],[Producción disponible]]+Tabla14[[#This Row],[Saldo Volumen disponible]]</f>
        <v>210536.32560434617</v>
      </c>
      <c r="BW110" s="20">
        <f>IFERROR(VLOOKUP(Tabla14[[#This Row],[Llave]],[14]Hoja2!$J:$N,4,FALSE),0)</f>
        <v>207650.32699999999</v>
      </c>
      <c r="BX110" s="20">
        <f>+Tabla14[[#This Row],[Asignación mes n+1]]*Tabla14[[#This Row],[% Uti. producción]]</f>
        <v>160594.44505901693</v>
      </c>
      <c r="BY110" s="20">
        <f>+Tabla14[[#This Row],[Ponderación mes n+1]]+Tabla14[[#This Row],[Saldo mes n-1]]</f>
        <v>371130.7706633631</v>
      </c>
      <c r="BZ110" s="20">
        <f>+Tabla14[[#This Row],[Asignación mes n+1]]-Tabla14[[#This Row],[Ponderación mes n+1]]</f>
        <v>47055.881940983061</v>
      </c>
      <c r="CA110" s="20">
        <f>IFERROR(VLOOKUP(Tabla14[[#This Row],[Llave]],[14]Hoja2!$J:$N,5,FALSE),0)</f>
        <v>228012.31899999999</v>
      </c>
      <c r="CB110" s="20">
        <f>+Tabla14[[#This Row],[Asignación mes n+2]]*Tabla14[[#This Row],[% Uti. producción]]</f>
        <v>176342.18238637564</v>
      </c>
      <c r="CC110" s="20">
        <f>+Tabla14[[#This Row],[Saldo mes n+2]]+Tabla14[[#This Row],[Ponderación mes n+2]]</f>
        <v>223398.0643273587</v>
      </c>
      <c r="CD110" s="20">
        <f>+Tabla14[[#This Row],[Asignación mes n+2]]-Tabla14[[#This Row],[Ponderación mes n+2]]</f>
        <v>51670.136613624345</v>
      </c>
    </row>
    <row r="111" spans="1:82" ht="16" x14ac:dyDescent="0.2">
      <c r="A111">
        <v>1</v>
      </c>
      <c r="B111" t="str">
        <f>Tabla14[[#This Row],[Oficina]]&amp;Tabla14[[#This Row],[Material]]</f>
        <v>Agrosuper Brasil1023329</v>
      </c>
      <c r="C111" t="s">
        <v>6</v>
      </c>
      <c r="D111" t="s">
        <v>7</v>
      </c>
      <c r="E111">
        <v>1023329</v>
      </c>
      <c r="F111" t="s">
        <v>10</v>
      </c>
      <c r="G111" t="s">
        <v>8</v>
      </c>
      <c r="H111" t="s">
        <v>9</v>
      </c>
      <c r="I111" s="7">
        <f>IFERROR(IF(Tabla14[[#This Row],[Oficina]]=$I$7,VLOOKUP(Tabla14[[#This Row],[Material]],'[6]RV Producción'!$Y:$AA,3,FALSE),VLOOKUP(Tabla14[[#This Row],[Llave]],'[6]RV Producción'!$C:$G,5,FALSE)),0)</f>
        <v>14737</v>
      </c>
      <c r="J111" s="7">
        <f>IFERROR(IF(Tabla14[[#This Row],[Oficina]]=$I$7,VLOOKUP(Tabla14[[#This Row],[Llave]],'[7]Shangai (Tomas)'!$A:$F,6,FALSE),VLOOKUP(Tabla14[[#This Row],[Llave]],'[6]RV plan de ventas'!$A:$E,5,FALSE)),0)</f>
        <v>0</v>
      </c>
      <c r="K111" s="8">
        <f>IFERROR(VLOOKUP(Tabla14[[#This Row],[Sector]]&amp;Tabla14[[#This Row],[Oficina]],[8]Ponderación!$A$3:$G$22,7,FALSE),0)</f>
        <v>0.77338883776001444</v>
      </c>
      <c r="L111" s="7">
        <f>+Tabla14[[#This Row],[ RV Producción mes n+1]]*Tabla14[[#This Row],[% Uti. producción]]</f>
        <v>11397.431302069333</v>
      </c>
      <c r="M111" s="7">
        <f>IFERROR(VLOOKUP(Tabla14[[#This Row],[Material]],'[9]TD Stock'!$B:$C,2,FALSE),0)</f>
        <v>26708.362000000001</v>
      </c>
      <c r="N111" s="7">
        <f>IFERROR(VLOOKUP(Tabla14[[#This Row],[Material]],'[10]Consolidado planificación'!$B:$C,2,FALSE),0)</f>
        <v>8494.3889407874431</v>
      </c>
      <c r="O111" s="7">
        <f>IFERROR(VLOOKUP(Tabla14[[#This Row],[Llave]],[11]Hoja2!$D:$G,4,FALSE),0)</f>
        <v>24000</v>
      </c>
      <c r="P111" s="14">
        <f>SUM(Tabla14[[#This Row],[Producción disponible]],Tabla14[[#This Row],[Stock al día]],(Tabla14[[#This Row],[Por producir mes N]]*0.9))-Tabla14[[#This Row],[Producción por despachar mes N]]</f>
        <v>21750.743348778029</v>
      </c>
      <c r="Q111" s="7">
        <f>IFERROR(VLOOKUP(Tabla14[[#This Row],[Llave]],[9]DELAY!$A:$D,4,FALSE),0)</f>
        <v>48000</v>
      </c>
      <c r="R111" s="9">
        <v>23000</v>
      </c>
      <c r="S111" s="5">
        <f t="shared" si="6"/>
        <v>0</v>
      </c>
      <c r="T111" s="76">
        <v>0</v>
      </c>
      <c r="U111" s="5">
        <f>+Tabla14[[#This Row],[Atraso a facturar]]+Tabla14[[#This Row],[Ajuste atraso]]</f>
        <v>0</v>
      </c>
      <c r="V111" s="3">
        <f>+Tabla14[[#This Row],[Total disponible]]-Tabla14[[#This Row],[Facturación atraso]]</f>
        <v>21750.743348778029</v>
      </c>
      <c r="W111" s="6">
        <f>IFERROR(IF(AND(V111&gt;R111,J111&gt;=R111),ROUNDDOWN((Tabla14[[#This Row],[Producción para venta nueva]])/R111,0)*R111,0),0)</f>
        <v>0</v>
      </c>
      <c r="X111" s="76">
        <v>0</v>
      </c>
      <c r="Y111" s="6">
        <f>IF(Tabla14[[#This Row],[Venta del mes]]&gt;0,Tabla14[[#This Row],[Venta del mes]]+Tabla14[[#This Row],[Ajuste venta nueva]],0)</f>
        <v>0</v>
      </c>
      <c r="Z111" s="6">
        <f>+Tabla14[[#This Row],[Producción para venta nueva]]-Tabla14[[#This Row],[Facturación Venta nueva]]</f>
        <v>21750.743348778029</v>
      </c>
      <c r="AA111" s="6">
        <f>IF(AND(A111=1,Tabla14[[#This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1" s="6">
        <v>0</v>
      </c>
      <c r="AC111" s="6">
        <f>IF(Tabla14[[#This Row],[Disponible stock sin venta]]&gt;0,Tabla14[[#This Row],[Disponible stock sin venta]]+Tabla14[[#This Row],[Ajuste stock sin venta]],0)</f>
        <v>0</v>
      </c>
      <c r="AD111" s="3">
        <f>IFERROR(VLOOKUP(Tabla14[[#This Row],[Llave]],[12]Hoja1!$A:$D,4,FALSE),0)</f>
        <v>0</v>
      </c>
      <c r="AE11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11" s="3">
        <v>0</v>
      </c>
      <c r="AG111" s="3">
        <f>+Tabla14[[#This Row],[En puerto a facturar]]</f>
        <v>0</v>
      </c>
      <c r="AH111" s="3">
        <f>+Tabla14[[#This Row],[Facturación atraso]]</f>
        <v>0</v>
      </c>
      <c r="AI111" s="3">
        <f>+Tabla14[[#This Row],[Plan Irrestricto (DATO)]]-Tabla14[[#This Row],[Puerto ]]-Tabla14[[#This Row],[Atraso]]</f>
        <v>0</v>
      </c>
      <c r="AJ11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11" s="3">
        <f>+Tabla14[[#This Row],[Facturación atraso]]</f>
        <v>0</v>
      </c>
      <c r="AL111" s="3">
        <f>Tabla14[[#This Row],[Plan Ajustado]]-Tabla14[[#This Row],[ Atraso ajustado]]-Tabla14[[#This Row],[En puerto a facturar]]</f>
        <v>0</v>
      </c>
      <c r="AM111" s="3">
        <v>0</v>
      </c>
      <c r="AN111" s="3"/>
      <c r="AO111" s="3" t="str">
        <f>IF(Tabla14[[#This Row],[Plan Ajustado]]&gt;Tabla14[[#This Row],[En puerto a facturar]],"Si","No")</f>
        <v>No</v>
      </c>
      <c r="AP11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11" s="3">
        <f>IF(Tabla14[[#This Row],[Necesidad]]&gt;=Tabla14[[#This Row],[Stock al día]],Tabla14[[#This Row],[Stock al día]],Tabla14[[#This Row],[Necesidad]])</f>
        <v>0</v>
      </c>
      <c r="AR111" s="3">
        <f>+Tabla14[[#This Row],[Necesidad]]-Tabla14[[#This Row],[Stock Plan]]</f>
        <v>0</v>
      </c>
      <c r="AS111" s="155">
        <f>VLOOKUP(Tabla14[[#This Row],[Sector]]&amp;Tabla14[[#This Row],[Oficina]],[8]Ponderación!$A:$H,8,FALSE)</f>
        <v>44817</v>
      </c>
      <c r="AT111" s="30">
        <f>IFERROR(VLOOKUP(Tabla14[[#This Row],[Llave]],'[6]RV plan de ventas'!$A:$F,6,FALSE),0)</f>
        <v>0</v>
      </c>
      <c r="AU111" s="83">
        <f>IFERROR(VLOOKUP(Tabla14[[#This Row],[Llave]],[9]DELAY!$H:$X,17,FALSE),0)</f>
        <v>0.55000000000000004</v>
      </c>
      <c r="AV11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11" s="5">
        <f>Tabla14[[#This Row],[Pecio plan]]*Tabla14[[#This Row],[Plan Ajustado]]</f>
        <v>0</v>
      </c>
      <c r="AX111" s="30">
        <f>IFERROR(VLOOKUP(Tabla14[[#This Row],[Llave]],'[13]Ultimos precios facturados'!$A:$G,7,FALSE),0)</f>
        <v>0.55000000000000004</v>
      </c>
      <c r="AY11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11" s="30">
        <f>IFERROR(VLOOKUP(Tabla14[[#This Row],[Llave]],Hoja2!B:K,10,FALSE),0)</f>
        <v>0.5</v>
      </c>
      <c r="BA11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11" s="30">
        <v>0</v>
      </c>
      <c r="BC111" s="30">
        <f>IF(Tabla14[[#This Row],[Market]]=0,Tabla14[[#This Row],[Precio Final]],Tabla14[[#This Row],[Market]])</f>
        <v>0</v>
      </c>
      <c r="BD111" s="82"/>
      <c r="BE111" s="82" t="str">
        <f>IF(AND(Tabla14[[#This Row],[Atraso a facturar]]&gt;0,Tabla14[[#This Row],[En puerto a facturar]]&gt;0,Tabla14[[#This Row],[Precio Atraso]]=0),"Revisar","OK")</f>
        <v>OK</v>
      </c>
      <c r="BF111" s="82" t="str">
        <f>IF(AND(Tabla14[[#This Row],[Venta del mes]]&gt;0,Tabla14[[#This Row],[Precio venta nueva]]=0),"Revisar","OK")</f>
        <v>OK</v>
      </c>
      <c r="BG111" s="20">
        <f>IFERROR(VLOOKUP(Tabla14[[#This Row],[Llave]],'[5]Consolidación planes'!$A:$M,9,FALSE),0)</f>
        <v>0</v>
      </c>
      <c r="BH111" s="20">
        <f>IFERROR(VLOOKUP(Tabla14[[#This Row],[Llave]],'[5]Consolidación planes'!$A:$M,10,FALSE),0)</f>
        <v>24000</v>
      </c>
      <c r="BI111" s="20">
        <f>IFERROR(VLOOKUP(Tabla14[[#This Row],[Llave]],'[5]Consolidación planes'!$A:$M,11,FALSE),0)</f>
        <v>72000</v>
      </c>
      <c r="BJ111" s="20">
        <f>IFERROR(VLOOKUP(Tabla14[[#This Row],[Llave]],'[5]Consolidación planes'!$A:$M,12,FALSE),0)</f>
        <v>24000</v>
      </c>
      <c r="BK111" s="20">
        <f>IFERROR(VLOOKUP(Tabla14[[#This Row],[Llave]],'[5]Consolidación planes'!$A:$M,13,FALSE),0)</f>
        <v>72000</v>
      </c>
      <c r="BL111" s="20">
        <f>IFERROR(VLOOKUP(Tabla14[[#This Row],[Llave]],'[13]Base ultimos planes'!$A:$M,13,FALSE),0)</f>
        <v>72000</v>
      </c>
      <c r="BM111" s="20">
        <f>IFERROR(VLOOKUP(Tabla14[[#This Row],[Llave]],'[13]Cruce plan irrestricto'!$C:$M,10,FALSE),0)</f>
        <v>24000</v>
      </c>
      <c r="BN111" s="20">
        <f>IFERROR(VLOOKUP(Tabla14[[#This Row],[Llave]],'[13]Cruce plan irrestricto'!$C:$M,11,FALSE),0)</f>
        <v>24000</v>
      </c>
      <c r="BO111" s="80">
        <f>IFERROR(VLOOKUP(Tabla14[[#This Row],[Llave]],'[13]Base ultimos planes'!$O:$AA,8,FALSE),0)</f>
        <v>0</v>
      </c>
      <c r="BP111" s="20">
        <f>IFERROR(VLOOKUP(Tabla14[[#This Row],[Llave]],'[13]Base ultimos planes'!$O:$AA,9,FALSE),0)</f>
        <v>13200</v>
      </c>
      <c r="BQ111" s="20">
        <f>IFERROR(VLOOKUP(Tabla14[[#This Row],[Llave]],'[13]Base ultimos planes'!$O:$AA,10,FALSE),0)</f>
        <v>39600</v>
      </c>
      <c r="BR111" s="20">
        <f>IFERROR(VLOOKUP(Tabla14[[#This Row],[Llave]],'[13]Base ultimos planes'!$O:$AA,11,FALSE),0)</f>
        <v>12000</v>
      </c>
      <c r="BS111" s="20">
        <f>IFERROR(VLOOKUP(Tabla14[[#This Row],[Llave]],'[13]Base ultimos planes'!$O:$AA,12,FALSE),0)</f>
        <v>39600</v>
      </c>
      <c r="BT111" s="20">
        <f>IFERROR(VLOOKUP(Tabla14[[#This Row],[Llave]],'[13]Base ultimos planes'!$O:$AA,13,FALSE),0)</f>
        <v>39600</v>
      </c>
      <c r="BU111" s="20"/>
      <c r="BV111" s="20">
        <f>Tabla14[[#This Row],[ RV Producción mes n+1]]-Tabla14[[#This Row],[Producción disponible]]+Tabla14[[#This Row],[Saldo Volumen disponible]]</f>
        <v>25090.312046708696</v>
      </c>
      <c r="BW111" s="20">
        <f>IFERROR(VLOOKUP(Tabla14[[#This Row],[Llave]],[14]Hoja2!$J:$N,4,FALSE),0)</f>
        <v>10494.8343</v>
      </c>
      <c r="BX111" s="20">
        <f>+Tabla14[[#This Row],[Asignación mes n+1]]*Tabla14[[#This Row],[% Uti. producción]]</f>
        <v>8116.5877017609346</v>
      </c>
      <c r="BY111" s="20">
        <f>+Tabla14[[#This Row],[Ponderación mes n+1]]+Tabla14[[#This Row],[Saldo mes n-1]]</f>
        <v>33206.89974846963</v>
      </c>
      <c r="BZ111" s="20">
        <f>+Tabla14[[#This Row],[Asignación mes n+1]]-Tabla14[[#This Row],[Ponderación mes n+1]]</f>
        <v>2378.2465982390659</v>
      </c>
      <c r="CA111" s="20">
        <f>IFERROR(VLOOKUP(Tabla14[[#This Row],[Llave]],[14]Hoja2!$J:$N,5,FALSE),0)</f>
        <v>4720.3977000000004</v>
      </c>
      <c r="CB111" s="20">
        <f>+Tabla14[[#This Row],[Asignación mes n+2]]*Tabla14[[#This Row],[% Uti. producción]]</f>
        <v>3650.7028909680457</v>
      </c>
      <c r="CC111" s="20">
        <f>+Tabla14[[#This Row],[Saldo mes n+2]]+Tabla14[[#This Row],[Ponderación mes n+2]]</f>
        <v>6028.9494892071116</v>
      </c>
      <c r="CD111" s="20">
        <f>+Tabla14[[#This Row],[Asignación mes n+2]]-Tabla14[[#This Row],[Ponderación mes n+2]]</f>
        <v>1069.6948090319547</v>
      </c>
    </row>
    <row r="112" spans="1:82" ht="16" x14ac:dyDescent="0.2">
      <c r="A112">
        <v>1</v>
      </c>
      <c r="B112" t="str">
        <f>Tabla14[[#This Row],[Oficina]]&amp;Tabla14[[#This Row],[Material]]</f>
        <v>Agrosuper Brasil1023334</v>
      </c>
      <c r="C112" t="s">
        <v>6</v>
      </c>
      <c r="D112" t="s">
        <v>7</v>
      </c>
      <c r="E112">
        <v>1023334</v>
      </c>
      <c r="F112" t="s">
        <v>276</v>
      </c>
      <c r="G112" t="s">
        <v>8</v>
      </c>
      <c r="H112" t="s">
        <v>32</v>
      </c>
      <c r="I112" s="7">
        <f>IFERROR(IF(Tabla14[[#This Row],[Oficina]]=$I$7,VLOOKUP(Tabla14[[#This Row],[Material]],'[6]RV Producción'!$Y:$AA,3,FALSE),VLOOKUP(Tabla14[[#This Row],[Llave]],'[6]RV Producción'!$C:$G,5,FALSE)),0)</f>
        <v>40297</v>
      </c>
      <c r="J112" s="7">
        <f>IFERROR(IF(Tabla14[[#This Row],[Oficina]]=$I$7,VLOOKUP(Tabla14[[#This Row],[Llave]],'[7]Shangai (Tomas)'!$A:$F,6,FALSE),VLOOKUP(Tabla14[[#This Row],[Llave]],'[6]RV plan de ventas'!$A:$E,5,FALSE)),0)</f>
        <v>0</v>
      </c>
      <c r="K112" s="8">
        <f>IFERROR(VLOOKUP(Tabla14[[#This Row],[Sector]]&amp;Tabla14[[#This Row],[Oficina]],[8]Ponderación!$A$3:$G$22,7,FALSE),0)</f>
        <v>0.77338883776001444</v>
      </c>
      <c r="L112" s="7">
        <f>+Tabla14[[#This Row],[ RV Producción mes n+1]]*Tabla14[[#This Row],[% Uti. producción]]</f>
        <v>31165.249995215301</v>
      </c>
      <c r="M112" s="7">
        <f>IFERROR(VLOOKUP(Tabla14[[#This Row],[Material]],'[9]TD Stock'!$B:$C,2,FALSE),0)</f>
        <v>47122.715999999993</v>
      </c>
      <c r="N112" s="7">
        <f>IFERROR(VLOOKUP(Tabla14[[#This Row],[Material]],'[10]Consolidado planificación'!$B:$C,2,FALSE),0)</f>
        <v>0</v>
      </c>
      <c r="O112" s="7">
        <f>IFERROR(VLOOKUP(Tabla14[[#This Row],[Llave]],[11]Hoja2!$D:$G,4,FALSE),0)</f>
        <v>48000</v>
      </c>
      <c r="P112" s="14">
        <f>SUM(Tabla14[[#This Row],[Producción disponible]],Tabla14[[#This Row],[Stock al día]],(Tabla14[[#This Row],[Por producir mes N]]*0.9))-Tabla14[[#This Row],[Producción por despachar mes N]]</f>
        <v>30287.965995215287</v>
      </c>
      <c r="Q112" s="7">
        <f>IFERROR(VLOOKUP(Tabla14[[#This Row],[Llave]],[9]DELAY!$A:$D,4,FALSE),0)</f>
        <v>48000</v>
      </c>
      <c r="R112" s="9">
        <v>23000</v>
      </c>
      <c r="S112" s="5">
        <f t="shared" si="6"/>
        <v>23000</v>
      </c>
      <c r="T112" s="76">
        <v>1000</v>
      </c>
      <c r="U112" s="5">
        <f>+Tabla14[[#This Row],[Atraso a facturar]]+Tabla14[[#This Row],[Ajuste atraso]]</f>
        <v>24000</v>
      </c>
      <c r="V112" s="3">
        <f>+Tabla14[[#This Row],[Total disponible]]-Tabla14[[#This Row],[Facturación atraso]]</f>
        <v>6287.965995215287</v>
      </c>
      <c r="W112" s="6">
        <f>IFERROR(IF(AND(V112&gt;R112,J112&gt;=R112),ROUNDDOWN((Tabla14[[#This Row],[Producción para venta nueva]])/R112,0)*R112,0),0)</f>
        <v>0</v>
      </c>
      <c r="X112" s="76">
        <v>0</v>
      </c>
      <c r="Y112" s="6">
        <f>IF(Tabla14[[#This Row],[Venta del mes]]&gt;0,Tabla14[[#This Row],[Venta del mes]]+Tabla14[[#This Row],[Ajuste venta nueva]],0)</f>
        <v>0</v>
      </c>
      <c r="Z112" s="6">
        <f>+Tabla14[[#This Row],[Producción para venta nueva]]-Tabla14[[#This Row],[Facturación Venta nueva]]</f>
        <v>6287.965995215287</v>
      </c>
      <c r="AA112" s="6">
        <f>IF(AND(A112=1,Tabla14[[#This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2" s="6">
        <v>0</v>
      </c>
      <c r="AC112" s="6">
        <f>IF(Tabla14[[#This Row],[Disponible stock sin venta]]&gt;0,Tabla14[[#This Row],[Disponible stock sin venta]]+Tabla14[[#This Row],[Ajuste stock sin venta]],0)</f>
        <v>0</v>
      </c>
      <c r="AD112" s="3">
        <f>IFERROR(VLOOKUP(Tabla14[[#This Row],[Llave]],[12]Hoja1!$A:$D,4,FALSE),0)</f>
        <v>0</v>
      </c>
      <c r="AE11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112" s="3">
        <v>23000</v>
      </c>
      <c r="AG112" s="3">
        <f>+Tabla14[[#This Row],[En puerto a facturar]]</f>
        <v>0</v>
      </c>
      <c r="AH112" s="3">
        <f>+Tabla14[[#This Row],[Facturación atraso]]</f>
        <v>24000</v>
      </c>
      <c r="AI112" s="3">
        <f>+Tabla14[[#This Row],[Plan Irrestricto (DATO)]]-Tabla14[[#This Row],[Puerto ]]-Tabla14[[#This Row],[Atraso]]</f>
        <v>-1000</v>
      </c>
      <c r="AJ112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112" s="3">
        <f>+Tabla14[[#This Row],[Facturación atraso]]</f>
        <v>24000</v>
      </c>
      <c r="AL112" s="3">
        <f>Tabla14[[#This Row],[Plan Ajustado]]-Tabla14[[#This Row],[ Atraso ajustado]]-Tabla14[[#This Row],[En puerto a facturar]]</f>
        <v>0</v>
      </c>
      <c r="AM112" s="3" t="s">
        <v>875</v>
      </c>
      <c r="AN112" s="3"/>
      <c r="AO112" s="3" t="str">
        <f>IF(Tabla14[[#This Row],[Plan Ajustado]]&gt;Tabla14[[#This Row],[En puerto a facturar]],"Si","No")</f>
        <v>Si</v>
      </c>
      <c r="AP112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112" s="3">
        <f>IF(Tabla14[[#This Row],[Necesidad]]&gt;=Tabla14[[#This Row],[Stock al día]],Tabla14[[#This Row],[Stock al día]],Tabla14[[#This Row],[Necesidad]])</f>
        <v>24000</v>
      </c>
      <c r="AR112" s="3">
        <f>+Tabla14[[#This Row],[Necesidad]]-Tabla14[[#This Row],[Stock Plan]]</f>
        <v>0</v>
      </c>
      <c r="AS112" s="155">
        <f>VLOOKUP(Tabla14[[#This Row],[Sector]]&amp;Tabla14[[#This Row],[Oficina]],[8]Ponderación!$A:$H,8,FALSE)</f>
        <v>44817</v>
      </c>
      <c r="AT112" s="30">
        <f>IFERROR(VLOOKUP(Tabla14[[#This Row],[Llave]],'[6]RV plan de ventas'!$A:$F,6,FALSE),0)</f>
        <v>0</v>
      </c>
      <c r="AU112" s="83">
        <f>IFERROR(VLOOKUP(Tabla14[[#This Row],[Llave]],[9]DELAY!$H:$X,17,FALSE),0)</f>
        <v>0.75</v>
      </c>
      <c r="AV11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0.75</v>
      </c>
      <c r="AW112" s="5">
        <f>Tabla14[[#This Row],[Pecio plan]]*Tabla14[[#This Row],[Plan Ajustado]]</f>
        <v>18005.612722170252</v>
      </c>
      <c r="AX112" s="30">
        <f>IFERROR(VLOOKUP(Tabla14[[#This Row],[Llave]],'[13]Ultimos precios facturados'!$A:$G,7,FALSE),0)</f>
        <v>0.65</v>
      </c>
      <c r="AY11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0.1538461538461538</v>
      </c>
      <c r="AZ112" s="30">
        <f>IFERROR(VLOOKUP(Tabla14[[#This Row],[Llave]],Hoja2!B:K,10,FALSE),0)</f>
        <v>0.6</v>
      </c>
      <c r="BA11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0.75</v>
      </c>
      <c r="BB112" s="30">
        <v>0.75023386342376053</v>
      </c>
      <c r="BC112" s="30">
        <f>IF(Tabla14[[#This Row],[Market]]=0,Tabla14[[#This Row],[Precio Final]],Tabla14[[#This Row],[Market]])</f>
        <v>0.75023386342376053</v>
      </c>
      <c r="BD112" s="82"/>
      <c r="BE112" s="82" t="str">
        <f>IF(AND(Tabla14[[#This Row],[Atraso a facturar]]&gt;0,Tabla14[[#This Row],[En puerto a facturar]]&gt;0,Tabla14[[#This Row],[Precio Atraso]]=0),"Revisar","OK")</f>
        <v>OK</v>
      </c>
      <c r="BF112" s="82" t="str">
        <f>IF(AND(Tabla14[[#This Row],[Venta del mes]]&gt;0,Tabla14[[#This Row],[Precio venta nueva]]=0),"Revisar","OK")</f>
        <v>OK</v>
      </c>
      <c r="BG112" s="20">
        <f>IFERROR(VLOOKUP(Tabla14[[#This Row],[Llave]],'[5]Consolidación planes'!$A:$M,9,FALSE),0)</f>
        <v>0</v>
      </c>
      <c r="BH112" s="20">
        <f>IFERROR(VLOOKUP(Tabla14[[#This Row],[Llave]],'[5]Consolidación planes'!$A:$M,10,FALSE),0)</f>
        <v>72000</v>
      </c>
      <c r="BI112" s="20">
        <f>IFERROR(VLOOKUP(Tabla14[[#This Row],[Llave]],'[5]Consolidación planes'!$A:$M,11,FALSE),0)</f>
        <v>144000</v>
      </c>
      <c r="BJ112" s="20">
        <f>IFERROR(VLOOKUP(Tabla14[[#This Row],[Llave]],'[5]Consolidación planes'!$A:$M,12,FALSE),0)</f>
        <v>168000</v>
      </c>
      <c r="BK112" s="20">
        <f>IFERROR(VLOOKUP(Tabla14[[#This Row],[Llave]],'[5]Consolidación planes'!$A:$M,13,FALSE),0)</f>
        <v>48000</v>
      </c>
      <c r="BL112" s="20">
        <f>IFERROR(VLOOKUP(Tabla14[[#This Row],[Llave]],'[13]Base ultimos planes'!$A:$M,13,FALSE),0)</f>
        <v>72000</v>
      </c>
      <c r="BM112" s="20">
        <f>IFERROR(VLOOKUP(Tabla14[[#This Row],[Llave]],'[13]Cruce plan irrestricto'!$C:$M,10,FALSE),0)</f>
        <v>168000</v>
      </c>
      <c r="BN112" s="20">
        <f>IFERROR(VLOOKUP(Tabla14[[#This Row],[Llave]],'[13]Cruce plan irrestricto'!$C:$M,11,FALSE),0)</f>
        <v>72000</v>
      </c>
      <c r="BO112" s="80">
        <f>IFERROR(VLOOKUP(Tabla14[[#This Row],[Llave]],'[13]Base ultimos planes'!$O:$AA,8,FALSE),0)</f>
        <v>0</v>
      </c>
      <c r="BP112" s="20">
        <f>IFERROR(VLOOKUP(Tabla14[[#This Row],[Llave]],'[13]Base ultimos planes'!$O:$AA,9,FALSE),0)</f>
        <v>46800</v>
      </c>
      <c r="BQ112" s="20">
        <f>IFERROR(VLOOKUP(Tabla14[[#This Row],[Llave]],'[13]Base ultimos planes'!$O:$AA,10,FALSE),0)</f>
        <v>93600</v>
      </c>
      <c r="BR112" s="20">
        <f>IFERROR(VLOOKUP(Tabla14[[#This Row],[Llave]],'[13]Base ultimos planes'!$O:$AA,11,FALSE),0)</f>
        <v>100800</v>
      </c>
      <c r="BS112" s="20">
        <f>IFERROR(VLOOKUP(Tabla14[[#This Row],[Llave]],'[13]Base ultimos planes'!$O:$AA,12,FALSE),0)</f>
        <v>29760</v>
      </c>
      <c r="BT112" s="20">
        <f>IFERROR(VLOOKUP(Tabla14[[#This Row],[Llave]],'[13]Base ultimos planes'!$O:$AA,13,FALSE),0)</f>
        <v>46800</v>
      </c>
      <c r="BU112" s="20"/>
      <c r="BV112" s="20">
        <f>Tabla14[[#This Row],[ RV Producción mes n+1]]-Tabla14[[#This Row],[Producción disponible]]+Tabla14[[#This Row],[Saldo Volumen disponible]]</f>
        <v>15419.715999999986</v>
      </c>
      <c r="BW112" s="20">
        <f>IFERROR(VLOOKUP(Tabla14[[#This Row],[Llave]],[14]Hoja2!$J:$N,4,FALSE),0)</f>
        <v>239999.99799999999</v>
      </c>
      <c r="BX112" s="20">
        <f>+Tabla14[[#This Row],[Asignación mes n+1]]*Tabla14[[#This Row],[% Uti. producción]]</f>
        <v>185613.31951562577</v>
      </c>
      <c r="BY112" s="20">
        <f>+Tabla14[[#This Row],[Ponderación mes n+1]]+Tabla14[[#This Row],[Saldo mes n-1]]</f>
        <v>201033.03551562576</v>
      </c>
      <c r="BZ112" s="20">
        <f>+Tabla14[[#This Row],[Asignación mes n+1]]-Tabla14[[#This Row],[Ponderación mes n+1]]</f>
        <v>54386.678484374221</v>
      </c>
      <c r="CA112" s="20">
        <f>IFERROR(VLOOKUP(Tabla14[[#This Row],[Llave]],[14]Hoja2!$J:$N,5,FALSE),0)</f>
        <v>240000</v>
      </c>
      <c r="CB112" s="20">
        <f>+Tabla14[[#This Row],[Asignación mes n+2]]*Tabla14[[#This Row],[% Uti. producción]]</f>
        <v>185613.32106240347</v>
      </c>
      <c r="CC112" s="20">
        <f>+Tabla14[[#This Row],[Saldo mes n+2]]+Tabla14[[#This Row],[Ponderación mes n+2]]</f>
        <v>239999.99954677769</v>
      </c>
      <c r="CD112" s="20">
        <f>+Tabla14[[#This Row],[Asignación mes n+2]]-Tabla14[[#This Row],[Ponderación mes n+2]]</f>
        <v>54386.678937596531</v>
      </c>
    </row>
    <row r="113" spans="1:82" ht="16" x14ac:dyDescent="0.2">
      <c r="A113">
        <v>1</v>
      </c>
      <c r="B113" t="str">
        <f>Tabla14[[#This Row],[Oficina]]&amp;Tabla14[[#This Row],[Material]]</f>
        <v>Agrosuper Brasil1023336</v>
      </c>
      <c r="C113" t="s">
        <v>6</v>
      </c>
      <c r="D113" t="s">
        <v>7</v>
      </c>
      <c r="E113">
        <v>1023336</v>
      </c>
      <c r="F113" t="s">
        <v>276</v>
      </c>
      <c r="G113" t="s">
        <v>8</v>
      </c>
      <c r="H113" t="s">
        <v>32</v>
      </c>
      <c r="I113" s="7">
        <f>IFERROR(IF(Tabla14[[#This Row],[Oficina]]=$I$7,VLOOKUP(Tabla14[[#This Row],[Material]],'[6]RV Producción'!$Y:$AA,3,FALSE),VLOOKUP(Tabla14[[#This Row],[Llave]],'[6]RV Producción'!$C:$G,5,FALSE)),0)</f>
        <v>34000</v>
      </c>
      <c r="J113" s="7">
        <f>IFERROR(IF(Tabla14[[#This Row],[Oficina]]=$I$7,VLOOKUP(Tabla14[[#This Row],[Llave]],'[7]Shangai (Tomas)'!$A:$F,6,FALSE),VLOOKUP(Tabla14[[#This Row],[Llave]],'[6]RV plan de ventas'!$A:$E,5,FALSE)),0)</f>
        <v>48000</v>
      </c>
      <c r="K113" s="8">
        <f>IFERROR(VLOOKUP(Tabla14[[#This Row],[Sector]]&amp;Tabla14[[#This Row],[Oficina]],[8]Ponderación!$A$3:$G$22,7,FALSE),0)</f>
        <v>0.77338883776001444</v>
      </c>
      <c r="L113" s="7">
        <f>+Tabla14[[#This Row],[ RV Producción mes n+1]]*Tabla14[[#This Row],[% Uti. producción]]</f>
        <v>26295.22048384049</v>
      </c>
      <c r="M113" s="7">
        <f>IFERROR(VLOOKUP(Tabla14[[#This Row],[Material]],'[9]TD Stock'!$B:$C,2,FALSE),0)</f>
        <v>51628.131000000001</v>
      </c>
      <c r="N113" s="7">
        <f>IFERROR(VLOOKUP(Tabla14[[#This Row],[Material]],'[10]Consolidado planificación'!$B:$C,2,FALSE),0)</f>
        <v>75962.546651540513</v>
      </c>
      <c r="O113" s="7">
        <f>IFERROR(VLOOKUP(Tabla14[[#This Row],[Llave]],[11]Hoja2!$D:$G,4,FALSE),0)</f>
        <v>24000</v>
      </c>
      <c r="P113" s="14">
        <f>SUM(Tabla14[[#This Row],[Producción disponible]],Tabla14[[#This Row],[Stock al día]],(Tabla14[[#This Row],[Por producir mes N]]*0.9))-Tabla14[[#This Row],[Producción por despachar mes N]]</f>
        <v>122289.64347022696</v>
      </c>
      <c r="Q113" s="7">
        <f>IFERROR(VLOOKUP(Tabla14[[#This Row],[Llave]],[9]DELAY!$A:$D,4,FALSE),0)</f>
        <v>120000</v>
      </c>
      <c r="R113" s="9">
        <v>23000</v>
      </c>
      <c r="S113" s="5">
        <f t="shared" si="6"/>
        <v>120000</v>
      </c>
      <c r="T113" s="76">
        <v>0</v>
      </c>
      <c r="U113" s="5">
        <f>+Tabla14[[#This Row],[Atraso a facturar]]+Tabla14[[#This Row],[Ajuste atraso]]</f>
        <v>120000</v>
      </c>
      <c r="V113" s="3">
        <f>+Tabla14[[#This Row],[Total disponible]]-Tabla14[[#This Row],[Facturación atraso]]</f>
        <v>2289.6434702269617</v>
      </c>
      <c r="W113" s="6">
        <f>IFERROR(IF(AND(V113&gt;R113,J113&gt;=R113),ROUNDDOWN((Tabla14[[#This Row],[Producción para venta nueva]])/R113,0)*R113,0),0)</f>
        <v>0</v>
      </c>
      <c r="X113" s="76">
        <v>0</v>
      </c>
      <c r="Y113" s="6">
        <f>IF(Tabla14[[#This Row],[Venta del mes]]&gt;0,Tabla14[[#This Row],[Venta del mes]]+Tabla14[[#This Row],[Ajuste venta nueva]],0)</f>
        <v>0</v>
      </c>
      <c r="Z113" s="6">
        <f>+Tabla14[[#This Row],[Producción para venta nueva]]-Tabla14[[#This Row],[Facturación Venta nueva]]</f>
        <v>2289.6434702269617</v>
      </c>
      <c r="AA113" s="6">
        <f>IF(AND(A113=1,Tabla14[[#This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3" s="6">
        <v>0</v>
      </c>
      <c r="AC113" s="6">
        <f>IF(Tabla14[[#This Row],[Disponible stock sin venta]]&gt;0,Tabla14[[#This Row],[Disponible stock sin venta]]+Tabla14[[#This Row],[Ajuste stock sin venta]],0)</f>
        <v>0</v>
      </c>
      <c r="AD113" s="3">
        <f>IFERROR(VLOOKUP(Tabla14[[#This Row],[Llave]],[12]Hoja1!$A:$D,4,FALSE),0)</f>
        <v>0</v>
      </c>
      <c r="AE11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120000</v>
      </c>
      <c r="AF113" s="3">
        <v>120000</v>
      </c>
      <c r="AG113" s="3">
        <f>+Tabla14[[#This Row],[En puerto a facturar]]</f>
        <v>0</v>
      </c>
      <c r="AH113" s="3">
        <f>+Tabla14[[#This Row],[Facturación atraso]]</f>
        <v>120000</v>
      </c>
      <c r="AI113" s="3">
        <f>+Tabla14[[#This Row],[Plan Irrestricto (DATO)]]-Tabla14[[#This Row],[Puerto ]]-Tabla14[[#This Row],[Atraso]]</f>
        <v>0</v>
      </c>
      <c r="AJ113" s="6">
        <f>IF(Tabla14[[#This Row],[Plan Irrestricto (DATO)]]&gt;0,SUM(Tabla14[[#This Row],[Facturación atraso]],Tabla14[[#This Row],[Facturación Venta nueva]],Tabla14[[#This Row],[Facturación stock]],Tabla14[[#This Row],[En puerto a facturar]]),0)</f>
        <v>120000</v>
      </c>
      <c r="AK113" s="3">
        <f>+Tabla14[[#This Row],[Facturación atraso]]</f>
        <v>120000</v>
      </c>
      <c r="AL113" s="3">
        <f>Tabla14[[#This Row],[Plan Ajustado]]-Tabla14[[#This Row],[ Atraso ajustado]]-Tabla14[[#This Row],[En puerto a facturar]]</f>
        <v>0</v>
      </c>
      <c r="AM113" s="3">
        <v>0</v>
      </c>
      <c r="AN113" s="3"/>
      <c r="AO113" s="3" t="str">
        <f>IF(Tabla14[[#This Row],[Plan Ajustado]]&gt;Tabla14[[#This Row],[En puerto a facturar]],"Si","No")</f>
        <v>Si</v>
      </c>
      <c r="AP113" s="3">
        <f>IF(AND(Tabla14[[#This Row],[Plan Ajustado]]&gt;0,Tabla14[[#This Row],[Plan Ajustado]]&gt;Tabla14[[#This Row],[En puerto a facturar]]),(Tabla14[[#This Row],[Plan Ajustado]]-Tabla14[[#This Row],[En puerto a facturar]]),0)</f>
        <v>120000</v>
      </c>
      <c r="AQ113" s="3">
        <f>IF(Tabla14[[#This Row],[Necesidad]]&gt;=Tabla14[[#This Row],[Stock al día]],Tabla14[[#This Row],[Stock al día]],Tabla14[[#This Row],[Necesidad]])</f>
        <v>51628.131000000001</v>
      </c>
      <c r="AR113" s="3">
        <f>+Tabla14[[#This Row],[Necesidad]]-Tabla14[[#This Row],[Stock Plan]]</f>
        <v>68371.869000000006</v>
      </c>
      <c r="AS113" s="155">
        <f>VLOOKUP(Tabla14[[#This Row],[Sector]]&amp;Tabla14[[#This Row],[Oficina]],[8]Ponderación!$A:$H,8,FALSE)</f>
        <v>44817</v>
      </c>
      <c r="AT113" s="30">
        <f>IFERROR(VLOOKUP(Tabla14[[#This Row],[Llave]],'[6]RV plan de ventas'!$A:$F,6,FALSE),0)</f>
        <v>0.73666666666666702</v>
      </c>
      <c r="AU113" s="83">
        <f>IFERROR(VLOOKUP(Tabla14[[#This Row],[Llave]],[9]DELAY!$H:$X,17,FALSE),0)</f>
        <v>0.75</v>
      </c>
      <c r="AV11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0.75</v>
      </c>
      <c r="AW113" s="5">
        <f>Tabla14[[#This Row],[Pecio plan]]*Tabla14[[#This Row],[Plan Ajustado]]</f>
        <v>96000</v>
      </c>
      <c r="AX113" s="30">
        <f>IFERROR(VLOOKUP(Tabla14[[#This Row],[Llave]],'[13]Ultimos precios facturados'!$A:$G,7,FALSE),0)</f>
        <v>0.65</v>
      </c>
      <c r="AY11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0.1538461538461538</v>
      </c>
      <c r="AZ113" s="30">
        <f>IFERROR(VLOOKUP(Tabla14[[#This Row],[Llave]],Hoja2!B:K,10,FALSE),0)</f>
        <v>0</v>
      </c>
      <c r="BA11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0.75</v>
      </c>
      <c r="BB113" s="30">
        <v>0.8</v>
      </c>
      <c r="BC113" s="30">
        <f>IF(Tabla14[[#This Row],[Market]]=0,Tabla14[[#This Row],[Precio Final]],Tabla14[[#This Row],[Market]])</f>
        <v>0.8</v>
      </c>
      <c r="BD113" s="82"/>
      <c r="BE113" s="82" t="str">
        <f>IF(AND(Tabla14[[#This Row],[Atraso a facturar]]&gt;0,Tabla14[[#This Row],[En puerto a facturar]]&gt;0,Tabla14[[#This Row],[Precio Atraso]]=0),"Revisar","OK")</f>
        <v>OK</v>
      </c>
      <c r="BF113" s="82" t="str">
        <f>IF(AND(Tabla14[[#This Row],[Venta del mes]]&gt;0,Tabla14[[#This Row],[Precio venta nueva]]=0),"Revisar","OK")</f>
        <v>OK</v>
      </c>
      <c r="BG113" s="20">
        <f>IFERROR(VLOOKUP(Tabla14[[#This Row],[Llave]],'[5]Consolidación planes'!$A:$M,9,FALSE),0)</f>
        <v>0</v>
      </c>
      <c r="BH113" s="20">
        <f>IFERROR(VLOOKUP(Tabla14[[#This Row],[Llave]],'[5]Consolidación planes'!$A:$M,10,FALSE),0)</f>
        <v>24000</v>
      </c>
      <c r="BI113" s="20">
        <f>IFERROR(VLOOKUP(Tabla14[[#This Row],[Llave]],'[5]Consolidación planes'!$A:$M,11,FALSE),0)</f>
        <v>24000</v>
      </c>
      <c r="BJ113" s="20">
        <f>IFERROR(VLOOKUP(Tabla14[[#This Row],[Llave]],'[5]Consolidación planes'!$A:$M,12,FALSE),0)</f>
        <v>24000</v>
      </c>
      <c r="BK113" s="20">
        <f>IFERROR(VLOOKUP(Tabla14[[#This Row],[Llave]],'[5]Consolidación planes'!$A:$M,13,FALSE),0)</f>
        <v>72000</v>
      </c>
      <c r="BL113" s="20">
        <f>IFERROR(VLOOKUP(Tabla14[[#This Row],[Llave]],'[13]Base ultimos planes'!$A:$M,13,FALSE),0)</f>
        <v>0</v>
      </c>
      <c r="BM113" s="20">
        <f>IFERROR(VLOOKUP(Tabla14[[#This Row],[Llave]],'[13]Cruce plan irrestricto'!$C:$M,10,FALSE),0)</f>
        <v>0</v>
      </c>
      <c r="BN113" s="20">
        <f>IFERROR(VLOOKUP(Tabla14[[#This Row],[Llave]],'[13]Cruce plan irrestricto'!$C:$M,11,FALSE),0)</f>
        <v>0</v>
      </c>
      <c r="BO113" s="80">
        <f>IFERROR(VLOOKUP(Tabla14[[#This Row],[Llave]],'[13]Base ultimos planes'!$O:$AA,8,FALSE),0)</f>
        <v>0</v>
      </c>
      <c r="BP113" s="20">
        <f>IFERROR(VLOOKUP(Tabla14[[#This Row],[Llave]],'[13]Base ultimos planes'!$O:$AA,9,FALSE),0)</f>
        <v>15600</v>
      </c>
      <c r="BQ113" s="20">
        <f>IFERROR(VLOOKUP(Tabla14[[#This Row],[Llave]],'[13]Base ultimos planes'!$O:$AA,10,FALSE),0)</f>
        <v>15600</v>
      </c>
      <c r="BR113" s="20">
        <f>IFERROR(VLOOKUP(Tabla14[[#This Row],[Llave]],'[13]Base ultimos planes'!$O:$AA,11,FALSE),0)</f>
        <v>14400</v>
      </c>
      <c r="BS113" s="20">
        <f>IFERROR(VLOOKUP(Tabla14[[#This Row],[Llave]],'[13]Base ultimos planes'!$O:$AA,12,FALSE),0)</f>
        <v>46800</v>
      </c>
      <c r="BT113" s="20">
        <f>IFERROR(VLOOKUP(Tabla14[[#This Row],[Llave]],'[13]Base ultimos planes'!$O:$AA,13,FALSE),0)</f>
        <v>0</v>
      </c>
      <c r="BU113" s="20"/>
      <c r="BV113" s="20">
        <f>Tabla14[[#This Row],[ RV Producción mes n+1]]-Tabla14[[#This Row],[Producción disponible]]+Tabla14[[#This Row],[Saldo Volumen disponible]]</f>
        <v>9994.4229863864712</v>
      </c>
      <c r="BW113" s="20">
        <f>IFERROR(VLOOKUP(Tabla14[[#This Row],[Llave]],[14]Hoja2!$J:$N,4,FALSE),0)</f>
        <v>48000</v>
      </c>
      <c r="BX113" s="20">
        <f>+Tabla14[[#This Row],[Asignación mes n+1]]*Tabla14[[#This Row],[% Uti. producción]]</f>
        <v>37122.664212480689</v>
      </c>
      <c r="BY113" s="20">
        <f>+Tabla14[[#This Row],[Ponderación mes n+1]]+Tabla14[[#This Row],[Saldo mes n-1]]</f>
        <v>47117.087198867157</v>
      </c>
      <c r="BZ113" s="20">
        <f>+Tabla14[[#This Row],[Asignación mes n+1]]-Tabla14[[#This Row],[Ponderación mes n+1]]</f>
        <v>10877.335787519311</v>
      </c>
      <c r="CA113" s="20">
        <f>IFERROR(VLOOKUP(Tabla14[[#This Row],[Llave]],[14]Hoja2!$J:$N,5,FALSE),0)</f>
        <v>48000</v>
      </c>
      <c r="CB113" s="20">
        <f>+Tabla14[[#This Row],[Asignación mes n+2]]*Tabla14[[#This Row],[% Uti. producción]]</f>
        <v>37122.664212480689</v>
      </c>
      <c r="CC113" s="20">
        <f>+Tabla14[[#This Row],[Saldo mes n+2]]+Tabla14[[#This Row],[Ponderación mes n+2]]</f>
        <v>48000</v>
      </c>
      <c r="CD113" s="20">
        <f>+Tabla14[[#This Row],[Asignación mes n+2]]-Tabla14[[#This Row],[Ponderación mes n+2]]</f>
        <v>10877.335787519311</v>
      </c>
    </row>
    <row r="114" spans="1:82" ht="16" x14ac:dyDescent="0.2">
      <c r="A114">
        <v>2</v>
      </c>
      <c r="B114" t="str">
        <f>Tabla14[[#This Row],[Oficina]]&amp;Tabla14[[#This Row],[Material]]</f>
        <v>Agrosuper Shanghai1023109</v>
      </c>
      <c r="C114" t="s">
        <v>6</v>
      </c>
      <c r="D114" t="s">
        <v>140</v>
      </c>
      <c r="E114">
        <v>1023109</v>
      </c>
      <c r="F114" t="s">
        <v>148</v>
      </c>
      <c r="G114" t="s">
        <v>11</v>
      </c>
      <c r="H114" t="s">
        <v>41</v>
      </c>
      <c r="I114" s="7">
        <f>IFERROR(IF(Tabla14[[#This Row],[Oficina]]=$I$7,VLOOKUP(Tabla14[[#This Row],[Material]],'[6]RV Producción'!$Y:$AA,3,FALSE),VLOOKUP(Tabla14[[#This Row],[Llave]],'[6]RV Producción'!$C:$G,5,FALSE)),0)</f>
        <v>21578</v>
      </c>
      <c r="J114" s="7">
        <f>IFERROR(IF(Tabla14[[#This Row],[Oficina]]=$I$7,VLOOKUP(Tabla14[[#This Row],[Llave]],'[7]Shangai (Tomas)'!$A:$F,6,FALSE),VLOOKUP(Tabla14[[#This Row],[Llave]],'[6]RV plan de ventas'!$A:$E,5,FALSE)),0)</f>
        <v>0</v>
      </c>
      <c r="K114" s="8">
        <f>IFERROR(VLOOKUP(Tabla14[[#This Row],[Sector]]&amp;Tabla14[[#This Row],[Oficina]],[8]Ponderación!$A$3:$G$22,7,FALSE),0)</f>
        <v>0.38476266834449474</v>
      </c>
      <c r="L114" s="7">
        <f>+Tabla14[[#This Row],[ RV Producción mes n+1]]*Tabla14[[#This Row],[% Uti. producción]]</f>
        <v>8302.4088575375081</v>
      </c>
      <c r="M114" s="7">
        <f>IFERROR(VLOOKUP(Tabla14[[#This Row],[Material]],'[9]TD Stock'!$B:$C,2,FALSE),0)</f>
        <v>46341.107000000004</v>
      </c>
      <c r="N114" s="7">
        <f>IFERROR(VLOOKUP(Tabla14[[#This Row],[Material]],'[10]Consolidado planificación'!$B:$C,2,FALSE),0)</f>
        <v>39167.461449075992</v>
      </c>
      <c r="O114" s="7">
        <f>IFERROR(VLOOKUP(Tabla14[[#This Row],[Llave]],[11]Hoja2!$D:$G,4,FALSE),0)</f>
        <v>0</v>
      </c>
      <c r="P114" s="14">
        <f>SUM(Tabla14[[#This Row],[Producción disponible]],Tabla14[[#This Row],[Stock al día]],(Tabla14[[#This Row],[Por producir mes N]]*0.9))-Tabla14[[#This Row],[Producción por despachar mes N]]</f>
        <v>89894.231161705902</v>
      </c>
      <c r="Q114" s="7">
        <f>IFERROR(VLOOKUP(Tabla14[[#This Row],[Llave]],[9]DELAY!$A:$D,4,FALSE),0)</f>
        <v>0</v>
      </c>
      <c r="R114" s="9">
        <v>23000</v>
      </c>
      <c r="S114" s="5">
        <f t="shared" si="6"/>
        <v>0</v>
      </c>
      <c r="T114" s="76">
        <v>0</v>
      </c>
      <c r="U114" s="5">
        <f>+Tabla14[[#This Row],[Atraso a facturar]]+Tabla14[[#This Row],[Ajuste atraso]]</f>
        <v>0</v>
      </c>
      <c r="V114" s="3">
        <f>+Tabla14[[#This Row],[Total disponible]]-Tabla14[[#This Row],[Facturación atraso]]</f>
        <v>89894.231161705902</v>
      </c>
      <c r="W114" s="6">
        <f>IFERROR(IF(AND(V114&gt;R114,J114&gt;=R114),ROUNDDOWN((Tabla14[[#This Row],[Producción para venta nueva]])/R114,0)*R114,0),0)</f>
        <v>0</v>
      </c>
      <c r="X114" s="76">
        <v>0</v>
      </c>
      <c r="Y114" s="6">
        <f>IF(Tabla14[[#This Row],[Venta del mes]]&gt;0,Tabla14[[#This Row],[Venta del mes]]+Tabla14[[#This Row],[Ajuste venta nueva]],0)</f>
        <v>0</v>
      </c>
      <c r="Z114" s="6">
        <f>+Tabla14[[#This Row],[Producción para venta nueva]]-Tabla14[[#This Row],[Facturación Venta nueva]]</f>
        <v>89894.231161705902</v>
      </c>
      <c r="AA114" s="6">
        <f>IF(AND(A114=1,Tabla14[[#This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4" s="6">
        <v>0</v>
      </c>
      <c r="AC114" s="6">
        <f>IF(Tabla14[[#This Row],[Disponible stock sin venta]]&gt;0,Tabla14[[#This Row],[Disponible stock sin venta]]+Tabla14[[#This Row],[Ajuste stock sin venta]],0)</f>
        <v>0</v>
      </c>
      <c r="AD114" s="3">
        <f>IFERROR(VLOOKUP(Tabla14[[#This Row],[Llave]],[12]Hoja1!$A:$D,4,FALSE),0)</f>
        <v>0</v>
      </c>
      <c r="AE11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14" s="3">
        <v>0</v>
      </c>
      <c r="AG114" s="3">
        <f>+Tabla14[[#This Row],[En puerto a facturar]]</f>
        <v>0</v>
      </c>
      <c r="AH114" s="3">
        <f>+Tabla14[[#This Row],[Facturación atraso]]</f>
        <v>0</v>
      </c>
      <c r="AI114" s="3">
        <f>+Tabla14[[#This Row],[Plan Irrestricto (DATO)]]-Tabla14[[#This Row],[Puerto ]]-Tabla14[[#This Row],[Atraso]]</f>
        <v>0</v>
      </c>
      <c r="AJ11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14" s="3">
        <f>+Tabla14[[#This Row],[Facturación atraso]]</f>
        <v>0</v>
      </c>
      <c r="AL114" s="3">
        <f>Tabla14[[#This Row],[Plan Ajustado]]-Tabla14[[#This Row],[ Atraso ajustado]]-Tabla14[[#This Row],[En puerto a facturar]]</f>
        <v>0</v>
      </c>
      <c r="AM114" s="3">
        <v>0</v>
      </c>
      <c r="AN114" s="3"/>
      <c r="AO114" s="3" t="str">
        <f>IF(Tabla14[[#This Row],[Plan Ajustado]]&gt;Tabla14[[#This Row],[En puerto a facturar]],"Si","No")</f>
        <v>No</v>
      </c>
      <c r="AP11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14" s="3">
        <f>IF(Tabla14[[#This Row],[Necesidad]]&gt;=Tabla14[[#This Row],[Stock al día]],Tabla14[[#This Row],[Stock al día]],Tabla14[[#This Row],[Necesidad]])</f>
        <v>0</v>
      </c>
      <c r="AR114" s="3">
        <f>+Tabla14[[#This Row],[Necesidad]]-Tabla14[[#This Row],[Stock Plan]]</f>
        <v>0</v>
      </c>
      <c r="AS114" s="155">
        <f>VLOOKUP(Tabla14[[#This Row],[Sector]]&amp;Tabla14[[#This Row],[Oficina]],[8]Ponderación!$A:$H,8,FALSE)</f>
        <v>44814</v>
      </c>
      <c r="AT114" s="30">
        <f>IFERROR(VLOOKUP(Tabla14[[#This Row],[Llave]],'[6]RV plan de ventas'!$A:$F,6,FALSE),0)</f>
        <v>0</v>
      </c>
      <c r="AU114" s="83">
        <f>IFERROR(VLOOKUP(Tabla14[[#This Row],[Llave]],[9]DELAY!$H:$X,17,FALSE),0)</f>
        <v>0</v>
      </c>
      <c r="AV11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14" s="5">
        <f>Tabla14[[#This Row],[Pecio plan]]*Tabla14[[#This Row],[Plan Ajustado]]</f>
        <v>0</v>
      </c>
      <c r="AX114" s="30">
        <f>IFERROR(VLOOKUP(Tabla14[[#This Row],[Llave]],'[13]Ultimos precios facturados'!$A:$G,7,FALSE),0)</f>
        <v>0</v>
      </c>
      <c r="AY11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14" s="30">
        <f>IFERROR(VLOOKUP(Tabla14[[#This Row],[Llave]],Hoja2!B:K,10,FALSE),0)</f>
        <v>0</v>
      </c>
      <c r="BA11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14" s="30">
        <v>0</v>
      </c>
      <c r="BC114" s="30">
        <f>IF(Tabla14[[#This Row],[Market]]=0,Tabla14[[#This Row],[Precio Final]],Tabla14[[#This Row],[Market]])</f>
        <v>0</v>
      </c>
      <c r="BD114" s="82"/>
      <c r="BE114" s="82" t="str">
        <f>IF(AND(Tabla14[[#This Row],[Atraso a facturar]]&gt;0,Tabla14[[#This Row],[En puerto a facturar]]&gt;0,Tabla14[[#This Row],[Precio Atraso]]=0),"Revisar","OK")</f>
        <v>OK</v>
      </c>
      <c r="BF114" s="82" t="str">
        <f>IF(AND(Tabla14[[#This Row],[Venta del mes]]&gt;0,Tabla14[[#This Row],[Precio venta nueva]]=0),"Revisar","OK")</f>
        <v>OK</v>
      </c>
      <c r="BG114" s="20">
        <f>IFERROR(VLOOKUP(Tabla14[[#This Row],[Llave]],'[5]Consolidación planes'!$A:$M,9,FALSE),0)</f>
        <v>0</v>
      </c>
      <c r="BH114" s="20">
        <f>IFERROR(VLOOKUP(Tabla14[[#This Row],[Llave]],'[5]Consolidación planes'!$A:$M,10,FALSE),0)</f>
        <v>0</v>
      </c>
      <c r="BI114" s="20">
        <f>IFERROR(VLOOKUP(Tabla14[[#This Row],[Llave]],'[5]Consolidación planes'!$A:$M,11,FALSE),0)</f>
        <v>0</v>
      </c>
      <c r="BJ114" s="20">
        <f>IFERROR(VLOOKUP(Tabla14[[#This Row],[Llave]],'[5]Consolidación planes'!$A:$M,12,FALSE),0)</f>
        <v>0</v>
      </c>
      <c r="BK114" s="20">
        <f>IFERROR(VLOOKUP(Tabla14[[#This Row],[Llave]],'[5]Consolidación planes'!$A:$M,13,FALSE),0)</f>
        <v>0</v>
      </c>
      <c r="BL114" s="20">
        <f>IFERROR(VLOOKUP(Tabla14[[#This Row],[Llave]],'[13]Base ultimos planes'!$A:$M,13,FALSE),0)</f>
        <v>0</v>
      </c>
      <c r="BM114" s="20">
        <f>IFERROR(VLOOKUP(Tabla14[[#This Row],[Llave]],'[13]Cruce plan irrestricto'!$C:$M,10,FALSE),0)</f>
        <v>0</v>
      </c>
      <c r="BN114" s="20">
        <f>IFERROR(VLOOKUP(Tabla14[[#This Row],[Llave]],'[13]Cruce plan irrestricto'!$C:$M,11,FALSE),0)</f>
        <v>0</v>
      </c>
      <c r="BO114" s="80">
        <f>IFERROR(VLOOKUP(Tabla14[[#This Row],[Llave]],'[13]Base ultimos planes'!$O:$AA,8,FALSE),0)</f>
        <v>0</v>
      </c>
      <c r="BP114" s="20">
        <f>IFERROR(VLOOKUP(Tabla14[[#This Row],[Llave]],'[13]Base ultimos planes'!$O:$AA,9,FALSE),0)</f>
        <v>0</v>
      </c>
      <c r="BQ114" s="20">
        <f>IFERROR(VLOOKUP(Tabla14[[#This Row],[Llave]],'[13]Base ultimos planes'!$O:$AA,10,FALSE),0)</f>
        <v>0</v>
      </c>
      <c r="BR114" s="20">
        <f>IFERROR(VLOOKUP(Tabla14[[#This Row],[Llave]],'[13]Base ultimos planes'!$O:$AA,11,FALSE),0)</f>
        <v>0</v>
      </c>
      <c r="BS114" s="20">
        <f>IFERROR(VLOOKUP(Tabla14[[#This Row],[Llave]],'[13]Base ultimos planes'!$O:$AA,12,FALSE),0)</f>
        <v>0</v>
      </c>
      <c r="BT114" s="20">
        <f>IFERROR(VLOOKUP(Tabla14[[#This Row],[Llave]],'[13]Base ultimos planes'!$O:$AA,13,FALSE),0)</f>
        <v>0</v>
      </c>
      <c r="BU114" s="20"/>
      <c r="BV114" s="20">
        <f>Tabla14[[#This Row],[ RV Producción mes n+1]]-Tabla14[[#This Row],[Producción disponible]]+Tabla14[[#This Row],[Saldo Volumen disponible]]</f>
        <v>103169.8223041684</v>
      </c>
      <c r="BW114" s="20">
        <f>IFERROR(VLOOKUP(Tabla14[[#This Row],[Llave]],[14]Hoja2!$J:$N,4,FALSE),0)</f>
        <v>0</v>
      </c>
      <c r="BX114" s="20">
        <f>+Tabla14[[#This Row],[Asignación mes n+1]]*Tabla14[[#This Row],[% Uti. producción]]</f>
        <v>0</v>
      </c>
      <c r="BY114" s="20">
        <f>+Tabla14[[#This Row],[Ponderación mes n+1]]+Tabla14[[#This Row],[Saldo mes n-1]]</f>
        <v>103169.8223041684</v>
      </c>
      <c r="BZ114" s="20">
        <f>+Tabla14[[#This Row],[Asignación mes n+1]]-Tabla14[[#This Row],[Ponderación mes n+1]]</f>
        <v>0</v>
      </c>
      <c r="CA114" s="20">
        <f>IFERROR(VLOOKUP(Tabla14[[#This Row],[Llave]],[14]Hoja2!$J:$N,5,FALSE),0)</f>
        <v>0</v>
      </c>
      <c r="CB114" s="20">
        <f>+Tabla14[[#This Row],[Asignación mes n+2]]*Tabla14[[#This Row],[% Uti. producción]]</f>
        <v>0</v>
      </c>
      <c r="CC114" s="20">
        <f>+Tabla14[[#This Row],[Saldo mes n+2]]+Tabla14[[#This Row],[Ponderación mes n+2]]</f>
        <v>0</v>
      </c>
      <c r="CD114" s="20">
        <f>+Tabla14[[#This Row],[Asignación mes n+2]]-Tabla14[[#This Row],[Ponderación mes n+2]]</f>
        <v>0</v>
      </c>
    </row>
    <row r="115" spans="1:82" ht="16" x14ac:dyDescent="0.2">
      <c r="A115">
        <v>2</v>
      </c>
      <c r="B115" t="str">
        <f>Tabla14[[#This Row],[Oficina]]&amp;Tabla14[[#This Row],[Material]]</f>
        <v>Agrosuper Shanghai1021115</v>
      </c>
      <c r="C115" t="s">
        <v>6</v>
      </c>
      <c r="D115" t="s">
        <v>140</v>
      </c>
      <c r="E115">
        <v>1021115</v>
      </c>
      <c r="F115" t="s">
        <v>172</v>
      </c>
      <c r="G115" t="s">
        <v>76</v>
      </c>
      <c r="H115" t="s">
        <v>84</v>
      </c>
      <c r="I115" s="7">
        <f>IFERROR(IF(Tabla14[[#This Row],[Oficina]]=$I$7,VLOOKUP(Tabla14[[#This Row],[Material]],'[6]RV Producción'!$Y:$AA,3,FALSE),VLOOKUP(Tabla14[[#This Row],[Llave]],'[6]RV Producción'!$C:$G,5,FALSE)),0)</f>
        <v>3680</v>
      </c>
      <c r="J115" s="7">
        <f>IFERROR(IF(Tabla14[[#This Row],[Oficina]]=$I$7,VLOOKUP(Tabla14[[#This Row],[Llave]],'[7]Shangai (Tomas)'!$A:$F,6,FALSE),VLOOKUP(Tabla14[[#This Row],[Llave]],'[6]RV plan de ventas'!$A:$E,5,FALSE)),0)</f>
        <v>0</v>
      </c>
      <c r="K115" s="8">
        <f>IFERROR(VLOOKUP(Tabla14[[#This Row],[Sector]]&amp;Tabla14[[#This Row],[Oficina]],[8]Ponderación!$A$3:$G$22,7,FALSE),0)</f>
        <v>0.38476266834449474</v>
      </c>
      <c r="L115" s="7">
        <f>+Tabla14[[#This Row],[ RV Producción mes n+1]]*Tabla14[[#This Row],[% Uti. producción]]</f>
        <v>1415.9266195077407</v>
      </c>
      <c r="M115" s="7">
        <f>IFERROR(VLOOKUP(Tabla14[[#This Row],[Material]],'[9]TD Stock'!$B:$C,2,FALSE),0)</f>
        <v>3460</v>
      </c>
      <c r="N115" s="7">
        <f>IFERROR(VLOOKUP(Tabla14[[#This Row],[Material]],'[10]Consolidado planificación'!$B:$C,2,FALSE),0)</f>
        <v>0</v>
      </c>
      <c r="O115" s="7">
        <f>IFERROR(VLOOKUP(Tabla14[[#This Row],[Llave]],[11]Hoja2!$D:$G,4,FALSE),0)</f>
        <v>0</v>
      </c>
      <c r="P115" s="14">
        <f>SUM(Tabla14[[#This Row],[Producción disponible]],Tabla14[[#This Row],[Stock al día]],(Tabla14[[#This Row],[Por producir mes N]]*0.9))-Tabla14[[#This Row],[Producción por despachar mes N]]</f>
        <v>4875.9266195077407</v>
      </c>
      <c r="Q115" s="7">
        <f>IFERROR(VLOOKUP(Tabla14[[#This Row],[Llave]],[9]DELAY!$A:$D,4,FALSE),0)</f>
        <v>48000</v>
      </c>
      <c r="R115" s="9">
        <v>23000</v>
      </c>
      <c r="S115" s="5">
        <f t="shared" si="6"/>
        <v>0</v>
      </c>
      <c r="T115" s="76">
        <v>0</v>
      </c>
      <c r="U115" s="5">
        <f>+Tabla14[[#This Row],[Atraso a facturar]]+Tabla14[[#This Row],[Ajuste atraso]]</f>
        <v>0</v>
      </c>
      <c r="V115" s="3">
        <f>+Tabla14[[#This Row],[Total disponible]]-Tabla14[[#This Row],[Facturación atraso]]</f>
        <v>4875.9266195077407</v>
      </c>
      <c r="W115" s="6">
        <f>IFERROR(IF(AND(V115&gt;R115,J115&gt;=R115),ROUNDDOWN((Tabla14[[#This Row],[Producción para venta nueva]])/R115,0)*R115,0),0)</f>
        <v>0</v>
      </c>
      <c r="X115" s="76">
        <v>0</v>
      </c>
      <c r="Y115" s="6">
        <f>IF(Tabla14[[#This Row],[Venta del mes]]&gt;0,Tabla14[[#This Row],[Venta del mes]]+Tabla14[[#This Row],[Ajuste venta nueva]],0)</f>
        <v>0</v>
      </c>
      <c r="Z115" s="6">
        <f>+Tabla14[[#This Row],[Producción para venta nueva]]-Tabla14[[#This Row],[Facturación Venta nueva]]</f>
        <v>4875.9266195077407</v>
      </c>
      <c r="AA115" s="6">
        <f>IF(AND(A115=1,Tabla14[[#This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5" s="6">
        <v>0</v>
      </c>
      <c r="AC115" s="6">
        <f>IF(Tabla14[[#This Row],[Disponible stock sin venta]]&gt;0,Tabla14[[#This Row],[Disponible stock sin venta]]+Tabla14[[#This Row],[Ajuste stock sin venta]],0)</f>
        <v>0</v>
      </c>
      <c r="AD115" s="3">
        <f>IFERROR(VLOOKUP(Tabla14[[#This Row],[Llave]],[12]Hoja1!$A:$D,4,FALSE),0)</f>
        <v>0</v>
      </c>
      <c r="AE11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15" s="3">
        <v>0</v>
      </c>
      <c r="AG115" s="3">
        <f>+Tabla14[[#This Row],[En puerto a facturar]]</f>
        <v>0</v>
      </c>
      <c r="AH115" s="3">
        <f>+Tabla14[[#This Row],[Facturación atraso]]</f>
        <v>0</v>
      </c>
      <c r="AI115" s="3">
        <f>+Tabla14[[#This Row],[Plan Irrestricto (DATO)]]-Tabla14[[#This Row],[Puerto ]]-Tabla14[[#This Row],[Atraso]]</f>
        <v>0</v>
      </c>
      <c r="AJ11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15" s="3">
        <f>+Tabla14[[#This Row],[Facturación atraso]]</f>
        <v>0</v>
      </c>
      <c r="AL115" s="3">
        <f>Tabla14[[#This Row],[Plan Ajustado]]-Tabla14[[#This Row],[ Atraso ajustado]]-Tabla14[[#This Row],[En puerto a facturar]]</f>
        <v>0</v>
      </c>
      <c r="AM115" s="3">
        <v>0</v>
      </c>
      <c r="AN115" s="3"/>
      <c r="AO115" s="3" t="str">
        <f>IF(Tabla14[[#This Row],[Plan Ajustado]]&gt;Tabla14[[#This Row],[En puerto a facturar]],"Si","No")</f>
        <v>No</v>
      </c>
      <c r="AP11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15" s="3">
        <f>IF(Tabla14[[#This Row],[Necesidad]]&gt;=Tabla14[[#This Row],[Stock al día]],Tabla14[[#This Row],[Stock al día]],Tabla14[[#This Row],[Necesidad]])</f>
        <v>0</v>
      </c>
      <c r="AR115" s="3">
        <f>+Tabla14[[#This Row],[Necesidad]]-Tabla14[[#This Row],[Stock Plan]]</f>
        <v>0</v>
      </c>
      <c r="AS115" s="155">
        <f>VLOOKUP(Tabla14[[#This Row],[Sector]]&amp;Tabla14[[#This Row],[Oficina]],[8]Ponderación!$A:$H,8,FALSE)</f>
        <v>44814</v>
      </c>
      <c r="AT115" s="30">
        <f>IFERROR(VLOOKUP(Tabla14[[#This Row],[Llave]],'[6]RV plan de ventas'!$A:$F,6,FALSE),0)</f>
        <v>0</v>
      </c>
      <c r="AU115" s="83">
        <f>IFERROR(VLOOKUP(Tabla14[[#This Row],[Llave]],[9]DELAY!$H:$X,17,FALSE),0)</f>
        <v>0.32166666666666699</v>
      </c>
      <c r="AV11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15" s="5">
        <f>Tabla14[[#This Row],[Pecio plan]]*Tabla14[[#This Row],[Plan Ajustado]]</f>
        <v>0</v>
      </c>
      <c r="AX115" s="30">
        <f>IFERROR(VLOOKUP(Tabla14[[#This Row],[Llave]],'[13]Ultimos precios facturados'!$A:$G,7,FALSE),0)</f>
        <v>0.27311064718162842</v>
      </c>
      <c r="AY11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15" s="30">
        <f>IFERROR(VLOOKUP(Tabla14[[#This Row],[Llave]],Hoja2!B:K,10,FALSE),0)</f>
        <v>0</v>
      </c>
      <c r="BA11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15" s="30">
        <v>0</v>
      </c>
      <c r="BC115" s="30">
        <f>IF(Tabla14[[#This Row],[Market]]=0,Tabla14[[#This Row],[Precio Final]],Tabla14[[#This Row],[Market]])</f>
        <v>0</v>
      </c>
      <c r="BD115" s="82"/>
      <c r="BE115" s="82" t="str">
        <f>IF(AND(Tabla14[[#This Row],[Atraso a facturar]]&gt;0,Tabla14[[#This Row],[En puerto a facturar]]&gt;0,Tabla14[[#This Row],[Precio Atraso]]=0),"Revisar","OK")</f>
        <v>OK</v>
      </c>
      <c r="BF115" s="82" t="str">
        <f>IF(AND(Tabla14[[#This Row],[Venta del mes]]&gt;0,Tabla14[[#This Row],[Precio venta nueva]]=0),"Revisar","OK")</f>
        <v>OK</v>
      </c>
      <c r="BG115" s="20">
        <f>IFERROR(VLOOKUP(Tabla14[[#This Row],[Llave]],'[5]Consolidación planes'!$A:$M,9,FALSE),0)</f>
        <v>72000</v>
      </c>
      <c r="BH115" s="20">
        <f>IFERROR(VLOOKUP(Tabla14[[#This Row],[Llave]],'[5]Consolidación planes'!$A:$M,10,FALSE),0)</f>
        <v>48000</v>
      </c>
      <c r="BI115" s="20">
        <f>IFERROR(VLOOKUP(Tabla14[[#This Row],[Llave]],'[5]Consolidación planes'!$A:$M,11,FALSE),0)</f>
        <v>24000</v>
      </c>
      <c r="BJ115" s="20">
        <f>IFERROR(VLOOKUP(Tabla14[[#This Row],[Llave]],'[5]Consolidación planes'!$A:$M,12,FALSE),0)</f>
        <v>48000</v>
      </c>
      <c r="BK115" s="20">
        <f>IFERROR(VLOOKUP(Tabla14[[#This Row],[Llave]],'[5]Consolidación planes'!$A:$M,13,FALSE),0)</f>
        <v>48000</v>
      </c>
      <c r="BL115" s="20">
        <f>IFERROR(VLOOKUP(Tabla14[[#This Row],[Llave]],'[13]Base ultimos planes'!$A:$M,13,FALSE),0)</f>
        <v>0</v>
      </c>
      <c r="BM115" s="20">
        <f>IFERROR(VLOOKUP(Tabla14[[#This Row],[Llave]],'[13]Cruce plan irrestricto'!$C:$M,10,FALSE),0)</f>
        <v>0</v>
      </c>
      <c r="BN115" s="20">
        <f>IFERROR(VLOOKUP(Tabla14[[#This Row],[Llave]],'[13]Cruce plan irrestricto'!$C:$M,11,FALSE),0)</f>
        <v>0</v>
      </c>
      <c r="BO115" s="80">
        <f>IFERROR(VLOOKUP(Tabla14[[#This Row],[Llave]],'[13]Base ultimos planes'!$O:$AA,8,FALSE),0)</f>
        <v>21480</v>
      </c>
      <c r="BP115" s="20">
        <f>IFERROR(VLOOKUP(Tabla14[[#This Row],[Llave]],'[13]Base ultimos planes'!$O:$AA,9,FALSE),0)</f>
        <v>14400</v>
      </c>
      <c r="BQ115" s="20">
        <f>IFERROR(VLOOKUP(Tabla14[[#This Row],[Llave]],'[13]Base ultimos planes'!$O:$AA,10,FALSE),0)</f>
        <v>6640</v>
      </c>
      <c r="BR115" s="20">
        <f>IFERROR(VLOOKUP(Tabla14[[#This Row],[Llave]],'[13]Base ultimos planes'!$O:$AA,11,FALSE),0)</f>
        <v>6480</v>
      </c>
      <c r="BS115" s="20">
        <f>IFERROR(VLOOKUP(Tabla14[[#This Row],[Llave]],'[13]Base ultimos planes'!$O:$AA,12,FALSE),0)</f>
        <v>12640</v>
      </c>
      <c r="BT115" s="20">
        <f>IFERROR(VLOOKUP(Tabla14[[#This Row],[Llave]],'[13]Base ultimos planes'!$O:$AA,13,FALSE),0)</f>
        <v>0</v>
      </c>
      <c r="BU115" s="20"/>
      <c r="BV115" s="20">
        <f>Tabla14[[#This Row],[ RV Producción mes n+1]]-Tabla14[[#This Row],[Producción disponible]]+Tabla14[[#This Row],[Saldo Volumen disponible]]</f>
        <v>7140</v>
      </c>
      <c r="BW115" s="20">
        <f>IFERROR(VLOOKUP(Tabla14[[#This Row],[Llave]],[14]Hoja2!$J:$N,4,FALSE),0)</f>
        <v>0</v>
      </c>
      <c r="BX115" s="20">
        <f>+Tabla14[[#This Row],[Asignación mes n+1]]*Tabla14[[#This Row],[% Uti. producción]]</f>
        <v>0</v>
      </c>
      <c r="BY115" s="20">
        <f>+Tabla14[[#This Row],[Ponderación mes n+1]]+Tabla14[[#This Row],[Saldo mes n-1]]</f>
        <v>7140</v>
      </c>
      <c r="BZ115" s="20">
        <f>+Tabla14[[#This Row],[Asignación mes n+1]]-Tabla14[[#This Row],[Ponderación mes n+1]]</f>
        <v>0</v>
      </c>
      <c r="CA115" s="20">
        <f>IFERROR(VLOOKUP(Tabla14[[#This Row],[Llave]],[14]Hoja2!$J:$N,5,FALSE),0)</f>
        <v>0</v>
      </c>
      <c r="CB115" s="20">
        <f>+Tabla14[[#This Row],[Asignación mes n+2]]*Tabla14[[#This Row],[% Uti. producción]]</f>
        <v>0</v>
      </c>
      <c r="CC115" s="20">
        <f>+Tabla14[[#This Row],[Saldo mes n+2]]+Tabla14[[#This Row],[Ponderación mes n+2]]</f>
        <v>0</v>
      </c>
      <c r="CD115" s="20">
        <f>+Tabla14[[#This Row],[Asignación mes n+2]]-Tabla14[[#This Row],[Ponderación mes n+2]]</f>
        <v>0</v>
      </c>
    </row>
    <row r="116" spans="1:82" ht="16" x14ac:dyDescent="0.2">
      <c r="A116">
        <v>2</v>
      </c>
      <c r="B116" t="str">
        <f>Tabla14[[#This Row],[Oficina]]&amp;Tabla14[[#This Row],[Material]]</f>
        <v>Agrosuper Shanghai1021731</v>
      </c>
      <c r="C116" t="s">
        <v>6</v>
      </c>
      <c r="D116" t="s">
        <v>140</v>
      </c>
      <c r="E116">
        <v>1021731</v>
      </c>
      <c r="F116" t="s">
        <v>161</v>
      </c>
      <c r="G116" t="s">
        <v>159</v>
      </c>
      <c r="H116" t="s">
        <v>160</v>
      </c>
      <c r="I116" s="7">
        <f>IFERROR(IF(Tabla14[[#This Row],[Oficina]]=$I$7,VLOOKUP(Tabla14[[#This Row],[Material]],'[6]RV Producción'!$Y:$AA,3,FALSE),VLOOKUP(Tabla14[[#This Row],[Llave]],'[6]RV Producción'!$C:$G,5,FALSE)),0)</f>
        <v>91000</v>
      </c>
      <c r="J116" s="7">
        <f>IFERROR(IF(Tabla14[[#This Row],[Oficina]]=$I$7,VLOOKUP(Tabla14[[#This Row],[Llave]],'[7]Shangai (Tomas)'!$A:$F,6,FALSE),VLOOKUP(Tabla14[[#This Row],[Llave]],'[6]RV plan de ventas'!$A:$E,5,FALSE)),0)</f>
        <v>0</v>
      </c>
      <c r="K116" s="8">
        <f>IFERROR(VLOOKUP(Tabla14[[#This Row],[Sector]]&amp;Tabla14[[#This Row],[Oficina]],[8]Ponderación!$A$3:$G$22,7,FALSE),0)</f>
        <v>0.38476266834449474</v>
      </c>
      <c r="L116" s="7">
        <f>+Tabla14[[#This Row],[ RV Producción mes n+1]]*Tabla14[[#This Row],[% Uti. producción]]</f>
        <v>35013.402819349023</v>
      </c>
      <c r="M116" s="7">
        <f>IFERROR(VLOOKUP(Tabla14[[#This Row],[Material]],'[9]TD Stock'!$B:$C,2,FALSE),0)</f>
        <v>91941.36</v>
      </c>
      <c r="N116" s="7">
        <f>IFERROR(VLOOKUP(Tabla14[[#This Row],[Material]],'[10]Consolidado planificación'!$B:$C,2,FALSE),0)</f>
        <v>12949.419999999998</v>
      </c>
      <c r="O116" s="7">
        <f>IFERROR(VLOOKUP(Tabla14[[#This Row],[Llave]],[11]Hoja2!$D:$G,4,FALSE),0)</f>
        <v>0</v>
      </c>
      <c r="P116" s="14">
        <f>SUM(Tabla14[[#This Row],[Producción disponible]],Tabla14[[#This Row],[Stock al día]],(Tabla14[[#This Row],[Por producir mes N]]*0.9))-Tabla14[[#This Row],[Producción por despachar mes N]]</f>
        <v>138609.24081934901</v>
      </c>
      <c r="Q116" s="7">
        <f>IFERROR(VLOOKUP(Tabla14[[#This Row],[Llave]],[9]DELAY!$A:$D,4,FALSE),0)</f>
        <v>0</v>
      </c>
      <c r="R116" s="9">
        <v>23000</v>
      </c>
      <c r="S116" s="5">
        <f t="shared" si="6"/>
        <v>0</v>
      </c>
      <c r="T116" s="76">
        <v>0</v>
      </c>
      <c r="U116" s="5">
        <f>+Tabla14[[#This Row],[Atraso a facturar]]+Tabla14[[#This Row],[Ajuste atraso]]</f>
        <v>0</v>
      </c>
      <c r="V116" s="3">
        <f>+Tabla14[[#This Row],[Total disponible]]-Tabla14[[#This Row],[Facturación atraso]]</f>
        <v>138609.24081934901</v>
      </c>
      <c r="W116" s="6">
        <f>IFERROR(IF(AND(V116&gt;R116,J116&gt;=R116),ROUNDDOWN((Tabla14[[#This Row],[Producción para venta nueva]])/R116,0)*R116,0),0)</f>
        <v>0</v>
      </c>
      <c r="X116" s="76">
        <v>0</v>
      </c>
      <c r="Y116" s="6">
        <f>IF(Tabla14[[#This Row],[Venta del mes]]&gt;0,Tabla14[[#This Row],[Venta del mes]]+Tabla14[[#This Row],[Ajuste venta nueva]],0)</f>
        <v>0</v>
      </c>
      <c r="Z116" s="6">
        <f>+Tabla14[[#This Row],[Producción para venta nueva]]-Tabla14[[#This Row],[Facturación Venta nueva]]</f>
        <v>138609.24081934901</v>
      </c>
      <c r="AA116" s="6">
        <f>IF(AND(A116=1,Tabla14[[#This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6" s="6">
        <v>0</v>
      </c>
      <c r="AC116" s="6">
        <f>IF(Tabla14[[#This Row],[Disponible stock sin venta]]&gt;0,Tabla14[[#This Row],[Disponible stock sin venta]]+Tabla14[[#This Row],[Ajuste stock sin venta]],0)</f>
        <v>0</v>
      </c>
      <c r="AD116" s="3">
        <f>IFERROR(VLOOKUP(Tabla14[[#This Row],[Llave]],[12]Hoja1!$A:$D,4,FALSE),0)</f>
        <v>0</v>
      </c>
      <c r="AE11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16" s="3">
        <v>0</v>
      </c>
      <c r="AG116" s="3">
        <f>+Tabla14[[#This Row],[En puerto a facturar]]</f>
        <v>0</v>
      </c>
      <c r="AH116" s="3">
        <f>+Tabla14[[#This Row],[Facturación atraso]]</f>
        <v>0</v>
      </c>
      <c r="AI116" s="3">
        <f>+Tabla14[[#This Row],[Plan Irrestricto (DATO)]]-Tabla14[[#This Row],[Puerto ]]-Tabla14[[#This Row],[Atraso]]</f>
        <v>0</v>
      </c>
      <c r="AJ11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16" s="3">
        <f>+Tabla14[[#This Row],[Facturación atraso]]</f>
        <v>0</v>
      </c>
      <c r="AL116" s="3">
        <f>Tabla14[[#This Row],[Plan Ajustado]]-Tabla14[[#This Row],[ Atraso ajustado]]-Tabla14[[#This Row],[En puerto a facturar]]</f>
        <v>0</v>
      </c>
      <c r="AM116" s="3">
        <v>0</v>
      </c>
      <c r="AN116" s="3"/>
      <c r="AO116" s="3" t="str">
        <f>IF(Tabla14[[#This Row],[Plan Ajustado]]&gt;Tabla14[[#This Row],[En puerto a facturar]],"Si","No")</f>
        <v>No</v>
      </c>
      <c r="AP11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16" s="3">
        <f>IF(Tabla14[[#This Row],[Necesidad]]&gt;=Tabla14[[#This Row],[Stock al día]],Tabla14[[#This Row],[Stock al día]],Tabla14[[#This Row],[Necesidad]])</f>
        <v>0</v>
      </c>
      <c r="AR116" s="3">
        <f>+Tabla14[[#This Row],[Necesidad]]-Tabla14[[#This Row],[Stock Plan]]</f>
        <v>0</v>
      </c>
      <c r="AS116" s="155">
        <f>VLOOKUP(Tabla14[[#This Row],[Sector]]&amp;Tabla14[[#This Row],[Oficina]],[8]Ponderación!$A:$H,8,FALSE)</f>
        <v>44814</v>
      </c>
      <c r="AT116" s="30">
        <f>IFERROR(VLOOKUP(Tabla14[[#This Row],[Llave]],'[6]RV plan de ventas'!$A:$F,6,FALSE),0)</f>
        <v>0</v>
      </c>
      <c r="AU116" s="83">
        <f>IFERROR(VLOOKUP(Tabla14[[#This Row],[Llave]],[9]DELAY!$H:$X,17,FALSE),0)</f>
        <v>0</v>
      </c>
      <c r="AV11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16" s="5">
        <f>Tabla14[[#This Row],[Pecio plan]]*Tabla14[[#This Row],[Plan Ajustado]]</f>
        <v>0</v>
      </c>
      <c r="AX116" s="30">
        <f>IFERROR(VLOOKUP(Tabla14[[#This Row],[Llave]],'[13]Ultimos precios facturados'!$A:$G,7,FALSE),0)</f>
        <v>2.027044580218202</v>
      </c>
      <c r="AY11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16" s="30">
        <f>IFERROR(VLOOKUP(Tabla14[[#This Row],[Llave]],Hoja2!B:K,10,FALSE),0)</f>
        <v>0</v>
      </c>
      <c r="BA11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16" s="30">
        <v>0</v>
      </c>
      <c r="BC116" s="30">
        <f>IF(Tabla14[[#This Row],[Market]]=0,Tabla14[[#This Row],[Precio Final]],Tabla14[[#This Row],[Market]])</f>
        <v>0</v>
      </c>
      <c r="BD116" s="82"/>
      <c r="BE116" s="82" t="str">
        <f>IF(AND(Tabla14[[#This Row],[Atraso a facturar]]&gt;0,Tabla14[[#This Row],[En puerto a facturar]]&gt;0,Tabla14[[#This Row],[Precio Atraso]]=0),"Revisar","OK")</f>
        <v>OK</v>
      </c>
      <c r="BF116" s="82" t="str">
        <f>IF(AND(Tabla14[[#This Row],[Venta del mes]]&gt;0,Tabla14[[#This Row],[Precio venta nueva]]=0),"Revisar","OK")</f>
        <v>OK</v>
      </c>
      <c r="BG116" s="20">
        <f>IFERROR(VLOOKUP(Tabla14[[#This Row],[Llave]],'[5]Consolidación planes'!$A:$M,9,FALSE),0)</f>
        <v>312000</v>
      </c>
      <c r="BH116" s="20">
        <f>IFERROR(VLOOKUP(Tabla14[[#This Row],[Llave]],'[5]Consolidación planes'!$A:$M,10,FALSE),0)</f>
        <v>216000</v>
      </c>
      <c r="BI116" s="20">
        <f>IFERROR(VLOOKUP(Tabla14[[#This Row],[Llave]],'[5]Consolidación planes'!$A:$M,11,FALSE),0)</f>
        <v>216000</v>
      </c>
      <c r="BJ116" s="20">
        <f>IFERROR(VLOOKUP(Tabla14[[#This Row],[Llave]],'[5]Consolidación planes'!$A:$M,12,FALSE),0)</f>
        <v>144000</v>
      </c>
      <c r="BK116" s="20">
        <f>IFERROR(VLOOKUP(Tabla14[[#This Row],[Llave]],'[5]Consolidación planes'!$A:$M,13,FALSE),0)</f>
        <v>168000</v>
      </c>
      <c r="BL116" s="20">
        <f>IFERROR(VLOOKUP(Tabla14[[#This Row],[Llave]],'[13]Base ultimos planes'!$A:$M,13,FALSE),0)</f>
        <v>264000</v>
      </c>
      <c r="BM116" s="20">
        <f>IFERROR(VLOOKUP(Tabla14[[#This Row],[Llave]],'[13]Cruce plan irrestricto'!$C:$M,10,FALSE),0)</f>
        <v>289000</v>
      </c>
      <c r="BN116" s="20">
        <f>IFERROR(VLOOKUP(Tabla14[[#This Row],[Llave]],'[13]Cruce plan irrestricto'!$C:$M,11,FALSE),0)</f>
        <v>0</v>
      </c>
      <c r="BO116" s="80">
        <f>IFERROR(VLOOKUP(Tabla14[[#This Row],[Llave]],'[13]Base ultimos planes'!$O:$AA,8,FALSE),0)</f>
        <v>623108.57140000002</v>
      </c>
      <c r="BP116" s="20">
        <f>IFERROR(VLOOKUP(Tabla14[[#This Row],[Llave]],'[13]Base ultimos planes'!$O:$AA,9,FALSE),0)</f>
        <v>406080</v>
      </c>
      <c r="BQ116" s="20">
        <f>IFERROR(VLOOKUP(Tabla14[[#This Row],[Llave]],'[13]Base ultimos planes'!$O:$AA,10,FALSE),0)</f>
        <v>403920</v>
      </c>
      <c r="BR116" s="20">
        <f>IFERROR(VLOOKUP(Tabla14[[#This Row],[Llave]],'[13]Base ultimos planes'!$O:$AA,11,FALSE),0)</f>
        <v>265334</v>
      </c>
      <c r="BS116" s="20">
        <f>IFERROR(VLOOKUP(Tabla14[[#This Row],[Llave]],'[13]Base ultimos planes'!$O:$AA,12,FALSE),0)</f>
        <v>325720</v>
      </c>
      <c r="BT116" s="20">
        <f>IFERROR(VLOOKUP(Tabla14[[#This Row],[Llave]],'[13]Base ultimos planes'!$O:$AA,13,FALSE),0)</f>
        <v>540233</v>
      </c>
      <c r="BU116" s="20"/>
      <c r="BV116" s="20">
        <f>Tabla14[[#This Row],[ RV Producción mes n+1]]-Tabla14[[#This Row],[Producción disponible]]+Tabla14[[#This Row],[Saldo Volumen disponible]]</f>
        <v>194595.83799999999</v>
      </c>
      <c r="BW116" s="20">
        <f>IFERROR(VLOOKUP(Tabla14[[#This Row],[Llave]],[14]Hoja2!$J:$N,4,FALSE),0)</f>
        <v>0</v>
      </c>
      <c r="BX116" s="20">
        <f>+Tabla14[[#This Row],[Asignación mes n+1]]*Tabla14[[#This Row],[% Uti. producción]]</f>
        <v>0</v>
      </c>
      <c r="BY116" s="20">
        <f>+Tabla14[[#This Row],[Ponderación mes n+1]]+Tabla14[[#This Row],[Saldo mes n-1]]</f>
        <v>194595.83799999999</v>
      </c>
      <c r="BZ116" s="20">
        <f>+Tabla14[[#This Row],[Asignación mes n+1]]-Tabla14[[#This Row],[Ponderación mes n+1]]</f>
        <v>0</v>
      </c>
      <c r="CA116" s="20">
        <f>IFERROR(VLOOKUP(Tabla14[[#This Row],[Llave]],[14]Hoja2!$J:$N,5,FALSE),0)</f>
        <v>0</v>
      </c>
      <c r="CB116" s="20">
        <f>+Tabla14[[#This Row],[Asignación mes n+2]]*Tabla14[[#This Row],[% Uti. producción]]</f>
        <v>0</v>
      </c>
      <c r="CC116" s="20">
        <f>+Tabla14[[#This Row],[Saldo mes n+2]]+Tabla14[[#This Row],[Ponderación mes n+2]]</f>
        <v>0</v>
      </c>
      <c r="CD116" s="20">
        <f>+Tabla14[[#This Row],[Asignación mes n+2]]-Tabla14[[#This Row],[Ponderación mes n+2]]</f>
        <v>0</v>
      </c>
    </row>
    <row r="117" spans="1:82" ht="16" x14ac:dyDescent="0.2">
      <c r="A117">
        <v>2</v>
      </c>
      <c r="B117" t="str">
        <f>Tabla14[[#This Row],[Oficina]]&amp;Tabla14[[#This Row],[Material]]</f>
        <v>Agrosuper Shanghai1021733</v>
      </c>
      <c r="C117" t="s">
        <v>6</v>
      </c>
      <c r="D117" t="s">
        <v>140</v>
      </c>
      <c r="E117">
        <v>1021733</v>
      </c>
      <c r="F117" t="s">
        <v>166</v>
      </c>
      <c r="G117" t="s">
        <v>59</v>
      </c>
      <c r="H117" t="s">
        <v>62</v>
      </c>
      <c r="I117" s="7">
        <f>IFERROR(IF(Tabla14[[#This Row],[Oficina]]=$I$7,VLOOKUP(Tabla14[[#This Row],[Material]],'[6]RV Producción'!$Y:$AA,3,FALSE),VLOOKUP(Tabla14[[#This Row],[Llave]],'[6]RV Producción'!$C:$G,5,FALSE)),0)</f>
        <v>127297</v>
      </c>
      <c r="J117" s="7">
        <f>IFERROR(IF(Tabla14[[#This Row],[Oficina]]=$I$7,VLOOKUP(Tabla14[[#This Row],[Llave]],'[7]Shangai (Tomas)'!$A:$F,6,FALSE),VLOOKUP(Tabla14[[#This Row],[Llave]],'[6]RV plan de ventas'!$A:$E,5,FALSE)),0)</f>
        <v>0</v>
      </c>
      <c r="K117" s="8">
        <f>IFERROR(VLOOKUP(Tabla14[[#This Row],[Sector]]&amp;Tabla14[[#This Row],[Oficina]],[8]Ponderación!$A$3:$G$22,7,FALSE),0)</f>
        <v>0.38476266834449474</v>
      </c>
      <c r="L117" s="7">
        <f>+Tabla14[[#This Row],[ RV Producción mes n+1]]*Tabla14[[#This Row],[% Uti. producción]]</f>
        <v>48979.133392249147</v>
      </c>
      <c r="M117" s="7">
        <f>IFERROR(VLOOKUP(Tabla14[[#This Row],[Material]],'[9]TD Stock'!$B:$C,2,FALSE),0)</f>
        <v>13828.603999999999</v>
      </c>
      <c r="N117" s="7">
        <f>IFERROR(VLOOKUP(Tabla14[[#This Row],[Material]],'[10]Consolidado planificación'!$B:$C,2,FALSE),0)</f>
        <v>203662.15692061905</v>
      </c>
      <c r="O117" s="7">
        <f>IFERROR(VLOOKUP(Tabla14[[#This Row],[Llave]],[11]Hoja2!$D:$G,4,FALSE),0)</f>
        <v>0</v>
      </c>
      <c r="P117" s="14">
        <f>SUM(Tabla14[[#This Row],[Producción disponible]],Tabla14[[#This Row],[Stock al día]],(Tabla14[[#This Row],[Por producir mes N]]*0.9))-Tabla14[[#This Row],[Producción por despachar mes N]]</f>
        <v>246103.67862080628</v>
      </c>
      <c r="Q117" s="7">
        <f>IFERROR(VLOOKUP(Tabla14[[#This Row],[Llave]],[9]DELAY!$A:$D,4,FALSE),0)</f>
        <v>0</v>
      </c>
      <c r="R117" s="9">
        <v>23000</v>
      </c>
      <c r="S117" s="5">
        <f t="shared" si="6"/>
        <v>0</v>
      </c>
      <c r="T117" s="76">
        <v>0</v>
      </c>
      <c r="U117" s="5">
        <f>+Tabla14[[#This Row],[Atraso a facturar]]+Tabla14[[#This Row],[Ajuste atraso]]</f>
        <v>0</v>
      </c>
      <c r="V117" s="3">
        <f>+Tabla14[[#This Row],[Total disponible]]-Tabla14[[#This Row],[Facturación atraso]]</f>
        <v>246103.67862080628</v>
      </c>
      <c r="W117" s="6">
        <f>IFERROR(IF(AND(V117&gt;R117,J117&gt;=R117),ROUNDDOWN((Tabla14[[#This Row],[Producción para venta nueva]])/R117,0)*R117,0),0)</f>
        <v>0</v>
      </c>
      <c r="X117" s="76">
        <v>0</v>
      </c>
      <c r="Y117" s="6">
        <f>IF(Tabla14[[#This Row],[Venta del mes]]&gt;0,Tabla14[[#This Row],[Venta del mes]]+Tabla14[[#This Row],[Ajuste venta nueva]],0)</f>
        <v>0</v>
      </c>
      <c r="Z117" s="6">
        <f>+Tabla14[[#This Row],[Producción para venta nueva]]-Tabla14[[#This Row],[Facturación Venta nueva]]</f>
        <v>246103.67862080628</v>
      </c>
      <c r="AA117" s="6">
        <f>IF(AND(A117=1,Tabla14[[#This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7" s="6">
        <v>0</v>
      </c>
      <c r="AC117" s="6">
        <f>IF(Tabla14[[#This Row],[Disponible stock sin venta]]&gt;0,Tabla14[[#This Row],[Disponible stock sin venta]]+Tabla14[[#This Row],[Ajuste stock sin venta]],0)</f>
        <v>0</v>
      </c>
      <c r="AD117" s="3">
        <f>IFERROR(VLOOKUP(Tabla14[[#This Row],[Llave]],[12]Hoja1!$A:$D,4,FALSE),0)</f>
        <v>0</v>
      </c>
      <c r="AE11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17" s="3">
        <v>0</v>
      </c>
      <c r="AG117" s="3">
        <f>+Tabla14[[#This Row],[En puerto a facturar]]</f>
        <v>0</v>
      </c>
      <c r="AH117" s="3">
        <f>+Tabla14[[#This Row],[Facturación atraso]]</f>
        <v>0</v>
      </c>
      <c r="AI117" s="3">
        <f>+Tabla14[[#This Row],[Plan Irrestricto (DATO)]]-Tabla14[[#This Row],[Puerto ]]-Tabla14[[#This Row],[Atraso]]</f>
        <v>0</v>
      </c>
      <c r="AJ11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17" s="3">
        <f>+Tabla14[[#This Row],[Facturación atraso]]</f>
        <v>0</v>
      </c>
      <c r="AL117" s="3">
        <f>Tabla14[[#This Row],[Plan Ajustado]]-Tabla14[[#This Row],[ Atraso ajustado]]-Tabla14[[#This Row],[En puerto a facturar]]</f>
        <v>0</v>
      </c>
      <c r="AM117" s="3">
        <v>0</v>
      </c>
      <c r="AN117" s="3"/>
      <c r="AO117" s="3" t="str">
        <f>IF(Tabla14[[#This Row],[Plan Ajustado]]&gt;Tabla14[[#This Row],[En puerto a facturar]],"Si","No")</f>
        <v>No</v>
      </c>
      <c r="AP11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17" s="3">
        <f>IF(Tabla14[[#This Row],[Necesidad]]&gt;=Tabla14[[#This Row],[Stock al día]],Tabla14[[#This Row],[Stock al día]],Tabla14[[#This Row],[Necesidad]])</f>
        <v>0</v>
      </c>
      <c r="AR117" s="3">
        <f>+Tabla14[[#This Row],[Necesidad]]-Tabla14[[#This Row],[Stock Plan]]</f>
        <v>0</v>
      </c>
      <c r="AS117" s="155">
        <f>VLOOKUP(Tabla14[[#This Row],[Sector]]&amp;Tabla14[[#This Row],[Oficina]],[8]Ponderación!$A:$H,8,FALSE)</f>
        <v>44814</v>
      </c>
      <c r="AT117" s="30">
        <f>IFERROR(VLOOKUP(Tabla14[[#This Row],[Llave]],'[6]RV plan de ventas'!$A:$F,6,FALSE),0)</f>
        <v>0</v>
      </c>
      <c r="AU117" s="83">
        <f>IFERROR(VLOOKUP(Tabla14[[#This Row],[Llave]],[9]DELAY!$H:$X,17,FALSE),0)</f>
        <v>0</v>
      </c>
      <c r="AV11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17" s="5">
        <f>Tabla14[[#This Row],[Pecio plan]]*Tabla14[[#This Row],[Plan Ajustado]]</f>
        <v>0</v>
      </c>
      <c r="AX117" s="30">
        <f>IFERROR(VLOOKUP(Tabla14[[#This Row],[Llave]],'[13]Ultimos precios facturados'!$A:$G,7,FALSE),0)</f>
        <v>2.3915819483973553</v>
      </c>
      <c r="AY11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17" s="30">
        <f>IFERROR(VLOOKUP(Tabla14[[#This Row],[Llave]],Hoja2!B:K,10,FALSE),0)</f>
        <v>2.8455833333333298</v>
      </c>
      <c r="BA11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17" s="30">
        <v>0</v>
      </c>
      <c r="BC117" s="30">
        <f>IF(Tabla14[[#This Row],[Market]]=0,Tabla14[[#This Row],[Precio Final]],Tabla14[[#This Row],[Market]])</f>
        <v>0</v>
      </c>
      <c r="BD117" s="82"/>
      <c r="BE117" s="82" t="str">
        <f>IF(AND(Tabla14[[#This Row],[Atraso a facturar]]&gt;0,Tabla14[[#This Row],[En puerto a facturar]]&gt;0,Tabla14[[#This Row],[Precio Atraso]]=0),"Revisar","OK")</f>
        <v>OK</v>
      </c>
      <c r="BF117" s="82" t="str">
        <f>IF(AND(Tabla14[[#This Row],[Venta del mes]]&gt;0,Tabla14[[#This Row],[Precio venta nueva]]=0),"Revisar","OK")</f>
        <v>OK</v>
      </c>
      <c r="BG117" s="20">
        <f>IFERROR(VLOOKUP(Tabla14[[#This Row],[Llave]],'[5]Consolidación planes'!$A:$M,9,FALSE),0)</f>
        <v>96000</v>
      </c>
      <c r="BH117" s="20">
        <f>IFERROR(VLOOKUP(Tabla14[[#This Row],[Llave]],'[5]Consolidación planes'!$A:$M,10,FALSE),0)</f>
        <v>0</v>
      </c>
      <c r="BI117" s="20">
        <f>IFERROR(VLOOKUP(Tabla14[[#This Row],[Llave]],'[5]Consolidación planes'!$A:$M,11,FALSE),0)</f>
        <v>0</v>
      </c>
      <c r="BJ117" s="20">
        <f>IFERROR(VLOOKUP(Tabla14[[#This Row],[Llave]],'[5]Consolidación planes'!$A:$M,12,FALSE),0)</f>
        <v>72000</v>
      </c>
      <c r="BK117" s="20">
        <f>IFERROR(VLOOKUP(Tabla14[[#This Row],[Llave]],'[5]Consolidación planes'!$A:$M,13,FALSE),0)</f>
        <v>24000</v>
      </c>
      <c r="BL117" s="20">
        <f>IFERROR(VLOOKUP(Tabla14[[#This Row],[Llave]],'[13]Base ultimos planes'!$A:$M,13,FALSE),0)</f>
        <v>0</v>
      </c>
      <c r="BM117" s="20">
        <f>IFERROR(VLOOKUP(Tabla14[[#This Row],[Llave]],'[13]Cruce plan irrestricto'!$C:$M,10,FALSE),0)</f>
        <v>24000</v>
      </c>
      <c r="BN117" s="20">
        <f>IFERROR(VLOOKUP(Tabla14[[#This Row],[Llave]],'[13]Cruce plan irrestricto'!$C:$M,11,FALSE),0)</f>
        <v>144000</v>
      </c>
      <c r="BO117" s="80">
        <f>IFERROR(VLOOKUP(Tabla14[[#This Row],[Llave]],'[13]Base ultimos planes'!$O:$AA,8,FALSE),0)</f>
        <v>169760</v>
      </c>
      <c r="BP117" s="20">
        <f>IFERROR(VLOOKUP(Tabla14[[#This Row],[Llave]],'[13]Base ultimos planes'!$O:$AA,9,FALSE),0)</f>
        <v>0</v>
      </c>
      <c r="BQ117" s="20">
        <f>IFERROR(VLOOKUP(Tabla14[[#This Row],[Llave]],'[13]Base ultimos planes'!$O:$AA,10,FALSE),0)</f>
        <v>0</v>
      </c>
      <c r="BR117" s="20">
        <f>IFERROR(VLOOKUP(Tabla14[[#This Row],[Llave]],'[13]Base ultimos planes'!$O:$AA,11,FALSE),0)</f>
        <v>65368</v>
      </c>
      <c r="BS117" s="20">
        <f>IFERROR(VLOOKUP(Tabla14[[#This Row],[Llave]],'[13]Base ultimos planes'!$O:$AA,12,FALSE),0)</f>
        <v>43579</v>
      </c>
      <c r="BT117" s="20">
        <f>IFERROR(VLOOKUP(Tabla14[[#This Row],[Llave]],'[13]Base ultimos planes'!$O:$AA,13,FALSE),0)</f>
        <v>0</v>
      </c>
      <c r="BU117" s="20"/>
      <c r="BV117" s="20">
        <f>Tabla14[[#This Row],[ RV Producción mes n+1]]-Tabla14[[#This Row],[Producción disponible]]+Tabla14[[#This Row],[Saldo Volumen disponible]]</f>
        <v>324421.54522855714</v>
      </c>
      <c r="BW117" s="20">
        <f>IFERROR(VLOOKUP(Tabla14[[#This Row],[Llave]],[14]Hoja2!$J:$N,4,FALSE),0)</f>
        <v>0</v>
      </c>
      <c r="BX117" s="20">
        <f>+Tabla14[[#This Row],[Asignación mes n+1]]*Tabla14[[#This Row],[% Uti. producción]]</f>
        <v>0</v>
      </c>
      <c r="BY117" s="20">
        <f>+Tabla14[[#This Row],[Ponderación mes n+1]]+Tabla14[[#This Row],[Saldo mes n-1]]</f>
        <v>324421.54522855714</v>
      </c>
      <c r="BZ117" s="20">
        <f>+Tabla14[[#This Row],[Asignación mes n+1]]-Tabla14[[#This Row],[Ponderación mes n+1]]</f>
        <v>0</v>
      </c>
      <c r="CA117" s="20">
        <f>IFERROR(VLOOKUP(Tabla14[[#This Row],[Llave]],[14]Hoja2!$J:$N,5,FALSE),0)</f>
        <v>0</v>
      </c>
      <c r="CB117" s="20">
        <f>+Tabla14[[#This Row],[Asignación mes n+2]]*Tabla14[[#This Row],[% Uti. producción]]</f>
        <v>0</v>
      </c>
      <c r="CC117" s="20">
        <f>+Tabla14[[#This Row],[Saldo mes n+2]]+Tabla14[[#This Row],[Ponderación mes n+2]]</f>
        <v>0</v>
      </c>
      <c r="CD117" s="20">
        <f>+Tabla14[[#This Row],[Asignación mes n+2]]-Tabla14[[#This Row],[Ponderación mes n+2]]</f>
        <v>0</v>
      </c>
    </row>
    <row r="118" spans="1:82" ht="16" x14ac:dyDescent="0.2">
      <c r="A118">
        <v>2</v>
      </c>
      <c r="B118" t="str">
        <f>Tabla14[[#This Row],[Oficina]]&amp;Tabla14[[#This Row],[Material]]</f>
        <v>Agrosuper Shanghai1021735</v>
      </c>
      <c r="C118" t="s">
        <v>6</v>
      </c>
      <c r="D118" t="s">
        <v>140</v>
      </c>
      <c r="E118">
        <v>1021735</v>
      </c>
      <c r="F118" t="s">
        <v>169</v>
      </c>
      <c r="G118" t="s">
        <v>76</v>
      </c>
      <c r="H118" t="s">
        <v>77</v>
      </c>
      <c r="I118" s="7">
        <f>IFERROR(IF(Tabla14[[#This Row],[Oficina]]=$I$7,VLOOKUP(Tabla14[[#This Row],[Material]],'[6]RV Producción'!$Y:$AA,3,FALSE),VLOOKUP(Tabla14[[#This Row],[Llave]],'[6]RV Producción'!$C:$G,5,FALSE)),0)</f>
        <v>123751</v>
      </c>
      <c r="J118" s="7">
        <f>IFERROR(IF(Tabla14[[#This Row],[Oficina]]=$I$7,VLOOKUP(Tabla14[[#This Row],[Llave]],'[7]Shangai (Tomas)'!$A:$F,6,FALSE),VLOOKUP(Tabla14[[#This Row],[Llave]],'[6]RV plan de ventas'!$A:$E,5,FALSE)),0)</f>
        <v>0</v>
      </c>
      <c r="K118" s="8">
        <f>IFERROR(VLOOKUP(Tabla14[[#This Row],[Sector]]&amp;Tabla14[[#This Row],[Oficina]],[8]Ponderación!$A$3:$G$22,7,FALSE),0)</f>
        <v>0.38476266834449474</v>
      </c>
      <c r="L118" s="7">
        <f>+Tabla14[[#This Row],[ RV Producción mes n+1]]*Tabla14[[#This Row],[% Uti. producción]]</f>
        <v>47614.76497029957</v>
      </c>
      <c r="M118" s="7">
        <f>IFERROR(VLOOKUP(Tabla14[[#This Row],[Material]],'[9]TD Stock'!$B:$C,2,FALSE),0)</f>
        <v>50882.080000000002</v>
      </c>
      <c r="N118" s="7">
        <f>IFERROR(VLOOKUP(Tabla14[[#This Row],[Material]],'[10]Consolidado planificación'!$B:$C,2,FALSE),0)</f>
        <v>21467.699999999997</v>
      </c>
      <c r="O118" s="7">
        <f>IFERROR(VLOOKUP(Tabla14[[#This Row],[Llave]],[11]Hoja2!$D:$G,4,FALSE),0)</f>
        <v>0</v>
      </c>
      <c r="P118" s="14">
        <f>SUM(Tabla14[[#This Row],[Producción disponible]],Tabla14[[#This Row],[Stock al día]],(Tabla14[[#This Row],[Por producir mes N]]*0.9))-Tabla14[[#This Row],[Producción por despachar mes N]]</f>
        <v>117817.77497029956</v>
      </c>
      <c r="Q118" s="7">
        <f>IFERROR(VLOOKUP(Tabla14[[#This Row],[Llave]],[9]DELAY!$A:$D,4,FALSE),0)</f>
        <v>0</v>
      </c>
      <c r="R118" s="9">
        <v>23000</v>
      </c>
      <c r="S118" s="5">
        <f t="shared" si="6"/>
        <v>0</v>
      </c>
      <c r="T118" s="76">
        <v>0</v>
      </c>
      <c r="U118" s="5">
        <f>+Tabla14[[#This Row],[Atraso a facturar]]+Tabla14[[#This Row],[Ajuste atraso]]</f>
        <v>0</v>
      </c>
      <c r="V118" s="3">
        <f>+Tabla14[[#This Row],[Total disponible]]-Tabla14[[#This Row],[Facturación atraso]]</f>
        <v>117817.77497029956</v>
      </c>
      <c r="W118" s="6">
        <f>IFERROR(IF(AND(V118&gt;R118,J118&gt;=R118),ROUNDDOWN((Tabla14[[#This Row],[Producción para venta nueva]])/R118,0)*R118,0),0)</f>
        <v>0</v>
      </c>
      <c r="X118" s="76">
        <v>0</v>
      </c>
      <c r="Y118" s="6">
        <f>IF(Tabla14[[#This Row],[Venta del mes]]&gt;0,Tabla14[[#This Row],[Venta del mes]]+Tabla14[[#This Row],[Ajuste venta nueva]],0)</f>
        <v>0</v>
      </c>
      <c r="Z118" s="6">
        <f>+Tabla14[[#This Row],[Producción para venta nueva]]-Tabla14[[#This Row],[Facturación Venta nueva]]</f>
        <v>117817.77497029956</v>
      </c>
      <c r="AA118" s="6">
        <f>IF(AND(A118=1,Tabla14[[#This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8" s="6">
        <v>0</v>
      </c>
      <c r="AC118" s="6">
        <f>IF(Tabla14[[#This Row],[Disponible stock sin venta]]&gt;0,Tabla14[[#This Row],[Disponible stock sin venta]]+Tabla14[[#This Row],[Ajuste stock sin venta]],0)</f>
        <v>0</v>
      </c>
      <c r="AD118" s="3">
        <f>IFERROR(VLOOKUP(Tabla14[[#This Row],[Llave]],[12]Hoja1!$A:$D,4,FALSE),0)</f>
        <v>0</v>
      </c>
      <c r="AE11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18" s="3">
        <v>0</v>
      </c>
      <c r="AG118" s="3">
        <f>+Tabla14[[#This Row],[En puerto a facturar]]</f>
        <v>0</v>
      </c>
      <c r="AH118" s="3">
        <f>+Tabla14[[#This Row],[Facturación atraso]]</f>
        <v>0</v>
      </c>
      <c r="AI118" s="3">
        <f>+Tabla14[[#This Row],[Plan Irrestricto (DATO)]]-Tabla14[[#This Row],[Puerto ]]-Tabla14[[#This Row],[Atraso]]</f>
        <v>0</v>
      </c>
      <c r="AJ11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18" s="3">
        <f>+Tabla14[[#This Row],[Facturación atraso]]</f>
        <v>0</v>
      </c>
      <c r="AL118" s="3">
        <f>Tabla14[[#This Row],[Plan Ajustado]]-Tabla14[[#This Row],[ Atraso ajustado]]-Tabla14[[#This Row],[En puerto a facturar]]</f>
        <v>0</v>
      </c>
      <c r="AM118" s="3">
        <v>0</v>
      </c>
      <c r="AN118" s="3"/>
      <c r="AO118" s="3" t="str">
        <f>IF(Tabla14[[#This Row],[Plan Ajustado]]&gt;Tabla14[[#This Row],[En puerto a facturar]],"Si","No")</f>
        <v>No</v>
      </c>
      <c r="AP11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18" s="3">
        <f>IF(Tabla14[[#This Row],[Necesidad]]&gt;=Tabla14[[#This Row],[Stock al día]],Tabla14[[#This Row],[Stock al día]],Tabla14[[#This Row],[Necesidad]])</f>
        <v>0</v>
      </c>
      <c r="AR118" s="3">
        <f>+Tabla14[[#This Row],[Necesidad]]-Tabla14[[#This Row],[Stock Plan]]</f>
        <v>0</v>
      </c>
      <c r="AS118" s="155">
        <f>VLOOKUP(Tabla14[[#This Row],[Sector]]&amp;Tabla14[[#This Row],[Oficina]],[8]Ponderación!$A:$H,8,FALSE)</f>
        <v>44814</v>
      </c>
      <c r="AT118" s="30">
        <f>IFERROR(VLOOKUP(Tabla14[[#This Row],[Llave]],'[6]RV plan de ventas'!$A:$F,6,FALSE),0)</f>
        <v>0</v>
      </c>
      <c r="AU118" s="83">
        <f>IFERROR(VLOOKUP(Tabla14[[#This Row],[Llave]],[9]DELAY!$H:$X,17,FALSE),0)</f>
        <v>0</v>
      </c>
      <c r="AV11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18" s="5">
        <f>Tabla14[[#This Row],[Pecio plan]]*Tabla14[[#This Row],[Plan Ajustado]]</f>
        <v>0</v>
      </c>
      <c r="AX118" s="30">
        <f>IFERROR(VLOOKUP(Tabla14[[#This Row],[Llave]],'[13]Ultimos precios facturados'!$A:$G,7,FALSE),0)</f>
        <v>4.5709100369670814</v>
      </c>
      <c r="AY11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18" s="30">
        <f>IFERROR(VLOOKUP(Tabla14[[#This Row],[Llave]],Hoja2!B:K,10,FALSE),0)</f>
        <v>0</v>
      </c>
      <c r="BA11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18" s="30">
        <v>0</v>
      </c>
      <c r="BC118" s="30">
        <f>IF(Tabla14[[#This Row],[Market]]=0,Tabla14[[#This Row],[Precio Final]],Tabla14[[#This Row],[Market]])</f>
        <v>0</v>
      </c>
      <c r="BD118" s="82"/>
      <c r="BE118" s="82" t="str">
        <f>IF(AND(Tabla14[[#This Row],[Atraso a facturar]]&gt;0,Tabla14[[#This Row],[En puerto a facturar]]&gt;0,Tabla14[[#This Row],[Precio Atraso]]=0),"Revisar","OK")</f>
        <v>OK</v>
      </c>
      <c r="BF118" s="82" t="str">
        <f>IF(AND(Tabla14[[#This Row],[Venta del mes]]&gt;0,Tabla14[[#This Row],[Precio venta nueva]]=0),"Revisar","OK")</f>
        <v>OK</v>
      </c>
      <c r="BG118" s="20">
        <f>IFERROR(VLOOKUP(Tabla14[[#This Row],[Llave]],'[5]Consolidación planes'!$A:$M,9,FALSE),0)</f>
        <v>240000</v>
      </c>
      <c r="BH118" s="20">
        <f>IFERROR(VLOOKUP(Tabla14[[#This Row],[Llave]],'[5]Consolidación planes'!$A:$M,10,FALSE),0)</f>
        <v>96000</v>
      </c>
      <c r="BI118" s="20">
        <f>IFERROR(VLOOKUP(Tabla14[[#This Row],[Llave]],'[5]Consolidación planes'!$A:$M,11,FALSE),0)</f>
        <v>96000</v>
      </c>
      <c r="BJ118" s="20">
        <f>IFERROR(VLOOKUP(Tabla14[[#This Row],[Llave]],'[5]Consolidación planes'!$A:$M,12,FALSE),0)</f>
        <v>0</v>
      </c>
      <c r="BK118" s="20">
        <f>IFERROR(VLOOKUP(Tabla14[[#This Row],[Llave]],'[5]Consolidación planes'!$A:$M,13,FALSE),0)</f>
        <v>186020</v>
      </c>
      <c r="BL118" s="20">
        <f>IFERROR(VLOOKUP(Tabla14[[#This Row],[Llave]],'[13]Base ultimos planes'!$A:$M,13,FALSE),0)</f>
        <v>72000</v>
      </c>
      <c r="BM118" s="20">
        <f>IFERROR(VLOOKUP(Tabla14[[#This Row],[Llave]],'[13]Cruce plan irrestricto'!$C:$M,10,FALSE),0)</f>
        <v>217140</v>
      </c>
      <c r="BN118" s="20">
        <f>IFERROR(VLOOKUP(Tabla14[[#This Row],[Llave]],'[13]Cruce plan irrestricto'!$C:$M,11,FALSE),0)</f>
        <v>83860</v>
      </c>
      <c r="BO118" s="80">
        <f>IFERROR(VLOOKUP(Tabla14[[#This Row],[Llave]],'[13]Base ultimos planes'!$O:$AA,8,FALSE),0)</f>
        <v>982080</v>
      </c>
      <c r="BP118" s="20">
        <f>IFERROR(VLOOKUP(Tabla14[[#This Row],[Llave]],'[13]Base ultimos planes'!$O:$AA,9,FALSE),0)</f>
        <v>384000</v>
      </c>
      <c r="BQ118" s="20">
        <f>IFERROR(VLOOKUP(Tabla14[[#This Row],[Llave]],'[13]Base ultimos planes'!$O:$AA,10,FALSE),0)</f>
        <v>393600</v>
      </c>
      <c r="BR118" s="20">
        <f>IFERROR(VLOOKUP(Tabla14[[#This Row],[Llave]],'[13]Base ultimos planes'!$O:$AA,11,FALSE),0)</f>
        <v>0</v>
      </c>
      <c r="BS118" s="20">
        <f>IFERROR(VLOOKUP(Tabla14[[#This Row],[Llave]],'[13]Base ultimos planes'!$O:$AA,12,FALSE),0)</f>
        <v>791853</v>
      </c>
      <c r="BT118" s="20">
        <f>IFERROR(VLOOKUP(Tabla14[[#This Row],[Llave]],'[13]Base ultimos planes'!$O:$AA,13,FALSE),0)</f>
        <v>325592</v>
      </c>
      <c r="BU118" s="20"/>
      <c r="BV118" s="20">
        <f>Tabla14[[#This Row],[ RV Producción mes n+1]]-Tabla14[[#This Row],[Producción disponible]]+Tabla14[[#This Row],[Saldo Volumen disponible]]</f>
        <v>193954.01</v>
      </c>
      <c r="BW118" s="20">
        <f>IFERROR(VLOOKUP(Tabla14[[#This Row],[Llave]],[14]Hoja2!$J:$N,4,FALSE),0)</f>
        <v>0</v>
      </c>
      <c r="BX118" s="20">
        <f>+Tabla14[[#This Row],[Asignación mes n+1]]*Tabla14[[#This Row],[% Uti. producción]]</f>
        <v>0</v>
      </c>
      <c r="BY118" s="20">
        <f>+Tabla14[[#This Row],[Ponderación mes n+1]]+Tabla14[[#This Row],[Saldo mes n-1]]</f>
        <v>193954.01</v>
      </c>
      <c r="BZ118" s="20">
        <f>+Tabla14[[#This Row],[Asignación mes n+1]]-Tabla14[[#This Row],[Ponderación mes n+1]]</f>
        <v>0</v>
      </c>
      <c r="CA118" s="20">
        <f>IFERROR(VLOOKUP(Tabla14[[#This Row],[Llave]],[14]Hoja2!$J:$N,5,FALSE),0)</f>
        <v>0</v>
      </c>
      <c r="CB118" s="20">
        <f>+Tabla14[[#This Row],[Asignación mes n+2]]*Tabla14[[#This Row],[% Uti. producción]]</f>
        <v>0</v>
      </c>
      <c r="CC118" s="20">
        <f>+Tabla14[[#This Row],[Saldo mes n+2]]+Tabla14[[#This Row],[Ponderación mes n+2]]</f>
        <v>0</v>
      </c>
      <c r="CD118" s="20">
        <f>+Tabla14[[#This Row],[Asignación mes n+2]]-Tabla14[[#This Row],[Ponderación mes n+2]]</f>
        <v>0</v>
      </c>
    </row>
    <row r="119" spans="1:82" ht="16" x14ac:dyDescent="0.2">
      <c r="A119">
        <v>2</v>
      </c>
      <c r="B119" t="str">
        <f>Tabla14[[#This Row],[Oficina]]&amp;Tabla14[[#This Row],[Material]]</f>
        <v>Agrosuper Shanghai1021738</v>
      </c>
      <c r="C119" t="s">
        <v>6</v>
      </c>
      <c r="D119" t="s">
        <v>140</v>
      </c>
      <c r="E119">
        <v>1021738</v>
      </c>
      <c r="F119" t="s">
        <v>170</v>
      </c>
      <c r="G119" t="s">
        <v>76</v>
      </c>
      <c r="H119" t="s">
        <v>77</v>
      </c>
      <c r="I119" s="7">
        <f>IFERROR(IF(Tabla14[[#This Row],[Oficina]]=$I$7,VLOOKUP(Tabla14[[#This Row],[Material]],'[6]RV Producción'!$Y:$AA,3,FALSE),VLOOKUP(Tabla14[[#This Row],[Llave]],'[6]RV Producción'!$C:$G,5,FALSE)),0)</f>
        <v>57322</v>
      </c>
      <c r="J119" s="7">
        <f>IFERROR(IF(Tabla14[[#This Row],[Oficina]]=$I$7,VLOOKUP(Tabla14[[#This Row],[Llave]],'[7]Shangai (Tomas)'!$A:$F,6,FALSE),VLOOKUP(Tabla14[[#This Row],[Llave]],'[6]RV plan de ventas'!$A:$E,5,FALSE)),0)</f>
        <v>0</v>
      </c>
      <c r="K119" s="8">
        <f>IFERROR(VLOOKUP(Tabla14[[#This Row],[Sector]]&amp;Tabla14[[#This Row],[Oficina]],[8]Ponderación!$A$3:$G$22,7,FALSE),0)</f>
        <v>0.38476266834449474</v>
      </c>
      <c r="L119" s="7">
        <f>+Tabla14[[#This Row],[ RV Producción mes n+1]]*Tabla14[[#This Row],[% Uti. producción]]</f>
        <v>22055.365674843128</v>
      </c>
      <c r="M119" s="7">
        <f>IFERROR(VLOOKUP(Tabla14[[#This Row],[Material]],'[9]TD Stock'!$B:$C,2,FALSE),0)</f>
        <v>23221.41</v>
      </c>
      <c r="N119" s="7">
        <f>IFERROR(VLOOKUP(Tabla14[[#This Row],[Material]],'[10]Consolidado planificación'!$B:$C,2,FALSE),0)</f>
        <v>17793.754000000001</v>
      </c>
      <c r="O119" s="7">
        <f>IFERROR(VLOOKUP(Tabla14[[#This Row],[Llave]],[11]Hoja2!$D:$G,4,FALSE),0)</f>
        <v>0</v>
      </c>
      <c r="P119" s="14">
        <f>SUM(Tabla14[[#This Row],[Producción disponible]],Tabla14[[#This Row],[Stock al día]],(Tabla14[[#This Row],[Por producir mes N]]*0.9))-Tabla14[[#This Row],[Producción por despachar mes N]]</f>
        <v>61291.154274843131</v>
      </c>
      <c r="Q119" s="7">
        <f>IFERROR(VLOOKUP(Tabla14[[#This Row],[Llave]],[9]DELAY!$A:$D,4,FALSE),0)</f>
        <v>0</v>
      </c>
      <c r="R119" s="9">
        <v>23000</v>
      </c>
      <c r="S119" s="5">
        <f t="shared" si="6"/>
        <v>0</v>
      </c>
      <c r="T119" s="76">
        <v>0</v>
      </c>
      <c r="U119" s="5">
        <f>+Tabla14[[#This Row],[Atraso a facturar]]+Tabla14[[#This Row],[Ajuste atraso]]</f>
        <v>0</v>
      </c>
      <c r="V119" s="3">
        <f>+Tabla14[[#This Row],[Total disponible]]-Tabla14[[#This Row],[Facturación atraso]]</f>
        <v>61291.154274843131</v>
      </c>
      <c r="W119" s="6">
        <f>IFERROR(IF(AND(V119&gt;R119,J119&gt;=R119),ROUNDDOWN((Tabla14[[#This Row],[Producción para venta nueva]])/R119,0)*R119,0),0)</f>
        <v>0</v>
      </c>
      <c r="X119" s="76">
        <v>0</v>
      </c>
      <c r="Y119" s="6">
        <f>IF(Tabla14[[#This Row],[Venta del mes]]&gt;0,Tabla14[[#This Row],[Venta del mes]]+Tabla14[[#This Row],[Ajuste venta nueva]],0)</f>
        <v>0</v>
      </c>
      <c r="Z119" s="6">
        <f>+Tabla14[[#This Row],[Producción para venta nueva]]-Tabla14[[#This Row],[Facturación Venta nueva]]</f>
        <v>61291.154274843131</v>
      </c>
      <c r="AA119" s="6">
        <f>IF(AND(A119=1,Tabla14[[#This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19" s="6">
        <v>0</v>
      </c>
      <c r="AC119" s="6">
        <f>IF(Tabla14[[#This Row],[Disponible stock sin venta]]&gt;0,Tabla14[[#This Row],[Disponible stock sin venta]]+Tabla14[[#This Row],[Ajuste stock sin venta]],0)</f>
        <v>0</v>
      </c>
      <c r="AD119" s="3">
        <f>IFERROR(VLOOKUP(Tabla14[[#This Row],[Llave]],[12]Hoja1!$A:$D,4,FALSE),0)</f>
        <v>0</v>
      </c>
      <c r="AE11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19" s="3">
        <v>0</v>
      </c>
      <c r="AG119" s="3">
        <f>+Tabla14[[#This Row],[En puerto a facturar]]</f>
        <v>0</v>
      </c>
      <c r="AH119" s="3">
        <f>+Tabla14[[#This Row],[Facturación atraso]]</f>
        <v>0</v>
      </c>
      <c r="AI119" s="3">
        <f>+Tabla14[[#This Row],[Plan Irrestricto (DATO)]]-Tabla14[[#This Row],[Puerto ]]-Tabla14[[#This Row],[Atraso]]</f>
        <v>0</v>
      </c>
      <c r="AJ11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19" s="3">
        <f>+Tabla14[[#This Row],[Facturación atraso]]</f>
        <v>0</v>
      </c>
      <c r="AL119" s="3">
        <f>Tabla14[[#This Row],[Plan Ajustado]]-Tabla14[[#This Row],[ Atraso ajustado]]-Tabla14[[#This Row],[En puerto a facturar]]</f>
        <v>0</v>
      </c>
      <c r="AM119" s="3">
        <v>0</v>
      </c>
      <c r="AN119" s="3"/>
      <c r="AO119" s="3" t="str">
        <f>IF(Tabla14[[#This Row],[Plan Ajustado]]&gt;Tabla14[[#This Row],[En puerto a facturar]],"Si","No")</f>
        <v>No</v>
      </c>
      <c r="AP11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19" s="3">
        <f>IF(Tabla14[[#This Row],[Necesidad]]&gt;=Tabla14[[#This Row],[Stock al día]],Tabla14[[#This Row],[Stock al día]],Tabla14[[#This Row],[Necesidad]])</f>
        <v>0</v>
      </c>
      <c r="AR119" s="3">
        <f>+Tabla14[[#This Row],[Necesidad]]-Tabla14[[#This Row],[Stock Plan]]</f>
        <v>0</v>
      </c>
      <c r="AS119" s="155">
        <f>VLOOKUP(Tabla14[[#This Row],[Sector]]&amp;Tabla14[[#This Row],[Oficina]],[8]Ponderación!$A:$H,8,FALSE)</f>
        <v>44814</v>
      </c>
      <c r="AT119" s="30">
        <f>IFERROR(VLOOKUP(Tabla14[[#This Row],[Llave]],'[6]RV plan de ventas'!$A:$F,6,FALSE),0)</f>
        <v>0</v>
      </c>
      <c r="AU119" s="83">
        <f>IFERROR(VLOOKUP(Tabla14[[#This Row],[Llave]],[9]DELAY!$H:$X,17,FALSE),0)</f>
        <v>0</v>
      </c>
      <c r="AV11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19" s="5">
        <f>Tabla14[[#This Row],[Pecio plan]]*Tabla14[[#This Row],[Plan Ajustado]]</f>
        <v>0</v>
      </c>
      <c r="AX119" s="30">
        <f>IFERROR(VLOOKUP(Tabla14[[#This Row],[Llave]],'[13]Ultimos precios facturados'!$A:$G,7,FALSE),0)</f>
        <v>4.6108252378721257</v>
      </c>
      <c r="AY11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19" s="30">
        <f>IFERROR(VLOOKUP(Tabla14[[#This Row],[Llave]],Hoja2!B:K,10,FALSE),0)</f>
        <v>0</v>
      </c>
      <c r="BA11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19" s="30">
        <v>0</v>
      </c>
      <c r="BC119" s="30">
        <f>IF(Tabla14[[#This Row],[Market]]=0,Tabla14[[#This Row],[Precio Final]],Tabla14[[#This Row],[Market]])</f>
        <v>0</v>
      </c>
      <c r="BD119" s="82"/>
      <c r="BE119" s="82" t="str">
        <f>IF(AND(Tabla14[[#This Row],[Atraso a facturar]]&gt;0,Tabla14[[#This Row],[En puerto a facturar]]&gt;0,Tabla14[[#This Row],[Precio Atraso]]=0),"Revisar","OK")</f>
        <v>OK</v>
      </c>
      <c r="BF119" s="82" t="str">
        <f>IF(AND(Tabla14[[#This Row],[Venta del mes]]&gt;0,Tabla14[[#This Row],[Precio venta nueva]]=0),"Revisar","OK")</f>
        <v>OK</v>
      </c>
      <c r="BG119" s="20">
        <f>IFERROR(VLOOKUP(Tabla14[[#This Row],[Llave]],'[5]Consolidación planes'!$A:$M,9,FALSE),0)</f>
        <v>48000</v>
      </c>
      <c r="BH119" s="20">
        <f>IFERROR(VLOOKUP(Tabla14[[#This Row],[Llave]],'[5]Consolidación planes'!$A:$M,10,FALSE),0)</f>
        <v>0</v>
      </c>
      <c r="BI119" s="20">
        <f>IFERROR(VLOOKUP(Tabla14[[#This Row],[Llave]],'[5]Consolidación planes'!$A:$M,11,FALSE),0)</f>
        <v>0</v>
      </c>
      <c r="BJ119" s="20">
        <f>IFERROR(VLOOKUP(Tabla14[[#This Row],[Llave]],'[5]Consolidación planes'!$A:$M,12,FALSE),0)</f>
        <v>24000</v>
      </c>
      <c r="BK119" s="20">
        <f>IFERROR(VLOOKUP(Tabla14[[#This Row],[Llave]],'[5]Consolidación planes'!$A:$M,13,FALSE),0)</f>
        <v>0</v>
      </c>
      <c r="BL119" s="20">
        <f>IFERROR(VLOOKUP(Tabla14[[#This Row],[Llave]],'[13]Base ultimos planes'!$A:$M,13,FALSE),0)</f>
        <v>0</v>
      </c>
      <c r="BM119" s="20">
        <f>IFERROR(VLOOKUP(Tabla14[[#This Row],[Llave]],'[13]Cruce plan irrestricto'!$C:$M,10,FALSE),0)</f>
        <v>72020</v>
      </c>
      <c r="BN119" s="20">
        <f>IFERROR(VLOOKUP(Tabla14[[#This Row],[Llave]],'[13]Cruce plan irrestricto'!$C:$M,11,FALSE),0)</f>
        <v>73000</v>
      </c>
      <c r="BO119" s="80">
        <f>IFERROR(VLOOKUP(Tabla14[[#This Row],[Llave]],'[13]Base ultimos planes'!$O:$AA,8,FALSE),0)</f>
        <v>177600</v>
      </c>
      <c r="BP119" s="20">
        <f>IFERROR(VLOOKUP(Tabla14[[#This Row],[Llave]],'[13]Base ultimos planes'!$O:$AA,9,FALSE),0)</f>
        <v>0</v>
      </c>
      <c r="BQ119" s="20">
        <f>IFERROR(VLOOKUP(Tabla14[[#This Row],[Llave]],'[13]Base ultimos planes'!$O:$AA,10,FALSE),0)</f>
        <v>0</v>
      </c>
      <c r="BR119" s="20">
        <f>IFERROR(VLOOKUP(Tabla14[[#This Row],[Llave]],'[13]Base ultimos planes'!$O:$AA,11,FALSE),0)</f>
        <v>46600</v>
      </c>
      <c r="BS119" s="20">
        <f>IFERROR(VLOOKUP(Tabla14[[#This Row],[Llave]],'[13]Base ultimos planes'!$O:$AA,12,FALSE),0)</f>
        <v>0</v>
      </c>
      <c r="BT119" s="20">
        <f>IFERROR(VLOOKUP(Tabla14[[#This Row],[Llave]],'[13]Base ultimos planes'!$O:$AA,13,FALSE),0)</f>
        <v>0</v>
      </c>
      <c r="BU119" s="20"/>
      <c r="BV119" s="20">
        <f>Tabla14[[#This Row],[ RV Producción mes n+1]]-Tabla14[[#This Row],[Producción disponible]]+Tabla14[[#This Row],[Saldo Volumen disponible]]</f>
        <v>96557.7886</v>
      </c>
      <c r="BW119" s="20">
        <f>IFERROR(VLOOKUP(Tabla14[[#This Row],[Llave]],[14]Hoja2!$J:$N,4,FALSE),0)</f>
        <v>0</v>
      </c>
      <c r="BX119" s="20">
        <f>+Tabla14[[#This Row],[Asignación mes n+1]]*Tabla14[[#This Row],[% Uti. producción]]</f>
        <v>0</v>
      </c>
      <c r="BY119" s="20">
        <f>+Tabla14[[#This Row],[Ponderación mes n+1]]+Tabla14[[#This Row],[Saldo mes n-1]]</f>
        <v>96557.7886</v>
      </c>
      <c r="BZ119" s="20">
        <f>+Tabla14[[#This Row],[Asignación mes n+1]]-Tabla14[[#This Row],[Ponderación mes n+1]]</f>
        <v>0</v>
      </c>
      <c r="CA119" s="20">
        <f>IFERROR(VLOOKUP(Tabla14[[#This Row],[Llave]],[14]Hoja2!$J:$N,5,FALSE),0)</f>
        <v>0</v>
      </c>
      <c r="CB119" s="20">
        <f>+Tabla14[[#This Row],[Asignación mes n+2]]*Tabla14[[#This Row],[% Uti. producción]]</f>
        <v>0</v>
      </c>
      <c r="CC119" s="20">
        <f>+Tabla14[[#This Row],[Saldo mes n+2]]+Tabla14[[#This Row],[Ponderación mes n+2]]</f>
        <v>0</v>
      </c>
      <c r="CD119" s="20">
        <f>+Tabla14[[#This Row],[Asignación mes n+2]]-Tabla14[[#This Row],[Ponderación mes n+2]]</f>
        <v>0</v>
      </c>
    </row>
    <row r="120" spans="1:82" ht="16" x14ac:dyDescent="0.2">
      <c r="A120">
        <v>2</v>
      </c>
      <c r="B120" t="str">
        <f>Tabla14[[#This Row],[Oficina]]&amp;Tabla14[[#This Row],[Material]]</f>
        <v>Agrosuper Shanghai1021765</v>
      </c>
      <c r="C120" t="s">
        <v>6</v>
      </c>
      <c r="D120" t="s">
        <v>140</v>
      </c>
      <c r="E120">
        <v>1021765</v>
      </c>
      <c r="F120" t="s">
        <v>61</v>
      </c>
      <c r="G120" t="s">
        <v>59</v>
      </c>
      <c r="H120" t="s">
        <v>60</v>
      </c>
      <c r="I120" s="7">
        <f>IFERROR(IF(Tabla14[[#This Row],[Oficina]]=$I$7,VLOOKUP(Tabla14[[#This Row],[Material]],'[6]RV Producción'!$Y:$AA,3,FALSE),VLOOKUP(Tabla14[[#This Row],[Llave]],'[6]RV Producción'!$C:$G,5,FALSE)),0)</f>
        <v>0</v>
      </c>
      <c r="J120" s="7">
        <f>IFERROR(IF(Tabla14[[#This Row],[Oficina]]=$I$7,VLOOKUP(Tabla14[[#This Row],[Llave]],'[7]Shangai (Tomas)'!$A:$F,6,FALSE),VLOOKUP(Tabla14[[#This Row],[Llave]],'[6]RV plan de ventas'!$A:$E,5,FALSE)),0)</f>
        <v>0</v>
      </c>
      <c r="K120" s="8">
        <f>IFERROR(VLOOKUP(Tabla14[[#This Row],[Sector]]&amp;Tabla14[[#This Row],[Oficina]],[8]Ponderación!$A$3:$G$22,7,FALSE),0)</f>
        <v>0.38476266834449474</v>
      </c>
      <c r="L120" s="7">
        <f>+Tabla14[[#This Row],[ RV Producción mes n+1]]*Tabla14[[#This Row],[% Uti. producción]]</f>
        <v>0</v>
      </c>
      <c r="M120" s="7">
        <f>IFERROR(VLOOKUP(Tabla14[[#This Row],[Material]],'[9]TD Stock'!$B:$C,2,FALSE),0)</f>
        <v>0</v>
      </c>
      <c r="N120" s="7">
        <f>IFERROR(VLOOKUP(Tabla14[[#This Row],[Material]],'[10]Consolidado planificación'!$B:$C,2,FALSE),0)</f>
        <v>0</v>
      </c>
      <c r="O120" s="7">
        <f>IFERROR(VLOOKUP(Tabla14[[#This Row],[Llave]],[11]Hoja2!$D:$G,4,FALSE),0)</f>
        <v>0</v>
      </c>
      <c r="P120" s="14">
        <f>SUM(Tabla14[[#This Row],[Producción disponible]],Tabla14[[#This Row],[Stock al día]],(Tabla14[[#This Row],[Por producir mes N]]*0.9))-Tabla14[[#This Row],[Producción por despachar mes N]]</f>
        <v>0</v>
      </c>
      <c r="Q120" s="7">
        <f>IFERROR(VLOOKUP(Tabla14[[#This Row],[Llave]],[9]DELAY!$A:$D,4,FALSE),0)</f>
        <v>0</v>
      </c>
      <c r="R120" s="9">
        <v>23000</v>
      </c>
      <c r="S120" s="5">
        <f t="shared" si="6"/>
        <v>0</v>
      </c>
      <c r="T120" s="76">
        <v>0</v>
      </c>
      <c r="U120" s="5">
        <f>+Tabla14[[#This Row],[Atraso a facturar]]+Tabla14[[#This Row],[Ajuste atraso]]</f>
        <v>0</v>
      </c>
      <c r="V120" s="3">
        <f>+Tabla14[[#This Row],[Total disponible]]-Tabla14[[#This Row],[Facturación atraso]]</f>
        <v>0</v>
      </c>
      <c r="W120" s="6">
        <f>IFERROR(IF(AND(V120&gt;R120,J120&gt;=R120),ROUNDDOWN((Tabla14[[#This Row],[Producción para venta nueva]])/R120,0)*R120,0),0)</f>
        <v>0</v>
      </c>
      <c r="X120" s="76">
        <v>0</v>
      </c>
      <c r="Y120" s="6">
        <f>IF(Tabla14[[#This Row],[Venta del mes]]&gt;0,Tabla14[[#This Row],[Venta del mes]]+Tabla14[[#This Row],[Ajuste venta nueva]],0)</f>
        <v>0</v>
      </c>
      <c r="Z120" s="6">
        <f>+Tabla14[[#This Row],[Producción para venta nueva]]-Tabla14[[#This Row],[Facturación Venta nueva]]</f>
        <v>0</v>
      </c>
      <c r="AA120" s="6">
        <f>IF(AND(A120=1,Tabla14[[#This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0" s="6">
        <v>0</v>
      </c>
      <c r="AC120" s="6">
        <f>IF(Tabla14[[#This Row],[Disponible stock sin venta]]&gt;0,Tabla14[[#This Row],[Disponible stock sin venta]]+Tabla14[[#This Row],[Ajuste stock sin venta]],0)</f>
        <v>0</v>
      </c>
      <c r="AD120" s="3">
        <f>IFERROR(VLOOKUP(Tabla14[[#This Row],[Llave]],[12]Hoja1!$A:$D,4,FALSE),0)</f>
        <v>0</v>
      </c>
      <c r="AE12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20" s="3">
        <v>0</v>
      </c>
      <c r="AG120" s="3">
        <f>+Tabla14[[#This Row],[En puerto a facturar]]</f>
        <v>0</v>
      </c>
      <c r="AH120" s="3">
        <f>+Tabla14[[#This Row],[Facturación atraso]]</f>
        <v>0</v>
      </c>
      <c r="AI120" s="3">
        <f>+Tabla14[[#This Row],[Plan Irrestricto (DATO)]]-Tabla14[[#This Row],[Puerto ]]-Tabla14[[#This Row],[Atraso]]</f>
        <v>0</v>
      </c>
      <c r="AJ12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20" s="3">
        <f>+Tabla14[[#This Row],[Facturación atraso]]</f>
        <v>0</v>
      </c>
      <c r="AL120" s="3">
        <f>Tabla14[[#This Row],[Plan Ajustado]]-Tabla14[[#This Row],[ Atraso ajustado]]-Tabla14[[#This Row],[En puerto a facturar]]</f>
        <v>0</v>
      </c>
      <c r="AM120" s="3">
        <v>0</v>
      </c>
      <c r="AN120" s="3"/>
      <c r="AO120" s="3" t="str">
        <f>IF(Tabla14[[#This Row],[Plan Ajustado]]&gt;Tabla14[[#This Row],[En puerto a facturar]],"Si","No")</f>
        <v>No</v>
      </c>
      <c r="AP12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20" s="3">
        <f>IF(Tabla14[[#This Row],[Necesidad]]&gt;=Tabla14[[#This Row],[Stock al día]],Tabla14[[#This Row],[Stock al día]],Tabla14[[#This Row],[Necesidad]])</f>
        <v>0</v>
      </c>
      <c r="AR120" s="3">
        <f>+Tabla14[[#This Row],[Necesidad]]-Tabla14[[#This Row],[Stock Plan]]</f>
        <v>0</v>
      </c>
      <c r="AS120" s="155">
        <f>VLOOKUP(Tabla14[[#This Row],[Sector]]&amp;Tabla14[[#This Row],[Oficina]],[8]Ponderación!$A:$H,8,FALSE)</f>
        <v>44814</v>
      </c>
      <c r="AT120" s="30">
        <f>IFERROR(VLOOKUP(Tabla14[[#This Row],[Llave]],'[6]RV plan de ventas'!$A:$F,6,FALSE),0)</f>
        <v>0</v>
      </c>
      <c r="AU120" s="83">
        <f>IFERROR(VLOOKUP(Tabla14[[#This Row],[Llave]],[9]DELAY!$H:$X,17,FALSE),0)</f>
        <v>0</v>
      </c>
      <c r="AV12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20" s="5">
        <f>Tabla14[[#This Row],[Pecio plan]]*Tabla14[[#This Row],[Plan Ajustado]]</f>
        <v>0</v>
      </c>
      <c r="AX120" s="30">
        <f>IFERROR(VLOOKUP(Tabla14[[#This Row],[Llave]],'[13]Ultimos precios facturados'!$A:$G,7,FALSE),0)</f>
        <v>1.0792734517433147</v>
      </c>
      <c r="AY12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20" s="30">
        <f>IFERROR(VLOOKUP(Tabla14[[#This Row],[Llave]],Hoja2!B:K,10,FALSE),0)</f>
        <v>0</v>
      </c>
      <c r="BA12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20" s="30">
        <v>0</v>
      </c>
      <c r="BC120" s="30">
        <f>IF(Tabla14[[#This Row],[Market]]=0,Tabla14[[#This Row],[Precio Final]],Tabla14[[#This Row],[Market]])</f>
        <v>0</v>
      </c>
      <c r="BD120" s="82"/>
      <c r="BE120" s="82" t="str">
        <f>IF(AND(Tabla14[[#This Row],[Atraso a facturar]]&gt;0,Tabla14[[#This Row],[En puerto a facturar]]&gt;0,Tabla14[[#This Row],[Precio Atraso]]=0),"Revisar","OK")</f>
        <v>OK</v>
      </c>
      <c r="BF120" s="82" t="str">
        <f>IF(AND(Tabla14[[#This Row],[Venta del mes]]&gt;0,Tabla14[[#This Row],[Precio venta nueva]]=0),"Revisar","OK")</f>
        <v>OK</v>
      </c>
      <c r="BG120" s="20">
        <f>IFERROR(VLOOKUP(Tabla14[[#This Row],[Llave]],'[5]Consolidación planes'!$A:$M,9,FALSE),0)</f>
        <v>0</v>
      </c>
      <c r="BH120" s="20">
        <f>IFERROR(VLOOKUP(Tabla14[[#This Row],[Llave]],'[5]Consolidación planes'!$A:$M,10,FALSE),0)</f>
        <v>0</v>
      </c>
      <c r="BI120" s="20">
        <f>IFERROR(VLOOKUP(Tabla14[[#This Row],[Llave]],'[5]Consolidación planes'!$A:$M,11,FALSE),0)</f>
        <v>6760</v>
      </c>
      <c r="BJ120" s="20">
        <f>IFERROR(VLOOKUP(Tabla14[[#This Row],[Llave]],'[5]Consolidación planes'!$A:$M,12,FALSE),0)</f>
        <v>0</v>
      </c>
      <c r="BK120" s="20">
        <f>IFERROR(VLOOKUP(Tabla14[[#This Row],[Llave]],'[5]Consolidación planes'!$A:$M,13,FALSE),0)</f>
        <v>0</v>
      </c>
      <c r="BL120" s="20">
        <f>IFERROR(VLOOKUP(Tabla14[[#This Row],[Llave]],'[13]Base ultimos planes'!$A:$M,13,FALSE),0)</f>
        <v>0</v>
      </c>
      <c r="BM120" s="20">
        <f>IFERROR(VLOOKUP(Tabla14[[#This Row],[Llave]],'[13]Cruce plan irrestricto'!$C:$M,10,FALSE),0)</f>
        <v>0</v>
      </c>
      <c r="BN120" s="20">
        <f>IFERROR(VLOOKUP(Tabla14[[#This Row],[Llave]],'[13]Cruce plan irrestricto'!$C:$M,11,FALSE),0)</f>
        <v>0</v>
      </c>
      <c r="BO120" s="80">
        <f>IFERROR(VLOOKUP(Tabla14[[#This Row],[Llave]],'[13]Base ultimos planes'!$O:$AA,8,FALSE),0)</f>
        <v>0</v>
      </c>
      <c r="BP120" s="20">
        <f>IFERROR(VLOOKUP(Tabla14[[#This Row],[Llave]],'[13]Base ultimos planes'!$O:$AA,9,FALSE),0)</f>
        <v>0</v>
      </c>
      <c r="BQ120" s="20">
        <f>IFERROR(VLOOKUP(Tabla14[[#This Row],[Llave]],'[13]Base ultimos planes'!$O:$AA,10,FALSE),0)</f>
        <v>7323</v>
      </c>
      <c r="BR120" s="20">
        <f>IFERROR(VLOOKUP(Tabla14[[#This Row],[Llave]],'[13]Base ultimos planes'!$O:$AA,11,FALSE),0)</f>
        <v>0</v>
      </c>
      <c r="BS120" s="20">
        <f>IFERROR(VLOOKUP(Tabla14[[#This Row],[Llave]],'[13]Base ultimos planes'!$O:$AA,12,FALSE),0)</f>
        <v>0</v>
      </c>
      <c r="BT120" s="20">
        <f>IFERROR(VLOOKUP(Tabla14[[#This Row],[Llave]],'[13]Base ultimos planes'!$O:$AA,13,FALSE),0)</f>
        <v>0</v>
      </c>
      <c r="BU120" s="20"/>
      <c r="BV120" s="20">
        <f>Tabla14[[#This Row],[ RV Producción mes n+1]]-Tabla14[[#This Row],[Producción disponible]]+Tabla14[[#This Row],[Saldo Volumen disponible]]</f>
        <v>0</v>
      </c>
      <c r="BW120" s="20">
        <f>IFERROR(VLOOKUP(Tabla14[[#This Row],[Llave]],[14]Hoja2!$J:$N,4,FALSE),0)</f>
        <v>0</v>
      </c>
      <c r="BX120" s="20">
        <f>+Tabla14[[#This Row],[Asignación mes n+1]]*Tabla14[[#This Row],[% Uti. producción]]</f>
        <v>0</v>
      </c>
      <c r="BY120" s="20">
        <f>+Tabla14[[#This Row],[Ponderación mes n+1]]+Tabla14[[#This Row],[Saldo mes n-1]]</f>
        <v>0</v>
      </c>
      <c r="BZ120" s="20">
        <f>+Tabla14[[#This Row],[Asignación mes n+1]]-Tabla14[[#This Row],[Ponderación mes n+1]]</f>
        <v>0</v>
      </c>
      <c r="CA120" s="20">
        <f>IFERROR(VLOOKUP(Tabla14[[#This Row],[Llave]],[14]Hoja2!$J:$N,5,FALSE),0)</f>
        <v>0</v>
      </c>
      <c r="CB120" s="20">
        <f>+Tabla14[[#This Row],[Asignación mes n+2]]*Tabla14[[#This Row],[% Uti. producción]]</f>
        <v>0</v>
      </c>
      <c r="CC120" s="20">
        <f>+Tabla14[[#This Row],[Saldo mes n+2]]+Tabla14[[#This Row],[Ponderación mes n+2]]</f>
        <v>0</v>
      </c>
      <c r="CD120" s="20">
        <f>+Tabla14[[#This Row],[Asignación mes n+2]]-Tabla14[[#This Row],[Ponderación mes n+2]]</f>
        <v>0</v>
      </c>
    </row>
    <row r="121" spans="1:82" ht="16" x14ac:dyDescent="0.2">
      <c r="A121">
        <v>2</v>
      </c>
      <c r="B121" t="str">
        <f>Tabla14[[#This Row],[Oficina]]&amp;Tabla14[[#This Row],[Material]]</f>
        <v>Agrosuper Shanghai1021992</v>
      </c>
      <c r="C121" t="s">
        <v>6</v>
      </c>
      <c r="D121" t="s">
        <v>140</v>
      </c>
      <c r="E121">
        <v>1021992</v>
      </c>
      <c r="F121" t="s">
        <v>49</v>
      </c>
      <c r="G121" t="s">
        <v>11</v>
      </c>
      <c r="H121" t="s">
        <v>15</v>
      </c>
      <c r="I121" s="7">
        <f>IFERROR(IF(Tabla14[[#This Row],[Oficina]]=$I$7,VLOOKUP(Tabla14[[#This Row],[Material]],'[6]RV Producción'!$Y:$AA,3,FALSE),VLOOKUP(Tabla14[[#This Row],[Llave]],'[6]RV Producción'!$C:$G,5,FALSE)),0)</f>
        <v>0</v>
      </c>
      <c r="J121" s="7">
        <f>IFERROR(IF(Tabla14[[#This Row],[Oficina]]=$I$7,VLOOKUP(Tabla14[[#This Row],[Llave]],'[7]Shangai (Tomas)'!$A:$F,6,FALSE),VLOOKUP(Tabla14[[#This Row],[Llave]],'[6]RV plan de ventas'!$A:$E,5,FALSE)),0)</f>
        <v>0</v>
      </c>
      <c r="K121" s="8">
        <f>IFERROR(VLOOKUP(Tabla14[[#This Row],[Sector]]&amp;Tabla14[[#This Row],[Oficina]],[8]Ponderación!$A$3:$G$22,7,FALSE),0)</f>
        <v>0.38476266834449474</v>
      </c>
      <c r="L121" s="7">
        <f>+Tabla14[[#This Row],[ RV Producción mes n+1]]*Tabla14[[#This Row],[% Uti. producción]]</f>
        <v>0</v>
      </c>
      <c r="M121" s="7">
        <f>IFERROR(VLOOKUP(Tabla14[[#This Row],[Material]],'[9]TD Stock'!$B:$C,2,FALSE),0)</f>
        <v>23142.5</v>
      </c>
      <c r="N121" s="7">
        <f>IFERROR(VLOOKUP(Tabla14[[#This Row],[Material]],'[10]Consolidado planificación'!$B:$C,2,FALSE),0)</f>
        <v>55368.705246937781</v>
      </c>
      <c r="O121" s="7">
        <f>IFERROR(VLOOKUP(Tabla14[[#This Row],[Llave]],[11]Hoja2!$D:$G,4,FALSE),0)</f>
        <v>0</v>
      </c>
      <c r="P121" s="14">
        <f>SUM(Tabla14[[#This Row],[Producción disponible]],Tabla14[[#This Row],[Stock al día]],(Tabla14[[#This Row],[Por producir mes N]]*0.9))-Tabla14[[#This Row],[Producción por despachar mes N]]</f>
        <v>72974.334722244006</v>
      </c>
      <c r="Q121" s="7">
        <f>IFERROR(VLOOKUP(Tabla14[[#This Row],[Llave]],[9]DELAY!$A:$D,4,FALSE),0)</f>
        <v>22000</v>
      </c>
      <c r="R121" s="9">
        <v>23000</v>
      </c>
      <c r="S121" s="5">
        <f t="shared" si="6"/>
        <v>22000</v>
      </c>
      <c r="T121" s="76">
        <v>0</v>
      </c>
      <c r="U121" s="5">
        <f>+Tabla14[[#This Row],[Atraso a facturar]]+Tabla14[[#This Row],[Ajuste atraso]]</f>
        <v>22000</v>
      </c>
      <c r="V121" s="3">
        <f>+Tabla14[[#This Row],[Total disponible]]-Tabla14[[#This Row],[Facturación atraso]]</f>
        <v>50974.334722244006</v>
      </c>
      <c r="W121" s="6">
        <f>IFERROR(IF(AND(V121&gt;R121,J121&gt;=R121),ROUNDDOWN((Tabla14[[#This Row],[Producción para venta nueva]])/R121,0)*R121,0),0)</f>
        <v>0</v>
      </c>
      <c r="X121" s="76">
        <v>0</v>
      </c>
      <c r="Y121" s="6">
        <f>IF(Tabla14[[#This Row],[Venta del mes]]&gt;0,Tabla14[[#This Row],[Venta del mes]]+Tabla14[[#This Row],[Ajuste venta nueva]],0)</f>
        <v>0</v>
      </c>
      <c r="Z121" s="6">
        <f>+Tabla14[[#This Row],[Producción para venta nueva]]-Tabla14[[#This Row],[Facturación Venta nueva]]</f>
        <v>50974.334722244006</v>
      </c>
      <c r="AA121" s="6">
        <f>IF(AND(A121=1,Tabla14[[#This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1" s="6">
        <v>0</v>
      </c>
      <c r="AC121" s="6">
        <f>IF(Tabla14[[#This Row],[Disponible stock sin venta]]&gt;0,Tabla14[[#This Row],[Disponible stock sin venta]]+Tabla14[[#This Row],[Ajuste stock sin venta]],0)</f>
        <v>0</v>
      </c>
      <c r="AD121" s="3">
        <f>IFERROR(VLOOKUP(Tabla14[[#This Row],[Llave]],[12]Hoja1!$A:$D,4,FALSE),0)</f>
        <v>0</v>
      </c>
      <c r="AE12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22000</v>
      </c>
      <c r="AF121" s="3">
        <v>22000</v>
      </c>
      <c r="AG121" s="3">
        <f>+Tabla14[[#This Row],[En puerto a facturar]]</f>
        <v>0</v>
      </c>
      <c r="AH121" s="3">
        <f>+Tabla14[[#This Row],[Facturación atraso]]</f>
        <v>22000</v>
      </c>
      <c r="AI121" s="3">
        <f>+Tabla14[[#This Row],[Plan Irrestricto (DATO)]]-Tabla14[[#This Row],[Puerto ]]-Tabla14[[#This Row],[Atraso]]</f>
        <v>0</v>
      </c>
      <c r="AJ121" s="6">
        <f>IF(Tabla14[[#This Row],[Plan Irrestricto (DATO)]]&gt;0,SUM(Tabla14[[#This Row],[Facturación atraso]],Tabla14[[#This Row],[Facturación Venta nueva]],Tabla14[[#This Row],[Facturación stock]],Tabla14[[#This Row],[En puerto a facturar]]),0)</f>
        <v>22000</v>
      </c>
      <c r="AK121" s="3">
        <f>+Tabla14[[#This Row],[Facturación atraso]]</f>
        <v>22000</v>
      </c>
      <c r="AL121" s="3">
        <f>Tabla14[[#This Row],[Plan Ajustado]]-Tabla14[[#This Row],[ Atraso ajustado]]-Tabla14[[#This Row],[En puerto a facturar]]</f>
        <v>0</v>
      </c>
      <c r="AM121" s="3">
        <v>0</v>
      </c>
      <c r="AN121" s="3"/>
      <c r="AO121" s="3" t="str">
        <f>IF(Tabla14[[#This Row],[Plan Ajustado]]&gt;Tabla14[[#This Row],[En puerto a facturar]],"Si","No")</f>
        <v>Si</v>
      </c>
      <c r="AP121" s="3">
        <f>IF(AND(Tabla14[[#This Row],[Plan Ajustado]]&gt;0,Tabla14[[#This Row],[Plan Ajustado]]&gt;Tabla14[[#This Row],[En puerto a facturar]]),(Tabla14[[#This Row],[Plan Ajustado]]-Tabla14[[#This Row],[En puerto a facturar]]),0)</f>
        <v>22000</v>
      </c>
      <c r="AQ121" s="3">
        <f>IF(Tabla14[[#This Row],[Necesidad]]&gt;=Tabla14[[#This Row],[Stock al día]],Tabla14[[#This Row],[Stock al día]],Tabla14[[#This Row],[Necesidad]])</f>
        <v>22000</v>
      </c>
      <c r="AR121" s="3">
        <f>+Tabla14[[#This Row],[Necesidad]]-Tabla14[[#This Row],[Stock Plan]]</f>
        <v>0</v>
      </c>
      <c r="AS121" s="155">
        <f>VLOOKUP(Tabla14[[#This Row],[Sector]]&amp;Tabla14[[#This Row],[Oficina]],[8]Ponderación!$A:$H,8,FALSE)</f>
        <v>44814</v>
      </c>
      <c r="AT121" s="30">
        <f>IFERROR(VLOOKUP(Tabla14[[#This Row],[Llave]],'[6]RV plan de ventas'!$A:$F,6,FALSE),0)</f>
        <v>0</v>
      </c>
      <c r="AU121" s="83">
        <f>IFERROR(VLOOKUP(Tabla14[[#This Row],[Llave]],[9]DELAY!$H:$X,17,FALSE),0)</f>
        <v>1.6387662656249999</v>
      </c>
      <c r="AV12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1.6387662656249999</v>
      </c>
      <c r="AW121" s="5">
        <f>Tabla14[[#This Row],[Pecio plan]]*Tabla14[[#This Row],[Plan Ajustado]]</f>
        <v>36052.857843749996</v>
      </c>
      <c r="AX121" s="30">
        <f>IFERROR(VLOOKUP(Tabla14[[#This Row],[Llave]],'[13]Ultimos precios facturados'!$A:$G,7,FALSE),0)</f>
        <v>1.32025540701486</v>
      </c>
      <c r="AY12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0.24124942561705032</v>
      </c>
      <c r="AZ121" s="30">
        <f>IFERROR(VLOOKUP(Tabla14[[#This Row],[Llave]],Hoja2!B:K,10,FALSE),0)</f>
        <v>1.6387662656249997</v>
      </c>
      <c r="BA12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1.6387662656249999</v>
      </c>
      <c r="BB121" s="30">
        <v>0</v>
      </c>
      <c r="BC121" s="30">
        <f>IF(Tabla14[[#This Row],[Market]]=0,Tabla14[[#This Row],[Precio Final]],Tabla14[[#This Row],[Market]])</f>
        <v>1.6387662656249999</v>
      </c>
      <c r="BD121" s="82"/>
      <c r="BE121" s="82" t="str">
        <f>IF(AND(Tabla14[[#This Row],[Atraso a facturar]]&gt;0,Tabla14[[#This Row],[En puerto a facturar]]&gt;0,Tabla14[[#This Row],[Precio Atraso]]=0),"Revisar","OK")</f>
        <v>OK</v>
      </c>
      <c r="BF121" s="82" t="str">
        <f>IF(AND(Tabla14[[#This Row],[Venta del mes]]&gt;0,Tabla14[[#This Row],[Precio venta nueva]]=0),"Revisar","OK")</f>
        <v>OK</v>
      </c>
      <c r="BG121" s="20">
        <f>IFERROR(VLOOKUP(Tabla14[[#This Row],[Llave]],'[5]Consolidación planes'!$A:$M,9,FALSE),0)</f>
        <v>96000</v>
      </c>
      <c r="BH121" s="20">
        <f>IFERROR(VLOOKUP(Tabla14[[#This Row],[Llave]],'[5]Consolidación planes'!$A:$M,10,FALSE),0)</f>
        <v>72000</v>
      </c>
      <c r="BI121" s="20">
        <f>IFERROR(VLOOKUP(Tabla14[[#This Row],[Llave]],'[5]Consolidación planes'!$A:$M,11,FALSE),0)</f>
        <v>120000</v>
      </c>
      <c r="BJ121" s="20">
        <f>IFERROR(VLOOKUP(Tabla14[[#This Row],[Llave]],'[5]Consolidación planes'!$A:$M,12,FALSE),0)</f>
        <v>0</v>
      </c>
      <c r="BK121" s="20">
        <f>IFERROR(VLOOKUP(Tabla14[[#This Row],[Llave]],'[5]Consolidación planes'!$A:$M,13,FALSE),0)</f>
        <v>0</v>
      </c>
      <c r="BL121" s="20">
        <f>IFERROR(VLOOKUP(Tabla14[[#This Row],[Llave]],'[13]Base ultimos planes'!$A:$M,13,FALSE),0)</f>
        <v>0</v>
      </c>
      <c r="BM121" s="20">
        <f>IFERROR(VLOOKUP(Tabla14[[#This Row],[Llave]],'[13]Cruce plan irrestricto'!$C:$M,10,FALSE),0)</f>
        <v>48420</v>
      </c>
      <c r="BN121" s="20">
        <f>IFERROR(VLOOKUP(Tabla14[[#This Row],[Llave]],'[13]Cruce plan irrestricto'!$C:$M,11,FALSE),0)</f>
        <v>48000</v>
      </c>
      <c r="BO121" s="80">
        <f>IFERROR(VLOOKUP(Tabla14[[#This Row],[Llave]],'[13]Base ultimos planes'!$O:$AA,8,FALSE),0)</f>
        <v>91200</v>
      </c>
      <c r="BP121" s="20">
        <f>IFERROR(VLOOKUP(Tabla14[[#This Row],[Llave]],'[13]Base ultimos planes'!$O:$AA,9,FALSE),0)</f>
        <v>63360</v>
      </c>
      <c r="BQ121" s="20">
        <f>IFERROR(VLOOKUP(Tabla14[[#This Row],[Llave]],'[13]Base ultimos planes'!$O:$AA,10,FALSE),0)</f>
        <v>181390</v>
      </c>
      <c r="BR121" s="20">
        <f>IFERROR(VLOOKUP(Tabla14[[#This Row],[Llave]],'[13]Base ultimos planes'!$O:$AA,11,FALSE),0)</f>
        <v>0</v>
      </c>
      <c r="BS121" s="20">
        <f>IFERROR(VLOOKUP(Tabla14[[#This Row],[Llave]],'[13]Base ultimos planes'!$O:$AA,12,FALSE),0)</f>
        <v>0</v>
      </c>
      <c r="BT121" s="20">
        <f>IFERROR(VLOOKUP(Tabla14[[#This Row],[Llave]],'[13]Base ultimos planes'!$O:$AA,13,FALSE),0)</f>
        <v>0</v>
      </c>
      <c r="BU121" s="20"/>
      <c r="BV121" s="20">
        <f>Tabla14[[#This Row],[ RV Producción mes n+1]]-Tabla14[[#This Row],[Producción disponible]]+Tabla14[[#This Row],[Saldo Volumen disponible]]</f>
        <v>50974.334722244006</v>
      </c>
      <c r="BW121" s="20">
        <f>IFERROR(VLOOKUP(Tabla14[[#This Row],[Llave]],[14]Hoja2!$J:$N,4,FALSE),0)</f>
        <v>0</v>
      </c>
      <c r="BX121" s="20">
        <f>+Tabla14[[#This Row],[Asignación mes n+1]]*Tabla14[[#This Row],[% Uti. producción]]</f>
        <v>0</v>
      </c>
      <c r="BY121" s="20">
        <f>+Tabla14[[#This Row],[Ponderación mes n+1]]+Tabla14[[#This Row],[Saldo mes n-1]]</f>
        <v>50974.334722244006</v>
      </c>
      <c r="BZ121" s="20">
        <f>+Tabla14[[#This Row],[Asignación mes n+1]]-Tabla14[[#This Row],[Ponderación mes n+1]]</f>
        <v>0</v>
      </c>
      <c r="CA121" s="20">
        <f>IFERROR(VLOOKUP(Tabla14[[#This Row],[Llave]],[14]Hoja2!$J:$N,5,FALSE),0)</f>
        <v>0</v>
      </c>
      <c r="CB121" s="20">
        <f>+Tabla14[[#This Row],[Asignación mes n+2]]*Tabla14[[#This Row],[% Uti. producción]]</f>
        <v>0</v>
      </c>
      <c r="CC121" s="20">
        <f>+Tabla14[[#This Row],[Saldo mes n+2]]+Tabla14[[#This Row],[Ponderación mes n+2]]</f>
        <v>0</v>
      </c>
      <c r="CD121" s="20">
        <f>+Tabla14[[#This Row],[Asignación mes n+2]]-Tabla14[[#This Row],[Ponderación mes n+2]]</f>
        <v>0</v>
      </c>
    </row>
    <row r="122" spans="1:82" ht="16" x14ac:dyDescent="0.2">
      <c r="A122">
        <v>2</v>
      </c>
      <c r="B122" t="str">
        <f>Tabla14[[#This Row],[Oficina]]&amp;Tabla14[[#This Row],[Material]]</f>
        <v>Agrosuper Shanghai1022073</v>
      </c>
      <c r="C122" t="s">
        <v>6</v>
      </c>
      <c r="D122" t="s">
        <v>140</v>
      </c>
      <c r="E122">
        <v>1022073</v>
      </c>
      <c r="F122" t="s">
        <v>150</v>
      </c>
      <c r="G122" t="s">
        <v>11</v>
      </c>
      <c r="H122" t="s">
        <v>47</v>
      </c>
      <c r="I122" s="7">
        <f>IFERROR(IF(Tabla14[[#This Row],[Oficina]]=$I$7,VLOOKUP(Tabla14[[#This Row],[Material]],'[6]RV Producción'!$Y:$AA,3,FALSE),VLOOKUP(Tabla14[[#This Row],[Llave]],'[6]RV Producción'!$C:$G,5,FALSE)),0)</f>
        <v>0</v>
      </c>
      <c r="J122" s="7">
        <f>IFERROR(IF(Tabla14[[#This Row],[Oficina]]=$I$7,VLOOKUP(Tabla14[[#This Row],[Llave]],'[7]Shangai (Tomas)'!$A:$F,6,FALSE),VLOOKUP(Tabla14[[#This Row],[Llave]],'[6]RV plan de ventas'!$A:$E,5,FALSE)),0)</f>
        <v>0</v>
      </c>
      <c r="K122" s="8">
        <f>IFERROR(VLOOKUP(Tabla14[[#This Row],[Sector]]&amp;Tabla14[[#This Row],[Oficina]],[8]Ponderación!$A$3:$G$22,7,FALSE),0)</f>
        <v>0.38476266834449474</v>
      </c>
      <c r="L122" s="7">
        <f>+Tabla14[[#This Row],[ RV Producción mes n+1]]*Tabla14[[#This Row],[% Uti. producción]]</f>
        <v>0</v>
      </c>
      <c r="M122" s="7">
        <f>IFERROR(VLOOKUP(Tabla14[[#This Row],[Material]],'[9]TD Stock'!$B:$C,2,FALSE),0)</f>
        <v>0</v>
      </c>
      <c r="N122" s="7">
        <f>IFERROR(VLOOKUP(Tabla14[[#This Row],[Material]],'[10]Consolidado planificación'!$B:$C,2,FALSE),0)</f>
        <v>14976.000000000036</v>
      </c>
      <c r="O122" s="7">
        <f>IFERROR(VLOOKUP(Tabla14[[#This Row],[Llave]],[11]Hoja2!$D:$G,4,FALSE),0)</f>
        <v>0</v>
      </c>
      <c r="P122" s="14">
        <f>SUM(Tabla14[[#This Row],[Producción disponible]],Tabla14[[#This Row],[Stock al día]],(Tabla14[[#This Row],[Por producir mes N]]*0.9))-Tabla14[[#This Row],[Producción por despachar mes N]]</f>
        <v>13478.400000000032</v>
      </c>
      <c r="Q122" s="7">
        <f>IFERROR(VLOOKUP(Tabla14[[#This Row],[Llave]],[9]DELAY!$A:$D,4,FALSE),0)</f>
        <v>0</v>
      </c>
      <c r="R122" s="9">
        <v>23000</v>
      </c>
      <c r="S122" s="5">
        <f t="shared" si="6"/>
        <v>0</v>
      </c>
      <c r="T122" s="76">
        <v>0</v>
      </c>
      <c r="U122" s="5">
        <f>+Tabla14[[#This Row],[Atraso a facturar]]+Tabla14[[#This Row],[Ajuste atraso]]</f>
        <v>0</v>
      </c>
      <c r="V122" s="3">
        <f>+Tabla14[[#This Row],[Total disponible]]-Tabla14[[#This Row],[Facturación atraso]]</f>
        <v>13478.400000000032</v>
      </c>
      <c r="W122" s="6">
        <f>IFERROR(IF(AND(V122&gt;R122,J122&gt;=R122),ROUNDDOWN((Tabla14[[#This Row],[Producción para venta nueva]])/R122,0)*R122,0),0)</f>
        <v>0</v>
      </c>
      <c r="X122" s="76">
        <v>0</v>
      </c>
      <c r="Y122" s="6">
        <f>IF(Tabla14[[#This Row],[Venta del mes]]&gt;0,Tabla14[[#This Row],[Venta del mes]]+Tabla14[[#This Row],[Ajuste venta nueva]],0)</f>
        <v>0</v>
      </c>
      <c r="Z122" s="6">
        <f>+Tabla14[[#This Row],[Producción para venta nueva]]-Tabla14[[#This Row],[Facturación Venta nueva]]</f>
        <v>13478.400000000032</v>
      </c>
      <c r="AA122" s="6">
        <f>IF(AND(A122=1,Tabla14[[#This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2" s="6">
        <v>0</v>
      </c>
      <c r="AC122" s="6">
        <f>IF(Tabla14[[#This Row],[Disponible stock sin venta]]&gt;0,Tabla14[[#This Row],[Disponible stock sin venta]]+Tabla14[[#This Row],[Ajuste stock sin venta]],0)</f>
        <v>0</v>
      </c>
      <c r="AD122" s="3">
        <f>IFERROR(VLOOKUP(Tabla14[[#This Row],[Llave]],[12]Hoja1!$A:$D,4,FALSE),0)</f>
        <v>0</v>
      </c>
      <c r="AE12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22" s="3">
        <v>0</v>
      </c>
      <c r="AG122" s="3">
        <f>+Tabla14[[#This Row],[En puerto a facturar]]</f>
        <v>0</v>
      </c>
      <c r="AH122" s="3">
        <f>+Tabla14[[#This Row],[Facturación atraso]]</f>
        <v>0</v>
      </c>
      <c r="AI122" s="3">
        <f>+Tabla14[[#This Row],[Plan Irrestricto (DATO)]]-Tabla14[[#This Row],[Puerto ]]-Tabla14[[#This Row],[Atraso]]</f>
        <v>0</v>
      </c>
      <c r="AJ12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22" s="3">
        <f>+Tabla14[[#This Row],[Facturación atraso]]</f>
        <v>0</v>
      </c>
      <c r="AL122" s="3">
        <f>Tabla14[[#This Row],[Plan Ajustado]]-Tabla14[[#This Row],[ Atraso ajustado]]-Tabla14[[#This Row],[En puerto a facturar]]</f>
        <v>0</v>
      </c>
      <c r="AM122" s="3">
        <v>0</v>
      </c>
      <c r="AN122" s="3"/>
      <c r="AO122" s="3" t="str">
        <f>IF(Tabla14[[#This Row],[Plan Ajustado]]&gt;Tabla14[[#This Row],[En puerto a facturar]],"Si","No")</f>
        <v>No</v>
      </c>
      <c r="AP12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22" s="3">
        <f>IF(Tabla14[[#This Row],[Necesidad]]&gt;=Tabla14[[#This Row],[Stock al día]],Tabla14[[#This Row],[Stock al día]],Tabla14[[#This Row],[Necesidad]])</f>
        <v>0</v>
      </c>
      <c r="AR122" s="3">
        <f>+Tabla14[[#This Row],[Necesidad]]-Tabla14[[#This Row],[Stock Plan]]</f>
        <v>0</v>
      </c>
      <c r="AS122" s="155">
        <f>VLOOKUP(Tabla14[[#This Row],[Sector]]&amp;Tabla14[[#This Row],[Oficina]],[8]Ponderación!$A:$H,8,FALSE)</f>
        <v>44814</v>
      </c>
      <c r="AT122" s="30">
        <f>IFERROR(VLOOKUP(Tabla14[[#This Row],[Llave]],'[6]RV plan de ventas'!$A:$F,6,FALSE),0)</f>
        <v>0</v>
      </c>
      <c r="AU122" s="83">
        <f>IFERROR(VLOOKUP(Tabla14[[#This Row],[Llave]],[9]DELAY!$H:$X,17,FALSE),0)</f>
        <v>0</v>
      </c>
      <c r="AV12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22" s="5">
        <f>Tabla14[[#This Row],[Pecio plan]]*Tabla14[[#This Row],[Plan Ajustado]]</f>
        <v>0</v>
      </c>
      <c r="AX122" s="30">
        <f>IFERROR(VLOOKUP(Tabla14[[#This Row],[Llave]],'[13]Ultimos precios facturados'!$A:$G,7,FALSE),0)</f>
        <v>1.1385503377996782</v>
      </c>
      <c r="AY12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22" s="30">
        <f>IFERROR(VLOOKUP(Tabla14[[#This Row],[Llave]],Hoja2!B:K,10,FALSE),0)</f>
        <v>0</v>
      </c>
      <c r="BA12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22" s="30">
        <v>0</v>
      </c>
      <c r="BC122" s="30">
        <f>IF(Tabla14[[#This Row],[Market]]=0,Tabla14[[#This Row],[Precio Final]],Tabla14[[#This Row],[Market]])</f>
        <v>0</v>
      </c>
      <c r="BD122" s="82"/>
      <c r="BE122" s="82" t="str">
        <f>IF(AND(Tabla14[[#This Row],[Atraso a facturar]]&gt;0,Tabla14[[#This Row],[En puerto a facturar]]&gt;0,Tabla14[[#This Row],[Precio Atraso]]=0),"Revisar","OK")</f>
        <v>OK</v>
      </c>
      <c r="BF122" s="82" t="str">
        <f>IF(AND(Tabla14[[#This Row],[Venta del mes]]&gt;0,Tabla14[[#This Row],[Precio venta nueva]]=0),"Revisar","OK")</f>
        <v>OK</v>
      </c>
      <c r="BG122" s="20">
        <f>IFERROR(VLOOKUP(Tabla14[[#This Row],[Llave]],'[5]Consolidación planes'!$A:$M,9,FALSE),0)</f>
        <v>72000</v>
      </c>
      <c r="BH122" s="20">
        <f>IFERROR(VLOOKUP(Tabla14[[#This Row],[Llave]],'[5]Consolidación planes'!$A:$M,10,FALSE),0)</f>
        <v>0</v>
      </c>
      <c r="BI122" s="20">
        <f>IFERROR(VLOOKUP(Tabla14[[#This Row],[Llave]],'[5]Consolidación planes'!$A:$M,11,FALSE),0)</f>
        <v>0</v>
      </c>
      <c r="BJ122" s="20">
        <f>IFERROR(VLOOKUP(Tabla14[[#This Row],[Llave]],'[5]Consolidación planes'!$A:$M,12,FALSE),0)</f>
        <v>0</v>
      </c>
      <c r="BK122" s="20">
        <f>IFERROR(VLOOKUP(Tabla14[[#This Row],[Llave]],'[5]Consolidación planes'!$A:$M,13,FALSE),0)</f>
        <v>24000</v>
      </c>
      <c r="BL122" s="20">
        <f>IFERROR(VLOOKUP(Tabla14[[#This Row],[Llave]],'[13]Base ultimos planes'!$A:$M,13,FALSE),0)</f>
        <v>48000</v>
      </c>
      <c r="BM122" s="20">
        <f>IFERROR(VLOOKUP(Tabla14[[#This Row],[Llave]],'[13]Cruce plan irrestricto'!$C:$M,10,FALSE),0)</f>
        <v>120017</v>
      </c>
      <c r="BN122" s="20">
        <f>IFERROR(VLOOKUP(Tabla14[[#This Row],[Llave]],'[13]Cruce plan irrestricto'!$C:$M,11,FALSE),0)</f>
        <v>48016</v>
      </c>
      <c r="BO122" s="80">
        <f>IFERROR(VLOOKUP(Tabla14[[#This Row],[Llave]],'[13]Base ultimos planes'!$O:$AA,8,FALSE),0)</f>
        <v>48600</v>
      </c>
      <c r="BP122" s="20">
        <f>IFERROR(VLOOKUP(Tabla14[[#This Row],[Llave]],'[13]Base ultimos planes'!$O:$AA,9,FALSE),0)</f>
        <v>0</v>
      </c>
      <c r="BQ122" s="20">
        <f>IFERROR(VLOOKUP(Tabla14[[#This Row],[Llave]],'[13]Base ultimos planes'!$O:$AA,10,FALSE),0)</f>
        <v>0</v>
      </c>
      <c r="BR122" s="20">
        <f>IFERROR(VLOOKUP(Tabla14[[#This Row],[Llave]],'[13]Base ultimos planes'!$O:$AA,11,FALSE),0)</f>
        <v>0</v>
      </c>
      <c r="BS122" s="20">
        <f>IFERROR(VLOOKUP(Tabla14[[#This Row],[Llave]],'[13]Base ultimos planes'!$O:$AA,12,FALSE),0)</f>
        <v>22800</v>
      </c>
      <c r="BT122" s="20">
        <f>IFERROR(VLOOKUP(Tabla14[[#This Row],[Llave]],'[13]Base ultimos planes'!$O:$AA,13,FALSE),0)</f>
        <v>52800</v>
      </c>
      <c r="BU122" s="20"/>
      <c r="BV122" s="20">
        <f>Tabla14[[#This Row],[ RV Producción mes n+1]]-Tabla14[[#This Row],[Producción disponible]]+Tabla14[[#This Row],[Saldo Volumen disponible]]</f>
        <v>13478.400000000032</v>
      </c>
      <c r="BW122" s="20">
        <f>IFERROR(VLOOKUP(Tabla14[[#This Row],[Llave]],[14]Hoja2!$J:$N,4,FALSE),0)</f>
        <v>0</v>
      </c>
      <c r="BX122" s="20">
        <f>+Tabla14[[#This Row],[Asignación mes n+1]]*Tabla14[[#This Row],[% Uti. producción]]</f>
        <v>0</v>
      </c>
      <c r="BY122" s="20">
        <f>+Tabla14[[#This Row],[Ponderación mes n+1]]+Tabla14[[#This Row],[Saldo mes n-1]]</f>
        <v>13478.400000000032</v>
      </c>
      <c r="BZ122" s="20">
        <f>+Tabla14[[#This Row],[Asignación mes n+1]]-Tabla14[[#This Row],[Ponderación mes n+1]]</f>
        <v>0</v>
      </c>
      <c r="CA122" s="20">
        <f>IFERROR(VLOOKUP(Tabla14[[#This Row],[Llave]],[14]Hoja2!$J:$N,5,FALSE),0)</f>
        <v>0</v>
      </c>
      <c r="CB122" s="20">
        <f>+Tabla14[[#This Row],[Asignación mes n+2]]*Tabla14[[#This Row],[% Uti. producción]]</f>
        <v>0</v>
      </c>
      <c r="CC122" s="20">
        <f>+Tabla14[[#This Row],[Saldo mes n+2]]+Tabla14[[#This Row],[Ponderación mes n+2]]</f>
        <v>0</v>
      </c>
      <c r="CD122" s="20">
        <f>+Tabla14[[#This Row],[Asignación mes n+2]]-Tabla14[[#This Row],[Ponderación mes n+2]]</f>
        <v>0</v>
      </c>
    </row>
    <row r="123" spans="1:82" ht="16" x14ac:dyDescent="0.2">
      <c r="A123">
        <v>2</v>
      </c>
      <c r="B123" t="str">
        <f>Tabla14[[#This Row],[Oficina]]&amp;Tabla14[[#This Row],[Material]]</f>
        <v>Agrosuper Shanghai1022096</v>
      </c>
      <c r="C123" t="s">
        <v>6</v>
      </c>
      <c r="D123" t="s">
        <v>140</v>
      </c>
      <c r="E123">
        <v>1022096</v>
      </c>
      <c r="F123" t="s">
        <v>154</v>
      </c>
      <c r="G123" t="s">
        <v>92</v>
      </c>
      <c r="H123" t="s">
        <v>153</v>
      </c>
      <c r="I123" s="7">
        <f>IFERROR(IF(Tabla14[[#This Row],[Oficina]]=$I$7,VLOOKUP(Tabla14[[#This Row],[Material]],'[6]RV Producción'!$Y:$AA,3,FALSE),VLOOKUP(Tabla14[[#This Row],[Llave]],'[6]RV Producción'!$C:$G,5,FALSE)),0)</f>
        <v>107734</v>
      </c>
      <c r="J123" s="7">
        <f>IFERROR(IF(Tabla14[[#This Row],[Oficina]]=$I$7,VLOOKUP(Tabla14[[#This Row],[Llave]],'[7]Shangai (Tomas)'!$A:$F,6,FALSE),VLOOKUP(Tabla14[[#This Row],[Llave]],'[6]RV plan de ventas'!$A:$E,5,FALSE)),0)</f>
        <v>0</v>
      </c>
      <c r="K123" s="8">
        <f>IFERROR(VLOOKUP(Tabla14[[#This Row],[Sector]]&amp;Tabla14[[#This Row],[Oficina]],[8]Ponderación!$A$3:$G$22,7,FALSE),0)</f>
        <v>0.38476266834449474</v>
      </c>
      <c r="L123" s="7">
        <f>+Tabla14[[#This Row],[ RV Producción mes n+1]]*Tabla14[[#This Row],[% Uti. producción]]</f>
        <v>41452.021311425793</v>
      </c>
      <c r="M123" s="7">
        <f>IFERROR(VLOOKUP(Tabla14[[#This Row],[Material]],'[9]TD Stock'!$B:$C,2,FALSE),0)</f>
        <v>48138.979999999996</v>
      </c>
      <c r="N123" s="7">
        <f>IFERROR(VLOOKUP(Tabla14[[#This Row],[Material]],'[10]Consolidado planificación'!$B:$C,2,FALSE),0)</f>
        <v>25614.634146341461</v>
      </c>
      <c r="O123" s="7">
        <f>IFERROR(VLOOKUP(Tabla14[[#This Row],[Llave]],[11]Hoja2!$D:$G,4,FALSE),0)</f>
        <v>0</v>
      </c>
      <c r="P123" s="14">
        <f>SUM(Tabla14[[#This Row],[Producción disponible]],Tabla14[[#This Row],[Stock al día]],(Tabla14[[#This Row],[Por producir mes N]]*0.9))-Tabla14[[#This Row],[Producción por despachar mes N]]</f>
        <v>112644.17204313311</v>
      </c>
      <c r="Q123" s="7">
        <f>IFERROR(VLOOKUP(Tabla14[[#This Row],[Llave]],[9]DELAY!$A:$D,4,FALSE),0)</f>
        <v>0</v>
      </c>
      <c r="R123" s="9">
        <v>23000</v>
      </c>
      <c r="S123" s="5">
        <f t="shared" si="6"/>
        <v>0</v>
      </c>
      <c r="T123" s="76">
        <v>0</v>
      </c>
      <c r="U123" s="5">
        <f>+Tabla14[[#This Row],[Atraso a facturar]]+Tabla14[[#This Row],[Ajuste atraso]]</f>
        <v>0</v>
      </c>
      <c r="V123" s="3">
        <f>+Tabla14[[#This Row],[Total disponible]]-Tabla14[[#This Row],[Facturación atraso]]</f>
        <v>112644.17204313311</v>
      </c>
      <c r="W123" s="6">
        <f>IFERROR(IF(AND(V123&gt;R123,J123&gt;=R123),ROUNDDOWN((Tabla14[[#This Row],[Producción para venta nueva]])/R123,0)*R123,0),0)</f>
        <v>0</v>
      </c>
      <c r="X123" s="76">
        <v>0</v>
      </c>
      <c r="Y123" s="6">
        <f>IF(Tabla14[[#This Row],[Venta del mes]]&gt;0,Tabla14[[#This Row],[Venta del mes]]+Tabla14[[#This Row],[Ajuste venta nueva]],0)</f>
        <v>0</v>
      </c>
      <c r="Z123" s="6">
        <f>+Tabla14[[#This Row],[Producción para venta nueva]]-Tabla14[[#This Row],[Facturación Venta nueva]]</f>
        <v>112644.17204313311</v>
      </c>
      <c r="AA123" s="6">
        <f>IF(AND(A123=1,Tabla14[[#This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3" s="6">
        <v>0</v>
      </c>
      <c r="AC123" s="6">
        <f>IF(Tabla14[[#This Row],[Disponible stock sin venta]]&gt;0,Tabla14[[#This Row],[Disponible stock sin venta]]+Tabla14[[#This Row],[Ajuste stock sin venta]],0)</f>
        <v>0</v>
      </c>
      <c r="AD123" s="3">
        <f>IFERROR(VLOOKUP(Tabla14[[#This Row],[Llave]],[12]Hoja1!$A:$D,4,FALSE),0)</f>
        <v>0</v>
      </c>
      <c r="AE12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23" s="3">
        <v>0</v>
      </c>
      <c r="AG123" s="3">
        <f>+Tabla14[[#This Row],[En puerto a facturar]]</f>
        <v>0</v>
      </c>
      <c r="AH123" s="3">
        <f>+Tabla14[[#This Row],[Facturación atraso]]</f>
        <v>0</v>
      </c>
      <c r="AI123" s="3">
        <f>+Tabla14[[#This Row],[Plan Irrestricto (DATO)]]-Tabla14[[#This Row],[Puerto ]]-Tabla14[[#This Row],[Atraso]]</f>
        <v>0</v>
      </c>
      <c r="AJ12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23" s="3">
        <f>+Tabla14[[#This Row],[Facturación atraso]]</f>
        <v>0</v>
      </c>
      <c r="AL123" s="3">
        <f>Tabla14[[#This Row],[Plan Ajustado]]-Tabla14[[#This Row],[ Atraso ajustado]]-Tabla14[[#This Row],[En puerto a facturar]]</f>
        <v>0</v>
      </c>
      <c r="AM123" s="3">
        <v>0</v>
      </c>
      <c r="AN123" s="3"/>
      <c r="AO123" s="3" t="str">
        <f>IF(Tabla14[[#This Row],[Plan Ajustado]]&gt;Tabla14[[#This Row],[En puerto a facturar]],"Si","No")</f>
        <v>No</v>
      </c>
      <c r="AP12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23" s="3">
        <f>IF(Tabla14[[#This Row],[Necesidad]]&gt;=Tabla14[[#This Row],[Stock al día]],Tabla14[[#This Row],[Stock al día]],Tabla14[[#This Row],[Necesidad]])</f>
        <v>0</v>
      </c>
      <c r="AR123" s="3">
        <f>+Tabla14[[#This Row],[Necesidad]]-Tabla14[[#This Row],[Stock Plan]]</f>
        <v>0</v>
      </c>
      <c r="AS123" s="155">
        <f>VLOOKUP(Tabla14[[#This Row],[Sector]]&amp;Tabla14[[#This Row],[Oficina]],[8]Ponderación!$A:$H,8,FALSE)</f>
        <v>44814</v>
      </c>
      <c r="AT123" s="30">
        <f>IFERROR(VLOOKUP(Tabla14[[#This Row],[Llave]],'[6]RV plan de ventas'!$A:$F,6,FALSE),0)</f>
        <v>0</v>
      </c>
      <c r="AU123" s="83">
        <f>IFERROR(VLOOKUP(Tabla14[[#This Row],[Llave]],[9]DELAY!$H:$X,17,FALSE),0)</f>
        <v>0</v>
      </c>
      <c r="AV12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23" s="5">
        <f>Tabla14[[#This Row],[Pecio plan]]*Tabla14[[#This Row],[Plan Ajustado]]</f>
        <v>0</v>
      </c>
      <c r="AX123" s="30">
        <f>IFERROR(VLOOKUP(Tabla14[[#This Row],[Llave]],'[13]Ultimos precios facturados'!$A:$G,7,FALSE),0)</f>
        <v>1.3502934734459686</v>
      </c>
      <c r="AY12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23" s="30">
        <f>IFERROR(VLOOKUP(Tabla14[[#This Row],[Llave]],Hoja2!B:K,10,FALSE),0)</f>
        <v>0</v>
      </c>
      <c r="BA12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23" s="30">
        <v>0</v>
      </c>
      <c r="BC123" s="30">
        <f>IF(Tabla14[[#This Row],[Market]]=0,Tabla14[[#This Row],[Precio Final]],Tabla14[[#This Row],[Market]])</f>
        <v>0</v>
      </c>
      <c r="BD123" s="82"/>
      <c r="BE123" s="82" t="str">
        <f>IF(AND(Tabla14[[#This Row],[Atraso a facturar]]&gt;0,Tabla14[[#This Row],[En puerto a facturar]]&gt;0,Tabla14[[#This Row],[Precio Atraso]]=0),"Revisar","OK")</f>
        <v>OK</v>
      </c>
      <c r="BF123" s="82" t="str">
        <f>IF(AND(Tabla14[[#This Row],[Venta del mes]]&gt;0,Tabla14[[#This Row],[Precio venta nueva]]=0),"Revisar","OK")</f>
        <v>OK</v>
      </c>
      <c r="BG123" s="20">
        <f>IFERROR(VLOOKUP(Tabla14[[#This Row],[Llave]],'[5]Consolidación planes'!$A:$M,9,FALSE),0)</f>
        <v>192000</v>
      </c>
      <c r="BH123" s="20">
        <f>IFERROR(VLOOKUP(Tabla14[[#This Row],[Llave]],'[5]Consolidación planes'!$A:$M,10,FALSE),0)</f>
        <v>264000</v>
      </c>
      <c r="BI123" s="20">
        <f>IFERROR(VLOOKUP(Tabla14[[#This Row],[Llave]],'[5]Consolidación planes'!$A:$M,11,FALSE),0)</f>
        <v>216000</v>
      </c>
      <c r="BJ123" s="20">
        <f>IFERROR(VLOOKUP(Tabla14[[#This Row],[Llave]],'[5]Consolidación planes'!$A:$M,12,FALSE),0)</f>
        <v>192000</v>
      </c>
      <c r="BK123" s="20">
        <f>IFERROR(VLOOKUP(Tabla14[[#This Row],[Llave]],'[5]Consolidación planes'!$A:$M,13,FALSE),0)</f>
        <v>164571</v>
      </c>
      <c r="BL123" s="20">
        <f>IFERROR(VLOOKUP(Tabla14[[#This Row],[Llave]],'[13]Base ultimos planes'!$A:$M,13,FALSE),0)</f>
        <v>168000</v>
      </c>
      <c r="BM123" s="20">
        <f>IFERROR(VLOOKUP(Tabla14[[#This Row],[Llave]],'[13]Cruce plan irrestricto'!$C:$M,10,FALSE),0)</f>
        <v>144260</v>
      </c>
      <c r="BN123" s="20">
        <f>IFERROR(VLOOKUP(Tabla14[[#This Row],[Llave]],'[13]Cruce plan irrestricto'!$C:$M,11,FALSE),0)</f>
        <v>72280</v>
      </c>
      <c r="BO123" s="80">
        <f>IFERROR(VLOOKUP(Tabla14[[#This Row],[Llave]],'[13]Base ultimos planes'!$O:$AA,8,FALSE),0)</f>
        <v>270080</v>
      </c>
      <c r="BP123" s="20">
        <f>IFERROR(VLOOKUP(Tabla14[[#This Row],[Llave]],'[13]Base ultimos planes'!$O:$AA,9,FALSE),0)</f>
        <v>312840</v>
      </c>
      <c r="BQ123" s="20">
        <f>IFERROR(VLOOKUP(Tabla14[[#This Row],[Llave]],'[13]Base ultimos planes'!$O:$AA,10,FALSE),0)</f>
        <v>248400</v>
      </c>
      <c r="BR123" s="20">
        <f>IFERROR(VLOOKUP(Tabla14[[#This Row],[Llave]],'[13]Base ultimos planes'!$O:$AA,11,FALSE),0)</f>
        <v>222459</v>
      </c>
      <c r="BS123" s="20">
        <f>IFERROR(VLOOKUP(Tabla14[[#This Row],[Llave]],'[13]Base ultimos planes'!$O:$AA,12,FALSE),0)</f>
        <v>194168</v>
      </c>
      <c r="BT123" s="20">
        <f>IFERROR(VLOOKUP(Tabla14[[#This Row],[Llave]],'[13]Base ultimos planes'!$O:$AA,13,FALSE),0)</f>
        <v>223136</v>
      </c>
      <c r="BU123" s="20"/>
      <c r="BV123" s="20">
        <f>Tabla14[[#This Row],[ RV Producción mes n+1]]-Tabla14[[#This Row],[Producción disponible]]+Tabla14[[#This Row],[Saldo Volumen disponible]]</f>
        <v>178926.15073170731</v>
      </c>
      <c r="BW123" s="20">
        <f>IFERROR(VLOOKUP(Tabla14[[#This Row],[Llave]],[14]Hoja2!$J:$N,4,FALSE),0)</f>
        <v>0</v>
      </c>
      <c r="BX123" s="20">
        <f>+Tabla14[[#This Row],[Asignación mes n+1]]*Tabla14[[#This Row],[% Uti. producción]]</f>
        <v>0</v>
      </c>
      <c r="BY123" s="20">
        <f>+Tabla14[[#This Row],[Ponderación mes n+1]]+Tabla14[[#This Row],[Saldo mes n-1]]</f>
        <v>178926.15073170731</v>
      </c>
      <c r="BZ123" s="20">
        <f>+Tabla14[[#This Row],[Asignación mes n+1]]-Tabla14[[#This Row],[Ponderación mes n+1]]</f>
        <v>0</v>
      </c>
      <c r="CA123" s="20">
        <f>IFERROR(VLOOKUP(Tabla14[[#This Row],[Llave]],[14]Hoja2!$J:$N,5,FALSE),0)</f>
        <v>0</v>
      </c>
      <c r="CB123" s="20">
        <f>+Tabla14[[#This Row],[Asignación mes n+2]]*Tabla14[[#This Row],[% Uti. producción]]</f>
        <v>0</v>
      </c>
      <c r="CC123" s="20">
        <f>+Tabla14[[#This Row],[Saldo mes n+2]]+Tabla14[[#This Row],[Ponderación mes n+2]]</f>
        <v>0</v>
      </c>
      <c r="CD123" s="20">
        <f>+Tabla14[[#This Row],[Asignación mes n+2]]-Tabla14[[#This Row],[Ponderación mes n+2]]</f>
        <v>0</v>
      </c>
    </row>
    <row r="124" spans="1:82" ht="16" x14ac:dyDescent="0.2">
      <c r="A124">
        <v>2</v>
      </c>
      <c r="B124" t="str">
        <f>Tabla14[[#This Row],[Oficina]]&amp;Tabla14[[#This Row],[Material]]</f>
        <v>Agrosuper Shanghai1022125</v>
      </c>
      <c r="C124" t="s">
        <v>6</v>
      </c>
      <c r="D124" t="s">
        <v>140</v>
      </c>
      <c r="E124">
        <v>1022125</v>
      </c>
      <c r="F124" t="s">
        <v>162</v>
      </c>
      <c r="G124" t="s">
        <v>159</v>
      </c>
      <c r="H124" t="s">
        <v>160</v>
      </c>
      <c r="I124" s="7">
        <f>IFERROR(IF(Tabla14[[#This Row],[Oficina]]=$I$7,VLOOKUP(Tabla14[[#This Row],[Material]],'[6]RV Producción'!$Y:$AA,3,FALSE),VLOOKUP(Tabla14[[#This Row],[Llave]],'[6]RV Producción'!$C:$G,5,FALSE)),0)</f>
        <v>173053</v>
      </c>
      <c r="J124" s="7">
        <f>IFERROR(IF(Tabla14[[#This Row],[Oficina]]=$I$7,VLOOKUP(Tabla14[[#This Row],[Llave]],'[7]Shangai (Tomas)'!$A:$F,6,FALSE),VLOOKUP(Tabla14[[#This Row],[Llave]],'[6]RV plan de ventas'!$A:$E,5,FALSE)),0)</f>
        <v>0</v>
      </c>
      <c r="K124" s="8">
        <f>IFERROR(VLOOKUP(Tabla14[[#This Row],[Sector]]&amp;Tabla14[[#This Row],[Oficina]],[8]Ponderación!$A$3:$G$22,7,FALSE),0)</f>
        <v>0.38476266834449474</v>
      </c>
      <c r="L124" s="7">
        <f>+Tabla14[[#This Row],[ RV Producción mes n+1]]*Tabla14[[#This Row],[% Uti. producción]]</f>
        <v>66584.334045019845</v>
      </c>
      <c r="M124" s="7">
        <f>IFERROR(VLOOKUP(Tabla14[[#This Row],[Material]],'[9]TD Stock'!$B:$C,2,FALSE),0)</f>
        <v>60638.481000000029</v>
      </c>
      <c r="N124" s="7">
        <f>IFERROR(VLOOKUP(Tabla14[[#This Row],[Material]],'[10]Consolidado planificación'!$B:$C,2,FALSE),0)</f>
        <v>61270.640000000007</v>
      </c>
      <c r="O124" s="7">
        <f>IFERROR(VLOOKUP(Tabla14[[#This Row],[Llave]],[11]Hoja2!$D:$G,4,FALSE),0)</f>
        <v>0</v>
      </c>
      <c r="P124" s="14">
        <f>SUM(Tabla14[[#This Row],[Producción disponible]],Tabla14[[#This Row],[Stock al día]],(Tabla14[[#This Row],[Por producir mes N]]*0.9))-Tabla14[[#This Row],[Producción por despachar mes N]]</f>
        <v>182366.39104501987</v>
      </c>
      <c r="Q124" s="7">
        <f>IFERROR(VLOOKUP(Tabla14[[#This Row],[Llave]],[9]DELAY!$A:$D,4,FALSE),0)</f>
        <v>0</v>
      </c>
      <c r="R124" s="9">
        <v>23000</v>
      </c>
      <c r="S124" s="5">
        <f t="shared" si="6"/>
        <v>0</v>
      </c>
      <c r="T124" s="76">
        <v>0</v>
      </c>
      <c r="U124" s="5">
        <f>+Tabla14[[#This Row],[Atraso a facturar]]+Tabla14[[#This Row],[Ajuste atraso]]</f>
        <v>0</v>
      </c>
      <c r="V124" s="3">
        <f>+Tabla14[[#This Row],[Total disponible]]-Tabla14[[#This Row],[Facturación atraso]]</f>
        <v>182366.39104501987</v>
      </c>
      <c r="W124" s="6">
        <f>IFERROR(IF(AND(V124&gt;R124,J124&gt;=R124),ROUNDDOWN((Tabla14[[#This Row],[Producción para venta nueva]])/R124,0)*R124,0),0)</f>
        <v>0</v>
      </c>
      <c r="X124" s="76">
        <v>0</v>
      </c>
      <c r="Y124" s="6">
        <f>IF(Tabla14[[#This Row],[Venta del mes]]&gt;0,Tabla14[[#This Row],[Venta del mes]]+Tabla14[[#This Row],[Ajuste venta nueva]],0)</f>
        <v>0</v>
      </c>
      <c r="Z124" s="6">
        <f>+Tabla14[[#This Row],[Producción para venta nueva]]-Tabla14[[#This Row],[Facturación Venta nueva]]</f>
        <v>182366.39104501987</v>
      </c>
      <c r="AA124" s="6">
        <f>IF(AND(A124=1,Tabla14[[#This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4" s="6">
        <v>0</v>
      </c>
      <c r="AC124" s="6">
        <f>IF(Tabla14[[#This Row],[Disponible stock sin venta]]&gt;0,Tabla14[[#This Row],[Disponible stock sin venta]]+Tabla14[[#This Row],[Ajuste stock sin venta]],0)</f>
        <v>0</v>
      </c>
      <c r="AD124" s="3">
        <f>IFERROR(VLOOKUP(Tabla14[[#This Row],[Llave]],[12]Hoja1!$A:$D,4,FALSE),0)</f>
        <v>0</v>
      </c>
      <c r="AE12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24" s="3">
        <v>0</v>
      </c>
      <c r="AG124" s="3">
        <f>+Tabla14[[#This Row],[En puerto a facturar]]</f>
        <v>0</v>
      </c>
      <c r="AH124" s="3">
        <f>+Tabla14[[#This Row],[Facturación atraso]]</f>
        <v>0</v>
      </c>
      <c r="AI124" s="3">
        <f>+Tabla14[[#This Row],[Plan Irrestricto (DATO)]]-Tabla14[[#This Row],[Puerto ]]-Tabla14[[#This Row],[Atraso]]</f>
        <v>0</v>
      </c>
      <c r="AJ12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24" s="3">
        <f>+Tabla14[[#This Row],[Facturación atraso]]</f>
        <v>0</v>
      </c>
      <c r="AL124" s="3">
        <f>Tabla14[[#This Row],[Plan Ajustado]]-Tabla14[[#This Row],[ Atraso ajustado]]-Tabla14[[#This Row],[En puerto a facturar]]</f>
        <v>0</v>
      </c>
      <c r="AM124" s="3">
        <v>0</v>
      </c>
      <c r="AN124" s="3"/>
      <c r="AO124" s="3" t="str">
        <f>IF(Tabla14[[#This Row],[Plan Ajustado]]&gt;Tabla14[[#This Row],[En puerto a facturar]],"Si","No")</f>
        <v>No</v>
      </c>
      <c r="AP12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24" s="3">
        <f>IF(Tabla14[[#This Row],[Necesidad]]&gt;=Tabla14[[#This Row],[Stock al día]],Tabla14[[#This Row],[Stock al día]],Tabla14[[#This Row],[Necesidad]])</f>
        <v>0</v>
      </c>
      <c r="AR124" s="3">
        <f>+Tabla14[[#This Row],[Necesidad]]-Tabla14[[#This Row],[Stock Plan]]</f>
        <v>0</v>
      </c>
      <c r="AS124" s="155">
        <f>VLOOKUP(Tabla14[[#This Row],[Sector]]&amp;Tabla14[[#This Row],[Oficina]],[8]Ponderación!$A:$H,8,FALSE)</f>
        <v>44814</v>
      </c>
      <c r="AT124" s="30">
        <f>IFERROR(VLOOKUP(Tabla14[[#This Row],[Llave]],'[6]RV plan de ventas'!$A:$F,6,FALSE),0)</f>
        <v>0</v>
      </c>
      <c r="AU124" s="83">
        <f>IFERROR(VLOOKUP(Tabla14[[#This Row],[Llave]],[9]DELAY!$H:$X,17,FALSE),0)</f>
        <v>0</v>
      </c>
      <c r="AV12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24" s="5">
        <f>Tabla14[[#This Row],[Pecio plan]]*Tabla14[[#This Row],[Plan Ajustado]]</f>
        <v>0</v>
      </c>
      <c r="AX124" s="30">
        <f>IFERROR(VLOOKUP(Tabla14[[#This Row],[Llave]],'[13]Ultimos precios facturados'!$A:$G,7,FALSE),0)</f>
        <v>2.9062861035260745</v>
      </c>
      <c r="AY12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24" s="30">
        <f>IFERROR(VLOOKUP(Tabla14[[#This Row],[Llave]],Hoja2!B:K,10,FALSE),0)</f>
        <v>0</v>
      </c>
      <c r="BA12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24" s="30">
        <v>0</v>
      </c>
      <c r="BC124" s="30">
        <f>IF(Tabla14[[#This Row],[Market]]=0,Tabla14[[#This Row],[Precio Final]],Tabla14[[#This Row],[Market]])</f>
        <v>0</v>
      </c>
      <c r="BD124" s="82"/>
      <c r="BE124" s="82" t="str">
        <f>IF(AND(Tabla14[[#This Row],[Atraso a facturar]]&gt;0,Tabla14[[#This Row],[En puerto a facturar]]&gt;0,Tabla14[[#This Row],[Precio Atraso]]=0),"Revisar","OK")</f>
        <v>OK</v>
      </c>
      <c r="BF124" s="82" t="str">
        <f>IF(AND(Tabla14[[#This Row],[Venta del mes]]&gt;0,Tabla14[[#This Row],[Precio venta nueva]]=0),"Revisar","OK")</f>
        <v>OK</v>
      </c>
      <c r="BG124" s="20">
        <f>IFERROR(VLOOKUP(Tabla14[[#This Row],[Llave]],'[5]Consolidación planes'!$A:$M,9,FALSE),0)</f>
        <v>216000</v>
      </c>
      <c r="BH124" s="20">
        <f>IFERROR(VLOOKUP(Tabla14[[#This Row],[Llave]],'[5]Consolidación planes'!$A:$M,10,FALSE),0)</f>
        <v>96000</v>
      </c>
      <c r="BI124" s="20">
        <f>IFERROR(VLOOKUP(Tabla14[[#This Row],[Llave]],'[5]Consolidación planes'!$A:$M,11,FALSE),0)</f>
        <v>96000</v>
      </c>
      <c r="BJ124" s="20">
        <f>IFERROR(VLOOKUP(Tabla14[[#This Row],[Llave]],'[5]Consolidación planes'!$A:$M,12,FALSE),0)</f>
        <v>120000</v>
      </c>
      <c r="BK124" s="20">
        <f>IFERROR(VLOOKUP(Tabla14[[#This Row],[Llave]],'[5]Consolidación planes'!$A:$M,13,FALSE),0)</f>
        <v>96000</v>
      </c>
      <c r="BL124" s="20">
        <f>IFERROR(VLOOKUP(Tabla14[[#This Row],[Llave]],'[13]Base ultimos planes'!$A:$M,13,FALSE),0)</f>
        <v>72000</v>
      </c>
      <c r="BM124" s="20">
        <f>IFERROR(VLOOKUP(Tabla14[[#This Row],[Llave]],'[13]Cruce plan irrestricto'!$C:$M,10,FALSE),0)</f>
        <v>119969</v>
      </c>
      <c r="BN124" s="20">
        <f>IFERROR(VLOOKUP(Tabla14[[#This Row],[Llave]],'[13]Cruce plan irrestricto'!$C:$M,11,FALSE),0)</f>
        <v>48170</v>
      </c>
      <c r="BO124" s="80">
        <f>IFERROR(VLOOKUP(Tabla14[[#This Row],[Llave]],'[13]Base ultimos planes'!$O:$AA,8,FALSE),0)</f>
        <v>586500</v>
      </c>
      <c r="BP124" s="20">
        <f>IFERROR(VLOOKUP(Tabla14[[#This Row],[Llave]],'[13]Base ultimos planes'!$O:$AA,9,FALSE),0)</f>
        <v>239040</v>
      </c>
      <c r="BQ124" s="20">
        <f>IFERROR(VLOOKUP(Tabla14[[#This Row],[Llave]],'[13]Base ultimos planes'!$O:$AA,10,FALSE),0)</f>
        <v>233280</v>
      </c>
      <c r="BR124" s="20">
        <f>IFERROR(VLOOKUP(Tabla14[[#This Row],[Llave]],'[13]Base ultimos planes'!$O:$AA,11,FALSE),0)</f>
        <v>304970</v>
      </c>
      <c r="BS124" s="20">
        <f>IFERROR(VLOOKUP(Tabla14[[#This Row],[Llave]],'[13]Base ultimos planes'!$O:$AA,12,FALSE),0)</f>
        <v>246850</v>
      </c>
      <c r="BT124" s="20">
        <f>IFERROR(VLOOKUP(Tabla14[[#This Row],[Llave]],'[13]Base ultimos planes'!$O:$AA,13,FALSE),0)</f>
        <v>186360</v>
      </c>
      <c r="BU124" s="20"/>
      <c r="BV124" s="20">
        <f>Tabla14[[#This Row],[ RV Producción mes n+1]]-Tabla14[[#This Row],[Producción disponible]]+Tabla14[[#This Row],[Saldo Volumen disponible]]</f>
        <v>288835.05700000003</v>
      </c>
      <c r="BW124" s="20">
        <f>IFERROR(VLOOKUP(Tabla14[[#This Row],[Llave]],[14]Hoja2!$J:$N,4,FALSE),0)</f>
        <v>0</v>
      </c>
      <c r="BX124" s="20">
        <f>+Tabla14[[#This Row],[Asignación mes n+1]]*Tabla14[[#This Row],[% Uti. producción]]</f>
        <v>0</v>
      </c>
      <c r="BY124" s="20">
        <f>+Tabla14[[#This Row],[Ponderación mes n+1]]+Tabla14[[#This Row],[Saldo mes n-1]]</f>
        <v>288835.05700000003</v>
      </c>
      <c r="BZ124" s="20">
        <f>+Tabla14[[#This Row],[Asignación mes n+1]]-Tabla14[[#This Row],[Ponderación mes n+1]]</f>
        <v>0</v>
      </c>
      <c r="CA124" s="20">
        <f>IFERROR(VLOOKUP(Tabla14[[#This Row],[Llave]],[14]Hoja2!$J:$N,5,FALSE),0)</f>
        <v>0</v>
      </c>
      <c r="CB124" s="20">
        <f>+Tabla14[[#This Row],[Asignación mes n+2]]*Tabla14[[#This Row],[% Uti. producción]]</f>
        <v>0</v>
      </c>
      <c r="CC124" s="20">
        <f>+Tabla14[[#This Row],[Saldo mes n+2]]+Tabla14[[#This Row],[Ponderación mes n+2]]</f>
        <v>0</v>
      </c>
      <c r="CD124" s="20">
        <f>+Tabla14[[#This Row],[Asignación mes n+2]]-Tabla14[[#This Row],[Ponderación mes n+2]]</f>
        <v>0</v>
      </c>
    </row>
    <row r="125" spans="1:82" ht="16" x14ac:dyDescent="0.2">
      <c r="A125">
        <v>2</v>
      </c>
      <c r="B125" t="str">
        <f>Tabla14[[#This Row],[Oficina]]&amp;Tabla14[[#This Row],[Material]]</f>
        <v>Agrosuper Shanghai1022183</v>
      </c>
      <c r="C125" t="s">
        <v>6</v>
      </c>
      <c r="D125" t="s">
        <v>140</v>
      </c>
      <c r="E125">
        <v>1022183</v>
      </c>
      <c r="F125" t="s">
        <v>165</v>
      </c>
      <c r="G125" t="s">
        <v>159</v>
      </c>
      <c r="H125" t="s">
        <v>164</v>
      </c>
      <c r="I125" s="7">
        <f>IFERROR(IF(Tabla14[[#This Row],[Oficina]]=$I$7,VLOOKUP(Tabla14[[#This Row],[Material]],'[6]RV Producción'!$Y:$AA,3,FALSE),VLOOKUP(Tabla14[[#This Row],[Llave]],'[6]RV Producción'!$C:$G,5,FALSE)),0)</f>
        <v>514700</v>
      </c>
      <c r="J125" s="7">
        <f>IFERROR(IF(Tabla14[[#This Row],[Oficina]]=$I$7,VLOOKUP(Tabla14[[#This Row],[Llave]],'[7]Shangai (Tomas)'!$A:$F,6,FALSE),VLOOKUP(Tabla14[[#This Row],[Llave]],'[6]RV plan de ventas'!$A:$E,5,FALSE)),0)</f>
        <v>0</v>
      </c>
      <c r="K125" s="8">
        <f>IFERROR(VLOOKUP(Tabla14[[#This Row],[Sector]]&amp;Tabla14[[#This Row],[Oficina]],[8]Ponderación!$A$3:$G$22,7,FALSE),0)</f>
        <v>0.38476266834449474</v>
      </c>
      <c r="L125" s="7">
        <f>+Tabla14[[#This Row],[ RV Producción mes n+1]]*Tabla14[[#This Row],[% Uti. producción]]</f>
        <v>198037.34539691143</v>
      </c>
      <c r="M125" s="7">
        <f>IFERROR(VLOOKUP(Tabla14[[#This Row],[Material]],'[9]TD Stock'!$B:$C,2,FALSE),0)</f>
        <v>124039.133</v>
      </c>
      <c r="N125" s="7">
        <f>IFERROR(VLOOKUP(Tabla14[[#This Row],[Material]],'[10]Consolidado planificación'!$B:$C,2,FALSE),0)</f>
        <v>113928.91</v>
      </c>
      <c r="O125" s="7">
        <f>IFERROR(VLOOKUP(Tabla14[[#This Row],[Llave]],[11]Hoja2!$D:$G,4,FALSE),0)</f>
        <v>0</v>
      </c>
      <c r="P125" s="14">
        <f>SUM(Tabla14[[#This Row],[Producción disponible]],Tabla14[[#This Row],[Stock al día]],(Tabla14[[#This Row],[Por producir mes N]]*0.9))-Tabla14[[#This Row],[Producción por despachar mes N]]</f>
        <v>424612.49739691138</v>
      </c>
      <c r="Q125" s="7">
        <f>IFERROR(VLOOKUP(Tabla14[[#This Row],[Llave]],[9]DELAY!$A:$D,4,FALSE),0)</f>
        <v>0</v>
      </c>
      <c r="R125" s="9">
        <v>23000</v>
      </c>
      <c r="S125" s="5">
        <f t="shared" si="6"/>
        <v>0</v>
      </c>
      <c r="T125" s="76">
        <v>0</v>
      </c>
      <c r="U125" s="5">
        <f>+Tabla14[[#This Row],[Atraso a facturar]]+Tabla14[[#This Row],[Ajuste atraso]]</f>
        <v>0</v>
      </c>
      <c r="V125" s="3">
        <f>+Tabla14[[#This Row],[Total disponible]]-Tabla14[[#This Row],[Facturación atraso]]</f>
        <v>424612.49739691138</v>
      </c>
      <c r="W125" s="6">
        <f>IFERROR(IF(AND(V125&gt;R125,J125&gt;=R125),ROUNDDOWN((Tabla14[[#This Row],[Producción para venta nueva]])/R125,0)*R125,0),0)</f>
        <v>0</v>
      </c>
      <c r="X125" s="76">
        <v>0</v>
      </c>
      <c r="Y125" s="6">
        <f>IF(Tabla14[[#This Row],[Venta del mes]]&gt;0,Tabla14[[#This Row],[Venta del mes]]+Tabla14[[#This Row],[Ajuste venta nueva]],0)</f>
        <v>0</v>
      </c>
      <c r="Z125" s="6">
        <f>+Tabla14[[#This Row],[Producción para venta nueva]]-Tabla14[[#This Row],[Facturación Venta nueva]]</f>
        <v>424612.49739691138</v>
      </c>
      <c r="AA125" s="6">
        <f>IF(AND(A125=1,Tabla14[[#This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5" s="6">
        <v>0</v>
      </c>
      <c r="AC125" s="6">
        <f>IF(Tabla14[[#This Row],[Disponible stock sin venta]]&gt;0,Tabla14[[#This Row],[Disponible stock sin venta]]+Tabla14[[#This Row],[Ajuste stock sin venta]],0)</f>
        <v>0</v>
      </c>
      <c r="AD125" s="3">
        <f>IFERROR(VLOOKUP(Tabla14[[#This Row],[Llave]],[12]Hoja1!$A:$D,4,FALSE),0)</f>
        <v>0</v>
      </c>
      <c r="AE12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25" s="3">
        <v>0</v>
      </c>
      <c r="AG125" s="3">
        <f>+Tabla14[[#This Row],[En puerto a facturar]]</f>
        <v>0</v>
      </c>
      <c r="AH125" s="3">
        <f>+Tabla14[[#This Row],[Facturación atraso]]</f>
        <v>0</v>
      </c>
      <c r="AI125" s="3">
        <f>+Tabla14[[#This Row],[Plan Irrestricto (DATO)]]-Tabla14[[#This Row],[Puerto ]]-Tabla14[[#This Row],[Atraso]]</f>
        <v>0</v>
      </c>
      <c r="AJ12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25" s="3">
        <f>+Tabla14[[#This Row],[Facturación atraso]]</f>
        <v>0</v>
      </c>
      <c r="AL125" s="3">
        <f>Tabla14[[#This Row],[Plan Ajustado]]-Tabla14[[#This Row],[ Atraso ajustado]]-Tabla14[[#This Row],[En puerto a facturar]]</f>
        <v>0</v>
      </c>
      <c r="AM125" s="3">
        <v>0</v>
      </c>
      <c r="AN125" s="3"/>
      <c r="AO125" s="3" t="str">
        <f>IF(Tabla14[[#This Row],[Plan Ajustado]]&gt;Tabla14[[#This Row],[En puerto a facturar]],"Si","No")</f>
        <v>No</v>
      </c>
      <c r="AP12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25" s="3">
        <f>IF(Tabla14[[#This Row],[Necesidad]]&gt;=Tabla14[[#This Row],[Stock al día]],Tabla14[[#This Row],[Stock al día]],Tabla14[[#This Row],[Necesidad]])</f>
        <v>0</v>
      </c>
      <c r="AR125" s="3">
        <f>+Tabla14[[#This Row],[Necesidad]]-Tabla14[[#This Row],[Stock Plan]]</f>
        <v>0</v>
      </c>
      <c r="AS125" s="155">
        <f>VLOOKUP(Tabla14[[#This Row],[Sector]]&amp;Tabla14[[#This Row],[Oficina]],[8]Ponderación!$A:$H,8,FALSE)</f>
        <v>44814</v>
      </c>
      <c r="AT125" s="30">
        <f>IFERROR(VLOOKUP(Tabla14[[#This Row],[Llave]],'[6]RV plan de ventas'!$A:$F,6,FALSE),0)</f>
        <v>0</v>
      </c>
      <c r="AU125" s="83">
        <f>IFERROR(VLOOKUP(Tabla14[[#This Row],[Llave]],[9]DELAY!$H:$X,17,FALSE),0)</f>
        <v>0</v>
      </c>
      <c r="AV12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25" s="5">
        <f>Tabla14[[#This Row],[Pecio plan]]*Tabla14[[#This Row],[Plan Ajustado]]</f>
        <v>0</v>
      </c>
      <c r="AX125" s="30">
        <f>IFERROR(VLOOKUP(Tabla14[[#This Row],[Llave]],'[13]Ultimos precios facturados'!$A:$G,7,FALSE),0)</f>
        <v>1.996143349312969</v>
      </c>
      <c r="AY12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25" s="30">
        <f>IFERROR(VLOOKUP(Tabla14[[#This Row],[Llave]],Hoja2!B:K,10,FALSE),0)</f>
        <v>0</v>
      </c>
      <c r="BA12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25" s="30">
        <v>0</v>
      </c>
      <c r="BC125" s="30">
        <f>IF(Tabla14[[#This Row],[Market]]=0,Tabla14[[#This Row],[Precio Final]],Tabla14[[#This Row],[Market]])</f>
        <v>0</v>
      </c>
      <c r="BD125" s="82"/>
      <c r="BE125" s="82" t="str">
        <f>IF(AND(Tabla14[[#This Row],[Atraso a facturar]]&gt;0,Tabla14[[#This Row],[En puerto a facturar]]&gt;0,Tabla14[[#This Row],[Precio Atraso]]=0),"Revisar","OK")</f>
        <v>OK</v>
      </c>
      <c r="BF125" s="82" t="str">
        <f>IF(AND(Tabla14[[#This Row],[Venta del mes]]&gt;0,Tabla14[[#This Row],[Precio venta nueva]]=0),"Revisar","OK")</f>
        <v>OK</v>
      </c>
      <c r="BG125" s="20">
        <f>IFERROR(VLOOKUP(Tabla14[[#This Row],[Llave]],'[5]Consolidación planes'!$A:$M,9,FALSE),0)</f>
        <v>456000</v>
      </c>
      <c r="BH125" s="20">
        <f>IFERROR(VLOOKUP(Tabla14[[#This Row],[Llave]],'[5]Consolidación planes'!$A:$M,10,FALSE),0)</f>
        <v>408000</v>
      </c>
      <c r="BI125" s="20">
        <f>IFERROR(VLOOKUP(Tabla14[[#This Row],[Llave]],'[5]Consolidación planes'!$A:$M,11,FALSE),0)</f>
        <v>360000</v>
      </c>
      <c r="BJ125" s="20">
        <f>IFERROR(VLOOKUP(Tabla14[[#This Row],[Llave]],'[5]Consolidación planes'!$A:$M,12,FALSE),0)</f>
        <v>551000</v>
      </c>
      <c r="BK125" s="20">
        <f>IFERROR(VLOOKUP(Tabla14[[#This Row],[Llave]],'[5]Consolidación planes'!$A:$M,13,FALSE),0)</f>
        <v>484400</v>
      </c>
      <c r="BL125" s="20">
        <f>IFERROR(VLOOKUP(Tabla14[[#This Row],[Llave]],'[13]Base ultimos planes'!$A:$M,13,FALSE),0)</f>
        <v>360000</v>
      </c>
      <c r="BM125" s="20">
        <f>IFERROR(VLOOKUP(Tabla14[[#This Row],[Llave]],'[13]Cruce plan irrestricto'!$C:$M,10,FALSE),0)</f>
        <v>553414</v>
      </c>
      <c r="BN125" s="20">
        <f>IFERROR(VLOOKUP(Tabla14[[#This Row],[Llave]],'[13]Cruce plan irrestricto'!$C:$M,11,FALSE),0)</f>
        <v>291002</v>
      </c>
      <c r="BO125" s="80">
        <f>IFERROR(VLOOKUP(Tabla14[[#This Row],[Llave]],'[13]Base ultimos planes'!$O:$AA,8,FALSE),0)</f>
        <v>825106.66669999994</v>
      </c>
      <c r="BP125" s="20">
        <f>IFERROR(VLOOKUP(Tabla14[[#This Row],[Llave]],'[13]Base ultimos planes'!$O:$AA,9,FALSE),0)</f>
        <v>634440</v>
      </c>
      <c r="BQ125" s="20">
        <f>IFERROR(VLOOKUP(Tabla14[[#This Row],[Llave]],'[13]Base ultimos planes'!$O:$AA,10,FALSE),0)</f>
        <v>601200</v>
      </c>
      <c r="BR125" s="20">
        <f>IFERROR(VLOOKUP(Tabla14[[#This Row],[Llave]],'[13]Base ultimos planes'!$O:$AA,11,FALSE),0)</f>
        <v>931630</v>
      </c>
      <c r="BS125" s="20">
        <f>IFERROR(VLOOKUP(Tabla14[[#This Row],[Llave]],'[13]Base ultimos planes'!$O:$AA,12,FALSE),0)</f>
        <v>890457</v>
      </c>
      <c r="BT125" s="20">
        <f>IFERROR(VLOOKUP(Tabla14[[#This Row],[Llave]],'[13]Base ultimos planes'!$O:$AA,13,FALSE),0)</f>
        <v>731662</v>
      </c>
      <c r="BU125" s="20"/>
      <c r="BV125" s="20">
        <f>Tabla14[[#This Row],[ RV Producción mes n+1]]-Tabla14[[#This Row],[Producción disponible]]+Tabla14[[#This Row],[Saldo Volumen disponible]]</f>
        <v>741275.152</v>
      </c>
      <c r="BW125" s="20">
        <f>IFERROR(VLOOKUP(Tabla14[[#This Row],[Llave]],[14]Hoja2!$J:$N,4,FALSE),0)</f>
        <v>0</v>
      </c>
      <c r="BX125" s="20">
        <f>+Tabla14[[#This Row],[Asignación mes n+1]]*Tabla14[[#This Row],[% Uti. producción]]</f>
        <v>0</v>
      </c>
      <c r="BY125" s="20">
        <f>+Tabla14[[#This Row],[Ponderación mes n+1]]+Tabla14[[#This Row],[Saldo mes n-1]]</f>
        <v>741275.152</v>
      </c>
      <c r="BZ125" s="20">
        <f>+Tabla14[[#This Row],[Asignación mes n+1]]-Tabla14[[#This Row],[Ponderación mes n+1]]</f>
        <v>0</v>
      </c>
      <c r="CA125" s="20">
        <f>IFERROR(VLOOKUP(Tabla14[[#This Row],[Llave]],[14]Hoja2!$J:$N,5,FALSE),0)</f>
        <v>0</v>
      </c>
      <c r="CB125" s="20">
        <f>+Tabla14[[#This Row],[Asignación mes n+2]]*Tabla14[[#This Row],[% Uti. producción]]</f>
        <v>0</v>
      </c>
      <c r="CC125" s="20">
        <f>+Tabla14[[#This Row],[Saldo mes n+2]]+Tabla14[[#This Row],[Ponderación mes n+2]]</f>
        <v>0</v>
      </c>
      <c r="CD125" s="20">
        <f>+Tabla14[[#This Row],[Asignación mes n+2]]-Tabla14[[#This Row],[Ponderación mes n+2]]</f>
        <v>0</v>
      </c>
    </row>
    <row r="126" spans="1:82" ht="16" x14ac:dyDescent="0.2">
      <c r="A126">
        <v>2</v>
      </c>
      <c r="B126" t="str">
        <f>Tabla14[[#This Row],[Oficina]]&amp;Tabla14[[#This Row],[Material]]</f>
        <v>Agrosuper Shanghai1022186</v>
      </c>
      <c r="C126" t="s">
        <v>6</v>
      </c>
      <c r="D126" t="s">
        <v>140</v>
      </c>
      <c r="E126">
        <v>1022186</v>
      </c>
      <c r="F126" t="s">
        <v>151</v>
      </c>
      <c r="G126" t="s">
        <v>92</v>
      </c>
      <c r="H126" t="s">
        <v>93</v>
      </c>
      <c r="I126" s="7">
        <f>IFERROR(IF(Tabla14[[#This Row],[Oficina]]=$I$7,VLOOKUP(Tabla14[[#This Row],[Material]],'[6]RV Producción'!$Y:$AA,3,FALSE),VLOOKUP(Tabla14[[#This Row],[Llave]],'[6]RV Producción'!$C:$G,5,FALSE)),0)</f>
        <v>47327</v>
      </c>
      <c r="J126" s="7">
        <f>IFERROR(IF(Tabla14[[#This Row],[Oficina]]=$I$7,VLOOKUP(Tabla14[[#This Row],[Llave]],'[7]Shangai (Tomas)'!$A:$F,6,FALSE),VLOOKUP(Tabla14[[#This Row],[Llave]],'[6]RV plan de ventas'!$A:$E,5,FALSE)),0)</f>
        <v>0</v>
      </c>
      <c r="K126" s="8">
        <f>IFERROR(VLOOKUP(Tabla14[[#This Row],[Sector]]&amp;Tabla14[[#This Row],[Oficina]],[8]Ponderación!$A$3:$G$22,7,FALSE),0)</f>
        <v>0.38476266834449474</v>
      </c>
      <c r="L126" s="7">
        <f>+Tabla14[[#This Row],[ RV Producción mes n+1]]*Tabla14[[#This Row],[% Uti. producción]]</f>
        <v>18209.662804739903</v>
      </c>
      <c r="M126" s="7">
        <f>IFERROR(VLOOKUP(Tabla14[[#This Row],[Material]],'[9]TD Stock'!$B:$C,2,FALSE),0)</f>
        <v>51776.68</v>
      </c>
      <c r="N126" s="7">
        <f>IFERROR(VLOOKUP(Tabla14[[#This Row],[Material]],'[10]Consolidado planificación'!$B:$C,2,FALSE),0)</f>
        <v>10664.202747792506</v>
      </c>
      <c r="O126" s="7">
        <f>IFERROR(VLOOKUP(Tabla14[[#This Row],[Llave]],[11]Hoja2!$D:$G,4,FALSE),0)</f>
        <v>0</v>
      </c>
      <c r="P126" s="14">
        <f>SUM(Tabla14[[#This Row],[Producción disponible]],Tabla14[[#This Row],[Stock al día]],(Tabla14[[#This Row],[Por producir mes N]]*0.9))-Tabla14[[#This Row],[Producción por despachar mes N]]</f>
        <v>79584.125277753163</v>
      </c>
      <c r="Q126" s="7">
        <f>IFERROR(VLOOKUP(Tabla14[[#This Row],[Llave]],[9]DELAY!$A:$D,4,FALSE),0)</f>
        <v>0</v>
      </c>
      <c r="R126" s="9">
        <v>23000</v>
      </c>
      <c r="S126" s="5">
        <f t="shared" si="6"/>
        <v>0</v>
      </c>
      <c r="T126" s="76">
        <v>0</v>
      </c>
      <c r="U126" s="5">
        <f>+Tabla14[[#This Row],[Atraso a facturar]]+Tabla14[[#This Row],[Ajuste atraso]]</f>
        <v>0</v>
      </c>
      <c r="V126" s="3">
        <f>+Tabla14[[#This Row],[Total disponible]]-Tabla14[[#This Row],[Facturación atraso]]</f>
        <v>79584.125277753163</v>
      </c>
      <c r="W126" s="6">
        <f>IFERROR(IF(AND(V126&gt;R126,J126&gt;=R126),ROUNDDOWN((Tabla14[[#This Row],[Producción para venta nueva]])/R126,0)*R126,0),0)</f>
        <v>0</v>
      </c>
      <c r="X126" s="76">
        <v>0</v>
      </c>
      <c r="Y126" s="6">
        <f>IF(Tabla14[[#This Row],[Venta del mes]]&gt;0,Tabla14[[#This Row],[Venta del mes]]+Tabla14[[#This Row],[Ajuste venta nueva]],0)</f>
        <v>0</v>
      </c>
      <c r="Z126" s="6">
        <f>+Tabla14[[#This Row],[Producción para venta nueva]]-Tabla14[[#This Row],[Facturación Venta nueva]]</f>
        <v>79584.125277753163</v>
      </c>
      <c r="AA126" s="6">
        <f>IF(AND(A126=1,Tabla14[[#This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6" s="6">
        <v>0</v>
      </c>
      <c r="AC126" s="6">
        <f>IF(Tabla14[[#This Row],[Disponible stock sin venta]]&gt;0,Tabla14[[#This Row],[Disponible stock sin venta]]+Tabla14[[#This Row],[Ajuste stock sin venta]],0)</f>
        <v>0</v>
      </c>
      <c r="AD126" s="3">
        <f>IFERROR(VLOOKUP(Tabla14[[#This Row],[Llave]],[12]Hoja1!$A:$D,4,FALSE),0)</f>
        <v>0</v>
      </c>
      <c r="AE12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26" s="3">
        <v>0</v>
      </c>
      <c r="AG126" s="3">
        <f>+Tabla14[[#This Row],[En puerto a facturar]]</f>
        <v>0</v>
      </c>
      <c r="AH126" s="3">
        <f>+Tabla14[[#This Row],[Facturación atraso]]</f>
        <v>0</v>
      </c>
      <c r="AI126" s="3">
        <f>+Tabla14[[#This Row],[Plan Irrestricto (DATO)]]-Tabla14[[#This Row],[Puerto ]]-Tabla14[[#This Row],[Atraso]]</f>
        <v>0</v>
      </c>
      <c r="AJ12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26" s="3">
        <f>+Tabla14[[#This Row],[Facturación atraso]]</f>
        <v>0</v>
      </c>
      <c r="AL126" s="3">
        <f>Tabla14[[#This Row],[Plan Ajustado]]-Tabla14[[#This Row],[ Atraso ajustado]]-Tabla14[[#This Row],[En puerto a facturar]]</f>
        <v>0</v>
      </c>
      <c r="AM126" s="3">
        <v>0</v>
      </c>
      <c r="AN126" s="3"/>
      <c r="AO126" s="3" t="str">
        <f>IF(Tabla14[[#This Row],[Plan Ajustado]]&gt;Tabla14[[#This Row],[En puerto a facturar]],"Si","No")</f>
        <v>No</v>
      </c>
      <c r="AP12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26" s="3">
        <f>IF(Tabla14[[#This Row],[Necesidad]]&gt;=Tabla14[[#This Row],[Stock al día]],Tabla14[[#This Row],[Stock al día]],Tabla14[[#This Row],[Necesidad]])</f>
        <v>0</v>
      </c>
      <c r="AR126" s="3">
        <f>+Tabla14[[#This Row],[Necesidad]]-Tabla14[[#This Row],[Stock Plan]]</f>
        <v>0</v>
      </c>
      <c r="AS126" s="155">
        <f>VLOOKUP(Tabla14[[#This Row],[Sector]]&amp;Tabla14[[#This Row],[Oficina]],[8]Ponderación!$A:$H,8,FALSE)</f>
        <v>44814</v>
      </c>
      <c r="AT126" s="30">
        <f>IFERROR(VLOOKUP(Tabla14[[#This Row],[Llave]],'[6]RV plan de ventas'!$A:$F,6,FALSE),0)</f>
        <v>0</v>
      </c>
      <c r="AU126" s="83">
        <f>IFERROR(VLOOKUP(Tabla14[[#This Row],[Llave]],[9]DELAY!$H:$X,17,FALSE),0)</f>
        <v>0</v>
      </c>
      <c r="AV12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26" s="5">
        <f>Tabla14[[#This Row],[Pecio plan]]*Tabla14[[#This Row],[Plan Ajustado]]</f>
        <v>0</v>
      </c>
      <c r="AX126" s="30">
        <f>IFERROR(VLOOKUP(Tabla14[[#This Row],[Llave]],'[13]Ultimos precios facturados'!$A:$G,7,FALSE),0)</f>
        <v>0.95632338440399156</v>
      </c>
      <c r="AY12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26" s="30">
        <f>IFERROR(VLOOKUP(Tabla14[[#This Row],[Llave]],Hoja2!B:K,10,FALSE),0)</f>
        <v>0</v>
      </c>
      <c r="BA12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26" s="30">
        <v>0</v>
      </c>
      <c r="BC126" s="30">
        <f>IF(Tabla14[[#This Row],[Market]]=0,Tabla14[[#This Row],[Precio Final]],Tabla14[[#This Row],[Market]])</f>
        <v>0</v>
      </c>
      <c r="BD126" s="82"/>
      <c r="BE126" s="82" t="str">
        <f>IF(AND(Tabla14[[#This Row],[Atraso a facturar]]&gt;0,Tabla14[[#This Row],[En puerto a facturar]]&gt;0,Tabla14[[#This Row],[Precio Atraso]]=0),"Revisar","OK")</f>
        <v>OK</v>
      </c>
      <c r="BF126" s="82" t="str">
        <f>IF(AND(Tabla14[[#This Row],[Venta del mes]]&gt;0,Tabla14[[#This Row],[Precio venta nueva]]=0),"Revisar","OK")</f>
        <v>OK</v>
      </c>
      <c r="BG126" s="20">
        <f>IFERROR(VLOOKUP(Tabla14[[#This Row],[Llave]],'[5]Consolidación planes'!$A:$M,9,FALSE),0)</f>
        <v>48000</v>
      </c>
      <c r="BH126" s="20">
        <f>IFERROR(VLOOKUP(Tabla14[[#This Row],[Llave]],'[5]Consolidación planes'!$A:$M,10,FALSE),0)</f>
        <v>48000</v>
      </c>
      <c r="BI126" s="20">
        <f>IFERROR(VLOOKUP(Tabla14[[#This Row],[Llave]],'[5]Consolidación planes'!$A:$M,11,FALSE),0)</f>
        <v>24000</v>
      </c>
      <c r="BJ126" s="20">
        <f>IFERROR(VLOOKUP(Tabla14[[#This Row],[Llave]],'[5]Consolidación planes'!$A:$M,12,FALSE),0)</f>
        <v>48000</v>
      </c>
      <c r="BK126" s="20">
        <f>IFERROR(VLOOKUP(Tabla14[[#This Row],[Llave]],'[5]Consolidación planes'!$A:$M,13,FALSE),0)</f>
        <v>48000</v>
      </c>
      <c r="BL126" s="20">
        <f>IFERROR(VLOOKUP(Tabla14[[#This Row],[Llave]],'[13]Base ultimos planes'!$A:$M,13,FALSE),0)</f>
        <v>24000</v>
      </c>
      <c r="BM126" s="20">
        <f>IFERROR(VLOOKUP(Tabla14[[#This Row],[Llave]],'[13]Cruce plan irrestricto'!$C:$M,10,FALSE),0)</f>
        <v>96024</v>
      </c>
      <c r="BN126" s="20">
        <f>IFERROR(VLOOKUP(Tabla14[[#This Row],[Llave]],'[13]Cruce plan irrestricto'!$C:$M,11,FALSE),0)</f>
        <v>0</v>
      </c>
      <c r="BO126" s="80">
        <f>IFERROR(VLOOKUP(Tabla14[[#This Row],[Llave]],'[13]Base ultimos planes'!$O:$AA,8,FALSE),0)</f>
        <v>40800</v>
      </c>
      <c r="BP126" s="20">
        <f>IFERROR(VLOOKUP(Tabla14[[#This Row],[Llave]],'[13]Base ultimos planes'!$O:$AA,9,FALSE),0)</f>
        <v>31200</v>
      </c>
      <c r="BQ126" s="20">
        <f>IFERROR(VLOOKUP(Tabla14[[#This Row],[Llave]],'[13]Base ultimos planes'!$O:$AA,10,FALSE),0)</f>
        <v>19200</v>
      </c>
      <c r="BR126" s="20">
        <f>IFERROR(VLOOKUP(Tabla14[[#This Row],[Llave]],'[13]Base ultimos planes'!$O:$AA,11,FALSE),0)</f>
        <v>43458</v>
      </c>
      <c r="BS126" s="20">
        <f>IFERROR(VLOOKUP(Tabla14[[#This Row],[Llave]],'[13]Base ultimos planes'!$O:$AA,12,FALSE),0)</f>
        <v>38400</v>
      </c>
      <c r="BT126" s="20">
        <f>IFERROR(VLOOKUP(Tabla14[[#This Row],[Llave]],'[13]Base ultimos planes'!$O:$AA,13,FALSE),0)</f>
        <v>18796</v>
      </c>
      <c r="BU126" s="20"/>
      <c r="BV126" s="20">
        <f>Tabla14[[#This Row],[ RV Producción mes n+1]]-Tabla14[[#This Row],[Producción disponible]]+Tabla14[[#This Row],[Saldo Volumen disponible]]</f>
        <v>108701.46247301326</v>
      </c>
      <c r="BW126" s="20">
        <f>IFERROR(VLOOKUP(Tabla14[[#This Row],[Llave]],[14]Hoja2!$J:$N,4,FALSE),0)</f>
        <v>0</v>
      </c>
      <c r="BX126" s="20">
        <f>+Tabla14[[#This Row],[Asignación mes n+1]]*Tabla14[[#This Row],[% Uti. producción]]</f>
        <v>0</v>
      </c>
      <c r="BY126" s="20">
        <f>+Tabla14[[#This Row],[Ponderación mes n+1]]+Tabla14[[#This Row],[Saldo mes n-1]]</f>
        <v>108701.46247301326</v>
      </c>
      <c r="BZ126" s="20">
        <f>+Tabla14[[#This Row],[Asignación mes n+1]]-Tabla14[[#This Row],[Ponderación mes n+1]]</f>
        <v>0</v>
      </c>
      <c r="CA126" s="20">
        <f>IFERROR(VLOOKUP(Tabla14[[#This Row],[Llave]],[14]Hoja2!$J:$N,5,FALSE),0)</f>
        <v>0</v>
      </c>
      <c r="CB126" s="20">
        <f>+Tabla14[[#This Row],[Asignación mes n+2]]*Tabla14[[#This Row],[% Uti. producción]]</f>
        <v>0</v>
      </c>
      <c r="CC126" s="20">
        <f>+Tabla14[[#This Row],[Saldo mes n+2]]+Tabla14[[#This Row],[Ponderación mes n+2]]</f>
        <v>0</v>
      </c>
      <c r="CD126" s="20">
        <f>+Tabla14[[#This Row],[Asignación mes n+2]]-Tabla14[[#This Row],[Ponderación mes n+2]]</f>
        <v>0</v>
      </c>
    </row>
    <row r="127" spans="1:82" ht="16" x14ac:dyDescent="0.2">
      <c r="A127">
        <v>2</v>
      </c>
      <c r="B127" t="str">
        <f>Tabla14[[#This Row],[Oficina]]&amp;Tabla14[[#This Row],[Material]]</f>
        <v>Agrosuper Shanghai1022291</v>
      </c>
      <c r="C127" t="s">
        <v>6</v>
      </c>
      <c r="D127" t="s">
        <v>140</v>
      </c>
      <c r="E127">
        <v>1022291</v>
      </c>
      <c r="F127" t="s">
        <v>163</v>
      </c>
      <c r="G127" t="s">
        <v>159</v>
      </c>
      <c r="H127" t="s">
        <v>160</v>
      </c>
      <c r="I127" s="7">
        <f>IFERROR(IF(Tabla14[[#This Row],[Oficina]]=$I$7,VLOOKUP(Tabla14[[#This Row],[Material]],'[6]RV Producción'!$Y:$AA,3,FALSE),VLOOKUP(Tabla14[[#This Row],[Llave]],'[6]RV Producción'!$C:$G,5,FALSE)),0)</f>
        <v>17368</v>
      </c>
      <c r="J127" s="7">
        <f>IFERROR(IF(Tabla14[[#This Row],[Oficina]]=$I$7,VLOOKUP(Tabla14[[#This Row],[Llave]],'[7]Shangai (Tomas)'!$A:$F,6,FALSE),VLOOKUP(Tabla14[[#This Row],[Llave]],'[6]RV plan de ventas'!$A:$E,5,FALSE)),0)</f>
        <v>0</v>
      </c>
      <c r="K127" s="8">
        <f>IFERROR(VLOOKUP(Tabla14[[#This Row],[Sector]]&amp;Tabla14[[#This Row],[Oficina]],[8]Ponderación!$A$3:$G$22,7,FALSE),0)</f>
        <v>0.38476266834449474</v>
      </c>
      <c r="L127" s="7">
        <f>+Tabla14[[#This Row],[ RV Producción mes n+1]]*Tabla14[[#This Row],[% Uti. producción]]</f>
        <v>6682.5580238071843</v>
      </c>
      <c r="M127" s="7">
        <f>IFERROR(VLOOKUP(Tabla14[[#This Row],[Material]],'[9]TD Stock'!$B:$C,2,FALSE),0)</f>
        <v>32395.882000000016</v>
      </c>
      <c r="N127" s="7">
        <f>IFERROR(VLOOKUP(Tabla14[[#This Row],[Material]],'[10]Consolidado planificación'!$B:$C,2,FALSE),0)</f>
        <v>3809.0399999999995</v>
      </c>
      <c r="O127" s="7">
        <f>IFERROR(VLOOKUP(Tabla14[[#This Row],[Llave]],[11]Hoja2!$D:$G,4,FALSE),0)</f>
        <v>0</v>
      </c>
      <c r="P127" s="14">
        <f>SUM(Tabla14[[#This Row],[Producción disponible]],Tabla14[[#This Row],[Stock al día]],(Tabla14[[#This Row],[Por producir mes N]]*0.9))-Tabla14[[#This Row],[Producción por despachar mes N]]</f>
        <v>42506.576023807196</v>
      </c>
      <c r="Q127" s="7">
        <f>IFERROR(VLOOKUP(Tabla14[[#This Row],[Llave]],[9]DELAY!$A:$D,4,FALSE),0)</f>
        <v>0</v>
      </c>
      <c r="R127" s="9">
        <v>23000</v>
      </c>
      <c r="S127" s="5">
        <f t="shared" si="6"/>
        <v>0</v>
      </c>
      <c r="T127" s="76">
        <v>0</v>
      </c>
      <c r="U127" s="5">
        <f>+Tabla14[[#This Row],[Atraso a facturar]]+Tabla14[[#This Row],[Ajuste atraso]]</f>
        <v>0</v>
      </c>
      <c r="V127" s="3">
        <f>+Tabla14[[#This Row],[Total disponible]]-Tabla14[[#This Row],[Facturación atraso]]</f>
        <v>42506.576023807196</v>
      </c>
      <c r="W127" s="6">
        <f>IFERROR(IF(AND(V127&gt;R127,J127&gt;=R127),ROUNDDOWN((Tabla14[[#This Row],[Producción para venta nueva]])/R127,0)*R127,0),0)</f>
        <v>0</v>
      </c>
      <c r="X127" s="76">
        <v>0</v>
      </c>
      <c r="Y127" s="6">
        <f>IF(Tabla14[[#This Row],[Venta del mes]]&gt;0,Tabla14[[#This Row],[Venta del mes]]+Tabla14[[#This Row],[Ajuste venta nueva]],0)</f>
        <v>0</v>
      </c>
      <c r="Z127" s="6">
        <f>+Tabla14[[#This Row],[Producción para venta nueva]]-Tabla14[[#This Row],[Facturación Venta nueva]]</f>
        <v>42506.576023807196</v>
      </c>
      <c r="AA127" s="6">
        <f>IF(AND(A127=1,Tabla14[[#This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7" s="6">
        <v>0</v>
      </c>
      <c r="AC127" s="6">
        <f>IF(Tabla14[[#This Row],[Disponible stock sin venta]]&gt;0,Tabla14[[#This Row],[Disponible stock sin venta]]+Tabla14[[#This Row],[Ajuste stock sin venta]],0)</f>
        <v>0</v>
      </c>
      <c r="AD127" s="3">
        <f>IFERROR(VLOOKUP(Tabla14[[#This Row],[Llave]],[12]Hoja1!$A:$D,4,FALSE),0)</f>
        <v>0</v>
      </c>
      <c r="AE12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27" s="3">
        <v>0</v>
      </c>
      <c r="AG127" s="3">
        <f>+Tabla14[[#This Row],[En puerto a facturar]]</f>
        <v>0</v>
      </c>
      <c r="AH127" s="3">
        <f>+Tabla14[[#This Row],[Facturación atraso]]</f>
        <v>0</v>
      </c>
      <c r="AI127" s="3">
        <f>+Tabla14[[#This Row],[Plan Irrestricto (DATO)]]-Tabla14[[#This Row],[Puerto ]]-Tabla14[[#This Row],[Atraso]]</f>
        <v>0</v>
      </c>
      <c r="AJ12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27" s="3">
        <f>+Tabla14[[#This Row],[Facturación atraso]]</f>
        <v>0</v>
      </c>
      <c r="AL127" s="3">
        <f>Tabla14[[#This Row],[Plan Ajustado]]-Tabla14[[#This Row],[ Atraso ajustado]]-Tabla14[[#This Row],[En puerto a facturar]]</f>
        <v>0</v>
      </c>
      <c r="AM127" s="3">
        <v>0</v>
      </c>
      <c r="AN127" s="3"/>
      <c r="AO127" s="3" t="str">
        <f>IF(Tabla14[[#This Row],[Plan Ajustado]]&gt;Tabla14[[#This Row],[En puerto a facturar]],"Si","No")</f>
        <v>No</v>
      </c>
      <c r="AP12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27" s="3">
        <f>IF(Tabla14[[#This Row],[Necesidad]]&gt;=Tabla14[[#This Row],[Stock al día]],Tabla14[[#This Row],[Stock al día]],Tabla14[[#This Row],[Necesidad]])</f>
        <v>0</v>
      </c>
      <c r="AR127" s="3">
        <f>+Tabla14[[#This Row],[Necesidad]]-Tabla14[[#This Row],[Stock Plan]]</f>
        <v>0</v>
      </c>
      <c r="AS127" s="155">
        <f>VLOOKUP(Tabla14[[#This Row],[Sector]]&amp;Tabla14[[#This Row],[Oficina]],[8]Ponderación!$A:$H,8,FALSE)</f>
        <v>44814</v>
      </c>
      <c r="AT127" s="30">
        <f>IFERROR(VLOOKUP(Tabla14[[#This Row],[Llave]],'[6]RV plan de ventas'!$A:$F,6,FALSE),0)</f>
        <v>0</v>
      </c>
      <c r="AU127" s="83">
        <f>IFERROR(VLOOKUP(Tabla14[[#This Row],[Llave]],[9]DELAY!$H:$X,17,FALSE),0)</f>
        <v>0</v>
      </c>
      <c r="AV12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27" s="5">
        <f>Tabla14[[#This Row],[Pecio plan]]*Tabla14[[#This Row],[Plan Ajustado]]</f>
        <v>0</v>
      </c>
      <c r="AX127" s="30">
        <f>IFERROR(VLOOKUP(Tabla14[[#This Row],[Llave]],'[13]Ultimos precios facturados'!$A:$G,7,FALSE),0)</f>
        <v>1.8560866560447178</v>
      </c>
      <c r="AY12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27" s="30">
        <f>IFERROR(VLOOKUP(Tabla14[[#This Row],[Llave]],Hoja2!B:K,10,FALSE),0)</f>
        <v>0</v>
      </c>
      <c r="BA12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27" s="30">
        <v>0</v>
      </c>
      <c r="BC127" s="30">
        <f>IF(Tabla14[[#This Row],[Market]]=0,Tabla14[[#This Row],[Precio Final]],Tabla14[[#This Row],[Market]])</f>
        <v>0</v>
      </c>
      <c r="BD127" s="82"/>
      <c r="BE127" s="82" t="str">
        <f>IF(AND(Tabla14[[#This Row],[Atraso a facturar]]&gt;0,Tabla14[[#This Row],[En puerto a facturar]]&gt;0,Tabla14[[#This Row],[Precio Atraso]]=0),"Revisar","OK")</f>
        <v>OK</v>
      </c>
      <c r="BF127" s="82" t="str">
        <f>IF(AND(Tabla14[[#This Row],[Venta del mes]]&gt;0,Tabla14[[#This Row],[Precio venta nueva]]=0),"Revisar","OK")</f>
        <v>OK</v>
      </c>
      <c r="BG127" s="20">
        <f>IFERROR(VLOOKUP(Tabla14[[#This Row],[Llave]],'[5]Consolidación planes'!$A:$M,9,FALSE),0)</f>
        <v>48000</v>
      </c>
      <c r="BH127" s="20">
        <f>IFERROR(VLOOKUP(Tabla14[[#This Row],[Llave]],'[5]Consolidación planes'!$A:$M,10,FALSE),0)</f>
        <v>48000</v>
      </c>
      <c r="BI127" s="20">
        <f>IFERROR(VLOOKUP(Tabla14[[#This Row],[Llave]],'[5]Consolidación planes'!$A:$M,11,FALSE),0)</f>
        <v>48000</v>
      </c>
      <c r="BJ127" s="20">
        <f>IFERROR(VLOOKUP(Tabla14[[#This Row],[Llave]],'[5]Consolidación planes'!$A:$M,12,FALSE),0)</f>
        <v>72000</v>
      </c>
      <c r="BK127" s="20">
        <f>IFERROR(VLOOKUP(Tabla14[[#This Row],[Llave]],'[5]Consolidación planes'!$A:$M,13,FALSE),0)</f>
        <v>119757</v>
      </c>
      <c r="BL127" s="20">
        <f>IFERROR(VLOOKUP(Tabla14[[#This Row],[Llave]],'[13]Base ultimos planes'!$A:$M,13,FALSE),0)</f>
        <v>48000</v>
      </c>
      <c r="BM127" s="20">
        <f>IFERROR(VLOOKUP(Tabla14[[#This Row],[Llave]],'[13]Cruce plan irrestricto'!$C:$M,10,FALSE),0)</f>
        <v>24000</v>
      </c>
      <c r="BN127" s="20">
        <f>IFERROR(VLOOKUP(Tabla14[[#This Row],[Llave]],'[13]Cruce plan irrestricto'!$C:$M,11,FALSE),0)</f>
        <v>24024</v>
      </c>
      <c r="BO127" s="80">
        <f>IFERROR(VLOOKUP(Tabla14[[#This Row],[Llave]],'[13]Base ultimos planes'!$O:$AA,8,FALSE),0)</f>
        <v>77760</v>
      </c>
      <c r="BP127" s="20">
        <f>IFERROR(VLOOKUP(Tabla14[[#This Row],[Llave]],'[13]Base ultimos planes'!$O:$AA,9,FALSE),0)</f>
        <v>80400</v>
      </c>
      <c r="BQ127" s="20">
        <f>IFERROR(VLOOKUP(Tabla14[[#This Row],[Llave]],'[13]Base ultimos planes'!$O:$AA,10,FALSE),0)</f>
        <v>82560</v>
      </c>
      <c r="BR127" s="20">
        <f>IFERROR(VLOOKUP(Tabla14[[#This Row],[Llave]],'[13]Base ultimos planes'!$O:$AA,11,FALSE),0)</f>
        <v>121706</v>
      </c>
      <c r="BS127" s="20">
        <f>IFERROR(VLOOKUP(Tabla14[[#This Row],[Llave]],'[13]Base ultimos planes'!$O:$AA,12,FALSE),0)</f>
        <v>206659</v>
      </c>
      <c r="BT127" s="20">
        <f>IFERROR(VLOOKUP(Tabla14[[#This Row],[Llave]],'[13]Base ultimos planes'!$O:$AA,13,FALSE),0)</f>
        <v>94133</v>
      </c>
      <c r="BU127" s="20"/>
      <c r="BV127" s="20">
        <f>Tabla14[[#This Row],[ RV Producción mes n+1]]-Tabla14[[#This Row],[Producción disponible]]+Tabla14[[#This Row],[Saldo Volumen disponible]]</f>
        <v>53192.018000000011</v>
      </c>
      <c r="BW127" s="20">
        <f>IFERROR(VLOOKUP(Tabla14[[#This Row],[Llave]],[14]Hoja2!$J:$N,4,FALSE),0)</f>
        <v>0</v>
      </c>
      <c r="BX127" s="20">
        <f>+Tabla14[[#This Row],[Asignación mes n+1]]*Tabla14[[#This Row],[% Uti. producción]]</f>
        <v>0</v>
      </c>
      <c r="BY127" s="20">
        <f>+Tabla14[[#This Row],[Ponderación mes n+1]]+Tabla14[[#This Row],[Saldo mes n-1]]</f>
        <v>53192.018000000011</v>
      </c>
      <c r="BZ127" s="20">
        <f>+Tabla14[[#This Row],[Asignación mes n+1]]-Tabla14[[#This Row],[Ponderación mes n+1]]</f>
        <v>0</v>
      </c>
      <c r="CA127" s="20">
        <f>IFERROR(VLOOKUP(Tabla14[[#This Row],[Llave]],[14]Hoja2!$J:$N,5,FALSE),0)</f>
        <v>0</v>
      </c>
      <c r="CB127" s="20">
        <f>+Tabla14[[#This Row],[Asignación mes n+2]]*Tabla14[[#This Row],[% Uti. producción]]</f>
        <v>0</v>
      </c>
      <c r="CC127" s="20">
        <f>+Tabla14[[#This Row],[Saldo mes n+2]]+Tabla14[[#This Row],[Ponderación mes n+2]]</f>
        <v>0</v>
      </c>
      <c r="CD127" s="20">
        <f>+Tabla14[[#This Row],[Asignación mes n+2]]-Tabla14[[#This Row],[Ponderación mes n+2]]</f>
        <v>0</v>
      </c>
    </row>
    <row r="128" spans="1:82" ht="16" x14ac:dyDescent="0.2">
      <c r="A128">
        <v>2</v>
      </c>
      <c r="B128" t="str">
        <f>Tabla14[[#This Row],[Oficina]]&amp;Tabla14[[#This Row],[Material]]</f>
        <v>Agrosuper Shanghai1022373</v>
      </c>
      <c r="C128" t="s">
        <v>6</v>
      </c>
      <c r="D128" t="s">
        <v>140</v>
      </c>
      <c r="E128">
        <v>1022373</v>
      </c>
      <c r="F128" t="s">
        <v>168</v>
      </c>
      <c r="G128" t="s">
        <v>71</v>
      </c>
      <c r="H128" t="s">
        <v>72</v>
      </c>
      <c r="I128" s="7">
        <f>IFERROR(IF(Tabla14[[#This Row],[Oficina]]=$I$7,VLOOKUP(Tabla14[[#This Row],[Material]],'[6]RV Producción'!$Y:$AA,3,FALSE),VLOOKUP(Tabla14[[#This Row],[Llave]],'[6]RV Producción'!$C:$G,5,FALSE)),0)</f>
        <v>72000</v>
      </c>
      <c r="J128" s="7">
        <f>IFERROR(IF(Tabla14[[#This Row],[Oficina]]=$I$7,VLOOKUP(Tabla14[[#This Row],[Llave]],'[7]Shangai (Tomas)'!$A:$F,6,FALSE),VLOOKUP(Tabla14[[#This Row],[Llave]],'[6]RV plan de ventas'!$A:$E,5,FALSE)),0)</f>
        <v>0</v>
      </c>
      <c r="K128" s="8">
        <f>IFERROR(VLOOKUP(Tabla14[[#This Row],[Sector]]&amp;Tabla14[[#This Row],[Oficina]],[8]Ponderación!$A$3:$G$22,7,FALSE),0)</f>
        <v>0.38476266834449474</v>
      </c>
      <c r="L128" s="7">
        <f>+Tabla14[[#This Row],[ RV Producción mes n+1]]*Tabla14[[#This Row],[% Uti. producción]]</f>
        <v>27702.912120803623</v>
      </c>
      <c r="M128" s="7">
        <f>IFERROR(VLOOKUP(Tabla14[[#This Row],[Material]],'[9]TD Stock'!$B:$C,2,FALSE),0)</f>
        <v>55270.602999999996</v>
      </c>
      <c r="N128" s="7">
        <f>IFERROR(VLOOKUP(Tabla14[[#This Row],[Material]],'[10]Consolidado planificación'!$B:$C,2,FALSE),0)</f>
        <v>53489</v>
      </c>
      <c r="O128" s="7">
        <f>IFERROR(VLOOKUP(Tabla14[[#This Row],[Llave]],[11]Hoja2!$D:$G,4,FALSE),0)</f>
        <v>0</v>
      </c>
      <c r="P128" s="14">
        <f>SUM(Tabla14[[#This Row],[Producción disponible]],Tabla14[[#This Row],[Stock al día]],(Tabla14[[#This Row],[Por producir mes N]]*0.9))-Tabla14[[#This Row],[Producción por despachar mes N]]</f>
        <v>131113.61512080362</v>
      </c>
      <c r="Q128" s="7">
        <f>IFERROR(VLOOKUP(Tabla14[[#This Row],[Llave]],[9]DELAY!$A:$D,4,FALSE),0)</f>
        <v>0</v>
      </c>
      <c r="R128" s="9">
        <v>23000</v>
      </c>
      <c r="S128" s="5">
        <f t="shared" si="6"/>
        <v>0</v>
      </c>
      <c r="T128" s="76">
        <v>0</v>
      </c>
      <c r="U128" s="5">
        <f>+Tabla14[[#This Row],[Atraso a facturar]]+Tabla14[[#This Row],[Ajuste atraso]]</f>
        <v>0</v>
      </c>
      <c r="V128" s="3">
        <f>+Tabla14[[#This Row],[Total disponible]]-Tabla14[[#This Row],[Facturación atraso]]</f>
        <v>131113.61512080362</v>
      </c>
      <c r="W128" s="6">
        <f>IFERROR(IF(AND(V128&gt;R128,J128&gt;=R128),ROUNDDOWN((Tabla14[[#This Row],[Producción para venta nueva]])/R128,0)*R128,0),0)</f>
        <v>0</v>
      </c>
      <c r="X128" s="76">
        <v>0</v>
      </c>
      <c r="Y128" s="6">
        <f>IF(Tabla14[[#This Row],[Venta del mes]]&gt;0,Tabla14[[#This Row],[Venta del mes]]+Tabla14[[#This Row],[Ajuste venta nueva]],0)</f>
        <v>0</v>
      </c>
      <c r="Z128" s="6">
        <f>+Tabla14[[#This Row],[Producción para venta nueva]]-Tabla14[[#This Row],[Facturación Venta nueva]]</f>
        <v>131113.61512080362</v>
      </c>
      <c r="AA128" s="6">
        <f>IF(AND(A128=1,Tabla14[[#This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8" s="6">
        <v>0</v>
      </c>
      <c r="AC128" s="6">
        <f>IF(Tabla14[[#This Row],[Disponible stock sin venta]]&gt;0,Tabla14[[#This Row],[Disponible stock sin venta]]+Tabla14[[#This Row],[Ajuste stock sin venta]],0)</f>
        <v>0</v>
      </c>
      <c r="AD128" s="3">
        <f>IFERROR(VLOOKUP(Tabla14[[#This Row],[Llave]],[12]Hoja1!$A:$D,4,FALSE),0)</f>
        <v>0</v>
      </c>
      <c r="AE12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28" s="3">
        <v>0</v>
      </c>
      <c r="AG128" s="3">
        <f>+Tabla14[[#This Row],[En puerto a facturar]]</f>
        <v>0</v>
      </c>
      <c r="AH128" s="3">
        <f>+Tabla14[[#This Row],[Facturación atraso]]</f>
        <v>0</v>
      </c>
      <c r="AI128" s="3">
        <f>+Tabla14[[#This Row],[Plan Irrestricto (DATO)]]-Tabla14[[#This Row],[Puerto ]]-Tabla14[[#This Row],[Atraso]]</f>
        <v>0</v>
      </c>
      <c r="AJ12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28" s="3">
        <f>+Tabla14[[#This Row],[Facturación atraso]]</f>
        <v>0</v>
      </c>
      <c r="AL128" s="3">
        <f>Tabla14[[#This Row],[Plan Ajustado]]-Tabla14[[#This Row],[ Atraso ajustado]]-Tabla14[[#This Row],[En puerto a facturar]]</f>
        <v>0</v>
      </c>
      <c r="AM128" s="3">
        <v>0</v>
      </c>
      <c r="AN128" s="3"/>
      <c r="AO128" s="3" t="str">
        <f>IF(Tabla14[[#This Row],[Plan Ajustado]]&gt;Tabla14[[#This Row],[En puerto a facturar]],"Si","No")</f>
        <v>No</v>
      </c>
      <c r="AP12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28" s="3">
        <f>IF(Tabla14[[#This Row],[Necesidad]]&gt;=Tabla14[[#This Row],[Stock al día]],Tabla14[[#This Row],[Stock al día]],Tabla14[[#This Row],[Necesidad]])</f>
        <v>0</v>
      </c>
      <c r="AR128" s="3">
        <f>+Tabla14[[#This Row],[Necesidad]]-Tabla14[[#This Row],[Stock Plan]]</f>
        <v>0</v>
      </c>
      <c r="AS128" s="155">
        <f>VLOOKUP(Tabla14[[#This Row],[Sector]]&amp;Tabla14[[#This Row],[Oficina]],[8]Ponderación!$A:$H,8,FALSE)</f>
        <v>44814</v>
      </c>
      <c r="AT128" s="30">
        <f>IFERROR(VLOOKUP(Tabla14[[#This Row],[Llave]],'[6]RV plan de ventas'!$A:$F,6,FALSE),0)</f>
        <v>0</v>
      </c>
      <c r="AU128" s="83">
        <f>IFERROR(VLOOKUP(Tabla14[[#This Row],[Llave]],[9]DELAY!$H:$X,17,FALSE),0)</f>
        <v>0</v>
      </c>
      <c r="AV12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28" s="5">
        <f>Tabla14[[#This Row],[Pecio plan]]*Tabla14[[#This Row],[Plan Ajustado]]</f>
        <v>0</v>
      </c>
      <c r="AX128" s="30">
        <f>IFERROR(VLOOKUP(Tabla14[[#This Row],[Llave]],'[13]Ultimos precios facturados'!$A:$G,7,FALSE),0)</f>
        <v>1.2425567117466458</v>
      </c>
      <c r="AY12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28" s="30">
        <f>IFERROR(VLOOKUP(Tabla14[[#This Row],[Llave]],Hoja2!B:K,10,FALSE),0)</f>
        <v>1.4497916666666699</v>
      </c>
      <c r="BA12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28" s="30">
        <v>0</v>
      </c>
      <c r="BC128" s="30">
        <f>IF(Tabla14[[#This Row],[Market]]=0,Tabla14[[#This Row],[Precio Final]],Tabla14[[#This Row],[Market]])</f>
        <v>0</v>
      </c>
      <c r="BD128" s="82"/>
      <c r="BE128" s="82" t="str">
        <f>IF(AND(Tabla14[[#This Row],[Atraso a facturar]]&gt;0,Tabla14[[#This Row],[En puerto a facturar]]&gt;0,Tabla14[[#This Row],[Precio Atraso]]=0),"Revisar","OK")</f>
        <v>OK</v>
      </c>
      <c r="BF128" s="82" t="str">
        <f>IF(AND(Tabla14[[#This Row],[Venta del mes]]&gt;0,Tabla14[[#This Row],[Precio venta nueva]]=0),"Revisar","OK")</f>
        <v>OK</v>
      </c>
      <c r="BG128" s="20">
        <f>IFERROR(VLOOKUP(Tabla14[[#This Row],[Llave]],'[5]Consolidación planes'!$A:$M,9,FALSE),0)</f>
        <v>96000</v>
      </c>
      <c r="BH128" s="20">
        <f>IFERROR(VLOOKUP(Tabla14[[#This Row],[Llave]],'[5]Consolidación planes'!$A:$M,10,FALSE),0)</f>
        <v>96000</v>
      </c>
      <c r="BI128" s="20">
        <f>IFERROR(VLOOKUP(Tabla14[[#This Row],[Llave]],'[5]Consolidación planes'!$A:$M,11,FALSE),0)</f>
        <v>48000</v>
      </c>
      <c r="BJ128" s="20">
        <f>IFERROR(VLOOKUP(Tabla14[[#This Row],[Llave]],'[5]Consolidación planes'!$A:$M,12,FALSE),0)</f>
        <v>0</v>
      </c>
      <c r="BK128" s="20">
        <f>IFERROR(VLOOKUP(Tabla14[[#This Row],[Llave]],'[5]Consolidación planes'!$A:$M,13,FALSE),0)</f>
        <v>48000</v>
      </c>
      <c r="BL128" s="20">
        <f>IFERROR(VLOOKUP(Tabla14[[#This Row],[Llave]],'[13]Base ultimos planes'!$A:$M,13,FALSE),0)</f>
        <v>23984</v>
      </c>
      <c r="BM128" s="20">
        <f>IFERROR(VLOOKUP(Tabla14[[#This Row],[Llave]],'[13]Cruce plan irrestricto'!$C:$M,10,FALSE),0)</f>
        <v>48100</v>
      </c>
      <c r="BN128" s="20">
        <f>IFERROR(VLOOKUP(Tabla14[[#This Row],[Llave]],'[13]Cruce plan irrestricto'!$C:$M,11,FALSE),0)</f>
        <v>48206</v>
      </c>
      <c r="BO128" s="80">
        <f>IFERROR(VLOOKUP(Tabla14[[#This Row],[Llave]],'[13]Base ultimos planes'!$O:$AA,8,FALSE),0)</f>
        <v>84000</v>
      </c>
      <c r="BP128" s="20">
        <f>IFERROR(VLOOKUP(Tabla14[[#This Row],[Llave]],'[13]Base ultimos planes'!$O:$AA,9,FALSE),0)</f>
        <v>81600</v>
      </c>
      <c r="BQ128" s="20">
        <f>IFERROR(VLOOKUP(Tabla14[[#This Row],[Llave]],'[13]Base ultimos planes'!$O:$AA,10,FALSE),0)</f>
        <v>40800</v>
      </c>
      <c r="BR128" s="20">
        <f>IFERROR(VLOOKUP(Tabla14[[#This Row],[Llave]],'[13]Base ultimos planes'!$O:$AA,11,FALSE),0)</f>
        <v>0</v>
      </c>
      <c r="BS128" s="20">
        <f>IFERROR(VLOOKUP(Tabla14[[#This Row],[Llave]],'[13]Base ultimos planes'!$O:$AA,12,FALSE),0)</f>
        <v>50400</v>
      </c>
      <c r="BT128" s="20">
        <f>IFERROR(VLOOKUP(Tabla14[[#This Row],[Llave]],'[13]Base ultimos planes'!$O:$AA,13,FALSE),0)</f>
        <v>23025</v>
      </c>
      <c r="BU128" s="20"/>
      <c r="BV128" s="20">
        <f>Tabla14[[#This Row],[ RV Producción mes n+1]]-Tabla14[[#This Row],[Producción disponible]]+Tabla14[[#This Row],[Saldo Volumen disponible]]</f>
        <v>175410.70299999998</v>
      </c>
      <c r="BW128" s="20">
        <f>IFERROR(VLOOKUP(Tabla14[[#This Row],[Llave]],[14]Hoja2!$J:$N,4,FALSE),0)</f>
        <v>0</v>
      </c>
      <c r="BX128" s="20">
        <f>+Tabla14[[#This Row],[Asignación mes n+1]]*Tabla14[[#This Row],[% Uti. producción]]</f>
        <v>0</v>
      </c>
      <c r="BY128" s="20">
        <f>+Tabla14[[#This Row],[Ponderación mes n+1]]+Tabla14[[#This Row],[Saldo mes n-1]]</f>
        <v>175410.70299999998</v>
      </c>
      <c r="BZ128" s="20">
        <f>+Tabla14[[#This Row],[Asignación mes n+1]]-Tabla14[[#This Row],[Ponderación mes n+1]]</f>
        <v>0</v>
      </c>
      <c r="CA128" s="20">
        <f>IFERROR(VLOOKUP(Tabla14[[#This Row],[Llave]],[14]Hoja2!$J:$N,5,FALSE),0)</f>
        <v>0</v>
      </c>
      <c r="CB128" s="20">
        <f>+Tabla14[[#This Row],[Asignación mes n+2]]*Tabla14[[#This Row],[% Uti. producción]]</f>
        <v>0</v>
      </c>
      <c r="CC128" s="20">
        <f>+Tabla14[[#This Row],[Saldo mes n+2]]+Tabla14[[#This Row],[Ponderación mes n+2]]</f>
        <v>0</v>
      </c>
      <c r="CD128" s="20">
        <f>+Tabla14[[#This Row],[Asignación mes n+2]]-Tabla14[[#This Row],[Ponderación mes n+2]]</f>
        <v>0</v>
      </c>
    </row>
    <row r="129" spans="1:82" ht="16" x14ac:dyDescent="0.2">
      <c r="A129">
        <v>2</v>
      </c>
      <c r="B129" t="str">
        <f>Tabla14[[#This Row],[Oficina]]&amp;Tabla14[[#This Row],[Material]]</f>
        <v>Agrosuper Shanghai1022378</v>
      </c>
      <c r="C129" t="s">
        <v>6</v>
      </c>
      <c r="D129" t="s">
        <v>140</v>
      </c>
      <c r="E129">
        <v>1022378</v>
      </c>
      <c r="F129" t="s">
        <v>152</v>
      </c>
      <c r="G129" t="s">
        <v>92</v>
      </c>
      <c r="H129" t="s">
        <v>93</v>
      </c>
      <c r="I129" s="7">
        <f>IFERROR(IF(Tabla14[[#This Row],[Oficina]]=$I$7,VLOOKUP(Tabla14[[#This Row],[Material]],'[6]RV Producción'!$Y:$AA,3,FALSE),VLOOKUP(Tabla14[[#This Row],[Llave]],'[6]RV Producción'!$C:$G,5,FALSE)),0)</f>
        <v>57311</v>
      </c>
      <c r="J129" s="7">
        <f>IFERROR(IF(Tabla14[[#This Row],[Oficina]]=$I$7,VLOOKUP(Tabla14[[#This Row],[Llave]],'[7]Shangai (Tomas)'!$A:$F,6,FALSE),VLOOKUP(Tabla14[[#This Row],[Llave]],'[6]RV plan de ventas'!$A:$E,5,FALSE)),0)</f>
        <v>0</v>
      </c>
      <c r="K129" s="8">
        <f>IFERROR(VLOOKUP(Tabla14[[#This Row],[Sector]]&amp;Tabla14[[#This Row],[Oficina]],[8]Ponderación!$A$3:$G$22,7,FALSE),0)</f>
        <v>0.38476266834449474</v>
      </c>
      <c r="L129" s="7">
        <f>+Tabla14[[#This Row],[ RV Producción mes n+1]]*Tabla14[[#This Row],[% Uti. producción]]</f>
        <v>22051.133285491338</v>
      </c>
      <c r="M129" s="7">
        <f>IFERROR(VLOOKUP(Tabla14[[#This Row],[Material]],'[9]TD Stock'!$B:$C,2,FALSE),0)</f>
        <v>48427.199999999997</v>
      </c>
      <c r="N129" s="7">
        <f>IFERROR(VLOOKUP(Tabla14[[#This Row],[Material]],'[10]Consolidado planificación'!$B:$C,2,FALSE),0)</f>
        <v>15523.403086598568</v>
      </c>
      <c r="O129" s="7">
        <f>IFERROR(VLOOKUP(Tabla14[[#This Row],[Llave]],[11]Hoja2!$D:$G,4,FALSE),0)</f>
        <v>0</v>
      </c>
      <c r="P129" s="14">
        <f>SUM(Tabla14[[#This Row],[Producción disponible]],Tabla14[[#This Row],[Stock al día]],(Tabla14[[#This Row],[Por producir mes N]]*0.9))-Tabla14[[#This Row],[Producción por despachar mes N]]</f>
        <v>84449.396063430046</v>
      </c>
      <c r="Q129" s="7">
        <f>IFERROR(VLOOKUP(Tabla14[[#This Row],[Llave]],[9]DELAY!$A:$D,4,FALSE),0)</f>
        <v>0</v>
      </c>
      <c r="R129" s="9">
        <v>23000</v>
      </c>
      <c r="S129" s="5">
        <f t="shared" si="6"/>
        <v>0</v>
      </c>
      <c r="T129" s="76">
        <v>0</v>
      </c>
      <c r="U129" s="5">
        <f>+Tabla14[[#This Row],[Atraso a facturar]]+Tabla14[[#This Row],[Ajuste atraso]]</f>
        <v>0</v>
      </c>
      <c r="V129" s="3">
        <f>+Tabla14[[#This Row],[Total disponible]]-Tabla14[[#This Row],[Facturación atraso]]</f>
        <v>84449.396063430046</v>
      </c>
      <c r="W129" s="6">
        <f>IFERROR(IF(AND(V129&gt;R129,J129&gt;=R129),ROUNDDOWN((Tabla14[[#This Row],[Producción para venta nueva]])/R129,0)*R129,0),0)</f>
        <v>0</v>
      </c>
      <c r="X129" s="76">
        <v>0</v>
      </c>
      <c r="Y129" s="6">
        <f>IF(Tabla14[[#This Row],[Venta del mes]]&gt;0,Tabla14[[#This Row],[Venta del mes]]+Tabla14[[#This Row],[Ajuste venta nueva]],0)</f>
        <v>0</v>
      </c>
      <c r="Z129" s="6">
        <f>+Tabla14[[#This Row],[Producción para venta nueva]]-Tabla14[[#This Row],[Facturación Venta nueva]]</f>
        <v>84449.396063430046</v>
      </c>
      <c r="AA129" s="6">
        <f>IF(AND(A129=1,Tabla14[[#This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29" s="6">
        <v>0</v>
      </c>
      <c r="AC129" s="6">
        <f>IF(Tabla14[[#This Row],[Disponible stock sin venta]]&gt;0,Tabla14[[#This Row],[Disponible stock sin venta]]+Tabla14[[#This Row],[Ajuste stock sin venta]],0)</f>
        <v>0</v>
      </c>
      <c r="AD129" s="3">
        <f>IFERROR(VLOOKUP(Tabla14[[#This Row],[Llave]],[12]Hoja1!$A:$D,4,FALSE),0)</f>
        <v>0</v>
      </c>
      <c r="AE12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29" s="3">
        <v>0</v>
      </c>
      <c r="AG129" s="3">
        <f>+Tabla14[[#This Row],[En puerto a facturar]]</f>
        <v>0</v>
      </c>
      <c r="AH129" s="3">
        <f>+Tabla14[[#This Row],[Facturación atraso]]</f>
        <v>0</v>
      </c>
      <c r="AI129" s="3">
        <f>+Tabla14[[#This Row],[Plan Irrestricto (DATO)]]-Tabla14[[#This Row],[Puerto ]]-Tabla14[[#This Row],[Atraso]]</f>
        <v>0</v>
      </c>
      <c r="AJ12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29" s="3">
        <f>+Tabla14[[#This Row],[Facturación atraso]]</f>
        <v>0</v>
      </c>
      <c r="AL129" s="3">
        <f>Tabla14[[#This Row],[Plan Ajustado]]-Tabla14[[#This Row],[ Atraso ajustado]]-Tabla14[[#This Row],[En puerto a facturar]]</f>
        <v>0</v>
      </c>
      <c r="AM129" s="3">
        <v>0</v>
      </c>
      <c r="AN129" s="3"/>
      <c r="AO129" s="3" t="str">
        <f>IF(Tabla14[[#This Row],[Plan Ajustado]]&gt;Tabla14[[#This Row],[En puerto a facturar]],"Si","No")</f>
        <v>No</v>
      </c>
      <c r="AP12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29" s="3">
        <f>IF(Tabla14[[#This Row],[Necesidad]]&gt;=Tabla14[[#This Row],[Stock al día]],Tabla14[[#This Row],[Stock al día]],Tabla14[[#This Row],[Necesidad]])</f>
        <v>0</v>
      </c>
      <c r="AR129" s="3">
        <f>+Tabla14[[#This Row],[Necesidad]]-Tabla14[[#This Row],[Stock Plan]]</f>
        <v>0</v>
      </c>
      <c r="AS129" s="155">
        <f>VLOOKUP(Tabla14[[#This Row],[Sector]]&amp;Tabla14[[#This Row],[Oficina]],[8]Ponderación!$A:$H,8,FALSE)</f>
        <v>44814</v>
      </c>
      <c r="AT129" s="30">
        <f>IFERROR(VLOOKUP(Tabla14[[#This Row],[Llave]],'[6]RV plan de ventas'!$A:$F,6,FALSE),0)</f>
        <v>0</v>
      </c>
      <c r="AU129" s="83">
        <f>IFERROR(VLOOKUP(Tabla14[[#This Row],[Llave]],[9]DELAY!$H:$X,17,FALSE),0)</f>
        <v>0</v>
      </c>
      <c r="AV12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29" s="5">
        <f>Tabla14[[#This Row],[Pecio plan]]*Tabla14[[#This Row],[Plan Ajustado]]</f>
        <v>0</v>
      </c>
      <c r="AX129" s="30">
        <f>IFERROR(VLOOKUP(Tabla14[[#This Row],[Llave]],'[13]Ultimos precios facturados'!$A:$G,7,FALSE),0)</f>
        <v>1.9728670264988897</v>
      </c>
      <c r="AY12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29" s="30">
        <f>IFERROR(VLOOKUP(Tabla14[[#This Row],[Llave]],Hoja2!B:K,10,FALSE),0)</f>
        <v>0</v>
      </c>
      <c r="BA12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29" s="30">
        <v>0</v>
      </c>
      <c r="BC129" s="30">
        <f>IF(Tabla14[[#This Row],[Market]]=0,Tabla14[[#This Row],[Precio Final]],Tabla14[[#This Row],[Market]])</f>
        <v>0</v>
      </c>
      <c r="BD129" s="82"/>
      <c r="BE129" s="82" t="str">
        <f>IF(AND(Tabla14[[#This Row],[Atraso a facturar]]&gt;0,Tabla14[[#This Row],[En puerto a facturar]]&gt;0,Tabla14[[#This Row],[Precio Atraso]]=0),"Revisar","OK")</f>
        <v>OK</v>
      </c>
      <c r="BF129" s="82" t="str">
        <f>IF(AND(Tabla14[[#This Row],[Venta del mes]]&gt;0,Tabla14[[#This Row],[Precio venta nueva]]=0),"Revisar","OK")</f>
        <v>OK</v>
      </c>
      <c r="BG129" s="20">
        <f>IFERROR(VLOOKUP(Tabla14[[#This Row],[Llave]],'[5]Consolidación planes'!$A:$M,9,FALSE),0)</f>
        <v>72000</v>
      </c>
      <c r="BH129" s="20">
        <f>IFERROR(VLOOKUP(Tabla14[[#This Row],[Llave]],'[5]Consolidación planes'!$A:$M,10,FALSE),0)</f>
        <v>72000</v>
      </c>
      <c r="BI129" s="20">
        <f>IFERROR(VLOOKUP(Tabla14[[#This Row],[Llave]],'[5]Consolidación planes'!$A:$M,11,FALSE),0)</f>
        <v>96000</v>
      </c>
      <c r="BJ129" s="20">
        <f>IFERROR(VLOOKUP(Tabla14[[#This Row],[Llave]],'[5]Consolidación planes'!$A:$M,12,FALSE),0)</f>
        <v>96000</v>
      </c>
      <c r="BK129" s="20">
        <f>IFERROR(VLOOKUP(Tabla14[[#This Row],[Llave]],'[5]Consolidación planes'!$A:$M,13,FALSE),0)</f>
        <v>96000</v>
      </c>
      <c r="BL129" s="20">
        <f>IFERROR(VLOOKUP(Tabla14[[#This Row],[Llave]],'[13]Base ultimos planes'!$A:$M,13,FALSE),0)</f>
        <v>72290</v>
      </c>
      <c r="BM129" s="20">
        <f>IFERROR(VLOOKUP(Tabla14[[#This Row],[Llave]],'[13]Cruce plan irrestricto'!$C:$M,10,FALSE),0)</f>
        <v>144000</v>
      </c>
      <c r="BN129" s="20">
        <f>IFERROR(VLOOKUP(Tabla14[[#This Row],[Llave]],'[13]Cruce plan irrestricto'!$C:$M,11,FALSE),0)</f>
        <v>24000</v>
      </c>
      <c r="BO129" s="80">
        <f>IFERROR(VLOOKUP(Tabla14[[#This Row],[Llave]],'[13]Base ultimos planes'!$O:$AA,8,FALSE),0)</f>
        <v>168000</v>
      </c>
      <c r="BP129" s="20">
        <f>IFERROR(VLOOKUP(Tabla14[[#This Row],[Llave]],'[13]Base ultimos planes'!$O:$AA,9,FALSE),0)</f>
        <v>151200</v>
      </c>
      <c r="BQ129" s="20">
        <f>IFERROR(VLOOKUP(Tabla14[[#This Row],[Llave]],'[13]Base ultimos planes'!$O:$AA,10,FALSE),0)</f>
        <v>187200</v>
      </c>
      <c r="BR129" s="20">
        <f>IFERROR(VLOOKUP(Tabla14[[#This Row],[Llave]],'[13]Base ultimos planes'!$O:$AA,11,FALSE),0)</f>
        <v>179840</v>
      </c>
      <c r="BS129" s="20">
        <f>IFERROR(VLOOKUP(Tabla14[[#This Row],[Llave]],'[13]Base ultimos planes'!$O:$AA,12,FALSE),0)</f>
        <v>177168</v>
      </c>
      <c r="BT129" s="20">
        <f>IFERROR(VLOOKUP(Tabla14[[#This Row],[Llave]],'[13]Base ultimos planes'!$O:$AA,13,FALSE),0)</f>
        <v>142066</v>
      </c>
      <c r="BU129" s="20"/>
      <c r="BV129" s="20">
        <f>Tabla14[[#This Row],[ RV Producción mes n+1]]-Tabla14[[#This Row],[Producción disponible]]+Tabla14[[#This Row],[Saldo Volumen disponible]]</f>
        <v>119709.26277793871</v>
      </c>
      <c r="BW129" s="20">
        <f>IFERROR(VLOOKUP(Tabla14[[#This Row],[Llave]],[14]Hoja2!$J:$N,4,FALSE),0)</f>
        <v>0</v>
      </c>
      <c r="BX129" s="20">
        <f>+Tabla14[[#This Row],[Asignación mes n+1]]*Tabla14[[#This Row],[% Uti. producción]]</f>
        <v>0</v>
      </c>
      <c r="BY129" s="20">
        <f>+Tabla14[[#This Row],[Ponderación mes n+1]]+Tabla14[[#This Row],[Saldo mes n-1]]</f>
        <v>119709.26277793871</v>
      </c>
      <c r="BZ129" s="20">
        <f>+Tabla14[[#This Row],[Asignación mes n+1]]-Tabla14[[#This Row],[Ponderación mes n+1]]</f>
        <v>0</v>
      </c>
      <c r="CA129" s="20">
        <f>IFERROR(VLOOKUP(Tabla14[[#This Row],[Llave]],[14]Hoja2!$J:$N,5,FALSE),0)</f>
        <v>0</v>
      </c>
      <c r="CB129" s="20">
        <f>+Tabla14[[#This Row],[Asignación mes n+2]]*Tabla14[[#This Row],[% Uti. producción]]</f>
        <v>0</v>
      </c>
      <c r="CC129" s="20">
        <f>+Tabla14[[#This Row],[Saldo mes n+2]]+Tabla14[[#This Row],[Ponderación mes n+2]]</f>
        <v>0</v>
      </c>
      <c r="CD129" s="20">
        <f>+Tabla14[[#This Row],[Asignación mes n+2]]-Tabla14[[#This Row],[Ponderación mes n+2]]</f>
        <v>0</v>
      </c>
    </row>
    <row r="130" spans="1:82" ht="16" x14ac:dyDescent="0.2">
      <c r="A130">
        <v>2</v>
      </c>
      <c r="B130" t="str">
        <f>Tabla14[[#This Row],[Oficina]]&amp;Tabla14[[#This Row],[Material]]</f>
        <v>Agrosuper Shanghai1022379</v>
      </c>
      <c r="C130" t="s">
        <v>6</v>
      </c>
      <c r="D130" t="s">
        <v>140</v>
      </c>
      <c r="E130">
        <v>1022379</v>
      </c>
      <c r="F130" t="s">
        <v>158</v>
      </c>
      <c r="G130" t="s">
        <v>53</v>
      </c>
      <c r="H130" t="s">
        <v>54</v>
      </c>
      <c r="I130" s="7">
        <f>IFERROR(IF(Tabla14[[#This Row],[Oficina]]=$I$7,VLOOKUP(Tabla14[[#This Row],[Material]],'[6]RV Producción'!$Y:$AA,3,FALSE),VLOOKUP(Tabla14[[#This Row],[Llave]],'[6]RV Producción'!$C:$G,5,FALSE)),0)</f>
        <v>0</v>
      </c>
      <c r="J130" s="7">
        <f>IFERROR(IF(Tabla14[[#This Row],[Oficina]]=$I$7,VLOOKUP(Tabla14[[#This Row],[Llave]],'[7]Shangai (Tomas)'!$A:$F,6,FALSE),VLOOKUP(Tabla14[[#This Row],[Llave]],'[6]RV plan de ventas'!$A:$E,5,FALSE)),0)</f>
        <v>0</v>
      </c>
      <c r="K130" s="8">
        <f>IFERROR(VLOOKUP(Tabla14[[#This Row],[Sector]]&amp;Tabla14[[#This Row],[Oficina]],[8]Ponderación!$A$3:$G$22,7,FALSE),0)</f>
        <v>0.38476266834449474</v>
      </c>
      <c r="L130" s="7">
        <f>+Tabla14[[#This Row],[ RV Producción mes n+1]]*Tabla14[[#This Row],[% Uti. producción]]</f>
        <v>0</v>
      </c>
      <c r="M130" s="7">
        <f>IFERROR(VLOOKUP(Tabla14[[#This Row],[Material]],'[9]TD Stock'!$B:$C,2,FALSE),0)</f>
        <v>50264.173000000017</v>
      </c>
      <c r="N130" s="7">
        <f>IFERROR(VLOOKUP(Tabla14[[#This Row],[Material]],'[10]Consolidado planificación'!$B:$C,2,FALSE),0)</f>
        <v>41747.13986464234</v>
      </c>
      <c r="O130" s="7">
        <f>IFERROR(VLOOKUP(Tabla14[[#This Row],[Llave]],[11]Hoja2!$D:$G,4,FALSE),0)</f>
        <v>0</v>
      </c>
      <c r="P130" s="14">
        <f>SUM(Tabla14[[#This Row],[Producción disponible]],Tabla14[[#This Row],[Stock al día]],(Tabla14[[#This Row],[Por producir mes N]]*0.9))-Tabla14[[#This Row],[Producción por despachar mes N]]</f>
        <v>87836.598878178134</v>
      </c>
      <c r="Q130" s="7">
        <f>IFERROR(VLOOKUP(Tabla14[[#This Row],[Llave]],[9]DELAY!$A:$D,4,FALSE),0)</f>
        <v>0</v>
      </c>
      <c r="R130" s="9">
        <v>23000</v>
      </c>
      <c r="S130" s="5">
        <f t="shared" si="6"/>
        <v>0</v>
      </c>
      <c r="T130" s="76">
        <v>0</v>
      </c>
      <c r="U130" s="5">
        <f>+Tabla14[[#This Row],[Atraso a facturar]]+Tabla14[[#This Row],[Ajuste atraso]]</f>
        <v>0</v>
      </c>
      <c r="V130" s="3">
        <f>+Tabla14[[#This Row],[Total disponible]]-Tabla14[[#This Row],[Facturación atraso]]</f>
        <v>87836.598878178134</v>
      </c>
      <c r="W130" s="6">
        <f>IFERROR(IF(AND(V130&gt;R130,J130&gt;=R130),ROUNDDOWN((Tabla14[[#This Row],[Producción para venta nueva]])/R130,0)*R130,0),0)</f>
        <v>0</v>
      </c>
      <c r="X130" s="76">
        <v>0</v>
      </c>
      <c r="Y130" s="6">
        <f>IF(Tabla14[[#This Row],[Venta del mes]]&gt;0,Tabla14[[#This Row],[Venta del mes]]+Tabla14[[#This Row],[Ajuste venta nueva]],0)</f>
        <v>0</v>
      </c>
      <c r="Z130" s="6">
        <f>+Tabla14[[#This Row],[Producción para venta nueva]]-Tabla14[[#This Row],[Facturación Venta nueva]]</f>
        <v>87836.598878178134</v>
      </c>
      <c r="AA130" s="6">
        <f>IF(AND(A130=1,Tabla14[[#This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0" s="6">
        <v>0</v>
      </c>
      <c r="AC130" s="6">
        <f>IF(Tabla14[[#This Row],[Disponible stock sin venta]]&gt;0,Tabla14[[#This Row],[Disponible stock sin venta]]+Tabla14[[#This Row],[Ajuste stock sin venta]],0)</f>
        <v>0</v>
      </c>
      <c r="AD130" s="3">
        <f>IFERROR(VLOOKUP(Tabla14[[#This Row],[Llave]],[12]Hoja1!$A:$D,4,FALSE),0)</f>
        <v>0</v>
      </c>
      <c r="AE13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0" s="3">
        <v>0</v>
      </c>
      <c r="AG130" s="3">
        <f>+Tabla14[[#This Row],[En puerto a facturar]]</f>
        <v>0</v>
      </c>
      <c r="AH130" s="3">
        <f>+Tabla14[[#This Row],[Facturación atraso]]</f>
        <v>0</v>
      </c>
      <c r="AI130" s="3">
        <f>+Tabla14[[#This Row],[Plan Irrestricto (DATO)]]-Tabla14[[#This Row],[Puerto ]]-Tabla14[[#This Row],[Atraso]]</f>
        <v>0</v>
      </c>
      <c r="AJ13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0" s="3">
        <f>+Tabla14[[#This Row],[Facturación atraso]]</f>
        <v>0</v>
      </c>
      <c r="AL130" s="3">
        <f>Tabla14[[#This Row],[Plan Ajustado]]-Tabla14[[#This Row],[ Atraso ajustado]]-Tabla14[[#This Row],[En puerto a facturar]]</f>
        <v>0</v>
      </c>
      <c r="AM130" s="3">
        <v>0</v>
      </c>
      <c r="AN130" s="3"/>
      <c r="AO130" s="3" t="str">
        <f>IF(Tabla14[[#This Row],[Plan Ajustado]]&gt;Tabla14[[#This Row],[En puerto a facturar]],"Si","No")</f>
        <v>No</v>
      </c>
      <c r="AP13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0" s="3">
        <f>IF(Tabla14[[#This Row],[Necesidad]]&gt;=Tabla14[[#This Row],[Stock al día]],Tabla14[[#This Row],[Stock al día]],Tabla14[[#This Row],[Necesidad]])</f>
        <v>0</v>
      </c>
      <c r="AR130" s="3">
        <f>+Tabla14[[#This Row],[Necesidad]]-Tabla14[[#This Row],[Stock Plan]]</f>
        <v>0</v>
      </c>
      <c r="AS130" s="155">
        <f>VLOOKUP(Tabla14[[#This Row],[Sector]]&amp;Tabla14[[#This Row],[Oficina]],[8]Ponderación!$A:$H,8,FALSE)</f>
        <v>44814</v>
      </c>
      <c r="AT130" s="30">
        <f>IFERROR(VLOOKUP(Tabla14[[#This Row],[Llave]],'[6]RV plan de ventas'!$A:$F,6,FALSE),0)</f>
        <v>0</v>
      </c>
      <c r="AU130" s="83">
        <f>IFERROR(VLOOKUP(Tabla14[[#This Row],[Llave]],[9]DELAY!$H:$X,17,FALSE),0)</f>
        <v>0</v>
      </c>
      <c r="AV13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0" s="5">
        <f>Tabla14[[#This Row],[Pecio plan]]*Tabla14[[#This Row],[Plan Ajustado]]</f>
        <v>0</v>
      </c>
      <c r="AX130" s="30">
        <f>IFERROR(VLOOKUP(Tabla14[[#This Row],[Llave]],'[13]Ultimos precios facturados'!$A:$G,7,FALSE),0)</f>
        <v>2.4256048984242096</v>
      </c>
      <c r="AY13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0" s="30">
        <f>IFERROR(VLOOKUP(Tabla14[[#This Row],[Llave]],Hoja2!B:K,10,FALSE),0)</f>
        <v>2.4993472222222199</v>
      </c>
      <c r="BA13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0" s="30">
        <v>0</v>
      </c>
      <c r="BC130" s="30">
        <f>IF(Tabla14[[#This Row],[Market]]=0,Tabla14[[#This Row],[Precio Final]],Tabla14[[#This Row],[Market]])</f>
        <v>0</v>
      </c>
      <c r="BD130" s="82"/>
      <c r="BE130" s="82" t="str">
        <f>IF(AND(Tabla14[[#This Row],[Atraso a facturar]]&gt;0,Tabla14[[#This Row],[En puerto a facturar]]&gt;0,Tabla14[[#This Row],[Precio Atraso]]=0),"Revisar","OK")</f>
        <v>OK</v>
      </c>
      <c r="BF130" s="82" t="str">
        <f>IF(AND(Tabla14[[#This Row],[Venta del mes]]&gt;0,Tabla14[[#This Row],[Precio venta nueva]]=0),"Revisar","OK")</f>
        <v>OK</v>
      </c>
      <c r="BG130" s="20">
        <f>IFERROR(VLOOKUP(Tabla14[[#This Row],[Llave]],'[5]Consolidación planes'!$A:$M,9,FALSE),0)</f>
        <v>48000</v>
      </c>
      <c r="BH130" s="20">
        <f>IFERROR(VLOOKUP(Tabla14[[#This Row],[Llave]],'[5]Consolidación planes'!$A:$M,10,FALSE),0)</f>
        <v>0</v>
      </c>
      <c r="BI130" s="20">
        <f>IFERROR(VLOOKUP(Tabla14[[#This Row],[Llave]],'[5]Consolidación planes'!$A:$M,11,FALSE),0)</f>
        <v>0</v>
      </c>
      <c r="BJ130" s="20">
        <f>IFERROR(VLOOKUP(Tabla14[[#This Row],[Llave]],'[5]Consolidación planes'!$A:$M,12,FALSE),0)</f>
        <v>0</v>
      </c>
      <c r="BK130" s="20">
        <f>IFERROR(VLOOKUP(Tabla14[[#This Row],[Llave]],'[5]Consolidación planes'!$A:$M,13,FALSE),0)</f>
        <v>0</v>
      </c>
      <c r="BL130" s="20">
        <f>IFERROR(VLOOKUP(Tabla14[[#This Row],[Llave]],'[13]Base ultimos planes'!$A:$M,13,FALSE),0)</f>
        <v>0</v>
      </c>
      <c r="BM130" s="20">
        <f>IFERROR(VLOOKUP(Tabla14[[#This Row],[Llave]],'[13]Cruce plan irrestricto'!$C:$M,10,FALSE),0)</f>
        <v>24000</v>
      </c>
      <c r="BN130" s="20">
        <f>IFERROR(VLOOKUP(Tabla14[[#This Row],[Llave]],'[13]Cruce plan irrestricto'!$C:$M,11,FALSE),0)</f>
        <v>120000</v>
      </c>
      <c r="BO130" s="80">
        <f>IFERROR(VLOOKUP(Tabla14[[#This Row],[Llave]],'[13]Base ultimos planes'!$O:$AA,8,FALSE),0)</f>
        <v>79200</v>
      </c>
      <c r="BP130" s="20">
        <f>IFERROR(VLOOKUP(Tabla14[[#This Row],[Llave]],'[13]Base ultimos planes'!$O:$AA,9,FALSE),0)</f>
        <v>0</v>
      </c>
      <c r="BQ130" s="20">
        <f>IFERROR(VLOOKUP(Tabla14[[#This Row],[Llave]],'[13]Base ultimos planes'!$O:$AA,10,FALSE),0)</f>
        <v>0</v>
      </c>
      <c r="BR130" s="20">
        <f>IFERROR(VLOOKUP(Tabla14[[#This Row],[Llave]],'[13]Base ultimos planes'!$O:$AA,11,FALSE),0)</f>
        <v>0</v>
      </c>
      <c r="BS130" s="20">
        <f>IFERROR(VLOOKUP(Tabla14[[#This Row],[Llave]],'[13]Base ultimos planes'!$O:$AA,12,FALSE),0)</f>
        <v>0</v>
      </c>
      <c r="BT130" s="20">
        <f>IFERROR(VLOOKUP(Tabla14[[#This Row],[Llave]],'[13]Base ultimos planes'!$O:$AA,13,FALSE),0)</f>
        <v>0</v>
      </c>
      <c r="BU130" s="20"/>
      <c r="BV130" s="20">
        <f>Tabla14[[#This Row],[ RV Producción mes n+1]]-Tabla14[[#This Row],[Producción disponible]]+Tabla14[[#This Row],[Saldo Volumen disponible]]</f>
        <v>87836.598878178134</v>
      </c>
      <c r="BW130" s="20">
        <f>IFERROR(VLOOKUP(Tabla14[[#This Row],[Llave]],[14]Hoja2!$J:$N,4,FALSE),0)</f>
        <v>0</v>
      </c>
      <c r="BX130" s="20">
        <f>+Tabla14[[#This Row],[Asignación mes n+1]]*Tabla14[[#This Row],[% Uti. producción]]</f>
        <v>0</v>
      </c>
      <c r="BY130" s="20">
        <f>+Tabla14[[#This Row],[Ponderación mes n+1]]+Tabla14[[#This Row],[Saldo mes n-1]]</f>
        <v>87836.598878178134</v>
      </c>
      <c r="BZ130" s="20">
        <f>+Tabla14[[#This Row],[Asignación mes n+1]]-Tabla14[[#This Row],[Ponderación mes n+1]]</f>
        <v>0</v>
      </c>
      <c r="CA130" s="20">
        <f>IFERROR(VLOOKUP(Tabla14[[#This Row],[Llave]],[14]Hoja2!$J:$N,5,FALSE),0)</f>
        <v>0</v>
      </c>
      <c r="CB130" s="20">
        <f>+Tabla14[[#This Row],[Asignación mes n+2]]*Tabla14[[#This Row],[% Uti. producción]]</f>
        <v>0</v>
      </c>
      <c r="CC130" s="20">
        <f>+Tabla14[[#This Row],[Saldo mes n+2]]+Tabla14[[#This Row],[Ponderación mes n+2]]</f>
        <v>0</v>
      </c>
      <c r="CD130" s="20">
        <f>+Tabla14[[#This Row],[Asignación mes n+2]]-Tabla14[[#This Row],[Ponderación mes n+2]]</f>
        <v>0</v>
      </c>
    </row>
    <row r="131" spans="1:82" ht="16" x14ac:dyDescent="0.2">
      <c r="A131">
        <v>2</v>
      </c>
      <c r="B131" t="str">
        <f>Tabla14[[#This Row],[Oficina]]&amp;Tabla14[[#This Row],[Material]]</f>
        <v>Agrosuper Shanghai1022381</v>
      </c>
      <c r="C131" t="s">
        <v>6</v>
      </c>
      <c r="D131" t="s">
        <v>140</v>
      </c>
      <c r="E131">
        <v>1022381</v>
      </c>
      <c r="F131" t="s">
        <v>147</v>
      </c>
      <c r="G131" t="s">
        <v>11</v>
      </c>
      <c r="H131" t="s">
        <v>41</v>
      </c>
      <c r="I131" s="7">
        <f>IFERROR(IF(Tabla14[[#This Row],[Oficina]]=$I$7,VLOOKUP(Tabla14[[#This Row],[Material]],'[6]RV Producción'!$Y:$AA,3,FALSE),VLOOKUP(Tabla14[[#This Row],[Llave]],'[6]RV Producción'!$C:$G,5,FALSE)),0)</f>
        <v>65792</v>
      </c>
      <c r="J131" s="7">
        <f>IFERROR(IF(Tabla14[[#This Row],[Oficina]]=$I$7,VLOOKUP(Tabla14[[#This Row],[Llave]],'[7]Shangai (Tomas)'!$A:$F,6,FALSE),VLOOKUP(Tabla14[[#This Row],[Llave]],'[6]RV plan de ventas'!$A:$E,5,FALSE)),0)</f>
        <v>0</v>
      </c>
      <c r="K131" s="8">
        <f>IFERROR(VLOOKUP(Tabla14[[#This Row],[Sector]]&amp;Tabla14[[#This Row],[Oficina]],[8]Ponderación!$A$3:$G$22,7,FALSE),0)</f>
        <v>0.38476266834449474</v>
      </c>
      <c r="L131" s="7">
        <f>+Tabla14[[#This Row],[ RV Producción mes n+1]]*Tabla14[[#This Row],[% Uti. producción]]</f>
        <v>25314.305475720997</v>
      </c>
      <c r="M131" s="7">
        <f>IFERROR(VLOOKUP(Tabla14[[#This Row],[Material]],'[9]TD Stock'!$B:$C,2,FALSE),0)</f>
        <v>11690</v>
      </c>
      <c r="N131" s="7">
        <f>IFERROR(VLOOKUP(Tabla14[[#This Row],[Material]],'[10]Consolidado planificación'!$B:$C,2,FALSE),0)</f>
        <v>20068.961846862767</v>
      </c>
      <c r="O131" s="7">
        <f>IFERROR(VLOOKUP(Tabla14[[#This Row],[Llave]],[11]Hoja2!$D:$G,4,FALSE),0)</f>
        <v>0</v>
      </c>
      <c r="P131" s="14">
        <f>SUM(Tabla14[[#This Row],[Producción disponible]],Tabla14[[#This Row],[Stock al día]],(Tabla14[[#This Row],[Por producir mes N]]*0.9))-Tabla14[[#This Row],[Producción por despachar mes N]]</f>
        <v>55066.371137897484</v>
      </c>
      <c r="Q131" s="7">
        <f>IFERROR(VLOOKUP(Tabla14[[#This Row],[Llave]],[9]DELAY!$A:$D,4,FALSE),0)</f>
        <v>0</v>
      </c>
      <c r="R131" s="9">
        <v>23000</v>
      </c>
      <c r="S131" s="5">
        <f t="shared" si="6"/>
        <v>0</v>
      </c>
      <c r="T131" s="76">
        <v>0</v>
      </c>
      <c r="U131" s="5">
        <f>+Tabla14[[#This Row],[Atraso a facturar]]+Tabla14[[#This Row],[Ajuste atraso]]</f>
        <v>0</v>
      </c>
      <c r="V131" s="3">
        <f>+Tabla14[[#This Row],[Total disponible]]-Tabla14[[#This Row],[Facturación atraso]]</f>
        <v>55066.371137897484</v>
      </c>
      <c r="W131" s="6">
        <f>IFERROR(IF(AND(V131&gt;R131,J131&gt;=R131),ROUNDDOWN((Tabla14[[#This Row],[Producción para venta nueva]])/R131,0)*R131,0),0)</f>
        <v>0</v>
      </c>
      <c r="X131" s="76">
        <v>0</v>
      </c>
      <c r="Y131" s="6">
        <f>IF(Tabla14[[#This Row],[Venta del mes]]&gt;0,Tabla14[[#This Row],[Venta del mes]]+Tabla14[[#This Row],[Ajuste venta nueva]],0)</f>
        <v>0</v>
      </c>
      <c r="Z131" s="6">
        <f>+Tabla14[[#This Row],[Producción para venta nueva]]-Tabla14[[#This Row],[Facturación Venta nueva]]</f>
        <v>55066.371137897484</v>
      </c>
      <c r="AA131" s="6">
        <f>IF(AND(A131=1,Tabla14[[#This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1" s="6">
        <v>0</v>
      </c>
      <c r="AC131" s="6">
        <f>IF(Tabla14[[#This Row],[Disponible stock sin venta]]&gt;0,Tabla14[[#This Row],[Disponible stock sin venta]]+Tabla14[[#This Row],[Ajuste stock sin venta]],0)</f>
        <v>0</v>
      </c>
      <c r="AD131" s="3">
        <f>IFERROR(VLOOKUP(Tabla14[[#This Row],[Llave]],[12]Hoja1!$A:$D,4,FALSE),0)</f>
        <v>0</v>
      </c>
      <c r="AE13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1" s="3">
        <v>0</v>
      </c>
      <c r="AG131" s="3">
        <f>+Tabla14[[#This Row],[En puerto a facturar]]</f>
        <v>0</v>
      </c>
      <c r="AH131" s="3">
        <f>+Tabla14[[#This Row],[Facturación atraso]]</f>
        <v>0</v>
      </c>
      <c r="AI131" s="3">
        <f>+Tabla14[[#This Row],[Plan Irrestricto (DATO)]]-Tabla14[[#This Row],[Puerto ]]-Tabla14[[#This Row],[Atraso]]</f>
        <v>0</v>
      </c>
      <c r="AJ13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1" s="3">
        <f>+Tabla14[[#This Row],[Facturación atraso]]</f>
        <v>0</v>
      </c>
      <c r="AL131" s="3">
        <f>Tabla14[[#This Row],[Plan Ajustado]]-Tabla14[[#This Row],[ Atraso ajustado]]-Tabla14[[#This Row],[En puerto a facturar]]</f>
        <v>0</v>
      </c>
      <c r="AM131" s="3">
        <v>0</v>
      </c>
      <c r="AN131" s="3"/>
      <c r="AO131" s="3" t="str">
        <f>IF(Tabla14[[#This Row],[Plan Ajustado]]&gt;Tabla14[[#This Row],[En puerto a facturar]],"Si","No")</f>
        <v>No</v>
      </c>
      <c r="AP13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1" s="3">
        <f>IF(Tabla14[[#This Row],[Necesidad]]&gt;=Tabla14[[#This Row],[Stock al día]],Tabla14[[#This Row],[Stock al día]],Tabla14[[#This Row],[Necesidad]])</f>
        <v>0</v>
      </c>
      <c r="AR131" s="3">
        <f>+Tabla14[[#This Row],[Necesidad]]-Tabla14[[#This Row],[Stock Plan]]</f>
        <v>0</v>
      </c>
      <c r="AS131" s="155">
        <f>VLOOKUP(Tabla14[[#This Row],[Sector]]&amp;Tabla14[[#This Row],[Oficina]],[8]Ponderación!$A:$H,8,FALSE)</f>
        <v>44814</v>
      </c>
      <c r="AT131" s="30">
        <f>IFERROR(VLOOKUP(Tabla14[[#This Row],[Llave]],'[6]RV plan de ventas'!$A:$F,6,FALSE),0)</f>
        <v>0</v>
      </c>
      <c r="AU131" s="83">
        <f>IFERROR(VLOOKUP(Tabla14[[#This Row],[Llave]],[9]DELAY!$H:$X,17,FALSE),0)</f>
        <v>0</v>
      </c>
      <c r="AV13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1" s="5">
        <f>Tabla14[[#This Row],[Pecio plan]]*Tabla14[[#This Row],[Plan Ajustado]]</f>
        <v>0</v>
      </c>
      <c r="AX131" s="30">
        <f>IFERROR(VLOOKUP(Tabla14[[#This Row],[Llave]],'[13]Ultimos precios facturados'!$A:$G,7,FALSE),0)</f>
        <v>1.0371699456307273</v>
      </c>
      <c r="AY13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1" s="30">
        <f>IFERROR(VLOOKUP(Tabla14[[#This Row],[Llave]],Hoja2!B:K,10,FALSE),0)</f>
        <v>1.3325</v>
      </c>
      <c r="BA13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1" s="30">
        <v>0</v>
      </c>
      <c r="BC131" s="30">
        <f>IF(Tabla14[[#This Row],[Market]]=0,Tabla14[[#This Row],[Precio Final]],Tabla14[[#This Row],[Market]])</f>
        <v>0</v>
      </c>
      <c r="BD131" s="82"/>
      <c r="BE131" s="82" t="str">
        <f>IF(AND(Tabla14[[#This Row],[Atraso a facturar]]&gt;0,Tabla14[[#This Row],[En puerto a facturar]]&gt;0,Tabla14[[#This Row],[Precio Atraso]]=0),"Revisar","OK")</f>
        <v>OK</v>
      </c>
      <c r="BF131" s="82" t="str">
        <f>IF(AND(Tabla14[[#This Row],[Venta del mes]]&gt;0,Tabla14[[#This Row],[Precio venta nueva]]=0),"Revisar","OK")</f>
        <v>OK</v>
      </c>
      <c r="BG131" s="20">
        <f>IFERROR(VLOOKUP(Tabla14[[#This Row],[Llave]],'[5]Consolidación planes'!$A:$M,9,FALSE),0)</f>
        <v>24000</v>
      </c>
      <c r="BH131" s="20">
        <f>IFERROR(VLOOKUP(Tabla14[[#This Row],[Llave]],'[5]Consolidación planes'!$A:$M,10,FALSE),0)</f>
        <v>48000</v>
      </c>
      <c r="BI131" s="20">
        <f>IFERROR(VLOOKUP(Tabla14[[#This Row],[Llave]],'[5]Consolidación planes'!$A:$M,11,FALSE),0)</f>
        <v>72000</v>
      </c>
      <c r="BJ131" s="20">
        <f>IFERROR(VLOOKUP(Tabla14[[#This Row],[Llave]],'[5]Consolidación planes'!$A:$M,12,FALSE),0)</f>
        <v>96000</v>
      </c>
      <c r="BK131" s="20">
        <f>IFERROR(VLOOKUP(Tabla14[[#This Row],[Llave]],'[5]Consolidación planes'!$A:$M,13,FALSE),0)</f>
        <v>96000</v>
      </c>
      <c r="BL131" s="20">
        <f>IFERROR(VLOOKUP(Tabla14[[#This Row],[Llave]],'[13]Base ultimos planes'!$A:$M,13,FALSE),0)</f>
        <v>72000</v>
      </c>
      <c r="BM131" s="20">
        <f>IFERROR(VLOOKUP(Tabla14[[#This Row],[Llave]],'[13]Cruce plan irrestricto'!$C:$M,10,FALSE),0)</f>
        <v>24370</v>
      </c>
      <c r="BN131" s="20">
        <f>IFERROR(VLOOKUP(Tabla14[[#This Row],[Llave]],'[13]Cruce plan irrestricto'!$C:$M,11,FALSE),0)</f>
        <v>120000</v>
      </c>
      <c r="BO131" s="80">
        <f>IFERROR(VLOOKUP(Tabla14[[#This Row],[Llave]],'[13]Base ultimos planes'!$O:$AA,8,FALSE),0)</f>
        <v>14400</v>
      </c>
      <c r="BP131" s="20">
        <f>IFERROR(VLOOKUP(Tabla14[[#This Row],[Llave]],'[13]Base ultimos planes'!$O:$AA,9,FALSE),0)</f>
        <v>30240</v>
      </c>
      <c r="BQ131" s="20">
        <f>IFERROR(VLOOKUP(Tabla14[[#This Row],[Llave]],'[13]Base ultimos planes'!$O:$AA,10,FALSE),0)</f>
        <v>52560</v>
      </c>
      <c r="BR131" s="20">
        <f>IFERROR(VLOOKUP(Tabla14[[#This Row],[Llave]],'[13]Base ultimos planes'!$O:$AA,11,FALSE),0)</f>
        <v>73280</v>
      </c>
      <c r="BS131" s="20">
        <f>IFERROR(VLOOKUP(Tabla14[[#This Row],[Llave]],'[13]Base ultimos planes'!$O:$AA,12,FALSE),0)</f>
        <v>83353</v>
      </c>
      <c r="BT131" s="20">
        <f>IFERROR(VLOOKUP(Tabla14[[#This Row],[Llave]],'[13]Base ultimos planes'!$O:$AA,13,FALSE),0)</f>
        <v>62400</v>
      </c>
      <c r="BU131" s="20"/>
      <c r="BV131" s="20">
        <f>Tabla14[[#This Row],[ RV Producción mes n+1]]-Tabla14[[#This Row],[Producción disponible]]+Tabla14[[#This Row],[Saldo Volumen disponible]]</f>
        <v>95544.065662176494</v>
      </c>
      <c r="BW131" s="20">
        <f>IFERROR(VLOOKUP(Tabla14[[#This Row],[Llave]],[14]Hoja2!$J:$N,4,FALSE),0)</f>
        <v>0</v>
      </c>
      <c r="BX131" s="20">
        <f>+Tabla14[[#This Row],[Asignación mes n+1]]*Tabla14[[#This Row],[% Uti. producción]]</f>
        <v>0</v>
      </c>
      <c r="BY131" s="20">
        <f>+Tabla14[[#This Row],[Ponderación mes n+1]]+Tabla14[[#This Row],[Saldo mes n-1]]</f>
        <v>95544.065662176494</v>
      </c>
      <c r="BZ131" s="20">
        <f>+Tabla14[[#This Row],[Asignación mes n+1]]-Tabla14[[#This Row],[Ponderación mes n+1]]</f>
        <v>0</v>
      </c>
      <c r="CA131" s="20">
        <f>IFERROR(VLOOKUP(Tabla14[[#This Row],[Llave]],[14]Hoja2!$J:$N,5,FALSE),0)</f>
        <v>0</v>
      </c>
      <c r="CB131" s="20">
        <f>+Tabla14[[#This Row],[Asignación mes n+2]]*Tabla14[[#This Row],[% Uti. producción]]</f>
        <v>0</v>
      </c>
      <c r="CC131" s="20">
        <f>+Tabla14[[#This Row],[Saldo mes n+2]]+Tabla14[[#This Row],[Ponderación mes n+2]]</f>
        <v>0</v>
      </c>
      <c r="CD131" s="20">
        <f>+Tabla14[[#This Row],[Asignación mes n+2]]-Tabla14[[#This Row],[Ponderación mes n+2]]</f>
        <v>0</v>
      </c>
    </row>
    <row r="132" spans="1:82" ht="16" x14ac:dyDescent="0.2">
      <c r="A132">
        <v>2</v>
      </c>
      <c r="B132" t="str">
        <f>Tabla14[[#This Row],[Oficina]]&amp;Tabla14[[#This Row],[Material]]</f>
        <v>Agrosuper Shanghai1022389</v>
      </c>
      <c r="C132" t="s">
        <v>6</v>
      </c>
      <c r="D132" t="s">
        <v>140</v>
      </c>
      <c r="E132">
        <v>1022389</v>
      </c>
      <c r="F132" t="s">
        <v>145</v>
      </c>
      <c r="G132" t="s">
        <v>8</v>
      </c>
      <c r="H132" t="s">
        <v>34</v>
      </c>
      <c r="I132" s="7">
        <f>IFERROR(IF(Tabla14[[#This Row],[Oficina]]=$I$7,VLOOKUP(Tabla14[[#This Row],[Material]],'[6]RV Producción'!$Y:$AA,3,FALSE),VLOOKUP(Tabla14[[#This Row],[Llave]],'[6]RV Producción'!$C:$G,5,FALSE)),0)</f>
        <v>0</v>
      </c>
      <c r="J132" s="7">
        <f>IFERROR(IF(Tabla14[[#This Row],[Oficina]]=$I$7,VLOOKUP(Tabla14[[#This Row],[Llave]],'[7]Shangai (Tomas)'!$A:$F,6,FALSE),VLOOKUP(Tabla14[[#This Row],[Llave]],'[6]RV plan de ventas'!$A:$E,5,FALSE)),0)</f>
        <v>0</v>
      </c>
      <c r="K132" s="8">
        <f>IFERROR(VLOOKUP(Tabla14[[#This Row],[Sector]]&amp;Tabla14[[#This Row],[Oficina]],[8]Ponderación!$A$3:$G$22,7,FALSE),0)</f>
        <v>0.38476266834449474</v>
      </c>
      <c r="L132" s="7">
        <f>+Tabla14[[#This Row],[ RV Producción mes n+1]]*Tabla14[[#This Row],[% Uti. producción]]</f>
        <v>0</v>
      </c>
      <c r="M132" s="7">
        <f>IFERROR(VLOOKUP(Tabla14[[#This Row],[Material]],'[9]TD Stock'!$B:$C,2,FALSE),0)</f>
        <v>13700</v>
      </c>
      <c r="N132" s="7">
        <f>IFERROR(VLOOKUP(Tabla14[[#This Row],[Material]],'[10]Consolidado planificación'!$B:$C,2,FALSE),0)</f>
        <v>0</v>
      </c>
      <c r="O132" s="7">
        <f>IFERROR(VLOOKUP(Tabla14[[#This Row],[Llave]],[11]Hoja2!$D:$G,4,FALSE),0)</f>
        <v>0</v>
      </c>
      <c r="P132" s="14">
        <f>SUM(Tabla14[[#This Row],[Producción disponible]],Tabla14[[#This Row],[Stock al día]],(Tabla14[[#This Row],[Por producir mes N]]*0.9))-Tabla14[[#This Row],[Producción por despachar mes N]]</f>
        <v>13700</v>
      </c>
      <c r="Q132" s="7">
        <f>IFERROR(VLOOKUP(Tabla14[[#This Row],[Llave]],[9]DELAY!$A:$D,4,FALSE),0)</f>
        <v>0</v>
      </c>
      <c r="R132" s="9">
        <v>23000</v>
      </c>
      <c r="S132" s="5">
        <f t="shared" si="6"/>
        <v>0</v>
      </c>
      <c r="T132" s="76">
        <v>0</v>
      </c>
      <c r="U132" s="5">
        <f>+Tabla14[[#This Row],[Atraso a facturar]]+Tabla14[[#This Row],[Ajuste atraso]]</f>
        <v>0</v>
      </c>
      <c r="V132" s="3">
        <f>+Tabla14[[#This Row],[Total disponible]]-Tabla14[[#This Row],[Facturación atraso]]</f>
        <v>13700</v>
      </c>
      <c r="W132" s="6">
        <f>IFERROR(IF(AND(V132&gt;R132,J132&gt;=R132),ROUNDDOWN((Tabla14[[#This Row],[Producción para venta nueva]])/R132,0)*R132,0),0)</f>
        <v>0</v>
      </c>
      <c r="X132" s="76">
        <v>0</v>
      </c>
      <c r="Y132" s="6">
        <f>IF(Tabla14[[#This Row],[Venta del mes]]&gt;0,Tabla14[[#This Row],[Venta del mes]]+Tabla14[[#This Row],[Ajuste venta nueva]],0)</f>
        <v>0</v>
      </c>
      <c r="Z132" s="6">
        <f>+Tabla14[[#This Row],[Producción para venta nueva]]-Tabla14[[#This Row],[Facturación Venta nueva]]</f>
        <v>13700</v>
      </c>
      <c r="AA132" s="6">
        <f>IF(AND(A132=1,Tabla14[[#This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2" s="6">
        <v>0</v>
      </c>
      <c r="AC132" s="6">
        <f>IF(Tabla14[[#This Row],[Disponible stock sin venta]]&gt;0,Tabla14[[#This Row],[Disponible stock sin venta]]+Tabla14[[#This Row],[Ajuste stock sin venta]],0)</f>
        <v>0</v>
      </c>
      <c r="AD132" s="3">
        <f>IFERROR(VLOOKUP(Tabla14[[#This Row],[Llave]],[12]Hoja1!$A:$D,4,FALSE),0)</f>
        <v>0</v>
      </c>
      <c r="AE13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2" s="3">
        <v>0</v>
      </c>
      <c r="AG132" s="3">
        <f>+Tabla14[[#This Row],[En puerto a facturar]]</f>
        <v>0</v>
      </c>
      <c r="AH132" s="3">
        <f>+Tabla14[[#This Row],[Facturación atraso]]</f>
        <v>0</v>
      </c>
      <c r="AI132" s="3">
        <f>+Tabla14[[#This Row],[Plan Irrestricto (DATO)]]-Tabla14[[#This Row],[Puerto ]]-Tabla14[[#This Row],[Atraso]]</f>
        <v>0</v>
      </c>
      <c r="AJ13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2" s="3">
        <f>+Tabla14[[#This Row],[Facturación atraso]]</f>
        <v>0</v>
      </c>
      <c r="AL132" s="3">
        <f>Tabla14[[#This Row],[Plan Ajustado]]-Tabla14[[#This Row],[ Atraso ajustado]]-Tabla14[[#This Row],[En puerto a facturar]]</f>
        <v>0</v>
      </c>
      <c r="AM132" s="3">
        <v>0</v>
      </c>
      <c r="AN132" s="3"/>
      <c r="AO132" s="3" t="str">
        <f>IF(Tabla14[[#This Row],[Plan Ajustado]]&gt;Tabla14[[#This Row],[En puerto a facturar]],"Si","No")</f>
        <v>No</v>
      </c>
      <c r="AP13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2" s="3">
        <f>IF(Tabla14[[#This Row],[Necesidad]]&gt;=Tabla14[[#This Row],[Stock al día]],Tabla14[[#This Row],[Stock al día]],Tabla14[[#This Row],[Necesidad]])</f>
        <v>0</v>
      </c>
      <c r="AR132" s="3">
        <f>+Tabla14[[#This Row],[Necesidad]]-Tabla14[[#This Row],[Stock Plan]]</f>
        <v>0</v>
      </c>
      <c r="AS132" s="155">
        <f>VLOOKUP(Tabla14[[#This Row],[Sector]]&amp;Tabla14[[#This Row],[Oficina]],[8]Ponderación!$A:$H,8,FALSE)</f>
        <v>44814</v>
      </c>
      <c r="AT132" s="30">
        <f>IFERROR(VLOOKUP(Tabla14[[#This Row],[Llave]],'[6]RV plan de ventas'!$A:$F,6,FALSE),0)</f>
        <v>0</v>
      </c>
      <c r="AU132" s="83">
        <f>IFERROR(VLOOKUP(Tabla14[[#This Row],[Llave]],[9]DELAY!$H:$X,17,FALSE),0)</f>
        <v>0</v>
      </c>
      <c r="AV13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2" s="5">
        <f>Tabla14[[#This Row],[Pecio plan]]*Tabla14[[#This Row],[Plan Ajustado]]</f>
        <v>0</v>
      </c>
      <c r="AX132" s="30">
        <f>IFERROR(VLOOKUP(Tabla14[[#This Row],[Llave]],'[13]Ultimos precios facturados'!$A:$G,7,FALSE),0)</f>
        <v>1.0931462000000001</v>
      </c>
      <c r="AY13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2" s="30">
        <f>IFERROR(VLOOKUP(Tabla14[[#This Row],[Llave]],Hoja2!B:K,10,FALSE),0)</f>
        <v>0</v>
      </c>
      <c r="BA13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2" s="30">
        <v>0</v>
      </c>
      <c r="BC132" s="30">
        <f>IF(Tabla14[[#This Row],[Market]]=0,Tabla14[[#This Row],[Precio Final]],Tabla14[[#This Row],[Market]])</f>
        <v>0</v>
      </c>
      <c r="BD132" s="82"/>
      <c r="BE132" s="82" t="str">
        <f>IF(AND(Tabla14[[#This Row],[Atraso a facturar]]&gt;0,Tabla14[[#This Row],[En puerto a facturar]]&gt;0,Tabla14[[#This Row],[Precio Atraso]]=0),"Revisar","OK")</f>
        <v>OK</v>
      </c>
      <c r="BF132" s="82" t="str">
        <f>IF(AND(Tabla14[[#This Row],[Venta del mes]]&gt;0,Tabla14[[#This Row],[Precio venta nueva]]=0),"Revisar","OK")</f>
        <v>OK</v>
      </c>
      <c r="BG132" s="20">
        <f>IFERROR(VLOOKUP(Tabla14[[#This Row],[Llave]],'[5]Consolidación planes'!$A:$M,9,FALSE),0)</f>
        <v>72000</v>
      </c>
      <c r="BH132" s="20">
        <f>IFERROR(VLOOKUP(Tabla14[[#This Row],[Llave]],'[5]Consolidación planes'!$A:$M,10,FALSE),0)</f>
        <v>0</v>
      </c>
      <c r="BI132" s="20">
        <f>IFERROR(VLOOKUP(Tabla14[[#This Row],[Llave]],'[5]Consolidación planes'!$A:$M,11,FALSE),0)</f>
        <v>0</v>
      </c>
      <c r="BJ132" s="20">
        <f>IFERROR(VLOOKUP(Tabla14[[#This Row],[Llave]],'[5]Consolidación planes'!$A:$M,12,FALSE),0)</f>
        <v>0</v>
      </c>
      <c r="BK132" s="20">
        <f>IFERROR(VLOOKUP(Tabla14[[#This Row],[Llave]],'[5]Consolidación planes'!$A:$M,13,FALSE),0)</f>
        <v>0</v>
      </c>
      <c r="BL132" s="20">
        <f>IFERROR(VLOOKUP(Tabla14[[#This Row],[Llave]],'[13]Base ultimos planes'!$A:$M,13,FALSE),0)</f>
        <v>0</v>
      </c>
      <c r="BM132" s="20">
        <f>IFERROR(VLOOKUP(Tabla14[[#This Row],[Llave]],'[13]Cruce plan irrestricto'!$C:$M,10,FALSE),0)</f>
        <v>24000</v>
      </c>
      <c r="BN132" s="20">
        <f>IFERROR(VLOOKUP(Tabla14[[#This Row],[Llave]],'[13]Cruce plan irrestricto'!$C:$M,11,FALSE),0)</f>
        <v>0</v>
      </c>
      <c r="BO132" s="80">
        <f>IFERROR(VLOOKUP(Tabla14[[#This Row],[Llave]],'[13]Base ultimos planes'!$O:$AA,8,FALSE),0)</f>
        <v>72000</v>
      </c>
      <c r="BP132" s="20">
        <f>IFERROR(VLOOKUP(Tabla14[[#This Row],[Llave]],'[13]Base ultimos planes'!$O:$AA,9,FALSE),0)</f>
        <v>0</v>
      </c>
      <c r="BQ132" s="20">
        <f>IFERROR(VLOOKUP(Tabla14[[#This Row],[Llave]],'[13]Base ultimos planes'!$O:$AA,10,FALSE),0)</f>
        <v>0</v>
      </c>
      <c r="BR132" s="20">
        <f>IFERROR(VLOOKUP(Tabla14[[#This Row],[Llave]],'[13]Base ultimos planes'!$O:$AA,11,FALSE),0)</f>
        <v>0</v>
      </c>
      <c r="BS132" s="20">
        <f>IFERROR(VLOOKUP(Tabla14[[#This Row],[Llave]],'[13]Base ultimos planes'!$O:$AA,12,FALSE),0)</f>
        <v>0</v>
      </c>
      <c r="BT132" s="20">
        <f>IFERROR(VLOOKUP(Tabla14[[#This Row],[Llave]],'[13]Base ultimos planes'!$O:$AA,13,FALSE),0)</f>
        <v>0</v>
      </c>
      <c r="BU132" s="20"/>
      <c r="BV132" s="20">
        <f>Tabla14[[#This Row],[ RV Producción mes n+1]]-Tabla14[[#This Row],[Producción disponible]]+Tabla14[[#This Row],[Saldo Volumen disponible]]</f>
        <v>13700</v>
      </c>
      <c r="BW132" s="20">
        <f>IFERROR(VLOOKUP(Tabla14[[#This Row],[Llave]],[14]Hoja2!$J:$N,4,FALSE),0)</f>
        <v>0</v>
      </c>
      <c r="BX132" s="20">
        <f>+Tabla14[[#This Row],[Asignación mes n+1]]*Tabla14[[#This Row],[% Uti. producción]]</f>
        <v>0</v>
      </c>
      <c r="BY132" s="20">
        <f>+Tabla14[[#This Row],[Ponderación mes n+1]]+Tabla14[[#This Row],[Saldo mes n-1]]</f>
        <v>13700</v>
      </c>
      <c r="BZ132" s="20">
        <f>+Tabla14[[#This Row],[Asignación mes n+1]]-Tabla14[[#This Row],[Ponderación mes n+1]]</f>
        <v>0</v>
      </c>
      <c r="CA132" s="20">
        <f>IFERROR(VLOOKUP(Tabla14[[#This Row],[Llave]],[14]Hoja2!$J:$N,5,FALSE),0)</f>
        <v>0</v>
      </c>
      <c r="CB132" s="20">
        <f>+Tabla14[[#This Row],[Asignación mes n+2]]*Tabla14[[#This Row],[% Uti. producción]]</f>
        <v>0</v>
      </c>
      <c r="CC132" s="20">
        <f>+Tabla14[[#This Row],[Saldo mes n+2]]+Tabla14[[#This Row],[Ponderación mes n+2]]</f>
        <v>0</v>
      </c>
      <c r="CD132" s="20">
        <f>+Tabla14[[#This Row],[Asignación mes n+2]]-Tabla14[[#This Row],[Ponderación mes n+2]]</f>
        <v>0</v>
      </c>
    </row>
    <row r="133" spans="1:82" ht="16" x14ac:dyDescent="0.2">
      <c r="A133">
        <v>2</v>
      </c>
      <c r="B133" t="str">
        <f>Tabla14[[#This Row],[Oficina]]&amp;Tabla14[[#This Row],[Material]]</f>
        <v>Agrosuper Shanghai1022414</v>
      </c>
      <c r="C133" t="s">
        <v>6</v>
      </c>
      <c r="D133" t="s">
        <v>140</v>
      </c>
      <c r="E133">
        <v>1022414</v>
      </c>
      <c r="F133" t="s">
        <v>142</v>
      </c>
      <c r="G133" t="s">
        <v>18</v>
      </c>
      <c r="H133" t="s">
        <v>141</v>
      </c>
      <c r="I133" s="7">
        <f>IFERROR(IF(Tabla14[[#This Row],[Oficina]]=$I$7,VLOOKUP(Tabla14[[#This Row],[Material]],'[6]RV Producción'!$Y:$AA,3,FALSE),VLOOKUP(Tabla14[[#This Row],[Llave]],'[6]RV Producción'!$C:$G,5,FALSE)),0)</f>
        <v>116000</v>
      </c>
      <c r="J133" s="7">
        <f>IFERROR(IF(Tabla14[[#This Row],[Oficina]]=$I$7,VLOOKUP(Tabla14[[#This Row],[Llave]],'[7]Shangai (Tomas)'!$A:$F,6,FALSE),VLOOKUP(Tabla14[[#This Row],[Llave]],'[6]RV plan de ventas'!$A:$E,5,FALSE)),0)</f>
        <v>0</v>
      </c>
      <c r="K133" s="8">
        <f>IFERROR(VLOOKUP(Tabla14[[#This Row],[Sector]]&amp;Tabla14[[#This Row],[Oficina]],[8]Ponderación!$A$3:$G$22,7,FALSE),0)</f>
        <v>0.38476266834449474</v>
      </c>
      <c r="L133" s="7">
        <f>+Tabla14[[#This Row],[ RV Producción mes n+1]]*Tabla14[[#This Row],[% Uti. producción]]</f>
        <v>44632.469527961388</v>
      </c>
      <c r="M133" s="7">
        <f>IFERROR(VLOOKUP(Tabla14[[#This Row],[Material]],'[9]TD Stock'!$B:$C,2,FALSE),0)</f>
        <v>97622.959999999992</v>
      </c>
      <c r="N133" s="7">
        <f>IFERROR(VLOOKUP(Tabla14[[#This Row],[Material]],'[10]Consolidado planificación'!$B:$C,2,FALSE),0)</f>
        <v>34677</v>
      </c>
      <c r="O133" s="7">
        <f>IFERROR(VLOOKUP(Tabla14[[#This Row],[Llave]],[11]Hoja2!$D:$G,4,FALSE),0)</f>
        <v>0</v>
      </c>
      <c r="P133" s="14">
        <f>SUM(Tabla14[[#This Row],[Producción disponible]],Tabla14[[#This Row],[Stock al día]],(Tabla14[[#This Row],[Por producir mes N]]*0.9))-Tabla14[[#This Row],[Producción por despachar mes N]]</f>
        <v>173464.72952796138</v>
      </c>
      <c r="Q133" s="7">
        <f>IFERROR(VLOOKUP(Tabla14[[#This Row],[Llave]],[9]DELAY!$A:$D,4,FALSE),0)</f>
        <v>0</v>
      </c>
      <c r="R133" s="9">
        <v>23000</v>
      </c>
      <c r="S133" s="5">
        <f t="shared" si="6"/>
        <v>0</v>
      </c>
      <c r="T133" s="76">
        <v>0</v>
      </c>
      <c r="U133" s="5">
        <f>+Tabla14[[#This Row],[Atraso a facturar]]+Tabla14[[#This Row],[Ajuste atraso]]</f>
        <v>0</v>
      </c>
      <c r="V133" s="3">
        <f>+Tabla14[[#This Row],[Total disponible]]-Tabla14[[#This Row],[Facturación atraso]]</f>
        <v>173464.72952796138</v>
      </c>
      <c r="W133" s="6">
        <f>IFERROR(IF(AND(V133&gt;R133,J133&gt;=R133),ROUNDDOWN((Tabla14[[#This Row],[Producción para venta nueva]])/R133,0)*R133,0),0)</f>
        <v>0</v>
      </c>
      <c r="X133" s="76">
        <v>0</v>
      </c>
      <c r="Y133" s="6">
        <f>IF(Tabla14[[#This Row],[Venta del mes]]&gt;0,Tabla14[[#This Row],[Venta del mes]]+Tabla14[[#This Row],[Ajuste venta nueva]],0)</f>
        <v>0</v>
      </c>
      <c r="Z133" s="6">
        <f>+Tabla14[[#This Row],[Producción para venta nueva]]-Tabla14[[#This Row],[Facturación Venta nueva]]</f>
        <v>173464.72952796138</v>
      </c>
      <c r="AA133" s="6">
        <f>IF(AND(A133=1,Tabla14[[#This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3" s="6">
        <v>0</v>
      </c>
      <c r="AC133" s="6">
        <f>IF(Tabla14[[#This Row],[Disponible stock sin venta]]&gt;0,Tabla14[[#This Row],[Disponible stock sin venta]]+Tabla14[[#This Row],[Ajuste stock sin venta]],0)</f>
        <v>0</v>
      </c>
      <c r="AD133" s="3">
        <f>IFERROR(VLOOKUP(Tabla14[[#This Row],[Llave]],[12]Hoja1!$A:$D,4,FALSE),0)</f>
        <v>0</v>
      </c>
      <c r="AE13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3" s="3">
        <v>0</v>
      </c>
      <c r="AG133" s="3">
        <f>+Tabla14[[#This Row],[En puerto a facturar]]</f>
        <v>0</v>
      </c>
      <c r="AH133" s="3">
        <f>+Tabla14[[#This Row],[Facturación atraso]]</f>
        <v>0</v>
      </c>
      <c r="AI133" s="3">
        <f>+Tabla14[[#This Row],[Plan Irrestricto (DATO)]]-Tabla14[[#This Row],[Puerto ]]-Tabla14[[#This Row],[Atraso]]</f>
        <v>0</v>
      </c>
      <c r="AJ13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3" s="3">
        <f>+Tabla14[[#This Row],[Facturación atraso]]</f>
        <v>0</v>
      </c>
      <c r="AL133" s="3">
        <f>Tabla14[[#This Row],[Plan Ajustado]]-Tabla14[[#This Row],[ Atraso ajustado]]-Tabla14[[#This Row],[En puerto a facturar]]</f>
        <v>0</v>
      </c>
      <c r="AM133" s="3">
        <v>0</v>
      </c>
      <c r="AN133" s="3"/>
      <c r="AO133" s="3" t="str">
        <f>IF(Tabla14[[#This Row],[Plan Ajustado]]&gt;Tabla14[[#This Row],[En puerto a facturar]],"Si","No")</f>
        <v>No</v>
      </c>
      <c r="AP13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3" s="3">
        <f>IF(Tabla14[[#This Row],[Necesidad]]&gt;=Tabla14[[#This Row],[Stock al día]],Tabla14[[#This Row],[Stock al día]],Tabla14[[#This Row],[Necesidad]])</f>
        <v>0</v>
      </c>
      <c r="AR133" s="3">
        <f>+Tabla14[[#This Row],[Necesidad]]-Tabla14[[#This Row],[Stock Plan]]</f>
        <v>0</v>
      </c>
      <c r="AS133" s="155">
        <f>VLOOKUP(Tabla14[[#This Row],[Sector]]&amp;Tabla14[[#This Row],[Oficina]],[8]Ponderación!$A:$H,8,FALSE)</f>
        <v>44814</v>
      </c>
      <c r="AT133" s="30">
        <f>IFERROR(VLOOKUP(Tabla14[[#This Row],[Llave]],'[6]RV plan de ventas'!$A:$F,6,FALSE),0)</f>
        <v>0</v>
      </c>
      <c r="AU133" s="83">
        <f>IFERROR(VLOOKUP(Tabla14[[#This Row],[Llave]],[9]DELAY!$H:$X,17,FALSE),0)</f>
        <v>0</v>
      </c>
      <c r="AV13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3" s="5">
        <f>Tabla14[[#This Row],[Pecio plan]]*Tabla14[[#This Row],[Plan Ajustado]]</f>
        <v>0</v>
      </c>
      <c r="AX133" s="30">
        <f>IFERROR(VLOOKUP(Tabla14[[#This Row],[Llave]],'[13]Ultimos precios facturados'!$A:$G,7,FALSE),0)</f>
        <v>1.0367536337129226</v>
      </c>
      <c r="AY13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3" s="30">
        <f>IFERROR(VLOOKUP(Tabla14[[#This Row],[Llave]],Hoja2!B:K,10,FALSE),0)</f>
        <v>1.1083333333333301</v>
      </c>
      <c r="BA13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3" s="30">
        <v>0</v>
      </c>
      <c r="BC133" s="30">
        <f>IF(Tabla14[[#This Row],[Market]]=0,Tabla14[[#This Row],[Precio Final]],Tabla14[[#This Row],[Market]])</f>
        <v>0</v>
      </c>
      <c r="BD133" s="82"/>
      <c r="BE133" s="82" t="str">
        <f>IF(AND(Tabla14[[#This Row],[Atraso a facturar]]&gt;0,Tabla14[[#This Row],[En puerto a facturar]]&gt;0,Tabla14[[#This Row],[Precio Atraso]]=0),"Revisar","OK")</f>
        <v>OK</v>
      </c>
      <c r="BF133" s="82" t="str">
        <f>IF(AND(Tabla14[[#This Row],[Venta del mes]]&gt;0,Tabla14[[#This Row],[Precio venta nueva]]=0),"Revisar","OK")</f>
        <v>OK</v>
      </c>
      <c r="BG133" s="20">
        <f>IFERROR(VLOOKUP(Tabla14[[#This Row],[Llave]],'[5]Consolidación planes'!$A:$M,9,FALSE),0)</f>
        <v>192000</v>
      </c>
      <c r="BH133" s="20">
        <f>IFERROR(VLOOKUP(Tabla14[[#This Row],[Llave]],'[5]Consolidación planes'!$A:$M,10,FALSE),0)</f>
        <v>192000</v>
      </c>
      <c r="BI133" s="20">
        <f>IFERROR(VLOOKUP(Tabla14[[#This Row],[Llave]],'[5]Consolidación planes'!$A:$M,11,FALSE),0)</f>
        <v>192000</v>
      </c>
      <c r="BJ133" s="20">
        <f>IFERROR(VLOOKUP(Tabla14[[#This Row],[Llave]],'[5]Consolidación planes'!$A:$M,12,FALSE),0)</f>
        <v>120000</v>
      </c>
      <c r="BK133" s="20">
        <f>IFERROR(VLOOKUP(Tabla14[[#This Row],[Llave]],'[5]Consolidación planes'!$A:$M,13,FALSE),0)</f>
        <v>120000</v>
      </c>
      <c r="BL133" s="20">
        <f>IFERROR(VLOOKUP(Tabla14[[#This Row],[Llave]],'[13]Base ultimos planes'!$A:$M,13,FALSE),0)</f>
        <v>144000</v>
      </c>
      <c r="BM133" s="20">
        <f>IFERROR(VLOOKUP(Tabla14[[#This Row],[Llave]],'[13]Cruce plan irrestricto'!$C:$M,10,FALSE),0)</f>
        <v>216205</v>
      </c>
      <c r="BN133" s="20">
        <f>IFERROR(VLOOKUP(Tabla14[[#This Row],[Llave]],'[13]Cruce plan irrestricto'!$C:$M,11,FALSE),0)</f>
        <v>119750</v>
      </c>
      <c r="BO133" s="80">
        <f>IFERROR(VLOOKUP(Tabla14[[#This Row],[Llave]],'[13]Base ultimos planes'!$O:$AA,8,FALSE),0)</f>
        <v>154240</v>
      </c>
      <c r="BP133" s="20">
        <f>IFERROR(VLOOKUP(Tabla14[[#This Row],[Llave]],'[13]Base ultimos planes'!$O:$AA,9,FALSE),0)</f>
        <v>158400</v>
      </c>
      <c r="BQ133" s="20">
        <f>IFERROR(VLOOKUP(Tabla14[[#This Row],[Llave]],'[13]Base ultimos planes'!$O:$AA,10,FALSE),0)</f>
        <v>157440</v>
      </c>
      <c r="BR133" s="20">
        <f>IFERROR(VLOOKUP(Tabla14[[#This Row],[Llave]],'[13]Base ultimos planes'!$O:$AA,11,FALSE),0)</f>
        <v>100645</v>
      </c>
      <c r="BS133" s="20">
        <f>IFERROR(VLOOKUP(Tabla14[[#This Row],[Llave]],'[13]Base ultimos planes'!$O:$AA,12,FALSE),0)</f>
        <v>105556</v>
      </c>
      <c r="BT133" s="20">
        <f>IFERROR(VLOOKUP(Tabla14[[#This Row],[Llave]],'[13]Base ultimos planes'!$O:$AA,13,FALSE),0)</f>
        <v>133889</v>
      </c>
      <c r="BU133" s="20"/>
      <c r="BV133" s="20">
        <f>Tabla14[[#This Row],[ RV Producción mes n+1]]-Tabla14[[#This Row],[Producción disponible]]+Tabla14[[#This Row],[Saldo Volumen disponible]]</f>
        <v>244832.25999999998</v>
      </c>
      <c r="BW133" s="20">
        <f>IFERROR(VLOOKUP(Tabla14[[#This Row],[Llave]],[14]Hoja2!$J:$N,4,FALSE),0)</f>
        <v>0</v>
      </c>
      <c r="BX133" s="20">
        <f>+Tabla14[[#This Row],[Asignación mes n+1]]*Tabla14[[#This Row],[% Uti. producción]]</f>
        <v>0</v>
      </c>
      <c r="BY133" s="20">
        <f>+Tabla14[[#This Row],[Ponderación mes n+1]]+Tabla14[[#This Row],[Saldo mes n-1]]</f>
        <v>244832.25999999998</v>
      </c>
      <c r="BZ133" s="20">
        <f>+Tabla14[[#This Row],[Asignación mes n+1]]-Tabla14[[#This Row],[Ponderación mes n+1]]</f>
        <v>0</v>
      </c>
      <c r="CA133" s="20">
        <f>IFERROR(VLOOKUP(Tabla14[[#This Row],[Llave]],[14]Hoja2!$J:$N,5,FALSE),0)</f>
        <v>0</v>
      </c>
      <c r="CB133" s="20">
        <f>+Tabla14[[#This Row],[Asignación mes n+2]]*Tabla14[[#This Row],[% Uti. producción]]</f>
        <v>0</v>
      </c>
      <c r="CC133" s="20">
        <f>+Tabla14[[#This Row],[Saldo mes n+2]]+Tabla14[[#This Row],[Ponderación mes n+2]]</f>
        <v>0</v>
      </c>
      <c r="CD133" s="20">
        <f>+Tabla14[[#This Row],[Asignación mes n+2]]-Tabla14[[#This Row],[Ponderación mes n+2]]</f>
        <v>0</v>
      </c>
    </row>
    <row r="134" spans="1:82" ht="16" x14ac:dyDescent="0.2">
      <c r="A134">
        <v>2</v>
      </c>
      <c r="B134" t="str">
        <f>Tabla14[[#This Row],[Oficina]]&amp;Tabla14[[#This Row],[Material]]</f>
        <v>Agrosuper Shanghai1022415</v>
      </c>
      <c r="C134" t="s">
        <v>6</v>
      </c>
      <c r="D134" t="s">
        <v>140</v>
      </c>
      <c r="E134">
        <v>1022415</v>
      </c>
      <c r="F134" t="s">
        <v>305</v>
      </c>
      <c r="G134" t="s">
        <v>71</v>
      </c>
      <c r="H134" t="s">
        <v>72</v>
      </c>
      <c r="I134" s="7">
        <f>IFERROR(IF(Tabla14[[#This Row],[Oficina]]=$I$7,VLOOKUP(Tabla14[[#This Row],[Material]],'[6]RV Producción'!$Y:$AA,3,FALSE),VLOOKUP(Tabla14[[#This Row],[Llave]],'[6]RV Producción'!$C:$G,5,FALSE)),0)</f>
        <v>0</v>
      </c>
      <c r="J134" s="7">
        <f>IFERROR(IF(Tabla14[[#This Row],[Oficina]]=$I$7,VLOOKUP(Tabla14[[#This Row],[Llave]],'[7]Shangai (Tomas)'!$A:$F,6,FALSE),VLOOKUP(Tabla14[[#This Row],[Llave]],'[6]RV plan de ventas'!$A:$E,5,FALSE)),0)</f>
        <v>0</v>
      </c>
      <c r="K134" s="8">
        <f>IFERROR(VLOOKUP(Tabla14[[#This Row],[Sector]]&amp;Tabla14[[#This Row],[Oficina]],[8]Ponderación!$A$3:$G$22,7,FALSE),0)</f>
        <v>0.38476266834449474</v>
      </c>
      <c r="L134" s="7">
        <f>+Tabla14[[#This Row],[ RV Producción mes n+1]]*Tabla14[[#This Row],[% Uti. producción]]</f>
        <v>0</v>
      </c>
      <c r="M134" s="7">
        <f>IFERROR(VLOOKUP(Tabla14[[#This Row],[Material]],'[9]TD Stock'!$B:$C,2,FALSE),0)</f>
        <v>0</v>
      </c>
      <c r="N134" s="7">
        <f>IFERROR(VLOOKUP(Tabla14[[#This Row],[Material]],'[10]Consolidado planificación'!$B:$C,2,FALSE),0)</f>
        <v>0</v>
      </c>
      <c r="O134" s="7">
        <f>IFERROR(VLOOKUP(Tabla14[[#This Row],[Llave]],[11]Hoja2!$D:$G,4,FALSE),0)</f>
        <v>0</v>
      </c>
      <c r="P134" s="14">
        <f>SUM(Tabla14[[#This Row],[Producción disponible]],Tabla14[[#This Row],[Stock al día]],(Tabla14[[#This Row],[Por producir mes N]]*0.9))-Tabla14[[#This Row],[Producción por despachar mes N]]</f>
        <v>0</v>
      </c>
      <c r="Q134" s="7">
        <f>IFERROR(VLOOKUP(Tabla14[[#This Row],[Llave]],[9]DELAY!$A:$D,4,FALSE),0)</f>
        <v>0</v>
      </c>
      <c r="R134" s="9">
        <v>23000</v>
      </c>
      <c r="S134" s="5">
        <f t="shared" si="6"/>
        <v>0</v>
      </c>
      <c r="T134" s="76">
        <v>0</v>
      </c>
      <c r="U134" s="5">
        <f>+Tabla14[[#This Row],[Atraso a facturar]]+Tabla14[[#This Row],[Ajuste atraso]]</f>
        <v>0</v>
      </c>
      <c r="V134" s="3">
        <f>+Tabla14[[#This Row],[Total disponible]]-Tabla14[[#This Row],[Facturación atraso]]</f>
        <v>0</v>
      </c>
      <c r="W134" s="6">
        <f>IFERROR(IF(AND(V134&gt;R134,J134&gt;=R134),ROUNDDOWN((Tabla14[[#This Row],[Producción para venta nueva]])/R134,0)*R134,0),0)</f>
        <v>0</v>
      </c>
      <c r="X134" s="76">
        <v>0</v>
      </c>
      <c r="Y134" s="6">
        <f>IF(Tabla14[[#This Row],[Venta del mes]]&gt;0,Tabla14[[#This Row],[Venta del mes]]+Tabla14[[#This Row],[Ajuste venta nueva]],0)</f>
        <v>0</v>
      </c>
      <c r="Z134" s="6">
        <f>+Tabla14[[#This Row],[Producción para venta nueva]]-Tabla14[[#This Row],[Facturación Venta nueva]]</f>
        <v>0</v>
      </c>
      <c r="AA134" s="6">
        <f>IF(AND(A134=1,Tabla14[[#This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4" s="6">
        <v>0</v>
      </c>
      <c r="AC134" s="6">
        <f>IF(Tabla14[[#This Row],[Disponible stock sin venta]]&gt;0,Tabla14[[#This Row],[Disponible stock sin venta]]+Tabla14[[#This Row],[Ajuste stock sin venta]],0)</f>
        <v>0</v>
      </c>
      <c r="AD134" s="3">
        <f>IFERROR(VLOOKUP(Tabla14[[#This Row],[Llave]],[12]Hoja1!$A:$D,4,FALSE),0)</f>
        <v>0</v>
      </c>
      <c r="AE13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4" s="3">
        <v>0</v>
      </c>
      <c r="AG134" s="3">
        <f>+Tabla14[[#This Row],[En puerto a facturar]]</f>
        <v>0</v>
      </c>
      <c r="AH134" s="3">
        <f>+Tabla14[[#This Row],[Facturación atraso]]</f>
        <v>0</v>
      </c>
      <c r="AI134" s="3">
        <f>+Tabla14[[#This Row],[Plan Irrestricto (DATO)]]-Tabla14[[#This Row],[Puerto ]]-Tabla14[[#This Row],[Atraso]]</f>
        <v>0</v>
      </c>
      <c r="AJ13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4" s="3">
        <f>+Tabla14[[#This Row],[Facturación atraso]]</f>
        <v>0</v>
      </c>
      <c r="AL134" s="3">
        <f>Tabla14[[#This Row],[Plan Ajustado]]-Tabla14[[#This Row],[ Atraso ajustado]]-Tabla14[[#This Row],[En puerto a facturar]]</f>
        <v>0</v>
      </c>
      <c r="AM134" s="3">
        <v>0</v>
      </c>
      <c r="AN134" s="3"/>
      <c r="AO134" s="3" t="str">
        <f>IF(Tabla14[[#This Row],[Plan Ajustado]]&gt;Tabla14[[#This Row],[En puerto a facturar]],"Si","No")</f>
        <v>No</v>
      </c>
      <c r="AP13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4" s="3">
        <f>IF(Tabla14[[#This Row],[Necesidad]]&gt;=Tabla14[[#This Row],[Stock al día]],Tabla14[[#This Row],[Stock al día]],Tabla14[[#This Row],[Necesidad]])</f>
        <v>0</v>
      </c>
      <c r="AR134" s="3">
        <f>+Tabla14[[#This Row],[Necesidad]]-Tabla14[[#This Row],[Stock Plan]]</f>
        <v>0</v>
      </c>
      <c r="AS134" s="155">
        <f>VLOOKUP(Tabla14[[#This Row],[Sector]]&amp;Tabla14[[#This Row],[Oficina]],[8]Ponderación!$A:$H,8,FALSE)</f>
        <v>44814</v>
      </c>
      <c r="AT134" s="30">
        <f>IFERROR(VLOOKUP(Tabla14[[#This Row],[Llave]],'[6]RV plan de ventas'!$A:$F,6,FALSE),0)</f>
        <v>0</v>
      </c>
      <c r="AU134" s="83">
        <f>IFERROR(VLOOKUP(Tabla14[[#This Row],[Llave]],[9]DELAY!$H:$X,17,FALSE),0)</f>
        <v>0</v>
      </c>
      <c r="AV13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4" s="5">
        <f>Tabla14[[#This Row],[Pecio plan]]*Tabla14[[#This Row],[Plan Ajustado]]</f>
        <v>0</v>
      </c>
      <c r="AX134" s="30">
        <f>IFERROR(VLOOKUP(Tabla14[[#This Row],[Llave]],'[13]Ultimos precios facturados'!$A:$G,7,FALSE),0)</f>
        <v>0.88378860975609752</v>
      </c>
      <c r="AY13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4" s="30">
        <f>IFERROR(VLOOKUP(Tabla14[[#This Row],[Llave]],Hoja2!B:K,10,FALSE),0)</f>
        <v>0</v>
      </c>
      <c r="BA13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4" s="30">
        <v>0</v>
      </c>
      <c r="BC134" s="30">
        <f>IF(Tabla14[[#This Row],[Market]]=0,Tabla14[[#This Row],[Precio Final]],Tabla14[[#This Row],[Market]])</f>
        <v>0</v>
      </c>
      <c r="BD134" s="82"/>
      <c r="BE134" s="82" t="str">
        <f>IF(AND(Tabla14[[#This Row],[Atraso a facturar]]&gt;0,Tabla14[[#This Row],[En puerto a facturar]]&gt;0,Tabla14[[#This Row],[Precio Atraso]]=0),"Revisar","OK")</f>
        <v>OK</v>
      </c>
      <c r="BF134" s="82" t="str">
        <f>IF(AND(Tabla14[[#This Row],[Venta del mes]]&gt;0,Tabla14[[#This Row],[Precio venta nueva]]=0),"Revisar","OK")</f>
        <v>OK</v>
      </c>
      <c r="BG134" s="20">
        <f>IFERROR(VLOOKUP(Tabla14[[#This Row],[Llave]],'[5]Consolidación planes'!$A:$M,9,FALSE),0)</f>
        <v>0</v>
      </c>
      <c r="BH134" s="20">
        <f>IFERROR(VLOOKUP(Tabla14[[#This Row],[Llave]],'[5]Consolidación planes'!$A:$M,10,FALSE),0)</f>
        <v>0</v>
      </c>
      <c r="BI134" s="20">
        <f>IFERROR(VLOOKUP(Tabla14[[#This Row],[Llave]],'[5]Consolidación planes'!$A:$M,11,FALSE),0)</f>
        <v>4084</v>
      </c>
      <c r="BJ134" s="20">
        <f>IFERROR(VLOOKUP(Tabla14[[#This Row],[Llave]],'[5]Consolidación planes'!$A:$M,12,FALSE),0)</f>
        <v>0</v>
      </c>
      <c r="BK134" s="20">
        <f>IFERROR(VLOOKUP(Tabla14[[#This Row],[Llave]],'[5]Consolidación planes'!$A:$M,13,FALSE),0)</f>
        <v>0</v>
      </c>
      <c r="BL134" s="20">
        <f>IFERROR(VLOOKUP(Tabla14[[#This Row],[Llave]],'[13]Base ultimos planes'!$A:$M,13,FALSE),0)</f>
        <v>0</v>
      </c>
      <c r="BM134" s="20">
        <f>IFERROR(VLOOKUP(Tabla14[[#This Row],[Llave]],'[13]Cruce plan irrestricto'!$C:$M,10,FALSE),0)</f>
        <v>0</v>
      </c>
      <c r="BN134" s="20">
        <f>IFERROR(VLOOKUP(Tabla14[[#This Row],[Llave]],'[13]Cruce plan irrestricto'!$C:$M,11,FALSE),0)</f>
        <v>0</v>
      </c>
      <c r="BO134" s="80">
        <f>IFERROR(VLOOKUP(Tabla14[[#This Row],[Llave]],'[13]Base ultimos planes'!$O:$AA,8,FALSE),0)</f>
        <v>0</v>
      </c>
      <c r="BP134" s="20">
        <f>IFERROR(VLOOKUP(Tabla14[[#This Row],[Llave]],'[13]Base ultimos planes'!$O:$AA,9,FALSE),0)</f>
        <v>0</v>
      </c>
      <c r="BQ134" s="20">
        <f>IFERROR(VLOOKUP(Tabla14[[#This Row],[Llave]],'[13]Base ultimos planes'!$O:$AA,10,FALSE),0)</f>
        <v>3608</v>
      </c>
      <c r="BR134" s="20">
        <f>IFERROR(VLOOKUP(Tabla14[[#This Row],[Llave]],'[13]Base ultimos planes'!$O:$AA,11,FALSE),0)</f>
        <v>0</v>
      </c>
      <c r="BS134" s="20">
        <f>IFERROR(VLOOKUP(Tabla14[[#This Row],[Llave]],'[13]Base ultimos planes'!$O:$AA,12,FALSE),0)</f>
        <v>0</v>
      </c>
      <c r="BT134" s="20">
        <f>IFERROR(VLOOKUP(Tabla14[[#This Row],[Llave]],'[13]Base ultimos planes'!$O:$AA,13,FALSE),0)</f>
        <v>0</v>
      </c>
      <c r="BU134" s="20"/>
      <c r="BV134" s="20">
        <f>Tabla14[[#This Row],[ RV Producción mes n+1]]-Tabla14[[#This Row],[Producción disponible]]+Tabla14[[#This Row],[Saldo Volumen disponible]]</f>
        <v>0</v>
      </c>
      <c r="BW134" s="20">
        <f>IFERROR(VLOOKUP(Tabla14[[#This Row],[Llave]],[14]Hoja2!$J:$N,4,FALSE),0)</f>
        <v>0</v>
      </c>
      <c r="BX134" s="20">
        <f>+Tabla14[[#This Row],[Asignación mes n+1]]*Tabla14[[#This Row],[% Uti. producción]]</f>
        <v>0</v>
      </c>
      <c r="BY134" s="20">
        <f>+Tabla14[[#This Row],[Ponderación mes n+1]]+Tabla14[[#This Row],[Saldo mes n-1]]</f>
        <v>0</v>
      </c>
      <c r="BZ134" s="20">
        <f>+Tabla14[[#This Row],[Asignación mes n+1]]-Tabla14[[#This Row],[Ponderación mes n+1]]</f>
        <v>0</v>
      </c>
      <c r="CA134" s="20">
        <f>IFERROR(VLOOKUP(Tabla14[[#This Row],[Llave]],[14]Hoja2!$J:$N,5,FALSE),0)</f>
        <v>0</v>
      </c>
      <c r="CB134" s="20">
        <f>+Tabla14[[#This Row],[Asignación mes n+2]]*Tabla14[[#This Row],[% Uti. producción]]</f>
        <v>0</v>
      </c>
      <c r="CC134" s="20">
        <f>+Tabla14[[#This Row],[Saldo mes n+2]]+Tabla14[[#This Row],[Ponderación mes n+2]]</f>
        <v>0</v>
      </c>
      <c r="CD134" s="20">
        <f>+Tabla14[[#This Row],[Asignación mes n+2]]-Tabla14[[#This Row],[Ponderación mes n+2]]</f>
        <v>0</v>
      </c>
    </row>
    <row r="135" spans="1:82" ht="16" x14ac:dyDescent="0.2">
      <c r="A135">
        <v>2</v>
      </c>
      <c r="B135" t="str">
        <f>Tabla14[[#This Row],[Oficina]]&amp;Tabla14[[#This Row],[Material]]</f>
        <v>Agrosuper Shanghai1022417</v>
      </c>
      <c r="C135" t="s">
        <v>6</v>
      </c>
      <c r="D135" t="s">
        <v>140</v>
      </c>
      <c r="E135">
        <v>1022417</v>
      </c>
      <c r="F135" t="s">
        <v>144</v>
      </c>
      <c r="G135" t="s">
        <v>8</v>
      </c>
      <c r="H135" t="s">
        <v>32</v>
      </c>
      <c r="I135" s="7">
        <f>IFERROR(IF(Tabla14[[#This Row],[Oficina]]=$I$7,VLOOKUP(Tabla14[[#This Row],[Material]],'[6]RV Producción'!$Y:$AA,3,FALSE),VLOOKUP(Tabla14[[#This Row],[Llave]],'[6]RV Producción'!$C:$G,5,FALSE)),0)</f>
        <v>489284</v>
      </c>
      <c r="J135" s="7">
        <f>IFERROR(IF(Tabla14[[#This Row],[Oficina]]=$I$7,VLOOKUP(Tabla14[[#This Row],[Llave]],'[7]Shangai (Tomas)'!$A:$F,6,FALSE),VLOOKUP(Tabla14[[#This Row],[Llave]],'[6]RV plan de ventas'!$A:$E,5,FALSE)),0)</f>
        <v>0</v>
      </c>
      <c r="K135" s="8">
        <f>IFERROR(VLOOKUP(Tabla14[[#This Row],[Sector]]&amp;Tabla14[[#This Row],[Oficina]],[8]Ponderación!$A$3:$G$22,7,FALSE),0)</f>
        <v>0.38476266834449474</v>
      </c>
      <c r="L135" s="7">
        <f>+Tabla14[[#This Row],[ RV Producción mes n+1]]*Tabla14[[#This Row],[% Uti. producción]]</f>
        <v>188258.21741826777</v>
      </c>
      <c r="M135" s="7">
        <f>IFERROR(VLOOKUP(Tabla14[[#This Row],[Material]],'[9]TD Stock'!$B:$C,2,FALSE),0)</f>
        <v>109071.18</v>
      </c>
      <c r="N135" s="7">
        <f>IFERROR(VLOOKUP(Tabla14[[#This Row],[Material]],'[10]Consolidado planificación'!$B:$C,2,FALSE),0)</f>
        <v>103370.42662267726</v>
      </c>
      <c r="O135" s="7">
        <f>IFERROR(VLOOKUP(Tabla14[[#This Row],[Llave]],[11]Hoja2!$D:$G,4,FALSE),0)</f>
        <v>0</v>
      </c>
      <c r="P135" s="14">
        <f>SUM(Tabla14[[#This Row],[Producción disponible]],Tabla14[[#This Row],[Stock al día]],(Tabla14[[#This Row],[Por producir mes N]]*0.9))-Tabla14[[#This Row],[Producción por despachar mes N]]</f>
        <v>390362.78137867735</v>
      </c>
      <c r="Q135" s="7">
        <f>IFERROR(VLOOKUP(Tabla14[[#This Row],[Llave]],[9]DELAY!$A:$D,4,FALSE),0)</f>
        <v>0</v>
      </c>
      <c r="R135" s="9">
        <v>23000</v>
      </c>
      <c r="S135" s="5">
        <f t="shared" si="6"/>
        <v>0</v>
      </c>
      <c r="T135" s="76">
        <v>0</v>
      </c>
      <c r="U135" s="5">
        <f>+Tabla14[[#This Row],[Atraso a facturar]]+Tabla14[[#This Row],[Ajuste atraso]]</f>
        <v>0</v>
      </c>
      <c r="V135" s="3">
        <f>+Tabla14[[#This Row],[Total disponible]]-Tabla14[[#This Row],[Facturación atraso]]</f>
        <v>390362.78137867735</v>
      </c>
      <c r="W135" s="6">
        <f>IFERROR(IF(AND(V135&gt;R135,J135&gt;=R135),ROUNDDOWN((Tabla14[[#This Row],[Producción para venta nueva]])/R135,0)*R135,0),0)</f>
        <v>0</v>
      </c>
      <c r="X135" s="76">
        <v>0</v>
      </c>
      <c r="Y135" s="6">
        <f>IF(Tabla14[[#This Row],[Venta del mes]]&gt;0,Tabla14[[#This Row],[Venta del mes]]+Tabla14[[#This Row],[Ajuste venta nueva]],0)</f>
        <v>0</v>
      </c>
      <c r="Z135" s="6">
        <f>+Tabla14[[#This Row],[Producción para venta nueva]]-Tabla14[[#This Row],[Facturación Venta nueva]]</f>
        <v>390362.78137867735</v>
      </c>
      <c r="AA135" s="6">
        <f>IF(AND(A135=1,Tabla14[[#This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5" s="6">
        <v>0</v>
      </c>
      <c r="AC135" s="6">
        <f>IF(Tabla14[[#This Row],[Disponible stock sin venta]]&gt;0,Tabla14[[#This Row],[Disponible stock sin venta]]+Tabla14[[#This Row],[Ajuste stock sin venta]],0)</f>
        <v>0</v>
      </c>
      <c r="AD135" s="3">
        <f>IFERROR(VLOOKUP(Tabla14[[#This Row],[Llave]],[12]Hoja1!$A:$D,4,FALSE),0)</f>
        <v>0</v>
      </c>
      <c r="AE13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5" s="3">
        <v>0</v>
      </c>
      <c r="AG135" s="3">
        <f>+Tabla14[[#This Row],[En puerto a facturar]]</f>
        <v>0</v>
      </c>
      <c r="AH135" s="3">
        <f>+Tabla14[[#This Row],[Facturación atraso]]</f>
        <v>0</v>
      </c>
      <c r="AI135" s="3">
        <f>+Tabla14[[#This Row],[Plan Irrestricto (DATO)]]-Tabla14[[#This Row],[Puerto ]]-Tabla14[[#This Row],[Atraso]]</f>
        <v>0</v>
      </c>
      <c r="AJ13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5" s="3">
        <f>+Tabla14[[#This Row],[Facturación atraso]]</f>
        <v>0</v>
      </c>
      <c r="AL135" s="3">
        <f>Tabla14[[#This Row],[Plan Ajustado]]-Tabla14[[#This Row],[ Atraso ajustado]]-Tabla14[[#This Row],[En puerto a facturar]]</f>
        <v>0</v>
      </c>
      <c r="AM135" s="3">
        <v>0</v>
      </c>
      <c r="AN135" s="3"/>
      <c r="AO135" s="3" t="str">
        <f>IF(Tabla14[[#This Row],[Plan Ajustado]]&gt;Tabla14[[#This Row],[En puerto a facturar]],"Si","No")</f>
        <v>No</v>
      </c>
      <c r="AP13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5" s="3">
        <f>IF(Tabla14[[#This Row],[Necesidad]]&gt;=Tabla14[[#This Row],[Stock al día]],Tabla14[[#This Row],[Stock al día]],Tabla14[[#This Row],[Necesidad]])</f>
        <v>0</v>
      </c>
      <c r="AR135" s="3">
        <f>+Tabla14[[#This Row],[Necesidad]]-Tabla14[[#This Row],[Stock Plan]]</f>
        <v>0</v>
      </c>
      <c r="AS135" s="155">
        <f>VLOOKUP(Tabla14[[#This Row],[Sector]]&amp;Tabla14[[#This Row],[Oficina]],[8]Ponderación!$A:$H,8,FALSE)</f>
        <v>44814</v>
      </c>
      <c r="AT135" s="30">
        <f>IFERROR(VLOOKUP(Tabla14[[#This Row],[Llave]],'[6]RV plan de ventas'!$A:$F,6,FALSE),0)</f>
        <v>0</v>
      </c>
      <c r="AU135" s="83">
        <f>IFERROR(VLOOKUP(Tabla14[[#This Row],[Llave]],[9]DELAY!$H:$X,17,FALSE),0)</f>
        <v>0</v>
      </c>
      <c r="AV13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5" s="5">
        <f>Tabla14[[#This Row],[Pecio plan]]*Tabla14[[#This Row],[Plan Ajustado]]</f>
        <v>0</v>
      </c>
      <c r="AX135" s="30">
        <f>IFERROR(VLOOKUP(Tabla14[[#This Row],[Llave]],'[13]Ultimos precios facturados'!$A:$G,7,FALSE),0)</f>
        <v>0.78919672655778561</v>
      </c>
      <c r="AY13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5" s="30">
        <f>IFERROR(VLOOKUP(Tabla14[[#This Row],[Llave]],Hoja2!B:K,10,FALSE),0)</f>
        <v>0.79995833333333299</v>
      </c>
      <c r="BA13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5" s="30">
        <v>0</v>
      </c>
      <c r="BC135" s="30">
        <f>IF(Tabla14[[#This Row],[Market]]=0,Tabla14[[#This Row],[Precio Final]],Tabla14[[#This Row],[Market]])</f>
        <v>0</v>
      </c>
      <c r="BD135" s="82"/>
      <c r="BE135" s="82" t="str">
        <f>IF(AND(Tabla14[[#This Row],[Atraso a facturar]]&gt;0,Tabla14[[#This Row],[En puerto a facturar]]&gt;0,Tabla14[[#This Row],[Precio Atraso]]=0),"Revisar","OK")</f>
        <v>OK</v>
      </c>
      <c r="BF135" s="82" t="str">
        <f>IF(AND(Tabla14[[#This Row],[Venta del mes]]&gt;0,Tabla14[[#This Row],[Precio venta nueva]]=0),"Revisar","OK")</f>
        <v>OK</v>
      </c>
      <c r="BG135" s="20">
        <f>IFERROR(VLOOKUP(Tabla14[[#This Row],[Llave]],'[5]Consolidación planes'!$A:$M,9,FALSE),0)</f>
        <v>0</v>
      </c>
      <c r="BH135" s="20">
        <f>IFERROR(VLOOKUP(Tabla14[[#This Row],[Llave]],'[5]Consolidación planes'!$A:$M,10,FALSE),0)</f>
        <v>0</v>
      </c>
      <c r="BI135" s="20">
        <f>IFERROR(VLOOKUP(Tabla14[[#This Row],[Llave]],'[5]Consolidación planes'!$A:$M,11,FALSE),0)</f>
        <v>24000</v>
      </c>
      <c r="BJ135" s="20">
        <f>IFERROR(VLOOKUP(Tabla14[[#This Row],[Llave]],'[5]Consolidación planes'!$A:$M,12,FALSE),0)</f>
        <v>48000</v>
      </c>
      <c r="BK135" s="20">
        <f>IFERROR(VLOOKUP(Tabla14[[#This Row],[Llave]],'[5]Consolidación planes'!$A:$M,13,FALSE),0)</f>
        <v>24000</v>
      </c>
      <c r="BL135" s="20">
        <f>IFERROR(VLOOKUP(Tabla14[[#This Row],[Llave]],'[13]Base ultimos planes'!$A:$M,13,FALSE),0)</f>
        <v>96000</v>
      </c>
      <c r="BM135" s="20">
        <f>IFERROR(VLOOKUP(Tabla14[[#This Row],[Llave]],'[13]Cruce plan irrestricto'!$C:$M,10,FALSE),0)</f>
        <v>168980</v>
      </c>
      <c r="BN135" s="20">
        <f>IFERROR(VLOOKUP(Tabla14[[#This Row],[Llave]],'[13]Cruce plan irrestricto'!$C:$M,11,FALSE),0)</f>
        <v>193380</v>
      </c>
      <c r="BO135" s="80">
        <f>IFERROR(VLOOKUP(Tabla14[[#This Row],[Llave]],'[13]Base ultimos planes'!$O:$AA,8,FALSE),0)</f>
        <v>0</v>
      </c>
      <c r="BP135" s="20">
        <f>IFERROR(VLOOKUP(Tabla14[[#This Row],[Llave]],'[13]Base ultimos planes'!$O:$AA,9,FALSE),0)</f>
        <v>0</v>
      </c>
      <c r="BQ135" s="20">
        <f>IFERROR(VLOOKUP(Tabla14[[#This Row],[Llave]],'[13]Base ultimos planes'!$O:$AA,10,FALSE),0)</f>
        <v>19920</v>
      </c>
      <c r="BR135" s="20">
        <f>IFERROR(VLOOKUP(Tabla14[[#This Row],[Llave]],'[13]Base ultimos planes'!$O:$AA,11,FALSE),0)</f>
        <v>24960</v>
      </c>
      <c r="BS135" s="20">
        <f>IFERROR(VLOOKUP(Tabla14[[#This Row],[Llave]],'[13]Base ultimos planes'!$O:$AA,12,FALSE),0)</f>
        <v>15600</v>
      </c>
      <c r="BT135" s="20">
        <f>IFERROR(VLOOKUP(Tabla14[[#This Row],[Llave]],'[13]Base ultimos planes'!$O:$AA,13,FALSE),0)</f>
        <v>62400</v>
      </c>
      <c r="BU135" s="20"/>
      <c r="BV135" s="20">
        <f>Tabla14[[#This Row],[ RV Producción mes n+1]]-Tabla14[[#This Row],[Producción disponible]]+Tabla14[[#This Row],[Saldo Volumen disponible]]</f>
        <v>691388.56396040961</v>
      </c>
      <c r="BW135" s="20">
        <f>IFERROR(VLOOKUP(Tabla14[[#This Row],[Llave]],[14]Hoja2!$J:$N,4,FALSE),0)</f>
        <v>0</v>
      </c>
      <c r="BX135" s="20">
        <f>+Tabla14[[#This Row],[Asignación mes n+1]]*Tabla14[[#This Row],[% Uti. producción]]</f>
        <v>0</v>
      </c>
      <c r="BY135" s="20">
        <f>+Tabla14[[#This Row],[Ponderación mes n+1]]+Tabla14[[#This Row],[Saldo mes n-1]]</f>
        <v>691388.56396040961</v>
      </c>
      <c r="BZ135" s="20">
        <f>+Tabla14[[#This Row],[Asignación mes n+1]]-Tabla14[[#This Row],[Ponderación mes n+1]]</f>
        <v>0</v>
      </c>
      <c r="CA135" s="20">
        <f>IFERROR(VLOOKUP(Tabla14[[#This Row],[Llave]],[14]Hoja2!$J:$N,5,FALSE),0)</f>
        <v>0</v>
      </c>
      <c r="CB135" s="20">
        <f>+Tabla14[[#This Row],[Asignación mes n+2]]*Tabla14[[#This Row],[% Uti. producción]]</f>
        <v>0</v>
      </c>
      <c r="CC135" s="20">
        <f>+Tabla14[[#This Row],[Saldo mes n+2]]+Tabla14[[#This Row],[Ponderación mes n+2]]</f>
        <v>0</v>
      </c>
      <c r="CD135" s="20">
        <f>+Tabla14[[#This Row],[Asignación mes n+2]]-Tabla14[[#This Row],[Ponderación mes n+2]]</f>
        <v>0</v>
      </c>
    </row>
    <row r="136" spans="1:82" ht="16" x14ac:dyDescent="0.2">
      <c r="A136">
        <v>2</v>
      </c>
      <c r="B136" t="str">
        <f>Tabla14[[#This Row],[Oficina]]&amp;Tabla14[[#This Row],[Material]]</f>
        <v>Agrosuper Shanghai1022541</v>
      </c>
      <c r="C136" t="s">
        <v>6</v>
      </c>
      <c r="D136" t="s">
        <v>140</v>
      </c>
      <c r="E136">
        <v>1022541</v>
      </c>
      <c r="F136" t="s">
        <v>148</v>
      </c>
      <c r="G136" t="s">
        <v>11</v>
      </c>
      <c r="H136" t="s">
        <v>41</v>
      </c>
      <c r="I136" s="7">
        <f>IFERROR(IF(Tabla14[[#This Row],[Oficina]]=$I$7,VLOOKUP(Tabla14[[#This Row],[Material]],'[6]RV Producción'!$Y:$AA,3,FALSE),VLOOKUP(Tabla14[[#This Row],[Llave]],'[6]RV Producción'!$C:$G,5,FALSE)),0)</f>
        <v>405100</v>
      </c>
      <c r="J136" s="7">
        <f>IFERROR(IF(Tabla14[[#This Row],[Oficina]]=$I$7,VLOOKUP(Tabla14[[#This Row],[Llave]],'[7]Shangai (Tomas)'!$A:$F,6,FALSE),VLOOKUP(Tabla14[[#This Row],[Llave]],'[6]RV plan de ventas'!$A:$E,5,FALSE)),0)</f>
        <v>0</v>
      </c>
      <c r="K136" s="8">
        <f>IFERROR(VLOOKUP(Tabla14[[#This Row],[Sector]]&amp;Tabla14[[#This Row],[Oficina]],[8]Ponderación!$A$3:$G$22,7,FALSE),0)</f>
        <v>0.38476266834449474</v>
      </c>
      <c r="L136" s="7">
        <f>+Tabla14[[#This Row],[ RV Producción mes n+1]]*Tabla14[[#This Row],[% Uti. producción]]</f>
        <v>155867.35694635482</v>
      </c>
      <c r="M136" s="7">
        <f>IFERROR(VLOOKUP(Tabla14[[#This Row],[Material]],'[9]TD Stock'!$B:$C,2,FALSE),0)</f>
        <v>44982.555999999982</v>
      </c>
      <c r="N136" s="7">
        <f>IFERROR(VLOOKUP(Tabla14[[#This Row],[Material]],'[10]Consolidado planificación'!$B:$C,2,FALSE),0)</f>
        <v>2000</v>
      </c>
      <c r="O136" s="7">
        <f>IFERROR(VLOOKUP(Tabla14[[#This Row],[Llave]],[11]Hoja2!$D:$G,4,FALSE),0)</f>
        <v>0</v>
      </c>
      <c r="P136" s="14">
        <f>SUM(Tabla14[[#This Row],[Producción disponible]],Tabla14[[#This Row],[Stock al día]],(Tabla14[[#This Row],[Por producir mes N]]*0.9))-Tabla14[[#This Row],[Producción por despachar mes N]]</f>
        <v>202649.9129463548</v>
      </c>
      <c r="Q136" s="7">
        <f>IFERROR(VLOOKUP(Tabla14[[#This Row],[Llave]],[9]DELAY!$A:$D,4,FALSE),0)</f>
        <v>0</v>
      </c>
      <c r="R136" s="9">
        <v>23000</v>
      </c>
      <c r="S136" s="5">
        <f t="shared" si="6"/>
        <v>0</v>
      </c>
      <c r="T136" s="76">
        <v>0</v>
      </c>
      <c r="U136" s="5">
        <f>+Tabla14[[#This Row],[Atraso a facturar]]+Tabla14[[#This Row],[Ajuste atraso]]</f>
        <v>0</v>
      </c>
      <c r="V136" s="3">
        <f>+Tabla14[[#This Row],[Total disponible]]-Tabla14[[#This Row],[Facturación atraso]]</f>
        <v>202649.9129463548</v>
      </c>
      <c r="W136" s="6">
        <f>IFERROR(IF(AND(V136&gt;R136,J136&gt;=R136),ROUNDDOWN((Tabla14[[#This Row],[Producción para venta nueva]])/R136,0)*R136,0),0)</f>
        <v>0</v>
      </c>
      <c r="X136" s="76">
        <v>0</v>
      </c>
      <c r="Y136" s="6">
        <f>IF(Tabla14[[#This Row],[Venta del mes]]&gt;0,Tabla14[[#This Row],[Venta del mes]]+Tabla14[[#This Row],[Ajuste venta nueva]],0)</f>
        <v>0</v>
      </c>
      <c r="Z136" s="6">
        <f>+Tabla14[[#This Row],[Producción para venta nueva]]-Tabla14[[#This Row],[Facturación Venta nueva]]</f>
        <v>202649.9129463548</v>
      </c>
      <c r="AA136" s="6">
        <f>IF(AND(A136=1,Tabla14[[#This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6" s="6">
        <v>0</v>
      </c>
      <c r="AC136" s="6">
        <f>IF(Tabla14[[#This Row],[Disponible stock sin venta]]&gt;0,Tabla14[[#This Row],[Disponible stock sin venta]]+Tabla14[[#This Row],[Ajuste stock sin venta]],0)</f>
        <v>0</v>
      </c>
      <c r="AD136" s="3">
        <f>IFERROR(VLOOKUP(Tabla14[[#This Row],[Llave]],[12]Hoja1!$A:$D,4,FALSE),0)</f>
        <v>0</v>
      </c>
      <c r="AE13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6" s="3">
        <v>0</v>
      </c>
      <c r="AG136" s="3">
        <f>+Tabla14[[#This Row],[En puerto a facturar]]</f>
        <v>0</v>
      </c>
      <c r="AH136" s="3">
        <f>+Tabla14[[#This Row],[Facturación atraso]]</f>
        <v>0</v>
      </c>
      <c r="AI136" s="3">
        <f>+Tabla14[[#This Row],[Plan Irrestricto (DATO)]]-Tabla14[[#This Row],[Puerto ]]-Tabla14[[#This Row],[Atraso]]</f>
        <v>0</v>
      </c>
      <c r="AJ13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6" s="3">
        <f>+Tabla14[[#This Row],[Facturación atraso]]</f>
        <v>0</v>
      </c>
      <c r="AL136" s="3">
        <f>Tabla14[[#This Row],[Plan Ajustado]]-Tabla14[[#This Row],[ Atraso ajustado]]-Tabla14[[#This Row],[En puerto a facturar]]</f>
        <v>0</v>
      </c>
      <c r="AM136" s="3">
        <v>0</v>
      </c>
      <c r="AN136" s="3"/>
      <c r="AO136" s="3" t="str">
        <f>IF(Tabla14[[#This Row],[Plan Ajustado]]&gt;Tabla14[[#This Row],[En puerto a facturar]],"Si","No")</f>
        <v>No</v>
      </c>
      <c r="AP13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6" s="3">
        <f>IF(Tabla14[[#This Row],[Necesidad]]&gt;=Tabla14[[#This Row],[Stock al día]],Tabla14[[#This Row],[Stock al día]],Tabla14[[#This Row],[Necesidad]])</f>
        <v>0</v>
      </c>
      <c r="AR136" s="3">
        <f>+Tabla14[[#This Row],[Necesidad]]-Tabla14[[#This Row],[Stock Plan]]</f>
        <v>0</v>
      </c>
      <c r="AS136" s="155">
        <f>VLOOKUP(Tabla14[[#This Row],[Sector]]&amp;Tabla14[[#This Row],[Oficina]],[8]Ponderación!$A:$H,8,FALSE)</f>
        <v>44814</v>
      </c>
      <c r="AT136" s="30">
        <f>IFERROR(VLOOKUP(Tabla14[[#This Row],[Llave]],'[6]RV plan de ventas'!$A:$F,6,FALSE),0)</f>
        <v>0</v>
      </c>
      <c r="AU136" s="83">
        <f>IFERROR(VLOOKUP(Tabla14[[#This Row],[Llave]],[9]DELAY!$H:$X,17,FALSE),0)</f>
        <v>0</v>
      </c>
      <c r="AV13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6" s="5">
        <f>Tabla14[[#This Row],[Pecio plan]]*Tabla14[[#This Row],[Plan Ajustado]]</f>
        <v>0</v>
      </c>
      <c r="AX136" s="30">
        <f>IFERROR(VLOOKUP(Tabla14[[#This Row],[Llave]],'[13]Ultimos precios facturados'!$A:$G,7,FALSE),0)</f>
        <v>1.1355042113809437</v>
      </c>
      <c r="AY13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6" s="30">
        <f>IFERROR(VLOOKUP(Tabla14[[#This Row],[Llave]],Hoja2!B:K,10,FALSE),0)</f>
        <v>0</v>
      </c>
      <c r="BA13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6" s="30">
        <v>0</v>
      </c>
      <c r="BC136" s="30">
        <f>IF(Tabla14[[#This Row],[Market]]=0,Tabla14[[#This Row],[Precio Final]],Tabla14[[#This Row],[Market]])</f>
        <v>0</v>
      </c>
      <c r="BD136" s="82"/>
      <c r="BE136" s="82" t="str">
        <f>IF(AND(Tabla14[[#This Row],[Atraso a facturar]]&gt;0,Tabla14[[#This Row],[En puerto a facturar]]&gt;0,Tabla14[[#This Row],[Precio Atraso]]=0),"Revisar","OK")</f>
        <v>OK</v>
      </c>
      <c r="BF136" s="82" t="str">
        <f>IF(AND(Tabla14[[#This Row],[Venta del mes]]&gt;0,Tabla14[[#This Row],[Precio venta nueva]]=0),"Revisar","OK")</f>
        <v>OK</v>
      </c>
      <c r="BG136" s="20">
        <f>IFERROR(VLOOKUP(Tabla14[[#This Row],[Llave]],'[5]Consolidación planes'!$A:$M,9,FALSE),0)</f>
        <v>24000</v>
      </c>
      <c r="BH136" s="20">
        <f>IFERROR(VLOOKUP(Tabla14[[#This Row],[Llave]],'[5]Consolidación planes'!$A:$M,10,FALSE),0)</f>
        <v>72000</v>
      </c>
      <c r="BI136" s="20">
        <f>IFERROR(VLOOKUP(Tabla14[[#This Row],[Llave]],'[5]Consolidación planes'!$A:$M,11,FALSE),0)</f>
        <v>48000</v>
      </c>
      <c r="BJ136" s="20">
        <f>IFERROR(VLOOKUP(Tabla14[[#This Row],[Llave]],'[5]Consolidación planes'!$A:$M,12,FALSE),0)</f>
        <v>24000</v>
      </c>
      <c r="BK136" s="20">
        <f>IFERROR(VLOOKUP(Tabla14[[#This Row],[Llave]],'[5]Consolidación planes'!$A:$M,13,FALSE),0)</f>
        <v>168000</v>
      </c>
      <c r="BL136" s="20">
        <f>IFERROR(VLOOKUP(Tabla14[[#This Row],[Llave]],'[13]Base ultimos planes'!$A:$M,13,FALSE),0)</f>
        <v>144000</v>
      </c>
      <c r="BM136" s="20">
        <f>IFERROR(VLOOKUP(Tabla14[[#This Row],[Llave]],'[13]Cruce plan irrestricto'!$C:$M,10,FALSE),0)</f>
        <v>261907</v>
      </c>
      <c r="BN136" s="20">
        <f>IFERROR(VLOOKUP(Tabla14[[#This Row],[Llave]],'[13]Cruce plan irrestricto'!$C:$M,11,FALSE),0)</f>
        <v>49026</v>
      </c>
      <c r="BO136" s="80">
        <f>IFERROR(VLOOKUP(Tabla14[[#This Row],[Llave]],'[13]Base ultimos planes'!$O:$AA,8,FALSE),0)</f>
        <v>14400</v>
      </c>
      <c r="BP136" s="20">
        <f>IFERROR(VLOOKUP(Tabla14[[#This Row],[Llave]],'[13]Base ultimos planes'!$O:$AA,9,FALSE),0)</f>
        <v>45360</v>
      </c>
      <c r="BQ136" s="20">
        <f>IFERROR(VLOOKUP(Tabla14[[#This Row],[Llave]],'[13]Base ultimos planes'!$O:$AA,10,FALSE),0)</f>
        <v>32160</v>
      </c>
      <c r="BR136" s="20">
        <f>IFERROR(VLOOKUP(Tabla14[[#This Row],[Llave]],'[13]Base ultimos planes'!$O:$AA,11,FALSE),0)</f>
        <v>7720</v>
      </c>
      <c r="BS136" s="20">
        <f>IFERROR(VLOOKUP(Tabla14[[#This Row],[Llave]],'[13]Base ultimos planes'!$O:$AA,12,FALSE),0)</f>
        <v>145332</v>
      </c>
      <c r="BT136" s="20">
        <f>IFERROR(VLOOKUP(Tabla14[[#This Row],[Llave]],'[13]Base ultimos planes'!$O:$AA,13,FALSE),0)</f>
        <v>151177</v>
      </c>
      <c r="BU136" s="20"/>
      <c r="BV136" s="20">
        <f>Tabla14[[#This Row],[ RV Producción mes n+1]]-Tabla14[[#This Row],[Producción disponible]]+Tabla14[[#This Row],[Saldo Volumen disponible]]</f>
        <v>451882.55599999998</v>
      </c>
      <c r="BW136" s="20">
        <f>IFERROR(VLOOKUP(Tabla14[[#This Row],[Llave]],[14]Hoja2!$J:$N,4,FALSE),0)</f>
        <v>0</v>
      </c>
      <c r="BX136" s="20">
        <f>+Tabla14[[#This Row],[Asignación mes n+1]]*Tabla14[[#This Row],[% Uti. producción]]</f>
        <v>0</v>
      </c>
      <c r="BY136" s="20">
        <f>+Tabla14[[#This Row],[Ponderación mes n+1]]+Tabla14[[#This Row],[Saldo mes n-1]]</f>
        <v>451882.55599999998</v>
      </c>
      <c r="BZ136" s="20">
        <f>+Tabla14[[#This Row],[Asignación mes n+1]]-Tabla14[[#This Row],[Ponderación mes n+1]]</f>
        <v>0</v>
      </c>
      <c r="CA136" s="20">
        <f>IFERROR(VLOOKUP(Tabla14[[#This Row],[Llave]],[14]Hoja2!$J:$N,5,FALSE),0)</f>
        <v>0</v>
      </c>
      <c r="CB136" s="20">
        <f>+Tabla14[[#This Row],[Asignación mes n+2]]*Tabla14[[#This Row],[% Uti. producción]]</f>
        <v>0</v>
      </c>
      <c r="CC136" s="20">
        <f>+Tabla14[[#This Row],[Saldo mes n+2]]+Tabla14[[#This Row],[Ponderación mes n+2]]</f>
        <v>0</v>
      </c>
      <c r="CD136" s="20">
        <f>+Tabla14[[#This Row],[Asignación mes n+2]]-Tabla14[[#This Row],[Ponderación mes n+2]]</f>
        <v>0</v>
      </c>
    </row>
    <row r="137" spans="1:82" ht="16" x14ac:dyDescent="0.2">
      <c r="A137">
        <v>2</v>
      </c>
      <c r="B137" t="str">
        <f>Tabla14[[#This Row],[Oficina]]&amp;Tabla14[[#This Row],[Material]]</f>
        <v>Agrosuper Shanghai1022637</v>
      </c>
      <c r="C137" t="s">
        <v>6</v>
      </c>
      <c r="D137" t="s">
        <v>140</v>
      </c>
      <c r="E137">
        <v>1022637</v>
      </c>
      <c r="F137" t="s">
        <v>155</v>
      </c>
      <c r="G137" t="s">
        <v>92</v>
      </c>
      <c r="H137" t="s">
        <v>153</v>
      </c>
      <c r="I137" s="7">
        <f>IFERROR(IF(Tabla14[[#This Row],[Oficina]]=$I$7,VLOOKUP(Tabla14[[#This Row],[Material]],'[6]RV Producción'!$Y:$AA,3,FALSE),VLOOKUP(Tabla14[[#This Row],[Llave]],'[6]RV Producción'!$C:$G,5,FALSE)),0)</f>
        <v>67834</v>
      </c>
      <c r="J137" s="7">
        <f>IFERROR(IF(Tabla14[[#This Row],[Oficina]]=$I$7,VLOOKUP(Tabla14[[#This Row],[Llave]],'[7]Shangai (Tomas)'!$A:$F,6,FALSE),VLOOKUP(Tabla14[[#This Row],[Llave]],'[6]RV plan de ventas'!$A:$E,5,FALSE)),0)</f>
        <v>0</v>
      </c>
      <c r="K137" s="8">
        <f>IFERROR(VLOOKUP(Tabla14[[#This Row],[Sector]]&amp;Tabla14[[#This Row],[Oficina]],[8]Ponderación!$A$3:$G$22,7,FALSE),0)</f>
        <v>0.38476266834449474</v>
      </c>
      <c r="L137" s="7">
        <f>+Tabla14[[#This Row],[ RV Producción mes n+1]]*Tabla14[[#This Row],[% Uti. producción]]</f>
        <v>26099.990844480457</v>
      </c>
      <c r="M137" s="7">
        <f>IFERROR(VLOOKUP(Tabla14[[#This Row],[Material]],'[9]TD Stock'!$B:$C,2,FALSE),0)</f>
        <v>47626.34</v>
      </c>
      <c r="N137" s="7">
        <f>IFERROR(VLOOKUP(Tabla14[[#This Row],[Material]],'[10]Consolidado planificación'!$B:$C,2,FALSE),0)</f>
        <v>18465.219000000001</v>
      </c>
      <c r="O137" s="7">
        <f>IFERROR(VLOOKUP(Tabla14[[#This Row],[Llave]],[11]Hoja2!$D:$G,4,FALSE),0)</f>
        <v>0</v>
      </c>
      <c r="P137" s="14">
        <f>SUM(Tabla14[[#This Row],[Producción disponible]],Tabla14[[#This Row],[Stock al día]],(Tabla14[[#This Row],[Por producir mes N]]*0.9))-Tabla14[[#This Row],[Producción por despachar mes N]]</f>
        <v>90345.027944480462</v>
      </c>
      <c r="Q137" s="7">
        <f>IFERROR(VLOOKUP(Tabla14[[#This Row],[Llave]],[9]DELAY!$A:$D,4,FALSE),0)</f>
        <v>0</v>
      </c>
      <c r="R137" s="9">
        <v>23000</v>
      </c>
      <c r="S137" s="5">
        <f t="shared" si="6"/>
        <v>0</v>
      </c>
      <c r="T137" s="76">
        <v>0</v>
      </c>
      <c r="U137" s="5">
        <f>+Tabla14[[#This Row],[Atraso a facturar]]+Tabla14[[#This Row],[Ajuste atraso]]</f>
        <v>0</v>
      </c>
      <c r="V137" s="3">
        <f>+Tabla14[[#This Row],[Total disponible]]-Tabla14[[#This Row],[Facturación atraso]]</f>
        <v>90345.027944480462</v>
      </c>
      <c r="W137" s="6">
        <f>IFERROR(IF(AND(V137&gt;R137,J137&gt;=R137),ROUNDDOWN((Tabla14[[#This Row],[Producción para venta nueva]])/R137,0)*R137,0),0)</f>
        <v>0</v>
      </c>
      <c r="X137" s="76">
        <v>0</v>
      </c>
      <c r="Y137" s="6">
        <f>IF(Tabla14[[#This Row],[Venta del mes]]&gt;0,Tabla14[[#This Row],[Venta del mes]]+Tabla14[[#This Row],[Ajuste venta nueva]],0)</f>
        <v>0</v>
      </c>
      <c r="Z137" s="6">
        <f>+Tabla14[[#This Row],[Producción para venta nueva]]-Tabla14[[#This Row],[Facturación Venta nueva]]</f>
        <v>90345.027944480462</v>
      </c>
      <c r="AA137" s="6">
        <f>IF(AND(A137=1,Tabla14[[#This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7" s="6">
        <v>0</v>
      </c>
      <c r="AC137" s="6">
        <f>IF(Tabla14[[#This Row],[Disponible stock sin venta]]&gt;0,Tabla14[[#This Row],[Disponible stock sin venta]]+Tabla14[[#This Row],[Ajuste stock sin venta]],0)</f>
        <v>0</v>
      </c>
      <c r="AD137" s="3">
        <f>IFERROR(VLOOKUP(Tabla14[[#This Row],[Llave]],[12]Hoja1!$A:$D,4,FALSE),0)</f>
        <v>0</v>
      </c>
      <c r="AE13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7" s="3">
        <v>0</v>
      </c>
      <c r="AG137" s="3">
        <f>+Tabla14[[#This Row],[En puerto a facturar]]</f>
        <v>0</v>
      </c>
      <c r="AH137" s="3">
        <f>+Tabla14[[#This Row],[Facturación atraso]]</f>
        <v>0</v>
      </c>
      <c r="AI137" s="3">
        <f>+Tabla14[[#This Row],[Plan Irrestricto (DATO)]]-Tabla14[[#This Row],[Puerto ]]-Tabla14[[#This Row],[Atraso]]</f>
        <v>0</v>
      </c>
      <c r="AJ13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7" s="3">
        <f>+Tabla14[[#This Row],[Facturación atraso]]</f>
        <v>0</v>
      </c>
      <c r="AL137" s="3">
        <f>Tabla14[[#This Row],[Plan Ajustado]]-Tabla14[[#This Row],[ Atraso ajustado]]-Tabla14[[#This Row],[En puerto a facturar]]</f>
        <v>0</v>
      </c>
      <c r="AM137" s="3">
        <v>0</v>
      </c>
      <c r="AN137" s="3"/>
      <c r="AO137" s="3" t="str">
        <f>IF(Tabla14[[#This Row],[Plan Ajustado]]&gt;Tabla14[[#This Row],[En puerto a facturar]],"Si","No")</f>
        <v>No</v>
      </c>
      <c r="AP13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7" s="3">
        <f>IF(Tabla14[[#This Row],[Necesidad]]&gt;=Tabla14[[#This Row],[Stock al día]],Tabla14[[#This Row],[Stock al día]],Tabla14[[#This Row],[Necesidad]])</f>
        <v>0</v>
      </c>
      <c r="AR137" s="3">
        <f>+Tabla14[[#This Row],[Necesidad]]-Tabla14[[#This Row],[Stock Plan]]</f>
        <v>0</v>
      </c>
      <c r="AS137" s="155">
        <f>VLOOKUP(Tabla14[[#This Row],[Sector]]&amp;Tabla14[[#This Row],[Oficina]],[8]Ponderación!$A:$H,8,FALSE)</f>
        <v>44814</v>
      </c>
      <c r="AT137" s="30">
        <f>IFERROR(VLOOKUP(Tabla14[[#This Row],[Llave]],'[6]RV plan de ventas'!$A:$F,6,FALSE),0)</f>
        <v>0</v>
      </c>
      <c r="AU137" s="83">
        <f>IFERROR(VLOOKUP(Tabla14[[#This Row],[Llave]],[9]DELAY!$H:$X,17,FALSE),0)</f>
        <v>0</v>
      </c>
      <c r="AV13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7" s="5">
        <f>Tabla14[[#This Row],[Pecio plan]]*Tabla14[[#This Row],[Plan Ajustado]]</f>
        <v>0</v>
      </c>
      <c r="AX137" s="30">
        <f>IFERROR(VLOOKUP(Tabla14[[#This Row],[Llave]],'[13]Ultimos precios facturados'!$A:$G,7,FALSE),0)</f>
        <v>1.1374107699502487</v>
      </c>
      <c r="AY13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7" s="30">
        <f>IFERROR(VLOOKUP(Tabla14[[#This Row],[Llave]],Hoja2!B:K,10,FALSE),0)</f>
        <v>1.1545886731763355</v>
      </c>
      <c r="BA13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7" s="30">
        <v>0</v>
      </c>
      <c r="BC137" s="30">
        <f>IF(Tabla14[[#This Row],[Market]]=0,Tabla14[[#This Row],[Precio Final]],Tabla14[[#This Row],[Market]])</f>
        <v>0</v>
      </c>
      <c r="BD137" s="82"/>
      <c r="BE137" s="82" t="str">
        <f>IF(AND(Tabla14[[#This Row],[Atraso a facturar]]&gt;0,Tabla14[[#This Row],[En puerto a facturar]]&gt;0,Tabla14[[#This Row],[Precio Atraso]]=0),"Revisar","OK")</f>
        <v>OK</v>
      </c>
      <c r="BF137" s="82" t="str">
        <f>IF(AND(Tabla14[[#This Row],[Venta del mes]]&gt;0,Tabla14[[#This Row],[Precio venta nueva]]=0),"Revisar","OK")</f>
        <v>OK</v>
      </c>
      <c r="BG137" s="20">
        <f>IFERROR(VLOOKUP(Tabla14[[#This Row],[Llave]],'[5]Consolidación planes'!$A:$M,9,FALSE),0)</f>
        <v>144000</v>
      </c>
      <c r="BH137" s="20">
        <f>IFERROR(VLOOKUP(Tabla14[[#This Row],[Llave]],'[5]Consolidación planes'!$A:$M,10,FALSE),0)</f>
        <v>144000</v>
      </c>
      <c r="BI137" s="20">
        <f>IFERROR(VLOOKUP(Tabla14[[#This Row],[Llave]],'[5]Consolidación planes'!$A:$M,11,FALSE),0)</f>
        <v>120000</v>
      </c>
      <c r="BJ137" s="20">
        <f>IFERROR(VLOOKUP(Tabla14[[#This Row],[Llave]],'[5]Consolidación planes'!$A:$M,12,FALSE),0)</f>
        <v>144000</v>
      </c>
      <c r="BK137" s="20">
        <f>IFERROR(VLOOKUP(Tabla14[[#This Row],[Llave]],'[5]Consolidación planes'!$A:$M,13,FALSE),0)</f>
        <v>71100</v>
      </c>
      <c r="BL137" s="20">
        <f>IFERROR(VLOOKUP(Tabla14[[#This Row],[Llave]],'[13]Base ultimos planes'!$A:$M,13,FALSE),0)</f>
        <v>72000</v>
      </c>
      <c r="BM137" s="20">
        <f>IFERROR(VLOOKUP(Tabla14[[#This Row],[Llave]],'[13]Cruce plan irrestricto'!$C:$M,10,FALSE),0)</f>
        <v>113205</v>
      </c>
      <c r="BN137" s="20">
        <f>IFERROR(VLOOKUP(Tabla14[[#This Row],[Llave]],'[13]Cruce plan irrestricto'!$C:$M,11,FALSE),0)</f>
        <v>87300</v>
      </c>
      <c r="BO137" s="80">
        <f>IFERROR(VLOOKUP(Tabla14[[#This Row],[Llave]],'[13]Base ultimos planes'!$O:$AA,8,FALSE),0)</f>
        <v>163350</v>
      </c>
      <c r="BP137" s="20">
        <f>IFERROR(VLOOKUP(Tabla14[[#This Row],[Llave]],'[13]Base ultimos planes'!$O:$AA,9,FALSE),0)</f>
        <v>144000</v>
      </c>
      <c r="BQ137" s="20">
        <f>IFERROR(VLOOKUP(Tabla14[[#This Row],[Llave]],'[13]Base ultimos planes'!$O:$AA,10,FALSE),0)</f>
        <v>120000</v>
      </c>
      <c r="BR137" s="20">
        <f>IFERROR(VLOOKUP(Tabla14[[#This Row],[Llave]],'[13]Base ultimos planes'!$O:$AA,11,FALSE),0)</f>
        <v>142519</v>
      </c>
      <c r="BS137" s="20">
        <f>IFERROR(VLOOKUP(Tabla14[[#This Row],[Llave]],'[13]Base ultimos planes'!$O:$AA,12,FALSE),0)</f>
        <v>73751</v>
      </c>
      <c r="BT137" s="20">
        <f>IFERROR(VLOOKUP(Tabla14[[#This Row],[Llave]],'[13]Base ultimos planes'!$O:$AA,13,FALSE),0)</f>
        <v>79080</v>
      </c>
      <c r="BU137" s="20"/>
      <c r="BV137" s="20">
        <f>Tabla14[[#This Row],[ RV Producción mes n+1]]-Tabla14[[#This Row],[Producción disponible]]+Tabla14[[#This Row],[Saldo Volumen disponible]]</f>
        <v>132079.03710000002</v>
      </c>
      <c r="BW137" s="20">
        <f>IFERROR(VLOOKUP(Tabla14[[#This Row],[Llave]],[14]Hoja2!$J:$N,4,FALSE),0)</f>
        <v>0</v>
      </c>
      <c r="BX137" s="20">
        <f>+Tabla14[[#This Row],[Asignación mes n+1]]*Tabla14[[#This Row],[% Uti. producción]]</f>
        <v>0</v>
      </c>
      <c r="BY137" s="20">
        <f>+Tabla14[[#This Row],[Ponderación mes n+1]]+Tabla14[[#This Row],[Saldo mes n-1]]</f>
        <v>132079.03710000002</v>
      </c>
      <c r="BZ137" s="20">
        <f>+Tabla14[[#This Row],[Asignación mes n+1]]-Tabla14[[#This Row],[Ponderación mes n+1]]</f>
        <v>0</v>
      </c>
      <c r="CA137" s="20">
        <f>IFERROR(VLOOKUP(Tabla14[[#This Row],[Llave]],[14]Hoja2!$J:$N,5,FALSE),0)</f>
        <v>0</v>
      </c>
      <c r="CB137" s="20">
        <f>+Tabla14[[#This Row],[Asignación mes n+2]]*Tabla14[[#This Row],[% Uti. producción]]</f>
        <v>0</v>
      </c>
      <c r="CC137" s="20">
        <f>+Tabla14[[#This Row],[Saldo mes n+2]]+Tabla14[[#This Row],[Ponderación mes n+2]]</f>
        <v>0</v>
      </c>
      <c r="CD137" s="20">
        <f>+Tabla14[[#This Row],[Asignación mes n+2]]-Tabla14[[#This Row],[Ponderación mes n+2]]</f>
        <v>0</v>
      </c>
    </row>
    <row r="138" spans="1:82" ht="16" x14ac:dyDescent="0.2">
      <c r="A138">
        <v>2</v>
      </c>
      <c r="B138" t="str">
        <f>Tabla14[[#This Row],[Oficina]]&amp;Tabla14[[#This Row],[Material]]</f>
        <v>Agrosuper Shanghai1022748</v>
      </c>
      <c r="C138" t="s">
        <v>6</v>
      </c>
      <c r="D138" t="s">
        <v>140</v>
      </c>
      <c r="E138">
        <v>1022748</v>
      </c>
      <c r="F138" t="s">
        <v>171</v>
      </c>
      <c r="G138" t="s">
        <v>76</v>
      </c>
      <c r="H138" t="s">
        <v>77</v>
      </c>
      <c r="I138" s="7">
        <f>IFERROR(IF(Tabla14[[#This Row],[Oficina]]=$I$7,VLOOKUP(Tabla14[[#This Row],[Material]],'[6]RV Producción'!$Y:$AA,3,FALSE),VLOOKUP(Tabla14[[#This Row],[Llave]],'[6]RV Producción'!$C:$G,5,FALSE)),0)</f>
        <v>136999</v>
      </c>
      <c r="J138" s="7">
        <f>IFERROR(IF(Tabla14[[#This Row],[Oficina]]=$I$7,VLOOKUP(Tabla14[[#This Row],[Llave]],'[7]Shangai (Tomas)'!$A:$F,6,FALSE),VLOOKUP(Tabla14[[#This Row],[Llave]],'[6]RV plan de ventas'!$A:$E,5,FALSE)),0)</f>
        <v>0</v>
      </c>
      <c r="K138" s="8">
        <f>IFERROR(VLOOKUP(Tabla14[[#This Row],[Sector]]&amp;Tabla14[[#This Row],[Oficina]],[8]Ponderación!$A$3:$G$22,7,FALSE),0)</f>
        <v>0.38476266834449474</v>
      </c>
      <c r="L138" s="7">
        <f>+Tabla14[[#This Row],[ RV Producción mes n+1]]*Tabla14[[#This Row],[% Uti. producción]]</f>
        <v>52712.100800527434</v>
      </c>
      <c r="M138" s="7">
        <f>IFERROR(VLOOKUP(Tabla14[[#This Row],[Material]],'[9]TD Stock'!$B:$C,2,FALSE),0)</f>
        <v>64325.7</v>
      </c>
      <c r="N138" s="7">
        <f>IFERROR(VLOOKUP(Tabla14[[#This Row],[Material]],'[10]Consolidado planificación'!$B:$C,2,FALSE),0)</f>
        <v>23893.200000000001</v>
      </c>
      <c r="O138" s="7">
        <f>IFERROR(VLOOKUP(Tabla14[[#This Row],[Llave]],[11]Hoja2!$D:$G,4,FALSE),0)</f>
        <v>0</v>
      </c>
      <c r="P138" s="14">
        <f>SUM(Tabla14[[#This Row],[Producción disponible]],Tabla14[[#This Row],[Stock al día]],(Tabla14[[#This Row],[Por producir mes N]]*0.9))-Tabla14[[#This Row],[Producción por despachar mes N]]</f>
        <v>138541.68080052742</v>
      </c>
      <c r="Q138" s="7">
        <f>IFERROR(VLOOKUP(Tabla14[[#This Row],[Llave]],[9]DELAY!$A:$D,4,FALSE),0)</f>
        <v>0</v>
      </c>
      <c r="R138" s="9">
        <v>23000</v>
      </c>
      <c r="S138" s="5">
        <f t="shared" ref="S138:S201" si="7">IF(AND(P138&gt;Q138,Q138&gt;0),Q138,IF(AND(P138&lt;Q138,Q138&gt;0),(ROUNDDOWN(P138/R138,0)*R138),0))</f>
        <v>0</v>
      </c>
      <c r="T138" s="76">
        <v>0</v>
      </c>
      <c r="U138" s="5">
        <f>+Tabla14[[#This Row],[Atraso a facturar]]+Tabla14[[#This Row],[Ajuste atraso]]</f>
        <v>0</v>
      </c>
      <c r="V138" s="3">
        <f>+Tabla14[[#This Row],[Total disponible]]-Tabla14[[#This Row],[Facturación atraso]]</f>
        <v>138541.68080052742</v>
      </c>
      <c r="W138" s="6">
        <f>IFERROR(IF(AND(V138&gt;R138,J138&gt;=R138),ROUNDDOWN((Tabla14[[#This Row],[Producción para venta nueva]])/R138,0)*R138,0),0)</f>
        <v>0</v>
      </c>
      <c r="X138" s="76">
        <v>0</v>
      </c>
      <c r="Y138" s="6">
        <f>IF(Tabla14[[#This Row],[Venta del mes]]&gt;0,Tabla14[[#This Row],[Venta del mes]]+Tabla14[[#This Row],[Ajuste venta nueva]],0)</f>
        <v>0</v>
      </c>
      <c r="Z138" s="6">
        <f>+Tabla14[[#This Row],[Producción para venta nueva]]-Tabla14[[#This Row],[Facturación Venta nueva]]</f>
        <v>138541.68080052742</v>
      </c>
      <c r="AA138" s="6">
        <f>IF(AND(A138=1,Tabla14[[#This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8" s="6">
        <v>0</v>
      </c>
      <c r="AC138" s="6">
        <f>IF(Tabla14[[#This Row],[Disponible stock sin venta]]&gt;0,Tabla14[[#This Row],[Disponible stock sin venta]]+Tabla14[[#This Row],[Ajuste stock sin venta]],0)</f>
        <v>0</v>
      </c>
      <c r="AD138" s="3">
        <f>IFERROR(VLOOKUP(Tabla14[[#This Row],[Llave]],[12]Hoja1!$A:$D,4,FALSE),0)</f>
        <v>0</v>
      </c>
      <c r="AE13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8" s="3">
        <v>0</v>
      </c>
      <c r="AG138" s="3">
        <f>+Tabla14[[#This Row],[En puerto a facturar]]</f>
        <v>0</v>
      </c>
      <c r="AH138" s="3">
        <f>+Tabla14[[#This Row],[Facturación atraso]]</f>
        <v>0</v>
      </c>
      <c r="AI138" s="3">
        <f>+Tabla14[[#This Row],[Plan Irrestricto (DATO)]]-Tabla14[[#This Row],[Puerto ]]-Tabla14[[#This Row],[Atraso]]</f>
        <v>0</v>
      </c>
      <c r="AJ13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8" s="3">
        <f>+Tabla14[[#This Row],[Facturación atraso]]</f>
        <v>0</v>
      </c>
      <c r="AL138" s="3">
        <f>Tabla14[[#This Row],[Plan Ajustado]]-Tabla14[[#This Row],[ Atraso ajustado]]-Tabla14[[#This Row],[En puerto a facturar]]</f>
        <v>0</v>
      </c>
      <c r="AM138" s="3">
        <v>0</v>
      </c>
      <c r="AN138" s="3"/>
      <c r="AO138" s="3" t="str">
        <f>IF(Tabla14[[#This Row],[Plan Ajustado]]&gt;Tabla14[[#This Row],[En puerto a facturar]],"Si","No")</f>
        <v>No</v>
      </c>
      <c r="AP13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8" s="3">
        <f>IF(Tabla14[[#This Row],[Necesidad]]&gt;=Tabla14[[#This Row],[Stock al día]],Tabla14[[#This Row],[Stock al día]],Tabla14[[#This Row],[Necesidad]])</f>
        <v>0</v>
      </c>
      <c r="AR138" s="3">
        <f>+Tabla14[[#This Row],[Necesidad]]-Tabla14[[#This Row],[Stock Plan]]</f>
        <v>0</v>
      </c>
      <c r="AS138" s="155">
        <f>VLOOKUP(Tabla14[[#This Row],[Sector]]&amp;Tabla14[[#This Row],[Oficina]],[8]Ponderación!$A:$H,8,FALSE)</f>
        <v>44814</v>
      </c>
      <c r="AT138" s="30">
        <f>IFERROR(VLOOKUP(Tabla14[[#This Row],[Llave]],'[6]RV plan de ventas'!$A:$F,6,FALSE),0)</f>
        <v>0</v>
      </c>
      <c r="AU138" s="83">
        <f>IFERROR(VLOOKUP(Tabla14[[#This Row],[Llave]],[9]DELAY!$H:$X,17,FALSE),0)</f>
        <v>0</v>
      </c>
      <c r="AV13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8" s="5">
        <f>Tabla14[[#This Row],[Pecio plan]]*Tabla14[[#This Row],[Plan Ajustado]]</f>
        <v>0</v>
      </c>
      <c r="AX138" s="30">
        <f>IFERROR(VLOOKUP(Tabla14[[#This Row],[Llave]],'[13]Ultimos precios facturados'!$A:$G,7,FALSE),0)</f>
        <v>5.1230665429541196</v>
      </c>
      <c r="AY13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8" s="30">
        <f>IFERROR(VLOOKUP(Tabla14[[#This Row],[Llave]],Hoja2!B:K,10,FALSE),0)</f>
        <v>0</v>
      </c>
      <c r="BA13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8" s="30">
        <v>0</v>
      </c>
      <c r="BC138" s="30">
        <f>IF(Tabla14[[#This Row],[Market]]=0,Tabla14[[#This Row],[Precio Final]],Tabla14[[#This Row],[Market]])</f>
        <v>0</v>
      </c>
      <c r="BD138" s="82"/>
      <c r="BE138" s="82" t="str">
        <f>IF(AND(Tabla14[[#This Row],[Atraso a facturar]]&gt;0,Tabla14[[#This Row],[En puerto a facturar]]&gt;0,Tabla14[[#This Row],[Precio Atraso]]=0),"Revisar","OK")</f>
        <v>OK</v>
      </c>
      <c r="BF138" s="82" t="str">
        <f>IF(AND(Tabla14[[#This Row],[Venta del mes]]&gt;0,Tabla14[[#This Row],[Precio venta nueva]]=0),"Revisar","OK")</f>
        <v>OK</v>
      </c>
      <c r="BG138" s="20">
        <f>IFERROR(VLOOKUP(Tabla14[[#This Row],[Llave]],'[5]Consolidación planes'!$A:$M,9,FALSE),0)</f>
        <v>144000</v>
      </c>
      <c r="BH138" s="20">
        <f>IFERROR(VLOOKUP(Tabla14[[#This Row],[Llave]],'[5]Consolidación planes'!$A:$M,10,FALSE),0)</f>
        <v>0</v>
      </c>
      <c r="BI138" s="20">
        <f>IFERROR(VLOOKUP(Tabla14[[#This Row],[Llave]],'[5]Consolidación planes'!$A:$M,11,FALSE),0)</f>
        <v>84000</v>
      </c>
      <c r="BJ138" s="20">
        <f>IFERROR(VLOOKUP(Tabla14[[#This Row],[Llave]],'[5]Consolidación planes'!$A:$M,12,FALSE),0)</f>
        <v>132000</v>
      </c>
      <c r="BK138" s="20">
        <f>IFERROR(VLOOKUP(Tabla14[[#This Row],[Llave]],'[5]Consolidación planes'!$A:$M,13,FALSE),0)</f>
        <v>96000</v>
      </c>
      <c r="BL138" s="20">
        <f>IFERROR(VLOOKUP(Tabla14[[#This Row],[Llave]],'[13]Base ultimos planes'!$A:$M,13,FALSE),0)</f>
        <v>68000</v>
      </c>
      <c r="BM138" s="20">
        <f>IFERROR(VLOOKUP(Tabla14[[#This Row],[Llave]],'[13]Cruce plan irrestricto'!$C:$M,10,FALSE),0)</f>
        <v>240290</v>
      </c>
      <c r="BN138" s="20">
        <f>IFERROR(VLOOKUP(Tabla14[[#This Row],[Llave]],'[13]Cruce plan irrestricto'!$C:$M,11,FALSE),0)</f>
        <v>180280</v>
      </c>
      <c r="BO138" s="80">
        <f>IFERROR(VLOOKUP(Tabla14[[#This Row],[Llave]],'[13]Base ultimos planes'!$O:$AA,8,FALSE),0)</f>
        <v>636000</v>
      </c>
      <c r="BP138" s="20">
        <f>IFERROR(VLOOKUP(Tabla14[[#This Row],[Llave]],'[13]Base ultimos planes'!$O:$AA,9,FALSE),0)</f>
        <v>0</v>
      </c>
      <c r="BQ138" s="20">
        <f>IFERROR(VLOOKUP(Tabla14[[#This Row],[Llave]],'[13]Base ultimos planes'!$O:$AA,10,FALSE),0)</f>
        <v>398160</v>
      </c>
      <c r="BR138" s="20">
        <f>IFERROR(VLOOKUP(Tabla14[[#This Row],[Llave]],'[13]Base ultimos planes'!$O:$AA,11,FALSE),0)</f>
        <v>623093</v>
      </c>
      <c r="BS138" s="20">
        <f>IFERROR(VLOOKUP(Tabla14[[#This Row],[Llave]],'[13]Base ultimos planes'!$O:$AA,12,FALSE),0)</f>
        <v>455946</v>
      </c>
      <c r="BT138" s="20">
        <f>IFERROR(VLOOKUP(Tabla14[[#This Row],[Llave]],'[13]Base ultimos planes'!$O:$AA,13,FALSE),0)</f>
        <v>342073</v>
      </c>
      <c r="BU138" s="20"/>
      <c r="BV138" s="20">
        <f>Tabla14[[#This Row],[ RV Producción mes n+1]]-Tabla14[[#This Row],[Producción disponible]]+Tabla14[[#This Row],[Saldo Volumen disponible]]</f>
        <v>222828.58</v>
      </c>
      <c r="BW138" s="20">
        <f>IFERROR(VLOOKUP(Tabla14[[#This Row],[Llave]],[14]Hoja2!$J:$N,4,FALSE),0)</f>
        <v>0</v>
      </c>
      <c r="BX138" s="20">
        <f>+Tabla14[[#This Row],[Asignación mes n+1]]*Tabla14[[#This Row],[% Uti. producción]]</f>
        <v>0</v>
      </c>
      <c r="BY138" s="20">
        <f>+Tabla14[[#This Row],[Ponderación mes n+1]]+Tabla14[[#This Row],[Saldo mes n-1]]</f>
        <v>222828.58</v>
      </c>
      <c r="BZ138" s="20">
        <f>+Tabla14[[#This Row],[Asignación mes n+1]]-Tabla14[[#This Row],[Ponderación mes n+1]]</f>
        <v>0</v>
      </c>
      <c r="CA138" s="20">
        <f>IFERROR(VLOOKUP(Tabla14[[#This Row],[Llave]],[14]Hoja2!$J:$N,5,FALSE),0)</f>
        <v>0</v>
      </c>
      <c r="CB138" s="20">
        <f>+Tabla14[[#This Row],[Asignación mes n+2]]*Tabla14[[#This Row],[% Uti. producción]]</f>
        <v>0</v>
      </c>
      <c r="CC138" s="20">
        <f>+Tabla14[[#This Row],[Saldo mes n+2]]+Tabla14[[#This Row],[Ponderación mes n+2]]</f>
        <v>0</v>
      </c>
      <c r="CD138" s="20">
        <f>+Tabla14[[#This Row],[Asignación mes n+2]]-Tabla14[[#This Row],[Ponderación mes n+2]]</f>
        <v>0</v>
      </c>
    </row>
    <row r="139" spans="1:82" ht="16" x14ac:dyDescent="0.2">
      <c r="A139">
        <v>2</v>
      </c>
      <c r="B139" t="str">
        <f>Tabla14[[#This Row],[Oficina]]&amp;Tabla14[[#This Row],[Material]]</f>
        <v>Agrosuper Shanghai1022851</v>
      </c>
      <c r="C139" t="s">
        <v>6</v>
      </c>
      <c r="D139" t="s">
        <v>140</v>
      </c>
      <c r="E139">
        <v>1022851</v>
      </c>
      <c r="F139" t="s">
        <v>157</v>
      </c>
      <c r="G139" t="s">
        <v>53</v>
      </c>
      <c r="H139" t="s">
        <v>156</v>
      </c>
      <c r="I139" s="7">
        <f>IFERROR(IF(Tabla14[[#This Row],[Oficina]]=$I$7,VLOOKUP(Tabla14[[#This Row],[Material]],'[6]RV Producción'!$Y:$AA,3,FALSE),VLOOKUP(Tabla14[[#This Row],[Llave]],'[6]RV Producción'!$C:$G,5,FALSE)),0)</f>
        <v>0</v>
      </c>
      <c r="J139" s="7">
        <f>IFERROR(IF(Tabla14[[#This Row],[Oficina]]=$I$7,VLOOKUP(Tabla14[[#This Row],[Llave]],'[7]Shangai (Tomas)'!$A:$F,6,FALSE),VLOOKUP(Tabla14[[#This Row],[Llave]],'[6]RV plan de ventas'!$A:$E,5,FALSE)),0)</f>
        <v>0</v>
      </c>
      <c r="K139" s="8">
        <f>IFERROR(VLOOKUP(Tabla14[[#This Row],[Sector]]&amp;Tabla14[[#This Row],[Oficina]],[8]Ponderación!$A$3:$G$22,7,FALSE),0)</f>
        <v>0.38476266834449474</v>
      </c>
      <c r="L139" s="7">
        <f>+Tabla14[[#This Row],[ RV Producción mes n+1]]*Tabla14[[#This Row],[% Uti. producción]]</f>
        <v>0</v>
      </c>
      <c r="M139" s="7">
        <f>IFERROR(VLOOKUP(Tabla14[[#This Row],[Material]],'[9]TD Stock'!$B:$C,2,FALSE),0)</f>
        <v>58740.849000000017</v>
      </c>
      <c r="N139" s="7">
        <f>IFERROR(VLOOKUP(Tabla14[[#This Row],[Material]],'[10]Consolidado planificación'!$B:$C,2,FALSE),0)</f>
        <v>15825.733636697067</v>
      </c>
      <c r="O139" s="7">
        <f>IFERROR(VLOOKUP(Tabla14[[#This Row],[Llave]],[11]Hoja2!$D:$G,4,FALSE),0)</f>
        <v>0</v>
      </c>
      <c r="P139" s="14">
        <f>SUM(Tabla14[[#This Row],[Producción disponible]],Tabla14[[#This Row],[Stock al día]],(Tabla14[[#This Row],[Por producir mes N]]*0.9))-Tabla14[[#This Row],[Producción por despachar mes N]]</f>
        <v>72984.009273027375</v>
      </c>
      <c r="Q139" s="7">
        <f>IFERROR(VLOOKUP(Tabla14[[#This Row],[Llave]],[9]DELAY!$A:$D,4,FALSE),0)</f>
        <v>0</v>
      </c>
      <c r="R139" s="9">
        <v>23000</v>
      </c>
      <c r="S139" s="5">
        <f t="shared" si="7"/>
        <v>0</v>
      </c>
      <c r="T139" s="76">
        <v>0</v>
      </c>
      <c r="U139" s="5">
        <f>+Tabla14[[#This Row],[Atraso a facturar]]+Tabla14[[#This Row],[Ajuste atraso]]</f>
        <v>0</v>
      </c>
      <c r="V139" s="3">
        <f>+Tabla14[[#This Row],[Total disponible]]-Tabla14[[#This Row],[Facturación atraso]]</f>
        <v>72984.009273027375</v>
      </c>
      <c r="W139" s="6">
        <f>IFERROR(IF(AND(V139&gt;R139,J139&gt;=R139),ROUNDDOWN((Tabla14[[#This Row],[Producción para venta nueva]])/R139,0)*R139,0),0)</f>
        <v>0</v>
      </c>
      <c r="X139" s="76">
        <v>0</v>
      </c>
      <c r="Y139" s="6">
        <f>IF(Tabla14[[#This Row],[Venta del mes]]&gt;0,Tabla14[[#This Row],[Venta del mes]]+Tabla14[[#This Row],[Ajuste venta nueva]],0)</f>
        <v>0</v>
      </c>
      <c r="Z139" s="6">
        <f>+Tabla14[[#This Row],[Producción para venta nueva]]-Tabla14[[#This Row],[Facturación Venta nueva]]</f>
        <v>72984.009273027375</v>
      </c>
      <c r="AA139" s="6">
        <f>IF(AND(A139=1,Tabla14[[#This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39" s="6">
        <v>0</v>
      </c>
      <c r="AC139" s="6">
        <f>IF(Tabla14[[#This Row],[Disponible stock sin venta]]&gt;0,Tabla14[[#This Row],[Disponible stock sin venta]]+Tabla14[[#This Row],[Ajuste stock sin venta]],0)</f>
        <v>0</v>
      </c>
      <c r="AD139" s="3">
        <f>IFERROR(VLOOKUP(Tabla14[[#This Row],[Llave]],[12]Hoja1!$A:$D,4,FALSE),0)</f>
        <v>0</v>
      </c>
      <c r="AE13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39" s="3">
        <v>0</v>
      </c>
      <c r="AG139" s="3">
        <f>+Tabla14[[#This Row],[En puerto a facturar]]</f>
        <v>0</v>
      </c>
      <c r="AH139" s="3">
        <f>+Tabla14[[#This Row],[Facturación atraso]]</f>
        <v>0</v>
      </c>
      <c r="AI139" s="3">
        <f>+Tabla14[[#This Row],[Plan Irrestricto (DATO)]]-Tabla14[[#This Row],[Puerto ]]-Tabla14[[#This Row],[Atraso]]</f>
        <v>0</v>
      </c>
      <c r="AJ13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39" s="3">
        <f>+Tabla14[[#This Row],[Facturación atraso]]</f>
        <v>0</v>
      </c>
      <c r="AL139" s="3">
        <f>Tabla14[[#This Row],[Plan Ajustado]]-Tabla14[[#This Row],[ Atraso ajustado]]-Tabla14[[#This Row],[En puerto a facturar]]</f>
        <v>0</v>
      </c>
      <c r="AM139" s="3">
        <v>0</v>
      </c>
      <c r="AN139" s="3"/>
      <c r="AO139" s="3" t="str">
        <f>IF(Tabla14[[#This Row],[Plan Ajustado]]&gt;Tabla14[[#This Row],[En puerto a facturar]],"Si","No")</f>
        <v>No</v>
      </c>
      <c r="AP13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39" s="3">
        <f>IF(Tabla14[[#This Row],[Necesidad]]&gt;=Tabla14[[#This Row],[Stock al día]],Tabla14[[#This Row],[Stock al día]],Tabla14[[#This Row],[Necesidad]])</f>
        <v>0</v>
      </c>
      <c r="AR139" s="3">
        <f>+Tabla14[[#This Row],[Necesidad]]-Tabla14[[#This Row],[Stock Plan]]</f>
        <v>0</v>
      </c>
      <c r="AS139" s="155">
        <f>VLOOKUP(Tabla14[[#This Row],[Sector]]&amp;Tabla14[[#This Row],[Oficina]],[8]Ponderación!$A:$H,8,FALSE)</f>
        <v>44814</v>
      </c>
      <c r="AT139" s="30">
        <f>IFERROR(VLOOKUP(Tabla14[[#This Row],[Llave]],'[6]RV plan de ventas'!$A:$F,6,FALSE),0)</f>
        <v>0</v>
      </c>
      <c r="AU139" s="83">
        <f>IFERROR(VLOOKUP(Tabla14[[#This Row],[Llave]],[9]DELAY!$H:$X,17,FALSE),0)</f>
        <v>0</v>
      </c>
      <c r="AV13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39" s="5">
        <f>Tabla14[[#This Row],[Pecio plan]]*Tabla14[[#This Row],[Plan Ajustado]]</f>
        <v>0</v>
      </c>
      <c r="AX139" s="30">
        <f>IFERROR(VLOOKUP(Tabla14[[#This Row],[Llave]],'[13]Ultimos precios facturados'!$A:$G,7,FALSE),0)</f>
        <v>1.7376307295444997</v>
      </c>
      <c r="AY13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39" s="30">
        <f>IFERROR(VLOOKUP(Tabla14[[#This Row],[Llave]],Hoja2!B:K,10,FALSE),0)</f>
        <v>1.7755270833333325</v>
      </c>
      <c r="BA13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39" s="30">
        <v>0</v>
      </c>
      <c r="BC139" s="30">
        <f>IF(Tabla14[[#This Row],[Market]]=0,Tabla14[[#This Row],[Precio Final]],Tabla14[[#This Row],[Market]])</f>
        <v>0</v>
      </c>
      <c r="BD139" s="82"/>
      <c r="BE139" s="82" t="str">
        <f>IF(AND(Tabla14[[#This Row],[Atraso a facturar]]&gt;0,Tabla14[[#This Row],[En puerto a facturar]]&gt;0,Tabla14[[#This Row],[Precio Atraso]]=0),"Revisar","OK")</f>
        <v>OK</v>
      </c>
      <c r="BF139" s="82" t="str">
        <f>IF(AND(Tabla14[[#This Row],[Venta del mes]]&gt;0,Tabla14[[#This Row],[Precio venta nueva]]=0),"Revisar","OK")</f>
        <v>OK</v>
      </c>
      <c r="BG139" s="20">
        <f>IFERROR(VLOOKUP(Tabla14[[#This Row],[Llave]],'[5]Consolidación planes'!$A:$M,9,FALSE),0)</f>
        <v>8596</v>
      </c>
      <c r="BH139" s="20">
        <f>IFERROR(VLOOKUP(Tabla14[[#This Row],[Llave]],'[5]Consolidación planes'!$A:$M,10,FALSE),0)</f>
        <v>0</v>
      </c>
      <c r="BI139" s="20">
        <f>IFERROR(VLOOKUP(Tabla14[[#This Row],[Llave]],'[5]Consolidación planes'!$A:$M,11,FALSE),0)</f>
        <v>8956</v>
      </c>
      <c r="BJ139" s="20">
        <f>IFERROR(VLOOKUP(Tabla14[[#This Row],[Llave]],'[5]Consolidación planes'!$A:$M,12,FALSE),0)</f>
        <v>0</v>
      </c>
      <c r="BK139" s="20">
        <f>IFERROR(VLOOKUP(Tabla14[[#This Row],[Llave]],'[5]Consolidación planes'!$A:$M,13,FALSE),0)</f>
        <v>0</v>
      </c>
      <c r="BL139" s="20">
        <f>IFERROR(VLOOKUP(Tabla14[[#This Row],[Llave]],'[13]Base ultimos planes'!$A:$M,13,FALSE),0)</f>
        <v>0</v>
      </c>
      <c r="BM139" s="20">
        <f>IFERROR(VLOOKUP(Tabla14[[#This Row],[Llave]],'[13]Cruce plan irrestricto'!$C:$M,10,FALSE),0)</f>
        <v>48000</v>
      </c>
      <c r="BN139" s="20">
        <f>IFERROR(VLOOKUP(Tabla14[[#This Row],[Llave]],'[13]Cruce plan irrestricto'!$C:$M,11,FALSE),0)</f>
        <v>96000</v>
      </c>
      <c r="BO139" s="80">
        <f>IFERROR(VLOOKUP(Tabla14[[#This Row],[Llave]],'[13]Base ultimos planes'!$O:$AA,8,FALSE),0)</f>
        <v>9025.7999999999993</v>
      </c>
      <c r="BP139" s="20">
        <f>IFERROR(VLOOKUP(Tabla14[[#This Row],[Llave]],'[13]Base ultimos planes'!$O:$AA,9,FALSE),0)</f>
        <v>0</v>
      </c>
      <c r="BQ139" s="20">
        <f>IFERROR(VLOOKUP(Tabla14[[#This Row],[Llave]],'[13]Base ultimos planes'!$O:$AA,10,FALSE),0)</f>
        <v>9255</v>
      </c>
      <c r="BR139" s="20">
        <f>IFERROR(VLOOKUP(Tabla14[[#This Row],[Llave]],'[13]Base ultimos planes'!$O:$AA,11,FALSE),0)</f>
        <v>0</v>
      </c>
      <c r="BS139" s="20">
        <f>IFERROR(VLOOKUP(Tabla14[[#This Row],[Llave]],'[13]Base ultimos planes'!$O:$AA,12,FALSE),0)</f>
        <v>0</v>
      </c>
      <c r="BT139" s="20">
        <f>IFERROR(VLOOKUP(Tabla14[[#This Row],[Llave]],'[13]Base ultimos planes'!$O:$AA,13,FALSE),0)</f>
        <v>0</v>
      </c>
      <c r="BU139" s="20"/>
      <c r="BV139" s="20">
        <f>Tabla14[[#This Row],[ RV Producción mes n+1]]-Tabla14[[#This Row],[Producción disponible]]+Tabla14[[#This Row],[Saldo Volumen disponible]]</f>
        <v>72984.009273027375</v>
      </c>
      <c r="BW139" s="20">
        <f>IFERROR(VLOOKUP(Tabla14[[#This Row],[Llave]],[14]Hoja2!$J:$N,4,FALSE),0)</f>
        <v>0</v>
      </c>
      <c r="BX139" s="20">
        <f>+Tabla14[[#This Row],[Asignación mes n+1]]*Tabla14[[#This Row],[% Uti. producción]]</f>
        <v>0</v>
      </c>
      <c r="BY139" s="20">
        <f>+Tabla14[[#This Row],[Ponderación mes n+1]]+Tabla14[[#This Row],[Saldo mes n-1]]</f>
        <v>72984.009273027375</v>
      </c>
      <c r="BZ139" s="20">
        <f>+Tabla14[[#This Row],[Asignación mes n+1]]-Tabla14[[#This Row],[Ponderación mes n+1]]</f>
        <v>0</v>
      </c>
      <c r="CA139" s="20">
        <f>IFERROR(VLOOKUP(Tabla14[[#This Row],[Llave]],[14]Hoja2!$J:$N,5,FALSE),0)</f>
        <v>0</v>
      </c>
      <c r="CB139" s="20">
        <f>+Tabla14[[#This Row],[Asignación mes n+2]]*Tabla14[[#This Row],[% Uti. producción]]</f>
        <v>0</v>
      </c>
      <c r="CC139" s="20">
        <f>+Tabla14[[#This Row],[Saldo mes n+2]]+Tabla14[[#This Row],[Ponderación mes n+2]]</f>
        <v>0</v>
      </c>
      <c r="CD139" s="20">
        <f>+Tabla14[[#This Row],[Asignación mes n+2]]-Tabla14[[#This Row],[Ponderación mes n+2]]</f>
        <v>0</v>
      </c>
    </row>
    <row r="140" spans="1:82" ht="16" x14ac:dyDescent="0.2">
      <c r="A140">
        <v>2</v>
      </c>
      <c r="B140" t="str">
        <f>Tabla14[[#This Row],[Oficina]]&amp;Tabla14[[#This Row],[Material]]</f>
        <v>Agrosuper Shanghai1022856</v>
      </c>
      <c r="C140" t="s">
        <v>6</v>
      </c>
      <c r="D140" t="s">
        <v>140</v>
      </c>
      <c r="E140">
        <v>1022856</v>
      </c>
      <c r="F140" t="s">
        <v>149</v>
      </c>
      <c r="G140" t="s">
        <v>11</v>
      </c>
      <c r="H140" t="s">
        <v>41</v>
      </c>
      <c r="I140" s="7">
        <f>IFERROR(IF(Tabla14[[#This Row],[Oficina]]=$I$7,VLOOKUP(Tabla14[[#This Row],[Material]],'[6]RV Producción'!$Y:$AA,3,FALSE),VLOOKUP(Tabla14[[#This Row],[Llave]],'[6]RV Producción'!$C:$G,5,FALSE)),0)</f>
        <v>136422</v>
      </c>
      <c r="J140" s="7">
        <f>IFERROR(IF(Tabla14[[#This Row],[Oficina]]=$I$7,VLOOKUP(Tabla14[[#This Row],[Llave]],'[7]Shangai (Tomas)'!$A:$F,6,FALSE),VLOOKUP(Tabla14[[#This Row],[Llave]],'[6]RV plan de ventas'!$A:$E,5,FALSE)),0)</f>
        <v>0</v>
      </c>
      <c r="K140" s="8">
        <f>IFERROR(VLOOKUP(Tabla14[[#This Row],[Sector]]&amp;Tabla14[[#This Row],[Oficina]],[8]Ponderación!$A$3:$G$22,7,FALSE),0)</f>
        <v>0.38476266834449474</v>
      </c>
      <c r="L140" s="7">
        <f>+Tabla14[[#This Row],[ RV Producción mes n+1]]*Tabla14[[#This Row],[% Uti. producción]]</f>
        <v>52490.092740892658</v>
      </c>
      <c r="M140" s="7">
        <f>IFERROR(VLOOKUP(Tabla14[[#This Row],[Material]],'[9]TD Stock'!$B:$C,2,FALSE),0)</f>
        <v>38319.00499999999</v>
      </c>
      <c r="N140" s="7">
        <f>IFERROR(VLOOKUP(Tabla14[[#This Row],[Material]],'[10]Consolidado planificación'!$B:$C,2,FALSE),0)</f>
        <v>50478.071942095048</v>
      </c>
      <c r="O140" s="7">
        <f>IFERROR(VLOOKUP(Tabla14[[#This Row],[Llave]],[11]Hoja2!$D:$G,4,FALSE),0)</f>
        <v>0</v>
      </c>
      <c r="P140" s="14">
        <f>SUM(Tabla14[[#This Row],[Producción disponible]],Tabla14[[#This Row],[Stock al día]],(Tabla14[[#This Row],[Por producir mes N]]*0.9))-Tabla14[[#This Row],[Producción por despachar mes N]]</f>
        <v>136239.36248877819</v>
      </c>
      <c r="Q140" s="7">
        <f>IFERROR(VLOOKUP(Tabla14[[#This Row],[Llave]],[9]DELAY!$A:$D,4,FALSE),0)</f>
        <v>0</v>
      </c>
      <c r="R140" s="9">
        <v>23000</v>
      </c>
      <c r="S140" s="5">
        <f t="shared" si="7"/>
        <v>0</v>
      </c>
      <c r="T140" s="76">
        <v>0</v>
      </c>
      <c r="U140" s="5">
        <f>+Tabla14[[#This Row],[Atraso a facturar]]+Tabla14[[#This Row],[Ajuste atraso]]</f>
        <v>0</v>
      </c>
      <c r="V140" s="3">
        <f>+Tabla14[[#This Row],[Total disponible]]-Tabla14[[#This Row],[Facturación atraso]]</f>
        <v>136239.36248877819</v>
      </c>
      <c r="W140" s="6">
        <f>IFERROR(IF(AND(V140&gt;R140,J140&gt;=R140),ROUNDDOWN((Tabla14[[#This Row],[Producción para venta nueva]])/R140,0)*R140,0),0)</f>
        <v>0</v>
      </c>
      <c r="X140" s="76">
        <v>0</v>
      </c>
      <c r="Y140" s="6">
        <f>IF(Tabla14[[#This Row],[Venta del mes]]&gt;0,Tabla14[[#This Row],[Venta del mes]]+Tabla14[[#This Row],[Ajuste venta nueva]],0)</f>
        <v>0</v>
      </c>
      <c r="Z140" s="6">
        <f>+Tabla14[[#This Row],[Producción para venta nueva]]-Tabla14[[#This Row],[Facturación Venta nueva]]</f>
        <v>136239.36248877819</v>
      </c>
      <c r="AA140" s="6">
        <f>IF(AND(A140=1,Tabla14[[#This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0" s="6">
        <v>0</v>
      </c>
      <c r="AC140" s="6">
        <f>IF(Tabla14[[#This Row],[Disponible stock sin venta]]&gt;0,Tabla14[[#This Row],[Disponible stock sin venta]]+Tabla14[[#This Row],[Ajuste stock sin venta]],0)</f>
        <v>0</v>
      </c>
      <c r="AD140" s="3">
        <f>IFERROR(VLOOKUP(Tabla14[[#This Row],[Llave]],[12]Hoja1!$A:$D,4,FALSE),0)</f>
        <v>0</v>
      </c>
      <c r="AE14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40" s="3">
        <v>0</v>
      </c>
      <c r="AG140" s="3">
        <f>+Tabla14[[#This Row],[En puerto a facturar]]</f>
        <v>0</v>
      </c>
      <c r="AH140" s="3">
        <f>+Tabla14[[#This Row],[Facturación atraso]]</f>
        <v>0</v>
      </c>
      <c r="AI140" s="3">
        <f>+Tabla14[[#This Row],[Plan Irrestricto (DATO)]]-Tabla14[[#This Row],[Puerto ]]-Tabla14[[#This Row],[Atraso]]</f>
        <v>0</v>
      </c>
      <c r="AJ14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40" s="3">
        <f>+Tabla14[[#This Row],[Facturación atraso]]</f>
        <v>0</v>
      </c>
      <c r="AL140" s="3">
        <f>Tabla14[[#This Row],[Plan Ajustado]]-Tabla14[[#This Row],[ Atraso ajustado]]-Tabla14[[#This Row],[En puerto a facturar]]</f>
        <v>0</v>
      </c>
      <c r="AM140" s="3">
        <v>0</v>
      </c>
      <c r="AN140" s="3"/>
      <c r="AO140" s="3" t="str">
        <f>IF(Tabla14[[#This Row],[Plan Ajustado]]&gt;Tabla14[[#This Row],[En puerto a facturar]],"Si","No")</f>
        <v>No</v>
      </c>
      <c r="AP14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40" s="3">
        <f>IF(Tabla14[[#This Row],[Necesidad]]&gt;=Tabla14[[#This Row],[Stock al día]],Tabla14[[#This Row],[Stock al día]],Tabla14[[#This Row],[Necesidad]])</f>
        <v>0</v>
      </c>
      <c r="AR140" s="3">
        <f>+Tabla14[[#This Row],[Necesidad]]-Tabla14[[#This Row],[Stock Plan]]</f>
        <v>0</v>
      </c>
      <c r="AS140" s="155">
        <f>VLOOKUP(Tabla14[[#This Row],[Sector]]&amp;Tabla14[[#This Row],[Oficina]],[8]Ponderación!$A:$H,8,FALSE)</f>
        <v>44814</v>
      </c>
      <c r="AT140" s="30">
        <f>IFERROR(VLOOKUP(Tabla14[[#This Row],[Llave]],'[6]RV plan de ventas'!$A:$F,6,FALSE),0)</f>
        <v>0</v>
      </c>
      <c r="AU140" s="83">
        <f>IFERROR(VLOOKUP(Tabla14[[#This Row],[Llave]],[9]DELAY!$H:$X,17,FALSE),0)</f>
        <v>0</v>
      </c>
      <c r="AV14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40" s="5">
        <f>Tabla14[[#This Row],[Pecio plan]]*Tabla14[[#This Row],[Plan Ajustado]]</f>
        <v>0</v>
      </c>
      <c r="AX140" s="30">
        <f>IFERROR(VLOOKUP(Tabla14[[#This Row],[Llave]],'[13]Ultimos precios facturados'!$A:$G,7,FALSE),0)</f>
        <v>0.96277822676154889</v>
      </c>
      <c r="AY14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40" s="30">
        <f>IFERROR(VLOOKUP(Tabla14[[#This Row],[Llave]],Hoja2!B:K,10,FALSE),0)</f>
        <v>1.25833333333333</v>
      </c>
      <c r="BA14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40" s="30">
        <v>0</v>
      </c>
      <c r="BC140" s="30">
        <f>IF(Tabla14[[#This Row],[Market]]=0,Tabla14[[#This Row],[Precio Final]],Tabla14[[#This Row],[Market]])</f>
        <v>0</v>
      </c>
      <c r="BD140" s="82"/>
      <c r="BE140" s="82" t="str">
        <f>IF(AND(Tabla14[[#This Row],[Atraso a facturar]]&gt;0,Tabla14[[#This Row],[En puerto a facturar]]&gt;0,Tabla14[[#This Row],[Precio Atraso]]=0),"Revisar","OK")</f>
        <v>OK</v>
      </c>
      <c r="BF140" s="82" t="str">
        <f>IF(AND(Tabla14[[#This Row],[Venta del mes]]&gt;0,Tabla14[[#This Row],[Precio venta nueva]]=0),"Revisar","OK")</f>
        <v>OK</v>
      </c>
      <c r="BG140" s="20">
        <f>IFERROR(VLOOKUP(Tabla14[[#This Row],[Llave]],'[5]Consolidación planes'!$A:$M,9,FALSE),0)</f>
        <v>96000</v>
      </c>
      <c r="BH140" s="20">
        <f>IFERROR(VLOOKUP(Tabla14[[#This Row],[Llave]],'[5]Consolidación planes'!$A:$M,10,FALSE),0)</f>
        <v>24000</v>
      </c>
      <c r="BI140" s="20">
        <f>IFERROR(VLOOKUP(Tabla14[[#This Row],[Llave]],'[5]Consolidación planes'!$A:$M,11,FALSE),0)</f>
        <v>120000</v>
      </c>
      <c r="BJ140" s="20">
        <f>IFERROR(VLOOKUP(Tabla14[[#This Row],[Llave]],'[5]Consolidación planes'!$A:$M,12,FALSE),0)</f>
        <v>120000</v>
      </c>
      <c r="BK140" s="20">
        <f>IFERROR(VLOOKUP(Tabla14[[#This Row],[Llave]],'[5]Consolidación planes'!$A:$M,13,FALSE),0)</f>
        <v>96000</v>
      </c>
      <c r="BL140" s="20">
        <f>IFERROR(VLOOKUP(Tabla14[[#This Row],[Llave]],'[13]Base ultimos planes'!$A:$M,13,FALSE),0)</f>
        <v>73012</v>
      </c>
      <c r="BM140" s="20">
        <f>IFERROR(VLOOKUP(Tabla14[[#This Row],[Llave]],'[13]Cruce plan irrestricto'!$C:$M,10,FALSE),0)</f>
        <v>97015</v>
      </c>
      <c r="BN140" s="20">
        <f>IFERROR(VLOOKUP(Tabla14[[#This Row],[Llave]],'[13]Cruce plan irrestricto'!$C:$M,11,FALSE),0)</f>
        <v>120000</v>
      </c>
      <c r="BO140" s="80">
        <f>IFERROR(VLOOKUP(Tabla14[[#This Row],[Llave]],'[13]Base ultimos planes'!$O:$AA,8,FALSE),0)</f>
        <v>59626.666700000002</v>
      </c>
      <c r="BP140" s="20">
        <f>IFERROR(VLOOKUP(Tabla14[[#This Row],[Llave]],'[13]Base ultimos planes'!$O:$AA,9,FALSE),0)</f>
        <v>14400</v>
      </c>
      <c r="BQ140" s="20">
        <f>IFERROR(VLOOKUP(Tabla14[[#This Row],[Llave]],'[13]Base ultimos planes'!$O:$AA,10,FALSE),0)</f>
        <v>90000</v>
      </c>
      <c r="BR140" s="20">
        <f>IFERROR(VLOOKUP(Tabla14[[#This Row],[Llave]],'[13]Base ultimos planes'!$O:$AA,11,FALSE),0)</f>
        <v>89108</v>
      </c>
      <c r="BS140" s="20">
        <f>IFERROR(VLOOKUP(Tabla14[[#This Row],[Llave]],'[13]Base ultimos planes'!$O:$AA,12,FALSE),0)</f>
        <v>84901</v>
      </c>
      <c r="BT140" s="20">
        <f>IFERROR(VLOOKUP(Tabla14[[#This Row],[Llave]],'[13]Base ultimos planes'!$O:$AA,13,FALSE),0)</f>
        <v>66191</v>
      </c>
      <c r="BU140" s="20"/>
      <c r="BV140" s="20">
        <f>Tabla14[[#This Row],[ RV Producción mes n+1]]-Tabla14[[#This Row],[Producción disponible]]+Tabla14[[#This Row],[Saldo Volumen disponible]]</f>
        <v>220171.26974788553</v>
      </c>
      <c r="BW140" s="20">
        <f>IFERROR(VLOOKUP(Tabla14[[#This Row],[Llave]],[14]Hoja2!$J:$N,4,FALSE),0)</f>
        <v>0</v>
      </c>
      <c r="BX140" s="20">
        <f>+Tabla14[[#This Row],[Asignación mes n+1]]*Tabla14[[#This Row],[% Uti. producción]]</f>
        <v>0</v>
      </c>
      <c r="BY140" s="20">
        <f>+Tabla14[[#This Row],[Ponderación mes n+1]]+Tabla14[[#This Row],[Saldo mes n-1]]</f>
        <v>220171.26974788553</v>
      </c>
      <c r="BZ140" s="20">
        <f>+Tabla14[[#This Row],[Asignación mes n+1]]-Tabla14[[#This Row],[Ponderación mes n+1]]</f>
        <v>0</v>
      </c>
      <c r="CA140" s="20">
        <f>IFERROR(VLOOKUP(Tabla14[[#This Row],[Llave]],[14]Hoja2!$J:$N,5,FALSE),0)</f>
        <v>0</v>
      </c>
      <c r="CB140" s="20">
        <f>+Tabla14[[#This Row],[Asignación mes n+2]]*Tabla14[[#This Row],[% Uti. producción]]</f>
        <v>0</v>
      </c>
      <c r="CC140" s="20">
        <f>+Tabla14[[#This Row],[Saldo mes n+2]]+Tabla14[[#This Row],[Ponderación mes n+2]]</f>
        <v>0</v>
      </c>
      <c r="CD140" s="20">
        <f>+Tabla14[[#This Row],[Asignación mes n+2]]-Tabla14[[#This Row],[Ponderación mes n+2]]</f>
        <v>0</v>
      </c>
    </row>
    <row r="141" spans="1:82" ht="16" x14ac:dyDescent="0.2">
      <c r="A141">
        <v>2</v>
      </c>
      <c r="B141" t="str">
        <f>Tabla14[[#This Row],[Oficina]]&amp;Tabla14[[#This Row],[Material]]</f>
        <v>Agrosuper Shanghai1022945</v>
      </c>
      <c r="C141" t="s">
        <v>6</v>
      </c>
      <c r="D141" t="s">
        <v>140</v>
      </c>
      <c r="E141">
        <v>1022945</v>
      </c>
      <c r="F141" t="s">
        <v>150</v>
      </c>
      <c r="G141" t="s">
        <v>11</v>
      </c>
      <c r="H141" t="s">
        <v>47</v>
      </c>
      <c r="I141" s="7">
        <f>IFERROR(IF(Tabla14[[#This Row],[Oficina]]=$I$7,VLOOKUP(Tabla14[[#This Row],[Material]],'[6]RV Producción'!$Y:$AA,3,FALSE),VLOOKUP(Tabla14[[#This Row],[Llave]],'[6]RV Producción'!$C:$G,5,FALSE)),0)</f>
        <v>307160</v>
      </c>
      <c r="J141" s="7">
        <f>IFERROR(IF(Tabla14[[#This Row],[Oficina]]=$I$7,VLOOKUP(Tabla14[[#This Row],[Llave]],'[7]Shangai (Tomas)'!$A:$F,6,FALSE),VLOOKUP(Tabla14[[#This Row],[Llave]],'[6]RV plan de ventas'!$A:$E,5,FALSE)),0)</f>
        <v>0</v>
      </c>
      <c r="K141" s="8">
        <f>IFERROR(VLOOKUP(Tabla14[[#This Row],[Sector]]&amp;Tabla14[[#This Row],[Oficina]],[8]Ponderación!$A$3:$G$22,7,FALSE),0)</f>
        <v>0.38476266834449474</v>
      </c>
      <c r="L141" s="7">
        <f>+Tabla14[[#This Row],[ RV Producción mes n+1]]*Tabla14[[#This Row],[% Uti. producción]]</f>
        <v>118183.701208695</v>
      </c>
      <c r="M141" s="7">
        <f>IFERROR(VLOOKUP(Tabla14[[#This Row],[Material]],'[9]TD Stock'!$B:$C,2,FALSE),0)</f>
        <v>67545.149999999994</v>
      </c>
      <c r="N141" s="7">
        <f>IFERROR(VLOOKUP(Tabla14[[#This Row],[Material]],'[10]Consolidado planificación'!$B:$C,2,FALSE),0)</f>
        <v>48101.357815844269</v>
      </c>
      <c r="O141" s="7">
        <f>IFERROR(VLOOKUP(Tabla14[[#This Row],[Llave]],[11]Hoja2!$D:$G,4,FALSE),0)</f>
        <v>0</v>
      </c>
      <c r="P141" s="14">
        <f>SUM(Tabla14[[#This Row],[Producción disponible]],Tabla14[[#This Row],[Stock al día]],(Tabla14[[#This Row],[Por producir mes N]]*0.9))-Tabla14[[#This Row],[Producción por despachar mes N]]</f>
        <v>229020.07324295482</v>
      </c>
      <c r="Q141" s="7">
        <f>IFERROR(VLOOKUP(Tabla14[[#This Row],[Llave]],[9]DELAY!$A:$D,4,FALSE),0)</f>
        <v>0</v>
      </c>
      <c r="R141" s="9">
        <v>23000</v>
      </c>
      <c r="S141" s="5">
        <f t="shared" si="7"/>
        <v>0</v>
      </c>
      <c r="T141" s="76">
        <v>0</v>
      </c>
      <c r="U141" s="5">
        <f>+Tabla14[[#This Row],[Atraso a facturar]]+Tabla14[[#This Row],[Ajuste atraso]]</f>
        <v>0</v>
      </c>
      <c r="V141" s="3">
        <f>+Tabla14[[#This Row],[Total disponible]]-Tabla14[[#This Row],[Facturación atraso]]</f>
        <v>229020.07324295482</v>
      </c>
      <c r="W141" s="6">
        <f>IFERROR(IF(AND(V141&gt;R141,J141&gt;=R141),ROUNDDOWN((Tabla14[[#This Row],[Producción para venta nueva]])/R141,0)*R141,0),0)</f>
        <v>0</v>
      </c>
      <c r="X141" s="76">
        <v>0</v>
      </c>
      <c r="Y141" s="6">
        <f>IF(Tabla14[[#This Row],[Venta del mes]]&gt;0,Tabla14[[#This Row],[Venta del mes]]+Tabla14[[#This Row],[Ajuste venta nueva]],0)</f>
        <v>0</v>
      </c>
      <c r="Z141" s="6">
        <f>+Tabla14[[#This Row],[Producción para venta nueva]]-Tabla14[[#This Row],[Facturación Venta nueva]]</f>
        <v>229020.07324295482</v>
      </c>
      <c r="AA141" s="6">
        <f>IF(AND(A141=1,Tabla14[[#This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1" s="6">
        <v>0</v>
      </c>
      <c r="AC141" s="6">
        <f>IF(Tabla14[[#This Row],[Disponible stock sin venta]]&gt;0,Tabla14[[#This Row],[Disponible stock sin venta]]+Tabla14[[#This Row],[Ajuste stock sin venta]],0)</f>
        <v>0</v>
      </c>
      <c r="AD141" s="3">
        <f>IFERROR(VLOOKUP(Tabla14[[#This Row],[Llave]],[12]Hoja1!$A:$D,4,FALSE),0)</f>
        <v>0</v>
      </c>
      <c r="AE14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41" s="3">
        <v>0</v>
      </c>
      <c r="AG141" s="3">
        <f>+Tabla14[[#This Row],[En puerto a facturar]]</f>
        <v>0</v>
      </c>
      <c r="AH141" s="3">
        <f>+Tabla14[[#This Row],[Facturación atraso]]</f>
        <v>0</v>
      </c>
      <c r="AI141" s="3">
        <f>+Tabla14[[#This Row],[Plan Irrestricto (DATO)]]-Tabla14[[#This Row],[Puerto ]]-Tabla14[[#This Row],[Atraso]]</f>
        <v>0</v>
      </c>
      <c r="AJ14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41" s="3">
        <f>+Tabla14[[#This Row],[Facturación atraso]]</f>
        <v>0</v>
      </c>
      <c r="AL141" s="3">
        <f>Tabla14[[#This Row],[Plan Ajustado]]-Tabla14[[#This Row],[ Atraso ajustado]]-Tabla14[[#This Row],[En puerto a facturar]]</f>
        <v>0</v>
      </c>
      <c r="AM141" s="3">
        <v>0</v>
      </c>
      <c r="AN141" s="3"/>
      <c r="AO141" s="3" t="str">
        <f>IF(Tabla14[[#This Row],[Plan Ajustado]]&gt;Tabla14[[#This Row],[En puerto a facturar]],"Si","No")</f>
        <v>No</v>
      </c>
      <c r="AP14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41" s="3">
        <f>IF(Tabla14[[#This Row],[Necesidad]]&gt;=Tabla14[[#This Row],[Stock al día]],Tabla14[[#This Row],[Stock al día]],Tabla14[[#This Row],[Necesidad]])</f>
        <v>0</v>
      </c>
      <c r="AR141" s="3">
        <f>+Tabla14[[#This Row],[Necesidad]]-Tabla14[[#This Row],[Stock Plan]]</f>
        <v>0</v>
      </c>
      <c r="AS141" s="155">
        <f>VLOOKUP(Tabla14[[#This Row],[Sector]]&amp;Tabla14[[#This Row],[Oficina]],[8]Ponderación!$A:$H,8,FALSE)</f>
        <v>44814</v>
      </c>
      <c r="AT141" s="30">
        <f>IFERROR(VLOOKUP(Tabla14[[#This Row],[Llave]],'[6]RV plan de ventas'!$A:$F,6,FALSE),0)</f>
        <v>0</v>
      </c>
      <c r="AU141" s="83">
        <f>IFERROR(VLOOKUP(Tabla14[[#This Row],[Llave]],[9]DELAY!$H:$X,17,FALSE),0)</f>
        <v>0</v>
      </c>
      <c r="AV14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41" s="5">
        <f>Tabla14[[#This Row],[Pecio plan]]*Tabla14[[#This Row],[Plan Ajustado]]</f>
        <v>0</v>
      </c>
      <c r="AX141" s="30">
        <f>IFERROR(VLOOKUP(Tabla14[[#This Row],[Llave]],'[13]Ultimos precios facturados'!$A:$G,7,FALSE),0)</f>
        <v>1.1966437737237294</v>
      </c>
      <c r="AY14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41" s="30">
        <f>IFERROR(VLOOKUP(Tabla14[[#This Row],[Llave]],Hoja2!B:K,10,FALSE),0)</f>
        <v>1.2303454270274354</v>
      </c>
      <c r="BA14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41" s="30">
        <v>0</v>
      </c>
      <c r="BC141" s="30">
        <f>IF(Tabla14[[#This Row],[Market]]=0,Tabla14[[#This Row],[Precio Final]],Tabla14[[#This Row],[Market]])</f>
        <v>0</v>
      </c>
      <c r="BD141" s="82"/>
      <c r="BE141" s="82" t="str">
        <f>IF(AND(Tabla14[[#This Row],[Atraso a facturar]]&gt;0,Tabla14[[#This Row],[En puerto a facturar]]&gt;0,Tabla14[[#This Row],[Precio Atraso]]=0),"Revisar","OK")</f>
        <v>OK</v>
      </c>
      <c r="BF141" s="82" t="str">
        <f>IF(AND(Tabla14[[#This Row],[Venta del mes]]&gt;0,Tabla14[[#This Row],[Precio venta nueva]]=0),"Revisar","OK")</f>
        <v>OK</v>
      </c>
      <c r="BG141" s="20">
        <f>IFERROR(VLOOKUP(Tabla14[[#This Row],[Llave]],'[5]Consolidación planes'!$A:$M,9,FALSE),0)</f>
        <v>144000</v>
      </c>
      <c r="BH141" s="20">
        <f>IFERROR(VLOOKUP(Tabla14[[#This Row],[Llave]],'[5]Consolidación planes'!$A:$M,10,FALSE),0)</f>
        <v>0</v>
      </c>
      <c r="BI141" s="20">
        <f>IFERROR(VLOOKUP(Tabla14[[#This Row],[Llave]],'[5]Consolidación planes'!$A:$M,11,FALSE),0)</f>
        <v>0</v>
      </c>
      <c r="BJ141" s="20">
        <f>IFERROR(VLOOKUP(Tabla14[[#This Row],[Llave]],'[5]Consolidación planes'!$A:$M,12,FALSE),0)</f>
        <v>0</v>
      </c>
      <c r="BK141" s="20">
        <f>IFERROR(VLOOKUP(Tabla14[[#This Row],[Llave]],'[5]Consolidación planes'!$A:$M,13,FALSE),0)</f>
        <v>48000</v>
      </c>
      <c r="BL141" s="20">
        <f>IFERROR(VLOOKUP(Tabla14[[#This Row],[Llave]],'[13]Base ultimos planes'!$A:$M,13,FALSE),0)</f>
        <v>48140</v>
      </c>
      <c r="BM141" s="20">
        <f>IFERROR(VLOOKUP(Tabla14[[#This Row],[Llave]],'[13]Cruce plan irrestricto'!$C:$M,10,FALSE),0)</f>
        <v>120040</v>
      </c>
      <c r="BN141" s="20">
        <f>IFERROR(VLOOKUP(Tabla14[[#This Row],[Llave]],'[13]Cruce plan irrestricto'!$C:$M,11,FALSE),0)</f>
        <v>96600</v>
      </c>
      <c r="BO141" s="80">
        <f>IFERROR(VLOOKUP(Tabla14[[#This Row],[Llave]],'[13]Base ultimos planes'!$O:$AA,8,FALSE),0)</f>
        <v>94200</v>
      </c>
      <c r="BP141" s="20">
        <f>IFERROR(VLOOKUP(Tabla14[[#This Row],[Llave]],'[13]Base ultimos planes'!$O:$AA,9,FALSE),0)</f>
        <v>0</v>
      </c>
      <c r="BQ141" s="20">
        <f>IFERROR(VLOOKUP(Tabla14[[#This Row],[Llave]],'[13]Base ultimos planes'!$O:$AA,10,FALSE),0)</f>
        <v>0</v>
      </c>
      <c r="BR141" s="20">
        <f>IFERROR(VLOOKUP(Tabla14[[#This Row],[Llave]],'[13]Base ultimos planes'!$O:$AA,11,FALSE),0)</f>
        <v>0</v>
      </c>
      <c r="BS141" s="20">
        <f>IFERROR(VLOOKUP(Tabla14[[#This Row],[Llave]],'[13]Base ultimos planes'!$O:$AA,12,FALSE),0)</f>
        <v>46080</v>
      </c>
      <c r="BT141" s="20">
        <f>IFERROR(VLOOKUP(Tabla14[[#This Row],[Llave]],'[13]Base ultimos planes'!$O:$AA,13,FALSE),0)</f>
        <v>45412</v>
      </c>
      <c r="BU141" s="20"/>
      <c r="BV141" s="20">
        <f>Tabla14[[#This Row],[ RV Producción mes n+1]]-Tabla14[[#This Row],[Producción disponible]]+Tabla14[[#This Row],[Saldo Volumen disponible]]</f>
        <v>417996.37203425984</v>
      </c>
      <c r="BW141" s="20">
        <f>IFERROR(VLOOKUP(Tabla14[[#This Row],[Llave]],[14]Hoja2!$J:$N,4,FALSE),0)</f>
        <v>0</v>
      </c>
      <c r="BX141" s="20">
        <f>+Tabla14[[#This Row],[Asignación mes n+1]]*Tabla14[[#This Row],[% Uti. producción]]</f>
        <v>0</v>
      </c>
      <c r="BY141" s="20">
        <f>+Tabla14[[#This Row],[Ponderación mes n+1]]+Tabla14[[#This Row],[Saldo mes n-1]]</f>
        <v>417996.37203425984</v>
      </c>
      <c r="BZ141" s="20">
        <f>+Tabla14[[#This Row],[Asignación mes n+1]]-Tabla14[[#This Row],[Ponderación mes n+1]]</f>
        <v>0</v>
      </c>
      <c r="CA141" s="20">
        <f>IFERROR(VLOOKUP(Tabla14[[#This Row],[Llave]],[14]Hoja2!$J:$N,5,FALSE),0)</f>
        <v>0</v>
      </c>
      <c r="CB141" s="20">
        <f>+Tabla14[[#This Row],[Asignación mes n+2]]*Tabla14[[#This Row],[% Uti. producción]]</f>
        <v>0</v>
      </c>
      <c r="CC141" s="20">
        <f>+Tabla14[[#This Row],[Saldo mes n+2]]+Tabla14[[#This Row],[Ponderación mes n+2]]</f>
        <v>0</v>
      </c>
      <c r="CD141" s="20">
        <f>+Tabla14[[#This Row],[Asignación mes n+2]]-Tabla14[[#This Row],[Ponderación mes n+2]]</f>
        <v>0</v>
      </c>
    </row>
    <row r="142" spans="1:82" ht="16" x14ac:dyDescent="0.2">
      <c r="A142">
        <v>2</v>
      </c>
      <c r="B142" t="str">
        <f>Tabla14[[#This Row],[Oficina]]&amp;Tabla14[[#This Row],[Material]]</f>
        <v>Agrosuper Shanghai1023034</v>
      </c>
      <c r="C142" t="s">
        <v>6</v>
      </c>
      <c r="D142" t="s">
        <v>140</v>
      </c>
      <c r="E142">
        <v>1023034</v>
      </c>
      <c r="F142" t="s">
        <v>143</v>
      </c>
      <c r="G142" t="s">
        <v>8</v>
      </c>
      <c r="H142" t="s">
        <v>30</v>
      </c>
      <c r="I142" s="7">
        <f>IFERROR(IF(Tabla14[[#This Row],[Oficina]]=$I$7,VLOOKUP(Tabla14[[#This Row],[Material]],'[6]RV Producción'!$Y:$AA,3,FALSE),VLOOKUP(Tabla14[[#This Row],[Llave]],'[6]RV Producción'!$C:$G,5,FALSE)),0)</f>
        <v>71359</v>
      </c>
      <c r="J142" s="7">
        <f>IFERROR(IF(Tabla14[[#This Row],[Oficina]]=$I$7,VLOOKUP(Tabla14[[#This Row],[Llave]],'[7]Shangai (Tomas)'!$A:$F,6,FALSE),VLOOKUP(Tabla14[[#This Row],[Llave]],'[6]RV plan de ventas'!$A:$E,5,FALSE)),0)</f>
        <v>0</v>
      </c>
      <c r="K142" s="8">
        <f>IFERROR(VLOOKUP(Tabla14[[#This Row],[Sector]]&amp;Tabla14[[#This Row],[Oficina]],[8]Ponderación!$A$3:$G$22,7,FALSE),0)</f>
        <v>0.38476266834449474</v>
      </c>
      <c r="L142" s="7">
        <f>+Tabla14[[#This Row],[ RV Producción mes n+1]]*Tabla14[[#This Row],[% Uti. producción]]</f>
        <v>27456.2792503948</v>
      </c>
      <c r="M142" s="7">
        <f>IFERROR(VLOOKUP(Tabla14[[#This Row],[Material]],'[9]TD Stock'!$B:$C,2,FALSE),0)</f>
        <v>10160</v>
      </c>
      <c r="N142" s="7">
        <f>IFERROR(VLOOKUP(Tabla14[[#This Row],[Material]],'[10]Consolidado planificación'!$B:$C,2,FALSE),0)</f>
        <v>0</v>
      </c>
      <c r="O142" s="7">
        <f>IFERROR(VLOOKUP(Tabla14[[#This Row],[Llave]],[11]Hoja2!$D:$G,4,FALSE),0)</f>
        <v>0</v>
      </c>
      <c r="P142" s="14">
        <f>SUM(Tabla14[[#This Row],[Producción disponible]],Tabla14[[#This Row],[Stock al día]],(Tabla14[[#This Row],[Por producir mes N]]*0.9))-Tabla14[[#This Row],[Producción por despachar mes N]]</f>
        <v>37616.2792503948</v>
      </c>
      <c r="Q142" s="7">
        <f>IFERROR(VLOOKUP(Tabla14[[#This Row],[Llave]],[9]DELAY!$A:$D,4,FALSE),0)</f>
        <v>0</v>
      </c>
      <c r="R142" s="9">
        <v>23000</v>
      </c>
      <c r="S142" s="5">
        <f t="shared" si="7"/>
        <v>0</v>
      </c>
      <c r="T142" s="76">
        <v>0</v>
      </c>
      <c r="U142" s="5">
        <f>+Tabla14[[#This Row],[Atraso a facturar]]+Tabla14[[#This Row],[Ajuste atraso]]</f>
        <v>0</v>
      </c>
      <c r="V142" s="3">
        <f>+Tabla14[[#This Row],[Total disponible]]-Tabla14[[#This Row],[Facturación atraso]]</f>
        <v>37616.2792503948</v>
      </c>
      <c r="W142" s="6">
        <f>IFERROR(IF(AND(V142&gt;R142,J142&gt;=R142),ROUNDDOWN((Tabla14[[#This Row],[Producción para venta nueva]])/R142,0)*R142,0),0)</f>
        <v>0</v>
      </c>
      <c r="X142" s="76">
        <v>0</v>
      </c>
      <c r="Y142" s="6">
        <f>IF(Tabla14[[#This Row],[Venta del mes]]&gt;0,Tabla14[[#This Row],[Venta del mes]]+Tabla14[[#This Row],[Ajuste venta nueva]],0)</f>
        <v>0</v>
      </c>
      <c r="Z142" s="6">
        <f>+Tabla14[[#This Row],[Producción para venta nueva]]-Tabla14[[#This Row],[Facturación Venta nueva]]</f>
        <v>37616.2792503948</v>
      </c>
      <c r="AA142" s="6">
        <f>IF(AND(A142=1,Tabla14[[#This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2" s="6">
        <v>0</v>
      </c>
      <c r="AC142" s="6">
        <f>IF(Tabla14[[#This Row],[Disponible stock sin venta]]&gt;0,Tabla14[[#This Row],[Disponible stock sin venta]]+Tabla14[[#This Row],[Ajuste stock sin venta]],0)</f>
        <v>0</v>
      </c>
      <c r="AD142" s="3">
        <f>IFERROR(VLOOKUP(Tabla14[[#This Row],[Llave]],[12]Hoja1!$A:$D,4,FALSE),0)</f>
        <v>0</v>
      </c>
      <c r="AE14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42" s="3">
        <v>0</v>
      </c>
      <c r="AG142" s="3">
        <f>+Tabla14[[#This Row],[En puerto a facturar]]</f>
        <v>0</v>
      </c>
      <c r="AH142" s="3">
        <f>+Tabla14[[#This Row],[Facturación atraso]]</f>
        <v>0</v>
      </c>
      <c r="AI142" s="3">
        <f>+Tabla14[[#This Row],[Plan Irrestricto (DATO)]]-Tabla14[[#This Row],[Puerto ]]-Tabla14[[#This Row],[Atraso]]</f>
        <v>0</v>
      </c>
      <c r="AJ14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42" s="3">
        <f>+Tabla14[[#This Row],[Facturación atraso]]</f>
        <v>0</v>
      </c>
      <c r="AL142" s="3">
        <f>Tabla14[[#This Row],[Plan Ajustado]]-Tabla14[[#This Row],[ Atraso ajustado]]-Tabla14[[#This Row],[En puerto a facturar]]</f>
        <v>0</v>
      </c>
      <c r="AM142" s="3">
        <v>0</v>
      </c>
      <c r="AN142" s="3"/>
      <c r="AO142" s="3" t="str">
        <f>IF(Tabla14[[#This Row],[Plan Ajustado]]&gt;Tabla14[[#This Row],[En puerto a facturar]],"Si","No")</f>
        <v>No</v>
      </c>
      <c r="AP14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42" s="3">
        <f>IF(Tabla14[[#This Row],[Necesidad]]&gt;=Tabla14[[#This Row],[Stock al día]],Tabla14[[#This Row],[Stock al día]],Tabla14[[#This Row],[Necesidad]])</f>
        <v>0</v>
      </c>
      <c r="AR142" s="3">
        <f>+Tabla14[[#This Row],[Necesidad]]-Tabla14[[#This Row],[Stock Plan]]</f>
        <v>0</v>
      </c>
      <c r="AS142" s="155">
        <f>VLOOKUP(Tabla14[[#This Row],[Sector]]&amp;Tabla14[[#This Row],[Oficina]],[8]Ponderación!$A:$H,8,FALSE)</f>
        <v>44814</v>
      </c>
      <c r="AT142" s="30">
        <f>IFERROR(VLOOKUP(Tabla14[[#This Row],[Llave]],'[6]RV plan de ventas'!$A:$F,6,FALSE),0)</f>
        <v>0</v>
      </c>
      <c r="AU142" s="83">
        <f>IFERROR(VLOOKUP(Tabla14[[#This Row],[Llave]],[9]DELAY!$H:$X,17,FALSE),0)</f>
        <v>0</v>
      </c>
      <c r="AV14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42" s="5">
        <f>Tabla14[[#This Row],[Pecio plan]]*Tabla14[[#This Row],[Plan Ajustado]]</f>
        <v>0</v>
      </c>
      <c r="AX142" s="30">
        <f>IFERROR(VLOOKUP(Tabla14[[#This Row],[Llave]],'[13]Ultimos precios facturados'!$A:$G,7,FALSE),0)</f>
        <v>0.71877046736891992</v>
      </c>
      <c r="AY14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42" s="30">
        <f>IFERROR(VLOOKUP(Tabla14[[#This Row],[Llave]],Hoja2!B:K,10,FALSE),0)</f>
        <v>0.73333333333333284</v>
      </c>
      <c r="BA14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42" s="30">
        <v>0</v>
      </c>
      <c r="BC142" s="30">
        <f>IF(Tabla14[[#This Row],[Market]]=0,Tabla14[[#This Row],[Precio Final]],Tabla14[[#This Row],[Market]])</f>
        <v>0</v>
      </c>
      <c r="BD142" s="82"/>
      <c r="BE142" s="82" t="str">
        <f>IF(AND(Tabla14[[#This Row],[Atraso a facturar]]&gt;0,Tabla14[[#This Row],[En puerto a facturar]]&gt;0,Tabla14[[#This Row],[Precio Atraso]]=0),"Revisar","OK")</f>
        <v>OK</v>
      </c>
      <c r="BF142" s="82" t="str">
        <f>IF(AND(Tabla14[[#This Row],[Venta del mes]]&gt;0,Tabla14[[#This Row],[Precio venta nueva]]=0),"Revisar","OK")</f>
        <v>OK</v>
      </c>
      <c r="BG142" s="20">
        <f>IFERROR(VLOOKUP(Tabla14[[#This Row],[Llave]],'[5]Consolidación planes'!$A:$M,9,FALSE),0)</f>
        <v>120000</v>
      </c>
      <c r="BH142" s="20">
        <f>IFERROR(VLOOKUP(Tabla14[[#This Row],[Llave]],'[5]Consolidación planes'!$A:$M,10,FALSE),0)</f>
        <v>96000</v>
      </c>
      <c r="BI142" s="20">
        <f>IFERROR(VLOOKUP(Tabla14[[#This Row],[Llave]],'[5]Consolidación planes'!$A:$M,11,FALSE),0)</f>
        <v>24000</v>
      </c>
      <c r="BJ142" s="20">
        <f>IFERROR(VLOOKUP(Tabla14[[#This Row],[Llave]],'[5]Consolidación planes'!$A:$M,12,FALSE),0)</f>
        <v>120000</v>
      </c>
      <c r="BK142" s="20">
        <f>IFERROR(VLOOKUP(Tabla14[[#This Row],[Llave]],'[5]Consolidación planes'!$A:$M,13,FALSE),0)</f>
        <v>72100</v>
      </c>
      <c r="BL142" s="20">
        <f>IFERROR(VLOOKUP(Tabla14[[#This Row],[Llave]],'[13]Base ultimos planes'!$A:$M,13,FALSE),0)</f>
        <v>72000</v>
      </c>
      <c r="BM142" s="20">
        <f>IFERROR(VLOOKUP(Tabla14[[#This Row],[Llave]],'[13]Cruce plan irrestricto'!$C:$M,10,FALSE),0)</f>
        <v>217320</v>
      </c>
      <c r="BN142" s="20">
        <f>IFERROR(VLOOKUP(Tabla14[[#This Row],[Llave]],'[13]Cruce plan irrestricto'!$C:$M,11,FALSE),0)</f>
        <v>168240</v>
      </c>
      <c r="BO142" s="80">
        <f>IFERROR(VLOOKUP(Tabla14[[#This Row],[Llave]],'[13]Base ultimos planes'!$O:$AA,8,FALSE),0)</f>
        <v>34000</v>
      </c>
      <c r="BP142" s="20">
        <f>IFERROR(VLOOKUP(Tabla14[[#This Row],[Llave]],'[13]Base ultimos planes'!$O:$AA,9,FALSE),0)</f>
        <v>29760</v>
      </c>
      <c r="BQ142" s="20">
        <f>IFERROR(VLOOKUP(Tabla14[[#This Row],[Llave]],'[13]Base ultimos planes'!$O:$AA,10,FALSE),0)</f>
        <v>7039</v>
      </c>
      <c r="BR142" s="20">
        <f>IFERROR(VLOOKUP(Tabla14[[#This Row],[Llave]],'[13]Base ultimos planes'!$O:$AA,11,FALSE),0)</f>
        <v>42744</v>
      </c>
      <c r="BS142" s="20">
        <f>IFERROR(VLOOKUP(Tabla14[[#This Row],[Llave]],'[13]Base ultimos planes'!$O:$AA,12,FALSE),0)</f>
        <v>37227</v>
      </c>
      <c r="BT142" s="20">
        <f>IFERROR(VLOOKUP(Tabla14[[#This Row],[Llave]],'[13]Base ultimos planes'!$O:$AA,13,FALSE),0)</f>
        <v>54000</v>
      </c>
      <c r="BU142" s="20"/>
      <c r="BV142" s="20">
        <f>Tabla14[[#This Row],[ RV Producción mes n+1]]-Tabla14[[#This Row],[Producción disponible]]+Tabla14[[#This Row],[Saldo Volumen disponible]]</f>
        <v>81519</v>
      </c>
      <c r="BW142" s="20">
        <f>IFERROR(VLOOKUP(Tabla14[[#This Row],[Llave]],[14]Hoja2!$J:$N,4,FALSE),0)</f>
        <v>0</v>
      </c>
      <c r="BX142" s="20">
        <f>+Tabla14[[#This Row],[Asignación mes n+1]]*Tabla14[[#This Row],[% Uti. producción]]</f>
        <v>0</v>
      </c>
      <c r="BY142" s="20">
        <f>+Tabla14[[#This Row],[Ponderación mes n+1]]+Tabla14[[#This Row],[Saldo mes n-1]]</f>
        <v>81519</v>
      </c>
      <c r="BZ142" s="20">
        <f>+Tabla14[[#This Row],[Asignación mes n+1]]-Tabla14[[#This Row],[Ponderación mes n+1]]</f>
        <v>0</v>
      </c>
      <c r="CA142" s="20">
        <f>IFERROR(VLOOKUP(Tabla14[[#This Row],[Llave]],[14]Hoja2!$J:$N,5,FALSE),0)</f>
        <v>0</v>
      </c>
      <c r="CB142" s="20">
        <f>+Tabla14[[#This Row],[Asignación mes n+2]]*Tabla14[[#This Row],[% Uti. producción]]</f>
        <v>0</v>
      </c>
      <c r="CC142" s="20">
        <f>+Tabla14[[#This Row],[Saldo mes n+2]]+Tabla14[[#This Row],[Ponderación mes n+2]]</f>
        <v>0</v>
      </c>
      <c r="CD142" s="20">
        <f>+Tabla14[[#This Row],[Asignación mes n+2]]-Tabla14[[#This Row],[Ponderación mes n+2]]</f>
        <v>0</v>
      </c>
    </row>
    <row r="143" spans="1:82" ht="16" x14ac:dyDescent="0.2">
      <c r="A143">
        <v>2</v>
      </c>
      <c r="B143" t="str">
        <f>Tabla14[[#This Row],[Oficina]]&amp;Tabla14[[#This Row],[Material]]</f>
        <v>Agrosuper Shanghai1023093</v>
      </c>
      <c r="C143" t="s">
        <v>6</v>
      </c>
      <c r="D143" t="s">
        <v>140</v>
      </c>
      <c r="E143">
        <v>1023093</v>
      </c>
      <c r="F143" t="s">
        <v>306</v>
      </c>
      <c r="G143" t="s">
        <v>71</v>
      </c>
      <c r="H143" t="s">
        <v>72</v>
      </c>
      <c r="I143" s="7">
        <f>IFERROR(IF(Tabla14[[#This Row],[Oficina]]=$I$7,VLOOKUP(Tabla14[[#This Row],[Material]],'[6]RV Producción'!$Y:$AA,3,FALSE),VLOOKUP(Tabla14[[#This Row],[Llave]],'[6]RV Producción'!$C:$G,5,FALSE)),0)</f>
        <v>64626</v>
      </c>
      <c r="J143" s="7">
        <f>IFERROR(IF(Tabla14[[#This Row],[Oficina]]=$I$7,VLOOKUP(Tabla14[[#This Row],[Llave]],'[7]Shangai (Tomas)'!$A:$F,6,FALSE),VLOOKUP(Tabla14[[#This Row],[Llave]],'[6]RV plan de ventas'!$A:$E,5,FALSE)),0)</f>
        <v>0</v>
      </c>
      <c r="K143" s="8">
        <f>IFERROR(VLOOKUP(Tabla14[[#This Row],[Sector]]&amp;Tabla14[[#This Row],[Oficina]],[8]Ponderación!$A$3:$G$22,7,FALSE),0)</f>
        <v>0.38476266834449474</v>
      </c>
      <c r="L143" s="7">
        <f>+Tabla14[[#This Row],[ RV Producción mes n+1]]*Tabla14[[#This Row],[% Uti. producción]]</f>
        <v>24865.672204431317</v>
      </c>
      <c r="M143" s="7">
        <f>IFERROR(VLOOKUP(Tabla14[[#This Row],[Material]],'[9]TD Stock'!$B:$C,2,FALSE),0)</f>
        <v>28383.17</v>
      </c>
      <c r="N143" s="7">
        <f>IFERROR(VLOOKUP(Tabla14[[#This Row],[Material]],'[10]Consolidado planificación'!$B:$C,2,FALSE),0)</f>
        <v>14243</v>
      </c>
      <c r="O143" s="7">
        <f>IFERROR(VLOOKUP(Tabla14[[#This Row],[Llave]],[11]Hoja2!$D:$G,4,FALSE),0)</f>
        <v>0</v>
      </c>
      <c r="P143" s="14">
        <f>SUM(Tabla14[[#This Row],[Producción disponible]],Tabla14[[#This Row],[Stock al día]],(Tabla14[[#This Row],[Por producir mes N]]*0.9))-Tabla14[[#This Row],[Producción por despachar mes N]]</f>
        <v>66067.542204431316</v>
      </c>
      <c r="Q143" s="7">
        <f>IFERROR(VLOOKUP(Tabla14[[#This Row],[Llave]],[9]DELAY!$A:$D,4,FALSE),0)</f>
        <v>0</v>
      </c>
      <c r="R143" s="9">
        <v>23000</v>
      </c>
      <c r="S143" s="5">
        <f t="shared" si="7"/>
        <v>0</v>
      </c>
      <c r="T143" s="76">
        <v>0</v>
      </c>
      <c r="U143" s="5">
        <f>+Tabla14[[#This Row],[Atraso a facturar]]+Tabla14[[#This Row],[Ajuste atraso]]</f>
        <v>0</v>
      </c>
      <c r="V143" s="3">
        <f>+Tabla14[[#This Row],[Total disponible]]-Tabla14[[#This Row],[Facturación atraso]]</f>
        <v>66067.542204431316</v>
      </c>
      <c r="W143" s="6">
        <f>IFERROR(IF(AND(V143&gt;R143,J143&gt;=R143),ROUNDDOWN((Tabla14[[#This Row],[Producción para venta nueva]])/R143,0)*R143,0),0)</f>
        <v>0</v>
      </c>
      <c r="X143" s="76">
        <v>0</v>
      </c>
      <c r="Y143" s="6">
        <f>IF(Tabla14[[#This Row],[Venta del mes]]&gt;0,Tabla14[[#This Row],[Venta del mes]]+Tabla14[[#This Row],[Ajuste venta nueva]],0)</f>
        <v>0</v>
      </c>
      <c r="Z143" s="6">
        <f>+Tabla14[[#This Row],[Producción para venta nueva]]-Tabla14[[#This Row],[Facturación Venta nueva]]</f>
        <v>66067.542204431316</v>
      </c>
      <c r="AA143" s="6">
        <f>IF(AND(A143=1,Tabla14[[#This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3" s="6">
        <v>0</v>
      </c>
      <c r="AC143" s="6">
        <f>IF(Tabla14[[#This Row],[Disponible stock sin venta]]&gt;0,Tabla14[[#This Row],[Disponible stock sin venta]]+Tabla14[[#This Row],[Ajuste stock sin venta]],0)</f>
        <v>0</v>
      </c>
      <c r="AD143" s="3">
        <f>IFERROR(VLOOKUP(Tabla14[[#This Row],[Llave]],[12]Hoja1!$A:$D,4,FALSE),0)</f>
        <v>0</v>
      </c>
      <c r="AE14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43" s="3">
        <v>0</v>
      </c>
      <c r="AG143" s="3">
        <f>+Tabla14[[#This Row],[En puerto a facturar]]</f>
        <v>0</v>
      </c>
      <c r="AH143" s="3">
        <f>+Tabla14[[#This Row],[Facturación atraso]]</f>
        <v>0</v>
      </c>
      <c r="AI143" s="3">
        <f>+Tabla14[[#This Row],[Plan Irrestricto (DATO)]]-Tabla14[[#This Row],[Puerto ]]-Tabla14[[#This Row],[Atraso]]</f>
        <v>0</v>
      </c>
      <c r="AJ14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43" s="3">
        <f>+Tabla14[[#This Row],[Facturación atraso]]</f>
        <v>0</v>
      </c>
      <c r="AL143" s="3">
        <f>Tabla14[[#This Row],[Plan Ajustado]]-Tabla14[[#This Row],[ Atraso ajustado]]-Tabla14[[#This Row],[En puerto a facturar]]</f>
        <v>0</v>
      </c>
      <c r="AM143" s="3">
        <v>0</v>
      </c>
      <c r="AN143" s="3"/>
      <c r="AO143" s="3" t="str">
        <f>IF(Tabla14[[#This Row],[Plan Ajustado]]&gt;Tabla14[[#This Row],[En puerto a facturar]],"Si","No")</f>
        <v>No</v>
      </c>
      <c r="AP14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43" s="3">
        <f>IF(Tabla14[[#This Row],[Necesidad]]&gt;=Tabla14[[#This Row],[Stock al día]],Tabla14[[#This Row],[Stock al día]],Tabla14[[#This Row],[Necesidad]])</f>
        <v>0</v>
      </c>
      <c r="AR143" s="3">
        <f>+Tabla14[[#This Row],[Necesidad]]-Tabla14[[#This Row],[Stock Plan]]</f>
        <v>0</v>
      </c>
      <c r="AS143" s="155">
        <f>VLOOKUP(Tabla14[[#This Row],[Sector]]&amp;Tabla14[[#This Row],[Oficina]],[8]Ponderación!$A:$H,8,FALSE)</f>
        <v>44814</v>
      </c>
      <c r="AT143" s="30">
        <f>IFERROR(VLOOKUP(Tabla14[[#This Row],[Llave]],'[6]RV plan de ventas'!$A:$F,6,FALSE),0)</f>
        <v>0</v>
      </c>
      <c r="AU143" s="83">
        <f>IFERROR(VLOOKUP(Tabla14[[#This Row],[Llave]],[9]DELAY!$H:$X,17,FALSE),0)</f>
        <v>0</v>
      </c>
      <c r="AV14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43" s="5">
        <f>Tabla14[[#This Row],[Pecio plan]]*Tabla14[[#This Row],[Plan Ajustado]]</f>
        <v>0</v>
      </c>
      <c r="AX143" s="30">
        <f>IFERROR(VLOOKUP(Tabla14[[#This Row],[Llave]],'[13]Ultimos precios facturados'!$A:$G,7,FALSE),0)</f>
        <v>3.8624169164742792</v>
      </c>
      <c r="AY14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43" s="30">
        <f>IFERROR(VLOOKUP(Tabla14[[#This Row],[Llave]],Hoja2!B:K,10,FALSE),0)</f>
        <v>0</v>
      </c>
      <c r="BA14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43" s="30">
        <v>0</v>
      </c>
      <c r="BC143" s="30">
        <f>IF(Tabla14[[#This Row],[Market]]=0,Tabla14[[#This Row],[Precio Final]],Tabla14[[#This Row],[Market]])</f>
        <v>0</v>
      </c>
      <c r="BD143" s="82"/>
      <c r="BE143" s="82" t="str">
        <f>IF(AND(Tabla14[[#This Row],[Atraso a facturar]]&gt;0,Tabla14[[#This Row],[En puerto a facturar]]&gt;0,Tabla14[[#This Row],[Precio Atraso]]=0),"Revisar","OK")</f>
        <v>OK</v>
      </c>
      <c r="BF143" s="82" t="str">
        <f>IF(AND(Tabla14[[#This Row],[Venta del mes]]&gt;0,Tabla14[[#This Row],[Precio venta nueva]]=0),"Revisar","OK")</f>
        <v>OK</v>
      </c>
      <c r="BG143" s="20">
        <f>IFERROR(VLOOKUP(Tabla14[[#This Row],[Llave]],'[5]Consolidación planes'!$A:$M,9,FALSE),0)</f>
        <v>0</v>
      </c>
      <c r="BH143" s="20">
        <f>IFERROR(VLOOKUP(Tabla14[[#This Row],[Llave]],'[5]Consolidación planes'!$A:$M,10,FALSE),0)</f>
        <v>0</v>
      </c>
      <c r="BI143" s="20">
        <f>IFERROR(VLOOKUP(Tabla14[[#This Row],[Llave]],'[5]Consolidación planes'!$A:$M,11,FALSE),0)</f>
        <v>12000</v>
      </c>
      <c r="BJ143" s="20">
        <f>IFERROR(VLOOKUP(Tabla14[[#This Row],[Llave]],'[5]Consolidación planes'!$A:$M,12,FALSE),0)</f>
        <v>12000</v>
      </c>
      <c r="BK143" s="20">
        <f>IFERROR(VLOOKUP(Tabla14[[#This Row],[Llave]],'[5]Consolidación planes'!$A:$M,13,FALSE),0)</f>
        <v>0</v>
      </c>
      <c r="BL143" s="20">
        <f>IFERROR(VLOOKUP(Tabla14[[#This Row],[Llave]],'[13]Base ultimos planes'!$A:$M,13,FALSE),0)</f>
        <v>0</v>
      </c>
      <c r="BM143" s="20">
        <f>IFERROR(VLOOKUP(Tabla14[[#This Row],[Llave]],'[13]Cruce plan irrestricto'!$C:$M,10,FALSE),0)</f>
        <v>90500</v>
      </c>
      <c r="BN143" s="20">
        <f>IFERROR(VLOOKUP(Tabla14[[#This Row],[Llave]],'[13]Cruce plan irrestricto'!$C:$M,11,FALSE),0)</f>
        <v>0</v>
      </c>
      <c r="BO143" s="80">
        <f>IFERROR(VLOOKUP(Tabla14[[#This Row],[Llave]],'[13]Base ultimos planes'!$O:$AA,8,FALSE),0)</f>
        <v>0</v>
      </c>
      <c r="BP143" s="20">
        <f>IFERROR(VLOOKUP(Tabla14[[#This Row],[Llave]],'[13]Base ultimos planes'!$O:$AA,9,FALSE),0)</f>
        <v>0</v>
      </c>
      <c r="BQ143" s="20">
        <f>IFERROR(VLOOKUP(Tabla14[[#This Row],[Llave]],'[13]Base ultimos planes'!$O:$AA,10,FALSE),0)</f>
        <v>41800</v>
      </c>
      <c r="BR143" s="20">
        <f>IFERROR(VLOOKUP(Tabla14[[#This Row],[Llave]],'[13]Base ultimos planes'!$O:$AA,11,FALSE),0)</f>
        <v>20940</v>
      </c>
      <c r="BS143" s="20">
        <f>IFERROR(VLOOKUP(Tabla14[[#This Row],[Llave]],'[13]Base ultimos planes'!$O:$AA,12,FALSE),0)</f>
        <v>0</v>
      </c>
      <c r="BT143" s="20">
        <f>IFERROR(VLOOKUP(Tabla14[[#This Row],[Llave]],'[13]Base ultimos planes'!$O:$AA,13,FALSE),0)</f>
        <v>0</v>
      </c>
      <c r="BU143" s="20"/>
      <c r="BV143" s="20">
        <f>Tabla14[[#This Row],[ RV Producción mes n+1]]-Tabla14[[#This Row],[Producción disponible]]+Tabla14[[#This Row],[Saldo Volumen disponible]]</f>
        <v>105827.87</v>
      </c>
      <c r="BW143" s="20">
        <f>IFERROR(VLOOKUP(Tabla14[[#This Row],[Llave]],[14]Hoja2!$J:$N,4,FALSE),0)</f>
        <v>0</v>
      </c>
      <c r="BX143" s="20">
        <f>+Tabla14[[#This Row],[Asignación mes n+1]]*Tabla14[[#This Row],[% Uti. producción]]</f>
        <v>0</v>
      </c>
      <c r="BY143" s="20">
        <f>+Tabla14[[#This Row],[Ponderación mes n+1]]+Tabla14[[#This Row],[Saldo mes n-1]]</f>
        <v>105827.87</v>
      </c>
      <c r="BZ143" s="20">
        <f>+Tabla14[[#This Row],[Asignación mes n+1]]-Tabla14[[#This Row],[Ponderación mes n+1]]</f>
        <v>0</v>
      </c>
      <c r="CA143" s="20">
        <f>IFERROR(VLOOKUP(Tabla14[[#This Row],[Llave]],[14]Hoja2!$J:$N,5,FALSE),0)</f>
        <v>0</v>
      </c>
      <c r="CB143" s="20">
        <f>+Tabla14[[#This Row],[Asignación mes n+2]]*Tabla14[[#This Row],[% Uti. producción]]</f>
        <v>0</v>
      </c>
      <c r="CC143" s="20">
        <f>+Tabla14[[#This Row],[Saldo mes n+2]]+Tabla14[[#This Row],[Ponderación mes n+2]]</f>
        <v>0</v>
      </c>
      <c r="CD143" s="20">
        <f>+Tabla14[[#This Row],[Asignación mes n+2]]-Tabla14[[#This Row],[Ponderación mes n+2]]</f>
        <v>0</v>
      </c>
    </row>
    <row r="144" spans="1:82" ht="16" x14ac:dyDescent="0.2">
      <c r="A144">
        <v>2</v>
      </c>
      <c r="B144" t="str">
        <f>Tabla14[[#This Row],[Oficina]]&amp;Tabla14[[#This Row],[Material]]</f>
        <v>Agrosuper Shanghai1023111</v>
      </c>
      <c r="C144" t="s">
        <v>6</v>
      </c>
      <c r="D144" t="s">
        <v>140</v>
      </c>
      <c r="E144">
        <v>1023111</v>
      </c>
      <c r="F144" t="s">
        <v>146</v>
      </c>
      <c r="G144" t="s">
        <v>11</v>
      </c>
      <c r="H144" t="s">
        <v>12</v>
      </c>
      <c r="I144" s="7">
        <f>IFERROR(IF(Tabla14[[#This Row],[Oficina]]=$I$7,VLOOKUP(Tabla14[[#This Row],[Material]],'[6]RV Producción'!$Y:$AA,3,FALSE),VLOOKUP(Tabla14[[#This Row],[Llave]],'[6]RV Producción'!$C:$G,5,FALSE)),0)</f>
        <v>8073</v>
      </c>
      <c r="J144" s="7">
        <f>IFERROR(IF(Tabla14[[#This Row],[Oficina]]=$I$7,VLOOKUP(Tabla14[[#This Row],[Llave]],'[7]Shangai (Tomas)'!$A:$F,6,FALSE),VLOOKUP(Tabla14[[#This Row],[Llave]],'[6]RV plan de ventas'!$A:$E,5,FALSE)),0)</f>
        <v>0</v>
      </c>
      <c r="K144" s="8">
        <f>IFERROR(VLOOKUP(Tabla14[[#This Row],[Sector]]&amp;Tabla14[[#This Row],[Oficina]],[8]Ponderación!$A$3:$G$22,7,FALSE),0)</f>
        <v>0.38476266834449474</v>
      </c>
      <c r="L144" s="7">
        <f>+Tabla14[[#This Row],[ RV Producción mes n+1]]*Tabla14[[#This Row],[% Uti. producción]]</f>
        <v>3106.1890215451062</v>
      </c>
      <c r="M144" s="7">
        <f>IFERROR(VLOOKUP(Tabla14[[#This Row],[Material]],'[9]TD Stock'!$B:$C,2,FALSE),0)</f>
        <v>0</v>
      </c>
      <c r="N144" s="7">
        <f>IFERROR(VLOOKUP(Tabla14[[#This Row],[Material]],'[10]Consolidado planificación'!$B:$C,2,FALSE),0)</f>
        <v>0</v>
      </c>
      <c r="O144" s="7">
        <f>IFERROR(VLOOKUP(Tabla14[[#This Row],[Llave]],[11]Hoja2!$D:$G,4,FALSE),0)</f>
        <v>0</v>
      </c>
      <c r="P144" s="14">
        <f>SUM(Tabla14[[#This Row],[Producción disponible]],Tabla14[[#This Row],[Stock al día]],(Tabla14[[#This Row],[Por producir mes N]]*0.9))-Tabla14[[#This Row],[Producción por despachar mes N]]</f>
        <v>3106.1890215451062</v>
      </c>
      <c r="Q144" s="7">
        <f>IFERROR(VLOOKUP(Tabla14[[#This Row],[Llave]],[9]DELAY!$A:$D,4,FALSE),0)</f>
        <v>0</v>
      </c>
      <c r="R144" s="9">
        <v>23000</v>
      </c>
      <c r="S144" s="5">
        <f t="shared" si="7"/>
        <v>0</v>
      </c>
      <c r="T144" s="76">
        <v>0</v>
      </c>
      <c r="U144" s="5">
        <f>+Tabla14[[#This Row],[Atraso a facturar]]+Tabla14[[#This Row],[Ajuste atraso]]</f>
        <v>0</v>
      </c>
      <c r="V144" s="3">
        <f>+Tabla14[[#This Row],[Total disponible]]-Tabla14[[#This Row],[Facturación atraso]]</f>
        <v>3106.1890215451062</v>
      </c>
      <c r="W144" s="6">
        <f>IFERROR(IF(AND(V144&gt;R144,J144&gt;=R144),ROUNDDOWN((Tabla14[[#This Row],[Producción para venta nueva]])/R144,0)*R144,0),0)</f>
        <v>0</v>
      </c>
      <c r="X144" s="76">
        <v>0</v>
      </c>
      <c r="Y144" s="6">
        <f>IF(Tabla14[[#This Row],[Venta del mes]]&gt;0,Tabla14[[#This Row],[Venta del mes]]+Tabla14[[#This Row],[Ajuste venta nueva]],0)</f>
        <v>0</v>
      </c>
      <c r="Z144" s="6">
        <f>+Tabla14[[#This Row],[Producción para venta nueva]]-Tabla14[[#This Row],[Facturación Venta nueva]]</f>
        <v>3106.1890215451062</v>
      </c>
      <c r="AA144" s="6">
        <f>IF(AND(A144=1,Tabla14[[#This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4" s="6">
        <v>0</v>
      </c>
      <c r="AC144" s="6">
        <f>IF(Tabla14[[#This Row],[Disponible stock sin venta]]&gt;0,Tabla14[[#This Row],[Disponible stock sin venta]]+Tabla14[[#This Row],[Ajuste stock sin venta]],0)</f>
        <v>0</v>
      </c>
      <c r="AD144" s="3">
        <f>IFERROR(VLOOKUP(Tabla14[[#This Row],[Llave]],[12]Hoja1!$A:$D,4,FALSE),0)</f>
        <v>0</v>
      </c>
      <c r="AE14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44" s="3">
        <v>0</v>
      </c>
      <c r="AG144" s="3">
        <f>+Tabla14[[#This Row],[En puerto a facturar]]</f>
        <v>0</v>
      </c>
      <c r="AH144" s="3">
        <f>+Tabla14[[#This Row],[Facturación atraso]]</f>
        <v>0</v>
      </c>
      <c r="AI144" s="3">
        <f>+Tabla14[[#This Row],[Plan Irrestricto (DATO)]]-Tabla14[[#This Row],[Puerto ]]-Tabla14[[#This Row],[Atraso]]</f>
        <v>0</v>
      </c>
      <c r="AJ14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44" s="3">
        <f>+Tabla14[[#This Row],[Facturación atraso]]</f>
        <v>0</v>
      </c>
      <c r="AL144" s="3">
        <f>Tabla14[[#This Row],[Plan Ajustado]]-Tabla14[[#This Row],[ Atraso ajustado]]-Tabla14[[#This Row],[En puerto a facturar]]</f>
        <v>0</v>
      </c>
      <c r="AM144" s="3">
        <v>0</v>
      </c>
      <c r="AN144" s="3"/>
      <c r="AO144" s="3" t="str">
        <f>IF(Tabla14[[#This Row],[Plan Ajustado]]&gt;Tabla14[[#This Row],[En puerto a facturar]],"Si","No")</f>
        <v>No</v>
      </c>
      <c r="AP14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44" s="3">
        <f>IF(Tabla14[[#This Row],[Necesidad]]&gt;=Tabla14[[#This Row],[Stock al día]],Tabla14[[#This Row],[Stock al día]],Tabla14[[#This Row],[Necesidad]])</f>
        <v>0</v>
      </c>
      <c r="AR144" s="3">
        <f>+Tabla14[[#This Row],[Necesidad]]-Tabla14[[#This Row],[Stock Plan]]</f>
        <v>0</v>
      </c>
      <c r="AS144" s="155">
        <f>VLOOKUP(Tabla14[[#This Row],[Sector]]&amp;Tabla14[[#This Row],[Oficina]],[8]Ponderación!$A:$H,8,FALSE)</f>
        <v>44814</v>
      </c>
      <c r="AT144" s="30">
        <f>IFERROR(VLOOKUP(Tabla14[[#This Row],[Llave]],'[6]RV plan de ventas'!$A:$F,6,FALSE),0)</f>
        <v>0</v>
      </c>
      <c r="AU144" s="83">
        <f>IFERROR(VLOOKUP(Tabla14[[#This Row],[Llave]],[9]DELAY!$H:$X,17,FALSE),0)</f>
        <v>0</v>
      </c>
      <c r="AV14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44" s="5">
        <f>Tabla14[[#This Row],[Pecio plan]]*Tabla14[[#This Row],[Plan Ajustado]]</f>
        <v>0</v>
      </c>
      <c r="AX144" s="30">
        <f>IFERROR(VLOOKUP(Tabla14[[#This Row],[Llave]],'[13]Ultimos precios facturados'!$A:$G,7,FALSE),0)</f>
        <v>0.66175301342866966</v>
      </c>
      <c r="AY14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44" s="30">
        <f>IFERROR(VLOOKUP(Tabla14[[#This Row],[Llave]],Hoja2!B:K,10,FALSE),0)</f>
        <v>0</v>
      </c>
      <c r="BA14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44" s="30">
        <v>0</v>
      </c>
      <c r="BC144" s="30">
        <f>IF(Tabla14[[#This Row],[Market]]=0,Tabla14[[#This Row],[Precio Final]],Tabla14[[#This Row],[Market]])</f>
        <v>0</v>
      </c>
      <c r="BD144" s="82"/>
      <c r="BE144" s="82" t="str">
        <f>IF(AND(Tabla14[[#This Row],[Atraso a facturar]]&gt;0,Tabla14[[#This Row],[En puerto a facturar]]&gt;0,Tabla14[[#This Row],[Precio Atraso]]=0),"Revisar","OK")</f>
        <v>OK</v>
      </c>
      <c r="BF144" s="82" t="str">
        <f>IF(AND(Tabla14[[#This Row],[Venta del mes]]&gt;0,Tabla14[[#This Row],[Precio venta nueva]]=0),"Revisar","OK")</f>
        <v>OK</v>
      </c>
      <c r="BG144" s="20">
        <f>IFERROR(VLOOKUP(Tabla14[[#This Row],[Llave]],'[5]Consolidación planes'!$A:$M,9,FALSE),0)</f>
        <v>48000</v>
      </c>
      <c r="BH144" s="20">
        <f>IFERROR(VLOOKUP(Tabla14[[#This Row],[Llave]],'[5]Consolidación planes'!$A:$M,10,FALSE),0)</f>
        <v>0</v>
      </c>
      <c r="BI144" s="20">
        <f>IFERROR(VLOOKUP(Tabla14[[#This Row],[Llave]],'[5]Consolidación planes'!$A:$M,11,FALSE),0)</f>
        <v>96000</v>
      </c>
      <c r="BJ144" s="20">
        <f>IFERROR(VLOOKUP(Tabla14[[#This Row],[Llave]],'[5]Consolidación planes'!$A:$M,12,FALSE),0)</f>
        <v>0</v>
      </c>
      <c r="BK144" s="20">
        <f>IFERROR(VLOOKUP(Tabla14[[#This Row],[Llave]],'[5]Consolidación planes'!$A:$M,13,FALSE),0)</f>
        <v>24000</v>
      </c>
      <c r="BL144" s="20">
        <f>IFERROR(VLOOKUP(Tabla14[[#This Row],[Llave]],'[13]Base ultimos planes'!$A:$M,13,FALSE),0)</f>
        <v>0</v>
      </c>
      <c r="BM144" s="20">
        <f>IFERROR(VLOOKUP(Tabla14[[#This Row],[Llave]],'[13]Cruce plan irrestricto'!$C:$M,10,FALSE),0)</f>
        <v>0</v>
      </c>
      <c r="BN144" s="20">
        <f>IFERROR(VLOOKUP(Tabla14[[#This Row],[Llave]],'[13]Cruce plan irrestricto'!$C:$M,11,FALSE),0)</f>
        <v>0</v>
      </c>
      <c r="BO144" s="80">
        <f>IFERROR(VLOOKUP(Tabla14[[#This Row],[Llave]],'[13]Base ultimos planes'!$O:$AA,8,FALSE),0)</f>
        <v>26400</v>
      </c>
      <c r="BP144" s="20">
        <f>IFERROR(VLOOKUP(Tabla14[[#This Row],[Llave]],'[13]Base ultimos planes'!$O:$AA,9,FALSE),0)</f>
        <v>0</v>
      </c>
      <c r="BQ144" s="20">
        <f>IFERROR(VLOOKUP(Tabla14[[#This Row],[Llave]],'[13]Base ultimos planes'!$O:$AA,10,FALSE),0)</f>
        <v>58800</v>
      </c>
      <c r="BR144" s="20">
        <f>IFERROR(VLOOKUP(Tabla14[[#This Row],[Llave]],'[13]Base ultimos planes'!$O:$AA,11,FALSE),0)</f>
        <v>0</v>
      </c>
      <c r="BS144" s="20">
        <f>IFERROR(VLOOKUP(Tabla14[[#This Row],[Llave]],'[13]Base ultimos planes'!$O:$AA,12,FALSE),0)</f>
        <v>18800</v>
      </c>
      <c r="BT144" s="20">
        <f>IFERROR(VLOOKUP(Tabla14[[#This Row],[Llave]],'[13]Base ultimos planes'!$O:$AA,13,FALSE),0)</f>
        <v>0</v>
      </c>
      <c r="BU144" s="20"/>
      <c r="BV144" s="20">
        <f>Tabla14[[#This Row],[ RV Producción mes n+1]]-Tabla14[[#This Row],[Producción disponible]]+Tabla14[[#This Row],[Saldo Volumen disponible]]</f>
        <v>8073</v>
      </c>
      <c r="BW144" s="20">
        <f>IFERROR(VLOOKUP(Tabla14[[#This Row],[Llave]],[14]Hoja2!$J:$N,4,FALSE),0)</f>
        <v>0</v>
      </c>
      <c r="BX144" s="20">
        <f>+Tabla14[[#This Row],[Asignación mes n+1]]*Tabla14[[#This Row],[% Uti. producción]]</f>
        <v>0</v>
      </c>
      <c r="BY144" s="20">
        <f>+Tabla14[[#This Row],[Ponderación mes n+1]]+Tabla14[[#This Row],[Saldo mes n-1]]</f>
        <v>8073</v>
      </c>
      <c r="BZ144" s="20">
        <f>+Tabla14[[#This Row],[Asignación mes n+1]]-Tabla14[[#This Row],[Ponderación mes n+1]]</f>
        <v>0</v>
      </c>
      <c r="CA144" s="20">
        <f>IFERROR(VLOOKUP(Tabla14[[#This Row],[Llave]],[14]Hoja2!$J:$N,5,FALSE),0)</f>
        <v>0</v>
      </c>
      <c r="CB144" s="20">
        <f>+Tabla14[[#This Row],[Asignación mes n+2]]*Tabla14[[#This Row],[% Uti. producción]]</f>
        <v>0</v>
      </c>
      <c r="CC144" s="20">
        <f>+Tabla14[[#This Row],[Saldo mes n+2]]+Tabla14[[#This Row],[Ponderación mes n+2]]</f>
        <v>0</v>
      </c>
      <c r="CD144" s="20">
        <f>+Tabla14[[#This Row],[Asignación mes n+2]]-Tabla14[[#This Row],[Ponderación mes n+2]]</f>
        <v>0</v>
      </c>
    </row>
    <row r="145" spans="1:82" ht="16" x14ac:dyDescent="0.2">
      <c r="A145">
        <v>2</v>
      </c>
      <c r="B145" t="str">
        <f>Tabla14[[#This Row],[Oficina]]&amp;Tabla14[[#This Row],[Material]]</f>
        <v>Agrosuper Shanghai1023131</v>
      </c>
      <c r="C145" t="s">
        <v>6</v>
      </c>
      <c r="D145" t="s">
        <v>140</v>
      </c>
      <c r="E145">
        <v>1023131</v>
      </c>
      <c r="F145" t="s">
        <v>167</v>
      </c>
      <c r="G145" t="s">
        <v>59</v>
      </c>
      <c r="H145" t="s">
        <v>62</v>
      </c>
      <c r="I145" s="7">
        <f>IFERROR(IF(Tabla14[[#This Row],[Oficina]]=$I$7,VLOOKUP(Tabla14[[#This Row],[Material]],'[6]RV Producción'!$Y:$AA,3,FALSE),VLOOKUP(Tabla14[[#This Row],[Llave]],'[6]RV Producción'!$C:$G,5,FALSE)),0)</f>
        <v>0</v>
      </c>
      <c r="J145" s="7">
        <f>IFERROR(IF(Tabla14[[#This Row],[Oficina]]=$I$7,VLOOKUP(Tabla14[[#This Row],[Llave]],'[7]Shangai (Tomas)'!$A:$F,6,FALSE),VLOOKUP(Tabla14[[#This Row],[Llave]],'[6]RV plan de ventas'!$A:$E,5,FALSE)),0)</f>
        <v>0</v>
      </c>
      <c r="K145" s="8">
        <f>IFERROR(VLOOKUP(Tabla14[[#This Row],[Sector]]&amp;Tabla14[[#This Row],[Oficina]],[8]Ponderación!$A$3:$G$22,7,FALSE),0)</f>
        <v>0.38476266834449474</v>
      </c>
      <c r="L145" s="7">
        <f>+Tabla14[[#This Row],[ RV Producción mes n+1]]*Tabla14[[#This Row],[% Uti. producción]]</f>
        <v>0</v>
      </c>
      <c r="M145" s="7">
        <f>IFERROR(VLOOKUP(Tabla14[[#This Row],[Material]],'[9]TD Stock'!$B:$C,2,FALSE),0)</f>
        <v>0</v>
      </c>
      <c r="N145" s="7">
        <f>IFERROR(VLOOKUP(Tabla14[[#This Row],[Material]],'[10]Consolidado planificación'!$B:$C,2,FALSE),0)</f>
        <v>0</v>
      </c>
      <c r="O145" s="7">
        <f>IFERROR(VLOOKUP(Tabla14[[#This Row],[Llave]],[11]Hoja2!$D:$G,4,FALSE),0)</f>
        <v>0</v>
      </c>
      <c r="P145" s="14">
        <f>SUM(Tabla14[[#This Row],[Producción disponible]],Tabla14[[#This Row],[Stock al día]],(Tabla14[[#This Row],[Por producir mes N]]*0.9))-Tabla14[[#This Row],[Producción por despachar mes N]]</f>
        <v>0</v>
      </c>
      <c r="Q145" s="7">
        <f>IFERROR(VLOOKUP(Tabla14[[#This Row],[Llave]],[9]DELAY!$A:$D,4,FALSE),0)</f>
        <v>0</v>
      </c>
      <c r="R145" s="9">
        <v>23000</v>
      </c>
      <c r="S145" s="5">
        <f t="shared" si="7"/>
        <v>0</v>
      </c>
      <c r="T145" s="76">
        <v>0</v>
      </c>
      <c r="U145" s="5">
        <f>+Tabla14[[#This Row],[Atraso a facturar]]+Tabla14[[#This Row],[Ajuste atraso]]</f>
        <v>0</v>
      </c>
      <c r="V145" s="3">
        <f>+Tabla14[[#This Row],[Total disponible]]-Tabla14[[#This Row],[Facturación atraso]]</f>
        <v>0</v>
      </c>
      <c r="W145" s="6">
        <f>IFERROR(IF(AND(V145&gt;R145,J145&gt;=R145),ROUNDDOWN((Tabla14[[#This Row],[Producción para venta nueva]])/R145,0)*R145,0),0)</f>
        <v>0</v>
      </c>
      <c r="X145" s="76">
        <v>0</v>
      </c>
      <c r="Y145" s="6">
        <f>IF(Tabla14[[#This Row],[Venta del mes]]&gt;0,Tabla14[[#This Row],[Venta del mes]]+Tabla14[[#This Row],[Ajuste venta nueva]],0)</f>
        <v>0</v>
      </c>
      <c r="Z145" s="6">
        <f>+Tabla14[[#This Row],[Producción para venta nueva]]-Tabla14[[#This Row],[Facturación Venta nueva]]</f>
        <v>0</v>
      </c>
      <c r="AA145" s="6">
        <f>IF(AND(A145=1,Tabla14[[#This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5" s="6">
        <v>0</v>
      </c>
      <c r="AC145" s="6">
        <f>IF(Tabla14[[#This Row],[Disponible stock sin venta]]&gt;0,Tabla14[[#This Row],[Disponible stock sin venta]]+Tabla14[[#This Row],[Ajuste stock sin venta]],0)</f>
        <v>0</v>
      </c>
      <c r="AD145" s="3">
        <f>IFERROR(VLOOKUP(Tabla14[[#This Row],[Llave]],[12]Hoja1!$A:$D,4,FALSE),0)</f>
        <v>0</v>
      </c>
      <c r="AE14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45" s="3">
        <v>0</v>
      </c>
      <c r="AG145" s="3">
        <f>+Tabla14[[#This Row],[En puerto a facturar]]</f>
        <v>0</v>
      </c>
      <c r="AH145" s="3">
        <f>+Tabla14[[#This Row],[Facturación atraso]]</f>
        <v>0</v>
      </c>
      <c r="AI145" s="3">
        <f>+Tabla14[[#This Row],[Plan Irrestricto (DATO)]]-Tabla14[[#This Row],[Puerto ]]-Tabla14[[#This Row],[Atraso]]</f>
        <v>0</v>
      </c>
      <c r="AJ14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45" s="3">
        <f>+Tabla14[[#This Row],[Facturación atraso]]</f>
        <v>0</v>
      </c>
      <c r="AL145" s="3">
        <f>Tabla14[[#This Row],[Plan Ajustado]]-Tabla14[[#This Row],[ Atraso ajustado]]-Tabla14[[#This Row],[En puerto a facturar]]</f>
        <v>0</v>
      </c>
      <c r="AM145" s="3">
        <v>0</v>
      </c>
      <c r="AN145" s="3"/>
      <c r="AO145" s="3" t="str">
        <f>IF(Tabla14[[#This Row],[Plan Ajustado]]&gt;Tabla14[[#This Row],[En puerto a facturar]],"Si","No")</f>
        <v>No</v>
      </c>
      <c r="AP14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45" s="3">
        <f>IF(Tabla14[[#This Row],[Necesidad]]&gt;=Tabla14[[#This Row],[Stock al día]],Tabla14[[#This Row],[Stock al día]],Tabla14[[#This Row],[Necesidad]])</f>
        <v>0</v>
      </c>
      <c r="AR145" s="3">
        <f>+Tabla14[[#This Row],[Necesidad]]-Tabla14[[#This Row],[Stock Plan]]</f>
        <v>0</v>
      </c>
      <c r="AS145" s="155">
        <f>VLOOKUP(Tabla14[[#This Row],[Sector]]&amp;Tabla14[[#This Row],[Oficina]],[8]Ponderación!$A:$H,8,FALSE)</f>
        <v>44814</v>
      </c>
      <c r="AT145" s="30">
        <f>IFERROR(VLOOKUP(Tabla14[[#This Row],[Llave]],'[6]RV plan de ventas'!$A:$F,6,FALSE),0)</f>
        <v>0</v>
      </c>
      <c r="AU145" s="83">
        <f>IFERROR(VLOOKUP(Tabla14[[#This Row],[Llave]],[9]DELAY!$H:$X,17,FALSE),0)</f>
        <v>0</v>
      </c>
      <c r="AV14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45" s="5">
        <f>Tabla14[[#This Row],[Pecio plan]]*Tabla14[[#This Row],[Plan Ajustado]]</f>
        <v>0</v>
      </c>
      <c r="AX145" s="30">
        <f>IFERROR(VLOOKUP(Tabla14[[#This Row],[Llave]],'[13]Ultimos precios facturados'!$A:$G,7,FALSE),0)</f>
        <v>1.2301029646377153</v>
      </c>
      <c r="AY14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45" s="30">
        <f>IFERROR(VLOOKUP(Tabla14[[#This Row],[Llave]],Hoja2!B:K,10,FALSE),0)</f>
        <v>0</v>
      </c>
      <c r="BA14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45" s="30">
        <v>0</v>
      </c>
      <c r="BC145" s="30">
        <f>IF(Tabla14[[#This Row],[Market]]=0,Tabla14[[#This Row],[Precio Final]],Tabla14[[#This Row],[Market]])</f>
        <v>0</v>
      </c>
      <c r="BD145" s="82"/>
      <c r="BE145" s="82" t="str">
        <f>IF(AND(Tabla14[[#This Row],[Atraso a facturar]]&gt;0,Tabla14[[#This Row],[En puerto a facturar]]&gt;0,Tabla14[[#This Row],[Precio Atraso]]=0),"Revisar","OK")</f>
        <v>OK</v>
      </c>
      <c r="BF145" s="82" t="str">
        <f>IF(AND(Tabla14[[#This Row],[Venta del mes]]&gt;0,Tabla14[[#This Row],[Precio venta nueva]]=0),"Revisar","OK")</f>
        <v>OK</v>
      </c>
      <c r="BG145" s="20">
        <f>IFERROR(VLOOKUP(Tabla14[[#This Row],[Llave]],'[5]Consolidación planes'!$A:$M,9,FALSE),0)</f>
        <v>4224</v>
      </c>
      <c r="BH145" s="20">
        <f>IFERROR(VLOOKUP(Tabla14[[#This Row],[Llave]],'[5]Consolidación planes'!$A:$M,10,FALSE),0)</f>
        <v>0</v>
      </c>
      <c r="BI145" s="20">
        <f>IFERROR(VLOOKUP(Tabla14[[#This Row],[Llave]],'[5]Consolidación planes'!$A:$M,11,FALSE),0)</f>
        <v>4200</v>
      </c>
      <c r="BJ145" s="20">
        <f>IFERROR(VLOOKUP(Tabla14[[#This Row],[Llave]],'[5]Consolidación planes'!$A:$M,12,FALSE),0)</f>
        <v>0</v>
      </c>
      <c r="BK145" s="20">
        <f>IFERROR(VLOOKUP(Tabla14[[#This Row],[Llave]],'[5]Consolidación planes'!$A:$M,13,FALSE),0)</f>
        <v>0</v>
      </c>
      <c r="BL145" s="20">
        <f>IFERROR(VLOOKUP(Tabla14[[#This Row],[Llave]],'[13]Base ultimos planes'!$A:$M,13,FALSE),0)</f>
        <v>0</v>
      </c>
      <c r="BM145" s="20">
        <f>IFERROR(VLOOKUP(Tabla14[[#This Row],[Llave]],'[13]Cruce plan irrestricto'!$C:$M,10,FALSE),0)</f>
        <v>0</v>
      </c>
      <c r="BN145" s="20">
        <f>IFERROR(VLOOKUP(Tabla14[[#This Row],[Llave]],'[13]Cruce plan irrestricto'!$C:$M,11,FALSE),0)</f>
        <v>0</v>
      </c>
      <c r="BO145" s="80">
        <f>IFERROR(VLOOKUP(Tabla14[[#This Row],[Llave]],'[13]Base ultimos planes'!$O:$AA,8,FALSE),0)</f>
        <v>5280</v>
      </c>
      <c r="BP145" s="20">
        <f>IFERROR(VLOOKUP(Tabla14[[#This Row],[Llave]],'[13]Base ultimos planes'!$O:$AA,9,FALSE),0)</f>
        <v>0</v>
      </c>
      <c r="BQ145" s="20">
        <f>IFERROR(VLOOKUP(Tabla14[[#This Row],[Llave]],'[13]Base ultimos planes'!$O:$AA,10,FALSE),0)</f>
        <v>5180</v>
      </c>
      <c r="BR145" s="20">
        <f>IFERROR(VLOOKUP(Tabla14[[#This Row],[Llave]],'[13]Base ultimos planes'!$O:$AA,11,FALSE),0)</f>
        <v>0</v>
      </c>
      <c r="BS145" s="20">
        <f>IFERROR(VLOOKUP(Tabla14[[#This Row],[Llave]],'[13]Base ultimos planes'!$O:$AA,12,FALSE),0)</f>
        <v>0</v>
      </c>
      <c r="BT145" s="20">
        <f>IFERROR(VLOOKUP(Tabla14[[#This Row],[Llave]],'[13]Base ultimos planes'!$O:$AA,13,FALSE),0)</f>
        <v>0</v>
      </c>
      <c r="BU145" s="20"/>
      <c r="BV145" s="20">
        <f>Tabla14[[#This Row],[ RV Producción mes n+1]]-Tabla14[[#This Row],[Producción disponible]]+Tabla14[[#This Row],[Saldo Volumen disponible]]</f>
        <v>0</v>
      </c>
      <c r="BW145" s="20">
        <f>IFERROR(VLOOKUP(Tabla14[[#This Row],[Llave]],[14]Hoja2!$J:$N,4,FALSE),0)</f>
        <v>0</v>
      </c>
      <c r="BX145" s="20">
        <f>+Tabla14[[#This Row],[Asignación mes n+1]]*Tabla14[[#This Row],[% Uti. producción]]</f>
        <v>0</v>
      </c>
      <c r="BY145" s="20">
        <f>+Tabla14[[#This Row],[Ponderación mes n+1]]+Tabla14[[#This Row],[Saldo mes n-1]]</f>
        <v>0</v>
      </c>
      <c r="BZ145" s="20">
        <f>+Tabla14[[#This Row],[Asignación mes n+1]]-Tabla14[[#This Row],[Ponderación mes n+1]]</f>
        <v>0</v>
      </c>
      <c r="CA145" s="20">
        <f>IFERROR(VLOOKUP(Tabla14[[#This Row],[Llave]],[14]Hoja2!$J:$N,5,FALSE),0)</f>
        <v>0</v>
      </c>
      <c r="CB145" s="20">
        <f>+Tabla14[[#This Row],[Asignación mes n+2]]*Tabla14[[#This Row],[% Uti. producción]]</f>
        <v>0</v>
      </c>
      <c r="CC145" s="20">
        <f>+Tabla14[[#This Row],[Saldo mes n+2]]+Tabla14[[#This Row],[Ponderación mes n+2]]</f>
        <v>0</v>
      </c>
      <c r="CD145" s="20">
        <f>+Tabla14[[#This Row],[Asignación mes n+2]]-Tabla14[[#This Row],[Ponderación mes n+2]]</f>
        <v>0</v>
      </c>
    </row>
    <row r="146" spans="1:82" ht="16" x14ac:dyDescent="0.2">
      <c r="A146">
        <v>2</v>
      </c>
      <c r="B146" t="str">
        <f>Tabla14[[#This Row],[Oficina]]&amp;Tabla14[[#This Row],[Material]]</f>
        <v>Agrosuper Shanghai1023306</v>
      </c>
      <c r="C146" t="s">
        <v>6</v>
      </c>
      <c r="D146" t="s">
        <v>140</v>
      </c>
      <c r="E146">
        <v>1023306</v>
      </c>
      <c r="F146" t="s">
        <v>144</v>
      </c>
      <c r="G146" t="s">
        <v>8</v>
      </c>
      <c r="H146" t="s">
        <v>32</v>
      </c>
      <c r="I146" s="7">
        <f>IFERROR(IF(Tabla14[[#This Row],[Oficina]]=$I$7,VLOOKUP(Tabla14[[#This Row],[Material]],'[6]RV Producción'!$Y:$AA,3,FALSE),VLOOKUP(Tabla14[[#This Row],[Llave]],'[6]RV Producción'!$C:$G,5,FALSE)),0)</f>
        <v>0</v>
      </c>
      <c r="J146" s="7">
        <f>IFERROR(IF(Tabla14[[#This Row],[Oficina]]=$I$7,VLOOKUP(Tabla14[[#This Row],[Llave]],'[7]Shangai (Tomas)'!$A:$F,6,FALSE),VLOOKUP(Tabla14[[#This Row],[Llave]],'[6]RV plan de ventas'!$A:$E,5,FALSE)),0)</f>
        <v>0</v>
      </c>
      <c r="K146" s="8">
        <f>IFERROR(VLOOKUP(Tabla14[[#This Row],[Sector]]&amp;Tabla14[[#This Row],[Oficina]],[8]Ponderación!$A$3:$G$22,7,FALSE),0)</f>
        <v>0.38476266834449474</v>
      </c>
      <c r="L146" s="7">
        <f>+Tabla14[[#This Row],[ RV Producción mes n+1]]*Tabla14[[#This Row],[% Uti. producción]]</f>
        <v>0</v>
      </c>
      <c r="M146" s="7">
        <f>IFERROR(VLOOKUP(Tabla14[[#This Row],[Material]],'[9]TD Stock'!$B:$C,2,FALSE),0)</f>
        <v>20</v>
      </c>
      <c r="N146" s="7">
        <f>IFERROR(VLOOKUP(Tabla14[[#This Row],[Material]],'[10]Consolidado planificación'!$B:$C,2,FALSE),0)</f>
        <v>0</v>
      </c>
      <c r="O146" s="7">
        <f>IFERROR(VLOOKUP(Tabla14[[#This Row],[Llave]],[11]Hoja2!$D:$G,4,FALSE),0)</f>
        <v>0</v>
      </c>
      <c r="P146" s="14">
        <f>SUM(Tabla14[[#This Row],[Producción disponible]],Tabla14[[#This Row],[Stock al día]],(Tabla14[[#This Row],[Por producir mes N]]*0.9))-Tabla14[[#This Row],[Producción por despachar mes N]]</f>
        <v>20</v>
      </c>
      <c r="Q146" s="7">
        <f>IFERROR(VLOOKUP(Tabla14[[#This Row],[Llave]],[9]DELAY!$A:$D,4,FALSE),0)</f>
        <v>0</v>
      </c>
      <c r="R146" s="9">
        <v>23000</v>
      </c>
      <c r="S146" s="5">
        <f t="shared" si="7"/>
        <v>0</v>
      </c>
      <c r="T146" s="76">
        <v>0</v>
      </c>
      <c r="U146" s="5">
        <f>+Tabla14[[#This Row],[Atraso a facturar]]+Tabla14[[#This Row],[Ajuste atraso]]</f>
        <v>0</v>
      </c>
      <c r="V146" s="3">
        <f>+Tabla14[[#This Row],[Total disponible]]-Tabla14[[#This Row],[Facturación atraso]]</f>
        <v>20</v>
      </c>
      <c r="W146" s="6">
        <f>IFERROR(IF(AND(V146&gt;R146,J146&gt;=R146),ROUNDDOWN((Tabla14[[#This Row],[Producción para venta nueva]])/R146,0)*R146,0),0)</f>
        <v>0</v>
      </c>
      <c r="X146" s="76">
        <v>0</v>
      </c>
      <c r="Y146" s="6">
        <f>IF(Tabla14[[#This Row],[Venta del mes]]&gt;0,Tabla14[[#This Row],[Venta del mes]]+Tabla14[[#This Row],[Ajuste venta nueva]],0)</f>
        <v>0</v>
      </c>
      <c r="Z146" s="6">
        <f>+Tabla14[[#This Row],[Producción para venta nueva]]-Tabla14[[#This Row],[Facturación Venta nueva]]</f>
        <v>20</v>
      </c>
      <c r="AA146" s="6">
        <f>IF(AND(A146=1,Tabla14[[#This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6" s="6">
        <v>0</v>
      </c>
      <c r="AC146" s="6">
        <f>IF(Tabla14[[#This Row],[Disponible stock sin venta]]&gt;0,Tabla14[[#This Row],[Disponible stock sin venta]]+Tabla14[[#This Row],[Ajuste stock sin venta]],0)</f>
        <v>0</v>
      </c>
      <c r="AD146" s="3">
        <f>IFERROR(VLOOKUP(Tabla14[[#This Row],[Llave]],[12]Hoja1!$A:$D,4,FALSE),0)</f>
        <v>0</v>
      </c>
      <c r="AE14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46" s="3">
        <v>0</v>
      </c>
      <c r="AG146" s="3">
        <f>+Tabla14[[#This Row],[En puerto a facturar]]</f>
        <v>0</v>
      </c>
      <c r="AH146" s="3">
        <f>+Tabla14[[#This Row],[Facturación atraso]]</f>
        <v>0</v>
      </c>
      <c r="AI146" s="3">
        <f>+Tabla14[[#This Row],[Plan Irrestricto (DATO)]]-Tabla14[[#This Row],[Puerto ]]-Tabla14[[#This Row],[Atraso]]</f>
        <v>0</v>
      </c>
      <c r="AJ14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46" s="3">
        <f>+Tabla14[[#This Row],[Facturación atraso]]</f>
        <v>0</v>
      </c>
      <c r="AL146" s="3">
        <f>Tabla14[[#This Row],[Plan Ajustado]]-Tabla14[[#This Row],[ Atraso ajustado]]-Tabla14[[#This Row],[En puerto a facturar]]</f>
        <v>0</v>
      </c>
      <c r="AM146" s="3">
        <v>0</v>
      </c>
      <c r="AN146" s="3"/>
      <c r="AO146" s="3" t="str">
        <f>IF(Tabla14[[#This Row],[Plan Ajustado]]&gt;Tabla14[[#This Row],[En puerto a facturar]],"Si","No")</f>
        <v>No</v>
      </c>
      <c r="AP14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46" s="3">
        <f>IF(Tabla14[[#This Row],[Necesidad]]&gt;=Tabla14[[#This Row],[Stock al día]],Tabla14[[#This Row],[Stock al día]],Tabla14[[#This Row],[Necesidad]])</f>
        <v>0</v>
      </c>
      <c r="AR146" s="3">
        <f>+Tabla14[[#This Row],[Necesidad]]-Tabla14[[#This Row],[Stock Plan]]</f>
        <v>0</v>
      </c>
      <c r="AS146" s="155">
        <f>VLOOKUP(Tabla14[[#This Row],[Sector]]&amp;Tabla14[[#This Row],[Oficina]],[8]Ponderación!$A:$H,8,FALSE)</f>
        <v>44814</v>
      </c>
      <c r="AT146" s="30">
        <f>IFERROR(VLOOKUP(Tabla14[[#This Row],[Llave]],'[6]RV plan de ventas'!$A:$F,6,FALSE),0)</f>
        <v>0</v>
      </c>
      <c r="AU146" s="83">
        <f>IFERROR(VLOOKUP(Tabla14[[#This Row],[Llave]],[9]DELAY!$H:$X,17,FALSE),0)</f>
        <v>0</v>
      </c>
      <c r="AV14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46" s="5">
        <f>Tabla14[[#This Row],[Pecio plan]]*Tabla14[[#This Row],[Plan Ajustado]]</f>
        <v>0</v>
      </c>
      <c r="AX146" s="30">
        <f>IFERROR(VLOOKUP(Tabla14[[#This Row],[Llave]],'[13]Ultimos precios facturados'!$A:$G,7,FALSE),0)</f>
        <v>0.99529127087621494</v>
      </c>
      <c r="AY14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46" s="30">
        <f>IFERROR(VLOOKUP(Tabla14[[#This Row],[Llave]],Hoja2!B:K,10,FALSE),0)</f>
        <v>1.00484611969389</v>
      </c>
      <c r="BA14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46" s="30">
        <v>0</v>
      </c>
      <c r="BC146" s="30">
        <f>IF(Tabla14[[#This Row],[Market]]=0,Tabla14[[#This Row],[Precio Final]],Tabla14[[#This Row],[Market]])</f>
        <v>0</v>
      </c>
      <c r="BD146" s="82"/>
      <c r="BE146" s="82" t="str">
        <f>IF(AND(Tabla14[[#This Row],[Atraso a facturar]]&gt;0,Tabla14[[#This Row],[En puerto a facturar]]&gt;0,Tabla14[[#This Row],[Precio Atraso]]=0),"Revisar","OK")</f>
        <v>OK</v>
      </c>
      <c r="BF146" s="82" t="str">
        <f>IF(AND(Tabla14[[#This Row],[Venta del mes]]&gt;0,Tabla14[[#This Row],[Precio venta nueva]]=0),"Revisar","OK")</f>
        <v>OK</v>
      </c>
      <c r="BG146" s="20">
        <f>IFERROR(VLOOKUP(Tabla14[[#This Row],[Llave]],'[5]Consolidación planes'!$A:$M,9,FALSE),0)</f>
        <v>144000</v>
      </c>
      <c r="BH146" s="20">
        <f>IFERROR(VLOOKUP(Tabla14[[#This Row],[Llave]],'[5]Consolidación planes'!$A:$M,10,FALSE),0)</f>
        <v>72000</v>
      </c>
      <c r="BI146" s="20">
        <f>IFERROR(VLOOKUP(Tabla14[[#This Row],[Llave]],'[5]Consolidación planes'!$A:$M,11,FALSE),0)</f>
        <v>72000</v>
      </c>
      <c r="BJ146" s="20">
        <f>IFERROR(VLOOKUP(Tabla14[[#This Row],[Llave]],'[5]Consolidación planes'!$A:$M,12,FALSE),0)</f>
        <v>144000</v>
      </c>
      <c r="BK146" s="20">
        <f>IFERROR(VLOOKUP(Tabla14[[#This Row],[Llave]],'[5]Consolidación planes'!$A:$M,13,FALSE),0)</f>
        <v>96000</v>
      </c>
      <c r="BL146" s="20">
        <f>IFERROR(VLOOKUP(Tabla14[[#This Row],[Llave]],'[13]Base ultimos planes'!$A:$M,13,FALSE),0)</f>
        <v>96000</v>
      </c>
      <c r="BM146" s="20">
        <f>IFERROR(VLOOKUP(Tabla14[[#This Row],[Llave]],'[13]Cruce plan irrestricto'!$C:$M,10,FALSE),0)</f>
        <v>312160</v>
      </c>
      <c r="BN146" s="20">
        <f>IFERROR(VLOOKUP(Tabla14[[#This Row],[Llave]],'[13]Cruce plan irrestricto'!$C:$M,11,FALSE),0)</f>
        <v>312020</v>
      </c>
      <c r="BO146" s="80">
        <f>IFERROR(VLOOKUP(Tabla14[[#This Row],[Llave]],'[13]Base ultimos planes'!$O:$AA,8,FALSE),0)</f>
        <v>83520</v>
      </c>
      <c r="BP146" s="20">
        <f>IFERROR(VLOOKUP(Tabla14[[#This Row],[Llave]],'[13]Base ultimos planes'!$O:$AA,9,FALSE),0)</f>
        <v>46800</v>
      </c>
      <c r="BQ146" s="20">
        <f>IFERROR(VLOOKUP(Tabla14[[#This Row],[Llave]],'[13]Base ultimos planes'!$O:$AA,10,FALSE),0)</f>
        <v>59760</v>
      </c>
      <c r="BR146" s="20">
        <f>IFERROR(VLOOKUP(Tabla14[[#This Row],[Llave]],'[13]Base ultimos planes'!$O:$AA,11,FALSE),0)</f>
        <v>108784</v>
      </c>
      <c r="BS146" s="20">
        <f>IFERROR(VLOOKUP(Tabla14[[#This Row],[Llave]],'[13]Base ultimos planes'!$O:$AA,12,FALSE),0)</f>
        <v>85572</v>
      </c>
      <c r="BT146" s="20">
        <f>IFERROR(VLOOKUP(Tabla14[[#This Row],[Llave]],'[13]Base ultimos planes'!$O:$AA,13,FALSE),0)</f>
        <v>76800</v>
      </c>
      <c r="BU146" s="20"/>
      <c r="BV146" s="20">
        <f>Tabla14[[#This Row],[ RV Producción mes n+1]]-Tabla14[[#This Row],[Producción disponible]]+Tabla14[[#This Row],[Saldo Volumen disponible]]</f>
        <v>20</v>
      </c>
      <c r="BW146" s="20">
        <f>IFERROR(VLOOKUP(Tabla14[[#This Row],[Llave]],[14]Hoja2!$J:$N,4,FALSE),0)</f>
        <v>0</v>
      </c>
      <c r="BX146" s="20">
        <f>+Tabla14[[#This Row],[Asignación mes n+1]]*Tabla14[[#This Row],[% Uti. producción]]</f>
        <v>0</v>
      </c>
      <c r="BY146" s="20">
        <f>+Tabla14[[#This Row],[Ponderación mes n+1]]+Tabla14[[#This Row],[Saldo mes n-1]]</f>
        <v>20</v>
      </c>
      <c r="BZ146" s="20">
        <f>+Tabla14[[#This Row],[Asignación mes n+1]]-Tabla14[[#This Row],[Ponderación mes n+1]]</f>
        <v>0</v>
      </c>
      <c r="CA146" s="20">
        <f>IFERROR(VLOOKUP(Tabla14[[#This Row],[Llave]],[14]Hoja2!$J:$N,5,FALSE),0)</f>
        <v>0</v>
      </c>
      <c r="CB146" s="20">
        <f>+Tabla14[[#This Row],[Asignación mes n+2]]*Tabla14[[#This Row],[% Uti. producción]]</f>
        <v>0</v>
      </c>
      <c r="CC146" s="20">
        <f>+Tabla14[[#This Row],[Saldo mes n+2]]+Tabla14[[#This Row],[Ponderación mes n+2]]</f>
        <v>0</v>
      </c>
      <c r="CD146" s="20">
        <f>+Tabla14[[#This Row],[Asignación mes n+2]]-Tabla14[[#This Row],[Ponderación mes n+2]]</f>
        <v>0</v>
      </c>
    </row>
    <row r="147" spans="1:82" ht="16" x14ac:dyDescent="0.2">
      <c r="A147">
        <v>1</v>
      </c>
      <c r="B147" t="str">
        <f>Tabla14[[#This Row],[Oficina]]&amp;Tabla14[[#This Row],[Material]]</f>
        <v>Exportacion Directa1020105</v>
      </c>
      <c r="C147" t="s">
        <v>6</v>
      </c>
      <c r="D147" t="s">
        <v>88</v>
      </c>
      <c r="E147">
        <v>1020105</v>
      </c>
      <c r="F147" t="s">
        <v>101</v>
      </c>
      <c r="G147" t="s">
        <v>50</v>
      </c>
      <c r="H147" t="s">
        <v>51</v>
      </c>
      <c r="I147" s="7">
        <f>IFERROR(IF(Tabla14[[#This Row],[Oficina]]=$I$7,VLOOKUP(Tabla14[[#This Row],[Material]],'[6]RV Producción'!$Y:$AA,3,FALSE),VLOOKUP(Tabla14[[#This Row],[Llave]],'[6]RV Producción'!$C:$G,5,FALSE)),0)</f>
        <v>81138</v>
      </c>
      <c r="J147" s="7">
        <f>IFERROR(IF(Tabla14[[#This Row],[Oficina]]=$I$7,VLOOKUP(Tabla14[[#This Row],[Llave]],'[7]Shangai (Tomas)'!$A:$F,6,FALSE),VLOOKUP(Tabla14[[#This Row],[Llave]],'[6]RV plan de ventas'!$A:$E,5,FALSE)),0)</f>
        <v>60000</v>
      </c>
      <c r="K147" s="8">
        <f>IFERROR(VLOOKUP(Tabla14[[#This Row],[Sector]]&amp;Tabla14[[#This Row],[Oficina]],[8]Ponderación!$A$3:$G$22,7,FALSE),0)</f>
        <v>0.77338883776001444</v>
      </c>
      <c r="L147" s="7">
        <f>+Tabla14[[#This Row],[ RV Producción mes n+1]]*Tabla14[[#This Row],[% Uti. producción]]</f>
        <v>62751.223518172053</v>
      </c>
      <c r="M147" s="7">
        <f>IFERROR(VLOOKUP(Tabla14[[#This Row],[Material]],'[9]TD Stock'!$B:$C,2,FALSE),0)</f>
        <v>32204.545000000006</v>
      </c>
      <c r="N147" s="7">
        <f>IFERROR(VLOOKUP(Tabla14[[#This Row],[Material]],'[10]Consolidado planificación'!$B:$C,2,FALSE),0)</f>
        <v>13678.828682601785</v>
      </c>
      <c r="O147" s="7">
        <f>IFERROR(VLOOKUP(Tabla14[[#This Row],[Llave]],[11]Hoja2!$D:$G,4,FALSE),0)</f>
        <v>5500</v>
      </c>
      <c r="P147" s="14">
        <f>SUM(Tabla14[[#This Row],[Producción disponible]],Tabla14[[#This Row],[Stock al día]],(Tabla14[[#This Row],[Por producir mes N]]*0.9))-Tabla14[[#This Row],[Producción por despachar mes N]]</f>
        <v>101766.71433251367</v>
      </c>
      <c r="Q147" s="7">
        <f>IFERROR(VLOOKUP(Tabla14[[#This Row],[Llave]],[9]DELAY!$A:$D,4,FALSE),0)</f>
        <v>61000</v>
      </c>
      <c r="R147" s="9">
        <v>2419.3548387096776</v>
      </c>
      <c r="S147" s="5">
        <f t="shared" si="7"/>
        <v>61000</v>
      </c>
      <c r="T147" s="76">
        <v>-31000</v>
      </c>
      <c r="U147" s="5">
        <f>+Tabla14[[#This Row],[Atraso a facturar]]+Tabla14[[#This Row],[Ajuste atraso]]</f>
        <v>30000</v>
      </c>
      <c r="V147" s="3">
        <f>+Tabla14[[#This Row],[Total disponible]]-Tabla14[[#This Row],[Facturación atraso]]</f>
        <v>71766.714332513671</v>
      </c>
      <c r="W147" s="6">
        <f>IFERROR(IF(AND(V147&gt;R147,J147&gt;=R147),ROUNDDOWN((Tabla14[[#This Row],[Producción para venta nueva]])/R147,0)*R147,0),0)</f>
        <v>70161.290322580651</v>
      </c>
      <c r="X147" s="76">
        <v>-35000</v>
      </c>
      <c r="Y147" s="6">
        <f>IF(Tabla14[[#This Row],[Venta del mes]]&gt;0,Tabla14[[#This Row],[Venta del mes]]+Tabla14[[#This Row],[Ajuste venta nueva]],0)</f>
        <v>35161.290322580651</v>
      </c>
      <c r="Z147" s="6">
        <f>+Tabla14[[#This Row],[Producción para venta nueva]]-Tabla14[[#This Row],[Facturación Venta nueva]]</f>
        <v>36605.42400993302</v>
      </c>
      <c r="AA147" s="6">
        <f>IF(AND(A147=1,Tabla14[[#This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7" s="6">
        <v>0</v>
      </c>
      <c r="AC147" s="6">
        <f>IF(Tabla14[[#This Row],[Disponible stock sin venta]]&gt;0,Tabla14[[#This Row],[Disponible stock sin venta]]+Tabla14[[#This Row],[Ajuste stock sin venta]],0)</f>
        <v>0</v>
      </c>
      <c r="AD147" s="3">
        <f>IFERROR(VLOOKUP(Tabla14[[#This Row],[Llave]],[12]Hoja1!$A:$D,4,FALSE),0)</f>
        <v>0</v>
      </c>
      <c r="AE14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131161.29032258067</v>
      </c>
      <c r="AF147" s="3">
        <v>99709.677419354848</v>
      </c>
      <c r="AG147" s="3">
        <f>+Tabla14[[#This Row],[En puerto a facturar]]</f>
        <v>0</v>
      </c>
      <c r="AH147" s="3">
        <f>+Tabla14[[#This Row],[Facturación atraso]]</f>
        <v>30000</v>
      </c>
      <c r="AI147" s="3">
        <f>+Tabla14[[#This Row],[Plan Irrestricto (DATO)]]-Tabla14[[#This Row],[Puerto ]]-Tabla14[[#This Row],[Atraso]]</f>
        <v>69709.677419354848</v>
      </c>
      <c r="AJ147" s="6">
        <f>IF(Tabla14[[#This Row],[Plan Irrestricto (DATO)]]&gt;0,SUM(Tabla14[[#This Row],[Facturación atraso]],Tabla14[[#This Row],[Facturación Venta nueva]],Tabla14[[#This Row],[Facturación stock]],Tabla14[[#This Row],[En puerto a facturar]]),0)</f>
        <v>65161.290322580651</v>
      </c>
      <c r="AK147" s="3">
        <f>+Tabla14[[#This Row],[Facturación atraso]]</f>
        <v>30000</v>
      </c>
      <c r="AL147" s="3">
        <f>Tabla14[[#This Row],[Plan Ajustado]]-Tabla14[[#This Row],[ Atraso ajustado]]-Tabla14[[#This Row],[En puerto a facturar]]</f>
        <v>35161.290322580651</v>
      </c>
      <c r="AM147" s="3">
        <v>0</v>
      </c>
      <c r="AN147" s="3"/>
      <c r="AO147" s="3" t="str">
        <f>IF(Tabla14[[#This Row],[Plan Ajustado]]&gt;Tabla14[[#This Row],[En puerto a facturar]],"Si","No")</f>
        <v>Si</v>
      </c>
      <c r="AP147" s="3">
        <f>IF(AND(Tabla14[[#This Row],[Plan Ajustado]]&gt;0,Tabla14[[#This Row],[Plan Ajustado]]&gt;Tabla14[[#This Row],[En puerto a facturar]]),(Tabla14[[#This Row],[Plan Ajustado]]-Tabla14[[#This Row],[En puerto a facturar]]),0)</f>
        <v>65161.290322580651</v>
      </c>
      <c r="AQ147" s="3">
        <f>IF(Tabla14[[#This Row],[Necesidad]]&gt;=Tabla14[[#This Row],[Stock al día]],Tabla14[[#This Row],[Stock al día]],Tabla14[[#This Row],[Necesidad]])</f>
        <v>32204.545000000006</v>
      </c>
      <c r="AR147" s="3">
        <f>+Tabla14[[#This Row],[Necesidad]]-Tabla14[[#This Row],[Stock Plan]]</f>
        <v>32956.745322580646</v>
      </c>
      <c r="AS147" s="155">
        <f>VLOOKUP(Tabla14[[#This Row],[Sector]]&amp;Tabla14[[#This Row],[Oficina]],[8]Ponderación!$A:$H,8,FALSE)</f>
        <v>44817</v>
      </c>
      <c r="AT147" s="30">
        <f>IFERROR(VLOOKUP(Tabla14[[#This Row],[Llave]],'[6]RV plan de ventas'!$A:$F,6,FALSE),0)</f>
        <v>3.90906666666667</v>
      </c>
      <c r="AU147" s="83">
        <f>IFERROR(VLOOKUP(Tabla14[[#This Row],[Llave]],[9]DELAY!$H:$X,17,FALSE),0)</f>
        <v>3.8493484744672135</v>
      </c>
      <c r="AV14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3.8815726474857319</v>
      </c>
      <c r="AW147" s="5">
        <f>Tabla14[[#This Row],[Pecio plan]]*Tabla14[[#This Row],[Plan Ajustado]]</f>
        <v>252928.28219100577</v>
      </c>
      <c r="AX147" s="30">
        <f>IFERROR(VLOOKUP(Tabla14[[#This Row],[Llave]],'[13]Ultimos precios facturados'!$A:$G,7,FALSE),0)</f>
        <v>3.8362522068920182</v>
      </c>
      <c r="AY14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1.1813728125667371E-2</v>
      </c>
      <c r="AZ147" s="30">
        <f>IFERROR(VLOOKUP(Tabla14[[#This Row],[Llave]],Hoja2!B:K,10,FALSE),0)</f>
        <v>3.8076164323391155</v>
      </c>
      <c r="BA14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3.8815726474857319</v>
      </c>
      <c r="BB147" s="30">
        <v>0</v>
      </c>
      <c r="BC147" s="30">
        <f>IF(Tabla14[[#This Row],[Market]]=0,Tabla14[[#This Row],[Precio Final]],Tabla14[[#This Row],[Market]])</f>
        <v>3.8815726474857319</v>
      </c>
      <c r="BD147" s="82"/>
      <c r="BE147" s="82" t="str">
        <f>IF(AND(Tabla14[[#This Row],[Atraso a facturar]]&gt;0,Tabla14[[#This Row],[En puerto a facturar]]&gt;0,Tabla14[[#This Row],[Precio Atraso]]=0),"Revisar","OK")</f>
        <v>OK</v>
      </c>
      <c r="BF147" s="82" t="str">
        <f>IF(AND(Tabla14[[#This Row],[Venta del mes]]&gt;0,Tabla14[[#This Row],[Precio venta nueva]]=0),"Revisar","OK")</f>
        <v>OK</v>
      </c>
      <c r="BG147" s="20">
        <f>IFERROR(VLOOKUP(Tabla14[[#This Row],[Llave]],'[5]Consolidación planes'!$A:$M,9,FALSE),0)</f>
        <v>53000</v>
      </c>
      <c r="BH147" s="20">
        <f>IFERROR(VLOOKUP(Tabla14[[#This Row],[Llave]],'[5]Consolidación planes'!$A:$M,10,FALSE),0)</f>
        <v>35000</v>
      </c>
      <c r="BI147" s="20">
        <f>IFERROR(VLOOKUP(Tabla14[[#This Row],[Llave]],'[5]Consolidación planes'!$A:$M,11,FALSE),0)</f>
        <v>40000</v>
      </c>
      <c r="BJ147" s="20">
        <f>IFERROR(VLOOKUP(Tabla14[[#This Row],[Llave]],'[5]Consolidación planes'!$A:$M,12,FALSE),0)</f>
        <v>55000</v>
      </c>
      <c r="BK147" s="20">
        <f>IFERROR(VLOOKUP(Tabla14[[#This Row],[Llave]],'[5]Consolidación planes'!$A:$M,13,FALSE),0)</f>
        <v>58500</v>
      </c>
      <c r="BL147" s="20">
        <f>IFERROR(VLOOKUP(Tabla14[[#This Row],[Llave]],'[13]Base ultimos planes'!$A:$M,13,FALSE),0)</f>
        <v>40113</v>
      </c>
      <c r="BM147" s="20">
        <f>IFERROR(VLOOKUP(Tabla14[[#This Row],[Llave]],'[13]Cruce plan irrestricto'!$C:$M,10,FALSE),0)</f>
        <v>66935</v>
      </c>
      <c r="BN147" s="20">
        <f>IFERROR(VLOOKUP(Tabla14[[#This Row],[Llave]],'[13]Cruce plan irrestricto'!$C:$M,11,FALSE),0)</f>
        <v>80899.350000000006</v>
      </c>
      <c r="BO147" s="80">
        <f>IFERROR(VLOOKUP(Tabla14[[#This Row],[Llave]],'[13]Base ultimos planes'!$O:$AA,8,FALSE),0)</f>
        <v>242802.9852</v>
      </c>
      <c r="BP147" s="20">
        <f>IFERROR(VLOOKUP(Tabla14[[#This Row],[Llave]],'[13]Base ultimos planes'!$O:$AA,9,FALSE),0)</f>
        <v>150434</v>
      </c>
      <c r="BQ147" s="20">
        <f>IFERROR(VLOOKUP(Tabla14[[#This Row],[Llave]],'[13]Base ultimos planes'!$O:$AA,10,FALSE),0)</f>
        <v>172191</v>
      </c>
      <c r="BR147" s="20">
        <f>IFERROR(VLOOKUP(Tabla14[[#This Row],[Llave]],'[13]Base ultimos planes'!$O:$AA,11,FALSE),0)</f>
        <v>229340</v>
      </c>
      <c r="BS147" s="20">
        <f>IFERROR(VLOOKUP(Tabla14[[#This Row],[Llave]],'[13]Base ultimos planes'!$O:$AA,12,FALSE),0)</f>
        <v>240695</v>
      </c>
      <c r="BT147" s="20">
        <f>IFERROR(VLOOKUP(Tabla14[[#This Row],[Llave]],'[13]Base ultimos planes'!$O:$AA,13,FALSE),0)</f>
        <v>151021</v>
      </c>
      <c r="BU147" s="20"/>
      <c r="BV147" s="20">
        <f>Tabla14[[#This Row],[ RV Producción mes n+1]]-Tabla14[[#This Row],[Producción disponible]]+Tabla14[[#This Row],[Saldo Volumen disponible]]</f>
        <v>54992.200491760967</v>
      </c>
      <c r="BW147" s="20">
        <f>IFERROR(VLOOKUP(Tabla14[[#This Row],[Llave]],[14]Hoja2!$J:$N,4,FALSE),0)</f>
        <v>54000</v>
      </c>
      <c r="BX147" s="20">
        <f>+Tabla14[[#This Row],[Asignación mes n+1]]*Tabla14[[#This Row],[% Uti. producción]]</f>
        <v>41762.997239040778</v>
      </c>
      <c r="BY147" s="20">
        <f>+Tabla14[[#This Row],[Ponderación mes n+1]]+Tabla14[[#This Row],[Saldo mes n-1]]</f>
        <v>96755.197730801738</v>
      </c>
      <c r="BZ147" s="20">
        <f>+Tabla14[[#This Row],[Asignación mes n+1]]-Tabla14[[#This Row],[Ponderación mes n+1]]</f>
        <v>12237.002760959222</v>
      </c>
      <c r="CA147" s="20">
        <f>IFERROR(VLOOKUP(Tabla14[[#This Row],[Llave]],[14]Hoja2!$J:$N,5,FALSE),0)</f>
        <v>54000</v>
      </c>
      <c r="CB147" s="20">
        <f>+Tabla14[[#This Row],[Asignación mes n+2]]*Tabla14[[#This Row],[% Uti. producción]]</f>
        <v>41762.997239040778</v>
      </c>
      <c r="CC147" s="20">
        <f>+Tabla14[[#This Row],[Saldo mes n+2]]+Tabla14[[#This Row],[Ponderación mes n+2]]</f>
        <v>54000</v>
      </c>
      <c r="CD147" s="20">
        <f>+Tabla14[[#This Row],[Asignación mes n+2]]-Tabla14[[#This Row],[Ponderación mes n+2]]</f>
        <v>12237.002760959222</v>
      </c>
    </row>
    <row r="148" spans="1:82" ht="16" x14ac:dyDescent="0.2">
      <c r="A148">
        <v>1</v>
      </c>
      <c r="B148" t="str">
        <f>Tabla14[[#This Row],[Oficina]]&amp;Tabla14[[#This Row],[Material]]</f>
        <v>Exportacion Directa1020110</v>
      </c>
      <c r="C148" t="s">
        <v>6</v>
      </c>
      <c r="D148" t="s">
        <v>88</v>
      </c>
      <c r="E148">
        <v>1020110</v>
      </c>
      <c r="F148" t="s">
        <v>104</v>
      </c>
      <c r="G148" t="s">
        <v>50</v>
      </c>
      <c r="H148" t="s">
        <v>103</v>
      </c>
      <c r="I148" s="7">
        <f>IFERROR(IF(Tabla14[[#This Row],[Oficina]]=$I$7,VLOOKUP(Tabla14[[#This Row],[Material]],'[6]RV Producción'!$Y:$AA,3,FALSE),VLOOKUP(Tabla14[[#This Row],[Llave]],'[6]RV Producción'!$C:$G,5,FALSE)),0)</f>
        <v>482625</v>
      </c>
      <c r="J148" s="7">
        <f>IFERROR(IF(Tabla14[[#This Row],[Oficina]]=$I$7,VLOOKUP(Tabla14[[#This Row],[Llave]],'[7]Shangai (Tomas)'!$A:$F,6,FALSE),VLOOKUP(Tabla14[[#This Row],[Llave]],'[6]RV plan de ventas'!$A:$E,5,FALSE)),0)</f>
        <v>420000</v>
      </c>
      <c r="K148" s="8">
        <f>IFERROR(VLOOKUP(Tabla14[[#This Row],[Sector]]&amp;Tabla14[[#This Row],[Oficina]],[8]Ponderación!$A$3:$G$22,7,FALSE),0)</f>
        <v>0.77338883776001444</v>
      </c>
      <c r="L148" s="7">
        <f>+Tabla14[[#This Row],[ RV Producción mes n+1]]*Tabla14[[#This Row],[% Uti. producción]]</f>
        <v>373256.78782392695</v>
      </c>
      <c r="M148" s="7">
        <f>IFERROR(VLOOKUP(Tabla14[[#This Row],[Material]],'[9]TD Stock'!$B:$C,2,FALSE),0)</f>
        <v>196112.05299999996</v>
      </c>
      <c r="N148" s="7">
        <f>IFERROR(VLOOKUP(Tabla14[[#This Row],[Material]],'[10]Consolidado planificación'!$B:$C,2,FALSE),0)</f>
        <v>144677.41173769889</v>
      </c>
      <c r="O148" s="7">
        <f>IFERROR(VLOOKUP(Tabla14[[#This Row],[Llave]],[11]Hoja2!$D:$G,4,FALSE),0)</f>
        <v>1800</v>
      </c>
      <c r="P148" s="14">
        <f>SUM(Tabla14[[#This Row],[Producción disponible]],Tabla14[[#This Row],[Stock al día]],(Tabla14[[#This Row],[Por producir mes N]]*0.9))-Tabla14[[#This Row],[Producción por despachar mes N]]</f>
        <v>697778.51138785598</v>
      </c>
      <c r="Q148" s="7">
        <f>IFERROR(VLOOKUP(Tabla14[[#This Row],[Llave]],[9]DELAY!$A:$D,4,FALSE),0)</f>
        <v>438660</v>
      </c>
      <c r="R148" s="9">
        <v>6247.0588235294117</v>
      </c>
      <c r="S148" s="5">
        <f t="shared" si="7"/>
        <v>438660</v>
      </c>
      <c r="T148" s="76">
        <v>-200000</v>
      </c>
      <c r="U148" s="5">
        <f>+Tabla14[[#This Row],[Atraso a facturar]]+Tabla14[[#This Row],[Ajuste atraso]]</f>
        <v>238660</v>
      </c>
      <c r="V148" s="3">
        <f>+Tabla14[[#This Row],[Total disponible]]-Tabla14[[#This Row],[Facturación atraso]]</f>
        <v>459118.51138785598</v>
      </c>
      <c r="W148" s="6">
        <f>IFERROR(IF(AND(V148&gt;R148,J148&gt;=R148),ROUNDDOWN((Tabla14[[#This Row],[Producción para venta nueva]])/R148,0)*R148,0),0)</f>
        <v>456035.29411764705</v>
      </c>
      <c r="X148" s="76">
        <v>-250000</v>
      </c>
      <c r="Y148" s="6">
        <f>IF(Tabla14[[#This Row],[Venta del mes]]&gt;0,Tabla14[[#This Row],[Venta del mes]]+Tabla14[[#This Row],[Ajuste venta nueva]],0)</f>
        <v>206035.29411764705</v>
      </c>
      <c r="Z148" s="6">
        <f>+Tabla14[[#This Row],[Producción para venta nueva]]-Tabla14[[#This Row],[Facturación Venta nueva]]</f>
        <v>253083.21727020893</v>
      </c>
      <c r="AA148" s="6">
        <f>IF(AND(A148=1,Tabla14[[#This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8" s="6">
        <v>0</v>
      </c>
      <c r="AC148" s="6">
        <f>IF(Tabla14[[#This Row],[Disponible stock sin venta]]&gt;0,Tabla14[[#This Row],[Disponible stock sin venta]]+Tabla14[[#This Row],[Ajuste stock sin venta]],0)</f>
        <v>0</v>
      </c>
      <c r="AD148" s="3">
        <f>IFERROR(VLOOKUP(Tabla14[[#This Row],[Llave]],[12]Hoja1!$A:$D,4,FALSE),0)</f>
        <v>0</v>
      </c>
      <c r="AE14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894695.29411764699</v>
      </c>
      <c r="AF148" s="3">
        <v>694789.4117647059</v>
      </c>
      <c r="AG148" s="3">
        <f>+Tabla14[[#This Row],[En puerto a facturar]]</f>
        <v>0</v>
      </c>
      <c r="AH148" s="3">
        <f>+Tabla14[[#This Row],[Facturación atraso]]</f>
        <v>238660</v>
      </c>
      <c r="AI148" s="3">
        <f>+Tabla14[[#This Row],[Plan Irrestricto (DATO)]]-Tabla14[[#This Row],[Puerto ]]-Tabla14[[#This Row],[Atraso]]</f>
        <v>456129.4117647059</v>
      </c>
      <c r="AJ148" s="6">
        <f>IF(Tabla14[[#This Row],[Plan Irrestricto (DATO)]]&gt;0,SUM(Tabla14[[#This Row],[Facturación atraso]],Tabla14[[#This Row],[Facturación Venta nueva]],Tabla14[[#This Row],[Facturación stock]],Tabla14[[#This Row],[En puerto a facturar]]),0)</f>
        <v>444695.29411764705</v>
      </c>
      <c r="AK148" s="3">
        <f>+Tabla14[[#This Row],[Facturación atraso]]</f>
        <v>238660</v>
      </c>
      <c r="AL148" s="3">
        <f>Tabla14[[#This Row],[Plan Ajustado]]-Tabla14[[#This Row],[ Atraso ajustado]]-Tabla14[[#This Row],[En puerto a facturar]]</f>
        <v>206035.29411764705</v>
      </c>
      <c r="AM148" s="3">
        <v>0</v>
      </c>
      <c r="AN148" s="3"/>
      <c r="AO148" s="3" t="str">
        <f>IF(Tabla14[[#This Row],[Plan Ajustado]]&gt;Tabla14[[#This Row],[En puerto a facturar]],"Si","No")</f>
        <v>Si</v>
      </c>
      <c r="AP148" s="3">
        <f>IF(AND(Tabla14[[#This Row],[Plan Ajustado]]&gt;0,Tabla14[[#This Row],[Plan Ajustado]]&gt;Tabla14[[#This Row],[En puerto a facturar]]),(Tabla14[[#This Row],[Plan Ajustado]]-Tabla14[[#This Row],[En puerto a facturar]]),0)</f>
        <v>444695.29411764705</v>
      </c>
      <c r="AQ148" s="3">
        <f>IF(Tabla14[[#This Row],[Necesidad]]&gt;=Tabla14[[#This Row],[Stock al día]],Tabla14[[#This Row],[Stock al día]],Tabla14[[#This Row],[Necesidad]])</f>
        <v>196112.05299999996</v>
      </c>
      <c r="AR148" s="3">
        <f>+Tabla14[[#This Row],[Necesidad]]-Tabla14[[#This Row],[Stock Plan]]</f>
        <v>248583.24111764709</v>
      </c>
      <c r="AS148" s="155">
        <f>VLOOKUP(Tabla14[[#This Row],[Sector]]&amp;Tabla14[[#This Row],[Oficina]],[8]Ponderación!$A:$H,8,FALSE)</f>
        <v>44817</v>
      </c>
      <c r="AT148" s="30">
        <f>IFERROR(VLOOKUP(Tabla14[[#This Row],[Llave]],'[6]RV plan de ventas'!$A:$F,6,FALSE),0)</f>
        <v>3.4975714285714301</v>
      </c>
      <c r="AU148" s="83">
        <f>IFERROR(VLOOKUP(Tabla14[[#This Row],[Llave]],[9]DELAY!$H:$X,17,FALSE),0)</f>
        <v>3.4421764759367353</v>
      </c>
      <c r="AV14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3.4678419495985793</v>
      </c>
      <c r="AW148" s="5">
        <f>Tabla14[[#This Row],[Pecio plan]]*Tabla14[[#This Row],[Plan Ajustado]]</f>
        <v>1542132.9957302548</v>
      </c>
      <c r="AX148" s="30">
        <f>IFERROR(VLOOKUP(Tabla14[[#This Row],[Llave]],'[13]Ultimos precios facturados'!$A:$G,7,FALSE),0)</f>
        <v>3.3377215677232455</v>
      </c>
      <c r="AY14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3.8984792240801744E-2</v>
      </c>
      <c r="AZ148" s="30">
        <f>IFERROR(VLOOKUP(Tabla14[[#This Row],[Llave]],Hoja2!B:K,10,FALSE),0)</f>
        <v>3.407387437302158</v>
      </c>
      <c r="BA14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3.4678419495985793</v>
      </c>
      <c r="BB148" s="30">
        <v>0</v>
      </c>
      <c r="BC148" s="30">
        <f>IF(Tabla14[[#This Row],[Market]]=0,Tabla14[[#This Row],[Precio Final]],Tabla14[[#This Row],[Market]])</f>
        <v>3.4678419495985793</v>
      </c>
      <c r="BD148" s="82"/>
      <c r="BE148" s="82" t="str">
        <f>IF(AND(Tabla14[[#This Row],[Atraso a facturar]]&gt;0,Tabla14[[#This Row],[En puerto a facturar]]&gt;0,Tabla14[[#This Row],[Precio Atraso]]=0),"Revisar","OK")</f>
        <v>OK</v>
      </c>
      <c r="BF148" s="82" t="str">
        <f>IF(AND(Tabla14[[#This Row],[Venta del mes]]&gt;0,Tabla14[[#This Row],[Precio venta nueva]]=0),"Revisar","OK")</f>
        <v>OK</v>
      </c>
      <c r="BG148" s="20">
        <f>IFERROR(VLOOKUP(Tabla14[[#This Row],[Llave]],'[5]Consolidación planes'!$A:$M,9,FALSE),0)</f>
        <v>412200</v>
      </c>
      <c r="BH148" s="20">
        <f>IFERROR(VLOOKUP(Tabla14[[#This Row],[Llave]],'[5]Consolidación planes'!$A:$M,10,FALSE),0)</f>
        <v>240000</v>
      </c>
      <c r="BI148" s="20">
        <f>IFERROR(VLOOKUP(Tabla14[[#This Row],[Llave]],'[5]Consolidación planes'!$A:$M,11,FALSE),0)</f>
        <v>400000</v>
      </c>
      <c r="BJ148" s="20">
        <f>IFERROR(VLOOKUP(Tabla14[[#This Row],[Llave]],'[5]Consolidación planes'!$A:$M,12,FALSE),0)</f>
        <v>460000</v>
      </c>
      <c r="BK148" s="20">
        <f>IFERROR(VLOOKUP(Tabla14[[#This Row],[Llave]],'[5]Consolidación planes'!$A:$M,13,FALSE),0)</f>
        <v>600000</v>
      </c>
      <c r="BL148" s="20">
        <f>IFERROR(VLOOKUP(Tabla14[[#This Row],[Llave]],'[13]Base ultimos planes'!$A:$M,13,FALSE),0)</f>
        <v>690745</v>
      </c>
      <c r="BM148" s="20">
        <f>IFERROR(VLOOKUP(Tabla14[[#This Row],[Llave]],'[13]Cruce plan irrestricto'!$C:$M,10,FALSE),0)</f>
        <v>724953</v>
      </c>
      <c r="BN148" s="20">
        <f>IFERROR(VLOOKUP(Tabla14[[#This Row],[Llave]],'[13]Cruce plan irrestricto'!$C:$M,11,FALSE),0)</f>
        <v>679040.59</v>
      </c>
      <c r="BO148" s="80">
        <f>IFERROR(VLOOKUP(Tabla14[[#This Row],[Llave]],'[13]Base ultimos planes'!$O:$AA,8,FALSE),0)</f>
        <v>1698264</v>
      </c>
      <c r="BP148" s="20">
        <f>IFERROR(VLOOKUP(Tabla14[[#This Row],[Llave]],'[13]Base ultimos planes'!$O:$AA,9,FALSE),0)</f>
        <v>924341</v>
      </c>
      <c r="BQ148" s="20">
        <f>IFERROR(VLOOKUP(Tabla14[[#This Row],[Llave]],'[13]Base ultimos planes'!$O:$AA,10,FALSE),0)</f>
        <v>1528601</v>
      </c>
      <c r="BR148" s="20">
        <f>IFERROR(VLOOKUP(Tabla14[[#This Row],[Llave]],'[13]Base ultimos planes'!$O:$AA,11,FALSE),0)</f>
        <v>1681228</v>
      </c>
      <c r="BS148" s="20">
        <f>IFERROR(VLOOKUP(Tabla14[[#This Row],[Llave]],'[13]Base ultimos planes'!$O:$AA,12,FALSE),0)</f>
        <v>2172336</v>
      </c>
      <c r="BT148" s="20">
        <f>IFERROR(VLOOKUP(Tabla14[[#This Row],[Llave]],'[13]Base ultimos planes'!$O:$AA,13,FALSE),0)</f>
        <v>2287445</v>
      </c>
      <c r="BU148" s="20"/>
      <c r="BV148" s="20">
        <f>Tabla14[[#This Row],[ RV Producción mes n+1]]-Tabla14[[#This Row],[Producción disponible]]+Tabla14[[#This Row],[Saldo Volumen disponible]]</f>
        <v>362451.42944628198</v>
      </c>
      <c r="BW148" s="20">
        <f>IFERROR(VLOOKUP(Tabla14[[#This Row],[Llave]],[14]Hoja2!$J:$N,4,FALSE),0)</f>
        <v>360000</v>
      </c>
      <c r="BX148" s="20">
        <f>+Tabla14[[#This Row],[Asignación mes n+1]]*Tabla14[[#This Row],[% Uti. producción]]</f>
        <v>278419.98159360519</v>
      </c>
      <c r="BY148" s="20">
        <f>+Tabla14[[#This Row],[Ponderación mes n+1]]+Tabla14[[#This Row],[Saldo mes n-1]]</f>
        <v>640871.41103988723</v>
      </c>
      <c r="BZ148" s="20">
        <f>+Tabla14[[#This Row],[Asignación mes n+1]]-Tabla14[[#This Row],[Ponderación mes n+1]]</f>
        <v>81580.018406394811</v>
      </c>
      <c r="CA148" s="20">
        <f>IFERROR(VLOOKUP(Tabla14[[#This Row],[Llave]],[14]Hoja2!$J:$N,5,FALSE),0)</f>
        <v>360000</v>
      </c>
      <c r="CB148" s="20">
        <f>+Tabla14[[#This Row],[Asignación mes n+2]]*Tabla14[[#This Row],[% Uti. producción]]</f>
        <v>278419.98159360519</v>
      </c>
      <c r="CC148" s="20">
        <f>+Tabla14[[#This Row],[Saldo mes n+2]]+Tabla14[[#This Row],[Ponderación mes n+2]]</f>
        <v>360000</v>
      </c>
      <c r="CD148" s="20">
        <f>+Tabla14[[#This Row],[Asignación mes n+2]]-Tabla14[[#This Row],[Ponderación mes n+2]]</f>
        <v>81580.018406394811</v>
      </c>
    </row>
    <row r="149" spans="1:82" ht="16" x14ac:dyDescent="0.2">
      <c r="A149">
        <v>1</v>
      </c>
      <c r="B149" t="str">
        <f>Tabla14[[#This Row],[Oficina]]&amp;Tabla14[[#This Row],[Material]]</f>
        <v>Exportacion Directa1020284</v>
      </c>
      <c r="C149" t="s">
        <v>6</v>
      </c>
      <c r="D149" t="s">
        <v>88</v>
      </c>
      <c r="E149">
        <v>1020284</v>
      </c>
      <c r="F149" t="s">
        <v>129</v>
      </c>
      <c r="G149" t="s">
        <v>59</v>
      </c>
      <c r="H149" t="s">
        <v>65</v>
      </c>
      <c r="I149" s="7">
        <f>IFERROR(IF(Tabla14[[#This Row],[Oficina]]=$I$7,VLOOKUP(Tabla14[[#This Row],[Material]],'[6]RV Producción'!$Y:$AA,3,FALSE),VLOOKUP(Tabla14[[#This Row],[Llave]],'[6]RV Producción'!$C:$G,5,FALSE)),0)</f>
        <v>5241</v>
      </c>
      <c r="J149" s="7">
        <f>IFERROR(IF(Tabla14[[#This Row],[Oficina]]=$I$7,VLOOKUP(Tabla14[[#This Row],[Llave]],'[7]Shangai (Tomas)'!$A:$F,6,FALSE),VLOOKUP(Tabla14[[#This Row],[Llave]],'[6]RV plan de ventas'!$A:$E,5,FALSE)),0)</f>
        <v>7000</v>
      </c>
      <c r="K149" s="8">
        <f>IFERROR(VLOOKUP(Tabla14[[#This Row],[Sector]]&amp;Tabla14[[#This Row],[Oficina]],[8]Ponderación!$A$3:$G$22,7,FALSE),0)</f>
        <v>0.77338883776001444</v>
      </c>
      <c r="L149" s="7">
        <f>+Tabla14[[#This Row],[ RV Producción mes n+1]]*Tabla14[[#This Row],[% Uti. producción]]</f>
        <v>4053.3308987002356</v>
      </c>
      <c r="M149" s="7">
        <f>IFERROR(VLOOKUP(Tabla14[[#This Row],[Material]],'[9]TD Stock'!$B:$C,2,FALSE),0)</f>
        <v>12962.795000000002</v>
      </c>
      <c r="N149" s="7">
        <f>IFERROR(VLOOKUP(Tabla14[[#This Row],[Material]],'[10]Consolidado planificación'!$B:$C,2,FALSE),0)</f>
        <v>0</v>
      </c>
      <c r="O149" s="7">
        <f>IFERROR(VLOOKUP(Tabla14[[#This Row],[Llave]],[11]Hoja2!$D:$G,4,FALSE),0)</f>
        <v>0</v>
      </c>
      <c r="P149" s="14">
        <f>SUM(Tabla14[[#This Row],[Producción disponible]],Tabla14[[#This Row],[Stock al día]],(Tabla14[[#This Row],[Por producir mes N]]*0.9))-Tabla14[[#This Row],[Producción por despachar mes N]]</f>
        <v>17016.125898700237</v>
      </c>
      <c r="Q149" s="7">
        <f>IFERROR(VLOOKUP(Tabla14[[#This Row],[Llave]],[9]DELAY!$A:$D,4,FALSE),0)</f>
        <v>11500</v>
      </c>
      <c r="R149" s="9">
        <v>2333.3333333333335</v>
      </c>
      <c r="S149" s="5">
        <f t="shared" si="7"/>
        <v>11500</v>
      </c>
      <c r="T149" s="76">
        <v>-5000</v>
      </c>
      <c r="U149" s="5">
        <f>+Tabla14[[#This Row],[Atraso a facturar]]+Tabla14[[#This Row],[Ajuste atraso]]</f>
        <v>6500</v>
      </c>
      <c r="V149" s="3">
        <f>+Tabla14[[#This Row],[Total disponible]]-Tabla14[[#This Row],[Facturación atraso]]</f>
        <v>10516.125898700237</v>
      </c>
      <c r="W149" s="6">
        <f>IFERROR(IF(AND(V149&gt;R149,J149&gt;=R149),ROUNDDOWN((Tabla14[[#This Row],[Producción para venta nueva]])/R149,0)*R149,0),0)</f>
        <v>9333.3333333333339</v>
      </c>
      <c r="X149" s="76">
        <v>-6000</v>
      </c>
      <c r="Y149" s="6">
        <f>IF(Tabla14[[#This Row],[Venta del mes]]&gt;0,Tabla14[[#This Row],[Venta del mes]]+Tabla14[[#This Row],[Ajuste venta nueva]],0)</f>
        <v>3333.3333333333339</v>
      </c>
      <c r="Z149" s="6">
        <f>+Tabla14[[#This Row],[Producción para venta nueva]]-Tabla14[[#This Row],[Facturación Venta nueva]]</f>
        <v>7182.7925653669026</v>
      </c>
      <c r="AA149" s="6">
        <f>IF(AND(A149=1,Tabla14[[#This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49" s="6">
        <v>0</v>
      </c>
      <c r="AC149" s="6">
        <f>IF(Tabla14[[#This Row],[Disponible stock sin venta]]&gt;0,Tabla14[[#This Row],[Disponible stock sin venta]]+Tabla14[[#This Row],[Ajuste stock sin venta]],0)</f>
        <v>0</v>
      </c>
      <c r="AD149" s="3">
        <f>IFERROR(VLOOKUP(Tabla14[[#This Row],[Llave]],[12]Hoja1!$A:$D,4,FALSE),0)</f>
        <v>0</v>
      </c>
      <c r="AE14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20833.333333333336</v>
      </c>
      <c r="AF149" s="3">
        <v>16166.666666666668</v>
      </c>
      <c r="AG149" s="3">
        <f>+Tabla14[[#This Row],[En puerto a facturar]]</f>
        <v>0</v>
      </c>
      <c r="AH149" s="3">
        <f>+Tabla14[[#This Row],[Facturación atraso]]</f>
        <v>6500</v>
      </c>
      <c r="AI149" s="3">
        <f>+Tabla14[[#This Row],[Plan Irrestricto (DATO)]]-Tabla14[[#This Row],[Puerto ]]-Tabla14[[#This Row],[Atraso]]</f>
        <v>9666.6666666666679</v>
      </c>
      <c r="AJ149" s="6">
        <f>IF(Tabla14[[#This Row],[Plan Irrestricto (DATO)]]&gt;0,SUM(Tabla14[[#This Row],[Facturación atraso]],Tabla14[[#This Row],[Facturación Venta nueva]],Tabla14[[#This Row],[Facturación stock]],Tabla14[[#This Row],[En puerto a facturar]]),0)</f>
        <v>9833.3333333333339</v>
      </c>
      <c r="AK149" s="3">
        <f>+Tabla14[[#This Row],[Facturación atraso]]</f>
        <v>6500</v>
      </c>
      <c r="AL149" s="3">
        <f>Tabla14[[#This Row],[Plan Ajustado]]-Tabla14[[#This Row],[ Atraso ajustado]]-Tabla14[[#This Row],[En puerto a facturar]]</f>
        <v>3333.3333333333339</v>
      </c>
      <c r="AM149" s="3">
        <v>0</v>
      </c>
      <c r="AN149" s="3"/>
      <c r="AO149" s="3" t="str">
        <f>IF(Tabla14[[#This Row],[Plan Ajustado]]&gt;Tabla14[[#This Row],[En puerto a facturar]],"Si","No")</f>
        <v>Si</v>
      </c>
      <c r="AP149" s="3">
        <f>IF(AND(Tabla14[[#This Row],[Plan Ajustado]]&gt;0,Tabla14[[#This Row],[Plan Ajustado]]&gt;Tabla14[[#This Row],[En puerto a facturar]]),(Tabla14[[#This Row],[Plan Ajustado]]-Tabla14[[#This Row],[En puerto a facturar]]),0)</f>
        <v>9833.3333333333339</v>
      </c>
      <c r="AQ149" s="3">
        <f>IF(Tabla14[[#This Row],[Necesidad]]&gt;=Tabla14[[#This Row],[Stock al día]],Tabla14[[#This Row],[Stock al día]],Tabla14[[#This Row],[Necesidad]])</f>
        <v>9833.3333333333339</v>
      </c>
      <c r="AR149" s="3">
        <f>+Tabla14[[#This Row],[Necesidad]]-Tabla14[[#This Row],[Stock Plan]]</f>
        <v>0</v>
      </c>
      <c r="AS149" s="155">
        <f>VLOOKUP(Tabla14[[#This Row],[Sector]]&amp;Tabla14[[#This Row],[Oficina]],[8]Ponderación!$A:$H,8,FALSE)</f>
        <v>44817</v>
      </c>
      <c r="AT149" s="30">
        <f>IFERROR(VLOOKUP(Tabla14[[#This Row],[Llave]],'[6]RV plan de ventas'!$A:$F,6,FALSE),0)</f>
        <v>3.6098571428571402</v>
      </c>
      <c r="AU149" s="83">
        <f>IFERROR(VLOOKUP(Tabla14[[#This Row],[Llave]],[9]DELAY!$H:$X,17,FALSE),0)</f>
        <v>3.6184437708074504</v>
      </c>
      <c r="AV14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3.6155330494683624</v>
      </c>
      <c r="AW149" s="5">
        <f>Tabla14[[#This Row],[Pecio plan]]*Tabla14[[#This Row],[Plan Ajustado]]</f>
        <v>35552.741653105564</v>
      </c>
      <c r="AX149" s="30">
        <f>IFERROR(VLOOKUP(Tabla14[[#This Row],[Llave]],'[13]Ultimos precios facturados'!$A:$G,7,FALSE),0)</f>
        <v>3.6560115307590015</v>
      </c>
      <c r="AY14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1.107175974421384E-2</v>
      </c>
      <c r="AZ149" s="30">
        <f>IFERROR(VLOOKUP(Tabla14[[#This Row],[Llave]],Hoja2!B:K,10,FALSE),0)</f>
        <v>3.6895031008109065</v>
      </c>
      <c r="BA14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3.6155330494683624</v>
      </c>
      <c r="BB149" s="30">
        <v>0</v>
      </c>
      <c r="BC149" s="30">
        <f>IF(Tabla14[[#This Row],[Market]]=0,Tabla14[[#This Row],[Precio Final]],Tabla14[[#This Row],[Market]])</f>
        <v>3.6155330494683624</v>
      </c>
      <c r="BD149" s="82" t="s">
        <v>753</v>
      </c>
      <c r="BE149" s="82" t="str">
        <f>IF(AND(Tabla14[[#This Row],[Atraso a facturar]]&gt;0,Tabla14[[#This Row],[En puerto a facturar]]&gt;0,Tabla14[[#This Row],[Precio Atraso]]=0),"Revisar","OK")</f>
        <v>OK</v>
      </c>
      <c r="BF149" s="82" t="str">
        <f>IF(AND(Tabla14[[#This Row],[Venta del mes]]&gt;0,Tabla14[[#This Row],[Precio venta nueva]]=0),"Revisar","OK")</f>
        <v>OK</v>
      </c>
      <c r="BG149" s="20">
        <f>IFERROR(VLOOKUP(Tabla14[[#This Row],[Llave]],'[5]Consolidación planes'!$A:$M,9,FALSE),0)</f>
        <v>11750</v>
      </c>
      <c r="BH149" s="20">
        <f>IFERROR(VLOOKUP(Tabla14[[#This Row],[Llave]],'[5]Consolidación planes'!$A:$M,10,FALSE),0)</f>
        <v>5750</v>
      </c>
      <c r="BI149" s="20">
        <f>IFERROR(VLOOKUP(Tabla14[[#This Row],[Llave]],'[5]Consolidación planes'!$A:$M,11,FALSE),0)</f>
        <v>4000</v>
      </c>
      <c r="BJ149" s="20">
        <f>IFERROR(VLOOKUP(Tabla14[[#This Row],[Llave]],'[5]Consolidación planes'!$A:$M,12,FALSE),0)</f>
        <v>17000</v>
      </c>
      <c r="BK149" s="20">
        <f>IFERROR(VLOOKUP(Tabla14[[#This Row],[Llave]],'[5]Consolidación planes'!$A:$M,13,FALSE),0)</f>
        <v>23200</v>
      </c>
      <c r="BL149" s="20">
        <f>IFERROR(VLOOKUP(Tabla14[[#This Row],[Llave]],'[13]Base ultimos planes'!$A:$M,13,FALSE),0)</f>
        <v>7667</v>
      </c>
      <c r="BM149" s="20">
        <f>IFERROR(VLOOKUP(Tabla14[[#This Row],[Llave]],'[13]Cruce plan irrestricto'!$C:$M,10,FALSE),0)</f>
        <v>11833</v>
      </c>
      <c r="BN149" s="20">
        <f>IFERROR(VLOOKUP(Tabla14[[#This Row],[Llave]],'[13]Cruce plan irrestricto'!$C:$M,11,FALSE),0)</f>
        <v>7234.67</v>
      </c>
      <c r="BO149" s="80">
        <f>IFERROR(VLOOKUP(Tabla14[[#This Row],[Llave]],'[13]Base ultimos planes'!$O:$AA,8,FALSE),0)</f>
        <v>50760</v>
      </c>
      <c r="BP149" s="20">
        <f>IFERROR(VLOOKUP(Tabla14[[#This Row],[Llave]],'[13]Base ultimos planes'!$O:$AA,9,FALSE),0)</f>
        <v>23396</v>
      </c>
      <c r="BQ149" s="20">
        <f>IFERROR(VLOOKUP(Tabla14[[#This Row],[Llave]],'[13]Base ultimos planes'!$O:$AA,10,FALSE),0)</f>
        <v>16318</v>
      </c>
      <c r="BR149" s="20">
        <f>IFERROR(VLOOKUP(Tabla14[[#This Row],[Llave]],'[13]Base ultimos planes'!$O:$AA,11,FALSE),0)</f>
        <v>67201</v>
      </c>
      <c r="BS149" s="20">
        <f>IFERROR(VLOOKUP(Tabla14[[#This Row],[Llave]],'[13]Base ultimos planes'!$O:$AA,12,FALSE),0)</f>
        <v>89295</v>
      </c>
      <c r="BT149" s="20">
        <f>IFERROR(VLOOKUP(Tabla14[[#This Row],[Llave]],'[13]Base ultimos planes'!$O:$AA,13,FALSE),0)</f>
        <v>27627</v>
      </c>
      <c r="BU149" s="20"/>
      <c r="BV149" s="20">
        <f>Tabla14[[#This Row],[ RV Producción mes n+1]]-Tabla14[[#This Row],[Producción disponible]]+Tabla14[[#This Row],[Saldo Volumen disponible]]</f>
        <v>8370.4616666666661</v>
      </c>
      <c r="BW149" s="20">
        <f>IFERROR(VLOOKUP(Tabla14[[#This Row],[Llave]],[14]Hoja2!$J:$N,4,FALSE),0)</f>
        <v>9000</v>
      </c>
      <c r="BX149" s="20">
        <f>+Tabla14[[#This Row],[Asignación mes n+1]]*Tabla14[[#This Row],[% Uti. producción]]</f>
        <v>6960.4995398401297</v>
      </c>
      <c r="BY149" s="20">
        <f>+Tabla14[[#This Row],[Ponderación mes n+1]]+Tabla14[[#This Row],[Saldo mes n-1]]</f>
        <v>15330.961206506796</v>
      </c>
      <c r="BZ149" s="20">
        <f>+Tabla14[[#This Row],[Asignación mes n+1]]-Tabla14[[#This Row],[Ponderación mes n+1]]</f>
        <v>2039.5004601598703</v>
      </c>
      <c r="CA149" s="20">
        <f>IFERROR(VLOOKUP(Tabla14[[#This Row],[Llave]],[14]Hoja2!$J:$N,5,FALSE),0)</f>
        <v>9000</v>
      </c>
      <c r="CB149" s="20">
        <f>+Tabla14[[#This Row],[Asignación mes n+2]]*Tabla14[[#This Row],[% Uti. producción]]</f>
        <v>6960.4995398401297</v>
      </c>
      <c r="CC149" s="20">
        <f>+Tabla14[[#This Row],[Saldo mes n+2]]+Tabla14[[#This Row],[Ponderación mes n+2]]</f>
        <v>9000</v>
      </c>
      <c r="CD149" s="20">
        <f>+Tabla14[[#This Row],[Asignación mes n+2]]-Tabla14[[#This Row],[Ponderación mes n+2]]</f>
        <v>2039.5004601598703</v>
      </c>
    </row>
    <row r="150" spans="1:82" ht="16" x14ac:dyDescent="0.2">
      <c r="A150">
        <v>1</v>
      </c>
      <c r="B150" t="str">
        <f>Tabla14[[#This Row],[Oficina]]&amp;Tabla14[[#This Row],[Material]]</f>
        <v>Exportacion Directa1020326</v>
      </c>
      <c r="C150" t="s">
        <v>6</v>
      </c>
      <c r="D150" t="s">
        <v>88</v>
      </c>
      <c r="E150">
        <v>1020326</v>
      </c>
      <c r="F150" t="s">
        <v>117</v>
      </c>
      <c r="G150" t="s">
        <v>53</v>
      </c>
      <c r="H150" t="s">
        <v>54</v>
      </c>
      <c r="I150" s="7">
        <f>IFERROR(IF(Tabla14[[#This Row],[Oficina]]=$I$7,VLOOKUP(Tabla14[[#This Row],[Material]],'[6]RV Producción'!$Y:$AA,3,FALSE),VLOOKUP(Tabla14[[#This Row],[Llave]],'[6]RV Producción'!$C:$G,5,FALSE)),0)</f>
        <v>244547</v>
      </c>
      <c r="J150" s="7">
        <f>IFERROR(IF(Tabla14[[#This Row],[Oficina]]=$I$7,VLOOKUP(Tabla14[[#This Row],[Llave]],'[7]Shangai (Tomas)'!$A:$F,6,FALSE),VLOOKUP(Tabla14[[#This Row],[Llave]],'[6]RV plan de ventas'!$A:$E,5,FALSE)),0)</f>
        <v>264000</v>
      </c>
      <c r="K150" s="8">
        <f>IFERROR(VLOOKUP(Tabla14[[#This Row],[Sector]]&amp;Tabla14[[#This Row],[Oficina]],[8]Ponderación!$A$3:$G$22,7,FALSE),0)</f>
        <v>0.77338883776001444</v>
      </c>
      <c r="L150" s="7">
        <f>+Tabla14[[#This Row],[ RV Producción mes n+1]]*Tabla14[[#This Row],[% Uti. producción]]</f>
        <v>189129.92010769824</v>
      </c>
      <c r="M150" s="7">
        <f>IFERROR(VLOOKUP(Tabla14[[#This Row],[Material]],'[9]TD Stock'!$B:$C,2,FALSE),0)</f>
        <v>72123.8</v>
      </c>
      <c r="N150" s="7">
        <f>IFERROR(VLOOKUP(Tabla14[[#This Row],[Material]],'[10]Consolidado planificación'!$B:$C,2,FALSE),0)</f>
        <v>0</v>
      </c>
      <c r="O150" s="7">
        <f>IFERROR(VLOOKUP(Tabla14[[#This Row],[Llave]],[11]Hoja2!$D:$G,4,FALSE),0)</f>
        <v>24000</v>
      </c>
      <c r="P150" s="14">
        <f>SUM(Tabla14[[#This Row],[Producción disponible]],Tabla14[[#This Row],[Stock al día]],(Tabla14[[#This Row],[Por producir mes N]]*0.9))-Tabla14[[#This Row],[Producción por despachar mes N]]</f>
        <v>237253.72010769823</v>
      </c>
      <c r="Q150" s="7">
        <f>IFERROR(VLOOKUP(Tabla14[[#This Row],[Llave]],[9]DELAY!$A:$D,4,FALSE),0)</f>
        <v>48000</v>
      </c>
      <c r="R150" s="9">
        <v>23000</v>
      </c>
      <c r="S150" s="5">
        <f t="shared" si="7"/>
        <v>48000</v>
      </c>
      <c r="T150" s="76">
        <v>0</v>
      </c>
      <c r="U150" s="5">
        <f>+Tabla14[[#This Row],[Atraso a facturar]]+Tabla14[[#This Row],[Ajuste atraso]]</f>
        <v>48000</v>
      </c>
      <c r="V150" s="3">
        <f>+Tabla14[[#This Row],[Total disponible]]-Tabla14[[#This Row],[Facturación atraso]]</f>
        <v>189253.72010769823</v>
      </c>
      <c r="W150" s="6">
        <f>IFERROR(IF(AND(V150&gt;R150,J150&gt;=R150),ROUNDDOWN((Tabla14[[#This Row],[Producción para venta nueva]])/R150,0)*R150,0),0)</f>
        <v>184000</v>
      </c>
      <c r="X150" s="76">
        <v>12000</v>
      </c>
      <c r="Y150" s="6">
        <f>IF(Tabla14[[#This Row],[Venta del mes]]&gt;0,Tabla14[[#This Row],[Venta del mes]]+Tabla14[[#This Row],[Ajuste venta nueva]],0)</f>
        <v>196000</v>
      </c>
      <c r="Z150" s="6">
        <f>+Tabla14[[#This Row],[Producción para venta nueva]]-Tabla14[[#This Row],[Facturación Venta nueva]]</f>
        <v>-6746.279892301769</v>
      </c>
      <c r="AA150" s="6">
        <f>IF(AND(A150=1,Tabla14[[#This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0" s="6">
        <v>0</v>
      </c>
      <c r="AC150" s="6">
        <f>IF(Tabla14[[#This Row],[Disponible stock sin venta]]&gt;0,Tabla14[[#This Row],[Disponible stock sin venta]]+Tabla14[[#This Row],[Ajuste stock sin venta]],0)</f>
        <v>0</v>
      </c>
      <c r="AD150" s="3">
        <f>IFERROR(VLOOKUP(Tabla14[[#This Row],[Llave]],[12]Hoja1!$A:$D,4,FALSE),0)</f>
        <v>0</v>
      </c>
      <c r="AE15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232000</v>
      </c>
      <c r="AF150" s="3">
        <v>232000</v>
      </c>
      <c r="AG150" s="3">
        <f>+Tabla14[[#This Row],[En puerto a facturar]]</f>
        <v>0</v>
      </c>
      <c r="AH150" s="3">
        <f>+Tabla14[[#This Row],[Facturación atraso]]</f>
        <v>48000</v>
      </c>
      <c r="AI150" s="3">
        <f>+Tabla14[[#This Row],[Plan Irrestricto (DATO)]]-Tabla14[[#This Row],[Puerto ]]-Tabla14[[#This Row],[Atraso]]</f>
        <v>184000</v>
      </c>
      <c r="AJ150" s="6">
        <f>IF(Tabla14[[#This Row],[Plan Irrestricto (DATO)]]&gt;0,SUM(Tabla14[[#This Row],[Facturación atraso]],Tabla14[[#This Row],[Facturación Venta nueva]],Tabla14[[#This Row],[Facturación stock]],Tabla14[[#This Row],[En puerto a facturar]]),0)</f>
        <v>244000</v>
      </c>
      <c r="AK150" s="3">
        <f>+Tabla14[[#This Row],[Facturación atraso]]</f>
        <v>48000</v>
      </c>
      <c r="AL150" s="3">
        <f>Tabla14[[#This Row],[Plan Ajustado]]-Tabla14[[#This Row],[ Atraso ajustado]]-Tabla14[[#This Row],[En puerto a facturar]]</f>
        <v>196000</v>
      </c>
      <c r="AM150" s="3">
        <v>0</v>
      </c>
      <c r="AN150" s="3"/>
      <c r="AO150" s="3" t="str">
        <f>IF(Tabla14[[#This Row],[Plan Ajustado]]&gt;Tabla14[[#This Row],[En puerto a facturar]],"Si","No")</f>
        <v>Si</v>
      </c>
      <c r="AP150" s="3">
        <f>IF(AND(Tabla14[[#This Row],[Plan Ajustado]]&gt;0,Tabla14[[#This Row],[Plan Ajustado]]&gt;Tabla14[[#This Row],[En puerto a facturar]]),(Tabla14[[#This Row],[Plan Ajustado]]-Tabla14[[#This Row],[En puerto a facturar]]),0)</f>
        <v>244000</v>
      </c>
      <c r="AQ150" s="3">
        <f>IF(Tabla14[[#This Row],[Necesidad]]&gt;=Tabla14[[#This Row],[Stock al día]],Tabla14[[#This Row],[Stock al día]],Tabla14[[#This Row],[Necesidad]])</f>
        <v>72123.8</v>
      </c>
      <c r="AR150" s="3">
        <f>+Tabla14[[#This Row],[Necesidad]]-Tabla14[[#This Row],[Stock Plan]]</f>
        <v>171876.2</v>
      </c>
      <c r="AS150" s="155">
        <f>VLOOKUP(Tabla14[[#This Row],[Sector]]&amp;Tabla14[[#This Row],[Oficina]],[8]Ponderación!$A:$H,8,FALSE)</f>
        <v>44817</v>
      </c>
      <c r="AT150" s="30">
        <f>IFERROR(VLOOKUP(Tabla14[[#This Row],[Llave]],'[6]RV plan de ventas'!$A:$F,6,FALSE),0)</f>
        <v>2.6371893939393898</v>
      </c>
      <c r="AU150" s="83">
        <f>IFERROR(VLOOKUP(Tabla14[[#This Row],[Llave]],[9]DELAY!$H:$X,17,FALSE),0)</f>
        <v>2.5998890739606502</v>
      </c>
      <c r="AV15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2.6298516260747196</v>
      </c>
      <c r="AW150" s="5">
        <f>Tabla14[[#This Row],[Pecio plan]]*Tabla14[[#This Row],[Plan Ajustado]]</f>
        <v>641683.79676223162</v>
      </c>
      <c r="AX150" s="30">
        <f>IFERROR(VLOOKUP(Tabla14[[#This Row],[Llave]],'[13]Ultimos precios facturados'!$A:$G,7,FALSE),0)</f>
        <v>2.4170818591050018</v>
      </c>
      <c r="AY15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8.8027538731560467E-2</v>
      </c>
      <c r="AZ150" s="30">
        <f>IFERROR(VLOOKUP(Tabla14[[#This Row],[Llave]],Hoja2!B:K,10,FALSE),0)</f>
        <v>2.5808540104377111</v>
      </c>
      <c r="BA15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2.6298516260747196</v>
      </c>
      <c r="BB150" s="30">
        <v>0</v>
      </c>
      <c r="BC150" s="30">
        <f>IF(Tabla14[[#This Row],[Market]]=0,Tabla14[[#This Row],[Precio Final]],Tabla14[[#This Row],[Market]])</f>
        <v>2.6298516260747196</v>
      </c>
      <c r="BD150" s="82" t="s">
        <v>754</v>
      </c>
      <c r="BE150" s="82" t="str">
        <f>IF(AND(Tabla14[[#This Row],[Atraso a facturar]]&gt;0,Tabla14[[#This Row],[En puerto a facturar]]&gt;0,Tabla14[[#This Row],[Precio Atraso]]=0),"Revisar","OK")</f>
        <v>OK</v>
      </c>
      <c r="BF150" s="82" t="str">
        <f>IF(AND(Tabla14[[#This Row],[Venta del mes]]&gt;0,Tabla14[[#This Row],[Precio venta nueva]]=0),"Revisar","OK")</f>
        <v>OK</v>
      </c>
      <c r="BG150" s="20">
        <f>IFERROR(VLOOKUP(Tabla14[[#This Row],[Llave]],'[5]Consolidación planes'!$A:$M,9,FALSE),0)</f>
        <v>296000</v>
      </c>
      <c r="BH150" s="20">
        <f>IFERROR(VLOOKUP(Tabla14[[#This Row],[Llave]],'[5]Consolidación planes'!$A:$M,10,FALSE),0)</f>
        <v>264000</v>
      </c>
      <c r="BI150" s="20">
        <f>IFERROR(VLOOKUP(Tabla14[[#This Row],[Llave]],'[5]Consolidación planes'!$A:$M,11,FALSE),0)</f>
        <v>240000</v>
      </c>
      <c r="BJ150" s="20">
        <f>IFERROR(VLOOKUP(Tabla14[[#This Row],[Llave]],'[5]Consolidación planes'!$A:$M,12,FALSE),0)</f>
        <v>408000</v>
      </c>
      <c r="BK150" s="20">
        <f>IFERROR(VLOOKUP(Tabla14[[#This Row],[Llave]],'[5]Consolidación planes'!$A:$M,13,FALSE),0)</f>
        <v>360000</v>
      </c>
      <c r="BL150" s="20">
        <f>IFERROR(VLOOKUP(Tabla14[[#This Row],[Llave]],'[13]Base ultimos planes'!$A:$M,13,FALSE),0)</f>
        <v>312000</v>
      </c>
      <c r="BM150" s="20">
        <f>IFERROR(VLOOKUP(Tabla14[[#This Row],[Llave]],'[13]Cruce plan irrestricto'!$C:$M,10,FALSE),0)</f>
        <v>240000</v>
      </c>
      <c r="BN150" s="20">
        <f>IFERROR(VLOOKUP(Tabla14[[#This Row],[Llave]],'[13]Cruce plan irrestricto'!$C:$M,11,FALSE),0)</f>
        <v>216000</v>
      </c>
      <c r="BO150" s="80">
        <f>IFERROR(VLOOKUP(Tabla14[[#This Row],[Llave]],'[13]Base ultimos planes'!$O:$AA,8,FALSE),0)</f>
        <v>858400</v>
      </c>
      <c r="BP150" s="20">
        <f>IFERROR(VLOOKUP(Tabla14[[#This Row],[Llave]],'[13]Base ultimos planes'!$O:$AA,9,FALSE),0)</f>
        <v>679729</v>
      </c>
      <c r="BQ150" s="20">
        <f>IFERROR(VLOOKUP(Tabla14[[#This Row],[Llave]],'[13]Base ultimos planes'!$O:$AA,10,FALSE),0)</f>
        <v>615492</v>
      </c>
      <c r="BR150" s="20">
        <f>IFERROR(VLOOKUP(Tabla14[[#This Row],[Llave]],'[13]Base ultimos planes'!$O:$AA,11,FALSE),0)</f>
        <v>1018883</v>
      </c>
      <c r="BS150" s="20">
        <f>IFERROR(VLOOKUP(Tabla14[[#This Row],[Llave]],'[13]Base ultimos planes'!$O:$AA,12,FALSE),0)</f>
        <v>897600</v>
      </c>
      <c r="BT150" s="20">
        <f>IFERROR(VLOOKUP(Tabla14[[#This Row],[Llave]],'[13]Base ultimos planes'!$O:$AA,13,FALSE),0)</f>
        <v>740745</v>
      </c>
      <c r="BU150" s="20"/>
      <c r="BV150" s="20">
        <f>Tabla14[[#This Row],[ RV Producción mes n+1]]-Tabla14[[#This Row],[Producción disponible]]+Tabla14[[#This Row],[Saldo Volumen disponible]]</f>
        <v>48670.799999999988</v>
      </c>
      <c r="BW150" s="20">
        <f>IFERROR(VLOOKUP(Tabla14[[#This Row],[Llave]],[14]Hoja2!$J:$N,4,FALSE),0)</f>
        <v>259200</v>
      </c>
      <c r="BX150" s="20">
        <f>+Tabla14[[#This Row],[Asignación mes n+1]]*Tabla14[[#This Row],[% Uti. producción]]</f>
        <v>200462.38674739574</v>
      </c>
      <c r="BY150" s="20">
        <f>+Tabla14[[#This Row],[Ponderación mes n+1]]+Tabla14[[#This Row],[Saldo mes n-1]]</f>
        <v>249133.18674739572</v>
      </c>
      <c r="BZ150" s="20">
        <f>+Tabla14[[#This Row],[Asignación mes n+1]]-Tabla14[[#This Row],[Ponderación mes n+1]]</f>
        <v>58737.613252604264</v>
      </c>
      <c r="CA150" s="20">
        <f>IFERROR(VLOOKUP(Tabla14[[#This Row],[Llave]],[14]Hoja2!$J:$N,5,FALSE),0)</f>
        <v>259200</v>
      </c>
      <c r="CB150" s="20">
        <f>+Tabla14[[#This Row],[Asignación mes n+2]]*Tabla14[[#This Row],[% Uti. producción]]</f>
        <v>200462.38674739574</v>
      </c>
      <c r="CC150" s="20">
        <f>+Tabla14[[#This Row],[Saldo mes n+2]]+Tabla14[[#This Row],[Ponderación mes n+2]]</f>
        <v>259200</v>
      </c>
      <c r="CD150" s="20">
        <f>+Tabla14[[#This Row],[Asignación mes n+2]]-Tabla14[[#This Row],[Ponderación mes n+2]]</f>
        <v>58737.613252604264</v>
      </c>
    </row>
    <row r="151" spans="1:82" ht="16" x14ac:dyDescent="0.2">
      <c r="A151">
        <v>1</v>
      </c>
      <c r="B151" t="str">
        <f>Tabla14[[#This Row],[Oficina]]&amp;Tabla14[[#This Row],[Material]]</f>
        <v>Exportacion Directa1020589</v>
      </c>
      <c r="C151" t="s">
        <v>6</v>
      </c>
      <c r="D151" t="s">
        <v>88</v>
      </c>
      <c r="E151">
        <v>1020589</v>
      </c>
      <c r="F151" t="s">
        <v>105</v>
      </c>
      <c r="G151" t="s">
        <v>50</v>
      </c>
      <c r="H151" t="s">
        <v>103</v>
      </c>
      <c r="I151" s="7">
        <f>IFERROR(IF(Tabla14[[#This Row],[Oficina]]=$I$7,VLOOKUP(Tabla14[[#This Row],[Material]],'[6]RV Producción'!$Y:$AA,3,FALSE),VLOOKUP(Tabla14[[#This Row],[Llave]],'[6]RV Producción'!$C:$G,5,FALSE)),0)</f>
        <v>32869</v>
      </c>
      <c r="J151" s="7">
        <f>IFERROR(IF(Tabla14[[#This Row],[Oficina]]=$I$7,VLOOKUP(Tabla14[[#This Row],[Llave]],'[7]Shangai (Tomas)'!$A:$F,6,FALSE),VLOOKUP(Tabla14[[#This Row],[Llave]],'[6]RV plan de ventas'!$A:$E,5,FALSE)),0)</f>
        <v>130000</v>
      </c>
      <c r="K151" s="8">
        <f>IFERROR(VLOOKUP(Tabla14[[#This Row],[Sector]]&amp;Tabla14[[#This Row],[Oficina]],[8]Ponderación!$A$3:$G$22,7,FALSE),0)</f>
        <v>0.77338883776001444</v>
      </c>
      <c r="L151" s="7">
        <f>+Tabla14[[#This Row],[ RV Producción mes n+1]]*Tabla14[[#This Row],[% Uti. producción]]</f>
        <v>25420.517708333915</v>
      </c>
      <c r="M151" s="7">
        <f>IFERROR(VLOOKUP(Tabla14[[#This Row],[Material]],'[9]TD Stock'!$B:$C,2,FALSE),0)</f>
        <v>129372.52199999985</v>
      </c>
      <c r="N151" s="7">
        <f>IFERROR(VLOOKUP(Tabla14[[#This Row],[Material]],'[10]Consolidado planificación'!$B:$C,2,FALSE),0)</f>
        <v>18200.441754415344</v>
      </c>
      <c r="O151" s="7">
        <f>IFERROR(VLOOKUP(Tabla14[[#This Row],[Llave]],[11]Hoja2!$D:$G,4,FALSE),0)</f>
        <v>5000</v>
      </c>
      <c r="P151" s="14">
        <f>SUM(Tabla14[[#This Row],[Producción disponible]],Tabla14[[#This Row],[Stock al día]],(Tabla14[[#This Row],[Por producir mes N]]*0.9))-Tabla14[[#This Row],[Producción por despachar mes N]]</f>
        <v>166173.43728730758</v>
      </c>
      <c r="Q151" s="7">
        <f>IFERROR(VLOOKUP(Tabla14[[#This Row],[Llave]],[9]DELAY!$A:$D,4,FALSE),0)</f>
        <v>110000</v>
      </c>
      <c r="R151" s="9">
        <v>3265.3061224489797</v>
      </c>
      <c r="S151" s="5">
        <f t="shared" si="7"/>
        <v>110000</v>
      </c>
      <c r="T151" s="76">
        <v>-50000</v>
      </c>
      <c r="U151" s="5">
        <f>+Tabla14[[#This Row],[Atraso a facturar]]+Tabla14[[#This Row],[Ajuste atraso]]</f>
        <v>60000</v>
      </c>
      <c r="V151" s="3">
        <f>+Tabla14[[#This Row],[Total disponible]]-Tabla14[[#This Row],[Facturación atraso]]</f>
        <v>106173.43728730758</v>
      </c>
      <c r="W151" s="6">
        <f>IFERROR(IF(AND(V151&gt;R151,J151&gt;=R151),ROUNDDOWN((Tabla14[[#This Row],[Producción para venta nueva]])/R151,0)*R151,0),0)</f>
        <v>104489.79591836735</v>
      </c>
      <c r="X151" s="76">
        <v>-40000</v>
      </c>
      <c r="Y151" s="6">
        <f>IF(Tabla14[[#This Row],[Venta del mes]]&gt;0,Tabla14[[#This Row],[Venta del mes]]+Tabla14[[#This Row],[Ajuste venta nueva]],0)</f>
        <v>64489.795918367352</v>
      </c>
      <c r="Z151" s="6">
        <f>+Tabla14[[#This Row],[Producción para venta nueva]]-Tabla14[[#This Row],[Facturación Venta nueva]]</f>
        <v>41683.641368940225</v>
      </c>
      <c r="AA151" s="6">
        <f>IF(AND(A151=1,Tabla14[[#This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1" s="6">
        <v>0</v>
      </c>
      <c r="AC151" s="6">
        <f>IF(Tabla14[[#This Row],[Disponible stock sin venta]]&gt;0,Tabla14[[#This Row],[Disponible stock sin venta]]+Tabla14[[#This Row],[Ajuste stock sin venta]],0)</f>
        <v>0</v>
      </c>
      <c r="AD151" s="3">
        <f>IFERROR(VLOOKUP(Tabla14[[#This Row],[Llave]],[12]Hoja1!$A:$D,4,FALSE),0)</f>
        <v>0</v>
      </c>
      <c r="AE15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214489.79591836734</v>
      </c>
      <c r="AF151" s="3">
        <v>165510.20408163266</v>
      </c>
      <c r="AG151" s="3">
        <f>+Tabla14[[#This Row],[En puerto a facturar]]</f>
        <v>0</v>
      </c>
      <c r="AH151" s="3">
        <f>+Tabla14[[#This Row],[Facturación atraso]]</f>
        <v>60000</v>
      </c>
      <c r="AI151" s="3">
        <f>+Tabla14[[#This Row],[Plan Irrestricto (DATO)]]-Tabla14[[#This Row],[Puerto ]]-Tabla14[[#This Row],[Atraso]]</f>
        <v>105510.20408163266</v>
      </c>
      <c r="AJ151" s="6">
        <f>IF(Tabla14[[#This Row],[Plan Irrestricto (DATO)]]&gt;0,SUM(Tabla14[[#This Row],[Facturación atraso]],Tabla14[[#This Row],[Facturación Venta nueva]],Tabla14[[#This Row],[Facturación stock]],Tabla14[[#This Row],[En puerto a facturar]]),0)</f>
        <v>124489.79591836735</v>
      </c>
      <c r="AK151" s="3">
        <f>+Tabla14[[#This Row],[Facturación atraso]]</f>
        <v>60000</v>
      </c>
      <c r="AL151" s="3">
        <f>Tabla14[[#This Row],[Plan Ajustado]]-Tabla14[[#This Row],[ Atraso ajustado]]-Tabla14[[#This Row],[En puerto a facturar]]</f>
        <v>64489.795918367352</v>
      </c>
      <c r="AM151" s="3">
        <v>0</v>
      </c>
      <c r="AN151" s="3"/>
      <c r="AO151" s="3" t="str">
        <f>IF(Tabla14[[#This Row],[Plan Ajustado]]&gt;Tabla14[[#This Row],[En puerto a facturar]],"Si","No")</f>
        <v>Si</v>
      </c>
      <c r="AP151" s="3">
        <f>IF(AND(Tabla14[[#This Row],[Plan Ajustado]]&gt;0,Tabla14[[#This Row],[Plan Ajustado]]&gt;Tabla14[[#This Row],[En puerto a facturar]]),(Tabla14[[#This Row],[Plan Ajustado]]-Tabla14[[#This Row],[En puerto a facturar]]),0)</f>
        <v>124489.79591836735</v>
      </c>
      <c r="AQ151" s="3">
        <f>IF(Tabla14[[#This Row],[Necesidad]]&gt;=Tabla14[[#This Row],[Stock al día]],Tabla14[[#This Row],[Stock al día]],Tabla14[[#This Row],[Necesidad]])</f>
        <v>124489.79591836735</v>
      </c>
      <c r="AR151" s="3">
        <f>+Tabla14[[#This Row],[Necesidad]]-Tabla14[[#This Row],[Stock Plan]]</f>
        <v>0</v>
      </c>
      <c r="AS151" s="155">
        <f>VLOOKUP(Tabla14[[#This Row],[Sector]]&amp;Tabla14[[#This Row],[Oficina]],[8]Ponderación!$A:$H,8,FALSE)</f>
        <v>44817</v>
      </c>
      <c r="AT151" s="30">
        <f>IFERROR(VLOOKUP(Tabla14[[#This Row],[Llave]],'[6]RV plan de ventas'!$A:$F,6,FALSE),0)</f>
        <v>3.68460769230769</v>
      </c>
      <c r="AU151" s="83">
        <f>IFERROR(VLOOKUP(Tabla14[[#This Row],[Llave]],[9]DELAY!$H:$X,17,FALSE),0)</f>
        <v>3.6404234521538466</v>
      </c>
      <c r="AV15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3.6633123372171492</v>
      </c>
      <c r="AW151" s="5">
        <f>Tabla14[[#This Row],[Pecio plan]]*Tabla14[[#This Row],[Plan Ajustado]]</f>
        <v>456045.00524540024</v>
      </c>
      <c r="AX151" s="30">
        <f>IFERROR(VLOOKUP(Tabla14[[#This Row],[Llave]],'[13]Ultimos precios facturados'!$A:$G,7,FALSE),0)</f>
        <v>3.6351188872995008</v>
      </c>
      <c r="AY15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7.7558536025194649E-3</v>
      </c>
      <c r="AZ151" s="30">
        <f>IFERROR(VLOOKUP(Tabla14[[#This Row],[Llave]],Hoja2!B:K,10,FALSE),0)</f>
        <v>3.5750803848376762</v>
      </c>
      <c r="BA15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3.6633123372171492</v>
      </c>
      <c r="BB151" s="30">
        <v>0</v>
      </c>
      <c r="BC151" s="30">
        <f>IF(Tabla14[[#This Row],[Market]]=0,Tabla14[[#This Row],[Precio Final]],Tabla14[[#This Row],[Market]])</f>
        <v>3.6633123372171492</v>
      </c>
      <c r="BD151" s="82"/>
      <c r="BE151" s="82" t="str">
        <f>IF(AND(Tabla14[[#This Row],[Atraso a facturar]]&gt;0,Tabla14[[#This Row],[En puerto a facturar]]&gt;0,Tabla14[[#This Row],[Precio Atraso]]=0),"Revisar","OK")</f>
        <v>OK</v>
      </c>
      <c r="BF151" s="82" t="str">
        <f>IF(AND(Tabla14[[#This Row],[Venta del mes]]&gt;0,Tabla14[[#This Row],[Precio venta nueva]]=0),"Revisar","OK")</f>
        <v>OK</v>
      </c>
      <c r="BG151" s="20">
        <f>IFERROR(VLOOKUP(Tabla14[[#This Row],[Llave]],'[5]Consolidación planes'!$A:$M,9,FALSE),0)</f>
        <v>64100</v>
      </c>
      <c r="BH151" s="20">
        <f>IFERROR(VLOOKUP(Tabla14[[#This Row],[Llave]],'[5]Consolidación planes'!$A:$M,10,FALSE),0)</f>
        <v>43000</v>
      </c>
      <c r="BI151" s="20">
        <f>IFERROR(VLOOKUP(Tabla14[[#This Row],[Llave]],'[5]Consolidación planes'!$A:$M,11,FALSE),0)</f>
        <v>100000</v>
      </c>
      <c r="BJ151" s="20">
        <f>IFERROR(VLOOKUP(Tabla14[[#This Row],[Llave]],'[5]Consolidación planes'!$A:$M,12,FALSE),0)</f>
        <v>110000</v>
      </c>
      <c r="BK151" s="20">
        <f>IFERROR(VLOOKUP(Tabla14[[#This Row],[Llave]],'[5]Consolidación planes'!$A:$M,13,FALSE),0)</f>
        <v>144100</v>
      </c>
      <c r="BL151" s="20">
        <f>IFERROR(VLOOKUP(Tabla14[[#This Row],[Llave]],'[13]Base ultimos planes'!$A:$M,13,FALSE),0)</f>
        <v>156329</v>
      </c>
      <c r="BM151" s="20">
        <f>IFERROR(VLOOKUP(Tabla14[[#This Row],[Llave]],'[13]Cruce plan irrestricto'!$C:$M,10,FALSE),0)</f>
        <v>119539</v>
      </c>
      <c r="BN151" s="20">
        <f>IFERROR(VLOOKUP(Tabla14[[#This Row],[Llave]],'[13]Cruce plan irrestricto'!$C:$M,11,FALSE),0)</f>
        <v>170914.29</v>
      </c>
      <c r="BO151" s="80">
        <f>IFERROR(VLOOKUP(Tabla14[[#This Row],[Llave]],'[13]Base ultimos planes'!$O:$AA,8,FALSE),0)</f>
        <v>282040</v>
      </c>
      <c r="BP151" s="20">
        <f>IFERROR(VLOOKUP(Tabla14[[#This Row],[Llave]],'[13]Base ultimos planes'!$O:$AA,9,FALSE),0)</f>
        <v>174732</v>
      </c>
      <c r="BQ151" s="20">
        <f>IFERROR(VLOOKUP(Tabla14[[#This Row],[Llave]],'[13]Base ultimos planes'!$O:$AA,10,FALSE),0)</f>
        <v>416231</v>
      </c>
      <c r="BR151" s="20">
        <f>IFERROR(VLOOKUP(Tabla14[[#This Row],[Llave]],'[13]Base ultimos planes'!$O:$AA,11,FALSE),0)</f>
        <v>439164</v>
      </c>
      <c r="BS151" s="20">
        <f>IFERROR(VLOOKUP(Tabla14[[#This Row],[Llave]],'[13]Base ultimos planes'!$O:$AA,12,FALSE),0)</f>
        <v>561670</v>
      </c>
      <c r="BT151" s="20">
        <f>IFERROR(VLOOKUP(Tabla14[[#This Row],[Llave]],'[13]Base ultimos planes'!$O:$AA,13,FALSE),0)</f>
        <v>552525</v>
      </c>
      <c r="BU151" s="20"/>
      <c r="BV151" s="20">
        <f>Tabla14[[#This Row],[ RV Producción mes n+1]]-Tabla14[[#This Row],[Producción disponible]]+Tabla14[[#This Row],[Saldo Volumen disponible]]</f>
        <v>49132.12366060631</v>
      </c>
      <c r="BW151" s="20">
        <f>IFERROR(VLOOKUP(Tabla14[[#This Row],[Llave]],[14]Hoja2!$J:$N,4,FALSE),0)</f>
        <v>108000</v>
      </c>
      <c r="BX151" s="20">
        <f>+Tabla14[[#This Row],[Asignación mes n+1]]*Tabla14[[#This Row],[% Uti. producción]]</f>
        <v>83525.994478081557</v>
      </c>
      <c r="BY151" s="20">
        <f>+Tabla14[[#This Row],[Ponderación mes n+1]]+Tabla14[[#This Row],[Saldo mes n-1]]</f>
        <v>132658.11813868786</v>
      </c>
      <c r="BZ151" s="20">
        <f>+Tabla14[[#This Row],[Asignación mes n+1]]-Tabla14[[#This Row],[Ponderación mes n+1]]</f>
        <v>24474.005521918443</v>
      </c>
      <c r="CA151" s="20">
        <f>IFERROR(VLOOKUP(Tabla14[[#This Row],[Llave]],[14]Hoja2!$J:$N,5,FALSE),0)</f>
        <v>108000</v>
      </c>
      <c r="CB151" s="20">
        <f>+Tabla14[[#This Row],[Asignación mes n+2]]*Tabla14[[#This Row],[% Uti. producción]]</f>
        <v>83525.994478081557</v>
      </c>
      <c r="CC151" s="20">
        <f>+Tabla14[[#This Row],[Saldo mes n+2]]+Tabla14[[#This Row],[Ponderación mes n+2]]</f>
        <v>108000</v>
      </c>
      <c r="CD151" s="20">
        <f>+Tabla14[[#This Row],[Asignación mes n+2]]-Tabla14[[#This Row],[Ponderación mes n+2]]</f>
        <v>24474.005521918443</v>
      </c>
    </row>
    <row r="152" spans="1:82" ht="16" x14ac:dyDescent="0.2">
      <c r="A152">
        <v>1</v>
      </c>
      <c r="B152" t="str">
        <f>Tabla14[[#This Row],[Oficina]]&amp;Tabla14[[#This Row],[Material]]</f>
        <v>Exportacion Directa1020592</v>
      </c>
      <c r="C152" t="s">
        <v>6</v>
      </c>
      <c r="D152" t="s">
        <v>88</v>
      </c>
      <c r="E152">
        <v>1020592</v>
      </c>
      <c r="F152" t="s">
        <v>111</v>
      </c>
      <c r="G152" t="s">
        <v>50</v>
      </c>
      <c r="H152" t="s">
        <v>110</v>
      </c>
      <c r="I152" s="7">
        <f>IFERROR(IF(Tabla14[[#This Row],[Oficina]]=$I$7,VLOOKUP(Tabla14[[#This Row],[Material]],'[6]RV Producción'!$Y:$AA,3,FALSE),VLOOKUP(Tabla14[[#This Row],[Llave]],'[6]RV Producción'!$C:$G,5,FALSE)),0)</f>
        <v>187358</v>
      </c>
      <c r="J152" s="7">
        <f>IFERROR(IF(Tabla14[[#This Row],[Oficina]]=$I$7,VLOOKUP(Tabla14[[#This Row],[Llave]],'[7]Shangai (Tomas)'!$A:$F,6,FALSE),VLOOKUP(Tabla14[[#This Row],[Llave]],'[6]RV plan de ventas'!$A:$E,5,FALSE)),0)</f>
        <v>210000</v>
      </c>
      <c r="K152" s="8">
        <f>IFERROR(VLOOKUP(Tabla14[[#This Row],[Sector]]&amp;Tabla14[[#This Row],[Oficina]],[8]Ponderación!$A$3:$G$22,7,FALSE),0)</f>
        <v>0.77338883776001444</v>
      </c>
      <c r="L152" s="7">
        <f>+Tabla14[[#This Row],[ RV Producción mes n+1]]*Tabla14[[#This Row],[% Uti. producción]]</f>
        <v>144900.58586504078</v>
      </c>
      <c r="M152" s="7">
        <f>IFERROR(VLOOKUP(Tabla14[[#This Row],[Material]],'[9]TD Stock'!$B:$C,2,FALSE),0)</f>
        <v>156051.64899999983</v>
      </c>
      <c r="N152" s="7">
        <f>IFERROR(VLOOKUP(Tabla14[[#This Row],[Material]],'[10]Consolidado planificación'!$B:$C,2,FALSE),0)</f>
        <v>46510.473476999206</v>
      </c>
      <c r="O152" s="7">
        <f>IFERROR(VLOOKUP(Tabla14[[#This Row],[Llave]],[11]Hoja2!$D:$G,4,FALSE),0)</f>
        <v>15800</v>
      </c>
      <c r="P152" s="14">
        <f>SUM(Tabla14[[#This Row],[Producción disponible]],Tabla14[[#This Row],[Stock al día]],(Tabla14[[#This Row],[Por producir mes N]]*0.9))-Tabla14[[#This Row],[Producción por despachar mes N]]</f>
        <v>327011.66099433991</v>
      </c>
      <c r="Q152" s="7">
        <f>IFERROR(VLOOKUP(Tabla14[[#This Row],[Llave]],[9]DELAY!$A:$D,4,FALSE),0)</f>
        <v>219730</v>
      </c>
      <c r="R152" s="9">
        <v>6485.6164383561645</v>
      </c>
      <c r="S152" s="5">
        <f t="shared" si="7"/>
        <v>219730</v>
      </c>
      <c r="T152" s="76">
        <v>-120000</v>
      </c>
      <c r="U152" s="5">
        <f>+Tabla14[[#This Row],[Atraso a facturar]]+Tabla14[[#This Row],[Ajuste atraso]]</f>
        <v>99730</v>
      </c>
      <c r="V152" s="3">
        <f>+Tabla14[[#This Row],[Total disponible]]-Tabla14[[#This Row],[Facturación atraso]]</f>
        <v>227281.66099433991</v>
      </c>
      <c r="W152" s="6">
        <f>IFERROR(IF(AND(V152&gt;R152,J152&gt;=R152),ROUNDDOWN((Tabla14[[#This Row],[Producción para venta nueva]])/R152,0)*R152,0),0)</f>
        <v>226996.57534246575</v>
      </c>
      <c r="X152" s="76">
        <v>-140000</v>
      </c>
      <c r="Y152" s="6">
        <f>IF(Tabla14[[#This Row],[Venta del mes]]&gt;0,Tabla14[[#This Row],[Venta del mes]]+Tabla14[[#This Row],[Ajuste venta nueva]],0)</f>
        <v>86996.575342465745</v>
      </c>
      <c r="Z152" s="6">
        <f>+Tabla14[[#This Row],[Producción para venta nueva]]-Tabla14[[#This Row],[Facturación Venta nueva]]</f>
        <v>140285.08565187416</v>
      </c>
      <c r="AA152" s="6">
        <f>IF(AND(A152=1,Tabla14[[#This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2" s="6">
        <v>0</v>
      </c>
      <c r="AC152" s="6">
        <f>IF(Tabla14[[#This Row],[Disponible stock sin venta]]&gt;0,Tabla14[[#This Row],[Disponible stock sin venta]]+Tabla14[[#This Row],[Ajuste stock sin venta]],0)</f>
        <v>0</v>
      </c>
      <c r="AD152" s="3">
        <f>IFERROR(VLOOKUP(Tabla14[[#This Row],[Llave]],[12]Hoja1!$A:$D,4,FALSE),0)</f>
        <v>0</v>
      </c>
      <c r="AE15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446726.57534246577</v>
      </c>
      <c r="AF152" s="3">
        <v>323499.8630136986</v>
      </c>
      <c r="AG152" s="3">
        <f>+Tabla14[[#This Row],[En puerto a facturar]]</f>
        <v>0</v>
      </c>
      <c r="AH152" s="3">
        <f>+Tabla14[[#This Row],[Facturación atraso]]</f>
        <v>99730</v>
      </c>
      <c r="AI152" s="3">
        <f>+Tabla14[[#This Row],[Plan Irrestricto (DATO)]]-Tabla14[[#This Row],[Puerto ]]-Tabla14[[#This Row],[Atraso]]</f>
        <v>223769.8630136986</v>
      </c>
      <c r="AJ152" s="6">
        <f>IF(Tabla14[[#This Row],[Plan Irrestricto (DATO)]]&gt;0,SUM(Tabla14[[#This Row],[Facturación atraso]],Tabla14[[#This Row],[Facturación Venta nueva]],Tabla14[[#This Row],[Facturación stock]],Tabla14[[#This Row],[En puerto a facturar]]),0)</f>
        <v>186726.57534246575</v>
      </c>
      <c r="AK152" s="3">
        <f>+Tabla14[[#This Row],[Facturación atraso]]</f>
        <v>99730</v>
      </c>
      <c r="AL152" s="3">
        <f>Tabla14[[#This Row],[Plan Ajustado]]-Tabla14[[#This Row],[ Atraso ajustado]]-Tabla14[[#This Row],[En puerto a facturar]]</f>
        <v>86996.575342465745</v>
      </c>
      <c r="AM152" s="3">
        <v>0</v>
      </c>
      <c r="AN152" s="3"/>
      <c r="AO152" s="3" t="str">
        <f>IF(Tabla14[[#This Row],[Plan Ajustado]]&gt;Tabla14[[#This Row],[En puerto a facturar]],"Si","No")</f>
        <v>Si</v>
      </c>
      <c r="AP152" s="3">
        <f>IF(AND(Tabla14[[#This Row],[Plan Ajustado]]&gt;0,Tabla14[[#This Row],[Plan Ajustado]]&gt;Tabla14[[#This Row],[En puerto a facturar]]),(Tabla14[[#This Row],[Plan Ajustado]]-Tabla14[[#This Row],[En puerto a facturar]]),0)</f>
        <v>186726.57534246575</v>
      </c>
      <c r="AQ152" s="3">
        <f>IF(Tabla14[[#This Row],[Necesidad]]&gt;=Tabla14[[#This Row],[Stock al día]],Tabla14[[#This Row],[Stock al día]],Tabla14[[#This Row],[Necesidad]])</f>
        <v>156051.64899999983</v>
      </c>
      <c r="AR152" s="3">
        <f>+Tabla14[[#This Row],[Necesidad]]-Tabla14[[#This Row],[Stock Plan]]</f>
        <v>30674.926342465915</v>
      </c>
      <c r="AS152" s="155">
        <f>VLOOKUP(Tabla14[[#This Row],[Sector]]&amp;Tabla14[[#This Row],[Oficina]],[8]Ponderación!$A:$H,8,FALSE)</f>
        <v>44817</v>
      </c>
      <c r="AT152" s="30">
        <f>IFERROR(VLOOKUP(Tabla14[[#This Row],[Llave]],'[6]RV plan de ventas'!$A:$F,6,FALSE),0)</f>
        <v>3.6097952380952401</v>
      </c>
      <c r="AU152" s="83">
        <f>IFERROR(VLOOKUP(Tabla14[[#This Row],[Llave]],[9]DELAY!$H:$X,17,FALSE),0)</f>
        <v>3.5580632875715814</v>
      </c>
      <c r="AV15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3.5821653872490913</v>
      </c>
      <c r="AW152" s="5">
        <f>Tabla14[[#This Row],[Pecio plan]]*Tabla14[[#This Row],[Plan Ajustado]]</f>
        <v>668885.47507134045</v>
      </c>
      <c r="AX152" s="30">
        <f>IFERROR(VLOOKUP(Tabla14[[#This Row],[Llave]],'[13]Ultimos precios facturados'!$A:$G,7,FALSE),0)</f>
        <v>3.5074788751133763</v>
      </c>
      <c r="AY15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2.1293503053044276E-2</v>
      </c>
      <c r="AZ152" s="30">
        <f>IFERROR(VLOOKUP(Tabla14[[#This Row],[Llave]],Hoja2!B:K,10,FALSE),0)</f>
        <v>3.5274033714846835</v>
      </c>
      <c r="BA15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3.5821653872490913</v>
      </c>
      <c r="BB152" s="30">
        <v>0</v>
      </c>
      <c r="BC152" s="30">
        <f>IF(Tabla14[[#This Row],[Market]]=0,Tabla14[[#This Row],[Precio Final]],Tabla14[[#This Row],[Market]])</f>
        <v>3.5821653872490913</v>
      </c>
      <c r="BD152" s="82"/>
      <c r="BE152" s="82" t="str">
        <f>IF(AND(Tabla14[[#This Row],[Atraso a facturar]]&gt;0,Tabla14[[#This Row],[En puerto a facturar]]&gt;0,Tabla14[[#This Row],[Precio Atraso]]=0),"Revisar","OK")</f>
        <v>OK</v>
      </c>
      <c r="BF152" s="82" t="str">
        <f>IF(AND(Tabla14[[#This Row],[Venta del mes]]&gt;0,Tabla14[[#This Row],[Precio venta nueva]]=0),"Revisar","OK")</f>
        <v>OK</v>
      </c>
      <c r="BG152" s="20">
        <f>IFERROR(VLOOKUP(Tabla14[[#This Row],[Llave]],'[5]Consolidación planes'!$A:$M,9,FALSE),0)</f>
        <v>0</v>
      </c>
      <c r="BH152" s="20">
        <f>IFERROR(VLOOKUP(Tabla14[[#This Row],[Llave]],'[5]Consolidación planes'!$A:$M,10,FALSE),0)</f>
        <v>90000</v>
      </c>
      <c r="BI152" s="20">
        <f>IFERROR(VLOOKUP(Tabla14[[#This Row],[Llave]],'[5]Consolidación planes'!$A:$M,11,FALSE),0)</f>
        <v>280000</v>
      </c>
      <c r="BJ152" s="20">
        <f>IFERROR(VLOOKUP(Tabla14[[#This Row],[Llave]],'[5]Consolidación planes'!$A:$M,12,FALSE),0)</f>
        <v>280000</v>
      </c>
      <c r="BK152" s="20">
        <f>IFERROR(VLOOKUP(Tabla14[[#This Row],[Llave]],'[5]Consolidación planes'!$A:$M,13,FALSE),0)</f>
        <v>270000</v>
      </c>
      <c r="BL152" s="20">
        <f>IFERROR(VLOOKUP(Tabla14[[#This Row],[Llave]],'[13]Base ultimos planes'!$A:$M,13,FALSE),0)</f>
        <v>282647</v>
      </c>
      <c r="BM152" s="20">
        <f>IFERROR(VLOOKUP(Tabla14[[#This Row],[Llave]],'[13]Cruce plan irrestricto'!$C:$M,10,FALSE),0)</f>
        <v>254664</v>
      </c>
      <c r="BN152" s="20">
        <f>IFERROR(VLOOKUP(Tabla14[[#This Row],[Llave]],'[13]Cruce plan irrestricto'!$C:$M,11,FALSE),0)</f>
        <v>233415.89</v>
      </c>
      <c r="BO152" s="80">
        <f>IFERROR(VLOOKUP(Tabla14[[#This Row],[Llave]],'[13]Base ultimos planes'!$O:$AA,8,FALSE),0)</f>
        <v>0</v>
      </c>
      <c r="BP152" s="20">
        <f>IFERROR(VLOOKUP(Tabla14[[#This Row],[Llave]],'[13]Base ultimos planes'!$O:$AA,9,FALSE),0)</f>
        <v>178762</v>
      </c>
      <c r="BQ152" s="20">
        <f>IFERROR(VLOOKUP(Tabla14[[#This Row],[Llave]],'[13]Base ultimos planes'!$O:$AA,10,FALSE),0)</f>
        <v>1095385</v>
      </c>
      <c r="BR152" s="20">
        <f>IFERROR(VLOOKUP(Tabla14[[#This Row],[Llave]],'[13]Base ultimos planes'!$O:$AA,11,FALSE),0)</f>
        <v>1052959</v>
      </c>
      <c r="BS152" s="20">
        <f>IFERROR(VLOOKUP(Tabla14[[#This Row],[Llave]],'[13]Base ultimos planes'!$O:$AA,12,FALSE),0)</f>
        <v>1004342</v>
      </c>
      <c r="BT152" s="20">
        <f>IFERROR(VLOOKUP(Tabla14[[#This Row],[Llave]],'[13]Base ultimos planes'!$O:$AA,13,FALSE),0)</f>
        <v>966406</v>
      </c>
      <c r="BU152" s="20"/>
      <c r="BV152" s="20">
        <f>Tabla14[[#This Row],[ RV Producción mes n+1]]-Tabla14[[#This Row],[Producción disponible]]+Tabla14[[#This Row],[Saldo Volumen disponible]]</f>
        <v>182742.49978683339</v>
      </c>
      <c r="BW152" s="20">
        <f>IFERROR(VLOOKUP(Tabla14[[#This Row],[Llave]],[14]Hoja2!$J:$N,4,FALSE),0)</f>
        <v>206999.997</v>
      </c>
      <c r="BX152" s="20">
        <f>+Tabla14[[#This Row],[Asignación mes n+1]]*Tabla14[[#This Row],[% Uti. producción]]</f>
        <v>160091.48709615649</v>
      </c>
      <c r="BY152" s="20">
        <f>+Tabla14[[#This Row],[Ponderación mes n+1]]+Tabla14[[#This Row],[Saldo mes n-1]]</f>
        <v>342833.98688298988</v>
      </c>
      <c r="BZ152" s="20">
        <f>+Tabla14[[#This Row],[Asignación mes n+1]]-Tabla14[[#This Row],[Ponderación mes n+1]]</f>
        <v>46908.509903843515</v>
      </c>
      <c r="CA152" s="20">
        <f>IFERROR(VLOOKUP(Tabla14[[#This Row],[Llave]],[14]Hoja2!$J:$N,5,FALSE),0)</f>
        <v>207000</v>
      </c>
      <c r="CB152" s="20">
        <f>+Tabla14[[#This Row],[Asignación mes n+2]]*Tabla14[[#This Row],[% Uti. producción]]</f>
        <v>160091.48941632299</v>
      </c>
      <c r="CC152" s="20">
        <f>+Tabla14[[#This Row],[Saldo mes n+2]]+Tabla14[[#This Row],[Ponderación mes n+2]]</f>
        <v>206999.99932016651</v>
      </c>
      <c r="CD152" s="20">
        <f>+Tabla14[[#This Row],[Asignación mes n+2]]-Tabla14[[#This Row],[Ponderación mes n+2]]</f>
        <v>46908.510583677009</v>
      </c>
    </row>
    <row r="153" spans="1:82" ht="16" x14ac:dyDescent="0.2">
      <c r="A153">
        <v>1</v>
      </c>
      <c r="B153" t="str">
        <f>Tabla14[[#This Row],[Oficina]]&amp;Tabla14[[#This Row],[Material]]</f>
        <v>Exportacion Directa1020620</v>
      </c>
      <c r="C153" t="s">
        <v>6</v>
      </c>
      <c r="D153" t="s">
        <v>88</v>
      </c>
      <c r="E153">
        <v>1020620</v>
      </c>
      <c r="F153" t="s">
        <v>112</v>
      </c>
      <c r="G153" t="s">
        <v>50</v>
      </c>
      <c r="H153" t="s">
        <v>110</v>
      </c>
      <c r="I153" s="7">
        <f>IFERROR(IF(Tabla14[[#This Row],[Oficina]]=$I$7,VLOOKUP(Tabla14[[#This Row],[Material]],'[6]RV Producción'!$Y:$AA,3,FALSE),VLOOKUP(Tabla14[[#This Row],[Llave]],'[6]RV Producción'!$C:$G,5,FALSE)),0)</f>
        <v>26564</v>
      </c>
      <c r="J153" s="7">
        <f>IFERROR(IF(Tabla14[[#This Row],[Oficina]]=$I$7,VLOOKUP(Tabla14[[#This Row],[Llave]],'[7]Shangai (Tomas)'!$A:$F,6,FALSE),VLOOKUP(Tabla14[[#This Row],[Llave]],'[6]RV plan de ventas'!$A:$E,5,FALSE)),0)</f>
        <v>30000</v>
      </c>
      <c r="K153" s="8">
        <f>IFERROR(VLOOKUP(Tabla14[[#This Row],[Sector]]&amp;Tabla14[[#This Row],[Oficina]],[8]Ponderación!$A$3:$G$22,7,FALSE),0)</f>
        <v>0.77338883776001444</v>
      </c>
      <c r="L153" s="7">
        <f>+Tabla14[[#This Row],[ RV Producción mes n+1]]*Tabla14[[#This Row],[% Uti. producción]]</f>
        <v>20544.301086257023</v>
      </c>
      <c r="M153" s="7">
        <f>IFERROR(VLOOKUP(Tabla14[[#This Row],[Material]],'[9]TD Stock'!$B:$C,2,FALSE),0)</f>
        <v>7410.8929999999982</v>
      </c>
      <c r="N153" s="7">
        <f>IFERROR(VLOOKUP(Tabla14[[#This Row],[Material]],'[10]Consolidado planificación'!$B:$C,2,FALSE),0)</f>
        <v>11390.512555308527</v>
      </c>
      <c r="O153" s="7">
        <f>IFERROR(VLOOKUP(Tabla14[[#This Row],[Llave]],[11]Hoja2!$D:$G,4,FALSE),0)</f>
        <v>0</v>
      </c>
      <c r="P153" s="14">
        <f>SUM(Tabla14[[#This Row],[Producción disponible]],Tabla14[[#This Row],[Stock al día]],(Tabla14[[#This Row],[Por producir mes N]]*0.9))-Tabla14[[#This Row],[Producción por despachar mes N]]</f>
        <v>38206.65538603469</v>
      </c>
      <c r="Q153" s="7">
        <f>IFERROR(VLOOKUP(Tabla14[[#This Row],[Llave]],[9]DELAY!$A:$D,4,FALSE),0)</f>
        <v>64700</v>
      </c>
      <c r="R153" s="9">
        <v>3142.8571428571427</v>
      </c>
      <c r="S153" s="5">
        <f t="shared" si="7"/>
        <v>37714.28571428571</v>
      </c>
      <c r="T153" s="76">
        <v>-17000</v>
      </c>
      <c r="U153" s="5">
        <f>+Tabla14[[#This Row],[Atraso a facturar]]+Tabla14[[#This Row],[Ajuste atraso]]</f>
        <v>20714.28571428571</v>
      </c>
      <c r="V153" s="3">
        <f>+Tabla14[[#This Row],[Total disponible]]-Tabla14[[#This Row],[Facturación atraso]]</f>
        <v>17492.36967174898</v>
      </c>
      <c r="W153" s="6">
        <f>IFERROR(IF(AND(V153&gt;R153,J153&gt;=R153),ROUNDDOWN((Tabla14[[#This Row],[Producción para venta nueva]])/R153,0)*R153,0),0)</f>
        <v>15714.285714285714</v>
      </c>
      <c r="X153" s="76">
        <v>-9000</v>
      </c>
      <c r="Y153" s="6">
        <f>IF(Tabla14[[#This Row],[Venta del mes]]&gt;0,Tabla14[[#This Row],[Venta del mes]]+Tabla14[[#This Row],[Ajuste venta nueva]],0)</f>
        <v>6714.2857142857138</v>
      </c>
      <c r="Z153" s="6">
        <f>+Tabla14[[#This Row],[Producción para venta nueva]]-Tabla14[[#This Row],[Facturación Venta nueva]]</f>
        <v>10778.083957463266</v>
      </c>
      <c r="AA153" s="6">
        <f>IF(AND(A153=1,Tabla14[[#This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3" s="6">
        <v>0</v>
      </c>
      <c r="AC153" s="6">
        <f>IF(Tabla14[[#This Row],[Disponible stock sin venta]]&gt;0,Tabla14[[#This Row],[Disponible stock sin venta]]+Tabla14[[#This Row],[Ajuste stock sin venta]],0)</f>
        <v>0</v>
      </c>
      <c r="AD153" s="3">
        <f>IFERROR(VLOOKUP(Tabla14[[#This Row],[Llave]],[12]Hoja1!$A:$D,4,FALSE),0)</f>
        <v>0</v>
      </c>
      <c r="AE15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53428.57142857142</v>
      </c>
      <c r="AF153" s="3">
        <v>37714.28571428571</v>
      </c>
      <c r="AG153" s="3">
        <f>+Tabla14[[#This Row],[En puerto a facturar]]</f>
        <v>0</v>
      </c>
      <c r="AH153" s="3">
        <f>+Tabla14[[#This Row],[Facturación atraso]]</f>
        <v>20714.28571428571</v>
      </c>
      <c r="AI153" s="3">
        <f>+Tabla14[[#This Row],[Plan Irrestricto (DATO)]]-Tabla14[[#This Row],[Puerto ]]-Tabla14[[#This Row],[Atraso]]</f>
        <v>17000</v>
      </c>
      <c r="AJ153" s="6">
        <f>IF(Tabla14[[#This Row],[Plan Irrestricto (DATO)]]&gt;0,SUM(Tabla14[[#This Row],[Facturación atraso]],Tabla14[[#This Row],[Facturación Venta nueva]],Tabla14[[#This Row],[Facturación stock]],Tabla14[[#This Row],[En puerto a facturar]]),0)</f>
        <v>27428.571428571424</v>
      </c>
      <c r="AK153" s="3">
        <f>+Tabla14[[#This Row],[Facturación atraso]]</f>
        <v>20714.28571428571</v>
      </c>
      <c r="AL153" s="3">
        <f>Tabla14[[#This Row],[Plan Ajustado]]-Tabla14[[#This Row],[ Atraso ajustado]]-Tabla14[[#This Row],[En puerto a facturar]]</f>
        <v>6714.2857142857138</v>
      </c>
      <c r="AM153" s="3">
        <v>0</v>
      </c>
      <c r="AN153" s="3"/>
      <c r="AO153" s="3" t="str">
        <f>IF(Tabla14[[#This Row],[Plan Ajustado]]&gt;Tabla14[[#This Row],[En puerto a facturar]],"Si","No")</f>
        <v>Si</v>
      </c>
      <c r="AP153" s="3">
        <f>IF(AND(Tabla14[[#This Row],[Plan Ajustado]]&gt;0,Tabla14[[#This Row],[Plan Ajustado]]&gt;Tabla14[[#This Row],[En puerto a facturar]]),(Tabla14[[#This Row],[Plan Ajustado]]-Tabla14[[#This Row],[En puerto a facturar]]),0)</f>
        <v>27428.571428571424</v>
      </c>
      <c r="AQ153" s="3">
        <f>IF(Tabla14[[#This Row],[Necesidad]]&gt;=Tabla14[[#This Row],[Stock al día]],Tabla14[[#This Row],[Stock al día]],Tabla14[[#This Row],[Necesidad]])</f>
        <v>7410.8929999999982</v>
      </c>
      <c r="AR153" s="3">
        <f>+Tabla14[[#This Row],[Necesidad]]-Tabla14[[#This Row],[Stock Plan]]</f>
        <v>20017.678428571424</v>
      </c>
      <c r="AS153" s="155">
        <f>VLOOKUP(Tabla14[[#This Row],[Sector]]&amp;Tabla14[[#This Row],[Oficina]],[8]Ponderación!$A:$H,8,FALSE)</f>
        <v>44817</v>
      </c>
      <c r="AT153" s="30">
        <f>IFERROR(VLOOKUP(Tabla14[[#This Row],[Llave]],'[6]RV plan de ventas'!$A:$F,6,FALSE),0)</f>
        <v>3.6097999999999999</v>
      </c>
      <c r="AU153" s="83">
        <f>IFERROR(VLOOKUP(Tabla14[[#This Row],[Llave]],[9]DELAY!$H:$X,17,FALSE),0)</f>
        <v>3.4237607499085931</v>
      </c>
      <c r="AV15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3.4693016080038857</v>
      </c>
      <c r="AW153" s="5">
        <f>Tabla14[[#This Row],[Pecio plan]]*Tabla14[[#This Row],[Plan Ajustado]]</f>
        <v>95157.986962392271</v>
      </c>
      <c r="AX153" s="30">
        <f>IFERROR(VLOOKUP(Tabla14[[#This Row],[Llave]],'[13]Ultimos precios facturados'!$A:$G,7,FALSE),0)</f>
        <v>3.4526044209162774</v>
      </c>
      <c r="AY15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4.8361135687757231E-3</v>
      </c>
      <c r="AZ153" s="30">
        <f>IFERROR(VLOOKUP(Tabla14[[#This Row],[Llave]],Hoja2!B:K,10,FALSE),0)</f>
        <v>3.4890869295659162</v>
      </c>
      <c r="BA15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3.4693016080038857</v>
      </c>
      <c r="BB153" s="30">
        <v>0</v>
      </c>
      <c r="BC153" s="30">
        <f>IF(Tabla14[[#This Row],[Market]]=0,Tabla14[[#This Row],[Precio Final]],Tabla14[[#This Row],[Market]])</f>
        <v>3.4693016080038857</v>
      </c>
      <c r="BD153" s="82"/>
      <c r="BE153" s="82" t="str">
        <f>IF(AND(Tabla14[[#This Row],[Atraso a facturar]]&gt;0,Tabla14[[#This Row],[En puerto a facturar]]&gt;0,Tabla14[[#This Row],[Precio Atraso]]=0),"Revisar","OK")</f>
        <v>OK</v>
      </c>
      <c r="BF153" s="82" t="str">
        <f>IF(AND(Tabla14[[#This Row],[Venta del mes]]&gt;0,Tabla14[[#This Row],[Precio venta nueva]]=0),"Revisar","OK")</f>
        <v>OK</v>
      </c>
      <c r="BG153" s="20">
        <f>IFERROR(VLOOKUP(Tabla14[[#This Row],[Llave]],'[5]Consolidación planes'!$A:$M,9,FALSE),0)</f>
        <v>17000</v>
      </c>
      <c r="BH153" s="20">
        <f>IFERROR(VLOOKUP(Tabla14[[#This Row],[Llave]],'[5]Consolidación planes'!$A:$M,10,FALSE),0)</f>
        <v>3000</v>
      </c>
      <c r="BI153" s="20">
        <f>IFERROR(VLOOKUP(Tabla14[[#This Row],[Llave]],'[5]Consolidación planes'!$A:$M,11,FALSE),0)</f>
        <v>16000</v>
      </c>
      <c r="BJ153" s="20">
        <f>IFERROR(VLOOKUP(Tabla14[[#This Row],[Llave]],'[5]Consolidación planes'!$A:$M,12,FALSE),0)</f>
        <v>30000</v>
      </c>
      <c r="BK153" s="20">
        <f>IFERROR(VLOOKUP(Tabla14[[#This Row],[Llave]],'[5]Consolidación planes'!$A:$M,13,FALSE),0)</f>
        <v>40857</v>
      </c>
      <c r="BL153" s="20">
        <f>IFERROR(VLOOKUP(Tabla14[[#This Row],[Llave]],'[13]Base ultimos planes'!$A:$M,13,FALSE),0)</f>
        <v>48000</v>
      </c>
      <c r="BM153" s="20">
        <f>IFERROR(VLOOKUP(Tabla14[[#This Row],[Llave]],'[13]Cruce plan irrestricto'!$C:$M,10,FALSE),0)</f>
        <v>52971</v>
      </c>
      <c r="BN153" s="20">
        <f>IFERROR(VLOOKUP(Tabla14[[#This Row],[Llave]],'[13]Cruce plan irrestricto'!$C:$M,11,FALSE),0)</f>
        <v>29617.14</v>
      </c>
      <c r="BO153" s="80">
        <f>IFERROR(VLOOKUP(Tabla14[[#This Row],[Llave]],'[13]Base ultimos planes'!$O:$AA,8,FALSE),0)</f>
        <v>70380</v>
      </c>
      <c r="BP153" s="20">
        <f>IFERROR(VLOOKUP(Tabla14[[#This Row],[Llave]],'[13]Base ultimos planes'!$O:$AA,9,FALSE),0)</f>
        <v>11767</v>
      </c>
      <c r="BQ153" s="20">
        <f>IFERROR(VLOOKUP(Tabla14[[#This Row],[Llave]],'[13]Base ultimos planes'!$O:$AA,10,FALSE),0)</f>
        <v>62416</v>
      </c>
      <c r="BR153" s="20">
        <f>IFERROR(VLOOKUP(Tabla14[[#This Row],[Llave]],'[13]Base ultimos planes'!$O:$AA,11,FALSE),0)</f>
        <v>112375</v>
      </c>
      <c r="BS153" s="20">
        <f>IFERROR(VLOOKUP(Tabla14[[#This Row],[Llave]],'[13]Base ultimos planes'!$O:$AA,12,FALSE),0)</f>
        <v>149276</v>
      </c>
      <c r="BT153" s="20">
        <f>IFERROR(VLOOKUP(Tabla14[[#This Row],[Llave]],'[13]Base ultimos planes'!$O:$AA,13,FALSE),0)</f>
        <v>164118</v>
      </c>
      <c r="BU153" s="20"/>
      <c r="BV153" s="20">
        <f>Tabla14[[#This Row],[ RV Producción mes n+1]]-Tabla14[[#This Row],[Producción disponible]]+Tabla14[[#This Row],[Saldo Volumen disponible]]</f>
        <v>16797.782871206244</v>
      </c>
      <c r="BW153" s="20">
        <f>IFERROR(VLOOKUP(Tabla14[[#This Row],[Llave]],[14]Hoja2!$J:$N,4,FALSE),0)</f>
        <v>27000</v>
      </c>
      <c r="BX153" s="20">
        <f>+Tabla14[[#This Row],[Asignación mes n+1]]*Tabla14[[#This Row],[% Uti. producción]]</f>
        <v>20881.498619520389</v>
      </c>
      <c r="BY153" s="20">
        <f>+Tabla14[[#This Row],[Ponderación mes n+1]]+Tabla14[[#This Row],[Saldo mes n-1]]</f>
        <v>37679.281490726629</v>
      </c>
      <c r="BZ153" s="20">
        <f>+Tabla14[[#This Row],[Asignación mes n+1]]-Tabla14[[#This Row],[Ponderación mes n+1]]</f>
        <v>6118.5013804796108</v>
      </c>
      <c r="CA153" s="20">
        <f>IFERROR(VLOOKUP(Tabla14[[#This Row],[Llave]],[14]Hoja2!$J:$N,5,FALSE),0)</f>
        <v>27000</v>
      </c>
      <c r="CB153" s="20">
        <f>+Tabla14[[#This Row],[Asignación mes n+2]]*Tabla14[[#This Row],[% Uti. producción]]</f>
        <v>20881.498619520389</v>
      </c>
      <c r="CC153" s="20">
        <f>+Tabla14[[#This Row],[Saldo mes n+2]]+Tabla14[[#This Row],[Ponderación mes n+2]]</f>
        <v>27000</v>
      </c>
      <c r="CD153" s="20">
        <f>+Tabla14[[#This Row],[Asignación mes n+2]]-Tabla14[[#This Row],[Ponderación mes n+2]]</f>
        <v>6118.5013804796108</v>
      </c>
    </row>
    <row r="154" spans="1:82" ht="16" x14ac:dyDescent="0.2">
      <c r="A154">
        <v>1</v>
      </c>
      <c r="B154" t="str">
        <f>Tabla14[[#This Row],[Oficina]]&amp;Tabla14[[#This Row],[Material]]</f>
        <v>Exportacion Directa1020636</v>
      </c>
      <c r="C154" t="s">
        <v>6</v>
      </c>
      <c r="D154" t="s">
        <v>88</v>
      </c>
      <c r="E154">
        <v>1020636</v>
      </c>
      <c r="F154" t="s">
        <v>89</v>
      </c>
      <c r="G154" t="s">
        <v>37</v>
      </c>
      <c r="H154" t="s">
        <v>38</v>
      </c>
      <c r="I154" s="7">
        <f>IFERROR(IF(Tabla14[[#This Row],[Oficina]]=$I$7,VLOOKUP(Tabla14[[#This Row],[Material]],'[6]RV Producción'!$Y:$AA,3,FALSE),VLOOKUP(Tabla14[[#This Row],[Llave]],'[6]RV Producción'!$C:$G,5,FALSE)),0)</f>
        <v>20905</v>
      </c>
      <c r="J154" s="7">
        <f>IFERROR(IF(Tabla14[[#This Row],[Oficina]]=$I$7,VLOOKUP(Tabla14[[#This Row],[Llave]],'[7]Shangai (Tomas)'!$A:$F,6,FALSE),VLOOKUP(Tabla14[[#This Row],[Llave]],'[6]RV plan de ventas'!$A:$E,5,FALSE)),0)</f>
        <v>13000</v>
      </c>
      <c r="K154" s="8">
        <f>IFERROR(VLOOKUP(Tabla14[[#This Row],[Sector]]&amp;Tabla14[[#This Row],[Oficina]],[8]Ponderación!$A$3:$G$22,7,FALSE),0)</f>
        <v>0.77338883776001444</v>
      </c>
      <c r="L154" s="7">
        <f>+Tabla14[[#This Row],[ RV Producción mes n+1]]*Tabla14[[#This Row],[% Uti. producción]]</f>
        <v>16167.693653373102</v>
      </c>
      <c r="M154" s="7">
        <f>IFERROR(VLOOKUP(Tabla14[[#This Row],[Material]],'[9]TD Stock'!$B:$C,2,FALSE),0)</f>
        <v>5870.98</v>
      </c>
      <c r="N154" s="7">
        <f>IFERROR(VLOOKUP(Tabla14[[#This Row],[Material]],'[10]Consolidado planificación'!$B:$C,2,FALSE),0)</f>
        <v>4077.1953641297828</v>
      </c>
      <c r="O154" s="7">
        <f>IFERROR(VLOOKUP(Tabla14[[#This Row],[Llave]],[11]Hoja2!$D:$G,4,FALSE),0)</f>
        <v>2500</v>
      </c>
      <c r="P154" s="14">
        <f>SUM(Tabla14[[#This Row],[Producción disponible]],Tabla14[[#This Row],[Stock al día]],(Tabla14[[#This Row],[Por producir mes N]]*0.9))-Tabla14[[#This Row],[Producción por despachar mes N]]</f>
        <v>23208.149481089906</v>
      </c>
      <c r="Q154" s="7">
        <f>IFERROR(VLOOKUP(Tabla14[[#This Row],[Llave]],[9]DELAY!$A:$D,4,FALSE),0)</f>
        <v>16800</v>
      </c>
      <c r="R154" s="9">
        <v>1333.3333333333333</v>
      </c>
      <c r="S154" s="5">
        <f t="shared" si="7"/>
        <v>16800</v>
      </c>
      <c r="T154" s="76">
        <v>-9000</v>
      </c>
      <c r="U154" s="5">
        <f>+Tabla14[[#This Row],[Atraso a facturar]]+Tabla14[[#This Row],[Ajuste atraso]]</f>
        <v>7800</v>
      </c>
      <c r="V154" s="3">
        <f>+Tabla14[[#This Row],[Total disponible]]-Tabla14[[#This Row],[Facturación atraso]]</f>
        <v>15408.149481089906</v>
      </c>
      <c r="W154" s="6">
        <f>IFERROR(IF(AND(V154&gt;R154,J154&gt;=R154),ROUNDDOWN((Tabla14[[#This Row],[Producción para venta nueva]])/R154,0)*R154,0),0)</f>
        <v>14666.666666666666</v>
      </c>
      <c r="X154" s="76">
        <v>-9000</v>
      </c>
      <c r="Y154" s="6">
        <f>IF(Tabla14[[#This Row],[Venta del mes]]&gt;0,Tabla14[[#This Row],[Venta del mes]]+Tabla14[[#This Row],[Ajuste venta nueva]],0)</f>
        <v>5666.6666666666661</v>
      </c>
      <c r="Z154" s="6">
        <f>+Tabla14[[#This Row],[Producción para venta nueva]]-Tabla14[[#This Row],[Facturación Venta nueva]]</f>
        <v>9741.4828144232397</v>
      </c>
      <c r="AA154" s="6">
        <f>IF(AND(A154=1,Tabla14[[#This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4" s="6">
        <v>0</v>
      </c>
      <c r="AC154" s="6">
        <f>IF(Tabla14[[#This Row],[Disponible stock sin venta]]&gt;0,Tabla14[[#This Row],[Disponible stock sin venta]]+Tabla14[[#This Row],[Ajuste stock sin venta]],0)</f>
        <v>0</v>
      </c>
      <c r="AD154" s="3">
        <f>IFERROR(VLOOKUP(Tabla14[[#This Row],[Llave]],[12]Hoja1!$A:$D,4,FALSE),0)</f>
        <v>0</v>
      </c>
      <c r="AE15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31466.666666666664</v>
      </c>
      <c r="AF154" s="3">
        <v>22133.333333333332</v>
      </c>
      <c r="AG154" s="3">
        <f>+Tabla14[[#This Row],[En puerto a facturar]]</f>
        <v>0</v>
      </c>
      <c r="AH154" s="3">
        <f>+Tabla14[[#This Row],[Facturación atraso]]</f>
        <v>7800</v>
      </c>
      <c r="AI154" s="3">
        <f>+Tabla14[[#This Row],[Plan Irrestricto (DATO)]]-Tabla14[[#This Row],[Puerto ]]-Tabla14[[#This Row],[Atraso]]</f>
        <v>14333.333333333332</v>
      </c>
      <c r="AJ154" s="6">
        <f>IF(Tabla14[[#This Row],[Plan Irrestricto (DATO)]]&gt;0,SUM(Tabla14[[#This Row],[Facturación atraso]],Tabla14[[#This Row],[Facturación Venta nueva]],Tabla14[[#This Row],[Facturación stock]],Tabla14[[#This Row],[En puerto a facturar]]),0)</f>
        <v>13466.666666666666</v>
      </c>
      <c r="AK154" s="3">
        <f>+Tabla14[[#This Row],[Facturación atraso]]</f>
        <v>7800</v>
      </c>
      <c r="AL154" s="3">
        <f>Tabla14[[#This Row],[Plan Ajustado]]-Tabla14[[#This Row],[ Atraso ajustado]]-Tabla14[[#This Row],[En puerto a facturar]]</f>
        <v>5666.6666666666661</v>
      </c>
      <c r="AM154" s="3">
        <v>0</v>
      </c>
      <c r="AN154" s="3"/>
      <c r="AO154" s="3" t="str">
        <f>IF(Tabla14[[#This Row],[Plan Ajustado]]&gt;Tabla14[[#This Row],[En puerto a facturar]],"Si","No")</f>
        <v>Si</v>
      </c>
      <c r="AP154" s="3">
        <f>IF(AND(Tabla14[[#This Row],[Plan Ajustado]]&gt;0,Tabla14[[#This Row],[Plan Ajustado]]&gt;Tabla14[[#This Row],[En puerto a facturar]]),(Tabla14[[#This Row],[Plan Ajustado]]-Tabla14[[#This Row],[En puerto a facturar]]),0)</f>
        <v>13466.666666666666</v>
      </c>
      <c r="AQ154" s="3">
        <f>IF(Tabla14[[#This Row],[Necesidad]]&gt;=Tabla14[[#This Row],[Stock al día]],Tabla14[[#This Row],[Stock al día]],Tabla14[[#This Row],[Necesidad]])</f>
        <v>5870.98</v>
      </c>
      <c r="AR154" s="3">
        <f>+Tabla14[[#This Row],[Necesidad]]-Tabla14[[#This Row],[Stock Plan]]</f>
        <v>7595.6866666666665</v>
      </c>
      <c r="AS154" s="155">
        <f>VLOOKUP(Tabla14[[#This Row],[Sector]]&amp;Tabla14[[#This Row],[Oficina]],[8]Ponderación!$A:$H,8,FALSE)</f>
        <v>44817</v>
      </c>
      <c r="AT154" s="30">
        <f>IFERROR(VLOOKUP(Tabla14[[#This Row],[Llave]],'[6]RV plan de ventas'!$A:$F,6,FALSE),0)</f>
        <v>4.2831538461538496</v>
      </c>
      <c r="AU154" s="83">
        <f>IFERROR(VLOOKUP(Tabla14[[#This Row],[Llave]],[9]DELAY!$H:$X,17,FALSE),0)</f>
        <v>4.1490924520866068</v>
      </c>
      <c r="AV15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4.2055044248376747</v>
      </c>
      <c r="AW154" s="5">
        <f>Tabla14[[#This Row],[Pecio plan]]*Tabla14[[#This Row],[Plan Ajustado]]</f>
        <v>56634.126254480681</v>
      </c>
      <c r="AX154" s="30">
        <f>IFERROR(VLOOKUP(Tabla14[[#This Row],[Llave]],'[13]Ultimos precios facturados'!$A:$G,7,FALSE),0)</f>
        <v>4.2774670760424121</v>
      </c>
      <c r="AY15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1.6823659872870007E-2</v>
      </c>
      <c r="AZ154" s="30">
        <f>IFERROR(VLOOKUP(Tabla14[[#This Row],[Llave]],Hoja2!B:K,10,FALSE),0)</f>
        <v>4.1694361106461848</v>
      </c>
      <c r="BA15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4.2055044248376747</v>
      </c>
      <c r="BB154" s="30">
        <v>0</v>
      </c>
      <c r="BC154" s="30">
        <f>IF(Tabla14[[#This Row],[Market]]=0,Tabla14[[#This Row],[Precio Final]],Tabla14[[#This Row],[Market]])</f>
        <v>4.2055044248376747</v>
      </c>
      <c r="BD154" s="82"/>
      <c r="BE154" s="82" t="str">
        <f>IF(AND(Tabla14[[#This Row],[Atraso a facturar]]&gt;0,Tabla14[[#This Row],[En puerto a facturar]]&gt;0,Tabla14[[#This Row],[Precio Atraso]]=0),"Revisar","OK")</f>
        <v>OK</v>
      </c>
      <c r="BF154" s="82" t="str">
        <f>IF(AND(Tabla14[[#This Row],[Venta del mes]]&gt;0,Tabla14[[#This Row],[Precio venta nueva]]=0),"Revisar","OK")</f>
        <v>OK</v>
      </c>
      <c r="BG154" s="20">
        <f>IFERROR(VLOOKUP(Tabla14[[#This Row],[Llave]],'[5]Consolidación planes'!$A:$M,9,FALSE),0)</f>
        <v>14500</v>
      </c>
      <c r="BH154" s="20">
        <f>IFERROR(VLOOKUP(Tabla14[[#This Row],[Llave]],'[5]Consolidación planes'!$A:$M,10,FALSE),0)</f>
        <v>14500</v>
      </c>
      <c r="BI154" s="20">
        <f>IFERROR(VLOOKUP(Tabla14[[#This Row],[Llave]],'[5]Consolidación planes'!$A:$M,11,FALSE),0)</f>
        <v>15000</v>
      </c>
      <c r="BJ154" s="20">
        <f>IFERROR(VLOOKUP(Tabla14[[#This Row],[Llave]],'[5]Consolidación planes'!$A:$M,12,FALSE),0)</f>
        <v>18000</v>
      </c>
      <c r="BK154" s="20">
        <f>IFERROR(VLOOKUP(Tabla14[[#This Row],[Llave]],'[5]Consolidación planes'!$A:$M,13,FALSE),0)</f>
        <v>20000</v>
      </c>
      <c r="BL154" s="20">
        <f>IFERROR(VLOOKUP(Tabla14[[#This Row],[Llave]],'[13]Base ultimos planes'!$A:$M,13,FALSE),0)</f>
        <v>30333</v>
      </c>
      <c r="BM154" s="20">
        <f>IFERROR(VLOOKUP(Tabla14[[#This Row],[Llave]],'[13]Cruce plan irrestricto'!$C:$M,10,FALSE),0)</f>
        <v>25800</v>
      </c>
      <c r="BN154" s="20">
        <f>IFERROR(VLOOKUP(Tabla14[[#This Row],[Llave]],'[13]Cruce plan irrestricto'!$C:$M,11,FALSE),0)</f>
        <v>23071.33</v>
      </c>
      <c r="BO154" s="80">
        <f>IFERROR(VLOOKUP(Tabla14[[#This Row],[Llave]],'[13]Base ultimos planes'!$O:$AA,8,FALSE),0)</f>
        <v>73613.435800000007</v>
      </c>
      <c r="BP154" s="20">
        <f>IFERROR(VLOOKUP(Tabla14[[#This Row],[Llave]],'[13]Base ultimos planes'!$O:$AA,9,FALSE),0)</f>
        <v>69303</v>
      </c>
      <c r="BQ154" s="20">
        <f>IFERROR(VLOOKUP(Tabla14[[#This Row],[Llave]],'[13]Base ultimos planes'!$O:$AA,10,FALSE),0)</f>
        <v>71866</v>
      </c>
      <c r="BR154" s="20">
        <f>IFERROR(VLOOKUP(Tabla14[[#This Row],[Llave]],'[13]Base ultimos planes'!$O:$AA,11,FALSE),0)</f>
        <v>83082</v>
      </c>
      <c r="BS154" s="20">
        <f>IFERROR(VLOOKUP(Tabla14[[#This Row],[Llave]],'[13]Base ultimos planes'!$O:$AA,12,FALSE),0)</f>
        <v>89555</v>
      </c>
      <c r="BT154" s="20">
        <f>IFERROR(VLOOKUP(Tabla14[[#This Row],[Llave]],'[13]Base ultimos planes'!$O:$AA,13,FALSE),0)</f>
        <v>127020</v>
      </c>
      <c r="BU154" s="20"/>
      <c r="BV154" s="20">
        <f>Tabla14[[#This Row],[ RV Producción mes n+1]]-Tabla14[[#This Row],[Producción disponible]]+Tabla14[[#This Row],[Saldo Volumen disponible]]</f>
        <v>14478.789161050137</v>
      </c>
      <c r="BW154" s="20">
        <f>IFERROR(VLOOKUP(Tabla14[[#This Row],[Llave]],[14]Hoja2!$J:$N,4,FALSE),0)</f>
        <v>13500</v>
      </c>
      <c r="BX154" s="20">
        <f>+Tabla14[[#This Row],[Asignación mes n+1]]*Tabla14[[#This Row],[% Uti. producción]]</f>
        <v>10440.749309760195</v>
      </c>
      <c r="BY154" s="20">
        <f>+Tabla14[[#This Row],[Ponderación mes n+1]]+Tabla14[[#This Row],[Saldo mes n-1]]</f>
        <v>24919.53847081033</v>
      </c>
      <c r="BZ154" s="20">
        <f>+Tabla14[[#This Row],[Asignación mes n+1]]-Tabla14[[#This Row],[Ponderación mes n+1]]</f>
        <v>3059.2506902398054</v>
      </c>
      <c r="CA154" s="20">
        <f>IFERROR(VLOOKUP(Tabla14[[#This Row],[Llave]],[14]Hoja2!$J:$N,5,FALSE),0)</f>
        <v>13500</v>
      </c>
      <c r="CB154" s="20">
        <f>+Tabla14[[#This Row],[Asignación mes n+2]]*Tabla14[[#This Row],[% Uti. producción]]</f>
        <v>10440.749309760195</v>
      </c>
      <c r="CC154" s="20">
        <f>+Tabla14[[#This Row],[Saldo mes n+2]]+Tabla14[[#This Row],[Ponderación mes n+2]]</f>
        <v>13500</v>
      </c>
      <c r="CD154" s="20">
        <f>+Tabla14[[#This Row],[Asignación mes n+2]]-Tabla14[[#This Row],[Ponderación mes n+2]]</f>
        <v>3059.2506902398054</v>
      </c>
    </row>
    <row r="155" spans="1:82" ht="16" x14ac:dyDescent="0.2">
      <c r="A155">
        <v>1</v>
      </c>
      <c r="B155" t="str">
        <f>Tabla14[[#This Row],[Oficina]]&amp;Tabla14[[#This Row],[Material]]</f>
        <v>Exportacion Directa1020637</v>
      </c>
      <c r="C155" t="s">
        <v>6</v>
      </c>
      <c r="D155" t="s">
        <v>88</v>
      </c>
      <c r="E155">
        <v>1020637</v>
      </c>
      <c r="F155" t="s">
        <v>121</v>
      </c>
      <c r="G155" t="s">
        <v>56</v>
      </c>
      <c r="H155" t="s">
        <v>57</v>
      </c>
      <c r="I155" s="7">
        <f>IFERROR(IF(Tabla14[[#This Row],[Oficina]]=$I$7,VLOOKUP(Tabla14[[#This Row],[Material]],'[6]RV Producción'!$Y:$AA,3,FALSE),VLOOKUP(Tabla14[[#This Row],[Llave]],'[6]RV Producción'!$C:$G,5,FALSE)),0)</f>
        <v>219578</v>
      </c>
      <c r="J155" s="7">
        <f>IFERROR(IF(Tabla14[[#This Row],[Oficina]]=$I$7,VLOOKUP(Tabla14[[#This Row],[Llave]],'[7]Shangai (Tomas)'!$A:$F,6,FALSE),VLOOKUP(Tabla14[[#This Row],[Llave]],'[6]RV plan de ventas'!$A:$E,5,FALSE)),0)</f>
        <v>233000</v>
      </c>
      <c r="K155" s="8">
        <f>IFERROR(VLOOKUP(Tabla14[[#This Row],[Sector]]&amp;Tabla14[[#This Row],[Oficina]],[8]Ponderación!$A$3:$G$22,7,FALSE),0)</f>
        <v>0.77338883776001444</v>
      </c>
      <c r="L155" s="7">
        <f>+Tabla14[[#This Row],[ RV Producción mes n+1]]*Tabla14[[#This Row],[% Uti. producción]]</f>
        <v>169819.17421766845</v>
      </c>
      <c r="M155" s="7">
        <f>IFERROR(VLOOKUP(Tabla14[[#This Row],[Material]],'[9]TD Stock'!$B:$C,2,FALSE),0)</f>
        <v>149893.242</v>
      </c>
      <c r="N155" s="7">
        <f>IFERROR(VLOOKUP(Tabla14[[#This Row],[Material]],'[10]Consolidado planificación'!$B:$C,2,FALSE),0)</f>
        <v>32251.765625930908</v>
      </c>
      <c r="O155" s="7">
        <f>IFERROR(VLOOKUP(Tabla14[[#This Row],[Llave]],[11]Hoja2!$D:$G,4,FALSE),0)</f>
        <v>10860</v>
      </c>
      <c r="P155" s="14">
        <f>SUM(Tabla14[[#This Row],[Producción disponible]],Tabla14[[#This Row],[Stock al día]],(Tabla14[[#This Row],[Por producir mes N]]*0.9))-Tabla14[[#This Row],[Producción por despachar mes N]]</f>
        <v>337879.00528100628</v>
      </c>
      <c r="Q155" s="7">
        <f>IFERROR(VLOOKUP(Tabla14[[#This Row],[Llave]],[9]DELAY!$A:$D,4,FALSE),0)</f>
        <v>196410</v>
      </c>
      <c r="R155" s="9">
        <v>4750</v>
      </c>
      <c r="S155" s="5">
        <f t="shared" si="7"/>
        <v>196410</v>
      </c>
      <c r="T155" s="76">
        <v>-96000</v>
      </c>
      <c r="U155" s="5">
        <f>+Tabla14[[#This Row],[Atraso a facturar]]+Tabla14[[#This Row],[Ajuste atraso]]</f>
        <v>100410</v>
      </c>
      <c r="V155" s="3">
        <f>+Tabla14[[#This Row],[Total disponible]]-Tabla14[[#This Row],[Facturación atraso]]</f>
        <v>237469.00528100628</v>
      </c>
      <c r="W155" s="6">
        <f>IFERROR(IF(AND(V155&gt;R155,J155&gt;=R155),ROUNDDOWN((Tabla14[[#This Row],[Producción para venta nueva]])/R155,0)*R155,0),0)</f>
        <v>232750</v>
      </c>
      <c r="X155" s="76">
        <v>-130000</v>
      </c>
      <c r="Y155" s="6">
        <f>IF(Tabla14[[#This Row],[Venta del mes]]&gt;0,Tabla14[[#This Row],[Venta del mes]]+Tabla14[[#This Row],[Ajuste venta nueva]],0)</f>
        <v>102750</v>
      </c>
      <c r="Z155" s="6">
        <f>+Tabla14[[#This Row],[Producción para venta nueva]]-Tabla14[[#This Row],[Facturación Venta nueva]]</f>
        <v>134719.00528100628</v>
      </c>
      <c r="AA155" s="6">
        <f>IF(AND(A155=1,Tabla14[[#This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5" s="6">
        <v>0</v>
      </c>
      <c r="AC155" s="6">
        <f>IF(Tabla14[[#This Row],[Disponible stock sin venta]]&gt;0,Tabla14[[#This Row],[Disponible stock sin venta]]+Tabla14[[#This Row],[Ajuste stock sin venta]],0)</f>
        <v>0</v>
      </c>
      <c r="AD155" s="3">
        <f>IFERROR(VLOOKUP(Tabla14[[#This Row],[Llave]],[12]Hoja1!$A:$D,4,FALSE),0)</f>
        <v>0</v>
      </c>
      <c r="AE15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429160</v>
      </c>
      <c r="AF155" s="3">
        <v>334160</v>
      </c>
      <c r="AG155" s="3">
        <f>+Tabla14[[#This Row],[En puerto a facturar]]</f>
        <v>0</v>
      </c>
      <c r="AH155" s="3">
        <f>+Tabla14[[#This Row],[Facturación atraso]]</f>
        <v>100410</v>
      </c>
      <c r="AI155" s="3">
        <f>+Tabla14[[#This Row],[Plan Irrestricto (DATO)]]-Tabla14[[#This Row],[Puerto ]]-Tabla14[[#This Row],[Atraso]]</f>
        <v>233750</v>
      </c>
      <c r="AJ155" s="6">
        <f>IF(Tabla14[[#This Row],[Plan Irrestricto (DATO)]]&gt;0,SUM(Tabla14[[#This Row],[Facturación atraso]],Tabla14[[#This Row],[Facturación Venta nueva]],Tabla14[[#This Row],[Facturación stock]],Tabla14[[#This Row],[En puerto a facturar]]),0)</f>
        <v>203160</v>
      </c>
      <c r="AK155" s="3">
        <f>+Tabla14[[#This Row],[Facturación atraso]]</f>
        <v>100410</v>
      </c>
      <c r="AL155" s="3">
        <f>Tabla14[[#This Row],[Plan Ajustado]]-Tabla14[[#This Row],[ Atraso ajustado]]-Tabla14[[#This Row],[En puerto a facturar]]</f>
        <v>102750</v>
      </c>
      <c r="AM155" s="3">
        <v>0</v>
      </c>
      <c r="AN155" s="3"/>
      <c r="AO155" s="3" t="str">
        <f>IF(Tabla14[[#This Row],[Plan Ajustado]]&gt;Tabla14[[#This Row],[En puerto a facturar]],"Si","No")</f>
        <v>Si</v>
      </c>
      <c r="AP155" s="3">
        <f>IF(AND(Tabla14[[#This Row],[Plan Ajustado]]&gt;0,Tabla14[[#This Row],[Plan Ajustado]]&gt;Tabla14[[#This Row],[En puerto a facturar]]),(Tabla14[[#This Row],[Plan Ajustado]]-Tabla14[[#This Row],[En puerto a facturar]]),0)</f>
        <v>203160</v>
      </c>
      <c r="AQ155" s="3">
        <f>IF(Tabla14[[#This Row],[Necesidad]]&gt;=Tabla14[[#This Row],[Stock al día]],Tabla14[[#This Row],[Stock al día]],Tabla14[[#This Row],[Necesidad]])</f>
        <v>149893.242</v>
      </c>
      <c r="AR155" s="3">
        <f>+Tabla14[[#This Row],[Necesidad]]-Tabla14[[#This Row],[Stock Plan]]</f>
        <v>53266.758000000002</v>
      </c>
      <c r="AS155" s="155">
        <f>VLOOKUP(Tabla14[[#This Row],[Sector]]&amp;Tabla14[[#This Row],[Oficina]],[8]Ponderación!$A:$H,8,FALSE)</f>
        <v>44817</v>
      </c>
      <c r="AT155" s="30">
        <f>IFERROR(VLOOKUP(Tabla14[[#This Row],[Llave]],'[6]RV plan de ventas'!$A:$F,6,FALSE),0)</f>
        <v>5.0312961373390603</v>
      </c>
      <c r="AU155" s="83">
        <f>IFERROR(VLOOKUP(Tabla14[[#This Row],[Llave]],[9]DELAY!$H:$X,17,FALSE),0)</f>
        <v>4.9487679723333962</v>
      </c>
      <c r="AV15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4.9905073351722038</v>
      </c>
      <c r="AW155" s="5">
        <f>Tabla14[[#This Row],[Pecio plan]]*Tabla14[[#This Row],[Plan Ajustado]]</f>
        <v>1013871.470213585</v>
      </c>
      <c r="AX155" s="30">
        <f>IFERROR(VLOOKUP(Tabla14[[#This Row],[Llave]],'[13]Ultimos precios facturados'!$A:$G,7,FALSE),0)</f>
        <v>4.5964683118190974</v>
      </c>
      <c r="AY15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8.5726474462990823E-2</v>
      </c>
      <c r="AZ155" s="30">
        <f>IFERROR(VLOOKUP(Tabla14[[#This Row],[Llave]],Hoja2!B:K,10,FALSE),0)</f>
        <v>4.8608841773739559</v>
      </c>
      <c r="BA15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4.9905073351722038</v>
      </c>
      <c r="BB155" s="30">
        <v>0</v>
      </c>
      <c r="BC155" s="30">
        <f>IF(Tabla14[[#This Row],[Market]]=0,Tabla14[[#This Row],[Precio Final]],Tabla14[[#This Row],[Market]])</f>
        <v>4.9905073351722038</v>
      </c>
      <c r="BD155" s="82" t="s">
        <v>755</v>
      </c>
      <c r="BE155" s="82" t="str">
        <f>IF(AND(Tabla14[[#This Row],[Atraso a facturar]]&gt;0,Tabla14[[#This Row],[En puerto a facturar]]&gt;0,Tabla14[[#This Row],[Precio Atraso]]=0),"Revisar","OK")</f>
        <v>OK</v>
      </c>
      <c r="BF155" s="82" t="str">
        <f>IF(AND(Tabla14[[#This Row],[Venta del mes]]&gt;0,Tabla14[[#This Row],[Precio venta nueva]]=0),"Revisar","OK")</f>
        <v>OK</v>
      </c>
      <c r="BG155" s="20">
        <f>IFERROR(VLOOKUP(Tabla14[[#This Row],[Llave]],'[5]Consolidación planes'!$A:$M,9,FALSE),0)</f>
        <v>193900</v>
      </c>
      <c r="BH155" s="20">
        <f>IFERROR(VLOOKUP(Tabla14[[#This Row],[Llave]],'[5]Consolidación planes'!$A:$M,10,FALSE),0)</f>
        <v>170000</v>
      </c>
      <c r="BI155" s="20">
        <f>IFERROR(VLOOKUP(Tabla14[[#This Row],[Llave]],'[5]Consolidación planes'!$A:$M,11,FALSE),0)</f>
        <v>190000</v>
      </c>
      <c r="BJ155" s="20">
        <f>IFERROR(VLOOKUP(Tabla14[[#This Row],[Llave]],'[5]Consolidación planes'!$A:$M,12,FALSE),0)</f>
        <v>270000</v>
      </c>
      <c r="BK155" s="20">
        <f>IFERROR(VLOOKUP(Tabla14[[#This Row],[Llave]],'[5]Consolidación planes'!$A:$M,13,FALSE),0)</f>
        <v>253474</v>
      </c>
      <c r="BL155" s="20">
        <f>IFERROR(VLOOKUP(Tabla14[[#This Row],[Llave]],'[13]Base ultimos planes'!$A:$M,13,FALSE),0)</f>
        <v>227600</v>
      </c>
      <c r="BM155" s="20">
        <f>IFERROR(VLOOKUP(Tabla14[[#This Row],[Llave]],'[13]Cruce plan irrestricto'!$C:$M,10,FALSE),0)</f>
        <v>217050</v>
      </c>
      <c r="BN155" s="20">
        <f>IFERROR(VLOOKUP(Tabla14[[#This Row],[Llave]],'[13]Cruce plan irrestricto'!$C:$M,11,FALSE),0)</f>
        <v>239740</v>
      </c>
      <c r="BO155" s="80">
        <f>IFERROR(VLOOKUP(Tabla14[[#This Row],[Llave]],'[13]Base ultimos planes'!$O:$AA,8,FALSE),0)</f>
        <v>942354</v>
      </c>
      <c r="BP155" s="20">
        <f>IFERROR(VLOOKUP(Tabla14[[#This Row],[Llave]],'[13]Base ultimos planes'!$O:$AA,9,FALSE),0)</f>
        <v>841715</v>
      </c>
      <c r="BQ155" s="20">
        <f>IFERROR(VLOOKUP(Tabla14[[#This Row],[Llave]],'[13]Base ultimos planes'!$O:$AA,10,FALSE),0)</f>
        <v>947734</v>
      </c>
      <c r="BR155" s="20">
        <f>IFERROR(VLOOKUP(Tabla14[[#This Row],[Llave]],'[13]Base ultimos planes'!$O:$AA,11,FALSE),0)</f>
        <v>1311648</v>
      </c>
      <c r="BS155" s="20">
        <f>IFERROR(VLOOKUP(Tabla14[[#This Row],[Llave]],'[13]Base ultimos planes'!$O:$AA,12,FALSE),0)</f>
        <v>1212707</v>
      </c>
      <c r="BT155" s="20">
        <f>IFERROR(VLOOKUP(Tabla14[[#This Row],[Llave]],'[13]Base ultimos planes'!$O:$AA,13,FALSE),0)</f>
        <v>1012527</v>
      </c>
      <c r="BU155" s="20"/>
      <c r="BV155" s="20">
        <f>Tabla14[[#This Row],[ RV Producción mes n+1]]-Tabla14[[#This Row],[Producción disponible]]+Tabla14[[#This Row],[Saldo Volumen disponible]]</f>
        <v>184477.83106333783</v>
      </c>
      <c r="BW155" s="20">
        <f>IFERROR(VLOOKUP(Tabla14[[#This Row],[Llave]],[14]Hoja2!$J:$N,4,FALSE),0)</f>
        <v>225000.00099999999</v>
      </c>
      <c r="BX155" s="20">
        <f>+Tabla14[[#This Row],[Asignación mes n+1]]*Tabla14[[#This Row],[% Uti. producción]]</f>
        <v>174012.48926939207</v>
      </c>
      <c r="BY155" s="20">
        <f>+Tabla14[[#This Row],[Ponderación mes n+1]]+Tabla14[[#This Row],[Saldo mes n-1]]</f>
        <v>358490.3203327299</v>
      </c>
      <c r="BZ155" s="20">
        <f>+Tabla14[[#This Row],[Asignación mes n+1]]-Tabla14[[#This Row],[Ponderación mes n+1]]</f>
        <v>50987.511730607919</v>
      </c>
      <c r="CA155" s="20">
        <f>IFERROR(VLOOKUP(Tabla14[[#This Row],[Llave]],[14]Hoja2!$J:$N,5,FALSE),0)</f>
        <v>224999.997</v>
      </c>
      <c r="CB155" s="20">
        <f>+Tabla14[[#This Row],[Asignación mes n+2]]*Tabla14[[#This Row],[% Uti. producción]]</f>
        <v>174012.48617583673</v>
      </c>
      <c r="CC155" s="20">
        <f>+Tabla14[[#This Row],[Saldo mes n+2]]+Tabla14[[#This Row],[Ponderación mes n+2]]</f>
        <v>224999.99790644465</v>
      </c>
      <c r="CD155" s="20">
        <f>+Tabla14[[#This Row],[Asignación mes n+2]]-Tabla14[[#This Row],[Ponderación mes n+2]]</f>
        <v>50987.51082416327</v>
      </c>
    </row>
    <row r="156" spans="1:82" ht="16" x14ac:dyDescent="0.2">
      <c r="A156">
        <v>1</v>
      </c>
      <c r="B156" t="str">
        <f>Tabla14[[#This Row],[Oficina]]&amp;Tabla14[[#This Row],[Material]]</f>
        <v>Exportacion Directa1020662</v>
      </c>
      <c r="C156" t="s">
        <v>6</v>
      </c>
      <c r="D156" t="s">
        <v>88</v>
      </c>
      <c r="E156">
        <v>1020662</v>
      </c>
      <c r="F156" t="s">
        <v>130</v>
      </c>
      <c r="G156" t="s">
        <v>59</v>
      </c>
      <c r="H156" t="s">
        <v>65</v>
      </c>
      <c r="I156" s="7">
        <f>IFERROR(IF(Tabla14[[#This Row],[Oficina]]=$I$7,VLOOKUP(Tabla14[[#This Row],[Material]],'[6]RV Producción'!$Y:$AA,3,FALSE),VLOOKUP(Tabla14[[#This Row],[Llave]],'[6]RV Producción'!$C:$G,5,FALSE)),0)</f>
        <v>0</v>
      </c>
      <c r="J156" s="7">
        <f>IFERROR(IF(Tabla14[[#This Row],[Oficina]]=$I$7,VLOOKUP(Tabla14[[#This Row],[Llave]],'[7]Shangai (Tomas)'!$A:$F,6,FALSE),VLOOKUP(Tabla14[[#This Row],[Llave]],'[6]RV plan de ventas'!$A:$E,5,FALSE)),0)</f>
        <v>10000</v>
      </c>
      <c r="K156" s="8">
        <f>IFERROR(VLOOKUP(Tabla14[[#This Row],[Sector]]&amp;Tabla14[[#This Row],[Oficina]],[8]Ponderación!$A$3:$G$22,7,FALSE),0)</f>
        <v>0.77338883776001444</v>
      </c>
      <c r="L156" s="7">
        <f>+Tabla14[[#This Row],[ RV Producción mes n+1]]*Tabla14[[#This Row],[% Uti. producción]]</f>
        <v>0</v>
      </c>
      <c r="M156" s="7">
        <f>IFERROR(VLOOKUP(Tabla14[[#This Row],[Material]],'[9]TD Stock'!$B:$C,2,FALSE),0)</f>
        <v>12915.093000000003</v>
      </c>
      <c r="N156" s="7">
        <f>IFERROR(VLOOKUP(Tabla14[[#This Row],[Material]],'[10]Consolidado planificación'!$B:$C,2,FALSE),0)</f>
        <v>0</v>
      </c>
      <c r="O156" s="7">
        <f>IFERROR(VLOOKUP(Tabla14[[#This Row],[Llave]],[11]Hoja2!$D:$G,4,FALSE),0)</f>
        <v>0</v>
      </c>
      <c r="P156" s="14">
        <f>SUM(Tabla14[[#This Row],[Producción disponible]],Tabla14[[#This Row],[Stock al día]],(Tabla14[[#This Row],[Por producir mes N]]*0.9))-Tabla14[[#This Row],[Producción por despachar mes N]]</f>
        <v>12915.093000000003</v>
      </c>
      <c r="Q156" s="7">
        <f>IFERROR(VLOOKUP(Tabla14[[#This Row],[Llave]],[9]DELAY!$A:$D,4,FALSE),0)</f>
        <v>0</v>
      </c>
      <c r="R156" s="9">
        <v>5000</v>
      </c>
      <c r="S156" s="5">
        <f t="shared" si="7"/>
        <v>0</v>
      </c>
      <c r="T156" s="76">
        <v>0</v>
      </c>
      <c r="U156" s="5">
        <f>+Tabla14[[#This Row],[Atraso a facturar]]+Tabla14[[#This Row],[Ajuste atraso]]</f>
        <v>0</v>
      </c>
      <c r="V156" s="3">
        <f>+Tabla14[[#This Row],[Total disponible]]-Tabla14[[#This Row],[Facturación atraso]]</f>
        <v>12915.093000000003</v>
      </c>
      <c r="W156" s="6">
        <f>IFERROR(IF(AND(V156&gt;R156,J156&gt;=R156),ROUNDDOWN((Tabla14[[#This Row],[Producción para venta nueva]])/R156,0)*R156,0),0)</f>
        <v>10000</v>
      </c>
      <c r="X156" s="76">
        <v>-5000</v>
      </c>
      <c r="Y156" s="6">
        <f>IF(Tabla14[[#This Row],[Venta del mes]]&gt;0,Tabla14[[#This Row],[Venta del mes]]+Tabla14[[#This Row],[Ajuste venta nueva]],0)</f>
        <v>5000</v>
      </c>
      <c r="Z156" s="6">
        <f>+Tabla14[[#This Row],[Producción para venta nueva]]-Tabla14[[#This Row],[Facturación Venta nueva]]</f>
        <v>7915.0930000000026</v>
      </c>
      <c r="AA156" s="6">
        <f>IF(AND(A156=1,Tabla14[[#This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6" s="6">
        <v>0</v>
      </c>
      <c r="AC156" s="6">
        <f>IF(Tabla14[[#This Row],[Disponible stock sin venta]]&gt;0,Tabla14[[#This Row],[Disponible stock sin venta]]+Tabla14[[#This Row],[Ajuste stock sin venta]],0)</f>
        <v>0</v>
      </c>
      <c r="AD156" s="3">
        <f>IFERROR(VLOOKUP(Tabla14[[#This Row],[Llave]],[12]Hoja1!$A:$D,4,FALSE),0)</f>
        <v>0</v>
      </c>
      <c r="AE15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10000</v>
      </c>
      <c r="AF156" s="3">
        <v>10000</v>
      </c>
      <c r="AG156" s="3">
        <f>+Tabla14[[#This Row],[En puerto a facturar]]</f>
        <v>0</v>
      </c>
      <c r="AH156" s="3">
        <f>+Tabla14[[#This Row],[Facturación atraso]]</f>
        <v>0</v>
      </c>
      <c r="AI156" s="3">
        <f>+Tabla14[[#This Row],[Plan Irrestricto (DATO)]]-Tabla14[[#This Row],[Puerto ]]-Tabla14[[#This Row],[Atraso]]</f>
        <v>10000</v>
      </c>
      <c r="AJ156" s="6">
        <f>IF(Tabla14[[#This Row],[Plan Irrestricto (DATO)]]&gt;0,SUM(Tabla14[[#This Row],[Facturación atraso]],Tabla14[[#This Row],[Facturación Venta nueva]],Tabla14[[#This Row],[Facturación stock]],Tabla14[[#This Row],[En puerto a facturar]]),0)</f>
        <v>5000</v>
      </c>
      <c r="AK156" s="3">
        <f>+Tabla14[[#This Row],[Facturación atraso]]</f>
        <v>0</v>
      </c>
      <c r="AL156" s="3">
        <f>Tabla14[[#This Row],[Plan Ajustado]]-Tabla14[[#This Row],[ Atraso ajustado]]-Tabla14[[#This Row],[En puerto a facturar]]</f>
        <v>5000</v>
      </c>
      <c r="AM156" s="3">
        <v>0</v>
      </c>
      <c r="AN156" s="3"/>
      <c r="AO156" s="3" t="str">
        <f>IF(Tabla14[[#This Row],[Plan Ajustado]]&gt;Tabla14[[#This Row],[En puerto a facturar]],"Si","No")</f>
        <v>Si</v>
      </c>
      <c r="AP156" s="3">
        <f>IF(AND(Tabla14[[#This Row],[Plan Ajustado]]&gt;0,Tabla14[[#This Row],[Plan Ajustado]]&gt;Tabla14[[#This Row],[En puerto a facturar]]),(Tabla14[[#This Row],[Plan Ajustado]]-Tabla14[[#This Row],[En puerto a facturar]]),0)</f>
        <v>5000</v>
      </c>
      <c r="AQ156" s="3">
        <f>IF(Tabla14[[#This Row],[Necesidad]]&gt;=Tabla14[[#This Row],[Stock al día]],Tabla14[[#This Row],[Stock al día]],Tabla14[[#This Row],[Necesidad]])</f>
        <v>5000</v>
      </c>
      <c r="AR156" s="3">
        <f>+Tabla14[[#This Row],[Necesidad]]-Tabla14[[#This Row],[Stock Plan]]</f>
        <v>0</v>
      </c>
      <c r="AS156" s="155">
        <f>VLOOKUP(Tabla14[[#This Row],[Sector]]&amp;Tabla14[[#This Row],[Oficina]],[8]Ponderación!$A:$H,8,FALSE)</f>
        <v>44817</v>
      </c>
      <c r="AT156" s="30">
        <f>IFERROR(VLOOKUP(Tabla14[[#This Row],[Llave]],'[6]RV plan de ventas'!$A:$F,6,FALSE),0)</f>
        <v>3.6472000000000002</v>
      </c>
      <c r="AU156" s="83">
        <f>IFERROR(VLOOKUP(Tabla14[[#This Row],[Llave]],[9]DELAY!$H:$X,17,FALSE),0)</f>
        <v>0</v>
      </c>
      <c r="AV15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3.6472000000000002</v>
      </c>
      <c r="AW156" s="5">
        <f>Tabla14[[#This Row],[Pecio plan]]*Tabla14[[#This Row],[Plan Ajustado]]</f>
        <v>18236</v>
      </c>
      <c r="AX156" s="30">
        <f>IFERROR(VLOOKUP(Tabla14[[#This Row],[Llave]],'[13]Ultimos precios facturados'!$A:$G,7,FALSE),0)</f>
        <v>3.6287107044202598</v>
      </c>
      <c r="AY15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5.0952795871045823E-3</v>
      </c>
      <c r="AZ156" s="30">
        <f>IFERROR(VLOOKUP(Tabla14[[#This Row],[Llave]],Hoja2!B:K,10,FALSE),0)</f>
        <v>3.5784916036170094</v>
      </c>
      <c r="BA15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3.6472000000000002</v>
      </c>
      <c r="BB156" s="30">
        <v>0</v>
      </c>
      <c r="BC156" s="30">
        <f>IF(Tabla14[[#This Row],[Market]]=0,Tabla14[[#This Row],[Precio Final]],Tabla14[[#This Row],[Market]])</f>
        <v>3.6472000000000002</v>
      </c>
      <c r="BD156" s="82"/>
      <c r="BE156" s="82" t="str">
        <f>IF(AND(Tabla14[[#This Row],[Atraso a facturar]]&gt;0,Tabla14[[#This Row],[En puerto a facturar]]&gt;0,Tabla14[[#This Row],[Precio Atraso]]=0),"Revisar","OK")</f>
        <v>OK</v>
      </c>
      <c r="BF156" s="82" t="str">
        <f>IF(AND(Tabla14[[#This Row],[Venta del mes]]&gt;0,Tabla14[[#This Row],[Precio venta nueva]]=0),"Revisar","OK")</f>
        <v>OK</v>
      </c>
      <c r="BG156" s="20">
        <f>IFERROR(VLOOKUP(Tabla14[[#This Row],[Llave]],'[5]Consolidación planes'!$A:$M,9,FALSE),0)</f>
        <v>30000</v>
      </c>
      <c r="BH156" s="20">
        <f>IFERROR(VLOOKUP(Tabla14[[#This Row],[Llave]],'[5]Consolidación planes'!$A:$M,10,FALSE),0)</f>
        <v>5000</v>
      </c>
      <c r="BI156" s="20">
        <f>IFERROR(VLOOKUP(Tabla14[[#This Row],[Llave]],'[5]Consolidación planes'!$A:$M,11,FALSE),0)</f>
        <v>4000</v>
      </c>
      <c r="BJ156" s="20">
        <f>IFERROR(VLOOKUP(Tabla14[[#This Row],[Llave]],'[5]Consolidación planes'!$A:$M,12,FALSE),0)</f>
        <v>20000</v>
      </c>
      <c r="BK156" s="20">
        <f>IFERROR(VLOOKUP(Tabla14[[#This Row],[Llave]],'[5]Consolidación planes'!$A:$M,13,FALSE),0)</f>
        <v>22000</v>
      </c>
      <c r="BL156" s="20">
        <f>IFERROR(VLOOKUP(Tabla14[[#This Row],[Llave]],'[13]Base ultimos planes'!$A:$M,13,FALSE),0)</f>
        <v>31500</v>
      </c>
      <c r="BM156" s="20">
        <f>IFERROR(VLOOKUP(Tabla14[[#This Row],[Llave]],'[13]Cruce plan irrestricto'!$C:$M,10,FALSE),0)</f>
        <v>38000</v>
      </c>
      <c r="BN156" s="20">
        <f>IFERROR(VLOOKUP(Tabla14[[#This Row],[Llave]],'[13]Cruce plan irrestricto'!$C:$M,11,FALSE),0)</f>
        <v>27460</v>
      </c>
      <c r="BO156" s="80">
        <f>IFERROR(VLOOKUP(Tabla14[[#This Row],[Llave]],'[13]Base ultimos planes'!$O:$AA,8,FALSE),0)</f>
        <v>139120.984</v>
      </c>
      <c r="BP156" s="20">
        <f>IFERROR(VLOOKUP(Tabla14[[#This Row],[Llave]],'[13]Base ultimos planes'!$O:$AA,9,FALSE),0)</f>
        <v>20587</v>
      </c>
      <c r="BQ156" s="20">
        <f>IFERROR(VLOOKUP(Tabla14[[#This Row],[Llave]],'[13]Base ultimos planes'!$O:$AA,10,FALSE),0)</f>
        <v>16511</v>
      </c>
      <c r="BR156" s="20">
        <f>IFERROR(VLOOKUP(Tabla14[[#This Row],[Llave]],'[13]Base ultimos planes'!$O:$AA,11,FALSE),0)</f>
        <v>79963</v>
      </c>
      <c r="BS156" s="20">
        <f>IFERROR(VLOOKUP(Tabla14[[#This Row],[Llave]],'[13]Base ultimos planes'!$O:$AA,12,FALSE),0)</f>
        <v>84292</v>
      </c>
      <c r="BT156" s="20">
        <f>IFERROR(VLOOKUP(Tabla14[[#This Row],[Llave]],'[13]Base ultimos planes'!$O:$AA,13,FALSE),0)</f>
        <v>114721</v>
      </c>
      <c r="BU156" s="20"/>
      <c r="BV156" s="20">
        <f>Tabla14[[#This Row],[ RV Producción mes n+1]]-Tabla14[[#This Row],[Producción disponible]]+Tabla14[[#This Row],[Saldo Volumen disponible]]</f>
        <v>7915.0930000000026</v>
      </c>
      <c r="BW156" s="20">
        <f>IFERROR(VLOOKUP(Tabla14[[#This Row],[Llave]],[14]Hoja2!$J:$N,4,FALSE),0)</f>
        <v>13500</v>
      </c>
      <c r="BX156" s="20">
        <f>+Tabla14[[#This Row],[Asignación mes n+1]]*Tabla14[[#This Row],[% Uti. producción]]</f>
        <v>10440.749309760195</v>
      </c>
      <c r="BY156" s="20">
        <f>+Tabla14[[#This Row],[Ponderación mes n+1]]+Tabla14[[#This Row],[Saldo mes n-1]]</f>
        <v>18355.842309760199</v>
      </c>
      <c r="BZ156" s="20">
        <f>+Tabla14[[#This Row],[Asignación mes n+1]]-Tabla14[[#This Row],[Ponderación mes n+1]]</f>
        <v>3059.2506902398054</v>
      </c>
      <c r="CA156" s="20">
        <f>IFERROR(VLOOKUP(Tabla14[[#This Row],[Llave]],[14]Hoja2!$J:$N,5,FALSE),0)</f>
        <v>13500</v>
      </c>
      <c r="CB156" s="20">
        <f>+Tabla14[[#This Row],[Asignación mes n+2]]*Tabla14[[#This Row],[% Uti. producción]]</f>
        <v>10440.749309760195</v>
      </c>
      <c r="CC156" s="20">
        <f>+Tabla14[[#This Row],[Saldo mes n+2]]+Tabla14[[#This Row],[Ponderación mes n+2]]</f>
        <v>13500</v>
      </c>
      <c r="CD156" s="20">
        <f>+Tabla14[[#This Row],[Asignación mes n+2]]-Tabla14[[#This Row],[Ponderación mes n+2]]</f>
        <v>3059.2506902398054</v>
      </c>
    </row>
    <row r="157" spans="1:82" ht="16" x14ac:dyDescent="0.2">
      <c r="A157">
        <v>1</v>
      </c>
      <c r="B157" t="str">
        <f>Tabla14[[#This Row],[Oficina]]&amp;Tabla14[[#This Row],[Material]]</f>
        <v>Exportacion Directa1020664</v>
      </c>
      <c r="C157" t="s">
        <v>6</v>
      </c>
      <c r="D157" t="s">
        <v>88</v>
      </c>
      <c r="E157">
        <v>1020664</v>
      </c>
      <c r="F157" t="s">
        <v>294</v>
      </c>
      <c r="G157" t="s">
        <v>59</v>
      </c>
      <c r="H157" t="s">
        <v>65</v>
      </c>
      <c r="I157" s="7">
        <f>IFERROR(IF(Tabla14[[#This Row],[Oficina]]=$I$7,VLOOKUP(Tabla14[[#This Row],[Material]],'[6]RV Producción'!$Y:$AA,3,FALSE),VLOOKUP(Tabla14[[#This Row],[Llave]],'[6]RV Producción'!$C:$G,5,FALSE)),0)</f>
        <v>990</v>
      </c>
      <c r="J157" s="7">
        <f>IFERROR(IF(Tabla14[[#This Row],[Oficina]]=$I$7,VLOOKUP(Tabla14[[#This Row],[Llave]],'[7]Shangai (Tomas)'!$A:$F,6,FALSE),VLOOKUP(Tabla14[[#This Row],[Llave]],'[6]RV plan de ventas'!$A:$E,5,FALSE)),0)</f>
        <v>6000</v>
      </c>
      <c r="K157" s="8">
        <f>IFERROR(VLOOKUP(Tabla14[[#This Row],[Sector]]&amp;Tabla14[[#This Row],[Oficina]],[8]Ponderación!$A$3:$G$22,7,FALSE),0)</f>
        <v>0.77338883776001444</v>
      </c>
      <c r="L157" s="7">
        <f>+Tabla14[[#This Row],[ RV Producción mes n+1]]*Tabla14[[#This Row],[% Uti. producción]]</f>
        <v>765.65494938241432</v>
      </c>
      <c r="M157" s="7">
        <f>IFERROR(VLOOKUP(Tabla14[[#This Row],[Material]],'[9]TD Stock'!$B:$C,2,FALSE),0)</f>
        <v>11330.813000000002</v>
      </c>
      <c r="N157" s="7">
        <f>IFERROR(VLOOKUP(Tabla14[[#This Row],[Material]],'[10]Consolidado planificación'!$B:$C,2,FALSE),0)</f>
        <v>2620</v>
      </c>
      <c r="O157" s="7">
        <f>IFERROR(VLOOKUP(Tabla14[[#This Row],[Llave]],[11]Hoja2!$D:$G,4,FALSE),0)</f>
        <v>0</v>
      </c>
      <c r="P157" s="14">
        <f>SUM(Tabla14[[#This Row],[Producción disponible]],Tabla14[[#This Row],[Stock al día]],(Tabla14[[#This Row],[Por producir mes N]]*0.9))-Tabla14[[#This Row],[Producción por despachar mes N]]</f>
        <v>14454.467949382417</v>
      </c>
      <c r="Q157" s="7">
        <f>IFERROR(VLOOKUP(Tabla14[[#This Row],[Llave]],[9]DELAY!$A:$D,4,FALSE),0)</f>
        <v>10000</v>
      </c>
      <c r="R157" s="9">
        <v>3000</v>
      </c>
      <c r="S157" s="5">
        <f t="shared" si="7"/>
        <v>10000</v>
      </c>
      <c r="T157" s="76">
        <v>-5000</v>
      </c>
      <c r="U157" s="5">
        <f>+Tabla14[[#This Row],[Atraso a facturar]]+Tabla14[[#This Row],[Ajuste atraso]]</f>
        <v>5000</v>
      </c>
      <c r="V157" s="3">
        <f>+Tabla14[[#This Row],[Total disponible]]-Tabla14[[#This Row],[Facturación atraso]]</f>
        <v>9454.4679493824169</v>
      </c>
      <c r="W157" s="6">
        <f>IFERROR(IF(AND(V157&gt;R157,J157&gt;=R157),ROUNDDOWN((Tabla14[[#This Row],[Producción para venta nueva]])/R157,0)*R157,0),0)</f>
        <v>9000</v>
      </c>
      <c r="X157" s="76">
        <v>-5000</v>
      </c>
      <c r="Y157" s="6">
        <f>IF(Tabla14[[#This Row],[Venta del mes]]&gt;0,Tabla14[[#This Row],[Venta del mes]]+Tabla14[[#This Row],[Ajuste venta nueva]],0)</f>
        <v>4000</v>
      </c>
      <c r="Z157" s="6">
        <f>+Tabla14[[#This Row],[Producción para venta nueva]]-Tabla14[[#This Row],[Facturación Venta nueva]]</f>
        <v>5454.4679493824169</v>
      </c>
      <c r="AA157" s="6">
        <f>IF(AND(A157=1,Tabla14[[#This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7" s="6">
        <v>0</v>
      </c>
      <c r="AC157" s="6">
        <f>IF(Tabla14[[#This Row],[Disponible stock sin venta]]&gt;0,Tabla14[[#This Row],[Disponible stock sin venta]]+Tabla14[[#This Row],[Ajuste stock sin venta]],0)</f>
        <v>0</v>
      </c>
      <c r="AD157" s="3">
        <f>IFERROR(VLOOKUP(Tabla14[[#This Row],[Llave]],[12]Hoja1!$A:$D,4,FALSE),0)</f>
        <v>0</v>
      </c>
      <c r="AE15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19000</v>
      </c>
      <c r="AF157" s="3">
        <v>13000</v>
      </c>
      <c r="AG157" s="3">
        <f>+Tabla14[[#This Row],[En puerto a facturar]]</f>
        <v>0</v>
      </c>
      <c r="AH157" s="3">
        <f>+Tabla14[[#This Row],[Facturación atraso]]</f>
        <v>5000</v>
      </c>
      <c r="AI157" s="3">
        <f>+Tabla14[[#This Row],[Plan Irrestricto (DATO)]]-Tabla14[[#This Row],[Puerto ]]-Tabla14[[#This Row],[Atraso]]</f>
        <v>8000</v>
      </c>
      <c r="AJ157" s="6">
        <f>IF(Tabla14[[#This Row],[Plan Irrestricto (DATO)]]&gt;0,SUM(Tabla14[[#This Row],[Facturación atraso]],Tabla14[[#This Row],[Facturación Venta nueva]],Tabla14[[#This Row],[Facturación stock]],Tabla14[[#This Row],[En puerto a facturar]]),0)</f>
        <v>9000</v>
      </c>
      <c r="AK157" s="3">
        <f>+Tabla14[[#This Row],[Facturación atraso]]</f>
        <v>5000</v>
      </c>
      <c r="AL157" s="3">
        <f>Tabla14[[#This Row],[Plan Ajustado]]-Tabla14[[#This Row],[ Atraso ajustado]]-Tabla14[[#This Row],[En puerto a facturar]]</f>
        <v>4000</v>
      </c>
      <c r="AM157" s="3">
        <v>0</v>
      </c>
      <c r="AN157" s="3"/>
      <c r="AO157" s="3" t="str">
        <f>IF(Tabla14[[#This Row],[Plan Ajustado]]&gt;Tabla14[[#This Row],[En puerto a facturar]],"Si","No")</f>
        <v>Si</v>
      </c>
      <c r="AP157" s="3">
        <f>IF(AND(Tabla14[[#This Row],[Plan Ajustado]]&gt;0,Tabla14[[#This Row],[Plan Ajustado]]&gt;Tabla14[[#This Row],[En puerto a facturar]]),(Tabla14[[#This Row],[Plan Ajustado]]-Tabla14[[#This Row],[En puerto a facturar]]),0)</f>
        <v>9000</v>
      </c>
      <c r="AQ157" s="3">
        <f>IF(Tabla14[[#This Row],[Necesidad]]&gt;=Tabla14[[#This Row],[Stock al día]],Tabla14[[#This Row],[Stock al día]],Tabla14[[#This Row],[Necesidad]])</f>
        <v>9000</v>
      </c>
      <c r="AR157" s="3">
        <f>+Tabla14[[#This Row],[Necesidad]]-Tabla14[[#This Row],[Stock Plan]]</f>
        <v>0</v>
      </c>
      <c r="AS157" s="155">
        <f>VLOOKUP(Tabla14[[#This Row],[Sector]]&amp;Tabla14[[#This Row],[Oficina]],[8]Ponderación!$A:$H,8,FALSE)</f>
        <v>44817</v>
      </c>
      <c r="AT157" s="30">
        <f>IFERROR(VLOOKUP(Tabla14[[#This Row],[Llave]],'[6]RV plan de ventas'!$A:$F,6,FALSE),0)</f>
        <v>3.6471666666666702</v>
      </c>
      <c r="AU157" s="83">
        <f>IFERROR(VLOOKUP(Tabla14[[#This Row],[Llave]],[9]DELAY!$H:$X,17,FALSE),0)</f>
        <v>3.6026992350000002</v>
      </c>
      <c r="AV15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3.6224625379629645</v>
      </c>
      <c r="AW157" s="5">
        <f>Tabla14[[#This Row],[Pecio plan]]*Tabla14[[#This Row],[Plan Ajustado]]</f>
        <v>32602.162841666679</v>
      </c>
      <c r="AX157" s="30">
        <f>IFERROR(VLOOKUP(Tabla14[[#This Row],[Llave]],'[13]Ultimos precios facturados'!$A:$G,7,FALSE),0)</f>
        <v>3.6628625872497613</v>
      </c>
      <c r="AY15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1.1029638247262503E-2</v>
      </c>
      <c r="AZ157" s="30">
        <f>IFERROR(VLOOKUP(Tabla14[[#This Row],[Llave]],Hoja2!B:K,10,FALSE),0)</f>
        <v>3.6338760352941177</v>
      </c>
      <c r="BA15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3.6224625379629645</v>
      </c>
      <c r="BB157" s="30">
        <v>0</v>
      </c>
      <c r="BC157" s="30">
        <f>IF(Tabla14[[#This Row],[Market]]=0,Tabla14[[#This Row],[Precio Final]],Tabla14[[#This Row],[Market]])</f>
        <v>3.6224625379629645</v>
      </c>
      <c r="BD157" s="82"/>
      <c r="BE157" s="82" t="str">
        <f>IF(AND(Tabla14[[#This Row],[Atraso a facturar]]&gt;0,Tabla14[[#This Row],[En puerto a facturar]]&gt;0,Tabla14[[#This Row],[Precio Atraso]]=0),"Revisar","OK")</f>
        <v>OK</v>
      </c>
      <c r="BF157" s="82" t="str">
        <f>IF(AND(Tabla14[[#This Row],[Venta del mes]]&gt;0,Tabla14[[#This Row],[Precio venta nueva]]=0),"Revisar","OK")</f>
        <v>OK</v>
      </c>
      <c r="BG157" s="20">
        <f>IFERROR(VLOOKUP(Tabla14[[#This Row],[Llave]],'[5]Consolidación planes'!$A:$M,9,FALSE),0)</f>
        <v>0</v>
      </c>
      <c r="BH157" s="20">
        <f>IFERROR(VLOOKUP(Tabla14[[#This Row],[Llave]],'[5]Consolidación planes'!$A:$M,10,FALSE),0)</f>
        <v>3000</v>
      </c>
      <c r="BI157" s="20">
        <f>IFERROR(VLOOKUP(Tabla14[[#This Row],[Llave]],'[5]Consolidación planes'!$A:$M,11,FALSE),0)</f>
        <v>3000</v>
      </c>
      <c r="BJ157" s="20">
        <f>IFERROR(VLOOKUP(Tabla14[[#This Row],[Llave]],'[5]Consolidación planes'!$A:$M,12,FALSE),0)</f>
        <v>3000</v>
      </c>
      <c r="BK157" s="20">
        <f>IFERROR(VLOOKUP(Tabla14[[#This Row],[Llave]],'[5]Consolidación planes'!$A:$M,13,FALSE),0)</f>
        <v>0</v>
      </c>
      <c r="BL157" s="20">
        <f>IFERROR(VLOOKUP(Tabla14[[#This Row],[Llave]],'[13]Base ultimos planes'!$A:$M,13,FALSE),0)</f>
        <v>3000</v>
      </c>
      <c r="BM157" s="20">
        <f>IFERROR(VLOOKUP(Tabla14[[#This Row],[Llave]],'[13]Cruce plan irrestricto'!$C:$M,10,FALSE),0)</f>
        <v>7000</v>
      </c>
      <c r="BN157" s="20">
        <f>IFERROR(VLOOKUP(Tabla14[[#This Row],[Llave]],'[13]Cruce plan irrestricto'!$C:$M,11,FALSE),0)</f>
        <v>17000</v>
      </c>
      <c r="BO157" s="80">
        <f>IFERROR(VLOOKUP(Tabla14[[#This Row],[Llave]],'[13]Base ultimos planes'!$O:$AA,8,FALSE),0)</f>
        <v>0</v>
      </c>
      <c r="BP157" s="20">
        <f>IFERROR(VLOOKUP(Tabla14[[#This Row],[Llave]],'[13]Base ultimos planes'!$O:$AA,9,FALSE),0)</f>
        <v>12115</v>
      </c>
      <c r="BQ157" s="20">
        <f>IFERROR(VLOOKUP(Tabla14[[#This Row],[Llave]],'[13]Base ultimos planes'!$O:$AA,10,FALSE),0)</f>
        <v>12506</v>
      </c>
      <c r="BR157" s="20">
        <f>IFERROR(VLOOKUP(Tabla14[[#This Row],[Llave]],'[13]Base ultimos planes'!$O:$AA,11,FALSE),0)</f>
        <v>12074</v>
      </c>
      <c r="BS157" s="20">
        <f>IFERROR(VLOOKUP(Tabla14[[#This Row],[Llave]],'[13]Base ultimos planes'!$O:$AA,12,FALSE),0)</f>
        <v>0</v>
      </c>
      <c r="BT157" s="20">
        <f>IFERROR(VLOOKUP(Tabla14[[#This Row],[Llave]],'[13]Base ultimos planes'!$O:$AA,13,FALSE),0)</f>
        <v>10926</v>
      </c>
      <c r="BU157" s="20"/>
      <c r="BV157" s="20">
        <f>Tabla14[[#This Row],[ RV Producción mes n+1]]-Tabla14[[#This Row],[Producción disponible]]+Tabla14[[#This Row],[Saldo Volumen disponible]]</f>
        <v>5678.8130000000028</v>
      </c>
      <c r="BW157" s="20">
        <f>IFERROR(VLOOKUP(Tabla14[[#This Row],[Llave]],[14]Hoja2!$J:$N,4,FALSE),0)</f>
        <v>4500</v>
      </c>
      <c r="BX157" s="20">
        <f>+Tabla14[[#This Row],[Asignación mes n+1]]*Tabla14[[#This Row],[% Uti. producción]]</f>
        <v>3480.2497699200649</v>
      </c>
      <c r="BY157" s="20">
        <f>+Tabla14[[#This Row],[Ponderación mes n+1]]+Tabla14[[#This Row],[Saldo mes n-1]]</f>
        <v>9159.0627699200668</v>
      </c>
      <c r="BZ157" s="20">
        <f>+Tabla14[[#This Row],[Asignación mes n+1]]-Tabla14[[#This Row],[Ponderación mes n+1]]</f>
        <v>1019.7502300799351</v>
      </c>
      <c r="CA157" s="20">
        <f>IFERROR(VLOOKUP(Tabla14[[#This Row],[Llave]],[14]Hoja2!$J:$N,5,FALSE),0)</f>
        <v>4500</v>
      </c>
      <c r="CB157" s="20">
        <f>+Tabla14[[#This Row],[Asignación mes n+2]]*Tabla14[[#This Row],[% Uti. producción]]</f>
        <v>3480.2497699200649</v>
      </c>
      <c r="CC157" s="20">
        <f>+Tabla14[[#This Row],[Saldo mes n+2]]+Tabla14[[#This Row],[Ponderación mes n+2]]</f>
        <v>4500</v>
      </c>
      <c r="CD157" s="20">
        <f>+Tabla14[[#This Row],[Asignación mes n+2]]-Tabla14[[#This Row],[Ponderación mes n+2]]</f>
        <v>1019.7502300799351</v>
      </c>
    </row>
    <row r="158" spans="1:82" ht="16" x14ac:dyDescent="0.2">
      <c r="A158">
        <v>1</v>
      </c>
      <c r="B158" t="str">
        <f>Tabla14[[#This Row],[Oficina]]&amp;Tabla14[[#This Row],[Material]]</f>
        <v>Exportacion Directa1020665</v>
      </c>
      <c r="C158" t="s">
        <v>6</v>
      </c>
      <c r="D158" t="s">
        <v>88</v>
      </c>
      <c r="E158">
        <v>1020665</v>
      </c>
      <c r="F158" t="s">
        <v>131</v>
      </c>
      <c r="G158" t="s">
        <v>59</v>
      </c>
      <c r="H158" t="s">
        <v>65</v>
      </c>
      <c r="I158" s="7">
        <f>IFERROR(IF(Tabla14[[#This Row],[Oficina]]=$I$7,VLOOKUP(Tabla14[[#This Row],[Material]],'[6]RV Producción'!$Y:$AA,3,FALSE),VLOOKUP(Tabla14[[#This Row],[Llave]],'[6]RV Producción'!$C:$G,5,FALSE)),0)</f>
        <v>11700</v>
      </c>
      <c r="J158" s="7">
        <f>IFERROR(IF(Tabla14[[#This Row],[Oficina]]=$I$7,VLOOKUP(Tabla14[[#This Row],[Llave]],'[7]Shangai (Tomas)'!$A:$F,6,FALSE),VLOOKUP(Tabla14[[#This Row],[Llave]],'[6]RV plan de ventas'!$A:$E,5,FALSE)),0)</f>
        <v>9000</v>
      </c>
      <c r="K158" s="8">
        <f>IFERROR(VLOOKUP(Tabla14[[#This Row],[Sector]]&amp;Tabla14[[#This Row],[Oficina]],[8]Ponderación!$A$3:$G$22,7,FALSE),0)</f>
        <v>0.77338883776001444</v>
      </c>
      <c r="L158" s="7">
        <f>+Tabla14[[#This Row],[ RV Producción mes n+1]]*Tabla14[[#This Row],[% Uti. producción]]</f>
        <v>9048.6494017921686</v>
      </c>
      <c r="M158" s="7">
        <f>IFERROR(VLOOKUP(Tabla14[[#This Row],[Material]],'[9]TD Stock'!$B:$C,2,FALSE),0)</f>
        <v>14375.192000000001</v>
      </c>
      <c r="N158" s="7">
        <f>IFERROR(VLOOKUP(Tabla14[[#This Row],[Material]],'[10]Consolidado planificación'!$B:$C,2,FALSE),0)</f>
        <v>0</v>
      </c>
      <c r="O158" s="7">
        <f>IFERROR(VLOOKUP(Tabla14[[#This Row],[Llave]],[11]Hoja2!$D:$G,4,FALSE),0)</f>
        <v>0</v>
      </c>
      <c r="P158" s="14">
        <f>SUM(Tabla14[[#This Row],[Producción disponible]],Tabla14[[#This Row],[Stock al día]],(Tabla14[[#This Row],[Por producir mes N]]*0.9))-Tabla14[[#This Row],[Producción por despachar mes N]]</f>
        <v>23423.841401792168</v>
      </c>
      <c r="Q158" s="7">
        <f>IFERROR(VLOOKUP(Tabla14[[#This Row],[Llave]],[9]DELAY!$A:$D,4,FALSE),0)</f>
        <v>19500</v>
      </c>
      <c r="R158" s="9">
        <v>2333.3333333333335</v>
      </c>
      <c r="S158" s="5">
        <f t="shared" si="7"/>
        <v>19500</v>
      </c>
      <c r="T158" s="76">
        <v>-12000</v>
      </c>
      <c r="U158" s="5">
        <f>+Tabla14[[#This Row],[Atraso a facturar]]+Tabla14[[#This Row],[Ajuste atraso]]</f>
        <v>7500</v>
      </c>
      <c r="V158" s="3">
        <f>+Tabla14[[#This Row],[Total disponible]]-Tabla14[[#This Row],[Facturación atraso]]</f>
        <v>15923.841401792168</v>
      </c>
      <c r="W158" s="6">
        <f>IFERROR(IF(AND(V158&gt;R158,J158&gt;=R158),ROUNDDOWN((Tabla14[[#This Row],[Producción para venta nueva]])/R158,0)*R158,0),0)</f>
        <v>14000</v>
      </c>
      <c r="X158" s="76">
        <v>-10000</v>
      </c>
      <c r="Y158" s="6">
        <f>IF(Tabla14[[#This Row],[Venta del mes]]&gt;0,Tabla14[[#This Row],[Venta del mes]]+Tabla14[[#This Row],[Ajuste venta nueva]],0)</f>
        <v>4000</v>
      </c>
      <c r="Z158" s="6">
        <f>+Tabla14[[#This Row],[Producción para venta nueva]]-Tabla14[[#This Row],[Facturación Venta nueva]]</f>
        <v>11923.841401792168</v>
      </c>
      <c r="AA158" s="6">
        <f>IF(AND(A158=1,Tabla14[[#This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58" s="6">
        <v>0</v>
      </c>
      <c r="AC158" s="6">
        <f>IF(Tabla14[[#This Row],[Disponible stock sin venta]]&gt;0,Tabla14[[#This Row],[Disponible stock sin venta]]+Tabla14[[#This Row],[Ajuste stock sin venta]],0)</f>
        <v>0</v>
      </c>
      <c r="AD158" s="3">
        <f>IFERROR(VLOOKUP(Tabla14[[#This Row],[Llave]],[12]Hoja1!$A:$D,4,FALSE),0)</f>
        <v>0</v>
      </c>
      <c r="AE15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33500</v>
      </c>
      <c r="AF158" s="3">
        <v>21833.333333333332</v>
      </c>
      <c r="AG158" s="3">
        <f>+Tabla14[[#This Row],[En puerto a facturar]]</f>
        <v>0</v>
      </c>
      <c r="AH158" s="3">
        <f>+Tabla14[[#This Row],[Facturación atraso]]</f>
        <v>7500</v>
      </c>
      <c r="AI158" s="3">
        <f>+Tabla14[[#This Row],[Plan Irrestricto (DATO)]]-Tabla14[[#This Row],[Puerto ]]-Tabla14[[#This Row],[Atraso]]</f>
        <v>14333.333333333332</v>
      </c>
      <c r="AJ158" s="6">
        <f>IF(Tabla14[[#This Row],[Plan Irrestricto (DATO)]]&gt;0,SUM(Tabla14[[#This Row],[Facturación atraso]],Tabla14[[#This Row],[Facturación Venta nueva]],Tabla14[[#This Row],[Facturación stock]],Tabla14[[#This Row],[En puerto a facturar]]),0)</f>
        <v>11500</v>
      </c>
      <c r="AK158" s="3">
        <f>+Tabla14[[#This Row],[Facturación atraso]]</f>
        <v>7500</v>
      </c>
      <c r="AL158" s="3">
        <f>Tabla14[[#This Row],[Plan Ajustado]]-Tabla14[[#This Row],[ Atraso ajustado]]-Tabla14[[#This Row],[En puerto a facturar]]</f>
        <v>4000</v>
      </c>
      <c r="AM158" s="3">
        <v>0</v>
      </c>
      <c r="AN158" s="3"/>
      <c r="AO158" s="3" t="str">
        <f>IF(Tabla14[[#This Row],[Plan Ajustado]]&gt;Tabla14[[#This Row],[En puerto a facturar]],"Si","No")</f>
        <v>Si</v>
      </c>
      <c r="AP158" s="3">
        <f>IF(AND(Tabla14[[#This Row],[Plan Ajustado]]&gt;0,Tabla14[[#This Row],[Plan Ajustado]]&gt;Tabla14[[#This Row],[En puerto a facturar]]),(Tabla14[[#This Row],[Plan Ajustado]]-Tabla14[[#This Row],[En puerto a facturar]]),0)</f>
        <v>11500</v>
      </c>
      <c r="AQ158" s="3">
        <f>IF(Tabla14[[#This Row],[Necesidad]]&gt;=Tabla14[[#This Row],[Stock al día]],Tabla14[[#This Row],[Stock al día]],Tabla14[[#This Row],[Necesidad]])</f>
        <v>11500</v>
      </c>
      <c r="AR158" s="3">
        <f>+Tabla14[[#This Row],[Necesidad]]-Tabla14[[#This Row],[Stock Plan]]</f>
        <v>0</v>
      </c>
      <c r="AS158" s="155">
        <f>VLOOKUP(Tabla14[[#This Row],[Sector]]&amp;Tabla14[[#This Row],[Oficina]],[8]Ponderación!$A:$H,8,FALSE)</f>
        <v>44817</v>
      </c>
      <c r="AT158" s="30">
        <f>IFERROR(VLOOKUP(Tabla14[[#This Row],[Llave]],'[6]RV plan de ventas'!$A:$F,6,FALSE),0)</f>
        <v>3.6097777777777802</v>
      </c>
      <c r="AU158" s="83">
        <f>IFERROR(VLOOKUP(Tabla14[[#This Row],[Llave]],[9]DELAY!$H:$X,17,FALSE),0)</f>
        <v>3.584969136596734</v>
      </c>
      <c r="AV15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3.5935982291814454</v>
      </c>
      <c r="AW158" s="5">
        <f>Tabla14[[#This Row],[Pecio plan]]*Tabla14[[#This Row],[Plan Ajustado]]</f>
        <v>41326.379635586622</v>
      </c>
      <c r="AX158" s="30">
        <f>IFERROR(VLOOKUP(Tabla14[[#This Row],[Llave]],'[13]Ultimos precios facturados'!$A:$G,7,FALSE),0)</f>
        <v>3.6290607430446027</v>
      </c>
      <c r="AY15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9.7718160080742938E-3</v>
      </c>
      <c r="AZ158" s="30">
        <f>IFERROR(VLOOKUP(Tabla14[[#This Row],[Llave]],Hoja2!B:K,10,FALSE),0)</f>
        <v>3.5993951333333323</v>
      </c>
      <c r="BA15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3.5935982291814454</v>
      </c>
      <c r="BB158" s="30">
        <v>0</v>
      </c>
      <c r="BC158" s="30">
        <f>IF(Tabla14[[#This Row],[Market]]=0,Tabla14[[#This Row],[Precio Final]],Tabla14[[#This Row],[Market]])</f>
        <v>3.5935982291814454</v>
      </c>
      <c r="BD158" s="82" t="s">
        <v>756</v>
      </c>
      <c r="BE158" s="82" t="str">
        <f>IF(AND(Tabla14[[#This Row],[Atraso a facturar]]&gt;0,Tabla14[[#This Row],[En puerto a facturar]]&gt;0,Tabla14[[#This Row],[Precio Atraso]]=0),"Revisar","OK")</f>
        <v>OK</v>
      </c>
      <c r="BF158" s="82" t="str">
        <f>IF(AND(Tabla14[[#This Row],[Venta del mes]]&gt;0,Tabla14[[#This Row],[Precio venta nueva]]=0),"Revisar","OK")</f>
        <v>OK</v>
      </c>
      <c r="BG158" s="20">
        <f>IFERROR(VLOOKUP(Tabla14[[#This Row],[Llave]],'[5]Consolidación planes'!$A:$M,9,FALSE),0)</f>
        <v>11750</v>
      </c>
      <c r="BH158" s="20">
        <f>IFERROR(VLOOKUP(Tabla14[[#This Row],[Llave]],'[5]Consolidación planes'!$A:$M,10,FALSE),0)</f>
        <v>4750</v>
      </c>
      <c r="BI158" s="20">
        <f>IFERROR(VLOOKUP(Tabla14[[#This Row],[Llave]],'[5]Consolidación planes'!$A:$M,11,FALSE),0)</f>
        <v>5000</v>
      </c>
      <c r="BJ158" s="20">
        <f>IFERROR(VLOOKUP(Tabla14[[#This Row],[Llave]],'[5]Consolidación planes'!$A:$M,12,FALSE),0)</f>
        <v>15000</v>
      </c>
      <c r="BK158" s="20">
        <f>IFERROR(VLOOKUP(Tabla14[[#This Row],[Llave]],'[5]Consolidación planes'!$A:$M,13,FALSE),0)</f>
        <v>17000</v>
      </c>
      <c r="BL158" s="20">
        <f>IFERROR(VLOOKUP(Tabla14[[#This Row],[Llave]],'[13]Base ultimos planes'!$A:$M,13,FALSE),0)</f>
        <v>9100</v>
      </c>
      <c r="BM158" s="20">
        <f>IFERROR(VLOOKUP(Tabla14[[#This Row],[Llave]],'[13]Cruce plan irrestricto'!$C:$M,10,FALSE),0)</f>
        <v>13733</v>
      </c>
      <c r="BN158" s="20">
        <f>IFERROR(VLOOKUP(Tabla14[[#This Row],[Llave]],'[13]Cruce plan irrestricto'!$C:$M,11,FALSE),0)</f>
        <v>11666.67</v>
      </c>
      <c r="BO158" s="80">
        <f>IFERROR(VLOOKUP(Tabla14[[#This Row],[Llave]],'[13]Base ultimos planes'!$O:$AA,8,FALSE),0)</f>
        <v>50760</v>
      </c>
      <c r="BP158" s="20">
        <f>IFERROR(VLOOKUP(Tabla14[[#This Row],[Llave]],'[13]Base ultimos planes'!$O:$AA,9,FALSE),0)</f>
        <v>19327</v>
      </c>
      <c r="BQ158" s="20">
        <f>IFERROR(VLOOKUP(Tabla14[[#This Row],[Llave]],'[13]Base ultimos planes'!$O:$AA,10,FALSE),0)</f>
        <v>20397</v>
      </c>
      <c r="BR158" s="20">
        <f>IFERROR(VLOOKUP(Tabla14[[#This Row],[Llave]],'[13]Base ultimos planes'!$O:$AA,11,FALSE),0)</f>
        <v>59295</v>
      </c>
      <c r="BS158" s="20">
        <f>IFERROR(VLOOKUP(Tabla14[[#This Row],[Llave]],'[13]Base ultimos planes'!$O:$AA,12,FALSE),0)</f>
        <v>65444</v>
      </c>
      <c r="BT158" s="20">
        <f>IFERROR(VLOOKUP(Tabla14[[#This Row],[Llave]],'[13]Base ultimos planes'!$O:$AA,13,FALSE),0)</f>
        <v>32792</v>
      </c>
      <c r="BU158" s="20"/>
      <c r="BV158" s="20">
        <f>Tabla14[[#This Row],[ RV Producción mes n+1]]-Tabla14[[#This Row],[Producción disponible]]+Tabla14[[#This Row],[Saldo Volumen disponible]]</f>
        <v>14575.191999999999</v>
      </c>
      <c r="BW158" s="20">
        <f>IFERROR(VLOOKUP(Tabla14[[#This Row],[Llave]],[14]Hoja2!$J:$N,4,FALSE),0)</f>
        <v>9000</v>
      </c>
      <c r="BX158" s="20">
        <f>+Tabla14[[#This Row],[Asignación mes n+1]]*Tabla14[[#This Row],[% Uti. producción]]</f>
        <v>6960.4995398401297</v>
      </c>
      <c r="BY158" s="20">
        <f>+Tabla14[[#This Row],[Ponderación mes n+1]]+Tabla14[[#This Row],[Saldo mes n-1]]</f>
        <v>21535.691539840129</v>
      </c>
      <c r="BZ158" s="20">
        <f>+Tabla14[[#This Row],[Asignación mes n+1]]-Tabla14[[#This Row],[Ponderación mes n+1]]</f>
        <v>2039.5004601598703</v>
      </c>
      <c r="CA158" s="20">
        <f>IFERROR(VLOOKUP(Tabla14[[#This Row],[Llave]],[14]Hoja2!$J:$N,5,FALSE),0)</f>
        <v>9000</v>
      </c>
      <c r="CB158" s="20">
        <f>+Tabla14[[#This Row],[Asignación mes n+2]]*Tabla14[[#This Row],[% Uti. producción]]</f>
        <v>6960.4995398401297</v>
      </c>
      <c r="CC158" s="20">
        <f>+Tabla14[[#This Row],[Saldo mes n+2]]+Tabla14[[#This Row],[Ponderación mes n+2]]</f>
        <v>9000</v>
      </c>
      <c r="CD158" s="20">
        <f>+Tabla14[[#This Row],[Asignación mes n+2]]-Tabla14[[#This Row],[Ponderación mes n+2]]</f>
        <v>2039.5004601598703</v>
      </c>
    </row>
    <row r="159" spans="1:82" ht="16" x14ac:dyDescent="0.2">
      <c r="A159">
        <v>1</v>
      </c>
      <c r="B159" t="str">
        <f>Tabla14[[#This Row],[Oficina]]&amp;Tabla14[[#This Row],[Material]]</f>
        <v>Exportacion Directa1020678</v>
      </c>
      <c r="C159" t="s">
        <v>6</v>
      </c>
      <c r="D159" t="s">
        <v>88</v>
      </c>
      <c r="E159">
        <v>1020678</v>
      </c>
      <c r="F159" t="s">
        <v>291</v>
      </c>
      <c r="G159" t="s">
        <v>50</v>
      </c>
      <c r="H159" t="s">
        <v>51</v>
      </c>
      <c r="I159" s="7">
        <f>IFERROR(IF(Tabla14[[#This Row],[Oficina]]=$I$7,VLOOKUP(Tabla14[[#This Row],[Material]],'[6]RV Producción'!$Y:$AA,3,FALSE),VLOOKUP(Tabla14[[#This Row],[Llave]],'[6]RV Producción'!$C:$G,5,FALSE)),0)</f>
        <v>0</v>
      </c>
      <c r="J159" s="7">
        <f>IFERROR(IF(Tabla14[[#This Row],[Oficina]]=$I$7,VLOOKUP(Tabla14[[#This Row],[Llave]],'[7]Shangai (Tomas)'!$A:$F,6,FALSE),VLOOKUP(Tabla14[[#This Row],[Llave]],'[6]RV plan de ventas'!$A:$E,5,FALSE)),0)</f>
        <v>0</v>
      </c>
      <c r="K159" s="8">
        <f>IFERROR(VLOOKUP(Tabla14[[#This Row],[Sector]]&amp;Tabla14[[#This Row],[Oficina]],[8]Ponderación!$A$3:$G$22,7,FALSE),0)</f>
        <v>0.77338883776001444</v>
      </c>
      <c r="L159" s="7">
        <f>+Tabla14[[#This Row],[ RV Producción mes n+1]]*Tabla14[[#This Row],[% Uti. producción]]</f>
        <v>0</v>
      </c>
      <c r="M159" s="7">
        <f>IFERROR(VLOOKUP(Tabla14[[#This Row],[Material]],'[9]TD Stock'!$B:$C,2,FALSE),0)</f>
        <v>1268.1559999999999</v>
      </c>
      <c r="N159" s="7">
        <f>IFERROR(VLOOKUP(Tabla14[[#This Row],[Material]],'[10]Consolidado planificación'!$B:$C,2,FALSE),0)</f>
        <v>0</v>
      </c>
      <c r="O159" s="7">
        <f>IFERROR(VLOOKUP(Tabla14[[#This Row],[Llave]],[11]Hoja2!$D:$G,4,FALSE),0)</f>
        <v>0</v>
      </c>
      <c r="P159" s="14">
        <f>SUM(Tabla14[[#This Row],[Producción disponible]],Tabla14[[#This Row],[Stock al día]],(Tabla14[[#This Row],[Por producir mes N]]*0.9))-Tabla14[[#This Row],[Producción por despachar mes N]]</f>
        <v>1268.1559999999999</v>
      </c>
      <c r="Q159" s="7">
        <f>IFERROR(VLOOKUP(Tabla14[[#This Row],[Llave]],[9]DELAY!$A:$D,4,FALSE),0)</f>
        <v>500</v>
      </c>
      <c r="R159" s="9">
        <v>500</v>
      </c>
      <c r="S159" s="5">
        <f t="shared" si="7"/>
        <v>500</v>
      </c>
      <c r="T159" s="76">
        <v>0</v>
      </c>
      <c r="U159" s="5">
        <f>+Tabla14[[#This Row],[Atraso a facturar]]+Tabla14[[#This Row],[Ajuste atraso]]</f>
        <v>500</v>
      </c>
      <c r="V159" s="3">
        <f>+Tabla14[[#This Row],[Total disponible]]-Tabla14[[#This Row],[Facturación atraso]]</f>
        <v>768.15599999999995</v>
      </c>
      <c r="W159" s="6">
        <f>IFERROR(IF(AND(V159&gt;R159,J159&gt;=R159),ROUNDDOWN((Tabla14[[#This Row],[Producción para venta nueva]])/R159,0)*R159,0),0)</f>
        <v>0</v>
      </c>
      <c r="X159" s="76">
        <v>0</v>
      </c>
      <c r="Y159" s="6">
        <f>IF(Tabla14[[#This Row],[Venta del mes]]&gt;0,Tabla14[[#This Row],[Venta del mes]]+Tabla14[[#This Row],[Ajuste venta nueva]],0)</f>
        <v>0</v>
      </c>
      <c r="Z159" s="6">
        <f>+Tabla14[[#This Row],[Producción para venta nueva]]-Tabla14[[#This Row],[Facturación Venta nueva]]</f>
        <v>768.15599999999995</v>
      </c>
      <c r="AA159" s="6">
        <f>IF(AND(A159=1,Tabla14[[#This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500</v>
      </c>
      <c r="AB159" s="6">
        <v>-500</v>
      </c>
      <c r="AC159" s="6">
        <f>IF(Tabla14[[#This Row],[Disponible stock sin venta]]&gt;0,Tabla14[[#This Row],[Disponible stock sin venta]]+Tabla14[[#This Row],[Ajuste stock sin venta]],0)</f>
        <v>0</v>
      </c>
      <c r="AD159" s="3">
        <f>IFERROR(VLOOKUP(Tabla14[[#This Row],[Llave]],[12]Hoja1!$A:$D,4,FALSE),0)</f>
        <v>0</v>
      </c>
      <c r="AE15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1000</v>
      </c>
      <c r="AF159" s="3">
        <v>1000</v>
      </c>
      <c r="AG159" s="3">
        <f>+Tabla14[[#This Row],[En puerto a facturar]]</f>
        <v>0</v>
      </c>
      <c r="AH159" s="3">
        <f>+Tabla14[[#This Row],[Facturación atraso]]</f>
        <v>500</v>
      </c>
      <c r="AI159" s="3">
        <f>+Tabla14[[#This Row],[Plan Irrestricto (DATO)]]-Tabla14[[#This Row],[Puerto ]]-Tabla14[[#This Row],[Atraso]]</f>
        <v>500</v>
      </c>
      <c r="AJ159" s="6">
        <f>IF(Tabla14[[#This Row],[Plan Irrestricto (DATO)]]&gt;0,SUM(Tabla14[[#This Row],[Facturación atraso]],Tabla14[[#This Row],[Facturación Venta nueva]],Tabla14[[#This Row],[Facturación stock]],Tabla14[[#This Row],[En puerto a facturar]]),0)</f>
        <v>500</v>
      </c>
      <c r="AK159" s="3">
        <f>+Tabla14[[#This Row],[Facturación atraso]]</f>
        <v>500</v>
      </c>
      <c r="AL159" s="3">
        <f>Tabla14[[#This Row],[Plan Ajustado]]-Tabla14[[#This Row],[ Atraso ajustado]]-Tabla14[[#This Row],[En puerto a facturar]]</f>
        <v>0</v>
      </c>
      <c r="AM159" s="3">
        <v>0</v>
      </c>
      <c r="AN159" s="3"/>
      <c r="AO159" s="3" t="str">
        <f>IF(Tabla14[[#This Row],[Plan Ajustado]]&gt;Tabla14[[#This Row],[En puerto a facturar]],"Si","No")</f>
        <v>Si</v>
      </c>
      <c r="AP159" s="3">
        <f>IF(AND(Tabla14[[#This Row],[Plan Ajustado]]&gt;0,Tabla14[[#This Row],[Plan Ajustado]]&gt;Tabla14[[#This Row],[En puerto a facturar]]),(Tabla14[[#This Row],[Plan Ajustado]]-Tabla14[[#This Row],[En puerto a facturar]]),0)</f>
        <v>500</v>
      </c>
      <c r="AQ159" s="3">
        <f>IF(Tabla14[[#This Row],[Necesidad]]&gt;=Tabla14[[#This Row],[Stock al día]],Tabla14[[#This Row],[Stock al día]],Tabla14[[#This Row],[Necesidad]])</f>
        <v>500</v>
      </c>
      <c r="AR159" s="3">
        <f>+Tabla14[[#This Row],[Necesidad]]-Tabla14[[#This Row],[Stock Plan]]</f>
        <v>0</v>
      </c>
      <c r="AS159" s="155">
        <f>VLOOKUP(Tabla14[[#This Row],[Sector]]&amp;Tabla14[[#This Row],[Oficina]],[8]Ponderación!$A:$H,8,FALSE)</f>
        <v>44817</v>
      </c>
      <c r="AT159" s="30">
        <f>IFERROR(VLOOKUP(Tabla14[[#This Row],[Llave]],'[6]RV plan de ventas'!$A:$F,6,FALSE),0)</f>
        <v>0</v>
      </c>
      <c r="AU159" s="83">
        <f>IFERROR(VLOOKUP(Tabla14[[#This Row],[Llave]],[9]DELAY!$H:$X,17,FALSE),0)</f>
        <v>4.7710151999999999</v>
      </c>
      <c r="AV15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4.7710151999999999</v>
      </c>
      <c r="AW159" s="5">
        <f>Tabla14[[#This Row],[Pecio plan]]*Tabla14[[#This Row],[Plan Ajustado]]</f>
        <v>2385.5075999999999</v>
      </c>
      <c r="AX159" s="30">
        <f>IFERROR(VLOOKUP(Tabla14[[#This Row],[Llave]],'[13]Ultimos precios facturados'!$A:$G,7,FALSE),0)</f>
        <v>4.5102402320556001</v>
      </c>
      <c r="AY15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5.7818420866142702E-2</v>
      </c>
      <c r="AZ159" s="30">
        <f>IFERROR(VLOOKUP(Tabla14[[#This Row],[Llave]],Hoja2!B:K,10,FALSE),0)</f>
        <v>4.7351428000000002</v>
      </c>
      <c r="BA15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4.7710151999999999</v>
      </c>
      <c r="BB159" s="30">
        <v>0</v>
      </c>
      <c r="BC159" s="30">
        <f>IF(Tabla14[[#This Row],[Market]]=0,Tabla14[[#This Row],[Precio Final]],Tabla14[[#This Row],[Market]])</f>
        <v>4.7710151999999999</v>
      </c>
      <c r="BD159" s="82"/>
      <c r="BE159" s="82" t="str">
        <f>IF(AND(Tabla14[[#This Row],[Atraso a facturar]]&gt;0,Tabla14[[#This Row],[En puerto a facturar]]&gt;0,Tabla14[[#This Row],[Precio Atraso]]=0),"Revisar","OK")</f>
        <v>OK</v>
      </c>
      <c r="BF159" s="82" t="str">
        <f>IF(AND(Tabla14[[#This Row],[Venta del mes]]&gt;0,Tabla14[[#This Row],[Precio venta nueva]]=0),"Revisar","OK")</f>
        <v>OK</v>
      </c>
      <c r="BG159" s="20">
        <f>IFERROR(VLOOKUP(Tabla14[[#This Row],[Llave]],'[5]Consolidación planes'!$A:$M,9,FALSE),0)</f>
        <v>0</v>
      </c>
      <c r="BH159" s="20">
        <f>IFERROR(VLOOKUP(Tabla14[[#This Row],[Llave]],'[5]Consolidación planes'!$A:$M,10,FALSE),0)</f>
        <v>500</v>
      </c>
      <c r="BI159" s="20">
        <f>IFERROR(VLOOKUP(Tabla14[[#This Row],[Llave]],'[5]Consolidación planes'!$A:$M,11,FALSE),0)</f>
        <v>0</v>
      </c>
      <c r="BJ159" s="20">
        <f>IFERROR(VLOOKUP(Tabla14[[#This Row],[Llave]],'[5]Consolidación planes'!$A:$M,12,FALSE),0)</f>
        <v>500</v>
      </c>
      <c r="BK159" s="20">
        <f>IFERROR(VLOOKUP(Tabla14[[#This Row],[Llave]],'[5]Consolidación planes'!$A:$M,13,FALSE),0)</f>
        <v>500</v>
      </c>
      <c r="BL159" s="20">
        <f>IFERROR(VLOOKUP(Tabla14[[#This Row],[Llave]],'[13]Base ultimos planes'!$A:$M,13,FALSE),0)</f>
        <v>0</v>
      </c>
      <c r="BM159" s="20">
        <f>IFERROR(VLOOKUP(Tabla14[[#This Row],[Llave]],'[13]Cruce plan irrestricto'!$C:$M,10,FALSE),0)</f>
        <v>500</v>
      </c>
      <c r="BN159" s="20">
        <f>IFERROR(VLOOKUP(Tabla14[[#This Row],[Llave]],'[13]Cruce plan irrestricto'!$C:$M,11,FALSE),0)</f>
        <v>1000</v>
      </c>
      <c r="BO159" s="80">
        <f>IFERROR(VLOOKUP(Tabla14[[#This Row],[Llave]],'[13]Base ultimos planes'!$O:$AA,8,FALSE),0)</f>
        <v>0</v>
      </c>
      <c r="BP159" s="20">
        <f>IFERROR(VLOOKUP(Tabla14[[#This Row],[Llave]],'[13]Base ultimos planes'!$O:$AA,9,FALSE),0)</f>
        <v>2794</v>
      </c>
      <c r="BQ159" s="20">
        <f>IFERROR(VLOOKUP(Tabla14[[#This Row],[Llave]],'[13]Base ultimos planes'!$O:$AA,10,FALSE),0)</f>
        <v>0</v>
      </c>
      <c r="BR159" s="20">
        <f>IFERROR(VLOOKUP(Tabla14[[#This Row],[Llave]],'[13]Base ultimos planes'!$O:$AA,11,FALSE),0)</f>
        <v>1255</v>
      </c>
      <c r="BS159" s="20">
        <f>IFERROR(VLOOKUP(Tabla14[[#This Row],[Llave]],'[13]Base ultimos planes'!$O:$AA,12,FALSE),0)</f>
        <v>2382</v>
      </c>
      <c r="BT159" s="20">
        <f>IFERROR(VLOOKUP(Tabla14[[#This Row],[Llave]],'[13]Base ultimos planes'!$O:$AA,13,FALSE),0)</f>
        <v>0</v>
      </c>
      <c r="BU159" s="20"/>
      <c r="BV159" s="20">
        <f>Tabla14[[#This Row],[ RV Producción mes n+1]]-Tabla14[[#This Row],[Producción disponible]]+Tabla14[[#This Row],[Saldo Volumen disponible]]</f>
        <v>768.15599999999995</v>
      </c>
      <c r="BW159" s="20">
        <f>IFERROR(VLOOKUP(Tabla14[[#This Row],[Llave]],[14]Hoja2!$J:$N,4,FALSE),0)</f>
        <v>900</v>
      </c>
      <c r="BX159" s="20">
        <f>+Tabla14[[#This Row],[Asignación mes n+1]]*Tabla14[[#This Row],[% Uti. producción]]</f>
        <v>696.04995398401297</v>
      </c>
      <c r="BY159" s="20">
        <f>+Tabla14[[#This Row],[Ponderación mes n+1]]+Tabla14[[#This Row],[Saldo mes n-1]]</f>
        <v>1464.2059539840129</v>
      </c>
      <c r="BZ159" s="20">
        <f>+Tabla14[[#This Row],[Asignación mes n+1]]-Tabla14[[#This Row],[Ponderación mes n+1]]</f>
        <v>203.95004601598703</v>
      </c>
      <c r="CA159" s="20">
        <f>IFERROR(VLOOKUP(Tabla14[[#This Row],[Llave]],[14]Hoja2!$J:$N,5,FALSE),0)</f>
        <v>900</v>
      </c>
      <c r="CB159" s="20">
        <f>+Tabla14[[#This Row],[Asignación mes n+2]]*Tabla14[[#This Row],[% Uti. producción]]</f>
        <v>696.04995398401297</v>
      </c>
      <c r="CC159" s="20">
        <f>+Tabla14[[#This Row],[Saldo mes n+2]]+Tabla14[[#This Row],[Ponderación mes n+2]]</f>
        <v>900</v>
      </c>
      <c r="CD159" s="20">
        <f>+Tabla14[[#This Row],[Asignación mes n+2]]-Tabla14[[#This Row],[Ponderación mes n+2]]</f>
        <v>203.95004601598703</v>
      </c>
    </row>
    <row r="160" spans="1:82" ht="16" x14ac:dyDescent="0.2">
      <c r="A160">
        <v>1</v>
      </c>
      <c r="B160" t="str">
        <f>Tabla14[[#This Row],[Oficina]]&amp;Tabla14[[#This Row],[Material]]</f>
        <v>Exportacion Directa1020681</v>
      </c>
      <c r="C160" t="s">
        <v>6</v>
      </c>
      <c r="D160" t="s">
        <v>88</v>
      </c>
      <c r="E160">
        <v>1020681</v>
      </c>
      <c r="F160" t="s">
        <v>106</v>
      </c>
      <c r="G160" t="s">
        <v>50</v>
      </c>
      <c r="H160" t="s">
        <v>103</v>
      </c>
      <c r="I160" s="7">
        <f>IFERROR(IF(Tabla14[[#This Row],[Oficina]]=$I$7,VLOOKUP(Tabla14[[#This Row],[Material]],'[6]RV Producción'!$Y:$AA,3,FALSE),VLOOKUP(Tabla14[[#This Row],[Llave]],'[6]RV Producción'!$C:$G,5,FALSE)),0)</f>
        <v>3391</v>
      </c>
      <c r="J160" s="7">
        <f>IFERROR(IF(Tabla14[[#This Row],[Oficina]]=$I$7,VLOOKUP(Tabla14[[#This Row],[Llave]],'[7]Shangai (Tomas)'!$A:$F,6,FALSE),VLOOKUP(Tabla14[[#This Row],[Llave]],'[6]RV plan de ventas'!$A:$E,5,FALSE)),0)</f>
        <v>10000</v>
      </c>
      <c r="K160" s="8">
        <f>IFERROR(VLOOKUP(Tabla14[[#This Row],[Sector]]&amp;Tabla14[[#This Row],[Oficina]],[8]Ponderación!$A$3:$G$22,7,FALSE),0)</f>
        <v>0.77338883776001444</v>
      </c>
      <c r="L160" s="7">
        <f>+Tabla14[[#This Row],[ RV Producción mes n+1]]*Tabla14[[#This Row],[% Uti. producción]]</f>
        <v>2622.561548844209</v>
      </c>
      <c r="M160" s="7">
        <f>IFERROR(VLOOKUP(Tabla14[[#This Row],[Material]],'[9]TD Stock'!$B:$C,2,FALSE),0)</f>
        <v>16059.090000000007</v>
      </c>
      <c r="N160" s="7">
        <f>IFERROR(VLOOKUP(Tabla14[[#This Row],[Material]],'[10]Consolidado planificación'!$B:$C,2,FALSE),0)</f>
        <v>1110.4839028818496</v>
      </c>
      <c r="O160" s="7">
        <f>IFERROR(VLOOKUP(Tabla14[[#This Row],[Llave]],[11]Hoja2!$D:$G,4,FALSE),0)</f>
        <v>0</v>
      </c>
      <c r="P160" s="14">
        <f>SUM(Tabla14[[#This Row],[Producción disponible]],Tabla14[[#This Row],[Stock al día]],(Tabla14[[#This Row],[Por producir mes N]]*0.9))-Tabla14[[#This Row],[Producción por despachar mes N]]</f>
        <v>19681.08706143788</v>
      </c>
      <c r="Q160" s="7">
        <f>IFERROR(VLOOKUP(Tabla14[[#This Row],[Llave]],[9]DELAY!$A:$D,4,FALSE),0)</f>
        <v>19500</v>
      </c>
      <c r="R160" s="9">
        <v>6666.666666666667</v>
      </c>
      <c r="S160" s="5">
        <f t="shared" si="7"/>
        <v>19500</v>
      </c>
      <c r="T160" s="76">
        <v>-10000</v>
      </c>
      <c r="U160" s="5">
        <f>+Tabla14[[#This Row],[Atraso a facturar]]+Tabla14[[#This Row],[Ajuste atraso]]</f>
        <v>9500</v>
      </c>
      <c r="V160" s="3">
        <f>+Tabla14[[#This Row],[Total disponible]]-Tabla14[[#This Row],[Facturación atraso]]</f>
        <v>10181.08706143788</v>
      </c>
      <c r="W160" s="6">
        <f>IFERROR(IF(AND(V160&gt;R160,J160&gt;=R160),ROUNDDOWN((Tabla14[[#This Row],[Producción para venta nueva]])/R160,0)*R160,0),0)</f>
        <v>6666.666666666667</v>
      </c>
      <c r="X160" s="76">
        <v>-4667</v>
      </c>
      <c r="Y160" s="6">
        <f>IF(Tabla14[[#This Row],[Venta del mes]]&gt;0,Tabla14[[#This Row],[Venta del mes]]+Tabla14[[#This Row],[Ajuste venta nueva]],0)</f>
        <v>1999.666666666667</v>
      </c>
      <c r="Z160" s="6">
        <f>+Tabla14[[#This Row],[Producción para venta nueva]]-Tabla14[[#This Row],[Facturación Venta nueva]]</f>
        <v>8181.4203947712131</v>
      </c>
      <c r="AA160" s="6">
        <f>IF(AND(A160=1,Tabla14[[#This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0" s="6">
        <v>0</v>
      </c>
      <c r="AC160" s="6">
        <f>IF(Tabla14[[#This Row],[Disponible stock sin venta]]&gt;0,Tabla14[[#This Row],[Disponible stock sin venta]]+Tabla14[[#This Row],[Ajuste stock sin venta]],0)</f>
        <v>0</v>
      </c>
      <c r="AD160" s="3">
        <f>IFERROR(VLOOKUP(Tabla14[[#This Row],[Llave]],[12]Hoja1!$A:$D,4,FALSE),0)</f>
        <v>0</v>
      </c>
      <c r="AE16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26166.666666666668</v>
      </c>
      <c r="AF160" s="3">
        <v>19500</v>
      </c>
      <c r="AG160" s="3">
        <f>+Tabla14[[#This Row],[En puerto a facturar]]</f>
        <v>0</v>
      </c>
      <c r="AH160" s="3">
        <f>+Tabla14[[#This Row],[Facturación atraso]]</f>
        <v>9500</v>
      </c>
      <c r="AI160" s="3">
        <f>+Tabla14[[#This Row],[Plan Irrestricto (DATO)]]-Tabla14[[#This Row],[Puerto ]]-Tabla14[[#This Row],[Atraso]]</f>
        <v>10000</v>
      </c>
      <c r="AJ160" s="6">
        <f>IF(Tabla14[[#This Row],[Plan Irrestricto (DATO)]]&gt;0,SUM(Tabla14[[#This Row],[Facturación atraso]],Tabla14[[#This Row],[Facturación Venta nueva]],Tabla14[[#This Row],[Facturación stock]],Tabla14[[#This Row],[En puerto a facturar]]),0)</f>
        <v>11499.666666666668</v>
      </c>
      <c r="AK160" s="3">
        <f>+Tabla14[[#This Row],[Facturación atraso]]</f>
        <v>9500</v>
      </c>
      <c r="AL160" s="3">
        <f>Tabla14[[#This Row],[Plan Ajustado]]-Tabla14[[#This Row],[ Atraso ajustado]]-Tabla14[[#This Row],[En puerto a facturar]]</f>
        <v>1999.6666666666679</v>
      </c>
      <c r="AM160" s="3">
        <v>0</v>
      </c>
      <c r="AN160" s="3"/>
      <c r="AO160" s="3" t="str">
        <f>IF(Tabla14[[#This Row],[Plan Ajustado]]&gt;Tabla14[[#This Row],[En puerto a facturar]],"Si","No")</f>
        <v>Si</v>
      </c>
      <c r="AP160" s="3">
        <f>IF(AND(Tabla14[[#This Row],[Plan Ajustado]]&gt;0,Tabla14[[#This Row],[Plan Ajustado]]&gt;Tabla14[[#This Row],[En puerto a facturar]]),(Tabla14[[#This Row],[Plan Ajustado]]-Tabla14[[#This Row],[En puerto a facturar]]),0)</f>
        <v>11499.666666666668</v>
      </c>
      <c r="AQ160" s="3">
        <f>IF(Tabla14[[#This Row],[Necesidad]]&gt;=Tabla14[[#This Row],[Stock al día]],Tabla14[[#This Row],[Stock al día]],Tabla14[[#This Row],[Necesidad]])</f>
        <v>11499.666666666668</v>
      </c>
      <c r="AR160" s="3">
        <f>+Tabla14[[#This Row],[Necesidad]]-Tabla14[[#This Row],[Stock Plan]]</f>
        <v>0</v>
      </c>
      <c r="AS160" s="155">
        <f>VLOOKUP(Tabla14[[#This Row],[Sector]]&amp;Tabla14[[#This Row],[Oficina]],[8]Ponderación!$A:$H,8,FALSE)</f>
        <v>44817</v>
      </c>
      <c r="AT160" s="30">
        <f>IFERROR(VLOOKUP(Tabla14[[#This Row],[Llave]],'[6]RV plan de ventas'!$A:$F,6,FALSE),0)</f>
        <v>3.9464999999999999</v>
      </c>
      <c r="AU160" s="83">
        <f>IFERROR(VLOOKUP(Tabla14[[#This Row],[Llave]],[9]DELAY!$H:$X,17,FALSE),0)</f>
        <v>3.9219253602564121</v>
      </c>
      <c r="AV16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3.926198622200868</v>
      </c>
      <c r="AW160" s="5">
        <f>Tabla14[[#This Row],[Pecio plan]]*Tabla14[[#This Row],[Plan Ajustado]]</f>
        <v>45149.97542243592</v>
      </c>
      <c r="AX160" s="30">
        <f>IFERROR(VLOOKUP(Tabla14[[#This Row],[Llave]],'[13]Ultimos precios facturados'!$A:$G,7,FALSE),0)</f>
        <v>3.8465315744997439</v>
      </c>
      <c r="AY16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2.0711398348909976E-2</v>
      </c>
      <c r="AZ160" s="30">
        <f>IFERROR(VLOOKUP(Tabla14[[#This Row],[Llave]],Hoja2!B:K,10,FALSE),0)</f>
        <v>3.8373833166383964</v>
      </c>
      <c r="BA16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3.926198622200868</v>
      </c>
      <c r="BB160" s="30">
        <v>0</v>
      </c>
      <c r="BC160" s="30">
        <f>IF(Tabla14[[#This Row],[Market]]=0,Tabla14[[#This Row],[Precio Final]],Tabla14[[#This Row],[Market]])</f>
        <v>3.926198622200868</v>
      </c>
      <c r="BD160" s="82"/>
      <c r="BE160" s="82" t="str">
        <f>IF(AND(Tabla14[[#This Row],[Atraso a facturar]]&gt;0,Tabla14[[#This Row],[En puerto a facturar]]&gt;0,Tabla14[[#This Row],[Precio Atraso]]=0),"Revisar","OK")</f>
        <v>OK</v>
      </c>
      <c r="BF160" s="82" t="str">
        <f>IF(AND(Tabla14[[#This Row],[Venta del mes]]&gt;0,Tabla14[[#This Row],[Precio venta nueva]]=0),"Revisar","OK")</f>
        <v>OK</v>
      </c>
      <c r="BG160" s="20">
        <f>IFERROR(VLOOKUP(Tabla14[[#This Row],[Llave]],'[5]Consolidación planes'!$A:$M,9,FALSE),0)</f>
        <v>14250</v>
      </c>
      <c r="BH160" s="20">
        <f>IFERROR(VLOOKUP(Tabla14[[#This Row],[Llave]],'[5]Consolidación planes'!$A:$M,10,FALSE),0)</f>
        <v>11250</v>
      </c>
      <c r="BI160" s="20">
        <f>IFERROR(VLOOKUP(Tabla14[[#This Row],[Llave]],'[5]Consolidación planes'!$A:$M,11,FALSE),0)</f>
        <v>15000</v>
      </c>
      <c r="BJ160" s="20">
        <f>IFERROR(VLOOKUP(Tabla14[[#This Row],[Llave]],'[5]Consolidación planes'!$A:$M,12,FALSE),0)</f>
        <v>22000</v>
      </c>
      <c r="BK160" s="20">
        <f>IFERROR(VLOOKUP(Tabla14[[#This Row],[Llave]],'[5]Consolidación planes'!$A:$M,13,FALSE),0)</f>
        <v>20545</v>
      </c>
      <c r="BL160" s="20">
        <f>IFERROR(VLOOKUP(Tabla14[[#This Row],[Llave]],'[13]Base ultimos planes'!$A:$M,13,FALSE),0)</f>
        <v>15000</v>
      </c>
      <c r="BM160" s="20">
        <f>IFERROR(VLOOKUP(Tabla14[[#This Row],[Llave]],'[13]Cruce plan irrestricto'!$C:$M,10,FALSE),0)</f>
        <v>16667</v>
      </c>
      <c r="BN160" s="20">
        <f>IFERROR(VLOOKUP(Tabla14[[#This Row],[Llave]],'[13]Cruce plan irrestricto'!$C:$M,11,FALSE),0)</f>
        <v>17361.330000000002</v>
      </c>
      <c r="BO160" s="80">
        <f>IFERROR(VLOOKUP(Tabla14[[#This Row],[Llave]],'[13]Base ultimos planes'!$O:$AA,8,FALSE),0)</f>
        <v>62607.7163</v>
      </c>
      <c r="BP160" s="20">
        <f>IFERROR(VLOOKUP(Tabla14[[#This Row],[Llave]],'[13]Base ultimos planes'!$O:$AA,9,FALSE),0)</f>
        <v>48073</v>
      </c>
      <c r="BQ160" s="20">
        <f>IFERROR(VLOOKUP(Tabla14[[#This Row],[Llave]],'[13]Base ultimos planes'!$O:$AA,10,FALSE),0)</f>
        <v>63995</v>
      </c>
      <c r="BR160" s="20">
        <f>IFERROR(VLOOKUP(Tabla14[[#This Row],[Llave]],'[13]Base ultimos planes'!$O:$AA,11,FALSE),0)</f>
        <v>91022</v>
      </c>
      <c r="BS160" s="20">
        <f>IFERROR(VLOOKUP(Tabla14[[#This Row],[Llave]],'[13]Base ultimos planes'!$O:$AA,12,FALSE),0)</f>
        <v>82702</v>
      </c>
      <c r="BT160" s="20">
        <f>IFERROR(VLOOKUP(Tabla14[[#This Row],[Llave]],'[13]Base ultimos planes'!$O:$AA,13,FALSE),0)</f>
        <v>56473</v>
      </c>
      <c r="BU160" s="20"/>
      <c r="BV160" s="20">
        <f>Tabla14[[#This Row],[ RV Producción mes n+1]]-Tabla14[[#This Row],[Producción disponible]]+Tabla14[[#This Row],[Saldo Volumen disponible]]</f>
        <v>8949.8588459270031</v>
      </c>
      <c r="BW160" s="20">
        <f>IFERROR(VLOOKUP(Tabla14[[#This Row],[Llave]],[14]Hoja2!$J:$N,4,FALSE),0)</f>
        <v>9000</v>
      </c>
      <c r="BX160" s="20">
        <f>+Tabla14[[#This Row],[Asignación mes n+1]]*Tabla14[[#This Row],[% Uti. producción]]</f>
        <v>6960.4995398401297</v>
      </c>
      <c r="BY160" s="20">
        <f>+Tabla14[[#This Row],[Ponderación mes n+1]]+Tabla14[[#This Row],[Saldo mes n-1]]</f>
        <v>15910.358385767133</v>
      </c>
      <c r="BZ160" s="20">
        <f>+Tabla14[[#This Row],[Asignación mes n+1]]-Tabla14[[#This Row],[Ponderación mes n+1]]</f>
        <v>2039.5004601598703</v>
      </c>
      <c r="CA160" s="20">
        <f>IFERROR(VLOOKUP(Tabla14[[#This Row],[Llave]],[14]Hoja2!$J:$N,5,FALSE),0)</f>
        <v>9000</v>
      </c>
      <c r="CB160" s="20">
        <f>+Tabla14[[#This Row],[Asignación mes n+2]]*Tabla14[[#This Row],[% Uti. producción]]</f>
        <v>6960.4995398401297</v>
      </c>
      <c r="CC160" s="20">
        <f>+Tabla14[[#This Row],[Saldo mes n+2]]+Tabla14[[#This Row],[Ponderación mes n+2]]</f>
        <v>9000</v>
      </c>
      <c r="CD160" s="20">
        <f>+Tabla14[[#This Row],[Asignación mes n+2]]-Tabla14[[#This Row],[Ponderación mes n+2]]</f>
        <v>2039.5004601598703</v>
      </c>
    </row>
    <row r="161" spans="1:82" ht="16" x14ac:dyDescent="0.2">
      <c r="A161">
        <v>1</v>
      </c>
      <c r="B161" t="str">
        <f>Tabla14[[#This Row],[Oficina]]&amp;Tabla14[[#This Row],[Material]]</f>
        <v>Exportacion Directa1020704</v>
      </c>
      <c r="C161" t="s">
        <v>6</v>
      </c>
      <c r="D161" t="s">
        <v>88</v>
      </c>
      <c r="E161">
        <v>1020704</v>
      </c>
      <c r="F161" t="s">
        <v>290</v>
      </c>
      <c r="G161" t="s">
        <v>37</v>
      </c>
      <c r="H161" t="s">
        <v>38</v>
      </c>
      <c r="I161" s="7">
        <f>IFERROR(IF(Tabla14[[#This Row],[Oficina]]=$I$7,VLOOKUP(Tabla14[[#This Row],[Material]],'[6]RV Producción'!$Y:$AA,3,FALSE),VLOOKUP(Tabla14[[#This Row],[Llave]],'[6]RV Producción'!$C:$G,5,FALSE)),0)</f>
        <v>1004</v>
      </c>
      <c r="J161" s="7">
        <f>IFERROR(IF(Tabla14[[#This Row],[Oficina]]=$I$7,VLOOKUP(Tabla14[[#This Row],[Llave]],'[7]Shangai (Tomas)'!$A:$F,6,FALSE),VLOOKUP(Tabla14[[#This Row],[Llave]],'[6]RV plan de ventas'!$A:$E,5,FALSE)),0)</f>
        <v>1000</v>
      </c>
      <c r="K161" s="8">
        <f>IFERROR(VLOOKUP(Tabla14[[#This Row],[Sector]]&amp;Tabla14[[#This Row],[Oficina]],[8]Ponderación!$A$3:$G$22,7,FALSE),0)</f>
        <v>0.77338883776001444</v>
      </c>
      <c r="L161" s="7">
        <f>+Tabla14[[#This Row],[ RV Producción mes n+1]]*Tabla14[[#This Row],[% Uti. producción]]</f>
        <v>776.48239311105453</v>
      </c>
      <c r="M161" s="7">
        <f>IFERROR(VLOOKUP(Tabla14[[#This Row],[Material]],'[9]TD Stock'!$B:$C,2,FALSE),0)</f>
        <v>825</v>
      </c>
      <c r="N161" s="7">
        <f>IFERROR(VLOOKUP(Tabla14[[#This Row],[Material]],'[10]Consolidado planificación'!$B:$C,2,FALSE),0)</f>
        <v>156.44580937304605</v>
      </c>
      <c r="O161" s="7">
        <f>IFERROR(VLOOKUP(Tabla14[[#This Row],[Llave]],[11]Hoja2!$D:$G,4,FALSE),0)</f>
        <v>0</v>
      </c>
      <c r="P161" s="14">
        <f>SUM(Tabla14[[#This Row],[Producción disponible]],Tabla14[[#This Row],[Stock al día]],(Tabla14[[#This Row],[Por producir mes N]]*0.9))-Tabla14[[#This Row],[Producción por despachar mes N]]</f>
        <v>1742.283621546796</v>
      </c>
      <c r="Q161" s="7">
        <f>IFERROR(VLOOKUP(Tabla14[[#This Row],[Llave]],[9]DELAY!$A:$D,4,FALSE),0)</f>
        <v>1000</v>
      </c>
      <c r="R161" s="9">
        <v>500</v>
      </c>
      <c r="S161" s="5">
        <f t="shared" si="7"/>
        <v>1000</v>
      </c>
      <c r="T161" s="76">
        <v>0</v>
      </c>
      <c r="U161" s="5">
        <f>+Tabla14[[#This Row],[Atraso a facturar]]+Tabla14[[#This Row],[Ajuste atraso]]</f>
        <v>1000</v>
      </c>
      <c r="V161" s="3">
        <f>+Tabla14[[#This Row],[Total disponible]]-Tabla14[[#This Row],[Facturación atraso]]</f>
        <v>742.28362154679598</v>
      </c>
      <c r="W161" s="6">
        <f>IFERROR(IF(AND(V161&gt;R161,J161&gt;=R161),ROUNDDOWN((Tabla14[[#This Row],[Producción para venta nueva]])/R161,0)*R161,0),0)</f>
        <v>500</v>
      </c>
      <c r="X161" s="76">
        <v>-500</v>
      </c>
      <c r="Y161" s="6">
        <f>IF(Tabla14[[#This Row],[Venta del mes]]&gt;0,Tabla14[[#This Row],[Venta del mes]]+Tabla14[[#This Row],[Ajuste venta nueva]],0)</f>
        <v>0</v>
      </c>
      <c r="Z161" s="6">
        <f>+Tabla14[[#This Row],[Producción para venta nueva]]-Tabla14[[#This Row],[Facturación Venta nueva]]</f>
        <v>742.28362154679598</v>
      </c>
      <c r="AA161" s="6">
        <f>IF(AND(A161=1,Tabla14[[#This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1" s="6">
        <v>0</v>
      </c>
      <c r="AC161" s="6">
        <f>IF(Tabla14[[#This Row],[Disponible stock sin venta]]&gt;0,Tabla14[[#This Row],[Disponible stock sin venta]]+Tabla14[[#This Row],[Ajuste stock sin venta]],0)</f>
        <v>0</v>
      </c>
      <c r="AD161" s="3">
        <f>IFERROR(VLOOKUP(Tabla14[[#This Row],[Llave]],[12]Hoja1!$A:$D,4,FALSE),0)</f>
        <v>0</v>
      </c>
      <c r="AE16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1500</v>
      </c>
      <c r="AF161" s="3">
        <v>1500</v>
      </c>
      <c r="AG161" s="3">
        <f>+Tabla14[[#This Row],[En puerto a facturar]]</f>
        <v>0</v>
      </c>
      <c r="AH161" s="3">
        <f>+Tabla14[[#This Row],[Facturación atraso]]</f>
        <v>1000</v>
      </c>
      <c r="AI161" s="3">
        <f>+Tabla14[[#This Row],[Plan Irrestricto (DATO)]]-Tabla14[[#This Row],[Puerto ]]-Tabla14[[#This Row],[Atraso]]</f>
        <v>500</v>
      </c>
      <c r="AJ161" s="6">
        <f>IF(Tabla14[[#This Row],[Plan Irrestricto (DATO)]]&gt;0,SUM(Tabla14[[#This Row],[Facturación atraso]],Tabla14[[#This Row],[Facturación Venta nueva]],Tabla14[[#This Row],[Facturación stock]],Tabla14[[#This Row],[En puerto a facturar]]),0)</f>
        <v>1000</v>
      </c>
      <c r="AK161" s="3">
        <f>+Tabla14[[#This Row],[Facturación atraso]]</f>
        <v>1000</v>
      </c>
      <c r="AL161" s="3">
        <f>Tabla14[[#This Row],[Plan Ajustado]]-Tabla14[[#This Row],[ Atraso ajustado]]-Tabla14[[#This Row],[En puerto a facturar]]</f>
        <v>0</v>
      </c>
      <c r="AM161" s="3">
        <v>0</v>
      </c>
      <c r="AN161" s="3"/>
      <c r="AO161" s="3" t="str">
        <f>IF(Tabla14[[#This Row],[Plan Ajustado]]&gt;Tabla14[[#This Row],[En puerto a facturar]],"Si","No")</f>
        <v>Si</v>
      </c>
      <c r="AP161" s="3">
        <f>IF(AND(Tabla14[[#This Row],[Plan Ajustado]]&gt;0,Tabla14[[#This Row],[Plan Ajustado]]&gt;Tabla14[[#This Row],[En puerto a facturar]]),(Tabla14[[#This Row],[Plan Ajustado]]-Tabla14[[#This Row],[En puerto a facturar]]),0)</f>
        <v>1000</v>
      </c>
      <c r="AQ161" s="3">
        <f>IF(Tabla14[[#This Row],[Necesidad]]&gt;=Tabla14[[#This Row],[Stock al día]],Tabla14[[#This Row],[Stock al día]],Tabla14[[#This Row],[Necesidad]])</f>
        <v>825</v>
      </c>
      <c r="AR161" s="3">
        <f>+Tabla14[[#This Row],[Necesidad]]-Tabla14[[#This Row],[Stock Plan]]</f>
        <v>175</v>
      </c>
      <c r="AS161" s="155">
        <f>VLOOKUP(Tabla14[[#This Row],[Sector]]&amp;Tabla14[[#This Row],[Oficina]],[8]Ponderación!$A:$H,8,FALSE)</f>
        <v>44817</v>
      </c>
      <c r="AT161" s="30">
        <f>IFERROR(VLOOKUP(Tabla14[[#This Row],[Llave]],'[6]RV plan de ventas'!$A:$F,6,FALSE),0)</f>
        <v>4.4329999999999998</v>
      </c>
      <c r="AU161" s="83">
        <f>IFERROR(VLOOKUP(Tabla14[[#This Row],[Llave]],[9]DELAY!$H:$X,17,FALSE),0)</f>
        <v>4.3995506000000004</v>
      </c>
      <c r="AV16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4.3995506000000004</v>
      </c>
      <c r="AW161" s="5">
        <f>Tabla14[[#This Row],[Pecio plan]]*Tabla14[[#This Row],[Plan Ajustado]]</f>
        <v>4399.5506000000005</v>
      </c>
      <c r="AX161" s="30">
        <f>IFERROR(VLOOKUP(Tabla14[[#This Row],[Llave]],'[13]Ultimos precios facturados'!$A:$G,7,FALSE),0)</f>
        <v>4.3982075249500996</v>
      </c>
      <c r="AY16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3.0536873084815856E-4</v>
      </c>
      <c r="AZ161" s="30">
        <f>IFERROR(VLOOKUP(Tabla14[[#This Row],[Llave]],Hoja2!B:K,10,FALSE),0)</f>
        <v>4.4771024666666666</v>
      </c>
      <c r="BA16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4.3995506000000004</v>
      </c>
      <c r="BB161" s="30">
        <v>0</v>
      </c>
      <c r="BC161" s="30">
        <f>IF(Tabla14[[#This Row],[Market]]=0,Tabla14[[#This Row],[Precio Final]],Tabla14[[#This Row],[Market]])</f>
        <v>4.3995506000000004</v>
      </c>
      <c r="BD161" s="82"/>
      <c r="BE161" s="82" t="str">
        <f>IF(AND(Tabla14[[#This Row],[Atraso a facturar]]&gt;0,Tabla14[[#This Row],[En puerto a facturar]]&gt;0,Tabla14[[#This Row],[Precio Atraso]]=0),"Revisar","OK")</f>
        <v>OK</v>
      </c>
      <c r="BF161" s="82" t="str">
        <f>IF(AND(Tabla14[[#This Row],[Venta del mes]]&gt;0,Tabla14[[#This Row],[Precio venta nueva]]=0),"Revisar","OK")</f>
        <v>OK</v>
      </c>
      <c r="BG161" s="20">
        <f>IFERROR(VLOOKUP(Tabla14[[#This Row],[Llave]],'[5]Consolidación planes'!$A:$M,9,FALSE),0)</f>
        <v>0</v>
      </c>
      <c r="BH161" s="20">
        <f>IFERROR(VLOOKUP(Tabla14[[#This Row],[Llave]],'[5]Consolidación planes'!$A:$M,10,FALSE),0)</f>
        <v>500</v>
      </c>
      <c r="BI161" s="20">
        <f>IFERROR(VLOOKUP(Tabla14[[#This Row],[Llave]],'[5]Consolidación planes'!$A:$M,11,FALSE),0)</f>
        <v>500</v>
      </c>
      <c r="BJ161" s="20">
        <f>IFERROR(VLOOKUP(Tabla14[[#This Row],[Llave]],'[5]Consolidación planes'!$A:$M,12,FALSE),0)</f>
        <v>1500</v>
      </c>
      <c r="BK161" s="20">
        <f>IFERROR(VLOOKUP(Tabla14[[#This Row],[Llave]],'[5]Consolidación planes'!$A:$M,13,FALSE),0)</f>
        <v>1500</v>
      </c>
      <c r="BL161" s="20">
        <f>IFERROR(VLOOKUP(Tabla14[[#This Row],[Llave]],'[13]Base ultimos planes'!$A:$M,13,FALSE),0)</f>
        <v>2000</v>
      </c>
      <c r="BM161" s="20">
        <f>IFERROR(VLOOKUP(Tabla14[[#This Row],[Llave]],'[13]Cruce plan irrestricto'!$C:$M,10,FALSE),0)</f>
        <v>2000</v>
      </c>
      <c r="BN161" s="20">
        <f>IFERROR(VLOOKUP(Tabla14[[#This Row],[Llave]],'[13]Cruce plan irrestricto'!$C:$M,11,FALSE),0)</f>
        <v>1500</v>
      </c>
      <c r="BO161" s="80">
        <f>IFERROR(VLOOKUP(Tabla14[[#This Row],[Llave]],'[13]Base ultimos planes'!$O:$AA,8,FALSE),0)</f>
        <v>0</v>
      </c>
      <c r="BP161" s="20">
        <f>IFERROR(VLOOKUP(Tabla14[[#This Row],[Llave]],'[13]Base ultimos planes'!$O:$AA,9,FALSE),0)</f>
        <v>2544</v>
      </c>
      <c r="BQ161" s="20">
        <f>IFERROR(VLOOKUP(Tabla14[[#This Row],[Llave]],'[13]Base ultimos planes'!$O:$AA,10,FALSE),0)</f>
        <v>2594</v>
      </c>
      <c r="BR161" s="20">
        <f>IFERROR(VLOOKUP(Tabla14[[#This Row],[Llave]],'[13]Base ultimos planes'!$O:$AA,11,FALSE),0)</f>
        <v>7446</v>
      </c>
      <c r="BS161" s="20">
        <f>IFERROR(VLOOKUP(Tabla14[[#This Row],[Llave]],'[13]Base ultimos planes'!$O:$AA,12,FALSE),0)</f>
        <v>7399</v>
      </c>
      <c r="BT161" s="20">
        <f>IFERROR(VLOOKUP(Tabla14[[#This Row],[Llave]],'[13]Base ultimos planes'!$O:$AA,13,FALSE),0)</f>
        <v>8913</v>
      </c>
      <c r="BU161" s="20"/>
      <c r="BV161" s="20">
        <f>Tabla14[[#This Row],[ RV Producción mes n+1]]-Tabla14[[#This Row],[Producción disponible]]+Tabla14[[#This Row],[Saldo Volumen disponible]]</f>
        <v>969.80122843574145</v>
      </c>
      <c r="BW161" s="20">
        <f>IFERROR(VLOOKUP(Tabla14[[#This Row],[Llave]],[14]Hoja2!$J:$N,4,FALSE),0)</f>
        <v>900</v>
      </c>
      <c r="BX161" s="20">
        <f>+Tabla14[[#This Row],[Asignación mes n+1]]*Tabla14[[#This Row],[% Uti. producción]]</f>
        <v>696.04995398401297</v>
      </c>
      <c r="BY161" s="20">
        <f>+Tabla14[[#This Row],[Ponderación mes n+1]]+Tabla14[[#This Row],[Saldo mes n-1]]</f>
        <v>1665.8511824197544</v>
      </c>
      <c r="BZ161" s="20">
        <f>+Tabla14[[#This Row],[Asignación mes n+1]]-Tabla14[[#This Row],[Ponderación mes n+1]]</f>
        <v>203.95004601598703</v>
      </c>
      <c r="CA161" s="20">
        <f>IFERROR(VLOOKUP(Tabla14[[#This Row],[Llave]],[14]Hoja2!$J:$N,5,FALSE),0)</f>
        <v>900</v>
      </c>
      <c r="CB161" s="20">
        <f>+Tabla14[[#This Row],[Asignación mes n+2]]*Tabla14[[#This Row],[% Uti. producción]]</f>
        <v>696.04995398401297</v>
      </c>
      <c r="CC161" s="20">
        <f>+Tabla14[[#This Row],[Saldo mes n+2]]+Tabla14[[#This Row],[Ponderación mes n+2]]</f>
        <v>900</v>
      </c>
      <c r="CD161" s="20">
        <f>+Tabla14[[#This Row],[Asignación mes n+2]]-Tabla14[[#This Row],[Ponderación mes n+2]]</f>
        <v>203.95004601598703</v>
      </c>
    </row>
    <row r="162" spans="1:82" ht="16" x14ac:dyDescent="0.2">
      <c r="A162">
        <v>1</v>
      </c>
      <c r="B162" t="str">
        <f>Tabla14[[#This Row],[Oficina]]&amp;Tabla14[[#This Row],[Material]]</f>
        <v>Exportacion Directa1020715</v>
      </c>
      <c r="C162" t="s">
        <v>6</v>
      </c>
      <c r="D162" t="s">
        <v>88</v>
      </c>
      <c r="E162">
        <v>1020715</v>
      </c>
      <c r="F162" t="s">
        <v>119</v>
      </c>
      <c r="G162" t="s">
        <v>56</v>
      </c>
      <c r="H162" t="s">
        <v>118</v>
      </c>
      <c r="I162" s="7">
        <f>IFERROR(IF(Tabla14[[#This Row],[Oficina]]=$I$7,VLOOKUP(Tabla14[[#This Row],[Material]],'[6]RV Producción'!$Y:$AA,3,FALSE),VLOOKUP(Tabla14[[#This Row],[Llave]],'[6]RV Producción'!$C:$G,5,FALSE)),0)</f>
        <v>1628</v>
      </c>
      <c r="J162" s="7">
        <f>IFERROR(IF(Tabla14[[#This Row],[Oficina]]=$I$7,VLOOKUP(Tabla14[[#This Row],[Llave]],'[7]Shangai (Tomas)'!$A:$F,6,FALSE),VLOOKUP(Tabla14[[#This Row],[Llave]],'[6]RV plan de ventas'!$A:$E,5,FALSE)),0)</f>
        <v>2000</v>
      </c>
      <c r="K162" s="8">
        <f>IFERROR(VLOOKUP(Tabla14[[#This Row],[Sector]]&amp;Tabla14[[#This Row],[Oficina]],[8]Ponderación!$A$3:$G$22,7,FALSE),0)</f>
        <v>0.77338883776001444</v>
      </c>
      <c r="L162" s="7">
        <f>+Tabla14[[#This Row],[ RV Producción mes n+1]]*Tabla14[[#This Row],[% Uti. producción]]</f>
        <v>1259.0770278733035</v>
      </c>
      <c r="M162" s="7">
        <f>IFERROR(VLOOKUP(Tabla14[[#This Row],[Material]],'[9]TD Stock'!$B:$C,2,FALSE),0)</f>
        <v>1866.3159999999998</v>
      </c>
      <c r="N162" s="7">
        <f>IFERROR(VLOOKUP(Tabla14[[#This Row],[Material]],'[10]Consolidado planificación'!$B:$C,2,FALSE),0)</f>
        <v>1184.8943927191649</v>
      </c>
      <c r="O162" s="7">
        <f>IFERROR(VLOOKUP(Tabla14[[#This Row],[Llave]],[11]Hoja2!$D:$G,4,FALSE),0)</f>
        <v>0</v>
      </c>
      <c r="P162" s="14">
        <f>SUM(Tabla14[[#This Row],[Producción disponible]],Tabla14[[#This Row],[Stock al día]],(Tabla14[[#This Row],[Por producir mes N]]*0.9))-Tabla14[[#This Row],[Producción por despachar mes N]]</f>
        <v>4191.797981320552</v>
      </c>
      <c r="Q162" s="7">
        <f>IFERROR(VLOOKUP(Tabla14[[#This Row],[Llave]],[9]DELAY!$A:$D,4,FALSE),0)</f>
        <v>2000</v>
      </c>
      <c r="R162" s="9">
        <v>2000</v>
      </c>
      <c r="S162" s="5">
        <f t="shared" si="7"/>
        <v>2000</v>
      </c>
      <c r="T162" s="76">
        <v>0</v>
      </c>
      <c r="U162" s="5">
        <f>+Tabla14[[#This Row],[Atraso a facturar]]+Tabla14[[#This Row],[Ajuste atraso]]</f>
        <v>2000</v>
      </c>
      <c r="V162" s="3">
        <f>+Tabla14[[#This Row],[Total disponible]]-Tabla14[[#This Row],[Facturación atraso]]</f>
        <v>2191.797981320552</v>
      </c>
      <c r="W162" s="6">
        <f>IFERROR(IF(AND(V162&gt;R162,J162&gt;=R162),ROUNDDOWN((Tabla14[[#This Row],[Producción para venta nueva]])/R162,0)*R162,0),0)</f>
        <v>2000</v>
      </c>
      <c r="X162" s="76">
        <v>-2000</v>
      </c>
      <c r="Y162" s="6">
        <f>IF(Tabla14[[#This Row],[Venta del mes]]&gt;0,Tabla14[[#This Row],[Venta del mes]]+Tabla14[[#This Row],[Ajuste venta nueva]],0)</f>
        <v>0</v>
      </c>
      <c r="Z162" s="6">
        <f>+Tabla14[[#This Row],[Producción para venta nueva]]-Tabla14[[#This Row],[Facturación Venta nueva]]</f>
        <v>2191.797981320552</v>
      </c>
      <c r="AA162" s="6">
        <f>IF(AND(A162=1,Tabla14[[#This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2" s="6">
        <v>0</v>
      </c>
      <c r="AC162" s="6">
        <f>IF(Tabla14[[#This Row],[Disponible stock sin venta]]&gt;0,Tabla14[[#This Row],[Disponible stock sin venta]]+Tabla14[[#This Row],[Ajuste stock sin venta]],0)</f>
        <v>0</v>
      </c>
      <c r="AD162" s="3">
        <f>IFERROR(VLOOKUP(Tabla14[[#This Row],[Llave]],[12]Hoja1!$A:$D,4,FALSE),0)</f>
        <v>0</v>
      </c>
      <c r="AE16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4000</v>
      </c>
      <c r="AF162" s="3">
        <v>4000</v>
      </c>
      <c r="AG162" s="3">
        <f>+Tabla14[[#This Row],[En puerto a facturar]]</f>
        <v>0</v>
      </c>
      <c r="AH162" s="3">
        <f>+Tabla14[[#This Row],[Facturación atraso]]</f>
        <v>2000</v>
      </c>
      <c r="AI162" s="3">
        <f>+Tabla14[[#This Row],[Plan Irrestricto (DATO)]]-Tabla14[[#This Row],[Puerto ]]-Tabla14[[#This Row],[Atraso]]</f>
        <v>2000</v>
      </c>
      <c r="AJ162" s="6">
        <f>IF(Tabla14[[#This Row],[Plan Irrestricto (DATO)]]&gt;0,SUM(Tabla14[[#This Row],[Facturación atraso]],Tabla14[[#This Row],[Facturación Venta nueva]],Tabla14[[#This Row],[Facturación stock]],Tabla14[[#This Row],[En puerto a facturar]]),0)</f>
        <v>2000</v>
      </c>
      <c r="AK162" s="3">
        <f>+Tabla14[[#This Row],[Facturación atraso]]</f>
        <v>2000</v>
      </c>
      <c r="AL162" s="3">
        <f>Tabla14[[#This Row],[Plan Ajustado]]-Tabla14[[#This Row],[ Atraso ajustado]]-Tabla14[[#This Row],[En puerto a facturar]]</f>
        <v>0</v>
      </c>
      <c r="AM162" s="3">
        <v>0</v>
      </c>
      <c r="AN162" s="3"/>
      <c r="AO162" s="3" t="str">
        <f>IF(Tabla14[[#This Row],[Plan Ajustado]]&gt;Tabla14[[#This Row],[En puerto a facturar]],"Si","No")</f>
        <v>Si</v>
      </c>
      <c r="AP162" s="3">
        <f>IF(AND(Tabla14[[#This Row],[Plan Ajustado]]&gt;0,Tabla14[[#This Row],[Plan Ajustado]]&gt;Tabla14[[#This Row],[En puerto a facturar]]),(Tabla14[[#This Row],[Plan Ajustado]]-Tabla14[[#This Row],[En puerto a facturar]]),0)</f>
        <v>2000</v>
      </c>
      <c r="AQ162" s="3">
        <f>IF(Tabla14[[#This Row],[Necesidad]]&gt;=Tabla14[[#This Row],[Stock al día]],Tabla14[[#This Row],[Stock al día]],Tabla14[[#This Row],[Necesidad]])</f>
        <v>1866.3159999999998</v>
      </c>
      <c r="AR162" s="3">
        <f>+Tabla14[[#This Row],[Necesidad]]-Tabla14[[#This Row],[Stock Plan]]</f>
        <v>133.6840000000002</v>
      </c>
      <c r="AS162" s="155">
        <f>VLOOKUP(Tabla14[[#This Row],[Sector]]&amp;Tabla14[[#This Row],[Oficina]],[8]Ponderación!$A:$H,8,FALSE)</f>
        <v>44817</v>
      </c>
      <c r="AT162" s="30">
        <f>IFERROR(VLOOKUP(Tabla14[[#This Row],[Llave]],'[6]RV plan de ventas'!$A:$F,6,FALSE),0)</f>
        <v>4.8445</v>
      </c>
      <c r="AU162" s="83">
        <f>IFERROR(VLOOKUP(Tabla14[[#This Row],[Llave]],[9]DELAY!$H:$X,17,FALSE),0)</f>
        <v>4.8104249499999998</v>
      </c>
      <c r="AV16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4.8104249499999998</v>
      </c>
      <c r="AW162" s="5">
        <f>Tabla14[[#This Row],[Pecio plan]]*Tabla14[[#This Row],[Plan Ajustado]]</f>
        <v>9620.8498999999993</v>
      </c>
      <c r="AX162" s="30">
        <f>IFERROR(VLOOKUP(Tabla14[[#This Row],[Llave]],'[13]Ultimos precios facturados'!$A:$G,7,FALSE),0)</f>
        <v>4.263710328272837</v>
      </c>
      <c r="AY16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0.12822508557907319</v>
      </c>
      <c r="AZ162" s="30">
        <f>IFERROR(VLOOKUP(Tabla14[[#This Row],[Llave]],Hoja2!B:K,10,FALSE),0)</f>
        <v>4.5643845058673467</v>
      </c>
      <c r="BA16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4.8104249499999998</v>
      </c>
      <c r="BB162" s="30">
        <v>0</v>
      </c>
      <c r="BC162" s="30">
        <f>IF(Tabla14[[#This Row],[Market]]=0,Tabla14[[#This Row],[Precio Final]],Tabla14[[#This Row],[Market]])</f>
        <v>4.8104249499999998</v>
      </c>
      <c r="BD162" s="82"/>
      <c r="BE162" s="82" t="str">
        <f>IF(AND(Tabla14[[#This Row],[Atraso a facturar]]&gt;0,Tabla14[[#This Row],[En puerto a facturar]]&gt;0,Tabla14[[#This Row],[Precio Atraso]]=0),"Revisar","OK")</f>
        <v>OK</v>
      </c>
      <c r="BF162" s="82" t="str">
        <f>IF(AND(Tabla14[[#This Row],[Venta del mes]]&gt;0,Tabla14[[#This Row],[Precio venta nueva]]=0),"Revisar","OK")</f>
        <v>OK</v>
      </c>
      <c r="BG162" s="20">
        <f>IFERROR(VLOOKUP(Tabla14[[#This Row],[Llave]],'[5]Consolidación planes'!$A:$M,9,FALSE),0)</f>
        <v>3000</v>
      </c>
      <c r="BH162" s="20">
        <f>IFERROR(VLOOKUP(Tabla14[[#This Row],[Llave]],'[5]Consolidación planes'!$A:$M,10,FALSE),0)</f>
        <v>2000</v>
      </c>
      <c r="BI162" s="20">
        <f>IFERROR(VLOOKUP(Tabla14[[#This Row],[Llave]],'[5]Consolidación planes'!$A:$M,11,FALSE),0)</f>
        <v>2000</v>
      </c>
      <c r="BJ162" s="20">
        <f>IFERROR(VLOOKUP(Tabla14[[#This Row],[Llave]],'[5]Consolidación planes'!$A:$M,12,FALSE),0)</f>
        <v>4000</v>
      </c>
      <c r="BK162" s="20">
        <f>IFERROR(VLOOKUP(Tabla14[[#This Row],[Llave]],'[5]Consolidación planes'!$A:$M,13,FALSE),0)</f>
        <v>6000</v>
      </c>
      <c r="BL162" s="20">
        <f>IFERROR(VLOOKUP(Tabla14[[#This Row],[Llave]],'[13]Base ultimos planes'!$A:$M,13,FALSE),0)</f>
        <v>2000</v>
      </c>
      <c r="BM162" s="20">
        <f>IFERROR(VLOOKUP(Tabla14[[#This Row],[Llave]],'[13]Cruce plan irrestricto'!$C:$M,10,FALSE),0)</f>
        <v>2000</v>
      </c>
      <c r="BN162" s="20">
        <f>IFERROR(VLOOKUP(Tabla14[[#This Row],[Llave]],'[13]Cruce plan irrestricto'!$C:$M,11,FALSE),0)</f>
        <v>1568</v>
      </c>
      <c r="BO162" s="80">
        <f>IFERROR(VLOOKUP(Tabla14[[#This Row],[Llave]],'[13]Base ultimos planes'!$O:$AA,8,FALSE),0)</f>
        <v>14885.3922</v>
      </c>
      <c r="BP162" s="20">
        <f>IFERROR(VLOOKUP(Tabla14[[#This Row],[Llave]],'[13]Base ultimos planes'!$O:$AA,9,FALSE),0)</f>
        <v>9329</v>
      </c>
      <c r="BQ162" s="20">
        <f>IFERROR(VLOOKUP(Tabla14[[#This Row],[Llave]],'[13]Base ultimos planes'!$O:$AA,10,FALSE),0)</f>
        <v>9271</v>
      </c>
      <c r="BR162" s="20">
        <f>IFERROR(VLOOKUP(Tabla14[[#This Row],[Llave]],'[13]Base ultimos planes'!$O:$AA,11,FALSE),0)</f>
        <v>18229</v>
      </c>
      <c r="BS162" s="20">
        <f>IFERROR(VLOOKUP(Tabla14[[#This Row],[Llave]],'[13]Base ultimos planes'!$O:$AA,12,FALSE),0)</f>
        <v>26806</v>
      </c>
      <c r="BT162" s="20">
        <f>IFERROR(VLOOKUP(Tabla14[[#This Row],[Llave]],'[13]Base ultimos planes'!$O:$AA,13,FALSE),0)</f>
        <v>8421</v>
      </c>
      <c r="BU162" s="20"/>
      <c r="BV162" s="20">
        <f>Tabla14[[#This Row],[ RV Producción mes n+1]]-Tabla14[[#This Row],[Producción disponible]]+Tabla14[[#This Row],[Saldo Volumen disponible]]</f>
        <v>2560.7209534472486</v>
      </c>
      <c r="BW162" s="20">
        <f>IFERROR(VLOOKUP(Tabla14[[#This Row],[Llave]],[14]Hoja2!$J:$N,4,FALSE),0)</f>
        <v>1800.0000400000001</v>
      </c>
      <c r="BX162" s="20">
        <f>+Tabla14[[#This Row],[Asignación mes n+1]]*Tabla14[[#This Row],[% Uti. producción]]</f>
        <v>1392.0999389035796</v>
      </c>
      <c r="BY162" s="20">
        <f>+Tabla14[[#This Row],[Ponderación mes n+1]]+Tabla14[[#This Row],[Saldo mes n-1]]</f>
        <v>3952.8208923508282</v>
      </c>
      <c r="BZ162" s="20">
        <f>+Tabla14[[#This Row],[Asignación mes n+1]]-Tabla14[[#This Row],[Ponderación mes n+1]]</f>
        <v>407.90010109642049</v>
      </c>
      <c r="CA162" s="20">
        <f>IFERROR(VLOOKUP(Tabla14[[#This Row],[Llave]],[14]Hoja2!$J:$N,5,FALSE),0)</f>
        <v>1800</v>
      </c>
      <c r="CB162" s="20">
        <f>+Tabla14[[#This Row],[Asignación mes n+2]]*Tabla14[[#This Row],[% Uti. producción]]</f>
        <v>1392.0999079680259</v>
      </c>
      <c r="CC162" s="20">
        <f>+Tabla14[[#This Row],[Saldo mes n+2]]+Tabla14[[#This Row],[Ponderación mes n+2]]</f>
        <v>1800.0000090644464</v>
      </c>
      <c r="CD162" s="20">
        <f>+Tabla14[[#This Row],[Asignación mes n+2]]-Tabla14[[#This Row],[Ponderación mes n+2]]</f>
        <v>407.90009203197405</v>
      </c>
    </row>
    <row r="163" spans="1:82" ht="16" x14ac:dyDescent="0.2">
      <c r="A163">
        <v>1</v>
      </c>
      <c r="B163" t="str">
        <f>Tabla14[[#This Row],[Oficina]]&amp;Tabla14[[#This Row],[Material]]</f>
        <v>Exportacion Directa1020731</v>
      </c>
      <c r="C163" t="s">
        <v>6</v>
      </c>
      <c r="D163" t="s">
        <v>88</v>
      </c>
      <c r="E163">
        <v>1020731</v>
      </c>
      <c r="F163" t="s">
        <v>122</v>
      </c>
      <c r="G163" t="s">
        <v>56</v>
      </c>
      <c r="H163" t="s">
        <v>57</v>
      </c>
      <c r="I163" s="7">
        <f>IFERROR(IF(Tabla14[[#This Row],[Oficina]]=$I$7,VLOOKUP(Tabla14[[#This Row],[Material]],'[6]RV Producción'!$Y:$AA,3,FALSE),VLOOKUP(Tabla14[[#This Row],[Llave]],'[6]RV Producción'!$C:$G,5,FALSE)),0)</f>
        <v>44417</v>
      </c>
      <c r="J163" s="7">
        <f>IFERROR(IF(Tabla14[[#This Row],[Oficina]]=$I$7,VLOOKUP(Tabla14[[#This Row],[Llave]],'[7]Shangai (Tomas)'!$A:$F,6,FALSE),VLOOKUP(Tabla14[[#This Row],[Llave]],'[6]RV plan de ventas'!$A:$E,5,FALSE)),0)</f>
        <v>25000</v>
      </c>
      <c r="K163" s="8">
        <f>IFERROR(VLOOKUP(Tabla14[[#This Row],[Sector]]&amp;Tabla14[[#This Row],[Oficina]],[8]Ponderación!$A$3:$G$22,7,FALSE),0)</f>
        <v>0.77338883776001444</v>
      </c>
      <c r="L163" s="7">
        <f>+Tabla14[[#This Row],[ RV Producción mes n+1]]*Tabla14[[#This Row],[% Uti. producción]]</f>
        <v>34351.612006786563</v>
      </c>
      <c r="M163" s="7">
        <f>IFERROR(VLOOKUP(Tabla14[[#This Row],[Material]],'[9]TD Stock'!$B:$C,2,FALSE),0)</f>
        <v>12118.880000000005</v>
      </c>
      <c r="N163" s="7">
        <f>IFERROR(VLOOKUP(Tabla14[[#This Row],[Material]],'[10]Consolidado planificación'!$B:$C,2,FALSE),0)</f>
        <v>4030.9709659899463</v>
      </c>
      <c r="O163" s="7">
        <f>IFERROR(VLOOKUP(Tabla14[[#This Row],[Llave]],[11]Hoja2!$D:$G,4,FALSE),0)</f>
        <v>3000</v>
      </c>
      <c r="P163" s="14">
        <f>SUM(Tabla14[[#This Row],[Producción disponible]],Tabla14[[#This Row],[Stock al día]],(Tabla14[[#This Row],[Por producir mes N]]*0.9))-Tabla14[[#This Row],[Producción por despachar mes N]]</f>
        <v>47098.365876177522</v>
      </c>
      <c r="Q163" s="7">
        <f>IFERROR(VLOOKUP(Tabla14[[#This Row],[Llave]],[9]DELAY!$A:$D,4,FALSE),0)</f>
        <v>44000</v>
      </c>
      <c r="R163" s="9">
        <v>2500</v>
      </c>
      <c r="S163" s="5">
        <f t="shared" si="7"/>
        <v>44000</v>
      </c>
      <c r="T163" s="76">
        <v>-34000</v>
      </c>
      <c r="U163" s="5">
        <f>+Tabla14[[#This Row],[Atraso a facturar]]+Tabla14[[#This Row],[Ajuste atraso]]</f>
        <v>10000</v>
      </c>
      <c r="V163" s="3">
        <f>+Tabla14[[#This Row],[Total disponible]]-Tabla14[[#This Row],[Facturación atraso]]</f>
        <v>37098.365876177522</v>
      </c>
      <c r="W163" s="6">
        <f>IFERROR(IF(AND(V163&gt;R163,J163&gt;=R163),ROUNDDOWN((Tabla14[[#This Row],[Producción para venta nueva]])/R163,0)*R163,0),0)</f>
        <v>35000</v>
      </c>
      <c r="X163" s="76">
        <v>-30000</v>
      </c>
      <c r="Y163" s="6">
        <f>IF(Tabla14[[#This Row],[Venta del mes]]&gt;0,Tabla14[[#This Row],[Venta del mes]]+Tabla14[[#This Row],[Ajuste venta nueva]],0)</f>
        <v>5000</v>
      </c>
      <c r="Z163" s="6">
        <f>+Tabla14[[#This Row],[Producción para venta nueva]]-Tabla14[[#This Row],[Facturación Venta nueva]]</f>
        <v>32098.365876177522</v>
      </c>
      <c r="AA163" s="6">
        <f>IF(AND(A163=1,Tabla14[[#This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3" s="6">
        <v>0</v>
      </c>
      <c r="AC163" s="6">
        <f>IF(Tabla14[[#This Row],[Disponible stock sin venta]]&gt;0,Tabla14[[#This Row],[Disponible stock sin venta]]+Tabla14[[#This Row],[Ajuste stock sin venta]],0)</f>
        <v>0</v>
      </c>
      <c r="AD163" s="3">
        <f>IFERROR(VLOOKUP(Tabla14[[#This Row],[Llave]],[12]Hoja1!$A:$D,4,FALSE),0)</f>
        <v>0</v>
      </c>
      <c r="AE16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79000</v>
      </c>
      <c r="AF163" s="3">
        <v>46500</v>
      </c>
      <c r="AG163" s="3">
        <f>+Tabla14[[#This Row],[En puerto a facturar]]</f>
        <v>0</v>
      </c>
      <c r="AH163" s="3">
        <f>+Tabla14[[#This Row],[Facturación atraso]]</f>
        <v>10000</v>
      </c>
      <c r="AI163" s="3">
        <f>+Tabla14[[#This Row],[Plan Irrestricto (DATO)]]-Tabla14[[#This Row],[Puerto ]]-Tabla14[[#This Row],[Atraso]]</f>
        <v>36500</v>
      </c>
      <c r="AJ163" s="6">
        <f>IF(Tabla14[[#This Row],[Plan Irrestricto (DATO)]]&gt;0,SUM(Tabla14[[#This Row],[Facturación atraso]],Tabla14[[#This Row],[Facturación Venta nueva]],Tabla14[[#This Row],[Facturación stock]],Tabla14[[#This Row],[En puerto a facturar]]),0)</f>
        <v>15000</v>
      </c>
      <c r="AK163" s="3">
        <f>+Tabla14[[#This Row],[Facturación atraso]]</f>
        <v>10000</v>
      </c>
      <c r="AL163" s="3">
        <f>Tabla14[[#This Row],[Plan Ajustado]]-Tabla14[[#This Row],[ Atraso ajustado]]-Tabla14[[#This Row],[En puerto a facturar]]</f>
        <v>5000</v>
      </c>
      <c r="AM163" s="3">
        <v>0</v>
      </c>
      <c r="AN163" s="3"/>
      <c r="AO163" s="3" t="str">
        <f>IF(Tabla14[[#This Row],[Plan Ajustado]]&gt;Tabla14[[#This Row],[En puerto a facturar]],"Si","No")</f>
        <v>Si</v>
      </c>
      <c r="AP163" s="3">
        <f>IF(AND(Tabla14[[#This Row],[Plan Ajustado]]&gt;0,Tabla14[[#This Row],[Plan Ajustado]]&gt;Tabla14[[#This Row],[En puerto a facturar]]),(Tabla14[[#This Row],[Plan Ajustado]]-Tabla14[[#This Row],[En puerto a facturar]]),0)</f>
        <v>15000</v>
      </c>
      <c r="AQ163" s="3">
        <f>IF(Tabla14[[#This Row],[Necesidad]]&gt;=Tabla14[[#This Row],[Stock al día]],Tabla14[[#This Row],[Stock al día]],Tabla14[[#This Row],[Necesidad]])</f>
        <v>12118.880000000005</v>
      </c>
      <c r="AR163" s="3">
        <f>+Tabla14[[#This Row],[Necesidad]]-Tabla14[[#This Row],[Stock Plan]]</f>
        <v>2881.1199999999953</v>
      </c>
      <c r="AS163" s="155">
        <f>VLOOKUP(Tabla14[[#This Row],[Sector]]&amp;Tabla14[[#This Row],[Oficina]],[8]Ponderación!$A:$H,8,FALSE)</f>
        <v>44817</v>
      </c>
      <c r="AT163" s="30">
        <f>IFERROR(VLOOKUP(Tabla14[[#This Row],[Llave]],'[6]RV plan de ventas'!$A:$F,6,FALSE),0)</f>
        <v>5.3305600000000002</v>
      </c>
      <c r="AU163" s="83">
        <f>IFERROR(VLOOKUP(Tabla14[[#This Row],[Llave]],[9]DELAY!$H:$X,17,FALSE),0)</f>
        <v>5.274766144818182</v>
      </c>
      <c r="AV16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5.2933640965454538</v>
      </c>
      <c r="AW163" s="5">
        <f>Tabla14[[#This Row],[Pecio plan]]*Tabla14[[#This Row],[Plan Ajustado]]</f>
        <v>79400.461448181813</v>
      </c>
      <c r="AX163" s="30">
        <f>IFERROR(VLOOKUP(Tabla14[[#This Row],[Llave]],'[13]Ultimos precios facturados'!$A:$G,7,FALSE),0)</f>
        <v>4.6909003988665523</v>
      </c>
      <c r="AY16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0.12843242159319199</v>
      </c>
      <c r="AZ163" s="30">
        <f>IFERROR(VLOOKUP(Tabla14[[#This Row],[Llave]],Hoja2!B:K,10,FALSE),0)</f>
        <v>5.1453476809061218</v>
      </c>
      <c r="BA16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5.2933640965454538</v>
      </c>
      <c r="BB163" s="30">
        <v>0</v>
      </c>
      <c r="BC163" s="30">
        <f>IF(Tabla14[[#This Row],[Market]]=0,Tabla14[[#This Row],[Precio Final]],Tabla14[[#This Row],[Market]])</f>
        <v>5.2933640965454538</v>
      </c>
      <c r="BD163" s="82"/>
      <c r="BE163" s="82" t="str">
        <f>IF(AND(Tabla14[[#This Row],[Atraso a facturar]]&gt;0,Tabla14[[#This Row],[En puerto a facturar]]&gt;0,Tabla14[[#This Row],[Precio Atraso]]=0),"Revisar","OK")</f>
        <v>OK</v>
      </c>
      <c r="BF163" s="82" t="str">
        <f>IF(AND(Tabla14[[#This Row],[Venta del mes]]&gt;0,Tabla14[[#This Row],[Precio venta nueva]]=0),"Revisar","OK")</f>
        <v>OK</v>
      </c>
      <c r="BG163" s="20">
        <f>IFERROR(VLOOKUP(Tabla14[[#This Row],[Llave]],'[5]Consolidación planes'!$A:$M,9,FALSE),0)</f>
        <v>18000</v>
      </c>
      <c r="BH163" s="20">
        <f>IFERROR(VLOOKUP(Tabla14[[#This Row],[Llave]],'[5]Consolidación planes'!$A:$M,10,FALSE),0)</f>
        <v>6000</v>
      </c>
      <c r="BI163" s="20">
        <f>IFERROR(VLOOKUP(Tabla14[[#This Row],[Llave]],'[5]Consolidación planes'!$A:$M,11,FALSE),0)</f>
        <v>10000</v>
      </c>
      <c r="BJ163" s="20">
        <f>IFERROR(VLOOKUP(Tabla14[[#This Row],[Llave]],'[5]Consolidación planes'!$A:$M,12,FALSE),0)</f>
        <v>20000</v>
      </c>
      <c r="BK163" s="20">
        <f>IFERROR(VLOOKUP(Tabla14[[#This Row],[Llave]],'[5]Consolidación planes'!$A:$M,13,FALSE),0)</f>
        <v>18000</v>
      </c>
      <c r="BL163" s="20">
        <f>IFERROR(VLOOKUP(Tabla14[[#This Row],[Llave]],'[13]Base ultimos planes'!$A:$M,13,FALSE),0)</f>
        <v>22000</v>
      </c>
      <c r="BM163" s="20">
        <f>IFERROR(VLOOKUP(Tabla14[[#This Row],[Llave]],'[13]Cruce plan irrestricto'!$C:$M,10,FALSE),0)</f>
        <v>18300</v>
      </c>
      <c r="BN163" s="20">
        <f>IFERROR(VLOOKUP(Tabla14[[#This Row],[Llave]],'[13]Cruce plan irrestricto'!$C:$M,11,FALSE),0)</f>
        <v>21240</v>
      </c>
      <c r="BO163" s="80">
        <f>IFERROR(VLOOKUP(Tabla14[[#This Row],[Llave]],'[13]Base ultimos planes'!$O:$AA,8,FALSE),0)</f>
        <v>99485.017300000007</v>
      </c>
      <c r="BP163" s="20">
        <f>IFERROR(VLOOKUP(Tabla14[[#This Row],[Llave]],'[13]Base ultimos planes'!$O:$AA,9,FALSE),0)</f>
        <v>31124</v>
      </c>
      <c r="BQ163" s="20">
        <f>IFERROR(VLOOKUP(Tabla14[[#This Row],[Llave]],'[13]Base ultimos planes'!$O:$AA,10,FALSE),0)</f>
        <v>51494</v>
      </c>
      <c r="BR163" s="20">
        <f>IFERROR(VLOOKUP(Tabla14[[#This Row],[Llave]],'[13]Base ultimos planes'!$O:$AA,11,FALSE),0)</f>
        <v>100776</v>
      </c>
      <c r="BS163" s="20">
        <f>IFERROR(VLOOKUP(Tabla14[[#This Row],[Llave]],'[13]Base ultimos planes'!$O:$AA,12,FALSE),0)</f>
        <v>87382</v>
      </c>
      <c r="BT163" s="20">
        <f>IFERROR(VLOOKUP(Tabla14[[#This Row],[Llave]],'[13]Base ultimos planes'!$O:$AA,13,FALSE),0)</f>
        <v>101929</v>
      </c>
      <c r="BU163" s="20"/>
      <c r="BV163" s="20">
        <f>Tabla14[[#This Row],[ RV Producción mes n+1]]-Tabla14[[#This Row],[Producción disponible]]+Tabla14[[#This Row],[Saldo Volumen disponible]]</f>
        <v>42163.753869390959</v>
      </c>
      <c r="BW163" s="20">
        <f>IFERROR(VLOOKUP(Tabla14[[#This Row],[Llave]],[14]Hoja2!$J:$N,4,FALSE),0)</f>
        <v>18000</v>
      </c>
      <c r="BX163" s="20">
        <f>+Tabla14[[#This Row],[Asignación mes n+1]]*Tabla14[[#This Row],[% Uti. producción]]</f>
        <v>13920.999079680259</v>
      </c>
      <c r="BY163" s="20">
        <f>+Tabla14[[#This Row],[Ponderación mes n+1]]+Tabla14[[#This Row],[Saldo mes n-1]]</f>
        <v>56084.752949071219</v>
      </c>
      <c r="BZ163" s="20">
        <f>+Tabla14[[#This Row],[Asignación mes n+1]]-Tabla14[[#This Row],[Ponderación mes n+1]]</f>
        <v>4079.0009203197405</v>
      </c>
      <c r="CA163" s="20">
        <f>IFERROR(VLOOKUP(Tabla14[[#This Row],[Llave]],[14]Hoja2!$J:$N,5,FALSE),0)</f>
        <v>18000</v>
      </c>
      <c r="CB163" s="20">
        <f>+Tabla14[[#This Row],[Asignación mes n+2]]*Tabla14[[#This Row],[% Uti. producción]]</f>
        <v>13920.999079680259</v>
      </c>
      <c r="CC163" s="20">
        <f>+Tabla14[[#This Row],[Saldo mes n+2]]+Tabla14[[#This Row],[Ponderación mes n+2]]</f>
        <v>18000</v>
      </c>
      <c r="CD163" s="20">
        <f>+Tabla14[[#This Row],[Asignación mes n+2]]-Tabla14[[#This Row],[Ponderación mes n+2]]</f>
        <v>4079.0009203197405</v>
      </c>
    </row>
    <row r="164" spans="1:82" ht="16" x14ac:dyDescent="0.2">
      <c r="A164">
        <v>1</v>
      </c>
      <c r="B164" t="str">
        <f>Tabla14[[#This Row],[Oficina]]&amp;Tabla14[[#This Row],[Material]]</f>
        <v>Exportacion Directa1020758</v>
      </c>
      <c r="C164" t="s">
        <v>6</v>
      </c>
      <c r="D164" t="s">
        <v>88</v>
      </c>
      <c r="E164">
        <v>1020758</v>
      </c>
      <c r="F164" t="s">
        <v>113</v>
      </c>
      <c r="G164" t="s">
        <v>50</v>
      </c>
      <c r="H164" t="s">
        <v>110</v>
      </c>
      <c r="I164" s="7">
        <f>IFERROR(IF(Tabla14[[#This Row],[Oficina]]=$I$7,VLOOKUP(Tabla14[[#This Row],[Material]],'[6]RV Producción'!$Y:$AA,3,FALSE),VLOOKUP(Tabla14[[#This Row],[Llave]],'[6]RV Producción'!$C:$G,5,FALSE)),0)</f>
        <v>13882</v>
      </c>
      <c r="J164" s="7">
        <f>IFERROR(IF(Tabla14[[#This Row],[Oficina]]=$I$7,VLOOKUP(Tabla14[[#This Row],[Llave]],'[7]Shangai (Tomas)'!$A:$F,6,FALSE),VLOOKUP(Tabla14[[#This Row],[Llave]],'[6]RV plan de ventas'!$A:$E,5,FALSE)),0)</f>
        <v>9000</v>
      </c>
      <c r="K164" s="8">
        <f>IFERROR(VLOOKUP(Tabla14[[#This Row],[Sector]]&amp;Tabla14[[#This Row],[Oficina]],[8]Ponderación!$A$3:$G$22,7,FALSE),0)</f>
        <v>0.77338883776001444</v>
      </c>
      <c r="L164" s="7">
        <f>+Tabla14[[#This Row],[ RV Producción mes n+1]]*Tabla14[[#This Row],[% Uti. producción]]</f>
        <v>10736.183845784521</v>
      </c>
      <c r="M164" s="7">
        <f>IFERROR(VLOOKUP(Tabla14[[#This Row],[Material]],'[9]TD Stock'!$B:$C,2,FALSE),0)</f>
        <v>3715.645</v>
      </c>
      <c r="N164" s="7">
        <f>IFERROR(VLOOKUP(Tabla14[[#This Row],[Material]],'[10]Consolidado planificación'!$B:$C,2,FALSE),0)</f>
        <v>6617.3915687229237</v>
      </c>
      <c r="O164" s="7">
        <f>IFERROR(VLOOKUP(Tabla14[[#This Row],[Llave]],[11]Hoja2!$D:$G,4,FALSE),0)</f>
        <v>0</v>
      </c>
      <c r="P164" s="14">
        <f>SUM(Tabla14[[#This Row],[Producción disponible]],Tabla14[[#This Row],[Stock al día]],(Tabla14[[#This Row],[Por producir mes N]]*0.9))-Tabla14[[#This Row],[Producción por despachar mes N]]</f>
        <v>20407.481257635154</v>
      </c>
      <c r="Q164" s="7">
        <f>IFERROR(VLOOKUP(Tabla14[[#This Row],[Llave]],[9]DELAY!$A:$D,4,FALSE),0)</f>
        <v>9200</v>
      </c>
      <c r="R164" s="9">
        <v>3250</v>
      </c>
      <c r="S164" s="5">
        <f t="shared" si="7"/>
        <v>9200</v>
      </c>
      <c r="T164" s="76">
        <v>-4200</v>
      </c>
      <c r="U164" s="5">
        <f>+Tabla14[[#This Row],[Atraso a facturar]]+Tabla14[[#This Row],[Ajuste atraso]]</f>
        <v>5000</v>
      </c>
      <c r="V164" s="3">
        <f>+Tabla14[[#This Row],[Total disponible]]-Tabla14[[#This Row],[Facturación atraso]]</f>
        <v>15407.481257635154</v>
      </c>
      <c r="W164" s="6">
        <f>IFERROR(IF(AND(V164&gt;R164,J164&gt;=R164),ROUNDDOWN((Tabla14[[#This Row],[Producción para venta nueva]])/R164,0)*R164,0),0)</f>
        <v>13000</v>
      </c>
      <c r="X164" s="76">
        <v>-8000</v>
      </c>
      <c r="Y164" s="6">
        <f>IF(Tabla14[[#This Row],[Venta del mes]]&gt;0,Tabla14[[#This Row],[Venta del mes]]+Tabla14[[#This Row],[Ajuste venta nueva]],0)</f>
        <v>5000</v>
      </c>
      <c r="Z164" s="6">
        <f>+Tabla14[[#This Row],[Producción para venta nueva]]-Tabla14[[#This Row],[Facturación Venta nueva]]</f>
        <v>10407.481257635154</v>
      </c>
      <c r="AA164" s="6">
        <f>IF(AND(A164=1,Tabla14[[#This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4" s="6">
        <v>0</v>
      </c>
      <c r="AC164" s="6">
        <f>IF(Tabla14[[#This Row],[Disponible stock sin venta]]&gt;0,Tabla14[[#This Row],[Disponible stock sin venta]]+Tabla14[[#This Row],[Ajuste stock sin venta]],0)</f>
        <v>0</v>
      </c>
      <c r="AD164" s="3">
        <f>IFERROR(VLOOKUP(Tabla14[[#This Row],[Llave]],[12]Hoja1!$A:$D,4,FALSE),0)</f>
        <v>0</v>
      </c>
      <c r="AE16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22200</v>
      </c>
      <c r="AF164" s="3">
        <v>18950</v>
      </c>
      <c r="AG164" s="3">
        <f>+Tabla14[[#This Row],[En puerto a facturar]]</f>
        <v>0</v>
      </c>
      <c r="AH164" s="3">
        <f>+Tabla14[[#This Row],[Facturación atraso]]</f>
        <v>5000</v>
      </c>
      <c r="AI164" s="3">
        <f>+Tabla14[[#This Row],[Plan Irrestricto (DATO)]]-Tabla14[[#This Row],[Puerto ]]-Tabla14[[#This Row],[Atraso]]</f>
        <v>13950</v>
      </c>
      <c r="AJ164" s="6">
        <f>IF(Tabla14[[#This Row],[Plan Irrestricto (DATO)]]&gt;0,SUM(Tabla14[[#This Row],[Facturación atraso]],Tabla14[[#This Row],[Facturación Venta nueva]],Tabla14[[#This Row],[Facturación stock]],Tabla14[[#This Row],[En puerto a facturar]]),0)</f>
        <v>10000</v>
      </c>
      <c r="AK164" s="3">
        <f>+Tabla14[[#This Row],[Facturación atraso]]</f>
        <v>5000</v>
      </c>
      <c r="AL164" s="3">
        <f>Tabla14[[#This Row],[Plan Ajustado]]-Tabla14[[#This Row],[ Atraso ajustado]]-Tabla14[[#This Row],[En puerto a facturar]]</f>
        <v>5000</v>
      </c>
      <c r="AM164" s="3">
        <v>0</v>
      </c>
      <c r="AN164" s="3"/>
      <c r="AO164" s="3" t="str">
        <f>IF(Tabla14[[#This Row],[Plan Ajustado]]&gt;Tabla14[[#This Row],[En puerto a facturar]],"Si","No")</f>
        <v>Si</v>
      </c>
      <c r="AP164" s="3">
        <f>IF(AND(Tabla14[[#This Row],[Plan Ajustado]]&gt;0,Tabla14[[#This Row],[Plan Ajustado]]&gt;Tabla14[[#This Row],[En puerto a facturar]]),(Tabla14[[#This Row],[Plan Ajustado]]-Tabla14[[#This Row],[En puerto a facturar]]),0)</f>
        <v>10000</v>
      </c>
      <c r="AQ164" s="3">
        <f>IF(Tabla14[[#This Row],[Necesidad]]&gt;=Tabla14[[#This Row],[Stock al día]],Tabla14[[#This Row],[Stock al día]],Tabla14[[#This Row],[Necesidad]])</f>
        <v>3715.645</v>
      </c>
      <c r="AR164" s="3">
        <f>+Tabla14[[#This Row],[Necesidad]]-Tabla14[[#This Row],[Stock Plan]]</f>
        <v>6284.3549999999996</v>
      </c>
      <c r="AS164" s="155">
        <f>VLOOKUP(Tabla14[[#This Row],[Sector]]&amp;Tabla14[[#This Row],[Oficina]],[8]Ponderación!$A:$H,8,FALSE)</f>
        <v>44817</v>
      </c>
      <c r="AT164" s="30">
        <f>IFERROR(VLOOKUP(Tabla14[[#This Row],[Llave]],'[6]RV plan de ventas'!$A:$F,6,FALSE),0)</f>
        <v>3.94644444444444</v>
      </c>
      <c r="AU164" s="83">
        <f>IFERROR(VLOOKUP(Tabla14[[#This Row],[Llave]],[9]DELAY!$H:$X,17,FALSE),0)</f>
        <v>3.8701557830917874</v>
      </c>
      <c r="AV16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3.9083001137681137</v>
      </c>
      <c r="AW164" s="5">
        <f>Tabla14[[#This Row],[Pecio plan]]*Tabla14[[#This Row],[Plan Ajustado]]</f>
        <v>39083.001137681138</v>
      </c>
      <c r="AX164" s="30">
        <f>IFERROR(VLOOKUP(Tabla14[[#This Row],[Llave]],'[13]Ultimos precios facturados'!$A:$G,7,FALSE),0)</f>
        <v>3.8340117762394943</v>
      </c>
      <c r="AY16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1.9376137024149542E-2</v>
      </c>
      <c r="AZ164" s="30">
        <f>IFERROR(VLOOKUP(Tabla14[[#This Row],[Llave]],Hoja2!B:K,10,FALSE),0)</f>
        <v>3.8503563124332079</v>
      </c>
      <c r="BA16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3.9083001137681137</v>
      </c>
      <c r="BB164" s="30">
        <v>0</v>
      </c>
      <c r="BC164" s="30">
        <f>IF(Tabla14[[#This Row],[Market]]=0,Tabla14[[#This Row],[Precio Final]],Tabla14[[#This Row],[Market]])</f>
        <v>3.9083001137681137</v>
      </c>
      <c r="BD164" s="82"/>
      <c r="BE164" s="82" t="str">
        <f>IF(AND(Tabla14[[#This Row],[Atraso a facturar]]&gt;0,Tabla14[[#This Row],[En puerto a facturar]]&gt;0,Tabla14[[#This Row],[Precio Atraso]]=0),"Revisar","OK")</f>
        <v>OK</v>
      </c>
      <c r="BF164" s="82" t="str">
        <f>IF(AND(Tabla14[[#This Row],[Venta del mes]]&gt;0,Tabla14[[#This Row],[Precio venta nueva]]=0),"Revisar","OK")</f>
        <v>OK</v>
      </c>
      <c r="BG164" s="20">
        <f>IFERROR(VLOOKUP(Tabla14[[#This Row],[Llave]],'[5]Consolidación planes'!$A:$M,9,FALSE),0)</f>
        <v>8000</v>
      </c>
      <c r="BH164" s="20">
        <f>IFERROR(VLOOKUP(Tabla14[[#This Row],[Llave]],'[5]Consolidación planes'!$A:$M,10,FALSE),0)</f>
        <v>5000</v>
      </c>
      <c r="BI164" s="20">
        <f>IFERROR(VLOOKUP(Tabla14[[#This Row],[Llave]],'[5]Consolidación planes'!$A:$M,11,FALSE),0)</f>
        <v>8000</v>
      </c>
      <c r="BJ164" s="20">
        <f>IFERROR(VLOOKUP(Tabla14[[#This Row],[Llave]],'[5]Consolidación planes'!$A:$M,12,FALSE),0)</f>
        <v>12000</v>
      </c>
      <c r="BK164" s="20">
        <f>IFERROR(VLOOKUP(Tabla14[[#This Row],[Llave]],'[5]Consolidación planes'!$A:$M,13,FALSE),0)</f>
        <v>6000</v>
      </c>
      <c r="BL164" s="20">
        <f>IFERROR(VLOOKUP(Tabla14[[#This Row],[Llave]],'[13]Base ultimos planes'!$A:$M,13,FALSE),0)</f>
        <v>3000</v>
      </c>
      <c r="BM164" s="20">
        <f>IFERROR(VLOOKUP(Tabla14[[#This Row],[Llave]],'[13]Cruce plan irrestricto'!$C:$M,10,FALSE),0)</f>
        <v>3000</v>
      </c>
      <c r="BN164" s="20">
        <f>IFERROR(VLOOKUP(Tabla14[[#This Row],[Llave]],'[13]Cruce plan irrestricto'!$C:$M,11,FALSE),0)</f>
        <v>12102</v>
      </c>
      <c r="BO164" s="80">
        <f>IFERROR(VLOOKUP(Tabla14[[#This Row],[Llave]],'[13]Base ultimos planes'!$O:$AA,8,FALSE),0)</f>
        <v>35636.778700000003</v>
      </c>
      <c r="BP164" s="20">
        <f>IFERROR(VLOOKUP(Tabla14[[#This Row],[Llave]],'[13]Base ultimos planes'!$O:$AA,9,FALSE),0)</f>
        <v>20917</v>
      </c>
      <c r="BQ164" s="20">
        <f>IFERROR(VLOOKUP(Tabla14[[#This Row],[Llave]],'[13]Base ultimos planes'!$O:$AA,10,FALSE),0)</f>
        <v>33318</v>
      </c>
      <c r="BR164" s="20">
        <f>IFERROR(VLOOKUP(Tabla14[[#This Row],[Llave]],'[13]Base ultimos planes'!$O:$AA,11,FALSE),0)</f>
        <v>48487</v>
      </c>
      <c r="BS164" s="20">
        <f>IFERROR(VLOOKUP(Tabla14[[#This Row],[Llave]],'[13]Base ultimos planes'!$O:$AA,12,FALSE),0)</f>
        <v>23733</v>
      </c>
      <c r="BT164" s="20">
        <f>IFERROR(VLOOKUP(Tabla14[[#This Row],[Llave]],'[13]Base ultimos planes'!$O:$AA,13,FALSE),0)</f>
        <v>11179</v>
      </c>
      <c r="BU164" s="20"/>
      <c r="BV164" s="20">
        <f>Tabla14[[#This Row],[ RV Producción mes n+1]]-Tabla14[[#This Row],[Producción disponible]]+Tabla14[[#This Row],[Saldo Volumen disponible]]</f>
        <v>13553.297411850634</v>
      </c>
      <c r="BW164" s="20">
        <f>IFERROR(VLOOKUP(Tabla14[[#This Row],[Llave]],[14]Hoja2!$J:$N,4,FALSE),0)</f>
        <v>9000</v>
      </c>
      <c r="BX164" s="20">
        <f>+Tabla14[[#This Row],[Asignación mes n+1]]*Tabla14[[#This Row],[% Uti. producción]]</f>
        <v>6960.4995398401297</v>
      </c>
      <c r="BY164" s="20">
        <f>+Tabla14[[#This Row],[Ponderación mes n+1]]+Tabla14[[#This Row],[Saldo mes n-1]]</f>
        <v>20513.796951690761</v>
      </c>
      <c r="BZ164" s="20">
        <f>+Tabla14[[#This Row],[Asignación mes n+1]]-Tabla14[[#This Row],[Ponderación mes n+1]]</f>
        <v>2039.5004601598703</v>
      </c>
      <c r="CA164" s="20">
        <f>IFERROR(VLOOKUP(Tabla14[[#This Row],[Llave]],[14]Hoja2!$J:$N,5,FALSE),0)</f>
        <v>9000.0000400000008</v>
      </c>
      <c r="CB164" s="20">
        <f>+Tabla14[[#This Row],[Asignación mes n+2]]*Tabla14[[#This Row],[% Uti. producción]]</f>
        <v>6960.4995707756843</v>
      </c>
      <c r="CC164" s="20">
        <f>+Tabla14[[#This Row],[Saldo mes n+2]]+Tabla14[[#This Row],[Ponderación mes n+2]]</f>
        <v>9000.0000309355546</v>
      </c>
      <c r="CD164" s="20">
        <f>+Tabla14[[#This Row],[Asignación mes n+2]]-Tabla14[[#This Row],[Ponderación mes n+2]]</f>
        <v>2039.5004692243165</v>
      </c>
    </row>
    <row r="165" spans="1:82" ht="16" x14ac:dyDescent="0.2">
      <c r="A165">
        <v>1</v>
      </c>
      <c r="B165" t="str">
        <f>Tabla14[[#This Row],[Oficina]]&amp;Tabla14[[#This Row],[Material]]</f>
        <v>Exportacion Directa1020774</v>
      </c>
      <c r="C165" t="s">
        <v>6</v>
      </c>
      <c r="D165" t="s">
        <v>88</v>
      </c>
      <c r="E165">
        <v>1020774</v>
      </c>
      <c r="F165" t="s">
        <v>136</v>
      </c>
      <c r="G165" t="s">
        <v>134</v>
      </c>
      <c r="H165" t="s">
        <v>135</v>
      </c>
      <c r="I165" s="7">
        <f>IFERROR(IF(Tabla14[[#This Row],[Oficina]]=$I$7,VLOOKUP(Tabla14[[#This Row],[Material]],'[6]RV Producción'!$Y:$AA,3,FALSE),VLOOKUP(Tabla14[[#This Row],[Llave]],'[6]RV Producción'!$C:$G,5,FALSE)),0)</f>
        <v>8844</v>
      </c>
      <c r="J165" s="7">
        <f>IFERROR(IF(Tabla14[[#This Row],[Oficina]]=$I$7,VLOOKUP(Tabla14[[#This Row],[Llave]],'[7]Shangai (Tomas)'!$A:$F,6,FALSE),VLOOKUP(Tabla14[[#This Row],[Llave]],'[6]RV plan de ventas'!$A:$E,5,FALSE)),0)</f>
        <v>9000</v>
      </c>
      <c r="K165" s="8">
        <f>IFERROR(VLOOKUP(Tabla14[[#This Row],[Sector]]&amp;Tabla14[[#This Row],[Oficina]],[8]Ponderación!$A$3:$G$22,7,FALSE),0)</f>
        <v>0.77338883776001444</v>
      </c>
      <c r="L165" s="7">
        <f>+Tabla14[[#This Row],[ RV Producción mes n+1]]*Tabla14[[#This Row],[% Uti. producción]]</f>
        <v>6839.8508811495676</v>
      </c>
      <c r="M165" s="7">
        <f>IFERROR(VLOOKUP(Tabla14[[#This Row],[Material]],'[9]TD Stock'!$B:$C,2,FALSE),0)</f>
        <v>5640</v>
      </c>
      <c r="N165" s="7">
        <f>IFERROR(VLOOKUP(Tabla14[[#This Row],[Material]],'[10]Consolidado planificación'!$B:$C,2,FALSE),0)</f>
        <v>2092</v>
      </c>
      <c r="O165" s="7">
        <f>IFERROR(VLOOKUP(Tabla14[[#This Row],[Llave]],[11]Hoja2!$D:$G,4,FALSE),0)</f>
        <v>0</v>
      </c>
      <c r="P165" s="14">
        <f>SUM(Tabla14[[#This Row],[Producción disponible]],Tabla14[[#This Row],[Stock al día]],(Tabla14[[#This Row],[Por producir mes N]]*0.9))-Tabla14[[#This Row],[Producción por despachar mes N]]</f>
        <v>14362.650881149566</v>
      </c>
      <c r="Q165" s="7">
        <f>IFERROR(VLOOKUP(Tabla14[[#This Row],[Llave]],[9]DELAY!$A:$D,4,FALSE),0)</f>
        <v>9000</v>
      </c>
      <c r="R165" s="9">
        <v>952.38095238095241</v>
      </c>
      <c r="S165" s="5">
        <f t="shared" si="7"/>
        <v>9000</v>
      </c>
      <c r="T165" s="76">
        <v>-4000</v>
      </c>
      <c r="U165" s="5">
        <f>+Tabla14[[#This Row],[Atraso a facturar]]+Tabla14[[#This Row],[Ajuste atraso]]</f>
        <v>5000</v>
      </c>
      <c r="V165" s="3">
        <f>+Tabla14[[#This Row],[Total disponible]]-Tabla14[[#This Row],[Facturación atraso]]</f>
        <v>9362.650881149566</v>
      </c>
      <c r="W165" s="6">
        <f>IFERROR(IF(AND(V165&gt;R165,J165&gt;=R165),ROUNDDOWN((Tabla14[[#This Row],[Producción para venta nueva]])/R165,0)*R165,0),0)</f>
        <v>8571.4285714285725</v>
      </c>
      <c r="X165" s="76">
        <v>-3571</v>
      </c>
      <c r="Y165" s="6">
        <f>IF(Tabla14[[#This Row],[Venta del mes]]&gt;0,Tabla14[[#This Row],[Venta del mes]]+Tabla14[[#This Row],[Ajuste venta nueva]],0)</f>
        <v>5000.4285714285725</v>
      </c>
      <c r="Z165" s="6">
        <f>+Tabla14[[#This Row],[Producción para venta nueva]]-Tabla14[[#This Row],[Facturación Venta nueva]]</f>
        <v>4362.2223097209935</v>
      </c>
      <c r="AA165" s="6">
        <f>IF(AND(A165=1,Tabla14[[#This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5" s="6">
        <v>0</v>
      </c>
      <c r="AC165" s="6">
        <f>IF(Tabla14[[#This Row],[Disponible stock sin venta]]&gt;0,Tabla14[[#This Row],[Disponible stock sin venta]]+Tabla14[[#This Row],[Ajuste stock sin venta]],0)</f>
        <v>0</v>
      </c>
      <c r="AD165" s="3">
        <f>IFERROR(VLOOKUP(Tabla14[[#This Row],[Llave]],[12]Hoja1!$A:$D,4,FALSE),0)</f>
        <v>0</v>
      </c>
      <c r="AE16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17571.428571428572</v>
      </c>
      <c r="AF165" s="3">
        <v>13761.904761904763</v>
      </c>
      <c r="AG165" s="3">
        <f>+Tabla14[[#This Row],[En puerto a facturar]]</f>
        <v>0</v>
      </c>
      <c r="AH165" s="3">
        <f>+Tabla14[[#This Row],[Facturación atraso]]</f>
        <v>5000</v>
      </c>
      <c r="AI165" s="3">
        <f>+Tabla14[[#This Row],[Plan Irrestricto (DATO)]]-Tabla14[[#This Row],[Puerto ]]-Tabla14[[#This Row],[Atraso]]</f>
        <v>8761.9047619047633</v>
      </c>
      <c r="AJ165" s="6">
        <f>IF(Tabla14[[#This Row],[Plan Irrestricto (DATO)]]&gt;0,SUM(Tabla14[[#This Row],[Facturación atraso]],Tabla14[[#This Row],[Facturación Venta nueva]],Tabla14[[#This Row],[Facturación stock]],Tabla14[[#This Row],[En puerto a facturar]]),0)</f>
        <v>10000.428571428572</v>
      </c>
      <c r="AK165" s="3">
        <f>+Tabla14[[#This Row],[Facturación atraso]]</f>
        <v>5000</v>
      </c>
      <c r="AL165" s="3">
        <f>Tabla14[[#This Row],[Plan Ajustado]]-Tabla14[[#This Row],[ Atraso ajustado]]-Tabla14[[#This Row],[En puerto a facturar]]</f>
        <v>5000.4285714285725</v>
      </c>
      <c r="AM165" s="3">
        <v>0</v>
      </c>
      <c r="AN165" s="3"/>
      <c r="AO165" s="3" t="str">
        <f>IF(Tabla14[[#This Row],[Plan Ajustado]]&gt;Tabla14[[#This Row],[En puerto a facturar]],"Si","No")</f>
        <v>Si</v>
      </c>
      <c r="AP165" s="3">
        <f>IF(AND(Tabla14[[#This Row],[Plan Ajustado]]&gt;0,Tabla14[[#This Row],[Plan Ajustado]]&gt;Tabla14[[#This Row],[En puerto a facturar]]),(Tabla14[[#This Row],[Plan Ajustado]]-Tabla14[[#This Row],[En puerto a facturar]]),0)</f>
        <v>10000.428571428572</v>
      </c>
      <c r="AQ165" s="3">
        <f>IF(Tabla14[[#This Row],[Necesidad]]&gt;=Tabla14[[#This Row],[Stock al día]],Tabla14[[#This Row],[Stock al día]],Tabla14[[#This Row],[Necesidad]])</f>
        <v>5640</v>
      </c>
      <c r="AR165" s="3">
        <f>+Tabla14[[#This Row],[Necesidad]]-Tabla14[[#This Row],[Stock Plan]]</f>
        <v>4360.4285714285725</v>
      </c>
      <c r="AS165" s="155">
        <f>VLOOKUP(Tabla14[[#This Row],[Sector]]&amp;Tabla14[[#This Row],[Oficina]],[8]Ponderación!$A:$H,8,FALSE)</f>
        <v>44817</v>
      </c>
      <c r="AT165" s="30">
        <f>IFERROR(VLOOKUP(Tabla14[[#This Row],[Llave]],'[6]RV plan de ventas'!$A:$F,6,FALSE),0)</f>
        <v>6.0038888888888904</v>
      </c>
      <c r="AU165" s="83">
        <f>IFERROR(VLOOKUP(Tabla14[[#This Row],[Llave]],[9]DELAY!$H:$X,17,FALSE),0)</f>
        <v>5.9408461222222266</v>
      </c>
      <c r="AV16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5.9723688564140938</v>
      </c>
      <c r="AW165" s="5">
        <f>Tabla14[[#This Row],[Pecio plan]]*Tabla14[[#This Row],[Plan Ajustado]]</f>
        <v>59726.24815079369</v>
      </c>
      <c r="AX165" s="30">
        <f>IFERROR(VLOOKUP(Tabla14[[#This Row],[Llave]],'[13]Ultimos precios facturados'!$A:$G,7,FALSE),0)</f>
        <v>5.6729462993861182</v>
      </c>
      <c r="AY16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5.2780784662174E-2</v>
      </c>
      <c r="AZ165" s="30">
        <f>IFERROR(VLOOKUP(Tabla14[[#This Row],[Llave]],Hoja2!B:K,10,FALSE),0)</f>
        <v>5.8830940817658233</v>
      </c>
      <c r="BA16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5.9723688564140938</v>
      </c>
      <c r="BB165" s="30">
        <v>0</v>
      </c>
      <c r="BC165" s="30">
        <f>IF(Tabla14[[#This Row],[Market]]=0,Tabla14[[#This Row],[Precio Final]],Tabla14[[#This Row],[Market]])</f>
        <v>5.9723688564140938</v>
      </c>
      <c r="BD165" s="82"/>
      <c r="BE165" s="82" t="str">
        <f>IF(AND(Tabla14[[#This Row],[Atraso a facturar]]&gt;0,Tabla14[[#This Row],[En puerto a facturar]]&gt;0,Tabla14[[#This Row],[Precio Atraso]]=0),"Revisar","OK")</f>
        <v>OK</v>
      </c>
      <c r="BF165" s="82" t="str">
        <f>IF(AND(Tabla14[[#This Row],[Venta del mes]]&gt;0,Tabla14[[#This Row],[Precio venta nueva]]=0),"Revisar","OK")</f>
        <v>OK</v>
      </c>
      <c r="BG165" s="20">
        <f>IFERROR(VLOOKUP(Tabla14[[#This Row],[Llave]],'[5]Consolidación planes'!$A:$M,9,FALSE),0)</f>
        <v>6500</v>
      </c>
      <c r="BH165" s="20">
        <f>IFERROR(VLOOKUP(Tabla14[[#This Row],[Llave]],'[5]Consolidación planes'!$A:$M,10,FALSE),0)</f>
        <v>9000</v>
      </c>
      <c r="BI165" s="20">
        <f>IFERROR(VLOOKUP(Tabla14[[#This Row],[Llave]],'[5]Consolidación planes'!$A:$M,11,FALSE),0)</f>
        <v>7000</v>
      </c>
      <c r="BJ165" s="20">
        <f>IFERROR(VLOOKUP(Tabla14[[#This Row],[Llave]],'[5]Consolidación planes'!$A:$M,12,FALSE),0)</f>
        <v>7000</v>
      </c>
      <c r="BK165" s="20">
        <f>IFERROR(VLOOKUP(Tabla14[[#This Row],[Llave]],'[5]Consolidación planes'!$A:$M,13,FALSE),0)</f>
        <v>12778</v>
      </c>
      <c r="BL165" s="20">
        <f>IFERROR(VLOOKUP(Tabla14[[#This Row],[Llave]],'[13]Base ultimos planes'!$A:$M,13,FALSE),0)</f>
        <v>13810</v>
      </c>
      <c r="BM165" s="20">
        <f>IFERROR(VLOOKUP(Tabla14[[#This Row],[Llave]],'[13]Cruce plan irrestricto'!$C:$M,10,FALSE),0)</f>
        <v>10667</v>
      </c>
      <c r="BN165" s="20">
        <f>IFERROR(VLOOKUP(Tabla14[[#This Row],[Llave]],'[13]Cruce plan irrestricto'!$C:$M,11,FALSE),0)</f>
        <v>10504.19</v>
      </c>
      <c r="BO165" s="80">
        <f>IFERROR(VLOOKUP(Tabla14[[#This Row],[Llave]],'[13]Base ultimos planes'!$O:$AA,8,FALSE),0)</f>
        <v>39650</v>
      </c>
      <c r="BP165" s="20">
        <f>IFERROR(VLOOKUP(Tabla14[[#This Row],[Llave]],'[13]Base ultimos planes'!$O:$AA,9,FALSE),0)</f>
        <v>55209</v>
      </c>
      <c r="BQ165" s="20">
        <f>IFERROR(VLOOKUP(Tabla14[[#This Row],[Llave]],'[13]Base ultimos planes'!$O:$AA,10,FALSE),0)</f>
        <v>42742</v>
      </c>
      <c r="BR165" s="20">
        <f>IFERROR(VLOOKUP(Tabla14[[#This Row],[Llave]],'[13]Base ultimos planes'!$O:$AA,11,FALSE),0)</f>
        <v>42209</v>
      </c>
      <c r="BS165" s="20">
        <f>IFERROR(VLOOKUP(Tabla14[[#This Row],[Llave]],'[13]Base ultimos planes'!$O:$AA,12,FALSE),0)</f>
        <v>76257</v>
      </c>
      <c r="BT165" s="20">
        <f>IFERROR(VLOOKUP(Tabla14[[#This Row],[Llave]],'[13]Base ultimos planes'!$O:$AA,13,FALSE),0)</f>
        <v>77987</v>
      </c>
      <c r="BU165" s="20"/>
      <c r="BV165" s="20">
        <f>Tabla14[[#This Row],[ RV Producción mes n+1]]-Tabla14[[#This Row],[Producción disponible]]+Tabla14[[#This Row],[Saldo Volumen disponible]]</f>
        <v>6366.3714285714259</v>
      </c>
      <c r="BW165" s="20">
        <f>IFERROR(VLOOKUP(Tabla14[[#This Row],[Llave]],[14]Hoja2!$J:$N,4,FALSE),0)</f>
        <v>9000</v>
      </c>
      <c r="BX165" s="20">
        <f>+Tabla14[[#This Row],[Asignación mes n+1]]*Tabla14[[#This Row],[% Uti. producción]]</f>
        <v>6960.4995398401297</v>
      </c>
      <c r="BY165" s="20">
        <f>+Tabla14[[#This Row],[Ponderación mes n+1]]+Tabla14[[#This Row],[Saldo mes n-1]]</f>
        <v>13326.870968411557</v>
      </c>
      <c r="BZ165" s="20">
        <f>+Tabla14[[#This Row],[Asignación mes n+1]]-Tabla14[[#This Row],[Ponderación mes n+1]]</f>
        <v>2039.5004601598703</v>
      </c>
      <c r="CA165" s="20">
        <f>IFERROR(VLOOKUP(Tabla14[[#This Row],[Llave]],[14]Hoja2!$J:$N,5,FALSE),0)</f>
        <v>9000</v>
      </c>
      <c r="CB165" s="20">
        <f>+Tabla14[[#This Row],[Asignación mes n+2]]*Tabla14[[#This Row],[% Uti. producción]]</f>
        <v>6960.4995398401297</v>
      </c>
      <c r="CC165" s="20">
        <f>+Tabla14[[#This Row],[Saldo mes n+2]]+Tabla14[[#This Row],[Ponderación mes n+2]]</f>
        <v>9000</v>
      </c>
      <c r="CD165" s="20">
        <f>+Tabla14[[#This Row],[Asignación mes n+2]]-Tabla14[[#This Row],[Ponderación mes n+2]]</f>
        <v>2039.5004601598703</v>
      </c>
    </row>
    <row r="166" spans="1:82" ht="16" x14ac:dyDescent="0.2">
      <c r="A166">
        <v>1</v>
      </c>
      <c r="B166" t="str">
        <f>Tabla14[[#This Row],[Oficina]]&amp;Tabla14[[#This Row],[Material]]</f>
        <v>Exportacion Directa1020802</v>
      </c>
      <c r="C166" t="s">
        <v>6</v>
      </c>
      <c r="D166" t="s">
        <v>88</v>
      </c>
      <c r="E166">
        <v>1020802</v>
      </c>
      <c r="F166" t="s">
        <v>123</v>
      </c>
      <c r="G166" t="s">
        <v>56</v>
      </c>
      <c r="H166" t="s">
        <v>57</v>
      </c>
      <c r="I166" s="7">
        <f>IFERROR(IF(Tabla14[[#This Row],[Oficina]]=$I$7,VLOOKUP(Tabla14[[#This Row],[Material]],'[6]RV Producción'!$Y:$AA,3,FALSE),VLOOKUP(Tabla14[[#This Row],[Llave]],'[6]RV Producción'!$C:$G,5,FALSE)),0)</f>
        <v>45291</v>
      </c>
      <c r="J166" s="7">
        <f>IFERROR(IF(Tabla14[[#This Row],[Oficina]]=$I$7,VLOOKUP(Tabla14[[#This Row],[Llave]],'[7]Shangai (Tomas)'!$A:$F,6,FALSE),VLOOKUP(Tabla14[[#This Row],[Llave]],'[6]RV plan de ventas'!$A:$E,5,FALSE)),0)</f>
        <v>38000</v>
      </c>
      <c r="K166" s="8">
        <f>IFERROR(VLOOKUP(Tabla14[[#This Row],[Sector]]&amp;Tabla14[[#This Row],[Oficina]],[8]Ponderación!$A$3:$G$22,7,FALSE),0)</f>
        <v>0.77338883776001444</v>
      </c>
      <c r="L166" s="7">
        <f>+Tabla14[[#This Row],[ RV Producción mes n+1]]*Tabla14[[#This Row],[% Uti. producción]]</f>
        <v>35027.553850988814</v>
      </c>
      <c r="M166" s="7">
        <f>IFERROR(VLOOKUP(Tabla14[[#This Row],[Material]],'[9]TD Stock'!$B:$C,2,FALSE),0)</f>
        <v>3576.5110000000004</v>
      </c>
      <c r="N166" s="7">
        <f>IFERROR(VLOOKUP(Tabla14[[#This Row],[Material]],'[10]Consolidado planificación'!$B:$C,2,FALSE),0)</f>
        <v>8044.7458094280755</v>
      </c>
      <c r="O166" s="7">
        <f>IFERROR(VLOOKUP(Tabla14[[#This Row],[Llave]],[11]Hoja2!$D:$G,4,FALSE),0)</f>
        <v>3000</v>
      </c>
      <c r="P166" s="14">
        <f>SUM(Tabla14[[#This Row],[Producción disponible]],Tabla14[[#This Row],[Stock al día]],(Tabla14[[#This Row],[Por producir mes N]]*0.9))-Tabla14[[#This Row],[Producción por despachar mes N]]</f>
        <v>42844.33607947408</v>
      </c>
      <c r="Q166" s="7">
        <f>IFERROR(VLOOKUP(Tabla14[[#This Row],[Llave]],[9]DELAY!$A:$D,4,FALSE),0)</f>
        <v>10000</v>
      </c>
      <c r="R166" s="9">
        <v>8437.5</v>
      </c>
      <c r="S166" s="5">
        <f t="shared" si="7"/>
        <v>10000</v>
      </c>
      <c r="T166" s="76">
        <v>0</v>
      </c>
      <c r="U166" s="5">
        <f>+Tabla14[[#This Row],[Atraso a facturar]]+Tabla14[[#This Row],[Ajuste atraso]]</f>
        <v>10000</v>
      </c>
      <c r="V166" s="3">
        <f>+Tabla14[[#This Row],[Total disponible]]-Tabla14[[#This Row],[Facturación atraso]]</f>
        <v>32844.33607947408</v>
      </c>
      <c r="W166" s="6">
        <f>IFERROR(IF(AND(V166&gt;R166,J166&gt;=R166),ROUNDDOWN((Tabla14[[#This Row],[Producción para venta nueva]])/R166,0)*R166,0),0)</f>
        <v>25312.5</v>
      </c>
      <c r="X166" s="76">
        <v>-10000</v>
      </c>
      <c r="Y166" s="6">
        <f>IF(Tabla14[[#This Row],[Venta del mes]]&gt;0,Tabla14[[#This Row],[Venta del mes]]+Tabla14[[#This Row],[Ajuste venta nueva]],0)</f>
        <v>15312.5</v>
      </c>
      <c r="Z166" s="6">
        <f>+Tabla14[[#This Row],[Producción para venta nueva]]-Tabla14[[#This Row],[Facturación Venta nueva]]</f>
        <v>17531.83607947408</v>
      </c>
      <c r="AA166" s="6">
        <f>IF(AND(A166=1,Tabla14[[#This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6" s="6">
        <v>0</v>
      </c>
      <c r="AC166" s="6">
        <f>IF(Tabla14[[#This Row],[Disponible stock sin venta]]&gt;0,Tabla14[[#This Row],[Disponible stock sin venta]]+Tabla14[[#This Row],[Ajuste stock sin venta]],0)</f>
        <v>0</v>
      </c>
      <c r="AD166" s="3">
        <f>IFERROR(VLOOKUP(Tabla14[[#This Row],[Llave]],[12]Hoja1!$A:$D,4,FALSE),0)</f>
        <v>0</v>
      </c>
      <c r="AE16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35312.5</v>
      </c>
      <c r="AF166" s="3">
        <v>35312.5</v>
      </c>
      <c r="AG166" s="3">
        <f>+Tabla14[[#This Row],[En puerto a facturar]]</f>
        <v>0</v>
      </c>
      <c r="AH166" s="3">
        <f>+Tabla14[[#This Row],[Facturación atraso]]</f>
        <v>10000</v>
      </c>
      <c r="AI166" s="3">
        <f>+Tabla14[[#This Row],[Plan Irrestricto (DATO)]]-Tabla14[[#This Row],[Puerto ]]-Tabla14[[#This Row],[Atraso]]</f>
        <v>25312.5</v>
      </c>
      <c r="AJ166" s="6">
        <f>IF(Tabla14[[#This Row],[Plan Irrestricto (DATO)]]&gt;0,SUM(Tabla14[[#This Row],[Facturación atraso]],Tabla14[[#This Row],[Facturación Venta nueva]],Tabla14[[#This Row],[Facturación stock]],Tabla14[[#This Row],[En puerto a facturar]]),0)</f>
        <v>25312.5</v>
      </c>
      <c r="AK166" s="3">
        <f>+Tabla14[[#This Row],[Facturación atraso]]</f>
        <v>10000</v>
      </c>
      <c r="AL166" s="3">
        <f>Tabla14[[#This Row],[Plan Ajustado]]-Tabla14[[#This Row],[ Atraso ajustado]]-Tabla14[[#This Row],[En puerto a facturar]]</f>
        <v>15312.5</v>
      </c>
      <c r="AM166" s="3">
        <v>0</v>
      </c>
      <c r="AN166" s="3"/>
      <c r="AO166" s="3" t="str">
        <f>IF(Tabla14[[#This Row],[Plan Ajustado]]&gt;Tabla14[[#This Row],[En puerto a facturar]],"Si","No")</f>
        <v>Si</v>
      </c>
      <c r="AP166" s="3">
        <f>IF(AND(Tabla14[[#This Row],[Plan Ajustado]]&gt;0,Tabla14[[#This Row],[Plan Ajustado]]&gt;Tabla14[[#This Row],[En puerto a facturar]]),(Tabla14[[#This Row],[Plan Ajustado]]-Tabla14[[#This Row],[En puerto a facturar]]),0)</f>
        <v>25312.5</v>
      </c>
      <c r="AQ166" s="3">
        <f>IF(Tabla14[[#This Row],[Necesidad]]&gt;=Tabla14[[#This Row],[Stock al día]],Tabla14[[#This Row],[Stock al día]],Tabla14[[#This Row],[Necesidad]])</f>
        <v>3576.5110000000004</v>
      </c>
      <c r="AR166" s="3">
        <f>+Tabla14[[#This Row],[Necesidad]]-Tabla14[[#This Row],[Stock Plan]]</f>
        <v>21735.989000000001</v>
      </c>
      <c r="AS166" s="155">
        <f>VLOOKUP(Tabla14[[#This Row],[Sector]]&amp;Tabla14[[#This Row],[Oficina]],[8]Ponderación!$A:$H,8,FALSE)</f>
        <v>44817</v>
      </c>
      <c r="AT166" s="30">
        <f>IFERROR(VLOOKUP(Tabla14[[#This Row],[Llave]],'[6]RV plan de ventas'!$A:$F,6,FALSE),0)</f>
        <v>4.8816578947368399</v>
      </c>
      <c r="AU166" s="83">
        <f>IFERROR(VLOOKUP(Tabla14[[#This Row],[Llave]],[9]DELAY!$H:$X,17,FALSE),0)</f>
        <v>4.8284526121951199</v>
      </c>
      <c r="AV16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4.8606385238561609</v>
      </c>
      <c r="AW166" s="5">
        <f>Tabla14[[#This Row],[Pecio plan]]*Tabla14[[#This Row],[Plan Ajustado]]</f>
        <v>123034.91263510907</v>
      </c>
      <c r="AX166" s="30">
        <f>IFERROR(VLOOKUP(Tabla14[[#This Row],[Llave]],'[13]Ultimos precios facturados'!$A:$G,7,FALSE),0)</f>
        <v>4.3342186644834548</v>
      </c>
      <c r="AY16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0.12145669153391547</v>
      </c>
      <c r="AZ166" s="30">
        <f>IFERROR(VLOOKUP(Tabla14[[#This Row],[Llave]],Hoja2!B:K,10,FALSE),0)</f>
        <v>4.6341999108069256</v>
      </c>
      <c r="BA16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4.8606385238561609</v>
      </c>
      <c r="BB166" s="30">
        <v>0</v>
      </c>
      <c r="BC166" s="30">
        <f>IF(Tabla14[[#This Row],[Market]]=0,Tabla14[[#This Row],[Precio Final]],Tabla14[[#This Row],[Market]])</f>
        <v>4.8606385238561609</v>
      </c>
      <c r="BD166" s="82" t="s">
        <v>757</v>
      </c>
      <c r="BE166" s="82" t="str">
        <f>IF(AND(Tabla14[[#This Row],[Atraso a facturar]]&gt;0,Tabla14[[#This Row],[En puerto a facturar]]&gt;0,Tabla14[[#This Row],[Precio Atraso]]=0),"Revisar","OK")</f>
        <v>OK</v>
      </c>
      <c r="BF166" s="82" t="str">
        <f>IF(AND(Tabla14[[#This Row],[Venta del mes]]&gt;0,Tabla14[[#This Row],[Precio venta nueva]]=0),"Revisar","OK")</f>
        <v>OK</v>
      </c>
      <c r="BG166" s="20">
        <f>IFERROR(VLOOKUP(Tabla14[[#This Row],[Llave]],'[5]Consolidación planes'!$A:$M,9,FALSE),0)</f>
        <v>103000</v>
      </c>
      <c r="BH166" s="20">
        <f>IFERROR(VLOOKUP(Tabla14[[#This Row],[Llave]],'[5]Consolidación planes'!$A:$M,10,FALSE),0)</f>
        <v>47000</v>
      </c>
      <c r="BI166" s="20">
        <f>IFERROR(VLOOKUP(Tabla14[[#This Row],[Llave]],'[5]Consolidación planes'!$A:$M,11,FALSE),0)</f>
        <v>95000</v>
      </c>
      <c r="BJ166" s="20">
        <f>IFERROR(VLOOKUP(Tabla14[[#This Row],[Llave]],'[5]Consolidación planes'!$A:$M,12,FALSE),0)</f>
        <v>130000</v>
      </c>
      <c r="BK166" s="20">
        <f>IFERROR(VLOOKUP(Tabla14[[#This Row],[Llave]],'[5]Consolidación planes'!$A:$M,13,FALSE),0)</f>
        <v>92821</v>
      </c>
      <c r="BL166" s="20">
        <f>IFERROR(VLOOKUP(Tabla14[[#This Row],[Llave]],'[13]Base ultimos planes'!$A:$M,13,FALSE),0)</f>
        <v>95563</v>
      </c>
      <c r="BM166" s="20">
        <f>IFERROR(VLOOKUP(Tabla14[[#This Row],[Llave]],'[13]Cruce plan irrestricto'!$C:$M,10,FALSE),0)</f>
        <v>73025</v>
      </c>
      <c r="BN166" s="20">
        <f>IFERROR(VLOOKUP(Tabla14[[#This Row],[Llave]],'[13]Cruce plan irrestricto'!$C:$M,11,FALSE),0)</f>
        <v>58246</v>
      </c>
      <c r="BO166" s="80">
        <f>IFERROR(VLOOKUP(Tabla14[[#This Row],[Llave]],'[13]Base ultimos planes'!$O:$AA,8,FALSE),0)</f>
        <v>518029.43709999998</v>
      </c>
      <c r="BP166" s="20">
        <f>IFERROR(VLOOKUP(Tabla14[[#This Row],[Llave]],'[13]Base ultimos planes'!$O:$AA,9,FALSE),0)</f>
        <v>220820</v>
      </c>
      <c r="BQ166" s="20">
        <f>IFERROR(VLOOKUP(Tabla14[[#This Row],[Llave]],'[13]Base ultimos planes'!$O:$AA,10,FALSE),0)</f>
        <v>445408</v>
      </c>
      <c r="BR166" s="20">
        <f>IFERROR(VLOOKUP(Tabla14[[#This Row],[Llave]],'[13]Base ultimos planes'!$O:$AA,11,FALSE),0)</f>
        <v>591029</v>
      </c>
      <c r="BS166" s="20">
        <f>IFERROR(VLOOKUP(Tabla14[[#This Row],[Llave]],'[13]Base ultimos planes'!$O:$AA,12,FALSE),0)</f>
        <v>410262</v>
      </c>
      <c r="BT166" s="20">
        <f>IFERROR(VLOOKUP(Tabla14[[#This Row],[Llave]],'[13]Base ultimos planes'!$O:$AA,13,FALSE),0)</f>
        <v>398697</v>
      </c>
      <c r="BU166" s="20"/>
      <c r="BV166" s="20">
        <f>Tabla14[[#This Row],[ RV Producción mes n+1]]-Tabla14[[#This Row],[Producción disponible]]+Tabla14[[#This Row],[Saldo Volumen disponible]]</f>
        <v>27795.282228485266</v>
      </c>
      <c r="BW166" s="20">
        <f>IFERROR(VLOOKUP(Tabla14[[#This Row],[Llave]],[14]Hoja2!$J:$N,4,FALSE),0)</f>
        <v>45000</v>
      </c>
      <c r="BX166" s="20">
        <f>+Tabla14[[#This Row],[Asignación mes n+1]]*Tabla14[[#This Row],[% Uti. producción]]</f>
        <v>34802.497699200649</v>
      </c>
      <c r="BY166" s="20">
        <f>+Tabla14[[#This Row],[Ponderación mes n+1]]+Tabla14[[#This Row],[Saldo mes n-1]]</f>
        <v>62597.779927685915</v>
      </c>
      <c r="BZ166" s="20">
        <f>+Tabla14[[#This Row],[Asignación mes n+1]]-Tabla14[[#This Row],[Ponderación mes n+1]]</f>
        <v>10197.502300799351</v>
      </c>
      <c r="CA166" s="20">
        <f>IFERROR(VLOOKUP(Tabla14[[#This Row],[Llave]],[14]Hoja2!$J:$N,5,FALSE),0)</f>
        <v>45000</v>
      </c>
      <c r="CB166" s="20">
        <f>+Tabla14[[#This Row],[Asignación mes n+2]]*Tabla14[[#This Row],[% Uti. producción]]</f>
        <v>34802.497699200649</v>
      </c>
      <c r="CC166" s="20">
        <f>+Tabla14[[#This Row],[Saldo mes n+2]]+Tabla14[[#This Row],[Ponderación mes n+2]]</f>
        <v>45000</v>
      </c>
      <c r="CD166" s="20">
        <f>+Tabla14[[#This Row],[Asignación mes n+2]]-Tabla14[[#This Row],[Ponderación mes n+2]]</f>
        <v>10197.502300799351</v>
      </c>
    </row>
    <row r="167" spans="1:82" ht="16" x14ac:dyDescent="0.2">
      <c r="A167">
        <v>1</v>
      </c>
      <c r="B167" t="str">
        <f>Tabla14[[#This Row],[Oficina]]&amp;Tabla14[[#This Row],[Material]]</f>
        <v>Exportacion Directa1020810</v>
      </c>
      <c r="C167" t="s">
        <v>6</v>
      </c>
      <c r="D167" t="s">
        <v>88</v>
      </c>
      <c r="E167">
        <v>1020810</v>
      </c>
      <c r="F167" t="s">
        <v>138</v>
      </c>
      <c r="G167" t="s">
        <v>76</v>
      </c>
      <c r="H167" t="s">
        <v>79</v>
      </c>
      <c r="I167" s="7">
        <f>IFERROR(IF(Tabla14[[#This Row],[Oficina]]=$I$7,VLOOKUP(Tabla14[[#This Row],[Material]],'[6]RV Producción'!$Y:$AA,3,FALSE),VLOOKUP(Tabla14[[#This Row],[Llave]],'[6]RV Producción'!$C:$G,5,FALSE)),0)</f>
        <v>621</v>
      </c>
      <c r="J167" s="7">
        <f>IFERROR(IF(Tabla14[[#This Row],[Oficina]]=$I$7,VLOOKUP(Tabla14[[#This Row],[Llave]],'[7]Shangai (Tomas)'!$A:$F,6,FALSE),VLOOKUP(Tabla14[[#This Row],[Llave]],'[6]RV plan de ventas'!$A:$E,5,FALSE)),0)</f>
        <v>2000</v>
      </c>
      <c r="K167" s="8">
        <f>IFERROR(VLOOKUP(Tabla14[[#This Row],[Sector]]&amp;Tabla14[[#This Row],[Oficina]],[8]Ponderación!$A$3:$G$22,7,FALSE),0)</f>
        <v>0.77338883776001444</v>
      </c>
      <c r="L167" s="7">
        <f>+Tabla14[[#This Row],[ RV Producción mes n+1]]*Tabla14[[#This Row],[% Uti. producción]]</f>
        <v>480.27446824896896</v>
      </c>
      <c r="M167" s="7">
        <f>IFERROR(VLOOKUP(Tabla14[[#This Row],[Material]],'[9]TD Stock'!$B:$C,2,FALSE),0)</f>
        <v>720</v>
      </c>
      <c r="N167" s="7">
        <f>IFERROR(VLOOKUP(Tabla14[[#This Row],[Material]],'[10]Consolidado planificación'!$B:$C,2,FALSE),0)</f>
        <v>0</v>
      </c>
      <c r="O167" s="7">
        <f>IFERROR(VLOOKUP(Tabla14[[#This Row],[Llave]],[11]Hoja2!$D:$G,4,FALSE),0)</f>
        <v>0</v>
      </c>
      <c r="P167" s="14">
        <f>SUM(Tabla14[[#This Row],[Producción disponible]],Tabla14[[#This Row],[Stock al día]],(Tabla14[[#This Row],[Por producir mes N]]*0.9))-Tabla14[[#This Row],[Producción por despachar mes N]]</f>
        <v>1200.274468248969</v>
      </c>
      <c r="Q167" s="7">
        <f>IFERROR(VLOOKUP(Tabla14[[#This Row],[Llave]],[9]DELAY!$A:$D,4,FALSE),0)</f>
        <v>3000</v>
      </c>
      <c r="R167" s="9">
        <v>1500</v>
      </c>
      <c r="S167" s="5">
        <f t="shared" si="7"/>
        <v>0</v>
      </c>
      <c r="T167" s="76">
        <v>0</v>
      </c>
      <c r="U167" s="5">
        <f>+Tabla14[[#This Row],[Atraso a facturar]]+Tabla14[[#This Row],[Ajuste atraso]]</f>
        <v>0</v>
      </c>
      <c r="V167" s="3">
        <f>+Tabla14[[#This Row],[Total disponible]]-Tabla14[[#This Row],[Facturación atraso]]</f>
        <v>1200.274468248969</v>
      </c>
      <c r="W167" s="6">
        <f>IFERROR(IF(AND(V167&gt;R167,J167&gt;=R167),ROUNDDOWN((Tabla14[[#This Row],[Producción para venta nueva]])/R167,0)*R167,0),0)</f>
        <v>0</v>
      </c>
      <c r="X167" s="76">
        <v>0</v>
      </c>
      <c r="Y167" s="6">
        <f>IF(Tabla14[[#This Row],[Venta del mes]]&gt;0,Tabla14[[#This Row],[Venta del mes]]+Tabla14[[#This Row],[Ajuste venta nueva]],0)</f>
        <v>0</v>
      </c>
      <c r="Z167" s="6">
        <f>+Tabla14[[#This Row],[Producción para venta nueva]]-Tabla14[[#This Row],[Facturación Venta nueva]]</f>
        <v>1200.274468248969</v>
      </c>
      <c r="AA167" s="6">
        <f>IF(AND(A167=1,Tabla14[[#This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7" s="6">
        <v>0</v>
      </c>
      <c r="AC167" s="6">
        <f>IF(Tabla14[[#This Row],[Disponible stock sin venta]]&gt;0,Tabla14[[#This Row],[Disponible stock sin venta]]+Tabla14[[#This Row],[Ajuste stock sin venta]],0)</f>
        <v>0</v>
      </c>
      <c r="AD167" s="3">
        <f>IFERROR(VLOOKUP(Tabla14[[#This Row],[Llave]],[12]Hoja1!$A:$D,4,FALSE),0)</f>
        <v>0</v>
      </c>
      <c r="AE16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67" s="3">
        <v>0</v>
      </c>
      <c r="AG167" s="3">
        <f>+Tabla14[[#This Row],[En puerto a facturar]]</f>
        <v>0</v>
      </c>
      <c r="AH167" s="3">
        <f>+Tabla14[[#This Row],[Facturación atraso]]</f>
        <v>0</v>
      </c>
      <c r="AI167" s="3">
        <f>+Tabla14[[#This Row],[Plan Irrestricto (DATO)]]-Tabla14[[#This Row],[Puerto ]]-Tabla14[[#This Row],[Atraso]]</f>
        <v>0</v>
      </c>
      <c r="AJ16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67" s="3">
        <f>+Tabla14[[#This Row],[Facturación atraso]]</f>
        <v>0</v>
      </c>
      <c r="AL167" s="3">
        <f>Tabla14[[#This Row],[Plan Ajustado]]-Tabla14[[#This Row],[ Atraso ajustado]]-Tabla14[[#This Row],[En puerto a facturar]]</f>
        <v>0</v>
      </c>
      <c r="AM167" s="3">
        <v>0</v>
      </c>
      <c r="AN167" s="3"/>
      <c r="AO167" s="3" t="str">
        <f>IF(Tabla14[[#This Row],[Plan Ajustado]]&gt;Tabla14[[#This Row],[En puerto a facturar]],"Si","No")</f>
        <v>No</v>
      </c>
      <c r="AP16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67" s="3">
        <f>IF(Tabla14[[#This Row],[Necesidad]]&gt;=Tabla14[[#This Row],[Stock al día]],Tabla14[[#This Row],[Stock al día]],Tabla14[[#This Row],[Necesidad]])</f>
        <v>0</v>
      </c>
      <c r="AR167" s="3">
        <f>+Tabla14[[#This Row],[Necesidad]]-Tabla14[[#This Row],[Stock Plan]]</f>
        <v>0</v>
      </c>
      <c r="AS167" s="155">
        <f>VLOOKUP(Tabla14[[#This Row],[Sector]]&amp;Tabla14[[#This Row],[Oficina]],[8]Ponderación!$A:$H,8,FALSE)</f>
        <v>44817</v>
      </c>
      <c r="AT167" s="30">
        <f>IFERROR(VLOOKUP(Tabla14[[#This Row],[Llave]],'[6]RV plan de ventas'!$A:$F,6,FALSE),0)</f>
        <v>4.1334999999999997</v>
      </c>
      <c r="AU167" s="83">
        <f>IFERROR(VLOOKUP(Tabla14[[#This Row],[Llave]],[9]DELAY!$H:$X,17,FALSE),0)</f>
        <v>4.0376912000000003</v>
      </c>
      <c r="AV16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67" s="5">
        <f>Tabla14[[#This Row],[Pecio plan]]*Tabla14[[#This Row],[Plan Ajustado]]</f>
        <v>0</v>
      </c>
      <c r="AX167" s="30">
        <f>IFERROR(VLOOKUP(Tabla14[[#This Row],[Llave]],'[13]Ultimos precios facturados'!$A:$G,7,FALSE),0)</f>
        <v>3.243279405128205</v>
      </c>
      <c r="AY16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67" s="30">
        <f>IFERROR(VLOOKUP(Tabla14[[#This Row],[Llave]],Hoja2!B:K,10,FALSE),0)</f>
        <v>3.5806411476474156</v>
      </c>
      <c r="BA16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67" s="30">
        <v>0</v>
      </c>
      <c r="BC167" s="30">
        <f>IF(Tabla14[[#This Row],[Market]]=0,Tabla14[[#This Row],[Precio Final]],Tabla14[[#This Row],[Market]])</f>
        <v>0</v>
      </c>
      <c r="BD167" s="82"/>
      <c r="BE167" s="82" t="str">
        <f>IF(AND(Tabla14[[#This Row],[Atraso a facturar]]&gt;0,Tabla14[[#This Row],[En puerto a facturar]]&gt;0,Tabla14[[#This Row],[Precio Atraso]]=0),"Revisar","OK")</f>
        <v>OK</v>
      </c>
      <c r="BF167" s="82" t="str">
        <f>IF(AND(Tabla14[[#This Row],[Venta del mes]]&gt;0,Tabla14[[#This Row],[Precio venta nueva]]=0),"Revisar","OK")</f>
        <v>OK</v>
      </c>
      <c r="BG167" s="20">
        <f>IFERROR(VLOOKUP(Tabla14[[#This Row],[Llave]],'[5]Consolidación planes'!$A:$M,9,FALSE),0)</f>
        <v>5000</v>
      </c>
      <c r="BH167" s="20">
        <f>IFERROR(VLOOKUP(Tabla14[[#This Row],[Llave]],'[5]Consolidación planes'!$A:$M,10,FALSE),0)</f>
        <v>6000</v>
      </c>
      <c r="BI167" s="20">
        <f>IFERROR(VLOOKUP(Tabla14[[#This Row],[Llave]],'[5]Consolidación planes'!$A:$M,11,FALSE),0)</f>
        <v>2500</v>
      </c>
      <c r="BJ167" s="20">
        <f>IFERROR(VLOOKUP(Tabla14[[#This Row],[Llave]],'[5]Consolidación planes'!$A:$M,12,FALSE),0)</f>
        <v>0</v>
      </c>
      <c r="BK167" s="20">
        <f>IFERROR(VLOOKUP(Tabla14[[#This Row],[Llave]],'[5]Consolidación planes'!$A:$M,13,FALSE),0)</f>
        <v>6000</v>
      </c>
      <c r="BL167" s="20">
        <f>IFERROR(VLOOKUP(Tabla14[[#This Row],[Llave]],'[13]Base ultimos planes'!$A:$M,13,FALSE),0)</f>
        <v>1500</v>
      </c>
      <c r="BM167" s="20">
        <f>IFERROR(VLOOKUP(Tabla14[[#This Row],[Llave]],'[13]Cruce plan irrestricto'!$C:$M,10,FALSE),0)</f>
        <v>3000</v>
      </c>
      <c r="BN167" s="20">
        <f>IFERROR(VLOOKUP(Tabla14[[#This Row],[Llave]],'[13]Cruce plan irrestricto'!$C:$M,11,FALSE),0)</f>
        <v>4330</v>
      </c>
      <c r="BO167" s="80">
        <f>IFERROR(VLOOKUP(Tabla14[[#This Row],[Llave]],'[13]Base ultimos planes'!$O:$AA,8,FALSE),0)</f>
        <v>17987.201300000001</v>
      </c>
      <c r="BP167" s="20">
        <f>IFERROR(VLOOKUP(Tabla14[[#This Row],[Llave]],'[13]Base ultimos planes'!$O:$AA,9,FALSE),0)</f>
        <v>21135</v>
      </c>
      <c r="BQ167" s="20">
        <f>IFERROR(VLOOKUP(Tabla14[[#This Row],[Llave]],'[13]Base ultimos planes'!$O:$AA,10,FALSE),0)</f>
        <v>8690</v>
      </c>
      <c r="BR167" s="20">
        <f>IFERROR(VLOOKUP(Tabla14[[#This Row],[Llave]],'[13]Base ultimos planes'!$O:$AA,11,FALSE),0)</f>
        <v>0</v>
      </c>
      <c r="BS167" s="20">
        <f>IFERROR(VLOOKUP(Tabla14[[#This Row],[Llave]],'[13]Base ultimos planes'!$O:$AA,12,FALSE),0)</f>
        <v>20254</v>
      </c>
      <c r="BT167" s="20">
        <f>IFERROR(VLOOKUP(Tabla14[[#This Row],[Llave]],'[13]Base ultimos planes'!$O:$AA,13,FALSE),0)</f>
        <v>4841</v>
      </c>
      <c r="BU167" s="20"/>
      <c r="BV167" s="20">
        <f>Tabla14[[#This Row],[ RV Producción mes n+1]]-Tabla14[[#This Row],[Producción disponible]]+Tabla14[[#This Row],[Saldo Volumen disponible]]</f>
        <v>1341</v>
      </c>
      <c r="BW167" s="20">
        <f>IFERROR(VLOOKUP(Tabla14[[#This Row],[Llave]],[14]Hoja2!$J:$N,4,FALSE),0)</f>
        <v>7199.9999600000001</v>
      </c>
      <c r="BX167" s="20">
        <f>+Tabla14[[#This Row],[Asignación mes n+1]]*Tabla14[[#This Row],[% Uti. producción]]</f>
        <v>5568.3996009365501</v>
      </c>
      <c r="BY167" s="20">
        <f>+Tabla14[[#This Row],[Ponderación mes n+1]]+Tabla14[[#This Row],[Saldo mes n-1]]</f>
        <v>6909.3996009365501</v>
      </c>
      <c r="BZ167" s="20">
        <f>+Tabla14[[#This Row],[Asignación mes n+1]]-Tabla14[[#This Row],[Ponderación mes n+1]]</f>
        <v>1631.60035906345</v>
      </c>
      <c r="CA167" s="20">
        <f>IFERROR(VLOOKUP(Tabla14[[#This Row],[Llave]],[14]Hoja2!$J:$N,5,FALSE),0)</f>
        <v>7200.0000399999999</v>
      </c>
      <c r="CB167" s="20">
        <f>+Tabla14[[#This Row],[Asignación mes n+2]]*Tabla14[[#This Row],[% Uti. producción]]</f>
        <v>5568.3996628076575</v>
      </c>
      <c r="CC167" s="20">
        <f>+Tabla14[[#This Row],[Saldo mes n+2]]+Tabla14[[#This Row],[Ponderación mes n+2]]</f>
        <v>7200.0000218711075</v>
      </c>
      <c r="CD167" s="20">
        <f>+Tabla14[[#This Row],[Asignación mes n+2]]-Tabla14[[#This Row],[Ponderación mes n+2]]</f>
        <v>1631.6003771923424</v>
      </c>
    </row>
    <row r="168" spans="1:82" ht="16" x14ac:dyDescent="0.2">
      <c r="A168">
        <v>1</v>
      </c>
      <c r="B168" t="str">
        <f>Tabla14[[#This Row],[Oficina]]&amp;Tabla14[[#This Row],[Material]]</f>
        <v>Exportacion Directa1020914</v>
      </c>
      <c r="C168" t="s">
        <v>6</v>
      </c>
      <c r="D168" t="s">
        <v>88</v>
      </c>
      <c r="E168">
        <v>1020914</v>
      </c>
      <c r="F168" t="s">
        <v>120</v>
      </c>
      <c r="G168" t="s">
        <v>56</v>
      </c>
      <c r="H168" t="s">
        <v>118</v>
      </c>
      <c r="I168" s="7">
        <f>IFERROR(IF(Tabla14[[#This Row],[Oficina]]=$I$7,VLOOKUP(Tabla14[[#This Row],[Material]],'[6]RV Producción'!$Y:$AA,3,FALSE),VLOOKUP(Tabla14[[#This Row],[Llave]],'[6]RV Producción'!$C:$G,5,FALSE)),0)</f>
        <v>12618</v>
      </c>
      <c r="J168" s="7">
        <f>IFERROR(IF(Tabla14[[#This Row],[Oficina]]=$I$7,VLOOKUP(Tabla14[[#This Row],[Llave]],'[7]Shangai (Tomas)'!$A:$F,6,FALSE),VLOOKUP(Tabla14[[#This Row],[Llave]],'[6]RV plan de ventas'!$A:$E,5,FALSE)),0)</f>
        <v>9000</v>
      </c>
      <c r="K168" s="8">
        <f>IFERROR(VLOOKUP(Tabla14[[#This Row],[Sector]]&amp;Tabla14[[#This Row],[Oficina]],[8]Ponderación!$A$3:$G$22,7,FALSE),0)</f>
        <v>0.77338883776001444</v>
      </c>
      <c r="L168" s="7">
        <f>+Tabla14[[#This Row],[ RV Producción mes n+1]]*Tabla14[[#This Row],[% Uti. producción]]</f>
        <v>9758.6203548558624</v>
      </c>
      <c r="M168" s="7">
        <f>IFERROR(VLOOKUP(Tabla14[[#This Row],[Material]],'[9]TD Stock'!$B:$C,2,FALSE),0)</f>
        <v>3831.4700000000003</v>
      </c>
      <c r="N168" s="7">
        <f>IFERROR(VLOOKUP(Tabla14[[#This Row],[Material]],'[10]Consolidado planificación'!$B:$C,2,FALSE),0)</f>
        <v>2618</v>
      </c>
      <c r="O168" s="7">
        <f>IFERROR(VLOOKUP(Tabla14[[#This Row],[Llave]],[11]Hoja2!$D:$G,4,FALSE),0)</f>
        <v>0</v>
      </c>
      <c r="P168" s="14">
        <f>SUM(Tabla14[[#This Row],[Producción disponible]],Tabla14[[#This Row],[Stock al día]],(Tabla14[[#This Row],[Por producir mes N]]*0.9))-Tabla14[[#This Row],[Producción por despachar mes N]]</f>
        <v>15946.290354855864</v>
      </c>
      <c r="Q168" s="7">
        <f>IFERROR(VLOOKUP(Tabla14[[#This Row],[Llave]],[9]DELAY!$A:$D,4,FALSE),0)</f>
        <v>25500</v>
      </c>
      <c r="R168" s="9">
        <v>1285.7142857142858</v>
      </c>
      <c r="S168" s="5">
        <f t="shared" si="7"/>
        <v>15428.571428571429</v>
      </c>
      <c r="T168" s="76">
        <v>-8429</v>
      </c>
      <c r="U168" s="5">
        <f>+Tabla14[[#This Row],[Atraso a facturar]]+Tabla14[[#This Row],[Ajuste atraso]]</f>
        <v>6999.5714285714294</v>
      </c>
      <c r="V168" s="3">
        <f>+Tabla14[[#This Row],[Total disponible]]-Tabla14[[#This Row],[Facturación atraso]]</f>
        <v>8946.7189262844349</v>
      </c>
      <c r="W168" s="6">
        <f>IFERROR(IF(AND(V168&gt;R168,J168&gt;=R168),ROUNDDOWN((Tabla14[[#This Row],[Producción para venta nueva]])/R168,0)*R168,0),0)</f>
        <v>7714.2857142857147</v>
      </c>
      <c r="X168" s="76">
        <v>-5714</v>
      </c>
      <c r="Y168" s="6">
        <f>IF(Tabla14[[#This Row],[Venta del mes]]&gt;0,Tabla14[[#This Row],[Venta del mes]]+Tabla14[[#This Row],[Ajuste venta nueva]],0)</f>
        <v>2000.2857142857147</v>
      </c>
      <c r="Z168" s="6">
        <f>+Tabla14[[#This Row],[Producción para venta nueva]]-Tabla14[[#This Row],[Facturación Venta nueva]]</f>
        <v>6946.4332119987203</v>
      </c>
      <c r="AA168" s="6">
        <f>IF(AND(A168=1,Tabla14[[#This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8" s="6">
        <v>0</v>
      </c>
      <c r="AC168" s="6">
        <f>IF(Tabla14[[#This Row],[Disponible stock sin venta]]&gt;0,Tabla14[[#This Row],[Disponible stock sin venta]]+Tabla14[[#This Row],[Ajuste stock sin venta]],0)</f>
        <v>0</v>
      </c>
      <c r="AD168" s="3">
        <f>IFERROR(VLOOKUP(Tabla14[[#This Row],[Llave]],[12]Hoja1!$A:$D,4,FALSE),0)</f>
        <v>0</v>
      </c>
      <c r="AE16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23142.857142857145</v>
      </c>
      <c r="AF168" s="3">
        <v>15428.571428571429</v>
      </c>
      <c r="AG168" s="3">
        <f>+Tabla14[[#This Row],[En puerto a facturar]]</f>
        <v>0</v>
      </c>
      <c r="AH168" s="3">
        <f>+Tabla14[[#This Row],[Facturación atraso]]</f>
        <v>6999.5714285714294</v>
      </c>
      <c r="AI168" s="3">
        <f>+Tabla14[[#This Row],[Plan Irrestricto (DATO)]]-Tabla14[[#This Row],[Puerto ]]-Tabla14[[#This Row],[Atraso]]</f>
        <v>8429</v>
      </c>
      <c r="AJ168" s="6">
        <f>IF(Tabla14[[#This Row],[Plan Irrestricto (DATO)]]&gt;0,SUM(Tabla14[[#This Row],[Facturación atraso]],Tabla14[[#This Row],[Facturación Venta nueva]],Tabla14[[#This Row],[Facturación stock]],Tabla14[[#This Row],[En puerto a facturar]]),0)</f>
        <v>8999.8571428571449</v>
      </c>
      <c r="AK168" s="3">
        <f>+Tabla14[[#This Row],[Facturación atraso]]</f>
        <v>6999.5714285714294</v>
      </c>
      <c r="AL168" s="3">
        <f>Tabla14[[#This Row],[Plan Ajustado]]-Tabla14[[#This Row],[ Atraso ajustado]]-Tabla14[[#This Row],[En puerto a facturar]]</f>
        <v>2000.2857142857156</v>
      </c>
      <c r="AM168" s="3">
        <v>0</v>
      </c>
      <c r="AN168" s="3"/>
      <c r="AO168" s="3" t="str">
        <f>IF(Tabla14[[#This Row],[Plan Ajustado]]&gt;Tabla14[[#This Row],[En puerto a facturar]],"Si","No")</f>
        <v>Si</v>
      </c>
      <c r="AP168" s="3">
        <f>IF(AND(Tabla14[[#This Row],[Plan Ajustado]]&gt;0,Tabla14[[#This Row],[Plan Ajustado]]&gt;Tabla14[[#This Row],[En puerto a facturar]]),(Tabla14[[#This Row],[Plan Ajustado]]-Tabla14[[#This Row],[En puerto a facturar]]),0)</f>
        <v>8999.8571428571449</v>
      </c>
      <c r="AQ168" s="3">
        <f>IF(Tabla14[[#This Row],[Necesidad]]&gt;=Tabla14[[#This Row],[Stock al día]],Tabla14[[#This Row],[Stock al día]],Tabla14[[#This Row],[Necesidad]])</f>
        <v>3831.4700000000003</v>
      </c>
      <c r="AR168" s="3">
        <f>+Tabla14[[#This Row],[Necesidad]]-Tabla14[[#This Row],[Stock Plan]]</f>
        <v>5168.3871428571447</v>
      </c>
      <c r="AS168" s="155">
        <f>VLOOKUP(Tabla14[[#This Row],[Sector]]&amp;Tabla14[[#This Row],[Oficina]],[8]Ponderación!$A:$H,8,FALSE)</f>
        <v>44817</v>
      </c>
      <c r="AT168" s="30">
        <f>IFERROR(VLOOKUP(Tabla14[[#This Row],[Llave]],'[6]RV plan de ventas'!$A:$F,6,FALSE),0)</f>
        <v>5.6297777777777798</v>
      </c>
      <c r="AU168" s="83">
        <f>IFERROR(VLOOKUP(Tabla14[[#This Row],[Llave]],[9]DELAY!$H:$X,17,FALSE),0)</f>
        <v>5.44755668235294</v>
      </c>
      <c r="AV16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5.4880566867679086</v>
      </c>
      <c r="AW168" s="5">
        <f>Tabla14[[#This Row],[Pecio plan]]*Tabla14[[#This Row],[Plan Ajustado]]</f>
        <v>49391.726172813076</v>
      </c>
      <c r="AX168" s="30">
        <f>IFERROR(VLOOKUP(Tabla14[[#This Row],[Llave]],'[13]Ultimos precios facturados'!$A:$G,7,FALSE),0)</f>
        <v>5.1318059372396556</v>
      </c>
      <c r="AY16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6.9420152259279805E-2</v>
      </c>
      <c r="AZ168" s="30">
        <f>IFERROR(VLOOKUP(Tabla14[[#This Row],[Llave]],Hoja2!B:K,10,FALSE),0)</f>
        <v>5.4255752288888885</v>
      </c>
      <c r="BA16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5.4880566867679086</v>
      </c>
      <c r="BB168" s="30">
        <v>0</v>
      </c>
      <c r="BC168" s="30">
        <f>IF(Tabla14[[#This Row],[Market]]=0,Tabla14[[#This Row],[Precio Final]],Tabla14[[#This Row],[Market]])</f>
        <v>5.4880566867679086</v>
      </c>
      <c r="BD168" s="82"/>
      <c r="BE168" s="82" t="str">
        <f>IF(AND(Tabla14[[#This Row],[Atraso a facturar]]&gt;0,Tabla14[[#This Row],[En puerto a facturar]]&gt;0,Tabla14[[#This Row],[Precio Atraso]]=0),"Revisar","OK")</f>
        <v>OK</v>
      </c>
      <c r="BF168" s="82" t="str">
        <f>IF(AND(Tabla14[[#This Row],[Venta del mes]]&gt;0,Tabla14[[#This Row],[Precio venta nueva]]=0),"Revisar","OK")</f>
        <v>OK</v>
      </c>
      <c r="BG168" s="20">
        <f>IFERROR(VLOOKUP(Tabla14[[#This Row],[Llave]],'[5]Consolidación planes'!$A:$M,9,FALSE),0)</f>
        <v>3000</v>
      </c>
      <c r="BH168" s="20">
        <f>IFERROR(VLOOKUP(Tabla14[[#This Row],[Llave]],'[5]Consolidación planes'!$A:$M,10,FALSE),0)</f>
        <v>0</v>
      </c>
      <c r="BI168" s="20">
        <f>IFERROR(VLOOKUP(Tabla14[[#This Row],[Llave]],'[5]Consolidación planes'!$A:$M,11,FALSE),0)</f>
        <v>3000</v>
      </c>
      <c r="BJ168" s="20">
        <f>IFERROR(VLOOKUP(Tabla14[[#This Row],[Llave]],'[5]Consolidación planes'!$A:$M,12,FALSE),0)</f>
        <v>15000</v>
      </c>
      <c r="BK168" s="20">
        <f>IFERROR(VLOOKUP(Tabla14[[#This Row],[Llave]],'[5]Consolidación planes'!$A:$M,13,FALSE),0)</f>
        <v>10000</v>
      </c>
      <c r="BL168" s="20">
        <f>IFERROR(VLOOKUP(Tabla14[[#This Row],[Llave]],'[13]Base ultimos planes'!$A:$M,13,FALSE),0)</f>
        <v>12786</v>
      </c>
      <c r="BM168" s="20">
        <f>IFERROR(VLOOKUP(Tabla14[[#This Row],[Llave]],'[13]Cruce plan irrestricto'!$C:$M,10,FALSE),0)</f>
        <v>14143</v>
      </c>
      <c r="BN168" s="20">
        <f>IFERROR(VLOOKUP(Tabla14[[#This Row],[Llave]],'[13]Cruce plan irrestricto'!$C:$M,11,FALSE),0)</f>
        <v>22142.86</v>
      </c>
      <c r="BO168" s="80">
        <f>IFERROR(VLOOKUP(Tabla14[[#This Row],[Llave]],'[13]Base ultimos planes'!$O:$AA,8,FALSE),0)</f>
        <v>17508.131799999999</v>
      </c>
      <c r="BP168" s="20">
        <f>IFERROR(VLOOKUP(Tabla14[[#This Row],[Llave]],'[13]Base ultimos planes'!$O:$AA,9,FALSE),0)</f>
        <v>0</v>
      </c>
      <c r="BQ168" s="20">
        <f>IFERROR(VLOOKUP(Tabla14[[#This Row],[Llave]],'[13]Base ultimos planes'!$O:$AA,10,FALSE),0)</f>
        <v>17286</v>
      </c>
      <c r="BR168" s="20">
        <f>IFERROR(VLOOKUP(Tabla14[[#This Row],[Llave]],'[13]Base ultimos planes'!$O:$AA,11,FALSE),0)</f>
        <v>84027</v>
      </c>
      <c r="BS168" s="20">
        <f>IFERROR(VLOOKUP(Tabla14[[#This Row],[Llave]],'[13]Base ultimos planes'!$O:$AA,12,FALSE),0)</f>
        <v>55306</v>
      </c>
      <c r="BT168" s="20">
        <f>IFERROR(VLOOKUP(Tabla14[[#This Row],[Llave]],'[13]Base ultimos planes'!$O:$AA,13,FALSE),0)</f>
        <v>65820</v>
      </c>
      <c r="BU168" s="20"/>
      <c r="BV168" s="20">
        <f>Tabla14[[#This Row],[ RV Producción mes n+1]]-Tabla14[[#This Row],[Producción disponible]]+Tabla14[[#This Row],[Saldo Volumen disponible]]</f>
        <v>9805.812857142857</v>
      </c>
      <c r="BW168" s="20">
        <f>IFERROR(VLOOKUP(Tabla14[[#This Row],[Llave]],[14]Hoja2!$J:$N,4,FALSE),0)</f>
        <v>11657.5591</v>
      </c>
      <c r="BX168" s="20">
        <f>+Tabla14[[#This Row],[Asignación mes n+1]]*Tabla14[[#This Row],[% Uti. producción]]</f>
        <v>9015.8260834676803</v>
      </c>
      <c r="BY168" s="20">
        <f>+Tabla14[[#This Row],[Ponderación mes n+1]]+Tabla14[[#This Row],[Saldo mes n-1]]</f>
        <v>18821.638940610537</v>
      </c>
      <c r="BZ168" s="20">
        <f>+Tabla14[[#This Row],[Asignación mes n+1]]-Tabla14[[#This Row],[Ponderación mes n+1]]</f>
        <v>2641.7330165323201</v>
      </c>
      <c r="CA168" s="20">
        <f>IFERROR(VLOOKUP(Tabla14[[#This Row],[Llave]],[14]Hoja2!$J:$N,5,FALSE),0)</f>
        <v>6300</v>
      </c>
      <c r="CB168" s="20">
        <f>+Tabla14[[#This Row],[Asignación mes n+2]]*Tabla14[[#This Row],[% Uti. producción]]</f>
        <v>4872.3496778880908</v>
      </c>
      <c r="CC168" s="20">
        <f>+Tabla14[[#This Row],[Saldo mes n+2]]+Tabla14[[#This Row],[Ponderación mes n+2]]</f>
        <v>7514.0826944204109</v>
      </c>
      <c r="CD168" s="20">
        <f>+Tabla14[[#This Row],[Asignación mes n+2]]-Tabla14[[#This Row],[Ponderación mes n+2]]</f>
        <v>1427.6503221119092</v>
      </c>
    </row>
    <row r="169" spans="1:82" ht="16" x14ac:dyDescent="0.2">
      <c r="A169">
        <v>1</v>
      </c>
      <c r="B169" t="str">
        <f>Tabla14[[#This Row],[Oficina]]&amp;Tabla14[[#This Row],[Material]]</f>
        <v>Exportacion Directa1020990</v>
      </c>
      <c r="C169" t="s">
        <v>6</v>
      </c>
      <c r="D169" t="s">
        <v>88</v>
      </c>
      <c r="E169">
        <v>1020990</v>
      </c>
      <c r="F169" t="s">
        <v>132</v>
      </c>
      <c r="G169" t="s">
        <v>59</v>
      </c>
      <c r="H169" t="s">
        <v>65</v>
      </c>
      <c r="I169" s="7">
        <f>IFERROR(IF(Tabla14[[#This Row],[Oficina]]=$I$7,VLOOKUP(Tabla14[[#This Row],[Material]],'[6]RV Producción'!$Y:$AA,3,FALSE),VLOOKUP(Tabla14[[#This Row],[Llave]],'[6]RV Producción'!$C:$G,5,FALSE)),0)</f>
        <v>158</v>
      </c>
      <c r="J169" s="7">
        <f>IFERROR(IF(Tabla14[[#This Row],[Oficina]]=$I$7,VLOOKUP(Tabla14[[#This Row],[Llave]],'[7]Shangai (Tomas)'!$A:$F,6,FALSE),VLOOKUP(Tabla14[[#This Row],[Llave]],'[6]RV plan de ventas'!$A:$E,5,FALSE)),0)</f>
        <v>5000</v>
      </c>
      <c r="K169" s="8">
        <f>IFERROR(VLOOKUP(Tabla14[[#This Row],[Sector]]&amp;Tabla14[[#This Row],[Oficina]],[8]Ponderación!$A$3:$G$22,7,FALSE),0)</f>
        <v>0.77338883776001444</v>
      </c>
      <c r="L169" s="7">
        <f>+Tabla14[[#This Row],[ RV Producción mes n+1]]*Tabla14[[#This Row],[% Uti. producción]]</f>
        <v>122.19543636608228</v>
      </c>
      <c r="M169" s="7">
        <f>IFERROR(VLOOKUP(Tabla14[[#This Row],[Material]],'[9]TD Stock'!$B:$C,2,FALSE),0)</f>
        <v>12622.341000000008</v>
      </c>
      <c r="N169" s="7">
        <f>IFERROR(VLOOKUP(Tabla14[[#This Row],[Material]],'[10]Consolidado planificación'!$B:$C,2,FALSE),0)</f>
        <v>0</v>
      </c>
      <c r="O169" s="7">
        <f>IFERROR(VLOOKUP(Tabla14[[#This Row],[Llave]],[11]Hoja2!$D:$G,4,FALSE),0)</f>
        <v>0</v>
      </c>
      <c r="P169" s="14">
        <f>SUM(Tabla14[[#This Row],[Producción disponible]],Tabla14[[#This Row],[Stock al día]],(Tabla14[[#This Row],[Por producir mes N]]*0.9))-Tabla14[[#This Row],[Producción por despachar mes N]]</f>
        <v>12744.53643636609</v>
      </c>
      <c r="Q169" s="7">
        <f>IFERROR(VLOOKUP(Tabla14[[#This Row],[Llave]],[9]DELAY!$A:$D,4,FALSE),0)</f>
        <v>10000</v>
      </c>
      <c r="R169" s="9">
        <v>2666.6666666666665</v>
      </c>
      <c r="S169" s="5">
        <f t="shared" si="7"/>
        <v>10000</v>
      </c>
      <c r="T169" s="76">
        <v>-6000</v>
      </c>
      <c r="U169" s="5">
        <f>+Tabla14[[#This Row],[Atraso a facturar]]+Tabla14[[#This Row],[Ajuste atraso]]</f>
        <v>4000</v>
      </c>
      <c r="V169" s="3">
        <f>+Tabla14[[#This Row],[Total disponible]]-Tabla14[[#This Row],[Facturación atraso]]</f>
        <v>8744.5364363660901</v>
      </c>
      <c r="W169" s="6">
        <f>IFERROR(IF(AND(V169&gt;R169,J169&gt;=R169),ROUNDDOWN((Tabla14[[#This Row],[Producción para venta nueva]])/R169,0)*R169,0),0)</f>
        <v>8000</v>
      </c>
      <c r="X169" s="76">
        <v>-5000</v>
      </c>
      <c r="Y169" s="6">
        <f>IF(Tabla14[[#This Row],[Venta del mes]]&gt;0,Tabla14[[#This Row],[Venta del mes]]+Tabla14[[#This Row],[Ajuste venta nueva]],0)</f>
        <v>3000</v>
      </c>
      <c r="Z169" s="6">
        <f>+Tabla14[[#This Row],[Producción para venta nueva]]-Tabla14[[#This Row],[Facturación Venta nueva]]</f>
        <v>5744.5364363660901</v>
      </c>
      <c r="AA169" s="6">
        <f>IF(AND(A169=1,Tabla14[[#This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69" s="6">
        <v>0</v>
      </c>
      <c r="AC169" s="6">
        <f>IF(Tabla14[[#This Row],[Disponible stock sin venta]]&gt;0,Tabla14[[#This Row],[Disponible stock sin venta]]+Tabla14[[#This Row],[Ajuste stock sin venta]],0)</f>
        <v>0</v>
      </c>
      <c r="AD169" s="3">
        <f>IFERROR(VLOOKUP(Tabla14[[#This Row],[Llave]],[12]Hoja1!$A:$D,4,FALSE),0)</f>
        <v>0</v>
      </c>
      <c r="AE16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18000</v>
      </c>
      <c r="AF169" s="3">
        <v>12666.666666666666</v>
      </c>
      <c r="AG169" s="3">
        <f>+Tabla14[[#This Row],[En puerto a facturar]]</f>
        <v>0</v>
      </c>
      <c r="AH169" s="3">
        <f>+Tabla14[[#This Row],[Facturación atraso]]</f>
        <v>4000</v>
      </c>
      <c r="AI169" s="3">
        <f>+Tabla14[[#This Row],[Plan Irrestricto (DATO)]]-Tabla14[[#This Row],[Puerto ]]-Tabla14[[#This Row],[Atraso]]</f>
        <v>8666.6666666666661</v>
      </c>
      <c r="AJ169" s="6">
        <f>IF(Tabla14[[#This Row],[Plan Irrestricto (DATO)]]&gt;0,SUM(Tabla14[[#This Row],[Facturación atraso]],Tabla14[[#This Row],[Facturación Venta nueva]],Tabla14[[#This Row],[Facturación stock]],Tabla14[[#This Row],[En puerto a facturar]]),0)</f>
        <v>7000</v>
      </c>
      <c r="AK169" s="3">
        <f>+Tabla14[[#This Row],[Facturación atraso]]</f>
        <v>4000</v>
      </c>
      <c r="AL169" s="3">
        <f>Tabla14[[#This Row],[Plan Ajustado]]-Tabla14[[#This Row],[ Atraso ajustado]]-Tabla14[[#This Row],[En puerto a facturar]]</f>
        <v>3000</v>
      </c>
      <c r="AM169" s="3">
        <v>0</v>
      </c>
      <c r="AN169" s="3"/>
      <c r="AO169" s="3" t="str">
        <f>IF(Tabla14[[#This Row],[Plan Ajustado]]&gt;Tabla14[[#This Row],[En puerto a facturar]],"Si","No")</f>
        <v>Si</v>
      </c>
      <c r="AP169" s="3">
        <f>IF(AND(Tabla14[[#This Row],[Plan Ajustado]]&gt;0,Tabla14[[#This Row],[Plan Ajustado]]&gt;Tabla14[[#This Row],[En puerto a facturar]]),(Tabla14[[#This Row],[Plan Ajustado]]-Tabla14[[#This Row],[En puerto a facturar]]),0)</f>
        <v>7000</v>
      </c>
      <c r="AQ169" s="3">
        <f>IF(Tabla14[[#This Row],[Necesidad]]&gt;=Tabla14[[#This Row],[Stock al día]],Tabla14[[#This Row],[Stock al día]],Tabla14[[#This Row],[Necesidad]])</f>
        <v>7000</v>
      </c>
      <c r="AR169" s="3">
        <f>+Tabla14[[#This Row],[Necesidad]]-Tabla14[[#This Row],[Stock Plan]]</f>
        <v>0</v>
      </c>
      <c r="AS169" s="155">
        <f>VLOOKUP(Tabla14[[#This Row],[Sector]]&amp;Tabla14[[#This Row],[Oficina]],[8]Ponderación!$A:$H,8,FALSE)</f>
        <v>44817</v>
      </c>
      <c r="AT169" s="30">
        <f>IFERROR(VLOOKUP(Tabla14[[#This Row],[Llave]],'[6]RV plan de ventas'!$A:$F,6,FALSE),0)</f>
        <v>3.6097999999999999</v>
      </c>
      <c r="AU169" s="83">
        <f>IFERROR(VLOOKUP(Tabla14[[#This Row],[Llave]],[9]DELAY!$H:$X,17,FALSE),0)</f>
        <v>3.5164814700000004</v>
      </c>
      <c r="AV16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3.5564751257142864</v>
      </c>
      <c r="AW169" s="5">
        <f>Tabla14[[#This Row],[Pecio plan]]*Tabla14[[#This Row],[Plan Ajustado]]</f>
        <v>24895.325880000004</v>
      </c>
      <c r="AX169" s="30">
        <f>IFERROR(VLOOKUP(Tabla14[[#This Row],[Llave]],'[13]Ultimos precios facturados'!$A:$G,7,FALSE),0)</f>
        <v>3.6921862292727035</v>
      </c>
      <c r="AY16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3.6756299691077562E-2</v>
      </c>
      <c r="AZ169" s="30">
        <f>IFERROR(VLOOKUP(Tabla14[[#This Row],[Llave]],Hoja2!B:K,10,FALSE),0)</f>
        <v>3.4651205361906907</v>
      </c>
      <c r="BA16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3.5564751257142864</v>
      </c>
      <c r="BB169" s="30">
        <v>0</v>
      </c>
      <c r="BC169" s="30">
        <f>IF(Tabla14[[#This Row],[Market]]=0,Tabla14[[#This Row],[Precio Final]],Tabla14[[#This Row],[Market]])</f>
        <v>3.5564751257142864</v>
      </c>
      <c r="BD169" s="82"/>
      <c r="BE169" s="82" t="str">
        <f>IF(AND(Tabla14[[#This Row],[Atraso a facturar]]&gt;0,Tabla14[[#This Row],[En puerto a facturar]]&gt;0,Tabla14[[#This Row],[Precio Atraso]]=0),"Revisar","OK")</f>
        <v>OK</v>
      </c>
      <c r="BF169" s="82" t="str">
        <f>IF(AND(Tabla14[[#This Row],[Venta del mes]]&gt;0,Tabla14[[#This Row],[Precio venta nueva]]=0),"Revisar","OK")</f>
        <v>OK</v>
      </c>
      <c r="BG169" s="20">
        <f>IFERROR(VLOOKUP(Tabla14[[#This Row],[Llave]],'[5]Consolidación planes'!$A:$M,9,FALSE),0)</f>
        <v>8750</v>
      </c>
      <c r="BH169" s="20">
        <f>IFERROR(VLOOKUP(Tabla14[[#This Row],[Llave]],'[5]Consolidación planes'!$A:$M,10,FALSE),0)</f>
        <v>4750</v>
      </c>
      <c r="BI169" s="20">
        <f>IFERROR(VLOOKUP(Tabla14[[#This Row],[Llave]],'[5]Consolidación planes'!$A:$M,11,FALSE),0)</f>
        <v>7000</v>
      </c>
      <c r="BJ169" s="20">
        <f>IFERROR(VLOOKUP(Tabla14[[#This Row],[Llave]],'[5]Consolidación planes'!$A:$M,12,FALSE),0)</f>
        <v>13000</v>
      </c>
      <c r="BK169" s="20">
        <f>IFERROR(VLOOKUP(Tabla14[[#This Row],[Llave]],'[5]Consolidación planes'!$A:$M,13,FALSE),0)</f>
        <v>13000</v>
      </c>
      <c r="BL169" s="20">
        <f>IFERROR(VLOOKUP(Tabla14[[#This Row],[Llave]],'[13]Base ultimos planes'!$A:$M,13,FALSE),0)</f>
        <v>8000</v>
      </c>
      <c r="BM169" s="20">
        <f>IFERROR(VLOOKUP(Tabla14[[#This Row],[Llave]],'[13]Cruce plan irrestricto'!$C:$M,10,FALSE),0)</f>
        <v>7833</v>
      </c>
      <c r="BN169" s="20">
        <f>IFERROR(VLOOKUP(Tabla14[[#This Row],[Llave]],'[13]Cruce plan irrestricto'!$C:$M,11,FALSE),0)</f>
        <v>5901.33</v>
      </c>
      <c r="BO169" s="80">
        <f>IFERROR(VLOOKUP(Tabla14[[#This Row],[Llave]],'[13]Base ultimos planes'!$O:$AA,8,FALSE),0)</f>
        <v>36645.971899999997</v>
      </c>
      <c r="BP169" s="20">
        <f>IFERROR(VLOOKUP(Tabla14[[#This Row],[Llave]],'[13]Base ultimos planes'!$O:$AA,9,FALSE),0)</f>
        <v>19327</v>
      </c>
      <c r="BQ169" s="20">
        <f>IFERROR(VLOOKUP(Tabla14[[#This Row],[Llave]],'[13]Base ultimos planes'!$O:$AA,10,FALSE),0)</f>
        <v>28598</v>
      </c>
      <c r="BR169" s="20">
        <f>IFERROR(VLOOKUP(Tabla14[[#This Row],[Llave]],'[13]Base ultimos planes'!$O:$AA,11,FALSE),0)</f>
        <v>51483</v>
      </c>
      <c r="BS169" s="20">
        <f>IFERROR(VLOOKUP(Tabla14[[#This Row],[Llave]],'[13]Base ultimos planes'!$O:$AA,12,FALSE),0)</f>
        <v>50072</v>
      </c>
      <c r="BT169" s="20">
        <f>IFERROR(VLOOKUP(Tabla14[[#This Row],[Llave]],'[13]Base ultimos planes'!$O:$AA,13,FALSE),0)</f>
        <v>28828</v>
      </c>
      <c r="BU169" s="20"/>
      <c r="BV169" s="20">
        <f>Tabla14[[#This Row],[ RV Producción mes n+1]]-Tabla14[[#This Row],[Producción disponible]]+Tabla14[[#This Row],[Saldo Volumen disponible]]</f>
        <v>5780.3410000000076</v>
      </c>
      <c r="BW169" s="20">
        <f>IFERROR(VLOOKUP(Tabla14[[#This Row],[Llave]],[14]Hoja2!$J:$N,4,FALSE),0)</f>
        <v>9000</v>
      </c>
      <c r="BX169" s="20">
        <f>+Tabla14[[#This Row],[Asignación mes n+1]]*Tabla14[[#This Row],[% Uti. producción]]</f>
        <v>6960.4995398401297</v>
      </c>
      <c r="BY169" s="20">
        <f>+Tabla14[[#This Row],[Ponderación mes n+1]]+Tabla14[[#This Row],[Saldo mes n-1]]</f>
        <v>12740.840539840137</v>
      </c>
      <c r="BZ169" s="20">
        <f>+Tabla14[[#This Row],[Asignación mes n+1]]-Tabla14[[#This Row],[Ponderación mes n+1]]</f>
        <v>2039.5004601598703</v>
      </c>
      <c r="CA169" s="20">
        <f>IFERROR(VLOOKUP(Tabla14[[#This Row],[Llave]],[14]Hoja2!$J:$N,5,FALSE),0)</f>
        <v>9000</v>
      </c>
      <c r="CB169" s="20">
        <f>+Tabla14[[#This Row],[Asignación mes n+2]]*Tabla14[[#This Row],[% Uti. producción]]</f>
        <v>6960.4995398401297</v>
      </c>
      <c r="CC169" s="20">
        <f>+Tabla14[[#This Row],[Saldo mes n+2]]+Tabla14[[#This Row],[Ponderación mes n+2]]</f>
        <v>9000</v>
      </c>
      <c r="CD169" s="20">
        <f>+Tabla14[[#This Row],[Asignación mes n+2]]-Tabla14[[#This Row],[Ponderación mes n+2]]</f>
        <v>2039.5004601598703</v>
      </c>
    </row>
    <row r="170" spans="1:82" ht="16" x14ac:dyDescent="0.2">
      <c r="A170">
        <v>1</v>
      </c>
      <c r="B170" t="str">
        <f>Tabla14[[#This Row],[Oficina]]&amp;Tabla14[[#This Row],[Material]]</f>
        <v>Exportacion Directa1020991</v>
      </c>
      <c r="C170" t="s">
        <v>6</v>
      </c>
      <c r="D170" t="s">
        <v>88</v>
      </c>
      <c r="E170">
        <v>1020991</v>
      </c>
      <c r="F170" t="s">
        <v>133</v>
      </c>
      <c r="G170" t="s">
        <v>59</v>
      </c>
      <c r="H170" t="s">
        <v>65</v>
      </c>
      <c r="I170" s="7">
        <f>IFERROR(IF(Tabla14[[#This Row],[Oficina]]=$I$7,VLOOKUP(Tabla14[[#This Row],[Material]],'[6]RV Producción'!$Y:$AA,3,FALSE),VLOOKUP(Tabla14[[#This Row],[Llave]],'[6]RV Producción'!$C:$G,5,FALSE)),0)</f>
        <v>13000</v>
      </c>
      <c r="J170" s="7">
        <f>IFERROR(IF(Tabla14[[#This Row],[Oficina]]=$I$7,VLOOKUP(Tabla14[[#This Row],[Llave]],'[7]Shangai (Tomas)'!$A:$F,6,FALSE),VLOOKUP(Tabla14[[#This Row],[Llave]],'[6]RV plan de ventas'!$A:$E,5,FALSE)),0)</f>
        <v>8000</v>
      </c>
      <c r="K170" s="8">
        <f>IFERROR(VLOOKUP(Tabla14[[#This Row],[Sector]]&amp;Tabla14[[#This Row],[Oficina]],[8]Ponderación!$A$3:$G$22,7,FALSE),0)</f>
        <v>0.77338883776001444</v>
      </c>
      <c r="L170" s="7">
        <f>+Tabla14[[#This Row],[ RV Producción mes n+1]]*Tabla14[[#This Row],[% Uti. producción]]</f>
        <v>10054.054890880188</v>
      </c>
      <c r="M170" s="7">
        <f>IFERROR(VLOOKUP(Tabla14[[#This Row],[Material]],'[9]TD Stock'!$B:$C,2,FALSE),0)</f>
        <v>4837.8780000000006</v>
      </c>
      <c r="N170" s="7">
        <f>IFERROR(VLOOKUP(Tabla14[[#This Row],[Material]],'[10]Consolidado planificación'!$B:$C,2,FALSE),0)</f>
        <v>2874.9</v>
      </c>
      <c r="O170" s="7">
        <f>IFERROR(VLOOKUP(Tabla14[[#This Row],[Llave]],[11]Hoja2!$D:$G,4,FALSE),0)</f>
        <v>0</v>
      </c>
      <c r="P170" s="14">
        <f>SUM(Tabla14[[#This Row],[Producción disponible]],Tabla14[[#This Row],[Stock al día]],(Tabla14[[#This Row],[Por producir mes N]]*0.9))-Tabla14[[#This Row],[Producción por despachar mes N]]</f>
        <v>17479.342890880191</v>
      </c>
      <c r="Q170" s="7">
        <f>IFERROR(VLOOKUP(Tabla14[[#This Row],[Llave]],[9]DELAY!$A:$D,4,FALSE),0)</f>
        <v>15000</v>
      </c>
      <c r="R170" s="9">
        <v>3333.3333333333335</v>
      </c>
      <c r="S170" s="5">
        <f t="shared" si="7"/>
        <v>15000</v>
      </c>
      <c r="T170" s="76">
        <v>-7000</v>
      </c>
      <c r="U170" s="5">
        <f>+Tabla14[[#This Row],[Atraso a facturar]]+Tabla14[[#This Row],[Ajuste atraso]]</f>
        <v>8000</v>
      </c>
      <c r="V170" s="3">
        <f>+Tabla14[[#This Row],[Total disponible]]-Tabla14[[#This Row],[Facturación atraso]]</f>
        <v>9479.3428908801907</v>
      </c>
      <c r="W170" s="6">
        <f>IFERROR(IF(AND(V170&gt;R170,J170&gt;=R170),ROUNDDOWN((Tabla14[[#This Row],[Producción para venta nueva]])/R170,0)*R170,0),0)</f>
        <v>6666.666666666667</v>
      </c>
      <c r="X170" s="76">
        <v>-3667</v>
      </c>
      <c r="Y170" s="6">
        <f>IF(Tabla14[[#This Row],[Venta del mes]]&gt;0,Tabla14[[#This Row],[Venta del mes]]+Tabla14[[#This Row],[Ajuste venta nueva]],0)</f>
        <v>2999.666666666667</v>
      </c>
      <c r="Z170" s="6">
        <f>+Tabla14[[#This Row],[Producción para venta nueva]]-Tabla14[[#This Row],[Facturación Venta nueva]]</f>
        <v>6479.6762242135237</v>
      </c>
      <c r="AA170" s="6">
        <f>IF(AND(A170=1,Tabla14[[#This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0" s="6">
        <v>0</v>
      </c>
      <c r="AC170" s="6">
        <f>IF(Tabla14[[#This Row],[Disponible stock sin venta]]&gt;0,Tabla14[[#This Row],[Disponible stock sin venta]]+Tabla14[[#This Row],[Ajuste stock sin venta]],0)</f>
        <v>0</v>
      </c>
      <c r="AD170" s="3">
        <f>IFERROR(VLOOKUP(Tabla14[[#This Row],[Llave]],[12]Hoja1!$A:$D,4,FALSE),0)</f>
        <v>0</v>
      </c>
      <c r="AE17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21666.666666666668</v>
      </c>
      <c r="AF170" s="3">
        <v>15000</v>
      </c>
      <c r="AG170" s="3">
        <f>+Tabla14[[#This Row],[En puerto a facturar]]</f>
        <v>0</v>
      </c>
      <c r="AH170" s="3">
        <f>+Tabla14[[#This Row],[Facturación atraso]]</f>
        <v>8000</v>
      </c>
      <c r="AI170" s="3">
        <f>+Tabla14[[#This Row],[Plan Irrestricto (DATO)]]-Tabla14[[#This Row],[Puerto ]]-Tabla14[[#This Row],[Atraso]]</f>
        <v>7000</v>
      </c>
      <c r="AJ170" s="6">
        <f>IF(Tabla14[[#This Row],[Plan Irrestricto (DATO)]]&gt;0,SUM(Tabla14[[#This Row],[Facturación atraso]],Tabla14[[#This Row],[Facturación Venta nueva]],Tabla14[[#This Row],[Facturación stock]],Tabla14[[#This Row],[En puerto a facturar]]),0)</f>
        <v>10999.666666666668</v>
      </c>
      <c r="AK170" s="3">
        <f>+Tabla14[[#This Row],[Facturación atraso]]</f>
        <v>8000</v>
      </c>
      <c r="AL170" s="3">
        <f>Tabla14[[#This Row],[Plan Ajustado]]-Tabla14[[#This Row],[ Atraso ajustado]]-Tabla14[[#This Row],[En puerto a facturar]]</f>
        <v>2999.6666666666679</v>
      </c>
      <c r="AM170" s="3">
        <v>0</v>
      </c>
      <c r="AN170" s="3"/>
      <c r="AO170" s="3" t="str">
        <f>IF(Tabla14[[#This Row],[Plan Ajustado]]&gt;Tabla14[[#This Row],[En puerto a facturar]],"Si","No")</f>
        <v>Si</v>
      </c>
      <c r="AP170" s="3">
        <f>IF(AND(Tabla14[[#This Row],[Plan Ajustado]]&gt;0,Tabla14[[#This Row],[Plan Ajustado]]&gt;Tabla14[[#This Row],[En puerto a facturar]]),(Tabla14[[#This Row],[Plan Ajustado]]-Tabla14[[#This Row],[En puerto a facturar]]),0)</f>
        <v>10999.666666666668</v>
      </c>
      <c r="AQ170" s="3">
        <f>IF(Tabla14[[#This Row],[Necesidad]]&gt;=Tabla14[[#This Row],[Stock al día]],Tabla14[[#This Row],[Stock al día]],Tabla14[[#This Row],[Necesidad]])</f>
        <v>4837.8780000000006</v>
      </c>
      <c r="AR170" s="3">
        <f>+Tabla14[[#This Row],[Necesidad]]-Tabla14[[#This Row],[Stock Plan]]</f>
        <v>6161.7886666666673</v>
      </c>
      <c r="AS170" s="155">
        <f>VLOOKUP(Tabla14[[#This Row],[Sector]]&amp;Tabla14[[#This Row],[Oficina]],[8]Ponderación!$A:$H,8,FALSE)</f>
        <v>44817</v>
      </c>
      <c r="AT170" s="30">
        <f>IFERROR(VLOOKUP(Tabla14[[#This Row],[Llave]],'[6]RV plan de ventas'!$A:$F,6,FALSE),0)</f>
        <v>3.60975</v>
      </c>
      <c r="AU170" s="83">
        <f>IFERROR(VLOOKUP(Tabla14[[#This Row],[Llave]],[9]DELAY!$H:$X,17,FALSE),0)</f>
        <v>3.6122765822222203</v>
      </c>
      <c r="AV17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3.6115875700273725</v>
      </c>
      <c r="AW170" s="5">
        <f>Tabla14[[#This Row],[Pecio plan]]*Tabla14[[#This Row],[Plan Ajustado]]</f>
        <v>39726.259407777761</v>
      </c>
      <c r="AX170" s="30">
        <f>IFERROR(VLOOKUP(Tabla14[[#This Row],[Llave]],'[13]Ultimos precios facturados'!$A:$G,7,FALSE),0)</f>
        <v>3.5987652719465575</v>
      </c>
      <c r="AY17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3.5629714949092809E-3</v>
      </c>
      <c r="AZ170" s="30">
        <f>IFERROR(VLOOKUP(Tabla14[[#This Row],[Llave]],Hoja2!B:K,10,FALSE),0)</f>
        <v>3.6104867696969696</v>
      </c>
      <c r="BA17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3.6115875700273725</v>
      </c>
      <c r="BB170" s="30">
        <v>0</v>
      </c>
      <c r="BC170" s="30">
        <f>IF(Tabla14[[#This Row],[Market]]=0,Tabla14[[#This Row],[Precio Final]],Tabla14[[#This Row],[Market]])</f>
        <v>3.6115875700273725</v>
      </c>
      <c r="BD170" s="82"/>
      <c r="BE170" s="82" t="str">
        <f>IF(AND(Tabla14[[#This Row],[Atraso a facturar]]&gt;0,Tabla14[[#This Row],[En puerto a facturar]]&gt;0,Tabla14[[#This Row],[Precio Atraso]]=0),"Revisar","OK")</f>
        <v>OK</v>
      </c>
      <c r="BF170" s="82" t="str">
        <f>IF(AND(Tabla14[[#This Row],[Venta del mes]]&gt;0,Tabla14[[#This Row],[Precio venta nueva]]=0),"Revisar","OK")</f>
        <v>OK</v>
      </c>
      <c r="BG170" s="20">
        <f>IFERROR(VLOOKUP(Tabla14[[#This Row],[Llave]],'[5]Consolidación planes'!$A:$M,9,FALSE),0)</f>
        <v>1250</v>
      </c>
      <c r="BH170" s="20">
        <f>IFERROR(VLOOKUP(Tabla14[[#This Row],[Llave]],'[5]Consolidación planes'!$A:$M,10,FALSE),0)</f>
        <v>5000</v>
      </c>
      <c r="BI170" s="20">
        <f>IFERROR(VLOOKUP(Tabla14[[#This Row],[Llave]],'[5]Consolidación planes'!$A:$M,11,FALSE),0)</f>
        <v>5000</v>
      </c>
      <c r="BJ170" s="20">
        <f>IFERROR(VLOOKUP(Tabla14[[#This Row],[Llave]],'[5]Consolidación planes'!$A:$M,12,FALSE),0)</f>
        <v>60000</v>
      </c>
      <c r="BK170" s="20">
        <f>IFERROR(VLOOKUP(Tabla14[[#This Row],[Llave]],'[5]Consolidación planes'!$A:$M,13,FALSE),0)</f>
        <v>10000</v>
      </c>
      <c r="BL170" s="20">
        <f>IFERROR(VLOOKUP(Tabla14[[#This Row],[Llave]],'[13]Base ultimos planes'!$A:$M,13,FALSE),0)</f>
        <v>10000</v>
      </c>
      <c r="BM170" s="20">
        <f>IFERROR(VLOOKUP(Tabla14[[#This Row],[Llave]],'[13]Cruce plan irrestricto'!$C:$M,10,FALSE),0)</f>
        <v>8000</v>
      </c>
      <c r="BN170" s="20">
        <f>IFERROR(VLOOKUP(Tabla14[[#This Row],[Llave]],'[13]Cruce plan irrestricto'!$C:$M,11,FALSE),0)</f>
        <v>10000</v>
      </c>
      <c r="BO170" s="80">
        <f>IFERROR(VLOOKUP(Tabla14[[#This Row],[Llave]],'[13]Base ultimos planes'!$O:$AA,8,FALSE),0)</f>
        <v>5233.6656000000003</v>
      </c>
      <c r="BP170" s="20">
        <f>IFERROR(VLOOKUP(Tabla14[[#This Row],[Llave]],'[13]Base ultimos planes'!$O:$AA,9,FALSE),0)</f>
        <v>20319</v>
      </c>
      <c r="BQ170" s="20">
        <f>IFERROR(VLOOKUP(Tabla14[[#This Row],[Llave]],'[13]Base ultimos planes'!$O:$AA,10,FALSE),0)</f>
        <v>20402</v>
      </c>
      <c r="BR170" s="20">
        <f>IFERROR(VLOOKUP(Tabla14[[#This Row],[Llave]],'[13]Base ultimos planes'!$O:$AA,11,FALSE),0)</f>
        <v>237274</v>
      </c>
      <c r="BS170" s="20">
        <f>IFERROR(VLOOKUP(Tabla14[[#This Row],[Llave]],'[13]Base ultimos planes'!$O:$AA,12,FALSE),0)</f>
        <v>38437</v>
      </c>
      <c r="BT170" s="20">
        <f>IFERROR(VLOOKUP(Tabla14[[#This Row],[Llave]],'[13]Base ultimos planes'!$O:$AA,13,FALSE),0)</f>
        <v>36035</v>
      </c>
      <c r="BU170" s="20"/>
      <c r="BV170" s="20">
        <f>Tabla14[[#This Row],[ RV Producción mes n+1]]-Tabla14[[#This Row],[Producción disponible]]+Tabla14[[#This Row],[Saldo Volumen disponible]]</f>
        <v>9425.6213333333362</v>
      </c>
      <c r="BW170" s="20">
        <f>IFERROR(VLOOKUP(Tabla14[[#This Row],[Llave]],[14]Hoja2!$J:$N,4,FALSE),0)</f>
        <v>9000</v>
      </c>
      <c r="BX170" s="20">
        <f>+Tabla14[[#This Row],[Asignación mes n+1]]*Tabla14[[#This Row],[% Uti. producción]]</f>
        <v>6960.4995398401297</v>
      </c>
      <c r="BY170" s="20">
        <f>+Tabla14[[#This Row],[Ponderación mes n+1]]+Tabla14[[#This Row],[Saldo mes n-1]]</f>
        <v>16386.120873173466</v>
      </c>
      <c r="BZ170" s="20">
        <f>+Tabla14[[#This Row],[Asignación mes n+1]]-Tabla14[[#This Row],[Ponderación mes n+1]]</f>
        <v>2039.5004601598703</v>
      </c>
      <c r="CA170" s="20">
        <f>IFERROR(VLOOKUP(Tabla14[[#This Row],[Llave]],[14]Hoja2!$J:$N,5,FALSE),0)</f>
        <v>9000</v>
      </c>
      <c r="CB170" s="20">
        <f>+Tabla14[[#This Row],[Asignación mes n+2]]*Tabla14[[#This Row],[% Uti. producción]]</f>
        <v>6960.4995398401297</v>
      </c>
      <c r="CC170" s="20">
        <f>+Tabla14[[#This Row],[Saldo mes n+2]]+Tabla14[[#This Row],[Ponderación mes n+2]]</f>
        <v>9000</v>
      </c>
      <c r="CD170" s="20">
        <f>+Tabla14[[#This Row],[Asignación mes n+2]]-Tabla14[[#This Row],[Ponderación mes n+2]]</f>
        <v>2039.5004601598703</v>
      </c>
    </row>
    <row r="171" spans="1:82" ht="16" x14ac:dyDescent="0.2">
      <c r="A171">
        <v>1</v>
      </c>
      <c r="B171" t="str">
        <f>Tabla14[[#This Row],[Oficina]]&amp;Tabla14[[#This Row],[Material]]</f>
        <v>Exportacion Directa1021136</v>
      </c>
      <c r="C171" t="s">
        <v>6</v>
      </c>
      <c r="D171" t="s">
        <v>88</v>
      </c>
      <c r="E171">
        <v>1021136</v>
      </c>
      <c r="F171" t="s">
        <v>139</v>
      </c>
      <c r="G171" t="s">
        <v>76</v>
      </c>
      <c r="H171" t="s">
        <v>84</v>
      </c>
      <c r="I171" s="7">
        <f>IFERROR(IF(Tabla14[[#This Row],[Oficina]]=$I$7,VLOOKUP(Tabla14[[#This Row],[Material]],'[6]RV Producción'!$Y:$AA,3,FALSE),VLOOKUP(Tabla14[[#This Row],[Llave]],'[6]RV Producción'!$C:$G,5,FALSE)),0)</f>
        <v>9800</v>
      </c>
      <c r="J171" s="7">
        <f>IFERROR(IF(Tabla14[[#This Row],[Oficina]]=$I$7,VLOOKUP(Tabla14[[#This Row],[Llave]],'[7]Shangai (Tomas)'!$A:$F,6,FALSE),VLOOKUP(Tabla14[[#This Row],[Llave]],'[6]RV plan de ventas'!$A:$E,5,FALSE)),0)</f>
        <v>13090</v>
      </c>
      <c r="K171" s="8">
        <f>IFERROR(VLOOKUP(Tabla14[[#This Row],[Sector]]&amp;Tabla14[[#This Row],[Oficina]],[8]Ponderación!$A$3:$G$22,7,FALSE),0)</f>
        <v>0.77338883776001444</v>
      </c>
      <c r="L171" s="7">
        <f>+Tabla14[[#This Row],[ RV Producción mes n+1]]*Tabla14[[#This Row],[% Uti. producción]]</f>
        <v>7579.2106100481415</v>
      </c>
      <c r="M171" s="7">
        <f>IFERROR(VLOOKUP(Tabla14[[#This Row],[Material]],'[9]TD Stock'!$B:$C,2,FALSE),0)</f>
        <v>5290</v>
      </c>
      <c r="N171" s="7">
        <f>IFERROR(VLOOKUP(Tabla14[[#This Row],[Material]],'[10]Consolidado planificación'!$B:$C,2,FALSE),0)</f>
        <v>0</v>
      </c>
      <c r="O171" s="7">
        <f>IFERROR(VLOOKUP(Tabla14[[#This Row],[Llave]],[11]Hoja2!$D:$G,4,FALSE),0)</f>
        <v>0</v>
      </c>
      <c r="P171" s="14">
        <f>SUM(Tabla14[[#This Row],[Producción disponible]],Tabla14[[#This Row],[Stock al día]],(Tabla14[[#This Row],[Por producir mes N]]*0.9))-Tabla14[[#This Row],[Producción por despachar mes N]]</f>
        <v>12869.210610048141</v>
      </c>
      <c r="Q171" s="7">
        <f>IFERROR(VLOOKUP(Tabla14[[#This Row],[Llave]],[9]DELAY!$A:$D,4,FALSE),0)</f>
        <v>2000</v>
      </c>
      <c r="R171" s="9">
        <v>2666.6666666666665</v>
      </c>
      <c r="S171" s="5">
        <f t="shared" si="7"/>
        <v>2000</v>
      </c>
      <c r="T171" s="76">
        <v>0</v>
      </c>
      <c r="U171" s="5">
        <f>+Tabla14[[#This Row],[Atraso a facturar]]+Tabla14[[#This Row],[Ajuste atraso]]</f>
        <v>2000</v>
      </c>
      <c r="V171" s="3">
        <f>+Tabla14[[#This Row],[Total disponible]]-Tabla14[[#This Row],[Facturación atraso]]</f>
        <v>10869.210610048141</v>
      </c>
      <c r="W171" s="6">
        <f>IFERROR(IF(AND(V171&gt;R171,J171&gt;=R171),ROUNDDOWN((Tabla14[[#This Row],[Producción para venta nueva]])/R171,0)*R171,0),0)</f>
        <v>10666.666666666666</v>
      </c>
      <c r="X171" s="76">
        <v>-6667</v>
      </c>
      <c r="Y171" s="6">
        <f>IF(Tabla14[[#This Row],[Venta del mes]]&gt;0,Tabla14[[#This Row],[Venta del mes]]+Tabla14[[#This Row],[Ajuste venta nueva]],0)</f>
        <v>3999.6666666666661</v>
      </c>
      <c r="Z171" s="6">
        <f>+Tabla14[[#This Row],[Producción para venta nueva]]-Tabla14[[#This Row],[Facturación Venta nueva]]</f>
        <v>6869.5439433814754</v>
      </c>
      <c r="AA171" s="6">
        <f>IF(AND(A171=1,Tabla14[[#This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1" s="6">
        <v>0</v>
      </c>
      <c r="AC171" s="6">
        <f>IF(Tabla14[[#This Row],[Disponible stock sin venta]]&gt;0,Tabla14[[#This Row],[Disponible stock sin venta]]+Tabla14[[#This Row],[Ajuste stock sin venta]],0)</f>
        <v>0</v>
      </c>
      <c r="AD171" s="3">
        <f>IFERROR(VLOOKUP(Tabla14[[#This Row],[Llave]],[12]Hoja1!$A:$D,4,FALSE),0)</f>
        <v>0</v>
      </c>
      <c r="AE17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12666.666666666666</v>
      </c>
      <c r="AF171" s="3">
        <v>12666.666666666666</v>
      </c>
      <c r="AG171" s="3">
        <f>+Tabla14[[#This Row],[En puerto a facturar]]</f>
        <v>0</v>
      </c>
      <c r="AH171" s="3">
        <f>+Tabla14[[#This Row],[Facturación atraso]]</f>
        <v>2000</v>
      </c>
      <c r="AI171" s="3">
        <f>+Tabla14[[#This Row],[Plan Irrestricto (DATO)]]-Tabla14[[#This Row],[Puerto ]]-Tabla14[[#This Row],[Atraso]]</f>
        <v>10666.666666666666</v>
      </c>
      <c r="AJ171" s="6">
        <f>IF(Tabla14[[#This Row],[Plan Irrestricto (DATO)]]&gt;0,SUM(Tabla14[[#This Row],[Facturación atraso]],Tabla14[[#This Row],[Facturación Venta nueva]],Tabla14[[#This Row],[Facturación stock]],Tabla14[[#This Row],[En puerto a facturar]]),0)</f>
        <v>5999.6666666666661</v>
      </c>
      <c r="AK171" s="3">
        <f>+Tabla14[[#This Row],[Facturación atraso]]</f>
        <v>2000</v>
      </c>
      <c r="AL171" s="3">
        <f>Tabla14[[#This Row],[Plan Ajustado]]-Tabla14[[#This Row],[ Atraso ajustado]]-Tabla14[[#This Row],[En puerto a facturar]]</f>
        <v>3999.6666666666661</v>
      </c>
      <c r="AM171" s="3">
        <v>0</v>
      </c>
      <c r="AN171" s="3"/>
      <c r="AO171" s="3" t="str">
        <f>IF(Tabla14[[#This Row],[Plan Ajustado]]&gt;Tabla14[[#This Row],[En puerto a facturar]],"Si","No")</f>
        <v>Si</v>
      </c>
      <c r="AP171" s="3">
        <f>IF(AND(Tabla14[[#This Row],[Plan Ajustado]]&gt;0,Tabla14[[#This Row],[Plan Ajustado]]&gt;Tabla14[[#This Row],[En puerto a facturar]]),(Tabla14[[#This Row],[Plan Ajustado]]-Tabla14[[#This Row],[En puerto a facturar]]),0)</f>
        <v>5999.6666666666661</v>
      </c>
      <c r="AQ171" s="3">
        <f>IF(Tabla14[[#This Row],[Necesidad]]&gt;=Tabla14[[#This Row],[Stock al día]],Tabla14[[#This Row],[Stock al día]],Tabla14[[#This Row],[Necesidad]])</f>
        <v>5290</v>
      </c>
      <c r="AR171" s="3">
        <f>+Tabla14[[#This Row],[Necesidad]]-Tabla14[[#This Row],[Stock Plan]]</f>
        <v>709.66666666666606</v>
      </c>
      <c r="AS171" s="155">
        <f>VLOOKUP(Tabla14[[#This Row],[Sector]]&amp;Tabla14[[#This Row],[Oficina]],[8]Ponderación!$A:$H,8,FALSE)</f>
        <v>44817</v>
      </c>
      <c r="AT171" s="30">
        <f>IFERROR(VLOOKUP(Tabla14[[#This Row],[Llave]],'[6]RV plan de ventas'!$A:$F,6,FALSE),0)</f>
        <v>2.7867838044308599</v>
      </c>
      <c r="AU171" s="83">
        <f>IFERROR(VLOOKUP(Tabla14[[#This Row],[Llave]],[9]DELAY!$H:$X,17,FALSE),0)</f>
        <v>2.7263114000000002</v>
      </c>
      <c r="AV17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2.7666252163656808</v>
      </c>
      <c r="AW171" s="5">
        <f>Tabla14[[#This Row],[Pecio plan]]*Tabla14[[#This Row],[Plan Ajustado]]</f>
        <v>16598.829089788629</v>
      </c>
      <c r="AX171" s="30">
        <f>IFERROR(VLOOKUP(Tabla14[[#This Row],[Llave]],'[13]Ultimos precios facturados'!$A:$G,7,FALSE),0)</f>
        <v>2.5468413105263159</v>
      </c>
      <c r="AY17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8.6296662823466458E-2</v>
      </c>
      <c r="AZ171" s="30">
        <f>IFERROR(VLOOKUP(Tabla14[[#This Row],[Llave]],Hoja2!B:K,10,FALSE),0)</f>
        <v>2.4264629499999999</v>
      </c>
      <c r="BA17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2.7666252163656808</v>
      </c>
      <c r="BB171" s="30">
        <v>0</v>
      </c>
      <c r="BC171" s="30">
        <f>IF(Tabla14[[#This Row],[Market]]=0,Tabla14[[#This Row],[Precio Final]],Tabla14[[#This Row],[Market]])</f>
        <v>2.7666252163656808</v>
      </c>
      <c r="BD171" s="82"/>
      <c r="BE171" s="82" t="str">
        <f>IF(AND(Tabla14[[#This Row],[Atraso a facturar]]&gt;0,Tabla14[[#This Row],[En puerto a facturar]]&gt;0,Tabla14[[#This Row],[Precio Atraso]]=0),"Revisar","OK")</f>
        <v>OK</v>
      </c>
      <c r="BF171" s="82" t="str">
        <f>IF(AND(Tabla14[[#This Row],[Venta del mes]]&gt;0,Tabla14[[#This Row],[Precio venta nueva]]=0),"Revisar","OK")</f>
        <v>OK</v>
      </c>
      <c r="BG171" s="20">
        <f>IFERROR(VLOOKUP(Tabla14[[#This Row],[Llave]],'[5]Consolidación planes'!$A:$M,9,FALSE),0)</f>
        <v>5000</v>
      </c>
      <c r="BH171" s="20">
        <f>IFERROR(VLOOKUP(Tabla14[[#This Row],[Llave]],'[5]Consolidación planes'!$A:$M,10,FALSE),0)</f>
        <v>3000</v>
      </c>
      <c r="BI171" s="20">
        <f>IFERROR(VLOOKUP(Tabla14[[#This Row],[Llave]],'[5]Consolidación planes'!$A:$M,11,FALSE),0)</f>
        <v>4000</v>
      </c>
      <c r="BJ171" s="20">
        <f>IFERROR(VLOOKUP(Tabla14[[#This Row],[Llave]],'[5]Consolidación planes'!$A:$M,12,FALSE),0)</f>
        <v>5000</v>
      </c>
      <c r="BK171" s="20">
        <f>IFERROR(VLOOKUP(Tabla14[[#This Row],[Llave]],'[5]Consolidación planes'!$A:$M,13,FALSE),0)</f>
        <v>7200</v>
      </c>
      <c r="BL171" s="20">
        <f>IFERROR(VLOOKUP(Tabla14[[#This Row],[Llave]],'[13]Base ultimos planes'!$A:$M,13,FALSE),0)</f>
        <v>8000</v>
      </c>
      <c r="BM171" s="20">
        <f>IFERROR(VLOOKUP(Tabla14[[#This Row],[Llave]],'[13]Cruce plan irrestricto'!$C:$M,10,FALSE),0)</f>
        <v>4000</v>
      </c>
      <c r="BN171" s="20">
        <f>IFERROR(VLOOKUP(Tabla14[[#This Row],[Llave]],'[13]Cruce plan irrestricto'!$C:$M,11,FALSE),0)</f>
        <v>7333.33</v>
      </c>
      <c r="BO171" s="80">
        <f>IFERROR(VLOOKUP(Tabla14[[#This Row],[Llave]],'[13]Base ultimos planes'!$O:$AA,8,FALSE),0)</f>
        <v>14419.3794</v>
      </c>
      <c r="BP171" s="20">
        <f>IFERROR(VLOOKUP(Tabla14[[#This Row],[Llave]],'[13]Base ultimos planes'!$O:$AA,9,FALSE),0)</f>
        <v>6405</v>
      </c>
      <c r="BQ171" s="20">
        <f>IFERROR(VLOOKUP(Tabla14[[#This Row],[Llave]],'[13]Base ultimos planes'!$O:$AA,10,FALSE),0)</f>
        <v>11558</v>
      </c>
      <c r="BR171" s="20">
        <f>IFERROR(VLOOKUP(Tabla14[[#This Row],[Llave]],'[13]Base ultimos planes'!$O:$AA,11,FALSE),0)</f>
        <v>13732</v>
      </c>
      <c r="BS171" s="20">
        <f>IFERROR(VLOOKUP(Tabla14[[#This Row],[Llave]],'[13]Base ultimos planes'!$O:$AA,12,FALSE),0)</f>
        <v>20064</v>
      </c>
      <c r="BT171" s="20">
        <f>IFERROR(VLOOKUP(Tabla14[[#This Row],[Llave]],'[13]Base ultimos planes'!$O:$AA,13,FALSE),0)</f>
        <v>19670</v>
      </c>
      <c r="BU171" s="20"/>
      <c r="BV171" s="20">
        <f>Tabla14[[#This Row],[ RV Producción mes n+1]]-Tabla14[[#This Row],[Producción disponible]]+Tabla14[[#This Row],[Saldo Volumen disponible]]</f>
        <v>9090.3333333333339</v>
      </c>
      <c r="BW171" s="20">
        <f>IFERROR(VLOOKUP(Tabla14[[#This Row],[Llave]],[14]Hoja2!$J:$N,4,FALSE),0)</f>
        <v>4500</v>
      </c>
      <c r="BX171" s="20">
        <f>+Tabla14[[#This Row],[Asignación mes n+1]]*Tabla14[[#This Row],[% Uti. producción]]</f>
        <v>3480.2497699200649</v>
      </c>
      <c r="BY171" s="20">
        <f>+Tabla14[[#This Row],[Ponderación mes n+1]]+Tabla14[[#This Row],[Saldo mes n-1]]</f>
        <v>12570.583103253399</v>
      </c>
      <c r="BZ171" s="20">
        <f>+Tabla14[[#This Row],[Asignación mes n+1]]-Tabla14[[#This Row],[Ponderación mes n+1]]</f>
        <v>1019.7502300799351</v>
      </c>
      <c r="CA171" s="20">
        <f>IFERROR(VLOOKUP(Tabla14[[#This Row],[Llave]],[14]Hoja2!$J:$N,5,FALSE),0)</f>
        <v>4500</v>
      </c>
      <c r="CB171" s="20">
        <f>+Tabla14[[#This Row],[Asignación mes n+2]]*Tabla14[[#This Row],[% Uti. producción]]</f>
        <v>3480.2497699200649</v>
      </c>
      <c r="CC171" s="20">
        <f>+Tabla14[[#This Row],[Saldo mes n+2]]+Tabla14[[#This Row],[Ponderación mes n+2]]</f>
        <v>4500</v>
      </c>
      <c r="CD171" s="20">
        <f>+Tabla14[[#This Row],[Asignación mes n+2]]-Tabla14[[#This Row],[Ponderación mes n+2]]</f>
        <v>1019.7502300799351</v>
      </c>
    </row>
    <row r="172" spans="1:82" ht="16" x14ac:dyDescent="0.2">
      <c r="A172">
        <v>1</v>
      </c>
      <c r="B172" t="str">
        <f>Tabla14[[#This Row],[Oficina]]&amp;Tabla14[[#This Row],[Material]]</f>
        <v>Exportacion Directa1021533</v>
      </c>
      <c r="C172" t="s">
        <v>6</v>
      </c>
      <c r="D172" t="s">
        <v>88</v>
      </c>
      <c r="E172">
        <v>1021533</v>
      </c>
      <c r="F172" t="s">
        <v>124</v>
      </c>
      <c r="G172" t="s">
        <v>56</v>
      </c>
      <c r="H172" t="s">
        <v>57</v>
      </c>
      <c r="I172" s="7">
        <f>IFERROR(IF(Tabla14[[#This Row],[Oficina]]=$I$7,VLOOKUP(Tabla14[[#This Row],[Material]],'[6]RV Producción'!$Y:$AA,3,FALSE),VLOOKUP(Tabla14[[#This Row],[Llave]],'[6]RV Producción'!$C:$G,5,FALSE)),0)</f>
        <v>0</v>
      </c>
      <c r="J172" s="7">
        <f>IFERROR(IF(Tabla14[[#This Row],[Oficina]]=$I$7,VLOOKUP(Tabla14[[#This Row],[Llave]],'[7]Shangai (Tomas)'!$A:$F,6,FALSE),VLOOKUP(Tabla14[[#This Row],[Llave]],'[6]RV plan de ventas'!$A:$E,5,FALSE)),0)</f>
        <v>5000</v>
      </c>
      <c r="K172" s="8">
        <f>IFERROR(VLOOKUP(Tabla14[[#This Row],[Sector]]&amp;Tabla14[[#This Row],[Oficina]],[8]Ponderación!$A$3:$G$22,7,FALSE),0)</f>
        <v>0.77338883776001444</v>
      </c>
      <c r="L172" s="7">
        <f>+Tabla14[[#This Row],[ RV Producción mes n+1]]*Tabla14[[#This Row],[% Uti. producción]]</f>
        <v>0</v>
      </c>
      <c r="M172" s="7">
        <f>IFERROR(VLOOKUP(Tabla14[[#This Row],[Material]],'[9]TD Stock'!$B:$C,2,FALSE),0)</f>
        <v>1609.6469999999999</v>
      </c>
      <c r="N172" s="7">
        <f>IFERROR(VLOOKUP(Tabla14[[#This Row],[Material]],'[10]Consolidado planificación'!$B:$C,2,FALSE),0)</f>
        <v>6233.8731641135209</v>
      </c>
      <c r="O172" s="7">
        <f>IFERROR(VLOOKUP(Tabla14[[#This Row],[Llave]],[11]Hoja2!$D:$G,4,FALSE),0)</f>
        <v>0</v>
      </c>
      <c r="P172" s="14">
        <f>SUM(Tabla14[[#This Row],[Producción disponible]],Tabla14[[#This Row],[Stock al día]],(Tabla14[[#This Row],[Por producir mes N]]*0.9))-Tabla14[[#This Row],[Producción por despachar mes N]]</f>
        <v>7220.1328477021689</v>
      </c>
      <c r="Q172" s="7">
        <f>IFERROR(VLOOKUP(Tabla14[[#This Row],[Llave]],[9]DELAY!$A:$D,4,FALSE),0)</f>
        <v>20000</v>
      </c>
      <c r="R172" s="9">
        <v>3000</v>
      </c>
      <c r="S172" s="5">
        <f t="shared" si="7"/>
        <v>6000</v>
      </c>
      <c r="T172" s="76">
        <v>0</v>
      </c>
      <c r="U172" s="5">
        <f>+Tabla14[[#This Row],[Atraso a facturar]]+Tabla14[[#This Row],[Ajuste atraso]]</f>
        <v>6000</v>
      </c>
      <c r="V172" s="3">
        <f>+Tabla14[[#This Row],[Total disponible]]-Tabla14[[#This Row],[Facturación atraso]]</f>
        <v>1220.1328477021689</v>
      </c>
      <c r="W172" s="6">
        <f>IFERROR(IF(AND(V172&gt;R172,J172&gt;=R172),ROUNDDOWN((Tabla14[[#This Row],[Producción para venta nueva]])/R172,0)*R172,0),0)</f>
        <v>0</v>
      </c>
      <c r="X172" s="76">
        <v>0</v>
      </c>
      <c r="Y172" s="6">
        <f>IF(Tabla14[[#This Row],[Venta del mes]]&gt;0,Tabla14[[#This Row],[Venta del mes]]+Tabla14[[#This Row],[Ajuste venta nueva]],0)</f>
        <v>0</v>
      </c>
      <c r="Z172" s="6">
        <f>+Tabla14[[#This Row],[Producción para venta nueva]]-Tabla14[[#This Row],[Facturación Venta nueva]]</f>
        <v>1220.1328477021689</v>
      </c>
      <c r="AA172" s="6">
        <f>IF(AND(A172=1,Tabla14[[#This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2" s="6">
        <v>0</v>
      </c>
      <c r="AC172" s="6">
        <f>IF(Tabla14[[#This Row],[Disponible stock sin venta]]&gt;0,Tabla14[[#This Row],[Disponible stock sin venta]]+Tabla14[[#This Row],[Ajuste stock sin venta]],0)</f>
        <v>0</v>
      </c>
      <c r="AD172" s="3">
        <f>IFERROR(VLOOKUP(Tabla14[[#This Row],[Llave]],[12]Hoja1!$A:$D,4,FALSE),0)</f>
        <v>0</v>
      </c>
      <c r="AE17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6000</v>
      </c>
      <c r="AF172" s="3">
        <v>6000</v>
      </c>
      <c r="AG172" s="3">
        <f>+Tabla14[[#This Row],[En puerto a facturar]]</f>
        <v>0</v>
      </c>
      <c r="AH172" s="3">
        <f>+Tabla14[[#This Row],[Facturación atraso]]</f>
        <v>6000</v>
      </c>
      <c r="AI172" s="3">
        <f>+Tabla14[[#This Row],[Plan Irrestricto (DATO)]]-Tabla14[[#This Row],[Puerto ]]-Tabla14[[#This Row],[Atraso]]</f>
        <v>0</v>
      </c>
      <c r="AJ172" s="6">
        <f>IF(Tabla14[[#This Row],[Plan Irrestricto (DATO)]]&gt;0,SUM(Tabla14[[#This Row],[Facturación atraso]],Tabla14[[#This Row],[Facturación Venta nueva]],Tabla14[[#This Row],[Facturación stock]],Tabla14[[#This Row],[En puerto a facturar]]),0)</f>
        <v>6000</v>
      </c>
      <c r="AK172" s="3">
        <f>+Tabla14[[#This Row],[Facturación atraso]]</f>
        <v>6000</v>
      </c>
      <c r="AL172" s="3">
        <f>Tabla14[[#This Row],[Plan Ajustado]]-Tabla14[[#This Row],[ Atraso ajustado]]-Tabla14[[#This Row],[En puerto a facturar]]</f>
        <v>0</v>
      </c>
      <c r="AM172" s="3">
        <v>0</v>
      </c>
      <c r="AN172" s="3"/>
      <c r="AO172" s="3" t="str">
        <f>IF(Tabla14[[#This Row],[Plan Ajustado]]&gt;Tabla14[[#This Row],[En puerto a facturar]],"Si","No")</f>
        <v>Si</v>
      </c>
      <c r="AP172" s="3">
        <f>IF(AND(Tabla14[[#This Row],[Plan Ajustado]]&gt;0,Tabla14[[#This Row],[Plan Ajustado]]&gt;Tabla14[[#This Row],[En puerto a facturar]]),(Tabla14[[#This Row],[Plan Ajustado]]-Tabla14[[#This Row],[En puerto a facturar]]),0)</f>
        <v>6000</v>
      </c>
      <c r="AQ172" s="3">
        <f>IF(Tabla14[[#This Row],[Necesidad]]&gt;=Tabla14[[#This Row],[Stock al día]],Tabla14[[#This Row],[Stock al día]],Tabla14[[#This Row],[Necesidad]])</f>
        <v>1609.6469999999999</v>
      </c>
      <c r="AR172" s="3">
        <f>+Tabla14[[#This Row],[Necesidad]]-Tabla14[[#This Row],[Stock Plan]]</f>
        <v>4390.3530000000001</v>
      </c>
      <c r="AS172" s="155">
        <f>VLOOKUP(Tabla14[[#This Row],[Sector]]&amp;Tabla14[[#This Row],[Oficina]],[8]Ponderación!$A:$H,8,FALSE)</f>
        <v>44817</v>
      </c>
      <c r="AT172" s="30">
        <f>IFERROR(VLOOKUP(Tabla14[[#This Row],[Llave]],'[6]RV plan de ventas'!$A:$F,6,FALSE),0)</f>
        <v>5.4428000000000001</v>
      </c>
      <c r="AU172" s="83">
        <f>IFERROR(VLOOKUP(Tabla14[[#This Row],[Llave]],[9]DELAY!$H:$X,17,FALSE),0)</f>
        <v>5.1863163587499974</v>
      </c>
      <c r="AV17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5.1863163587499974</v>
      </c>
      <c r="AW172" s="5">
        <f>Tabla14[[#This Row],[Pecio plan]]*Tabla14[[#This Row],[Plan Ajustado]]</f>
        <v>31117.898152499984</v>
      </c>
      <c r="AX172" s="30">
        <f>IFERROR(VLOOKUP(Tabla14[[#This Row],[Llave]],'[13]Ultimos precios facturados'!$A:$G,7,FALSE),0)</f>
        <v>4.7062714353962054</v>
      </c>
      <c r="AY17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0.10200111275846516</v>
      </c>
      <c r="AZ172" s="30">
        <f>IFERROR(VLOOKUP(Tabla14[[#This Row],[Llave]],Hoja2!B:K,10,FALSE),0)</f>
        <v>0</v>
      </c>
      <c r="BA17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5.1863163587499974</v>
      </c>
      <c r="BB172" s="30">
        <v>0</v>
      </c>
      <c r="BC172" s="30">
        <f>IF(Tabla14[[#This Row],[Market]]=0,Tabla14[[#This Row],[Precio Final]],Tabla14[[#This Row],[Market]])</f>
        <v>5.1863163587499974</v>
      </c>
      <c r="BD172" s="82"/>
      <c r="BE172" s="82" t="str">
        <f>IF(AND(Tabla14[[#This Row],[Atraso a facturar]]&gt;0,Tabla14[[#This Row],[En puerto a facturar]]&gt;0,Tabla14[[#This Row],[Precio Atraso]]=0),"Revisar","OK")</f>
        <v>OK</v>
      </c>
      <c r="BF172" s="82" t="str">
        <f>IF(AND(Tabla14[[#This Row],[Venta del mes]]&gt;0,Tabla14[[#This Row],[Precio venta nueva]]=0),"Revisar","OK")</f>
        <v>OK</v>
      </c>
      <c r="BG172" s="20">
        <f>IFERROR(VLOOKUP(Tabla14[[#This Row],[Llave]],'[5]Consolidación planes'!$A:$M,9,FALSE),0)</f>
        <v>2000</v>
      </c>
      <c r="BH172" s="20">
        <f>IFERROR(VLOOKUP(Tabla14[[#This Row],[Llave]],'[5]Consolidación planes'!$A:$M,10,FALSE),0)</f>
        <v>18000</v>
      </c>
      <c r="BI172" s="20">
        <f>IFERROR(VLOOKUP(Tabla14[[#This Row],[Llave]],'[5]Consolidación planes'!$A:$M,11,FALSE),0)</f>
        <v>15000</v>
      </c>
      <c r="BJ172" s="20">
        <f>IFERROR(VLOOKUP(Tabla14[[#This Row],[Llave]],'[5]Consolidación planes'!$A:$M,12,FALSE),0)</f>
        <v>10000</v>
      </c>
      <c r="BK172" s="20">
        <f>IFERROR(VLOOKUP(Tabla14[[#This Row],[Llave]],'[5]Consolidación planes'!$A:$M,13,FALSE),0)</f>
        <v>15400</v>
      </c>
      <c r="BL172" s="20">
        <f>IFERROR(VLOOKUP(Tabla14[[#This Row],[Llave]],'[13]Base ultimos planes'!$A:$M,13,FALSE),0)</f>
        <v>3000</v>
      </c>
      <c r="BM172" s="20">
        <f>IFERROR(VLOOKUP(Tabla14[[#This Row],[Llave]],'[13]Cruce plan irrestricto'!$C:$M,10,FALSE),0)</f>
        <v>0</v>
      </c>
      <c r="BN172" s="20">
        <f>IFERROR(VLOOKUP(Tabla14[[#This Row],[Llave]],'[13]Cruce plan irrestricto'!$C:$M,11,FALSE),0)</f>
        <v>0</v>
      </c>
      <c r="BO172" s="80">
        <f>IFERROR(VLOOKUP(Tabla14[[#This Row],[Llave]],'[13]Base ultimos planes'!$O:$AA,8,FALSE),0)</f>
        <v>10613.774600000001</v>
      </c>
      <c r="BP172" s="20">
        <f>IFERROR(VLOOKUP(Tabla14[[#This Row],[Llave]],'[13]Base ultimos planes'!$O:$AA,9,FALSE),0)</f>
        <v>93240</v>
      </c>
      <c r="BQ172" s="20">
        <f>IFERROR(VLOOKUP(Tabla14[[#This Row],[Llave]],'[13]Base ultimos planes'!$O:$AA,10,FALSE),0)</f>
        <v>77606</v>
      </c>
      <c r="BR172" s="20">
        <f>IFERROR(VLOOKUP(Tabla14[[#This Row],[Llave]],'[13]Base ultimos planes'!$O:$AA,11,FALSE),0)</f>
        <v>49787</v>
      </c>
      <c r="BS172" s="20">
        <f>IFERROR(VLOOKUP(Tabla14[[#This Row],[Llave]],'[13]Base ultimos planes'!$O:$AA,12,FALSE),0)</f>
        <v>75485</v>
      </c>
      <c r="BT172" s="20">
        <f>IFERROR(VLOOKUP(Tabla14[[#This Row],[Llave]],'[13]Base ultimos planes'!$O:$AA,13,FALSE),0)</f>
        <v>14015</v>
      </c>
      <c r="BU172" s="20"/>
      <c r="BV172" s="20">
        <f>Tabla14[[#This Row],[ RV Producción mes n+1]]-Tabla14[[#This Row],[Producción disponible]]+Tabla14[[#This Row],[Saldo Volumen disponible]]</f>
        <v>1220.1328477021689</v>
      </c>
      <c r="BW172" s="20">
        <f>IFERROR(VLOOKUP(Tabla14[[#This Row],[Llave]],[14]Hoja2!$J:$N,4,FALSE),0)</f>
        <v>0</v>
      </c>
      <c r="BX172" s="20">
        <f>+Tabla14[[#This Row],[Asignación mes n+1]]*Tabla14[[#This Row],[% Uti. producción]]</f>
        <v>0</v>
      </c>
      <c r="BY172" s="20">
        <f>+Tabla14[[#This Row],[Ponderación mes n+1]]+Tabla14[[#This Row],[Saldo mes n-1]]</f>
        <v>1220.1328477021689</v>
      </c>
      <c r="BZ172" s="20">
        <f>+Tabla14[[#This Row],[Asignación mes n+1]]-Tabla14[[#This Row],[Ponderación mes n+1]]</f>
        <v>0</v>
      </c>
      <c r="CA172" s="20">
        <f>IFERROR(VLOOKUP(Tabla14[[#This Row],[Llave]],[14]Hoja2!$J:$N,5,FALSE),0)</f>
        <v>0</v>
      </c>
      <c r="CB172" s="20">
        <f>+Tabla14[[#This Row],[Asignación mes n+2]]*Tabla14[[#This Row],[% Uti. producción]]</f>
        <v>0</v>
      </c>
      <c r="CC172" s="20">
        <f>+Tabla14[[#This Row],[Saldo mes n+2]]+Tabla14[[#This Row],[Ponderación mes n+2]]</f>
        <v>0</v>
      </c>
      <c r="CD172" s="20">
        <f>+Tabla14[[#This Row],[Asignación mes n+2]]-Tabla14[[#This Row],[Ponderación mes n+2]]</f>
        <v>0</v>
      </c>
    </row>
    <row r="173" spans="1:82" ht="16" x14ac:dyDescent="0.2">
      <c r="A173">
        <v>1</v>
      </c>
      <c r="B173" t="str">
        <f>Tabla14[[#This Row],[Oficina]]&amp;Tabla14[[#This Row],[Material]]</f>
        <v>Exportacion Directa1021603</v>
      </c>
      <c r="C173" t="s">
        <v>6</v>
      </c>
      <c r="D173" t="s">
        <v>88</v>
      </c>
      <c r="E173">
        <v>1021603</v>
      </c>
      <c r="F173" t="s">
        <v>107</v>
      </c>
      <c r="G173" t="s">
        <v>50</v>
      </c>
      <c r="H173" t="s">
        <v>103</v>
      </c>
      <c r="I173" s="7">
        <f>IFERROR(IF(Tabla14[[#This Row],[Oficina]]=$I$7,VLOOKUP(Tabla14[[#This Row],[Material]],'[6]RV Producción'!$Y:$AA,3,FALSE),VLOOKUP(Tabla14[[#This Row],[Llave]],'[6]RV Producción'!$C:$G,5,FALSE)),0)</f>
        <v>14792</v>
      </c>
      <c r="J173" s="7">
        <f>IFERROR(IF(Tabla14[[#This Row],[Oficina]]=$I$7,VLOOKUP(Tabla14[[#This Row],[Llave]],'[7]Shangai (Tomas)'!$A:$F,6,FALSE),VLOOKUP(Tabla14[[#This Row],[Llave]],'[6]RV plan de ventas'!$A:$E,5,FALSE)),0)</f>
        <v>7000</v>
      </c>
      <c r="K173" s="8">
        <f>IFERROR(VLOOKUP(Tabla14[[#This Row],[Sector]]&amp;Tabla14[[#This Row],[Oficina]],[8]Ponderación!$A$3:$G$22,7,FALSE),0)</f>
        <v>0.77338883776001444</v>
      </c>
      <c r="L173" s="7">
        <f>+Tabla14[[#This Row],[ RV Producción mes n+1]]*Tabla14[[#This Row],[% Uti. producción]]</f>
        <v>11439.967688146133</v>
      </c>
      <c r="M173" s="7">
        <f>IFERROR(VLOOKUP(Tabla14[[#This Row],[Material]],'[9]TD Stock'!$B:$C,2,FALSE),0)</f>
        <v>3190.4580000000005</v>
      </c>
      <c r="N173" s="7">
        <f>IFERROR(VLOOKUP(Tabla14[[#This Row],[Material]],'[10]Consolidado planificación'!$B:$C,2,FALSE),0)</f>
        <v>3464.7323933748771</v>
      </c>
      <c r="O173" s="7">
        <f>IFERROR(VLOOKUP(Tabla14[[#This Row],[Llave]],[11]Hoja2!$D:$G,4,FALSE),0)</f>
        <v>0</v>
      </c>
      <c r="P173" s="14">
        <f>SUM(Tabla14[[#This Row],[Producción disponible]],Tabla14[[#This Row],[Stock al día]],(Tabla14[[#This Row],[Por producir mes N]]*0.9))-Tabla14[[#This Row],[Producción por despachar mes N]]</f>
        <v>17748.684842183524</v>
      </c>
      <c r="Q173" s="7">
        <f>IFERROR(VLOOKUP(Tabla14[[#This Row],[Llave]],[9]DELAY!$A:$D,4,FALSE),0)</f>
        <v>14000</v>
      </c>
      <c r="R173" s="9">
        <v>5000</v>
      </c>
      <c r="S173" s="5">
        <f t="shared" si="7"/>
        <v>14000</v>
      </c>
      <c r="T173" s="76">
        <v>-7000</v>
      </c>
      <c r="U173" s="5">
        <f>+Tabla14[[#This Row],[Atraso a facturar]]+Tabla14[[#This Row],[Ajuste atraso]]</f>
        <v>7000</v>
      </c>
      <c r="V173" s="3">
        <f>+Tabla14[[#This Row],[Total disponible]]-Tabla14[[#This Row],[Facturación atraso]]</f>
        <v>10748.684842183524</v>
      </c>
      <c r="W173" s="6">
        <f>IFERROR(IF(AND(V173&gt;R173,J173&gt;=R173),ROUNDDOWN((Tabla14[[#This Row],[Producción para venta nueva]])/R173,0)*R173,0),0)</f>
        <v>10000</v>
      </c>
      <c r="X173" s="76">
        <v>-7000</v>
      </c>
      <c r="Y173" s="6">
        <f>IF(Tabla14[[#This Row],[Venta del mes]]&gt;0,Tabla14[[#This Row],[Venta del mes]]+Tabla14[[#This Row],[Ajuste venta nueva]],0)</f>
        <v>3000</v>
      </c>
      <c r="Z173" s="6">
        <f>+Tabla14[[#This Row],[Producción para venta nueva]]-Tabla14[[#This Row],[Facturación Venta nueva]]</f>
        <v>7748.6848421835239</v>
      </c>
      <c r="AA173" s="6">
        <f>IF(AND(A173=1,Tabla14[[#This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3" s="6">
        <v>0</v>
      </c>
      <c r="AC173" s="6">
        <f>IF(Tabla14[[#This Row],[Disponible stock sin venta]]&gt;0,Tabla14[[#This Row],[Disponible stock sin venta]]+Tabla14[[#This Row],[Ajuste stock sin venta]],0)</f>
        <v>0</v>
      </c>
      <c r="AD173" s="3">
        <f>IFERROR(VLOOKUP(Tabla14[[#This Row],[Llave]],[12]Hoja1!$A:$D,4,FALSE),0)</f>
        <v>0</v>
      </c>
      <c r="AE17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173" s="3">
        <v>14000</v>
      </c>
      <c r="AG173" s="3">
        <f>+Tabla14[[#This Row],[En puerto a facturar]]</f>
        <v>0</v>
      </c>
      <c r="AH173" s="3">
        <f>+Tabla14[[#This Row],[Facturación atraso]]</f>
        <v>7000</v>
      </c>
      <c r="AI173" s="3">
        <f>+Tabla14[[#This Row],[Plan Irrestricto (DATO)]]-Tabla14[[#This Row],[Puerto ]]-Tabla14[[#This Row],[Atraso]]</f>
        <v>7000</v>
      </c>
      <c r="AJ173" s="6">
        <f>IF(Tabla14[[#This Row],[Plan Irrestricto (DATO)]]&gt;0,SUM(Tabla14[[#This Row],[Facturación atraso]],Tabla14[[#This Row],[Facturación Venta nueva]],Tabla14[[#This Row],[Facturación stock]],Tabla14[[#This Row],[En puerto a facturar]]),0)</f>
        <v>10000</v>
      </c>
      <c r="AK173" s="3">
        <f>+Tabla14[[#This Row],[Facturación atraso]]</f>
        <v>7000</v>
      </c>
      <c r="AL173" s="3">
        <f>Tabla14[[#This Row],[Plan Ajustado]]-Tabla14[[#This Row],[ Atraso ajustado]]-Tabla14[[#This Row],[En puerto a facturar]]</f>
        <v>3000</v>
      </c>
      <c r="AM173" s="3">
        <v>0</v>
      </c>
      <c r="AN173" s="3"/>
      <c r="AO173" s="3" t="str">
        <f>IF(Tabla14[[#This Row],[Plan Ajustado]]&gt;Tabla14[[#This Row],[En puerto a facturar]],"Si","No")</f>
        <v>Si</v>
      </c>
      <c r="AP173" s="3">
        <f>IF(AND(Tabla14[[#This Row],[Plan Ajustado]]&gt;0,Tabla14[[#This Row],[Plan Ajustado]]&gt;Tabla14[[#This Row],[En puerto a facturar]]),(Tabla14[[#This Row],[Plan Ajustado]]-Tabla14[[#This Row],[En puerto a facturar]]),0)</f>
        <v>10000</v>
      </c>
      <c r="AQ173" s="3">
        <f>IF(Tabla14[[#This Row],[Necesidad]]&gt;=Tabla14[[#This Row],[Stock al día]],Tabla14[[#This Row],[Stock al día]],Tabla14[[#This Row],[Necesidad]])</f>
        <v>3190.4580000000005</v>
      </c>
      <c r="AR173" s="3">
        <f>+Tabla14[[#This Row],[Necesidad]]-Tabla14[[#This Row],[Stock Plan]]</f>
        <v>6809.5419999999995</v>
      </c>
      <c r="AS173" s="155">
        <f>VLOOKUP(Tabla14[[#This Row],[Sector]]&amp;Tabla14[[#This Row],[Oficina]],[8]Ponderación!$A:$H,8,FALSE)</f>
        <v>44817</v>
      </c>
      <c r="AT173" s="30">
        <f>IFERROR(VLOOKUP(Tabla14[[#This Row],[Llave]],'[6]RV plan de ventas'!$A:$F,6,FALSE),0)</f>
        <v>3.9464285714285698</v>
      </c>
      <c r="AU173" s="83">
        <f>IFERROR(VLOOKUP(Tabla14[[#This Row],[Llave]],[9]DELAY!$H:$X,17,FALSE),0)</f>
        <v>3.8464061642857104</v>
      </c>
      <c r="AV17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3.8764128864285681</v>
      </c>
      <c r="AW173" s="5">
        <f>Tabla14[[#This Row],[Pecio plan]]*Tabla14[[#This Row],[Plan Ajustado]]</f>
        <v>38764.128864285682</v>
      </c>
      <c r="AX173" s="30">
        <f>IFERROR(VLOOKUP(Tabla14[[#This Row],[Llave]],'[13]Ultimos precios facturados'!$A:$G,7,FALSE),0)</f>
        <v>3.8470577949383378</v>
      </c>
      <c r="AY17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7.6305304092008884E-3</v>
      </c>
      <c r="AZ173" s="30">
        <f>IFERROR(VLOOKUP(Tabla14[[#This Row],[Llave]],Hoja2!B:K,10,FALSE),0)</f>
        <v>3.804731389994191</v>
      </c>
      <c r="BA17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3.8764128864285681</v>
      </c>
      <c r="BB173" s="30">
        <v>0</v>
      </c>
      <c r="BC173" s="30">
        <f>IF(Tabla14[[#This Row],[Market]]=0,Tabla14[[#This Row],[Precio Final]],Tabla14[[#This Row],[Market]])</f>
        <v>3.8764128864285681</v>
      </c>
      <c r="BD173" s="82"/>
      <c r="BE173" s="82" t="str">
        <f>IF(AND(Tabla14[[#This Row],[Atraso a facturar]]&gt;0,Tabla14[[#This Row],[En puerto a facturar]]&gt;0,Tabla14[[#This Row],[Precio Atraso]]=0),"Revisar","OK")</f>
        <v>OK</v>
      </c>
      <c r="BF173" s="82" t="str">
        <f>IF(AND(Tabla14[[#This Row],[Venta del mes]]&gt;0,Tabla14[[#This Row],[Precio venta nueva]]=0),"Revisar","OK")</f>
        <v>OK</v>
      </c>
      <c r="BG173" s="20">
        <f>IFERROR(VLOOKUP(Tabla14[[#This Row],[Llave]],'[5]Consolidación planes'!$A:$M,9,FALSE),0)</f>
        <v>5000</v>
      </c>
      <c r="BH173" s="20">
        <f>IFERROR(VLOOKUP(Tabla14[[#This Row],[Llave]],'[5]Consolidación planes'!$A:$M,10,FALSE),0)</f>
        <v>3000</v>
      </c>
      <c r="BI173" s="20">
        <f>IFERROR(VLOOKUP(Tabla14[[#This Row],[Llave]],'[5]Consolidación planes'!$A:$M,11,FALSE),0)</f>
        <v>4000</v>
      </c>
      <c r="BJ173" s="20">
        <f>IFERROR(VLOOKUP(Tabla14[[#This Row],[Llave]],'[5]Consolidación planes'!$A:$M,12,FALSE),0)</f>
        <v>5000</v>
      </c>
      <c r="BK173" s="20">
        <f>IFERROR(VLOOKUP(Tabla14[[#This Row],[Llave]],'[5]Consolidación planes'!$A:$M,13,FALSE),0)</f>
        <v>7000</v>
      </c>
      <c r="BL173" s="20">
        <f>IFERROR(VLOOKUP(Tabla14[[#This Row],[Llave]],'[13]Base ultimos planes'!$A:$M,13,FALSE),0)</f>
        <v>5500</v>
      </c>
      <c r="BM173" s="20">
        <f>IFERROR(VLOOKUP(Tabla14[[#This Row],[Llave]],'[13]Cruce plan irrestricto'!$C:$M,10,FALSE),0)</f>
        <v>7000</v>
      </c>
      <c r="BN173" s="20">
        <f>IFERROR(VLOOKUP(Tabla14[[#This Row],[Llave]],'[13]Cruce plan irrestricto'!$C:$M,11,FALSE),0)</f>
        <v>8852</v>
      </c>
      <c r="BO173" s="80">
        <f>IFERROR(VLOOKUP(Tabla14[[#This Row],[Llave]],'[13]Base ultimos planes'!$O:$AA,8,FALSE),0)</f>
        <v>22909.446899999999</v>
      </c>
      <c r="BP173" s="20">
        <f>IFERROR(VLOOKUP(Tabla14[[#This Row],[Llave]],'[13]Base ultimos planes'!$O:$AA,9,FALSE),0)</f>
        <v>12940</v>
      </c>
      <c r="BQ173" s="20">
        <f>IFERROR(VLOOKUP(Tabla14[[#This Row],[Llave]],'[13]Base ultimos planes'!$O:$AA,10,FALSE),0)</f>
        <v>17412</v>
      </c>
      <c r="BR173" s="20">
        <f>IFERROR(VLOOKUP(Tabla14[[#This Row],[Llave]],'[13]Base ultimos planes'!$O:$AA,11,FALSE),0)</f>
        <v>20869</v>
      </c>
      <c r="BS173" s="20">
        <f>IFERROR(VLOOKUP(Tabla14[[#This Row],[Llave]],'[13]Base ultimos planes'!$O:$AA,12,FALSE),0)</f>
        <v>27713</v>
      </c>
      <c r="BT173" s="20">
        <f>IFERROR(VLOOKUP(Tabla14[[#This Row],[Llave]],'[13]Base ultimos planes'!$O:$AA,13,FALSE),0)</f>
        <v>20622</v>
      </c>
      <c r="BU173" s="20"/>
      <c r="BV173" s="20">
        <f>Tabla14[[#This Row],[ RV Producción mes n+1]]-Tabla14[[#This Row],[Producción disponible]]+Tabla14[[#This Row],[Saldo Volumen disponible]]</f>
        <v>11100.717154037391</v>
      </c>
      <c r="BW173" s="20">
        <f>IFERROR(VLOOKUP(Tabla14[[#This Row],[Llave]],[14]Hoja2!$J:$N,4,FALSE),0)</f>
        <v>6300</v>
      </c>
      <c r="BX173" s="20">
        <f>+Tabla14[[#This Row],[Asignación mes n+1]]*Tabla14[[#This Row],[% Uti. producción]]</f>
        <v>4872.3496778880908</v>
      </c>
      <c r="BY173" s="20">
        <f>+Tabla14[[#This Row],[Ponderación mes n+1]]+Tabla14[[#This Row],[Saldo mes n-1]]</f>
        <v>15973.066831925482</v>
      </c>
      <c r="BZ173" s="20">
        <f>+Tabla14[[#This Row],[Asignación mes n+1]]-Tabla14[[#This Row],[Ponderación mes n+1]]</f>
        <v>1427.6503221119092</v>
      </c>
      <c r="CA173" s="20">
        <f>IFERROR(VLOOKUP(Tabla14[[#This Row],[Llave]],[14]Hoja2!$J:$N,5,FALSE),0)</f>
        <v>6300</v>
      </c>
      <c r="CB173" s="20">
        <f>+Tabla14[[#This Row],[Asignación mes n+2]]*Tabla14[[#This Row],[% Uti. producción]]</f>
        <v>4872.3496778880908</v>
      </c>
      <c r="CC173" s="20">
        <f>+Tabla14[[#This Row],[Saldo mes n+2]]+Tabla14[[#This Row],[Ponderación mes n+2]]</f>
        <v>6300</v>
      </c>
      <c r="CD173" s="20">
        <f>+Tabla14[[#This Row],[Asignación mes n+2]]-Tabla14[[#This Row],[Ponderación mes n+2]]</f>
        <v>1427.6503221119092</v>
      </c>
    </row>
    <row r="174" spans="1:82" ht="16" x14ac:dyDescent="0.2">
      <c r="A174">
        <v>1</v>
      </c>
      <c r="B174" t="str">
        <f>Tabla14[[#This Row],[Oficina]]&amp;Tabla14[[#This Row],[Material]]</f>
        <v>Exportacion Directa1021609</v>
      </c>
      <c r="C174" t="s">
        <v>6</v>
      </c>
      <c r="D174" t="s">
        <v>88</v>
      </c>
      <c r="E174">
        <v>1021609</v>
      </c>
      <c r="F174" t="s">
        <v>90</v>
      </c>
      <c r="G174" t="s">
        <v>37</v>
      </c>
      <c r="H174" t="s">
        <v>38</v>
      </c>
      <c r="I174" s="7">
        <f>IFERROR(IF(Tabla14[[#This Row],[Oficina]]=$I$7,VLOOKUP(Tabla14[[#This Row],[Material]],'[6]RV Producción'!$Y:$AA,3,FALSE),VLOOKUP(Tabla14[[#This Row],[Llave]],'[6]RV Producción'!$C:$G,5,FALSE)),0)</f>
        <v>43774</v>
      </c>
      <c r="J174" s="7">
        <f>IFERROR(IF(Tabla14[[#This Row],[Oficina]]=$I$7,VLOOKUP(Tabla14[[#This Row],[Llave]],'[7]Shangai (Tomas)'!$A:$F,6,FALSE),VLOOKUP(Tabla14[[#This Row],[Llave]],'[6]RV plan de ventas'!$A:$E,5,FALSE)),0)</f>
        <v>20000</v>
      </c>
      <c r="K174" s="8">
        <f>IFERROR(VLOOKUP(Tabla14[[#This Row],[Sector]]&amp;Tabla14[[#This Row],[Oficina]],[8]Ponderación!$A$3:$G$22,7,FALSE),0)</f>
        <v>0.77338883776001444</v>
      </c>
      <c r="L174" s="7">
        <f>+Tabla14[[#This Row],[ RV Producción mes n+1]]*Tabla14[[#This Row],[% Uti. producción]]</f>
        <v>33854.322984106875</v>
      </c>
      <c r="M174" s="7">
        <f>IFERROR(VLOOKUP(Tabla14[[#This Row],[Material]],'[9]TD Stock'!$B:$C,2,FALSE),0)</f>
        <v>10207.208000000001</v>
      </c>
      <c r="N174" s="7">
        <f>IFERROR(VLOOKUP(Tabla14[[#This Row],[Material]],'[10]Consolidado planificación'!$B:$C,2,FALSE),0)</f>
        <v>8770.6982491654271</v>
      </c>
      <c r="O174" s="7">
        <f>IFERROR(VLOOKUP(Tabla14[[#This Row],[Llave]],[11]Hoja2!$D:$G,4,FALSE),0)</f>
        <v>0</v>
      </c>
      <c r="P174" s="14">
        <f>SUM(Tabla14[[#This Row],[Producción disponible]],Tabla14[[#This Row],[Stock al día]],(Tabla14[[#This Row],[Por producir mes N]]*0.9))-Tabla14[[#This Row],[Producción por despachar mes N]]</f>
        <v>51955.159408355757</v>
      </c>
      <c r="Q174" s="7">
        <f>IFERROR(VLOOKUP(Tabla14[[#This Row],[Llave]],[9]DELAY!$A:$D,4,FALSE),0)</f>
        <v>50000</v>
      </c>
      <c r="R174" s="9">
        <v>8000</v>
      </c>
      <c r="S174" s="5">
        <f t="shared" si="7"/>
        <v>50000</v>
      </c>
      <c r="T174" s="76">
        <v>-25000</v>
      </c>
      <c r="U174" s="5">
        <f>+Tabla14[[#This Row],[Atraso a facturar]]+Tabla14[[#This Row],[Ajuste atraso]]</f>
        <v>25000</v>
      </c>
      <c r="V174" s="3">
        <f>+Tabla14[[#This Row],[Total disponible]]-Tabla14[[#This Row],[Facturación atraso]]</f>
        <v>26955.159408355757</v>
      </c>
      <c r="W174" s="6">
        <f>IFERROR(IF(AND(V174&gt;R174,J174&gt;=R174),ROUNDDOWN((Tabla14[[#This Row],[Producción para venta nueva]])/R174,0)*R174,0),0)</f>
        <v>24000</v>
      </c>
      <c r="X174" s="76">
        <v>-8000</v>
      </c>
      <c r="Y174" s="6">
        <f>IF(Tabla14[[#This Row],[Venta del mes]]&gt;0,Tabla14[[#This Row],[Venta del mes]]+Tabla14[[#This Row],[Ajuste venta nueva]],0)</f>
        <v>16000</v>
      </c>
      <c r="Z174" s="6">
        <f>+Tabla14[[#This Row],[Producción para venta nueva]]-Tabla14[[#This Row],[Facturación Venta nueva]]</f>
        <v>10955.159408355757</v>
      </c>
      <c r="AA174" s="6">
        <f>IF(AND(A174=1,Tabla14[[#This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4" s="6">
        <v>0</v>
      </c>
      <c r="AC174" s="6">
        <f>IF(Tabla14[[#This Row],[Disponible stock sin venta]]&gt;0,Tabla14[[#This Row],[Disponible stock sin venta]]+Tabla14[[#This Row],[Ajuste stock sin venta]],0)</f>
        <v>0</v>
      </c>
      <c r="AD174" s="3">
        <f>IFERROR(VLOOKUP(Tabla14[[#This Row],[Llave]],[12]Hoja1!$A:$D,4,FALSE),0)</f>
        <v>0</v>
      </c>
      <c r="AE17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74000</v>
      </c>
      <c r="AF174" s="3">
        <v>50000</v>
      </c>
      <c r="AG174" s="3">
        <f>+Tabla14[[#This Row],[En puerto a facturar]]</f>
        <v>0</v>
      </c>
      <c r="AH174" s="3">
        <f>+Tabla14[[#This Row],[Facturación atraso]]</f>
        <v>25000</v>
      </c>
      <c r="AI174" s="3">
        <f>+Tabla14[[#This Row],[Plan Irrestricto (DATO)]]-Tabla14[[#This Row],[Puerto ]]-Tabla14[[#This Row],[Atraso]]</f>
        <v>25000</v>
      </c>
      <c r="AJ174" s="6">
        <f>IF(Tabla14[[#This Row],[Plan Irrestricto (DATO)]]&gt;0,SUM(Tabla14[[#This Row],[Facturación atraso]],Tabla14[[#This Row],[Facturación Venta nueva]],Tabla14[[#This Row],[Facturación stock]],Tabla14[[#This Row],[En puerto a facturar]]),0)</f>
        <v>41000</v>
      </c>
      <c r="AK174" s="3">
        <f>+Tabla14[[#This Row],[Facturación atraso]]</f>
        <v>25000</v>
      </c>
      <c r="AL174" s="3">
        <f>Tabla14[[#This Row],[Plan Ajustado]]-Tabla14[[#This Row],[ Atraso ajustado]]-Tabla14[[#This Row],[En puerto a facturar]]</f>
        <v>16000</v>
      </c>
      <c r="AM174" s="3">
        <v>0</v>
      </c>
      <c r="AN174" s="3"/>
      <c r="AO174" s="3" t="str">
        <f>IF(Tabla14[[#This Row],[Plan Ajustado]]&gt;Tabla14[[#This Row],[En puerto a facturar]],"Si","No")</f>
        <v>Si</v>
      </c>
      <c r="AP174" s="3">
        <f>IF(AND(Tabla14[[#This Row],[Plan Ajustado]]&gt;0,Tabla14[[#This Row],[Plan Ajustado]]&gt;Tabla14[[#This Row],[En puerto a facturar]]),(Tabla14[[#This Row],[Plan Ajustado]]-Tabla14[[#This Row],[En puerto a facturar]]),0)</f>
        <v>41000</v>
      </c>
      <c r="AQ174" s="3">
        <f>IF(Tabla14[[#This Row],[Necesidad]]&gt;=Tabla14[[#This Row],[Stock al día]],Tabla14[[#This Row],[Stock al día]],Tabla14[[#This Row],[Necesidad]])</f>
        <v>10207.208000000001</v>
      </c>
      <c r="AR174" s="3">
        <f>+Tabla14[[#This Row],[Necesidad]]-Tabla14[[#This Row],[Stock Plan]]</f>
        <v>30792.792000000001</v>
      </c>
      <c r="AS174" s="155">
        <f>VLOOKUP(Tabla14[[#This Row],[Sector]]&amp;Tabla14[[#This Row],[Oficina]],[8]Ponderación!$A:$H,8,FALSE)</f>
        <v>44817</v>
      </c>
      <c r="AT174" s="30">
        <f>IFERROR(VLOOKUP(Tabla14[[#This Row],[Llave]],'[6]RV plan de ventas'!$A:$F,6,FALSE),0)</f>
        <v>4.5076000000000001</v>
      </c>
      <c r="AU174" s="83">
        <f>IFERROR(VLOOKUP(Tabla14[[#This Row],[Llave]],[9]DELAY!$H:$X,17,FALSE),0)</f>
        <v>4.4873831544444442</v>
      </c>
      <c r="AV17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4.4952726551490514</v>
      </c>
      <c r="AW174" s="5">
        <f>Tabla14[[#This Row],[Pecio plan]]*Tabla14[[#This Row],[Plan Ajustado]]</f>
        <v>184306.17886111111</v>
      </c>
      <c r="AX174" s="30">
        <f>IFERROR(VLOOKUP(Tabla14[[#This Row],[Llave]],'[13]Ultimos precios facturados'!$A:$G,7,FALSE),0)</f>
        <v>4.4282683686810635</v>
      </c>
      <c r="AY17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1.5131035630513223E-2</v>
      </c>
      <c r="AZ174" s="30">
        <f>IFERROR(VLOOKUP(Tabla14[[#This Row],[Llave]],Hoja2!B:K,10,FALSE),0)</f>
        <v>4.465894985947604</v>
      </c>
      <c r="BA17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4.4952726551490514</v>
      </c>
      <c r="BB174" s="30">
        <v>0</v>
      </c>
      <c r="BC174" s="30">
        <f>IF(Tabla14[[#This Row],[Market]]=0,Tabla14[[#This Row],[Precio Final]],Tabla14[[#This Row],[Market]])</f>
        <v>4.4952726551490514</v>
      </c>
      <c r="BD174" s="82"/>
      <c r="BE174" s="82" t="str">
        <f>IF(AND(Tabla14[[#This Row],[Atraso a facturar]]&gt;0,Tabla14[[#This Row],[En puerto a facturar]]&gt;0,Tabla14[[#This Row],[Precio Atraso]]=0),"Revisar","OK")</f>
        <v>OK</v>
      </c>
      <c r="BF174" s="82" t="str">
        <f>IF(AND(Tabla14[[#This Row],[Venta del mes]]&gt;0,Tabla14[[#This Row],[Precio venta nueva]]=0),"Revisar","OK")</f>
        <v>OK</v>
      </c>
      <c r="BG174" s="20">
        <f>IFERROR(VLOOKUP(Tabla14[[#This Row],[Llave]],'[5]Consolidación planes'!$A:$M,9,FALSE),0)</f>
        <v>16500</v>
      </c>
      <c r="BH174" s="20">
        <f>IFERROR(VLOOKUP(Tabla14[[#This Row],[Llave]],'[5]Consolidación planes'!$A:$M,10,FALSE),0)</f>
        <v>6500</v>
      </c>
      <c r="BI174" s="20">
        <f>IFERROR(VLOOKUP(Tabla14[[#This Row],[Llave]],'[5]Consolidación planes'!$A:$M,11,FALSE),0)</f>
        <v>3000</v>
      </c>
      <c r="BJ174" s="20">
        <f>IFERROR(VLOOKUP(Tabla14[[#This Row],[Llave]],'[5]Consolidación planes'!$A:$M,12,FALSE),0)</f>
        <v>5000</v>
      </c>
      <c r="BK174" s="20">
        <f>IFERROR(VLOOKUP(Tabla14[[#This Row],[Llave]],'[5]Consolidación planes'!$A:$M,13,FALSE),0)</f>
        <v>0</v>
      </c>
      <c r="BL174" s="20">
        <f>IFERROR(VLOOKUP(Tabla14[[#This Row],[Llave]],'[13]Base ultimos planes'!$A:$M,13,FALSE),0)</f>
        <v>0</v>
      </c>
      <c r="BM174" s="20">
        <f>IFERROR(VLOOKUP(Tabla14[[#This Row],[Llave]],'[13]Cruce plan irrestricto'!$C:$M,10,FALSE),0)</f>
        <v>26000</v>
      </c>
      <c r="BN174" s="20">
        <f>IFERROR(VLOOKUP(Tabla14[[#This Row],[Llave]],'[13]Cruce plan irrestricto'!$C:$M,11,FALSE),0)</f>
        <v>47840</v>
      </c>
      <c r="BO174" s="80">
        <f>IFERROR(VLOOKUP(Tabla14[[#This Row],[Llave]],'[13]Base ultimos planes'!$O:$AA,8,FALSE),0)</f>
        <v>84517.474000000002</v>
      </c>
      <c r="BP174" s="20">
        <f>IFERROR(VLOOKUP(Tabla14[[#This Row],[Llave]],'[13]Base ultimos planes'!$O:$AA,9,FALSE),0)</f>
        <v>31345</v>
      </c>
      <c r="BQ174" s="20">
        <f>IFERROR(VLOOKUP(Tabla14[[#This Row],[Llave]],'[13]Base ultimos planes'!$O:$AA,10,FALSE),0)</f>
        <v>14512</v>
      </c>
      <c r="BR174" s="20">
        <f>IFERROR(VLOOKUP(Tabla14[[#This Row],[Llave]],'[13]Base ultimos planes'!$O:$AA,11,FALSE),0)</f>
        <v>24062</v>
      </c>
      <c r="BS174" s="20">
        <f>IFERROR(VLOOKUP(Tabla14[[#This Row],[Llave]],'[13]Base ultimos planes'!$O:$AA,12,FALSE),0)</f>
        <v>0</v>
      </c>
      <c r="BT174" s="20">
        <f>IFERROR(VLOOKUP(Tabla14[[#This Row],[Llave]],'[13]Base ultimos planes'!$O:$AA,13,FALSE),0)</f>
        <v>0</v>
      </c>
      <c r="BU174" s="20"/>
      <c r="BV174" s="20">
        <f>Tabla14[[#This Row],[ RV Producción mes n+1]]-Tabla14[[#This Row],[Producción disponible]]+Tabla14[[#This Row],[Saldo Volumen disponible]]</f>
        <v>20874.836424248882</v>
      </c>
      <c r="BW174" s="20">
        <f>IFERROR(VLOOKUP(Tabla14[[#This Row],[Llave]],[14]Hoja2!$J:$N,4,FALSE),0)</f>
        <v>18000</v>
      </c>
      <c r="BX174" s="20">
        <f>+Tabla14[[#This Row],[Asignación mes n+1]]*Tabla14[[#This Row],[% Uti. producción]]</f>
        <v>13920.999079680259</v>
      </c>
      <c r="BY174" s="20">
        <f>+Tabla14[[#This Row],[Ponderación mes n+1]]+Tabla14[[#This Row],[Saldo mes n-1]]</f>
        <v>34795.835503929142</v>
      </c>
      <c r="BZ174" s="20">
        <f>+Tabla14[[#This Row],[Asignación mes n+1]]-Tabla14[[#This Row],[Ponderación mes n+1]]</f>
        <v>4079.0009203197405</v>
      </c>
      <c r="CA174" s="20">
        <f>IFERROR(VLOOKUP(Tabla14[[#This Row],[Llave]],[14]Hoja2!$J:$N,5,FALSE),0)</f>
        <v>18000</v>
      </c>
      <c r="CB174" s="20">
        <f>+Tabla14[[#This Row],[Asignación mes n+2]]*Tabla14[[#This Row],[% Uti. producción]]</f>
        <v>13920.999079680259</v>
      </c>
      <c r="CC174" s="20">
        <f>+Tabla14[[#This Row],[Saldo mes n+2]]+Tabla14[[#This Row],[Ponderación mes n+2]]</f>
        <v>18000</v>
      </c>
      <c r="CD174" s="20">
        <f>+Tabla14[[#This Row],[Asignación mes n+2]]-Tabla14[[#This Row],[Ponderación mes n+2]]</f>
        <v>4079.0009203197405</v>
      </c>
    </row>
    <row r="175" spans="1:82" ht="16" x14ac:dyDescent="0.2">
      <c r="A175">
        <v>1</v>
      </c>
      <c r="B175" t="str">
        <f>Tabla14[[#This Row],[Oficina]]&amp;Tabla14[[#This Row],[Material]]</f>
        <v>Exportacion Directa1022282</v>
      </c>
      <c r="C175" t="s">
        <v>6</v>
      </c>
      <c r="D175" t="s">
        <v>88</v>
      </c>
      <c r="E175">
        <v>1022282</v>
      </c>
      <c r="F175" t="s">
        <v>137</v>
      </c>
      <c r="G175" t="s">
        <v>134</v>
      </c>
      <c r="H175" t="s">
        <v>135</v>
      </c>
      <c r="I175" s="7">
        <f>IFERROR(IF(Tabla14[[#This Row],[Oficina]]=$I$7,VLOOKUP(Tabla14[[#This Row],[Material]],'[6]RV Producción'!$Y:$AA,3,FALSE),VLOOKUP(Tabla14[[#This Row],[Llave]],'[6]RV Producción'!$C:$G,5,FALSE)),0)</f>
        <v>0</v>
      </c>
      <c r="J175" s="7">
        <f>IFERROR(IF(Tabla14[[#This Row],[Oficina]]=$I$7,VLOOKUP(Tabla14[[#This Row],[Llave]],'[7]Shangai (Tomas)'!$A:$F,6,FALSE),VLOOKUP(Tabla14[[#This Row],[Llave]],'[6]RV plan de ventas'!$A:$E,5,FALSE)),0)</f>
        <v>0</v>
      </c>
      <c r="K175" s="8">
        <f>IFERROR(VLOOKUP(Tabla14[[#This Row],[Sector]]&amp;Tabla14[[#This Row],[Oficina]],[8]Ponderación!$A$3:$G$22,7,FALSE),0)</f>
        <v>0.77338883776001444</v>
      </c>
      <c r="L175" s="7">
        <f>+Tabla14[[#This Row],[ RV Producción mes n+1]]*Tabla14[[#This Row],[% Uti. producción]]</f>
        <v>0</v>
      </c>
      <c r="M175" s="7">
        <f>IFERROR(VLOOKUP(Tabla14[[#This Row],[Material]],'[9]TD Stock'!$B:$C,2,FALSE),0)</f>
        <v>0</v>
      </c>
      <c r="N175" s="7">
        <f>IFERROR(VLOOKUP(Tabla14[[#This Row],[Material]],'[10]Consolidado planificación'!$B:$C,2,FALSE),0)</f>
        <v>0</v>
      </c>
      <c r="O175" s="7">
        <f>IFERROR(VLOOKUP(Tabla14[[#This Row],[Llave]],[11]Hoja2!$D:$G,4,FALSE),0)</f>
        <v>0</v>
      </c>
      <c r="P175" s="14">
        <f>SUM(Tabla14[[#This Row],[Producción disponible]],Tabla14[[#This Row],[Stock al día]],(Tabla14[[#This Row],[Por producir mes N]]*0.9))-Tabla14[[#This Row],[Producción por despachar mes N]]</f>
        <v>0</v>
      </c>
      <c r="Q175" s="7">
        <f>IFERROR(VLOOKUP(Tabla14[[#This Row],[Llave]],[9]DELAY!$A:$D,4,FALSE),0)</f>
        <v>0</v>
      </c>
      <c r="R175" s="9">
        <v>2000</v>
      </c>
      <c r="S175" s="5">
        <f t="shared" si="7"/>
        <v>0</v>
      </c>
      <c r="T175" s="76">
        <v>0</v>
      </c>
      <c r="U175" s="5">
        <f>+Tabla14[[#This Row],[Atraso a facturar]]+Tabla14[[#This Row],[Ajuste atraso]]</f>
        <v>0</v>
      </c>
      <c r="V175" s="3">
        <f>+Tabla14[[#This Row],[Total disponible]]-Tabla14[[#This Row],[Facturación atraso]]</f>
        <v>0</v>
      </c>
      <c r="W175" s="6">
        <f>IFERROR(IF(AND(V175&gt;R175,J175&gt;=R175),ROUNDDOWN((Tabla14[[#This Row],[Producción para venta nueva]])/R175,0)*R175,0),0)</f>
        <v>0</v>
      </c>
      <c r="X175" s="76">
        <v>0</v>
      </c>
      <c r="Y175" s="6">
        <f>IF(Tabla14[[#This Row],[Venta del mes]]&gt;0,Tabla14[[#This Row],[Venta del mes]]+Tabla14[[#This Row],[Ajuste venta nueva]],0)</f>
        <v>0</v>
      </c>
      <c r="Z175" s="6">
        <f>+Tabla14[[#This Row],[Producción para venta nueva]]-Tabla14[[#This Row],[Facturación Venta nueva]]</f>
        <v>0</v>
      </c>
      <c r="AA175" s="6">
        <f>IF(AND(A175=1,Tabla14[[#This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5" s="6">
        <v>0</v>
      </c>
      <c r="AC175" s="6">
        <f>IF(Tabla14[[#This Row],[Disponible stock sin venta]]&gt;0,Tabla14[[#This Row],[Disponible stock sin venta]]+Tabla14[[#This Row],[Ajuste stock sin venta]],0)</f>
        <v>0</v>
      </c>
      <c r="AD175" s="3">
        <f>IFERROR(VLOOKUP(Tabla14[[#This Row],[Llave]],[12]Hoja1!$A:$D,4,FALSE),0)</f>
        <v>0</v>
      </c>
      <c r="AE175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75" s="3" t="b">
        <v>0</v>
      </c>
      <c r="AG175" s="3">
        <f>+Tabla14[[#This Row],[En puerto a facturar]]</f>
        <v>0</v>
      </c>
      <c r="AH175" s="3">
        <f>+Tabla14[[#This Row],[Facturación atraso]]</f>
        <v>0</v>
      </c>
      <c r="AI175" s="3">
        <f>+Tabla14[[#This Row],[Plan Irrestricto (DATO)]]-Tabla14[[#This Row],[Puerto ]]-Tabla14[[#This Row],[Atraso]]</f>
        <v>0</v>
      </c>
      <c r="AJ17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75" s="3">
        <f>+Tabla14[[#This Row],[Facturación atraso]]</f>
        <v>0</v>
      </c>
      <c r="AL175" s="3">
        <f>Tabla14[[#This Row],[Plan Ajustado]]-Tabla14[[#This Row],[ Atraso ajustado]]-Tabla14[[#This Row],[En puerto a facturar]]</f>
        <v>0</v>
      </c>
      <c r="AM175" s="3">
        <v>0</v>
      </c>
      <c r="AN175" s="3"/>
      <c r="AO175" s="3" t="str">
        <f>IF(Tabla14[[#This Row],[Plan Ajustado]]&gt;Tabla14[[#This Row],[En puerto a facturar]],"Si","No")</f>
        <v>No</v>
      </c>
      <c r="AP17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75" s="3">
        <f>IF(Tabla14[[#This Row],[Necesidad]]&gt;=Tabla14[[#This Row],[Stock al día]],Tabla14[[#This Row],[Stock al día]],Tabla14[[#This Row],[Necesidad]])</f>
        <v>0</v>
      </c>
      <c r="AR175" s="3">
        <f>+Tabla14[[#This Row],[Necesidad]]-Tabla14[[#This Row],[Stock Plan]]</f>
        <v>0</v>
      </c>
      <c r="AS175" s="155">
        <f>VLOOKUP(Tabla14[[#This Row],[Sector]]&amp;Tabla14[[#This Row],[Oficina]],[8]Ponderación!$A:$H,8,FALSE)</f>
        <v>44817</v>
      </c>
      <c r="AT175" s="30">
        <f>IFERROR(VLOOKUP(Tabla14[[#This Row],[Llave]],'[6]RV plan de ventas'!$A:$F,6,FALSE),0)</f>
        <v>0</v>
      </c>
      <c r="AU175" s="83">
        <f>IFERROR(VLOOKUP(Tabla14[[#This Row],[Llave]],[9]DELAY!$H:$X,17,FALSE),0)</f>
        <v>0</v>
      </c>
      <c r="AV17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75" s="5">
        <f>Tabla14[[#This Row],[Pecio plan]]*Tabla14[[#This Row],[Plan Ajustado]]</f>
        <v>0</v>
      </c>
      <c r="AX175" s="30">
        <f>IFERROR(VLOOKUP(Tabla14[[#This Row],[Llave]],'[13]Ultimos precios facturados'!$A:$G,7,FALSE),0)</f>
        <v>0</v>
      </c>
      <c r="AY17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75" s="30">
        <f>IFERROR(VLOOKUP(Tabla14[[#This Row],[Llave]],Hoja2!B:K,10,FALSE),0)</f>
        <v>0</v>
      </c>
      <c r="BA17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75" s="30">
        <v>0</v>
      </c>
      <c r="BC175" s="30">
        <f>IF(Tabla14[[#This Row],[Market]]=0,Tabla14[[#This Row],[Precio Final]],Tabla14[[#This Row],[Market]])</f>
        <v>0</v>
      </c>
      <c r="BD175" s="82"/>
      <c r="BE175" s="82" t="str">
        <f>IF(AND(Tabla14[[#This Row],[Atraso a facturar]]&gt;0,Tabla14[[#This Row],[En puerto a facturar]]&gt;0,Tabla14[[#This Row],[Precio Atraso]]=0),"Revisar","OK")</f>
        <v>OK</v>
      </c>
      <c r="BF175" s="82" t="str">
        <f>IF(AND(Tabla14[[#This Row],[Venta del mes]]&gt;0,Tabla14[[#This Row],[Precio venta nueva]]=0),"Revisar","OK")</f>
        <v>OK</v>
      </c>
      <c r="BG175" s="20">
        <f>IFERROR(VLOOKUP(Tabla14[[#This Row],[Llave]],'[5]Consolidación planes'!$A:$M,9,FALSE),0)</f>
        <v>0</v>
      </c>
      <c r="BH175" s="20">
        <f>IFERROR(VLOOKUP(Tabla14[[#This Row],[Llave]],'[5]Consolidación planes'!$A:$M,10,FALSE),0)</f>
        <v>0</v>
      </c>
      <c r="BI175" s="20">
        <f>IFERROR(VLOOKUP(Tabla14[[#This Row],[Llave]],'[5]Consolidación planes'!$A:$M,11,FALSE),0)</f>
        <v>0</v>
      </c>
      <c r="BJ175" s="20">
        <f>IFERROR(VLOOKUP(Tabla14[[#This Row],[Llave]],'[5]Consolidación planes'!$A:$M,12,FALSE),0)</f>
        <v>3000</v>
      </c>
      <c r="BK175" s="20">
        <f>IFERROR(VLOOKUP(Tabla14[[#This Row],[Llave]],'[5]Consolidación planes'!$A:$M,13,FALSE),0)</f>
        <v>2000</v>
      </c>
      <c r="BL175" s="20">
        <f>IFERROR(VLOOKUP(Tabla14[[#This Row],[Llave]],'[13]Base ultimos planes'!$A:$M,13,FALSE),0)</f>
        <v>0</v>
      </c>
      <c r="BM175" s="20">
        <f>IFERROR(VLOOKUP(Tabla14[[#This Row],[Llave]],'[13]Cruce plan irrestricto'!$C:$M,10,FALSE),0)</f>
        <v>0</v>
      </c>
      <c r="BN175" s="20">
        <f>IFERROR(VLOOKUP(Tabla14[[#This Row],[Llave]],'[13]Cruce plan irrestricto'!$C:$M,11,FALSE),0)</f>
        <v>0</v>
      </c>
      <c r="BO175" s="80">
        <f>IFERROR(VLOOKUP(Tabla14[[#This Row],[Llave]],'[13]Base ultimos planes'!$O:$AA,8,FALSE),0)</f>
        <v>0</v>
      </c>
      <c r="BP175" s="20">
        <f>IFERROR(VLOOKUP(Tabla14[[#This Row],[Llave]],'[13]Base ultimos planes'!$O:$AA,9,FALSE),0)</f>
        <v>0</v>
      </c>
      <c r="BQ175" s="20">
        <f>IFERROR(VLOOKUP(Tabla14[[#This Row],[Llave]],'[13]Base ultimos planes'!$O:$AA,10,FALSE),0)</f>
        <v>0</v>
      </c>
      <c r="BR175" s="20">
        <f>IFERROR(VLOOKUP(Tabla14[[#This Row],[Llave]],'[13]Base ultimos planes'!$O:$AA,11,FALSE),0)</f>
        <v>18786</v>
      </c>
      <c r="BS175" s="20">
        <f>IFERROR(VLOOKUP(Tabla14[[#This Row],[Llave]],'[13]Base ultimos planes'!$O:$AA,12,FALSE),0)</f>
        <v>12524</v>
      </c>
      <c r="BT175" s="20">
        <f>IFERROR(VLOOKUP(Tabla14[[#This Row],[Llave]],'[13]Base ultimos planes'!$O:$AA,13,FALSE),0)</f>
        <v>0</v>
      </c>
      <c r="BU175" s="20"/>
      <c r="BV175" s="20">
        <f>Tabla14[[#This Row],[ RV Producción mes n+1]]-Tabla14[[#This Row],[Producción disponible]]+Tabla14[[#This Row],[Saldo Volumen disponible]]</f>
        <v>0</v>
      </c>
      <c r="BW175" s="20">
        <f>IFERROR(VLOOKUP(Tabla14[[#This Row],[Llave]],[14]Hoja2!$J:$N,4,FALSE),0)</f>
        <v>0</v>
      </c>
      <c r="BX175" s="20">
        <f>+Tabla14[[#This Row],[Asignación mes n+1]]*Tabla14[[#This Row],[% Uti. producción]]</f>
        <v>0</v>
      </c>
      <c r="BY175" s="20">
        <f>+Tabla14[[#This Row],[Ponderación mes n+1]]+Tabla14[[#This Row],[Saldo mes n-1]]</f>
        <v>0</v>
      </c>
      <c r="BZ175" s="20">
        <f>+Tabla14[[#This Row],[Asignación mes n+1]]-Tabla14[[#This Row],[Ponderación mes n+1]]</f>
        <v>0</v>
      </c>
      <c r="CA175" s="20">
        <f>IFERROR(VLOOKUP(Tabla14[[#This Row],[Llave]],[14]Hoja2!$J:$N,5,FALSE),0)</f>
        <v>0</v>
      </c>
      <c r="CB175" s="20">
        <f>+Tabla14[[#This Row],[Asignación mes n+2]]*Tabla14[[#This Row],[% Uti. producción]]</f>
        <v>0</v>
      </c>
      <c r="CC175" s="20">
        <f>+Tabla14[[#This Row],[Saldo mes n+2]]+Tabla14[[#This Row],[Ponderación mes n+2]]</f>
        <v>0</v>
      </c>
      <c r="CD175" s="20">
        <f>+Tabla14[[#This Row],[Asignación mes n+2]]-Tabla14[[#This Row],[Ponderación mes n+2]]</f>
        <v>0</v>
      </c>
    </row>
    <row r="176" spans="1:82" ht="16" x14ac:dyDescent="0.2">
      <c r="A176">
        <v>1</v>
      </c>
      <c r="B176" t="str">
        <f>Tabla14[[#This Row],[Oficina]]&amp;Tabla14[[#This Row],[Material]]</f>
        <v>Exportacion Directa1022313</v>
      </c>
      <c r="C176" t="s">
        <v>6</v>
      </c>
      <c r="D176" t="s">
        <v>88</v>
      </c>
      <c r="E176">
        <v>1022313</v>
      </c>
      <c r="F176" t="s">
        <v>96</v>
      </c>
      <c r="G176" t="s">
        <v>50</v>
      </c>
      <c r="H176" t="s">
        <v>95</v>
      </c>
      <c r="I176" s="7">
        <f>IFERROR(IF(Tabla14[[#This Row],[Oficina]]=$I$7,VLOOKUP(Tabla14[[#This Row],[Material]],'[6]RV Producción'!$Y:$AA,3,FALSE),VLOOKUP(Tabla14[[#This Row],[Llave]],'[6]RV Producción'!$C:$G,5,FALSE)),0)</f>
        <v>7069</v>
      </c>
      <c r="J176" s="7">
        <f>IFERROR(IF(Tabla14[[#This Row],[Oficina]]=$I$7,VLOOKUP(Tabla14[[#This Row],[Llave]],'[7]Shangai (Tomas)'!$A:$F,6,FALSE),VLOOKUP(Tabla14[[#This Row],[Llave]],'[6]RV plan de ventas'!$A:$E,5,FALSE)),0)</f>
        <v>7000</v>
      </c>
      <c r="K176" s="8">
        <f>IFERROR(VLOOKUP(Tabla14[[#This Row],[Sector]]&amp;Tabla14[[#This Row],[Oficina]],[8]Ponderación!$A$3:$G$22,7,FALSE),0)</f>
        <v>0.77338883776001444</v>
      </c>
      <c r="L176" s="7">
        <f>+Tabla14[[#This Row],[ RV Producción mes n+1]]*Tabla14[[#This Row],[% Uti. producción]]</f>
        <v>5467.0856941255424</v>
      </c>
      <c r="M176" s="7">
        <f>IFERROR(VLOOKUP(Tabla14[[#This Row],[Material]],'[9]TD Stock'!$B:$C,2,FALSE),0)</f>
        <v>8672.4879999999994</v>
      </c>
      <c r="N176" s="7">
        <f>IFERROR(VLOOKUP(Tabla14[[#This Row],[Material]],'[10]Consolidado planificación'!$B:$C,2,FALSE),0)</f>
        <v>2008.5426975999744</v>
      </c>
      <c r="O176" s="7">
        <f>IFERROR(VLOOKUP(Tabla14[[#This Row],[Llave]],[11]Hoja2!$D:$G,4,FALSE),0)</f>
        <v>0</v>
      </c>
      <c r="P176" s="14">
        <f>SUM(Tabla14[[#This Row],[Producción disponible]],Tabla14[[#This Row],[Stock al día]],(Tabla14[[#This Row],[Por producir mes N]]*0.9))-Tabla14[[#This Row],[Producción por despachar mes N]]</f>
        <v>15947.262121965519</v>
      </c>
      <c r="Q176" s="7">
        <f>IFERROR(VLOOKUP(Tabla14[[#This Row],[Llave]],[9]DELAY!$A:$D,4,FALSE),0)</f>
        <v>20000</v>
      </c>
      <c r="R176" s="9">
        <v>2666.6666666666665</v>
      </c>
      <c r="S176" s="5">
        <f t="shared" si="7"/>
        <v>13333.333333333332</v>
      </c>
      <c r="T176" s="76">
        <v>-6333</v>
      </c>
      <c r="U176" s="5">
        <f>+Tabla14[[#This Row],[Atraso a facturar]]+Tabla14[[#This Row],[Ajuste atraso]]</f>
        <v>7000.3333333333321</v>
      </c>
      <c r="V176" s="3">
        <f>+Tabla14[[#This Row],[Total disponible]]-Tabla14[[#This Row],[Facturación atraso]]</f>
        <v>8946.9287886321872</v>
      </c>
      <c r="W176" s="6">
        <f>IFERROR(IF(AND(V176&gt;R176,J176&gt;=R176),ROUNDDOWN((Tabla14[[#This Row],[Producción para venta nueva]])/R176,0)*R176,0),0)</f>
        <v>8000</v>
      </c>
      <c r="X176" s="76">
        <v>-5000</v>
      </c>
      <c r="Y176" s="6">
        <f>IF(Tabla14[[#This Row],[Venta del mes]]&gt;0,Tabla14[[#This Row],[Venta del mes]]+Tabla14[[#This Row],[Ajuste venta nueva]],0)</f>
        <v>3000</v>
      </c>
      <c r="Z176" s="6">
        <f>+Tabla14[[#This Row],[Producción para venta nueva]]-Tabla14[[#This Row],[Facturación Venta nueva]]</f>
        <v>5946.9287886321872</v>
      </c>
      <c r="AA176" s="6">
        <f>IF(AND(A176=1,Tabla14[[#This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6" s="6">
        <v>0</v>
      </c>
      <c r="AC176" s="6">
        <f>IF(Tabla14[[#This Row],[Disponible stock sin venta]]&gt;0,Tabla14[[#This Row],[Disponible stock sin venta]]+Tabla14[[#This Row],[Ajuste stock sin venta]],0)</f>
        <v>0</v>
      </c>
      <c r="AD176" s="3">
        <f>IFERROR(VLOOKUP(Tabla14[[#This Row],[Llave]],[12]Hoja1!$A:$D,4,FALSE),0)</f>
        <v>0</v>
      </c>
      <c r="AE17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21333.333333333332</v>
      </c>
      <c r="AF176" s="3">
        <v>13333.333333333332</v>
      </c>
      <c r="AG176" s="3">
        <f>+Tabla14[[#This Row],[En puerto a facturar]]</f>
        <v>0</v>
      </c>
      <c r="AH176" s="3">
        <f>+Tabla14[[#This Row],[Facturación atraso]]</f>
        <v>7000.3333333333321</v>
      </c>
      <c r="AI176" s="3">
        <f>+Tabla14[[#This Row],[Plan Irrestricto (DATO)]]-Tabla14[[#This Row],[Puerto ]]-Tabla14[[#This Row],[Atraso]]</f>
        <v>6333</v>
      </c>
      <c r="AJ176" s="6">
        <f>IF(Tabla14[[#This Row],[Plan Irrestricto (DATO)]]&gt;0,SUM(Tabla14[[#This Row],[Facturación atraso]],Tabla14[[#This Row],[Facturación Venta nueva]],Tabla14[[#This Row],[Facturación stock]],Tabla14[[#This Row],[En puerto a facturar]]),0)</f>
        <v>10000.333333333332</v>
      </c>
      <c r="AK176" s="3">
        <f>+Tabla14[[#This Row],[Facturación atraso]]</f>
        <v>7000.3333333333321</v>
      </c>
      <c r="AL176" s="3">
        <f>Tabla14[[#This Row],[Plan Ajustado]]-Tabla14[[#This Row],[ Atraso ajustado]]-Tabla14[[#This Row],[En puerto a facturar]]</f>
        <v>3000</v>
      </c>
      <c r="AM176" s="3">
        <v>0</v>
      </c>
      <c r="AN176" s="3"/>
      <c r="AO176" s="3" t="str">
        <f>IF(Tabla14[[#This Row],[Plan Ajustado]]&gt;Tabla14[[#This Row],[En puerto a facturar]],"Si","No")</f>
        <v>Si</v>
      </c>
      <c r="AP176" s="3">
        <f>IF(AND(Tabla14[[#This Row],[Plan Ajustado]]&gt;0,Tabla14[[#This Row],[Plan Ajustado]]&gt;Tabla14[[#This Row],[En puerto a facturar]]),(Tabla14[[#This Row],[Plan Ajustado]]-Tabla14[[#This Row],[En puerto a facturar]]),0)</f>
        <v>10000.333333333332</v>
      </c>
      <c r="AQ176" s="3">
        <f>IF(Tabla14[[#This Row],[Necesidad]]&gt;=Tabla14[[#This Row],[Stock al día]],Tabla14[[#This Row],[Stock al día]],Tabla14[[#This Row],[Necesidad]])</f>
        <v>8672.4879999999994</v>
      </c>
      <c r="AR176" s="3">
        <f>+Tabla14[[#This Row],[Necesidad]]-Tabla14[[#This Row],[Stock Plan]]</f>
        <v>1327.8453333333327</v>
      </c>
      <c r="AS176" s="155">
        <f>VLOOKUP(Tabla14[[#This Row],[Sector]]&amp;Tabla14[[#This Row],[Oficina]],[8]Ponderación!$A:$H,8,FALSE)</f>
        <v>44817</v>
      </c>
      <c r="AT176" s="30">
        <f>IFERROR(VLOOKUP(Tabla14[[#This Row],[Llave]],'[6]RV plan de ventas'!$A:$F,6,FALSE),0)</f>
        <v>4.0212857142857104</v>
      </c>
      <c r="AU176" s="83">
        <f>IFERROR(VLOOKUP(Tabla14[[#This Row],[Llave]],[9]DELAY!$H:$X,17,FALSE),0)</f>
        <v>3.9123860500000003</v>
      </c>
      <c r="AV17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3.945054860325369</v>
      </c>
      <c r="AW176" s="5">
        <f>Tabla14[[#This Row],[Pecio plan]]*Tabla14[[#This Row],[Plan Ajustado]]</f>
        <v>39451.863621540462</v>
      </c>
      <c r="AX176" s="30">
        <f>IFERROR(VLOOKUP(Tabla14[[#This Row],[Llave]],'[13]Ultimos precios facturados'!$A:$G,7,FALSE),0)</f>
        <v>3.9109571706657729</v>
      </c>
      <c r="AY17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8.7185024462417219E-3</v>
      </c>
      <c r="AZ176" s="30">
        <f>IFERROR(VLOOKUP(Tabla14[[#This Row],[Llave]],Hoja2!B:K,10,FALSE),0)</f>
        <v>3.8616058952054804</v>
      </c>
      <c r="BA17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3.945054860325369</v>
      </c>
      <c r="BB176" s="30">
        <v>0</v>
      </c>
      <c r="BC176" s="30">
        <f>IF(Tabla14[[#This Row],[Market]]=0,Tabla14[[#This Row],[Precio Final]],Tabla14[[#This Row],[Market]])</f>
        <v>3.945054860325369</v>
      </c>
      <c r="BD176" s="82" t="s">
        <v>758</v>
      </c>
      <c r="BE176" s="82" t="str">
        <f>IF(AND(Tabla14[[#This Row],[Atraso a facturar]]&gt;0,Tabla14[[#This Row],[En puerto a facturar]]&gt;0,Tabla14[[#This Row],[Precio Atraso]]=0),"Revisar","OK")</f>
        <v>OK</v>
      </c>
      <c r="BF176" s="82" t="str">
        <f>IF(AND(Tabla14[[#This Row],[Venta del mes]]&gt;0,Tabla14[[#This Row],[Precio venta nueva]]=0),"Revisar","OK")</f>
        <v>OK</v>
      </c>
      <c r="BG176" s="20">
        <f>IFERROR(VLOOKUP(Tabla14[[#This Row],[Llave]],'[5]Consolidación planes'!$A:$M,9,FALSE),0)</f>
        <v>17750</v>
      </c>
      <c r="BH176" s="20">
        <f>IFERROR(VLOOKUP(Tabla14[[#This Row],[Llave]],'[5]Consolidación planes'!$A:$M,10,FALSE),0)</f>
        <v>9000</v>
      </c>
      <c r="BI176" s="20">
        <f>IFERROR(VLOOKUP(Tabla14[[#This Row],[Llave]],'[5]Consolidación planes'!$A:$M,11,FALSE),0)</f>
        <v>8000</v>
      </c>
      <c r="BJ176" s="20">
        <f>IFERROR(VLOOKUP(Tabla14[[#This Row],[Llave]],'[5]Consolidación planes'!$A:$M,12,FALSE),0)</f>
        <v>7000</v>
      </c>
      <c r="BK176" s="20">
        <f>IFERROR(VLOOKUP(Tabla14[[#This Row],[Llave]],'[5]Consolidación planes'!$A:$M,13,FALSE),0)</f>
        <v>7000</v>
      </c>
      <c r="BL176" s="20">
        <f>IFERROR(VLOOKUP(Tabla14[[#This Row],[Llave]],'[13]Base ultimos planes'!$A:$M,13,FALSE),0)</f>
        <v>10000</v>
      </c>
      <c r="BM176" s="20">
        <f>IFERROR(VLOOKUP(Tabla14[[#This Row],[Llave]],'[13]Cruce plan irrestricto'!$C:$M,10,FALSE),0)</f>
        <v>5333</v>
      </c>
      <c r="BN176" s="20">
        <f>IFERROR(VLOOKUP(Tabla14[[#This Row],[Llave]],'[13]Cruce plan irrestricto'!$C:$M,11,FALSE),0)</f>
        <v>10901.33</v>
      </c>
      <c r="BO176" s="80">
        <f>IFERROR(VLOOKUP(Tabla14[[#This Row],[Llave]],'[13]Base ultimos planes'!$O:$AA,8,FALSE),0)</f>
        <v>81701.657600000006</v>
      </c>
      <c r="BP176" s="20">
        <f>IFERROR(VLOOKUP(Tabla14[[#This Row],[Llave]],'[13]Base ultimos planes'!$O:$AA,9,FALSE),0)</f>
        <v>39113</v>
      </c>
      <c r="BQ176" s="20">
        <f>IFERROR(VLOOKUP(Tabla14[[#This Row],[Llave]],'[13]Base ultimos planes'!$O:$AA,10,FALSE),0)</f>
        <v>34968</v>
      </c>
      <c r="BR176" s="20">
        <f>IFERROR(VLOOKUP(Tabla14[[#This Row],[Llave]],'[13]Base ultimos planes'!$O:$AA,11,FALSE),0)</f>
        <v>28931</v>
      </c>
      <c r="BS176" s="20">
        <f>IFERROR(VLOOKUP(Tabla14[[#This Row],[Llave]],'[13]Base ultimos planes'!$O:$AA,12,FALSE),0)</f>
        <v>26913</v>
      </c>
      <c r="BT176" s="20">
        <f>IFERROR(VLOOKUP(Tabla14[[#This Row],[Llave]],'[13]Base ultimos planes'!$O:$AA,13,FALSE),0)</f>
        <v>37649</v>
      </c>
      <c r="BU176" s="20"/>
      <c r="BV176" s="20">
        <f>Tabla14[[#This Row],[ RV Producción mes n+1]]-Tabla14[[#This Row],[Producción disponible]]+Tabla14[[#This Row],[Saldo Volumen disponible]]</f>
        <v>7548.8430945066448</v>
      </c>
      <c r="BW176" s="20">
        <f>IFERROR(VLOOKUP(Tabla14[[#This Row],[Llave]],[14]Hoja2!$J:$N,4,FALSE),0)</f>
        <v>6671.5884699999997</v>
      </c>
      <c r="BX176" s="20">
        <f>+Tabla14[[#This Row],[Asignación mes n+1]]*Tabla14[[#This Row],[% Uti. producción]]</f>
        <v>5159.7320528264127</v>
      </c>
      <c r="BY176" s="20">
        <f>+Tabla14[[#This Row],[Ponderación mes n+1]]+Tabla14[[#This Row],[Saldo mes n-1]]</f>
        <v>12708.575147333057</v>
      </c>
      <c r="BZ176" s="20">
        <f>+Tabla14[[#This Row],[Asignación mes n+1]]-Tabla14[[#This Row],[Ponderación mes n+1]]</f>
        <v>1511.856417173587</v>
      </c>
      <c r="CA176" s="20">
        <f>IFERROR(VLOOKUP(Tabla14[[#This Row],[Llave]],[14]Hoja2!$J:$N,5,FALSE),0)</f>
        <v>7325.7979999999998</v>
      </c>
      <c r="CB176" s="20">
        <f>+Tabla14[[#This Row],[Asignación mes n+2]]*Tabla14[[#This Row],[% Uti. producción]]</f>
        <v>5665.6904008846377</v>
      </c>
      <c r="CC176" s="20">
        <f>+Tabla14[[#This Row],[Saldo mes n+2]]+Tabla14[[#This Row],[Ponderación mes n+2]]</f>
        <v>7177.5468180582247</v>
      </c>
      <c r="CD176" s="20">
        <f>+Tabla14[[#This Row],[Asignación mes n+2]]-Tabla14[[#This Row],[Ponderación mes n+2]]</f>
        <v>1660.1075991153621</v>
      </c>
    </row>
    <row r="177" spans="1:82" ht="16" x14ac:dyDescent="0.2">
      <c r="A177">
        <v>1</v>
      </c>
      <c r="B177" t="str">
        <f>Tabla14[[#This Row],[Oficina]]&amp;Tabla14[[#This Row],[Material]]</f>
        <v>Exportacion Directa1022326</v>
      </c>
      <c r="C177" t="s">
        <v>6</v>
      </c>
      <c r="D177" t="s">
        <v>88</v>
      </c>
      <c r="E177">
        <v>1022326</v>
      </c>
      <c r="F177" t="s">
        <v>97</v>
      </c>
      <c r="G177" t="s">
        <v>50</v>
      </c>
      <c r="H177" t="s">
        <v>95</v>
      </c>
      <c r="I177" s="7">
        <f>IFERROR(IF(Tabla14[[#This Row],[Oficina]]=$I$7,VLOOKUP(Tabla14[[#This Row],[Material]],'[6]RV Producción'!$Y:$AA,3,FALSE),VLOOKUP(Tabla14[[#This Row],[Llave]],'[6]RV Producción'!$C:$G,5,FALSE)),0)</f>
        <v>17089</v>
      </c>
      <c r="J177" s="7">
        <f>IFERROR(IF(Tabla14[[#This Row],[Oficina]]=$I$7,VLOOKUP(Tabla14[[#This Row],[Llave]],'[7]Shangai (Tomas)'!$A:$F,6,FALSE),VLOOKUP(Tabla14[[#This Row],[Llave]],'[6]RV plan de ventas'!$A:$E,5,FALSE)),0)</f>
        <v>15000</v>
      </c>
      <c r="K177" s="8">
        <f>IFERROR(VLOOKUP(Tabla14[[#This Row],[Sector]]&amp;Tabla14[[#This Row],[Oficina]],[8]Ponderación!$A$3:$G$22,7,FALSE),0)</f>
        <v>0.77338883776001444</v>
      </c>
      <c r="L177" s="7">
        <f>+Tabla14[[#This Row],[ RV Producción mes n+1]]*Tabla14[[#This Row],[% Uti. producción]]</f>
        <v>13216.441848480887</v>
      </c>
      <c r="M177" s="7">
        <f>IFERROR(VLOOKUP(Tabla14[[#This Row],[Material]],'[9]TD Stock'!$B:$C,2,FALSE),0)</f>
        <v>11352.485000000002</v>
      </c>
      <c r="N177" s="7">
        <f>IFERROR(VLOOKUP(Tabla14[[#This Row],[Material]],'[10]Consolidado planificación'!$B:$C,2,FALSE),0)</f>
        <v>3694.1680716087503</v>
      </c>
      <c r="O177" s="7">
        <f>IFERROR(VLOOKUP(Tabla14[[#This Row],[Llave]],[11]Hoja2!$D:$G,4,FALSE),0)</f>
        <v>0</v>
      </c>
      <c r="P177" s="14">
        <f>SUM(Tabla14[[#This Row],[Producción disponible]],Tabla14[[#This Row],[Stock al día]],(Tabla14[[#This Row],[Por producir mes N]]*0.9))-Tabla14[[#This Row],[Producción por despachar mes N]]</f>
        <v>27893.678112928763</v>
      </c>
      <c r="Q177" s="7">
        <f>IFERROR(VLOOKUP(Tabla14[[#This Row],[Llave]],[9]DELAY!$A:$D,4,FALSE),0)</f>
        <v>10000</v>
      </c>
      <c r="R177" s="9">
        <v>5833.333333333333</v>
      </c>
      <c r="S177" s="5">
        <f t="shared" si="7"/>
        <v>10000</v>
      </c>
      <c r="T177" s="76">
        <v>-3000</v>
      </c>
      <c r="U177" s="5">
        <f>+Tabla14[[#This Row],[Atraso a facturar]]+Tabla14[[#This Row],[Ajuste atraso]]</f>
        <v>7000</v>
      </c>
      <c r="V177" s="3">
        <f>+Tabla14[[#This Row],[Total disponible]]-Tabla14[[#This Row],[Facturación atraso]]</f>
        <v>20893.678112928763</v>
      </c>
      <c r="W177" s="6">
        <f>IFERROR(IF(AND(V177&gt;R177,J177&gt;=R177),ROUNDDOWN((Tabla14[[#This Row],[Producción para venta nueva]])/R177,0)*R177,0),0)</f>
        <v>17500</v>
      </c>
      <c r="X177" s="76">
        <v>-7000</v>
      </c>
      <c r="Y177" s="6">
        <f>IF(Tabla14[[#This Row],[Venta del mes]]&gt;0,Tabla14[[#This Row],[Venta del mes]]+Tabla14[[#This Row],[Ajuste venta nueva]],0)</f>
        <v>10500</v>
      </c>
      <c r="Z177" s="6">
        <f>+Tabla14[[#This Row],[Producción para venta nueva]]-Tabla14[[#This Row],[Facturación Venta nueva]]</f>
        <v>10393.678112928763</v>
      </c>
      <c r="AA177" s="6">
        <f>IF(AND(A177=1,Tabla14[[#This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7" s="6">
        <v>0</v>
      </c>
      <c r="AC177" s="6">
        <f>IF(Tabla14[[#This Row],[Disponible stock sin venta]]&gt;0,Tabla14[[#This Row],[Disponible stock sin venta]]+Tabla14[[#This Row],[Ajuste stock sin venta]],0)</f>
        <v>0</v>
      </c>
      <c r="AD177" s="3">
        <f>IFERROR(VLOOKUP(Tabla14[[#This Row],[Llave]],[12]Hoja1!$A:$D,4,FALSE),0)</f>
        <v>0</v>
      </c>
      <c r="AE17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27500</v>
      </c>
      <c r="AF177" s="3">
        <v>27500</v>
      </c>
      <c r="AG177" s="3">
        <f>+Tabla14[[#This Row],[En puerto a facturar]]</f>
        <v>0</v>
      </c>
      <c r="AH177" s="3">
        <f>+Tabla14[[#This Row],[Facturación atraso]]</f>
        <v>7000</v>
      </c>
      <c r="AI177" s="3">
        <f>+Tabla14[[#This Row],[Plan Irrestricto (DATO)]]-Tabla14[[#This Row],[Puerto ]]-Tabla14[[#This Row],[Atraso]]</f>
        <v>20500</v>
      </c>
      <c r="AJ177" s="6">
        <f>IF(Tabla14[[#This Row],[Plan Irrestricto (DATO)]]&gt;0,SUM(Tabla14[[#This Row],[Facturación atraso]],Tabla14[[#This Row],[Facturación Venta nueva]],Tabla14[[#This Row],[Facturación stock]],Tabla14[[#This Row],[En puerto a facturar]]),0)</f>
        <v>17500</v>
      </c>
      <c r="AK177" s="3">
        <f>+Tabla14[[#This Row],[Facturación atraso]]</f>
        <v>7000</v>
      </c>
      <c r="AL177" s="3">
        <f>Tabla14[[#This Row],[Plan Ajustado]]-Tabla14[[#This Row],[ Atraso ajustado]]-Tabla14[[#This Row],[En puerto a facturar]]</f>
        <v>10500</v>
      </c>
      <c r="AM177" s="3">
        <v>0</v>
      </c>
      <c r="AN177" s="3"/>
      <c r="AO177" s="3" t="str">
        <f>IF(Tabla14[[#This Row],[Plan Ajustado]]&gt;Tabla14[[#This Row],[En puerto a facturar]],"Si","No")</f>
        <v>Si</v>
      </c>
      <c r="AP177" s="3">
        <f>IF(AND(Tabla14[[#This Row],[Plan Ajustado]]&gt;0,Tabla14[[#This Row],[Plan Ajustado]]&gt;Tabla14[[#This Row],[En puerto a facturar]]),(Tabla14[[#This Row],[Plan Ajustado]]-Tabla14[[#This Row],[En puerto a facturar]]),0)</f>
        <v>17500</v>
      </c>
      <c r="AQ177" s="3">
        <f>IF(Tabla14[[#This Row],[Necesidad]]&gt;=Tabla14[[#This Row],[Stock al día]],Tabla14[[#This Row],[Stock al día]],Tabla14[[#This Row],[Necesidad]])</f>
        <v>11352.485000000002</v>
      </c>
      <c r="AR177" s="3">
        <f>+Tabla14[[#This Row],[Necesidad]]-Tabla14[[#This Row],[Stock Plan]]</f>
        <v>6147.5149999999976</v>
      </c>
      <c r="AS177" s="155">
        <f>VLOOKUP(Tabla14[[#This Row],[Sector]]&amp;Tabla14[[#This Row],[Oficina]],[8]Ponderación!$A:$H,8,FALSE)</f>
        <v>44817</v>
      </c>
      <c r="AT177" s="30">
        <f>IFERROR(VLOOKUP(Tabla14[[#This Row],[Llave]],'[6]RV plan de ventas'!$A:$F,6,FALSE),0)</f>
        <v>3.6472000000000002</v>
      </c>
      <c r="AU177" s="83">
        <f>IFERROR(VLOOKUP(Tabla14[[#This Row],[Llave]],[9]DELAY!$H:$X,17,FALSE),0)</f>
        <v>3.5884499799999996</v>
      </c>
      <c r="AV17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3.6236999920000001</v>
      </c>
      <c r="AW177" s="5">
        <f>Tabla14[[#This Row],[Pecio plan]]*Tabla14[[#This Row],[Plan Ajustado]]</f>
        <v>63414.749860000004</v>
      </c>
      <c r="AX177" s="30">
        <f>IFERROR(VLOOKUP(Tabla14[[#This Row],[Llave]],'[13]Ultimos precios facturados'!$A:$G,7,FALSE),0)</f>
        <v>3.2422517287046131</v>
      </c>
      <c r="AY17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0.11764918186898099</v>
      </c>
      <c r="AZ177" s="30">
        <f>IFERROR(VLOOKUP(Tabla14[[#This Row],[Llave]],Hoja2!B:K,10,FALSE),0)</f>
        <v>3.3351649180704035</v>
      </c>
      <c r="BA17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3.6236999920000001</v>
      </c>
      <c r="BB177" s="30">
        <v>0</v>
      </c>
      <c r="BC177" s="30">
        <f>IF(Tabla14[[#This Row],[Market]]=0,Tabla14[[#This Row],[Precio Final]],Tabla14[[#This Row],[Market]])</f>
        <v>3.6236999920000001</v>
      </c>
      <c r="BD177" s="82"/>
      <c r="BE177" s="82" t="str">
        <f>IF(AND(Tabla14[[#This Row],[Atraso a facturar]]&gt;0,Tabla14[[#This Row],[En puerto a facturar]]&gt;0,Tabla14[[#This Row],[Precio Atraso]]=0),"Revisar","OK")</f>
        <v>OK</v>
      </c>
      <c r="BF177" s="82" t="str">
        <f>IF(AND(Tabla14[[#This Row],[Venta del mes]]&gt;0,Tabla14[[#This Row],[Precio venta nueva]]=0),"Revisar","OK")</f>
        <v>OK</v>
      </c>
      <c r="BG177" s="20">
        <f>IFERROR(VLOOKUP(Tabla14[[#This Row],[Llave]],'[5]Consolidación planes'!$A:$M,9,FALSE),0)</f>
        <v>35000</v>
      </c>
      <c r="BH177" s="20">
        <f>IFERROR(VLOOKUP(Tabla14[[#This Row],[Llave]],'[5]Consolidación planes'!$A:$M,10,FALSE),0)</f>
        <v>23000</v>
      </c>
      <c r="BI177" s="20">
        <f>IFERROR(VLOOKUP(Tabla14[[#This Row],[Llave]],'[5]Consolidación planes'!$A:$M,11,FALSE),0)</f>
        <v>45000</v>
      </c>
      <c r="BJ177" s="20">
        <f>IFERROR(VLOOKUP(Tabla14[[#This Row],[Llave]],'[5]Consolidación planes'!$A:$M,12,FALSE),0)</f>
        <v>30000</v>
      </c>
      <c r="BK177" s="20">
        <f>IFERROR(VLOOKUP(Tabla14[[#This Row],[Llave]],'[5]Consolidación planes'!$A:$M,13,FALSE),0)</f>
        <v>41343</v>
      </c>
      <c r="BL177" s="20">
        <f>IFERROR(VLOOKUP(Tabla14[[#This Row],[Llave]],'[13]Base ultimos planes'!$A:$M,13,FALSE),0)</f>
        <v>41667</v>
      </c>
      <c r="BM177" s="20">
        <f>IFERROR(VLOOKUP(Tabla14[[#This Row],[Llave]],'[13]Cruce plan irrestricto'!$C:$M,10,FALSE),0)</f>
        <v>39667</v>
      </c>
      <c r="BN177" s="20">
        <f>IFERROR(VLOOKUP(Tabla14[[#This Row],[Llave]],'[13]Cruce plan irrestricto'!$C:$M,11,FALSE),0)</f>
        <v>6969.33</v>
      </c>
      <c r="BO177" s="80">
        <f>IFERROR(VLOOKUP(Tabla14[[#This Row],[Llave]],'[13]Base ultimos planes'!$O:$AA,8,FALSE),0)</f>
        <v>153650</v>
      </c>
      <c r="BP177" s="20">
        <f>IFERROR(VLOOKUP(Tabla14[[#This Row],[Llave]],'[13]Base ultimos planes'!$O:$AA,9,FALSE),0)</f>
        <v>87386</v>
      </c>
      <c r="BQ177" s="20">
        <f>IFERROR(VLOOKUP(Tabla14[[#This Row],[Llave]],'[13]Base ultimos planes'!$O:$AA,10,FALSE),0)</f>
        <v>155377</v>
      </c>
      <c r="BR177" s="20">
        <f>IFERROR(VLOOKUP(Tabla14[[#This Row],[Llave]],'[13]Base ultimos planes'!$O:$AA,11,FALSE),0)</f>
        <v>103333</v>
      </c>
      <c r="BS177" s="20">
        <f>IFERROR(VLOOKUP(Tabla14[[#This Row],[Llave]],'[13]Base ultimos planes'!$O:$AA,12,FALSE),0)</f>
        <v>141388</v>
      </c>
      <c r="BT177" s="20">
        <f>IFERROR(VLOOKUP(Tabla14[[#This Row],[Llave]],'[13]Base ultimos planes'!$O:$AA,13,FALSE),0)</f>
        <v>134460</v>
      </c>
      <c r="BU177" s="20"/>
      <c r="BV177" s="20">
        <f>Tabla14[[#This Row],[ RV Producción mes n+1]]-Tabla14[[#This Row],[Producción disponible]]+Tabla14[[#This Row],[Saldo Volumen disponible]]</f>
        <v>14266.236264447876</v>
      </c>
      <c r="BW177" s="20">
        <f>IFERROR(VLOOKUP(Tabla14[[#This Row],[Llave]],[14]Hoja2!$J:$N,4,FALSE),0)</f>
        <v>17999.999599999999</v>
      </c>
      <c r="BX177" s="20">
        <f>+Tabla14[[#This Row],[Asignación mes n+1]]*Tabla14[[#This Row],[% Uti. producción]]</f>
        <v>13920.998770324724</v>
      </c>
      <c r="BY177" s="20">
        <f>+Tabla14[[#This Row],[Ponderación mes n+1]]+Tabla14[[#This Row],[Saldo mes n-1]]</f>
        <v>28187.235034772602</v>
      </c>
      <c r="BZ177" s="20">
        <f>+Tabla14[[#This Row],[Asignación mes n+1]]-Tabla14[[#This Row],[Ponderación mes n+1]]</f>
        <v>4079.0008296752749</v>
      </c>
      <c r="CA177" s="20">
        <f>IFERROR(VLOOKUP(Tabla14[[#This Row],[Llave]],[14]Hoja2!$J:$N,5,FALSE),0)</f>
        <v>18000</v>
      </c>
      <c r="CB177" s="20">
        <f>+Tabla14[[#This Row],[Asignación mes n+2]]*Tabla14[[#This Row],[% Uti. producción]]</f>
        <v>13920.999079680259</v>
      </c>
      <c r="CC177" s="20">
        <f>+Tabla14[[#This Row],[Saldo mes n+2]]+Tabla14[[#This Row],[Ponderación mes n+2]]</f>
        <v>17999.999909355534</v>
      </c>
      <c r="CD177" s="20">
        <f>+Tabla14[[#This Row],[Asignación mes n+2]]-Tabla14[[#This Row],[Ponderación mes n+2]]</f>
        <v>4079.0009203197405</v>
      </c>
    </row>
    <row r="178" spans="1:82" ht="16" x14ac:dyDescent="0.2">
      <c r="A178">
        <v>1</v>
      </c>
      <c r="B178" t="str">
        <f>Tabla14[[#This Row],[Oficina]]&amp;Tabla14[[#This Row],[Material]]</f>
        <v>Exportacion Directa1022370</v>
      </c>
      <c r="C178" t="s">
        <v>6</v>
      </c>
      <c r="D178" t="s">
        <v>88</v>
      </c>
      <c r="E178">
        <v>1022370</v>
      </c>
      <c r="F178" t="s">
        <v>108</v>
      </c>
      <c r="G178" t="s">
        <v>50</v>
      </c>
      <c r="H178" t="s">
        <v>103</v>
      </c>
      <c r="I178" s="7">
        <f>IFERROR(IF(Tabla14[[#This Row],[Oficina]]=$I$7,VLOOKUP(Tabla14[[#This Row],[Material]],'[6]RV Producción'!$Y:$AA,3,FALSE),VLOOKUP(Tabla14[[#This Row],[Llave]],'[6]RV Producción'!$C:$G,5,FALSE)),0)</f>
        <v>19574</v>
      </c>
      <c r="J178" s="7">
        <f>IFERROR(IF(Tabla14[[#This Row],[Oficina]]=$I$7,VLOOKUP(Tabla14[[#This Row],[Llave]],'[7]Shangai (Tomas)'!$A:$F,6,FALSE),VLOOKUP(Tabla14[[#This Row],[Llave]],'[6]RV plan de ventas'!$A:$E,5,FALSE)),0)</f>
        <v>20000</v>
      </c>
      <c r="K178" s="8">
        <f>IFERROR(VLOOKUP(Tabla14[[#This Row],[Sector]]&amp;Tabla14[[#This Row],[Oficina]],[8]Ponderación!$A$3:$G$22,7,FALSE),0)</f>
        <v>0.77338883776001444</v>
      </c>
      <c r="L178" s="7">
        <f>+Tabla14[[#This Row],[ RV Producción mes n+1]]*Tabla14[[#This Row],[% Uti. producción]]</f>
        <v>15138.313110314522</v>
      </c>
      <c r="M178" s="7">
        <f>IFERROR(VLOOKUP(Tabla14[[#This Row],[Material]],'[9]TD Stock'!$B:$C,2,FALSE),0)</f>
        <v>44066.147999999994</v>
      </c>
      <c r="N178" s="7">
        <f>IFERROR(VLOOKUP(Tabla14[[#This Row],[Material]],'[10]Consolidado planificación'!$B:$C,2,FALSE),0)</f>
        <v>7684.6269784606056</v>
      </c>
      <c r="O178" s="7">
        <f>IFERROR(VLOOKUP(Tabla14[[#This Row],[Llave]],[11]Hoja2!$D:$G,4,FALSE),0)</f>
        <v>0</v>
      </c>
      <c r="P178" s="14">
        <f>SUM(Tabla14[[#This Row],[Producción disponible]],Tabla14[[#This Row],[Stock al día]],(Tabla14[[#This Row],[Por producir mes N]]*0.9))-Tabla14[[#This Row],[Producción por despachar mes N]]</f>
        <v>66120.625390929054</v>
      </c>
      <c r="Q178" s="7">
        <f>IFERROR(VLOOKUP(Tabla14[[#This Row],[Llave]],[9]DELAY!$A:$D,4,FALSE),0)</f>
        <v>58000</v>
      </c>
      <c r="R178" s="9">
        <v>2500</v>
      </c>
      <c r="S178" s="5">
        <f t="shared" si="7"/>
        <v>58000</v>
      </c>
      <c r="T178" s="76">
        <v>-30000</v>
      </c>
      <c r="U178" s="5">
        <f>+Tabla14[[#This Row],[Atraso a facturar]]+Tabla14[[#This Row],[Ajuste atraso]]</f>
        <v>28000</v>
      </c>
      <c r="V178" s="3">
        <f>+Tabla14[[#This Row],[Total disponible]]-Tabla14[[#This Row],[Facturación atraso]]</f>
        <v>38120.625390929054</v>
      </c>
      <c r="W178" s="6">
        <f>IFERROR(IF(AND(V178&gt;R178,J178&gt;=R178),ROUNDDOWN((Tabla14[[#This Row],[Producción para venta nueva]])/R178,0)*R178,0),0)</f>
        <v>37500</v>
      </c>
      <c r="X178" s="76">
        <v>-25000</v>
      </c>
      <c r="Y178" s="6">
        <f>IF(Tabla14[[#This Row],[Venta del mes]]&gt;0,Tabla14[[#This Row],[Venta del mes]]+Tabla14[[#This Row],[Ajuste venta nueva]],0)</f>
        <v>12500</v>
      </c>
      <c r="Z178" s="6">
        <f>+Tabla14[[#This Row],[Producción para venta nueva]]-Tabla14[[#This Row],[Facturación Venta nueva]]</f>
        <v>25620.625390929054</v>
      </c>
      <c r="AA178" s="6">
        <f>IF(AND(A178=1,Tabla14[[#This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8" s="6">
        <v>0</v>
      </c>
      <c r="AC178" s="6">
        <f>IF(Tabla14[[#This Row],[Disponible stock sin venta]]&gt;0,Tabla14[[#This Row],[Disponible stock sin venta]]+Tabla14[[#This Row],[Ajuste stock sin venta]],0)</f>
        <v>0</v>
      </c>
      <c r="AD178" s="3">
        <f>IFERROR(VLOOKUP(Tabla14[[#This Row],[Llave]],[12]Hoja1!$A:$D,4,FALSE),0)</f>
        <v>0</v>
      </c>
      <c r="AE17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95500</v>
      </c>
      <c r="AF178" s="3">
        <v>65500</v>
      </c>
      <c r="AG178" s="3">
        <f>+Tabla14[[#This Row],[En puerto a facturar]]</f>
        <v>0</v>
      </c>
      <c r="AH178" s="3">
        <f>+Tabla14[[#This Row],[Facturación atraso]]</f>
        <v>28000</v>
      </c>
      <c r="AI178" s="3">
        <f>+Tabla14[[#This Row],[Plan Irrestricto (DATO)]]-Tabla14[[#This Row],[Puerto ]]-Tabla14[[#This Row],[Atraso]]</f>
        <v>37500</v>
      </c>
      <c r="AJ178" s="6">
        <f>IF(Tabla14[[#This Row],[Plan Irrestricto (DATO)]]&gt;0,SUM(Tabla14[[#This Row],[Facturación atraso]],Tabla14[[#This Row],[Facturación Venta nueva]],Tabla14[[#This Row],[Facturación stock]],Tabla14[[#This Row],[En puerto a facturar]]),0)</f>
        <v>40500</v>
      </c>
      <c r="AK178" s="3">
        <f>+Tabla14[[#This Row],[Facturación atraso]]</f>
        <v>28000</v>
      </c>
      <c r="AL178" s="3">
        <f>Tabla14[[#This Row],[Plan Ajustado]]-Tabla14[[#This Row],[ Atraso ajustado]]-Tabla14[[#This Row],[En puerto a facturar]]</f>
        <v>12500</v>
      </c>
      <c r="AM178" s="3">
        <v>0</v>
      </c>
      <c r="AN178" s="3"/>
      <c r="AO178" s="3" t="str">
        <f>IF(Tabla14[[#This Row],[Plan Ajustado]]&gt;Tabla14[[#This Row],[En puerto a facturar]],"Si","No")</f>
        <v>Si</v>
      </c>
      <c r="AP178" s="3">
        <f>IF(AND(Tabla14[[#This Row],[Plan Ajustado]]&gt;0,Tabla14[[#This Row],[Plan Ajustado]]&gt;Tabla14[[#This Row],[En puerto a facturar]]),(Tabla14[[#This Row],[Plan Ajustado]]-Tabla14[[#This Row],[En puerto a facturar]]),0)</f>
        <v>40500</v>
      </c>
      <c r="AQ178" s="3">
        <f>IF(Tabla14[[#This Row],[Necesidad]]&gt;=Tabla14[[#This Row],[Stock al día]],Tabla14[[#This Row],[Stock al día]],Tabla14[[#This Row],[Necesidad]])</f>
        <v>40500</v>
      </c>
      <c r="AR178" s="3">
        <f>+Tabla14[[#This Row],[Necesidad]]-Tabla14[[#This Row],[Stock Plan]]</f>
        <v>0</v>
      </c>
      <c r="AS178" s="155">
        <f>VLOOKUP(Tabla14[[#This Row],[Sector]]&amp;Tabla14[[#This Row],[Oficina]],[8]Ponderación!$A:$H,8,FALSE)</f>
        <v>44817</v>
      </c>
      <c r="AT178" s="30">
        <f>IFERROR(VLOOKUP(Tabla14[[#This Row],[Llave]],'[6]RV plan de ventas'!$A:$F,6,FALSE),0)</f>
        <v>3.7594500000000002</v>
      </c>
      <c r="AU178" s="83">
        <f>IFERROR(VLOOKUP(Tabla14[[#This Row],[Llave]],[9]DELAY!$H:$X,17,FALSE),0)</f>
        <v>3.754728281982759</v>
      </c>
      <c r="AV17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3.7561856023584506</v>
      </c>
      <c r="AW178" s="5">
        <f>Tabla14[[#This Row],[Pecio plan]]*Tabla14[[#This Row],[Plan Ajustado]]</f>
        <v>152125.51689551724</v>
      </c>
      <c r="AX178" s="30">
        <f>IFERROR(VLOOKUP(Tabla14[[#This Row],[Llave]],'[13]Ultimos precios facturados'!$A:$G,7,FALSE),0)</f>
        <v>3.5816533000515935</v>
      </c>
      <c r="AY17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4.8729535687986013E-2</v>
      </c>
      <c r="AZ178" s="30">
        <f>IFERROR(VLOOKUP(Tabla14[[#This Row],[Llave]],Hoja2!B:K,10,FALSE),0)</f>
        <v>3.6909123038924099</v>
      </c>
      <c r="BA17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3.7561856023584506</v>
      </c>
      <c r="BB178" s="30">
        <v>0</v>
      </c>
      <c r="BC178" s="30">
        <f>IF(Tabla14[[#This Row],[Market]]=0,Tabla14[[#This Row],[Precio Final]],Tabla14[[#This Row],[Market]])</f>
        <v>3.7561856023584506</v>
      </c>
      <c r="BD178" s="82"/>
      <c r="BE178" s="82" t="str">
        <f>IF(AND(Tabla14[[#This Row],[Atraso a facturar]]&gt;0,Tabla14[[#This Row],[En puerto a facturar]]&gt;0,Tabla14[[#This Row],[Precio Atraso]]=0),"Revisar","OK")</f>
        <v>OK</v>
      </c>
      <c r="BF178" s="82" t="str">
        <f>IF(AND(Tabla14[[#This Row],[Venta del mes]]&gt;0,Tabla14[[#This Row],[Precio venta nueva]]=0),"Revisar","OK")</f>
        <v>OK</v>
      </c>
      <c r="BG178" s="20">
        <f>IFERROR(VLOOKUP(Tabla14[[#This Row],[Llave]],'[5]Consolidación planes'!$A:$M,9,FALSE),0)</f>
        <v>30000</v>
      </c>
      <c r="BH178" s="20">
        <f>IFERROR(VLOOKUP(Tabla14[[#This Row],[Llave]],'[5]Consolidación planes'!$A:$M,10,FALSE),0)</f>
        <v>13000</v>
      </c>
      <c r="BI178" s="20">
        <f>IFERROR(VLOOKUP(Tabla14[[#This Row],[Llave]],'[5]Consolidación planes'!$A:$M,11,FALSE),0)</f>
        <v>18000</v>
      </c>
      <c r="BJ178" s="20">
        <f>IFERROR(VLOOKUP(Tabla14[[#This Row],[Llave]],'[5]Consolidación planes'!$A:$M,12,FALSE),0)</f>
        <v>35000</v>
      </c>
      <c r="BK178" s="20">
        <f>IFERROR(VLOOKUP(Tabla14[[#This Row],[Llave]],'[5]Consolidación planes'!$A:$M,13,FALSE),0)</f>
        <v>30000</v>
      </c>
      <c r="BL178" s="20">
        <f>IFERROR(VLOOKUP(Tabla14[[#This Row],[Llave]],'[13]Base ultimos planes'!$A:$M,13,FALSE),0)</f>
        <v>42500</v>
      </c>
      <c r="BM178" s="20">
        <f>IFERROR(VLOOKUP(Tabla14[[#This Row],[Llave]],'[13]Cruce plan irrestricto'!$C:$M,10,FALSE),0)</f>
        <v>39500</v>
      </c>
      <c r="BN178" s="20">
        <f>IFERROR(VLOOKUP(Tabla14[[#This Row],[Llave]],'[13]Cruce plan irrestricto'!$C:$M,11,FALSE),0)</f>
        <v>47340</v>
      </c>
      <c r="BO178" s="80">
        <f>IFERROR(VLOOKUP(Tabla14[[#This Row],[Llave]],'[13]Base ultimos planes'!$O:$AA,8,FALSE),0)</f>
        <v>126000</v>
      </c>
      <c r="BP178" s="20">
        <f>IFERROR(VLOOKUP(Tabla14[[#This Row],[Llave]],'[13]Base ultimos planes'!$O:$AA,9,FALSE),0)</f>
        <v>52063</v>
      </c>
      <c r="BQ178" s="20">
        <f>IFERROR(VLOOKUP(Tabla14[[#This Row],[Llave]],'[13]Base ultimos planes'!$O:$AA,10,FALSE),0)</f>
        <v>72039</v>
      </c>
      <c r="BR178" s="20">
        <f>IFERROR(VLOOKUP(Tabla14[[#This Row],[Llave]],'[13]Base ultimos planes'!$O:$AA,11,FALSE),0)</f>
        <v>136267</v>
      </c>
      <c r="BS178" s="20">
        <f>IFERROR(VLOOKUP(Tabla14[[#This Row],[Llave]],'[13]Base ultimos planes'!$O:$AA,12,FALSE),0)</f>
        <v>110039</v>
      </c>
      <c r="BT178" s="20">
        <f>IFERROR(VLOOKUP(Tabla14[[#This Row],[Llave]],'[13]Base ultimos planes'!$O:$AA,13,FALSE),0)</f>
        <v>151844</v>
      </c>
      <c r="BU178" s="20"/>
      <c r="BV178" s="20">
        <f>Tabla14[[#This Row],[ RV Producción mes n+1]]-Tabla14[[#This Row],[Producción disponible]]+Tabla14[[#This Row],[Saldo Volumen disponible]]</f>
        <v>30056.312280614533</v>
      </c>
      <c r="BW178" s="20">
        <f>IFERROR(VLOOKUP(Tabla14[[#This Row],[Llave]],[14]Hoja2!$J:$N,4,FALSE),0)</f>
        <v>18000</v>
      </c>
      <c r="BX178" s="20">
        <f>+Tabla14[[#This Row],[Asignación mes n+1]]*Tabla14[[#This Row],[% Uti. producción]]</f>
        <v>13920.999079680259</v>
      </c>
      <c r="BY178" s="20">
        <f>+Tabla14[[#This Row],[Ponderación mes n+1]]+Tabla14[[#This Row],[Saldo mes n-1]]</f>
        <v>43977.311360294792</v>
      </c>
      <c r="BZ178" s="20">
        <f>+Tabla14[[#This Row],[Asignación mes n+1]]-Tabla14[[#This Row],[Ponderación mes n+1]]</f>
        <v>4079.0009203197405</v>
      </c>
      <c r="CA178" s="20">
        <f>IFERROR(VLOOKUP(Tabla14[[#This Row],[Llave]],[14]Hoja2!$J:$N,5,FALSE),0)</f>
        <v>18000</v>
      </c>
      <c r="CB178" s="20">
        <f>+Tabla14[[#This Row],[Asignación mes n+2]]*Tabla14[[#This Row],[% Uti. producción]]</f>
        <v>13920.999079680259</v>
      </c>
      <c r="CC178" s="20">
        <f>+Tabla14[[#This Row],[Saldo mes n+2]]+Tabla14[[#This Row],[Ponderación mes n+2]]</f>
        <v>18000</v>
      </c>
      <c r="CD178" s="20">
        <f>+Tabla14[[#This Row],[Asignación mes n+2]]-Tabla14[[#This Row],[Ponderación mes n+2]]</f>
        <v>4079.0009203197405</v>
      </c>
    </row>
    <row r="179" spans="1:82" ht="16" x14ac:dyDescent="0.2">
      <c r="A179">
        <v>1</v>
      </c>
      <c r="B179" t="str">
        <f>Tabla14[[#This Row],[Oficina]]&amp;Tabla14[[#This Row],[Material]]</f>
        <v>Exportacion Directa1022371</v>
      </c>
      <c r="C179" t="s">
        <v>6</v>
      </c>
      <c r="D179" t="s">
        <v>88</v>
      </c>
      <c r="E179">
        <v>1022371</v>
      </c>
      <c r="F179" t="s">
        <v>125</v>
      </c>
      <c r="G179" t="s">
        <v>56</v>
      </c>
      <c r="H179" t="s">
        <v>57</v>
      </c>
      <c r="I179" s="7">
        <f>IFERROR(IF(Tabla14[[#This Row],[Oficina]]=$I$7,VLOOKUP(Tabla14[[#This Row],[Material]],'[6]RV Producción'!$Y:$AA,3,FALSE),VLOOKUP(Tabla14[[#This Row],[Llave]],'[6]RV Producción'!$C:$G,5,FALSE)),0)</f>
        <v>27899</v>
      </c>
      <c r="J179" s="7">
        <f>IFERROR(IF(Tabla14[[#This Row],[Oficina]]=$I$7,VLOOKUP(Tabla14[[#This Row],[Llave]],'[7]Shangai (Tomas)'!$A:$F,6,FALSE),VLOOKUP(Tabla14[[#This Row],[Llave]],'[6]RV plan de ventas'!$A:$E,5,FALSE)),0)</f>
        <v>19000</v>
      </c>
      <c r="K179" s="8">
        <f>IFERROR(VLOOKUP(Tabla14[[#This Row],[Sector]]&amp;Tabla14[[#This Row],[Oficina]],[8]Ponderación!$A$3:$G$22,7,FALSE),0)</f>
        <v>0.77338883776001444</v>
      </c>
      <c r="L179" s="7">
        <f>+Tabla14[[#This Row],[ RV Producción mes n+1]]*Tabla14[[#This Row],[% Uti. producción]]</f>
        <v>21576.775184666643</v>
      </c>
      <c r="M179" s="7">
        <f>IFERROR(VLOOKUP(Tabla14[[#This Row],[Material]],'[9]TD Stock'!$B:$C,2,FALSE),0)</f>
        <v>24387.348999999987</v>
      </c>
      <c r="N179" s="7">
        <f>IFERROR(VLOOKUP(Tabla14[[#This Row],[Material]],'[10]Consolidado planificación'!$B:$C,2,FALSE),0)</f>
        <v>5762.3262826220744</v>
      </c>
      <c r="O179" s="7">
        <f>IFERROR(VLOOKUP(Tabla14[[#This Row],[Llave]],[11]Hoja2!$D:$G,4,FALSE),0)</f>
        <v>0</v>
      </c>
      <c r="P179" s="14">
        <f>SUM(Tabla14[[#This Row],[Producción disponible]],Tabla14[[#This Row],[Stock al día]],(Tabla14[[#This Row],[Por producir mes N]]*0.9))-Tabla14[[#This Row],[Producción por despachar mes N]]</f>
        <v>51150.217839026496</v>
      </c>
      <c r="Q179" s="7">
        <f>IFERROR(VLOOKUP(Tabla14[[#This Row],[Llave]],[9]DELAY!$A:$D,4,FALSE),0)</f>
        <v>38000</v>
      </c>
      <c r="R179" s="9">
        <v>3900</v>
      </c>
      <c r="S179" s="5">
        <f t="shared" si="7"/>
        <v>38000</v>
      </c>
      <c r="T179" s="76">
        <v>-28000</v>
      </c>
      <c r="U179" s="5">
        <f>+Tabla14[[#This Row],[Atraso a facturar]]+Tabla14[[#This Row],[Ajuste atraso]]</f>
        <v>10000</v>
      </c>
      <c r="V179" s="3">
        <f>+Tabla14[[#This Row],[Total disponible]]-Tabla14[[#This Row],[Facturación atraso]]</f>
        <v>41150.217839026496</v>
      </c>
      <c r="W179" s="6">
        <f>IFERROR(IF(AND(V179&gt;R179,J179&gt;=R179),ROUNDDOWN((Tabla14[[#This Row],[Producción para venta nueva]])/R179,0)*R179,0),0)</f>
        <v>39000</v>
      </c>
      <c r="X179" s="76">
        <v>-25000</v>
      </c>
      <c r="Y179" s="6">
        <f>IF(Tabla14[[#This Row],[Venta del mes]]&gt;0,Tabla14[[#This Row],[Venta del mes]]+Tabla14[[#This Row],[Ajuste venta nueva]],0)</f>
        <v>14000</v>
      </c>
      <c r="Z179" s="6">
        <f>+Tabla14[[#This Row],[Producción para venta nueva]]-Tabla14[[#This Row],[Facturación Venta nueva]]</f>
        <v>27150.217839026496</v>
      </c>
      <c r="AA179" s="6">
        <f>IF(AND(A179=1,Tabla14[[#This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79" s="6">
        <v>0</v>
      </c>
      <c r="AC179" s="6">
        <f>IF(Tabla14[[#This Row],[Disponible stock sin venta]]&gt;0,Tabla14[[#This Row],[Disponible stock sin venta]]+Tabla14[[#This Row],[Ajuste stock sin venta]],0)</f>
        <v>0</v>
      </c>
      <c r="AD179" s="3">
        <f>IFERROR(VLOOKUP(Tabla14[[#This Row],[Llave]],[12]Hoja1!$A:$D,4,FALSE),0)</f>
        <v>0</v>
      </c>
      <c r="AE17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77000</v>
      </c>
      <c r="AF179" s="3">
        <v>49700</v>
      </c>
      <c r="AG179" s="3">
        <f>+Tabla14[[#This Row],[En puerto a facturar]]</f>
        <v>0</v>
      </c>
      <c r="AH179" s="3">
        <f>+Tabla14[[#This Row],[Facturación atraso]]</f>
        <v>10000</v>
      </c>
      <c r="AI179" s="3">
        <f>+Tabla14[[#This Row],[Plan Irrestricto (DATO)]]-Tabla14[[#This Row],[Puerto ]]-Tabla14[[#This Row],[Atraso]]</f>
        <v>39700</v>
      </c>
      <c r="AJ179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179" s="3">
        <f>+Tabla14[[#This Row],[Facturación atraso]]</f>
        <v>10000</v>
      </c>
      <c r="AL179" s="3">
        <f>Tabla14[[#This Row],[Plan Ajustado]]-Tabla14[[#This Row],[ Atraso ajustado]]-Tabla14[[#This Row],[En puerto a facturar]]</f>
        <v>14000</v>
      </c>
      <c r="AM179" s="3">
        <v>0</v>
      </c>
      <c r="AN179" s="3"/>
      <c r="AO179" s="3" t="str">
        <f>IF(Tabla14[[#This Row],[Plan Ajustado]]&gt;Tabla14[[#This Row],[En puerto a facturar]],"Si","No")</f>
        <v>Si</v>
      </c>
      <c r="AP179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179" s="3">
        <f>IF(Tabla14[[#This Row],[Necesidad]]&gt;=Tabla14[[#This Row],[Stock al día]],Tabla14[[#This Row],[Stock al día]],Tabla14[[#This Row],[Necesidad]])</f>
        <v>24000</v>
      </c>
      <c r="AR179" s="3">
        <f>+Tabla14[[#This Row],[Necesidad]]-Tabla14[[#This Row],[Stock Plan]]</f>
        <v>0</v>
      </c>
      <c r="AS179" s="155">
        <f>VLOOKUP(Tabla14[[#This Row],[Sector]]&amp;Tabla14[[#This Row],[Oficina]],[8]Ponderación!$A:$H,8,FALSE)</f>
        <v>44817</v>
      </c>
      <c r="AT179" s="30">
        <f>IFERROR(VLOOKUP(Tabla14[[#This Row],[Llave]],'[6]RV plan de ventas'!$A:$F,6,FALSE),0)</f>
        <v>4.8816842105263198</v>
      </c>
      <c r="AU179" s="83">
        <f>IFERROR(VLOOKUP(Tabla14[[#This Row],[Llave]],[9]DELAY!$H:$X,17,FALSE),0)</f>
        <v>4.8393591763157904</v>
      </c>
      <c r="AV17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4.864048779605266</v>
      </c>
      <c r="AW179" s="5">
        <f>Tabla14[[#This Row],[Pecio plan]]*Tabla14[[#This Row],[Plan Ajustado]]</f>
        <v>116737.17071052639</v>
      </c>
      <c r="AX179" s="30">
        <f>IFERROR(VLOOKUP(Tabla14[[#This Row],[Llave]],'[13]Ultimos precios facturados'!$A:$G,7,FALSE),0)</f>
        <v>4.3143990845145517</v>
      </c>
      <c r="AY17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0.12739889943504379</v>
      </c>
      <c r="AZ179" s="30">
        <f>IFERROR(VLOOKUP(Tabla14[[#This Row],[Llave]],Hoja2!B:K,10,FALSE),0)</f>
        <v>4.6361503088087712</v>
      </c>
      <c r="BA17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4.864048779605266</v>
      </c>
      <c r="BB179" s="30">
        <v>0</v>
      </c>
      <c r="BC179" s="30">
        <f>IF(Tabla14[[#This Row],[Market]]=0,Tabla14[[#This Row],[Precio Final]],Tabla14[[#This Row],[Market]])</f>
        <v>4.864048779605266</v>
      </c>
      <c r="BD179" s="82"/>
      <c r="BE179" s="82" t="str">
        <f>IF(AND(Tabla14[[#This Row],[Atraso a facturar]]&gt;0,Tabla14[[#This Row],[En puerto a facturar]]&gt;0,Tabla14[[#This Row],[Precio Atraso]]=0),"Revisar","OK")</f>
        <v>OK</v>
      </c>
      <c r="BF179" s="82" t="str">
        <f>IF(AND(Tabla14[[#This Row],[Venta del mes]]&gt;0,Tabla14[[#This Row],[Precio venta nueva]]=0),"Revisar","OK")</f>
        <v>OK</v>
      </c>
      <c r="BG179" s="20">
        <f>IFERROR(VLOOKUP(Tabla14[[#This Row],[Llave]],'[5]Consolidación planes'!$A:$M,9,FALSE),0)</f>
        <v>15000</v>
      </c>
      <c r="BH179" s="20">
        <f>IFERROR(VLOOKUP(Tabla14[[#This Row],[Llave]],'[5]Consolidación planes'!$A:$M,10,FALSE),0)</f>
        <v>30000</v>
      </c>
      <c r="BI179" s="20">
        <f>IFERROR(VLOOKUP(Tabla14[[#This Row],[Llave]],'[5]Consolidación planes'!$A:$M,11,FALSE),0)</f>
        <v>25000</v>
      </c>
      <c r="BJ179" s="20">
        <f>IFERROR(VLOOKUP(Tabla14[[#This Row],[Llave]],'[5]Consolidación planes'!$A:$M,12,FALSE),0)</f>
        <v>22000</v>
      </c>
      <c r="BK179" s="20">
        <f>IFERROR(VLOOKUP(Tabla14[[#This Row],[Llave]],'[5]Consolidación planes'!$A:$M,13,FALSE),0)</f>
        <v>12000</v>
      </c>
      <c r="BL179" s="20">
        <f>IFERROR(VLOOKUP(Tabla14[[#This Row],[Llave]],'[13]Base ultimos planes'!$A:$M,13,FALSE),0)</f>
        <v>24700</v>
      </c>
      <c r="BM179" s="20">
        <f>IFERROR(VLOOKUP(Tabla14[[#This Row],[Llave]],'[13]Cruce plan irrestricto'!$C:$M,10,FALSE),0)</f>
        <v>14500</v>
      </c>
      <c r="BN179" s="20">
        <f>IFERROR(VLOOKUP(Tabla14[[#This Row],[Llave]],'[13]Cruce plan irrestricto'!$C:$M,11,FALSE),0)</f>
        <v>25340</v>
      </c>
      <c r="BO179" s="80">
        <f>IFERROR(VLOOKUP(Tabla14[[#This Row],[Llave]],'[13]Base ultimos planes'!$O:$AA,8,FALSE),0)</f>
        <v>73701.857300000003</v>
      </c>
      <c r="BP179" s="20">
        <f>IFERROR(VLOOKUP(Tabla14[[#This Row],[Llave]],'[13]Base ultimos planes'!$O:$AA,9,FALSE),0)</f>
        <v>106487</v>
      </c>
      <c r="BQ179" s="20">
        <f>IFERROR(VLOOKUP(Tabla14[[#This Row],[Llave]],'[13]Base ultimos planes'!$O:$AA,10,FALSE),0)</f>
        <v>116125</v>
      </c>
      <c r="BR179" s="20">
        <f>IFERROR(VLOOKUP(Tabla14[[#This Row],[Llave]],'[13]Base ultimos planes'!$O:$AA,11,FALSE),0)</f>
        <v>98645</v>
      </c>
      <c r="BS179" s="20">
        <f>IFERROR(VLOOKUP(Tabla14[[#This Row],[Llave]],'[13]Base ultimos planes'!$O:$AA,12,FALSE),0)</f>
        <v>53380</v>
      </c>
      <c r="BT179" s="20">
        <f>IFERROR(VLOOKUP(Tabla14[[#This Row],[Llave]],'[13]Base ultimos planes'!$O:$AA,13,FALSE),0)</f>
        <v>103051</v>
      </c>
      <c r="BU179" s="20"/>
      <c r="BV179" s="20">
        <f>Tabla14[[#This Row],[ RV Producción mes n+1]]-Tabla14[[#This Row],[Producción disponible]]+Tabla14[[#This Row],[Saldo Volumen disponible]]</f>
        <v>33472.442654359853</v>
      </c>
      <c r="BW179" s="20">
        <f>IFERROR(VLOOKUP(Tabla14[[#This Row],[Llave]],[14]Hoja2!$J:$N,4,FALSE),0)</f>
        <v>21600.000325000001</v>
      </c>
      <c r="BX179" s="20">
        <f>+Tabla14[[#This Row],[Asignación mes n+1]]*Tabla14[[#This Row],[% Uti. producción]]</f>
        <v>16705.199146967683</v>
      </c>
      <c r="BY179" s="20">
        <f>+Tabla14[[#This Row],[Ponderación mes n+1]]+Tabla14[[#This Row],[Saldo mes n-1]]</f>
        <v>50177.64180132754</v>
      </c>
      <c r="BZ179" s="20">
        <f>+Tabla14[[#This Row],[Asignación mes n+1]]-Tabla14[[#This Row],[Ponderación mes n+1]]</f>
        <v>4894.8011780323177</v>
      </c>
      <c r="CA179" s="20">
        <f>IFERROR(VLOOKUP(Tabla14[[#This Row],[Llave]],[14]Hoja2!$J:$N,5,FALSE),0)</f>
        <v>21600</v>
      </c>
      <c r="CB179" s="20">
        <f>+Tabla14[[#This Row],[Asignación mes n+2]]*Tabla14[[#This Row],[% Uti. producción]]</f>
        <v>16705.198895616311</v>
      </c>
      <c r="CC179" s="20">
        <f>+Tabla14[[#This Row],[Saldo mes n+2]]+Tabla14[[#This Row],[Ponderación mes n+2]]</f>
        <v>21600.000073648629</v>
      </c>
      <c r="CD179" s="20">
        <f>+Tabla14[[#This Row],[Asignación mes n+2]]-Tabla14[[#This Row],[Ponderación mes n+2]]</f>
        <v>4894.8011043836887</v>
      </c>
    </row>
    <row r="180" spans="1:82" ht="16" x14ac:dyDescent="0.2">
      <c r="A180">
        <v>1</v>
      </c>
      <c r="B180" t="str">
        <f>Tabla14[[#This Row],[Oficina]]&amp;Tabla14[[#This Row],[Material]]</f>
        <v>Exportacion Directa1022472</v>
      </c>
      <c r="C180" t="s">
        <v>6</v>
      </c>
      <c r="D180" t="s">
        <v>88</v>
      </c>
      <c r="E180">
        <v>1022472</v>
      </c>
      <c r="F180" t="s">
        <v>102</v>
      </c>
      <c r="G180" t="s">
        <v>50</v>
      </c>
      <c r="H180" t="s">
        <v>51</v>
      </c>
      <c r="I180" s="7">
        <f>IFERROR(IF(Tabla14[[#This Row],[Oficina]]=$I$7,VLOOKUP(Tabla14[[#This Row],[Material]],'[6]RV Producción'!$Y:$AA,3,FALSE),VLOOKUP(Tabla14[[#This Row],[Llave]],'[6]RV Producción'!$C:$G,5,FALSE)),0)</f>
        <v>0</v>
      </c>
      <c r="J180" s="7">
        <f>IFERROR(IF(Tabla14[[#This Row],[Oficina]]=$I$7,VLOOKUP(Tabla14[[#This Row],[Llave]],'[7]Shangai (Tomas)'!$A:$F,6,FALSE),VLOOKUP(Tabla14[[#This Row],[Llave]],'[6]RV plan de ventas'!$A:$E,5,FALSE)),0)</f>
        <v>0</v>
      </c>
      <c r="K180" s="8">
        <f>IFERROR(VLOOKUP(Tabla14[[#This Row],[Sector]]&amp;Tabla14[[#This Row],[Oficina]],[8]Ponderación!$A$3:$G$22,7,FALSE),0)</f>
        <v>0.77338883776001444</v>
      </c>
      <c r="L180" s="7">
        <f>+Tabla14[[#This Row],[ RV Producción mes n+1]]*Tabla14[[#This Row],[% Uti. producción]]</f>
        <v>0</v>
      </c>
      <c r="M180" s="7">
        <f>IFERROR(VLOOKUP(Tabla14[[#This Row],[Material]],'[9]TD Stock'!$B:$C,2,FALSE),0)</f>
        <v>11779.782999999996</v>
      </c>
      <c r="N180" s="7">
        <f>IFERROR(VLOOKUP(Tabla14[[#This Row],[Material]],'[10]Consolidado planificación'!$B:$C,2,FALSE),0)</f>
        <v>0</v>
      </c>
      <c r="O180" s="7">
        <f>IFERROR(VLOOKUP(Tabla14[[#This Row],[Llave]],[11]Hoja2!$D:$G,4,FALSE),0)</f>
        <v>0</v>
      </c>
      <c r="P180" s="14">
        <f>SUM(Tabla14[[#This Row],[Producción disponible]],Tabla14[[#This Row],[Stock al día]],(Tabla14[[#This Row],[Por producir mes N]]*0.9))-Tabla14[[#This Row],[Producción por despachar mes N]]</f>
        <v>11779.782999999996</v>
      </c>
      <c r="Q180" s="7">
        <f>IFERROR(VLOOKUP(Tabla14[[#This Row],[Llave]],[9]DELAY!$A:$D,4,FALSE),0)</f>
        <v>0</v>
      </c>
      <c r="R180" s="9">
        <v>2500</v>
      </c>
      <c r="S180" s="5">
        <f t="shared" si="7"/>
        <v>0</v>
      </c>
      <c r="T180" s="76">
        <v>0</v>
      </c>
      <c r="U180" s="5">
        <f>+Tabla14[[#This Row],[Atraso a facturar]]+Tabla14[[#This Row],[Ajuste atraso]]</f>
        <v>0</v>
      </c>
      <c r="V180" s="3">
        <f>+Tabla14[[#This Row],[Total disponible]]-Tabla14[[#This Row],[Facturación atraso]]</f>
        <v>11779.782999999996</v>
      </c>
      <c r="W180" s="6">
        <f>IFERROR(IF(AND(V180&gt;R180,J180&gt;=R180),ROUNDDOWN((Tabla14[[#This Row],[Producción para venta nueva]])/R180,0)*R180,0),0)</f>
        <v>0</v>
      </c>
      <c r="X180" s="76">
        <v>0</v>
      </c>
      <c r="Y180" s="6">
        <f>IF(Tabla14[[#This Row],[Venta del mes]]&gt;0,Tabla14[[#This Row],[Venta del mes]]+Tabla14[[#This Row],[Ajuste venta nueva]],0)</f>
        <v>0</v>
      </c>
      <c r="Z180" s="6">
        <f>+Tabla14[[#This Row],[Producción para venta nueva]]-Tabla14[[#This Row],[Facturación Venta nueva]]</f>
        <v>11779.782999999996</v>
      </c>
      <c r="AA180" s="6">
        <f>IF(AND(A180=1,Tabla14[[#This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10000</v>
      </c>
      <c r="AB180" s="6">
        <v>-10000</v>
      </c>
      <c r="AC180" s="6">
        <f>IF(Tabla14[[#This Row],[Disponible stock sin venta]]&gt;0,Tabla14[[#This Row],[Disponible stock sin venta]]+Tabla14[[#This Row],[Ajuste stock sin venta]],0)</f>
        <v>0</v>
      </c>
      <c r="AD180" s="3">
        <f>IFERROR(VLOOKUP(Tabla14[[#This Row],[Llave]],[12]Hoja1!$A:$D,4,FALSE),0)</f>
        <v>0</v>
      </c>
      <c r="AE18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10000</v>
      </c>
      <c r="AF180" s="3">
        <v>10000</v>
      </c>
      <c r="AG180" s="3">
        <f>+Tabla14[[#This Row],[En puerto a facturar]]</f>
        <v>0</v>
      </c>
      <c r="AH180" s="3">
        <f>+Tabla14[[#This Row],[Facturación atraso]]</f>
        <v>0</v>
      </c>
      <c r="AI180" s="3">
        <f>+Tabla14[[#This Row],[Plan Irrestricto (DATO)]]-Tabla14[[#This Row],[Puerto ]]-Tabla14[[#This Row],[Atraso]]</f>
        <v>10000</v>
      </c>
      <c r="AJ18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80" s="3">
        <f>+Tabla14[[#This Row],[Facturación atraso]]</f>
        <v>0</v>
      </c>
      <c r="AL180" s="3">
        <f>Tabla14[[#This Row],[Plan Ajustado]]-Tabla14[[#This Row],[ Atraso ajustado]]-Tabla14[[#This Row],[En puerto a facturar]]</f>
        <v>0</v>
      </c>
      <c r="AM180" s="3">
        <v>0</v>
      </c>
      <c r="AN180" s="3"/>
      <c r="AO180" s="3" t="str">
        <f>IF(Tabla14[[#This Row],[Plan Ajustado]]&gt;Tabla14[[#This Row],[En puerto a facturar]],"Si","No")</f>
        <v>No</v>
      </c>
      <c r="AP18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80" s="3">
        <f>IF(Tabla14[[#This Row],[Necesidad]]&gt;=Tabla14[[#This Row],[Stock al día]],Tabla14[[#This Row],[Stock al día]],Tabla14[[#This Row],[Necesidad]])</f>
        <v>0</v>
      </c>
      <c r="AR180" s="3">
        <f>+Tabla14[[#This Row],[Necesidad]]-Tabla14[[#This Row],[Stock Plan]]</f>
        <v>0</v>
      </c>
      <c r="AS180" s="155">
        <f>VLOOKUP(Tabla14[[#This Row],[Sector]]&amp;Tabla14[[#This Row],[Oficina]],[8]Ponderación!$A:$H,8,FALSE)</f>
        <v>44817</v>
      </c>
      <c r="AT180" s="30">
        <f>IFERROR(VLOOKUP(Tabla14[[#This Row],[Llave]],'[6]RV plan de ventas'!$A:$F,6,FALSE),0)</f>
        <v>0</v>
      </c>
      <c r="AU180" s="83">
        <f>IFERROR(VLOOKUP(Tabla14[[#This Row],[Llave]],[9]DELAY!$H:$X,17,FALSE),0)</f>
        <v>0</v>
      </c>
      <c r="AV18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80" s="5">
        <f>Tabla14[[#This Row],[Pecio plan]]*Tabla14[[#This Row],[Plan Ajustado]]</f>
        <v>0</v>
      </c>
      <c r="AX180" s="30">
        <f>IFERROR(VLOOKUP(Tabla14[[#This Row],[Llave]],'[13]Ultimos precios facturados'!$A:$G,7,FALSE),0)</f>
        <v>3.7963107231352309</v>
      </c>
      <c r="AY18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80" s="30">
        <f>IFERROR(VLOOKUP(Tabla14[[#This Row],[Llave]],Hoja2!B:K,10,FALSE),0)</f>
        <v>3.7775113372640718</v>
      </c>
      <c r="BA18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3.7963107231352309</v>
      </c>
      <c r="BB180" s="30">
        <v>0</v>
      </c>
      <c r="BC180" s="30">
        <f>IF(Tabla14[[#This Row],[Market]]=0,Tabla14[[#This Row],[Precio Final]],Tabla14[[#This Row],[Market]])</f>
        <v>3.7963107231352309</v>
      </c>
      <c r="BD180" s="82"/>
      <c r="BE180" s="82" t="str">
        <f>IF(AND(Tabla14[[#This Row],[Atraso a facturar]]&gt;0,Tabla14[[#This Row],[En puerto a facturar]]&gt;0,Tabla14[[#This Row],[Precio Atraso]]=0),"Revisar","OK")</f>
        <v>OK</v>
      </c>
      <c r="BF180" s="82" t="str">
        <f>IF(AND(Tabla14[[#This Row],[Venta del mes]]&gt;0,Tabla14[[#This Row],[Precio venta nueva]]=0),"Revisar","OK")</f>
        <v>OK</v>
      </c>
      <c r="BG180" s="20">
        <f>IFERROR(VLOOKUP(Tabla14[[#This Row],[Llave]],'[5]Consolidación planes'!$A:$M,9,FALSE),0)</f>
        <v>7000</v>
      </c>
      <c r="BH180" s="20">
        <f>IFERROR(VLOOKUP(Tabla14[[#This Row],[Llave]],'[5]Consolidación planes'!$A:$M,10,FALSE),0)</f>
        <v>5000</v>
      </c>
      <c r="BI180" s="20">
        <f>IFERROR(VLOOKUP(Tabla14[[#This Row],[Llave]],'[5]Consolidación planes'!$A:$M,11,FALSE),0)</f>
        <v>3000</v>
      </c>
      <c r="BJ180" s="20">
        <f>IFERROR(VLOOKUP(Tabla14[[#This Row],[Llave]],'[5]Consolidación planes'!$A:$M,12,FALSE),0)</f>
        <v>10000</v>
      </c>
      <c r="BK180" s="20">
        <f>IFERROR(VLOOKUP(Tabla14[[#This Row],[Llave]],'[5]Consolidación planes'!$A:$M,13,FALSE),0)</f>
        <v>4333</v>
      </c>
      <c r="BL180" s="20">
        <f>IFERROR(VLOOKUP(Tabla14[[#This Row],[Llave]],'[13]Base ultimos planes'!$A:$M,13,FALSE),0)</f>
        <v>18000</v>
      </c>
      <c r="BM180" s="20">
        <f>IFERROR(VLOOKUP(Tabla14[[#This Row],[Llave]],'[13]Cruce plan irrestricto'!$C:$M,10,FALSE),0)</f>
        <v>21500</v>
      </c>
      <c r="BN180" s="20">
        <f>IFERROR(VLOOKUP(Tabla14[[#This Row],[Llave]],'[13]Cruce plan irrestricto'!$C:$M,11,FALSE),0)</f>
        <v>10000</v>
      </c>
      <c r="BO180" s="80">
        <f>IFERROR(VLOOKUP(Tabla14[[#This Row],[Llave]],'[13]Base ultimos planes'!$O:$AA,8,FALSE),0)</f>
        <v>32709.190900000001</v>
      </c>
      <c r="BP180" s="20">
        <f>IFERROR(VLOOKUP(Tabla14[[#This Row],[Llave]],'[13]Base ultimos planes'!$O:$AA,9,FALSE),0)</f>
        <v>21977</v>
      </c>
      <c r="BQ180" s="20">
        <f>IFERROR(VLOOKUP(Tabla14[[#This Row],[Llave]],'[13]Base ultimos planes'!$O:$AA,10,FALSE),0)</f>
        <v>13095</v>
      </c>
      <c r="BR180" s="20">
        <f>IFERROR(VLOOKUP(Tabla14[[#This Row],[Llave]],'[13]Base ultimos planes'!$O:$AA,11,FALSE),0)</f>
        <v>42120</v>
      </c>
      <c r="BS180" s="20">
        <f>IFERROR(VLOOKUP(Tabla14[[#This Row],[Llave]],'[13]Base ultimos planes'!$O:$AA,12,FALSE),0)</f>
        <v>17417</v>
      </c>
      <c r="BT180" s="20">
        <f>IFERROR(VLOOKUP(Tabla14[[#This Row],[Llave]],'[13]Base ultimos planes'!$O:$AA,13,FALSE),0)</f>
        <v>69842</v>
      </c>
      <c r="BU180" s="20"/>
      <c r="BV180" s="20">
        <f>Tabla14[[#This Row],[ RV Producción mes n+1]]-Tabla14[[#This Row],[Producción disponible]]+Tabla14[[#This Row],[Saldo Volumen disponible]]</f>
        <v>11779.782999999996</v>
      </c>
      <c r="BW180" s="20">
        <f>IFERROR(VLOOKUP(Tabla14[[#This Row],[Llave]],[14]Hoja2!$J:$N,4,FALSE),0)</f>
        <v>0</v>
      </c>
      <c r="BX180" s="20">
        <f>+Tabla14[[#This Row],[Asignación mes n+1]]*Tabla14[[#This Row],[% Uti. producción]]</f>
        <v>0</v>
      </c>
      <c r="BY180" s="20">
        <f>+Tabla14[[#This Row],[Ponderación mes n+1]]+Tabla14[[#This Row],[Saldo mes n-1]]</f>
        <v>11779.782999999996</v>
      </c>
      <c r="BZ180" s="20">
        <f>+Tabla14[[#This Row],[Asignación mes n+1]]-Tabla14[[#This Row],[Ponderación mes n+1]]</f>
        <v>0</v>
      </c>
      <c r="CA180" s="20">
        <f>IFERROR(VLOOKUP(Tabla14[[#This Row],[Llave]],[14]Hoja2!$J:$N,5,FALSE),0)</f>
        <v>0</v>
      </c>
      <c r="CB180" s="20">
        <f>+Tabla14[[#This Row],[Asignación mes n+2]]*Tabla14[[#This Row],[% Uti. producción]]</f>
        <v>0</v>
      </c>
      <c r="CC180" s="20">
        <f>+Tabla14[[#This Row],[Saldo mes n+2]]+Tabla14[[#This Row],[Ponderación mes n+2]]</f>
        <v>0</v>
      </c>
      <c r="CD180" s="20">
        <f>+Tabla14[[#This Row],[Asignación mes n+2]]-Tabla14[[#This Row],[Ponderación mes n+2]]</f>
        <v>0</v>
      </c>
    </row>
    <row r="181" spans="1:82" ht="16" x14ac:dyDescent="0.2">
      <c r="A181">
        <v>1</v>
      </c>
      <c r="B181" t="str">
        <f>Tabla14[[#This Row],[Oficina]]&amp;Tabla14[[#This Row],[Material]]</f>
        <v>Exportacion Directa1022499</v>
      </c>
      <c r="C181" t="s">
        <v>6</v>
      </c>
      <c r="D181" t="s">
        <v>88</v>
      </c>
      <c r="E181">
        <v>1022499</v>
      </c>
      <c r="F181" t="s">
        <v>114</v>
      </c>
      <c r="G181" t="s">
        <v>50</v>
      </c>
      <c r="H181" t="s">
        <v>110</v>
      </c>
      <c r="I181" s="7">
        <f>IFERROR(IF(Tabla14[[#This Row],[Oficina]]=$I$7,VLOOKUP(Tabla14[[#This Row],[Material]],'[6]RV Producción'!$Y:$AA,3,FALSE),VLOOKUP(Tabla14[[#This Row],[Llave]],'[6]RV Producción'!$C:$G,5,FALSE)),0)</f>
        <v>23736</v>
      </c>
      <c r="J181" s="7">
        <f>IFERROR(IF(Tabla14[[#This Row],[Oficina]]=$I$7,VLOOKUP(Tabla14[[#This Row],[Llave]],'[7]Shangai (Tomas)'!$A:$F,6,FALSE),VLOOKUP(Tabla14[[#This Row],[Llave]],'[6]RV plan de ventas'!$A:$E,5,FALSE)),0)</f>
        <v>27000</v>
      </c>
      <c r="K181" s="8">
        <f>IFERROR(VLOOKUP(Tabla14[[#This Row],[Sector]]&amp;Tabla14[[#This Row],[Oficina]],[8]Ponderación!$A$3:$G$22,7,FALSE),0)</f>
        <v>0.77338883776001444</v>
      </c>
      <c r="L181" s="7">
        <f>+Tabla14[[#This Row],[ RV Producción mes n+1]]*Tabla14[[#This Row],[% Uti. producción]]</f>
        <v>18357.157453071704</v>
      </c>
      <c r="M181" s="7">
        <f>IFERROR(VLOOKUP(Tabla14[[#This Row],[Material]],'[9]TD Stock'!$B:$C,2,FALSE),0)</f>
        <v>4883.5339999999997</v>
      </c>
      <c r="N181" s="7">
        <f>IFERROR(VLOOKUP(Tabla14[[#This Row],[Material]],'[10]Consolidado planificación'!$B:$C,2,FALSE),0)</f>
        <v>3028.5890790763774</v>
      </c>
      <c r="O181" s="7">
        <f>IFERROR(VLOOKUP(Tabla14[[#This Row],[Llave]],[11]Hoja2!$D:$G,4,FALSE),0)</f>
        <v>0</v>
      </c>
      <c r="P181" s="14">
        <f>SUM(Tabla14[[#This Row],[Producción disponible]],Tabla14[[#This Row],[Stock al día]],(Tabla14[[#This Row],[Por producir mes N]]*0.9))-Tabla14[[#This Row],[Producción por despachar mes N]]</f>
        <v>25966.421624240444</v>
      </c>
      <c r="Q181" s="7">
        <f>IFERROR(VLOOKUP(Tabla14[[#This Row],[Llave]],[9]DELAY!$A:$D,4,FALSE),0)</f>
        <v>54000</v>
      </c>
      <c r="R181" s="9">
        <v>2500</v>
      </c>
      <c r="S181" s="5">
        <f t="shared" si="7"/>
        <v>25000</v>
      </c>
      <c r="T181" s="76">
        <v>-15000</v>
      </c>
      <c r="U181" s="5">
        <f>+Tabla14[[#This Row],[Atraso a facturar]]+Tabla14[[#This Row],[Ajuste atraso]]</f>
        <v>10000</v>
      </c>
      <c r="V181" s="3">
        <f>+Tabla14[[#This Row],[Total disponible]]-Tabla14[[#This Row],[Facturación atraso]]</f>
        <v>15966.421624240444</v>
      </c>
      <c r="W181" s="6">
        <f>IFERROR(IF(AND(V181&gt;R181,J181&gt;=R181),ROUNDDOWN((Tabla14[[#This Row],[Producción para venta nueva]])/R181,0)*R181,0),0)</f>
        <v>15000</v>
      </c>
      <c r="X181" s="76">
        <v>-10000</v>
      </c>
      <c r="Y181" s="6">
        <f>IF(Tabla14[[#This Row],[Venta del mes]]&gt;0,Tabla14[[#This Row],[Venta del mes]]+Tabla14[[#This Row],[Ajuste venta nueva]],0)</f>
        <v>5000</v>
      </c>
      <c r="Z181" s="6">
        <f>+Tabla14[[#This Row],[Producción para venta nueva]]-Tabla14[[#This Row],[Facturación Venta nueva]]</f>
        <v>10966.421624240444</v>
      </c>
      <c r="AA181" s="6">
        <f>IF(AND(A181=1,Tabla14[[#This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81" s="6">
        <v>0</v>
      </c>
      <c r="AC181" s="6">
        <f>IF(Tabla14[[#This Row],[Disponible stock sin venta]]&gt;0,Tabla14[[#This Row],[Disponible stock sin venta]]+Tabla14[[#This Row],[Ajuste stock sin venta]],0)</f>
        <v>0</v>
      </c>
      <c r="AD181" s="3">
        <f>IFERROR(VLOOKUP(Tabla14[[#This Row],[Llave]],[12]Hoja1!$A:$D,4,FALSE),0)</f>
        <v>0</v>
      </c>
      <c r="AE18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40000</v>
      </c>
      <c r="AF181" s="3">
        <v>25000</v>
      </c>
      <c r="AG181" s="3">
        <f>+Tabla14[[#This Row],[En puerto a facturar]]</f>
        <v>0</v>
      </c>
      <c r="AH181" s="3">
        <f>+Tabla14[[#This Row],[Facturación atraso]]</f>
        <v>10000</v>
      </c>
      <c r="AI181" s="3">
        <f>+Tabla14[[#This Row],[Plan Irrestricto (DATO)]]-Tabla14[[#This Row],[Puerto ]]-Tabla14[[#This Row],[Atraso]]</f>
        <v>15000</v>
      </c>
      <c r="AJ181" s="6">
        <f>IF(Tabla14[[#This Row],[Plan Irrestricto (DATO)]]&gt;0,SUM(Tabla14[[#This Row],[Facturación atraso]],Tabla14[[#This Row],[Facturación Venta nueva]],Tabla14[[#This Row],[Facturación stock]],Tabla14[[#This Row],[En puerto a facturar]]),0)</f>
        <v>15000</v>
      </c>
      <c r="AK181" s="3">
        <f>+Tabla14[[#This Row],[Facturación atraso]]</f>
        <v>10000</v>
      </c>
      <c r="AL181" s="3">
        <f>Tabla14[[#This Row],[Plan Ajustado]]-Tabla14[[#This Row],[ Atraso ajustado]]-Tabla14[[#This Row],[En puerto a facturar]]</f>
        <v>5000</v>
      </c>
      <c r="AM181" s="3">
        <v>0</v>
      </c>
      <c r="AN181" s="3"/>
      <c r="AO181" s="3" t="str">
        <f>IF(Tabla14[[#This Row],[Plan Ajustado]]&gt;Tabla14[[#This Row],[En puerto a facturar]],"Si","No")</f>
        <v>Si</v>
      </c>
      <c r="AP181" s="3">
        <f>IF(AND(Tabla14[[#This Row],[Plan Ajustado]]&gt;0,Tabla14[[#This Row],[Plan Ajustado]]&gt;Tabla14[[#This Row],[En puerto a facturar]]),(Tabla14[[#This Row],[Plan Ajustado]]-Tabla14[[#This Row],[En puerto a facturar]]),0)</f>
        <v>15000</v>
      </c>
      <c r="AQ181" s="3">
        <f>IF(Tabla14[[#This Row],[Necesidad]]&gt;=Tabla14[[#This Row],[Stock al día]],Tabla14[[#This Row],[Stock al día]],Tabla14[[#This Row],[Necesidad]])</f>
        <v>4883.5339999999997</v>
      </c>
      <c r="AR181" s="3">
        <f>+Tabla14[[#This Row],[Necesidad]]-Tabla14[[#This Row],[Stock Plan]]</f>
        <v>10116.466</v>
      </c>
      <c r="AS181" s="155">
        <f>VLOOKUP(Tabla14[[#This Row],[Sector]]&amp;Tabla14[[#This Row],[Oficina]],[8]Ponderación!$A:$H,8,FALSE)</f>
        <v>44817</v>
      </c>
      <c r="AT181" s="30">
        <f>IFERROR(VLOOKUP(Tabla14[[#This Row],[Llave]],'[6]RV plan de ventas'!$A:$F,6,FALSE),0)</f>
        <v>4.0212962962962999</v>
      </c>
      <c r="AU181" s="83">
        <f>IFERROR(VLOOKUP(Tabla14[[#This Row],[Llave]],[9]DELAY!$H:$X,17,FALSE),0)</f>
        <v>3.7142341000000005</v>
      </c>
      <c r="AV18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3.8165881654321003</v>
      </c>
      <c r="AW181" s="5">
        <f>Tabla14[[#This Row],[Pecio plan]]*Tabla14[[#This Row],[Plan Ajustado]]</f>
        <v>57248.822481481504</v>
      </c>
      <c r="AX181" s="30">
        <f>IFERROR(VLOOKUP(Tabla14[[#This Row],[Llave]],'[13]Ultimos precios facturados'!$A:$G,7,FALSE),0)</f>
        <v>3.9018611014260087</v>
      </c>
      <c r="AY18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2.1854426330743498E-2</v>
      </c>
      <c r="AZ181" s="30">
        <f>IFERROR(VLOOKUP(Tabla14[[#This Row],[Llave]],Hoja2!B:K,10,FALSE),0)</f>
        <v>4.0434622209523807</v>
      </c>
      <c r="BA18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3.8165881654321003</v>
      </c>
      <c r="BB181" s="30">
        <v>0</v>
      </c>
      <c r="BC181" s="30">
        <f>IF(Tabla14[[#This Row],[Market]]=0,Tabla14[[#This Row],[Precio Final]],Tabla14[[#This Row],[Market]])</f>
        <v>3.8165881654321003</v>
      </c>
      <c r="BD181" s="82"/>
      <c r="BE181" s="82" t="str">
        <f>IF(AND(Tabla14[[#This Row],[Atraso a facturar]]&gt;0,Tabla14[[#This Row],[En puerto a facturar]]&gt;0,Tabla14[[#This Row],[Precio Atraso]]=0),"Revisar","OK")</f>
        <v>OK</v>
      </c>
      <c r="BF181" s="82" t="str">
        <f>IF(AND(Tabla14[[#This Row],[Venta del mes]]&gt;0,Tabla14[[#This Row],[Precio venta nueva]]=0),"Revisar","OK")</f>
        <v>OK</v>
      </c>
      <c r="BG181" s="20">
        <f>IFERROR(VLOOKUP(Tabla14[[#This Row],[Llave]],'[5]Consolidación planes'!$A:$M,9,FALSE),0)</f>
        <v>16000</v>
      </c>
      <c r="BH181" s="20">
        <f>IFERROR(VLOOKUP(Tabla14[[#This Row],[Llave]],'[5]Consolidación planes'!$A:$M,10,FALSE),0)</f>
        <v>3000</v>
      </c>
      <c r="BI181" s="20">
        <f>IFERROR(VLOOKUP(Tabla14[[#This Row],[Llave]],'[5]Consolidación planes'!$A:$M,11,FALSE),0)</f>
        <v>5000</v>
      </c>
      <c r="BJ181" s="20">
        <f>IFERROR(VLOOKUP(Tabla14[[#This Row],[Llave]],'[5]Consolidación planes'!$A:$M,12,FALSE),0)</f>
        <v>20000</v>
      </c>
      <c r="BK181" s="20">
        <f>IFERROR(VLOOKUP(Tabla14[[#This Row],[Llave]],'[5]Consolidación planes'!$A:$M,13,FALSE),0)</f>
        <v>15000</v>
      </c>
      <c r="BL181" s="20">
        <f>IFERROR(VLOOKUP(Tabla14[[#This Row],[Llave]],'[13]Base ultimos planes'!$A:$M,13,FALSE),0)</f>
        <v>23500</v>
      </c>
      <c r="BM181" s="20">
        <f>IFERROR(VLOOKUP(Tabla14[[#This Row],[Llave]],'[13]Cruce plan irrestricto'!$C:$M,10,FALSE),0)</f>
        <v>14500</v>
      </c>
      <c r="BN181" s="20">
        <f>IFERROR(VLOOKUP(Tabla14[[#This Row],[Llave]],'[13]Cruce plan irrestricto'!$C:$M,11,FALSE),0)</f>
        <v>12500</v>
      </c>
      <c r="BO181" s="80">
        <f>IFERROR(VLOOKUP(Tabla14[[#This Row],[Llave]],'[13]Base ultimos planes'!$O:$AA,8,FALSE),0)</f>
        <v>75542.537400000001</v>
      </c>
      <c r="BP181" s="20">
        <f>IFERROR(VLOOKUP(Tabla14[[#This Row],[Llave]],'[13]Base ultimos planes'!$O:$AA,9,FALSE),0)</f>
        <v>13294</v>
      </c>
      <c r="BQ181" s="20">
        <f>IFERROR(VLOOKUP(Tabla14[[#This Row],[Llave]],'[13]Base ultimos planes'!$O:$AA,10,FALSE),0)</f>
        <v>22218</v>
      </c>
      <c r="BR181" s="20">
        <f>IFERROR(VLOOKUP(Tabla14[[#This Row],[Llave]],'[13]Base ultimos planes'!$O:$AA,11,FALSE),0)</f>
        <v>85842</v>
      </c>
      <c r="BS181" s="20">
        <f>IFERROR(VLOOKUP(Tabla14[[#This Row],[Llave]],'[13]Base ultimos planes'!$O:$AA,12,FALSE),0)</f>
        <v>61744</v>
      </c>
      <c r="BT181" s="20">
        <f>IFERROR(VLOOKUP(Tabla14[[#This Row],[Llave]],'[13]Base ultimos planes'!$O:$AA,13,FALSE),0)</f>
        <v>91183</v>
      </c>
      <c r="BU181" s="20"/>
      <c r="BV181" s="20">
        <f>Tabla14[[#This Row],[ RV Producción mes n+1]]-Tabla14[[#This Row],[Producción disponible]]+Tabla14[[#This Row],[Saldo Volumen disponible]]</f>
        <v>16345.264171168739</v>
      </c>
      <c r="BW181" s="20">
        <f>IFERROR(VLOOKUP(Tabla14[[#This Row],[Llave]],[14]Hoja2!$J:$N,4,FALSE),0)</f>
        <v>22400.565999999999</v>
      </c>
      <c r="BX181" s="20">
        <f>+Tabla14[[#This Row],[Asignación mes n+1]]*Tabla14[[#This Row],[% Uti. producción]]</f>
        <v>17324.347703906496</v>
      </c>
      <c r="BY181" s="20">
        <f>+Tabla14[[#This Row],[Ponderación mes n+1]]+Tabla14[[#This Row],[Saldo mes n-1]]</f>
        <v>33669.611875075236</v>
      </c>
      <c r="BZ181" s="20">
        <f>+Tabla14[[#This Row],[Asignación mes n+1]]-Tabla14[[#This Row],[Ponderación mes n+1]]</f>
        <v>5076.2182960935024</v>
      </c>
      <c r="CA181" s="20">
        <f>IFERROR(VLOOKUP(Tabla14[[#This Row],[Llave]],[14]Hoja2!$J:$N,5,FALSE),0)</f>
        <v>24597.142400000001</v>
      </c>
      <c r="CB181" s="20">
        <f>+Tabla14[[#This Row],[Asignación mes n+2]]*Tabla14[[#This Row],[% Uti. producción]]</f>
        <v>19023.155372953574</v>
      </c>
      <c r="CC181" s="20">
        <f>+Tabla14[[#This Row],[Saldo mes n+2]]+Tabla14[[#This Row],[Ponderación mes n+2]]</f>
        <v>24099.373669047076</v>
      </c>
      <c r="CD181" s="20">
        <f>+Tabla14[[#This Row],[Asignación mes n+2]]-Tabla14[[#This Row],[Ponderación mes n+2]]</f>
        <v>5573.9870270464271</v>
      </c>
    </row>
    <row r="182" spans="1:82" ht="16" x14ac:dyDescent="0.2">
      <c r="A182">
        <v>1</v>
      </c>
      <c r="B182" t="str">
        <f>Tabla14[[#This Row],[Oficina]]&amp;Tabla14[[#This Row],[Material]]</f>
        <v>Exportacion Directa1022587</v>
      </c>
      <c r="C182" t="s">
        <v>6</v>
      </c>
      <c r="D182" t="s">
        <v>88</v>
      </c>
      <c r="E182">
        <v>1022587</v>
      </c>
      <c r="F182" t="s">
        <v>98</v>
      </c>
      <c r="G182" t="s">
        <v>50</v>
      </c>
      <c r="H182" t="s">
        <v>95</v>
      </c>
      <c r="I182" s="7">
        <f>IFERROR(IF(Tabla14[[#This Row],[Oficina]]=$I$7,VLOOKUP(Tabla14[[#This Row],[Material]],'[6]RV Producción'!$Y:$AA,3,FALSE),VLOOKUP(Tabla14[[#This Row],[Llave]],'[6]RV Producción'!$C:$G,5,FALSE)),0)</f>
        <v>4017</v>
      </c>
      <c r="J182" s="7">
        <f>IFERROR(IF(Tabla14[[#This Row],[Oficina]]=$I$7,VLOOKUP(Tabla14[[#This Row],[Llave]],'[7]Shangai (Tomas)'!$A:$F,6,FALSE),VLOOKUP(Tabla14[[#This Row],[Llave]],'[6]RV plan de ventas'!$A:$E,5,FALSE)),0)</f>
        <v>3000</v>
      </c>
      <c r="K182" s="8">
        <f>IFERROR(VLOOKUP(Tabla14[[#This Row],[Sector]]&amp;Tabla14[[#This Row],[Oficina]],[8]Ponderación!$A$3:$G$22,7,FALSE),0)</f>
        <v>0.77338883776001444</v>
      </c>
      <c r="L182" s="7">
        <f>+Tabla14[[#This Row],[ RV Producción mes n+1]]*Tabla14[[#This Row],[% Uti. producción]]</f>
        <v>3106.7029612819779</v>
      </c>
      <c r="M182" s="7">
        <f>IFERROR(VLOOKUP(Tabla14[[#This Row],[Material]],'[9]TD Stock'!$B:$C,2,FALSE),0)</f>
        <v>2213.8820000000001</v>
      </c>
      <c r="N182" s="7">
        <f>IFERROR(VLOOKUP(Tabla14[[#This Row],[Material]],'[10]Consolidado planificación'!$B:$C,2,FALSE),0)</f>
        <v>856.09695854160429</v>
      </c>
      <c r="O182" s="7">
        <f>IFERROR(VLOOKUP(Tabla14[[#This Row],[Llave]],[11]Hoja2!$D:$G,4,FALSE),0)</f>
        <v>0</v>
      </c>
      <c r="P182" s="14">
        <f>SUM(Tabla14[[#This Row],[Producción disponible]],Tabla14[[#This Row],[Stock al día]],(Tabla14[[#This Row],[Por producir mes N]]*0.9))-Tabla14[[#This Row],[Producción por despachar mes N]]</f>
        <v>6091.0722239694223</v>
      </c>
      <c r="Q182" s="7">
        <f>IFERROR(VLOOKUP(Tabla14[[#This Row],[Llave]],[9]DELAY!$A:$D,4,FALSE),0)</f>
        <v>6000</v>
      </c>
      <c r="R182" s="9">
        <v>3000</v>
      </c>
      <c r="S182" s="5">
        <f t="shared" si="7"/>
        <v>6000</v>
      </c>
      <c r="T182" s="76">
        <v>-3000</v>
      </c>
      <c r="U182" s="5">
        <f>+Tabla14[[#This Row],[Atraso a facturar]]+Tabla14[[#This Row],[Ajuste atraso]]</f>
        <v>3000</v>
      </c>
      <c r="V182" s="3">
        <f>+Tabla14[[#This Row],[Total disponible]]-Tabla14[[#This Row],[Facturación atraso]]</f>
        <v>3091.0722239694223</v>
      </c>
      <c r="W182" s="6">
        <f>IFERROR(IF(AND(V182&gt;R182,J182&gt;=R182),ROUNDDOWN((Tabla14[[#This Row],[Producción para venta nueva]])/R182,0)*R182,0),0)</f>
        <v>3000</v>
      </c>
      <c r="X182" s="76">
        <v>0</v>
      </c>
      <c r="Y182" s="6">
        <f>IF(Tabla14[[#This Row],[Venta del mes]]&gt;0,Tabla14[[#This Row],[Venta del mes]]+Tabla14[[#This Row],[Ajuste venta nueva]],0)</f>
        <v>3000</v>
      </c>
      <c r="Z182" s="6">
        <f>+Tabla14[[#This Row],[Producción para venta nueva]]-Tabla14[[#This Row],[Facturación Venta nueva]]</f>
        <v>91.072223969422339</v>
      </c>
      <c r="AA182" s="6">
        <f>IF(AND(A182=1,Tabla14[[#This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82" s="6">
        <v>0</v>
      </c>
      <c r="AC182" s="6">
        <f>IF(Tabla14[[#This Row],[Disponible stock sin venta]]&gt;0,Tabla14[[#This Row],[Disponible stock sin venta]]+Tabla14[[#This Row],[Ajuste stock sin venta]],0)</f>
        <v>0</v>
      </c>
      <c r="AD182" s="3">
        <f>IFERROR(VLOOKUP(Tabla14[[#This Row],[Llave]],[12]Hoja1!$A:$D,4,FALSE),0)</f>
        <v>0</v>
      </c>
      <c r="AE18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9000</v>
      </c>
      <c r="AF182" s="3">
        <v>6000</v>
      </c>
      <c r="AG182" s="3">
        <f>+Tabla14[[#This Row],[En puerto a facturar]]</f>
        <v>0</v>
      </c>
      <c r="AH182" s="3">
        <f>+Tabla14[[#This Row],[Facturación atraso]]</f>
        <v>3000</v>
      </c>
      <c r="AI182" s="3">
        <f>+Tabla14[[#This Row],[Plan Irrestricto (DATO)]]-Tabla14[[#This Row],[Puerto ]]-Tabla14[[#This Row],[Atraso]]</f>
        <v>3000</v>
      </c>
      <c r="AJ182" s="6">
        <f>IF(Tabla14[[#This Row],[Plan Irrestricto (DATO)]]&gt;0,SUM(Tabla14[[#This Row],[Facturación atraso]],Tabla14[[#This Row],[Facturación Venta nueva]],Tabla14[[#This Row],[Facturación stock]],Tabla14[[#This Row],[En puerto a facturar]]),0)</f>
        <v>6000</v>
      </c>
      <c r="AK182" s="3">
        <f>+Tabla14[[#This Row],[Facturación atraso]]</f>
        <v>3000</v>
      </c>
      <c r="AL182" s="3">
        <f>Tabla14[[#This Row],[Plan Ajustado]]-Tabla14[[#This Row],[ Atraso ajustado]]-Tabla14[[#This Row],[En puerto a facturar]]</f>
        <v>3000</v>
      </c>
      <c r="AM182" s="3">
        <v>0</v>
      </c>
      <c r="AN182" s="3"/>
      <c r="AO182" s="3" t="str">
        <f>IF(Tabla14[[#This Row],[Plan Ajustado]]&gt;Tabla14[[#This Row],[En puerto a facturar]],"Si","No")</f>
        <v>Si</v>
      </c>
      <c r="AP182" s="3">
        <f>IF(AND(Tabla14[[#This Row],[Plan Ajustado]]&gt;0,Tabla14[[#This Row],[Plan Ajustado]]&gt;Tabla14[[#This Row],[En puerto a facturar]]),(Tabla14[[#This Row],[Plan Ajustado]]-Tabla14[[#This Row],[En puerto a facturar]]),0)</f>
        <v>6000</v>
      </c>
      <c r="AQ182" s="3">
        <f>IF(Tabla14[[#This Row],[Necesidad]]&gt;=Tabla14[[#This Row],[Stock al día]],Tabla14[[#This Row],[Stock al día]],Tabla14[[#This Row],[Necesidad]])</f>
        <v>2213.8820000000001</v>
      </c>
      <c r="AR182" s="3">
        <f>+Tabla14[[#This Row],[Necesidad]]-Tabla14[[#This Row],[Stock Plan]]</f>
        <v>3786.1179999999999</v>
      </c>
      <c r="AS182" s="155">
        <f>VLOOKUP(Tabla14[[#This Row],[Sector]]&amp;Tabla14[[#This Row],[Oficina]],[8]Ponderación!$A:$H,8,FALSE)</f>
        <v>44817</v>
      </c>
      <c r="AT182" s="30">
        <f>IFERROR(VLOOKUP(Tabla14[[#This Row],[Llave]],'[6]RV plan de ventas'!$A:$F,6,FALSE),0)</f>
        <v>4.05866666666667</v>
      </c>
      <c r="AU182" s="83">
        <f>IFERROR(VLOOKUP(Tabla14[[#This Row],[Llave]],[9]DELAY!$H:$X,17,FALSE),0)</f>
        <v>4.0911787500000001</v>
      </c>
      <c r="AV18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4.074922708333335</v>
      </c>
      <c r="AW182" s="5">
        <f>Tabla14[[#This Row],[Pecio plan]]*Tabla14[[#This Row],[Plan Ajustado]]</f>
        <v>24449.536250000012</v>
      </c>
      <c r="AX182" s="30">
        <f>IFERROR(VLOOKUP(Tabla14[[#This Row],[Llave]],'[13]Ultimos precios facturados'!$A:$G,7,FALSE),0)</f>
        <v>3.9239751912689664</v>
      </c>
      <c r="AY18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3.8468010042528832E-2</v>
      </c>
      <c r="AZ182" s="30">
        <f>IFERROR(VLOOKUP(Tabla14[[#This Row],[Llave]],Hoja2!B:K,10,FALSE),0)</f>
        <v>4.2024936666666699</v>
      </c>
      <c r="BA18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4.074922708333335</v>
      </c>
      <c r="BB182" s="30">
        <v>0</v>
      </c>
      <c r="BC182" s="30">
        <f>IF(Tabla14[[#This Row],[Market]]=0,Tabla14[[#This Row],[Precio Final]],Tabla14[[#This Row],[Market]])</f>
        <v>4.074922708333335</v>
      </c>
      <c r="BD182" s="82"/>
      <c r="BE182" s="82" t="str">
        <f>IF(AND(Tabla14[[#This Row],[Atraso a facturar]]&gt;0,Tabla14[[#This Row],[En puerto a facturar]]&gt;0,Tabla14[[#This Row],[Precio Atraso]]=0),"Revisar","OK")</f>
        <v>OK</v>
      </c>
      <c r="BF182" s="82" t="str">
        <f>IF(AND(Tabla14[[#This Row],[Venta del mes]]&gt;0,Tabla14[[#This Row],[Precio venta nueva]]=0),"Revisar","OK")</f>
        <v>OK</v>
      </c>
      <c r="BG182" s="20">
        <f>IFERROR(VLOOKUP(Tabla14[[#This Row],[Llave]],'[5]Consolidación planes'!$A:$M,9,FALSE),0)</f>
        <v>5000</v>
      </c>
      <c r="BH182" s="20">
        <f>IFERROR(VLOOKUP(Tabla14[[#This Row],[Llave]],'[5]Consolidación planes'!$A:$M,10,FALSE),0)</f>
        <v>5000</v>
      </c>
      <c r="BI182" s="20">
        <f>IFERROR(VLOOKUP(Tabla14[[#This Row],[Llave]],'[5]Consolidación planes'!$A:$M,11,FALSE),0)</f>
        <v>5000</v>
      </c>
      <c r="BJ182" s="20">
        <f>IFERROR(VLOOKUP(Tabla14[[#This Row],[Llave]],'[5]Consolidación planes'!$A:$M,12,FALSE),0)</f>
        <v>6000</v>
      </c>
      <c r="BK182" s="20">
        <f>IFERROR(VLOOKUP(Tabla14[[#This Row],[Llave]],'[5]Consolidación planes'!$A:$M,13,FALSE),0)</f>
        <v>3000</v>
      </c>
      <c r="BL182" s="20">
        <f>IFERROR(VLOOKUP(Tabla14[[#This Row],[Llave]],'[13]Base ultimos planes'!$A:$M,13,FALSE),0)</f>
        <v>6000</v>
      </c>
      <c r="BM182" s="20">
        <f>IFERROR(VLOOKUP(Tabla14[[#This Row],[Llave]],'[13]Cruce plan irrestricto'!$C:$M,10,FALSE),0)</f>
        <v>3000</v>
      </c>
      <c r="BN182" s="20">
        <f>IFERROR(VLOOKUP(Tabla14[[#This Row],[Llave]],'[13]Cruce plan irrestricto'!$C:$M,11,FALSE),0)</f>
        <v>3000</v>
      </c>
      <c r="BO182" s="80">
        <f>IFERROR(VLOOKUP(Tabla14[[#This Row],[Llave]],'[13]Base ultimos planes'!$O:$AA,8,FALSE),0)</f>
        <v>23140.260300000002</v>
      </c>
      <c r="BP182" s="20">
        <f>IFERROR(VLOOKUP(Tabla14[[#This Row],[Llave]],'[13]Base ultimos planes'!$O:$AA,9,FALSE),0)</f>
        <v>21784</v>
      </c>
      <c r="BQ182" s="20">
        <f>IFERROR(VLOOKUP(Tabla14[[#This Row],[Llave]],'[13]Base ultimos planes'!$O:$AA,10,FALSE),0)</f>
        <v>21814</v>
      </c>
      <c r="BR182" s="20">
        <f>IFERROR(VLOOKUP(Tabla14[[#This Row],[Llave]],'[13]Base ultimos planes'!$O:$AA,11,FALSE),0)</f>
        <v>24491</v>
      </c>
      <c r="BS182" s="20">
        <f>IFERROR(VLOOKUP(Tabla14[[#This Row],[Llave]],'[13]Base ultimos planes'!$O:$AA,12,FALSE),0)</f>
        <v>11934</v>
      </c>
      <c r="BT182" s="20">
        <f>IFERROR(VLOOKUP(Tabla14[[#This Row],[Llave]],'[13]Base ultimos planes'!$O:$AA,13,FALSE),0)</f>
        <v>22820</v>
      </c>
      <c r="BU182" s="20"/>
      <c r="BV182" s="20">
        <f>Tabla14[[#This Row],[ RV Producción mes n+1]]-Tabla14[[#This Row],[Producción disponible]]+Tabla14[[#This Row],[Saldo Volumen disponible]]</f>
        <v>1001.3692626874445</v>
      </c>
      <c r="BW182" s="20">
        <f>IFERROR(VLOOKUP(Tabla14[[#This Row],[Llave]],[14]Hoja2!$J:$N,4,FALSE),0)</f>
        <v>3600</v>
      </c>
      <c r="BX182" s="20">
        <f>+Tabla14[[#This Row],[Asignación mes n+1]]*Tabla14[[#This Row],[% Uti. producción]]</f>
        <v>2784.1998159360519</v>
      </c>
      <c r="BY182" s="20">
        <f>+Tabla14[[#This Row],[Ponderación mes n+1]]+Tabla14[[#This Row],[Saldo mes n-1]]</f>
        <v>3785.5690786234964</v>
      </c>
      <c r="BZ182" s="20">
        <f>+Tabla14[[#This Row],[Asignación mes n+1]]-Tabla14[[#This Row],[Ponderación mes n+1]]</f>
        <v>815.80018406394811</v>
      </c>
      <c r="CA182" s="20">
        <f>IFERROR(VLOOKUP(Tabla14[[#This Row],[Llave]],[14]Hoja2!$J:$N,5,FALSE),0)</f>
        <v>3600</v>
      </c>
      <c r="CB182" s="20">
        <f>+Tabla14[[#This Row],[Asignación mes n+2]]*Tabla14[[#This Row],[% Uti. producción]]</f>
        <v>2784.1998159360519</v>
      </c>
      <c r="CC182" s="20">
        <f>+Tabla14[[#This Row],[Saldo mes n+2]]+Tabla14[[#This Row],[Ponderación mes n+2]]</f>
        <v>3600</v>
      </c>
      <c r="CD182" s="20">
        <f>+Tabla14[[#This Row],[Asignación mes n+2]]-Tabla14[[#This Row],[Ponderación mes n+2]]</f>
        <v>815.80018406394811</v>
      </c>
    </row>
    <row r="183" spans="1:82" ht="16" x14ac:dyDescent="0.2">
      <c r="A183">
        <v>1</v>
      </c>
      <c r="B183" t="str">
        <f>Tabla14[[#This Row],[Oficina]]&amp;Tabla14[[#This Row],[Material]]</f>
        <v>Exportacion Directa1022600</v>
      </c>
      <c r="C183" t="s">
        <v>6</v>
      </c>
      <c r="D183" t="s">
        <v>88</v>
      </c>
      <c r="E183">
        <v>1022600</v>
      </c>
      <c r="F183" t="s">
        <v>115</v>
      </c>
      <c r="G183" t="s">
        <v>50</v>
      </c>
      <c r="H183" t="s">
        <v>110</v>
      </c>
      <c r="I183" s="7">
        <f>IFERROR(IF(Tabla14[[#This Row],[Oficina]]=$I$7,VLOOKUP(Tabla14[[#This Row],[Material]],'[6]RV Producción'!$Y:$AA,3,FALSE),VLOOKUP(Tabla14[[#This Row],[Llave]],'[6]RV Producción'!$C:$G,5,FALSE)),0)</f>
        <v>15692</v>
      </c>
      <c r="J183" s="7">
        <f>IFERROR(IF(Tabla14[[#This Row],[Oficina]]=$I$7,VLOOKUP(Tabla14[[#This Row],[Llave]],'[7]Shangai (Tomas)'!$A:$F,6,FALSE),VLOOKUP(Tabla14[[#This Row],[Llave]],'[6]RV plan de ventas'!$A:$E,5,FALSE)),0)</f>
        <v>10000</v>
      </c>
      <c r="K183" s="8">
        <f>IFERROR(VLOOKUP(Tabla14[[#This Row],[Sector]]&amp;Tabla14[[#This Row],[Oficina]],[8]Ponderación!$A$3:$G$22,7,FALSE),0)</f>
        <v>0.77338883776001444</v>
      </c>
      <c r="L183" s="7">
        <f>+Tabla14[[#This Row],[ RV Producción mes n+1]]*Tabla14[[#This Row],[% Uti. producción]]</f>
        <v>12136.017642130146</v>
      </c>
      <c r="M183" s="7">
        <f>IFERROR(VLOOKUP(Tabla14[[#This Row],[Material]],'[9]TD Stock'!$B:$C,2,FALSE),0)</f>
        <v>7078.4589999999989</v>
      </c>
      <c r="N183" s="7">
        <f>IFERROR(VLOOKUP(Tabla14[[#This Row],[Material]],'[10]Consolidado planificación'!$B:$C,2,FALSE),0)</f>
        <v>0</v>
      </c>
      <c r="O183" s="7">
        <f>IFERROR(VLOOKUP(Tabla14[[#This Row],[Llave]],[11]Hoja2!$D:$G,4,FALSE),0)</f>
        <v>2500</v>
      </c>
      <c r="P183" s="14">
        <f>SUM(Tabla14[[#This Row],[Producción disponible]],Tabla14[[#This Row],[Stock al día]],(Tabla14[[#This Row],[Por producir mes N]]*0.9))-Tabla14[[#This Row],[Producción por despachar mes N]]</f>
        <v>16714.476642130147</v>
      </c>
      <c r="Q183" s="7">
        <f>IFERROR(VLOOKUP(Tabla14[[#This Row],[Llave]],[9]DELAY!$A:$D,4,FALSE),0)</f>
        <v>11000</v>
      </c>
      <c r="R183" s="9">
        <v>2166.6666666666665</v>
      </c>
      <c r="S183" s="5">
        <f t="shared" si="7"/>
        <v>11000</v>
      </c>
      <c r="T183" s="76">
        <v>-4000</v>
      </c>
      <c r="U183" s="5">
        <f>+Tabla14[[#This Row],[Atraso a facturar]]+Tabla14[[#This Row],[Ajuste atraso]]</f>
        <v>7000</v>
      </c>
      <c r="V183" s="3">
        <f>+Tabla14[[#This Row],[Total disponible]]-Tabla14[[#This Row],[Facturación atraso]]</f>
        <v>9714.4766421301465</v>
      </c>
      <c r="W183" s="6">
        <f>IFERROR(IF(AND(V183&gt;R183,J183&gt;=R183),ROUNDDOWN((Tabla14[[#This Row],[Producción para venta nueva]])/R183,0)*R183,0),0)</f>
        <v>8666.6666666666661</v>
      </c>
      <c r="X183" s="76">
        <v>-3000</v>
      </c>
      <c r="Y183" s="6">
        <f>IF(Tabla14[[#This Row],[Venta del mes]]&gt;0,Tabla14[[#This Row],[Venta del mes]]+Tabla14[[#This Row],[Ajuste venta nueva]],0)</f>
        <v>5666.6666666666661</v>
      </c>
      <c r="Z183" s="6">
        <f>+Tabla14[[#This Row],[Producción para venta nueva]]-Tabla14[[#This Row],[Facturación Venta nueva]]</f>
        <v>4047.8099754634804</v>
      </c>
      <c r="AA183" s="6">
        <f>IF(AND(A183=1,Tabla14[[#This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83" s="6">
        <v>0</v>
      </c>
      <c r="AC183" s="6">
        <f>IF(Tabla14[[#This Row],[Disponible stock sin venta]]&gt;0,Tabla14[[#This Row],[Disponible stock sin venta]]+Tabla14[[#This Row],[Ajuste stock sin venta]],0)</f>
        <v>0</v>
      </c>
      <c r="AD183" s="3">
        <f>IFERROR(VLOOKUP(Tabla14[[#This Row],[Llave]],[12]Hoja1!$A:$D,4,FALSE),0)</f>
        <v>0</v>
      </c>
      <c r="AE18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19666.666666666664</v>
      </c>
      <c r="AF183" s="3">
        <v>15333.333333333332</v>
      </c>
      <c r="AG183" s="3">
        <f>+Tabla14[[#This Row],[En puerto a facturar]]</f>
        <v>0</v>
      </c>
      <c r="AH183" s="3">
        <f>+Tabla14[[#This Row],[Facturación atraso]]</f>
        <v>7000</v>
      </c>
      <c r="AI183" s="3">
        <f>+Tabla14[[#This Row],[Plan Irrestricto (DATO)]]-Tabla14[[#This Row],[Puerto ]]-Tabla14[[#This Row],[Atraso]]</f>
        <v>8333.3333333333321</v>
      </c>
      <c r="AJ183" s="6">
        <f>IF(Tabla14[[#This Row],[Plan Irrestricto (DATO)]]&gt;0,SUM(Tabla14[[#This Row],[Facturación atraso]],Tabla14[[#This Row],[Facturación Venta nueva]],Tabla14[[#This Row],[Facturación stock]],Tabla14[[#This Row],[En puerto a facturar]]),0)</f>
        <v>12666.666666666666</v>
      </c>
      <c r="AK183" s="3">
        <f>+Tabla14[[#This Row],[Facturación atraso]]</f>
        <v>7000</v>
      </c>
      <c r="AL183" s="3">
        <f>Tabla14[[#This Row],[Plan Ajustado]]-Tabla14[[#This Row],[ Atraso ajustado]]-Tabla14[[#This Row],[En puerto a facturar]]</f>
        <v>5666.6666666666661</v>
      </c>
      <c r="AM183" s="3">
        <v>0</v>
      </c>
      <c r="AN183" s="3"/>
      <c r="AO183" s="3" t="str">
        <f>IF(Tabla14[[#This Row],[Plan Ajustado]]&gt;Tabla14[[#This Row],[En puerto a facturar]],"Si","No")</f>
        <v>Si</v>
      </c>
      <c r="AP183" s="3">
        <f>IF(AND(Tabla14[[#This Row],[Plan Ajustado]]&gt;0,Tabla14[[#This Row],[Plan Ajustado]]&gt;Tabla14[[#This Row],[En puerto a facturar]]),(Tabla14[[#This Row],[Plan Ajustado]]-Tabla14[[#This Row],[En puerto a facturar]]),0)</f>
        <v>12666.666666666666</v>
      </c>
      <c r="AQ183" s="3">
        <f>IF(Tabla14[[#This Row],[Necesidad]]&gt;=Tabla14[[#This Row],[Stock al día]],Tabla14[[#This Row],[Stock al día]],Tabla14[[#This Row],[Necesidad]])</f>
        <v>7078.4589999999989</v>
      </c>
      <c r="AR183" s="3">
        <f>+Tabla14[[#This Row],[Necesidad]]-Tabla14[[#This Row],[Stock Plan]]</f>
        <v>5588.2076666666671</v>
      </c>
      <c r="AS183" s="155">
        <f>VLOOKUP(Tabla14[[#This Row],[Sector]]&amp;Tabla14[[#This Row],[Oficina]],[8]Ponderación!$A:$H,8,FALSE)</f>
        <v>44817</v>
      </c>
      <c r="AT183" s="30">
        <f>IFERROR(VLOOKUP(Tabla14[[#This Row],[Llave]],'[6]RV plan de ventas'!$A:$F,6,FALSE),0)</f>
        <v>3.7593999999999999</v>
      </c>
      <c r="AU183" s="83">
        <f>IFERROR(VLOOKUP(Tabla14[[#This Row],[Llave]],[9]DELAY!$H:$X,17,FALSE),0)</f>
        <v>3.6058726490909097</v>
      </c>
      <c r="AV18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3.6745559376555024</v>
      </c>
      <c r="AW183" s="5">
        <f>Tabla14[[#This Row],[Pecio plan]]*Tabla14[[#This Row],[Plan Ajustado]]</f>
        <v>46544.375210303027</v>
      </c>
      <c r="AX183" s="30">
        <f>IFERROR(VLOOKUP(Tabla14[[#This Row],[Llave]],'[13]Ultimos precios facturados'!$A:$G,7,FALSE),0)</f>
        <v>3.6468606392292067</v>
      </c>
      <c r="AY18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7.5942848290877722E-3</v>
      </c>
      <c r="AZ183" s="30">
        <f>IFERROR(VLOOKUP(Tabla14[[#This Row],[Llave]],Hoja2!B:K,10,FALSE),0)</f>
        <v>3.6194678794827593</v>
      </c>
      <c r="BA18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3.6745559376555024</v>
      </c>
      <c r="BB183" s="30">
        <v>0</v>
      </c>
      <c r="BC183" s="30">
        <f>IF(Tabla14[[#This Row],[Market]]=0,Tabla14[[#This Row],[Precio Final]],Tabla14[[#This Row],[Market]])</f>
        <v>3.6745559376555024</v>
      </c>
      <c r="BD183" s="82"/>
      <c r="BE183" s="82" t="str">
        <f>IF(AND(Tabla14[[#This Row],[Atraso a facturar]]&gt;0,Tabla14[[#This Row],[En puerto a facturar]]&gt;0,Tabla14[[#This Row],[Precio Atraso]]=0),"Revisar","OK")</f>
        <v>OK</v>
      </c>
      <c r="BF183" s="82" t="str">
        <f>IF(AND(Tabla14[[#This Row],[Venta del mes]]&gt;0,Tabla14[[#This Row],[Precio venta nueva]]=0),"Revisar","OK")</f>
        <v>OK</v>
      </c>
      <c r="BG183" s="20">
        <f>IFERROR(VLOOKUP(Tabla14[[#This Row],[Llave]],'[5]Consolidación planes'!$A:$M,9,FALSE),0)</f>
        <v>18000</v>
      </c>
      <c r="BH183" s="20">
        <f>IFERROR(VLOOKUP(Tabla14[[#This Row],[Llave]],'[5]Consolidación planes'!$A:$M,10,FALSE),0)</f>
        <v>3000</v>
      </c>
      <c r="BI183" s="20">
        <f>IFERROR(VLOOKUP(Tabla14[[#This Row],[Llave]],'[5]Consolidación planes'!$A:$M,11,FALSE),0)</f>
        <v>11000</v>
      </c>
      <c r="BJ183" s="20">
        <f>IFERROR(VLOOKUP(Tabla14[[#This Row],[Llave]],'[5]Consolidación planes'!$A:$M,12,FALSE),0)</f>
        <v>20000</v>
      </c>
      <c r="BK183" s="20">
        <f>IFERROR(VLOOKUP(Tabla14[[#This Row],[Llave]],'[5]Consolidación planes'!$A:$M,13,FALSE),0)</f>
        <v>19625</v>
      </c>
      <c r="BL183" s="20">
        <f>IFERROR(VLOOKUP(Tabla14[[#This Row],[Llave]],'[13]Base ultimos planes'!$A:$M,13,FALSE),0)</f>
        <v>27333</v>
      </c>
      <c r="BM183" s="20">
        <f>IFERROR(VLOOKUP(Tabla14[[#This Row],[Llave]],'[13]Cruce plan irrestricto'!$C:$M,10,FALSE),0)</f>
        <v>32999</v>
      </c>
      <c r="BN183" s="20">
        <f>IFERROR(VLOOKUP(Tabla14[[#This Row],[Llave]],'[13]Cruce plan irrestricto'!$C:$M,11,FALSE),0)</f>
        <v>29000</v>
      </c>
      <c r="BO183" s="80">
        <f>IFERROR(VLOOKUP(Tabla14[[#This Row],[Llave]],'[13]Base ultimos planes'!$O:$AA,8,FALSE),0)</f>
        <v>78722.423299999995</v>
      </c>
      <c r="BP183" s="20">
        <f>IFERROR(VLOOKUP(Tabla14[[#This Row],[Llave]],'[13]Base ultimos planes'!$O:$AA,9,FALSE),0)</f>
        <v>12324</v>
      </c>
      <c r="BQ183" s="20">
        <f>IFERROR(VLOOKUP(Tabla14[[#This Row],[Llave]],'[13]Base ultimos planes'!$O:$AA,10,FALSE),0)</f>
        <v>44841</v>
      </c>
      <c r="BR183" s="20">
        <f>IFERROR(VLOOKUP(Tabla14[[#This Row],[Llave]],'[13]Base ultimos planes'!$O:$AA,11,FALSE),0)</f>
        <v>78794</v>
      </c>
      <c r="BS183" s="20">
        <f>IFERROR(VLOOKUP(Tabla14[[#This Row],[Llave]],'[13]Base ultimos planes'!$O:$AA,12,FALSE),0)</f>
        <v>75391</v>
      </c>
      <c r="BT183" s="20">
        <f>IFERROR(VLOOKUP(Tabla14[[#This Row],[Llave]],'[13]Base ultimos planes'!$O:$AA,13,FALSE),0)</f>
        <v>97657</v>
      </c>
      <c r="BU183" s="20"/>
      <c r="BV183" s="20">
        <f>Tabla14[[#This Row],[ RV Producción mes n+1]]-Tabla14[[#This Row],[Producción disponible]]+Tabla14[[#This Row],[Saldo Volumen disponible]]</f>
        <v>7603.7923333333347</v>
      </c>
      <c r="BW183" s="20">
        <f>IFERROR(VLOOKUP(Tabla14[[#This Row],[Llave]],[14]Hoja2!$J:$N,4,FALSE),0)</f>
        <v>11700</v>
      </c>
      <c r="BX183" s="20">
        <f>+Tabla14[[#This Row],[Asignación mes n+1]]*Tabla14[[#This Row],[% Uti. producción]]</f>
        <v>9048.6494017921686</v>
      </c>
      <c r="BY183" s="20">
        <f>+Tabla14[[#This Row],[Ponderación mes n+1]]+Tabla14[[#This Row],[Saldo mes n-1]]</f>
        <v>16652.441735125503</v>
      </c>
      <c r="BZ183" s="20">
        <f>+Tabla14[[#This Row],[Asignación mes n+1]]-Tabla14[[#This Row],[Ponderación mes n+1]]</f>
        <v>2651.3505982078314</v>
      </c>
      <c r="CA183" s="20">
        <f>IFERROR(VLOOKUP(Tabla14[[#This Row],[Llave]],[14]Hoja2!$J:$N,5,FALSE),0)</f>
        <v>11700</v>
      </c>
      <c r="CB183" s="20">
        <f>+Tabla14[[#This Row],[Asignación mes n+2]]*Tabla14[[#This Row],[% Uti. producción]]</f>
        <v>9048.6494017921686</v>
      </c>
      <c r="CC183" s="20">
        <f>+Tabla14[[#This Row],[Saldo mes n+2]]+Tabla14[[#This Row],[Ponderación mes n+2]]</f>
        <v>11700</v>
      </c>
      <c r="CD183" s="20">
        <f>+Tabla14[[#This Row],[Asignación mes n+2]]-Tabla14[[#This Row],[Ponderación mes n+2]]</f>
        <v>2651.3505982078314</v>
      </c>
    </row>
    <row r="184" spans="1:82" ht="16" x14ac:dyDescent="0.2">
      <c r="A184">
        <v>1</v>
      </c>
      <c r="B184" t="str">
        <f>Tabla14[[#This Row],[Oficina]]&amp;Tabla14[[#This Row],[Material]]</f>
        <v>Exportacion Directa1022664</v>
      </c>
      <c r="C184" t="s">
        <v>6</v>
      </c>
      <c r="D184" t="s">
        <v>88</v>
      </c>
      <c r="E184">
        <v>1022664</v>
      </c>
      <c r="F184" t="s">
        <v>99</v>
      </c>
      <c r="G184" t="s">
        <v>50</v>
      </c>
      <c r="H184" t="s">
        <v>95</v>
      </c>
      <c r="I184" s="7">
        <f>IFERROR(IF(Tabla14[[#This Row],[Oficina]]=$I$7,VLOOKUP(Tabla14[[#This Row],[Material]],'[6]RV Producción'!$Y:$AA,3,FALSE),VLOOKUP(Tabla14[[#This Row],[Llave]],'[6]RV Producción'!$C:$G,5,FALSE)),0)</f>
        <v>66114</v>
      </c>
      <c r="J184" s="7">
        <f>IFERROR(IF(Tabla14[[#This Row],[Oficina]]=$I$7,VLOOKUP(Tabla14[[#This Row],[Llave]],'[7]Shangai (Tomas)'!$A:$F,6,FALSE),VLOOKUP(Tabla14[[#This Row],[Llave]],'[6]RV plan de ventas'!$A:$E,5,FALSE)),0)</f>
        <v>56000</v>
      </c>
      <c r="K184" s="8">
        <f>IFERROR(VLOOKUP(Tabla14[[#This Row],[Sector]]&amp;Tabla14[[#This Row],[Oficina]],[8]Ponderación!$A$3:$G$22,7,FALSE),0)</f>
        <v>0.77338883776001444</v>
      </c>
      <c r="L184" s="7">
        <f>+Tabla14[[#This Row],[ RV Producción mes n+1]]*Tabla14[[#This Row],[% Uti. producción]]</f>
        <v>51131.829619665594</v>
      </c>
      <c r="M184" s="7">
        <f>IFERROR(VLOOKUP(Tabla14[[#This Row],[Material]],'[9]TD Stock'!$B:$C,2,FALSE),0)</f>
        <v>19099.946000000004</v>
      </c>
      <c r="N184" s="7">
        <f>IFERROR(VLOOKUP(Tabla14[[#This Row],[Material]],'[10]Consolidado planificación'!$B:$C,2,FALSE),0)</f>
        <v>13008.822538658269</v>
      </c>
      <c r="O184" s="7">
        <f>IFERROR(VLOOKUP(Tabla14[[#This Row],[Llave]],[11]Hoja2!$D:$G,4,FALSE),0)</f>
        <v>0</v>
      </c>
      <c r="P184" s="14">
        <f>SUM(Tabla14[[#This Row],[Producción disponible]],Tabla14[[#This Row],[Stock al día]],(Tabla14[[#This Row],[Por producir mes N]]*0.9))-Tabla14[[#This Row],[Producción por despachar mes N]]</f>
        <v>81939.715904458048</v>
      </c>
      <c r="Q184" s="7">
        <f>IFERROR(VLOOKUP(Tabla14[[#This Row],[Llave]],[9]DELAY!$A:$D,4,FALSE),0)</f>
        <v>108000</v>
      </c>
      <c r="R184" s="9">
        <v>3333.3333333333335</v>
      </c>
      <c r="S184" s="5">
        <f t="shared" si="7"/>
        <v>80000</v>
      </c>
      <c r="T184" s="76">
        <v>-40000</v>
      </c>
      <c r="U184" s="5">
        <f>+Tabla14[[#This Row],[Atraso a facturar]]+Tabla14[[#This Row],[Ajuste atraso]]</f>
        <v>40000</v>
      </c>
      <c r="V184" s="3">
        <f>+Tabla14[[#This Row],[Total disponible]]-Tabla14[[#This Row],[Facturación atraso]]</f>
        <v>41939.715904458048</v>
      </c>
      <c r="W184" s="6">
        <f>IFERROR(IF(AND(V184&gt;R184,J184&gt;=R184),ROUNDDOWN((Tabla14[[#This Row],[Producción para venta nueva]])/R184,0)*R184,0),0)</f>
        <v>40000</v>
      </c>
      <c r="X184" s="76">
        <v>-25000</v>
      </c>
      <c r="Y184" s="6">
        <f>IF(Tabla14[[#This Row],[Venta del mes]]&gt;0,Tabla14[[#This Row],[Venta del mes]]+Tabla14[[#This Row],[Ajuste venta nueva]],0)</f>
        <v>15000</v>
      </c>
      <c r="Z184" s="6">
        <f>+Tabla14[[#This Row],[Producción para venta nueva]]-Tabla14[[#This Row],[Facturación Venta nueva]]</f>
        <v>26939.715904458048</v>
      </c>
      <c r="AA184" s="6">
        <f>IF(AND(A184=1,Tabla14[[#This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84" s="6">
        <v>0</v>
      </c>
      <c r="AC184" s="6">
        <f>IF(Tabla14[[#This Row],[Disponible stock sin venta]]&gt;0,Tabla14[[#This Row],[Disponible stock sin venta]]+Tabla14[[#This Row],[Ajuste stock sin venta]],0)</f>
        <v>0</v>
      </c>
      <c r="AD184" s="3">
        <f>IFERROR(VLOOKUP(Tabla14[[#This Row],[Llave]],[12]Hoja1!$A:$D,4,FALSE),0)</f>
        <v>0</v>
      </c>
      <c r="AE18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120000</v>
      </c>
      <c r="AF184" s="3">
        <v>80000</v>
      </c>
      <c r="AG184" s="3">
        <f>+Tabla14[[#This Row],[En puerto a facturar]]</f>
        <v>0</v>
      </c>
      <c r="AH184" s="3">
        <f>+Tabla14[[#This Row],[Facturación atraso]]</f>
        <v>40000</v>
      </c>
      <c r="AI184" s="3">
        <f>+Tabla14[[#This Row],[Plan Irrestricto (DATO)]]-Tabla14[[#This Row],[Puerto ]]-Tabla14[[#This Row],[Atraso]]</f>
        <v>40000</v>
      </c>
      <c r="AJ184" s="6">
        <f>IF(Tabla14[[#This Row],[Plan Irrestricto (DATO)]]&gt;0,SUM(Tabla14[[#This Row],[Facturación atraso]],Tabla14[[#This Row],[Facturación Venta nueva]],Tabla14[[#This Row],[Facturación stock]],Tabla14[[#This Row],[En puerto a facturar]]),0)</f>
        <v>55000</v>
      </c>
      <c r="AK184" s="3">
        <f>+Tabla14[[#This Row],[Facturación atraso]]</f>
        <v>40000</v>
      </c>
      <c r="AL184" s="3">
        <f>Tabla14[[#This Row],[Plan Ajustado]]-Tabla14[[#This Row],[ Atraso ajustado]]-Tabla14[[#This Row],[En puerto a facturar]]</f>
        <v>15000</v>
      </c>
      <c r="AM184" s="3">
        <v>0</v>
      </c>
      <c r="AN184" s="3"/>
      <c r="AO184" s="3" t="str">
        <f>IF(Tabla14[[#This Row],[Plan Ajustado]]&gt;Tabla14[[#This Row],[En puerto a facturar]],"Si","No")</f>
        <v>Si</v>
      </c>
      <c r="AP184" s="3">
        <f>IF(AND(Tabla14[[#This Row],[Plan Ajustado]]&gt;0,Tabla14[[#This Row],[Plan Ajustado]]&gt;Tabla14[[#This Row],[En puerto a facturar]]),(Tabla14[[#This Row],[Plan Ajustado]]-Tabla14[[#This Row],[En puerto a facturar]]),0)</f>
        <v>55000</v>
      </c>
      <c r="AQ184" s="3">
        <f>IF(Tabla14[[#This Row],[Necesidad]]&gt;=Tabla14[[#This Row],[Stock al día]],Tabla14[[#This Row],[Stock al día]],Tabla14[[#This Row],[Necesidad]])</f>
        <v>19099.946000000004</v>
      </c>
      <c r="AR184" s="3">
        <f>+Tabla14[[#This Row],[Necesidad]]-Tabla14[[#This Row],[Stock Plan]]</f>
        <v>35900.053999999996</v>
      </c>
      <c r="AS184" s="155">
        <f>VLOOKUP(Tabla14[[#This Row],[Sector]]&amp;Tabla14[[#This Row],[Oficina]],[8]Ponderación!$A:$H,8,FALSE)</f>
        <v>44817</v>
      </c>
      <c r="AT184" s="30">
        <f>IFERROR(VLOOKUP(Tabla14[[#This Row],[Llave]],'[6]RV plan de ventas'!$A:$F,6,FALSE),0)</f>
        <v>3.7968392857142899</v>
      </c>
      <c r="AU184" s="83">
        <f>IFERROR(VLOOKUP(Tabla14[[#This Row],[Llave]],[9]DELAY!$H:$X,17,FALSE),0)</f>
        <v>3.7739258677875229</v>
      </c>
      <c r="AV18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3.7801749817675505</v>
      </c>
      <c r="AW184" s="5">
        <f>Tabla14[[#This Row],[Pecio plan]]*Tabla14[[#This Row],[Plan Ajustado]]</f>
        <v>207909.62399721527</v>
      </c>
      <c r="AX184" s="30">
        <f>IFERROR(VLOOKUP(Tabla14[[#This Row],[Llave]],'[13]Ultimos precios facturados'!$A:$G,7,FALSE),0)</f>
        <v>3.3810340079353502</v>
      </c>
      <c r="AY18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0.11805293081803049</v>
      </c>
      <c r="AZ184" s="30">
        <f>IFERROR(VLOOKUP(Tabla14[[#This Row],[Llave]],Hoja2!B:K,10,FALSE),0)</f>
        <v>3.6467549551884364</v>
      </c>
      <c r="BA18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3.7801749817675505</v>
      </c>
      <c r="BB184" s="30">
        <v>0</v>
      </c>
      <c r="BC184" s="30">
        <f>IF(Tabla14[[#This Row],[Market]]=0,Tabla14[[#This Row],[Precio Final]],Tabla14[[#This Row],[Market]])</f>
        <v>3.7801749817675505</v>
      </c>
      <c r="BD184" s="82"/>
      <c r="BE184" s="82" t="str">
        <f>IF(AND(Tabla14[[#This Row],[Atraso a facturar]]&gt;0,Tabla14[[#This Row],[En puerto a facturar]]&gt;0,Tabla14[[#This Row],[Precio Atraso]]=0),"Revisar","OK")</f>
        <v>OK</v>
      </c>
      <c r="BF184" s="82" t="str">
        <f>IF(AND(Tabla14[[#This Row],[Venta del mes]]&gt;0,Tabla14[[#This Row],[Precio venta nueva]]=0),"Revisar","OK")</f>
        <v>OK</v>
      </c>
      <c r="BG184" s="20">
        <f>IFERROR(VLOOKUP(Tabla14[[#This Row],[Llave]],'[5]Consolidación planes'!$A:$M,9,FALSE),0)</f>
        <v>43000</v>
      </c>
      <c r="BH184" s="20">
        <f>IFERROR(VLOOKUP(Tabla14[[#This Row],[Llave]],'[5]Consolidación planes'!$A:$M,10,FALSE),0)</f>
        <v>23700</v>
      </c>
      <c r="BI184" s="20">
        <f>IFERROR(VLOOKUP(Tabla14[[#This Row],[Llave]],'[5]Consolidación planes'!$A:$M,11,FALSE),0)</f>
        <v>17000</v>
      </c>
      <c r="BJ184" s="20">
        <f>IFERROR(VLOOKUP(Tabla14[[#This Row],[Llave]],'[5]Consolidación planes'!$A:$M,12,FALSE),0)</f>
        <v>30000</v>
      </c>
      <c r="BK184" s="20">
        <f>IFERROR(VLOOKUP(Tabla14[[#This Row],[Llave]],'[5]Consolidación planes'!$A:$M,13,FALSE),0)</f>
        <v>35000</v>
      </c>
      <c r="BL184" s="20">
        <f>IFERROR(VLOOKUP(Tabla14[[#This Row],[Llave]],'[13]Base ultimos planes'!$A:$M,13,FALSE),0)</f>
        <v>30667</v>
      </c>
      <c r="BM184" s="20">
        <f>IFERROR(VLOOKUP(Tabla14[[#This Row],[Llave]],'[13]Cruce plan irrestricto'!$C:$M,10,FALSE),0)</f>
        <v>35000</v>
      </c>
      <c r="BN184" s="20">
        <f>IFERROR(VLOOKUP(Tabla14[[#This Row],[Llave]],'[13]Cruce plan irrestricto'!$C:$M,11,FALSE),0)</f>
        <v>51153.33</v>
      </c>
      <c r="BO184" s="80">
        <f>IFERROR(VLOOKUP(Tabla14[[#This Row],[Llave]],'[13]Base ultimos planes'!$O:$AA,8,FALSE),0)</f>
        <v>175870</v>
      </c>
      <c r="BP184" s="20">
        <f>IFERROR(VLOOKUP(Tabla14[[#This Row],[Llave]],'[13]Base ultimos planes'!$O:$AA,9,FALSE),0)</f>
        <v>88630</v>
      </c>
      <c r="BQ184" s="20">
        <f>IFERROR(VLOOKUP(Tabla14[[#This Row],[Llave]],'[13]Base ultimos planes'!$O:$AA,10,FALSE),0)</f>
        <v>59165</v>
      </c>
      <c r="BR184" s="20">
        <f>IFERROR(VLOOKUP(Tabla14[[#This Row],[Llave]],'[13]Base ultimos planes'!$O:$AA,11,FALSE),0)</f>
        <v>105866</v>
      </c>
      <c r="BS184" s="20">
        <f>IFERROR(VLOOKUP(Tabla14[[#This Row],[Llave]],'[13]Base ultimos planes'!$O:$AA,12,FALSE),0)</f>
        <v>122382</v>
      </c>
      <c r="BT184" s="20">
        <f>IFERROR(VLOOKUP(Tabla14[[#This Row],[Llave]],'[13]Base ultimos planes'!$O:$AA,13,FALSE),0)</f>
        <v>103440</v>
      </c>
      <c r="BU184" s="20"/>
      <c r="BV184" s="20">
        <f>Tabla14[[#This Row],[ RV Producción mes n+1]]-Tabla14[[#This Row],[Producción disponible]]+Tabla14[[#This Row],[Saldo Volumen disponible]]</f>
        <v>41921.886284792454</v>
      </c>
      <c r="BW184" s="20">
        <f>IFERROR(VLOOKUP(Tabla14[[#This Row],[Llave]],[14]Hoja2!$J:$N,4,FALSE),0)</f>
        <v>62395.756000000001</v>
      </c>
      <c r="BX184" s="20">
        <f>+Tabla14[[#This Row],[Asignación mes n+1]]*Tabla14[[#This Row],[% Uti. producción]]</f>
        <v>48256.18121399745</v>
      </c>
      <c r="BY184" s="20">
        <f>+Tabla14[[#This Row],[Ponderación mes n+1]]+Tabla14[[#This Row],[Saldo mes n-1]]</f>
        <v>90178.067498789896</v>
      </c>
      <c r="BZ184" s="20">
        <f>+Tabla14[[#This Row],[Asignación mes n+1]]-Tabla14[[#This Row],[Ponderación mes n+1]]</f>
        <v>14139.574786002551</v>
      </c>
      <c r="CA184" s="20">
        <f>IFERROR(VLOOKUP(Tabla14[[#This Row],[Llave]],[14]Hoja2!$J:$N,5,FALSE),0)</f>
        <v>68514.223000000013</v>
      </c>
      <c r="CB184" s="20">
        <f>+Tabla14[[#This Row],[Asignación mes n+2]]*Tabla14[[#This Row],[% Uti. producción]]</f>
        <v>52988.135296000459</v>
      </c>
      <c r="CC184" s="20">
        <f>+Tabla14[[#This Row],[Saldo mes n+2]]+Tabla14[[#This Row],[Ponderación mes n+2]]</f>
        <v>67127.710082003003</v>
      </c>
      <c r="CD184" s="20">
        <f>+Tabla14[[#This Row],[Asignación mes n+2]]-Tabla14[[#This Row],[Ponderación mes n+2]]</f>
        <v>15526.087703999554</v>
      </c>
    </row>
    <row r="185" spans="1:82" ht="16" x14ac:dyDescent="0.2">
      <c r="A185">
        <v>1</v>
      </c>
      <c r="B185" t="str">
        <f>Tabla14[[#This Row],[Oficina]]&amp;Tabla14[[#This Row],[Material]]</f>
        <v>Exportacion Directa1022817</v>
      </c>
      <c r="C185" t="s">
        <v>6</v>
      </c>
      <c r="D185" t="s">
        <v>88</v>
      </c>
      <c r="E185">
        <v>1022817</v>
      </c>
      <c r="F185" t="s">
        <v>323</v>
      </c>
      <c r="G185" t="s">
        <v>266</v>
      </c>
      <c r="H185" t="s">
        <v>266</v>
      </c>
      <c r="I185" s="7">
        <f>IFERROR(IF(Tabla14[[#This Row],[Oficina]]=$I$7,VLOOKUP(Tabla14[[#This Row],[Material]],'[6]RV Producción'!$Y:$AA,3,FALSE),VLOOKUP(Tabla14[[#This Row],[Llave]],'[6]RV Producción'!$C:$G,5,FALSE)),0)</f>
        <v>0</v>
      </c>
      <c r="J185" s="7">
        <f>IFERROR(IF(Tabla14[[#This Row],[Oficina]]=$I$7,VLOOKUP(Tabla14[[#This Row],[Llave]],'[7]Shangai (Tomas)'!$A:$F,6,FALSE),VLOOKUP(Tabla14[[#This Row],[Llave]],'[6]RV plan de ventas'!$A:$E,5,FALSE)),0)</f>
        <v>0</v>
      </c>
      <c r="K185" s="8">
        <f>IFERROR(VLOOKUP(Tabla14[[#This Row],[Sector]]&amp;Tabla14[[#This Row],[Oficina]],[8]Ponderación!$A$3:$G$22,7,FALSE),0)</f>
        <v>0.77338883776001444</v>
      </c>
      <c r="L185" s="7">
        <f>+Tabla14[[#This Row],[ RV Producción mes n+1]]*Tabla14[[#This Row],[% Uti. producción]]</f>
        <v>0</v>
      </c>
      <c r="M185" s="7">
        <f>IFERROR(VLOOKUP(Tabla14[[#This Row],[Material]],'[9]TD Stock'!$B:$C,2,FALSE),0)</f>
        <v>0</v>
      </c>
      <c r="N185" s="7">
        <f>IFERROR(VLOOKUP(Tabla14[[#This Row],[Material]],'[10]Consolidado planificación'!$B:$C,2,FALSE),0)</f>
        <v>0</v>
      </c>
      <c r="O185" s="7">
        <f>IFERROR(VLOOKUP(Tabla14[[#This Row],[Llave]],[11]Hoja2!$D:$G,4,FALSE),0)</f>
        <v>0</v>
      </c>
      <c r="P185" s="14">
        <f>SUM(Tabla14[[#This Row],[Producción disponible]],Tabla14[[#This Row],[Stock al día]],(Tabla14[[#This Row],[Por producir mes N]]*0.9))-Tabla14[[#This Row],[Producción por despachar mes N]]</f>
        <v>0</v>
      </c>
      <c r="Q185" s="7">
        <f>IFERROR(VLOOKUP(Tabla14[[#This Row],[Llave]],[9]DELAY!$A:$D,4,FALSE),0)</f>
        <v>0</v>
      </c>
      <c r="R185" s="9">
        <v>5000</v>
      </c>
      <c r="S185" s="5">
        <f t="shared" si="7"/>
        <v>0</v>
      </c>
      <c r="T185" s="76">
        <v>0</v>
      </c>
      <c r="U185" s="5">
        <f>+Tabla14[[#This Row],[Atraso a facturar]]+Tabla14[[#This Row],[Ajuste atraso]]</f>
        <v>0</v>
      </c>
      <c r="V185" s="3">
        <f>+Tabla14[[#This Row],[Total disponible]]-Tabla14[[#This Row],[Facturación atraso]]</f>
        <v>0</v>
      </c>
      <c r="W185" s="6">
        <f>IFERROR(IF(AND(V185&gt;R185,J185&gt;=R185),ROUNDDOWN((Tabla14[[#This Row],[Producción para venta nueva]])/R185,0)*R185,0),0)</f>
        <v>0</v>
      </c>
      <c r="X185" s="76">
        <v>0</v>
      </c>
      <c r="Y185" s="6">
        <f>IF(Tabla14[[#This Row],[Venta del mes]]&gt;0,Tabla14[[#This Row],[Venta del mes]]+Tabla14[[#This Row],[Ajuste venta nueva]],0)</f>
        <v>0</v>
      </c>
      <c r="Z185" s="6">
        <f>+Tabla14[[#This Row],[Producción para venta nueva]]-Tabla14[[#This Row],[Facturación Venta nueva]]</f>
        <v>0</v>
      </c>
      <c r="AA185" s="6">
        <f>IF(AND(A185=1,Tabla14[[#This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85" s="6">
        <v>0</v>
      </c>
      <c r="AC185" s="6">
        <f>IF(Tabla14[[#This Row],[Disponible stock sin venta]]&gt;0,Tabla14[[#This Row],[Disponible stock sin venta]]+Tabla14[[#This Row],[Ajuste stock sin venta]],0)</f>
        <v>0</v>
      </c>
      <c r="AD185" s="3">
        <f>IFERROR(VLOOKUP(Tabla14[[#This Row],[Llave]],[12]Hoja1!$A:$D,4,FALSE),0)</f>
        <v>0</v>
      </c>
      <c r="AE185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85" s="3" t="b">
        <v>0</v>
      </c>
      <c r="AG185" s="3">
        <f>+Tabla14[[#This Row],[En puerto a facturar]]</f>
        <v>0</v>
      </c>
      <c r="AH185" s="3">
        <f>+Tabla14[[#This Row],[Facturación atraso]]</f>
        <v>0</v>
      </c>
      <c r="AI185" s="3">
        <f>+Tabla14[[#This Row],[Plan Irrestricto (DATO)]]-Tabla14[[#This Row],[Puerto ]]-Tabla14[[#This Row],[Atraso]]</f>
        <v>0</v>
      </c>
      <c r="AJ18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85" s="3">
        <f>+Tabla14[[#This Row],[Facturación atraso]]</f>
        <v>0</v>
      </c>
      <c r="AL185" s="3">
        <f>Tabla14[[#This Row],[Plan Ajustado]]-Tabla14[[#This Row],[ Atraso ajustado]]-Tabla14[[#This Row],[En puerto a facturar]]</f>
        <v>0</v>
      </c>
      <c r="AM185" s="3">
        <v>0</v>
      </c>
      <c r="AN185" s="3"/>
      <c r="AO185" s="3" t="str">
        <f>IF(Tabla14[[#This Row],[Plan Ajustado]]&gt;Tabla14[[#This Row],[En puerto a facturar]],"Si","No")</f>
        <v>No</v>
      </c>
      <c r="AP18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85" s="3">
        <f>IF(Tabla14[[#This Row],[Necesidad]]&gt;=Tabla14[[#This Row],[Stock al día]],Tabla14[[#This Row],[Stock al día]],Tabla14[[#This Row],[Necesidad]])</f>
        <v>0</v>
      </c>
      <c r="AR185" s="3">
        <f>+Tabla14[[#This Row],[Necesidad]]-Tabla14[[#This Row],[Stock Plan]]</f>
        <v>0</v>
      </c>
      <c r="AS185" s="155">
        <f>VLOOKUP(Tabla14[[#This Row],[Sector]]&amp;Tabla14[[#This Row],[Oficina]],[8]Ponderación!$A:$H,8,FALSE)</f>
        <v>44817</v>
      </c>
      <c r="AT185" s="30">
        <f>IFERROR(VLOOKUP(Tabla14[[#This Row],[Llave]],'[6]RV plan de ventas'!$A:$F,6,FALSE),0)</f>
        <v>0</v>
      </c>
      <c r="AU185" s="83">
        <f>IFERROR(VLOOKUP(Tabla14[[#This Row],[Llave]],[9]DELAY!$H:$X,17,FALSE),0)</f>
        <v>0</v>
      </c>
      <c r="AV18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85" s="5">
        <f>Tabla14[[#This Row],[Pecio plan]]*Tabla14[[#This Row],[Plan Ajustado]]</f>
        <v>0</v>
      </c>
      <c r="AX185" s="30">
        <f>IFERROR(VLOOKUP(Tabla14[[#This Row],[Llave]],'[13]Ultimos precios facturados'!$A:$G,7,FALSE),0)</f>
        <v>3.5331456657730116</v>
      </c>
      <c r="AY18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85" s="30">
        <f>IFERROR(VLOOKUP(Tabla14[[#This Row],[Llave]],Hoja2!B:K,10,FALSE),0)</f>
        <v>0</v>
      </c>
      <c r="BA18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3.5331456657730116</v>
      </c>
      <c r="BB185" s="30">
        <v>0</v>
      </c>
      <c r="BC185" s="30">
        <f>IF(Tabla14[[#This Row],[Market]]=0,Tabla14[[#This Row],[Precio Final]],Tabla14[[#This Row],[Market]])</f>
        <v>3.5331456657730116</v>
      </c>
      <c r="BD185" s="82"/>
      <c r="BE185" s="82" t="str">
        <f>IF(AND(Tabla14[[#This Row],[Atraso a facturar]]&gt;0,Tabla14[[#This Row],[En puerto a facturar]]&gt;0,Tabla14[[#This Row],[Precio Atraso]]=0),"Revisar","OK")</f>
        <v>OK</v>
      </c>
      <c r="BF185" s="82" t="str">
        <f>IF(AND(Tabla14[[#This Row],[Venta del mes]]&gt;0,Tabla14[[#This Row],[Precio venta nueva]]=0),"Revisar","OK")</f>
        <v>OK</v>
      </c>
      <c r="BG185" s="20">
        <f>IFERROR(VLOOKUP(Tabla14[[#This Row],[Llave]],'[5]Consolidación planes'!$A:$M,9,FALSE),0)</f>
        <v>0</v>
      </c>
      <c r="BH185" s="20">
        <f>IFERROR(VLOOKUP(Tabla14[[#This Row],[Llave]],'[5]Consolidación planes'!$A:$M,10,FALSE),0)</f>
        <v>0</v>
      </c>
      <c r="BI185" s="20">
        <f>IFERROR(VLOOKUP(Tabla14[[#This Row],[Llave]],'[5]Consolidación planes'!$A:$M,11,FALSE),0)</f>
        <v>0</v>
      </c>
      <c r="BJ185" s="20">
        <f>IFERROR(VLOOKUP(Tabla14[[#This Row],[Llave]],'[5]Consolidación planes'!$A:$M,12,FALSE),0)</f>
        <v>0</v>
      </c>
      <c r="BK185" s="20">
        <f>IFERROR(VLOOKUP(Tabla14[[#This Row],[Llave]],'[5]Consolidación planes'!$A:$M,13,FALSE),0)</f>
        <v>0</v>
      </c>
      <c r="BL185" s="20">
        <f>IFERROR(VLOOKUP(Tabla14[[#This Row],[Llave]],'[13]Base ultimos planes'!$A:$M,13,FALSE),0)</f>
        <v>0</v>
      </c>
      <c r="BM185" s="20">
        <f>IFERROR(VLOOKUP(Tabla14[[#This Row],[Llave]],'[13]Cruce plan irrestricto'!$C:$M,10,FALSE),0)</f>
        <v>0</v>
      </c>
      <c r="BN185" s="20">
        <f>IFERROR(VLOOKUP(Tabla14[[#This Row],[Llave]],'[13]Cruce plan irrestricto'!$C:$M,11,FALSE),0)</f>
        <v>0</v>
      </c>
      <c r="BO185" s="80">
        <f>IFERROR(VLOOKUP(Tabla14[[#This Row],[Llave]],'[13]Base ultimos planes'!$O:$AA,8,FALSE),0)</f>
        <v>0</v>
      </c>
      <c r="BP185" s="20">
        <f>IFERROR(VLOOKUP(Tabla14[[#This Row],[Llave]],'[13]Base ultimos planes'!$O:$AA,9,FALSE),0)</f>
        <v>0</v>
      </c>
      <c r="BQ185" s="20">
        <f>IFERROR(VLOOKUP(Tabla14[[#This Row],[Llave]],'[13]Base ultimos planes'!$O:$AA,10,FALSE),0)</f>
        <v>0</v>
      </c>
      <c r="BR185" s="20">
        <f>IFERROR(VLOOKUP(Tabla14[[#This Row],[Llave]],'[13]Base ultimos planes'!$O:$AA,11,FALSE),0)</f>
        <v>0</v>
      </c>
      <c r="BS185" s="20">
        <f>IFERROR(VLOOKUP(Tabla14[[#This Row],[Llave]],'[13]Base ultimos planes'!$O:$AA,12,FALSE),0)</f>
        <v>0</v>
      </c>
      <c r="BT185" s="20">
        <f>IFERROR(VLOOKUP(Tabla14[[#This Row],[Llave]],'[13]Base ultimos planes'!$O:$AA,13,FALSE),0)</f>
        <v>0</v>
      </c>
      <c r="BU185" s="20"/>
      <c r="BV185" s="20">
        <f>Tabla14[[#This Row],[ RV Producción mes n+1]]-Tabla14[[#This Row],[Producción disponible]]+Tabla14[[#This Row],[Saldo Volumen disponible]]</f>
        <v>0</v>
      </c>
      <c r="BW185" s="20">
        <f>IFERROR(VLOOKUP(Tabla14[[#This Row],[Llave]],[14]Hoja2!$J:$N,4,FALSE),0)</f>
        <v>0</v>
      </c>
      <c r="BX185" s="20">
        <f>+Tabla14[[#This Row],[Asignación mes n+1]]*Tabla14[[#This Row],[% Uti. producción]]</f>
        <v>0</v>
      </c>
      <c r="BY185" s="20">
        <f>+Tabla14[[#This Row],[Ponderación mes n+1]]+Tabla14[[#This Row],[Saldo mes n-1]]</f>
        <v>0</v>
      </c>
      <c r="BZ185" s="20">
        <f>+Tabla14[[#This Row],[Asignación mes n+1]]-Tabla14[[#This Row],[Ponderación mes n+1]]</f>
        <v>0</v>
      </c>
      <c r="CA185" s="20">
        <f>IFERROR(VLOOKUP(Tabla14[[#This Row],[Llave]],[14]Hoja2!$J:$N,5,FALSE),0)</f>
        <v>0</v>
      </c>
      <c r="CB185" s="20">
        <f>+Tabla14[[#This Row],[Asignación mes n+2]]*Tabla14[[#This Row],[% Uti. producción]]</f>
        <v>0</v>
      </c>
      <c r="CC185" s="20">
        <f>+Tabla14[[#This Row],[Saldo mes n+2]]+Tabla14[[#This Row],[Ponderación mes n+2]]</f>
        <v>0</v>
      </c>
      <c r="CD185" s="20">
        <f>+Tabla14[[#This Row],[Asignación mes n+2]]-Tabla14[[#This Row],[Ponderación mes n+2]]</f>
        <v>0</v>
      </c>
    </row>
    <row r="186" spans="1:82" ht="16" x14ac:dyDescent="0.2">
      <c r="A186">
        <v>1</v>
      </c>
      <c r="B186" t="str">
        <f>Tabla14[[#This Row],[Oficina]]&amp;Tabla14[[#This Row],[Material]]</f>
        <v>Exportacion Directa1022869</v>
      </c>
      <c r="C186" t="s">
        <v>6</v>
      </c>
      <c r="D186" t="s">
        <v>88</v>
      </c>
      <c r="E186">
        <v>1022869</v>
      </c>
      <c r="F186" t="s">
        <v>94</v>
      </c>
      <c r="G186" t="s">
        <v>92</v>
      </c>
      <c r="H186" t="s">
        <v>93</v>
      </c>
      <c r="I186" s="7">
        <f>IFERROR(IF(Tabla14[[#This Row],[Oficina]]=$I$7,VLOOKUP(Tabla14[[#This Row],[Material]],'[6]RV Producción'!$Y:$AA,3,FALSE),VLOOKUP(Tabla14[[#This Row],[Llave]],'[6]RV Producción'!$C:$G,5,FALSE)),0)</f>
        <v>0</v>
      </c>
      <c r="J186" s="7">
        <f>IFERROR(IF(Tabla14[[#This Row],[Oficina]]=$I$7,VLOOKUP(Tabla14[[#This Row],[Llave]],'[7]Shangai (Tomas)'!$A:$F,6,FALSE),VLOOKUP(Tabla14[[#This Row],[Llave]],'[6]RV plan de ventas'!$A:$E,5,FALSE)),0)</f>
        <v>0</v>
      </c>
      <c r="K186" s="8">
        <f>IFERROR(VLOOKUP(Tabla14[[#This Row],[Sector]]&amp;Tabla14[[#This Row],[Oficina]],[8]Ponderación!$A$3:$G$22,7,FALSE),0)</f>
        <v>0.77338883776001444</v>
      </c>
      <c r="L186" s="7">
        <f>+Tabla14[[#This Row],[ RV Producción mes n+1]]*Tabla14[[#This Row],[% Uti. producción]]</f>
        <v>0</v>
      </c>
      <c r="M186" s="7">
        <f>IFERROR(VLOOKUP(Tabla14[[#This Row],[Material]],'[9]TD Stock'!$B:$C,2,FALSE),0)</f>
        <v>0</v>
      </c>
      <c r="N186" s="7">
        <f>IFERROR(VLOOKUP(Tabla14[[#This Row],[Material]],'[10]Consolidado planificación'!$B:$C,2,FALSE),0)</f>
        <v>0</v>
      </c>
      <c r="O186" s="7">
        <f>IFERROR(VLOOKUP(Tabla14[[#This Row],[Llave]],[11]Hoja2!$D:$G,4,FALSE),0)</f>
        <v>0</v>
      </c>
      <c r="P186" s="14">
        <f>SUM(Tabla14[[#This Row],[Producción disponible]],Tabla14[[#This Row],[Stock al día]],(Tabla14[[#This Row],[Por producir mes N]]*0.9))-Tabla14[[#This Row],[Producción por despachar mes N]]</f>
        <v>0</v>
      </c>
      <c r="Q186" s="7">
        <f>IFERROR(VLOOKUP(Tabla14[[#This Row],[Llave]],[9]DELAY!$A:$D,4,FALSE),0)</f>
        <v>0</v>
      </c>
      <c r="R186" s="9">
        <v>800</v>
      </c>
      <c r="S186" s="5">
        <f t="shared" si="7"/>
        <v>0</v>
      </c>
      <c r="T186" s="76">
        <v>0</v>
      </c>
      <c r="U186" s="5">
        <f>+Tabla14[[#This Row],[Atraso a facturar]]+Tabla14[[#This Row],[Ajuste atraso]]</f>
        <v>0</v>
      </c>
      <c r="V186" s="3">
        <f>+Tabla14[[#This Row],[Total disponible]]-Tabla14[[#This Row],[Facturación atraso]]</f>
        <v>0</v>
      </c>
      <c r="W186" s="6">
        <f>IFERROR(IF(AND(V186&gt;R186,J186&gt;=R186),ROUNDDOWN((Tabla14[[#This Row],[Producción para venta nueva]])/R186,0)*R186,0),0)</f>
        <v>0</v>
      </c>
      <c r="X186" s="76">
        <v>0</v>
      </c>
      <c r="Y186" s="6">
        <f>IF(Tabla14[[#This Row],[Venta del mes]]&gt;0,Tabla14[[#This Row],[Venta del mes]]+Tabla14[[#This Row],[Ajuste venta nueva]],0)</f>
        <v>0</v>
      </c>
      <c r="Z186" s="6">
        <f>+Tabla14[[#This Row],[Producción para venta nueva]]-Tabla14[[#This Row],[Facturación Venta nueva]]</f>
        <v>0</v>
      </c>
      <c r="AA186" s="6">
        <f>IF(AND(A186=1,Tabla14[[#This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86" s="6">
        <v>0</v>
      </c>
      <c r="AC186" s="6">
        <f>IF(Tabla14[[#This Row],[Disponible stock sin venta]]&gt;0,Tabla14[[#This Row],[Disponible stock sin venta]]+Tabla14[[#This Row],[Ajuste stock sin venta]],0)</f>
        <v>0</v>
      </c>
      <c r="AD186" s="3">
        <f>IFERROR(VLOOKUP(Tabla14[[#This Row],[Llave]],[12]Hoja1!$A:$D,4,FALSE),0)</f>
        <v>0</v>
      </c>
      <c r="AE186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86" s="3" t="b">
        <v>0</v>
      </c>
      <c r="AG186" s="3">
        <f>+Tabla14[[#This Row],[En puerto a facturar]]</f>
        <v>0</v>
      </c>
      <c r="AH186" s="3">
        <f>+Tabla14[[#This Row],[Facturación atraso]]</f>
        <v>0</v>
      </c>
      <c r="AI186" s="3">
        <f>+Tabla14[[#This Row],[Plan Irrestricto (DATO)]]-Tabla14[[#This Row],[Puerto ]]-Tabla14[[#This Row],[Atraso]]</f>
        <v>0</v>
      </c>
      <c r="AJ18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86" s="3">
        <f>+Tabla14[[#This Row],[Facturación atraso]]</f>
        <v>0</v>
      </c>
      <c r="AL186" s="3">
        <f>Tabla14[[#This Row],[Plan Ajustado]]-Tabla14[[#This Row],[ Atraso ajustado]]-Tabla14[[#This Row],[En puerto a facturar]]</f>
        <v>0</v>
      </c>
      <c r="AM186" s="3">
        <v>0</v>
      </c>
      <c r="AN186" s="3"/>
      <c r="AO186" s="3" t="str">
        <f>IF(Tabla14[[#This Row],[Plan Ajustado]]&gt;Tabla14[[#This Row],[En puerto a facturar]],"Si","No")</f>
        <v>No</v>
      </c>
      <c r="AP18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86" s="3">
        <f>IF(Tabla14[[#This Row],[Necesidad]]&gt;=Tabla14[[#This Row],[Stock al día]],Tabla14[[#This Row],[Stock al día]],Tabla14[[#This Row],[Necesidad]])</f>
        <v>0</v>
      </c>
      <c r="AR186" s="3">
        <f>+Tabla14[[#This Row],[Necesidad]]-Tabla14[[#This Row],[Stock Plan]]</f>
        <v>0</v>
      </c>
      <c r="AS186" s="155">
        <f>VLOOKUP(Tabla14[[#This Row],[Sector]]&amp;Tabla14[[#This Row],[Oficina]],[8]Ponderación!$A:$H,8,FALSE)</f>
        <v>44817</v>
      </c>
      <c r="AT186" s="30">
        <f>IFERROR(VLOOKUP(Tabla14[[#This Row],[Llave]],'[6]RV plan de ventas'!$A:$F,6,FALSE),0)</f>
        <v>0</v>
      </c>
      <c r="AU186" s="83">
        <f>IFERROR(VLOOKUP(Tabla14[[#This Row],[Llave]],[9]DELAY!$H:$X,17,FALSE),0)</f>
        <v>0</v>
      </c>
      <c r="AV18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86" s="5">
        <f>Tabla14[[#This Row],[Pecio plan]]*Tabla14[[#This Row],[Plan Ajustado]]</f>
        <v>0</v>
      </c>
      <c r="AX186" s="30">
        <f>IFERROR(VLOOKUP(Tabla14[[#This Row],[Llave]],'[13]Ultimos precios facturados'!$A:$G,7,FALSE),0)</f>
        <v>2.705669670781893</v>
      </c>
      <c r="AY18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86" s="30">
        <f>IFERROR(VLOOKUP(Tabla14[[#This Row],[Llave]],Hoja2!B:K,10,FALSE),0)</f>
        <v>0</v>
      </c>
      <c r="BA18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2.705669670781893</v>
      </c>
      <c r="BB186" s="30">
        <v>0</v>
      </c>
      <c r="BC186" s="30">
        <f>IF(Tabla14[[#This Row],[Market]]=0,Tabla14[[#This Row],[Precio Final]],Tabla14[[#This Row],[Market]])</f>
        <v>2.705669670781893</v>
      </c>
      <c r="BD186" s="82"/>
      <c r="BE186" s="82" t="str">
        <f>IF(AND(Tabla14[[#This Row],[Atraso a facturar]]&gt;0,Tabla14[[#This Row],[En puerto a facturar]]&gt;0,Tabla14[[#This Row],[Precio Atraso]]=0),"Revisar","OK")</f>
        <v>OK</v>
      </c>
      <c r="BF186" s="82" t="str">
        <f>IF(AND(Tabla14[[#This Row],[Venta del mes]]&gt;0,Tabla14[[#This Row],[Precio venta nueva]]=0),"Revisar","OK")</f>
        <v>OK</v>
      </c>
      <c r="BG186" s="20">
        <f>IFERROR(VLOOKUP(Tabla14[[#This Row],[Llave]],'[5]Consolidación planes'!$A:$M,9,FALSE),0)</f>
        <v>500</v>
      </c>
      <c r="BH186" s="20">
        <f>IFERROR(VLOOKUP(Tabla14[[#This Row],[Llave]],'[5]Consolidación planes'!$A:$M,10,FALSE),0)</f>
        <v>1300</v>
      </c>
      <c r="BI186" s="20">
        <f>IFERROR(VLOOKUP(Tabla14[[#This Row],[Llave]],'[5]Consolidación planes'!$A:$M,11,FALSE),0)</f>
        <v>2400</v>
      </c>
      <c r="BJ186" s="20">
        <f>IFERROR(VLOOKUP(Tabla14[[#This Row],[Llave]],'[5]Consolidación planes'!$A:$M,12,FALSE),0)</f>
        <v>800</v>
      </c>
      <c r="BK186" s="20">
        <f>IFERROR(VLOOKUP(Tabla14[[#This Row],[Llave]],'[5]Consolidación planes'!$A:$M,13,FALSE),0)</f>
        <v>800</v>
      </c>
      <c r="BL186" s="20">
        <f>IFERROR(VLOOKUP(Tabla14[[#This Row],[Llave]],'[13]Base ultimos planes'!$A:$M,13,FALSE),0)</f>
        <v>0</v>
      </c>
      <c r="BM186" s="20">
        <f>IFERROR(VLOOKUP(Tabla14[[#This Row],[Llave]],'[13]Cruce plan irrestricto'!$C:$M,10,FALSE),0)</f>
        <v>0</v>
      </c>
      <c r="BN186" s="20">
        <f>IFERROR(VLOOKUP(Tabla14[[#This Row],[Llave]],'[13]Cruce plan irrestricto'!$C:$M,11,FALSE),0)</f>
        <v>0</v>
      </c>
      <c r="BO186" s="80">
        <f>IFERROR(VLOOKUP(Tabla14[[#This Row],[Llave]],'[13]Base ultimos planes'!$O:$AA,8,FALSE),0)</f>
        <v>1446.6365000000001</v>
      </c>
      <c r="BP186" s="20">
        <f>IFERROR(VLOOKUP(Tabla14[[#This Row],[Llave]],'[13]Base ultimos planes'!$O:$AA,9,FALSE),0)</f>
        <v>3691</v>
      </c>
      <c r="BQ186" s="20">
        <f>IFERROR(VLOOKUP(Tabla14[[#This Row],[Llave]],'[13]Base ultimos planes'!$O:$AA,10,FALSE),0)</f>
        <v>6801</v>
      </c>
      <c r="BR186" s="20">
        <f>IFERROR(VLOOKUP(Tabla14[[#This Row],[Llave]],'[13]Base ultimos planes'!$O:$AA,11,FALSE),0)</f>
        <v>2158</v>
      </c>
      <c r="BS186" s="20">
        <f>IFERROR(VLOOKUP(Tabla14[[#This Row],[Llave]],'[13]Base ultimos planes'!$O:$AA,12,FALSE),0)</f>
        <v>2158</v>
      </c>
      <c r="BT186" s="20">
        <f>IFERROR(VLOOKUP(Tabla14[[#This Row],[Llave]],'[13]Base ultimos planes'!$O:$AA,13,FALSE),0)</f>
        <v>0</v>
      </c>
      <c r="BU186" s="20"/>
      <c r="BV186" s="20">
        <f>Tabla14[[#This Row],[ RV Producción mes n+1]]-Tabla14[[#This Row],[Producción disponible]]+Tabla14[[#This Row],[Saldo Volumen disponible]]</f>
        <v>0</v>
      </c>
      <c r="BW186" s="20">
        <f>IFERROR(VLOOKUP(Tabla14[[#This Row],[Llave]],[14]Hoja2!$J:$N,4,FALSE),0)</f>
        <v>0</v>
      </c>
      <c r="BX186" s="20">
        <f>+Tabla14[[#This Row],[Asignación mes n+1]]*Tabla14[[#This Row],[% Uti. producción]]</f>
        <v>0</v>
      </c>
      <c r="BY186" s="20">
        <f>+Tabla14[[#This Row],[Ponderación mes n+1]]+Tabla14[[#This Row],[Saldo mes n-1]]</f>
        <v>0</v>
      </c>
      <c r="BZ186" s="20">
        <f>+Tabla14[[#This Row],[Asignación mes n+1]]-Tabla14[[#This Row],[Ponderación mes n+1]]</f>
        <v>0</v>
      </c>
      <c r="CA186" s="20">
        <f>IFERROR(VLOOKUP(Tabla14[[#This Row],[Llave]],[14]Hoja2!$J:$N,5,FALSE),0)</f>
        <v>0</v>
      </c>
      <c r="CB186" s="20">
        <f>+Tabla14[[#This Row],[Asignación mes n+2]]*Tabla14[[#This Row],[% Uti. producción]]</f>
        <v>0</v>
      </c>
      <c r="CC186" s="20">
        <f>+Tabla14[[#This Row],[Saldo mes n+2]]+Tabla14[[#This Row],[Ponderación mes n+2]]</f>
        <v>0</v>
      </c>
      <c r="CD186" s="20">
        <f>+Tabla14[[#This Row],[Asignación mes n+2]]-Tabla14[[#This Row],[Ponderación mes n+2]]</f>
        <v>0</v>
      </c>
    </row>
    <row r="187" spans="1:82" ht="16" x14ac:dyDescent="0.2">
      <c r="A187">
        <v>1</v>
      </c>
      <c r="B187" t="str">
        <f>Tabla14[[#This Row],[Oficina]]&amp;Tabla14[[#This Row],[Material]]</f>
        <v>Exportacion Directa1022901</v>
      </c>
      <c r="C187" t="s">
        <v>6</v>
      </c>
      <c r="D187" t="s">
        <v>88</v>
      </c>
      <c r="E187">
        <v>1022901</v>
      </c>
      <c r="F187" t="s">
        <v>126</v>
      </c>
      <c r="G187" t="s">
        <v>56</v>
      </c>
      <c r="H187" t="s">
        <v>57</v>
      </c>
      <c r="I187" s="7">
        <f>IFERROR(IF(Tabla14[[#This Row],[Oficina]]=$I$7,VLOOKUP(Tabla14[[#This Row],[Material]],'[6]RV Producción'!$Y:$AA,3,FALSE),VLOOKUP(Tabla14[[#This Row],[Llave]],'[6]RV Producción'!$C:$G,5,FALSE)),0)</f>
        <v>0</v>
      </c>
      <c r="J187" s="7">
        <f>IFERROR(IF(Tabla14[[#This Row],[Oficina]]=$I$7,VLOOKUP(Tabla14[[#This Row],[Llave]],'[7]Shangai (Tomas)'!$A:$F,6,FALSE),VLOOKUP(Tabla14[[#This Row],[Llave]],'[6]RV plan de ventas'!$A:$E,5,FALSE)),0)</f>
        <v>0</v>
      </c>
      <c r="K187" s="8">
        <f>IFERROR(VLOOKUP(Tabla14[[#This Row],[Sector]]&amp;Tabla14[[#This Row],[Oficina]],[8]Ponderación!$A$3:$G$22,7,FALSE),0)</f>
        <v>0.77338883776001444</v>
      </c>
      <c r="L187" s="7">
        <f>+Tabla14[[#This Row],[ RV Producción mes n+1]]*Tabla14[[#This Row],[% Uti. producción]]</f>
        <v>0</v>
      </c>
      <c r="M187" s="7">
        <f>IFERROR(VLOOKUP(Tabla14[[#This Row],[Material]],'[9]TD Stock'!$B:$C,2,FALSE),0)</f>
        <v>9334.9130000000005</v>
      </c>
      <c r="N187" s="7">
        <f>IFERROR(VLOOKUP(Tabla14[[#This Row],[Material]],'[10]Consolidado planificación'!$B:$C,2,FALSE),0)</f>
        <v>0</v>
      </c>
      <c r="O187" s="7">
        <f>IFERROR(VLOOKUP(Tabla14[[#This Row],[Llave]],[11]Hoja2!$D:$G,4,FALSE),0)</f>
        <v>0</v>
      </c>
      <c r="P187" s="14">
        <f>SUM(Tabla14[[#This Row],[Producción disponible]],Tabla14[[#This Row],[Stock al día]],(Tabla14[[#This Row],[Por producir mes N]]*0.9))-Tabla14[[#This Row],[Producción por despachar mes N]]</f>
        <v>9334.9130000000005</v>
      </c>
      <c r="Q187" s="7">
        <f>IFERROR(VLOOKUP(Tabla14[[#This Row],[Llave]],[9]DELAY!$A:$D,4,FALSE),0)</f>
        <v>0</v>
      </c>
      <c r="R187" s="9">
        <v>5000</v>
      </c>
      <c r="S187" s="5">
        <f t="shared" si="7"/>
        <v>0</v>
      </c>
      <c r="T187" s="76">
        <v>0</v>
      </c>
      <c r="U187" s="5">
        <f>+Tabla14[[#This Row],[Atraso a facturar]]+Tabla14[[#This Row],[Ajuste atraso]]</f>
        <v>0</v>
      </c>
      <c r="V187" s="3">
        <f>+Tabla14[[#This Row],[Total disponible]]-Tabla14[[#This Row],[Facturación atraso]]</f>
        <v>9334.9130000000005</v>
      </c>
      <c r="W187" s="6">
        <f>IFERROR(IF(AND(V187&gt;R187,J187&gt;=R187),ROUNDDOWN((Tabla14[[#This Row],[Producción para venta nueva]])/R187,0)*R187,0),0)</f>
        <v>0</v>
      </c>
      <c r="X187" s="76">
        <v>0</v>
      </c>
      <c r="Y187" s="6">
        <f>IF(Tabla14[[#This Row],[Venta del mes]]&gt;0,Tabla14[[#This Row],[Venta del mes]]+Tabla14[[#This Row],[Ajuste venta nueva]],0)</f>
        <v>0</v>
      </c>
      <c r="Z187" s="6">
        <f>+Tabla14[[#This Row],[Producción para venta nueva]]-Tabla14[[#This Row],[Facturación Venta nueva]]</f>
        <v>9334.9130000000005</v>
      </c>
      <c r="AA187" s="6">
        <f>IF(AND(A187=1,Tabla14[[#This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5000</v>
      </c>
      <c r="AB187" s="6">
        <v>-5000</v>
      </c>
      <c r="AC187" s="6">
        <f>IF(Tabla14[[#This Row],[Disponible stock sin venta]]&gt;0,Tabla14[[#This Row],[Disponible stock sin venta]]+Tabla14[[#This Row],[Ajuste stock sin venta]],0)</f>
        <v>0</v>
      </c>
      <c r="AD187" s="3">
        <f>IFERROR(VLOOKUP(Tabla14[[#This Row],[Llave]],[12]Hoja1!$A:$D,4,FALSE),0)</f>
        <v>0</v>
      </c>
      <c r="AE18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5000</v>
      </c>
      <c r="AF187" s="3">
        <v>5000</v>
      </c>
      <c r="AG187" s="3">
        <f>+Tabla14[[#This Row],[En puerto a facturar]]</f>
        <v>0</v>
      </c>
      <c r="AH187" s="3">
        <f>+Tabla14[[#This Row],[Facturación atraso]]</f>
        <v>0</v>
      </c>
      <c r="AI187" s="3">
        <f>+Tabla14[[#This Row],[Plan Irrestricto (DATO)]]-Tabla14[[#This Row],[Puerto ]]-Tabla14[[#This Row],[Atraso]]</f>
        <v>5000</v>
      </c>
      <c r="AJ18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87" s="3">
        <f>+Tabla14[[#This Row],[Facturación atraso]]</f>
        <v>0</v>
      </c>
      <c r="AL187" s="3">
        <f>Tabla14[[#This Row],[Plan Ajustado]]-Tabla14[[#This Row],[ Atraso ajustado]]-Tabla14[[#This Row],[En puerto a facturar]]</f>
        <v>0</v>
      </c>
      <c r="AM187" s="3">
        <v>0</v>
      </c>
      <c r="AN187" s="3"/>
      <c r="AO187" s="3" t="str">
        <f>IF(Tabla14[[#This Row],[Plan Ajustado]]&gt;Tabla14[[#This Row],[En puerto a facturar]],"Si","No")</f>
        <v>No</v>
      </c>
      <c r="AP18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87" s="3">
        <f>IF(Tabla14[[#This Row],[Necesidad]]&gt;=Tabla14[[#This Row],[Stock al día]],Tabla14[[#This Row],[Stock al día]],Tabla14[[#This Row],[Necesidad]])</f>
        <v>0</v>
      </c>
      <c r="AR187" s="3">
        <f>+Tabla14[[#This Row],[Necesidad]]-Tabla14[[#This Row],[Stock Plan]]</f>
        <v>0</v>
      </c>
      <c r="AS187" s="155">
        <f>VLOOKUP(Tabla14[[#This Row],[Sector]]&amp;Tabla14[[#This Row],[Oficina]],[8]Ponderación!$A:$H,8,FALSE)</f>
        <v>44817</v>
      </c>
      <c r="AT187" s="30">
        <f>IFERROR(VLOOKUP(Tabla14[[#This Row],[Llave]],'[6]RV plan de ventas'!$A:$F,6,FALSE),0)</f>
        <v>0</v>
      </c>
      <c r="AU187" s="83">
        <f>IFERROR(VLOOKUP(Tabla14[[#This Row],[Llave]],[9]DELAY!$H:$X,17,FALSE),0)</f>
        <v>0</v>
      </c>
      <c r="AV18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87" s="5">
        <f>Tabla14[[#This Row],[Pecio plan]]*Tabla14[[#This Row],[Plan Ajustado]]</f>
        <v>0</v>
      </c>
      <c r="AX187" s="30">
        <f>IFERROR(VLOOKUP(Tabla14[[#This Row],[Llave]],'[13]Ultimos precios facturados'!$A:$G,7,FALSE),0)</f>
        <v>4.5450262641281531</v>
      </c>
      <c r="AY18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87" s="30">
        <f>IFERROR(VLOOKUP(Tabla14[[#This Row],[Llave]],Hoja2!B:K,10,FALSE),0)</f>
        <v>4.4589070199999998</v>
      </c>
      <c r="BA18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4.5450262641281531</v>
      </c>
      <c r="BB187" s="30">
        <v>0</v>
      </c>
      <c r="BC187" s="30">
        <f>IF(Tabla14[[#This Row],[Market]]=0,Tabla14[[#This Row],[Precio Final]],Tabla14[[#This Row],[Market]])</f>
        <v>4.5450262641281531</v>
      </c>
      <c r="BD187" s="82"/>
      <c r="BE187" s="82" t="str">
        <f>IF(AND(Tabla14[[#This Row],[Atraso a facturar]]&gt;0,Tabla14[[#This Row],[En puerto a facturar]]&gt;0,Tabla14[[#This Row],[Precio Atraso]]=0),"Revisar","OK")</f>
        <v>OK</v>
      </c>
      <c r="BF187" s="82" t="str">
        <f>IF(AND(Tabla14[[#This Row],[Venta del mes]]&gt;0,Tabla14[[#This Row],[Precio venta nueva]]=0),"Revisar","OK")</f>
        <v>OK</v>
      </c>
      <c r="BG187" s="20">
        <f>IFERROR(VLOOKUP(Tabla14[[#This Row],[Llave]],'[5]Consolidación planes'!$A:$M,9,FALSE),0)</f>
        <v>15000</v>
      </c>
      <c r="BH187" s="20">
        <f>IFERROR(VLOOKUP(Tabla14[[#This Row],[Llave]],'[5]Consolidación planes'!$A:$M,10,FALSE),0)</f>
        <v>12000</v>
      </c>
      <c r="BI187" s="20">
        <f>IFERROR(VLOOKUP(Tabla14[[#This Row],[Llave]],'[5]Consolidación planes'!$A:$M,11,FALSE),0)</f>
        <v>13000</v>
      </c>
      <c r="BJ187" s="20">
        <f>IFERROR(VLOOKUP(Tabla14[[#This Row],[Llave]],'[5]Consolidación planes'!$A:$M,12,FALSE),0)</f>
        <v>18000</v>
      </c>
      <c r="BK187" s="20">
        <f>IFERROR(VLOOKUP(Tabla14[[#This Row],[Llave]],'[5]Consolidación planes'!$A:$M,13,FALSE),0)</f>
        <v>18000</v>
      </c>
      <c r="BL187" s="20">
        <f>IFERROR(VLOOKUP(Tabla14[[#This Row],[Llave]],'[13]Base ultimos planes'!$A:$M,13,FALSE),0)</f>
        <v>13000</v>
      </c>
      <c r="BM187" s="20">
        <f>IFERROR(VLOOKUP(Tabla14[[#This Row],[Llave]],'[13]Cruce plan irrestricto'!$C:$M,10,FALSE),0)</f>
        <v>8000</v>
      </c>
      <c r="BN187" s="20">
        <f>IFERROR(VLOOKUP(Tabla14[[#This Row],[Llave]],'[13]Cruce plan irrestricto'!$C:$M,11,FALSE),0)</f>
        <v>1000</v>
      </c>
      <c r="BO187" s="80">
        <f>IFERROR(VLOOKUP(Tabla14[[#This Row],[Llave]],'[13]Base ultimos planes'!$O:$AA,8,FALSE),0)</f>
        <v>77324.533299999996</v>
      </c>
      <c r="BP187" s="20">
        <f>IFERROR(VLOOKUP(Tabla14[[#This Row],[Llave]],'[13]Base ultimos planes'!$O:$AA,9,FALSE),0)</f>
        <v>59373</v>
      </c>
      <c r="BQ187" s="20">
        <f>IFERROR(VLOOKUP(Tabla14[[#This Row],[Llave]],'[13]Base ultimos planes'!$O:$AA,10,FALSE),0)</f>
        <v>64866</v>
      </c>
      <c r="BR187" s="20">
        <f>IFERROR(VLOOKUP(Tabla14[[#This Row],[Llave]],'[13]Base ultimos planes'!$O:$AA,11,FALSE),0)</f>
        <v>87127</v>
      </c>
      <c r="BS187" s="20">
        <f>IFERROR(VLOOKUP(Tabla14[[#This Row],[Llave]],'[13]Base ultimos planes'!$O:$AA,12,FALSE),0)</f>
        <v>85715</v>
      </c>
      <c r="BT187" s="20">
        <f>IFERROR(VLOOKUP(Tabla14[[#This Row],[Llave]],'[13]Base ultimos planes'!$O:$AA,13,FALSE),0)</f>
        <v>57833</v>
      </c>
      <c r="BU187" s="20"/>
      <c r="BV187" s="20">
        <f>Tabla14[[#This Row],[ RV Producción mes n+1]]-Tabla14[[#This Row],[Producción disponible]]+Tabla14[[#This Row],[Saldo Volumen disponible]]</f>
        <v>9334.9130000000005</v>
      </c>
      <c r="BW187" s="20">
        <f>IFERROR(VLOOKUP(Tabla14[[#This Row],[Llave]],[14]Hoja2!$J:$N,4,FALSE),0)</f>
        <v>0</v>
      </c>
      <c r="BX187" s="20">
        <f>+Tabla14[[#This Row],[Asignación mes n+1]]*Tabla14[[#This Row],[% Uti. producción]]</f>
        <v>0</v>
      </c>
      <c r="BY187" s="20">
        <f>+Tabla14[[#This Row],[Ponderación mes n+1]]+Tabla14[[#This Row],[Saldo mes n-1]]</f>
        <v>9334.9130000000005</v>
      </c>
      <c r="BZ187" s="20">
        <f>+Tabla14[[#This Row],[Asignación mes n+1]]-Tabla14[[#This Row],[Ponderación mes n+1]]</f>
        <v>0</v>
      </c>
      <c r="CA187" s="20">
        <f>IFERROR(VLOOKUP(Tabla14[[#This Row],[Llave]],[14]Hoja2!$J:$N,5,FALSE),0)</f>
        <v>0</v>
      </c>
      <c r="CB187" s="20">
        <f>+Tabla14[[#This Row],[Asignación mes n+2]]*Tabla14[[#This Row],[% Uti. producción]]</f>
        <v>0</v>
      </c>
      <c r="CC187" s="20">
        <f>+Tabla14[[#This Row],[Saldo mes n+2]]+Tabla14[[#This Row],[Ponderación mes n+2]]</f>
        <v>0</v>
      </c>
      <c r="CD187" s="20">
        <f>+Tabla14[[#This Row],[Asignación mes n+2]]-Tabla14[[#This Row],[Ponderación mes n+2]]</f>
        <v>0</v>
      </c>
    </row>
    <row r="188" spans="1:82" ht="16" x14ac:dyDescent="0.2">
      <c r="A188">
        <v>1</v>
      </c>
      <c r="B188" t="str">
        <f>Tabla14[[#This Row],[Oficina]]&amp;Tabla14[[#This Row],[Material]]</f>
        <v>Exportacion Directa1022919</v>
      </c>
      <c r="C188" t="s">
        <v>6</v>
      </c>
      <c r="D188" t="s">
        <v>88</v>
      </c>
      <c r="E188">
        <v>1022919</v>
      </c>
      <c r="F188" t="s">
        <v>109</v>
      </c>
      <c r="G188" t="s">
        <v>50</v>
      </c>
      <c r="H188" t="s">
        <v>103</v>
      </c>
      <c r="I188" s="7">
        <f>IFERROR(IF(Tabla14[[#This Row],[Oficina]]=$I$7,VLOOKUP(Tabla14[[#This Row],[Material]],'[6]RV Producción'!$Y:$AA,3,FALSE),VLOOKUP(Tabla14[[#This Row],[Llave]],'[6]RV Producción'!$C:$G,5,FALSE)),0)</f>
        <v>0</v>
      </c>
      <c r="J188" s="7">
        <f>IFERROR(IF(Tabla14[[#This Row],[Oficina]]=$I$7,VLOOKUP(Tabla14[[#This Row],[Llave]],'[7]Shangai (Tomas)'!$A:$F,6,FALSE),VLOOKUP(Tabla14[[#This Row],[Llave]],'[6]RV plan de ventas'!$A:$E,5,FALSE)),0)</f>
        <v>0</v>
      </c>
      <c r="K188" s="8">
        <f>IFERROR(VLOOKUP(Tabla14[[#This Row],[Sector]]&amp;Tabla14[[#This Row],[Oficina]],[8]Ponderación!$A$3:$G$22,7,FALSE),0)</f>
        <v>0.77338883776001444</v>
      </c>
      <c r="L188" s="7">
        <f>+Tabla14[[#This Row],[ RV Producción mes n+1]]*Tabla14[[#This Row],[% Uti. producción]]</f>
        <v>0</v>
      </c>
      <c r="M188" s="7">
        <f>IFERROR(VLOOKUP(Tabla14[[#This Row],[Material]],'[9]TD Stock'!$B:$C,2,FALSE),0)</f>
        <v>59651.452000000005</v>
      </c>
      <c r="N188" s="7">
        <f>IFERROR(VLOOKUP(Tabla14[[#This Row],[Material]],'[10]Consolidado planificación'!$B:$C,2,FALSE),0)</f>
        <v>15924.026333492035</v>
      </c>
      <c r="O188" s="7">
        <f>IFERROR(VLOOKUP(Tabla14[[#This Row],[Llave]],[11]Hoja2!$D:$G,4,FALSE),0)</f>
        <v>0</v>
      </c>
      <c r="P188" s="14">
        <f>SUM(Tabla14[[#This Row],[Producción disponible]],Tabla14[[#This Row],[Stock al día]],(Tabla14[[#This Row],[Por producir mes N]]*0.9))-Tabla14[[#This Row],[Producción por despachar mes N]]</f>
        <v>73983.075700142828</v>
      </c>
      <c r="Q188" s="7">
        <f>IFERROR(VLOOKUP(Tabla14[[#This Row],[Llave]],[9]DELAY!$A:$D,4,FALSE),0)</f>
        <v>23000</v>
      </c>
      <c r="R188" s="9">
        <v>12000</v>
      </c>
      <c r="S188" s="5">
        <f t="shared" si="7"/>
        <v>23000</v>
      </c>
      <c r="T188" s="76">
        <v>-10000</v>
      </c>
      <c r="U188" s="5">
        <f>+Tabla14[[#This Row],[Atraso a facturar]]+Tabla14[[#This Row],[Ajuste atraso]]</f>
        <v>13000</v>
      </c>
      <c r="V188" s="3">
        <f>+Tabla14[[#This Row],[Total disponible]]-Tabla14[[#This Row],[Facturación atraso]]</f>
        <v>60983.075700142828</v>
      </c>
      <c r="W188" s="6">
        <f>IFERROR(IF(AND(V188&gt;R188,J188&gt;=R188),ROUNDDOWN((Tabla14[[#This Row],[Producción para venta nueva]])/R188,0)*R188,0),0)</f>
        <v>0</v>
      </c>
      <c r="X188" s="76">
        <v>0</v>
      </c>
      <c r="Y188" s="6">
        <f>IF(Tabla14[[#This Row],[Venta del mes]]&gt;0,Tabla14[[#This Row],[Venta del mes]]+Tabla14[[#This Row],[Ajuste venta nueva]],0)</f>
        <v>0</v>
      </c>
      <c r="Z188" s="6">
        <f>+Tabla14[[#This Row],[Producción para venta nueva]]-Tabla14[[#This Row],[Facturación Venta nueva]]</f>
        <v>60983.075700142828</v>
      </c>
      <c r="AA188" s="6">
        <f>IF(AND(A188=1,Tabla14[[#This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60000</v>
      </c>
      <c r="AB188" s="6">
        <v>-40000</v>
      </c>
      <c r="AC188" s="6">
        <f>IF(Tabla14[[#This Row],[Disponible stock sin venta]]&gt;0,Tabla14[[#This Row],[Disponible stock sin venta]]+Tabla14[[#This Row],[Ajuste stock sin venta]],0)</f>
        <v>20000</v>
      </c>
      <c r="AD188" s="3">
        <f>IFERROR(VLOOKUP(Tabla14[[#This Row],[Llave]],[12]Hoja1!$A:$D,4,FALSE),0)</f>
        <v>0</v>
      </c>
      <c r="AE18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83000</v>
      </c>
      <c r="AF188" s="3">
        <v>71000</v>
      </c>
      <c r="AG188" s="3">
        <f>+Tabla14[[#This Row],[En puerto a facturar]]</f>
        <v>0</v>
      </c>
      <c r="AH188" s="3">
        <f>+Tabla14[[#This Row],[Facturación atraso]]</f>
        <v>13000</v>
      </c>
      <c r="AI188" s="3">
        <f>+Tabla14[[#This Row],[Plan Irrestricto (DATO)]]-Tabla14[[#This Row],[Puerto ]]-Tabla14[[#This Row],[Atraso]]</f>
        <v>58000</v>
      </c>
      <c r="AJ188" s="6">
        <f>IF(Tabla14[[#This Row],[Plan Irrestricto (DATO)]]&gt;0,SUM(Tabla14[[#This Row],[Facturación atraso]],Tabla14[[#This Row],[Facturación Venta nueva]],Tabla14[[#This Row],[Facturación stock]],Tabla14[[#This Row],[En puerto a facturar]]),0)</f>
        <v>33000</v>
      </c>
      <c r="AK188" s="3">
        <f>+Tabla14[[#This Row],[Facturación atraso]]</f>
        <v>13000</v>
      </c>
      <c r="AL188" s="3">
        <f>Tabla14[[#This Row],[Plan Ajustado]]-Tabla14[[#This Row],[ Atraso ajustado]]-Tabla14[[#This Row],[En puerto a facturar]]</f>
        <v>20000</v>
      </c>
      <c r="AM188" s="3">
        <v>0</v>
      </c>
      <c r="AN188" s="3"/>
      <c r="AO188" s="3" t="str">
        <f>IF(Tabla14[[#This Row],[Plan Ajustado]]&gt;Tabla14[[#This Row],[En puerto a facturar]],"Si","No")</f>
        <v>Si</v>
      </c>
      <c r="AP188" s="3">
        <f>IF(AND(Tabla14[[#This Row],[Plan Ajustado]]&gt;0,Tabla14[[#This Row],[Plan Ajustado]]&gt;Tabla14[[#This Row],[En puerto a facturar]]),(Tabla14[[#This Row],[Plan Ajustado]]-Tabla14[[#This Row],[En puerto a facturar]]),0)</f>
        <v>33000</v>
      </c>
      <c r="AQ188" s="3">
        <f>IF(Tabla14[[#This Row],[Necesidad]]&gt;=Tabla14[[#This Row],[Stock al día]],Tabla14[[#This Row],[Stock al día]],Tabla14[[#This Row],[Necesidad]])</f>
        <v>33000</v>
      </c>
      <c r="AR188" s="3">
        <f>+Tabla14[[#This Row],[Necesidad]]-Tabla14[[#This Row],[Stock Plan]]</f>
        <v>0</v>
      </c>
      <c r="AS188" s="155">
        <f>VLOOKUP(Tabla14[[#This Row],[Sector]]&amp;Tabla14[[#This Row],[Oficina]],[8]Ponderación!$A:$H,8,FALSE)</f>
        <v>44817</v>
      </c>
      <c r="AT188" s="30">
        <f>IFERROR(VLOOKUP(Tabla14[[#This Row],[Llave]],'[6]RV plan de ventas'!$A:$F,6,FALSE),0)</f>
        <v>0</v>
      </c>
      <c r="AU188" s="83">
        <f>IFERROR(VLOOKUP(Tabla14[[#This Row],[Llave]],[9]DELAY!$H:$X,17,FALSE),0)</f>
        <v>1.3776772833333299</v>
      </c>
      <c r="AV18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1.3776772833333299</v>
      </c>
      <c r="AW188" s="5">
        <f>Tabla14[[#This Row],[Pecio plan]]*Tabla14[[#This Row],[Plan Ajustado]]</f>
        <v>45463.350349999891</v>
      </c>
      <c r="AX188" s="30">
        <f>IFERROR(VLOOKUP(Tabla14[[#This Row],[Llave]],'[13]Ultimos precios facturados'!$A:$G,7,FALSE),0)</f>
        <v>3.6177795658399878</v>
      </c>
      <c r="AY18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0.61919258532451349</v>
      </c>
      <c r="AZ188" s="30">
        <f>IFERROR(VLOOKUP(Tabla14[[#This Row],[Llave]],Hoja2!B:K,10,FALSE),0)</f>
        <v>4.0470470583333302</v>
      </c>
      <c r="BA18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1.3776772833333299</v>
      </c>
      <c r="BB188" s="30">
        <v>0</v>
      </c>
      <c r="BC188" s="30">
        <f>IF(Tabla14[[#This Row],[Market]]=0,Tabla14[[#This Row],[Precio Final]],Tabla14[[#This Row],[Market]])</f>
        <v>1.3776772833333299</v>
      </c>
      <c r="BD188" s="82"/>
      <c r="BE188" s="82" t="str">
        <f>IF(AND(Tabla14[[#This Row],[Atraso a facturar]]&gt;0,Tabla14[[#This Row],[En puerto a facturar]]&gt;0,Tabla14[[#This Row],[Precio Atraso]]=0),"Revisar","OK")</f>
        <v>OK</v>
      </c>
      <c r="BF188" s="82" t="str">
        <f>IF(AND(Tabla14[[#This Row],[Venta del mes]]&gt;0,Tabla14[[#This Row],[Precio venta nueva]]=0),"Revisar","OK")</f>
        <v>OK</v>
      </c>
      <c r="BG188" s="20">
        <f>IFERROR(VLOOKUP(Tabla14[[#This Row],[Llave]],'[5]Consolidación planes'!$A:$M,9,FALSE),0)</f>
        <v>15000</v>
      </c>
      <c r="BH188" s="20">
        <f>IFERROR(VLOOKUP(Tabla14[[#This Row],[Llave]],'[5]Consolidación planes'!$A:$M,10,FALSE),0)</f>
        <v>48000</v>
      </c>
      <c r="BI188" s="20">
        <f>IFERROR(VLOOKUP(Tabla14[[#This Row],[Llave]],'[5]Consolidación planes'!$A:$M,11,FALSE),0)</f>
        <v>5000</v>
      </c>
      <c r="BJ188" s="20">
        <f>IFERROR(VLOOKUP(Tabla14[[#This Row],[Llave]],'[5]Consolidación planes'!$A:$M,12,FALSE),0)</f>
        <v>24000</v>
      </c>
      <c r="BK188" s="20">
        <f>IFERROR(VLOOKUP(Tabla14[[#This Row],[Llave]],'[5]Consolidación planes'!$A:$M,13,FALSE),0)</f>
        <v>23000</v>
      </c>
      <c r="BL188" s="20">
        <f>IFERROR(VLOOKUP(Tabla14[[#This Row],[Llave]],'[13]Base ultimos planes'!$A:$M,13,FALSE),0)</f>
        <v>12000</v>
      </c>
      <c r="BM188" s="20">
        <f>IFERROR(VLOOKUP(Tabla14[[#This Row],[Llave]],'[13]Cruce plan irrestricto'!$C:$M,10,FALSE),0)</f>
        <v>35000</v>
      </c>
      <c r="BN188" s="20">
        <f>IFERROR(VLOOKUP(Tabla14[[#This Row],[Llave]],'[13]Cruce plan irrestricto'!$C:$M,11,FALSE),0)</f>
        <v>12000</v>
      </c>
      <c r="BO188" s="80">
        <f>IFERROR(VLOOKUP(Tabla14[[#This Row],[Llave]],'[13]Base ultimos planes'!$O:$AA,8,FALSE),0)</f>
        <v>61076.933900000004</v>
      </c>
      <c r="BP188" s="20">
        <f>IFERROR(VLOOKUP(Tabla14[[#This Row],[Llave]],'[13]Base ultimos planes'!$O:$AA,9,FALSE),0)</f>
        <v>200184</v>
      </c>
      <c r="BQ188" s="20">
        <f>IFERROR(VLOOKUP(Tabla14[[#This Row],[Llave]],'[13]Base ultimos planes'!$O:$AA,10,FALSE),0)</f>
        <v>20962</v>
      </c>
      <c r="BR188" s="20">
        <f>IFERROR(VLOOKUP(Tabla14[[#This Row],[Llave]],'[13]Base ultimos planes'!$O:$AA,11,FALSE),0)</f>
        <v>92261</v>
      </c>
      <c r="BS188" s="20">
        <f>IFERROR(VLOOKUP(Tabla14[[#This Row],[Llave]],'[13]Base ultimos planes'!$O:$AA,12,FALSE),0)</f>
        <v>84285</v>
      </c>
      <c r="BT188" s="20">
        <f>IFERROR(VLOOKUP(Tabla14[[#This Row],[Llave]],'[13]Base ultimos planes'!$O:$AA,13,FALSE),0)</f>
        <v>42413</v>
      </c>
      <c r="BU188" s="20"/>
      <c r="BV188" s="20">
        <f>Tabla14[[#This Row],[ RV Producción mes n+1]]-Tabla14[[#This Row],[Producción disponible]]+Tabla14[[#This Row],[Saldo Volumen disponible]]</f>
        <v>60983.075700142828</v>
      </c>
      <c r="BW188" s="20">
        <f>IFERROR(VLOOKUP(Tabla14[[#This Row],[Llave]],[14]Hoja2!$J:$N,4,FALSE),0)</f>
        <v>21600</v>
      </c>
      <c r="BX188" s="20">
        <f>+Tabla14[[#This Row],[Asignación mes n+1]]*Tabla14[[#This Row],[% Uti. producción]]</f>
        <v>16705.198895616311</v>
      </c>
      <c r="BY188" s="20">
        <f>+Tabla14[[#This Row],[Ponderación mes n+1]]+Tabla14[[#This Row],[Saldo mes n-1]]</f>
        <v>77688.27459575914</v>
      </c>
      <c r="BZ188" s="20">
        <f>+Tabla14[[#This Row],[Asignación mes n+1]]-Tabla14[[#This Row],[Ponderación mes n+1]]</f>
        <v>4894.8011043836887</v>
      </c>
      <c r="CA188" s="20">
        <f>IFERROR(VLOOKUP(Tabla14[[#This Row],[Llave]],[14]Hoja2!$J:$N,5,FALSE),0)</f>
        <v>21600</v>
      </c>
      <c r="CB188" s="20">
        <f>+Tabla14[[#This Row],[Asignación mes n+2]]*Tabla14[[#This Row],[% Uti. producción]]</f>
        <v>16705.198895616311</v>
      </c>
      <c r="CC188" s="20">
        <f>+Tabla14[[#This Row],[Saldo mes n+2]]+Tabla14[[#This Row],[Ponderación mes n+2]]</f>
        <v>21600</v>
      </c>
      <c r="CD188" s="20">
        <f>+Tabla14[[#This Row],[Asignación mes n+2]]-Tabla14[[#This Row],[Ponderación mes n+2]]</f>
        <v>4894.8011043836887</v>
      </c>
    </row>
    <row r="189" spans="1:82" ht="16" x14ac:dyDescent="0.2">
      <c r="A189">
        <v>1</v>
      </c>
      <c r="B189" t="str">
        <f>Tabla14[[#This Row],[Oficina]]&amp;Tabla14[[#This Row],[Material]]</f>
        <v>Exportacion Directa1022931</v>
      </c>
      <c r="C189" t="s">
        <v>6</v>
      </c>
      <c r="D189" t="s">
        <v>88</v>
      </c>
      <c r="E189">
        <v>1022931</v>
      </c>
      <c r="F189" t="s">
        <v>91</v>
      </c>
      <c r="G189" t="s">
        <v>37</v>
      </c>
      <c r="H189" t="s">
        <v>38</v>
      </c>
      <c r="I189" s="7">
        <f>IFERROR(IF(Tabla14[[#This Row],[Oficina]]=$I$7,VLOOKUP(Tabla14[[#This Row],[Material]],'[6]RV Producción'!$Y:$AA,3,FALSE),VLOOKUP(Tabla14[[#This Row],[Llave]],'[6]RV Producción'!$C:$G,5,FALSE)),0)</f>
        <v>26565</v>
      </c>
      <c r="J189" s="7">
        <f>IFERROR(IF(Tabla14[[#This Row],[Oficina]]=$I$7,VLOOKUP(Tabla14[[#This Row],[Llave]],'[7]Shangai (Tomas)'!$A:$F,6,FALSE),VLOOKUP(Tabla14[[#This Row],[Llave]],'[6]RV plan de ventas'!$A:$E,5,FALSE)),0)</f>
        <v>20000</v>
      </c>
      <c r="K189" s="8">
        <f>IFERROR(VLOOKUP(Tabla14[[#This Row],[Sector]]&amp;Tabla14[[#This Row],[Oficina]],[8]Ponderación!$A$3:$G$22,7,FALSE),0)</f>
        <v>0.77338883776001444</v>
      </c>
      <c r="L189" s="7">
        <f>+Tabla14[[#This Row],[ RV Producción mes n+1]]*Tabla14[[#This Row],[% Uti. producción]]</f>
        <v>20545.074475094785</v>
      </c>
      <c r="M189" s="7">
        <f>IFERROR(VLOOKUP(Tabla14[[#This Row],[Material]],'[9]TD Stock'!$B:$C,2,FALSE),0)</f>
        <v>11168.086000000001</v>
      </c>
      <c r="N189" s="7">
        <f>IFERROR(VLOOKUP(Tabla14[[#This Row],[Material]],'[10]Consolidado planificación'!$B:$C,2,FALSE),0)</f>
        <v>9223.6848236508213</v>
      </c>
      <c r="O189" s="7">
        <f>IFERROR(VLOOKUP(Tabla14[[#This Row],[Llave]],[11]Hoja2!$D:$G,4,FALSE),0)</f>
        <v>0</v>
      </c>
      <c r="P189" s="14">
        <f>SUM(Tabla14[[#This Row],[Producción disponible]],Tabla14[[#This Row],[Stock al día]],(Tabla14[[#This Row],[Por producir mes N]]*0.9))-Tabla14[[#This Row],[Producción por despachar mes N]]</f>
        <v>40014.476816380527</v>
      </c>
      <c r="Q189" s="7">
        <f>IFERROR(VLOOKUP(Tabla14[[#This Row],[Llave]],[9]DELAY!$A:$D,4,FALSE),0)</f>
        <v>25000</v>
      </c>
      <c r="R189" s="9">
        <v>3000</v>
      </c>
      <c r="S189" s="5">
        <f t="shared" si="7"/>
        <v>25000</v>
      </c>
      <c r="T189" s="76">
        <v>-10000</v>
      </c>
      <c r="U189" s="5">
        <f>+Tabla14[[#This Row],[Atraso a facturar]]+Tabla14[[#This Row],[Ajuste atraso]]</f>
        <v>15000</v>
      </c>
      <c r="V189" s="3">
        <f>+Tabla14[[#This Row],[Total disponible]]-Tabla14[[#This Row],[Facturación atraso]]</f>
        <v>25014.476816380527</v>
      </c>
      <c r="W189" s="6">
        <f>IFERROR(IF(AND(V189&gt;R189,J189&gt;=R189),ROUNDDOWN((Tabla14[[#This Row],[Producción para venta nueva]])/R189,0)*R189,0),0)</f>
        <v>24000</v>
      </c>
      <c r="X189" s="76">
        <v>-17000</v>
      </c>
      <c r="Y189" s="6">
        <f>IF(Tabla14[[#This Row],[Venta del mes]]&gt;0,Tabla14[[#This Row],[Venta del mes]]+Tabla14[[#This Row],[Ajuste venta nueva]],0)</f>
        <v>7000</v>
      </c>
      <c r="Z189" s="6">
        <f>+Tabla14[[#This Row],[Producción para venta nueva]]-Tabla14[[#This Row],[Facturación Venta nueva]]</f>
        <v>18014.476816380527</v>
      </c>
      <c r="AA189" s="6">
        <f>IF(AND(A189=1,Tabla14[[#This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89" s="6">
        <v>0</v>
      </c>
      <c r="AC189" s="6">
        <f>IF(Tabla14[[#This Row],[Disponible stock sin venta]]&gt;0,Tabla14[[#This Row],[Disponible stock sin venta]]+Tabla14[[#This Row],[Ajuste stock sin venta]],0)</f>
        <v>0</v>
      </c>
      <c r="AD189" s="3">
        <f>IFERROR(VLOOKUP(Tabla14[[#This Row],[Llave]],[12]Hoja1!$A:$D,4,FALSE),0)</f>
        <v>0</v>
      </c>
      <c r="AE18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49000</v>
      </c>
      <c r="AF189" s="3">
        <v>40000</v>
      </c>
      <c r="AG189" s="3">
        <f>+Tabla14[[#This Row],[En puerto a facturar]]</f>
        <v>0</v>
      </c>
      <c r="AH189" s="3">
        <f>+Tabla14[[#This Row],[Facturación atraso]]</f>
        <v>15000</v>
      </c>
      <c r="AI189" s="3">
        <f>+Tabla14[[#This Row],[Plan Irrestricto (DATO)]]-Tabla14[[#This Row],[Puerto ]]-Tabla14[[#This Row],[Atraso]]</f>
        <v>25000</v>
      </c>
      <c r="AJ189" s="6">
        <f>IF(Tabla14[[#This Row],[Plan Irrestricto (DATO)]]&gt;0,SUM(Tabla14[[#This Row],[Facturación atraso]],Tabla14[[#This Row],[Facturación Venta nueva]],Tabla14[[#This Row],[Facturación stock]],Tabla14[[#This Row],[En puerto a facturar]]),0)</f>
        <v>22000</v>
      </c>
      <c r="AK189" s="3">
        <f>+Tabla14[[#This Row],[Facturación atraso]]</f>
        <v>15000</v>
      </c>
      <c r="AL189" s="3">
        <f>Tabla14[[#This Row],[Plan Ajustado]]-Tabla14[[#This Row],[ Atraso ajustado]]-Tabla14[[#This Row],[En puerto a facturar]]</f>
        <v>7000</v>
      </c>
      <c r="AM189" s="3">
        <v>0</v>
      </c>
      <c r="AN189" s="3"/>
      <c r="AO189" s="3" t="str">
        <f>IF(Tabla14[[#This Row],[Plan Ajustado]]&gt;Tabla14[[#This Row],[En puerto a facturar]],"Si","No")</f>
        <v>Si</v>
      </c>
      <c r="AP189" s="3">
        <f>IF(AND(Tabla14[[#This Row],[Plan Ajustado]]&gt;0,Tabla14[[#This Row],[Plan Ajustado]]&gt;Tabla14[[#This Row],[En puerto a facturar]]),(Tabla14[[#This Row],[Plan Ajustado]]-Tabla14[[#This Row],[En puerto a facturar]]),0)</f>
        <v>22000</v>
      </c>
      <c r="AQ189" s="3">
        <f>IF(Tabla14[[#This Row],[Necesidad]]&gt;=Tabla14[[#This Row],[Stock al día]],Tabla14[[#This Row],[Stock al día]],Tabla14[[#This Row],[Necesidad]])</f>
        <v>11168.086000000001</v>
      </c>
      <c r="AR189" s="3">
        <f>+Tabla14[[#This Row],[Necesidad]]-Tabla14[[#This Row],[Stock Plan]]</f>
        <v>10831.913999999999</v>
      </c>
      <c r="AS189" s="155">
        <f>VLOOKUP(Tabla14[[#This Row],[Sector]]&amp;Tabla14[[#This Row],[Oficina]],[8]Ponderación!$A:$H,8,FALSE)</f>
        <v>44817</v>
      </c>
      <c r="AT189" s="30">
        <f>IFERROR(VLOOKUP(Tabla14[[#This Row],[Llave]],'[6]RV plan de ventas'!$A:$F,6,FALSE),0)</f>
        <v>4.28315</v>
      </c>
      <c r="AU189" s="83">
        <f>IFERROR(VLOOKUP(Tabla14[[#This Row],[Llave]],[9]DELAY!$H:$X,17,FALSE),0)</f>
        <v>4.3107655339999997</v>
      </c>
      <c r="AV18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4.3019787731818182</v>
      </c>
      <c r="AW189" s="5">
        <f>Tabla14[[#This Row],[Pecio plan]]*Tabla14[[#This Row],[Plan Ajustado]]</f>
        <v>94643.533009999999</v>
      </c>
      <c r="AX189" s="30">
        <f>IFERROR(VLOOKUP(Tabla14[[#This Row],[Llave]],'[13]Ultimos precios facturados'!$A:$G,7,FALSE),0)</f>
        <v>4.1706834574325811</v>
      </c>
      <c r="AY18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3.1480527613587064E-2</v>
      </c>
      <c r="AZ189" s="30">
        <f>IFERROR(VLOOKUP(Tabla14[[#This Row],[Llave]],Hoja2!B:K,10,FALSE),0)</f>
        <v>4.2681797956814869</v>
      </c>
      <c r="BA18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4.3019787731818182</v>
      </c>
      <c r="BB189" s="30">
        <v>0</v>
      </c>
      <c r="BC189" s="30">
        <f>IF(Tabla14[[#This Row],[Market]]=0,Tabla14[[#This Row],[Precio Final]],Tabla14[[#This Row],[Market]])</f>
        <v>4.3019787731818182</v>
      </c>
      <c r="BD189" s="82"/>
      <c r="BE189" s="82" t="str">
        <f>IF(AND(Tabla14[[#This Row],[Atraso a facturar]]&gt;0,Tabla14[[#This Row],[En puerto a facturar]]&gt;0,Tabla14[[#This Row],[Precio Atraso]]=0),"Revisar","OK")</f>
        <v>OK</v>
      </c>
      <c r="BF189" s="82" t="str">
        <f>IF(AND(Tabla14[[#This Row],[Venta del mes]]&gt;0,Tabla14[[#This Row],[Precio venta nueva]]=0),"Revisar","OK")</f>
        <v>OK</v>
      </c>
      <c r="BG189" s="20">
        <f>IFERROR(VLOOKUP(Tabla14[[#This Row],[Llave]],'[5]Consolidación planes'!$A:$M,9,FALSE),0)</f>
        <v>0</v>
      </c>
      <c r="BH189" s="20">
        <f>IFERROR(VLOOKUP(Tabla14[[#This Row],[Llave]],'[5]Consolidación planes'!$A:$M,10,FALSE),0)</f>
        <v>0</v>
      </c>
      <c r="BI189" s="20">
        <f>IFERROR(VLOOKUP(Tabla14[[#This Row],[Llave]],'[5]Consolidación planes'!$A:$M,11,FALSE),0)</f>
        <v>0</v>
      </c>
      <c r="BJ189" s="20">
        <f>IFERROR(VLOOKUP(Tabla14[[#This Row],[Llave]],'[5]Consolidación planes'!$A:$M,12,FALSE),0)</f>
        <v>20000</v>
      </c>
      <c r="BK189" s="20">
        <f>IFERROR(VLOOKUP(Tabla14[[#This Row],[Llave]],'[5]Consolidación planes'!$A:$M,13,FALSE),0)</f>
        <v>20182</v>
      </c>
      <c r="BL189" s="20">
        <f>IFERROR(VLOOKUP(Tabla14[[#This Row],[Llave]],'[13]Base ultimos planes'!$A:$M,13,FALSE),0)</f>
        <v>24000</v>
      </c>
      <c r="BM189" s="20">
        <f>IFERROR(VLOOKUP(Tabla14[[#This Row],[Llave]],'[13]Cruce plan irrestricto'!$C:$M,10,FALSE),0)</f>
        <v>20500</v>
      </c>
      <c r="BN189" s="20">
        <f>IFERROR(VLOOKUP(Tabla14[[#This Row],[Llave]],'[13]Cruce plan irrestricto'!$C:$M,11,FALSE),0)</f>
        <v>28000</v>
      </c>
      <c r="BO189" s="80">
        <f>IFERROR(VLOOKUP(Tabla14[[#This Row],[Llave]],'[13]Base ultimos planes'!$O:$AA,8,FALSE),0)</f>
        <v>0</v>
      </c>
      <c r="BP189" s="20">
        <f>IFERROR(VLOOKUP(Tabla14[[#This Row],[Llave]],'[13]Base ultimos planes'!$O:$AA,9,FALSE),0)</f>
        <v>0</v>
      </c>
      <c r="BQ189" s="20">
        <f>IFERROR(VLOOKUP(Tabla14[[#This Row],[Llave]],'[13]Base ultimos planes'!$O:$AA,10,FALSE),0)</f>
        <v>0</v>
      </c>
      <c r="BR189" s="20">
        <f>IFERROR(VLOOKUP(Tabla14[[#This Row],[Llave]],'[13]Base ultimos planes'!$O:$AA,11,FALSE),0)</f>
        <v>45277</v>
      </c>
      <c r="BS189" s="20">
        <f>IFERROR(VLOOKUP(Tabla14[[#This Row],[Llave]],'[13]Base ultimos planes'!$O:$AA,12,FALSE),0)</f>
        <v>89258</v>
      </c>
      <c r="BT189" s="20">
        <f>IFERROR(VLOOKUP(Tabla14[[#This Row],[Llave]],'[13]Base ultimos planes'!$O:$AA,13,FALSE),0)</f>
        <v>101421</v>
      </c>
      <c r="BU189" s="20"/>
      <c r="BV189" s="20">
        <f>Tabla14[[#This Row],[ RV Producción mes n+1]]-Tabla14[[#This Row],[Producción disponible]]+Tabla14[[#This Row],[Saldo Volumen disponible]]</f>
        <v>24034.402341285742</v>
      </c>
      <c r="BW189" s="20">
        <f>IFERROR(VLOOKUP(Tabla14[[#This Row],[Llave]],[14]Hoja2!$J:$N,4,FALSE),0)</f>
        <v>22500</v>
      </c>
      <c r="BX189" s="20">
        <f>+Tabla14[[#This Row],[Asignación mes n+1]]*Tabla14[[#This Row],[% Uti. producción]]</f>
        <v>17401.248849600324</v>
      </c>
      <c r="BY189" s="20">
        <f>+Tabla14[[#This Row],[Ponderación mes n+1]]+Tabla14[[#This Row],[Saldo mes n-1]]</f>
        <v>41435.65119088607</v>
      </c>
      <c r="BZ189" s="20">
        <f>+Tabla14[[#This Row],[Asignación mes n+1]]-Tabla14[[#This Row],[Ponderación mes n+1]]</f>
        <v>5098.7511503996757</v>
      </c>
      <c r="CA189" s="20">
        <f>IFERROR(VLOOKUP(Tabla14[[#This Row],[Llave]],[14]Hoja2!$J:$N,5,FALSE),0)</f>
        <v>22500</v>
      </c>
      <c r="CB189" s="20">
        <f>+Tabla14[[#This Row],[Asignación mes n+2]]*Tabla14[[#This Row],[% Uti. producción]]</f>
        <v>17401.248849600324</v>
      </c>
      <c r="CC189" s="20">
        <f>+Tabla14[[#This Row],[Saldo mes n+2]]+Tabla14[[#This Row],[Ponderación mes n+2]]</f>
        <v>22500</v>
      </c>
      <c r="CD189" s="20">
        <f>+Tabla14[[#This Row],[Asignación mes n+2]]-Tabla14[[#This Row],[Ponderación mes n+2]]</f>
        <v>5098.7511503996757</v>
      </c>
    </row>
    <row r="190" spans="1:82" ht="16" x14ac:dyDescent="0.2">
      <c r="A190">
        <v>1</v>
      </c>
      <c r="B190" t="str">
        <f>Tabla14[[#This Row],[Oficina]]&amp;Tabla14[[#This Row],[Material]]</f>
        <v>Exportacion Directa1022987</v>
      </c>
      <c r="C190" t="s">
        <v>6</v>
      </c>
      <c r="D190" t="s">
        <v>88</v>
      </c>
      <c r="E190">
        <v>1022987</v>
      </c>
      <c r="F190" t="s">
        <v>295</v>
      </c>
      <c r="G190" t="s">
        <v>67</v>
      </c>
      <c r="H190" t="s">
        <v>68</v>
      </c>
      <c r="I190" s="7">
        <f>IFERROR(IF(Tabla14[[#This Row],[Oficina]]=$I$7,VLOOKUP(Tabla14[[#This Row],[Material]],'[6]RV Producción'!$Y:$AA,3,FALSE),VLOOKUP(Tabla14[[#This Row],[Llave]],'[6]RV Producción'!$C:$G,5,FALSE)),0)</f>
        <v>38592</v>
      </c>
      <c r="J190" s="7">
        <f>IFERROR(IF(Tabla14[[#This Row],[Oficina]]=$I$7,VLOOKUP(Tabla14[[#This Row],[Llave]],'[7]Shangai (Tomas)'!$A:$F,6,FALSE),VLOOKUP(Tabla14[[#This Row],[Llave]],'[6]RV plan de ventas'!$A:$E,5,FALSE)),0)</f>
        <v>24000</v>
      </c>
      <c r="K190" s="8">
        <f>IFERROR(VLOOKUP(Tabla14[[#This Row],[Sector]]&amp;Tabla14[[#This Row],[Oficina]],[8]Ponderación!$A$3:$G$22,7,FALSE),0)</f>
        <v>0.77338883776001444</v>
      </c>
      <c r="L190" s="7">
        <f>+Tabla14[[#This Row],[ RV Producción mes n+1]]*Tabla14[[#This Row],[% Uti. producción]]</f>
        <v>29846.622026834477</v>
      </c>
      <c r="M190" s="7">
        <f>IFERROR(VLOOKUP(Tabla14[[#This Row],[Material]],'[9]TD Stock'!$B:$C,2,FALSE),0)</f>
        <v>19880</v>
      </c>
      <c r="N190" s="7">
        <f>IFERROR(VLOOKUP(Tabla14[[#This Row],[Material]],'[10]Consolidado planificación'!$B:$C,2,FALSE),0)</f>
        <v>9948.5253037473722</v>
      </c>
      <c r="O190" s="7">
        <f>IFERROR(VLOOKUP(Tabla14[[#This Row],[Llave]],[11]Hoja2!$D:$G,4,FALSE),0)</f>
        <v>0</v>
      </c>
      <c r="P190" s="14">
        <f>SUM(Tabla14[[#This Row],[Producción disponible]],Tabla14[[#This Row],[Stock al día]],(Tabla14[[#This Row],[Por producir mes N]]*0.9))-Tabla14[[#This Row],[Producción por despachar mes N]]</f>
        <v>58680.294800207113</v>
      </c>
      <c r="Q190" s="7">
        <f>IFERROR(VLOOKUP(Tabla14[[#This Row],[Llave]],[9]DELAY!$A:$D,4,FALSE),0)</f>
        <v>48000</v>
      </c>
      <c r="R190" s="9">
        <v>23000</v>
      </c>
      <c r="S190" s="5">
        <f t="shared" si="7"/>
        <v>48000</v>
      </c>
      <c r="T190" s="76">
        <v>-24000</v>
      </c>
      <c r="U190" s="5">
        <f>+Tabla14[[#This Row],[Atraso a facturar]]+Tabla14[[#This Row],[Ajuste atraso]]</f>
        <v>24000</v>
      </c>
      <c r="V190" s="3">
        <f>+Tabla14[[#This Row],[Total disponible]]-Tabla14[[#This Row],[Facturación atraso]]</f>
        <v>34680.294800207113</v>
      </c>
      <c r="W190" s="6">
        <f>IFERROR(IF(AND(V190&gt;R190,J190&gt;=R190),ROUNDDOWN((Tabla14[[#This Row],[Producción para venta nueva]])/R190,0)*R190,0),0)</f>
        <v>23000</v>
      </c>
      <c r="X190" s="76">
        <v>-23000</v>
      </c>
      <c r="Y190" s="6">
        <f>IF(Tabla14[[#This Row],[Venta del mes]]&gt;0,Tabla14[[#This Row],[Venta del mes]]+Tabla14[[#This Row],[Ajuste venta nueva]],0)</f>
        <v>0</v>
      </c>
      <c r="Z190" s="6">
        <f>+Tabla14[[#This Row],[Producción para venta nueva]]-Tabla14[[#This Row],[Facturación Venta nueva]]</f>
        <v>34680.294800207113</v>
      </c>
      <c r="AA190" s="6">
        <f>IF(AND(A190=1,Tabla14[[#This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90" s="6">
        <v>0</v>
      </c>
      <c r="AC190" s="6">
        <f>IF(Tabla14[[#This Row],[Disponible stock sin venta]]&gt;0,Tabla14[[#This Row],[Disponible stock sin venta]]+Tabla14[[#This Row],[Ajuste stock sin venta]],0)</f>
        <v>0</v>
      </c>
      <c r="AD190" s="3">
        <f>IFERROR(VLOOKUP(Tabla14[[#This Row],[Llave]],[12]Hoja1!$A:$D,4,FALSE),0)</f>
        <v>0</v>
      </c>
      <c r="AE19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71000</v>
      </c>
      <c r="AF190" s="3">
        <v>48000</v>
      </c>
      <c r="AG190" s="3">
        <f>+Tabla14[[#This Row],[En puerto a facturar]]</f>
        <v>0</v>
      </c>
      <c r="AH190" s="3">
        <f>+Tabla14[[#This Row],[Facturación atraso]]</f>
        <v>24000</v>
      </c>
      <c r="AI190" s="3">
        <f>+Tabla14[[#This Row],[Plan Irrestricto (DATO)]]-Tabla14[[#This Row],[Puerto ]]-Tabla14[[#This Row],[Atraso]]</f>
        <v>24000</v>
      </c>
      <c r="AJ190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190" s="3">
        <f>+Tabla14[[#This Row],[Facturación atraso]]</f>
        <v>24000</v>
      </c>
      <c r="AL190" s="3">
        <f>Tabla14[[#This Row],[Plan Ajustado]]-Tabla14[[#This Row],[ Atraso ajustado]]-Tabla14[[#This Row],[En puerto a facturar]]</f>
        <v>0</v>
      </c>
      <c r="AM190" s="3">
        <v>0</v>
      </c>
      <c r="AN190" s="3"/>
      <c r="AO190" s="3" t="str">
        <f>IF(Tabla14[[#This Row],[Plan Ajustado]]&gt;Tabla14[[#This Row],[En puerto a facturar]],"Si","No")</f>
        <v>Si</v>
      </c>
      <c r="AP190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190" s="3">
        <f>IF(Tabla14[[#This Row],[Necesidad]]&gt;=Tabla14[[#This Row],[Stock al día]],Tabla14[[#This Row],[Stock al día]],Tabla14[[#This Row],[Necesidad]])</f>
        <v>19880</v>
      </c>
      <c r="AR190" s="3">
        <f>+Tabla14[[#This Row],[Necesidad]]-Tabla14[[#This Row],[Stock Plan]]</f>
        <v>4120</v>
      </c>
      <c r="AS190" s="155">
        <f>VLOOKUP(Tabla14[[#This Row],[Sector]]&amp;Tabla14[[#This Row],[Oficina]],[8]Ponderación!$A:$H,8,FALSE)</f>
        <v>44817</v>
      </c>
      <c r="AT190" s="30">
        <f>IFERROR(VLOOKUP(Tabla14[[#This Row],[Llave]],'[6]RV plan de ventas'!$A:$F,6,FALSE),0)</f>
        <v>1.8890416666666701</v>
      </c>
      <c r="AU190" s="83">
        <f>IFERROR(VLOOKUP(Tabla14[[#This Row],[Llave]],[9]DELAY!$H:$X,17,FALSE),0)</f>
        <v>1.8943382833333351</v>
      </c>
      <c r="AV19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1.8943382833333351</v>
      </c>
      <c r="AW190" s="5">
        <f>Tabla14[[#This Row],[Pecio plan]]*Tabla14[[#This Row],[Plan Ajustado]]</f>
        <v>45464.11880000004</v>
      </c>
      <c r="AX190" s="30">
        <f>IFERROR(VLOOKUP(Tabla14[[#This Row],[Llave]],'[13]Ultimos precios facturados'!$A:$G,7,FALSE),0)</f>
        <v>1.2680407029761904</v>
      </c>
      <c r="AY19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0.49390968198984103</v>
      </c>
      <c r="AZ190" s="30">
        <f>IFERROR(VLOOKUP(Tabla14[[#This Row],[Llave]],Hoja2!B:K,10,FALSE),0)</f>
        <v>1.620076675</v>
      </c>
      <c r="BA19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1.8943382833333351</v>
      </c>
      <c r="BB190" s="30">
        <v>0</v>
      </c>
      <c r="BC190" s="30">
        <f>IF(Tabla14[[#This Row],[Market]]=0,Tabla14[[#This Row],[Precio Final]],Tabla14[[#This Row],[Market]])</f>
        <v>1.8943382833333351</v>
      </c>
      <c r="BD190" s="82"/>
      <c r="BE190" s="82" t="str">
        <f>IF(AND(Tabla14[[#This Row],[Atraso a facturar]]&gt;0,Tabla14[[#This Row],[En puerto a facturar]]&gt;0,Tabla14[[#This Row],[Precio Atraso]]=0),"Revisar","OK")</f>
        <v>OK</v>
      </c>
      <c r="BF190" s="82" t="str">
        <f>IF(AND(Tabla14[[#This Row],[Venta del mes]]&gt;0,Tabla14[[#This Row],[Precio venta nueva]]=0),"Revisar","OK")</f>
        <v>OK</v>
      </c>
      <c r="BG190" s="20">
        <f>IFERROR(VLOOKUP(Tabla14[[#This Row],[Llave]],'[5]Consolidación planes'!$A:$M,9,FALSE),0)</f>
        <v>0</v>
      </c>
      <c r="BH190" s="20">
        <f>IFERROR(VLOOKUP(Tabla14[[#This Row],[Llave]],'[5]Consolidación planes'!$A:$M,10,FALSE),0)</f>
        <v>30000</v>
      </c>
      <c r="BI190" s="20">
        <f>IFERROR(VLOOKUP(Tabla14[[#This Row],[Llave]],'[5]Consolidación planes'!$A:$M,11,FALSE),0)</f>
        <v>24000</v>
      </c>
      <c r="BJ190" s="20">
        <f>IFERROR(VLOOKUP(Tabla14[[#This Row],[Llave]],'[5]Consolidación planes'!$A:$M,12,FALSE),0)</f>
        <v>48000</v>
      </c>
      <c r="BK190" s="20">
        <f>IFERROR(VLOOKUP(Tabla14[[#This Row],[Llave]],'[5]Consolidación planes'!$A:$M,13,FALSE),0)</f>
        <v>24000</v>
      </c>
      <c r="BL190" s="20">
        <f>IFERROR(VLOOKUP(Tabla14[[#This Row],[Llave]],'[13]Base ultimos planes'!$A:$M,13,FALSE),0)</f>
        <v>24000</v>
      </c>
      <c r="BM190" s="20">
        <f>IFERROR(VLOOKUP(Tabla14[[#This Row],[Llave]],'[13]Cruce plan irrestricto'!$C:$M,10,FALSE),0)</f>
        <v>24000</v>
      </c>
      <c r="BN190" s="20">
        <f>IFERROR(VLOOKUP(Tabla14[[#This Row],[Llave]],'[13]Cruce plan irrestricto'!$C:$M,11,FALSE),0)</f>
        <v>48000</v>
      </c>
      <c r="BO190" s="80">
        <f>IFERROR(VLOOKUP(Tabla14[[#This Row],[Llave]],'[13]Base ultimos planes'!$O:$AA,8,FALSE),0)</f>
        <v>0</v>
      </c>
      <c r="BP190" s="20">
        <f>IFERROR(VLOOKUP(Tabla14[[#This Row],[Llave]],'[13]Base ultimos planes'!$O:$AA,9,FALSE),0)</f>
        <v>39945</v>
      </c>
      <c r="BQ190" s="20">
        <f>IFERROR(VLOOKUP(Tabla14[[#This Row],[Llave]],'[13]Base ultimos planes'!$O:$AA,10,FALSE),0)</f>
        <v>32309</v>
      </c>
      <c r="BR190" s="20">
        <f>IFERROR(VLOOKUP(Tabla14[[#This Row],[Llave]],'[13]Base ultimos planes'!$O:$AA,11,FALSE),0)</f>
        <v>64234</v>
      </c>
      <c r="BS190" s="20">
        <f>IFERROR(VLOOKUP(Tabla14[[#This Row],[Llave]],'[13]Base ultimos planes'!$O:$AA,12,FALSE),0)</f>
        <v>31541</v>
      </c>
      <c r="BT190" s="20">
        <f>IFERROR(VLOOKUP(Tabla14[[#This Row],[Llave]],'[13]Base ultimos planes'!$O:$AA,13,FALSE),0)</f>
        <v>32086</v>
      </c>
      <c r="BU190" s="20"/>
      <c r="BV190" s="20">
        <f>Tabla14[[#This Row],[ RV Producción mes n+1]]-Tabla14[[#This Row],[Producción disponible]]+Tabla14[[#This Row],[Saldo Volumen disponible]]</f>
        <v>43425.672773372637</v>
      </c>
      <c r="BW190" s="20">
        <f>IFERROR(VLOOKUP(Tabla14[[#This Row],[Llave]],[14]Hoja2!$J:$N,4,FALSE),0)</f>
        <v>43200</v>
      </c>
      <c r="BX190" s="20">
        <f>+Tabla14[[#This Row],[Asignación mes n+1]]*Tabla14[[#This Row],[% Uti. producción]]</f>
        <v>33410.397791232623</v>
      </c>
      <c r="BY190" s="20">
        <f>+Tabla14[[#This Row],[Ponderación mes n+1]]+Tabla14[[#This Row],[Saldo mes n-1]]</f>
        <v>76836.070564605267</v>
      </c>
      <c r="BZ190" s="20">
        <f>+Tabla14[[#This Row],[Asignación mes n+1]]-Tabla14[[#This Row],[Ponderación mes n+1]]</f>
        <v>9789.6022087673773</v>
      </c>
      <c r="CA190" s="20">
        <f>IFERROR(VLOOKUP(Tabla14[[#This Row],[Llave]],[14]Hoja2!$J:$N,5,FALSE),0)</f>
        <v>43200</v>
      </c>
      <c r="CB190" s="20">
        <f>+Tabla14[[#This Row],[Asignación mes n+2]]*Tabla14[[#This Row],[% Uti. producción]]</f>
        <v>33410.397791232623</v>
      </c>
      <c r="CC190" s="20">
        <f>+Tabla14[[#This Row],[Saldo mes n+2]]+Tabla14[[#This Row],[Ponderación mes n+2]]</f>
        <v>43200</v>
      </c>
      <c r="CD190" s="20">
        <f>+Tabla14[[#This Row],[Asignación mes n+2]]-Tabla14[[#This Row],[Ponderación mes n+2]]</f>
        <v>9789.6022087673773</v>
      </c>
    </row>
    <row r="191" spans="1:82" ht="16" x14ac:dyDescent="0.2">
      <c r="A191">
        <v>1</v>
      </c>
      <c r="B191" t="str">
        <f>Tabla14[[#This Row],[Oficina]]&amp;Tabla14[[#This Row],[Material]]</f>
        <v>Exportacion Directa1022990</v>
      </c>
      <c r="C191" t="s">
        <v>6</v>
      </c>
      <c r="D191" t="s">
        <v>88</v>
      </c>
      <c r="E191">
        <v>1022990</v>
      </c>
      <c r="F191" t="s">
        <v>127</v>
      </c>
      <c r="G191" t="s">
        <v>56</v>
      </c>
      <c r="H191" t="s">
        <v>57</v>
      </c>
      <c r="I191" s="7">
        <f>IFERROR(IF(Tabla14[[#This Row],[Oficina]]=$I$7,VLOOKUP(Tabla14[[#This Row],[Material]],'[6]RV Producción'!$Y:$AA,3,FALSE),VLOOKUP(Tabla14[[#This Row],[Llave]],'[6]RV Producción'!$C:$G,5,FALSE)),0)</f>
        <v>0</v>
      </c>
      <c r="J191" s="7">
        <f>IFERROR(IF(Tabla14[[#This Row],[Oficina]]=$I$7,VLOOKUP(Tabla14[[#This Row],[Llave]],'[7]Shangai (Tomas)'!$A:$F,6,FALSE),VLOOKUP(Tabla14[[#This Row],[Llave]],'[6]RV plan de ventas'!$A:$E,5,FALSE)),0)</f>
        <v>0</v>
      </c>
      <c r="K191" s="8">
        <f>IFERROR(VLOOKUP(Tabla14[[#This Row],[Sector]]&amp;Tabla14[[#This Row],[Oficina]],[8]Ponderación!$A$3:$G$22,7,FALSE),0)</f>
        <v>0.77338883776001444</v>
      </c>
      <c r="L191" s="7">
        <f>+Tabla14[[#This Row],[ RV Producción mes n+1]]*Tabla14[[#This Row],[% Uti. producción]]</f>
        <v>0</v>
      </c>
      <c r="M191" s="7">
        <f>IFERROR(VLOOKUP(Tabla14[[#This Row],[Material]],'[9]TD Stock'!$B:$C,2,FALSE),0)</f>
        <v>6984</v>
      </c>
      <c r="N191" s="7">
        <f>IFERROR(VLOOKUP(Tabla14[[#This Row],[Material]],'[10]Consolidado planificación'!$B:$C,2,FALSE),0)</f>
        <v>0</v>
      </c>
      <c r="O191" s="7">
        <f>IFERROR(VLOOKUP(Tabla14[[#This Row],[Llave]],[11]Hoja2!$D:$G,4,FALSE),0)</f>
        <v>0</v>
      </c>
      <c r="P191" s="14">
        <f>SUM(Tabla14[[#This Row],[Producción disponible]],Tabla14[[#This Row],[Stock al día]],(Tabla14[[#This Row],[Por producir mes N]]*0.9))-Tabla14[[#This Row],[Producción por despachar mes N]]</f>
        <v>6984</v>
      </c>
      <c r="Q191" s="7">
        <f>IFERROR(VLOOKUP(Tabla14[[#This Row],[Llave]],[9]DELAY!$A:$D,4,FALSE),0)</f>
        <v>0</v>
      </c>
      <c r="R191" s="9">
        <v>3571.4285714285716</v>
      </c>
      <c r="S191" s="5">
        <f t="shared" si="7"/>
        <v>0</v>
      </c>
      <c r="T191" s="76">
        <v>0</v>
      </c>
      <c r="U191" s="5">
        <f>+Tabla14[[#This Row],[Atraso a facturar]]+Tabla14[[#This Row],[Ajuste atraso]]</f>
        <v>0</v>
      </c>
      <c r="V191" s="3">
        <f>+Tabla14[[#This Row],[Total disponible]]-Tabla14[[#This Row],[Facturación atraso]]</f>
        <v>6984</v>
      </c>
      <c r="W191" s="6">
        <f>IFERROR(IF(AND(V191&gt;R191,J191&gt;=R191),ROUNDDOWN((Tabla14[[#This Row],[Producción para venta nueva]])/R191,0)*R191,0),0)</f>
        <v>0</v>
      </c>
      <c r="X191" s="76">
        <v>0</v>
      </c>
      <c r="Y191" s="6">
        <f>IF(Tabla14[[#This Row],[Venta del mes]]&gt;0,Tabla14[[#This Row],[Venta del mes]]+Tabla14[[#This Row],[Ajuste venta nueva]],0)</f>
        <v>0</v>
      </c>
      <c r="Z191" s="6">
        <f>+Tabla14[[#This Row],[Producción para venta nueva]]-Tabla14[[#This Row],[Facturación Venta nueva]]</f>
        <v>6984</v>
      </c>
      <c r="AA191" s="6">
        <f>IF(AND(A191=1,Tabla14[[#This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3571.4285714285716</v>
      </c>
      <c r="AB191" s="6">
        <v>-3571</v>
      </c>
      <c r="AC191" s="6">
        <f>IF(Tabla14[[#This Row],[Disponible stock sin venta]]&gt;0,Tabla14[[#This Row],[Disponible stock sin venta]]+Tabla14[[#This Row],[Ajuste stock sin venta]],0)</f>
        <v>0.4285714285715585</v>
      </c>
      <c r="AD191" s="3">
        <f>IFERROR(VLOOKUP(Tabla14[[#This Row],[Llave]],[12]Hoja1!$A:$D,4,FALSE),0)</f>
        <v>0</v>
      </c>
      <c r="AE19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3571.4285714285716</v>
      </c>
      <c r="AF191" s="3">
        <v>3571.4285714285716</v>
      </c>
      <c r="AG191" s="3">
        <f>+Tabla14[[#This Row],[En puerto a facturar]]</f>
        <v>0</v>
      </c>
      <c r="AH191" s="3">
        <f>+Tabla14[[#This Row],[Facturación atraso]]</f>
        <v>0</v>
      </c>
      <c r="AI191" s="3">
        <f>+Tabla14[[#This Row],[Plan Irrestricto (DATO)]]-Tabla14[[#This Row],[Puerto ]]-Tabla14[[#This Row],[Atraso]]</f>
        <v>3571.4285714285716</v>
      </c>
      <c r="AJ191" s="6">
        <f>IF(Tabla14[[#This Row],[Plan Irrestricto (DATO)]]&gt;0,SUM(Tabla14[[#This Row],[Facturación atraso]],Tabla14[[#This Row],[Facturación Venta nueva]],Tabla14[[#This Row],[Facturación stock]],Tabla14[[#This Row],[En puerto a facturar]]),0)</f>
        <v>0.4285714285715585</v>
      </c>
      <c r="AK191" s="3">
        <f>+Tabla14[[#This Row],[Facturación atraso]]</f>
        <v>0</v>
      </c>
      <c r="AL191" s="3">
        <f>Tabla14[[#This Row],[Plan Ajustado]]-Tabla14[[#This Row],[ Atraso ajustado]]-Tabla14[[#This Row],[En puerto a facturar]]</f>
        <v>0.4285714285715585</v>
      </c>
      <c r="AM191" s="3">
        <v>0</v>
      </c>
      <c r="AN191" s="3"/>
      <c r="AO191" s="3" t="str">
        <f>IF(Tabla14[[#This Row],[Plan Ajustado]]&gt;Tabla14[[#This Row],[En puerto a facturar]],"Si","No")</f>
        <v>Si</v>
      </c>
      <c r="AP191" s="3">
        <f>IF(AND(Tabla14[[#This Row],[Plan Ajustado]]&gt;0,Tabla14[[#This Row],[Plan Ajustado]]&gt;Tabla14[[#This Row],[En puerto a facturar]]),(Tabla14[[#This Row],[Plan Ajustado]]-Tabla14[[#This Row],[En puerto a facturar]]),0)</f>
        <v>0.4285714285715585</v>
      </c>
      <c r="AQ191" s="3">
        <f>IF(Tabla14[[#This Row],[Necesidad]]&gt;=Tabla14[[#This Row],[Stock al día]],Tabla14[[#This Row],[Stock al día]],Tabla14[[#This Row],[Necesidad]])</f>
        <v>0.4285714285715585</v>
      </c>
      <c r="AR191" s="3">
        <f>+Tabla14[[#This Row],[Necesidad]]-Tabla14[[#This Row],[Stock Plan]]</f>
        <v>0</v>
      </c>
      <c r="AS191" s="155">
        <f>VLOOKUP(Tabla14[[#This Row],[Sector]]&amp;Tabla14[[#This Row],[Oficina]],[8]Ponderación!$A:$H,8,FALSE)</f>
        <v>44817</v>
      </c>
      <c r="AT191" s="30">
        <f>IFERROR(VLOOKUP(Tabla14[[#This Row],[Llave]],'[6]RV plan de ventas'!$A:$F,6,FALSE),0)</f>
        <v>0</v>
      </c>
      <c r="AU191" s="83">
        <f>IFERROR(VLOOKUP(Tabla14[[#This Row],[Llave]],[9]DELAY!$H:$X,17,FALSE),0)</f>
        <v>0</v>
      </c>
      <c r="AV19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91" s="5">
        <f>Tabla14[[#This Row],[Pecio plan]]*Tabla14[[#This Row],[Plan Ajustado]]</f>
        <v>2.1424453147499798</v>
      </c>
      <c r="AX191" s="30">
        <f>IFERROR(VLOOKUP(Tabla14[[#This Row],[Llave]],'[13]Ultimos precios facturados'!$A:$G,7,FALSE),0)</f>
        <v>4.9990390677484369</v>
      </c>
      <c r="AY19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91" s="30">
        <f>IFERROR(VLOOKUP(Tabla14[[#This Row],[Llave]],Hoja2!B:K,10,FALSE),0)</f>
        <v>0</v>
      </c>
      <c r="BA19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4.9990390677484369</v>
      </c>
      <c r="BB191" s="30">
        <v>0</v>
      </c>
      <c r="BC191" s="30">
        <f>IF(Tabla14[[#This Row],[Market]]=0,Tabla14[[#This Row],[Precio Final]],Tabla14[[#This Row],[Market]])</f>
        <v>4.9990390677484369</v>
      </c>
      <c r="BD191" s="82"/>
      <c r="BE191" s="82" t="str">
        <f>IF(AND(Tabla14[[#This Row],[Atraso a facturar]]&gt;0,Tabla14[[#This Row],[En puerto a facturar]]&gt;0,Tabla14[[#This Row],[Precio Atraso]]=0),"Revisar","OK")</f>
        <v>OK</v>
      </c>
      <c r="BF191" s="82" t="str">
        <f>IF(AND(Tabla14[[#This Row],[Venta del mes]]&gt;0,Tabla14[[#This Row],[Precio venta nueva]]=0),"Revisar","OK")</f>
        <v>OK</v>
      </c>
      <c r="BG191" s="20">
        <f>IFERROR(VLOOKUP(Tabla14[[#This Row],[Llave]],'[5]Consolidación planes'!$A:$M,9,FALSE),0)</f>
        <v>10000</v>
      </c>
      <c r="BH191" s="20">
        <f>IFERROR(VLOOKUP(Tabla14[[#This Row],[Llave]],'[5]Consolidación planes'!$A:$M,10,FALSE),0)</f>
        <v>20000</v>
      </c>
      <c r="BI191" s="20">
        <f>IFERROR(VLOOKUP(Tabla14[[#This Row],[Llave]],'[5]Consolidación planes'!$A:$M,11,FALSE),0)</f>
        <v>13000</v>
      </c>
      <c r="BJ191" s="20">
        <f>IFERROR(VLOOKUP(Tabla14[[#This Row],[Llave]],'[5]Consolidación planes'!$A:$M,12,FALSE),0)</f>
        <v>0</v>
      </c>
      <c r="BK191" s="20">
        <f>IFERROR(VLOOKUP(Tabla14[[#This Row],[Llave]],'[5]Consolidación planes'!$A:$M,13,FALSE),0)</f>
        <v>0</v>
      </c>
      <c r="BL191" s="20">
        <f>IFERROR(VLOOKUP(Tabla14[[#This Row],[Llave]],'[13]Base ultimos planes'!$A:$M,13,FALSE),0)</f>
        <v>0</v>
      </c>
      <c r="BM191" s="20">
        <f>IFERROR(VLOOKUP(Tabla14[[#This Row],[Llave]],'[13]Cruce plan irrestricto'!$C:$M,10,FALSE),0)</f>
        <v>0</v>
      </c>
      <c r="BN191" s="20">
        <f>IFERROR(VLOOKUP(Tabla14[[#This Row],[Llave]],'[13]Cruce plan irrestricto'!$C:$M,11,FALSE),0)</f>
        <v>0</v>
      </c>
      <c r="BO191" s="80">
        <f>IFERROR(VLOOKUP(Tabla14[[#This Row],[Llave]],'[13]Base ultimos planes'!$O:$AA,8,FALSE),0)</f>
        <v>49521.519800000002</v>
      </c>
      <c r="BP191" s="20">
        <f>IFERROR(VLOOKUP(Tabla14[[#This Row],[Llave]],'[13]Base ultimos planes'!$O:$AA,9,FALSE),0)</f>
        <v>99032</v>
      </c>
      <c r="BQ191" s="20">
        <f>IFERROR(VLOOKUP(Tabla14[[#This Row],[Llave]],'[13]Base ultimos planes'!$O:$AA,10,FALSE),0)</f>
        <v>64807</v>
      </c>
      <c r="BR191" s="20">
        <f>IFERROR(VLOOKUP(Tabla14[[#This Row],[Llave]],'[13]Base ultimos planes'!$O:$AA,11,FALSE),0)</f>
        <v>0</v>
      </c>
      <c r="BS191" s="20">
        <f>IFERROR(VLOOKUP(Tabla14[[#This Row],[Llave]],'[13]Base ultimos planes'!$O:$AA,12,FALSE),0)</f>
        <v>0</v>
      </c>
      <c r="BT191" s="20">
        <f>IFERROR(VLOOKUP(Tabla14[[#This Row],[Llave]],'[13]Base ultimos planes'!$O:$AA,13,FALSE),0)</f>
        <v>0</v>
      </c>
      <c r="BU191" s="20"/>
      <c r="BV191" s="20">
        <f>Tabla14[[#This Row],[ RV Producción mes n+1]]-Tabla14[[#This Row],[Producción disponible]]+Tabla14[[#This Row],[Saldo Volumen disponible]]</f>
        <v>6984</v>
      </c>
      <c r="BW191" s="20">
        <f>IFERROR(VLOOKUP(Tabla14[[#This Row],[Llave]],[14]Hoja2!$J:$N,4,FALSE),0)</f>
        <v>0</v>
      </c>
      <c r="BX191" s="20">
        <f>+Tabla14[[#This Row],[Asignación mes n+1]]*Tabla14[[#This Row],[% Uti. producción]]</f>
        <v>0</v>
      </c>
      <c r="BY191" s="20">
        <f>+Tabla14[[#This Row],[Ponderación mes n+1]]+Tabla14[[#This Row],[Saldo mes n-1]]</f>
        <v>6984</v>
      </c>
      <c r="BZ191" s="20">
        <f>+Tabla14[[#This Row],[Asignación mes n+1]]-Tabla14[[#This Row],[Ponderación mes n+1]]</f>
        <v>0</v>
      </c>
      <c r="CA191" s="20">
        <f>IFERROR(VLOOKUP(Tabla14[[#This Row],[Llave]],[14]Hoja2!$J:$N,5,FALSE),0)</f>
        <v>0</v>
      </c>
      <c r="CB191" s="20">
        <f>+Tabla14[[#This Row],[Asignación mes n+2]]*Tabla14[[#This Row],[% Uti. producción]]</f>
        <v>0</v>
      </c>
      <c r="CC191" s="20">
        <f>+Tabla14[[#This Row],[Saldo mes n+2]]+Tabla14[[#This Row],[Ponderación mes n+2]]</f>
        <v>0</v>
      </c>
      <c r="CD191" s="20">
        <f>+Tabla14[[#This Row],[Asignación mes n+2]]-Tabla14[[#This Row],[Ponderación mes n+2]]</f>
        <v>0</v>
      </c>
    </row>
    <row r="192" spans="1:82" ht="16" x14ac:dyDescent="0.2">
      <c r="A192">
        <v>1</v>
      </c>
      <c r="B192" t="str">
        <f>Tabla14[[#This Row],[Oficina]]&amp;Tabla14[[#This Row],[Material]]</f>
        <v>Exportacion Directa1023051</v>
      </c>
      <c r="C192" t="s">
        <v>6</v>
      </c>
      <c r="D192" t="s">
        <v>88</v>
      </c>
      <c r="E192">
        <v>1023051</v>
      </c>
      <c r="F192" t="s">
        <v>292</v>
      </c>
      <c r="G192" t="s">
        <v>50</v>
      </c>
      <c r="H192" t="s">
        <v>110</v>
      </c>
      <c r="I192" s="7">
        <f>IFERROR(IF(Tabla14[[#This Row],[Oficina]]=$I$7,VLOOKUP(Tabla14[[#This Row],[Material]],'[6]RV Producción'!$Y:$AA,3,FALSE),VLOOKUP(Tabla14[[#This Row],[Llave]],'[6]RV Producción'!$C:$G,5,FALSE)),0)</f>
        <v>0</v>
      </c>
      <c r="J192" s="7">
        <f>IFERROR(IF(Tabla14[[#This Row],[Oficina]]=$I$7,VLOOKUP(Tabla14[[#This Row],[Llave]],'[7]Shangai (Tomas)'!$A:$F,6,FALSE),VLOOKUP(Tabla14[[#This Row],[Llave]],'[6]RV plan de ventas'!$A:$E,5,FALSE)),0)</f>
        <v>0</v>
      </c>
      <c r="K192" s="8">
        <f>IFERROR(VLOOKUP(Tabla14[[#This Row],[Sector]]&amp;Tabla14[[#This Row],[Oficina]],[8]Ponderación!$A$3:$G$22,7,FALSE),0)</f>
        <v>0.77338883776001444</v>
      </c>
      <c r="L192" s="7">
        <f>+Tabla14[[#This Row],[ RV Producción mes n+1]]*Tabla14[[#This Row],[% Uti. producción]]</f>
        <v>0</v>
      </c>
      <c r="M192" s="7">
        <f>IFERROR(VLOOKUP(Tabla14[[#This Row],[Material]],'[9]TD Stock'!$B:$C,2,FALSE),0)</f>
        <v>6509.0389999999989</v>
      </c>
      <c r="N192" s="7">
        <f>IFERROR(VLOOKUP(Tabla14[[#This Row],[Material]],'[10]Consolidado planificación'!$B:$C,2,FALSE),0)</f>
        <v>0</v>
      </c>
      <c r="O192" s="7">
        <f>IFERROR(VLOOKUP(Tabla14[[#This Row],[Llave]],[11]Hoja2!$D:$G,4,FALSE),0)</f>
        <v>0</v>
      </c>
      <c r="P192" s="14">
        <f>SUM(Tabla14[[#This Row],[Producción disponible]],Tabla14[[#This Row],[Stock al día]],(Tabla14[[#This Row],[Por producir mes N]]*0.9))-Tabla14[[#This Row],[Producción por despachar mes N]]</f>
        <v>6509.0389999999989</v>
      </c>
      <c r="Q192" s="7">
        <f>IFERROR(VLOOKUP(Tabla14[[#This Row],[Llave]],[9]DELAY!$A:$D,4,FALSE),0)</f>
        <v>2000</v>
      </c>
      <c r="R192" s="9">
        <v>3000</v>
      </c>
      <c r="S192" s="5">
        <f t="shared" si="7"/>
        <v>2000</v>
      </c>
      <c r="T192" s="76">
        <v>0</v>
      </c>
      <c r="U192" s="5">
        <f>+Tabla14[[#This Row],[Atraso a facturar]]+Tabla14[[#This Row],[Ajuste atraso]]</f>
        <v>2000</v>
      </c>
      <c r="V192" s="3">
        <f>+Tabla14[[#This Row],[Total disponible]]-Tabla14[[#This Row],[Facturación atraso]]</f>
        <v>4509.0389999999989</v>
      </c>
      <c r="W192" s="6">
        <f>IFERROR(IF(AND(V192&gt;R192,J192&gt;=R192),ROUNDDOWN((Tabla14[[#This Row],[Producción para venta nueva]])/R192,0)*R192,0),0)</f>
        <v>0</v>
      </c>
      <c r="X192" s="76">
        <v>0</v>
      </c>
      <c r="Y192" s="6">
        <f>IF(Tabla14[[#This Row],[Venta del mes]]&gt;0,Tabla14[[#This Row],[Venta del mes]]+Tabla14[[#This Row],[Ajuste venta nueva]],0)</f>
        <v>0</v>
      </c>
      <c r="Z192" s="6">
        <f>+Tabla14[[#This Row],[Producción para venta nueva]]-Tabla14[[#This Row],[Facturación Venta nueva]]</f>
        <v>4509.0389999999989</v>
      </c>
      <c r="AA192" s="6">
        <f>IF(AND(A192=1,Tabla14[[#This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3000</v>
      </c>
      <c r="AB192" s="6">
        <v>-3000</v>
      </c>
      <c r="AC192" s="6">
        <f>IF(Tabla14[[#This Row],[Disponible stock sin venta]]&gt;0,Tabla14[[#This Row],[Disponible stock sin venta]]+Tabla14[[#This Row],[Ajuste stock sin venta]],0)</f>
        <v>0</v>
      </c>
      <c r="AD192" s="3">
        <f>IFERROR(VLOOKUP(Tabla14[[#This Row],[Llave]],[12]Hoja1!$A:$D,4,FALSE),0)</f>
        <v>0</v>
      </c>
      <c r="AE19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5000</v>
      </c>
      <c r="AF192" s="3">
        <v>5000</v>
      </c>
      <c r="AG192" s="3">
        <f>+Tabla14[[#This Row],[En puerto a facturar]]</f>
        <v>0</v>
      </c>
      <c r="AH192" s="3">
        <f>+Tabla14[[#This Row],[Facturación atraso]]</f>
        <v>2000</v>
      </c>
      <c r="AI192" s="3">
        <f>+Tabla14[[#This Row],[Plan Irrestricto (DATO)]]-Tabla14[[#This Row],[Puerto ]]-Tabla14[[#This Row],[Atraso]]</f>
        <v>3000</v>
      </c>
      <c r="AJ192" s="6">
        <f>IF(Tabla14[[#This Row],[Plan Irrestricto (DATO)]]&gt;0,SUM(Tabla14[[#This Row],[Facturación atraso]],Tabla14[[#This Row],[Facturación Venta nueva]],Tabla14[[#This Row],[Facturación stock]],Tabla14[[#This Row],[En puerto a facturar]]),0)</f>
        <v>2000</v>
      </c>
      <c r="AK192" s="3">
        <f>+Tabla14[[#This Row],[Facturación atraso]]</f>
        <v>2000</v>
      </c>
      <c r="AL192" s="3">
        <f>Tabla14[[#This Row],[Plan Ajustado]]-Tabla14[[#This Row],[ Atraso ajustado]]-Tabla14[[#This Row],[En puerto a facturar]]</f>
        <v>0</v>
      </c>
      <c r="AM192" s="3">
        <v>0</v>
      </c>
      <c r="AN192" s="3"/>
      <c r="AO192" s="3" t="str">
        <f>IF(Tabla14[[#This Row],[Plan Ajustado]]&gt;Tabla14[[#This Row],[En puerto a facturar]],"Si","No")</f>
        <v>Si</v>
      </c>
      <c r="AP192" s="3">
        <f>IF(AND(Tabla14[[#This Row],[Plan Ajustado]]&gt;0,Tabla14[[#This Row],[Plan Ajustado]]&gt;Tabla14[[#This Row],[En puerto a facturar]]),(Tabla14[[#This Row],[Plan Ajustado]]-Tabla14[[#This Row],[En puerto a facturar]]),0)</f>
        <v>2000</v>
      </c>
      <c r="AQ192" s="3">
        <f>IF(Tabla14[[#This Row],[Necesidad]]&gt;=Tabla14[[#This Row],[Stock al día]],Tabla14[[#This Row],[Stock al día]],Tabla14[[#This Row],[Necesidad]])</f>
        <v>2000</v>
      </c>
      <c r="AR192" s="3">
        <f>+Tabla14[[#This Row],[Necesidad]]-Tabla14[[#This Row],[Stock Plan]]</f>
        <v>0</v>
      </c>
      <c r="AS192" s="155">
        <f>VLOOKUP(Tabla14[[#This Row],[Sector]]&amp;Tabla14[[#This Row],[Oficina]],[8]Ponderación!$A:$H,8,FALSE)</f>
        <v>44817</v>
      </c>
      <c r="AT192" s="30">
        <f>IFERROR(VLOOKUP(Tabla14[[#This Row],[Llave]],'[6]RV plan de ventas'!$A:$F,6,FALSE),0)</f>
        <v>0</v>
      </c>
      <c r="AU192" s="83">
        <f>IFERROR(VLOOKUP(Tabla14[[#This Row],[Llave]],[9]DELAY!$H:$X,17,FALSE),0)</f>
        <v>3.5033663000000002</v>
      </c>
      <c r="AV19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3.5033663000000002</v>
      </c>
      <c r="AW192" s="5">
        <f>Tabla14[[#This Row],[Pecio plan]]*Tabla14[[#This Row],[Plan Ajustado]]</f>
        <v>7006.7326000000003</v>
      </c>
      <c r="AX192" s="30">
        <f>IFERROR(VLOOKUP(Tabla14[[#This Row],[Llave]],'[13]Ultimos precios facturados'!$A:$G,7,FALSE),0)</f>
        <v>3.5398638326943392</v>
      </c>
      <c r="AY19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1.0310434078634962E-2</v>
      </c>
      <c r="AZ192" s="30">
        <f>IFERROR(VLOOKUP(Tabla14[[#This Row],[Llave]],Hoja2!B:K,10,FALSE),0)</f>
        <v>3.4832440599999983</v>
      </c>
      <c r="BA19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3.5033663000000002</v>
      </c>
      <c r="BB192" s="30">
        <v>0</v>
      </c>
      <c r="BC192" s="30">
        <f>IF(Tabla14[[#This Row],[Market]]=0,Tabla14[[#This Row],[Precio Final]],Tabla14[[#This Row],[Market]])</f>
        <v>3.5033663000000002</v>
      </c>
      <c r="BD192" s="82"/>
      <c r="BE192" s="82" t="str">
        <f>IF(AND(Tabla14[[#This Row],[Atraso a facturar]]&gt;0,Tabla14[[#This Row],[En puerto a facturar]]&gt;0,Tabla14[[#This Row],[Precio Atraso]]=0),"Revisar","OK")</f>
        <v>OK</v>
      </c>
      <c r="BF192" s="82" t="str">
        <f>IF(AND(Tabla14[[#This Row],[Venta del mes]]&gt;0,Tabla14[[#This Row],[Precio venta nueva]]=0),"Revisar","OK")</f>
        <v>OK</v>
      </c>
      <c r="BG192" s="20">
        <f>IFERROR(VLOOKUP(Tabla14[[#This Row],[Llave]],'[5]Consolidación planes'!$A:$M,9,FALSE),0)</f>
        <v>0</v>
      </c>
      <c r="BH192" s="20">
        <f>IFERROR(VLOOKUP(Tabla14[[#This Row],[Llave]],'[5]Consolidación planes'!$A:$M,10,FALSE),0)</f>
        <v>0</v>
      </c>
      <c r="BI192" s="20">
        <f>IFERROR(VLOOKUP(Tabla14[[#This Row],[Llave]],'[5]Consolidación planes'!$A:$M,11,FALSE),0)</f>
        <v>0</v>
      </c>
      <c r="BJ192" s="20">
        <f>IFERROR(VLOOKUP(Tabla14[[#This Row],[Llave]],'[5]Consolidación planes'!$A:$M,12,FALSE),0)</f>
        <v>3000</v>
      </c>
      <c r="BK192" s="20">
        <f>IFERROR(VLOOKUP(Tabla14[[#This Row],[Llave]],'[5]Consolidación planes'!$A:$M,13,FALSE),0)</f>
        <v>2500</v>
      </c>
      <c r="BL192" s="20">
        <f>IFERROR(VLOOKUP(Tabla14[[#This Row],[Llave]],'[13]Base ultimos planes'!$A:$M,13,FALSE),0)</f>
        <v>0</v>
      </c>
      <c r="BM192" s="20">
        <f>IFERROR(VLOOKUP(Tabla14[[#This Row],[Llave]],'[13]Cruce plan irrestricto'!$C:$M,10,FALSE),0)</f>
        <v>0</v>
      </c>
      <c r="BN192" s="20">
        <f>IFERROR(VLOOKUP(Tabla14[[#This Row],[Llave]],'[13]Cruce plan irrestricto'!$C:$M,11,FALSE),0)</f>
        <v>0</v>
      </c>
      <c r="BO192" s="80">
        <f>IFERROR(VLOOKUP(Tabla14[[#This Row],[Llave]],'[13]Base ultimos planes'!$O:$AA,8,FALSE),0)</f>
        <v>0</v>
      </c>
      <c r="BP192" s="20">
        <f>IFERROR(VLOOKUP(Tabla14[[#This Row],[Llave]],'[13]Base ultimos planes'!$O:$AA,9,FALSE),0)</f>
        <v>0</v>
      </c>
      <c r="BQ192" s="20">
        <f>IFERROR(VLOOKUP(Tabla14[[#This Row],[Llave]],'[13]Base ultimos planes'!$O:$AA,10,FALSE),0)</f>
        <v>0</v>
      </c>
      <c r="BR192" s="20">
        <f>IFERROR(VLOOKUP(Tabla14[[#This Row],[Llave]],'[13]Base ultimos planes'!$O:$AA,11,FALSE),0)</f>
        <v>11945</v>
      </c>
      <c r="BS192" s="20">
        <f>IFERROR(VLOOKUP(Tabla14[[#This Row],[Llave]],'[13]Base ultimos planes'!$O:$AA,12,FALSE),0)</f>
        <v>9324</v>
      </c>
      <c r="BT192" s="20">
        <f>IFERROR(VLOOKUP(Tabla14[[#This Row],[Llave]],'[13]Base ultimos planes'!$O:$AA,13,FALSE),0)</f>
        <v>0</v>
      </c>
      <c r="BU192" s="20"/>
      <c r="BV192" s="20">
        <f>Tabla14[[#This Row],[ RV Producción mes n+1]]-Tabla14[[#This Row],[Producción disponible]]+Tabla14[[#This Row],[Saldo Volumen disponible]]</f>
        <v>4509.0389999999989</v>
      </c>
      <c r="BW192" s="20">
        <f>IFERROR(VLOOKUP(Tabla14[[#This Row],[Llave]],[14]Hoja2!$J:$N,4,FALSE),0)</f>
        <v>0</v>
      </c>
      <c r="BX192" s="20">
        <f>+Tabla14[[#This Row],[Asignación mes n+1]]*Tabla14[[#This Row],[% Uti. producción]]</f>
        <v>0</v>
      </c>
      <c r="BY192" s="20">
        <f>+Tabla14[[#This Row],[Ponderación mes n+1]]+Tabla14[[#This Row],[Saldo mes n-1]]</f>
        <v>4509.0389999999989</v>
      </c>
      <c r="BZ192" s="20">
        <f>+Tabla14[[#This Row],[Asignación mes n+1]]-Tabla14[[#This Row],[Ponderación mes n+1]]</f>
        <v>0</v>
      </c>
      <c r="CA192" s="20">
        <f>IFERROR(VLOOKUP(Tabla14[[#This Row],[Llave]],[14]Hoja2!$J:$N,5,FALSE),0)</f>
        <v>0</v>
      </c>
      <c r="CB192" s="20">
        <f>+Tabla14[[#This Row],[Asignación mes n+2]]*Tabla14[[#This Row],[% Uti. producción]]</f>
        <v>0</v>
      </c>
      <c r="CC192" s="20">
        <f>+Tabla14[[#This Row],[Saldo mes n+2]]+Tabla14[[#This Row],[Ponderación mes n+2]]</f>
        <v>0</v>
      </c>
      <c r="CD192" s="20">
        <f>+Tabla14[[#This Row],[Asignación mes n+2]]-Tabla14[[#This Row],[Ponderación mes n+2]]</f>
        <v>0</v>
      </c>
    </row>
    <row r="193" spans="1:82" ht="16" x14ac:dyDescent="0.2">
      <c r="A193">
        <v>1</v>
      </c>
      <c r="B193" t="str">
        <f>Tabla14[[#This Row],[Oficina]]&amp;Tabla14[[#This Row],[Material]]</f>
        <v>Exportacion Directa1023055</v>
      </c>
      <c r="C193" t="s">
        <v>6</v>
      </c>
      <c r="D193" t="s">
        <v>88</v>
      </c>
      <c r="E193">
        <v>1023055</v>
      </c>
      <c r="F193" t="s">
        <v>293</v>
      </c>
      <c r="G193" t="s">
        <v>50</v>
      </c>
      <c r="H193" t="s">
        <v>110</v>
      </c>
      <c r="I193" s="7">
        <f>IFERROR(IF(Tabla14[[#This Row],[Oficina]]=$I$7,VLOOKUP(Tabla14[[#This Row],[Material]],'[6]RV Producción'!$Y:$AA,3,FALSE),VLOOKUP(Tabla14[[#This Row],[Llave]],'[6]RV Producción'!$C:$G,5,FALSE)),0)</f>
        <v>10538</v>
      </c>
      <c r="J193" s="7">
        <f>IFERROR(IF(Tabla14[[#This Row],[Oficina]]=$I$7,VLOOKUP(Tabla14[[#This Row],[Llave]],'[7]Shangai (Tomas)'!$A:$F,6,FALSE),VLOOKUP(Tabla14[[#This Row],[Llave]],'[6]RV plan de ventas'!$A:$E,5,FALSE)),0)</f>
        <v>0</v>
      </c>
      <c r="K193" s="8">
        <f>IFERROR(VLOOKUP(Tabla14[[#This Row],[Sector]]&amp;Tabla14[[#This Row],[Oficina]],[8]Ponderación!$A$3:$G$22,7,FALSE),0)</f>
        <v>0.77338883776001444</v>
      </c>
      <c r="L193" s="7">
        <f>+Tabla14[[#This Row],[ RV Producción mes n+1]]*Tabla14[[#This Row],[% Uti. producción]]</f>
        <v>8149.9715723150321</v>
      </c>
      <c r="M193" s="7">
        <f>IFERROR(VLOOKUP(Tabla14[[#This Row],[Material]],'[9]TD Stock'!$B:$C,2,FALSE),0)</f>
        <v>6216.7919999999995</v>
      </c>
      <c r="N193" s="7">
        <f>IFERROR(VLOOKUP(Tabla14[[#This Row],[Material]],'[10]Consolidado planificación'!$B:$C,2,FALSE),0)</f>
        <v>0</v>
      </c>
      <c r="O193" s="7">
        <f>IFERROR(VLOOKUP(Tabla14[[#This Row],[Llave]],[11]Hoja2!$D:$G,4,FALSE),0)</f>
        <v>0</v>
      </c>
      <c r="P193" s="14">
        <f>SUM(Tabla14[[#This Row],[Producción disponible]],Tabla14[[#This Row],[Stock al día]],(Tabla14[[#This Row],[Por producir mes N]]*0.9))-Tabla14[[#This Row],[Producción por despachar mes N]]</f>
        <v>14366.763572315031</v>
      </c>
      <c r="Q193" s="7">
        <f>IFERROR(VLOOKUP(Tabla14[[#This Row],[Llave]],[9]DELAY!$A:$D,4,FALSE),0)</f>
        <v>15000</v>
      </c>
      <c r="R193" s="9">
        <v>3500</v>
      </c>
      <c r="S193" s="5">
        <f t="shared" si="7"/>
        <v>14000</v>
      </c>
      <c r="T193" s="76">
        <v>-7000</v>
      </c>
      <c r="U193" s="5">
        <f>+Tabla14[[#This Row],[Atraso a facturar]]+Tabla14[[#This Row],[Ajuste atraso]]</f>
        <v>7000</v>
      </c>
      <c r="V193" s="3">
        <f>+Tabla14[[#This Row],[Total disponible]]-Tabla14[[#This Row],[Facturación atraso]]</f>
        <v>7366.7635723150306</v>
      </c>
      <c r="W193" s="6">
        <f>IFERROR(IF(AND(V193&gt;R193,J193&gt;=R193),ROUNDDOWN((Tabla14[[#This Row],[Producción para venta nueva]])/R193,0)*R193,0),0)</f>
        <v>0</v>
      </c>
      <c r="X193" s="76">
        <v>0</v>
      </c>
      <c r="Y193" s="6">
        <f>IF(Tabla14[[#This Row],[Venta del mes]]&gt;0,Tabla14[[#This Row],[Venta del mes]]+Tabla14[[#This Row],[Ajuste venta nueva]],0)</f>
        <v>0</v>
      </c>
      <c r="Z193" s="6">
        <f>+Tabla14[[#This Row],[Producción para venta nueva]]-Tabla14[[#This Row],[Facturación Venta nueva]]</f>
        <v>7366.7635723150306</v>
      </c>
      <c r="AA193" s="6">
        <f>IF(AND(A193=1,Tabla14[[#This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93" s="6">
        <v>0</v>
      </c>
      <c r="AC193" s="6">
        <f>IF(Tabla14[[#This Row],[Disponible stock sin venta]]&gt;0,Tabla14[[#This Row],[Disponible stock sin venta]]+Tabla14[[#This Row],[Ajuste stock sin venta]],0)</f>
        <v>0</v>
      </c>
      <c r="AD193" s="3">
        <f>IFERROR(VLOOKUP(Tabla14[[#This Row],[Llave]],[12]Hoja1!$A:$D,4,FALSE),0)</f>
        <v>0</v>
      </c>
      <c r="AE19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14000</v>
      </c>
      <c r="AF193" s="3">
        <v>14000</v>
      </c>
      <c r="AG193" s="3">
        <f>+Tabla14[[#This Row],[En puerto a facturar]]</f>
        <v>0</v>
      </c>
      <c r="AH193" s="3">
        <f>+Tabla14[[#This Row],[Facturación atraso]]</f>
        <v>7000</v>
      </c>
      <c r="AI193" s="3">
        <f>+Tabla14[[#This Row],[Plan Irrestricto (DATO)]]-Tabla14[[#This Row],[Puerto ]]-Tabla14[[#This Row],[Atraso]]</f>
        <v>7000</v>
      </c>
      <c r="AJ193" s="6">
        <f>IF(Tabla14[[#This Row],[Plan Irrestricto (DATO)]]&gt;0,SUM(Tabla14[[#This Row],[Facturación atraso]],Tabla14[[#This Row],[Facturación Venta nueva]],Tabla14[[#This Row],[Facturación stock]],Tabla14[[#This Row],[En puerto a facturar]]),0)</f>
        <v>7000</v>
      </c>
      <c r="AK193" s="3">
        <f>+Tabla14[[#This Row],[Facturación atraso]]</f>
        <v>7000</v>
      </c>
      <c r="AL193" s="3">
        <f>Tabla14[[#This Row],[Plan Ajustado]]-Tabla14[[#This Row],[ Atraso ajustado]]-Tabla14[[#This Row],[En puerto a facturar]]</f>
        <v>0</v>
      </c>
      <c r="AM193" s="3">
        <v>0</v>
      </c>
      <c r="AN193" s="3"/>
      <c r="AO193" s="3" t="str">
        <f>IF(Tabla14[[#This Row],[Plan Ajustado]]&gt;Tabla14[[#This Row],[En puerto a facturar]],"Si","No")</f>
        <v>Si</v>
      </c>
      <c r="AP193" s="3">
        <f>IF(AND(Tabla14[[#This Row],[Plan Ajustado]]&gt;0,Tabla14[[#This Row],[Plan Ajustado]]&gt;Tabla14[[#This Row],[En puerto a facturar]]),(Tabla14[[#This Row],[Plan Ajustado]]-Tabla14[[#This Row],[En puerto a facturar]]),0)</f>
        <v>7000</v>
      </c>
      <c r="AQ193" s="3">
        <f>IF(Tabla14[[#This Row],[Necesidad]]&gt;=Tabla14[[#This Row],[Stock al día]],Tabla14[[#This Row],[Stock al día]],Tabla14[[#This Row],[Necesidad]])</f>
        <v>6216.7919999999995</v>
      </c>
      <c r="AR193" s="3">
        <f>+Tabla14[[#This Row],[Necesidad]]-Tabla14[[#This Row],[Stock Plan]]</f>
        <v>783.20800000000054</v>
      </c>
      <c r="AS193" s="155">
        <f>VLOOKUP(Tabla14[[#This Row],[Sector]]&amp;Tabla14[[#This Row],[Oficina]],[8]Ponderación!$A:$H,8,FALSE)</f>
        <v>44817</v>
      </c>
      <c r="AT193" s="30">
        <f>IFERROR(VLOOKUP(Tabla14[[#This Row],[Llave]],'[6]RV plan de ventas'!$A:$F,6,FALSE),0)</f>
        <v>0</v>
      </c>
      <c r="AU193" s="83">
        <f>IFERROR(VLOOKUP(Tabla14[[#This Row],[Llave]],[9]DELAY!$H:$X,17,FALSE),0)</f>
        <v>3.5121097466666669</v>
      </c>
      <c r="AV19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3.5121097466666669</v>
      </c>
      <c r="AW193" s="5">
        <f>Tabla14[[#This Row],[Pecio plan]]*Tabla14[[#This Row],[Plan Ajustado]]</f>
        <v>24584.768226666667</v>
      </c>
      <c r="AX193" s="30">
        <f>IFERROR(VLOOKUP(Tabla14[[#This Row],[Llave]],'[13]Ultimos precios facturados'!$A:$G,7,FALSE),0)</f>
        <v>3.5226289691535433</v>
      </c>
      <c r="AY19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2.9861851983247895E-3</v>
      </c>
      <c r="AZ193" s="30">
        <f>IFERROR(VLOOKUP(Tabla14[[#This Row],[Llave]],Hoja2!B:K,10,FALSE),0)</f>
        <v>3.4865977499999992</v>
      </c>
      <c r="BA19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3.5121097466666669</v>
      </c>
      <c r="BB193" s="30">
        <v>0</v>
      </c>
      <c r="BC193" s="30">
        <f>IF(Tabla14[[#This Row],[Market]]=0,Tabla14[[#This Row],[Precio Final]],Tabla14[[#This Row],[Market]])</f>
        <v>3.5121097466666669</v>
      </c>
      <c r="BD193" s="82"/>
      <c r="BE193" s="82" t="str">
        <f>IF(AND(Tabla14[[#This Row],[Atraso a facturar]]&gt;0,Tabla14[[#This Row],[En puerto a facturar]]&gt;0,Tabla14[[#This Row],[Precio Atraso]]=0),"Revisar","OK")</f>
        <v>OK</v>
      </c>
      <c r="BF193" s="82" t="str">
        <f>IF(AND(Tabla14[[#This Row],[Venta del mes]]&gt;0,Tabla14[[#This Row],[Precio venta nueva]]=0),"Revisar","OK")</f>
        <v>OK</v>
      </c>
      <c r="BG193" s="20">
        <f>IFERROR(VLOOKUP(Tabla14[[#This Row],[Llave]],'[5]Consolidación planes'!$A:$M,9,FALSE),0)</f>
        <v>0</v>
      </c>
      <c r="BH193" s="20">
        <f>IFERROR(VLOOKUP(Tabla14[[#This Row],[Llave]],'[5]Consolidación planes'!$A:$M,10,FALSE),0)</f>
        <v>0</v>
      </c>
      <c r="BI193" s="20">
        <f>IFERROR(VLOOKUP(Tabla14[[#This Row],[Llave]],'[5]Consolidación planes'!$A:$M,11,FALSE),0)</f>
        <v>5000</v>
      </c>
      <c r="BJ193" s="20">
        <f>IFERROR(VLOOKUP(Tabla14[[#This Row],[Llave]],'[5]Consolidación planes'!$A:$M,12,FALSE),0)</f>
        <v>7000</v>
      </c>
      <c r="BK193" s="20">
        <f>IFERROR(VLOOKUP(Tabla14[[#This Row],[Llave]],'[5]Consolidación planes'!$A:$M,13,FALSE),0)</f>
        <v>5000</v>
      </c>
      <c r="BL193" s="20">
        <f>IFERROR(VLOOKUP(Tabla14[[#This Row],[Llave]],'[13]Base ultimos planes'!$A:$M,13,FALSE),0)</f>
        <v>3500</v>
      </c>
      <c r="BM193" s="20">
        <f>IFERROR(VLOOKUP(Tabla14[[#This Row],[Llave]],'[13]Cruce plan irrestricto'!$C:$M,10,FALSE),0)</f>
        <v>0</v>
      </c>
      <c r="BN193" s="20">
        <f>IFERROR(VLOOKUP(Tabla14[[#This Row],[Llave]],'[13]Cruce plan irrestricto'!$C:$M,11,FALSE),0)</f>
        <v>0</v>
      </c>
      <c r="BO193" s="80">
        <f>IFERROR(VLOOKUP(Tabla14[[#This Row],[Llave]],'[13]Base ultimos planes'!$O:$AA,8,FALSE),0)</f>
        <v>0</v>
      </c>
      <c r="BP193" s="20">
        <f>IFERROR(VLOOKUP(Tabla14[[#This Row],[Llave]],'[13]Base ultimos planes'!$O:$AA,9,FALSE),0)</f>
        <v>0</v>
      </c>
      <c r="BQ193" s="20">
        <f>IFERROR(VLOOKUP(Tabla14[[#This Row],[Llave]],'[13]Base ultimos planes'!$O:$AA,10,FALSE),0)</f>
        <v>9981</v>
      </c>
      <c r="BR193" s="20">
        <f>IFERROR(VLOOKUP(Tabla14[[#This Row],[Llave]],'[13]Base ultimos planes'!$O:$AA,11,FALSE),0)</f>
        <v>25759</v>
      </c>
      <c r="BS193" s="20">
        <f>IFERROR(VLOOKUP(Tabla14[[#This Row],[Llave]],'[13]Base ultimos planes'!$O:$AA,12,FALSE),0)</f>
        <v>17599</v>
      </c>
      <c r="BT193" s="20">
        <f>IFERROR(VLOOKUP(Tabla14[[#This Row],[Llave]],'[13]Base ultimos planes'!$O:$AA,13,FALSE),0)</f>
        <v>11967</v>
      </c>
      <c r="BU193" s="20"/>
      <c r="BV193" s="20">
        <f>Tabla14[[#This Row],[ RV Producción mes n+1]]-Tabla14[[#This Row],[Producción disponible]]+Tabla14[[#This Row],[Saldo Volumen disponible]]</f>
        <v>9754.7919999999976</v>
      </c>
      <c r="BW193" s="20">
        <f>IFERROR(VLOOKUP(Tabla14[[#This Row],[Llave]],[14]Hoja2!$J:$N,4,FALSE),0)</f>
        <v>0</v>
      </c>
      <c r="BX193" s="20">
        <f>+Tabla14[[#This Row],[Asignación mes n+1]]*Tabla14[[#This Row],[% Uti. producción]]</f>
        <v>0</v>
      </c>
      <c r="BY193" s="20">
        <f>+Tabla14[[#This Row],[Ponderación mes n+1]]+Tabla14[[#This Row],[Saldo mes n-1]]</f>
        <v>9754.7919999999976</v>
      </c>
      <c r="BZ193" s="20">
        <f>+Tabla14[[#This Row],[Asignación mes n+1]]-Tabla14[[#This Row],[Ponderación mes n+1]]</f>
        <v>0</v>
      </c>
      <c r="CA193" s="20">
        <f>IFERROR(VLOOKUP(Tabla14[[#This Row],[Llave]],[14]Hoja2!$J:$N,5,FALSE),0)</f>
        <v>0</v>
      </c>
      <c r="CB193" s="20">
        <f>+Tabla14[[#This Row],[Asignación mes n+2]]*Tabla14[[#This Row],[% Uti. producción]]</f>
        <v>0</v>
      </c>
      <c r="CC193" s="20">
        <f>+Tabla14[[#This Row],[Saldo mes n+2]]+Tabla14[[#This Row],[Ponderación mes n+2]]</f>
        <v>0</v>
      </c>
      <c r="CD193" s="20">
        <f>+Tabla14[[#This Row],[Asignación mes n+2]]-Tabla14[[#This Row],[Ponderación mes n+2]]</f>
        <v>0</v>
      </c>
    </row>
    <row r="194" spans="1:82" ht="16" x14ac:dyDescent="0.2">
      <c r="A194">
        <v>1</v>
      </c>
      <c r="B194" t="str">
        <f>Tabla14[[#This Row],[Oficina]]&amp;Tabla14[[#This Row],[Material]]</f>
        <v>Exportacion Directa1023163</v>
      </c>
      <c r="C194" t="s">
        <v>6</v>
      </c>
      <c r="D194" t="s">
        <v>88</v>
      </c>
      <c r="E194">
        <v>1023163</v>
      </c>
      <c r="F194" t="s">
        <v>116</v>
      </c>
      <c r="G194" t="s">
        <v>50</v>
      </c>
      <c r="H194" t="s">
        <v>110</v>
      </c>
      <c r="I194" s="7">
        <f>IFERROR(IF(Tabla14[[#This Row],[Oficina]]=$I$7,VLOOKUP(Tabla14[[#This Row],[Material]],'[6]RV Producción'!$Y:$AA,3,FALSE),VLOOKUP(Tabla14[[#This Row],[Llave]],'[6]RV Producción'!$C:$G,5,FALSE)),0)</f>
        <v>15836</v>
      </c>
      <c r="J194" s="7">
        <f>IFERROR(IF(Tabla14[[#This Row],[Oficina]]=$I$7,VLOOKUP(Tabla14[[#This Row],[Llave]],'[7]Shangai (Tomas)'!$A:$F,6,FALSE),VLOOKUP(Tabla14[[#This Row],[Llave]],'[6]RV plan de ventas'!$A:$E,5,FALSE)),0)</f>
        <v>25000</v>
      </c>
      <c r="K194" s="8">
        <f>IFERROR(VLOOKUP(Tabla14[[#This Row],[Sector]]&amp;Tabla14[[#This Row],[Oficina]],[8]Ponderación!$A$3:$G$22,7,FALSE),0)</f>
        <v>0.77338883776001444</v>
      </c>
      <c r="L194" s="7">
        <f>+Tabla14[[#This Row],[ RV Producción mes n+1]]*Tabla14[[#This Row],[% Uti. producción]]</f>
        <v>12247.385634767588</v>
      </c>
      <c r="M194" s="7">
        <f>IFERROR(VLOOKUP(Tabla14[[#This Row],[Material]],'[9]TD Stock'!$B:$C,2,FALSE),0)</f>
        <v>34738.571999999993</v>
      </c>
      <c r="N194" s="7">
        <f>IFERROR(VLOOKUP(Tabla14[[#This Row],[Material]],'[10]Consolidado planificación'!$B:$C,2,FALSE),0)</f>
        <v>4803.6495192514885</v>
      </c>
      <c r="O194" s="7">
        <f>IFERROR(VLOOKUP(Tabla14[[#This Row],[Llave]],[11]Hoja2!$D:$G,4,FALSE),0)</f>
        <v>0</v>
      </c>
      <c r="P194" s="14">
        <f>SUM(Tabla14[[#This Row],[Producción disponible]],Tabla14[[#This Row],[Stock al día]],(Tabla14[[#This Row],[Por producir mes N]]*0.9))-Tabla14[[#This Row],[Producción por despachar mes N]]</f>
        <v>51309.242202093927</v>
      </c>
      <c r="Q194" s="7">
        <f>IFERROR(VLOOKUP(Tabla14[[#This Row],[Llave]],[9]DELAY!$A:$D,4,FALSE),0)</f>
        <v>35000</v>
      </c>
      <c r="R194" s="9">
        <v>5000</v>
      </c>
      <c r="S194" s="5">
        <f t="shared" si="7"/>
        <v>35000</v>
      </c>
      <c r="T194" s="76">
        <v>-20000</v>
      </c>
      <c r="U194" s="5">
        <f>+Tabla14[[#This Row],[Atraso a facturar]]+Tabla14[[#This Row],[Ajuste atraso]]</f>
        <v>15000</v>
      </c>
      <c r="V194" s="3">
        <f>+Tabla14[[#This Row],[Total disponible]]-Tabla14[[#This Row],[Facturación atraso]]</f>
        <v>36309.242202093927</v>
      </c>
      <c r="W194" s="6">
        <f>IFERROR(IF(AND(V194&gt;R194,J194&gt;=R194),ROUNDDOWN((Tabla14[[#This Row],[Producción para venta nueva]])/R194,0)*R194,0),0)</f>
        <v>35000</v>
      </c>
      <c r="X194" s="76">
        <v>-25000</v>
      </c>
      <c r="Y194" s="6">
        <f>IF(Tabla14[[#This Row],[Venta del mes]]&gt;0,Tabla14[[#This Row],[Venta del mes]]+Tabla14[[#This Row],[Ajuste venta nueva]],0)</f>
        <v>10000</v>
      </c>
      <c r="Z194" s="6">
        <f>+Tabla14[[#This Row],[Producción para venta nueva]]-Tabla14[[#This Row],[Facturación Venta nueva]]</f>
        <v>26309.242202093927</v>
      </c>
      <c r="AA194" s="6">
        <f>IF(AND(A194=1,Tabla14[[#This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94" s="6">
        <v>0</v>
      </c>
      <c r="AC194" s="6">
        <f>IF(Tabla14[[#This Row],[Disponible stock sin venta]]&gt;0,Tabla14[[#This Row],[Disponible stock sin venta]]+Tabla14[[#This Row],[Ajuste stock sin venta]],0)</f>
        <v>0</v>
      </c>
      <c r="AD194" s="3">
        <f>IFERROR(VLOOKUP(Tabla14[[#This Row],[Llave]],[12]Hoja1!$A:$D,4,FALSE),0)</f>
        <v>0</v>
      </c>
      <c r="AE19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70000</v>
      </c>
      <c r="AF194" s="3">
        <v>50000</v>
      </c>
      <c r="AG194" s="3">
        <f>+Tabla14[[#This Row],[En puerto a facturar]]</f>
        <v>0</v>
      </c>
      <c r="AH194" s="3">
        <f>+Tabla14[[#This Row],[Facturación atraso]]</f>
        <v>15000</v>
      </c>
      <c r="AI194" s="3">
        <f>+Tabla14[[#This Row],[Plan Irrestricto (DATO)]]-Tabla14[[#This Row],[Puerto ]]-Tabla14[[#This Row],[Atraso]]</f>
        <v>35000</v>
      </c>
      <c r="AJ194" s="6">
        <f>IF(Tabla14[[#This Row],[Plan Irrestricto (DATO)]]&gt;0,SUM(Tabla14[[#This Row],[Facturación atraso]],Tabla14[[#This Row],[Facturación Venta nueva]],Tabla14[[#This Row],[Facturación stock]],Tabla14[[#This Row],[En puerto a facturar]]),0)</f>
        <v>25000</v>
      </c>
      <c r="AK194" s="3">
        <f>+Tabla14[[#This Row],[Facturación atraso]]</f>
        <v>15000</v>
      </c>
      <c r="AL194" s="3">
        <f>Tabla14[[#This Row],[Plan Ajustado]]-Tabla14[[#This Row],[ Atraso ajustado]]-Tabla14[[#This Row],[En puerto a facturar]]</f>
        <v>10000</v>
      </c>
      <c r="AM194" s="3">
        <v>0</v>
      </c>
      <c r="AN194" s="3"/>
      <c r="AO194" s="3" t="str">
        <f>IF(Tabla14[[#This Row],[Plan Ajustado]]&gt;Tabla14[[#This Row],[En puerto a facturar]],"Si","No")</f>
        <v>Si</v>
      </c>
      <c r="AP194" s="3">
        <f>IF(AND(Tabla14[[#This Row],[Plan Ajustado]]&gt;0,Tabla14[[#This Row],[Plan Ajustado]]&gt;Tabla14[[#This Row],[En puerto a facturar]]),(Tabla14[[#This Row],[Plan Ajustado]]-Tabla14[[#This Row],[En puerto a facturar]]),0)</f>
        <v>25000</v>
      </c>
      <c r="AQ194" s="3">
        <f>IF(Tabla14[[#This Row],[Necesidad]]&gt;=Tabla14[[#This Row],[Stock al día]],Tabla14[[#This Row],[Stock al día]],Tabla14[[#This Row],[Necesidad]])</f>
        <v>25000</v>
      </c>
      <c r="AR194" s="3">
        <f>+Tabla14[[#This Row],[Necesidad]]-Tabla14[[#This Row],[Stock Plan]]</f>
        <v>0</v>
      </c>
      <c r="AS194" s="155">
        <f>VLOOKUP(Tabla14[[#This Row],[Sector]]&amp;Tabla14[[#This Row],[Oficina]],[8]Ponderación!$A:$H,8,FALSE)</f>
        <v>44817</v>
      </c>
      <c r="AT194" s="30">
        <f>IFERROR(VLOOKUP(Tabla14[[#This Row],[Llave]],'[6]RV plan de ventas'!$A:$F,6,FALSE),0)</f>
        <v>3.8342399999999999</v>
      </c>
      <c r="AU194" s="83">
        <f>IFERROR(VLOOKUP(Tabla14[[#This Row],[Llave]],[9]DELAY!$H:$X,17,FALSE),0)</f>
        <v>3.7892872022857143</v>
      </c>
      <c r="AV19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3.8072683213714291</v>
      </c>
      <c r="AW194" s="5">
        <f>Tabla14[[#This Row],[Pecio plan]]*Tabla14[[#This Row],[Plan Ajustado]]</f>
        <v>95181.708034285723</v>
      </c>
      <c r="AX194" s="30">
        <f>IFERROR(VLOOKUP(Tabla14[[#This Row],[Llave]],'[13]Ultimos precios facturados'!$A:$G,7,FALSE),0)</f>
        <v>3.5821976468831527</v>
      </c>
      <c r="AY19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6.2830333966666804E-2</v>
      </c>
      <c r="AZ194" s="30">
        <f>IFERROR(VLOOKUP(Tabla14[[#This Row],[Llave]],Hoja2!B:K,10,FALSE),0)</f>
        <v>3.7388841841593394</v>
      </c>
      <c r="BA19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3.8072683213714291</v>
      </c>
      <c r="BB194" s="30">
        <v>0</v>
      </c>
      <c r="BC194" s="30">
        <f>IF(Tabla14[[#This Row],[Market]]=0,Tabla14[[#This Row],[Precio Final]],Tabla14[[#This Row],[Market]])</f>
        <v>3.8072683213714291</v>
      </c>
      <c r="BD194" s="82"/>
      <c r="BE194" s="82" t="str">
        <f>IF(AND(Tabla14[[#This Row],[Atraso a facturar]]&gt;0,Tabla14[[#This Row],[En puerto a facturar]]&gt;0,Tabla14[[#This Row],[Precio Atraso]]=0),"Revisar","OK")</f>
        <v>OK</v>
      </c>
      <c r="BF194" s="82" t="str">
        <f>IF(AND(Tabla14[[#This Row],[Venta del mes]]&gt;0,Tabla14[[#This Row],[Precio venta nueva]]=0),"Revisar","OK")</f>
        <v>OK</v>
      </c>
      <c r="BG194" s="20">
        <f>IFERROR(VLOOKUP(Tabla14[[#This Row],[Llave]],'[5]Consolidación planes'!$A:$M,9,FALSE),0)</f>
        <v>15000</v>
      </c>
      <c r="BH194" s="20">
        <f>IFERROR(VLOOKUP(Tabla14[[#This Row],[Llave]],'[5]Consolidación planes'!$A:$M,10,FALSE),0)</f>
        <v>7000</v>
      </c>
      <c r="BI194" s="20">
        <f>IFERROR(VLOOKUP(Tabla14[[#This Row],[Llave]],'[5]Consolidación planes'!$A:$M,11,FALSE),0)</f>
        <v>4000</v>
      </c>
      <c r="BJ194" s="20">
        <f>IFERROR(VLOOKUP(Tabla14[[#This Row],[Llave]],'[5]Consolidación planes'!$A:$M,12,FALSE),0)</f>
        <v>20000</v>
      </c>
      <c r="BK194" s="20">
        <f>IFERROR(VLOOKUP(Tabla14[[#This Row],[Llave]],'[5]Consolidación planes'!$A:$M,13,FALSE),0)</f>
        <v>15000</v>
      </c>
      <c r="BL194" s="20">
        <f>IFERROR(VLOOKUP(Tabla14[[#This Row],[Llave]],'[13]Base ultimos planes'!$A:$M,13,FALSE),0)</f>
        <v>36000</v>
      </c>
      <c r="BM194" s="20">
        <f>IFERROR(VLOOKUP(Tabla14[[#This Row],[Llave]],'[13]Cruce plan irrestricto'!$C:$M,10,FALSE),0)</f>
        <v>0</v>
      </c>
      <c r="BN194" s="20">
        <f>IFERROR(VLOOKUP(Tabla14[[#This Row],[Llave]],'[13]Cruce plan irrestricto'!$C:$M,11,FALSE),0)</f>
        <v>0</v>
      </c>
      <c r="BO194" s="80">
        <f>IFERROR(VLOOKUP(Tabla14[[#This Row],[Llave]],'[13]Base ultimos planes'!$O:$AA,8,FALSE),0)</f>
        <v>65452.199099999998</v>
      </c>
      <c r="BP194" s="20">
        <f>IFERROR(VLOOKUP(Tabla14[[#This Row],[Llave]],'[13]Base ultimos planes'!$O:$AA,9,FALSE),0)</f>
        <v>28910</v>
      </c>
      <c r="BQ194" s="20">
        <f>IFERROR(VLOOKUP(Tabla14[[#This Row],[Llave]],'[13]Base ultimos planes'!$O:$AA,10,FALSE),0)</f>
        <v>15584</v>
      </c>
      <c r="BR194" s="20">
        <f>IFERROR(VLOOKUP(Tabla14[[#This Row],[Llave]],'[13]Base ultimos planes'!$O:$AA,11,FALSE),0)</f>
        <v>76644</v>
      </c>
      <c r="BS194" s="20">
        <f>IFERROR(VLOOKUP(Tabla14[[#This Row],[Llave]],'[13]Base ultimos planes'!$O:$AA,12,FALSE),0)</f>
        <v>56279</v>
      </c>
      <c r="BT194" s="20">
        <f>IFERROR(VLOOKUP(Tabla14[[#This Row],[Llave]],'[13]Base ultimos planes'!$O:$AA,13,FALSE),0)</f>
        <v>128621</v>
      </c>
      <c r="BU194" s="20"/>
      <c r="BV194" s="20">
        <f>Tabla14[[#This Row],[ RV Producción mes n+1]]-Tabla14[[#This Row],[Producción disponible]]+Tabla14[[#This Row],[Saldo Volumen disponible]]</f>
        <v>29897.856567326337</v>
      </c>
      <c r="BW194" s="20">
        <f>IFERROR(VLOOKUP(Tabla14[[#This Row],[Llave]],[14]Hoja2!$J:$N,4,FALSE),0)</f>
        <v>26999.999699999997</v>
      </c>
      <c r="BX194" s="20">
        <f>+Tabla14[[#This Row],[Asignación mes n+1]]*Tabla14[[#This Row],[% Uti. producción]]</f>
        <v>20881.498387503736</v>
      </c>
      <c r="BY194" s="20">
        <f>+Tabla14[[#This Row],[Ponderación mes n+1]]+Tabla14[[#This Row],[Saldo mes n-1]]</f>
        <v>50779.354954830073</v>
      </c>
      <c r="BZ194" s="20">
        <f>+Tabla14[[#This Row],[Asignación mes n+1]]-Tabla14[[#This Row],[Ponderación mes n+1]]</f>
        <v>6118.5013124962607</v>
      </c>
      <c r="CA194" s="20">
        <f>IFERROR(VLOOKUP(Tabla14[[#This Row],[Llave]],[14]Hoja2!$J:$N,5,FALSE),0)</f>
        <v>27000</v>
      </c>
      <c r="CB194" s="20">
        <f>+Tabla14[[#This Row],[Asignación mes n+2]]*Tabla14[[#This Row],[% Uti. producción]]</f>
        <v>20881.498619520389</v>
      </c>
      <c r="CC194" s="20">
        <f>+Tabla14[[#This Row],[Saldo mes n+2]]+Tabla14[[#This Row],[Ponderación mes n+2]]</f>
        <v>26999.99993201665</v>
      </c>
      <c r="CD194" s="20">
        <f>+Tabla14[[#This Row],[Asignación mes n+2]]-Tabla14[[#This Row],[Ponderación mes n+2]]</f>
        <v>6118.5013804796108</v>
      </c>
    </row>
    <row r="195" spans="1:82" ht="16" x14ac:dyDescent="0.2">
      <c r="A195">
        <v>1</v>
      </c>
      <c r="B195" t="str">
        <f>Tabla14[[#This Row],[Oficina]]&amp;Tabla14[[#This Row],[Material]]</f>
        <v>Exportacion Directa1023194</v>
      </c>
      <c r="C195" t="s">
        <v>6</v>
      </c>
      <c r="D195" t="s">
        <v>88</v>
      </c>
      <c r="E195">
        <v>1023194</v>
      </c>
      <c r="F195" t="s">
        <v>128</v>
      </c>
      <c r="G195" t="s">
        <v>56</v>
      </c>
      <c r="H195" t="s">
        <v>57</v>
      </c>
      <c r="I195" s="7">
        <f>IFERROR(IF(Tabla14[[#This Row],[Oficina]]=$I$7,VLOOKUP(Tabla14[[#This Row],[Material]],'[6]RV Producción'!$Y:$AA,3,FALSE),VLOOKUP(Tabla14[[#This Row],[Llave]],'[6]RV Producción'!$C:$G,5,FALSE)),0)</f>
        <v>8936</v>
      </c>
      <c r="J195" s="7">
        <f>IFERROR(IF(Tabla14[[#This Row],[Oficina]]=$I$7,VLOOKUP(Tabla14[[#This Row],[Llave]],'[7]Shangai (Tomas)'!$A:$F,6,FALSE),VLOOKUP(Tabla14[[#This Row],[Llave]],'[6]RV plan de ventas'!$A:$E,5,FALSE)),0)</f>
        <v>10000</v>
      </c>
      <c r="K195" s="8">
        <f>IFERROR(VLOOKUP(Tabla14[[#This Row],[Sector]]&amp;Tabla14[[#This Row],[Oficina]],[8]Ponderación!$A$3:$G$22,7,FALSE),0)</f>
        <v>0.77338883776001444</v>
      </c>
      <c r="L195" s="7">
        <f>+Tabla14[[#This Row],[ RV Producción mes n+1]]*Tabla14[[#This Row],[% Uti. producción]]</f>
        <v>6911.0026542234891</v>
      </c>
      <c r="M195" s="7">
        <f>IFERROR(VLOOKUP(Tabla14[[#This Row],[Material]],'[9]TD Stock'!$B:$C,2,FALSE),0)</f>
        <v>10250.008</v>
      </c>
      <c r="N195" s="7">
        <f>IFERROR(VLOOKUP(Tabla14[[#This Row],[Material]],'[10]Consolidado planificación'!$B:$C,2,FALSE),0)</f>
        <v>0</v>
      </c>
      <c r="O195" s="7">
        <f>IFERROR(VLOOKUP(Tabla14[[#This Row],[Llave]],[11]Hoja2!$D:$G,4,FALSE),0)</f>
        <v>2500</v>
      </c>
      <c r="P195" s="14">
        <f>SUM(Tabla14[[#This Row],[Producción disponible]],Tabla14[[#This Row],[Stock al día]],(Tabla14[[#This Row],[Por producir mes N]]*0.9))-Tabla14[[#This Row],[Producción por despachar mes N]]</f>
        <v>14661.01065422349</v>
      </c>
      <c r="Q195" s="7">
        <f>IFERROR(VLOOKUP(Tabla14[[#This Row],[Llave]],[9]DELAY!$A:$D,4,FALSE),0)</f>
        <v>9000</v>
      </c>
      <c r="R195" s="9">
        <v>2000</v>
      </c>
      <c r="S195" s="5">
        <f t="shared" si="7"/>
        <v>9000</v>
      </c>
      <c r="T195" s="76">
        <v>-3000</v>
      </c>
      <c r="U195" s="5">
        <f>+Tabla14[[#This Row],[Atraso a facturar]]+Tabla14[[#This Row],[Ajuste atraso]]</f>
        <v>6000</v>
      </c>
      <c r="V195" s="3">
        <f>+Tabla14[[#This Row],[Total disponible]]-Tabla14[[#This Row],[Facturación atraso]]</f>
        <v>8661.0106542234898</v>
      </c>
      <c r="W195" s="6">
        <f>IFERROR(IF(AND(V195&gt;R195,J195&gt;=R195),ROUNDDOWN((Tabla14[[#This Row],[Producción para venta nueva]])/R195,0)*R195,0),0)</f>
        <v>8000</v>
      </c>
      <c r="X195" s="76">
        <v>-3000</v>
      </c>
      <c r="Y195" s="6">
        <f>IF(Tabla14[[#This Row],[Venta del mes]]&gt;0,Tabla14[[#This Row],[Venta del mes]]+Tabla14[[#This Row],[Ajuste venta nueva]],0)</f>
        <v>5000</v>
      </c>
      <c r="Z195" s="6">
        <f>+Tabla14[[#This Row],[Producción para venta nueva]]-Tabla14[[#This Row],[Facturación Venta nueva]]</f>
        <v>3661.0106542234898</v>
      </c>
      <c r="AA195" s="6">
        <f>IF(AND(A195=1,Tabla14[[#This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95" s="6">
        <v>0</v>
      </c>
      <c r="AC195" s="6">
        <f>IF(Tabla14[[#This Row],[Disponible stock sin venta]]&gt;0,Tabla14[[#This Row],[Disponible stock sin venta]]+Tabla14[[#This Row],[Ajuste stock sin venta]],0)</f>
        <v>0</v>
      </c>
      <c r="AD195" s="3">
        <f>IFERROR(VLOOKUP(Tabla14[[#This Row],[Llave]],[12]Hoja1!$A:$D,4,FALSE),0)</f>
        <v>0</v>
      </c>
      <c r="AE19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17000</v>
      </c>
      <c r="AF195" s="3">
        <v>13000</v>
      </c>
      <c r="AG195" s="3">
        <f>+Tabla14[[#This Row],[En puerto a facturar]]</f>
        <v>0</v>
      </c>
      <c r="AH195" s="3">
        <f>+Tabla14[[#This Row],[Facturación atraso]]</f>
        <v>6000</v>
      </c>
      <c r="AI195" s="3">
        <f>+Tabla14[[#This Row],[Plan Irrestricto (DATO)]]-Tabla14[[#This Row],[Puerto ]]-Tabla14[[#This Row],[Atraso]]</f>
        <v>7000</v>
      </c>
      <c r="AJ195" s="6">
        <f>IF(Tabla14[[#This Row],[Plan Irrestricto (DATO)]]&gt;0,SUM(Tabla14[[#This Row],[Facturación atraso]],Tabla14[[#This Row],[Facturación Venta nueva]],Tabla14[[#This Row],[Facturación stock]],Tabla14[[#This Row],[En puerto a facturar]]),0)</f>
        <v>11000</v>
      </c>
      <c r="AK195" s="3">
        <f>+Tabla14[[#This Row],[Facturación atraso]]</f>
        <v>6000</v>
      </c>
      <c r="AL195" s="3">
        <f>Tabla14[[#This Row],[Plan Ajustado]]-Tabla14[[#This Row],[ Atraso ajustado]]-Tabla14[[#This Row],[En puerto a facturar]]</f>
        <v>5000</v>
      </c>
      <c r="AM195" s="3">
        <v>0</v>
      </c>
      <c r="AN195" s="3"/>
      <c r="AO195" s="3" t="str">
        <f>IF(Tabla14[[#This Row],[Plan Ajustado]]&gt;Tabla14[[#This Row],[En puerto a facturar]],"Si","No")</f>
        <v>Si</v>
      </c>
      <c r="AP195" s="3">
        <f>IF(AND(Tabla14[[#This Row],[Plan Ajustado]]&gt;0,Tabla14[[#This Row],[Plan Ajustado]]&gt;Tabla14[[#This Row],[En puerto a facturar]]),(Tabla14[[#This Row],[Plan Ajustado]]-Tabla14[[#This Row],[En puerto a facturar]]),0)</f>
        <v>11000</v>
      </c>
      <c r="AQ195" s="3">
        <f>IF(Tabla14[[#This Row],[Necesidad]]&gt;=Tabla14[[#This Row],[Stock al día]],Tabla14[[#This Row],[Stock al día]],Tabla14[[#This Row],[Necesidad]])</f>
        <v>10250.008</v>
      </c>
      <c r="AR195" s="3">
        <f>+Tabla14[[#This Row],[Necesidad]]-Tabla14[[#This Row],[Stock Plan]]</f>
        <v>749.99200000000019</v>
      </c>
      <c r="AS195" s="155">
        <f>VLOOKUP(Tabla14[[#This Row],[Sector]]&amp;Tabla14[[#This Row],[Oficina]],[8]Ponderación!$A:$H,8,FALSE)</f>
        <v>44817</v>
      </c>
      <c r="AT195" s="30">
        <f>IFERROR(VLOOKUP(Tabla14[[#This Row],[Llave]],'[6]RV plan de ventas'!$A:$F,6,FALSE),0)</f>
        <v>3.0112999999999999</v>
      </c>
      <c r="AU195" s="83">
        <f>IFERROR(VLOOKUP(Tabla14[[#This Row],[Llave]],[9]DELAY!$H:$X,17,FALSE),0)</f>
        <v>2.9180247259259242</v>
      </c>
      <c r="AV19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2.9604225777777771</v>
      </c>
      <c r="AW195" s="5">
        <f>Tabla14[[#This Row],[Pecio plan]]*Tabla14[[#This Row],[Plan Ajustado]]</f>
        <v>32564.648355555546</v>
      </c>
      <c r="AX195" s="30">
        <f>IFERROR(VLOOKUP(Tabla14[[#This Row],[Llave]],'[13]Ultimos precios facturados'!$A:$G,7,FALSE),0)</f>
        <v>2.9803342754671172</v>
      </c>
      <c r="AY19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6.6810283172746678E-3</v>
      </c>
      <c r="AZ195" s="30">
        <f>IFERROR(VLOOKUP(Tabla14[[#This Row],[Llave]],Hoja2!B:K,10,FALSE),0)</f>
        <v>2.9273596459662397</v>
      </c>
      <c r="BA19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2.9604225777777771</v>
      </c>
      <c r="BB195" s="30">
        <v>0</v>
      </c>
      <c r="BC195" s="30">
        <f>IF(Tabla14[[#This Row],[Market]]=0,Tabla14[[#This Row],[Precio Final]],Tabla14[[#This Row],[Market]])</f>
        <v>2.9604225777777771</v>
      </c>
      <c r="BD195" s="82" t="s">
        <v>759</v>
      </c>
      <c r="BE195" s="82" t="str">
        <f>IF(AND(Tabla14[[#This Row],[Atraso a facturar]]&gt;0,Tabla14[[#This Row],[En puerto a facturar]]&gt;0,Tabla14[[#This Row],[Precio Atraso]]=0),"Revisar","OK")</f>
        <v>OK</v>
      </c>
      <c r="BF195" s="82" t="str">
        <f>IF(AND(Tabla14[[#This Row],[Venta del mes]]&gt;0,Tabla14[[#This Row],[Precio venta nueva]]=0),"Revisar","OK")</f>
        <v>OK</v>
      </c>
      <c r="BG195" s="20">
        <f>IFERROR(VLOOKUP(Tabla14[[#This Row],[Llave]],'[5]Consolidación planes'!$A:$M,9,FALSE),0)</f>
        <v>9000</v>
      </c>
      <c r="BH195" s="20">
        <f>IFERROR(VLOOKUP(Tabla14[[#This Row],[Llave]],'[5]Consolidación planes'!$A:$M,10,FALSE),0)</f>
        <v>5000</v>
      </c>
      <c r="BI195" s="20">
        <f>IFERROR(VLOOKUP(Tabla14[[#This Row],[Llave]],'[5]Consolidación planes'!$A:$M,11,FALSE),0)</f>
        <v>6000</v>
      </c>
      <c r="BJ195" s="20">
        <f>IFERROR(VLOOKUP(Tabla14[[#This Row],[Llave]],'[5]Consolidación planes'!$A:$M,12,FALSE),0)</f>
        <v>12000</v>
      </c>
      <c r="BK195" s="20">
        <f>IFERROR(VLOOKUP(Tabla14[[#This Row],[Llave]],'[5]Consolidación planes'!$A:$M,13,FALSE),0)</f>
        <v>7000</v>
      </c>
      <c r="BL195" s="20">
        <f>IFERROR(VLOOKUP(Tabla14[[#This Row],[Llave]],'[13]Base ultimos planes'!$A:$M,13,FALSE),0)</f>
        <v>12000</v>
      </c>
      <c r="BM195" s="20">
        <f>IFERROR(VLOOKUP(Tabla14[[#This Row],[Llave]],'[13]Cruce plan irrestricto'!$C:$M,10,FALSE),0)</f>
        <v>0</v>
      </c>
      <c r="BN195" s="20">
        <f>IFERROR(VLOOKUP(Tabla14[[#This Row],[Llave]],'[13]Cruce plan irrestricto'!$C:$M,11,FALSE),0)</f>
        <v>0</v>
      </c>
      <c r="BO195" s="80">
        <f>IFERROR(VLOOKUP(Tabla14[[#This Row],[Llave]],'[13]Base ultimos planes'!$O:$AA,8,FALSE),0)</f>
        <v>31228.744600000002</v>
      </c>
      <c r="BP195" s="20">
        <f>IFERROR(VLOOKUP(Tabla14[[#This Row],[Llave]],'[13]Base ultimos planes'!$O:$AA,9,FALSE),0)</f>
        <v>16284</v>
      </c>
      <c r="BQ195" s="20">
        <f>IFERROR(VLOOKUP(Tabla14[[#This Row],[Llave]],'[13]Base ultimos planes'!$O:$AA,10,FALSE),0)</f>
        <v>19454</v>
      </c>
      <c r="BR195" s="20">
        <f>IFERROR(VLOOKUP(Tabla14[[#This Row],[Llave]],'[13]Base ultimos planes'!$O:$AA,11,FALSE),0)</f>
        <v>38303</v>
      </c>
      <c r="BS195" s="20">
        <f>IFERROR(VLOOKUP(Tabla14[[#This Row],[Llave]],'[13]Base ultimos planes'!$O:$AA,12,FALSE),0)</f>
        <v>21812</v>
      </c>
      <c r="BT195" s="20">
        <f>IFERROR(VLOOKUP(Tabla14[[#This Row],[Llave]],'[13]Base ultimos planes'!$O:$AA,13,FALSE),0)</f>
        <v>35498</v>
      </c>
      <c r="BU195" s="20"/>
      <c r="BV195" s="20">
        <f>Tabla14[[#This Row],[ RV Producción mes n+1]]-Tabla14[[#This Row],[Producción disponible]]+Tabla14[[#This Row],[Saldo Volumen disponible]]</f>
        <v>5686.0080000000007</v>
      </c>
      <c r="BW195" s="20">
        <f>IFERROR(VLOOKUP(Tabla14[[#This Row],[Llave]],[14]Hoja2!$J:$N,4,FALSE),0)</f>
        <v>9000</v>
      </c>
      <c r="BX195" s="20">
        <f>+Tabla14[[#This Row],[Asignación mes n+1]]*Tabla14[[#This Row],[% Uti. producción]]</f>
        <v>6960.4995398401297</v>
      </c>
      <c r="BY195" s="20">
        <f>+Tabla14[[#This Row],[Ponderación mes n+1]]+Tabla14[[#This Row],[Saldo mes n-1]]</f>
        <v>12646.507539840131</v>
      </c>
      <c r="BZ195" s="20">
        <f>+Tabla14[[#This Row],[Asignación mes n+1]]-Tabla14[[#This Row],[Ponderación mes n+1]]</f>
        <v>2039.5004601598703</v>
      </c>
      <c r="CA195" s="20">
        <f>IFERROR(VLOOKUP(Tabla14[[#This Row],[Llave]],[14]Hoja2!$J:$N,5,FALSE),0)</f>
        <v>9000</v>
      </c>
      <c r="CB195" s="20">
        <f>+Tabla14[[#This Row],[Asignación mes n+2]]*Tabla14[[#This Row],[% Uti. producción]]</f>
        <v>6960.4995398401297</v>
      </c>
      <c r="CC195" s="20">
        <f>+Tabla14[[#This Row],[Saldo mes n+2]]+Tabla14[[#This Row],[Ponderación mes n+2]]</f>
        <v>9000</v>
      </c>
      <c r="CD195" s="20">
        <f>+Tabla14[[#This Row],[Asignación mes n+2]]-Tabla14[[#This Row],[Ponderación mes n+2]]</f>
        <v>2039.5004601598703</v>
      </c>
    </row>
    <row r="196" spans="1:82" ht="16" x14ac:dyDescent="0.2">
      <c r="A196">
        <v>1</v>
      </c>
      <c r="B196" t="str">
        <f>Tabla14[[#This Row],[Oficina]]&amp;Tabla14[[#This Row],[Material]]</f>
        <v>Exportacion Directa1023301</v>
      </c>
      <c r="C196" t="s">
        <v>6</v>
      </c>
      <c r="D196" t="s">
        <v>88</v>
      </c>
      <c r="E196">
        <v>1023301</v>
      </c>
      <c r="F196" t="s">
        <v>100</v>
      </c>
      <c r="G196" t="s">
        <v>50</v>
      </c>
      <c r="H196" t="s">
        <v>95</v>
      </c>
      <c r="I196" s="7">
        <f>IFERROR(IF(Tabla14[[#This Row],[Oficina]]=$I$7,VLOOKUP(Tabla14[[#This Row],[Material]],'[6]RV Producción'!$Y:$AA,3,FALSE),VLOOKUP(Tabla14[[#This Row],[Llave]],'[6]RV Producción'!$C:$G,5,FALSE)),0)</f>
        <v>0</v>
      </c>
      <c r="J196" s="7">
        <f>IFERROR(IF(Tabla14[[#This Row],[Oficina]]=$I$7,VLOOKUP(Tabla14[[#This Row],[Llave]],'[7]Shangai (Tomas)'!$A:$F,6,FALSE),VLOOKUP(Tabla14[[#This Row],[Llave]],'[6]RV plan de ventas'!$A:$E,5,FALSE)),0)</f>
        <v>0</v>
      </c>
      <c r="K196" s="8">
        <f>IFERROR(VLOOKUP(Tabla14[[#This Row],[Sector]]&amp;Tabla14[[#This Row],[Oficina]],[8]Ponderación!$A$3:$G$22,7,FALSE),0)</f>
        <v>0.77338883776001444</v>
      </c>
      <c r="L196" s="7">
        <f>+Tabla14[[#This Row],[ RV Producción mes n+1]]*Tabla14[[#This Row],[% Uti. producción]]</f>
        <v>0</v>
      </c>
      <c r="M196" s="7">
        <f>IFERROR(VLOOKUP(Tabla14[[#This Row],[Material]],'[9]TD Stock'!$B:$C,2,FALSE),0)</f>
        <v>5928.277</v>
      </c>
      <c r="N196" s="7">
        <f>IFERROR(VLOOKUP(Tabla14[[#This Row],[Material]],'[10]Consolidado planificación'!$B:$C,2,FALSE),0)</f>
        <v>0</v>
      </c>
      <c r="O196" s="7">
        <f>IFERROR(VLOOKUP(Tabla14[[#This Row],[Llave]],[11]Hoja2!$D:$G,4,FALSE),0)</f>
        <v>0</v>
      </c>
      <c r="P196" s="14">
        <f>SUM(Tabla14[[#This Row],[Producción disponible]],Tabla14[[#This Row],[Stock al día]],(Tabla14[[#This Row],[Por producir mes N]]*0.9))-Tabla14[[#This Row],[Producción por despachar mes N]]</f>
        <v>5928.277</v>
      </c>
      <c r="Q196" s="7">
        <f>IFERROR(VLOOKUP(Tabla14[[#This Row],[Llave]],[9]DELAY!$A:$D,4,FALSE),0)</f>
        <v>0</v>
      </c>
      <c r="R196" s="9">
        <v>23500</v>
      </c>
      <c r="S196" s="5">
        <f t="shared" si="7"/>
        <v>0</v>
      </c>
      <c r="T196" s="76">
        <v>0</v>
      </c>
      <c r="U196" s="5">
        <f>+Tabla14[[#This Row],[Atraso a facturar]]+Tabla14[[#This Row],[Ajuste atraso]]</f>
        <v>0</v>
      </c>
      <c r="V196" s="3">
        <f>+Tabla14[[#This Row],[Total disponible]]-Tabla14[[#This Row],[Facturación atraso]]</f>
        <v>5928.277</v>
      </c>
      <c r="W196" s="6">
        <f>IFERROR(IF(AND(V196&gt;R196,J196&gt;=R196),ROUNDDOWN((Tabla14[[#This Row],[Producción para venta nueva]])/R196,0)*R196,0),0)</f>
        <v>0</v>
      </c>
      <c r="X196" s="76">
        <v>0</v>
      </c>
      <c r="Y196" s="6">
        <f>IF(Tabla14[[#This Row],[Venta del mes]]&gt;0,Tabla14[[#This Row],[Venta del mes]]+Tabla14[[#This Row],[Ajuste venta nueva]],0)</f>
        <v>0</v>
      </c>
      <c r="Z196" s="6">
        <f>+Tabla14[[#This Row],[Producción para venta nueva]]-Tabla14[[#This Row],[Facturación Venta nueva]]</f>
        <v>5928.277</v>
      </c>
      <c r="AA196" s="6">
        <f>IF(AND(A196=1,Tabla14[[#This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96" s="6">
        <v>0</v>
      </c>
      <c r="AC196" s="6">
        <f>IF(Tabla14[[#This Row],[Disponible stock sin venta]]&gt;0,Tabla14[[#This Row],[Disponible stock sin venta]]+Tabla14[[#This Row],[Ajuste stock sin venta]],0)</f>
        <v>0</v>
      </c>
      <c r="AD196" s="3">
        <f>IFERROR(VLOOKUP(Tabla14[[#This Row],[Llave]],[12]Hoja1!$A:$D,4,FALSE),0)</f>
        <v>0</v>
      </c>
      <c r="AE19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196" s="3">
        <v>0</v>
      </c>
      <c r="AG196" s="3">
        <f>+Tabla14[[#This Row],[En puerto a facturar]]</f>
        <v>0</v>
      </c>
      <c r="AH196" s="3">
        <f>+Tabla14[[#This Row],[Facturación atraso]]</f>
        <v>0</v>
      </c>
      <c r="AI196" s="3">
        <f>+Tabla14[[#This Row],[Plan Irrestricto (DATO)]]-Tabla14[[#This Row],[Puerto ]]-Tabla14[[#This Row],[Atraso]]</f>
        <v>0</v>
      </c>
      <c r="AJ19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196" s="3">
        <f>+Tabla14[[#This Row],[Facturación atraso]]</f>
        <v>0</v>
      </c>
      <c r="AL196" s="3">
        <f>Tabla14[[#This Row],[Plan Ajustado]]-Tabla14[[#This Row],[ Atraso ajustado]]-Tabla14[[#This Row],[En puerto a facturar]]</f>
        <v>0</v>
      </c>
      <c r="AM196" s="3">
        <v>0</v>
      </c>
      <c r="AN196" s="3"/>
      <c r="AO196" s="3" t="str">
        <f>IF(Tabla14[[#This Row],[Plan Ajustado]]&gt;Tabla14[[#This Row],[En puerto a facturar]],"Si","No")</f>
        <v>No</v>
      </c>
      <c r="AP19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196" s="3">
        <f>IF(Tabla14[[#This Row],[Necesidad]]&gt;=Tabla14[[#This Row],[Stock al día]],Tabla14[[#This Row],[Stock al día]],Tabla14[[#This Row],[Necesidad]])</f>
        <v>0</v>
      </c>
      <c r="AR196" s="3">
        <f>+Tabla14[[#This Row],[Necesidad]]-Tabla14[[#This Row],[Stock Plan]]</f>
        <v>0</v>
      </c>
      <c r="AS196" s="155">
        <f>VLOOKUP(Tabla14[[#This Row],[Sector]]&amp;Tabla14[[#This Row],[Oficina]],[8]Ponderación!$A:$H,8,FALSE)</f>
        <v>44817</v>
      </c>
      <c r="AT196" s="30">
        <f>IFERROR(VLOOKUP(Tabla14[[#This Row],[Llave]],'[6]RV plan de ventas'!$A:$F,6,FALSE),0)</f>
        <v>0</v>
      </c>
      <c r="AU196" s="83">
        <f>IFERROR(VLOOKUP(Tabla14[[#This Row],[Llave]],[9]DELAY!$H:$X,17,FALSE),0)</f>
        <v>0</v>
      </c>
      <c r="AV19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196" s="5">
        <f>Tabla14[[#This Row],[Pecio plan]]*Tabla14[[#This Row],[Plan Ajustado]]</f>
        <v>0</v>
      </c>
      <c r="AX196" s="30">
        <f>IFERROR(VLOOKUP(Tabla14[[#This Row],[Llave]],'[13]Ultimos precios facturados'!$A:$G,7,FALSE),0)</f>
        <v>3.8371083868837044</v>
      </c>
      <c r="AY19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196" s="30">
        <f>IFERROR(VLOOKUP(Tabla14[[#This Row],[Llave]],Hoja2!B:K,10,FALSE),0)</f>
        <v>3.6380178340425502</v>
      </c>
      <c r="BA19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196" s="30">
        <v>0</v>
      </c>
      <c r="BC196" s="30">
        <f>IF(Tabla14[[#This Row],[Market]]=0,Tabla14[[#This Row],[Precio Final]],Tabla14[[#This Row],[Market]])</f>
        <v>0</v>
      </c>
      <c r="BD196" s="82"/>
      <c r="BE196" s="82" t="str">
        <f>IF(AND(Tabla14[[#This Row],[Atraso a facturar]]&gt;0,Tabla14[[#This Row],[En puerto a facturar]]&gt;0,Tabla14[[#This Row],[Precio Atraso]]=0),"Revisar","OK")</f>
        <v>OK</v>
      </c>
      <c r="BF196" s="82" t="str">
        <f>IF(AND(Tabla14[[#This Row],[Venta del mes]]&gt;0,Tabla14[[#This Row],[Precio venta nueva]]=0),"Revisar","OK")</f>
        <v>OK</v>
      </c>
      <c r="BG196" s="20">
        <f>IFERROR(VLOOKUP(Tabla14[[#This Row],[Llave]],'[5]Consolidación planes'!$A:$M,9,FALSE),0)</f>
        <v>60000</v>
      </c>
      <c r="BH196" s="20">
        <f>IFERROR(VLOOKUP(Tabla14[[#This Row],[Llave]],'[5]Consolidación planes'!$A:$M,10,FALSE),0)</f>
        <v>70000</v>
      </c>
      <c r="BI196" s="20">
        <f>IFERROR(VLOOKUP(Tabla14[[#This Row],[Llave]],'[5]Consolidación planes'!$A:$M,11,FALSE),0)</f>
        <v>35000</v>
      </c>
      <c r="BJ196" s="20">
        <f>IFERROR(VLOOKUP(Tabla14[[#This Row],[Llave]],'[5]Consolidación planes'!$A:$M,12,FALSE),0)</f>
        <v>23500</v>
      </c>
      <c r="BK196" s="20">
        <f>IFERROR(VLOOKUP(Tabla14[[#This Row],[Llave]],'[5]Consolidación planes'!$A:$M,13,FALSE),0)</f>
        <v>23500</v>
      </c>
      <c r="BL196" s="20">
        <f>IFERROR(VLOOKUP(Tabla14[[#This Row],[Llave]],'[13]Base ultimos planes'!$A:$M,13,FALSE),0)</f>
        <v>30000</v>
      </c>
      <c r="BM196" s="20">
        <f>IFERROR(VLOOKUP(Tabla14[[#This Row],[Llave]],'[13]Cruce plan irrestricto'!$C:$M,10,FALSE),0)</f>
        <v>0</v>
      </c>
      <c r="BN196" s="20">
        <f>IFERROR(VLOOKUP(Tabla14[[#This Row],[Llave]],'[13]Cruce plan irrestricto'!$C:$M,11,FALSE),0)</f>
        <v>0</v>
      </c>
      <c r="BO196" s="80">
        <f>IFERROR(VLOOKUP(Tabla14[[#This Row],[Llave]],'[13]Base ultimos planes'!$O:$AA,8,FALSE),0)</f>
        <v>249969.11989999999</v>
      </c>
      <c r="BP196" s="20">
        <f>IFERROR(VLOOKUP(Tabla14[[#This Row],[Llave]],'[13]Base ultimos planes'!$O:$AA,9,FALSE),0)</f>
        <v>294283</v>
      </c>
      <c r="BQ196" s="20">
        <f>IFERROR(VLOOKUP(Tabla14[[#This Row],[Llave]],'[13]Base ultimos planes'!$O:$AA,10,FALSE),0)</f>
        <v>148549</v>
      </c>
      <c r="BR196" s="20">
        <f>IFERROR(VLOOKUP(Tabla14[[#This Row],[Llave]],'[13]Base ultimos planes'!$O:$AA,11,FALSE),0)</f>
        <v>96585</v>
      </c>
      <c r="BS196" s="20">
        <f>IFERROR(VLOOKUP(Tabla14[[#This Row],[Llave]],'[13]Base ultimos planes'!$O:$AA,12,FALSE),0)</f>
        <v>90551</v>
      </c>
      <c r="BT196" s="20">
        <f>IFERROR(VLOOKUP(Tabla14[[#This Row],[Llave]],'[13]Base ultimos planes'!$O:$AA,13,FALSE),0)</f>
        <v>111333</v>
      </c>
      <c r="BU196" s="20"/>
      <c r="BV196" s="20">
        <f>Tabla14[[#This Row],[ RV Producción mes n+1]]-Tabla14[[#This Row],[Producción disponible]]+Tabla14[[#This Row],[Saldo Volumen disponible]]</f>
        <v>5928.277</v>
      </c>
      <c r="BW196" s="20">
        <f>IFERROR(VLOOKUP(Tabla14[[#This Row],[Llave]],[14]Hoja2!$J:$N,4,FALSE),0)</f>
        <v>21150</v>
      </c>
      <c r="BX196" s="20">
        <f>+Tabla14[[#This Row],[Asignación mes n+1]]*Tabla14[[#This Row],[% Uti. producción]]</f>
        <v>16357.173918624305</v>
      </c>
      <c r="BY196" s="20">
        <f>+Tabla14[[#This Row],[Ponderación mes n+1]]+Tabla14[[#This Row],[Saldo mes n-1]]</f>
        <v>22285.450918624305</v>
      </c>
      <c r="BZ196" s="20">
        <f>+Tabla14[[#This Row],[Asignación mes n+1]]-Tabla14[[#This Row],[Ponderación mes n+1]]</f>
        <v>4792.8260813756951</v>
      </c>
      <c r="CA196" s="20">
        <f>IFERROR(VLOOKUP(Tabla14[[#This Row],[Llave]],[14]Hoja2!$J:$N,5,FALSE),0)</f>
        <v>21150</v>
      </c>
      <c r="CB196" s="20">
        <f>+Tabla14[[#This Row],[Asignación mes n+2]]*Tabla14[[#This Row],[% Uti. producción]]</f>
        <v>16357.173918624305</v>
      </c>
      <c r="CC196" s="20">
        <f>+Tabla14[[#This Row],[Saldo mes n+2]]+Tabla14[[#This Row],[Ponderación mes n+2]]</f>
        <v>21150</v>
      </c>
      <c r="CD196" s="20">
        <f>+Tabla14[[#This Row],[Asignación mes n+2]]-Tabla14[[#This Row],[Ponderación mes n+2]]</f>
        <v>4792.8260813756951</v>
      </c>
    </row>
    <row r="197" spans="1:82" ht="16" x14ac:dyDescent="0.2">
      <c r="A197">
        <v>1</v>
      </c>
      <c r="B197" t="str">
        <f>Tabla14[[#This Row],[Oficina]]&amp;Tabla14[[#This Row],[Material]]</f>
        <v>Exportacion Directa1023349</v>
      </c>
      <c r="C197" t="s">
        <v>6</v>
      </c>
      <c r="D197" t="s">
        <v>88</v>
      </c>
      <c r="E197">
        <v>1023349</v>
      </c>
      <c r="F197" t="s">
        <v>301</v>
      </c>
      <c r="G197" t="s">
        <v>50</v>
      </c>
      <c r="H197" t="s">
        <v>51</v>
      </c>
      <c r="I197" s="7">
        <f>IFERROR(IF(Tabla14[[#This Row],[Oficina]]=$I$7,VLOOKUP(Tabla14[[#This Row],[Material]],'[6]RV Producción'!$Y:$AA,3,FALSE),VLOOKUP(Tabla14[[#This Row],[Llave]],'[6]RV Producción'!$C:$G,5,FALSE)),0)</f>
        <v>4393</v>
      </c>
      <c r="J197" s="7">
        <f>IFERROR(IF(Tabla14[[#This Row],[Oficina]]=$I$7,VLOOKUP(Tabla14[[#This Row],[Llave]],'[7]Shangai (Tomas)'!$A:$F,6,FALSE),VLOOKUP(Tabla14[[#This Row],[Llave]],'[6]RV plan de ventas'!$A:$E,5,FALSE)),0)</f>
        <v>5000</v>
      </c>
      <c r="K197" s="8">
        <f>IFERROR(VLOOKUP(Tabla14[[#This Row],[Sector]]&amp;Tabla14[[#This Row],[Oficina]],[8]Ponderación!$A$3:$G$22,7,FALSE),0)</f>
        <v>0.77338883776001444</v>
      </c>
      <c r="L197" s="7">
        <f>+Tabla14[[#This Row],[ RV Producción mes n+1]]*Tabla14[[#This Row],[% Uti. producción]]</f>
        <v>3397.4971642797436</v>
      </c>
      <c r="M197" s="7">
        <f>IFERROR(VLOOKUP(Tabla14[[#This Row],[Material]],'[9]TD Stock'!$B:$C,2,FALSE),0)</f>
        <v>6487.9960000000001</v>
      </c>
      <c r="N197" s="7">
        <f>IFERROR(VLOOKUP(Tabla14[[#This Row],[Material]],'[10]Consolidado planificación'!$B:$C,2,FALSE),0)</f>
        <v>0</v>
      </c>
      <c r="O197" s="7">
        <f>IFERROR(VLOOKUP(Tabla14[[#This Row],[Llave]],[11]Hoja2!$D:$G,4,FALSE),0)</f>
        <v>0</v>
      </c>
      <c r="P197" s="14">
        <f>SUM(Tabla14[[#This Row],[Producción disponible]],Tabla14[[#This Row],[Stock al día]],(Tabla14[[#This Row],[Por producir mes N]]*0.9))-Tabla14[[#This Row],[Producción por despachar mes N]]</f>
        <v>9885.4931642797437</v>
      </c>
      <c r="Q197" s="7">
        <f>IFERROR(VLOOKUP(Tabla14[[#This Row],[Llave]],[9]DELAY!$A:$D,4,FALSE),0)</f>
        <v>5000</v>
      </c>
      <c r="R197" s="9">
        <v>2500</v>
      </c>
      <c r="S197" s="5">
        <f t="shared" si="7"/>
        <v>5000</v>
      </c>
      <c r="T197" s="76">
        <v>-2000</v>
      </c>
      <c r="U197" s="5">
        <f>+Tabla14[[#This Row],[Atraso a facturar]]+Tabla14[[#This Row],[Ajuste atraso]]</f>
        <v>3000</v>
      </c>
      <c r="V197" s="3">
        <f>+Tabla14[[#This Row],[Total disponible]]-Tabla14[[#This Row],[Facturación atraso]]</f>
        <v>6885.4931642797437</v>
      </c>
      <c r="W197" s="6">
        <f>IFERROR(IF(AND(V197&gt;R197,J197&gt;=R197),ROUNDDOWN((Tabla14[[#This Row],[Producción para venta nueva]])/R197,0)*R197,0),0)</f>
        <v>5000</v>
      </c>
      <c r="X197" s="76">
        <v>-2000</v>
      </c>
      <c r="Y197" s="6">
        <f>IF(Tabla14[[#This Row],[Venta del mes]]&gt;0,Tabla14[[#This Row],[Venta del mes]]+Tabla14[[#This Row],[Ajuste venta nueva]],0)</f>
        <v>3000</v>
      </c>
      <c r="Z197" s="6">
        <f>+Tabla14[[#This Row],[Producción para venta nueva]]-Tabla14[[#This Row],[Facturación Venta nueva]]</f>
        <v>3885.4931642797437</v>
      </c>
      <c r="AA197" s="6">
        <f>IF(AND(A197=1,Tabla14[[#This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97" s="6">
        <v>0</v>
      </c>
      <c r="AC197" s="6">
        <f>IF(Tabla14[[#This Row],[Disponible stock sin venta]]&gt;0,Tabla14[[#This Row],[Disponible stock sin venta]]+Tabla14[[#This Row],[Ajuste stock sin venta]],0)</f>
        <v>0</v>
      </c>
      <c r="AD197" s="3">
        <f>IFERROR(VLOOKUP(Tabla14[[#This Row],[Llave]],[12]Hoja1!$A:$D,4,FALSE),0)</f>
        <v>0</v>
      </c>
      <c r="AE19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10000</v>
      </c>
      <c r="AF197" s="3">
        <v>7500</v>
      </c>
      <c r="AG197" s="3">
        <f>+Tabla14[[#This Row],[En puerto a facturar]]</f>
        <v>0</v>
      </c>
      <c r="AH197" s="3">
        <f>+Tabla14[[#This Row],[Facturación atraso]]</f>
        <v>3000</v>
      </c>
      <c r="AI197" s="3">
        <f>+Tabla14[[#This Row],[Plan Irrestricto (DATO)]]-Tabla14[[#This Row],[Puerto ]]-Tabla14[[#This Row],[Atraso]]</f>
        <v>4500</v>
      </c>
      <c r="AJ197" s="6">
        <f>IF(Tabla14[[#This Row],[Plan Irrestricto (DATO)]]&gt;0,SUM(Tabla14[[#This Row],[Facturación atraso]],Tabla14[[#This Row],[Facturación Venta nueva]],Tabla14[[#This Row],[Facturación stock]],Tabla14[[#This Row],[En puerto a facturar]]),0)</f>
        <v>6000</v>
      </c>
      <c r="AK197" s="3">
        <f>+Tabla14[[#This Row],[Facturación atraso]]</f>
        <v>3000</v>
      </c>
      <c r="AL197" s="3">
        <f>Tabla14[[#This Row],[Plan Ajustado]]-Tabla14[[#This Row],[ Atraso ajustado]]-Tabla14[[#This Row],[En puerto a facturar]]</f>
        <v>3000</v>
      </c>
      <c r="AM197" s="3">
        <v>0</v>
      </c>
      <c r="AN197" s="3"/>
      <c r="AO197" s="3" t="str">
        <f>IF(Tabla14[[#This Row],[Plan Ajustado]]&gt;Tabla14[[#This Row],[En puerto a facturar]],"Si","No")</f>
        <v>Si</v>
      </c>
      <c r="AP197" s="3">
        <f>IF(AND(Tabla14[[#This Row],[Plan Ajustado]]&gt;0,Tabla14[[#This Row],[Plan Ajustado]]&gt;Tabla14[[#This Row],[En puerto a facturar]]),(Tabla14[[#This Row],[Plan Ajustado]]-Tabla14[[#This Row],[En puerto a facturar]]),0)</f>
        <v>6000</v>
      </c>
      <c r="AQ197" s="3">
        <f>IF(Tabla14[[#This Row],[Necesidad]]&gt;=Tabla14[[#This Row],[Stock al día]],Tabla14[[#This Row],[Stock al día]],Tabla14[[#This Row],[Necesidad]])</f>
        <v>6000</v>
      </c>
      <c r="AR197" s="3">
        <f>+Tabla14[[#This Row],[Necesidad]]-Tabla14[[#This Row],[Stock Plan]]</f>
        <v>0</v>
      </c>
      <c r="AS197" s="155">
        <f>VLOOKUP(Tabla14[[#This Row],[Sector]]&amp;Tabla14[[#This Row],[Oficina]],[8]Ponderación!$A:$H,8,FALSE)</f>
        <v>44817</v>
      </c>
      <c r="AT197" s="30">
        <f>IFERROR(VLOOKUP(Tabla14[[#This Row],[Llave]],'[6]RV plan de ventas'!$A:$F,6,FALSE),0)</f>
        <v>3.9089999999999998</v>
      </c>
      <c r="AU197" s="83">
        <f>IFERROR(VLOOKUP(Tabla14[[#This Row],[Llave]],[9]DELAY!$H:$X,17,FALSE),0)</f>
        <v>3.83225748</v>
      </c>
      <c r="AV19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3.8706287399999999</v>
      </c>
      <c r="AW197" s="5">
        <f>Tabla14[[#This Row],[Pecio plan]]*Tabla14[[#This Row],[Plan Ajustado]]</f>
        <v>23223.772440000001</v>
      </c>
      <c r="AX197" s="30">
        <f>IFERROR(VLOOKUP(Tabla14[[#This Row],[Llave]],'[13]Ultimos precios facturados'!$A:$G,7,FALSE),0)</f>
        <v>3.7802830970233039</v>
      </c>
      <c r="AY19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2.3899173860242526E-2</v>
      </c>
      <c r="AZ197" s="30">
        <f>IFERROR(VLOOKUP(Tabla14[[#This Row],[Llave]],Hoja2!B:K,10,FALSE),0)</f>
        <v>3.7270129759999997</v>
      </c>
      <c r="BA19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3.8706287399999999</v>
      </c>
      <c r="BB197" s="30">
        <v>0</v>
      </c>
      <c r="BC197" s="30">
        <f>IF(Tabla14[[#This Row],[Market]]=0,Tabla14[[#This Row],[Precio Final]],Tabla14[[#This Row],[Market]])</f>
        <v>3.8706287399999999</v>
      </c>
      <c r="BD197" s="82"/>
      <c r="BE197" s="82" t="str">
        <f>IF(AND(Tabla14[[#This Row],[Atraso a facturar]]&gt;0,Tabla14[[#This Row],[En puerto a facturar]]&gt;0,Tabla14[[#This Row],[Precio Atraso]]=0),"Revisar","OK")</f>
        <v>OK</v>
      </c>
      <c r="BF197" s="82" t="str">
        <f>IF(AND(Tabla14[[#This Row],[Venta del mes]]&gt;0,Tabla14[[#This Row],[Precio venta nueva]]=0),"Revisar","OK")</f>
        <v>OK</v>
      </c>
      <c r="BG197" s="20">
        <f>IFERROR(VLOOKUP(Tabla14[[#This Row],[Llave]],'[5]Consolidación planes'!$A:$M,9,FALSE),0)</f>
        <v>0</v>
      </c>
      <c r="BH197" s="20">
        <f>IFERROR(VLOOKUP(Tabla14[[#This Row],[Llave]],'[5]Consolidación planes'!$A:$M,10,FALSE),0)</f>
        <v>0</v>
      </c>
      <c r="BI197" s="20">
        <f>IFERROR(VLOOKUP(Tabla14[[#This Row],[Llave]],'[5]Consolidación planes'!$A:$M,11,FALSE),0)</f>
        <v>2000</v>
      </c>
      <c r="BJ197" s="20">
        <f>IFERROR(VLOOKUP(Tabla14[[#This Row],[Llave]],'[5]Consolidación planes'!$A:$M,12,FALSE),0)</f>
        <v>5000</v>
      </c>
      <c r="BK197" s="20">
        <f>IFERROR(VLOOKUP(Tabla14[[#This Row],[Llave]],'[5]Consolidación planes'!$A:$M,13,FALSE),0)</f>
        <v>7500</v>
      </c>
      <c r="BL197" s="20">
        <f>IFERROR(VLOOKUP(Tabla14[[#This Row],[Llave]],'[13]Base ultimos planes'!$A:$M,13,FALSE),0)</f>
        <v>12500</v>
      </c>
      <c r="BM197" s="20">
        <f>IFERROR(VLOOKUP(Tabla14[[#This Row],[Llave]],'[13]Cruce plan irrestricto'!$C:$M,10,FALSE),0)</f>
        <v>0</v>
      </c>
      <c r="BN197" s="20">
        <f>IFERROR(VLOOKUP(Tabla14[[#This Row],[Llave]],'[13]Cruce plan irrestricto'!$C:$M,11,FALSE),0)</f>
        <v>0</v>
      </c>
      <c r="BO197" s="80">
        <f>IFERROR(VLOOKUP(Tabla14[[#This Row],[Llave]],'[13]Base ultimos planes'!$O:$AA,8,FALSE),0)</f>
        <v>0</v>
      </c>
      <c r="BP197" s="20">
        <f>IFERROR(VLOOKUP(Tabla14[[#This Row],[Llave]],'[13]Base ultimos planes'!$O:$AA,9,FALSE),0)</f>
        <v>0</v>
      </c>
      <c r="BQ197" s="20">
        <f>IFERROR(VLOOKUP(Tabla14[[#This Row],[Llave]],'[13]Base ultimos planes'!$O:$AA,10,FALSE),0)</f>
        <v>8694</v>
      </c>
      <c r="BR197" s="20">
        <f>IFERROR(VLOOKUP(Tabla14[[#This Row],[Llave]],'[13]Base ultimos planes'!$O:$AA,11,FALSE),0)</f>
        <v>20882</v>
      </c>
      <c r="BS197" s="20">
        <f>IFERROR(VLOOKUP(Tabla14[[#This Row],[Llave]],'[13]Base ultimos planes'!$O:$AA,12,FALSE),0)</f>
        <v>30493</v>
      </c>
      <c r="BT197" s="20">
        <f>IFERROR(VLOOKUP(Tabla14[[#This Row],[Llave]],'[13]Base ultimos planes'!$O:$AA,13,FALSE),0)</f>
        <v>47061</v>
      </c>
      <c r="BU197" s="20"/>
      <c r="BV197" s="20">
        <f>Tabla14[[#This Row],[ RV Producción mes n+1]]-Tabla14[[#This Row],[Producción disponible]]+Tabla14[[#This Row],[Saldo Volumen disponible]]</f>
        <v>4880.9960000000001</v>
      </c>
      <c r="BW197" s="20">
        <f>IFERROR(VLOOKUP(Tabla14[[#This Row],[Llave]],[14]Hoja2!$J:$N,4,FALSE),0)</f>
        <v>4500</v>
      </c>
      <c r="BX197" s="20">
        <f>+Tabla14[[#This Row],[Asignación mes n+1]]*Tabla14[[#This Row],[% Uti. producción]]</f>
        <v>3480.2497699200649</v>
      </c>
      <c r="BY197" s="20">
        <f>+Tabla14[[#This Row],[Ponderación mes n+1]]+Tabla14[[#This Row],[Saldo mes n-1]]</f>
        <v>8361.245769920064</v>
      </c>
      <c r="BZ197" s="20">
        <f>+Tabla14[[#This Row],[Asignación mes n+1]]-Tabla14[[#This Row],[Ponderación mes n+1]]</f>
        <v>1019.7502300799351</v>
      </c>
      <c r="CA197" s="20">
        <f>IFERROR(VLOOKUP(Tabla14[[#This Row],[Llave]],[14]Hoja2!$J:$N,5,FALSE),0)</f>
        <v>4500</v>
      </c>
      <c r="CB197" s="20">
        <f>+Tabla14[[#This Row],[Asignación mes n+2]]*Tabla14[[#This Row],[% Uti. producción]]</f>
        <v>3480.2497699200649</v>
      </c>
      <c r="CC197" s="20">
        <f>+Tabla14[[#This Row],[Saldo mes n+2]]+Tabla14[[#This Row],[Ponderación mes n+2]]</f>
        <v>4500</v>
      </c>
      <c r="CD197" s="20">
        <f>+Tabla14[[#This Row],[Asignación mes n+2]]-Tabla14[[#This Row],[Ponderación mes n+2]]</f>
        <v>1019.7502300799351</v>
      </c>
    </row>
    <row r="198" spans="1:82" ht="16" x14ac:dyDescent="0.2">
      <c r="A198">
        <v>1</v>
      </c>
      <c r="B198" t="str">
        <f>Tabla14[[#This Row],[Oficina]]&amp;Tabla14[[#This Row],[Material]]</f>
        <v>Exportacion Directa1023350</v>
      </c>
      <c r="C198" t="s">
        <v>6</v>
      </c>
      <c r="D198" t="s">
        <v>88</v>
      </c>
      <c r="E198">
        <v>1023350</v>
      </c>
      <c r="F198" t="s">
        <v>302</v>
      </c>
      <c r="G198" t="s">
        <v>50</v>
      </c>
      <c r="H198" t="s">
        <v>110</v>
      </c>
      <c r="I198" s="7">
        <f>IFERROR(IF(Tabla14[[#This Row],[Oficina]]=$I$7,VLOOKUP(Tabla14[[#This Row],[Material]],'[6]RV Producción'!$Y:$AA,3,FALSE),VLOOKUP(Tabla14[[#This Row],[Llave]],'[6]RV Producción'!$C:$G,5,FALSE)),0)</f>
        <v>15287</v>
      </c>
      <c r="J198" s="7">
        <f>IFERROR(IF(Tabla14[[#This Row],[Oficina]]=$I$7,VLOOKUP(Tabla14[[#This Row],[Llave]],'[7]Shangai (Tomas)'!$A:$F,6,FALSE),VLOOKUP(Tabla14[[#This Row],[Llave]],'[6]RV plan de ventas'!$A:$E,5,FALSE)),0)</f>
        <v>20000</v>
      </c>
      <c r="K198" s="8">
        <f>IFERROR(VLOOKUP(Tabla14[[#This Row],[Sector]]&amp;Tabla14[[#This Row],[Oficina]],[8]Ponderación!$A$3:$G$22,7,FALSE),0)</f>
        <v>0.77338883776001444</v>
      </c>
      <c r="L198" s="7">
        <f>+Tabla14[[#This Row],[ RV Producción mes n+1]]*Tabla14[[#This Row],[% Uti. producción]]</f>
        <v>11822.795162837341</v>
      </c>
      <c r="M198" s="7">
        <f>IFERROR(VLOOKUP(Tabla14[[#This Row],[Material]],'[9]TD Stock'!$B:$C,2,FALSE),0)</f>
        <v>24526.330999999991</v>
      </c>
      <c r="N198" s="7">
        <f>IFERROR(VLOOKUP(Tabla14[[#This Row],[Material]],'[10]Consolidado planificación'!$B:$C,2,FALSE),0)</f>
        <v>1002.5590944954307</v>
      </c>
      <c r="O198" s="7">
        <f>IFERROR(VLOOKUP(Tabla14[[#This Row],[Llave]],[11]Hoja2!$D:$G,4,FALSE),0)</f>
        <v>0</v>
      </c>
      <c r="P198" s="14">
        <f>SUM(Tabla14[[#This Row],[Producción disponible]],Tabla14[[#This Row],[Stock al día]],(Tabla14[[#This Row],[Por producir mes N]]*0.9))-Tabla14[[#This Row],[Producción por despachar mes N]]</f>
        <v>37251.429347883219</v>
      </c>
      <c r="Q198" s="7">
        <f>IFERROR(VLOOKUP(Tabla14[[#This Row],[Llave]],[9]DELAY!$A:$D,4,FALSE),0)</f>
        <v>27500</v>
      </c>
      <c r="R198" s="9">
        <v>5000</v>
      </c>
      <c r="S198" s="5">
        <f t="shared" si="7"/>
        <v>27500</v>
      </c>
      <c r="T198" s="76">
        <v>-12000</v>
      </c>
      <c r="U198" s="5">
        <f>+Tabla14[[#This Row],[Atraso a facturar]]+Tabla14[[#This Row],[Ajuste atraso]]</f>
        <v>15500</v>
      </c>
      <c r="V198" s="3">
        <f>+Tabla14[[#This Row],[Total disponible]]-Tabla14[[#This Row],[Facturación atraso]]</f>
        <v>21751.429347883219</v>
      </c>
      <c r="W198" s="6">
        <f>IFERROR(IF(AND(V198&gt;R198,J198&gt;=R198),ROUNDDOWN((Tabla14[[#This Row],[Producción para venta nueva]])/R198,0)*R198,0),0)</f>
        <v>20000</v>
      </c>
      <c r="X198" s="76">
        <v>-10000</v>
      </c>
      <c r="Y198" s="6">
        <f>IF(Tabla14[[#This Row],[Venta del mes]]&gt;0,Tabla14[[#This Row],[Venta del mes]]+Tabla14[[#This Row],[Ajuste venta nueva]],0)</f>
        <v>10000</v>
      </c>
      <c r="Z198" s="6">
        <f>+Tabla14[[#This Row],[Producción para venta nueva]]-Tabla14[[#This Row],[Facturación Venta nueva]]</f>
        <v>11751.429347883219</v>
      </c>
      <c r="AA198" s="6">
        <f>IF(AND(A198=1,Tabla14[[#This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98" s="6">
        <v>0</v>
      </c>
      <c r="AC198" s="6">
        <f>IF(Tabla14[[#This Row],[Disponible stock sin venta]]&gt;0,Tabla14[[#This Row],[Disponible stock sin venta]]+Tabla14[[#This Row],[Ajuste stock sin venta]],0)</f>
        <v>0</v>
      </c>
      <c r="AD198" s="3">
        <f>IFERROR(VLOOKUP(Tabla14[[#This Row],[Llave]],[12]Hoja1!$A:$D,4,FALSE),0)</f>
        <v>0</v>
      </c>
      <c r="AE19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47500</v>
      </c>
      <c r="AF198" s="3">
        <v>32500</v>
      </c>
      <c r="AG198" s="3">
        <f>+Tabla14[[#This Row],[En puerto a facturar]]</f>
        <v>0</v>
      </c>
      <c r="AH198" s="3">
        <f>+Tabla14[[#This Row],[Facturación atraso]]</f>
        <v>15500</v>
      </c>
      <c r="AI198" s="3">
        <f>+Tabla14[[#This Row],[Plan Irrestricto (DATO)]]-Tabla14[[#This Row],[Puerto ]]-Tabla14[[#This Row],[Atraso]]</f>
        <v>17000</v>
      </c>
      <c r="AJ198" s="6">
        <f>IF(Tabla14[[#This Row],[Plan Irrestricto (DATO)]]&gt;0,SUM(Tabla14[[#This Row],[Facturación atraso]],Tabla14[[#This Row],[Facturación Venta nueva]],Tabla14[[#This Row],[Facturación stock]],Tabla14[[#This Row],[En puerto a facturar]]),0)</f>
        <v>25500</v>
      </c>
      <c r="AK198" s="3">
        <f>+Tabla14[[#This Row],[Facturación atraso]]</f>
        <v>15500</v>
      </c>
      <c r="AL198" s="3">
        <f>Tabla14[[#This Row],[Plan Ajustado]]-Tabla14[[#This Row],[ Atraso ajustado]]-Tabla14[[#This Row],[En puerto a facturar]]</f>
        <v>10000</v>
      </c>
      <c r="AM198" s="3">
        <v>0</v>
      </c>
      <c r="AN198" s="3"/>
      <c r="AO198" s="3" t="str">
        <f>IF(Tabla14[[#This Row],[Plan Ajustado]]&gt;Tabla14[[#This Row],[En puerto a facturar]],"Si","No")</f>
        <v>Si</v>
      </c>
      <c r="AP198" s="3">
        <f>IF(AND(Tabla14[[#This Row],[Plan Ajustado]]&gt;0,Tabla14[[#This Row],[Plan Ajustado]]&gt;Tabla14[[#This Row],[En puerto a facturar]]),(Tabla14[[#This Row],[Plan Ajustado]]-Tabla14[[#This Row],[En puerto a facturar]]),0)</f>
        <v>25500</v>
      </c>
      <c r="AQ198" s="3">
        <f>IF(Tabla14[[#This Row],[Necesidad]]&gt;=Tabla14[[#This Row],[Stock al día]],Tabla14[[#This Row],[Stock al día]],Tabla14[[#This Row],[Necesidad]])</f>
        <v>24526.330999999991</v>
      </c>
      <c r="AR198" s="3">
        <f>+Tabla14[[#This Row],[Necesidad]]-Tabla14[[#This Row],[Stock Plan]]</f>
        <v>973.66900000000896</v>
      </c>
      <c r="AS198" s="155">
        <f>VLOOKUP(Tabla14[[#This Row],[Sector]]&amp;Tabla14[[#This Row],[Oficina]],[8]Ponderación!$A:$H,8,FALSE)</f>
        <v>44817</v>
      </c>
      <c r="AT198" s="30">
        <f>IFERROR(VLOOKUP(Tabla14[[#This Row],[Llave]],'[6]RV plan de ventas'!$A:$F,6,FALSE),0)</f>
        <v>3.5350000000000001</v>
      </c>
      <c r="AU198" s="83">
        <f>IFERROR(VLOOKUP(Tabla14[[#This Row],[Llave]],[9]DELAY!$H:$X,17,FALSE),0)</f>
        <v>3.483973331818182</v>
      </c>
      <c r="AV19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3.5039837899286992</v>
      </c>
      <c r="AW198" s="5">
        <f>Tabla14[[#This Row],[Pecio plan]]*Tabla14[[#This Row],[Plan Ajustado]]</f>
        <v>89351.586643181829</v>
      </c>
      <c r="AX198" s="30">
        <f>IFERROR(VLOOKUP(Tabla14[[#This Row],[Llave]],'[13]Ultimos precios facturados'!$A:$G,7,FALSE),0)</f>
        <v>3.4435291759521225</v>
      </c>
      <c r="AY19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1.7556004577734187E-2</v>
      </c>
      <c r="AZ198" s="30">
        <f>IFERROR(VLOOKUP(Tabla14[[#This Row],[Llave]],Hoja2!B:K,10,FALSE),0)</f>
        <v>3.5069446138211378</v>
      </c>
      <c r="BA19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3.5039837899286992</v>
      </c>
      <c r="BB198" s="30">
        <v>0</v>
      </c>
      <c r="BC198" s="30">
        <f>IF(Tabla14[[#This Row],[Market]]=0,Tabla14[[#This Row],[Precio Final]],Tabla14[[#This Row],[Market]])</f>
        <v>3.5039837899286992</v>
      </c>
      <c r="BD198" s="82"/>
      <c r="BE198" s="82" t="str">
        <f>IF(AND(Tabla14[[#This Row],[Atraso a facturar]]&gt;0,Tabla14[[#This Row],[En puerto a facturar]]&gt;0,Tabla14[[#This Row],[Precio Atraso]]=0),"Revisar","OK")</f>
        <v>OK</v>
      </c>
      <c r="BF198" s="82" t="str">
        <f>IF(AND(Tabla14[[#This Row],[Venta del mes]]&gt;0,Tabla14[[#This Row],[Precio venta nueva]]=0),"Revisar","OK")</f>
        <v>OK</v>
      </c>
      <c r="BG198" s="20">
        <f>IFERROR(VLOOKUP(Tabla14[[#This Row],[Llave]],'[5]Consolidación planes'!$A:$M,9,FALSE),0)</f>
        <v>0</v>
      </c>
      <c r="BH198" s="20">
        <f>IFERROR(VLOOKUP(Tabla14[[#This Row],[Llave]],'[5]Consolidación planes'!$A:$M,10,FALSE),0)</f>
        <v>0</v>
      </c>
      <c r="BI198" s="20">
        <f>IFERROR(VLOOKUP(Tabla14[[#This Row],[Llave]],'[5]Consolidación planes'!$A:$M,11,FALSE),0)</f>
        <v>35000</v>
      </c>
      <c r="BJ198" s="20">
        <f>IFERROR(VLOOKUP(Tabla14[[#This Row],[Llave]],'[5]Consolidación planes'!$A:$M,12,FALSE),0)</f>
        <v>15000</v>
      </c>
      <c r="BK198" s="20">
        <f>IFERROR(VLOOKUP(Tabla14[[#This Row],[Llave]],'[5]Consolidación planes'!$A:$M,13,FALSE),0)</f>
        <v>41143</v>
      </c>
      <c r="BL198" s="20">
        <f>IFERROR(VLOOKUP(Tabla14[[#This Row],[Llave]],'[13]Base ultimos planes'!$A:$M,13,FALSE),0)</f>
        <v>26000</v>
      </c>
      <c r="BM198" s="20">
        <f>IFERROR(VLOOKUP(Tabla14[[#This Row],[Llave]],'[13]Cruce plan irrestricto'!$C:$M,10,FALSE),0)</f>
        <v>0</v>
      </c>
      <c r="BN198" s="20">
        <f>IFERROR(VLOOKUP(Tabla14[[#This Row],[Llave]],'[13]Cruce plan irrestricto'!$C:$M,11,FALSE),0)</f>
        <v>0</v>
      </c>
      <c r="BO198" s="80">
        <f>IFERROR(VLOOKUP(Tabla14[[#This Row],[Llave]],'[13]Base ultimos planes'!$O:$AA,8,FALSE),0)</f>
        <v>0</v>
      </c>
      <c r="BP198" s="20">
        <f>IFERROR(VLOOKUP(Tabla14[[#This Row],[Llave]],'[13]Base ultimos planes'!$O:$AA,9,FALSE),0)</f>
        <v>0</v>
      </c>
      <c r="BQ198" s="20">
        <f>IFERROR(VLOOKUP(Tabla14[[#This Row],[Llave]],'[13]Base ultimos planes'!$O:$AA,10,FALSE),0)</f>
        <v>138326</v>
      </c>
      <c r="BR198" s="20">
        <f>IFERROR(VLOOKUP(Tabla14[[#This Row],[Llave]],'[13]Base ultimos planes'!$O:$AA,11,FALSE),0)</f>
        <v>56520</v>
      </c>
      <c r="BS198" s="20">
        <f>IFERROR(VLOOKUP(Tabla14[[#This Row],[Llave]],'[13]Base ultimos planes'!$O:$AA,12,FALSE),0)</f>
        <v>150241</v>
      </c>
      <c r="BT198" s="20">
        <f>IFERROR(VLOOKUP(Tabla14[[#This Row],[Llave]],'[13]Base ultimos planes'!$O:$AA,13,FALSE),0)</f>
        <v>88897</v>
      </c>
      <c r="BU198" s="20"/>
      <c r="BV198" s="20">
        <f>Tabla14[[#This Row],[ RV Producción mes n+1]]-Tabla14[[#This Row],[Producción disponible]]+Tabla14[[#This Row],[Saldo Volumen disponible]]</f>
        <v>15215.634185045878</v>
      </c>
      <c r="BW198" s="20">
        <f>IFERROR(VLOOKUP(Tabla14[[#This Row],[Llave]],[14]Hoja2!$J:$N,4,FALSE),0)</f>
        <v>27000</v>
      </c>
      <c r="BX198" s="20">
        <f>+Tabla14[[#This Row],[Asignación mes n+1]]*Tabla14[[#This Row],[% Uti. producción]]</f>
        <v>20881.498619520389</v>
      </c>
      <c r="BY198" s="20">
        <f>+Tabla14[[#This Row],[Ponderación mes n+1]]+Tabla14[[#This Row],[Saldo mes n-1]]</f>
        <v>36097.132804566267</v>
      </c>
      <c r="BZ198" s="20">
        <f>+Tabla14[[#This Row],[Asignación mes n+1]]-Tabla14[[#This Row],[Ponderación mes n+1]]</f>
        <v>6118.5013804796108</v>
      </c>
      <c r="CA198" s="20">
        <f>IFERROR(VLOOKUP(Tabla14[[#This Row],[Llave]],[14]Hoja2!$J:$N,5,FALSE),0)</f>
        <v>27000</v>
      </c>
      <c r="CB198" s="20">
        <f>+Tabla14[[#This Row],[Asignación mes n+2]]*Tabla14[[#This Row],[% Uti. producción]]</f>
        <v>20881.498619520389</v>
      </c>
      <c r="CC198" s="20">
        <f>+Tabla14[[#This Row],[Saldo mes n+2]]+Tabla14[[#This Row],[Ponderación mes n+2]]</f>
        <v>27000</v>
      </c>
      <c r="CD198" s="20">
        <f>+Tabla14[[#This Row],[Asignación mes n+2]]-Tabla14[[#This Row],[Ponderación mes n+2]]</f>
        <v>6118.5013804796108</v>
      </c>
    </row>
    <row r="199" spans="1:82" ht="16" x14ac:dyDescent="0.2">
      <c r="A199">
        <v>1</v>
      </c>
      <c r="B199" t="str">
        <f>Tabla14[[#This Row],[Oficina]]&amp;Tabla14[[#This Row],[Material]]</f>
        <v>Exportacion Directa1023351</v>
      </c>
      <c r="C199" t="s">
        <v>6</v>
      </c>
      <c r="D199" t="s">
        <v>88</v>
      </c>
      <c r="E199">
        <v>1023351</v>
      </c>
      <c r="F199" t="s">
        <v>303</v>
      </c>
      <c r="G199" t="s">
        <v>56</v>
      </c>
      <c r="H199" t="s">
        <v>57</v>
      </c>
      <c r="I199" s="7">
        <f>IFERROR(IF(Tabla14[[#This Row],[Oficina]]=$I$7,VLOOKUP(Tabla14[[#This Row],[Material]],'[6]RV Producción'!$Y:$AA,3,FALSE),VLOOKUP(Tabla14[[#This Row],[Llave]],'[6]RV Producción'!$C:$G,5,FALSE)),0)</f>
        <v>6152</v>
      </c>
      <c r="J199" s="7">
        <f>IFERROR(IF(Tabla14[[#This Row],[Oficina]]=$I$7,VLOOKUP(Tabla14[[#This Row],[Llave]],'[7]Shangai (Tomas)'!$A:$F,6,FALSE),VLOOKUP(Tabla14[[#This Row],[Llave]],'[6]RV plan de ventas'!$A:$E,5,FALSE)),0)</f>
        <v>5000</v>
      </c>
      <c r="K199" s="8">
        <f>IFERROR(VLOOKUP(Tabla14[[#This Row],[Sector]]&amp;Tabla14[[#This Row],[Oficina]],[8]Ponderación!$A$3:$G$22,7,FALSE),0)</f>
        <v>0.77338883776001444</v>
      </c>
      <c r="L199" s="7">
        <f>+Tabla14[[#This Row],[ RV Producción mes n+1]]*Tabla14[[#This Row],[% Uti. producción]]</f>
        <v>4757.8881298996084</v>
      </c>
      <c r="M199" s="7">
        <f>IFERROR(VLOOKUP(Tabla14[[#This Row],[Material]],'[9]TD Stock'!$B:$C,2,FALSE),0)</f>
        <v>3203.7890000000002</v>
      </c>
      <c r="N199" s="7">
        <f>IFERROR(VLOOKUP(Tabla14[[#This Row],[Material]],'[10]Consolidado planificación'!$B:$C,2,FALSE),0)</f>
        <v>2162.2880732146141</v>
      </c>
      <c r="O199" s="7">
        <f>IFERROR(VLOOKUP(Tabla14[[#This Row],[Llave]],[11]Hoja2!$D:$G,4,FALSE),0)</f>
        <v>0</v>
      </c>
      <c r="P199" s="14">
        <f>SUM(Tabla14[[#This Row],[Producción disponible]],Tabla14[[#This Row],[Stock al día]],(Tabla14[[#This Row],[Por producir mes N]]*0.9))-Tabla14[[#This Row],[Producción por despachar mes N]]</f>
        <v>9907.736395792761</v>
      </c>
      <c r="Q199" s="7">
        <f>IFERROR(VLOOKUP(Tabla14[[#This Row],[Llave]],[9]DELAY!$A:$D,4,FALSE),0)</f>
        <v>5000</v>
      </c>
      <c r="R199" s="9">
        <v>10000</v>
      </c>
      <c r="S199" s="5">
        <f t="shared" si="7"/>
        <v>5000</v>
      </c>
      <c r="T199" s="76">
        <v>-2000</v>
      </c>
      <c r="U199" s="5">
        <f>+Tabla14[[#This Row],[Atraso a facturar]]+Tabla14[[#This Row],[Ajuste atraso]]</f>
        <v>3000</v>
      </c>
      <c r="V199" s="3">
        <f>+Tabla14[[#This Row],[Total disponible]]-Tabla14[[#This Row],[Facturación atraso]]</f>
        <v>6907.736395792761</v>
      </c>
      <c r="W199" s="6">
        <f>IFERROR(IF(AND(V199&gt;R199,J199&gt;=R199),ROUNDDOWN((Tabla14[[#This Row],[Producción para venta nueva]])/R199,0)*R199,0),0)</f>
        <v>0</v>
      </c>
      <c r="X199" s="76">
        <v>0</v>
      </c>
      <c r="Y199" s="6">
        <f>IF(Tabla14[[#This Row],[Venta del mes]]&gt;0,Tabla14[[#This Row],[Venta del mes]]+Tabla14[[#This Row],[Ajuste venta nueva]],0)</f>
        <v>0</v>
      </c>
      <c r="Z199" s="6">
        <f>+Tabla14[[#This Row],[Producción para venta nueva]]-Tabla14[[#This Row],[Facturación Venta nueva]]</f>
        <v>6907.736395792761</v>
      </c>
      <c r="AA199" s="6">
        <f>IF(AND(A199=1,Tabla14[[#This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199" s="6">
        <v>0</v>
      </c>
      <c r="AC199" s="6">
        <f>IF(Tabla14[[#This Row],[Disponible stock sin venta]]&gt;0,Tabla14[[#This Row],[Disponible stock sin venta]]+Tabla14[[#This Row],[Ajuste stock sin venta]],0)</f>
        <v>0</v>
      </c>
      <c r="AD199" s="3">
        <f>IFERROR(VLOOKUP(Tabla14[[#This Row],[Llave]],[12]Hoja1!$A:$D,4,FALSE),0)</f>
        <v>0</v>
      </c>
      <c r="AE19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5000</v>
      </c>
      <c r="AF199" s="3">
        <v>5000</v>
      </c>
      <c r="AG199" s="3">
        <f>+Tabla14[[#This Row],[En puerto a facturar]]</f>
        <v>0</v>
      </c>
      <c r="AH199" s="3">
        <f>+Tabla14[[#This Row],[Facturación atraso]]</f>
        <v>3000</v>
      </c>
      <c r="AI199" s="3">
        <f>+Tabla14[[#This Row],[Plan Irrestricto (DATO)]]-Tabla14[[#This Row],[Puerto ]]-Tabla14[[#This Row],[Atraso]]</f>
        <v>2000</v>
      </c>
      <c r="AJ199" s="6">
        <f>IF(Tabla14[[#This Row],[Plan Irrestricto (DATO)]]&gt;0,SUM(Tabla14[[#This Row],[Facturación atraso]],Tabla14[[#This Row],[Facturación Venta nueva]],Tabla14[[#This Row],[Facturación stock]],Tabla14[[#This Row],[En puerto a facturar]]),0)</f>
        <v>3000</v>
      </c>
      <c r="AK199" s="3">
        <f>+Tabla14[[#This Row],[Facturación atraso]]</f>
        <v>3000</v>
      </c>
      <c r="AL199" s="3">
        <f>Tabla14[[#This Row],[Plan Ajustado]]-Tabla14[[#This Row],[ Atraso ajustado]]-Tabla14[[#This Row],[En puerto a facturar]]</f>
        <v>0</v>
      </c>
      <c r="AM199" s="3">
        <v>0</v>
      </c>
      <c r="AN199" s="3"/>
      <c r="AO199" s="3" t="str">
        <f>IF(Tabla14[[#This Row],[Plan Ajustado]]&gt;Tabla14[[#This Row],[En puerto a facturar]],"Si","No")</f>
        <v>Si</v>
      </c>
      <c r="AP199" s="3">
        <f>IF(AND(Tabla14[[#This Row],[Plan Ajustado]]&gt;0,Tabla14[[#This Row],[Plan Ajustado]]&gt;Tabla14[[#This Row],[En puerto a facturar]]),(Tabla14[[#This Row],[Plan Ajustado]]-Tabla14[[#This Row],[En puerto a facturar]]),0)</f>
        <v>3000</v>
      </c>
      <c r="AQ199" s="3">
        <f>IF(Tabla14[[#This Row],[Necesidad]]&gt;=Tabla14[[#This Row],[Stock al día]],Tabla14[[#This Row],[Stock al día]],Tabla14[[#This Row],[Necesidad]])</f>
        <v>3000</v>
      </c>
      <c r="AR199" s="3">
        <f>+Tabla14[[#This Row],[Necesidad]]-Tabla14[[#This Row],[Stock Plan]]</f>
        <v>0</v>
      </c>
      <c r="AS199" s="155">
        <f>VLOOKUP(Tabla14[[#This Row],[Sector]]&amp;Tabla14[[#This Row],[Oficina]],[8]Ponderación!$A:$H,8,FALSE)</f>
        <v>44817</v>
      </c>
      <c r="AT199" s="30">
        <f>IFERROR(VLOOKUP(Tabla14[[#This Row],[Llave]],'[6]RV plan de ventas'!$A:$F,6,FALSE),0)</f>
        <v>4.9564000000000004</v>
      </c>
      <c r="AU199" s="83">
        <f>IFERROR(VLOOKUP(Tabla14[[#This Row],[Llave]],[9]DELAY!$H:$X,17,FALSE),0)</f>
        <v>4.8632988800000003</v>
      </c>
      <c r="AV19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4.8632988800000003</v>
      </c>
      <c r="AW199" s="5">
        <f>Tabla14[[#This Row],[Pecio plan]]*Tabla14[[#This Row],[Plan Ajustado]]</f>
        <v>14589.896640000001</v>
      </c>
      <c r="AX199" s="30">
        <f>IFERROR(VLOOKUP(Tabla14[[#This Row],[Llave]],'[13]Ultimos precios facturados'!$A:$G,7,FALSE),0)</f>
        <v>4.3200179318768388</v>
      </c>
      <c r="AY19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0.12575895671968479</v>
      </c>
      <c r="AZ199" s="30">
        <f>IFERROR(VLOOKUP(Tabla14[[#This Row],[Llave]],Hoja2!B:K,10,FALSE),0)</f>
        <v>4.2384909400000002</v>
      </c>
      <c r="BA19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4.8632988800000003</v>
      </c>
      <c r="BB199" s="30">
        <v>0</v>
      </c>
      <c r="BC199" s="30">
        <f>IF(Tabla14[[#This Row],[Market]]=0,Tabla14[[#This Row],[Precio Final]],Tabla14[[#This Row],[Market]])</f>
        <v>4.8632988800000003</v>
      </c>
      <c r="BD199" s="82"/>
      <c r="BE199" s="82" t="str">
        <f>IF(AND(Tabla14[[#This Row],[Atraso a facturar]]&gt;0,Tabla14[[#This Row],[En puerto a facturar]]&gt;0,Tabla14[[#This Row],[Precio Atraso]]=0),"Revisar","OK")</f>
        <v>OK</v>
      </c>
      <c r="BF199" s="82" t="str">
        <f>IF(AND(Tabla14[[#This Row],[Venta del mes]]&gt;0,Tabla14[[#This Row],[Precio venta nueva]]=0),"Revisar","OK")</f>
        <v>OK</v>
      </c>
      <c r="BG199" s="20">
        <f>IFERROR(VLOOKUP(Tabla14[[#This Row],[Llave]],'[5]Consolidación planes'!$A:$M,9,FALSE),0)</f>
        <v>0</v>
      </c>
      <c r="BH199" s="20">
        <f>IFERROR(VLOOKUP(Tabla14[[#This Row],[Llave]],'[5]Consolidación planes'!$A:$M,10,FALSE),0)</f>
        <v>0</v>
      </c>
      <c r="BI199" s="20">
        <f>IFERROR(VLOOKUP(Tabla14[[#This Row],[Llave]],'[5]Consolidación planes'!$A:$M,11,FALSE),0)</f>
        <v>3000</v>
      </c>
      <c r="BJ199" s="20">
        <f>IFERROR(VLOOKUP(Tabla14[[#This Row],[Llave]],'[5]Consolidación planes'!$A:$M,12,FALSE),0)</f>
        <v>8000</v>
      </c>
      <c r="BK199" s="20">
        <f>IFERROR(VLOOKUP(Tabla14[[#This Row],[Llave]],'[5]Consolidación planes'!$A:$M,13,FALSE),0)</f>
        <v>8214</v>
      </c>
      <c r="BL199" s="20">
        <f>IFERROR(VLOOKUP(Tabla14[[#This Row],[Llave]],'[13]Base ultimos planes'!$A:$M,13,FALSE),0)</f>
        <v>5000</v>
      </c>
      <c r="BM199" s="20">
        <f>IFERROR(VLOOKUP(Tabla14[[#This Row],[Llave]],'[13]Cruce plan irrestricto'!$C:$M,10,FALSE),0)</f>
        <v>0</v>
      </c>
      <c r="BN199" s="20">
        <f>IFERROR(VLOOKUP(Tabla14[[#This Row],[Llave]],'[13]Cruce plan irrestricto'!$C:$M,11,FALSE),0)</f>
        <v>0</v>
      </c>
      <c r="BO199" s="80">
        <f>IFERROR(VLOOKUP(Tabla14[[#This Row],[Llave]],'[13]Base ultimos planes'!$O:$AA,8,FALSE),0)</f>
        <v>0</v>
      </c>
      <c r="BP199" s="20">
        <f>IFERROR(VLOOKUP(Tabla14[[#This Row],[Llave]],'[13]Base ultimos planes'!$O:$AA,9,FALSE),0)</f>
        <v>0</v>
      </c>
      <c r="BQ199" s="20">
        <f>IFERROR(VLOOKUP(Tabla14[[#This Row],[Llave]],'[13]Base ultimos planes'!$O:$AA,10,FALSE),0)</f>
        <v>7484</v>
      </c>
      <c r="BR199" s="20">
        <f>IFERROR(VLOOKUP(Tabla14[[#This Row],[Llave]],'[13]Base ultimos planes'!$O:$AA,11,FALSE),0)</f>
        <v>37402</v>
      </c>
      <c r="BS199" s="20">
        <f>IFERROR(VLOOKUP(Tabla14[[#This Row],[Llave]],'[13]Base ultimos planes'!$O:$AA,12,FALSE),0)</f>
        <v>36664</v>
      </c>
      <c r="BT199" s="20">
        <f>IFERROR(VLOOKUP(Tabla14[[#This Row],[Llave]],'[13]Base ultimos planes'!$O:$AA,13,FALSE),0)</f>
        <v>20861</v>
      </c>
      <c r="BU199" s="20"/>
      <c r="BV199" s="20">
        <f>Tabla14[[#This Row],[ RV Producción mes n+1]]-Tabla14[[#This Row],[Producción disponible]]+Tabla14[[#This Row],[Saldo Volumen disponible]]</f>
        <v>8301.8482658931534</v>
      </c>
      <c r="BW199" s="20">
        <f>IFERROR(VLOOKUP(Tabla14[[#This Row],[Llave]],[14]Hoja2!$J:$N,4,FALSE),0)</f>
        <v>4500</v>
      </c>
      <c r="BX199" s="20">
        <f>+Tabla14[[#This Row],[Asignación mes n+1]]*Tabla14[[#This Row],[% Uti. producción]]</f>
        <v>3480.2497699200649</v>
      </c>
      <c r="BY199" s="20">
        <f>+Tabla14[[#This Row],[Ponderación mes n+1]]+Tabla14[[#This Row],[Saldo mes n-1]]</f>
        <v>11782.098035813218</v>
      </c>
      <c r="BZ199" s="20">
        <f>+Tabla14[[#This Row],[Asignación mes n+1]]-Tabla14[[#This Row],[Ponderación mes n+1]]</f>
        <v>1019.7502300799351</v>
      </c>
      <c r="CA199" s="20">
        <f>IFERROR(VLOOKUP(Tabla14[[#This Row],[Llave]],[14]Hoja2!$J:$N,5,FALSE),0)</f>
        <v>4500</v>
      </c>
      <c r="CB199" s="20">
        <f>+Tabla14[[#This Row],[Asignación mes n+2]]*Tabla14[[#This Row],[% Uti. producción]]</f>
        <v>3480.2497699200649</v>
      </c>
      <c r="CC199" s="20">
        <f>+Tabla14[[#This Row],[Saldo mes n+2]]+Tabla14[[#This Row],[Ponderación mes n+2]]</f>
        <v>4500</v>
      </c>
      <c r="CD199" s="20">
        <f>+Tabla14[[#This Row],[Asignación mes n+2]]-Tabla14[[#This Row],[Ponderación mes n+2]]</f>
        <v>1019.7502300799351</v>
      </c>
    </row>
    <row r="200" spans="1:82" ht="16" x14ac:dyDescent="0.2">
      <c r="A200">
        <v>1</v>
      </c>
      <c r="B200" t="str">
        <f>Tabla14[[#This Row],[Oficina]]&amp;Tabla14[[#This Row],[Material]]</f>
        <v>Exportacion Directa1023352</v>
      </c>
      <c r="C200" t="s">
        <v>6</v>
      </c>
      <c r="D200" t="s">
        <v>88</v>
      </c>
      <c r="E200">
        <v>1023352</v>
      </c>
      <c r="F200" t="s">
        <v>304</v>
      </c>
      <c r="G200" t="s">
        <v>56</v>
      </c>
      <c r="H200" t="s">
        <v>57</v>
      </c>
      <c r="I200" s="7">
        <f>IFERROR(IF(Tabla14[[#This Row],[Oficina]]=$I$7,VLOOKUP(Tabla14[[#This Row],[Material]],'[6]RV Producción'!$Y:$AA,3,FALSE),VLOOKUP(Tabla14[[#This Row],[Llave]],'[6]RV Producción'!$C:$G,5,FALSE)),0)</f>
        <v>51787</v>
      </c>
      <c r="J200" s="7">
        <f>IFERROR(IF(Tabla14[[#This Row],[Oficina]]=$I$7,VLOOKUP(Tabla14[[#This Row],[Llave]],'[7]Shangai (Tomas)'!$A:$F,6,FALSE),VLOOKUP(Tabla14[[#This Row],[Llave]],'[6]RV plan de ventas'!$A:$E,5,FALSE)),0)</f>
        <v>60000</v>
      </c>
      <c r="K200" s="8">
        <f>IFERROR(VLOOKUP(Tabla14[[#This Row],[Sector]]&amp;Tabla14[[#This Row],[Oficina]],[8]Ponderación!$A$3:$G$22,7,FALSE),0)</f>
        <v>0.77338883776001444</v>
      </c>
      <c r="L200" s="7">
        <f>+Tabla14[[#This Row],[ RV Producción mes n+1]]*Tabla14[[#This Row],[% Uti. producción]]</f>
        <v>40051.487741077864</v>
      </c>
      <c r="M200" s="7">
        <f>IFERROR(VLOOKUP(Tabla14[[#This Row],[Material]],'[9]TD Stock'!$B:$C,2,FALSE),0)</f>
        <v>35436.981000000014</v>
      </c>
      <c r="N200" s="7">
        <f>IFERROR(VLOOKUP(Tabla14[[#This Row],[Material]],'[10]Consolidado planificación'!$B:$C,2,FALSE),0)</f>
        <v>2147.0078794001315</v>
      </c>
      <c r="O200" s="7">
        <f>IFERROR(VLOOKUP(Tabla14[[#This Row],[Llave]],[11]Hoja2!$D:$G,4,FALSE),0)</f>
        <v>3000</v>
      </c>
      <c r="P200" s="14">
        <f>SUM(Tabla14[[#This Row],[Producción disponible]],Tabla14[[#This Row],[Stock al día]],(Tabla14[[#This Row],[Por producir mes N]]*0.9))-Tabla14[[#This Row],[Producción por despachar mes N]]</f>
        <v>74420.775832537984</v>
      </c>
      <c r="Q200" s="7">
        <f>IFERROR(VLOOKUP(Tabla14[[#This Row],[Llave]],[9]DELAY!$A:$D,4,FALSE),0)</f>
        <v>38500</v>
      </c>
      <c r="R200" s="9">
        <v>6470.588235294118</v>
      </c>
      <c r="S200" s="5">
        <f t="shared" si="7"/>
        <v>38500</v>
      </c>
      <c r="T200" s="76">
        <v>-12000</v>
      </c>
      <c r="U200" s="5">
        <f>+Tabla14[[#This Row],[Atraso a facturar]]+Tabla14[[#This Row],[Ajuste atraso]]</f>
        <v>26500</v>
      </c>
      <c r="V200" s="3">
        <f>+Tabla14[[#This Row],[Total disponible]]-Tabla14[[#This Row],[Facturación atraso]]</f>
        <v>47920.775832537984</v>
      </c>
      <c r="W200" s="6">
        <f>IFERROR(IF(AND(V200&gt;R200,J200&gt;=R200),ROUNDDOWN((Tabla14[[#This Row],[Producción para venta nueva]])/R200,0)*R200,0),0)</f>
        <v>45294.117647058825</v>
      </c>
      <c r="X200" s="76">
        <v>-20000</v>
      </c>
      <c r="Y200" s="6">
        <f>IF(Tabla14[[#This Row],[Venta del mes]]&gt;0,Tabla14[[#This Row],[Venta del mes]]+Tabla14[[#This Row],[Ajuste venta nueva]],0)</f>
        <v>25294.117647058825</v>
      </c>
      <c r="Z200" s="6">
        <f>+Tabla14[[#This Row],[Producción para venta nueva]]-Tabla14[[#This Row],[Facturación Venta nueva]]</f>
        <v>22626.658185479158</v>
      </c>
      <c r="AA200" s="6">
        <f>IF(AND(A200=1,Tabla14[[#This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0" s="6">
        <v>0</v>
      </c>
      <c r="AC200" s="6">
        <f>IF(Tabla14[[#This Row],[Disponible stock sin venta]]&gt;0,Tabla14[[#This Row],[Disponible stock sin venta]]+Tabla14[[#This Row],[Ajuste stock sin venta]],0)</f>
        <v>0</v>
      </c>
      <c r="AD200" s="3">
        <f>IFERROR(VLOOKUP(Tabla14[[#This Row],[Llave]],[12]Hoja1!$A:$D,4,FALSE),0)</f>
        <v>0</v>
      </c>
      <c r="AE20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83794.117647058825</v>
      </c>
      <c r="AF200" s="3">
        <v>70852.941176470587</v>
      </c>
      <c r="AG200" s="3">
        <f>+Tabla14[[#This Row],[En puerto a facturar]]</f>
        <v>0</v>
      </c>
      <c r="AH200" s="3">
        <f>+Tabla14[[#This Row],[Facturación atraso]]</f>
        <v>26500</v>
      </c>
      <c r="AI200" s="3">
        <f>+Tabla14[[#This Row],[Plan Irrestricto (DATO)]]-Tabla14[[#This Row],[Puerto ]]-Tabla14[[#This Row],[Atraso]]</f>
        <v>44352.941176470587</v>
      </c>
      <c r="AJ200" s="6">
        <f>IF(Tabla14[[#This Row],[Plan Irrestricto (DATO)]]&gt;0,SUM(Tabla14[[#This Row],[Facturación atraso]],Tabla14[[#This Row],[Facturación Venta nueva]],Tabla14[[#This Row],[Facturación stock]],Tabla14[[#This Row],[En puerto a facturar]]),0)</f>
        <v>51794.117647058825</v>
      </c>
      <c r="AK200" s="3">
        <f>+Tabla14[[#This Row],[Facturación atraso]]</f>
        <v>26500</v>
      </c>
      <c r="AL200" s="3">
        <f>Tabla14[[#This Row],[Plan Ajustado]]-Tabla14[[#This Row],[ Atraso ajustado]]-Tabla14[[#This Row],[En puerto a facturar]]</f>
        <v>25294.117647058825</v>
      </c>
      <c r="AM200" s="3">
        <v>0</v>
      </c>
      <c r="AN200" s="3"/>
      <c r="AO200" s="3" t="str">
        <f>IF(Tabla14[[#This Row],[Plan Ajustado]]&gt;Tabla14[[#This Row],[En puerto a facturar]],"Si","No")</f>
        <v>Si</v>
      </c>
      <c r="AP200" s="3">
        <f>IF(AND(Tabla14[[#This Row],[Plan Ajustado]]&gt;0,Tabla14[[#This Row],[Plan Ajustado]]&gt;Tabla14[[#This Row],[En puerto a facturar]]),(Tabla14[[#This Row],[Plan Ajustado]]-Tabla14[[#This Row],[En puerto a facturar]]),0)</f>
        <v>51794.117647058825</v>
      </c>
      <c r="AQ200" s="3">
        <f>IF(Tabla14[[#This Row],[Necesidad]]&gt;=Tabla14[[#This Row],[Stock al día]],Tabla14[[#This Row],[Stock al día]],Tabla14[[#This Row],[Necesidad]])</f>
        <v>35436.981000000014</v>
      </c>
      <c r="AR200" s="3">
        <f>+Tabla14[[#This Row],[Necesidad]]-Tabla14[[#This Row],[Stock Plan]]</f>
        <v>16357.136647058811</v>
      </c>
      <c r="AS200" s="155">
        <f>VLOOKUP(Tabla14[[#This Row],[Sector]]&amp;Tabla14[[#This Row],[Oficina]],[8]Ponderación!$A:$H,8,FALSE)</f>
        <v>44817</v>
      </c>
      <c r="AT200" s="30">
        <f>IFERROR(VLOOKUP(Tabla14[[#This Row],[Llave]],'[6]RV plan de ventas'!$A:$F,6,FALSE),0)</f>
        <v>5.2557499999999999</v>
      </c>
      <c r="AU200" s="83">
        <f>IFERROR(VLOOKUP(Tabla14[[#This Row],[Llave]],[9]DELAY!$H:$X,17,FALSE),0)</f>
        <v>5.0474944500206869</v>
      </c>
      <c r="AV20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5.1491978986193292</v>
      </c>
      <c r="AW200" s="5">
        <f>Tabla14[[#This Row],[Pecio plan]]*Tabla14[[#This Row],[Plan Ajustado]]</f>
        <v>266698.16174907761</v>
      </c>
      <c r="AX200" s="30">
        <f>IFERROR(VLOOKUP(Tabla14[[#This Row],[Llave]],'[13]Ultimos precios facturados'!$A:$G,7,FALSE),0)</f>
        <v>4.4209225537576984</v>
      </c>
      <c r="AY20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0.16473379390973744</v>
      </c>
      <c r="AZ200" s="30">
        <f>IFERROR(VLOOKUP(Tabla14[[#This Row],[Llave]],Hoja2!B:K,10,FALSE),0)</f>
        <v>4.571703870172346</v>
      </c>
      <c r="BA20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5.1491978986193292</v>
      </c>
      <c r="BB200" s="30">
        <v>0</v>
      </c>
      <c r="BC200" s="30">
        <f>IF(Tabla14[[#This Row],[Market]]=0,Tabla14[[#This Row],[Precio Final]],Tabla14[[#This Row],[Market]])</f>
        <v>5.1491978986193292</v>
      </c>
      <c r="BD200" s="82"/>
      <c r="BE200" s="82" t="str">
        <f>IF(AND(Tabla14[[#This Row],[Atraso a facturar]]&gt;0,Tabla14[[#This Row],[En puerto a facturar]]&gt;0,Tabla14[[#This Row],[Precio Atraso]]=0),"Revisar","OK")</f>
        <v>OK</v>
      </c>
      <c r="BF200" s="82" t="str">
        <f>IF(AND(Tabla14[[#This Row],[Venta del mes]]&gt;0,Tabla14[[#This Row],[Precio venta nueva]]=0),"Revisar","OK")</f>
        <v>OK</v>
      </c>
      <c r="BG200" s="20">
        <f>IFERROR(VLOOKUP(Tabla14[[#This Row],[Llave]],'[5]Consolidación planes'!$A:$M,9,FALSE),0)</f>
        <v>0</v>
      </c>
      <c r="BH200" s="20">
        <f>IFERROR(VLOOKUP(Tabla14[[#This Row],[Llave]],'[5]Consolidación planes'!$A:$M,10,FALSE),0)</f>
        <v>0</v>
      </c>
      <c r="BI200" s="20">
        <f>IFERROR(VLOOKUP(Tabla14[[#This Row],[Llave]],'[5]Consolidación planes'!$A:$M,11,FALSE),0)</f>
        <v>0</v>
      </c>
      <c r="BJ200" s="20">
        <f>IFERROR(VLOOKUP(Tabla14[[#This Row],[Llave]],'[5]Consolidación planes'!$A:$M,12,FALSE),0)</f>
        <v>45000</v>
      </c>
      <c r="BK200" s="20">
        <f>IFERROR(VLOOKUP(Tabla14[[#This Row],[Llave]],'[5]Consolidación planes'!$A:$M,13,FALSE),0)</f>
        <v>118342</v>
      </c>
      <c r="BL200" s="20">
        <f>IFERROR(VLOOKUP(Tabla14[[#This Row],[Llave]],'[13]Base ultimos planes'!$A:$M,13,FALSE),0)</f>
        <v>77647</v>
      </c>
      <c r="BM200" s="20">
        <f>IFERROR(VLOOKUP(Tabla14[[#This Row],[Llave]],'[13]Cruce plan irrestricto'!$C:$M,10,FALSE),0)</f>
        <v>0</v>
      </c>
      <c r="BN200" s="20">
        <f>IFERROR(VLOOKUP(Tabla14[[#This Row],[Llave]],'[13]Cruce plan irrestricto'!$C:$M,11,FALSE),0)</f>
        <v>0</v>
      </c>
      <c r="BO200" s="80">
        <f>IFERROR(VLOOKUP(Tabla14[[#This Row],[Llave]],'[13]Base ultimos planes'!$O:$AA,8,FALSE),0)</f>
        <v>0</v>
      </c>
      <c r="BP200" s="20">
        <f>IFERROR(VLOOKUP(Tabla14[[#This Row],[Llave]],'[13]Base ultimos planes'!$O:$AA,9,FALSE),0)</f>
        <v>0</v>
      </c>
      <c r="BQ200" s="20">
        <f>IFERROR(VLOOKUP(Tabla14[[#This Row],[Llave]],'[13]Base ultimos planes'!$O:$AA,10,FALSE),0)</f>
        <v>0</v>
      </c>
      <c r="BR200" s="20">
        <f>IFERROR(VLOOKUP(Tabla14[[#This Row],[Llave]],'[13]Base ultimos planes'!$O:$AA,11,FALSE),0)</f>
        <v>217858</v>
      </c>
      <c r="BS200" s="20">
        <f>IFERROR(VLOOKUP(Tabla14[[#This Row],[Llave]],'[13]Base ultimos planes'!$O:$AA,12,FALSE),0)</f>
        <v>566146</v>
      </c>
      <c r="BT200" s="20">
        <f>IFERROR(VLOOKUP(Tabla14[[#This Row],[Llave]],'[13]Base ultimos planes'!$O:$AA,13,FALSE),0)</f>
        <v>344236</v>
      </c>
      <c r="BU200" s="20"/>
      <c r="BV200" s="20">
        <f>Tabla14[[#This Row],[ RV Producción mes n+1]]-Tabla14[[#This Row],[Producción disponible]]+Tabla14[[#This Row],[Saldo Volumen disponible]]</f>
        <v>34362.170444401294</v>
      </c>
      <c r="BW200" s="20">
        <f>IFERROR(VLOOKUP(Tabla14[[#This Row],[Llave]],[14]Hoja2!$J:$N,4,FALSE),0)</f>
        <v>48873.96</v>
      </c>
      <c r="BX200" s="20">
        <f>+Tabla14[[#This Row],[Asignación mes n+1]]*Tabla14[[#This Row],[% Uti. producción]]</f>
        <v>37798.575121129434</v>
      </c>
      <c r="BY200" s="20">
        <f>+Tabla14[[#This Row],[Ponderación mes n+1]]+Tabla14[[#This Row],[Saldo mes n-1]]</f>
        <v>72160.745565530728</v>
      </c>
      <c r="BZ200" s="20">
        <f>+Tabla14[[#This Row],[Asignación mes n+1]]-Tabla14[[#This Row],[Ponderación mes n+1]]</f>
        <v>11075.384878870565</v>
      </c>
      <c r="CA200" s="20">
        <f>IFERROR(VLOOKUP(Tabla14[[#This Row],[Llave]],[14]Hoja2!$J:$N,5,FALSE),0)</f>
        <v>53666.493999999999</v>
      </c>
      <c r="CB200" s="20">
        <f>+Tabla14[[#This Row],[Asignación mes n+2]]*Tabla14[[#This Row],[% Uti. producción]]</f>
        <v>41505.067421314787</v>
      </c>
      <c r="CC200" s="20">
        <f>+Tabla14[[#This Row],[Saldo mes n+2]]+Tabla14[[#This Row],[Ponderación mes n+2]]</f>
        <v>52580.452300185352</v>
      </c>
      <c r="CD200" s="20">
        <f>+Tabla14[[#This Row],[Asignación mes n+2]]-Tabla14[[#This Row],[Ponderación mes n+2]]</f>
        <v>12161.426578685212</v>
      </c>
    </row>
    <row r="201" spans="1:82" ht="16" x14ac:dyDescent="0.2">
      <c r="A201">
        <v>1</v>
      </c>
      <c r="B201" t="str">
        <f>Tabla14[[#This Row],[Oficina]]&amp;Tabla14[[#This Row],[Material]]</f>
        <v>Agro Sudamerica1030224</v>
      </c>
      <c r="C201" t="s">
        <v>204</v>
      </c>
      <c r="D201" t="s">
        <v>17</v>
      </c>
      <c r="E201">
        <v>1030224</v>
      </c>
      <c r="F201" t="s">
        <v>219</v>
      </c>
      <c r="G201" t="s">
        <v>217</v>
      </c>
      <c r="H201" t="s">
        <v>218</v>
      </c>
      <c r="I201" s="7">
        <f>IFERROR(IF(Tabla14[[#This Row],[Oficina]]=$I$7,VLOOKUP(Tabla14[[#This Row],[Material]],'[6]RV Producción'!$Y:$AA,3,FALSE),VLOOKUP(Tabla14[[#This Row],[Llave]],'[6]RV Producción'!$C:$G,5,FALSE)),0)</f>
        <v>0</v>
      </c>
      <c r="J201" s="7">
        <f>IFERROR(IF(Tabla14[[#This Row],[Oficina]]=$I$7,VLOOKUP(Tabla14[[#This Row],[Llave]],'[7]Shangai (Tomas)'!$A:$F,6,FALSE),VLOOKUP(Tabla14[[#This Row],[Llave]],'[6]RV plan de ventas'!$A:$E,5,FALSE)),0)</f>
        <v>0</v>
      </c>
      <c r="K201" s="8">
        <f>IFERROR(VLOOKUP(Tabla14[[#This Row],[Sector]]&amp;Tabla14[[#This Row],[Oficina]],[8]Ponderación!$A$3:$G$22,7,FALSE),0)</f>
        <v>0.47745072632608576</v>
      </c>
      <c r="L201" s="7">
        <f>+Tabla14[[#This Row],[ RV Producción mes n+1]]*Tabla14[[#This Row],[% Uti. producción]]</f>
        <v>0</v>
      </c>
      <c r="M201" s="7">
        <f>IFERROR(VLOOKUP(Tabla14[[#This Row],[Material]],'[9]TD Stock'!$B:$C,2,FALSE),0)</f>
        <v>10525.078999999998</v>
      </c>
      <c r="N201" s="7">
        <f>IFERROR(VLOOKUP(Tabla14[[#This Row],[Material]],'[10]Consolidado planificación'!$B:$C,2,FALSE),0)</f>
        <v>0</v>
      </c>
      <c r="O201" s="7">
        <f>IFERROR(VLOOKUP(Tabla14[[#This Row],[Llave]],[11]Hoja2!$D:$G,4,FALSE),0)</f>
        <v>0</v>
      </c>
      <c r="P201" s="14">
        <f>SUM(Tabla14[[#This Row],[Producción disponible]],Tabla14[[#This Row],[Stock al día]],(Tabla14[[#This Row],[Por producir mes N]]*0.9))-Tabla14[[#This Row],[Producción por despachar mes N]]</f>
        <v>10525.078999999998</v>
      </c>
      <c r="Q201" s="7">
        <f>IFERROR(VLOOKUP(Tabla14[[#This Row],[Llave]],[9]DELAY!$A:$D,4,FALSE),0)</f>
        <v>0</v>
      </c>
      <c r="R201" s="9">
        <v>23000</v>
      </c>
      <c r="S201" s="5">
        <f t="shared" si="7"/>
        <v>0</v>
      </c>
      <c r="T201" s="76">
        <v>0</v>
      </c>
      <c r="U201" s="5">
        <f>+Tabla14[[#This Row],[Atraso a facturar]]+Tabla14[[#This Row],[Ajuste atraso]]</f>
        <v>0</v>
      </c>
      <c r="V201" s="3">
        <f>+Tabla14[[#This Row],[Total disponible]]-Tabla14[[#This Row],[Facturación atraso]]</f>
        <v>10525.078999999998</v>
      </c>
      <c r="W201" s="6">
        <f>IFERROR(IF(AND(V201&gt;R201,J201&gt;=R201),ROUNDDOWN((Tabla14[[#This Row],[Producción para venta nueva]])/R201,0)*R201,0),0)</f>
        <v>0</v>
      </c>
      <c r="X201" s="76">
        <v>0</v>
      </c>
      <c r="Y201" s="6">
        <f>IF(Tabla14[[#This Row],[Venta del mes]]&gt;0,Tabla14[[#This Row],[Venta del mes]]+Tabla14[[#This Row],[Ajuste venta nueva]],0)</f>
        <v>0</v>
      </c>
      <c r="Z201" s="6">
        <f>+Tabla14[[#This Row],[Producción para venta nueva]]-Tabla14[[#This Row],[Facturación Venta nueva]]</f>
        <v>10525.078999999998</v>
      </c>
      <c r="AA201" s="6">
        <f>IF(AND(A201=1,Tabla14[[#This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1" s="6">
        <v>0</v>
      </c>
      <c r="AC201" s="6">
        <f>IF(Tabla14[[#This Row],[Disponible stock sin venta]]&gt;0,Tabla14[[#This Row],[Disponible stock sin venta]]+Tabla14[[#This Row],[Ajuste stock sin venta]],0)</f>
        <v>0</v>
      </c>
      <c r="AD201" s="3">
        <f>IFERROR(VLOOKUP(Tabla14[[#This Row],[Llave]],[12]Hoja1!$A:$D,4,FALSE),0)</f>
        <v>0</v>
      </c>
      <c r="AE20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01" s="3">
        <v>0</v>
      </c>
      <c r="AG201" s="3">
        <f>+Tabla14[[#This Row],[En puerto a facturar]]</f>
        <v>0</v>
      </c>
      <c r="AH201" s="3">
        <f>+Tabla14[[#This Row],[Facturación atraso]]</f>
        <v>0</v>
      </c>
      <c r="AI201" s="3">
        <f>+Tabla14[[#This Row],[Plan Irrestricto (DATO)]]-Tabla14[[#This Row],[Puerto ]]-Tabla14[[#This Row],[Atraso]]</f>
        <v>0</v>
      </c>
      <c r="AJ20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01" s="3">
        <f>+Tabla14[[#This Row],[Facturación atraso]]</f>
        <v>0</v>
      </c>
      <c r="AL201" s="3">
        <f>Tabla14[[#This Row],[Plan Ajustado]]-Tabla14[[#This Row],[ Atraso ajustado]]-Tabla14[[#This Row],[En puerto a facturar]]</f>
        <v>0</v>
      </c>
      <c r="AM201" s="3">
        <v>0</v>
      </c>
      <c r="AN201" s="3" t="e">
        <v>#REF!</v>
      </c>
      <c r="AO201" s="3" t="str">
        <f>IF(Tabla14[[#This Row],[Plan Ajustado]]&gt;Tabla14[[#This Row],[En puerto a facturar]],"Si","No")</f>
        <v>No</v>
      </c>
      <c r="AP20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01" s="3">
        <f>IF(Tabla14[[#This Row],[Necesidad]]&gt;=Tabla14[[#This Row],[Stock al día]],Tabla14[[#This Row],[Stock al día]],Tabla14[[#This Row],[Necesidad]])</f>
        <v>0</v>
      </c>
      <c r="AR201" s="3">
        <f>+Tabla14[[#This Row],[Necesidad]]-Tabla14[[#This Row],[Stock Plan]]</f>
        <v>0</v>
      </c>
      <c r="AS201" s="155">
        <f>VLOOKUP(Tabla14[[#This Row],[Sector]]&amp;Tabla14[[#This Row],[Oficina]],[8]Ponderación!$A:$H,8,FALSE)</f>
        <v>44817</v>
      </c>
      <c r="AT201" s="30">
        <f>IFERROR(VLOOKUP(Tabla14[[#This Row],[Llave]],'[6]RV plan de ventas'!$A:$F,6,FALSE),0)</f>
        <v>0</v>
      </c>
      <c r="AU201" s="83">
        <f>IFERROR(VLOOKUP(Tabla14[[#This Row],[Llave]],[9]DELAY!$H:$X,17,FALSE),0)</f>
        <v>0</v>
      </c>
      <c r="AV20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01" s="5">
        <f>Tabla14[[#This Row],[Pecio plan]]*Tabla14[[#This Row],[Plan Ajustado]]</f>
        <v>0</v>
      </c>
      <c r="AX201" s="30">
        <f>IFERROR(VLOOKUP(Tabla14[[#This Row],[Llave]],'[13]Ultimos precios facturados'!$A:$G,7,FALSE),0)</f>
        <v>1.9830595639172326</v>
      </c>
      <c r="AY20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1" s="30">
        <f>IFERROR(VLOOKUP(Tabla14[[#This Row],[Llave]],Hoja2!B:K,10,FALSE),0)</f>
        <v>0</v>
      </c>
      <c r="BA20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01" s="30">
        <v>0</v>
      </c>
      <c r="BC201" s="30">
        <f>IF(Tabla14[[#This Row],[Market]]=0,Tabla14[[#This Row],[Precio Final]],Tabla14[[#This Row],[Market]])</f>
        <v>0</v>
      </c>
      <c r="BD201" s="82"/>
      <c r="BE201" s="82" t="str">
        <f>IF(AND(Tabla14[[#This Row],[Atraso a facturar]]&gt;0,Tabla14[[#This Row],[En puerto a facturar]]&gt;0,Tabla14[[#This Row],[Precio Atraso]]=0),"Revisar","OK")</f>
        <v>OK</v>
      </c>
      <c r="BF201" s="82" t="str">
        <f>IF(AND(Tabla14[[#This Row],[Venta del mes]]&gt;0,Tabla14[[#This Row],[Precio venta nueva]]=0),"Revisar","OK")</f>
        <v>OK</v>
      </c>
      <c r="BG201" s="20">
        <f>IFERROR(VLOOKUP(Tabla14[[#This Row],[Llave]],'[5]Consolidación planes'!$A:$M,9,FALSE),0)</f>
        <v>48000</v>
      </c>
      <c r="BH201" s="20">
        <f>IFERROR(VLOOKUP(Tabla14[[#This Row],[Llave]],'[5]Consolidación planes'!$A:$M,10,FALSE),0)</f>
        <v>72000</v>
      </c>
      <c r="BI201" s="20">
        <f>IFERROR(VLOOKUP(Tabla14[[#This Row],[Llave]],'[5]Consolidación planes'!$A:$M,11,FALSE),0)</f>
        <v>48000</v>
      </c>
      <c r="BJ201" s="20">
        <f>IFERROR(VLOOKUP(Tabla14[[#This Row],[Llave]],'[5]Consolidación planes'!$A:$M,12,FALSE),0)</f>
        <v>48000</v>
      </c>
      <c r="BK201" s="20">
        <f>IFERROR(VLOOKUP(Tabla14[[#This Row],[Llave]],'[5]Consolidación planes'!$A:$M,13,FALSE),0)</f>
        <v>48000</v>
      </c>
      <c r="BL201" s="20">
        <f>IFERROR(VLOOKUP(Tabla14[[#This Row],[Llave]],'[13]Base ultimos planes'!$A:$M,13,FALSE),0)</f>
        <v>168009</v>
      </c>
      <c r="BM201" s="20">
        <f>IFERROR(VLOOKUP(Tabla14[[#This Row],[Llave]],'[13]Cruce plan irrestricto'!$C:$M,10,FALSE),0)</f>
        <v>0</v>
      </c>
      <c r="BN201" s="20">
        <f>IFERROR(VLOOKUP(Tabla14[[#This Row],[Llave]],'[13]Cruce plan irrestricto'!$C:$M,11,FALSE),0)</f>
        <v>0</v>
      </c>
      <c r="BO201" s="80">
        <f>IFERROR(VLOOKUP(Tabla14[[#This Row],[Llave]],'[13]Base ultimos planes'!$O:$AA,8,FALSE),0)</f>
        <v>96960</v>
      </c>
      <c r="BP201" s="20">
        <f>IFERROR(VLOOKUP(Tabla14[[#This Row],[Llave]],'[13]Base ultimos planes'!$O:$AA,9,FALSE),0)</f>
        <v>151019</v>
      </c>
      <c r="BQ201" s="20">
        <f>IFERROR(VLOOKUP(Tabla14[[#This Row],[Llave]],'[13]Base ultimos planes'!$O:$AA,10,FALSE),0)</f>
        <v>91200</v>
      </c>
      <c r="BR201" s="20">
        <f>IFERROR(VLOOKUP(Tabla14[[#This Row],[Llave]],'[13]Base ultimos planes'!$O:$AA,11,FALSE),0)</f>
        <v>89040</v>
      </c>
      <c r="BS201" s="20">
        <f>IFERROR(VLOOKUP(Tabla14[[#This Row],[Llave]],'[13]Base ultimos planes'!$O:$AA,12,FALSE),0)</f>
        <v>96480</v>
      </c>
      <c r="BT201" s="20">
        <f>IFERROR(VLOOKUP(Tabla14[[#This Row],[Llave]],'[13]Base ultimos planes'!$O:$AA,13,FALSE),0)</f>
        <v>363684</v>
      </c>
      <c r="BU201" s="20"/>
      <c r="BV201" s="20">
        <f>Tabla14[[#This Row],[ RV Producción mes n+1]]-Tabla14[[#This Row],[Producción disponible]]+Tabla14[[#This Row],[Saldo Volumen disponible]]</f>
        <v>10525.078999999998</v>
      </c>
      <c r="BW201" s="20">
        <f>IFERROR(VLOOKUP(Tabla14[[#This Row],[Llave]],[14]Hoja2!$J:$N,4,FALSE),0)</f>
        <v>0</v>
      </c>
      <c r="BX201" s="20">
        <f>+Tabla14[[#This Row],[Asignación mes n+1]]*Tabla14[[#This Row],[% Uti. producción]]</f>
        <v>0</v>
      </c>
      <c r="BY201" s="20">
        <f>+Tabla14[[#This Row],[Ponderación mes n+1]]+Tabla14[[#This Row],[Saldo mes n-1]]</f>
        <v>10525.078999999998</v>
      </c>
      <c r="BZ201" s="20">
        <f>+Tabla14[[#This Row],[Asignación mes n+1]]-Tabla14[[#This Row],[Ponderación mes n+1]]</f>
        <v>0</v>
      </c>
      <c r="CA201" s="20">
        <f>IFERROR(VLOOKUP(Tabla14[[#This Row],[Llave]],[14]Hoja2!$J:$N,5,FALSE),0)</f>
        <v>0</v>
      </c>
      <c r="CB201" s="20">
        <f>+Tabla14[[#This Row],[Asignación mes n+2]]*Tabla14[[#This Row],[% Uti. producción]]</f>
        <v>0</v>
      </c>
      <c r="CC201" s="20">
        <f>+Tabla14[[#This Row],[Saldo mes n+2]]+Tabla14[[#This Row],[Ponderación mes n+2]]</f>
        <v>0</v>
      </c>
      <c r="CD201" s="20">
        <f>+Tabla14[[#This Row],[Asignación mes n+2]]-Tabla14[[#This Row],[Ponderación mes n+2]]</f>
        <v>0</v>
      </c>
    </row>
    <row r="202" spans="1:82" ht="16" x14ac:dyDescent="0.2">
      <c r="A202">
        <v>1</v>
      </c>
      <c r="B202" t="str">
        <f>Tabla14[[#This Row],[Oficina]]&amp;Tabla14[[#This Row],[Material]]</f>
        <v>Agro Sudamerica1030332</v>
      </c>
      <c r="C202" t="s">
        <v>204</v>
      </c>
      <c r="D202" t="s">
        <v>17</v>
      </c>
      <c r="E202">
        <v>1030332</v>
      </c>
      <c r="F202" t="s">
        <v>207</v>
      </c>
      <c r="G202" t="s">
        <v>205</v>
      </c>
      <c r="H202" t="s">
        <v>206</v>
      </c>
      <c r="I202" s="7">
        <f>IFERROR(IF(Tabla14[[#This Row],[Oficina]]=$I$7,VLOOKUP(Tabla14[[#This Row],[Material]],'[6]RV Producción'!$Y:$AA,3,FALSE),VLOOKUP(Tabla14[[#This Row],[Llave]],'[6]RV Producción'!$C:$G,5,FALSE)),0)</f>
        <v>0</v>
      </c>
      <c r="J202" s="7">
        <f>IFERROR(IF(Tabla14[[#This Row],[Oficina]]=$I$7,VLOOKUP(Tabla14[[#This Row],[Llave]],'[7]Shangai (Tomas)'!$A:$F,6,FALSE),VLOOKUP(Tabla14[[#This Row],[Llave]],'[6]RV plan de ventas'!$A:$E,5,FALSE)),0)</f>
        <v>0</v>
      </c>
      <c r="K202" s="8">
        <f>IFERROR(VLOOKUP(Tabla14[[#This Row],[Sector]]&amp;Tabla14[[#This Row],[Oficina]],[8]Ponderación!$A$3:$G$22,7,FALSE),0)</f>
        <v>0.47745072632608576</v>
      </c>
      <c r="L202" s="7">
        <f>+Tabla14[[#This Row],[ RV Producción mes n+1]]*Tabla14[[#This Row],[% Uti. producción]]</f>
        <v>0</v>
      </c>
      <c r="M202" s="7">
        <f>IFERROR(VLOOKUP(Tabla14[[#This Row],[Material]],'[9]TD Stock'!$B:$C,2,FALSE),0)</f>
        <v>48010</v>
      </c>
      <c r="N202" s="7">
        <f>IFERROR(VLOOKUP(Tabla14[[#This Row],[Material]],'[10]Consolidado planificación'!$B:$C,2,FALSE),0)</f>
        <v>0</v>
      </c>
      <c r="O202" s="7">
        <f>IFERROR(VLOOKUP(Tabla14[[#This Row],[Llave]],[11]Hoja2!$D:$G,4,FALSE),0)</f>
        <v>0</v>
      </c>
      <c r="P202" s="14">
        <f>SUM(Tabla14[[#This Row],[Producción disponible]],Tabla14[[#This Row],[Stock al día]],(Tabla14[[#This Row],[Por producir mes N]]*0.9))-Tabla14[[#This Row],[Producción por despachar mes N]]</f>
        <v>48010</v>
      </c>
      <c r="Q202" s="7">
        <f>IFERROR(VLOOKUP(Tabla14[[#This Row],[Llave]],[9]DELAY!$A:$D,4,FALSE),0)</f>
        <v>0</v>
      </c>
      <c r="R202" s="9">
        <v>23000</v>
      </c>
      <c r="S202" s="5">
        <f t="shared" ref="S202:S265" si="8">IF(AND(P202&gt;Q202,Q202&gt;0),Q202,IF(AND(P202&lt;Q202,Q202&gt;0),(ROUNDDOWN(P202/R202,0)*R202),0))</f>
        <v>0</v>
      </c>
      <c r="T202" s="76">
        <v>0</v>
      </c>
      <c r="U202" s="5">
        <f>+Tabla14[[#This Row],[Atraso a facturar]]+Tabla14[[#This Row],[Ajuste atraso]]</f>
        <v>0</v>
      </c>
      <c r="V202" s="3">
        <f>+Tabla14[[#This Row],[Total disponible]]-Tabla14[[#This Row],[Facturación atraso]]</f>
        <v>48010</v>
      </c>
      <c r="W202" s="6">
        <f>IFERROR(IF(AND(V202&gt;R202,J202&gt;=R202),ROUNDDOWN((Tabla14[[#This Row],[Producción para venta nueva]])/R202,0)*R202,0),0)</f>
        <v>0</v>
      </c>
      <c r="X202" s="76">
        <v>0</v>
      </c>
      <c r="Y202" s="6">
        <f>IF(Tabla14[[#This Row],[Venta del mes]]&gt;0,Tabla14[[#This Row],[Venta del mes]]+Tabla14[[#This Row],[Ajuste venta nueva]],0)</f>
        <v>0</v>
      </c>
      <c r="Z202" s="6">
        <f>+Tabla14[[#This Row],[Producción para venta nueva]]-Tabla14[[#This Row],[Facturación Venta nueva]]</f>
        <v>48010</v>
      </c>
      <c r="AA202" s="6">
        <f>IF(AND(A202=1,Tabla14[[#This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46000</v>
      </c>
      <c r="AB202" s="6">
        <v>-46000</v>
      </c>
      <c r="AC202" s="6">
        <f>IF(Tabla14[[#This Row],[Disponible stock sin venta]]&gt;0,Tabla14[[#This Row],[Disponible stock sin venta]]+Tabla14[[#This Row],[Ajuste stock sin venta]],0)</f>
        <v>0</v>
      </c>
      <c r="AD202" s="3">
        <f>IFERROR(VLOOKUP(Tabla14[[#This Row],[Llave]],[12]Hoja1!$A:$D,4,FALSE),0)</f>
        <v>0</v>
      </c>
      <c r="AE20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46000</v>
      </c>
      <c r="AF202" s="3">
        <v>46000</v>
      </c>
      <c r="AG202" s="3">
        <f>+Tabla14[[#This Row],[En puerto a facturar]]</f>
        <v>0</v>
      </c>
      <c r="AH202" s="3">
        <f>+Tabla14[[#This Row],[Facturación atraso]]</f>
        <v>0</v>
      </c>
      <c r="AI202" s="3">
        <f>+Tabla14[[#This Row],[Plan Irrestricto (DATO)]]-Tabla14[[#This Row],[Puerto ]]-Tabla14[[#This Row],[Atraso]]</f>
        <v>46000</v>
      </c>
      <c r="AJ20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02" s="3">
        <f>+Tabla14[[#This Row],[Facturación atraso]]</f>
        <v>0</v>
      </c>
      <c r="AL202" s="3">
        <f>Tabla14[[#This Row],[Plan Ajustado]]-Tabla14[[#This Row],[ Atraso ajustado]]-Tabla14[[#This Row],[En puerto a facturar]]</f>
        <v>0</v>
      </c>
      <c r="AM202" s="3" t="s">
        <v>905</v>
      </c>
      <c r="AN202" s="3" t="s">
        <v>894</v>
      </c>
      <c r="AO202" s="3" t="str">
        <f>IF(Tabla14[[#This Row],[Plan Ajustado]]&gt;Tabla14[[#This Row],[En puerto a facturar]],"Si","No")</f>
        <v>No</v>
      </c>
      <c r="AP20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02" s="3">
        <f>IF(Tabla14[[#This Row],[Necesidad]]&gt;=Tabla14[[#This Row],[Stock al día]],Tabla14[[#This Row],[Stock al día]],Tabla14[[#This Row],[Necesidad]])</f>
        <v>0</v>
      </c>
      <c r="AR202" s="3">
        <f>+Tabla14[[#This Row],[Necesidad]]-Tabla14[[#This Row],[Stock Plan]]</f>
        <v>0</v>
      </c>
      <c r="AS202" s="155">
        <f>VLOOKUP(Tabla14[[#This Row],[Sector]]&amp;Tabla14[[#This Row],[Oficina]],[8]Ponderación!$A:$H,8,FALSE)</f>
        <v>44817</v>
      </c>
      <c r="AT202" s="30">
        <f>IFERROR(VLOOKUP(Tabla14[[#This Row],[Llave]],'[6]RV plan de ventas'!$A:$F,6,FALSE),0)</f>
        <v>0</v>
      </c>
      <c r="AU202" s="83">
        <f>IFERROR(VLOOKUP(Tabla14[[#This Row],[Llave]],[9]DELAY!$H:$X,17,FALSE),0)</f>
        <v>0</v>
      </c>
      <c r="AV20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02" s="5">
        <f>Tabla14[[#This Row],[Pecio plan]]*Tabla14[[#This Row],[Plan Ajustado]]</f>
        <v>0</v>
      </c>
      <c r="AX202" s="30">
        <f>IFERROR(VLOOKUP(Tabla14[[#This Row],[Llave]],'[13]Ultimos precios facturados'!$A:$G,7,FALSE),0)</f>
        <v>1.4685837500000001</v>
      </c>
      <c r="AY20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2" s="30">
        <f>IFERROR(VLOOKUP(Tabla14[[#This Row],[Llave]],Hoja2!B:K,10,FALSE),0)</f>
        <v>0</v>
      </c>
      <c r="BA20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1.4685837500000001</v>
      </c>
      <c r="BB202" s="30">
        <v>0</v>
      </c>
      <c r="BC202" s="30">
        <f>IF(Tabla14[[#This Row],[Market]]=0,Tabla14[[#This Row],[Precio Final]],Tabla14[[#This Row],[Market]])</f>
        <v>1.4685837500000001</v>
      </c>
      <c r="BD202" s="82"/>
      <c r="BE202" s="82" t="str">
        <f>IF(AND(Tabla14[[#This Row],[Atraso a facturar]]&gt;0,Tabla14[[#This Row],[En puerto a facturar]]&gt;0,Tabla14[[#This Row],[Precio Atraso]]=0),"Revisar","OK")</f>
        <v>OK</v>
      </c>
      <c r="BF202" s="82" t="str">
        <f>IF(AND(Tabla14[[#This Row],[Venta del mes]]&gt;0,Tabla14[[#This Row],[Precio venta nueva]]=0),"Revisar","OK")</f>
        <v>OK</v>
      </c>
      <c r="BG202" s="20">
        <f>IFERROR(VLOOKUP(Tabla14[[#This Row],[Llave]],'[5]Consolidación planes'!$A:$M,9,FALSE),0)</f>
        <v>48000</v>
      </c>
      <c r="BH202" s="20">
        <f>IFERROR(VLOOKUP(Tabla14[[#This Row],[Llave]],'[5]Consolidación planes'!$A:$M,10,FALSE),0)</f>
        <v>168000</v>
      </c>
      <c r="BI202" s="20">
        <f>IFERROR(VLOOKUP(Tabla14[[#This Row],[Llave]],'[5]Consolidación planes'!$A:$M,11,FALSE),0)</f>
        <v>72000</v>
      </c>
      <c r="BJ202" s="20">
        <f>IFERROR(VLOOKUP(Tabla14[[#This Row],[Llave]],'[5]Consolidación planes'!$A:$M,12,FALSE),0)</f>
        <v>48000</v>
      </c>
      <c r="BK202" s="20">
        <f>IFERROR(VLOOKUP(Tabla14[[#This Row],[Llave]],'[5]Consolidación planes'!$A:$M,13,FALSE),0)</f>
        <v>48000</v>
      </c>
      <c r="BL202" s="20">
        <f>IFERROR(VLOOKUP(Tabla14[[#This Row],[Llave]],'[13]Base ultimos planes'!$A:$M,13,FALSE),0)</f>
        <v>0</v>
      </c>
      <c r="BM202" s="20">
        <f>IFERROR(VLOOKUP(Tabla14[[#This Row],[Llave]],'[13]Cruce plan irrestricto'!$C:$M,10,FALSE),0)</f>
        <v>0</v>
      </c>
      <c r="BN202" s="20">
        <f>IFERROR(VLOOKUP(Tabla14[[#This Row],[Llave]],'[13]Cruce plan irrestricto'!$C:$M,11,FALSE),0)</f>
        <v>0</v>
      </c>
      <c r="BO202" s="80">
        <f>IFERROR(VLOOKUP(Tabla14[[#This Row],[Llave]],'[13]Base ultimos planes'!$O:$AA,8,FALSE),0)</f>
        <v>72000</v>
      </c>
      <c r="BP202" s="20">
        <f>IFERROR(VLOOKUP(Tabla14[[#This Row],[Llave]],'[13]Base ultimos planes'!$O:$AA,9,FALSE),0)</f>
        <v>251769</v>
      </c>
      <c r="BQ202" s="20">
        <f>IFERROR(VLOOKUP(Tabla14[[#This Row],[Llave]],'[13]Base ultimos planes'!$O:$AA,10,FALSE),0)</f>
        <v>111840</v>
      </c>
      <c r="BR202" s="20">
        <f>IFERROR(VLOOKUP(Tabla14[[#This Row],[Llave]],'[13]Base ultimos planes'!$O:$AA,11,FALSE),0)</f>
        <v>64800</v>
      </c>
      <c r="BS202" s="20">
        <f>IFERROR(VLOOKUP(Tabla14[[#This Row],[Llave]],'[13]Base ultimos planes'!$O:$AA,12,FALSE),0)</f>
        <v>72000</v>
      </c>
      <c r="BT202" s="20">
        <f>IFERROR(VLOOKUP(Tabla14[[#This Row],[Llave]],'[13]Base ultimos planes'!$O:$AA,13,FALSE),0)</f>
        <v>0</v>
      </c>
      <c r="BU202" s="20"/>
      <c r="BV202" s="20">
        <f>Tabla14[[#This Row],[ RV Producción mes n+1]]-Tabla14[[#This Row],[Producción disponible]]+Tabla14[[#This Row],[Saldo Volumen disponible]]</f>
        <v>48010</v>
      </c>
      <c r="BW202" s="20">
        <f>IFERROR(VLOOKUP(Tabla14[[#This Row],[Llave]],[14]Hoja2!$J:$N,4,FALSE),0)</f>
        <v>0</v>
      </c>
      <c r="BX202" s="20">
        <f>+Tabla14[[#This Row],[Asignación mes n+1]]*Tabla14[[#This Row],[% Uti. producción]]</f>
        <v>0</v>
      </c>
      <c r="BY202" s="20">
        <f>+Tabla14[[#This Row],[Ponderación mes n+1]]+Tabla14[[#This Row],[Saldo mes n-1]]</f>
        <v>48010</v>
      </c>
      <c r="BZ202" s="20">
        <f>+Tabla14[[#This Row],[Asignación mes n+1]]-Tabla14[[#This Row],[Ponderación mes n+1]]</f>
        <v>0</v>
      </c>
      <c r="CA202" s="20">
        <f>IFERROR(VLOOKUP(Tabla14[[#This Row],[Llave]],[14]Hoja2!$J:$N,5,FALSE),0)</f>
        <v>0</v>
      </c>
      <c r="CB202" s="20">
        <f>+Tabla14[[#This Row],[Asignación mes n+2]]*Tabla14[[#This Row],[% Uti. producción]]</f>
        <v>0</v>
      </c>
      <c r="CC202" s="20">
        <f>+Tabla14[[#This Row],[Saldo mes n+2]]+Tabla14[[#This Row],[Ponderación mes n+2]]</f>
        <v>0</v>
      </c>
      <c r="CD202" s="20">
        <f>+Tabla14[[#This Row],[Asignación mes n+2]]-Tabla14[[#This Row],[Ponderación mes n+2]]</f>
        <v>0</v>
      </c>
    </row>
    <row r="203" spans="1:82" ht="16" x14ac:dyDescent="0.2">
      <c r="A203">
        <v>1</v>
      </c>
      <c r="B203" t="str">
        <f>Tabla14[[#This Row],[Oficina]]&amp;Tabla14[[#This Row],[Material]]</f>
        <v>Agro Sudamerica1030498</v>
      </c>
      <c r="C203" t="s">
        <v>204</v>
      </c>
      <c r="D203" t="s">
        <v>17</v>
      </c>
      <c r="E203">
        <v>1030498</v>
      </c>
      <c r="F203" t="s">
        <v>211</v>
      </c>
      <c r="G203" t="s">
        <v>209</v>
      </c>
      <c r="H203" t="s">
        <v>210</v>
      </c>
      <c r="I203" s="7">
        <f>IFERROR(IF(Tabla14[[#This Row],[Oficina]]=$I$7,VLOOKUP(Tabla14[[#This Row],[Material]],'[6]RV Producción'!$Y:$AA,3,FALSE),VLOOKUP(Tabla14[[#This Row],[Llave]],'[6]RV Producción'!$C:$G,5,FALSE)),0)</f>
        <v>0</v>
      </c>
      <c r="J203" s="7">
        <f>IFERROR(IF(Tabla14[[#This Row],[Oficina]]=$I$7,VLOOKUP(Tabla14[[#This Row],[Llave]],'[7]Shangai (Tomas)'!$A:$F,6,FALSE),VLOOKUP(Tabla14[[#This Row],[Llave]],'[6]RV plan de ventas'!$A:$E,5,FALSE)),0)</f>
        <v>0</v>
      </c>
      <c r="K203" s="8">
        <f>IFERROR(VLOOKUP(Tabla14[[#This Row],[Sector]]&amp;Tabla14[[#This Row],[Oficina]],[8]Ponderación!$A$3:$G$22,7,FALSE),0)</f>
        <v>0.47745072632608576</v>
      </c>
      <c r="L203" s="7">
        <f>+Tabla14[[#This Row],[ RV Producción mes n+1]]*Tabla14[[#This Row],[% Uti. producción]]</f>
        <v>0</v>
      </c>
      <c r="M203" s="7">
        <f>IFERROR(VLOOKUP(Tabla14[[#This Row],[Material]],'[9]TD Stock'!$B:$C,2,FALSE),0)</f>
        <v>22080</v>
      </c>
      <c r="N203" s="7">
        <f>IFERROR(VLOOKUP(Tabla14[[#This Row],[Material]],'[10]Consolidado planificación'!$B:$C,2,FALSE),0)</f>
        <v>0</v>
      </c>
      <c r="O203" s="7">
        <f>IFERROR(VLOOKUP(Tabla14[[#This Row],[Llave]],[11]Hoja2!$D:$G,4,FALSE),0)</f>
        <v>0</v>
      </c>
      <c r="P203" s="14">
        <f>SUM(Tabla14[[#This Row],[Producción disponible]],Tabla14[[#This Row],[Stock al día]],(Tabla14[[#This Row],[Por producir mes N]]*0.9))-Tabla14[[#This Row],[Producción por despachar mes N]]</f>
        <v>22080</v>
      </c>
      <c r="Q203" s="7">
        <f>IFERROR(VLOOKUP(Tabla14[[#This Row],[Llave]],[9]DELAY!$A:$D,4,FALSE),0)</f>
        <v>0</v>
      </c>
      <c r="R203" s="9">
        <v>23000</v>
      </c>
      <c r="S203" s="5">
        <f t="shared" si="8"/>
        <v>0</v>
      </c>
      <c r="T203" s="76">
        <v>0</v>
      </c>
      <c r="U203" s="5">
        <f>+Tabla14[[#This Row],[Atraso a facturar]]+Tabla14[[#This Row],[Ajuste atraso]]</f>
        <v>0</v>
      </c>
      <c r="V203" s="3">
        <f>+Tabla14[[#This Row],[Total disponible]]-Tabla14[[#This Row],[Facturación atraso]]</f>
        <v>22080</v>
      </c>
      <c r="W203" s="6">
        <f>IFERROR(IF(AND(V203&gt;R203,J203&gt;=R203),ROUNDDOWN((Tabla14[[#This Row],[Producción para venta nueva]])/R203,0)*R203,0),0)</f>
        <v>0</v>
      </c>
      <c r="X203" s="76">
        <v>0</v>
      </c>
      <c r="Y203" s="6">
        <f>IF(Tabla14[[#This Row],[Venta del mes]]&gt;0,Tabla14[[#This Row],[Venta del mes]]+Tabla14[[#This Row],[Ajuste venta nueva]],0)</f>
        <v>0</v>
      </c>
      <c r="Z203" s="6">
        <f>+Tabla14[[#This Row],[Producción para venta nueva]]-Tabla14[[#This Row],[Facturación Venta nueva]]</f>
        <v>22080</v>
      </c>
      <c r="AA203" s="6">
        <f>IF(AND(A203=1,Tabla14[[#This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3" s="6">
        <v>0</v>
      </c>
      <c r="AC203" s="6">
        <f>IF(Tabla14[[#This Row],[Disponible stock sin venta]]&gt;0,Tabla14[[#This Row],[Disponible stock sin venta]]+Tabla14[[#This Row],[Ajuste stock sin venta]],0)</f>
        <v>0</v>
      </c>
      <c r="AD203" s="3">
        <f>IFERROR(VLOOKUP(Tabla14[[#This Row],[Llave]],[12]Hoja1!$A:$D,4,FALSE),0)</f>
        <v>0</v>
      </c>
      <c r="AE20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03" s="3">
        <v>0</v>
      </c>
      <c r="AG203" s="3">
        <f>+Tabla14[[#This Row],[En puerto a facturar]]</f>
        <v>0</v>
      </c>
      <c r="AH203" s="3">
        <f>+Tabla14[[#This Row],[Facturación atraso]]</f>
        <v>0</v>
      </c>
      <c r="AI203" s="3">
        <f>+Tabla14[[#This Row],[Plan Irrestricto (DATO)]]-Tabla14[[#This Row],[Puerto ]]-Tabla14[[#This Row],[Atraso]]</f>
        <v>0</v>
      </c>
      <c r="AJ20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03" s="3">
        <f>+Tabla14[[#This Row],[Facturación atraso]]</f>
        <v>0</v>
      </c>
      <c r="AL203" s="3">
        <f>Tabla14[[#This Row],[Plan Ajustado]]-Tabla14[[#This Row],[ Atraso ajustado]]-Tabla14[[#This Row],[En puerto a facturar]]</f>
        <v>0</v>
      </c>
      <c r="AM203" s="3">
        <v>0</v>
      </c>
      <c r="AN203" s="3" t="e">
        <v>#REF!</v>
      </c>
      <c r="AO203" s="3" t="str">
        <f>IF(Tabla14[[#This Row],[Plan Ajustado]]&gt;Tabla14[[#This Row],[En puerto a facturar]],"Si","No")</f>
        <v>No</v>
      </c>
      <c r="AP20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03" s="3">
        <f>IF(Tabla14[[#This Row],[Necesidad]]&gt;=Tabla14[[#This Row],[Stock al día]],Tabla14[[#This Row],[Stock al día]],Tabla14[[#This Row],[Necesidad]])</f>
        <v>0</v>
      </c>
      <c r="AR203" s="3">
        <f>+Tabla14[[#This Row],[Necesidad]]-Tabla14[[#This Row],[Stock Plan]]</f>
        <v>0</v>
      </c>
      <c r="AS203" s="155">
        <f>VLOOKUP(Tabla14[[#This Row],[Sector]]&amp;Tabla14[[#This Row],[Oficina]],[8]Ponderación!$A:$H,8,FALSE)</f>
        <v>44817</v>
      </c>
      <c r="AT203" s="30">
        <f>IFERROR(VLOOKUP(Tabla14[[#This Row],[Llave]],'[6]RV plan de ventas'!$A:$F,6,FALSE),0)</f>
        <v>0</v>
      </c>
      <c r="AU203" s="83">
        <f>IFERROR(VLOOKUP(Tabla14[[#This Row],[Llave]],[9]DELAY!$H:$X,17,FALSE),0)</f>
        <v>0</v>
      </c>
      <c r="AV20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03" s="5">
        <f>Tabla14[[#This Row],[Pecio plan]]*Tabla14[[#This Row],[Plan Ajustado]]</f>
        <v>0</v>
      </c>
      <c r="AX203" s="30">
        <f>IFERROR(VLOOKUP(Tabla14[[#This Row],[Llave]],'[13]Ultimos precios facturados'!$A:$G,7,FALSE),0)</f>
        <v>1.8314070833333331</v>
      </c>
      <c r="AY20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3" s="30">
        <f>IFERROR(VLOOKUP(Tabla14[[#This Row],[Llave]],Hoja2!B:K,10,FALSE),0)</f>
        <v>0</v>
      </c>
      <c r="BA20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03" s="30">
        <v>0</v>
      </c>
      <c r="BC203" s="30">
        <f>IF(Tabla14[[#This Row],[Market]]=0,Tabla14[[#This Row],[Precio Final]],Tabla14[[#This Row],[Market]])</f>
        <v>0</v>
      </c>
      <c r="BD203" s="82"/>
      <c r="BE203" s="82" t="str">
        <f>IF(AND(Tabla14[[#This Row],[Atraso a facturar]]&gt;0,Tabla14[[#This Row],[En puerto a facturar]]&gt;0,Tabla14[[#This Row],[Precio Atraso]]=0),"Revisar","OK")</f>
        <v>OK</v>
      </c>
      <c r="BF203" s="82" t="str">
        <f>IF(AND(Tabla14[[#This Row],[Venta del mes]]&gt;0,Tabla14[[#This Row],[Precio venta nueva]]=0),"Revisar","OK")</f>
        <v>OK</v>
      </c>
      <c r="BG203" s="20">
        <f>IFERROR(VLOOKUP(Tabla14[[#This Row],[Llave]],'[5]Consolidación planes'!$A:$M,9,FALSE),0)</f>
        <v>0</v>
      </c>
      <c r="BH203" s="20">
        <f>IFERROR(VLOOKUP(Tabla14[[#This Row],[Llave]],'[5]Consolidación planes'!$A:$M,10,FALSE),0)</f>
        <v>0</v>
      </c>
      <c r="BI203" s="20">
        <f>IFERROR(VLOOKUP(Tabla14[[#This Row],[Llave]],'[5]Consolidación planes'!$A:$M,11,FALSE),0)</f>
        <v>0</v>
      </c>
      <c r="BJ203" s="20">
        <f>IFERROR(VLOOKUP(Tabla14[[#This Row],[Llave]],'[5]Consolidación planes'!$A:$M,12,FALSE),0)</f>
        <v>0</v>
      </c>
      <c r="BK203" s="20">
        <f>IFERROR(VLOOKUP(Tabla14[[#This Row],[Llave]],'[5]Consolidación planes'!$A:$M,13,FALSE),0)</f>
        <v>0</v>
      </c>
      <c r="BL203" s="20">
        <f>IFERROR(VLOOKUP(Tabla14[[#This Row],[Llave]],'[13]Base ultimos planes'!$A:$M,13,FALSE),0)</f>
        <v>0</v>
      </c>
      <c r="BM203" s="20">
        <f>IFERROR(VLOOKUP(Tabla14[[#This Row],[Llave]],'[13]Cruce plan irrestricto'!$C:$M,10,FALSE),0)</f>
        <v>24000</v>
      </c>
      <c r="BN203" s="20">
        <f>IFERROR(VLOOKUP(Tabla14[[#This Row],[Llave]],'[13]Cruce plan irrestricto'!$C:$M,11,FALSE),0)</f>
        <v>0</v>
      </c>
      <c r="BO203" s="80">
        <f>IFERROR(VLOOKUP(Tabla14[[#This Row],[Llave]],'[13]Base ultimos planes'!$O:$AA,8,FALSE),0)</f>
        <v>0</v>
      </c>
      <c r="BP203" s="20">
        <f>IFERROR(VLOOKUP(Tabla14[[#This Row],[Llave]],'[13]Base ultimos planes'!$O:$AA,9,FALSE),0)</f>
        <v>0</v>
      </c>
      <c r="BQ203" s="20">
        <f>IFERROR(VLOOKUP(Tabla14[[#This Row],[Llave]],'[13]Base ultimos planes'!$O:$AA,10,FALSE),0)</f>
        <v>0</v>
      </c>
      <c r="BR203" s="20">
        <f>IFERROR(VLOOKUP(Tabla14[[#This Row],[Llave]],'[13]Base ultimos planes'!$O:$AA,11,FALSE),0)</f>
        <v>0</v>
      </c>
      <c r="BS203" s="20">
        <f>IFERROR(VLOOKUP(Tabla14[[#This Row],[Llave]],'[13]Base ultimos planes'!$O:$AA,12,FALSE),0)</f>
        <v>0</v>
      </c>
      <c r="BT203" s="20">
        <f>IFERROR(VLOOKUP(Tabla14[[#This Row],[Llave]],'[13]Base ultimos planes'!$O:$AA,13,FALSE),0)</f>
        <v>0</v>
      </c>
      <c r="BU203" s="20"/>
      <c r="BV203" s="20">
        <f>Tabla14[[#This Row],[ RV Producción mes n+1]]-Tabla14[[#This Row],[Producción disponible]]+Tabla14[[#This Row],[Saldo Volumen disponible]]</f>
        <v>22080</v>
      </c>
      <c r="BW203" s="20">
        <f>IFERROR(VLOOKUP(Tabla14[[#This Row],[Llave]],[14]Hoja2!$J:$N,4,FALSE),0)</f>
        <v>9946.6808999999994</v>
      </c>
      <c r="BX203" s="20">
        <f>+Tabla14[[#This Row],[Asignación mes n+1]]*Tabla14[[#This Row],[% Uti. producción]]</f>
        <v>4749.0500202388039</v>
      </c>
      <c r="BY203" s="20">
        <f>+Tabla14[[#This Row],[Ponderación mes n+1]]+Tabla14[[#This Row],[Saldo mes n-1]]</f>
        <v>26829.050020238803</v>
      </c>
      <c r="BZ203" s="20">
        <f>+Tabla14[[#This Row],[Asignación mes n+1]]-Tabla14[[#This Row],[Ponderación mes n+1]]</f>
        <v>5197.6308797611955</v>
      </c>
      <c r="CA203" s="20">
        <f>IFERROR(VLOOKUP(Tabla14[[#This Row],[Llave]],[14]Hoja2!$J:$N,5,FALSE),0)</f>
        <v>12000</v>
      </c>
      <c r="CB203" s="20">
        <f>+Tabla14[[#This Row],[Asignación mes n+2]]*Tabla14[[#This Row],[% Uti. producción]]</f>
        <v>5729.4087159130295</v>
      </c>
      <c r="CC203" s="20">
        <f>+Tabla14[[#This Row],[Saldo mes n+2]]+Tabla14[[#This Row],[Ponderación mes n+2]]</f>
        <v>10927.039595674225</v>
      </c>
      <c r="CD203" s="20">
        <f>+Tabla14[[#This Row],[Asignación mes n+2]]-Tabla14[[#This Row],[Ponderación mes n+2]]</f>
        <v>6270.5912840869705</v>
      </c>
    </row>
    <row r="204" spans="1:82" ht="16" x14ac:dyDescent="0.2">
      <c r="A204">
        <v>1</v>
      </c>
      <c r="B204" t="str">
        <f>Tabla14[[#This Row],[Oficina]]&amp;Tabla14[[#This Row],[Material]]</f>
        <v>Agro Sudamerica1030545</v>
      </c>
      <c r="C204" t="s">
        <v>204</v>
      </c>
      <c r="D204" t="s">
        <v>17</v>
      </c>
      <c r="E204">
        <v>1030545</v>
      </c>
      <c r="F204" t="s">
        <v>222</v>
      </c>
      <c r="G204" t="s">
        <v>220</v>
      </c>
      <c r="H204" t="s">
        <v>221</v>
      </c>
      <c r="I204" s="7">
        <f>IFERROR(IF(Tabla14[[#This Row],[Oficina]]=$I$7,VLOOKUP(Tabla14[[#This Row],[Material]],'[6]RV Producción'!$Y:$AA,3,FALSE),VLOOKUP(Tabla14[[#This Row],[Llave]],'[6]RV Producción'!$C:$G,5,FALSE)),0)</f>
        <v>0</v>
      </c>
      <c r="J204" s="7">
        <f>IFERROR(IF(Tabla14[[#This Row],[Oficina]]=$I$7,VLOOKUP(Tabla14[[#This Row],[Llave]],'[7]Shangai (Tomas)'!$A:$F,6,FALSE),VLOOKUP(Tabla14[[#This Row],[Llave]],'[6]RV plan de ventas'!$A:$E,5,FALSE)),0)</f>
        <v>0</v>
      </c>
      <c r="K204" s="8">
        <f>IFERROR(VLOOKUP(Tabla14[[#This Row],[Sector]]&amp;Tabla14[[#This Row],[Oficina]],[8]Ponderación!$A$3:$G$22,7,FALSE),0)</f>
        <v>0.47745072632608576</v>
      </c>
      <c r="L204" s="7">
        <f>+Tabla14[[#This Row],[ RV Producción mes n+1]]*Tabla14[[#This Row],[% Uti. producción]]</f>
        <v>0</v>
      </c>
      <c r="M204" s="7">
        <f>IFERROR(VLOOKUP(Tabla14[[#This Row],[Material]],'[9]TD Stock'!$B:$C,2,FALSE),0)</f>
        <v>60</v>
      </c>
      <c r="N204" s="7">
        <f>IFERROR(VLOOKUP(Tabla14[[#This Row],[Material]],'[10]Consolidado planificación'!$B:$C,2,FALSE),0)</f>
        <v>0</v>
      </c>
      <c r="O204" s="7">
        <f>IFERROR(VLOOKUP(Tabla14[[#This Row],[Llave]],[11]Hoja2!$D:$G,4,FALSE),0)</f>
        <v>0</v>
      </c>
      <c r="P204" s="14">
        <f>SUM(Tabla14[[#This Row],[Producción disponible]],Tabla14[[#This Row],[Stock al día]],(Tabla14[[#This Row],[Por producir mes N]]*0.9))-Tabla14[[#This Row],[Producción por despachar mes N]]</f>
        <v>60</v>
      </c>
      <c r="Q204" s="7">
        <f>IFERROR(VLOOKUP(Tabla14[[#This Row],[Llave]],[9]DELAY!$A:$D,4,FALSE),0)</f>
        <v>0</v>
      </c>
      <c r="R204" s="9">
        <v>23000</v>
      </c>
      <c r="S204" s="5">
        <f t="shared" si="8"/>
        <v>0</v>
      </c>
      <c r="T204" s="76">
        <v>0</v>
      </c>
      <c r="U204" s="5">
        <f>+Tabla14[[#This Row],[Atraso a facturar]]+Tabla14[[#This Row],[Ajuste atraso]]</f>
        <v>0</v>
      </c>
      <c r="V204" s="3">
        <f>+Tabla14[[#This Row],[Total disponible]]-Tabla14[[#This Row],[Facturación atraso]]</f>
        <v>60</v>
      </c>
      <c r="W204" s="6">
        <f>IFERROR(IF(AND(V204&gt;R204,J204&gt;=R204),ROUNDDOWN((Tabla14[[#This Row],[Producción para venta nueva]])/R204,0)*R204,0),0)</f>
        <v>0</v>
      </c>
      <c r="X204" s="76">
        <v>0</v>
      </c>
      <c r="Y204" s="6">
        <f>IF(Tabla14[[#This Row],[Venta del mes]]&gt;0,Tabla14[[#This Row],[Venta del mes]]+Tabla14[[#This Row],[Ajuste venta nueva]],0)</f>
        <v>0</v>
      </c>
      <c r="Z204" s="6">
        <f>+Tabla14[[#This Row],[Producción para venta nueva]]-Tabla14[[#This Row],[Facturación Venta nueva]]</f>
        <v>60</v>
      </c>
      <c r="AA204" s="6">
        <f>IF(AND(A204=1,Tabla14[[#This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4" s="6">
        <v>0</v>
      </c>
      <c r="AC204" s="6">
        <f>IF(Tabla14[[#This Row],[Disponible stock sin venta]]&gt;0,Tabla14[[#This Row],[Disponible stock sin venta]]+Tabla14[[#This Row],[Ajuste stock sin venta]],0)</f>
        <v>0</v>
      </c>
      <c r="AD204" s="3">
        <f>IFERROR(VLOOKUP(Tabla14[[#This Row],[Llave]],[12]Hoja1!$A:$D,4,FALSE),0)</f>
        <v>0</v>
      </c>
      <c r="AE20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04" s="3">
        <v>0</v>
      </c>
      <c r="AG204" s="3">
        <f>+Tabla14[[#This Row],[En puerto a facturar]]</f>
        <v>0</v>
      </c>
      <c r="AH204" s="3">
        <f>+Tabla14[[#This Row],[Facturación atraso]]</f>
        <v>0</v>
      </c>
      <c r="AI204" s="3">
        <f>+Tabla14[[#This Row],[Plan Irrestricto (DATO)]]-Tabla14[[#This Row],[Puerto ]]-Tabla14[[#This Row],[Atraso]]</f>
        <v>0</v>
      </c>
      <c r="AJ20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04" s="3">
        <f>+Tabla14[[#This Row],[Facturación atraso]]</f>
        <v>0</v>
      </c>
      <c r="AL204" s="3">
        <f>Tabla14[[#This Row],[Plan Ajustado]]-Tabla14[[#This Row],[ Atraso ajustado]]-Tabla14[[#This Row],[En puerto a facturar]]</f>
        <v>0</v>
      </c>
      <c r="AM204" s="3">
        <v>0</v>
      </c>
      <c r="AN204" s="3" t="e">
        <v>#REF!</v>
      </c>
      <c r="AO204" s="3" t="str">
        <f>IF(Tabla14[[#This Row],[Plan Ajustado]]&gt;Tabla14[[#This Row],[En puerto a facturar]],"Si","No")</f>
        <v>No</v>
      </c>
      <c r="AP20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04" s="3">
        <f>IF(Tabla14[[#This Row],[Necesidad]]&gt;=Tabla14[[#This Row],[Stock al día]],Tabla14[[#This Row],[Stock al día]],Tabla14[[#This Row],[Necesidad]])</f>
        <v>0</v>
      </c>
      <c r="AR204" s="3">
        <f>+Tabla14[[#This Row],[Necesidad]]-Tabla14[[#This Row],[Stock Plan]]</f>
        <v>0</v>
      </c>
      <c r="AS204" s="155">
        <f>VLOOKUP(Tabla14[[#This Row],[Sector]]&amp;Tabla14[[#This Row],[Oficina]],[8]Ponderación!$A:$H,8,FALSE)</f>
        <v>44817</v>
      </c>
      <c r="AT204" s="30">
        <f>IFERROR(VLOOKUP(Tabla14[[#This Row],[Llave]],'[6]RV plan de ventas'!$A:$F,6,FALSE),0)</f>
        <v>0</v>
      </c>
      <c r="AU204" s="83">
        <f>IFERROR(VLOOKUP(Tabla14[[#This Row],[Llave]],[9]DELAY!$H:$X,17,FALSE),0)</f>
        <v>0</v>
      </c>
      <c r="AV20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04" s="5">
        <f>Tabla14[[#This Row],[Pecio plan]]*Tabla14[[#This Row],[Plan Ajustado]]</f>
        <v>0</v>
      </c>
      <c r="AX204" s="30">
        <f>IFERROR(VLOOKUP(Tabla14[[#This Row],[Llave]],'[13]Ultimos precios facturados'!$A:$G,7,FALSE),0)</f>
        <v>4.434040416666666</v>
      </c>
      <c r="AY20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4" s="30">
        <f>IFERROR(VLOOKUP(Tabla14[[#This Row],[Llave]],Hoja2!B:K,10,FALSE),0)</f>
        <v>0</v>
      </c>
      <c r="BA20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04" s="30">
        <v>0</v>
      </c>
      <c r="BC204" s="30">
        <f>IF(Tabla14[[#This Row],[Market]]=0,Tabla14[[#This Row],[Precio Final]],Tabla14[[#This Row],[Market]])</f>
        <v>0</v>
      </c>
      <c r="BD204" s="82"/>
      <c r="BE204" s="82" t="str">
        <f>IF(AND(Tabla14[[#This Row],[Atraso a facturar]]&gt;0,Tabla14[[#This Row],[En puerto a facturar]]&gt;0,Tabla14[[#This Row],[Precio Atraso]]=0),"Revisar","OK")</f>
        <v>OK</v>
      </c>
      <c r="BF204" s="82" t="str">
        <f>IF(AND(Tabla14[[#This Row],[Venta del mes]]&gt;0,Tabla14[[#This Row],[Precio venta nueva]]=0),"Revisar","OK")</f>
        <v>OK</v>
      </c>
      <c r="BG204" s="20">
        <f>IFERROR(VLOOKUP(Tabla14[[#This Row],[Llave]],'[5]Consolidación planes'!$A:$M,9,FALSE),0)</f>
        <v>24000</v>
      </c>
      <c r="BH204" s="20">
        <f>IFERROR(VLOOKUP(Tabla14[[#This Row],[Llave]],'[5]Consolidación planes'!$A:$M,10,FALSE),0)</f>
        <v>48000</v>
      </c>
      <c r="BI204" s="20">
        <f>IFERROR(VLOOKUP(Tabla14[[#This Row],[Llave]],'[5]Consolidación planes'!$A:$M,11,FALSE),0)</f>
        <v>44000</v>
      </c>
      <c r="BJ204" s="20">
        <f>IFERROR(VLOOKUP(Tabla14[[#This Row],[Llave]],'[5]Consolidación planes'!$A:$M,12,FALSE),0)</f>
        <v>24000</v>
      </c>
      <c r="BK204" s="20">
        <f>IFERROR(VLOOKUP(Tabla14[[#This Row],[Llave]],'[5]Consolidación planes'!$A:$M,13,FALSE),0)</f>
        <v>72000</v>
      </c>
      <c r="BL204" s="20">
        <f>IFERROR(VLOOKUP(Tabla14[[#This Row],[Llave]],'[13]Base ultimos planes'!$A:$M,13,FALSE),0)</f>
        <v>0</v>
      </c>
      <c r="BM204" s="20">
        <f>IFERROR(VLOOKUP(Tabla14[[#This Row],[Llave]],'[13]Cruce plan irrestricto'!$C:$M,10,FALSE),0)</f>
        <v>0</v>
      </c>
      <c r="BN204" s="20">
        <f>IFERROR(VLOOKUP(Tabla14[[#This Row],[Llave]],'[13]Cruce plan irrestricto'!$C:$M,11,FALSE),0)</f>
        <v>0</v>
      </c>
      <c r="BO204" s="80">
        <f>IFERROR(VLOOKUP(Tabla14[[#This Row],[Llave]],'[13]Base ultimos planes'!$O:$AA,8,FALSE),0)</f>
        <v>102960</v>
      </c>
      <c r="BP204" s="20">
        <f>IFERROR(VLOOKUP(Tabla14[[#This Row],[Llave]],'[13]Base ultimos planes'!$O:$AA,9,FALSE),0)</f>
        <v>198670</v>
      </c>
      <c r="BQ204" s="20">
        <f>IFERROR(VLOOKUP(Tabla14[[#This Row],[Llave]],'[13]Base ultimos planes'!$O:$AA,10,FALSE),0)</f>
        <v>190200</v>
      </c>
      <c r="BR204" s="20">
        <f>IFERROR(VLOOKUP(Tabla14[[#This Row],[Llave]],'[13]Base ultimos planes'!$O:$AA,11,FALSE),0)</f>
        <v>104400</v>
      </c>
      <c r="BS204" s="20">
        <f>IFERROR(VLOOKUP(Tabla14[[#This Row],[Llave]],'[13]Base ultimos planes'!$O:$AA,12,FALSE),0)</f>
        <v>308400</v>
      </c>
      <c r="BT204" s="20">
        <f>IFERROR(VLOOKUP(Tabla14[[#This Row],[Llave]],'[13]Base ultimos planes'!$O:$AA,13,FALSE),0)</f>
        <v>0</v>
      </c>
      <c r="BU204" s="20"/>
      <c r="BV204" s="20">
        <f>Tabla14[[#This Row],[ RV Producción mes n+1]]-Tabla14[[#This Row],[Producción disponible]]+Tabla14[[#This Row],[Saldo Volumen disponible]]</f>
        <v>60</v>
      </c>
      <c r="BW204" s="20">
        <f>IFERROR(VLOOKUP(Tabla14[[#This Row],[Llave]],[14]Hoja2!$J:$N,4,FALSE),0)</f>
        <v>48000</v>
      </c>
      <c r="BX204" s="20">
        <f>+Tabla14[[#This Row],[Asignación mes n+1]]*Tabla14[[#This Row],[% Uti. producción]]</f>
        <v>22917.634863652118</v>
      </c>
      <c r="BY204" s="20">
        <f>+Tabla14[[#This Row],[Ponderación mes n+1]]+Tabla14[[#This Row],[Saldo mes n-1]]</f>
        <v>22977.634863652118</v>
      </c>
      <c r="BZ204" s="20">
        <f>+Tabla14[[#This Row],[Asignación mes n+1]]-Tabla14[[#This Row],[Ponderación mes n+1]]</f>
        <v>25082.365136347882</v>
      </c>
      <c r="CA204" s="20">
        <f>IFERROR(VLOOKUP(Tabla14[[#This Row],[Llave]],[14]Hoja2!$J:$N,5,FALSE),0)</f>
        <v>24000</v>
      </c>
      <c r="CB204" s="20">
        <f>+Tabla14[[#This Row],[Asignación mes n+2]]*Tabla14[[#This Row],[% Uti. producción]]</f>
        <v>11458.817431826059</v>
      </c>
      <c r="CC204" s="20">
        <f>+Tabla14[[#This Row],[Saldo mes n+2]]+Tabla14[[#This Row],[Ponderación mes n+2]]</f>
        <v>36541.182568173943</v>
      </c>
      <c r="CD204" s="20">
        <f>+Tabla14[[#This Row],[Asignación mes n+2]]-Tabla14[[#This Row],[Ponderación mes n+2]]</f>
        <v>12541.182568173941</v>
      </c>
    </row>
    <row r="205" spans="1:82" ht="16" x14ac:dyDescent="0.2">
      <c r="A205">
        <v>1</v>
      </c>
      <c r="B205" t="str">
        <f>Tabla14[[#This Row],[Oficina]]&amp;Tabla14[[#This Row],[Material]]</f>
        <v>Agro Sudamerica1030670</v>
      </c>
      <c r="C205" t="s">
        <v>204</v>
      </c>
      <c r="D205" t="s">
        <v>17</v>
      </c>
      <c r="E205">
        <v>1030670</v>
      </c>
      <c r="F205" t="s">
        <v>214</v>
      </c>
      <c r="G205" t="s">
        <v>212</v>
      </c>
      <c r="H205" t="s">
        <v>213</v>
      </c>
      <c r="I205" s="7">
        <f>IFERROR(IF(Tabla14[[#This Row],[Oficina]]=$I$7,VLOOKUP(Tabla14[[#This Row],[Material]],'[6]RV Producción'!$Y:$AA,3,FALSE),VLOOKUP(Tabla14[[#This Row],[Llave]],'[6]RV Producción'!$C:$G,5,FALSE)),0)</f>
        <v>0</v>
      </c>
      <c r="J205" s="7">
        <f>IFERROR(IF(Tabla14[[#This Row],[Oficina]]=$I$7,VLOOKUP(Tabla14[[#This Row],[Llave]],'[7]Shangai (Tomas)'!$A:$F,6,FALSE),VLOOKUP(Tabla14[[#This Row],[Llave]],'[6]RV plan de ventas'!$A:$E,5,FALSE)),0)</f>
        <v>0</v>
      </c>
      <c r="K205" s="8">
        <f>IFERROR(VLOOKUP(Tabla14[[#This Row],[Sector]]&amp;Tabla14[[#This Row],[Oficina]],[8]Ponderación!$A$3:$G$22,7,FALSE),0)</f>
        <v>0.47745072632608576</v>
      </c>
      <c r="L205" s="7">
        <f>+Tabla14[[#This Row],[ RV Producción mes n+1]]*Tabla14[[#This Row],[% Uti. producción]]</f>
        <v>0</v>
      </c>
      <c r="M205" s="7">
        <f>IFERROR(VLOOKUP(Tabla14[[#This Row],[Material]],'[9]TD Stock'!$B:$C,2,FALSE),0)</f>
        <v>330</v>
      </c>
      <c r="N205" s="7">
        <f>IFERROR(VLOOKUP(Tabla14[[#This Row],[Material]],'[10]Consolidado planificación'!$B:$C,2,FALSE),0)</f>
        <v>25000</v>
      </c>
      <c r="O205" s="7">
        <f>IFERROR(VLOOKUP(Tabla14[[#This Row],[Llave]],[11]Hoja2!$D:$G,4,FALSE),0)</f>
        <v>0</v>
      </c>
      <c r="P205" s="14">
        <f>SUM(Tabla14[[#This Row],[Producción disponible]],Tabla14[[#This Row],[Stock al día]],(Tabla14[[#This Row],[Por producir mes N]]*0.9))-Tabla14[[#This Row],[Producción por despachar mes N]]</f>
        <v>22830</v>
      </c>
      <c r="Q205" s="7">
        <f>IFERROR(VLOOKUP(Tabla14[[#This Row],[Llave]],[9]DELAY!$A:$D,4,FALSE),0)</f>
        <v>0</v>
      </c>
      <c r="R205" s="9">
        <v>23000</v>
      </c>
      <c r="S205" s="5">
        <f t="shared" si="8"/>
        <v>0</v>
      </c>
      <c r="T205" s="76">
        <v>0</v>
      </c>
      <c r="U205" s="5">
        <f>+Tabla14[[#This Row],[Atraso a facturar]]+Tabla14[[#This Row],[Ajuste atraso]]</f>
        <v>0</v>
      </c>
      <c r="V205" s="3">
        <f>+Tabla14[[#This Row],[Total disponible]]-Tabla14[[#This Row],[Facturación atraso]]</f>
        <v>22830</v>
      </c>
      <c r="W205" s="6">
        <f>IFERROR(IF(AND(V205&gt;R205,J205&gt;=R205),ROUNDDOWN((Tabla14[[#This Row],[Producción para venta nueva]])/R205,0)*R205,0),0)</f>
        <v>0</v>
      </c>
      <c r="X205" s="76">
        <v>0</v>
      </c>
      <c r="Y205" s="6">
        <f>IF(Tabla14[[#This Row],[Venta del mes]]&gt;0,Tabla14[[#This Row],[Venta del mes]]+Tabla14[[#This Row],[Ajuste venta nueva]],0)</f>
        <v>0</v>
      </c>
      <c r="Z205" s="6">
        <f>+Tabla14[[#This Row],[Producción para venta nueva]]-Tabla14[[#This Row],[Facturación Venta nueva]]</f>
        <v>22830</v>
      </c>
      <c r="AA205" s="6">
        <f>IF(AND(A205=1,Tabla14[[#This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5" s="6">
        <v>0</v>
      </c>
      <c r="AC205" s="6">
        <f>IF(Tabla14[[#This Row],[Disponible stock sin venta]]&gt;0,Tabla14[[#This Row],[Disponible stock sin venta]]+Tabla14[[#This Row],[Ajuste stock sin venta]],0)</f>
        <v>0</v>
      </c>
      <c r="AD205" s="3">
        <f>IFERROR(VLOOKUP(Tabla14[[#This Row],[Llave]],[12]Hoja1!$A:$D,4,FALSE),0)</f>
        <v>0</v>
      </c>
      <c r="AE20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05" s="3">
        <v>0</v>
      </c>
      <c r="AG205" s="3">
        <f>+Tabla14[[#This Row],[En puerto a facturar]]</f>
        <v>0</v>
      </c>
      <c r="AH205" s="3">
        <f>+Tabla14[[#This Row],[Facturación atraso]]</f>
        <v>0</v>
      </c>
      <c r="AI205" s="3">
        <f>+Tabla14[[#This Row],[Plan Irrestricto (DATO)]]-Tabla14[[#This Row],[Puerto ]]-Tabla14[[#This Row],[Atraso]]</f>
        <v>0</v>
      </c>
      <c r="AJ20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05" s="3">
        <f>+Tabla14[[#This Row],[Facturación atraso]]</f>
        <v>0</v>
      </c>
      <c r="AL205" s="3">
        <f>Tabla14[[#This Row],[Plan Ajustado]]-Tabla14[[#This Row],[ Atraso ajustado]]-Tabla14[[#This Row],[En puerto a facturar]]</f>
        <v>0</v>
      </c>
      <c r="AM205" s="3">
        <v>0</v>
      </c>
      <c r="AN205" s="3" t="e">
        <v>#REF!</v>
      </c>
      <c r="AO205" s="3" t="str">
        <f>IF(Tabla14[[#This Row],[Plan Ajustado]]&gt;Tabla14[[#This Row],[En puerto a facturar]],"Si","No")</f>
        <v>No</v>
      </c>
      <c r="AP20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05" s="3">
        <f>IF(Tabla14[[#This Row],[Necesidad]]&gt;=Tabla14[[#This Row],[Stock al día]],Tabla14[[#This Row],[Stock al día]],Tabla14[[#This Row],[Necesidad]])</f>
        <v>0</v>
      </c>
      <c r="AR205" s="3">
        <f>+Tabla14[[#This Row],[Necesidad]]-Tabla14[[#This Row],[Stock Plan]]</f>
        <v>0</v>
      </c>
      <c r="AS205" s="155">
        <f>VLOOKUP(Tabla14[[#This Row],[Sector]]&amp;Tabla14[[#This Row],[Oficina]],[8]Ponderación!$A:$H,8,FALSE)</f>
        <v>44817</v>
      </c>
      <c r="AT205" s="30">
        <f>IFERROR(VLOOKUP(Tabla14[[#This Row],[Llave]],'[6]RV plan de ventas'!$A:$F,6,FALSE),0)</f>
        <v>0</v>
      </c>
      <c r="AU205" s="83">
        <f>IFERROR(VLOOKUP(Tabla14[[#This Row],[Llave]],[9]DELAY!$H:$X,17,FALSE),0)</f>
        <v>0</v>
      </c>
      <c r="AV20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05" s="5">
        <f>Tabla14[[#This Row],[Pecio plan]]*Tabla14[[#This Row],[Plan Ajustado]]</f>
        <v>0</v>
      </c>
      <c r="AX205" s="30">
        <f>IFERROR(VLOOKUP(Tabla14[[#This Row],[Llave]],'[13]Ultimos precios facturados'!$A:$G,7,FALSE),0)</f>
        <v>9.2431968452380939</v>
      </c>
      <c r="AY20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5" s="30">
        <f>IFERROR(VLOOKUP(Tabla14[[#This Row],[Llave]],Hoja2!B:K,10,FALSE),0)</f>
        <v>0</v>
      </c>
      <c r="BA20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05" s="30">
        <v>0</v>
      </c>
      <c r="BC205" s="30">
        <f>IF(Tabla14[[#This Row],[Market]]=0,Tabla14[[#This Row],[Precio Final]],Tabla14[[#This Row],[Market]])</f>
        <v>0</v>
      </c>
      <c r="BD205" s="82"/>
      <c r="BE205" s="82" t="str">
        <f>IF(AND(Tabla14[[#This Row],[Atraso a facturar]]&gt;0,Tabla14[[#This Row],[En puerto a facturar]]&gt;0,Tabla14[[#This Row],[Precio Atraso]]=0),"Revisar","OK")</f>
        <v>OK</v>
      </c>
      <c r="BF205" s="82" t="str">
        <f>IF(AND(Tabla14[[#This Row],[Venta del mes]]&gt;0,Tabla14[[#This Row],[Precio venta nueva]]=0),"Revisar","OK")</f>
        <v>OK</v>
      </c>
      <c r="BG205" s="20">
        <f>IFERROR(VLOOKUP(Tabla14[[#This Row],[Llave]],'[5]Consolidación planes'!$A:$M,9,FALSE),0)</f>
        <v>24000</v>
      </c>
      <c r="BH205" s="20">
        <f>IFERROR(VLOOKUP(Tabla14[[#This Row],[Llave]],'[5]Consolidación planes'!$A:$M,10,FALSE),0)</f>
        <v>96000</v>
      </c>
      <c r="BI205" s="20">
        <f>IFERROR(VLOOKUP(Tabla14[[#This Row],[Llave]],'[5]Consolidación planes'!$A:$M,11,FALSE),0)</f>
        <v>48000</v>
      </c>
      <c r="BJ205" s="20">
        <f>IFERROR(VLOOKUP(Tabla14[[#This Row],[Llave]],'[5]Consolidación planes'!$A:$M,12,FALSE),0)</f>
        <v>72000</v>
      </c>
      <c r="BK205" s="20">
        <f>IFERROR(VLOOKUP(Tabla14[[#This Row],[Llave]],'[5]Consolidación planes'!$A:$M,13,FALSE),0)</f>
        <v>72000</v>
      </c>
      <c r="BL205" s="20">
        <f>IFERROR(VLOOKUP(Tabla14[[#This Row],[Llave]],'[13]Base ultimos planes'!$A:$M,13,FALSE),0)</f>
        <v>48000</v>
      </c>
      <c r="BM205" s="20">
        <f>IFERROR(VLOOKUP(Tabla14[[#This Row],[Llave]],'[13]Cruce plan irrestricto'!$C:$M,10,FALSE),0)</f>
        <v>24000</v>
      </c>
      <c r="BN205" s="20">
        <f>IFERROR(VLOOKUP(Tabla14[[#This Row],[Llave]],'[13]Cruce plan irrestricto'!$C:$M,11,FALSE),0)</f>
        <v>0</v>
      </c>
      <c r="BO205" s="80">
        <f>IFERROR(VLOOKUP(Tabla14[[#This Row],[Llave]],'[13]Base ultimos planes'!$O:$AA,8,FALSE),0)</f>
        <v>170400</v>
      </c>
      <c r="BP205" s="20">
        <f>IFERROR(VLOOKUP(Tabla14[[#This Row],[Llave]],'[13]Base ultimos planes'!$O:$AA,9,FALSE),0)</f>
        <v>703800</v>
      </c>
      <c r="BQ205" s="20">
        <f>IFERROR(VLOOKUP(Tabla14[[#This Row],[Llave]],'[13]Base ultimos planes'!$O:$AA,10,FALSE),0)</f>
        <v>393280</v>
      </c>
      <c r="BR205" s="20">
        <f>IFERROR(VLOOKUP(Tabla14[[#This Row],[Llave]],'[13]Base ultimos planes'!$O:$AA,11,FALSE),0)</f>
        <v>579360</v>
      </c>
      <c r="BS205" s="20">
        <f>IFERROR(VLOOKUP(Tabla14[[#This Row],[Llave]],'[13]Base ultimos planes'!$O:$AA,12,FALSE),0)</f>
        <v>752400</v>
      </c>
      <c r="BT205" s="20">
        <f>IFERROR(VLOOKUP(Tabla14[[#This Row],[Llave]],'[13]Base ultimos planes'!$O:$AA,13,FALSE),0)</f>
        <v>572402</v>
      </c>
      <c r="BU205" s="20"/>
      <c r="BV205" s="20">
        <f>Tabla14[[#This Row],[ RV Producción mes n+1]]-Tabla14[[#This Row],[Producción disponible]]+Tabla14[[#This Row],[Saldo Volumen disponible]]</f>
        <v>22830</v>
      </c>
      <c r="BW205" s="20">
        <f>IFERROR(VLOOKUP(Tabla14[[#This Row],[Llave]],[14]Hoja2!$J:$N,4,FALSE),0)</f>
        <v>24000</v>
      </c>
      <c r="BX205" s="20">
        <f>+Tabla14[[#This Row],[Asignación mes n+1]]*Tabla14[[#This Row],[% Uti. producción]]</f>
        <v>11458.817431826059</v>
      </c>
      <c r="BY205" s="20">
        <f>+Tabla14[[#This Row],[Ponderación mes n+1]]+Tabla14[[#This Row],[Saldo mes n-1]]</f>
        <v>34288.817431826057</v>
      </c>
      <c r="BZ205" s="20">
        <f>+Tabla14[[#This Row],[Asignación mes n+1]]-Tabla14[[#This Row],[Ponderación mes n+1]]</f>
        <v>12541.182568173941</v>
      </c>
      <c r="CA205" s="20">
        <f>IFERROR(VLOOKUP(Tabla14[[#This Row],[Llave]],[14]Hoja2!$J:$N,5,FALSE),0)</f>
        <v>0</v>
      </c>
      <c r="CB205" s="20">
        <f>+Tabla14[[#This Row],[Asignación mes n+2]]*Tabla14[[#This Row],[% Uti. producción]]</f>
        <v>0</v>
      </c>
      <c r="CC205" s="20">
        <f>+Tabla14[[#This Row],[Saldo mes n+2]]+Tabla14[[#This Row],[Ponderación mes n+2]]</f>
        <v>12541.182568173941</v>
      </c>
      <c r="CD205" s="20">
        <f>+Tabla14[[#This Row],[Asignación mes n+2]]-Tabla14[[#This Row],[Ponderación mes n+2]]</f>
        <v>0</v>
      </c>
    </row>
    <row r="206" spans="1:82" ht="16" x14ac:dyDescent="0.2">
      <c r="A206">
        <v>1</v>
      </c>
      <c r="B206" t="str">
        <f>Tabla14[[#This Row],[Oficina]]&amp;Tabla14[[#This Row],[Material]]</f>
        <v>Agro Sudamerica1030720</v>
      </c>
      <c r="C206" t="s">
        <v>204</v>
      </c>
      <c r="D206" t="s">
        <v>17</v>
      </c>
      <c r="E206">
        <v>1030720</v>
      </c>
      <c r="F206" t="s">
        <v>216</v>
      </c>
      <c r="G206" t="s">
        <v>71</v>
      </c>
      <c r="H206" t="s">
        <v>215</v>
      </c>
      <c r="I206" s="7">
        <f>IFERROR(IF(Tabla14[[#This Row],[Oficina]]=$I$7,VLOOKUP(Tabla14[[#This Row],[Material]],'[6]RV Producción'!$Y:$AA,3,FALSE),VLOOKUP(Tabla14[[#This Row],[Llave]],'[6]RV Producción'!$C:$G,5,FALSE)),0)</f>
        <v>0</v>
      </c>
      <c r="J206" s="7">
        <f>IFERROR(IF(Tabla14[[#This Row],[Oficina]]=$I$7,VLOOKUP(Tabla14[[#This Row],[Llave]],'[7]Shangai (Tomas)'!$A:$F,6,FALSE),VLOOKUP(Tabla14[[#This Row],[Llave]],'[6]RV plan de ventas'!$A:$E,5,FALSE)),0)</f>
        <v>0</v>
      </c>
      <c r="K206" s="8">
        <f>IFERROR(VLOOKUP(Tabla14[[#This Row],[Sector]]&amp;Tabla14[[#This Row],[Oficina]],[8]Ponderación!$A$3:$G$22,7,FALSE),0)</f>
        <v>0.47745072632608576</v>
      </c>
      <c r="L206" s="7">
        <f>+Tabla14[[#This Row],[ RV Producción mes n+1]]*Tabla14[[#This Row],[% Uti. producción]]</f>
        <v>0</v>
      </c>
      <c r="M206" s="7">
        <f>IFERROR(VLOOKUP(Tabla14[[#This Row],[Material]],'[9]TD Stock'!$B:$C,2,FALSE),0)</f>
        <v>17451.648000000001</v>
      </c>
      <c r="N206" s="7">
        <f>IFERROR(VLOOKUP(Tabla14[[#This Row],[Material]],'[10]Consolidado planificación'!$B:$C,2,FALSE),0)</f>
        <v>6000</v>
      </c>
      <c r="O206" s="7">
        <f>IFERROR(VLOOKUP(Tabla14[[#This Row],[Llave]],[11]Hoja2!$D:$G,4,FALSE),0)</f>
        <v>0</v>
      </c>
      <c r="P206" s="14">
        <f>SUM(Tabla14[[#This Row],[Producción disponible]],Tabla14[[#This Row],[Stock al día]],(Tabla14[[#This Row],[Por producir mes N]]*0.9))-Tabla14[[#This Row],[Producción por despachar mes N]]</f>
        <v>22851.648000000001</v>
      </c>
      <c r="Q206" s="7">
        <f>IFERROR(VLOOKUP(Tabla14[[#This Row],[Llave]],[9]DELAY!$A:$D,4,FALSE),0)</f>
        <v>0</v>
      </c>
      <c r="R206" s="9">
        <v>23000</v>
      </c>
      <c r="S206" s="5">
        <f t="shared" si="8"/>
        <v>0</v>
      </c>
      <c r="T206" s="76">
        <v>0</v>
      </c>
      <c r="U206" s="5">
        <f>+Tabla14[[#This Row],[Atraso a facturar]]+Tabla14[[#This Row],[Ajuste atraso]]</f>
        <v>0</v>
      </c>
      <c r="V206" s="3">
        <f>+Tabla14[[#This Row],[Total disponible]]-Tabla14[[#This Row],[Facturación atraso]]</f>
        <v>22851.648000000001</v>
      </c>
      <c r="W206" s="6">
        <f>IFERROR(IF(AND(V206&gt;R206,J206&gt;=R206),ROUNDDOWN((Tabla14[[#This Row],[Producción para venta nueva]])/R206,0)*R206,0),0)</f>
        <v>0</v>
      </c>
      <c r="X206" s="76">
        <v>0</v>
      </c>
      <c r="Y206" s="6">
        <f>IF(Tabla14[[#This Row],[Venta del mes]]&gt;0,Tabla14[[#This Row],[Venta del mes]]+Tabla14[[#This Row],[Ajuste venta nueva]],0)</f>
        <v>0</v>
      </c>
      <c r="Z206" s="6">
        <f>+Tabla14[[#This Row],[Producción para venta nueva]]-Tabla14[[#This Row],[Facturación Venta nueva]]</f>
        <v>22851.648000000001</v>
      </c>
      <c r="AA206" s="6">
        <f>IF(AND(A206=1,Tabla14[[#This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6" s="6">
        <v>0</v>
      </c>
      <c r="AC206" s="6">
        <f>IF(Tabla14[[#This Row],[Disponible stock sin venta]]&gt;0,Tabla14[[#This Row],[Disponible stock sin venta]]+Tabla14[[#This Row],[Ajuste stock sin venta]],0)</f>
        <v>0</v>
      </c>
      <c r="AD206" s="3">
        <f>IFERROR(VLOOKUP(Tabla14[[#This Row],[Llave]],[12]Hoja1!$A:$D,4,FALSE),0)</f>
        <v>0</v>
      </c>
      <c r="AE20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06" s="3">
        <v>0</v>
      </c>
      <c r="AG206" s="3">
        <f>+Tabla14[[#This Row],[En puerto a facturar]]</f>
        <v>0</v>
      </c>
      <c r="AH206" s="3">
        <f>+Tabla14[[#This Row],[Facturación atraso]]</f>
        <v>0</v>
      </c>
      <c r="AI206" s="3">
        <f>+Tabla14[[#This Row],[Plan Irrestricto (DATO)]]-Tabla14[[#This Row],[Puerto ]]-Tabla14[[#This Row],[Atraso]]</f>
        <v>0</v>
      </c>
      <c r="AJ20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06" s="3">
        <f>+Tabla14[[#This Row],[Facturación atraso]]</f>
        <v>0</v>
      </c>
      <c r="AL206" s="3">
        <f>Tabla14[[#This Row],[Plan Ajustado]]-Tabla14[[#This Row],[ Atraso ajustado]]-Tabla14[[#This Row],[En puerto a facturar]]</f>
        <v>0</v>
      </c>
      <c r="AM206" s="3">
        <v>0</v>
      </c>
      <c r="AN206" s="3" t="e">
        <v>#REF!</v>
      </c>
      <c r="AO206" s="3" t="str">
        <f>IF(Tabla14[[#This Row],[Plan Ajustado]]&gt;Tabla14[[#This Row],[En puerto a facturar]],"Si","No")</f>
        <v>No</v>
      </c>
      <c r="AP20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06" s="3">
        <f>IF(Tabla14[[#This Row],[Necesidad]]&gt;=Tabla14[[#This Row],[Stock al día]],Tabla14[[#This Row],[Stock al día]],Tabla14[[#This Row],[Necesidad]])</f>
        <v>0</v>
      </c>
      <c r="AR206" s="3">
        <f>+Tabla14[[#This Row],[Necesidad]]-Tabla14[[#This Row],[Stock Plan]]</f>
        <v>0</v>
      </c>
      <c r="AS206" s="155">
        <f>VLOOKUP(Tabla14[[#This Row],[Sector]]&amp;Tabla14[[#This Row],[Oficina]],[8]Ponderación!$A:$H,8,FALSE)</f>
        <v>44817</v>
      </c>
      <c r="AT206" s="30">
        <f>IFERROR(VLOOKUP(Tabla14[[#This Row],[Llave]],'[6]RV plan de ventas'!$A:$F,6,FALSE),0)</f>
        <v>0</v>
      </c>
      <c r="AU206" s="83">
        <f>IFERROR(VLOOKUP(Tabla14[[#This Row],[Llave]],[9]DELAY!$H:$X,17,FALSE),0)</f>
        <v>0</v>
      </c>
      <c r="AV20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06" s="5">
        <f>Tabla14[[#This Row],[Pecio plan]]*Tabla14[[#This Row],[Plan Ajustado]]</f>
        <v>0</v>
      </c>
      <c r="AX206" s="30">
        <f>IFERROR(VLOOKUP(Tabla14[[#This Row],[Llave]],'[13]Ultimos precios facturados'!$A:$G,7,FALSE),0)</f>
        <v>0.55210199730274134</v>
      </c>
      <c r="AY20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6" s="30">
        <f>IFERROR(VLOOKUP(Tabla14[[#This Row],[Llave]],Hoja2!B:K,10,FALSE),0)</f>
        <v>0</v>
      </c>
      <c r="BA20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06" s="30">
        <v>0</v>
      </c>
      <c r="BC206" s="30">
        <f>IF(Tabla14[[#This Row],[Market]]=0,Tabla14[[#This Row],[Precio Final]],Tabla14[[#This Row],[Market]])</f>
        <v>0</v>
      </c>
      <c r="BD206" s="82"/>
      <c r="BE206" s="82" t="str">
        <f>IF(AND(Tabla14[[#This Row],[Atraso a facturar]]&gt;0,Tabla14[[#This Row],[En puerto a facturar]]&gt;0,Tabla14[[#This Row],[Precio Atraso]]=0),"Revisar","OK")</f>
        <v>OK</v>
      </c>
      <c r="BF206" s="82" t="str">
        <f>IF(AND(Tabla14[[#This Row],[Venta del mes]]&gt;0,Tabla14[[#This Row],[Precio venta nueva]]=0),"Revisar","OK")</f>
        <v>OK</v>
      </c>
      <c r="BG206" s="20">
        <f>IFERROR(VLOOKUP(Tabla14[[#This Row],[Llave]],'[5]Consolidación planes'!$A:$M,9,FALSE),0)</f>
        <v>0</v>
      </c>
      <c r="BH206" s="20">
        <f>IFERROR(VLOOKUP(Tabla14[[#This Row],[Llave]],'[5]Consolidación planes'!$A:$M,10,FALSE),0)</f>
        <v>24000</v>
      </c>
      <c r="BI206" s="20">
        <f>IFERROR(VLOOKUP(Tabla14[[#This Row],[Llave]],'[5]Consolidación planes'!$A:$M,11,FALSE),0)</f>
        <v>24000</v>
      </c>
      <c r="BJ206" s="20">
        <f>IFERROR(VLOOKUP(Tabla14[[#This Row],[Llave]],'[5]Consolidación planes'!$A:$M,12,FALSE),0)</f>
        <v>28001</v>
      </c>
      <c r="BK206" s="20">
        <f>IFERROR(VLOOKUP(Tabla14[[#This Row],[Llave]],'[5]Consolidación planes'!$A:$M,13,FALSE),0)</f>
        <v>48000</v>
      </c>
      <c r="BL206" s="20">
        <f>IFERROR(VLOOKUP(Tabla14[[#This Row],[Llave]],'[13]Base ultimos planes'!$A:$M,13,FALSE),0)</f>
        <v>24000</v>
      </c>
      <c r="BM206" s="20">
        <f>IFERROR(VLOOKUP(Tabla14[[#This Row],[Llave]],'[13]Cruce plan irrestricto'!$C:$M,10,FALSE),0)</f>
        <v>24000</v>
      </c>
      <c r="BN206" s="20">
        <f>IFERROR(VLOOKUP(Tabla14[[#This Row],[Llave]],'[13]Cruce plan irrestricto'!$C:$M,11,FALSE),0)</f>
        <v>0</v>
      </c>
      <c r="BO206" s="80">
        <f>IFERROR(VLOOKUP(Tabla14[[#This Row],[Llave]],'[13]Base ultimos planes'!$O:$AA,8,FALSE),0)</f>
        <v>0</v>
      </c>
      <c r="BP206" s="20">
        <f>IFERROR(VLOOKUP(Tabla14[[#This Row],[Llave]],'[13]Base ultimos planes'!$O:$AA,9,FALSE),0)</f>
        <v>12000</v>
      </c>
      <c r="BQ206" s="20">
        <f>IFERROR(VLOOKUP(Tabla14[[#This Row],[Llave]],'[13]Base ultimos planes'!$O:$AA,10,FALSE),0)</f>
        <v>12469</v>
      </c>
      <c r="BR206" s="20">
        <f>IFERROR(VLOOKUP(Tabla14[[#This Row],[Llave]],'[13]Base ultimos planes'!$O:$AA,11,FALSE),0)</f>
        <v>12880</v>
      </c>
      <c r="BS206" s="20">
        <f>IFERROR(VLOOKUP(Tabla14[[#This Row],[Llave]],'[13]Base ultimos planes'!$O:$AA,12,FALSE),0)</f>
        <v>22427</v>
      </c>
      <c r="BT206" s="20">
        <f>IFERROR(VLOOKUP(Tabla14[[#This Row],[Llave]],'[13]Base ultimos planes'!$O:$AA,13,FALSE),0)</f>
        <v>12960</v>
      </c>
      <c r="BU206" s="20"/>
      <c r="BV206" s="20">
        <f>Tabla14[[#This Row],[ RV Producción mes n+1]]-Tabla14[[#This Row],[Producción disponible]]+Tabla14[[#This Row],[Saldo Volumen disponible]]</f>
        <v>22851.648000000001</v>
      </c>
      <c r="BW206" s="20">
        <f>IFERROR(VLOOKUP(Tabla14[[#This Row],[Llave]],[14]Hoja2!$J:$N,4,FALSE),0)</f>
        <v>0</v>
      </c>
      <c r="BX206" s="20">
        <f>+Tabla14[[#This Row],[Asignación mes n+1]]*Tabla14[[#This Row],[% Uti. producción]]</f>
        <v>0</v>
      </c>
      <c r="BY206" s="20">
        <f>+Tabla14[[#This Row],[Ponderación mes n+1]]+Tabla14[[#This Row],[Saldo mes n-1]]</f>
        <v>22851.648000000001</v>
      </c>
      <c r="BZ206" s="20">
        <f>+Tabla14[[#This Row],[Asignación mes n+1]]-Tabla14[[#This Row],[Ponderación mes n+1]]</f>
        <v>0</v>
      </c>
      <c r="CA206" s="20">
        <f>IFERROR(VLOOKUP(Tabla14[[#This Row],[Llave]],[14]Hoja2!$J:$N,5,FALSE),0)</f>
        <v>24000</v>
      </c>
      <c r="CB206" s="20">
        <f>+Tabla14[[#This Row],[Asignación mes n+2]]*Tabla14[[#This Row],[% Uti. producción]]</f>
        <v>11458.817431826059</v>
      </c>
      <c r="CC206" s="20">
        <f>+Tabla14[[#This Row],[Saldo mes n+2]]+Tabla14[[#This Row],[Ponderación mes n+2]]</f>
        <v>11458.817431826059</v>
      </c>
      <c r="CD206" s="20">
        <f>+Tabla14[[#This Row],[Asignación mes n+2]]-Tabla14[[#This Row],[Ponderación mes n+2]]</f>
        <v>12541.182568173941</v>
      </c>
    </row>
    <row r="207" spans="1:82" ht="16" x14ac:dyDescent="0.2">
      <c r="A207">
        <v>1</v>
      </c>
      <c r="B207" t="str">
        <f>Tabla14[[#This Row],[Oficina]]&amp;Tabla14[[#This Row],[Material]]</f>
        <v>Agro Sudamerica1030732</v>
      </c>
      <c r="C207" t="s">
        <v>204</v>
      </c>
      <c r="D207" t="s">
        <v>17</v>
      </c>
      <c r="E207">
        <v>1030732</v>
      </c>
      <c r="F207" t="s">
        <v>320</v>
      </c>
      <c r="G207" t="s">
        <v>212</v>
      </c>
      <c r="H207" t="s">
        <v>319</v>
      </c>
      <c r="I207" s="7">
        <f>IFERROR(IF(Tabla14[[#This Row],[Oficina]]=$I$7,VLOOKUP(Tabla14[[#This Row],[Material]],'[6]RV Producción'!$Y:$AA,3,FALSE),VLOOKUP(Tabla14[[#This Row],[Llave]],'[6]RV Producción'!$C:$G,5,FALSE)),0)</f>
        <v>0</v>
      </c>
      <c r="J207" s="7">
        <f>IFERROR(IF(Tabla14[[#This Row],[Oficina]]=$I$7,VLOOKUP(Tabla14[[#This Row],[Llave]],'[7]Shangai (Tomas)'!$A:$F,6,FALSE),VLOOKUP(Tabla14[[#This Row],[Llave]],'[6]RV plan de ventas'!$A:$E,5,FALSE)),0)</f>
        <v>0</v>
      </c>
      <c r="K207" s="8">
        <f>IFERROR(VLOOKUP(Tabla14[[#This Row],[Sector]]&amp;Tabla14[[#This Row],[Oficina]],[8]Ponderación!$A$3:$G$22,7,FALSE),0)</f>
        <v>0.47745072632608576</v>
      </c>
      <c r="L207" s="7">
        <f>+Tabla14[[#This Row],[ RV Producción mes n+1]]*Tabla14[[#This Row],[% Uti. producción]]</f>
        <v>0</v>
      </c>
      <c r="M207" s="7">
        <f>IFERROR(VLOOKUP(Tabla14[[#This Row],[Material]],'[9]TD Stock'!$B:$C,2,FALSE),0)</f>
        <v>0</v>
      </c>
      <c r="N207" s="7">
        <f>IFERROR(VLOOKUP(Tabla14[[#This Row],[Material]],'[10]Consolidado planificación'!$B:$C,2,FALSE),0)</f>
        <v>0</v>
      </c>
      <c r="O207" s="7">
        <f>IFERROR(VLOOKUP(Tabla14[[#This Row],[Llave]],[11]Hoja2!$D:$G,4,FALSE),0)</f>
        <v>0</v>
      </c>
      <c r="P207" s="14">
        <f>SUM(Tabla14[[#This Row],[Producción disponible]],Tabla14[[#This Row],[Stock al día]],(Tabla14[[#This Row],[Por producir mes N]]*0.9))-Tabla14[[#This Row],[Producción por despachar mes N]]</f>
        <v>0</v>
      </c>
      <c r="Q207" s="7">
        <f>IFERROR(VLOOKUP(Tabla14[[#This Row],[Llave]],[9]DELAY!$A:$D,4,FALSE),0)</f>
        <v>0</v>
      </c>
      <c r="R207" s="9">
        <v>23000</v>
      </c>
      <c r="S207" s="5">
        <f t="shared" si="8"/>
        <v>0</v>
      </c>
      <c r="T207" s="76">
        <v>0</v>
      </c>
      <c r="U207" s="5">
        <f>+Tabla14[[#This Row],[Atraso a facturar]]+Tabla14[[#This Row],[Ajuste atraso]]</f>
        <v>0</v>
      </c>
      <c r="V207" s="3">
        <f>+Tabla14[[#This Row],[Total disponible]]-Tabla14[[#This Row],[Facturación atraso]]</f>
        <v>0</v>
      </c>
      <c r="W207" s="6">
        <f>IFERROR(IF(AND(V207&gt;R207,J207&gt;=R207),ROUNDDOWN((Tabla14[[#This Row],[Producción para venta nueva]])/R207,0)*R207,0),0)</f>
        <v>0</v>
      </c>
      <c r="X207" s="76">
        <v>0</v>
      </c>
      <c r="Y207" s="6">
        <f>IF(Tabla14[[#This Row],[Venta del mes]]&gt;0,Tabla14[[#This Row],[Venta del mes]]+Tabla14[[#This Row],[Ajuste venta nueva]],0)</f>
        <v>0</v>
      </c>
      <c r="Z207" s="6">
        <f>+Tabla14[[#This Row],[Producción para venta nueva]]-Tabla14[[#This Row],[Facturación Venta nueva]]</f>
        <v>0</v>
      </c>
      <c r="AA207" s="6">
        <f>IF(AND(A207=1,Tabla14[[#This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7" s="6">
        <v>0</v>
      </c>
      <c r="AC207" s="6">
        <f>IF(Tabla14[[#This Row],[Disponible stock sin venta]]&gt;0,Tabla14[[#This Row],[Disponible stock sin venta]]+Tabla14[[#This Row],[Ajuste stock sin venta]],0)</f>
        <v>0</v>
      </c>
      <c r="AD207" s="3">
        <f>IFERROR(VLOOKUP(Tabla14[[#This Row],[Llave]],[12]Hoja1!$A:$D,4,FALSE),0)</f>
        <v>0</v>
      </c>
      <c r="AE207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07" s="3" t="b">
        <v>0</v>
      </c>
      <c r="AG207" s="3">
        <f>+Tabla14[[#This Row],[En puerto a facturar]]</f>
        <v>0</v>
      </c>
      <c r="AH207" s="3">
        <f>+Tabla14[[#This Row],[Facturación atraso]]</f>
        <v>0</v>
      </c>
      <c r="AI207" s="3">
        <f>+Tabla14[[#This Row],[Plan Irrestricto (DATO)]]-Tabla14[[#This Row],[Puerto ]]-Tabla14[[#This Row],[Atraso]]</f>
        <v>0</v>
      </c>
      <c r="AJ20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07" s="3">
        <f>+Tabla14[[#This Row],[Facturación atraso]]</f>
        <v>0</v>
      </c>
      <c r="AL207" s="3">
        <f>Tabla14[[#This Row],[Plan Ajustado]]-Tabla14[[#This Row],[ Atraso ajustado]]-Tabla14[[#This Row],[En puerto a facturar]]</f>
        <v>0</v>
      </c>
      <c r="AM207" s="3">
        <v>0</v>
      </c>
      <c r="AN207" s="3" t="e">
        <v>#REF!</v>
      </c>
      <c r="AO207" s="3" t="str">
        <f>IF(Tabla14[[#This Row],[Plan Ajustado]]&gt;Tabla14[[#This Row],[En puerto a facturar]],"Si","No")</f>
        <v>No</v>
      </c>
      <c r="AP20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07" s="3">
        <f>IF(Tabla14[[#This Row],[Necesidad]]&gt;=Tabla14[[#This Row],[Stock al día]],Tabla14[[#This Row],[Stock al día]],Tabla14[[#This Row],[Necesidad]])</f>
        <v>0</v>
      </c>
      <c r="AR207" s="3">
        <f>+Tabla14[[#This Row],[Necesidad]]-Tabla14[[#This Row],[Stock Plan]]</f>
        <v>0</v>
      </c>
      <c r="AS207" s="155">
        <f>VLOOKUP(Tabla14[[#This Row],[Sector]]&amp;Tabla14[[#This Row],[Oficina]],[8]Ponderación!$A:$H,8,FALSE)</f>
        <v>44817</v>
      </c>
      <c r="AT207" s="30">
        <f>IFERROR(VLOOKUP(Tabla14[[#This Row],[Llave]],'[6]RV plan de ventas'!$A:$F,6,FALSE),0)</f>
        <v>0</v>
      </c>
      <c r="AU207" s="83">
        <f>IFERROR(VLOOKUP(Tabla14[[#This Row],[Llave]],[9]DELAY!$H:$X,17,FALSE),0)</f>
        <v>0</v>
      </c>
      <c r="AV20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07" s="5">
        <f>Tabla14[[#This Row],[Pecio plan]]*Tabla14[[#This Row],[Plan Ajustado]]</f>
        <v>0</v>
      </c>
      <c r="AX207" s="30">
        <f>IFERROR(VLOOKUP(Tabla14[[#This Row],[Llave]],'[13]Ultimos precios facturados'!$A:$G,7,FALSE),0)</f>
        <v>4.4073391337950358</v>
      </c>
      <c r="AY20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7" s="30">
        <f>IFERROR(VLOOKUP(Tabla14[[#This Row],[Llave]],Hoja2!B:K,10,FALSE),0)</f>
        <v>0</v>
      </c>
      <c r="BA20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4.4073391337950358</v>
      </c>
      <c r="BB207" s="30">
        <v>0</v>
      </c>
      <c r="BC207" s="30">
        <f>IF(Tabla14[[#This Row],[Market]]=0,Tabla14[[#This Row],[Precio Final]],Tabla14[[#This Row],[Market]])</f>
        <v>4.4073391337950358</v>
      </c>
      <c r="BD207" s="82"/>
      <c r="BE207" s="82" t="str">
        <f>IF(AND(Tabla14[[#This Row],[Atraso a facturar]]&gt;0,Tabla14[[#This Row],[En puerto a facturar]]&gt;0,Tabla14[[#This Row],[Precio Atraso]]=0),"Revisar","OK")</f>
        <v>OK</v>
      </c>
      <c r="BF207" s="82" t="str">
        <f>IF(AND(Tabla14[[#This Row],[Venta del mes]]&gt;0,Tabla14[[#This Row],[Precio venta nueva]]=0),"Revisar","OK")</f>
        <v>OK</v>
      </c>
      <c r="BG207" s="20">
        <f>IFERROR(VLOOKUP(Tabla14[[#This Row],[Llave]],'[5]Consolidación planes'!$A:$M,9,FALSE),0)</f>
        <v>0</v>
      </c>
      <c r="BH207" s="20">
        <f>IFERROR(VLOOKUP(Tabla14[[#This Row],[Llave]],'[5]Consolidación planes'!$A:$M,10,FALSE),0)</f>
        <v>0</v>
      </c>
      <c r="BI207" s="20">
        <f>IFERROR(VLOOKUP(Tabla14[[#This Row],[Llave]],'[5]Consolidación planes'!$A:$M,11,FALSE),0)</f>
        <v>0</v>
      </c>
      <c r="BJ207" s="20">
        <f>IFERROR(VLOOKUP(Tabla14[[#This Row],[Llave]],'[5]Consolidación planes'!$A:$M,12,FALSE),0)</f>
        <v>0</v>
      </c>
      <c r="BK207" s="20">
        <f>IFERROR(VLOOKUP(Tabla14[[#This Row],[Llave]],'[5]Consolidación planes'!$A:$M,13,FALSE),0)</f>
        <v>0</v>
      </c>
      <c r="BL207" s="20">
        <f>IFERROR(VLOOKUP(Tabla14[[#This Row],[Llave]],'[13]Base ultimos planes'!$A:$M,13,FALSE),0)</f>
        <v>0</v>
      </c>
      <c r="BM207" s="20">
        <f>IFERROR(VLOOKUP(Tabla14[[#This Row],[Llave]],'[13]Cruce plan irrestricto'!$C:$M,10,FALSE),0)</f>
        <v>0</v>
      </c>
      <c r="BN207" s="20">
        <f>IFERROR(VLOOKUP(Tabla14[[#This Row],[Llave]],'[13]Cruce plan irrestricto'!$C:$M,11,FALSE),0)</f>
        <v>0</v>
      </c>
      <c r="BO207" s="80">
        <f>IFERROR(VLOOKUP(Tabla14[[#This Row],[Llave]],'[13]Base ultimos planes'!$O:$AA,8,FALSE),0)</f>
        <v>0</v>
      </c>
      <c r="BP207" s="20">
        <f>IFERROR(VLOOKUP(Tabla14[[#This Row],[Llave]],'[13]Base ultimos planes'!$O:$AA,9,FALSE),0)</f>
        <v>0</v>
      </c>
      <c r="BQ207" s="20">
        <f>IFERROR(VLOOKUP(Tabla14[[#This Row],[Llave]],'[13]Base ultimos planes'!$O:$AA,10,FALSE),0)</f>
        <v>0</v>
      </c>
      <c r="BR207" s="20">
        <f>IFERROR(VLOOKUP(Tabla14[[#This Row],[Llave]],'[13]Base ultimos planes'!$O:$AA,11,FALSE),0)</f>
        <v>0</v>
      </c>
      <c r="BS207" s="20">
        <f>IFERROR(VLOOKUP(Tabla14[[#This Row],[Llave]],'[13]Base ultimos planes'!$O:$AA,12,FALSE),0)</f>
        <v>0</v>
      </c>
      <c r="BT207" s="20">
        <f>IFERROR(VLOOKUP(Tabla14[[#This Row],[Llave]],'[13]Base ultimos planes'!$O:$AA,13,FALSE),0)</f>
        <v>0</v>
      </c>
      <c r="BU207" s="20"/>
      <c r="BV207" s="20">
        <f>Tabla14[[#This Row],[ RV Producción mes n+1]]-Tabla14[[#This Row],[Producción disponible]]+Tabla14[[#This Row],[Saldo Volumen disponible]]</f>
        <v>0</v>
      </c>
      <c r="BW207" s="20">
        <f>IFERROR(VLOOKUP(Tabla14[[#This Row],[Llave]],[14]Hoja2!$J:$N,4,FALSE),0)</f>
        <v>0</v>
      </c>
      <c r="BX207" s="20">
        <f>+Tabla14[[#This Row],[Asignación mes n+1]]*Tabla14[[#This Row],[% Uti. producción]]</f>
        <v>0</v>
      </c>
      <c r="BY207" s="20">
        <f>+Tabla14[[#This Row],[Ponderación mes n+1]]+Tabla14[[#This Row],[Saldo mes n-1]]</f>
        <v>0</v>
      </c>
      <c r="BZ207" s="20">
        <f>+Tabla14[[#This Row],[Asignación mes n+1]]-Tabla14[[#This Row],[Ponderación mes n+1]]</f>
        <v>0</v>
      </c>
      <c r="CA207" s="20">
        <f>IFERROR(VLOOKUP(Tabla14[[#This Row],[Llave]],[14]Hoja2!$J:$N,5,FALSE),0)</f>
        <v>0</v>
      </c>
      <c r="CB207" s="20">
        <f>+Tabla14[[#This Row],[Asignación mes n+2]]*Tabla14[[#This Row],[% Uti. producción]]</f>
        <v>0</v>
      </c>
      <c r="CC207" s="20">
        <f>+Tabla14[[#This Row],[Saldo mes n+2]]+Tabla14[[#This Row],[Ponderación mes n+2]]</f>
        <v>0</v>
      </c>
      <c r="CD207" s="20">
        <f>+Tabla14[[#This Row],[Asignación mes n+2]]-Tabla14[[#This Row],[Ponderación mes n+2]]</f>
        <v>0</v>
      </c>
    </row>
    <row r="208" spans="1:82" ht="16" x14ac:dyDescent="0.2">
      <c r="A208">
        <v>1</v>
      </c>
      <c r="B208" t="str">
        <f>Tabla14[[#This Row],[Oficina]]&amp;Tabla14[[#This Row],[Material]]</f>
        <v>Agro Sudamerica1030739</v>
      </c>
      <c r="C208" t="s">
        <v>204</v>
      </c>
      <c r="D208" t="s">
        <v>17</v>
      </c>
      <c r="E208">
        <v>1030739</v>
      </c>
      <c r="F208" t="s">
        <v>208</v>
      </c>
      <c r="G208" t="s">
        <v>205</v>
      </c>
      <c r="H208" t="s">
        <v>206</v>
      </c>
      <c r="I208" s="7">
        <f>IFERROR(IF(Tabla14[[#This Row],[Oficina]]=$I$7,VLOOKUP(Tabla14[[#This Row],[Material]],'[6]RV Producción'!$Y:$AA,3,FALSE),VLOOKUP(Tabla14[[#This Row],[Llave]],'[6]RV Producción'!$C:$G,5,FALSE)),0)</f>
        <v>0</v>
      </c>
      <c r="J208" s="7">
        <f>IFERROR(IF(Tabla14[[#This Row],[Oficina]]=$I$7,VLOOKUP(Tabla14[[#This Row],[Llave]],'[7]Shangai (Tomas)'!$A:$F,6,FALSE),VLOOKUP(Tabla14[[#This Row],[Llave]],'[6]RV plan de ventas'!$A:$E,5,FALSE)),0)</f>
        <v>0</v>
      </c>
      <c r="K208" s="8">
        <f>IFERROR(VLOOKUP(Tabla14[[#This Row],[Sector]]&amp;Tabla14[[#This Row],[Oficina]],[8]Ponderación!$A$3:$G$22,7,FALSE),0)</f>
        <v>0.47745072632608576</v>
      </c>
      <c r="L208" s="7">
        <f>+Tabla14[[#This Row],[ RV Producción mes n+1]]*Tabla14[[#This Row],[% Uti. producción]]</f>
        <v>0</v>
      </c>
      <c r="M208" s="7">
        <f>IFERROR(VLOOKUP(Tabla14[[#This Row],[Material]],'[9]TD Stock'!$B:$C,2,FALSE),0)</f>
        <v>0</v>
      </c>
      <c r="N208" s="7">
        <f>IFERROR(VLOOKUP(Tabla14[[#This Row],[Material]],'[10]Consolidado planificación'!$B:$C,2,FALSE),0)</f>
        <v>0</v>
      </c>
      <c r="O208" s="7">
        <f>IFERROR(VLOOKUP(Tabla14[[#This Row],[Llave]],[11]Hoja2!$D:$G,4,FALSE),0)</f>
        <v>0</v>
      </c>
      <c r="P208" s="14">
        <f>SUM(Tabla14[[#This Row],[Producción disponible]],Tabla14[[#This Row],[Stock al día]],(Tabla14[[#This Row],[Por producir mes N]]*0.9))-Tabla14[[#This Row],[Producción por despachar mes N]]</f>
        <v>0</v>
      </c>
      <c r="Q208" s="7">
        <f>IFERROR(VLOOKUP(Tabla14[[#This Row],[Llave]],[9]DELAY!$A:$D,4,FALSE),0)</f>
        <v>0</v>
      </c>
      <c r="R208" s="9">
        <v>23000</v>
      </c>
      <c r="S208" s="5">
        <f t="shared" si="8"/>
        <v>0</v>
      </c>
      <c r="T208" s="76">
        <v>0</v>
      </c>
      <c r="U208" s="5">
        <f>+Tabla14[[#This Row],[Atraso a facturar]]+Tabla14[[#This Row],[Ajuste atraso]]</f>
        <v>0</v>
      </c>
      <c r="V208" s="3">
        <f>+Tabla14[[#This Row],[Total disponible]]-Tabla14[[#This Row],[Facturación atraso]]</f>
        <v>0</v>
      </c>
      <c r="W208" s="6">
        <f>IFERROR(IF(AND(V208&gt;R208,J208&gt;=R208),ROUNDDOWN((Tabla14[[#This Row],[Producción para venta nueva]])/R208,0)*R208,0),0)</f>
        <v>0</v>
      </c>
      <c r="X208" s="76">
        <v>0</v>
      </c>
      <c r="Y208" s="6">
        <f>IF(Tabla14[[#This Row],[Venta del mes]]&gt;0,Tabla14[[#This Row],[Venta del mes]]+Tabla14[[#This Row],[Ajuste venta nueva]],0)</f>
        <v>0</v>
      </c>
      <c r="Z208" s="6">
        <f>+Tabla14[[#This Row],[Producción para venta nueva]]-Tabla14[[#This Row],[Facturación Venta nueva]]</f>
        <v>0</v>
      </c>
      <c r="AA208" s="6">
        <f>IF(AND(A208=1,Tabla14[[#This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8" s="6">
        <v>0</v>
      </c>
      <c r="AC208" s="6">
        <f>IF(Tabla14[[#This Row],[Disponible stock sin venta]]&gt;0,Tabla14[[#This Row],[Disponible stock sin venta]]+Tabla14[[#This Row],[Ajuste stock sin venta]],0)</f>
        <v>0</v>
      </c>
      <c r="AD208" s="3">
        <f>IFERROR(VLOOKUP(Tabla14[[#This Row],[Llave]],[12]Hoja1!$A:$D,4,FALSE),0)</f>
        <v>0</v>
      </c>
      <c r="AE208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08" s="3" t="b">
        <v>0</v>
      </c>
      <c r="AG208" s="3">
        <f>+Tabla14[[#This Row],[En puerto a facturar]]</f>
        <v>0</v>
      </c>
      <c r="AH208" s="3">
        <f>+Tabla14[[#This Row],[Facturación atraso]]</f>
        <v>0</v>
      </c>
      <c r="AI208" s="3">
        <f>+Tabla14[[#This Row],[Plan Irrestricto (DATO)]]-Tabla14[[#This Row],[Puerto ]]-Tabla14[[#This Row],[Atraso]]</f>
        <v>0</v>
      </c>
      <c r="AJ20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08" s="3">
        <f>+Tabla14[[#This Row],[Facturación atraso]]</f>
        <v>0</v>
      </c>
      <c r="AL208" s="3">
        <f>Tabla14[[#This Row],[Plan Ajustado]]-Tabla14[[#This Row],[ Atraso ajustado]]-Tabla14[[#This Row],[En puerto a facturar]]</f>
        <v>0</v>
      </c>
      <c r="AM208" s="3">
        <v>0</v>
      </c>
      <c r="AN208" s="3" t="e">
        <v>#REF!</v>
      </c>
      <c r="AO208" s="3" t="str">
        <f>IF(Tabla14[[#This Row],[Plan Ajustado]]&gt;Tabla14[[#This Row],[En puerto a facturar]],"Si","No")</f>
        <v>No</v>
      </c>
      <c r="AP20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08" s="3">
        <f>IF(Tabla14[[#This Row],[Necesidad]]&gt;=Tabla14[[#This Row],[Stock al día]],Tabla14[[#This Row],[Stock al día]],Tabla14[[#This Row],[Necesidad]])</f>
        <v>0</v>
      </c>
      <c r="AR208" s="3">
        <f>+Tabla14[[#This Row],[Necesidad]]-Tabla14[[#This Row],[Stock Plan]]</f>
        <v>0</v>
      </c>
      <c r="AS208" s="155">
        <f>VLOOKUP(Tabla14[[#This Row],[Sector]]&amp;Tabla14[[#This Row],[Oficina]],[8]Ponderación!$A:$H,8,FALSE)</f>
        <v>44817</v>
      </c>
      <c r="AT208" s="30">
        <f>IFERROR(VLOOKUP(Tabla14[[#This Row],[Llave]],'[6]RV plan de ventas'!$A:$F,6,FALSE),0)</f>
        <v>0</v>
      </c>
      <c r="AU208" s="83">
        <f>IFERROR(VLOOKUP(Tabla14[[#This Row],[Llave]],[9]DELAY!$H:$X,17,FALSE),0)</f>
        <v>0</v>
      </c>
      <c r="AV20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08" s="5">
        <f>Tabla14[[#This Row],[Pecio plan]]*Tabla14[[#This Row],[Plan Ajustado]]</f>
        <v>0</v>
      </c>
      <c r="AX208" s="30">
        <f>IFERROR(VLOOKUP(Tabla14[[#This Row],[Llave]],'[13]Ultimos precios facturados'!$A:$G,7,FALSE),0)</f>
        <v>0</v>
      </c>
      <c r="AY20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8" s="30">
        <f>IFERROR(VLOOKUP(Tabla14[[#This Row],[Llave]],Hoja2!B:K,10,FALSE),0)</f>
        <v>0</v>
      </c>
      <c r="BA20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08" s="30">
        <v>0</v>
      </c>
      <c r="BC208" s="30">
        <f>IF(Tabla14[[#This Row],[Market]]=0,Tabla14[[#This Row],[Precio Final]],Tabla14[[#This Row],[Market]])</f>
        <v>0</v>
      </c>
      <c r="BD208" s="82"/>
      <c r="BE208" s="82" t="str">
        <f>IF(AND(Tabla14[[#This Row],[Atraso a facturar]]&gt;0,Tabla14[[#This Row],[En puerto a facturar]]&gt;0,Tabla14[[#This Row],[Precio Atraso]]=0),"Revisar","OK")</f>
        <v>OK</v>
      </c>
      <c r="BF208" s="82" t="str">
        <f>IF(AND(Tabla14[[#This Row],[Venta del mes]]&gt;0,Tabla14[[#This Row],[Precio venta nueva]]=0),"Revisar","OK")</f>
        <v>OK</v>
      </c>
      <c r="BG208" s="20">
        <f>IFERROR(VLOOKUP(Tabla14[[#This Row],[Llave]],'[5]Consolidación planes'!$A:$M,9,FALSE),0)</f>
        <v>0</v>
      </c>
      <c r="BH208" s="20">
        <f>IFERROR(VLOOKUP(Tabla14[[#This Row],[Llave]],'[5]Consolidación planes'!$A:$M,10,FALSE),0)</f>
        <v>0</v>
      </c>
      <c r="BI208" s="20">
        <f>IFERROR(VLOOKUP(Tabla14[[#This Row],[Llave]],'[5]Consolidación planes'!$A:$M,11,FALSE),0)</f>
        <v>0</v>
      </c>
      <c r="BJ208" s="20">
        <f>IFERROR(VLOOKUP(Tabla14[[#This Row],[Llave]],'[5]Consolidación planes'!$A:$M,12,FALSE),0)</f>
        <v>0</v>
      </c>
      <c r="BK208" s="20">
        <f>IFERROR(VLOOKUP(Tabla14[[#This Row],[Llave]],'[5]Consolidación planes'!$A:$M,13,FALSE),0)</f>
        <v>0</v>
      </c>
      <c r="BL208" s="20">
        <f>IFERROR(VLOOKUP(Tabla14[[#This Row],[Llave]],'[13]Base ultimos planes'!$A:$M,13,FALSE),0)</f>
        <v>0</v>
      </c>
      <c r="BM208" s="20">
        <f>IFERROR(VLOOKUP(Tabla14[[#This Row],[Llave]],'[13]Cruce plan irrestricto'!$C:$M,10,FALSE),0)</f>
        <v>0</v>
      </c>
      <c r="BN208" s="20">
        <f>IFERROR(VLOOKUP(Tabla14[[#This Row],[Llave]],'[13]Cruce plan irrestricto'!$C:$M,11,FALSE),0)</f>
        <v>0</v>
      </c>
      <c r="BO208" s="80">
        <f>IFERROR(VLOOKUP(Tabla14[[#This Row],[Llave]],'[13]Base ultimos planes'!$O:$AA,8,FALSE),0)</f>
        <v>0</v>
      </c>
      <c r="BP208" s="20">
        <f>IFERROR(VLOOKUP(Tabla14[[#This Row],[Llave]],'[13]Base ultimos planes'!$O:$AA,9,FALSE),0)</f>
        <v>0</v>
      </c>
      <c r="BQ208" s="20">
        <f>IFERROR(VLOOKUP(Tabla14[[#This Row],[Llave]],'[13]Base ultimos planes'!$O:$AA,10,FALSE),0)</f>
        <v>0</v>
      </c>
      <c r="BR208" s="20">
        <f>IFERROR(VLOOKUP(Tabla14[[#This Row],[Llave]],'[13]Base ultimos planes'!$O:$AA,11,FALSE),0)</f>
        <v>0</v>
      </c>
      <c r="BS208" s="20">
        <f>IFERROR(VLOOKUP(Tabla14[[#This Row],[Llave]],'[13]Base ultimos planes'!$O:$AA,12,FALSE),0)</f>
        <v>0</v>
      </c>
      <c r="BT208" s="20">
        <f>IFERROR(VLOOKUP(Tabla14[[#This Row],[Llave]],'[13]Base ultimos planes'!$O:$AA,13,FALSE),0)</f>
        <v>0</v>
      </c>
      <c r="BU208" s="20"/>
      <c r="BV208" s="20">
        <f>Tabla14[[#This Row],[ RV Producción mes n+1]]-Tabla14[[#This Row],[Producción disponible]]+Tabla14[[#This Row],[Saldo Volumen disponible]]</f>
        <v>0</v>
      </c>
      <c r="BW208" s="20">
        <f>IFERROR(VLOOKUP(Tabla14[[#This Row],[Llave]],[14]Hoja2!$J:$N,4,FALSE),0)</f>
        <v>0</v>
      </c>
      <c r="BX208" s="20">
        <f>+Tabla14[[#This Row],[Asignación mes n+1]]*Tabla14[[#This Row],[% Uti. producción]]</f>
        <v>0</v>
      </c>
      <c r="BY208" s="20">
        <f>+Tabla14[[#This Row],[Ponderación mes n+1]]+Tabla14[[#This Row],[Saldo mes n-1]]</f>
        <v>0</v>
      </c>
      <c r="BZ208" s="20">
        <f>+Tabla14[[#This Row],[Asignación mes n+1]]-Tabla14[[#This Row],[Ponderación mes n+1]]</f>
        <v>0</v>
      </c>
      <c r="CA208" s="20">
        <f>IFERROR(VLOOKUP(Tabla14[[#This Row],[Llave]],[14]Hoja2!$J:$N,5,FALSE),0)</f>
        <v>0</v>
      </c>
      <c r="CB208" s="20">
        <f>+Tabla14[[#This Row],[Asignación mes n+2]]*Tabla14[[#This Row],[% Uti. producción]]</f>
        <v>0</v>
      </c>
      <c r="CC208" s="20">
        <f>+Tabla14[[#This Row],[Saldo mes n+2]]+Tabla14[[#This Row],[Ponderación mes n+2]]</f>
        <v>0</v>
      </c>
      <c r="CD208" s="20">
        <f>+Tabla14[[#This Row],[Asignación mes n+2]]-Tabla14[[#This Row],[Ponderación mes n+2]]</f>
        <v>0</v>
      </c>
    </row>
    <row r="209" spans="1:82" ht="16" x14ac:dyDescent="0.2">
      <c r="A209">
        <v>1</v>
      </c>
      <c r="B209" t="str">
        <f>Tabla14[[#This Row],[Oficina]]&amp;Tabla14[[#This Row],[Material]]</f>
        <v>Agro Sudamerica1030780</v>
      </c>
      <c r="C209" t="s">
        <v>204</v>
      </c>
      <c r="D209" t="s">
        <v>17</v>
      </c>
      <c r="E209">
        <v>1030780</v>
      </c>
      <c r="F209" t="s">
        <v>318</v>
      </c>
      <c r="G209" t="s">
        <v>316</v>
      </c>
      <c r="H209" t="s">
        <v>317</v>
      </c>
      <c r="I209" s="7">
        <f>IFERROR(IF(Tabla14[[#This Row],[Oficina]]=$I$7,VLOOKUP(Tabla14[[#This Row],[Material]],'[6]RV Producción'!$Y:$AA,3,FALSE),VLOOKUP(Tabla14[[#This Row],[Llave]],'[6]RV Producción'!$C:$G,5,FALSE)),0)</f>
        <v>0</v>
      </c>
      <c r="J209" s="7">
        <f>IFERROR(IF(Tabla14[[#This Row],[Oficina]]=$I$7,VLOOKUP(Tabla14[[#This Row],[Llave]],'[7]Shangai (Tomas)'!$A:$F,6,FALSE),VLOOKUP(Tabla14[[#This Row],[Llave]],'[6]RV plan de ventas'!$A:$E,5,FALSE)),0)</f>
        <v>0</v>
      </c>
      <c r="K209" s="8">
        <f>IFERROR(VLOOKUP(Tabla14[[#This Row],[Sector]]&amp;Tabla14[[#This Row],[Oficina]],[8]Ponderación!$A$3:$G$22,7,FALSE),0)</f>
        <v>0.47745072632608576</v>
      </c>
      <c r="L209" s="7">
        <f>+Tabla14[[#This Row],[ RV Producción mes n+1]]*Tabla14[[#This Row],[% Uti. producción]]</f>
        <v>0</v>
      </c>
      <c r="M209" s="7">
        <f>IFERROR(VLOOKUP(Tabla14[[#This Row],[Material]],'[9]TD Stock'!$B:$C,2,FALSE),0)</f>
        <v>0</v>
      </c>
      <c r="N209" s="7">
        <f>IFERROR(VLOOKUP(Tabla14[[#This Row],[Material]],'[10]Consolidado planificación'!$B:$C,2,FALSE),0)</f>
        <v>0</v>
      </c>
      <c r="O209" s="7">
        <f>IFERROR(VLOOKUP(Tabla14[[#This Row],[Llave]],[11]Hoja2!$D:$G,4,FALSE),0)</f>
        <v>0</v>
      </c>
      <c r="P209" s="14">
        <f>SUM(Tabla14[[#This Row],[Producción disponible]],Tabla14[[#This Row],[Stock al día]],(Tabla14[[#This Row],[Por producir mes N]]*0.9))-Tabla14[[#This Row],[Producción por despachar mes N]]</f>
        <v>0</v>
      </c>
      <c r="Q209" s="7">
        <f>IFERROR(VLOOKUP(Tabla14[[#This Row],[Llave]],[9]DELAY!$A:$D,4,FALSE),0)</f>
        <v>0</v>
      </c>
      <c r="R209" s="9">
        <v>23000</v>
      </c>
      <c r="S209" s="5">
        <f t="shared" si="8"/>
        <v>0</v>
      </c>
      <c r="T209" s="76">
        <v>0</v>
      </c>
      <c r="U209" s="5">
        <f>+Tabla14[[#This Row],[Atraso a facturar]]+Tabla14[[#This Row],[Ajuste atraso]]</f>
        <v>0</v>
      </c>
      <c r="V209" s="3">
        <f>+Tabla14[[#This Row],[Total disponible]]-Tabla14[[#This Row],[Facturación atraso]]</f>
        <v>0</v>
      </c>
      <c r="W209" s="6">
        <f>IFERROR(IF(AND(V209&gt;R209,J209&gt;=R209),ROUNDDOWN((Tabla14[[#This Row],[Producción para venta nueva]])/R209,0)*R209,0),0)</f>
        <v>0</v>
      </c>
      <c r="X209" s="76">
        <v>0</v>
      </c>
      <c r="Y209" s="6">
        <f>IF(Tabla14[[#This Row],[Venta del mes]]&gt;0,Tabla14[[#This Row],[Venta del mes]]+Tabla14[[#This Row],[Ajuste venta nueva]],0)</f>
        <v>0</v>
      </c>
      <c r="Z209" s="6">
        <f>+Tabla14[[#This Row],[Producción para venta nueva]]-Tabla14[[#This Row],[Facturación Venta nueva]]</f>
        <v>0</v>
      </c>
      <c r="AA209" s="6">
        <f>IF(AND(A209=1,Tabla14[[#This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09" s="6">
        <v>0</v>
      </c>
      <c r="AC209" s="6">
        <f>IF(Tabla14[[#This Row],[Disponible stock sin venta]]&gt;0,Tabla14[[#This Row],[Disponible stock sin venta]]+Tabla14[[#This Row],[Ajuste stock sin venta]],0)</f>
        <v>0</v>
      </c>
      <c r="AD209" s="3">
        <f>IFERROR(VLOOKUP(Tabla14[[#This Row],[Llave]],[12]Hoja1!$A:$D,4,FALSE),0)</f>
        <v>0</v>
      </c>
      <c r="AE209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09" s="3" t="b">
        <v>0</v>
      </c>
      <c r="AG209" s="3">
        <f>+Tabla14[[#This Row],[En puerto a facturar]]</f>
        <v>0</v>
      </c>
      <c r="AH209" s="3">
        <f>+Tabla14[[#This Row],[Facturación atraso]]</f>
        <v>0</v>
      </c>
      <c r="AI209" s="3">
        <f>+Tabla14[[#This Row],[Plan Irrestricto (DATO)]]-Tabla14[[#This Row],[Puerto ]]-Tabla14[[#This Row],[Atraso]]</f>
        <v>0</v>
      </c>
      <c r="AJ20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09" s="3">
        <f>+Tabla14[[#This Row],[Facturación atraso]]</f>
        <v>0</v>
      </c>
      <c r="AL209" s="3">
        <f>Tabla14[[#This Row],[Plan Ajustado]]-Tabla14[[#This Row],[ Atraso ajustado]]-Tabla14[[#This Row],[En puerto a facturar]]</f>
        <v>0</v>
      </c>
      <c r="AM209" s="3">
        <v>0</v>
      </c>
      <c r="AN209" s="3" t="e">
        <v>#REF!</v>
      </c>
      <c r="AO209" s="3" t="str">
        <f>IF(Tabla14[[#This Row],[Plan Ajustado]]&gt;Tabla14[[#This Row],[En puerto a facturar]],"Si","No")</f>
        <v>No</v>
      </c>
      <c r="AP20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09" s="3">
        <f>IF(Tabla14[[#This Row],[Necesidad]]&gt;=Tabla14[[#This Row],[Stock al día]],Tabla14[[#This Row],[Stock al día]],Tabla14[[#This Row],[Necesidad]])</f>
        <v>0</v>
      </c>
      <c r="AR209" s="3">
        <f>+Tabla14[[#This Row],[Necesidad]]-Tabla14[[#This Row],[Stock Plan]]</f>
        <v>0</v>
      </c>
      <c r="AS209" s="155">
        <f>VLOOKUP(Tabla14[[#This Row],[Sector]]&amp;Tabla14[[#This Row],[Oficina]],[8]Ponderación!$A:$H,8,FALSE)</f>
        <v>44817</v>
      </c>
      <c r="AT209" s="30">
        <f>IFERROR(VLOOKUP(Tabla14[[#This Row],[Llave]],'[6]RV plan de ventas'!$A:$F,6,FALSE),0)</f>
        <v>0</v>
      </c>
      <c r="AU209" s="83">
        <f>IFERROR(VLOOKUP(Tabla14[[#This Row],[Llave]],[9]DELAY!$H:$X,17,FALSE),0)</f>
        <v>0</v>
      </c>
      <c r="AV20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09" s="5">
        <f>Tabla14[[#This Row],[Pecio plan]]*Tabla14[[#This Row],[Plan Ajustado]]</f>
        <v>0</v>
      </c>
      <c r="AX209" s="30">
        <f>IFERROR(VLOOKUP(Tabla14[[#This Row],[Llave]],'[13]Ultimos precios facturados'!$A:$G,7,FALSE),0)</f>
        <v>4.4073392249438417</v>
      </c>
      <c r="AY20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09" s="30">
        <f>IFERROR(VLOOKUP(Tabla14[[#This Row],[Llave]],Hoja2!B:K,10,FALSE),0)</f>
        <v>0</v>
      </c>
      <c r="BA20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4.4073392249438417</v>
      </c>
      <c r="BB209" s="30">
        <v>0</v>
      </c>
      <c r="BC209" s="30">
        <f>IF(Tabla14[[#This Row],[Market]]=0,Tabla14[[#This Row],[Precio Final]],Tabla14[[#This Row],[Market]])</f>
        <v>4.4073392249438417</v>
      </c>
      <c r="BD209" s="82"/>
      <c r="BE209" s="82" t="str">
        <f>IF(AND(Tabla14[[#This Row],[Atraso a facturar]]&gt;0,Tabla14[[#This Row],[En puerto a facturar]]&gt;0,Tabla14[[#This Row],[Precio Atraso]]=0),"Revisar","OK")</f>
        <v>OK</v>
      </c>
      <c r="BF209" s="82" t="str">
        <f>IF(AND(Tabla14[[#This Row],[Venta del mes]]&gt;0,Tabla14[[#This Row],[Precio venta nueva]]=0),"Revisar","OK")</f>
        <v>OK</v>
      </c>
      <c r="BG209" s="20">
        <f>IFERROR(VLOOKUP(Tabla14[[#This Row],[Llave]],'[5]Consolidación planes'!$A:$M,9,FALSE),0)</f>
        <v>0</v>
      </c>
      <c r="BH209" s="20">
        <f>IFERROR(VLOOKUP(Tabla14[[#This Row],[Llave]],'[5]Consolidación planes'!$A:$M,10,FALSE),0)</f>
        <v>0</v>
      </c>
      <c r="BI209" s="20">
        <f>IFERROR(VLOOKUP(Tabla14[[#This Row],[Llave]],'[5]Consolidación planes'!$A:$M,11,FALSE),0)</f>
        <v>0</v>
      </c>
      <c r="BJ209" s="20">
        <f>IFERROR(VLOOKUP(Tabla14[[#This Row],[Llave]],'[5]Consolidación planes'!$A:$M,12,FALSE),0)</f>
        <v>0</v>
      </c>
      <c r="BK209" s="20">
        <f>IFERROR(VLOOKUP(Tabla14[[#This Row],[Llave]],'[5]Consolidación planes'!$A:$M,13,FALSE),0)</f>
        <v>0</v>
      </c>
      <c r="BL209" s="20">
        <f>IFERROR(VLOOKUP(Tabla14[[#This Row],[Llave]],'[13]Base ultimos planes'!$A:$M,13,FALSE),0)</f>
        <v>0</v>
      </c>
      <c r="BM209" s="20">
        <f>IFERROR(VLOOKUP(Tabla14[[#This Row],[Llave]],'[13]Cruce plan irrestricto'!$C:$M,10,FALSE),0)</f>
        <v>0</v>
      </c>
      <c r="BN209" s="20">
        <f>IFERROR(VLOOKUP(Tabla14[[#This Row],[Llave]],'[13]Cruce plan irrestricto'!$C:$M,11,FALSE),0)</f>
        <v>0</v>
      </c>
      <c r="BO209" s="80">
        <f>IFERROR(VLOOKUP(Tabla14[[#This Row],[Llave]],'[13]Base ultimos planes'!$O:$AA,8,FALSE),0)</f>
        <v>0</v>
      </c>
      <c r="BP209" s="20">
        <f>IFERROR(VLOOKUP(Tabla14[[#This Row],[Llave]],'[13]Base ultimos planes'!$O:$AA,9,FALSE),0)</f>
        <v>0</v>
      </c>
      <c r="BQ209" s="20">
        <f>IFERROR(VLOOKUP(Tabla14[[#This Row],[Llave]],'[13]Base ultimos planes'!$O:$AA,10,FALSE),0)</f>
        <v>0</v>
      </c>
      <c r="BR209" s="20">
        <f>IFERROR(VLOOKUP(Tabla14[[#This Row],[Llave]],'[13]Base ultimos planes'!$O:$AA,11,FALSE),0)</f>
        <v>0</v>
      </c>
      <c r="BS209" s="20">
        <f>IFERROR(VLOOKUP(Tabla14[[#This Row],[Llave]],'[13]Base ultimos planes'!$O:$AA,12,FALSE),0)</f>
        <v>0</v>
      </c>
      <c r="BT209" s="20">
        <f>IFERROR(VLOOKUP(Tabla14[[#This Row],[Llave]],'[13]Base ultimos planes'!$O:$AA,13,FALSE),0)</f>
        <v>0</v>
      </c>
      <c r="BU209" s="20"/>
      <c r="BV209" s="20">
        <f>Tabla14[[#This Row],[ RV Producción mes n+1]]-Tabla14[[#This Row],[Producción disponible]]+Tabla14[[#This Row],[Saldo Volumen disponible]]</f>
        <v>0</v>
      </c>
      <c r="BW209" s="20">
        <f>IFERROR(VLOOKUP(Tabla14[[#This Row],[Llave]],[14]Hoja2!$J:$N,4,FALSE),0)</f>
        <v>0</v>
      </c>
      <c r="BX209" s="20">
        <f>+Tabla14[[#This Row],[Asignación mes n+1]]*Tabla14[[#This Row],[% Uti. producción]]</f>
        <v>0</v>
      </c>
      <c r="BY209" s="20">
        <f>+Tabla14[[#This Row],[Ponderación mes n+1]]+Tabla14[[#This Row],[Saldo mes n-1]]</f>
        <v>0</v>
      </c>
      <c r="BZ209" s="20">
        <f>+Tabla14[[#This Row],[Asignación mes n+1]]-Tabla14[[#This Row],[Ponderación mes n+1]]</f>
        <v>0</v>
      </c>
      <c r="CA209" s="20">
        <f>IFERROR(VLOOKUP(Tabla14[[#This Row],[Llave]],[14]Hoja2!$J:$N,5,FALSE),0)</f>
        <v>0</v>
      </c>
      <c r="CB209" s="20">
        <f>+Tabla14[[#This Row],[Asignación mes n+2]]*Tabla14[[#This Row],[% Uti. producción]]</f>
        <v>0</v>
      </c>
      <c r="CC209" s="20">
        <f>+Tabla14[[#This Row],[Saldo mes n+2]]+Tabla14[[#This Row],[Ponderación mes n+2]]</f>
        <v>0</v>
      </c>
      <c r="CD209" s="20">
        <f>+Tabla14[[#This Row],[Asignación mes n+2]]-Tabla14[[#This Row],[Ponderación mes n+2]]</f>
        <v>0</v>
      </c>
    </row>
    <row r="210" spans="1:82" ht="16" x14ac:dyDescent="0.2">
      <c r="A210">
        <v>1</v>
      </c>
      <c r="B210" t="str">
        <f>Tabla14[[#This Row],[Oficina]]&amp;Tabla14[[#This Row],[Material]]</f>
        <v>Agrosuper Asia1030309</v>
      </c>
      <c r="C210" t="s">
        <v>204</v>
      </c>
      <c r="D210" t="s">
        <v>173</v>
      </c>
      <c r="E210">
        <v>1030309</v>
      </c>
      <c r="F210" t="s">
        <v>224</v>
      </c>
      <c r="G210" t="s">
        <v>209</v>
      </c>
      <c r="H210" t="s">
        <v>223</v>
      </c>
      <c r="I210" s="7">
        <f>IFERROR(IF(Tabla14[[#This Row],[Oficina]]=$I$7,VLOOKUP(Tabla14[[#This Row],[Material]],'[6]RV Producción'!$Y:$AA,3,FALSE),VLOOKUP(Tabla14[[#This Row],[Llave]],'[6]RV Producción'!$C:$G,5,FALSE)),0)</f>
        <v>0</v>
      </c>
      <c r="J210" s="7">
        <f>IFERROR(IF(Tabla14[[#This Row],[Oficina]]=$I$7,VLOOKUP(Tabla14[[#This Row],[Llave]],'[7]Shangai (Tomas)'!$A:$F,6,FALSE),VLOOKUP(Tabla14[[#This Row],[Llave]],'[6]RV plan de ventas'!$A:$E,5,FALSE)),0)</f>
        <v>0</v>
      </c>
      <c r="K210" s="8">
        <f>IFERROR(VLOOKUP(Tabla14[[#This Row],[Sector]]&amp;Tabla14[[#This Row],[Oficina]],[8]Ponderación!$A$3:$G$22,7,FALSE),0)</f>
        <v>0.47745072632608576</v>
      </c>
      <c r="L210" s="7">
        <f>+Tabla14[[#This Row],[ RV Producción mes n+1]]*Tabla14[[#This Row],[% Uti. producción]]</f>
        <v>0</v>
      </c>
      <c r="M210" s="7">
        <f>IFERROR(VLOOKUP(Tabla14[[#This Row],[Material]],'[9]TD Stock'!$B:$C,2,FALSE),0)</f>
        <v>0</v>
      </c>
      <c r="N210" s="7">
        <f>IFERROR(VLOOKUP(Tabla14[[#This Row],[Material]],'[10]Consolidado planificación'!$B:$C,2,FALSE),0)</f>
        <v>0</v>
      </c>
      <c r="O210" s="7">
        <f>IFERROR(VLOOKUP(Tabla14[[#This Row],[Llave]],[11]Hoja2!$D:$G,4,FALSE),0)</f>
        <v>0</v>
      </c>
      <c r="P210" s="14">
        <f>SUM(Tabla14[[#This Row],[Producción disponible]],Tabla14[[#This Row],[Stock al día]],(Tabla14[[#This Row],[Por producir mes N]]*0.9))-Tabla14[[#This Row],[Producción por despachar mes N]]</f>
        <v>0</v>
      </c>
      <c r="Q210" s="7">
        <f>IFERROR(VLOOKUP(Tabla14[[#This Row],[Llave]],[9]DELAY!$A:$D,4,FALSE),0)</f>
        <v>0</v>
      </c>
      <c r="R210" s="9">
        <v>22000</v>
      </c>
      <c r="S210" s="5">
        <f t="shared" si="8"/>
        <v>0</v>
      </c>
      <c r="T210" s="76">
        <v>0</v>
      </c>
      <c r="U210" s="5">
        <f>+Tabla14[[#This Row],[Atraso a facturar]]+Tabla14[[#This Row],[Ajuste atraso]]</f>
        <v>0</v>
      </c>
      <c r="V210" s="3">
        <f>+Tabla14[[#This Row],[Total disponible]]-Tabla14[[#This Row],[Facturación atraso]]</f>
        <v>0</v>
      </c>
      <c r="W210" s="6">
        <f>IFERROR(IF(AND(V210&gt;R210,J210&gt;=R210),ROUNDDOWN((Tabla14[[#This Row],[Producción para venta nueva]])/R210,0)*R210,0),0)</f>
        <v>0</v>
      </c>
      <c r="X210" s="76">
        <v>0</v>
      </c>
      <c r="Y210" s="6">
        <f>IF(Tabla14[[#This Row],[Venta del mes]]&gt;0,Tabla14[[#This Row],[Venta del mes]]+Tabla14[[#This Row],[Ajuste venta nueva]],0)</f>
        <v>0</v>
      </c>
      <c r="Z210" s="6">
        <f>+Tabla14[[#This Row],[Producción para venta nueva]]-Tabla14[[#This Row],[Facturación Venta nueva]]</f>
        <v>0</v>
      </c>
      <c r="AA210" s="6">
        <f>IF(AND(A210=1,Tabla14[[#This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0" s="6">
        <v>0</v>
      </c>
      <c r="AC210" s="6">
        <f>IF(Tabla14[[#This Row],[Disponible stock sin venta]]&gt;0,Tabla14[[#This Row],[Disponible stock sin venta]]+Tabla14[[#This Row],[Ajuste stock sin venta]],0)</f>
        <v>0</v>
      </c>
      <c r="AD210" s="3">
        <f>IFERROR(VLOOKUP(Tabla14[[#This Row],[Llave]],[12]Hoja1!$A:$D,4,FALSE),0)</f>
        <v>0</v>
      </c>
      <c r="AE210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10" s="3" t="b">
        <v>0</v>
      </c>
      <c r="AG210" s="3">
        <f>+Tabla14[[#This Row],[En puerto a facturar]]</f>
        <v>0</v>
      </c>
      <c r="AH210" s="3">
        <f>+Tabla14[[#This Row],[Facturación atraso]]</f>
        <v>0</v>
      </c>
      <c r="AI210" s="3">
        <f>+Tabla14[[#This Row],[Plan Irrestricto (DATO)]]-Tabla14[[#This Row],[Puerto ]]-Tabla14[[#This Row],[Atraso]]</f>
        <v>0</v>
      </c>
      <c r="AJ21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10" s="3">
        <f>+Tabla14[[#This Row],[Facturación atraso]]</f>
        <v>0</v>
      </c>
      <c r="AL210" s="3">
        <f>Tabla14[[#This Row],[Plan Ajustado]]-Tabla14[[#This Row],[ Atraso ajustado]]-Tabla14[[#This Row],[En puerto a facturar]]</f>
        <v>0</v>
      </c>
      <c r="AM210" s="3">
        <v>0</v>
      </c>
      <c r="AN210" s="3"/>
      <c r="AO210" s="3" t="str">
        <f>IF(Tabla14[[#This Row],[Plan Ajustado]]&gt;Tabla14[[#This Row],[En puerto a facturar]],"Si","No")</f>
        <v>No</v>
      </c>
      <c r="AP21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10" s="3">
        <f>IF(Tabla14[[#This Row],[Necesidad]]&gt;=Tabla14[[#This Row],[Stock al día]],Tabla14[[#This Row],[Stock al día]],Tabla14[[#This Row],[Necesidad]])</f>
        <v>0</v>
      </c>
      <c r="AR210" s="3">
        <f>+Tabla14[[#This Row],[Necesidad]]-Tabla14[[#This Row],[Stock Plan]]</f>
        <v>0</v>
      </c>
      <c r="AS210" s="155">
        <f>VLOOKUP(Tabla14[[#This Row],[Sector]]&amp;Tabla14[[#This Row],[Oficina]],[8]Ponderación!$A:$H,8,FALSE)</f>
        <v>44817</v>
      </c>
      <c r="AT210" s="30">
        <f>IFERROR(VLOOKUP(Tabla14[[#This Row],[Llave]],'[6]RV plan de ventas'!$A:$F,6,FALSE),0)</f>
        <v>0</v>
      </c>
      <c r="AU210" s="83">
        <f>IFERROR(VLOOKUP(Tabla14[[#This Row],[Llave]],[9]DELAY!$H:$X,17,FALSE),0)</f>
        <v>0</v>
      </c>
      <c r="AV21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10" s="5">
        <f>Tabla14[[#This Row],[Pecio plan]]*Tabla14[[#This Row],[Plan Ajustado]]</f>
        <v>0</v>
      </c>
      <c r="AX210" s="30">
        <f>IFERROR(VLOOKUP(Tabla14[[#This Row],[Llave]],'[13]Ultimos precios facturados'!$A:$G,7,FALSE),0)</f>
        <v>1.3082260734693878</v>
      </c>
      <c r="AY21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10" s="30">
        <f>IFERROR(VLOOKUP(Tabla14[[#This Row],[Llave]],Hoja2!B:K,10,FALSE),0)</f>
        <v>0</v>
      </c>
      <c r="BA21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1.3082260734693878</v>
      </c>
      <c r="BB210" s="30">
        <v>0</v>
      </c>
      <c r="BC210" s="30">
        <f>IF(Tabla14[[#This Row],[Market]]=0,Tabla14[[#This Row],[Precio Final]],Tabla14[[#This Row],[Market]])</f>
        <v>1.3082260734693878</v>
      </c>
      <c r="BD210" s="82"/>
      <c r="BE210" s="82" t="str">
        <f>IF(AND(Tabla14[[#This Row],[Atraso a facturar]]&gt;0,Tabla14[[#This Row],[En puerto a facturar]]&gt;0,Tabla14[[#This Row],[Precio Atraso]]=0),"Revisar","OK")</f>
        <v>OK</v>
      </c>
      <c r="BF210" s="82" t="str">
        <f>IF(AND(Tabla14[[#This Row],[Venta del mes]]&gt;0,Tabla14[[#This Row],[Precio venta nueva]]=0),"Revisar","OK")</f>
        <v>OK</v>
      </c>
      <c r="BG210" s="20">
        <f>IFERROR(VLOOKUP(Tabla14[[#This Row],[Llave]],'[5]Consolidación planes'!$A:$M,9,FALSE),0)</f>
        <v>16000</v>
      </c>
      <c r="BH210" s="20">
        <f>IFERROR(VLOOKUP(Tabla14[[#This Row],[Llave]],'[5]Consolidación planes'!$A:$M,10,FALSE),0)</f>
        <v>0</v>
      </c>
      <c r="BI210" s="20">
        <f>IFERROR(VLOOKUP(Tabla14[[#This Row],[Llave]],'[5]Consolidación planes'!$A:$M,11,FALSE),0)</f>
        <v>22000</v>
      </c>
      <c r="BJ210" s="20">
        <f>IFERROR(VLOOKUP(Tabla14[[#This Row],[Llave]],'[5]Consolidación planes'!$A:$M,12,FALSE),0)</f>
        <v>0</v>
      </c>
      <c r="BK210" s="20">
        <f>IFERROR(VLOOKUP(Tabla14[[#This Row],[Llave]],'[5]Consolidación planes'!$A:$M,13,FALSE),0)</f>
        <v>0</v>
      </c>
      <c r="BL210" s="20">
        <f>IFERROR(VLOOKUP(Tabla14[[#This Row],[Llave]],'[13]Base ultimos planes'!$A:$M,13,FALSE),0)</f>
        <v>0</v>
      </c>
      <c r="BM210" s="20">
        <f>IFERROR(VLOOKUP(Tabla14[[#This Row],[Llave]],'[13]Cruce plan irrestricto'!$C:$M,10,FALSE),0)</f>
        <v>0</v>
      </c>
      <c r="BN210" s="20">
        <f>IFERROR(VLOOKUP(Tabla14[[#This Row],[Llave]],'[13]Cruce plan irrestricto'!$C:$M,11,FALSE),0)</f>
        <v>0</v>
      </c>
      <c r="BO210" s="80">
        <f>IFERROR(VLOOKUP(Tabla14[[#This Row],[Llave]],'[13]Base ultimos planes'!$O:$AA,8,FALSE),0)</f>
        <v>21120</v>
      </c>
      <c r="BP210" s="20">
        <f>IFERROR(VLOOKUP(Tabla14[[#This Row],[Llave]],'[13]Base ultimos planes'!$O:$AA,9,FALSE),0)</f>
        <v>0</v>
      </c>
      <c r="BQ210" s="20">
        <f>IFERROR(VLOOKUP(Tabla14[[#This Row],[Llave]],'[13]Base ultimos planes'!$O:$AA,10,FALSE),0)</f>
        <v>28600</v>
      </c>
      <c r="BR210" s="20">
        <f>IFERROR(VLOOKUP(Tabla14[[#This Row],[Llave]],'[13]Base ultimos planes'!$O:$AA,11,FALSE),0)</f>
        <v>0</v>
      </c>
      <c r="BS210" s="20">
        <f>IFERROR(VLOOKUP(Tabla14[[#This Row],[Llave]],'[13]Base ultimos planes'!$O:$AA,12,FALSE),0)</f>
        <v>0</v>
      </c>
      <c r="BT210" s="20">
        <f>IFERROR(VLOOKUP(Tabla14[[#This Row],[Llave]],'[13]Base ultimos planes'!$O:$AA,13,FALSE),0)</f>
        <v>0</v>
      </c>
      <c r="BU210" s="20"/>
      <c r="BV210" s="20">
        <f>Tabla14[[#This Row],[ RV Producción mes n+1]]-Tabla14[[#This Row],[Producción disponible]]+Tabla14[[#This Row],[Saldo Volumen disponible]]</f>
        <v>0</v>
      </c>
      <c r="BW210" s="20">
        <f>IFERROR(VLOOKUP(Tabla14[[#This Row],[Llave]],[14]Hoja2!$J:$N,4,FALSE),0)</f>
        <v>0</v>
      </c>
      <c r="BX210" s="20">
        <f>+Tabla14[[#This Row],[Asignación mes n+1]]*Tabla14[[#This Row],[% Uti. producción]]</f>
        <v>0</v>
      </c>
      <c r="BY210" s="20">
        <f>+Tabla14[[#This Row],[Ponderación mes n+1]]+Tabla14[[#This Row],[Saldo mes n-1]]</f>
        <v>0</v>
      </c>
      <c r="BZ210" s="20">
        <f>+Tabla14[[#This Row],[Asignación mes n+1]]-Tabla14[[#This Row],[Ponderación mes n+1]]</f>
        <v>0</v>
      </c>
      <c r="CA210" s="20">
        <f>IFERROR(VLOOKUP(Tabla14[[#This Row],[Llave]],[14]Hoja2!$J:$N,5,FALSE),0)</f>
        <v>0</v>
      </c>
      <c r="CB210" s="20">
        <f>+Tabla14[[#This Row],[Asignación mes n+2]]*Tabla14[[#This Row],[% Uti. producción]]</f>
        <v>0</v>
      </c>
      <c r="CC210" s="20">
        <f>+Tabla14[[#This Row],[Saldo mes n+2]]+Tabla14[[#This Row],[Ponderación mes n+2]]</f>
        <v>0</v>
      </c>
      <c r="CD210" s="20">
        <f>+Tabla14[[#This Row],[Asignación mes n+2]]-Tabla14[[#This Row],[Ponderación mes n+2]]</f>
        <v>0</v>
      </c>
    </row>
    <row r="211" spans="1:82" ht="16" x14ac:dyDescent="0.2">
      <c r="A211">
        <v>1</v>
      </c>
      <c r="B211" t="str">
        <f>Tabla14[[#This Row],[Oficina]]&amp;Tabla14[[#This Row],[Material]]</f>
        <v>Agrosuper Asia1030535</v>
      </c>
      <c r="C211" t="s">
        <v>204</v>
      </c>
      <c r="D211" t="s">
        <v>173</v>
      </c>
      <c r="E211">
        <v>1030535</v>
      </c>
      <c r="F211" t="s">
        <v>226</v>
      </c>
      <c r="G211" t="s">
        <v>217</v>
      </c>
      <c r="H211" t="s">
        <v>218</v>
      </c>
      <c r="I211" s="7">
        <f>IFERROR(IF(Tabla14[[#This Row],[Oficina]]=$I$7,VLOOKUP(Tabla14[[#This Row],[Material]],'[6]RV Producción'!$Y:$AA,3,FALSE),VLOOKUP(Tabla14[[#This Row],[Llave]],'[6]RV Producción'!$C:$G,5,FALSE)),0)</f>
        <v>0</v>
      </c>
      <c r="J211" s="7">
        <f>IFERROR(IF(Tabla14[[#This Row],[Oficina]]=$I$7,VLOOKUP(Tabla14[[#This Row],[Llave]],'[7]Shangai (Tomas)'!$A:$F,6,FALSE),VLOOKUP(Tabla14[[#This Row],[Llave]],'[6]RV plan de ventas'!$A:$E,5,FALSE)),0)</f>
        <v>0</v>
      </c>
      <c r="K211" s="8">
        <f>IFERROR(VLOOKUP(Tabla14[[#This Row],[Sector]]&amp;Tabla14[[#This Row],[Oficina]],[8]Ponderación!$A$3:$G$22,7,FALSE),0)</f>
        <v>0.47745072632608576</v>
      </c>
      <c r="L211" s="7">
        <f>+Tabla14[[#This Row],[ RV Producción mes n+1]]*Tabla14[[#This Row],[% Uti. producción]]</f>
        <v>0</v>
      </c>
      <c r="M211" s="7">
        <f>IFERROR(VLOOKUP(Tabla14[[#This Row],[Material]],'[9]TD Stock'!$B:$C,2,FALSE),0)</f>
        <v>1080.895</v>
      </c>
      <c r="N211" s="7">
        <f>IFERROR(VLOOKUP(Tabla14[[#This Row],[Material]],'[10]Consolidado planificación'!$B:$C,2,FALSE),0)</f>
        <v>0</v>
      </c>
      <c r="O211" s="7">
        <f>IFERROR(VLOOKUP(Tabla14[[#This Row],[Llave]],[11]Hoja2!$D:$G,4,FALSE),0)</f>
        <v>0</v>
      </c>
      <c r="P211" s="14">
        <f>SUM(Tabla14[[#This Row],[Producción disponible]],Tabla14[[#This Row],[Stock al día]],(Tabla14[[#This Row],[Por producir mes N]]*0.9))-Tabla14[[#This Row],[Producción por despachar mes N]]</f>
        <v>1080.895</v>
      </c>
      <c r="Q211" s="7">
        <f>IFERROR(VLOOKUP(Tabla14[[#This Row],[Llave]],[9]DELAY!$A:$D,4,FALSE),0)</f>
        <v>66000</v>
      </c>
      <c r="R211" s="9">
        <v>22000</v>
      </c>
      <c r="S211" s="5">
        <f t="shared" si="8"/>
        <v>0</v>
      </c>
      <c r="T211" s="76">
        <v>0</v>
      </c>
      <c r="U211" s="5">
        <f>+Tabla14[[#This Row],[Atraso a facturar]]+Tabla14[[#This Row],[Ajuste atraso]]</f>
        <v>0</v>
      </c>
      <c r="V211" s="3">
        <f>+Tabla14[[#This Row],[Total disponible]]-Tabla14[[#This Row],[Facturación atraso]]</f>
        <v>1080.895</v>
      </c>
      <c r="W211" s="6">
        <f>IFERROR(IF(AND(V211&gt;R211,J211&gt;=R211),ROUNDDOWN((Tabla14[[#This Row],[Producción para venta nueva]])/R211,0)*R211,0),0)</f>
        <v>0</v>
      </c>
      <c r="X211" s="76">
        <v>0</v>
      </c>
      <c r="Y211" s="6">
        <f>IF(Tabla14[[#This Row],[Venta del mes]]&gt;0,Tabla14[[#This Row],[Venta del mes]]+Tabla14[[#This Row],[Ajuste venta nueva]],0)</f>
        <v>0</v>
      </c>
      <c r="Z211" s="6">
        <f>+Tabla14[[#This Row],[Producción para venta nueva]]-Tabla14[[#This Row],[Facturación Venta nueva]]</f>
        <v>1080.895</v>
      </c>
      <c r="AA211" s="6">
        <f>IF(AND(A211=1,Tabla14[[#This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1" s="6">
        <v>0</v>
      </c>
      <c r="AC211" s="6">
        <f>IF(Tabla14[[#This Row],[Disponible stock sin venta]]&gt;0,Tabla14[[#This Row],[Disponible stock sin venta]]+Tabla14[[#This Row],[Ajuste stock sin venta]],0)</f>
        <v>0</v>
      </c>
      <c r="AD211" s="3">
        <f>IFERROR(VLOOKUP(Tabla14[[#This Row],[Llave]],[12]Hoja1!$A:$D,4,FALSE),0)</f>
        <v>0</v>
      </c>
      <c r="AE21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11" s="3">
        <v>0</v>
      </c>
      <c r="AG211" s="3">
        <f>+Tabla14[[#This Row],[En puerto a facturar]]</f>
        <v>0</v>
      </c>
      <c r="AH211" s="3">
        <f>+Tabla14[[#This Row],[Facturación atraso]]</f>
        <v>0</v>
      </c>
      <c r="AI211" s="3">
        <f>+Tabla14[[#This Row],[Plan Irrestricto (DATO)]]-Tabla14[[#This Row],[Puerto ]]-Tabla14[[#This Row],[Atraso]]</f>
        <v>0</v>
      </c>
      <c r="AJ21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11" s="3">
        <f>+Tabla14[[#This Row],[Facturación atraso]]</f>
        <v>0</v>
      </c>
      <c r="AL211" s="3">
        <f>Tabla14[[#This Row],[Plan Ajustado]]-Tabla14[[#This Row],[ Atraso ajustado]]-Tabla14[[#This Row],[En puerto a facturar]]</f>
        <v>0</v>
      </c>
      <c r="AM211" s="3">
        <v>0</v>
      </c>
      <c r="AN211" s="3"/>
      <c r="AO211" s="3" t="str">
        <f>IF(Tabla14[[#This Row],[Plan Ajustado]]&gt;Tabla14[[#This Row],[En puerto a facturar]],"Si","No")</f>
        <v>No</v>
      </c>
      <c r="AP21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11" s="3">
        <f>IF(Tabla14[[#This Row],[Necesidad]]&gt;=Tabla14[[#This Row],[Stock al día]],Tabla14[[#This Row],[Stock al día]],Tabla14[[#This Row],[Necesidad]])</f>
        <v>0</v>
      </c>
      <c r="AR211" s="3">
        <f>+Tabla14[[#This Row],[Necesidad]]-Tabla14[[#This Row],[Stock Plan]]</f>
        <v>0</v>
      </c>
      <c r="AS211" s="155">
        <f>VLOOKUP(Tabla14[[#This Row],[Sector]]&amp;Tabla14[[#This Row],[Oficina]],[8]Ponderación!$A:$H,8,FALSE)</f>
        <v>44817</v>
      </c>
      <c r="AT211" s="30">
        <f>IFERROR(VLOOKUP(Tabla14[[#This Row],[Llave]],'[6]RV plan de ventas'!$A:$F,6,FALSE),0)</f>
        <v>0</v>
      </c>
      <c r="AU211" s="83">
        <f>IFERROR(VLOOKUP(Tabla14[[#This Row],[Llave]],[9]DELAY!$H:$X,17,FALSE),0)</f>
        <v>2.5</v>
      </c>
      <c r="AV21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11" s="5">
        <f>Tabla14[[#This Row],[Pecio plan]]*Tabla14[[#This Row],[Plan Ajustado]]</f>
        <v>0</v>
      </c>
      <c r="AX211" s="30">
        <f>IFERROR(VLOOKUP(Tabla14[[#This Row],[Llave]],'[13]Ultimos precios facturados'!$A:$G,7,FALSE),0)</f>
        <v>2.3329240227442081</v>
      </c>
      <c r="AY21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11" s="30">
        <f>IFERROR(VLOOKUP(Tabla14[[#This Row],[Llave]],Hoja2!B:K,10,FALSE),0)</f>
        <v>0</v>
      </c>
      <c r="BA21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11" s="30">
        <v>0</v>
      </c>
      <c r="BC211" s="30">
        <f>IF(Tabla14[[#This Row],[Market]]=0,Tabla14[[#This Row],[Precio Final]],Tabla14[[#This Row],[Market]])</f>
        <v>0</v>
      </c>
      <c r="BD211" s="82"/>
      <c r="BE211" s="82" t="str">
        <f>IF(AND(Tabla14[[#This Row],[Atraso a facturar]]&gt;0,Tabla14[[#This Row],[En puerto a facturar]]&gt;0,Tabla14[[#This Row],[Precio Atraso]]=0),"Revisar","OK")</f>
        <v>OK</v>
      </c>
      <c r="BF211" s="82" t="str">
        <f>IF(AND(Tabla14[[#This Row],[Venta del mes]]&gt;0,Tabla14[[#This Row],[Precio venta nueva]]=0),"Revisar","OK")</f>
        <v>OK</v>
      </c>
      <c r="BG211" s="20">
        <f>IFERROR(VLOOKUP(Tabla14[[#This Row],[Llave]],'[5]Consolidación planes'!$A:$M,9,FALSE),0)</f>
        <v>6000</v>
      </c>
      <c r="BH211" s="20">
        <f>IFERROR(VLOOKUP(Tabla14[[#This Row],[Llave]],'[5]Consolidación planes'!$A:$M,10,FALSE),0)</f>
        <v>0</v>
      </c>
      <c r="BI211" s="20">
        <f>IFERROR(VLOOKUP(Tabla14[[#This Row],[Llave]],'[5]Consolidación planes'!$A:$M,11,FALSE),0)</f>
        <v>28000</v>
      </c>
      <c r="BJ211" s="20">
        <f>IFERROR(VLOOKUP(Tabla14[[#This Row],[Llave]],'[5]Consolidación planes'!$A:$M,12,FALSE),0)</f>
        <v>44000</v>
      </c>
      <c r="BK211" s="20">
        <f>IFERROR(VLOOKUP(Tabla14[[#This Row],[Llave]],'[5]Consolidación planes'!$A:$M,13,FALSE),0)</f>
        <v>43998</v>
      </c>
      <c r="BL211" s="20">
        <f>IFERROR(VLOOKUP(Tabla14[[#This Row],[Llave]],'[13]Base ultimos planes'!$A:$M,13,FALSE),0)</f>
        <v>22000</v>
      </c>
      <c r="BM211" s="20">
        <f>IFERROR(VLOOKUP(Tabla14[[#This Row],[Llave]],'[13]Cruce plan irrestricto'!$C:$M,10,FALSE),0)</f>
        <v>22000</v>
      </c>
      <c r="BN211" s="20">
        <f>IFERROR(VLOOKUP(Tabla14[[#This Row],[Llave]],'[13]Cruce plan irrestricto'!$C:$M,11,FALSE),0)</f>
        <v>0</v>
      </c>
      <c r="BO211" s="80">
        <f>IFERROR(VLOOKUP(Tabla14[[#This Row],[Llave]],'[13]Base ultimos planes'!$O:$AA,8,FALSE),0)</f>
        <v>12420</v>
      </c>
      <c r="BP211" s="20">
        <f>IFERROR(VLOOKUP(Tabla14[[#This Row],[Llave]],'[13]Base ultimos planes'!$O:$AA,9,FALSE),0)</f>
        <v>0</v>
      </c>
      <c r="BQ211" s="20">
        <f>IFERROR(VLOOKUP(Tabla14[[#This Row],[Llave]],'[13]Base ultimos planes'!$O:$AA,10,FALSE),0)</f>
        <v>58940</v>
      </c>
      <c r="BR211" s="20">
        <f>IFERROR(VLOOKUP(Tabla14[[#This Row],[Llave]],'[13]Base ultimos planes'!$O:$AA,11,FALSE),0)</f>
        <v>104751</v>
      </c>
      <c r="BS211" s="20">
        <f>IFERROR(VLOOKUP(Tabla14[[#This Row],[Llave]],'[13]Base ultimos planes'!$O:$AA,12,FALSE),0)</f>
        <v>49774</v>
      </c>
      <c r="BT211" s="20">
        <f>IFERROR(VLOOKUP(Tabla14[[#This Row],[Llave]],'[13]Base ultimos planes'!$O:$AA,13,FALSE),0)</f>
        <v>50891</v>
      </c>
      <c r="BU211" s="20"/>
      <c r="BV211" s="20">
        <f>Tabla14[[#This Row],[ RV Producción mes n+1]]-Tabla14[[#This Row],[Producción disponible]]+Tabla14[[#This Row],[Saldo Volumen disponible]]</f>
        <v>1080.895</v>
      </c>
      <c r="BW211" s="20">
        <f>IFERROR(VLOOKUP(Tabla14[[#This Row],[Llave]],[14]Hoja2!$J:$N,4,FALSE),0)</f>
        <v>0</v>
      </c>
      <c r="BX211" s="20">
        <f>+Tabla14[[#This Row],[Asignación mes n+1]]*Tabla14[[#This Row],[% Uti. producción]]</f>
        <v>0</v>
      </c>
      <c r="BY211" s="20">
        <f>+Tabla14[[#This Row],[Ponderación mes n+1]]+Tabla14[[#This Row],[Saldo mes n-1]]</f>
        <v>1080.895</v>
      </c>
      <c r="BZ211" s="20">
        <f>+Tabla14[[#This Row],[Asignación mes n+1]]-Tabla14[[#This Row],[Ponderación mes n+1]]</f>
        <v>0</v>
      </c>
      <c r="CA211" s="20">
        <f>IFERROR(VLOOKUP(Tabla14[[#This Row],[Llave]],[14]Hoja2!$J:$N,5,FALSE),0)</f>
        <v>0</v>
      </c>
      <c r="CB211" s="20">
        <f>+Tabla14[[#This Row],[Asignación mes n+2]]*Tabla14[[#This Row],[% Uti. producción]]</f>
        <v>0</v>
      </c>
      <c r="CC211" s="20">
        <f>+Tabla14[[#This Row],[Saldo mes n+2]]+Tabla14[[#This Row],[Ponderación mes n+2]]</f>
        <v>0</v>
      </c>
      <c r="CD211" s="20">
        <f>+Tabla14[[#This Row],[Asignación mes n+2]]-Tabla14[[#This Row],[Ponderación mes n+2]]</f>
        <v>0</v>
      </c>
    </row>
    <row r="212" spans="1:82" ht="16" x14ac:dyDescent="0.2">
      <c r="A212">
        <v>1</v>
      </c>
      <c r="B212" t="str">
        <f>Tabla14[[#This Row],[Oficina]]&amp;Tabla14[[#This Row],[Material]]</f>
        <v>Agrosuper Asia1030542</v>
      </c>
      <c r="C212" t="s">
        <v>204</v>
      </c>
      <c r="D212" t="s">
        <v>173</v>
      </c>
      <c r="E212">
        <v>1030542</v>
      </c>
      <c r="F212" t="s">
        <v>225</v>
      </c>
      <c r="G212" t="s">
        <v>212</v>
      </c>
      <c r="H212" t="s">
        <v>213</v>
      </c>
      <c r="I212" s="7">
        <f>IFERROR(IF(Tabla14[[#This Row],[Oficina]]=$I$7,VLOOKUP(Tabla14[[#This Row],[Material]],'[6]RV Producción'!$Y:$AA,3,FALSE),VLOOKUP(Tabla14[[#This Row],[Llave]],'[6]RV Producción'!$C:$G,5,FALSE)),0)</f>
        <v>0</v>
      </c>
      <c r="J212" s="7">
        <f>IFERROR(IF(Tabla14[[#This Row],[Oficina]]=$I$7,VLOOKUP(Tabla14[[#This Row],[Llave]],'[7]Shangai (Tomas)'!$A:$F,6,FALSE),VLOOKUP(Tabla14[[#This Row],[Llave]],'[6]RV plan de ventas'!$A:$E,5,FALSE)),0)</f>
        <v>0</v>
      </c>
      <c r="K212" s="8">
        <f>IFERROR(VLOOKUP(Tabla14[[#This Row],[Sector]]&amp;Tabla14[[#This Row],[Oficina]],[8]Ponderación!$A$3:$G$22,7,FALSE),0)</f>
        <v>0.47745072632608576</v>
      </c>
      <c r="L212" s="7">
        <f>+Tabla14[[#This Row],[ RV Producción mes n+1]]*Tabla14[[#This Row],[% Uti. producción]]</f>
        <v>0</v>
      </c>
      <c r="M212" s="7">
        <f>IFERROR(VLOOKUP(Tabla14[[#This Row],[Material]],'[9]TD Stock'!$B:$C,2,FALSE),0)</f>
        <v>73470</v>
      </c>
      <c r="N212" s="7">
        <f>IFERROR(VLOOKUP(Tabla14[[#This Row],[Material]],'[10]Consolidado planificación'!$B:$C,2,FALSE),0)</f>
        <v>0</v>
      </c>
      <c r="O212" s="7">
        <f>IFERROR(VLOOKUP(Tabla14[[#This Row],[Llave]],[11]Hoja2!$D:$G,4,FALSE),0)</f>
        <v>0</v>
      </c>
      <c r="P212" s="14">
        <f>SUM(Tabla14[[#This Row],[Producción disponible]],Tabla14[[#This Row],[Stock al día]],(Tabla14[[#This Row],[Por producir mes N]]*0.9))-Tabla14[[#This Row],[Producción por despachar mes N]]</f>
        <v>73470</v>
      </c>
      <c r="Q212" s="7">
        <f>IFERROR(VLOOKUP(Tabla14[[#This Row],[Llave]],[9]DELAY!$A:$D,4,FALSE),0)</f>
        <v>0</v>
      </c>
      <c r="R212" s="9">
        <v>23000</v>
      </c>
      <c r="S212" s="5">
        <f t="shared" si="8"/>
        <v>0</v>
      </c>
      <c r="T212" s="76">
        <v>0</v>
      </c>
      <c r="U212" s="5">
        <f>+Tabla14[[#This Row],[Atraso a facturar]]+Tabla14[[#This Row],[Ajuste atraso]]</f>
        <v>0</v>
      </c>
      <c r="V212" s="3">
        <f>+Tabla14[[#This Row],[Total disponible]]-Tabla14[[#This Row],[Facturación atraso]]</f>
        <v>73470</v>
      </c>
      <c r="W212" s="6">
        <f>IFERROR(IF(AND(V212&gt;R212,J212&gt;=R212),ROUNDDOWN((Tabla14[[#This Row],[Producción para venta nueva]])/R212,0)*R212,0),0)</f>
        <v>0</v>
      </c>
      <c r="X212" s="76">
        <v>0</v>
      </c>
      <c r="Y212" s="6">
        <f>IF(Tabla14[[#This Row],[Venta del mes]]&gt;0,Tabla14[[#This Row],[Venta del mes]]+Tabla14[[#This Row],[Ajuste venta nueva]],0)</f>
        <v>0</v>
      </c>
      <c r="Z212" s="6">
        <f>+Tabla14[[#This Row],[Producción para venta nueva]]-Tabla14[[#This Row],[Facturación Venta nueva]]</f>
        <v>73470</v>
      </c>
      <c r="AA212" s="6">
        <f>IF(AND(A212=1,Tabla14[[#This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69000</v>
      </c>
      <c r="AB212" s="6">
        <v>0</v>
      </c>
      <c r="AC212" s="6">
        <f>IF(Tabla14[[#This Row],[Disponible stock sin venta]]&gt;0,Tabla14[[#This Row],[Disponible stock sin venta]]+Tabla14[[#This Row],[Ajuste stock sin venta]],0)</f>
        <v>69000</v>
      </c>
      <c r="AD212" s="3">
        <f>IFERROR(VLOOKUP(Tabla14[[#This Row],[Llave]],[12]Hoja1!$A:$D,4,FALSE),0)</f>
        <v>0</v>
      </c>
      <c r="AE21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69000</v>
      </c>
      <c r="AF212" s="3">
        <v>69000</v>
      </c>
      <c r="AG212" s="3">
        <f>+Tabla14[[#This Row],[En puerto a facturar]]</f>
        <v>0</v>
      </c>
      <c r="AH212" s="3">
        <f>+Tabla14[[#This Row],[Facturación atraso]]</f>
        <v>0</v>
      </c>
      <c r="AI212" s="3">
        <f>+Tabla14[[#This Row],[Plan Irrestricto (DATO)]]-Tabla14[[#This Row],[Puerto ]]-Tabla14[[#This Row],[Atraso]]</f>
        <v>69000</v>
      </c>
      <c r="AJ212" s="6">
        <f>IF(Tabla14[[#This Row],[Plan Irrestricto (DATO)]]&gt;0,SUM(Tabla14[[#This Row],[Facturación atraso]],Tabla14[[#This Row],[Facturación Venta nueva]],Tabla14[[#This Row],[Facturación stock]],Tabla14[[#This Row],[En puerto a facturar]]),0)</f>
        <v>69000</v>
      </c>
      <c r="AK212" s="3">
        <f>+Tabla14[[#This Row],[Facturación atraso]]</f>
        <v>0</v>
      </c>
      <c r="AL212" s="3">
        <f>Tabla14[[#This Row],[Plan Ajustado]]-Tabla14[[#This Row],[ Atraso ajustado]]-Tabla14[[#This Row],[En puerto a facturar]]</f>
        <v>69000</v>
      </c>
      <c r="AM212" s="3" t="s">
        <v>878</v>
      </c>
      <c r="AN212" s="3"/>
      <c r="AO212" s="3" t="str">
        <f>IF(Tabla14[[#This Row],[Plan Ajustado]]&gt;Tabla14[[#This Row],[En puerto a facturar]],"Si","No")</f>
        <v>Si</v>
      </c>
      <c r="AP212" s="3">
        <f>IF(AND(Tabla14[[#This Row],[Plan Ajustado]]&gt;0,Tabla14[[#This Row],[Plan Ajustado]]&gt;Tabla14[[#This Row],[En puerto a facturar]]),(Tabla14[[#This Row],[Plan Ajustado]]-Tabla14[[#This Row],[En puerto a facturar]]),0)</f>
        <v>69000</v>
      </c>
      <c r="AQ212" s="3">
        <f>IF(Tabla14[[#This Row],[Necesidad]]&gt;=Tabla14[[#This Row],[Stock al día]],Tabla14[[#This Row],[Stock al día]],Tabla14[[#This Row],[Necesidad]])</f>
        <v>69000</v>
      </c>
      <c r="AR212" s="3">
        <f>+Tabla14[[#This Row],[Necesidad]]-Tabla14[[#This Row],[Stock Plan]]</f>
        <v>0</v>
      </c>
      <c r="AS212" s="155">
        <f>VLOOKUP(Tabla14[[#This Row],[Sector]]&amp;Tabla14[[#This Row],[Oficina]],[8]Ponderación!$A:$H,8,FALSE)</f>
        <v>44817</v>
      </c>
      <c r="AT212" s="30">
        <f>IFERROR(VLOOKUP(Tabla14[[#This Row],[Llave]],'[6]RV plan de ventas'!$A:$F,6,FALSE),0)</f>
        <v>0</v>
      </c>
      <c r="AU212" s="83">
        <f>IFERROR(VLOOKUP(Tabla14[[#This Row],[Llave]],[9]DELAY!$H:$X,17,FALSE),0)</f>
        <v>0</v>
      </c>
      <c r="AV21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12" s="5">
        <f>Tabla14[[#This Row],[Pecio plan]]*Tabla14[[#This Row],[Plan Ajustado]]</f>
        <v>703745.82546750666</v>
      </c>
      <c r="AX212" s="30">
        <f>IFERROR(VLOOKUP(Tabla14[[#This Row],[Llave]],'[13]Ultimos precios facturados'!$A:$G,7,FALSE),0)</f>
        <v>10.199214861847922</v>
      </c>
      <c r="AY21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12" s="30">
        <f>IFERROR(VLOOKUP(Tabla14[[#This Row],[Llave]],Hoja2!B:K,10,FALSE),0)</f>
        <v>12.580466530612203</v>
      </c>
      <c r="BA21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10.199214861847922</v>
      </c>
      <c r="BB212" s="30">
        <v>0</v>
      </c>
      <c r="BC212" s="30">
        <f>IF(Tabla14[[#This Row],[Market]]=0,Tabla14[[#This Row],[Precio Final]],Tabla14[[#This Row],[Market]])</f>
        <v>10.199214861847922</v>
      </c>
      <c r="BD212" s="82"/>
      <c r="BE212" s="82" t="str">
        <f>IF(AND(Tabla14[[#This Row],[Atraso a facturar]]&gt;0,Tabla14[[#This Row],[En puerto a facturar]]&gt;0,Tabla14[[#This Row],[Precio Atraso]]=0),"Revisar","OK")</f>
        <v>OK</v>
      </c>
      <c r="BF212" s="82" t="str">
        <f>IF(AND(Tabla14[[#This Row],[Venta del mes]]&gt;0,Tabla14[[#This Row],[Precio venta nueva]]=0),"Revisar","OK")</f>
        <v>OK</v>
      </c>
      <c r="BG212" s="20">
        <f>IFERROR(VLOOKUP(Tabla14[[#This Row],[Llave]],'[5]Consolidación planes'!$A:$M,9,FALSE),0)</f>
        <v>0</v>
      </c>
      <c r="BH212" s="20">
        <f>IFERROR(VLOOKUP(Tabla14[[#This Row],[Llave]],'[5]Consolidación planes'!$A:$M,10,FALSE),0)</f>
        <v>0</v>
      </c>
      <c r="BI212" s="20">
        <f>IFERROR(VLOOKUP(Tabla14[[#This Row],[Llave]],'[5]Consolidación planes'!$A:$M,11,FALSE),0)</f>
        <v>0</v>
      </c>
      <c r="BJ212" s="20">
        <f>IFERROR(VLOOKUP(Tabla14[[#This Row],[Llave]],'[5]Consolidación planes'!$A:$M,12,FALSE),0)</f>
        <v>0</v>
      </c>
      <c r="BK212" s="20">
        <f>IFERROR(VLOOKUP(Tabla14[[#This Row],[Llave]],'[5]Consolidación planes'!$A:$M,13,FALSE),0)</f>
        <v>0</v>
      </c>
      <c r="BL212" s="20">
        <f>IFERROR(VLOOKUP(Tabla14[[#This Row],[Llave]],'[13]Base ultimos planes'!$A:$M,13,FALSE),0)</f>
        <v>0</v>
      </c>
      <c r="BM212" s="20">
        <f>IFERROR(VLOOKUP(Tabla14[[#This Row],[Llave]],'[13]Cruce plan irrestricto'!$C:$M,10,FALSE),0)</f>
        <v>24000</v>
      </c>
      <c r="BN212" s="20">
        <f>IFERROR(VLOOKUP(Tabla14[[#This Row],[Llave]],'[13]Cruce plan irrestricto'!$C:$M,11,FALSE),0)</f>
        <v>50500</v>
      </c>
      <c r="BO212" s="80">
        <f>IFERROR(VLOOKUP(Tabla14[[#This Row],[Llave]],'[13]Base ultimos planes'!$O:$AA,8,FALSE),0)</f>
        <v>0</v>
      </c>
      <c r="BP212" s="20">
        <f>IFERROR(VLOOKUP(Tabla14[[#This Row],[Llave]],'[13]Base ultimos planes'!$O:$AA,9,FALSE),0)</f>
        <v>0</v>
      </c>
      <c r="BQ212" s="20">
        <f>IFERROR(VLOOKUP(Tabla14[[#This Row],[Llave]],'[13]Base ultimos planes'!$O:$AA,10,FALSE),0)</f>
        <v>0</v>
      </c>
      <c r="BR212" s="20">
        <f>IFERROR(VLOOKUP(Tabla14[[#This Row],[Llave]],'[13]Base ultimos planes'!$O:$AA,11,FALSE),0)</f>
        <v>0</v>
      </c>
      <c r="BS212" s="20">
        <f>IFERROR(VLOOKUP(Tabla14[[#This Row],[Llave]],'[13]Base ultimos planes'!$O:$AA,12,FALSE),0)</f>
        <v>0</v>
      </c>
      <c r="BT212" s="20">
        <f>IFERROR(VLOOKUP(Tabla14[[#This Row],[Llave]],'[13]Base ultimos planes'!$O:$AA,13,FALSE),0)</f>
        <v>0</v>
      </c>
      <c r="BU212" s="20"/>
      <c r="BV212" s="20">
        <f>Tabla14[[#This Row],[ RV Producción mes n+1]]-Tabla14[[#This Row],[Producción disponible]]+Tabla14[[#This Row],[Saldo Volumen disponible]]</f>
        <v>73470</v>
      </c>
      <c r="BW212" s="20">
        <f>IFERROR(VLOOKUP(Tabla14[[#This Row],[Llave]],[14]Hoja2!$J:$N,4,FALSE),0)</f>
        <v>0</v>
      </c>
      <c r="BX212" s="20">
        <f>+Tabla14[[#This Row],[Asignación mes n+1]]*Tabla14[[#This Row],[% Uti. producción]]</f>
        <v>0</v>
      </c>
      <c r="BY212" s="20">
        <f>+Tabla14[[#This Row],[Ponderación mes n+1]]+Tabla14[[#This Row],[Saldo mes n-1]]</f>
        <v>73470</v>
      </c>
      <c r="BZ212" s="20">
        <f>+Tabla14[[#This Row],[Asignación mes n+1]]-Tabla14[[#This Row],[Ponderación mes n+1]]</f>
        <v>0</v>
      </c>
      <c r="CA212" s="20">
        <f>IFERROR(VLOOKUP(Tabla14[[#This Row],[Llave]],[14]Hoja2!$J:$N,5,FALSE),0)</f>
        <v>0</v>
      </c>
      <c r="CB212" s="20">
        <f>+Tabla14[[#This Row],[Asignación mes n+2]]*Tabla14[[#This Row],[% Uti. producción]]</f>
        <v>0</v>
      </c>
      <c r="CC212" s="20">
        <f>+Tabla14[[#This Row],[Saldo mes n+2]]+Tabla14[[#This Row],[Ponderación mes n+2]]</f>
        <v>0</v>
      </c>
      <c r="CD212" s="20">
        <f>+Tabla14[[#This Row],[Asignación mes n+2]]-Tabla14[[#This Row],[Ponderación mes n+2]]</f>
        <v>0</v>
      </c>
    </row>
    <row r="213" spans="1:82" ht="16" x14ac:dyDescent="0.2">
      <c r="A213">
        <v>1</v>
      </c>
      <c r="B213" t="str">
        <f>Tabla14[[#This Row],[Oficina]]&amp;Tabla14[[#This Row],[Material]]</f>
        <v>Agro Sudamerica1010877</v>
      </c>
      <c r="C213" t="s">
        <v>227</v>
      </c>
      <c r="D213" t="s">
        <v>17</v>
      </c>
      <c r="E213">
        <v>1010877</v>
      </c>
      <c r="F213" t="s">
        <v>243</v>
      </c>
      <c r="G213" t="s">
        <v>209</v>
      </c>
      <c r="H213" t="s">
        <v>210</v>
      </c>
      <c r="I213" s="7">
        <f>IFERROR(IF(Tabla14[[#This Row],[Oficina]]=$I$7,VLOOKUP(Tabla14[[#This Row],[Material]],'[6]RV Producción'!$Y:$AA,3,FALSE),VLOOKUP(Tabla14[[#This Row],[Llave]],'[6]RV Producción'!$C:$G,5,FALSE)),0)</f>
        <v>124984</v>
      </c>
      <c r="J213" s="7">
        <f>IFERROR(IF(Tabla14[[#This Row],[Oficina]]=$I$7,VLOOKUP(Tabla14[[#This Row],[Llave]],'[7]Shangai (Tomas)'!$A:$F,6,FALSE),VLOOKUP(Tabla14[[#This Row],[Llave]],'[6]RV plan de ventas'!$A:$E,5,FALSE)),0)</f>
        <v>135072</v>
      </c>
      <c r="K213" s="8">
        <f>IFERROR(VLOOKUP(Tabla14[[#This Row],[Sector]]&amp;Tabla14[[#This Row],[Oficina]],[8]Ponderación!$A$3:$G$22,7,FALSE),0)</f>
        <v>0.47745072632608576</v>
      </c>
      <c r="L213" s="7">
        <f>+Tabla14[[#This Row],[ RV Producción mes n+1]]*Tabla14[[#This Row],[% Uti. producción]]</f>
        <v>59673.701579139502</v>
      </c>
      <c r="M213" s="7">
        <f>IFERROR(VLOOKUP(Tabla14[[#This Row],[Material]],'[9]TD Stock'!$B:$C,2,FALSE),0)</f>
        <v>17820</v>
      </c>
      <c r="N213" s="7">
        <f>IFERROR(VLOOKUP(Tabla14[[#This Row],[Material]],'[10]Consolidado planificación'!$B:$C,2,FALSE),0)</f>
        <v>38599</v>
      </c>
      <c r="O213" s="7">
        <f>IFERROR(VLOOKUP(Tabla14[[#This Row],[Llave]],[11]Hoja2!$D:$G,4,FALSE),0)</f>
        <v>0</v>
      </c>
      <c r="P213" s="14">
        <f>SUM(Tabla14[[#This Row],[Producción disponible]],Tabla14[[#This Row],[Stock al día]],(Tabla14[[#This Row],[Por producir mes N]]*0.9))-Tabla14[[#This Row],[Producción por despachar mes N]]</f>
        <v>112232.80157913952</v>
      </c>
      <c r="Q213" s="7">
        <f>IFERROR(VLOOKUP(Tabla14[[#This Row],[Llave]],[9]DELAY!$A:$D,4,FALSE),0)</f>
        <v>89000</v>
      </c>
      <c r="R213" s="9">
        <v>23000</v>
      </c>
      <c r="S213" s="5">
        <f t="shared" si="8"/>
        <v>89000</v>
      </c>
      <c r="T213" s="76">
        <v>0</v>
      </c>
      <c r="U213" s="5">
        <f>+Tabla14[[#This Row],[Atraso a facturar]]+Tabla14[[#This Row],[Ajuste atraso]]</f>
        <v>89000</v>
      </c>
      <c r="V213" s="3">
        <f>+Tabla14[[#This Row],[Total disponible]]-Tabla14[[#This Row],[Facturación atraso]]</f>
        <v>23232.801579139516</v>
      </c>
      <c r="W213" s="6">
        <f>IFERROR(IF(AND(V213&gt;R213,J213&gt;=R213),ROUNDDOWN((Tabla14[[#This Row],[Producción para venta nueva]])/R213,0)*R213,0),0)</f>
        <v>23000</v>
      </c>
      <c r="X213" s="76">
        <v>0</v>
      </c>
      <c r="Y213" s="6">
        <f>IF(Tabla14[[#This Row],[Venta del mes]]&gt;0,Tabla14[[#This Row],[Venta del mes]]+Tabla14[[#This Row],[Ajuste venta nueva]],0)</f>
        <v>23000</v>
      </c>
      <c r="Z213" s="6">
        <f>+Tabla14[[#This Row],[Producción para venta nueva]]-Tabla14[[#This Row],[Facturación Venta nueva]]</f>
        <v>232.80157913951552</v>
      </c>
      <c r="AA213" s="6">
        <f>IF(AND(A213=1,Tabla14[[#This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3" s="6">
        <v>0</v>
      </c>
      <c r="AC213" s="6">
        <f>IF(Tabla14[[#This Row],[Disponible stock sin venta]]&gt;0,Tabla14[[#This Row],[Disponible stock sin venta]]+Tabla14[[#This Row],[Ajuste stock sin venta]],0)</f>
        <v>0</v>
      </c>
      <c r="AD213" s="3">
        <f>IFERROR(VLOOKUP(Tabla14[[#This Row],[Llave]],[12]Hoja1!$A:$D,4,FALSE),0)</f>
        <v>24000</v>
      </c>
      <c r="AE21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136000</v>
      </c>
      <c r="AF213" s="3">
        <v>136000</v>
      </c>
      <c r="AG213" s="3">
        <f>+Tabla14[[#This Row],[En puerto a facturar]]</f>
        <v>24000</v>
      </c>
      <c r="AH213" s="3">
        <f>+Tabla14[[#This Row],[Facturación atraso]]</f>
        <v>89000</v>
      </c>
      <c r="AI213" s="3">
        <f>+Tabla14[[#This Row],[Plan Irrestricto (DATO)]]-Tabla14[[#This Row],[Puerto ]]-Tabla14[[#This Row],[Atraso]]</f>
        <v>23000</v>
      </c>
      <c r="AJ213" s="6">
        <f>IF(Tabla14[[#This Row],[Plan Irrestricto (DATO)]]&gt;0,SUM(Tabla14[[#This Row],[Facturación atraso]],Tabla14[[#This Row],[Facturación Venta nueva]],Tabla14[[#This Row],[Facturación stock]],Tabla14[[#This Row],[En puerto a facturar]]),0)</f>
        <v>136000</v>
      </c>
      <c r="AK213" s="3">
        <f>+Tabla14[[#This Row],[Facturación atraso]]</f>
        <v>89000</v>
      </c>
      <c r="AL213" s="3">
        <f>Tabla14[[#This Row],[Plan Ajustado]]-Tabla14[[#This Row],[ Atraso ajustado]]-Tabla14[[#This Row],[En puerto a facturar]]</f>
        <v>23000</v>
      </c>
      <c r="AM213" s="3">
        <v>0</v>
      </c>
      <c r="AN213" s="3" t="s">
        <v>636</v>
      </c>
      <c r="AO213" s="3" t="str">
        <f>IF(Tabla14[[#This Row],[Plan Ajustado]]&gt;Tabla14[[#This Row],[En puerto a facturar]],"Si","No")</f>
        <v>Si</v>
      </c>
      <c r="AP213" s="3">
        <f>IF(AND(Tabla14[[#This Row],[Plan Ajustado]]&gt;0,Tabla14[[#This Row],[Plan Ajustado]]&gt;Tabla14[[#This Row],[En puerto a facturar]]),(Tabla14[[#This Row],[Plan Ajustado]]-Tabla14[[#This Row],[En puerto a facturar]]),0)</f>
        <v>112000</v>
      </c>
      <c r="AQ213" s="3">
        <f>IF(Tabla14[[#This Row],[Necesidad]]&gt;=Tabla14[[#This Row],[Stock al día]],Tabla14[[#This Row],[Stock al día]],Tabla14[[#This Row],[Necesidad]])</f>
        <v>17820</v>
      </c>
      <c r="AR213" s="3">
        <f>+Tabla14[[#This Row],[Necesidad]]-Tabla14[[#This Row],[Stock Plan]]</f>
        <v>94180</v>
      </c>
      <c r="AS213" s="155">
        <f>VLOOKUP(Tabla14[[#This Row],[Sector]]&amp;Tabla14[[#This Row],[Oficina]],[8]Ponderación!$A:$H,8,FALSE)</f>
        <v>44817</v>
      </c>
      <c r="AT213" s="30">
        <f>IFERROR(VLOOKUP(Tabla14[[#This Row],[Llave]],'[6]RV plan de ventas'!$A:$F,6,FALSE),0)</f>
        <v>0.98667377398720701</v>
      </c>
      <c r="AU213" s="83">
        <f>IFERROR(VLOOKUP(Tabla14[[#This Row],[Llave]],[9]DELAY!$H:$X,17,FALSE),0)</f>
        <v>0.89231055900621103</v>
      </c>
      <c r="AV21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0.90826904389270313</v>
      </c>
      <c r="AW213" s="5">
        <f>Tabla14[[#This Row],[Pecio plan]]*Tabla14[[#This Row],[Plan Ajustado]]</f>
        <v>145487.61485726133</v>
      </c>
      <c r="AX213" s="30">
        <f>IFERROR(VLOOKUP(Tabla14[[#This Row],[Llave]],'[13]Ultimos precios facturados'!$A:$G,7,FALSE),0)</f>
        <v>1.0253207113973615</v>
      </c>
      <c r="AY21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0.11416102903562156</v>
      </c>
      <c r="AZ213" s="30">
        <f>IFERROR(VLOOKUP(Tabla14[[#This Row],[Llave]],Hoja2!B:K,10,FALSE),0)</f>
        <v>1.0023351811660561</v>
      </c>
      <c r="BA21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0.90826904389270313</v>
      </c>
      <c r="BB213" s="30">
        <v>1.0697618739504509</v>
      </c>
      <c r="BC213" s="30">
        <f>IF(Tabla14[[#This Row],[Market]]=0,Tabla14[[#This Row],[Precio Final]],Tabla14[[#This Row],[Market]])</f>
        <v>1.0697618739504509</v>
      </c>
      <c r="BD213" s="82"/>
      <c r="BE213" s="82" t="str">
        <f>IF(AND(Tabla14[[#This Row],[Atraso a facturar]]&gt;0,Tabla14[[#This Row],[En puerto a facturar]]&gt;0,Tabla14[[#This Row],[Precio Atraso]]=0),"Revisar","OK")</f>
        <v>OK</v>
      </c>
      <c r="BF213" s="82" t="str">
        <f>IF(AND(Tabla14[[#This Row],[Venta del mes]]&gt;0,Tabla14[[#This Row],[Precio venta nueva]]=0),"Revisar","OK")</f>
        <v>OK</v>
      </c>
      <c r="BG213" s="20">
        <f>IFERROR(VLOOKUP(Tabla14[[#This Row],[Llave]],'[5]Consolidación planes'!$A:$M,9,FALSE),0)</f>
        <v>96000</v>
      </c>
      <c r="BH213" s="20">
        <f>IFERROR(VLOOKUP(Tabla14[[#This Row],[Llave]],'[5]Consolidación planes'!$A:$M,10,FALSE),0)</f>
        <v>123000</v>
      </c>
      <c r="BI213" s="20">
        <f>IFERROR(VLOOKUP(Tabla14[[#This Row],[Llave]],'[5]Consolidación planes'!$A:$M,11,FALSE),0)</f>
        <v>95960</v>
      </c>
      <c r="BJ213" s="20">
        <f>IFERROR(VLOOKUP(Tabla14[[#This Row],[Llave]],'[5]Consolidación planes'!$A:$M,12,FALSE),0)</f>
        <v>48000</v>
      </c>
      <c r="BK213" s="20">
        <f>IFERROR(VLOOKUP(Tabla14[[#This Row],[Llave]],'[5]Consolidación planes'!$A:$M,13,FALSE),0)</f>
        <v>115000</v>
      </c>
      <c r="BL213" s="20">
        <f>IFERROR(VLOOKUP(Tabla14[[#This Row],[Llave]],'[13]Base ultimos planes'!$A:$M,13,FALSE),0)</f>
        <v>162334</v>
      </c>
      <c r="BM213" s="20">
        <f>IFERROR(VLOOKUP(Tabla14[[#This Row],[Llave]],'[13]Cruce plan irrestricto'!$C:$M,10,FALSE),0)</f>
        <v>180000</v>
      </c>
      <c r="BN213" s="20">
        <f>IFERROR(VLOOKUP(Tabla14[[#This Row],[Llave]],'[13]Cruce plan irrestricto'!$C:$M,11,FALSE),0)</f>
        <v>76590</v>
      </c>
      <c r="BO213" s="80">
        <f>IFERROR(VLOOKUP(Tabla14[[#This Row],[Llave]],'[13]Base ultimos planes'!$O:$AA,8,FALSE),0)</f>
        <v>106278.39999999999</v>
      </c>
      <c r="BP213" s="20">
        <f>IFERROR(VLOOKUP(Tabla14[[#This Row],[Llave]],'[13]Base ultimos planes'!$O:$AA,9,FALSE),0)</f>
        <v>135580</v>
      </c>
      <c r="BQ213" s="20">
        <f>IFERROR(VLOOKUP(Tabla14[[#This Row],[Llave]],'[13]Base ultimos planes'!$O:$AA,10,FALSE),0)</f>
        <v>95964</v>
      </c>
      <c r="BR213" s="20">
        <f>IFERROR(VLOOKUP(Tabla14[[#This Row],[Llave]],'[13]Base ultimos planes'!$O:$AA,11,FALSE),0)</f>
        <v>44149</v>
      </c>
      <c r="BS213" s="20">
        <f>IFERROR(VLOOKUP(Tabla14[[#This Row],[Llave]],'[13]Base ultimos planes'!$O:$AA,12,FALSE),0)</f>
        <v>123460</v>
      </c>
      <c r="BT213" s="20">
        <f>IFERROR(VLOOKUP(Tabla14[[#This Row],[Llave]],'[13]Base ultimos planes'!$O:$AA,13,FALSE),0)</f>
        <v>173356</v>
      </c>
      <c r="BU213" s="20"/>
      <c r="BV213" s="20">
        <f>Tabla14[[#This Row],[ RV Producción mes n+1]]-Tabla14[[#This Row],[Producción disponible]]+Tabla14[[#This Row],[Saldo Volumen disponible]]</f>
        <v>65543.100000000006</v>
      </c>
      <c r="BW213" s="20">
        <f>IFERROR(VLOOKUP(Tabla14[[#This Row],[Llave]],[14]Hoja2!$J:$N,4,FALSE),0)</f>
        <v>120000</v>
      </c>
      <c r="BX213" s="20">
        <f>+Tabla14[[#This Row],[Asignación mes n+1]]*Tabla14[[#This Row],[% Uti. producción]]</f>
        <v>57294.087159130293</v>
      </c>
      <c r="BY213" s="20">
        <f>+Tabla14[[#This Row],[Ponderación mes n+1]]+Tabla14[[#This Row],[Saldo mes n-1]]</f>
        <v>122837.18715913029</v>
      </c>
      <c r="BZ213" s="20">
        <f>+Tabla14[[#This Row],[Asignación mes n+1]]-Tabla14[[#This Row],[Ponderación mes n+1]]</f>
        <v>62705.912840869707</v>
      </c>
      <c r="CA213" s="20">
        <f>IFERROR(VLOOKUP(Tabla14[[#This Row],[Llave]],[14]Hoja2!$J:$N,5,FALSE),0)</f>
        <v>120000</v>
      </c>
      <c r="CB213" s="20">
        <f>+Tabla14[[#This Row],[Asignación mes n+2]]*Tabla14[[#This Row],[% Uti. producción]]</f>
        <v>57294.087159130293</v>
      </c>
      <c r="CC213" s="20">
        <f>+Tabla14[[#This Row],[Saldo mes n+2]]+Tabla14[[#This Row],[Ponderación mes n+2]]</f>
        <v>120000</v>
      </c>
      <c r="CD213" s="20">
        <f>+Tabla14[[#This Row],[Asignación mes n+2]]-Tabla14[[#This Row],[Ponderación mes n+2]]</f>
        <v>62705.912840869707</v>
      </c>
    </row>
    <row r="214" spans="1:82" ht="16" x14ac:dyDescent="0.2">
      <c r="A214">
        <v>1</v>
      </c>
      <c r="B214" t="str">
        <f>Tabla14[[#This Row],[Oficina]]&amp;Tabla14[[#This Row],[Material]]</f>
        <v>Agro Sudamerica1011042</v>
      </c>
      <c r="C214" t="s">
        <v>227</v>
      </c>
      <c r="D214" t="s">
        <v>17</v>
      </c>
      <c r="E214">
        <v>1011042</v>
      </c>
      <c r="F214" t="s">
        <v>242</v>
      </c>
      <c r="G214" t="s">
        <v>240</v>
      </c>
      <c r="H214" t="s">
        <v>241</v>
      </c>
      <c r="I214" s="7">
        <f>IFERROR(IF(Tabla14[[#This Row],[Oficina]]=$I$7,VLOOKUP(Tabla14[[#This Row],[Material]],'[6]RV Producción'!$Y:$AA,3,FALSE),VLOOKUP(Tabla14[[#This Row],[Llave]],'[6]RV Producción'!$C:$G,5,FALSE)),0)</f>
        <v>0</v>
      </c>
      <c r="J214" s="7">
        <f>IFERROR(IF(Tabla14[[#This Row],[Oficina]]=$I$7,VLOOKUP(Tabla14[[#This Row],[Llave]],'[7]Shangai (Tomas)'!$A:$F,6,FALSE),VLOOKUP(Tabla14[[#This Row],[Llave]],'[6]RV plan de ventas'!$A:$E,5,FALSE)),0)</f>
        <v>2200</v>
      </c>
      <c r="K214" s="8">
        <f>IFERROR(VLOOKUP(Tabla14[[#This Row],[Sector]]&amp;Tabla14[[#This Row],[Oficina]],[8]Ponderación!$A$3:$G$22,7,FALSE),0)</f>
        <v>0.47745072632608576</v>
      </c>
      <c r="L214" s="7">
        <f>+Tabla14[[#This Row],[ RV Producción mes n+1]]*Tabla14[[#This Row],[% Uti. producción]]</f>
        <v>0</v>
      </c>
      <c r="M214" s="7">
        <f>IFERROR(VLOOKUP(Tabla14[[#This Row],[Material]],'[9]TD Stock'!$B:$C,2,FALSE),0)</f>
        <v>27930</v>
      </c>
      <c r="N214" s="7">
        <f>IFERROR(VLOOKUP(Tabla14[[#This Row],[Material]],'[10]Consolidado planificación'!$B:$C,2,FALSE),0)</f>
        <v>0</v>
      </c>
      <c r="O214" s="7">
        <f>IFERROR(VLOOKUP(Tabla14[[#This Row],[Llave]],[11]Hoja2!$D:$G,4,FALSE),0)</f>
        <v>0</v>
      </c>
      <c r="P214" s="14">
        <f>SUM(Tabla14[[#This Row],[Producción disponible]],Tabla14[[#This Row],[Stock al día]],(Tabla14[[#This Row],[Por producir mes N]]*0.9))-Tabla14[[#This Row],[Producción por despachar mes N]]</f>
        <v>27930</v>
      </c>
      <c r="Q214" s="7">
        <f>IFERROR(VLOOKUP(Tabla14[[#This Row],[Llave]],[9]DELAY!$A:$D,4,FALSE),0)</f>
        <v>24000</v>
      </c>
      <c r="R214" s="9">
        <v>23000</v>
      </c>
      <c r="S214" s="5">
        <f t="shared" si="8"/>
        <v>24000</v>
      </c>
      <c r="T214" s="76">
        <v>0</v>
      </c>
      <c r="U214" s="5">
        <f>+Tabla14[[#This Row],[Atraso a facturar]]+Tabla14[[#This Row],[Ajuste atraso]]</f>
        <v>24000</v>
      </c>
      <c r="V214" s="3">
        <f>+Tabla14[[#This Row],[Total disponible]]-Tabla14[[#This Row],[Facturación atraso]]</f>
        <v>3930</v>
      </c>
      <c r="W214" s="6">
        <f>IFERROR(IF(AND(V214&gt;R214,J214&gt;=R214),ROUNDDOWN((Tabla14[[#This Row],[Producción para venta nueva]])/R214,0)*R214,0),0)</f>
        <v>0</v>
      </c>
      <c r="X214" s="76">
        <v>0</v>
      </c>
      <c r="Y214" s="6">
        <f>IF(Tabla14[[#This Row],[Venta del mes]]&gt;0,Tabla14[[#This Row],[Venta del mes]]+Tabla14[[#This Row],[Ajuste venta nueva]],0)</f>
        <v>0</v>
      </c>
      <c r="Z214" s="6">
        <f>+Tabla14[[#This Row],[Producción para venta nueva]]-Tabla14[[#This Row],[Facturación Venta nueva]]</f>
        <v>3930</v>
      </c>
      <c r="AA214" s="6">
        <f>IF(AND(A214=1,Tabla14[[#This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4" s="6">
        <v>0</v>
      </c>
      <c r="AC214" s="6">
        <f>IF(Tabla14[[#This Row],[Disponible stock sin venta]]&gt;0,Tabla14[[#This Row],[Disponible stock sin venta]]+Tabla14[[#This Row],[Ajuste stock sin venta]],0)</f>
        <v>0</v>
      </c>
      <c r="AD214" s="3">
        <f>IFERROR(VLOOKUP(Tabla14[[#This Row],[Llave]],[12]Hoja1!$A:$D,4,FALSE),0)</f>
        <v>0</v>
      </c>
      <c r="AE21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214" s="3">
        <v>24000</v>
      </c>
      <c r="AG214" s="3">
        <f>+Tabla14[[#This Row],[En puerto a facturar]]</f>
        <v>0</v>
      </c>
      <c r="AH214" s="3">
        <f>+Tabla14[[#This Row],[Facturación atraso]]</f>
        <v>24000</v>
      </c>
      <c r="AI214" s="3">
        <f>+Tabla14[[#This Row],[Plan Irrestricto (DATO)]]-Tabla14[[#This Row],[Puerto ]]-Tabla14[[#This Row],[Atraso]]</f>
        <v>0</v>
      </c>
      <c r="AJ214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214" s="3">
        <f>+Tabla14[[#This Row],[Facturación atraso]]</f>
        <v>24000</v>
      </c>
      <c r="AL214" s="3">
        <f>Tabla14[[#This Row],[Plan Ajustado]]-Tabla14[[#This Row],[ Atraso ajustado]]-Tabla14[[#This Row],[En puerto a facturar]]</f>
        <v>0</v>
      </c>
      <c r="AM214" s="3">
        <v>0</v>
      </c>
      <c r="AN214" s="3" t="s">
        <v>636</v>
      </c>
      <c r="AO214" s="3" t="str">
        <f>IF(Tabla14[[#This Row],[Plan Ajustado]]&gt;Tabla14[[#This Row],[En puerto a facturar]],"Si","No")</f>
        <v>Si</v>
      </c>
      <c r="AP214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214" s="3">
        <f>IF(Tabla14[[#This Row],[Necesidad]]&gt;=Tabla14[[#This Row],[Stock al día]],Tabla14[[#This Row],[Stock al día]],Tabla14[[#This Row],[Necesidad]])</f>
        <v>24000</v>
      </c>
      <c r="AR214" s="3">
        <f>+Tabla14[[#This Row],[Necesidad]]-Tabla14[[#This Row],[Stock Plan]]</f>
        <v>0</v>
      </c>
      <c r="AS214" s="155">
        <f>VLOOKUP(Tabla14[[#This Row],[Sector]]&amp;Tabla14[[#This Row],[Oficina]],[8]Ponderación!$A:$H,8,FALSE)</f>
        <v>44817</v>
      </c>
      <c r="AT214" s="30">
        <f>IFERROR(VLOOKUP(Tabla14[[#This Row],[Llave]],'[6]RV plan de ventas'!$A:$F,6,FALSE),0)</f>
        <v>0</v>
      </c>
      <c r="AU214" s="83">
        <f>IFERROR(VLOOKUP(Tabla14[[#This Row],[Llave]],[9]DELAY!$H:$X,17,FALSE),0)</f>
        <v>0.56429956325573005</v>
      </c>
      <c r="AV21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0.56429956325573005</v>
      </c>
      <c r="AW214" s="5">
        <f>Tabla14[[#This Row],[Pecio plan]]*Tabla14[[#This Row],[Plan Ajustado]]</f>
        <v>14400</v>
      </c>
      <c r="AX214" s="30">
        <f>IFERROR(VLOOKUP(Tabla14[[#This Row],[Llave]],'[13]Ultimos precios facturados'!$A:$G,7,FALSE),0)</f>
        <v>0.50865314388899452</v>
      </c>
      <c r="AY21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0.10939953883167089</v>
      </c>
      <c r="AZ214" s="30">
        <f>IFERROR(VLOOKUP(Tabla14[[#This Row],[Llave]],Hoja2!B:K,10,FALSE),0)</f>
        <v>0.65</v>
      </c>
      <c r="BA21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0.56429956325573005</v>
      </c>
      <c r="BB214" s="30">
        <v>0.6</v>
      </c>
      <c r="BC214" s="30">
        <f>IF(Tabla14[[#This Row],[Market]]=0,Tabla14[[#This Row],[Precio Final]],Tabla14[[#This Row],[Market]])</f>
        <v>0.6</v>
      </c>
      <c r="BD214" s="82"/>
      <c r="BE214" s="82" t="str">
        <f>IF(AND(Tabla14[[#This Row],[Atraso a facturar]]&gt;0,Tabla14[[#This Row],[En puerto a facturar]]&gt;0,Tabla14[[#This Row],[Precio Atraso]]=0),"Revisar","OK")</f>
        <v>OK</v>
      </c>
      <c r="BF214" s="82" t="str">
        <f>IF(AND(Tabla14[[#This Row],[Venta del mes]]&gt;0,Tabla14[[#This Row],[Precio venta nueva]]=0),"Revisar","OK")</f>
        <v>OK</v>
      </c>
      <c r="BG214" s="20">
        <f>IFERROR(VLOOKUP(Tabla14[[#This Row],[Llave]],'[5]Consolidación planes'!$A:$M,9,FALSE),0)</f>
        <v>24000</v>
      </c>
      <c r="BH214" s="20">
        <f>IFERROR(VLOOKUP(Tabla14[[#This Row],[Llave]],'[5]Consolidación planes'!$A:$M,10,FALSE),0)</f>
        <v>0</v>
      </c>
      <c r="BI214" s="20">
        <f>IFERROR(VLOOKUP(Tabla14[[#This Row],[Llave]],'[5]Consolidación planes'!$A:$M,11,FALSE),0)</f>
        <v>23960</v>
      </c>
      <c r="BJ214" s="20">
        <f>IFERROR(VLOOKUP(Tabla14[[#This Row],[Llave]],'[5]Consolidación planes'!$A:$M,12,FALSE),0)</f>
        <v>0</v>
      </c>
      <c r="BK214" s="20">
        <f>IFERROR(VLOOKUP(Tabla14[[#This Row],[Llave]],'[5]Consolidación planes'!$A:$M,13,FALSE),0)</f>
        <v>72000</v>
      </c>
      <c r="BL214" s="20">
        <f>IFERROR(VLOOKUP(Tabla14[[#This Row],[Llave]],'[13]Base ultimos planes'!$A:$M,13,FALSE),0)</f>
        <v>36000</v>
      </c>
      <c r="BM214" s="20">
        <f>IFERROR(VLOOKUP(Tabla14[[#This Row],[Llave]],'[13]Cruce plan irrestricto'!$C:$M,10,FALSE),0)</f>
        <v>36000</v>
      </c>
      <c r="BN214" s="20">
        <f>IFERROR(VLOOKUP(Tabla14[[#This Row],[Llave]],'[13]Cruce plan irrestricto'!$C:$M,11,FALSE),0)</f>
        <v>55410</v>
      </c>
      <c r="BO214" s="80">
        <f>IFERROR(VLOOKUP(Tabla14[[#This Row],[Llave]],'[13]Base ultimos planes'!$O:$AA,8,FALSE),0)</f>
        <v>10800</v>
      </c>
      <c r="BP214" s="20">
        <f>IFERROR(VLOOKUP(Tabla14[[#This Row],[Llave]],'[13]Base ultimos planes'!$O:$AA,9,FALSE),0)</f>
        <v>0</v>
      </c>
      <c r="BQ214" s="20">
        <f>IFERROR(VLOOKUP(Tabla14[[#This Row],[Llave]],'[13]Base ultimos planes'!$O:$AA,10,FALSE),0)</f>
        <v>9584</v>
      </c>
      <c r="BR214" s="20">
        <f>IFERROR(VLOOKUP(Tabla14[[#This Row],[Llave]],'[13]Base ultimos planes'!$O:$AA,11,FALSE),0)</f>
        <v>0</v>
      </c>
      <c r="BS214" s="20">
        <f>IFERROR(VLOOKUP(Tabla14[[#This Row],[Llave]],'[13]Base ultimos planes'!$O:$AA,12,FALSE),0)</f>
        <v>36177</v>
      </c>
      <c r="BT214" s="20">
        <f>IFERROR(VLOOKUP(Tabla14[[#This Row],[Llave]],'[13]Base ultimos planes'!$O:$AA,13,FALSE),0)</f>
        <v>20036</v>
      </c>
      <c r="BU214" s="20"/>
      <c r="BV214" s="20">
        <f>Tabla14[[#This Row],[ RV Producción mes n+1]]-Tabla14[[#This Row],[Producción disponible]]+Tabla14[[#This Row],[Saldo Volumen disponible]]</f>
        <v>3930</v>
      </c>
      <c r="BW214" s="20">
        <f>IFERROR(VLOOKUP(Tabla14[[#This Row],[Llave]],[14]Hoja2!$J:$N,4,FALSE),0)</f>
        <v>0</v>
      </c>
      <c r="BX214" s="20">
        <f>+Tabla14[[#This Row],[Asignación mes n+1]]*Tabla14[[#This Row],[% Uti. producción]]</f>
        <v>0</v>
      </c>
      <c r="BY214" s="20">
        <f>+Tabla14[[#This Row],[Ponderación mes n+1]]+Tabla14[[#This Row],[Saldo mes n-1]]</f>
        <v>3930</v>
      </c>
      <c r="BZ214" s="20">
        <f>+Tabla14[[#This Row],[Asignación mes n+1]]-Tabla14[[#This Row],[Ponderación mes n+1]]</f>
        <v>0</v>
      </c>
      <c r="CA214" s="20">
        <f>IFERROR(VLOOKUP(Tabla14[[#This Row],[Llave]],[14]Hoja2!$J:$N,5,FALSE),0)</f>
        <v>72000</v>
      </c>
      <c r="CB214" s="20">
        <f>+Tabla14[[#This Row],[Asignación mes n+2]]*Tabla14[[#This Row],[% Uti. producción]]</f>
        <v>34376.452295478171</v>
      </c>
      <c r="CC214" s="20">
        <f>+Tabla14[[#This Row],[Saldo mes n+2]]+Tabla14[[#This Row],[Ponderación mes n+2]]</f>
        <v>34376.452295478171</v>
      </c>
      <c r="CD214" s="20">
        <f>+Tabla14[[#This Row],[Asignación mes n+2]]-Tabla14[[#This Row],[Ponderación mes n+2]]</f>
        <v>37623.547704521829</v>
      </c>
    </row>
    <row r="215" spans="1:82" ht="16" x14ac:dyDescent="0.2">
      <c r="A215">
        <v>1</v>
      </c>
      <c r="B215" t="str">
        <f>Tabla14[[#This Row],[Oficina]]&amp;Tabla14[[#This Row],[Material]]</f>
        <v>Agro Sudamerica1011047</v>
      </c>
      <c r="C215" t="s">
        <v>227</v>
      </c>
      <c r="D215" t="s">
        <v>17</v>
      </c>
      <c r="E215">
        <v>1011047</v>
      </c>
      <c r="F215" t="s">
        <v>249</v>
      </c>
      <c r="G215" t="s">
        <v>247</v>
      </c>
      <c r="H215" t="s">
        <v>248</v>
      </c>
      <c r="I215" s="7">
        <f>IFERROR(IF(Tabla14[[#This Row],[Oficina]]=$I$7,VLOOKUP(Tabla14[[#This Row],[Material]],'[6]RV Producción'!$Y:$AA,3,FALSE),VLOOKUP(Tabla14[[#This Row],[Llave]],'[6]RV Producción'!$C:$G,5,FALSE)),0)</f>
        <v>0</v>
      </c>
      <c r="J215" s="7">
        <f>IFERROR(IF(Tabla14[[#This Row],[Oficina]]=$I$7,VLOOKUP(Tabla14[[#This Row],[Llave]],'[7]Shangai (Tomas)'!$A:$F,6,FALSE),VLOOKUP(Tabla14[[#This Row],[Llave]],'[6]RV plan de ventas'!$A:$E,5,FALSE)),0)</f>
        <v>0</v>
      </c>
      <c r="K215" s="8">
        <f>IFERROR(VLOOKUP(Tabla14[[#This Row],[Sector]]&amp;Tabla14[[#This Row],[Oficina]],[8]Ponderación!$A$3:$G$22,7,FALSE),0)</f>
        <v>0.47745072632608576</v>
      </c>
      <c r="L215" s="7">
        <f>+Tabla14[[#This Row],[ RV Producción mes n+1]]*Tabla14[[#This Row],[% Uti. producción]]</f>
        <v>0</v>
      </c>
      <c r="M215" s="7">
        <f>IFERROR(VLOOKUP(Tabla14[[#This Row],[Material]],'[9]TD Stock'!$B:$C,2,FALSE),0)</f>
        <v>0</v>
      </c>
      <c r="N215" s="7">
        <f>IFERROR(VLOOKUP(Tabla14[[#This Row],[Material]],'[10]Consolidado planificación'!$B:$C,2,FALSE),0)</f>
        <v>0</v>
      </c>
      <c r="O215" s="7">
        <f>IFERROR(VLOOKUP(Tabla14[[#This Row],[Llave]],[11]Hoja2!$D:$G,4,FALSE),0)</f>
        <v>0</v>
      </c>
      <c r="P215" s="14">
        <f>SUM(Tabla14[[#This Row],[Producción disponible]],Tabla14[[#This Row],[Stock al día]],(Tabla14[[#This Row],[Por producir mes N]]*0.9))-Tabla14[[#This Row],[Producción por despachar mes N]]</f>
        <v>0</v>
      </c>
      <c r="Q215" s="7">
        <f>IFERROR(VLOOKUP(Tabla14[[#This Row],[Llave]],[9]DELAY!$A:$D,4,FALSE),0)</f>
        <v>0</v>
      </c>
      <c r="R215" s="9">
        <v>23000</v>
      </c>
      <c r="S215" s="5">
        <f t="shared" si="8"/>
        <v>0</v>
      </c>
      <c r="T215" s="76">
        <v>0</v>
      </c>
      <c r="U215" s="5">
        <f>+Tabla14[[#This Row],[Atraso a facturar]]+Tabla14[[#This Row],[Ajuste atraso]]</f>
        <v>0</v>
      </c>
      <c r="V215" s="3">
        <f>+Tabla14[[#This Row],[Total disponible]]-Tabla14[[#This Row],[Facturación atraso]]</f>
        <v>0</v>
      </c>
      <c r="W215" s="6">
        <f>IFERROR(IF(AND(V215&gt;R215,J215&gt;=R215),ROUNDDOWN((Tabla14[[#This Row],[Producción para venta nueva]])/R215,0)*R215,0),0)</f>
        <v>0</v>
      </c>
      <c r="X215" s="76">
        <v>0</v>
      </c>
      <c r="Y215" s="6">
        <f>IF(Tabla14[[#This Row],[Venta del mes]]&gt;0,Tabla14[[#This Row],[Venta del mes]]+Tabla14[[#This Row],[Ajuste venta nueva]],0)</f>
        <v>0</v>
      </c>
      <c r="Z215" s="6">
        <f>+Tabla14[[#This Row],[Producción para venta nueva]]-Tabla14[[#This Row],[Facturación Venta nueva]]</f>
        <v>0</v>
      </c>
      <c r="AA215" s="6">
        <f>IF(AND(A215=1,Tabla14[[#This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5" s="6">
        <v>0</v>
      </c>
      <c r="AC215" s="6">
        <f>IF(Tabla14[[#This Row],[Disponible stock sin venta]]&gt;0,Tabla14[[#This Row],[Disponible stock sin venta]]+Tabla14[[#This Row],[Ajuste stock sin venta]],0)</f>
        <v>0</v>
      </c>
      <c r="AD215" s="3">
        <f>IFERROR(VLOOKUP(Tabla14[[#This Row],[Llave]],[12]Hoja1!$A:$D,4,FALSE),0)</f>
        <v>0</v>
      </c>
      <c r="AE215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15" s="3" t="b">
        <v>0</v>
      </c>
      <c r="AG215" s="3">
        <f>+Tabla14[[#This Row],[En puerto a facturar]]</f>
        <v>0</v>
      </c>
      <c r="AH215" s="3">
        <f>+Tabla14[[#This Row],[Facturación atraso]]</f>
        <v>0</v>
      </c>
      <c r="AI215" s="3">
        <f>+Tabla14[[#This Row],[Plan Irrestricto (DATO)]]-Tabla14[[#This Row],[Puerto ]]-Tabla14[[#This Row],[Atraso]]</f>
        <v>0</v>
      </c>
      <c r="AJ21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15" s="3">
        <f>+Tabla14[[#This Row],[Facturación atraso]]</f>
        <v>0</v>
      </c>
      <c r="AL215" s="3">
        <f>Tabla14[[#This Row],[Plan Ajustado]]-Tabla14[[#This Row],[ Atraso ajustado]]-Tabla14[[#This Row],[En puerto a facturar]]</f>
        <v>0</v>
      </c>
      <c r="AM215" s="3">
        <v>0</v>
      </c>
      <c r="AN215" s="3" t="e">
        <v>#REF!</v>
      </c>
      <c r="AO215" s="3" t="str">
        <f>IF(Tabla14[[#This Row],[Plan Ajustado]]&gt;Tabla14[[#This Row],[En puerto a facturar]],"Si","No")</f>
        <v>No</v>
      </c>
      <c r="AP21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15" s="3">
        <f>IF(Tabla14[[#This Row],[Necesidad]]&gt;=Tabla14[[#This Row],[Stock al día]],Tabla14[[#This Row],[Stock al día]],Tabla14[[#This Row],[Necesidad]])</f>
        <v>0</v>
      </c>
      <c r="AR215" s="3">
        <f>+Tabla14[[#This Row],[Necesidad]]-Tabla14[[#This Row],[Stock Plan]]</f>
        <v>0</v>
      </c>
      <c r="AS215" s="155">
        <f>VLOOKUP(Tabla14[[#This Row],[Sector]]&amp;Tabla14[[#This Row],[Oficina]],[8]Ponderación!$A:$H,8,FALSE)</f>
        <v>44817</v>
      </c>
      <c r="AT215" s="30">
        <f>IFERROR(VLOOKUP(Tabla14[[#This Row],[Llave]],'[6]RV plan de ventas'!$A:$F,6,FALSE),0)</f>
        <v>0</v>
      </c>
      <c r="AU215" s="83">
        <f>IFERROR(VLOOKUP(Tabla14[[#This Row],[Llave]],[9]DELAY!$H:$X,17,FALSE),0)</f>
        <v>0</v>
      </c>
      <c r="AV21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15" s="5">
        <f>Tabla14[[#This Row],[Pecio plan]]*Tabla14[[#This Row],[Plan Ajustado]]</f>
        <v>0</v>
      </c>
      <c r="AX215" s="30">
        <f>IFERROR(VLOOKUP(Tabla14[[#This Row],[Llave]],'[13]Ultimos precios facturados'!$A:$G,7,FALSE),0)</f>
        <v>0</v>
      </c>
      <c r="AY21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15" s="30">
        <f>IFERROR(VLOOKUP(Tabla14[[#This Row],[Llave]],Hoja2!B:K,10,FALSE),0)</f>
        <v>0</v>
      </c>
      <c r="BA21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15" s="30">
        <v>0</v>
      </c>
      <c r="BC215" s="30">
        <f>IF(Tabla14[[#This Row],[Market]]=0,Tabla14[[#This Row],[Precio Final]],Tabla14[[#This Row],[Market]])</f>
        <v>0</v>
      </c>
      <c r="BD215" s="82"/>
      <c r="BE215" s="82" t="str">
        <f>IF(AND(Tabla14[[#This Row],[Atraso a facturar]]&gt;0,Tabla14[[#This Row],[En puerto a facturar]]&gt;0,Tabla14[[#This Row],[Precio Atraso]]=0),"Revisar","OK")</f>
        <v>OK</v>
      </c>
      <c r="BF215" s="82" t="str">
        <f>IF(AND(Tabla14[[#This Row],[Venta del mes]]&gt;0,Tabla14[[#This Row],[Precio venta nueva]]=0),"Revisar","OK")</f>
        <v>OK</v>
      </c>
      <c r="BG215" s="20">
        <f>IFERROR(VLOOKUP(Tabla14[[#This Row],[Llave]],'[5]Consolidación planes'!$A:$M,9,FALSE),0)</f>
        <v>0</v>
      </c>
      <c r="BH215" s="20">
        <f>IFERROR(VLOOKUP(Tabla14[[#This Row],[Llave]],'[5]Consolidación planes'!$A:$M,10,FALSE),0)</f>
        <v>0</v>
      </c>
      <c r="BI215" s="20">
        <f>IFERROR(VLOOKUP(Tabla14[[#This Row],[Llave]],'[5]Consolidación planes'!$A:$M,11,FALSE),0)</f>
        <v>0</v>
      </c>
      <c r="BJ215" s="20">
        <f>IFERROR(VLOOKUP(Tabla14[[#This Row],[Llave]],'[5]Consolidación planes'!$A:$M,12,FALSE),0)</f>
        <v>0</v>
      </c>
      <c r="BK215" s="20">
        <f>IFERROR(VLOOKUP(Tabla14[[#This Row],[Llave]],'[5]Consolidación planes'!$A:$M,13,FALSE),0)</f>
        <v>0</v>
      </c>
      <c r="BL215" s="20">
        <f>IFERROR(VLOOKUP(Tabla14[[#This Row],[Llave]],'[13]Base ultimos planes'!$A:$M,13,FALSE),0)</f>
        <v>0</v>
      </c>
      <c r="BM215" s="20">
        <f>IFERROR(VLOOKUP(Tabla14[[#This Row],[Llave]],'[13]Cruce plan irrestricto'!$C:$M,10,FALSE),0)</f>
        <v>0</v>
      </c>
      <c r="BN215" s="20">
        <f>IFERROR(VLOOKUP(Tabla14[[#This Row],[Llave]],'[13]Cruce plan irrestricto'!$C:$M,11,FALSE),0)</f>
        <v>0</v>
      </c>
      <c r="BO215" s="80">
        <f>IFERROR(VLOOKUP(Tabla14[[#This Row],[Llave]],'[13]Base ultimos planes'!$O:$AA,8,FALSE),0)</f>
        <v>0</v>
      </c>
      <c r="BP215" s="20">
        <f>IFERROR(VLOOKUP(Tabla14[[#This Row],[Llave]],'[13]Base ultimos planes'!$O:$AA,9,FALSE),0)</f>
        <v>0</v>
      </c>
      <c r="BQ215" s="20">
        <f>IFERROR(VLOOKUP(Tabla14[[#This Row],[Llave]],'[13]Base ultimos planes'!$O:$AA,10,FALSE),0)</f>
        <v>0</v>
      </c>
      <c r="BR215" s="20">
        <f>IFERROR(VLOOKUP(Tabla14[[#This Row],[Llave]],'[13]Base ultimos planes'!$O:$AA,11,FALSE),0)</f>
        <v>0</v>
      </c>
      <c r="BS215" s="20">
        <f>IFERROR(VLOOKUP(Tabla14[[#This Row],[Llave]],'[13]Base ultimos planes'!$O:$AA,12,FALSE),0)</f>
        <v>0</v>
      </c>
      <c r="BT215" s="20">
        <f>IFERROR(VLOOKUP(Tabla14[[#This Row],[Llave]],'[13]Base ultimos planes'!$O:$AA,13,FALSE),0)</f>
        <v>0</v>
      </c>
      <c r="BU215" s="20"/>
      <c r="BV215" s="20">
        <f>Tabla14[[#This Row],[ RV Producción mes n+1]]-Tabla14[[#This Row],[Producción disponible]]+Tabla14[[#This Row],[Saldo Volumen disponible]]</f>
        <v>0</v>
      </c>
      <c r="BW215" s="20">
        <f>IFERROR(VLOOKUP(Tabla14[[#This Row],[Llave]],[14]Hoja2!$J:$N,4,FALSE),0)</f>
        <v>0</v>
      </c>
      <c r="BX215" s="20">
        <f>+Tabla14[[#This Row],[Asignación mes n+1]]*Tabla14[[#This Row],[% Uti. producción]]</f>
        <v>0</v>
      </c>
      <c r="BY215" s="20">
        <f>+Tabla14[[#This Row],[Ponderación mes n+1]]+Tabla14[[#This Row],[Saldo mes n-1]]</f>
        <v>0</v>
      </c>
      <c r="BZ215" s="20">
        <f>+Tabla14[[#This Row],[Asignación mes n+1]]-Tabla14[[#This Row],[Ponderación mes n+1]]</f>
        <v>0</v>
      </c>
      <c r="CA215" s="20">
        <f>IFERROR(VLOOKUP(Tabla14[[#This Row],[Llave]],[14]Hoja2!$J:$N,5,FALSE),0)</f>
        <v>0</v>
      </c>
      <c r="CB215" s="20">
        <f>+Tabla14[[#This Row],[Asignación mes n+2]]*Tabla14[[#This Row],[% Uti. producción]]</f>
        <v>0</v>
      </c>
      <c r="CC215" s="20">
        <f>+Tabla14[[#This Row],[Saldo mes n+2]]+Tabla14[[#This Row],[Ponderación mes n+2]]</f>
        <v>0</v>
      </c>
      <c r="CD215" s="20">
        <f>+Tabla14[[#This Row],[Asignación mes n+2]]-Tabla14[[#This Row],[Ponderación mes n+2]]</f>
        <v>0</v>
      </c>
    </row>
    <row r="216" spans="1:82" ht="16" x14ac:dyDescent="0.2">
      <c r="A216">
        <v>1</v>
      </c>
      <c r="B216" t="str">
        <f>Tabla14[[#This Row],[Oficina]]&amp;Tabla14[[#This Row],[Material]]</f>
        <v>Agro Sudamerica1011250</v>
      </c>
      <c r="C216" t="s">
        <v>227</v>
      </c>
      <c r="D216" t="s">
        <v>17</v>
      </c>
      <c r="E216">
        <v>1011250</v>
      </c>
      <c r="F216" t="s">
        <v>321</v>
      </c>
      <c r="G216" t="s">
        <v>247</v>
      </c>
      <c r="H216" t="s">
        <v>248</v>
      </c>
      <c r="I216" s="7">
        <f>IFERROR(IF(Tabla14[[#This Row],[Oficina]]=$I$7,VLOOKUP(Tabla14[[#This Row],[Material]],'[6]RV Producción'!$Y:$AA,3,FALSE),VLOOKUP(Tabla14[[#This Row],[Llave]],'[6]RV Producción'!$C:$G,5,FALSE)),0)</f>
        <v>0</v>
      </c>
      <c r="J216" s="7">
        <f>IFERROR(IF(Tabla14[[#This Row],[Oficina]]=$I$7,VLOOKUP(Tabla14[[#This Row],[Llave]],'[7]Shangai (Tomas)'!$A:$F,6,FALSE),VLOOKUP(Tabla14[[#This Row],[Llave]],'[6]RV plan de ventas'!$A:$E,5,FALSE)),0)</f>
        <v>0</v>
      </c>
      <c r="K216" s="8">
        <f>IFERROR(VLOOKUP(Tabla14[[#This Row],[Sector]]&amp;Tabla14[[#This Row],[Oficina]],[8]Ponderación!$A$3:$G$22,7,FALSE),0)</f>
        <v>0.47745072632608576</v>
      </c>
      <c r="L216" s="7">
        <f>+Tabla14[[#This Row],[ RV Producción mes n+1]]*Tabla14[[#This Row],[% Uti. producción]]</f>
        <v>0</v>
      </c>
      <c r="M216" s="7">
        <f>IFERROR(VLOOKUP(Tabla14[[#This Row],[Material]],'[9]TD Stock'!$B:$C,2,FALSE),0)</f>
        <v>1650.74</v>
      </c>
      <c r="N216" s="7">
        <f>IFERROR(VLOOKUP(Tabla14[[#This Row],[Material]],'[10]Consolidado planificación'!$B:$C,2,FALSE),0)</f>
        <v>0</v>
      </c>
      <c r="O216" s="7">
        <f>IFERROR(VLOOKUP(Tabla14[[#This Row],[Llave]],[11]Hoja2!$D:$G,4,FALSE),0)</f>
        <v>0</v>
      </c>
      <c r="P216" s="14">
        <f>SUM(Tabla14[[#This Row],[Producción disponible]],Tabla14[[#This Row],[Stock al día]],(Tabla14[[#This Row],[Por producir mes N]]*0.9))-Tabla14[[#This Row],[Producción por despachar mes N]]</f>
        <v>1650.74</v>
      </c>
      <c r="Q216" s="7">
        <f>IFERROR(VLOOKUP(Tabla14[[#This Row],[Llave]],[9]DELAY!$A:$D,4,FALSE),0)</f>
        <v>0</v>
      </c>
      <c r="R216" s="9">
        <v>23000</v>
      </c>
      <c r="S216" s="5">
        <f t="shared" si="8"/>
        <v>0</v>
      </c>
      <c r="T216" s="76">
        <v>0</v>
      </c>
      <c r="U216" s="5">
        <f>+Tabla14[[#This Row],[Atraso a facturar]]+Tabla14[[#This Row],[Ajuste atraso]]</f>
        <v>0</v>
      </c>
      <c r="V216" s="3">
        <f>+Tabla14[[#This Row],[Total disponible]]-Tabla14[[#This Row],[Facturación atraso]]</f>
        <v>1650.74</v>
      </c>
      <c r="W216" s="6">
        <f>IFERROR(IF(AND(V216&gt;R216,J216&gt;=R216),ROUNDDOWN((Tabla14[[#This Row],[Producción para venta nueva]])/R216,0)*R216,0),0)</f>
        <v>0</v>
      </c>
      <c r="X216" s="76">
        <v>0</v>
      </c>
      <c r="Y216" s="6">
        <f>IF(Tabla14[[#This Row],[Venta del mes]]&gt;0,Tabla14[[#This Row],[Venta del mes]]+Tabla14[[#This Row],[Ajuste venta nueva]],0)</f>
        <v>0</v>
      </c>
      <c r="Z216" s="6">
        <f>+Tabla14[[#This Row],[Producción para venta nueva]]-Tabla14[[#This Row],[Facturación Venta nueva]]</f>
        <v>1650.74</v>
      </c>
      <c r="AA216" s="6">
        <f>IF(AND(A216=1,Tabla14[[#This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6" s="6">
        <v>0</v>
      </c>
      <c r="AC216" s="6">
        <f>IF(Tabla14[[#This Row],[Disponible stock sin venta]]&gt;0,Tabla14[[#This Row],[Disponible stock sin venta]]+Tabla14[[#This Row],[Ajuste stock sin venta]],0)</f>
        <v>0</v>
      </c>
      <c r="AD216" s="3">
        <f>IFERROR(VLOOKUP(Tabla14[[#This Row],[Llave]],[12]Hoja1!$A:$D,4,FALSE),0)</f>
        <v>0</v>
      </c>
      <c r="AE21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16" s="3">
        <v>0</v>
      </c>
      <c r="AG216" s="3">
        <f>+Tabla14[[#This Row],[En puerto a facturar]]</f>
        <v>0</v>
      </c>
      <c r="AH216" s="3">
        <f>+Tabla14[[#This Row],[Facturación atraso]]</f>
        <v>0</v>
      </c>
      <c r="AI216" s="3">
        <f>+Tabla14[[#This Row],[Plan Irrestricto (DATO)]]-Tabla14[[#This Row],[Puerto ]]-Tabla14[[#This Row],[Atraso]]</f>
        <v>0</v>
      </c>
      <c r="AJ21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16" s="3">
        <f>+Tabla14[[#This Row],[Facturación atraso]]</f>
        <v>0</v>
      </c>
      <c r="AL216" s="3">
        <f>Tabla14[[#This Row],[Plan Ajustado]]-Tabla14[[#This Row],[ Atraso ajustado]]-Tabla14[[#This Row],[En puerto a facturar]]</f>
        <v>0</v>
      </c>
      <c r="AM216" s="3">
        <v>0</v>
      </c>
      <c r="AN216" s="3" t="e">
        <v>#REF!</v>
      </c>
      <c r="AO216" s="3" t="str">
        <f>IF(Tabla14[[#This Row],[Plan Ajustado]]&gt;Tabla14[[#This Row],[En puerto a facturar]],"Si","No")</f>
        <v>No</v>
      </c>
      <c r="AP21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16" s="3">
        <f>IF(Tabla14[[#This Row],[Necesidad]]&gt;=Tabla14[[#This Row],[Stock al día]],Tabla14[[#This Row],[Stock al día]],Tabla14[[#This Row],[Necesidad]])</f>
        <v>0</v>
      </c>
      <c r="AR216" s="3">
        <f>+Tabla14[[#This Row],[Necesidad]]-Tabla14[[#This Row],[Stock Plan]]</f>
        <v>0</v>
      </c>
      <c r="AS216" s="155">
        <f>VLOOKUP(Tabla14[[#This Row],[Sector]]&amp;Tabla14[[#This Row],[Oficina]],[8]Ponderación!$A:$H,8,FALSE)</f>
        <v>44817</v>
      </c>
      <c r="AT216" s="30">
        <f>IFERROR(VLOOKUP(Tabla14[[#This Row],[Llave]],'[6]RV plan de ventas'!$A:$F,6,FALSE),0)</f>
        <v>0</v>
      </c>
      <c r="AU216" s="83">
        <f>IFERROR(VLOOKUP(Tabla14[[#This Row],[Llave]],[9]DELAY!$H:$X,17,FALSE),0)</f>
        <v>0</v>
      </c>
      <c r="AV21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16" s="5">
        <f>Tabla14[[#This Row],[Pecio plan]]*Tabla14[[#This Row],[Plan Ajustado]]</f>
        <v>0</v>
      </c>
      <c r="AX216" s="30">
        <f>IFERROR(VLOOKUP(Tabla14[[#This Row],[Llave]],'[13]Ultimos precios facturados'!$A:$G,7,FALSE),0)</f>
        <v>3.3855725381418802</v>
      </c>
      <c r="AY21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16" s="30">
        <f>IFERROR(VLOOKUP(Tabla14[[#This Row],[Llave]],Hoja2!B:K,10,FALSE),0)</f>
        <v>0</v>
      </c>
      <c r="BA21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16" s="30">
        <v>0</v>
      </c>
      <c r="BC216" s="30">
        <f>IF(Tabla14[[#This Row],[Market]]=0,Tabla14[[#This Row],[Precio Final]],Tabla14[[#This Row],[Market]])</f>
        <v>0</v>
      </c>
      <c r="BD216" s="82"/>
      <c r="BE216" s="82" t="str">
        <f>IF(AND(Tabla14[[#This Row],[Atraso a facturar]]&gt;0,Tabla14[[#This Row],[En puerto a facturar]]&gt;0,Tabla14[[#This Row],[Precio Atraso]]=0),"Revisar","OK")</f>
        <v>OK</v>
      </c>
      <c r="BF216" s="82" t="str">
        <f>IF(AND(Tabla14[[#This Row],[Venta del mes]]&gt;0,Tabla14[[#This Row],[Precio venta nueva]]=0),"Revisar","OK")</f>
        <v>OK</v>
      </c>
      <c r="BG216" s="20">
        <f>IFERROR(VLOOKUP(Tabla14[[#This Row],[Llave]],'[5]Consolidación planes'!$A:$M,9,FALSE),0)</f>
        <v>0</v>
      </c>
      <c r="BH216" s="20">
        <f>IFERROR(VLOOKUP(Tabla14[[#This Row],[Llave]],'[5]Consolidación planes'!$A:$M,10,FALSE),0)</f>
        <v>0</v>
      </c>
      <c r="BI216" s="20">
        <f>IFERROR(VLOOKUP(Tabla14[[#This Row],[Llave]],'[5]Consolidación planes'!$A:$M,11,FALSE),0)</f>
        <v>0</v>
      </c>
      <c r="BJ216" s="20">
        <f>IFERROR(VLOOKUP(Tabla14[[#This Row],[Llave]],'[5]Consolidación planes'!$A:$M,12,FALSE),0)</f>
        <v>0</v>
      </c>
      <c r="BK216" s="20">
        <f>IFERROR(VLOOKUP(Tabla14[[#This Row],[Llave]],'[5]Consolidación planes'!$A:$M,13,FALSE),0)</f>
        <v>0</v>
      </c>
      <c r="BL216" s="20">
        <f>IFERROR(VLOOKUP(Tabla14[[#This Row],[Llave]],'[13]Base ultimos planes'!$A:$M,13,FALSE),0)</f>
        <v>0</v>
      </c>
      <c r="BM216" s="20">
        <f>IFERROR(VLOOKUP(Tabla14[[#This Row],[Llave]],'[13]Cruce plan irrestricto'!$C:$M,10,FALSE),0)</f>
        <v>0</v>
      </c>
      <c r="BN216" s="20">
        <f>IFERROR(VLOOKUP(Tabla14[[#This Row],[Llave]],'[13]Cruce plan irrestricto'!$C:$M,11,FALSE),0)</f>
        <v>0</v>
      </c>
      <c r="BO216" s="80">
        <f>IFERROR(VLOOKUP(Tabla14[[#This Row],[Llave]],'[13]Base ultimos planes'!$O:$AA,8,FALSE),0)</f>
        <v>0</v>
      </c>
      <c r="BP216" s="20">
        <f>IFERROR(VLOOKUP(Tabla14[[#This Row],[Llave]],'[13]Base ultimos planes'!$O:$AA,9,FALSE),0)</f>
        <v>0</v>
      </c>
      <c r="BQ216" s="20">
        <f>IFERROR(VLOOKUP(Tabla14[[#This Row],[Llave]],'[13]Base ultimos planes'!$O:$AA,10,FALSE),0)</f>
        <v>0</v>
      </c>
      <c r="BR216" s="20">
        <f>IFERROR(VLOOKUP(Tabla14[[#This Row],[Llave]],'[13]Base ultimos planes'!$O:$AA,11,FALSE),0)</f>
        <v>0</v>
      </c>
      <c r="BS216" s="20">
        <f>IFERROR(VLOOKUP(Tabla14[[#This Row],[Llave]],'[13]Base ultimos planes'!$O:$AA,12,FALSE),0)</f>
        <v>0</v>
      </c>
      <c r="BT216" s="20">
        <f>IFERROR(VLOOKUP(Tabla14[[#This Row],[Llave]],'[13]Base ultimos planes'!$O:$AA,13,FALSE),0)</f>
        <v>0</v>
      </c>
      <c r="BU216" s="20"/>
      <c r="BV216" s="20">
        <f>Tabla14[[#This Row],[ RV Producción mes n+1]]-Tabla14[[#This Row],[Producción disponible]]+Tabla14[[#This Row],[Saldo Volumen disponible]]</f>
        <v>1650.74</v>
      </c>
      <c r="BW216" s="20">
        <f>IFERROR(VLOOKUP(Tabla14[[#This Row],[Llave]],[14]Hoja2!$J:$N,4,FALSE),0)</f>
        <v>0</v>
      </c>
      <c r="BX216" s="20">
        <f>+Tabla14[[#This Row],[Asignación mes n+1]]*Tabla14[[#This Row],[% Uti. producción]]</f>
        <v>0</v>
      </c>
      <c r="BY216" s="20">
        <f>+Tabla14[[#This Row],[Ponderación mes n+1]]+Tabla14[[#This Row],[Saldo mes n-1]]</f>
        <v>1650.74</v>
      </c>
      <c r="BZ216" s="20">
        <f>+Tabla14[[#This Row],[Asignación mes n+1]]-Tabla14[[#This Row],[Ponderación mes n+1]]</f>
        <v>0</v>
      </c>
      <c r="CA216" s="20">
        <f>IFERROR(VLOOKUP(Tabla14[[#This Row],[Llave]],[14]Hoja2!$J:$N,5,FALSE),0)</f>
        <v>0</v>
      </c>
      <c r="CB216" s="20">
        <f>+Tabla14[[#This Row],[Asignación mes n+2]]*Tabla14[[#This Row],[% Uti. producción]]</f>
        <v>0</v>
      </c>
      <c r="CC216" s="20">
        <f>+Tabla14[[#This Row],[Saldo mes n+2]]+Tabla14[[#This Row],[Ponderación mes n+2]]</f>
        <v>0</v>
      </c>
      <c r="CD216" s="20">
        <f>+Tabla14[[#This Row],[Asignación mes n+2]]-Tabla14[[#This Row],[Ponderación mes n+2]]</f>
        <v>0</v>
      </c>
    </row>
    <row r="217" spans="1:82" ht="16" x14ac:dyDescent="0.2">
      <c r="A217">
        <v>1</v>
      </c>
      <c r="B217" t="str">
        <f>Tabla14[[#This Row],[Oficina]]&amp;Tabla14[[#This Row],[Material]]</f>
        <v>Agro Sudamerica1011290</v>
      </c>
      <c r="C217" t="s">
        <v>227</v>
      </c>
      <c r="D217" t="s">
        <v>17</v>
      </c>
      <c r="E217">
        <v>1011290</v>
      </c>
      <c r="F217" t="s">
        <v>258</v>
      </c>
      <c r="G217" t="s">
        <v>76</v>
      </c>
      <c r="H217" t="s">
        <v>257</v>
      </c>
      <c r="I217" s="7">
        <f>IFERROR(IF(Tabla14[[#This Row],[Oficina]]=$I$7,VLOOKUP(Tabla14[[#This Row],[Material]],'[6]RV Producción'!$Y:$AA,3,FALSE),VLOOKUP(Tabla14[[#This Row],[Llave]],'[6]RV Producción'!$C:$G,5,FALSE)),0)</f>
        <v>0</v>
      </c>
      <c r="J217" s="7">
        <f>IFERROR(IF(Tabla14[[#This Row],[Oficina]]=$I$7,VLOOKUP(Tabla14[[#This Row],[Llave]],'[7]Shangai (Tomas)'!$A:$F,6,FALSE),VLOOKUP(Tabla14[[#This Row],[Llave]],'[6]RV plan de ventas'!$A:$E,5,FALSE)),0)</f>
        <v>0</v>
      </c>
      <c r="K217" s="8">
        <f>IFERROR(VLOOKUP(Tabla14[[#This Row],[Sector]]&amp;Tabla14[[#This Row],[Oficina]],[8]Ponderación!$A$3:$G$22,7,FALSE),0)</f>
        <v>0.47745072632608576</v>
      </c>
      <c r="L217" s="7">
        <f>+Tabla14[[#This Row],[ RV Producción mes n+1]]*Tabla14[[#This Row],[% Uti. producción]]</f>
        <v>0</v>
      </c>
      <c r="M217" s="7">
        <f>IFERROR(VLOOKUP(Tabla14[[#This Row],[Material]],'[9]TD Stock'!$B:$C,2,FALSE),0)</f>
        <v>21530.669000000002</v>
      </c>
      <c r="N217" s="7">
        <f>IFERROR(VLOOKUP(Tabla14[[#This Row],[Material]],'[10]Consolidado planificación'!$B:$C,2,FALSE),0)</f>
        <v>2470</v>
      </c>
      <c r="O217" s="7">
        <f>IFERROR(VLOOKUP(Tabla14[[#This Row],[Llave]],[11]Hoja2!$D:$G,4,FALSE),0)</f>
        <v>0</v>
      </c>
      <c r="P217" s="14">
        <f>SUM(Tabla14[[#This Row],[Producción disponible]],Tabla14[[#This Row],[Stock al día]],(Tabla14[[#This Row],[Por producir mes N]]*0.9))-Tabla14[[#This Row],[Producción por despachar mes N]]</f>
        <v>23753.669000000002</v>
      </c>
      <c r="Q217" s="7">
        <f>IFERROR(VLOOKUP(Tabla14[[#This Row],[Llave]],[9]DELAY!$A:$D,4,FALSE),0)</f>
        <v>24000</v>
      </c>
      <c r="R217" s="9">
        <v>23000</v>
      </c>
      <c r="S217" s="5">
        <f t="shared" si="8"/>
        <v>23000</v>
      </c>
      <c r="T217" s="76">
        <v>0</v>
      </c>
      <c r="U217" s="5">
        <f>+Tabla14[[#This Row],[Atraso a facturar]]+Tabla14[[#This Row],[Ajuste atraso]]</f>
        <v>23000</v>
      </c>
      <c r="V217" s="3">
        <f>+Tabla14[[#This Row],[Total disponible]]-Tabla14[[#This Row],[Facturación atraso]]</f>
        <v>753.66900000000169</v>
      </c>
      <c r="W217" s="6">
        <f>IFERROR(IF(AND(V217&gt;R217,J217&gt;=R217),ROUNDDOWN((Tabla14[[#This Row],[Producción para venta nueva]])/R217,0)*R217,0),0)</f>
        <v>0</v>
      </c>
      <c r="X217" s="76">
        <v>0</v>
      </c>
      <c r="Y217" s="6">
        <f>IF(Tabla14[[#This Row],[Venta del mes]]&gt;0,Tabla14[[#This Row],[Venta del mes]]+Tabla14[[#This Row],[Ajuste venta nueva]],0)</f>
        <v>0</v>
      </c>
      <c r="Z217" s="6">
        <f>+Tabla14[[#This Row],[Producción para venta nueva]]-Tabla14[[#This Row],[Facturación Venta nueva]]</f>
        <v>753.66900000000169</v>
      </c>
      <c r="AA217" s="6">
        <f>IF(AND(A217=1,Tabla14[[#This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7" s="6">
        <v>0</v>
      </c>
      <c r="AC217" s="6">
        <f>IF(Tabla14[[#This Row],[Disponible stock sin venta]]&gt;0,Tabla14[[#This Row],[Disponible stock sin venta]]+Tabla14[[#This Row],[Ajuste stock sin venta]],0)</f>
        <v>0</v>
      </c>
      <c r="AD217" s="3">
        <f>IFERROR(VLOOKUP(Tabla14[[#This Row],[Llave]],[12]Hoja1!$A:$D,4,FALSE),0)</f>
        <v>0</v>
      </c>
      <c r="AE21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217" s="3">
        <v>23000</v>
      </c>
      <c r="AG217" s="3">
        <f>+Tabla14[[#This Row],[En puerto a facturar]]</f>
        <v>0</v>
      </c>
      <c r="AH217" s="3">
        <f>+Tabla14[[#This Row],[Facturación atraso]]</f>
        <v>23000</v>
      </c>
      <c r="AI217" s="3">
        <f>+Tabla14[[#This Row],[Plan Irrestricto (DATO)]]-Tabla14[[#This Row],[Puerto ]]-Tabla14[[#This Row],[Atraso]]</f>
        <v>0</v>
      </c>
      <c r="AJ217" s="6">
        <f>IF(Tabla14[[#This Row],[Plan Irrestricto (DATO)]]&gt;0,SUM(Tabla14[[#This Row],[Facturación atraso]],Tabla14[[#This Row],[Facturación Venta nueva]],Tabla14[[#This Row],[Facturación stock]],Tabla14[[#This Row],[En puerto a facturar]]),0)</f>
        <v>23000</v>
      </c>
      <c r="AK217" s="3">
        <f>+Tabla14[[#This Row],[Facturación atraso]]</f>
        <v>23000</v>
      </c>
      <c r="AL217" s="3">
        <f>Tabla14[[#This Row],[Plan Ajustado]]-Tabla14[[#This Row],[ Atraso ajustado]]-Tabla14[[#This Row],[En puerto a facturar]]</f>
        <v>0</v>
      </c>
      <c r="AM217" s="3">
        <v>0</v>
      </c>
      <c r="AN217" s="3" t="s">
        <v>636</v>
      </c>
      <c r="AO217" s="3" t="str">
        <f>IF(Tabla14[[#This Row],[Plan Ajustado]]&gt;Tabla14[[#This Row],[En puerto a facturar]],"Si","No")</f>
        <v>Si</v>
      </c>
      <c r="AP217" s="3">
        <f>IF(AND(Tabla14[[#This Row],[Plan Ajustado]]&gt;0,Tabla14[[#This Row],[Plan Ajustado]]&gt;Tabla14[[#This Row],[En puerto a facturar]]),(Tabla14[[#This Row],[Plan Ajustado]]-Tabla14[[#This Row],[En puerto a facturar]]),0)</f>
        <v>23000</v>
      </c>
      <c r="AQ217" s="3">
        <f>IF(Tabla14[[#This Row],[Necesidad]]&gt;=Tabla14[[#This Row],[Stock al día]],Tabla14[[#This Row],[Stock al día]],Tabla14[[#This Row],[Necesidad]])</f>
        <v>21530.669000000002</v>
      </c>
      <c r="AR217" s="3">
        <f>+Tabla14[[#This Row],[Necesidad]]-Tabla14[[#This Row],[Stock Plan]]</f>
        <v>1469.3309999999983</v>
      </c>
      <c r="AS217" s="155">
        <f>VLOOKUP(Tabla14[[#This Row],[Sector]]&amp;Tabla14[[#This Row],[Oficina]],[8]Ponderación!$A:$H,8,FALSE)</f>
        <v>44817</v>
      </c>
      <c r="AT217" s="30">
        <f>IFERROR(VLOOKUP(Tabla14[[#This Row],[Llave]],'[6]RV plan de ventas'!$A:$F,6,FALSE),0)</f>
        <v>0</v>
      </c>
      <c r="AU217" s="83">
        <f>IFERROR(VLOOKUP(Tabla14[[#This Row],[Llave]],[9]DELAY!$H:$X,17,FALSE),0)</f>
        <v>0.43354166666666699</v>
      </c>
      <c r="AV21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0.43354166666666699</v>
      </c>
      <c r="AW217" s="5">
        <f>Tabla14[[#This Row],[Pecio plan]]*Tabla14[[#This Row],[Plan Ajustado]]</f>
        <v>13339.999999999998</v>
      </c>
      <c r="AX217" s="30">
        <f>IFERROR(VLOOKUP(Tabla14[[#This Row],[Llave]],'[13]Ultimos precios facturados'!$A:$G,7,FALSE),0)</f>
        <v>0.33913127577993563</v>
      </c>
      <c r="AY21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0.2783889237865364</v>
      </c>
      <c r="AZ217" s="30">
        <f>IFERROR(VLOOKUP(Tabla14[[#This Row],[Llave]],Hoja2!B:K,10,FALSE),0)</f>
        <v>0</v>
      </c>
      <c r="BA21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0.43354166666666699</v>
      </c>
      <c r="BB217" s="30">
        <v>0.57999999999999996</v>
      </c>
      <c r="BC217" s="30">
        <f>IF(Tabla14[[#This Row],[Market]]=0,Tabla14[[#This Row],[Precio Final]],Tabla14[[#This Row],[Market]])</f>
        <v>0.57999999999999996</v>
      </c>
      <c r="BD217" s="82"/>
      <c r="BE217" s="82" t="str">
        <f>IF(AND(Tabla14[[#This Row],[Atraso a facturar]]&gt;0,Tabla14[[#This Row],[En puerto a facturar]]&gt;0,Tabla14[[#This Row],[Precio Atraso]]=0),"Revisar","OK")</f>
        <v>OK</v>
      </c>
      <c r="BF217" s="82" t="str">
        <f>IF(AND(Tabla14[[#This Row],[Venta del mes]]&gt;0,Tabla14[[#This Row],[Precio venta nueva]]=0),"Revisar","OK")</f>
        <v>OK</v>
      </c>
      <c r="BG217" s="20">
        <f>IFERROR(VLOOKUP(Tabla14[[#This Row],[Llave]],'[5]Consolidación planes'!$A:$M,9,FALSE),0)</f>
        <v>24000</v>
      </c>
      <c r="BH217" s="20">
        <f>IFERROR(VLOOKUP(Tabla14[[#This Row],[Llave]],'[5]Consolidación planes'!$A:$M,10,FALSE),0)</f>
        <v>23700</v>
      </c>
      <c r="BI217" s="20">
        <f>IFERROR(VLOOKUP(Tabla14[[#This Row],[Llave]],'[5]Consolidación planes'!$A:$M,11,FALSE),0)</f>
        <v>0</v>
      </c>
      <c r="BJ217" s="20">
        <f>IFERROR(VLOOKUP(Tabla14[[#This Row],[Llave]],'[5]Consolidación planes'!$A:$M,12,FALSE),0)</f>
        <v>24000</v>
      </c>
      <c r="BK217" s="20">
        <f>IFERROR(VLOOKUP(Tabla14[[#This Row],[Llave]],'[5]Consolidación planes'!$A:$M,13,FALSE),0)</f>
        <v>0</v>
      </c>
      <c r="BL217" s="20">
        <f>IFERROR(VLOOKUP(Tabla14[[#This Row],[Llave]],'[13]Base ultimos planes'!$A:$M,13,FALSE),0)</f>
        <v>8000</v>
      </c>
      <c r="BM217" s="20">
        <f>IFERROR(VLOOKUP(Tabla14[[#This Row],[Llave]],'[13]Cruce plan irrestricto'!$C:$M,10,FALSE),0)</f>
        <v>500</v>
      </c>
      <c r="BN217" s="20">
        <f>IFERROR(VLOOKUP(Tabla14[[#This Row],[Llave]],'[13]Cruce plan irrestricto'!$C:$M,11,FALSE),0)</f>
        <v>0</v>
      </c>
      <c r="BO217" s="80">
        <f>IFERROR(VLOOKUP(Tabla14[[#This Row],[Llave]],'[13]Base ultimos planes'!$O:$AA,8,FALSE),0)</f>
        <v>14800</v>
      </c>
      <c r="BP217" s="20">
        <f>IFERROR(VLOOKUP(Tabla14[[#This Row],[Llave]],'[13]Base ultimos planes'!$O:$AA,9,FALSE),0)</f>
        <v>14615</v>
      </c>
      <c r="BQ217" s="20">
        <f>IFERROR(VLOOKUP(Tabla14[[#This Row],[Llave]],'[13]Base ultimos planes'!$O:$AA,10,FALSE),0)</f>
        <v>0</v>
      </c>
      <c r="BR217" s="20">
        <f>IFERROR(VLOOKUP(Tabla14[[#This Row],[Llave]],'[13]Base ultimos planes'!$O:$AA,11,FALSE),0)</f>
        <v>12000</v>
      </c>
      <c r="BS217" s="20">
        <f>IFERROR(VLOOKUP(Tabla14[[#This Row],[Llave]],'[13]Base ultimos planes'!$O:$AA,12,FALSE),0)</f>
        <v>0</v>
      </c>
      <c r="BT217" s="20">
        <f>IFERROR(VLOOKUP(Tabla14[[#This Row],[Llave]],'[13]Base ultimos planes'!$O:$AA,13,FALSE),0)</f>
        <v>3942</v>
      </c>
      <c r="BU217" s="20"/>
      <c r="BV217" s="20">
        <f>Tabla14[[#This Row],[ RV Producción mes n+1]]-Tabla14[[#This Row],[Producción disponible]]+Tabla14[[#This Row],[Saldo Volumen disponible]]</f>
        <v>753.66900000000169</v>
      </c>
      <c r="BW217" s="20">
        <f>IFERROR(VLOOKUP(Tabla14[[#This Row],[Llave]],[14]Hoja2!$J:$N,4,FALSE),0)</f>
        <v>0</v>
      </c>
      <c r="BX217" s="20">
        <f>+Tabla14[[#This Row],[Asignación mes n+1]]*Tabla14[[#This Row],[% Uti. producción]]</f>
        <v>0</v>
      </c>
      <c r="BY217" s="20">
        <f>+Tabla14[[#This Row],[Ponderación mes n+1]]+Tabla14[[#This Row],[Saldo mes n-1]]</f>
        <v>753.66900000000169</v>
      </c>
      <c r="BZ217" s="20">
        <f>+Tabla14[[#This Row],[Asignación mes n+1]]-Tabla14[[#This Row],[Ponderación mes n+1]]</f>
        <v>0</v>
      </c>
      <c r="CA217" s="20">
        <f>IFERROR(VLOOKUP(Tabla14[[#This Row],[Llave]],[14]Hoja2!$J:$N,5,FALSE),0)</f>
        <v>0</v>
      </c>
      <c r="CB217" s="20">
        <f>+Tabla14[[#This Row],[Asignación mes n+2]]*Tabla14[[#This Row],[% Uti. producción]]</f>
        <v>0</v>
      </c>
      <c r="CC217" s="20">
        <f>+Tabla14[[#This Row],[Saldo mes n+2]]+Tabla14[[#This Row],[Ponderación mes n+2]]</f>
        <v>0</v>
      </c>
      <c r="CD217" s="20">
        <f>+Tabla14[[#This Row],[Asignación mes n+2]]-Tabla14[[#This Row],[Ponderación mes n+2]]</f>
        <v>0</v>
      </c>
    </row>
    <row r="218" spans="1:82" ht="16" x14ac:dyDescent="0.2">
      <c r="A218">
        <v>1</v>
      </c>
      <c r="B218" t="str">
        <f>Tabla14[[#This Row],[Oficina]]&amp;Tabla14[[#This Row],[Material]]</f>
        <v>Agro Sudamerica1011421</v>
      </c>
      <c r="C218" t="s">
        <v>227</v>
      </c>
      <c r="D218" t="s">
        <v>17</v>
      </c>
      <c r="E218">
        <v>1011421</v>
      </c>
      <c r="F218" t="s">
        <v>238</v>
      </c>
      <c r="G218" t="s">
        <v>233</v>
      </c>
      <c r="H218" t="s">
        <v>237</v>
      </c>
      <c r="I218" s="7">
        <f>IFERROR(IF(Tabla14[[#This Row],[Oficina]]=$I$7,VLOOKUP(Tabla14[[#This Row],[Material]],'[6]RV Producción'!$Y:$AA,3,FALSE),VLOOKUP(Tabla14[[#This Row],[Llave]],'[6]RV Producción'!$C:$G,5,FALSE)),0)</f>
        <v>604441</v>
      </c>
      <c r="J218" s="7">
        <f>IFERROR(IF(Tabla14[[#This Row],[Oficina]]=$I$7,VLOOKUP(Tabla14[[#This Row],[Llave]],'[7]Shangai (Tomas)'!$A:$F,6,FALSE),VLOOKUP(Tabla14[[#This Row],[Llave]],'[6]RV plan de ventas'!$A:$E,5,FALSE)),0)</f>
        <v>538009</v>
      </c>
      <c r="K218" s="8">
        <f>IFERROR(VLOOKUP(Tabla14[[#This Row],[Sector]]&amp;Tabla14[[#This Row],[Oficina]],[8]Ponderación!$A$3:$G$22,7,FALSE),0)</f>
        <v>0.47745072632608576</v>
      </c>
      <c r="L218" s="7">
        <f>+Tabla14[[#This Row],[ RV Producción mes n+1]]*Tabla14[[#This Row],[% Uti. producción]]</f>
        <v>288590.79447126563</v>
      </c>
      <c r="M218" s="7">
        <f>IFERROR(VLOOKUP(Tabla14[[#This Row],[Material]],'[9]TD Stock'!$B:$C,2,FALSE),0)</f>
        <v>221448.97900000005</v>
      </c>
      <c r="N218" s="7">
        <f>IFERROR(VLOOKUP(Tabla14[[#This Row],[Material]],'[10]Consolidado planificación'!$B:$C,2,FALSE),0)</f>
        <v>25000</v>
      </c>
      <c r="O218" s="7">
        <f>IFERROR(VLOOKUP(Tabla14[[#This Row],[Llave]],[11]Hoja2!$D:$G,4,FALSE),0)</f>
        <v>0</v>
      </c>
      <c r="P218" s="14">
        <f>SUM(Tabla14[[#This Row],[Producción disponible]],Tabla14[[#This Row],[Stock al día]],(Tabla14[[#This Row],[Por producir mes N]]*0.9))-Tabla14[[#This Row],[Producción por despachar mes N]]</f>
        <v>532539.77347126568</v>
      </c>
      <c r="Q218" s="7">
        <f>IFERROR(VLOOKUP(Tabla14[[#This Row],[Llave]],[9]DELAY!$A:$D,4,FALSE),0)</f>
        <v>312000</v>
      </c>
      <c r="R218" s="9">
        <v>23000</v>
      </c>
      <c r="S218" s="5">
        <f t="shared" si="8"/>
        <v>312000</v>
      </c>
      <c r="T218" s="76">
        <v>0</v>
      </c>
      <c r="U218" s="5">
        <f>+Tabla14[[#This Row],[Atraso a facturar]]+Tabla14[[#This Row],[Ajuste atraso]]</f>
        <v>312000</v>
      </c>
      <c r="V218" s="3">
        <f>+Tabla14[[#This Row],[Total disponible]]-Tabla14[[#This Row],[Facturación atraso]]</f>
        <v>220539.77347126568</v>
      </c>
      <c r="W218" s="6">
        <f>IFERROR(IF(AND(V218&gt;R218,J218&gt;=R218),ROUNDDOWN((Tabla14[[#This Row],[Producción para venta nueva]])/R218,0)*R218,0),0)</f>
        <v>207000</v>
      </c>
      <c r="X218" s="76">
        <v>-72000</v>
      </c>
      <c r="Y218" s="6">
        <f>IF(Tabla14[[#This Row],[Venta del mes]]&gt;0,Tabla14[[#This Row],[Venta del mes]]+Tabla14[[#This Row],[Ajuste venta nueva]],0)</f>
        <v>135000</v>
      </c>
      <c r="Z218" s="6">
        <f>+Tabla14[[#This Row],[Producción para venta nueva]]-Tabla14[[#This Row],[Facturación Venta nueva]]</f>
        <v>85539.773471265682</v>
      </c>
      <c r="AA218" s="6">
        <f>IF(AND(A218=1,Tabla14[[#This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8" s="6">
        <v>0</v>
      </c>
      <c r="AC218" s="6">
        <f>IF(Tabla14[[#This Row],[Disponible stock sin venta]]&gt;0,Tabla14[[#This Row],[Disponible stock sin venta]]+Tabla14[[#This Row],[Ajuste stock sin venta]],0)</f>
        <v>0</v>
      </c>
      <c r="AD218" s="3">
        <f>IFERROR(VLOOKUP(Tabla14[[#This Row],[Llave]],[12]Hoja1!$A:$D,4,FALSE),0)</f>
        <v>311848.69999999995</v>
      </c>
      <c r="AE21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830848.7</v>
      </c>
      <c r="AF218" s="3">
        <v>830848.7</v>
      </c>
      <c r="AG218" s="3">
        <f>+Tabla14[[#This Row],[En puerto a facturar]]</f>
        <v>311848.69999999995</v>
      </c>
      <c r="AH218" s="3">
        <f>+Tabla14[[#This Row],[Facturación atraso]]</f>
        <v>312000</v>
      </c>
      <c r="AI218" s="3">
        <f>+Tabla14[[#This Row],[Plan Irrestricto (DATO)]]-Tabla14[[#This Row],[Puerto ]]-Tabla14[[#This Row],[Atraso]]</f>
        <v>207000</v>
      </c>
      <c r="AJ218" s="6">
        <f>IF(Tabla14[[#This Row],[Plan Irrestricto (DATO)]]&gt;0,SUM(Tabla14[[#This Row],[Facturación atraso]],Tabla14[[#This Row],[Facturación Venta nueva]],Tabla14[[#This Row],[Facturación stock]],Tabla14[[#This Row],[En puerto a facturar]]),0)</f>
        <v>758848.7</v>
      </c>
      <c r="AK218" s="3">
        <f>+Tabla14[[#This Row],[Facturación atraso]]</f>
        <v>312000</v>
      </c>
      <c r="AL218" s="3">
        <f>Tabla14[[#This Row],[Plan Ajustado]]-Tabla14[[#This Row],[ Atraso ajustado]]-Tabla14[[#This Row],[En puerto a facturar]]</f>
        <v>135000</v>
      </c>
      <c r="AM218" s="3" t="s">
        <v>889</v>
      </c>
      <c r="AN218" s="3" t="s">
        <v>895</v>
      </c>
      <c r="AO218" s="3" t="str">
        <f>IF(Tabla14[[#This Row],[Plan Ajustado]]&gt;Tabla14[[#This Row],[En puerto a facturar]],"Si","No")</f>
        <v>Si</v>
      </c>
      <c r="AP218" s="3">
        <f>IF(AND(Tabla14[[#This Row],[Plan Ajustado]]&gt;0,Tabla14[[#This Row],[Plan Ajustado]]&gt;Tabla14[[#This Row],[En puerto a facturar]]),(Tabla14[[#This Row],[Plan Ajustado]]-Tabla14[[#This Row],[En puerto a facturar]]),0)</f>
        <v>447000</v>
      </c>
      <c r="AQ218" s="3">
        <f>IF(Tabla14[[#This Row],[Necesidad]]&gt;=Tabla14[[#This Row],[Stock al día]],Tabla14[[#This Row],[Stock al día]],Tabla14[[#This Row],[Necesidad]])</f>
        <v>221448.97900000005</v>
      </c>
      <c r="AR218" s="3">
        <f>+Tabla14[[#This Row],[Necesidad]]-Tabla14[[#This Row],[Stock Plan]]</f>
        <v>225551.02099999995</v>
      </c>
      <c r="AS218" s="155">
        <f>VLOOKUP(Tabla14[[#This Row],[Sector]]&amp;Tabla14[[#This Row],[Oficina]],[8]Ponderación!$A:$H,8,FALSE)</f>
        <v>44817</v>
      </c>
      <c r="AT218" s="30">
        <f>IFERROR(VLOOKUP(Tabla14[[#This Row],[Llave]],'[6]RV plan de ventas'!$A:$F,6,FALSE),0)</f>
        <v>0.83667187723625402</v>
      </c>
      <c r="AU218" s="83">
        <f>IFERROR(VLOOKUP(Tabla14[[#This Row],[Llave]],[9]DELAY!$H:$X,17,FALSE),0)</f>
        <v>1.0457222703472746</v>
      </c>
      <c r="AV21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1.0085319805438027</v>
      </c>
      <c r="AW218" s="5">
        <f>Tabla14[[#This Row],[Pecio plan]]*Tabla14[[#This Row],[Plan Ajustado]]</f>
        <v>686891.50742689427</v>
      </c>
      <c r="AX218" s="30">
        <f>IFERROR(VLOOKUP(Tabla14[[#This Row],[Llave]],'[13]Ultimos precios facturados'!$A:$G,7,FALSE),0)</f>
        <v>0.88706680368727775</v>
      </c>
      <c r="AY21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0.13692900732124078</v>
      </c>
      <c r="AZ218" s="30">
        <f>IFERROR(VLOOKUP(Tabla14[[#This Row],[Llave]],Hoja2!B:K,10,FALSE),0)</f>
        <v>0.90929387303380838</v>
      </c>
      <c r="BA21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1.0085319805438027</v>
      </c>
      <c r="BB218" s="30">
        <v>0.90517583732685358</v>
      </c>
      <c r="BC218" s="30">
        <f>IF(Tabla14[[#This Row],[Market]]=0,Tabla14[[#This Row],[Precio Final]],Tabla14[[#This Row],[Market]])</f>
        <v>0.90517583732685358</v>
      </c>
      <c r="BD218" s="82"/>
      <c r="BE218" s="82" t="str">
        <f>IF(AND(Tabla14[[#This Row],[Atraso a facturar]]&gt;0,Tabla14[[#This Row],[En puerto a facturar]]&gt;0,Tabla14[[#This Row],[Precio Atraso]]=0),"Revisar","OK")</f>
        <v>OK</v>
      </c>
      <c r="BF218" s="82" t="str">
        <f>IF(AND(Tabla14[[#This Row],[Venta del mes]]&gt;0,Tabla14[[#This Row],[Precio venta nueva]]=0),"Revisar","OK")</f>
        <v>OK</v>
      </c>
      <c r="BG218" s="20">
        <f>IFERROR(VLOOKUP(Tabla14[[#This Row],[Llave]],'[5]Consolidación planes'!$A:$M,9,FALSE),0)</f>
        <v>620000</v>
      </c>
      <c r="BH218" s="20">
        <f>IFERROR(VLOOKUP(Tabla14[[#This Row],[Llave]],'[5]Consolidación planes'!$A:$M,10,FALSE),0)</f>
        <v>696000</v>
      </c>
      <c r="BI218" s="20">
        <f>IFERROR(VLOOKUP(Tabla14[[#This Row],[Llave]],'[5]Consolidación planes'!$A:$M,11,FALSE),0)</f>
        <v>840000</v>
      </c>
      <c r="BJ218" s="20">
        <f>IFERROR(VLOOKUP(Tabla14[[#This Row],[Llave]],'[5]Consolidación planes'!$A:$M,12,FALSE),0)</f>
        <v>720000</v>
      </c>
      <c r="BK218" s="20">
        <f>IFERROR(VLOOKUP(Tabla14[[#This Row],[Llave]],'[5]Consolidación planes'!$A:$M,13,FALSE),0)</f>
        <v>888000</v>
      </c>
      <c r="BL218" s="20">
        <f>IFERROR(VLOOKUP(Tabla14[[#This Row],[Llave]],'[13]Base ultimos planes'!$A:$M,13,FALSE),0)</f>
        <v>647996</v>
      </c>
      <c r="BM218" s="20">
        <f>IFERROR(VLOOKUP(Tabla14[[#This Row],[Llave]],'[13]Cruce plan irrestricto'!$C:$M,10,FALSE),0)</f>
        <v>582000</v>
      </c>
      <c r="BN218" s="20">
        <f>IFERROR(VLOOKUP(Tabla14[[#This Row],[Llave]],'[13]Cruce plan irrestricto'!$C:$M,11,FALSE),0)</f>
        <v>1052000</v>
      </c>
      <c r="BO218" s="80">
        <f>IFERROR(VLOOKUP(Tabla14[[#This Row],[Llave]],'[13]Base ultimos planes'!$O:$AA,8,FALSE),0)</f>
        <v>527000</v>
      </c>
      <c r="BP218" s="20">
        <f>IFERROR(VLOOKUP(Tabla14[[#This Row],[Llave]],'[13]Base ultimos planes'!$O:$AA,9,FALSE),0)</f>
        <v>487200</v>
      </c>
      <c r="BQ218" s="20">
        <f>IFERROR(VLOOKUP(Tabla14[[#This Row],[Llave]],'[13]Base ultimos planes'!$O:$AA,10,FALSE),0)</f>
        <v>630000</v>
      </c>
      <c r="BR218" s="20">
        <f>IFERROR(VLOOKUP(Tabla14[[#This Row],[Llave]],'[13]Base ultimos planes'!$O:$AA,11,FALSE),0)</f>
        <v>562800</v>
      </c>
      <c r="BS218" s="20">
        <f>IFERROR(VLOOKUP(Tabla14[[#This Row],[Llave]],'[13]Base ultimos planes'!$O:$AA,12,FALSE),0)</f>
        <v>700080</v>
      </c>
      <c r="BT218" s="20">
        <f>IFERROR(VLOOKUP(Tabla14[[#This Row],[Llave]],'[13]Base ultimos planes'!$O:$AA,13,FALSE),0)</f>
        <v>639293</v>
      </c>
      <c r="BU218" s="20"/>
      <c r="BV218" s="20">
        <f>Tabla14[[#This Row],[ RV Producción mes n+1]]-Tabla14[[#This Row],[Producción disponible]]+Tabla14[[#This Row],[Saldo Volumen disponible]]</f>
        <v>401389.97900000005</v>
      </c>
      <c r="BW218" s="20">
        <f>IFERROR(VLOOKUP(Tabla14[[#This Row],[Llave]],[14]Hoja2!$J:$N,4,FALSE),0)</f>
        <v>900000</v>
      </c>
      <c r="BX218" s="20">
        <f>+Tabla14[[#This Row],[Asignación mes n+1]]*Tabla14[[#This Row],[% Uti. producción]]</f>
        <v>429705.65369347716</v>
      </c>
      <c r="BY218" s="20">
        <f>+Tabla14[[#This Row],[Ponderación mes n+1]]+Tabla14[[#This Row],[Saldo mes n-1]]</f>
        <v>831095.63269347721</v>
      </c>
      <c r="BZ218" s="20">
        <f>+Tabla14[[#This Row],[Asignación mes n+1]]-Tabla14[[#This Row],[Ponderación mes n+1]]</f>
        <v>470294.34630652284</v>
      </c>
      <c r="CA218" s="20">
        <f>IFERROR(VLOOKUP(Tabla14[[#This Row],[Llave]],[14]Hoja2!$J:$N,5,FALSE),0)</f>
        <v>900000</v>
      </c>
      <c r="CB218" s="20">
        <f>+Tabla14[[#This Row],[Asignación mes n+2]]*Tabla14[[#This Row],[% Uti. producción]]</f>
        <v>429705.65369347716</v>
      </c>
      <c r="CC218" s="20">
        <f>+Tabla14[[#This Row],[Saldo mes n+2]]+Tabla14[[#This Row],[Ponderación mes n+2]]</f>
        <v>900000</v>
      </c>
      <c r="CD218" s="20">
        <f>+Tabla14[[#This Row],[Asignación mes n+2]]-Tabla14[[#This Row],[Ponderación mes n+2]]</f>
        <v>470294.34630652284</v>
      </c>
    </row>
    <row r="219" spans="1:82" ht="16" x14ac:dyDescent="0.2">
      <c r="A219">
        <v>1</v>
      </c>
      <c r="B219" t="str">
        <f>Tabla14[[#This Row],[Oficina]]&amp;Tabla14[[#This Row],[Material]]</f>
        <v>Agro Sudamerica1011422</v>
      </c>
      <c r="C219" t="s">
        <v>227</v>
      </c>
      <c r="D219" t="s">
        <v>17</v>
      </c>
      <c r="E219">
        <v>1011422</v>
      </c>
      <c r="F219" t="s">
        <v>259</v>
      </c>
      <c r="G219" t="s">
        <v>76</v>
      </c>
      <c r="H219" t="s">
        <v>257</v>
      </c>
      <c r="I219" s="7">
        <f>IFERROR(IF(Tabla14[[#This Row],[Oficina]]=$I$7,VLOOKUP(Tabla14[[#This Row],[Material]],'[6]RV Producción'!$Y:$AA,3,FALSE),VLOOKUP(Tabla14[[#This Row],[Llave]],'[6]RV Producción'!$C:$G,5,FALSE)),0)</f>
        <v>0</v>
      </c>
      <c r="J219" s="7">
        <f>IFERROR(IF(Tabla14[[#This Row],[Oficina]]=$I$7,VLOOKUP(Tabla14[[#This Row],[Llave]],'[7]Shangai (Tomas)'!$A:$F,6,FALSE),VLOOKUP(Tabla14[[#This Row],[Llave]],'[6]RV plan de ventas'!$A:$E,5,FALSE)),0)</f>
        <v>0</v>
      </c>
      <c r="K219" s="8">
        <f>IFERROR(VLOOKUP(Tabla14[[#This Row],[Sector]]&amp;Tabla14[[#This Row],[Oficina]],[8]Ponderación!$A$3:$G$22,7,FALSE),0)</f>
        <v>0.47745072632608576</v>
      </c>
      <c r="L219" s="7">
        <f>+Tabla14[[#This Row],[ RV Producción mes n+1]]*Tabla14[[#This Row],[% Uti. producción]]</f>
        <v>0</v>
      </c>
      <c r="M219" s="7">
        <f>IFERROR(VLOOKUP(Tabla14[[#This Row],[Material]],'[9]TD Stock'!$B:$C,2,FALSE),0)</f>
        <v>0</v>
      </c>
      <c r="N219" s="7">
        <f>IFERROR(VLOOKUP(Tabla14[[#This Row],[Material]],'[10]Consolidado planificación'!$B:$C,2,FALSE),0)</f>
        <v>0</v>
      </c>
      <c r="O219" s="7">
        <f>IFERROR(VLOOKUP(Tabla14[[#This Row],[Llave]],[11]Hoja2!$D:$G,4,FALSE),0)</f>
        <v>0</v>
      </c>
      <c r="P219" s="14">
        <f>SUM(Tabla14[[#This Row],[Producción disponible]],Tabla14[[#This Row],[Stock al día]],(Tabla14[[#This Row],[Por producir mes N]]*0.9))-Tabla14[[#This Row],[Producción por despachar mes N]]</f>
        <v>0</v>
      </c>
      <c r="Q219" s="7">
        <f>IFERROR(VLOOKUP(Tabla14[[#This Row],[Llave]],[9]DELAY!$A:$D,4,FALSE),0)</f>
        <v>0</v>
      </c>
      <c r="R219" s="9">
        <v>23000</v>
      </c>
      <c r="S219" s="5">
        <f t="shared" si="8"/>
        <v>0</v>
      </c>
      <c r="T219" s="76">
        <v>0</v>
      </c>
      <c r="U219" s="5">
        <f>+Tabla14[[#This Row],[Atraso a facturar]]+Tabla14[[#This Row],[Ajuste atraso]]</f>
        <v>0</v>
      </c>
      <c r="V219" s="3">
        <f>+Tabla14[[#This Row],[Total disponible]]-Tabla14[[#This Row],[Facturación atraso]]</f>
        <v>0</v>
      </c>
      <c r="W219" s="6">
        <f>IFERROR(IF(AND(V219&gt;R219,J219&gt;=R219),ROUNDDOWN((Tabla14[[#This Row],[Producción para venta nueva]])/R219,0)*R219,0),0)</f>
        <v>0</v>
      </c>
      <c r="X219" s="76">
        <v>0</v>
      </c>
      <c r="Y219" s="6">
        <f>IF(Tabla14[[#This Row],[Venta del mes]]&gt;0,Tabla14[[#This Row],[Venta del mes]]+Tabla14[[#This Row],[Ajuste venta nueva]],0)</f>
        <v>0</v>
      </c>
      <c r="Z219" s="6">
        <f>+Tabla14[[#This Row],[Producción para venta nueva]]-Tabla14[[#This Row],[Facturación Venta nueva]]</f>
        <v>0</v>
      </c>
      <c r="AA219" s="6">
        <f>IF(AND(A219=1,Tabla14[[#This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19" s="6">
        <v>0</v>
      </c>
      <c r="AC219" s="6">
        <f>IF(Tabla14[[#This Row],[Disponible stock sin venta]]&gt;0,Tabla14[[#This Row],[Disponible stock sin venta]]+Tabla14[[#This Row],[Ajuste stock sin venta]],0)</f>
        <v>0</v>
      </c>
      <c r="AD219" s="3">
        <f>IFERROR(VLOOKUP(Tabla14[[#This Row],[Llave]],[12]Hoja1!$A:$D,4,FALSE),0)</f>
        <v>0</v>
      </c>
      <c r="AE219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19" s="3" t="b">
        <v>0</v>
      </c>
      <c r="AG219" s="3">
        <f>+Tabla14[[#This Row],[En puerto a facturar]]</f>
        <v>0</v>
      </c>
      <c r="AH219" s="3">
        <f>+Tabla14[[#This Row],[Facturación atraso]]</f>
        <v>0</v>
      </c>
      <c r="AI219" s="3">
        <f>+Tabla14[[#This Row],[Plan Irrestricto (DATO)]]-Tabla14[[#This Row],[Puerto ]]-Tabla14[[#This Row],[Atraso]]</f>
        <v>0</v>
      </c>
      <c r="AJ21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19" s="3">
        <f>+Tabla14[[#This Row],[Facturación atraso]]</f>
        <v>0</v>
      </c>
      <c r="AL219" s="3">
        <f>Tabla14[[#This Row],[Plan Ajustado]]-Tabla14[[#This Row],[ Atraso ajustado]]-Tabla14[[#This Row],[En puerto a facturar]]</f>
        <v>0</v>
      </c>
      <c r="AM219" s="3">
        <v>0</v>
      </c>
      <c r="AN219" s="3" t="e">
        <v>#REF!</v>
      </c>
      <c r="AO219" s="3" t="str">
        <f>IF(Tabla14[[#This Row],[Plan Ajustado]]&gt;Tabla14[[#This Row],[En puerto a facturar]],"Si","No")</f>
        <v>No</v>
      </c>
      <c r="AP21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19" s="3">
        <f>IF(Tabla14[[#This Row],[Necesidad]]&gt;=Tabla14[[#This Row],[Stock al día]],Tabla14[[#This Row],[Stock al día]],Tabla14[[#This Row],[Necesidad]])</f>
        <v>0</v>
      </c>
      <c r="AR219" s="3">
        <f>+Tabla14[[#This Row],[Necesidad]]-Tabla14[[#This Row],[Stock Plan]]</f>
        <v>0</v>
      </c>
      <c r="AS219" s="155">
        <f>VLOOKUP(Tabla14[[#This Row],[Sector]]&amp;Tabla14[[#This Row],[Oficina]],[8]Ponderación!$A:$H,8,FALSE)</f>
        <v>44817</v>
      </c>
      <c r="AT219" s="30">
        <f>IFERROR(VLOOKUP(Tabla14[[#This Row],[Llave]],'[6]RV plan de ventas'!$A:$F,6,FALSE),0)</f>
        <v>0</v>
      </c>
      <c r="AU219" s="83">
        <f>IFERROR(VLOOKUP(Tabla14[[#This Row],[Llave]],[9]DELAY!$H:$X,17,FALSE),0)</f>
        <v>0</v>
      </c>
      <c r="AV21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19" s="5">
        <f>Tabla14[[#This Row],[Pecio plan]]*Tabla14[[#This Row],[Plan Ajustado]]</f>
        <v>0</v>
      </c>
      <c r="AX219" s="30">
        <f>IFERROR(VLOOKUP(Tabla14[[#This Row],[Llave]],'[13]Ultimos precios facturados'!$A:$G,7,FALSE),0)</f>
        <v>0.49996981893025388</v>
      </c>
      <c r="AY21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19" s="30">
        <f>IFERROR(VLOOKUP(Tabla14[[#This Row],[Llave]],Hoja2!B:K,10,FALSE),0)</f>
        <v>0</v>
      </c>
      <c r="BA21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0.49996981893025388</v>
      </c>
      <c r="BB219" s="30">
        <v>0</v>
      </c>
      <c r="BC219" s="30">
        <f>IF(Tabla14[[#This Row],[Market]]=0,Tabla14[[#This Row],[Precio Final]],Tabla14[[#This Row],[Market]])</f>
        <v>0.49996981893025388</v>
      </c>
      <c r="BD219" s="82"/>
      <c r="BE219" s="82" t="str">
        <f>IF(AND(Tabla14[[#This Row],[Atraso a facturar]]&gt;0,Tabla14[[#This Row],[En puerto a facturar]]&gt;0,Tabla14[[#This Row],[Precio Atraso]]=0),"Revisar","OK")</f>
        <v>OK</v>
      </c>
      <c r="BF219" s="82" t="str">
        <f>IF(AND(Tabla14[[#This Row],[Venta del mes]]&gt;0,Tabla14[[#This Row],[Precio venta nueva]]=0),"Revisar","OK")</f>
        <v>OK</v>
      </c>
      <c r="BG219" s="20">
        <f>IFERROR(VLOOKUP(Tabla14[[#This Row],[Llave]],'[5]Consolidación planes'!$A:$M,9,FALSE),0)</f>
        <v>0</v>
      </c>
      <c r="BH219" s="20">
        <f>IFERROR(VLOOKUP(Tabla14[[#This Row],[Llave]],'[5]Consolidación planes'!$A:$M,10,FALSE),0)</f>
        <v>0</v>
      </c>
      <c r="BI219" s="20">
        <f>IFERROR(VLOOKUP(Tabla14[[#This Row],[Llave]],'[5]Consolidación planes'!$A:$M,11,FALSE),0)</f>
        <v>24000</v>
      </c>
      <c r="BJ219" s="20">
        <f>IFERROR(VLOOKUP(Tabla14[[#This Row],[Llave]],'[5]Consolidación planes'!$A:$M,12,FALSE),0)</f>
        <v>0</v>
      </c>
      <c r="BK219" s="20">
        <f>IFERROR(VLOOKUP(Tabla14[[#This Row],[Llave]],'[5]Consolidación planes'!$A:$M,13,FALSE),0)</f>
        <v>0</v>
      </c>
      <c r="BL219" s="20">
        <f>IFERROR(VLOOKUP(Tabla14[[#This Row],[Llave]],'[13]Base ultimos planes'!$A:$M,13,FALSE),0)</f>
        <v>0</v>
      </c>
      <c r="BM219" s="20">
        <f>IFERROR(VLOOKUP(Tabla14[[#This Row],[Llave]],'[13]Cruce plan irrestricto'!$C:$M,10,FALSE),0)</f>
        <v>0</v>
      </c>
      <c r="BN219" s="20">
        <f>IFERROR(VLOOKUP(Tabla14[[#This Row],[Llave]],'[13]Cruce plan irrestricto'!$C:$M,11,FALSE),0)</f>
        <v>0</v>
      </c>
      <c r="BO219" s="80">
        <f>IFERROR(VLOOKUP(Tabla14[[#This Row],[Llave]],'[13]Base ultimos planes'!$O:$AA,8,FALSE),0)</f>
        <v>0</v>
      </c>
      <c r="BP219" s="20">
        <f>IFERROR(VLOOKUP(Tabla14[[#This Row],[Llave]],'[13]Base ultimos planes'!$O:$AA,9,FALSE),0)</f>
        <v>0</v>
      </c>
      <c r="BQ219" s="20">
        <f>IFERROR(VLOOKUP(Tabla14[[#This Row],[Llave]],'[13]Base ultimos planes'!$O:$AA,10,FALSE),0)</f>
        <v>12000</v>
      </c>
      <c r="BR219" s="20">
        <f>IFERROR(VLOOKUP(Tabla14[[#This Row],[Llave]],'[13]Base ultimos planes'!$O:$AA,11,FALSE),0)</f>
        <v>0</v>
      </c>
      <c r="BS219" s="20">
        <f>IFERROR(VLOOKUP(Tabla14[[#This Row],[Llave]],'[13]Base ultimos planes'!$O:$AA,12,FALSE),0)</f>
        <v>0</v>
      </c>
      <c r="BT219" s="20">
        <f>IFERROR(VLOOKUP(Tabla14[[#This Row],[Llave]],'[13]Base ultimos planes'!$O:$AA,13,FALSE),0)</f>
        <v>0</v>
      </c>
      <c r="BU219" s="20"/>
      <c r="BV219" s="20">
        <f>Tabla14[[#This Row],[ RV Producción mes n+1]]-Tabla14[[#This Row],[Producción disponible]]+Tabla14[[#This Row],[Saldo Volumen disponible]]</f>
        <v>0</v>
      </c>
      <c r="BW219" s="20">
        <f>IFERROR(VLOOKUP(Tabla14[[#This Row],[Llave]],[14]Hoja2!$J:$N,4,FALSE),0)</f>
        <v>0</v>
      </c>
      <c r="BX219" s="20">
        <f>+Tabla14[[#This Row],[Asignación mes n+1]]*Tabla14[[#This Row],[% Uti. producción]]</f>
        <v>0</v>
      </c>
      <c r="BY219" s="20">
        <f>+Tabla14[[#This Row],[Ponderación mes n+1]]+Tabla14[[#This Row],[Saldo mes n-1]]</f>
        <v>0</v>
      </c>
      <c r="BZ219" s="20">
        <f>+Tabla14[[#This Row],[Asignación mes n+1]]-Tabla14[[#This Row],[Ponderación mes n+1]]</f>
        <v>0</v>
      </c>
      <c r="CA219" s="20">
        <f>IFERROR(VLOOKUP(Tabla14[[#This Row],[Llave]],[14]Hoja2!$J:$N,5,FALSE),0)</f>
        <v>0</v>
      </c>
      <c r="CB219" s="20">
        <f>+Tabla14[[#This Row],[Asignación mes n+2]]*Tabla14[[#This Row],[% Uti. producción]]</f>
        <v>0</v>
      </c>
      <c r="CC219" s="20">
        <f>+Tabla14[[#This Row],[Saldo mes n+2]]+Tabla14[[#This Row],[Ponderación mes n+2]]</f>
        <v>0</v>
      </c>
      <c r="CD219" s="20">
        <f>+Tabla14[[#This Row],[Asignación mes n+2]]-Tabla14[[#This Row],[Ponderación mes n+2]]</f>
        <v>0</v>
      </c>
    </row>
    <row r="220" spans="1:82" ht="16" x14ac:dyDescent="0.2">
      <c r="A220">
        <v>1</v>
      </c>
      <c r="B220" t="str">
        <f>Tabla14[[#This Row],[Oficina]]&amp;Tabla14[[#This Row],[Material]]</f>
        <v>Agro Sudamerica1011558</v>
      </c>
      <c r="C220" t="s">
        <v>227</v>
      </c>
      <c r="D220" t="s">
        <v>17</v>
      </c>
      <c r="E220">
        <v>1011558</v>
      </c>
      <c r="F220" t="s">
        <v>239</v>
      </c>
      <c r="G220" t="s">
        <v>233</v>
      </c>
      <c r="H220" t="s">
        <v>237</v>
      </c>
      <c r="I220" s="7">
        <f>IFERROR(IF(Tabla14[[#This Row],[Oficina]]=$I$7,VLOOKUP(Tabla14[[#This Row],[Material]],'[6]RV Producción'!$Y:$AA,3,FALSE),VLOOKUP(Tabla14[[#This Row],[Llave]],'[6]RV Producción'!$C:$G,5,FALSE)),0)</f>
        <v>241117</v>
      </c>
      <c r="J220" s="7">
        <f>IFERROR(IF(Tabla14[[#This Row],[Oficina]]=$I$7,VLOOKUP(Tabla14[[#This Row],[Llave]],'[7]Shangai (Tomas)'!$A:$F,6,FALSE),VLOOKUP(Tabla14[[#This Row],[Llave]],'[6]RV plan de ventas'!$A:$E,5,FALSE)),0)</f>
        <v>241154</v>
      </c>
      <c r="K220" s="8">
        <f>IFERROR(VLOOKUP(Tabla14[[#This Row],[Sector]]&amp;Tabla14[[#This Row],[Oficina]],[8]Ponderación!$A$3:$G$22,7,FALSE),0)</f>
        <v>0.47745072632608576</v>
      </c>
      <c r="L220" s="7">
        <f>+Tabla14[[#This Row],[ RV Producción mes n+1]]*Tabla14[[#This Row],[% Uti. producción]]</f>
        <v>115121.48677956683</v>
      </c>
      <c r="M220" s="7">
        <f>IFERROR(VLOOKUP(Tabla14[[#This Row],[Material]],'[9]TD Stock'!$B:$C,2,FALSE),0)</f>
        <v>23881.508999999984</v>
      </c>
      <c r="N220" s="7">
        <f>IFERROR(VLOOKUP(Tabla14[[#This Row],[Material]],'[10]Consolidado planificación'!$B:$C,2,FALSE),0)</f>
        <v>0</v>
      </c>
      <c r="O220" s="7">
        <f>IFERROR(VLOOKUP(Tabla14[[#This Row],[Llave]],[11]Hoja2!$D:$G,4,FALSE),0)</f>
        <v>0</v>
      </c>
      <c r="P220" s="14">
        <f>SUM(Tabla14[[#This Row],[Producción disponible]],Tabla14[[#This Row],[Stock al día]],(Tabla14[[#This Row],[Por producir mes N]]*0.9))-Tabla14[[#This Row],[Producción por despachar mes N]]</f>
        <v>139002.99577956682</v>
      </c>
      <c r="Q220" s="7">
        <f>IFERROR(VLOOKUP(Tabla14[[#This Row],[Llave]],[9]DELAY!$A:$D,4,FALSE),0)</f>
        <v>72000</v>
      </c>
      <c r="R220" s="9">
        <v>23000</v>
      </c>
      <c r="S220" s="5">
        <f t="shared" si="8"/>
        <v>72000</v>
      </c>
      <c r="T220" s="76">
        <v>0</v>
      </c>
      <c r="U220" s="5">
        <f>+Tabla14[[#This Row],[Atraso a facturar]]+Tabla14[[#This Row],[Ajuste atraso]]</f>
        <v>72000</v>
      </c>
      <c r="V220" s="3">
        <f>+Tabla14[[#This Row],[Total disponible]]-Tabla14[[#This Row],[Facturación atraso]]</f>
        <v>67002.995779566816</v>
      </c>
      <c r="W220" s="6">
        <f>IFERROR(IF(AND(V220&gt;R220,J220&gt;=R220),ROUNDDOWN((Tabla14[[#This Row],[Producción para venta nueva]])/R220,0)*R220,0),0)</f>
        <v>46000</v>
      </c>
      <c r="X220" s="76">
        <v>0</v>
      </c>
      <c r="Y220" s="6">
        <f>IF(Tabla14[[#This Row],[Venta del mes]]&gt;0,Tabla14[[#This Row],[Venta del mes]]+Tabla14[[#This Row],[Ajuste venta nueva]],0)</f>
        <v>46000</v>
      </c>
      <c r="Z220" s="6">
        <f>+Tabla14[[#This Row],[Producción para venta nueva]]-Tabla14[[#This Row],[Facturación Venta nueva]]</f>
        <v>21002.995779566816</v>
      </c>
      <c r="AA220" s="6">
        <f>IF(AND(A220=1,Tabla14[[#This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0" s="6">
        <v>0</v>
      </c>
      <c r="AC220" s="6">
        <f>IF(Tabla14[[#This Row],[Disponible stock sin venta]]&gt;0,Tabla14[[#This Row],[Disponible stock sin venta]]+Tabla14[[#This Row],[Ajuste stock sin venta]],0)</f>
        <v>0</v>
      </c>
      <c r="AD220" s="3">
        <f>IFERROR(VLOOKUP(Tabla14[[#This Row],[Llave]],[12]Hoja1!$A:$D,4,FALSE),0)</f>
        <v>0</v>
      </c>
      <c r="AE22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118000</v>
      </c>
      <c r="AF220" s="3">
        <v>118000</v>
      </c>
      <c r="AG220" s="3">
        <f>+Tabla14[[#This Row],[En puerto a facturar]]</f>
        <v>0</v>
      </c>
      <c r="AH220" s="3">
        <f>+Tabla14[[#This Row],[Facturación atraso]]</f>
        <v>72000</v>
      </c>
      <c r="AI220" s="3">
        <f>+Tabla14[[#This Row],[Plan Irrestricto (DATO)]]-Tabla14[[#This Row],[Puerto ]]-Tabla14[[#This Row],[Atraso]]</f>
        <v>46000</v>
      </c>
      <c r="AJ220" s="6">
        <f>IF(Tabla14[[#This Row],[Plan Irrestricto (DATO)]]&gt;0,SUM(Tabla14[[#This Row],[Facturación atraso]],Tabla14[[#This Row],[Facturación Venta nueva]],Tabla14[[#This Row],[Facturación stock]],Tabla14[[#This Row],[En puerto a facturar]]),0)</f>
        <v>118000</v>
      </c>
      <c r="AK220" s="3">
        <f>+Tabla14[[#This Row],[Facturación atraso]]</f>
        <v>72000</v>
      </c>
      <c r="AL220" s="3">
        <f>Tabla14[[#This Row],[Plan Ajustado]]-Tabla14[[#This Row],[ Atraso ajustado]]-Tabla14[[#This Row],[En puerto a facturar]]</f>
        <v>46000</v>
      </c>
      <c r="AM220" s="3">
        <v>0</v>
      </c>
      <c r="AN220" s="3" t="s">
        <v>636</v>
      </c>
      <c r="AO220" s="3" t="str">
        <f>IF(Tabla14[[#This Row],[Plan Ajustado]]&gt;Tabla14[[#This Row],[En puerto a facturar]],"Si","No")</f>
        <v>Si</v>
      </c>
      <c r="AP220" s="3">
        <f>IF(AND(Tabla14[[#This Row],[Plan Ajustado]]&gt;0,Tabla14[[#This Row],[Plan Ajustado]]&gt;Tabla14[[#This Row],[En puerto a facturar]]),(Tabla14[[#This Row],[Plan Ajustado]]-Tabla14[[#This Row],[En puerto a facturar]]),0)</f>
        <v>118000</v>
      </c>
      <c r="AQ220" s="3">
        <f>IF(Tabla14[[#This Row],[Necesidad]]&gt;=Tabla14[[#This Row],[Stock al día]],Tabla14[[#This Row],[Stock al día]],Tabla14[[#This Row],[Necesidad]])</f>
        <v>23881.508999999984</v>
      </c>
      <c r="AR220" s="3">
        <f>+Tabla14[[#This Row],[Necesidad]]-Tabla14[[#This Row],[Stock Plan]]</f>
        <v>94118.491000000009</v>
      </c>
      <c r="AS220" s="155">
        <f>VLOOKUP(Tabla14[[#This Row],[Sector]]&amp;Tabla14[[#This Row],[Oficina]],[8]Ponderación!$A:$H,8,FALSE)</f>
        <v>44817</v>
      </c>
      <c r="AT220" s="30">
        <f>IFERROR(VLOOKUP(Tabla14[[#This Row],[Llave]],'[6]RV plan de ventas'!$A:$F,6,FALSE),0)</f>
        <v>0.88667407548703303</v>
      </c>
      <c r="AU220" s="83">
        <f>IFERROR(VLOOKUP(Tabla14[[#This Row],[Llave]],[9]DELAY!$H:$X,17,FALSE),0)</f>
        <v>1.06334375</v>
      </c>
      <c r="AV22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0.99447252095257221</v>
      </c>
      <c r="AW220" s="5">
        <f>Tabla14[[#This Row],[Pecio plan]]*Tabla14[[#This Row],[Plan Ajustado]]</f>
        <v>107747.00747240352</v>
      </c>
      <c r="AX220" s="30">
        <f>IFERROR(VLOOKUP(Tabla14[[#This Row],[Llave]],'[13]Ultimos precios facturados'!$A:$G,7,FALSE),0)</f>
        <v>0.8810934502253609</v>
      </c>
      <c r="AY22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0.12867996090336603</v>
      </c>
      <c r="AZ220" s="30">
        <f>IFERROR(VLOOKUP(Tabla14[[#This Row],[Llave]],Hoja2!B:K,10,FALSE),0)</f>
        <v>0.88710700564365697</v>
      </c>
      <c r="BA22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0.99447252095257221</v>
      </c>
      <c r="BB220" s="30">
        <v>0.91311023281697901</v>
      </c>
      <c r="BC220" s="30">
        <f>IF(Tabla14[[#This Row],[Market]]=0,Tabla14[[#This Row],[Precio Final]],Tabla14[[#This Row],[Market]])</f>
        <v>0.91311023281697901</v>
      </c>
      <c r="BD220" s="82"/>
      <c r="BE220" s="82" t="str">
        <f>IF(AND(Tabla14[[#This Row],[Atraso a facturar]]&gt;0,Tabla14[[#This Row],[En puerto a facturar]]&gt;0,Tabla14[[#This Row],[Precio Atraso]]=0),"Revisar","OK")</f>
        <v>OK</v>
      </c>
      <c r="BF220" s="82" t="str">
        <f>IF(AND(Tabla14[[#This Row],[Venta del mes]]&gt;0,Tabla14[[#This Row],[Precio venta nueva]]=0),"Revisar","OK")</f>
        <v>OK</v>
      </c>
      <c r="BG220" s="20">
        <f>IFERROR(VLOOKUP(Tabla14[[#This Row],[Llave]],'[5]Consolidación planes'!$A:$M,9,FALSE),0)</f>
        <v>192000</v>
      </c>
      <c r="BH220" s="20">
        <f>IFERROR(VLOOKUP(Tabla14[[#This Row],[Llave]],'[5]Consolidación planes'!$A:$M,10,FALSE),0)</f>
        <v>408000</v>
      </c>
      <c r="BI220" s="20">
        <f>IFERROR(VLOOKUP(Tabla14[[#This Row],[Llave]],'[5]Consolidación planes'!$A:$M,11,FALSE),0)</f>
        <v>288000</v>
      </c>
      <c r="BJ220" s="20">
        <f>IFERROR(VLOOKUP(Tabla14[[#This Row],[Llave]],'[5]Consolidación planes'!$A:$M,12,FALSE),0)</f>
        <v>264000</v>
      </c>
      <c r="BK220" s="20">
        <f>IFERROR(VLOOKUP(Tabla14[[#This Row],[Llave]],'[5]Consolidación planes'!$A:$M,13,FALSE),0)</f>
        <v>168000</v>
      </c>
      <c r="BL220" s="20">
        <f>IFERROR(VLOOKUP(Tabla14[[#This Row],[Llave]],'[13]Base ultimos planes'!$A:$M,13,FALSE),0)</f>
        <v>119997</v>
      </c>
      <c r="BM220" s="20">
        <f>IFERROR(VLOOKUP(Tabla14[[#This Row],[Llave]],'[13]Cruce plan irrestricto'!$C:$M,10,FALSE),0)</f>
        <v>154410</v>
      </c>
      <c r="BN220" s="20">
        <f>IFERROR(VLOOKUP(Tabla14[[#This Row],[Llave]],'[13]Cruce plan irrestricto'!$C:$M,11,FALSE),0)</f>
        <v>249000</v>
      </c>
      <c r="BO220" s="80">
        <f>IFERROR(VLOOKUP(Tabla14[[#This Row],[Llave]],'[13]Base ultimos planes'!$O:$AA,8,FALSE),0)</f>
        <v>172800</v>
      </c>
      <c r="BP220" s="20">
        <f>IFERROR(VLOOKUP(Tabla14[[#This Row],[Llave]],'[13]Base ultimos planes'!$O:$AA,9,FALSE),0)</f>
        <v>399280</v>
      </c>
      <c r="BQ220" s="20">
        <f>IFERROR(VLOOKUP(Tabla14[[#This Row],[Llave]],'[13]Base ultimos planes'!$O:$AA,10,FALSE),0)</f>
        <v>225819</v>
      </c>
      <c r="BR220" s="20">
        <f>IFERROR(VLOOKUP(Tabla14[[#This Row],[Llave]],'[13]Base ultimos planes'!$O:$AA,11,FALSE),0)</f>
        <v>212400</v>
      </c>
      <c r="BS220" s="20">
        <f>IFERROR(VLOOKUP(Tabla14[[#This Row],[Llave]],'[13]Base ultimos planes'!$O:$AA,12,FALSE),0)</f>
        <v>115440</v>
      </c>
      <c r="BT220" s="20">
        <f>IFERROR(VLOOKUP(Tabla14[[#This Row],[Llave]],'[13]Base ultimos planes'!$O:$AA,13,FALSE),0)</f>
        <v>138381</v>
      </c>
      <c r="BU220" s="20"/>
      <c r="BV220" s="20">
        <f>Tabla14[[#This Row],[ RV Producción mes n+1]]-Tabla14[[#This Row],[Producción disponible]]+Tabla14[[#This Row],[Saldo Volumen disponible]]</f>
        <v>146998.50899999999</v>
      </c>
      <c r="BW220" s="20">
        <f>IFERROR(VLOOKUP(Tabla14[[#This Row],[Llave]],[14]Hoja2!$J:$N,4,FALSE),0)</f>
        <v>216000</v>
      </c>
      <c r="BX220" s="20">
        <f>+Tabla14[[#This Row],[Asignación mes n+1]]*Tabla14[[#This Row],[% Uti. producción]]</f>
        <v>103129.35688643453</v>
      </c>
      <c r="BY220" s="20">
        <f>+Tabla14[[#This Row],[Ponderación mes n+1]]+Tabla14[[#This Row],[Saldo mes n-1]]</f>
        <v>250127.86588643451</v>
      </c>
      <c r="BZ220" s="20">
        <f>+Tabla14[[#This Row],[Asignación mes n+1]]-Tabla14[[#This Row],[Ponderación mes n+1]]</f>
        <v>112870.64311356547</v>
      </c>
      <c r="CA220" s="20">
        <f>IFERROR(VLOOKUP(Tabla14[[#This Row],[Llave]],[14]Hoja2!$J:$N,5,FALSE),0)</f>
        <v>216000</v>
      </c>
      <c r="CB220" s="20">
        <f>+Tabla14[[#This Row],[Asignación mes n+2]]*Tabla14[[#This Row],[% Uti. producción]]</f>
        <v>103129.35688643453</v>
      </c>
      <c r="CC220" s="20">
        <f>+Tabla14[[#This Row],[Saldo mes n+2]]+Tabla14[[#This Row],[Ponderación mes n+2]]</f>
        <v>216000</v>
      </c>
      <c r="CD220" s="20">
        <f>+Tabla14[[#This Row],[Asignación mes n+2]]-Tabla14[[#This Row],[Ponderación mes n+2]]</f>
        <v>112870.64311356547</v>
      </c>
    </row>
    <row r="221" spans="1:82" ht="16" x14ac:dyDescent="0.2">
      <c r="A221">
        <v>1</v>
      </c>
      <c r="B221" t="str">
        <f>Tabla14[[#This Row],[Oficina]]&amp;Tabla14[[#This Row],[Material]]</f>
        <v>Agro Sudamerica1011582</v>
      </c>
      <c r="C221" t="s">
        <v>227</v>
      </c>
      <c r="D221" t="s">
        <v>17</v>
      </c>
      <c r="E221">
        <v>1011582</v>
      </c>
      <c r="F221" t="s">
        <v>255</v>
      </c>
      <c r="G221" t="s">
        <v>253</v>
      </c>
      <c r="H221" t="s">
        <v>254</v>
      </c>
      <c r="I221" s="7">
        <f>IFERROR(IF(Tabla14[[#This Row],[Oficina]]=$I$7,VLOOKUP(Tabla14[[#This Row],[Material]],'[6]RV Producción'!$Y:$AA,3,FALSE),VLOOKUP(Tabla14[[#This Row],[Llave]],'[6]RV Producción'!$C:$G,5,FALSE)),0)</f>
        <v>0</v>
      </c>
      <c r="J221" s="7">
        <f>IFERROR(IF(Tabla14[[#This Row],[Oficina]]=$I$7,VLOOKUP(Tabla14[[#This Row],[Llave]],'[7]Shangai (Tomas)'!$A:$F,6,FALSE),VLOOKUP(Tabla14[[#This Row],[Llave]],'[6]RV plan de ventas'!$A:$E,5,FALSE)),0)</f>
        <v>0</v>
      </c>
      <c r="K221" s="8">
        <f>IFERROR(VLOOKUP(Tabla14[[#This Row],[Sector]]&amp;Tabla14[[#This Row],[Oficina]],[8]Ponderación!$A$3:$G$22,7,FALSE),0)</f>
        <v>0.47745072632608576</v>
      </c>
      <c r="L221" s="7">
        <f>+Tabla14[[#This Row],[ RV Producción mes n+1]]*Tabla14[[#This Row],[% Uti. producción]]</f>
        <v>0</v>
      </c>
      <c r="M221" s="7">
        <f>IFERROR(VLOOKUP(Tabla14[[#This Row],[Material]],'[9]TD Stock'!$B:$C,2,FALSE),0)</f>
        <v>0</v>
      </c>
      <c r="N221" s="7">
        <f>IFERROR(VLOOKUP(Tabla14[[#This Row],[Material]],'[10]Consolidado planificación'!$B:$C,2,FALSE),0)</f>
        <v>0</v>
      </c>
      <c r="O221" s="7">
        <f>IFERROR(VLOOKUP(Tabla14[[#This Row],[Llave]],[11]Hoja2!$D:$G,4,FALSE),0)</f>
        <v>0</v>
      </c>
      <c r="P221" s="14">
        <f>SUM(Tabla14[[#This Row],[Producción disponible]],Tabla14[[#This Row],[Stock al día]],(Tabla14[[#This Row],[Por producir mes N]]*0.9))-Tabla14[[#This Row],[Producción por despachar mes N]]</f>
        <v>0</v>
      </c>
      <c r="Q221" s="7">
        <f>IFERROR(VLOOKUP(Tabla14[[#This Row],[Llave]],[9]DELAY!$A:$D,4,FALSE),0)</f>
        <v>0</v>
      </c>
      <c r="R221" s="9">
        <v>23000</v>
      </c>
      <c r="S221" s="5">
        <f t="shared" si="8"/>
        <v>0</v>
      </c>
      <c r="T221" s="76">
        <v>0</v>
      </c>
      <c r="U221" s="5">
        <f>+Tabla14[[#This Row],[Atraso a facturar]]+Tabla14[[#This Row],[Ajuste atraso]]</f>
        <v>0</v>
      </c>
      <c r="V221" s="3">
        <f>+Tabla14[[#This Row],[Total disponible]]-Tabla14[[#This Row],[Facturación atraso]]</f>
        <v>0</v>
      </c>
      <c r="W221" s="6">
        <f>IFERROR(IF(AND(V221&gt;R221,J221&gt;=R221),ROUNDDOWN((Tabla14[[#This Row],[Producción para venta nueva]])/R221,0)*R221,0),0)</f>
        <v>0</v>
      </c>
      <c r="X221" s="76">
        <v>0</v>
      </c>
      <c r="Y221" s="6">
        <f>IF(Tabla14[[#This Row],[Venta del mes]]&gt;0,Tabla14[[#This Row],[Venta del mes]]+Tabla14[[#This Row],[Ajuste venta nueva]],0)</f>
        <v>0</v>
      </c>
      <c r="Z221" s="6">
        <f>+Tabla14[[#This Row],[Producción para venta nueva]]-Tabla14[[#This Row],[Facturación Venta nueva]]</f>
        <v>0</v>
      </c>
      <c r="AA221" s="6">
        <f>IF(AND(A221=1,Tabla14[[#This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1" s="6">
        <v>0</v>
      </c>
      <c r="AC221" s="6">
        <f>IF(Tabla14[[#This Row],[Disponible stock sin venta]]&gt;0,Tabla14[[#This Row],[Disponible stock sin venta]]+Tabla14[[#This Row],[Ajuste stock sin venta]],0)</f>
        <v>0</v>
      </c>
      <c r="AD221" s="3">
        <f>IFERROR(VLOOKUP(Tabla14[[#This Row],[Llave]],[12]Hoja1!$A:$D,4,FALSE),0)</f>
        <v>0</v>
      </c>
      <c r="AE221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21" s="3" t="b">
        <v>0</v>
      </c>
      <c r="AG221" s="3">
        <f>+Tabla14[[#This Row],[En puerto a facturar]]</f>
        <v>0</v>
      </c>
      <c r="AH221" s="3">
        <f>+Tabla14[[#This Row],[Facturación atraso]]</f>
        <v>0</v>
      </c>
      <c r="AI221" s="3">
        <f>+Tabla14[[#This Row],[Plan Irrestricto (DATO)]]-Tabla14[[#This Row],[Puerto ]]-Tabla14[[#This Row],[Atraso]]</f>
        <v>0</v>
      </c>
      <c r="AJ22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21" s="3">
        <f>+Tabla14[[#This Row],[Facturación atraso]]</f>
        <v>0</v>
      </c>
      <c r="AL221" s="3">
        <f>Tabla14[[#This Row],[Plan Ajustado]]-Tabla14[[#This Row],[ Atraso ajustado]]-Tabla14[[#This Row],[En puerto a facturar]]</f>
        <v>0</v>
      </c>
      <c r="AM221" s="3">
        <v>0</v>
      </c>
      <c r="AN221" s="3" t="e">
        <v>#REF!</v>
      </c>
      <c r="AO221" s="3" t="str">
        <f>IF(Tabla14[[#This Row],[Plan Ajustado]]&gt;Tabla14[[#This Row],[En puerto a facturar]],"Si","No")</f>
        <v>No</v>
      </c>
      <c r="AP22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21" s="3">
        <f>IF(Tabla14[[#This Row],[Necesidad]]&gt;=Tabla14[[#This Row],[Stock al día]],Tabla14[[#This Row],[Stock al día]],Tabla14[[#This Row],[Necesidad]])</f>
        <v>0</v>
      </c>
      <c r="AR221" s="3">
        <f>+Tabla14[[#This Row],[Necesidad]]-Tabla14[[#This Row],[Stock Plan]]</f>
        <v>0</v>
      </c>
      <c r="AS221" s="155">
        <f>VLOOKUP(Tabla14[[#This Row],[Sector]]&amp;Tabla14[[#This Row],[Oficina]],[8]Ponderación!$A:$H,8,FALSE)</f>
        <v>44817</v>
      </c>
      <c r="AT221" s="30">
        <f>IFERROR(VLOOKUP(Tabla14[[#This Row],[Llave]],'[6]RV plan de ventas'!$A:$F,6,FALSE),0)</f>
        <v>0</v>
      </c>
      <c r="AU221" s="83">
        <f>IFERROR(VLOOKUP(Tabla14[[#This Row],[Llave]],[9]DELAY!$H:$X,17,FALSE),0)</f>
        <v>0</v>
      </c>
      <c r="AV22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21" s="5">
        <f>Tabla14[[#This Row],[Pecio plan]]*Tabla14[[#This Row],[Plan Ajustado]]</f>
        <v>0</v>
      </c>
      <c r="AX221" s="30">
        <f>IFERROR(VLOOKUP(Tabla14[[#This Row],[Llave]],'[13]Ultimos precios facturados'!$A:$G,7,FALSE),0)</f>
        <v>0.97356360829804833</v>
      </c>
      <c r="AY22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21" s="30">
        <f>IFERROR(VLOOKUP(Tabla14[[#This Row],[Llave]],Hoja2!B:K,10,FALSE),0)</f>
        <v>0</v>
      </c>
      <c r="BA22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0.97356360829804833</v>
      </c>
      <c r="BB221" s="30">
        <v>0</v>
      </c>
      <c r="BC221" s="30">
        <f>IF(Tabla14[[#This Row],[Market]]=0,Tabla14[[#This Row],[Precio Final]],Tabla14[[#This Row],[Market]])</f>
        <v>0.97356360829804833</v>
      </c>
      <c r="BD221" s="82"/>
      <c r="BE221" s="82" t="str">
        <f>IF(AND(Tabla14[[#This Row],[Atraso a facturar]]&gt;0,Tabla14[[#This Row],[En puerto a facturar]]&gt;0,Tabla14[[#This Row],[Precio Atraso]]=0),"Revisar","OK")</f>
        <v>OK</v>
      </c>
      <c r="BF221" s="82" t="str">
        <f>IF(AND(Tabla14[[#This Row],[Venta del mes]]&gt;0,Tabla14[[#This Row],[Precio venta nueva]]=0),"Revisar","OK")</f>
        <v>OK</v>
      </c>
      <c r="BG221" s="20">
        <f>IFERROR(VLOOKUP(Tabla14[[#This Row],[Llave]],'[5]Consolidación planes'!$A:$M,9,FALSE),0)</f>
        <v>24000</v>
      </c>
      <c r="BH221" s="20">
        <f>IFERROR(VLOOKUP(Tabla14[[#This Row],[Llave]],'[5]Consolidación planes'!$A:$M,10,FALSE),0)</f>
        <v>82000</v>
      </c>
      <c r="BI221" s="20">
        <f>IFERROR(VLOOKUP(Tabla14[[#This Row],[Llave]],'[5]Consolidación planes'!$A:$M,11,FALSE),0)</f>
        <v>60000</v>
      </c>
      <c r="BJ221" s="20">
        <f>IFERROR(VLOOKUP(Tabla14[[#This Row],[Llave]],'[5]Consolidación planes'!$A:$M,12,FALSE),0)</f>
        <v>24000</v>
      </c>
      <c r="BK221" s="20">
        <f>IFERROR(VLOOKUP(Tabla14[[#This Row],[Llave]],'[5]Consolidación planes'!$A:$M,13,FALSE),0)</f>
        <v>46500</v>
      </c>
      <c r="BL221" s="20">
        <f>IFERROR(VLOOKUP(Tabla14[[#This Row],[Llave]],'[13]Base ultimos planes'!$A:$M,13,FALSE),0)</f>
        <v>0</v>
      </c>
      <c r="BM221" s="20">
        <f>IFERROR(VLOOKUP(Tabla14[[#This Row],[Llave]],'[13]Cruce plan irrestricto'!$C:$M,10,FALSE),0)</f>
        <v>0</v>
      </c>
      <c r="BN221" s="20">
        <f>IFERROR(VLOOKUP(Tabla14[[#This Row],[Llave]],'[13]Cruce plan irrestricto'!$C:$M,11,FALSE),0)</f>
        <v>0</v>
      </c>
      <c r="BO221" s="80">
        <f>IFERROR(VLOOKUP(Tabla14[[#This Row],[Llave]],'[13]Base ultimos planes'!$O:$AA,8,FALSE),0)</f>
        <v>22240</v>
      </c>
      <c r="BP221" s="20">
        <f>IFERROR(VLOOKUP(Tabla14[[#This Row],[Llave]],'[13]Base ultimos planes'!$O:$AA,9,FALSE),0)</f>
        <v>79107</v>
      </c>
      <c r="BQ221" s="20">
        <f>IFERROR(VLOOKUP(Tabla14[[#This Row],[Llave]],'[13]Base ultimos planes'!$O:$AA,10,FALSE),0)</f>
        <v>58200</v>
      </c>
      <c r="BR221" s="20">
        <f>IFERROR(VLOOKUP(Tabla14[[#This Row],[Llave]],'[13]Base ultimos planes'!$O:$AA,11,FALSE),0)</f>
        <v>19680</v>
      </c>
      <c r="BS221" s="20">
        <f>IFERROR(VLOOKUP(Tabla14[[#This Row],[Llave]],'[13]Base ultimos planes'!$O:$AA,12,FALSE),0)</f>
        <v>45105</v>
      </c>
      <c r="BT221" s="20">
        <f>IFERROR(VLOOKUP(Tabla14[[#This Row],[Llave]],'[13]Base ultimos planes'!$O:$AA,13,FALSE),0)</f>
        <v>0</v>
      </c>
      <c r="BU221" s="20"/>
      <c r="BV221" s="20">
        <f>Tabla14[[#This Row],[ RV Producción mes n+1]]-Tabla14[[#This Row],[Producción disponible]]+Tabla14[[#This Row],[Saldo Volumen disponible]]</f>
        <v>0</v>
      </c>
      <c r="BW221" s="20">
        <f>IFERROR(VLOOKUP(Tabla14[[#This Row],[Llave]],[14]Hoja2!$J:$N,4,FALSE),0)</f>
        <v>24000</v>
      </c>
      <c r="BX221" s="20">
        <f>+Tabla14[[#This Row],[Asignación mes n+1]]*Tabla14[[#This Row],[% Uti. producción]]</f>
        <v>11458.817431826059</v>
      </c>
      <c r="BY221" s="20">
        <f>+Tabla14[[#This Row],[Ponderación mes n+1]]+Tabla14[[#This Row],[Saldo mes n-1]]</f>
        <v>11458.817431826059</v>
      </c>
      <c r="BZ221" s="20">
        <f>+Tabla14[[#This Row],[Asignación mes n+1]]-Tabla14[[#This Row],[Ponderación mes n+1]]</f>
        <v>12541.182568173941</v>
      </c>
      <c r="CA221" s="20">
        <f>IFERROR(VLOOKUP(Tabla14[[#This Row],[Llave]],[14]Hoja2!$J:$N,5,FALSE),0)</f>
        <v>24000</v>
      </c>
      <c r="CB221" s="20">
        <f>+Tabla14[[#This Row],[Asignación mes n+2]]*Tabla14[[#This Row],[% Uti. producción]]</f>
        <v>11458.817431826059</v>
      </c>
      <c r="CC221" s="20">
        <f>+Tabla14[[#This Row],[Saldo mes n+2]]+Tabla14[[#This Row],[Ponderación mes n+2]]</f>
        <v>24000</v>
      </c>
      <c r="CD221" s="20">
        <f>+Tabla14[[#This Row],[Asignación mes n+2]]-Tabla14[[#This Row],[Ponderación mes n+2]]</f>
        <v>12541.182568173941</v>
      </c>
    </row>
    <row r="222" spans="1:82" ht="16" x14ac:dyDescent="0.2">
      <c r="A222">
        <v>1</v>
      </c>
      <c r="B222" t="str">
        <f>Tabla14[[#This Row],[Oficina]]&amp;Tabla14[[#This Row],[Material]]</f>
        <v>Agro Sudamerica1011888</v>
      </c>
      <c r="C222" t="s">
        <v>227</v>
      </c>
      <c r="D222" t="s">
        <v>17</v>
      </c>
      <c r="E222">
        <v>1011888</v>
      </c>
      <c r="F222" t="s">
        <v>260</v>
      </c>
      <c r="G222" t="s">
        <v>76</v>
      </c>
      <c r="H222" t="s">
        <v>257</v>
      </c>
      <c r="I222" s="7">
        <f>IFERROR(IF(Tabla14[[#This Row],[Oficina]]=$I$7,VLOOKUP(Tabla14[[#This Row],[Material]],'[6]RV Producción'!$Y:$AA,3,FALSE),VLOOKUP(Tabla14[[#This Row],[Llave]],'[6]RV Producción'!$C:$G,5,FALSE)),0)</f>
        <v>0</v>
      </c>
      <c r="J222" s="7">
        <f>IFERROR(IF(Tabla14[[#This Row],[Oficina]]=$I$7,VLOOKUP(Tabla14[[#This Row],[Llave]],'[7]Shangai (Tomas)'!$A:$F,6,FALSE),VLOOKUP(Tabla14[[#This Row],[Llave]],'[6]RV plan de ventas'!$A:$E,5,FALSE)),0)</f>
        <v>0</v>
      </c>
      <c r="K222" s="8">
        <f>IFERROR(VLOOKUP(Tabla14[[#This Row],[Sector]]&amp;Tabla14[[#This Row],[Oficina]],[8]Ponderación!$A$3:$G$22,7,FALSE),0)</f>
        <v>0.47745072632608576</v>
      </c>
      <c r="L222" s="7">
        <f>+Tabla14[[#This Row],[ RV Producción mes n+1]]*Tabla14[[#This Row],[% Uti. producción]]</f>
        <v>0</v>
      </c>
      <c r="M222" s="7">
        <f>IFERROR(VLOOKUP(Tabla14[[#This Row],[Material]],'[9]TD Stock'!$B:$C,2,FALSE),0)</f>
        <v>0</v>
      </c>
      <c r="N222" s="7">
        <f>IFERROR(VLOOKUP(Tabla14[[#This Row],[Material]],'[10]Consolidado planificación'!$B:$C,2,FALSE),0)</f>
        <v>0</v>
      </c>
      <c r="O222" s="7">
        <f>IFERROR(VLOOKUP(Tabla14[[#This Row],[Llave]],[11]Hoja2!$D:$G,4,FALSE),0)</f>
        <v>0</v>
      </c>
      <c r="P222" s="14">
        <f>SUM(Tabla14[[#This Row],[Producción disponible]],Tabla14[[#This Row],[Stock al día]],(Tabla14[[#This Row],[Por producir mes N]]*0.9))-Tabla14[[#This Row],[Producción por despachar mes N]]</f>
        <v>0</v>
      </c>
      <c r="Q222" s="7">
        <f>IFERROR(VLOOKUP(Tabla14[[#This Row],[Llave]],[9]DELAY!$A:$D,4,FALSE),0)</f>
        <v>0</v>
      </c>
      <c r="R222" s="9">
        <v>23000</v>
      </c>
      <c r="S222" s="5">
        <f t="shared" si="8"/>
        <v>0</v>
      </c>
      <c r="T222" s="76">
        <v>0</v>
      </c>
      <c r="U222" s="5">
        <f>+Tabla14[[#This Row],[Atraso a facturar]]+Tabla14[[#This Row],[Ajuste atraso]]</f>
        <v>0</v>
      </c>
      <c r="V222" s="3">
        <f>+Tabla14[[#This Row],[Total disponible]]-Tabla14[[#This Row],[Facturación atraso]]</f>
        <v>0</v>
      </c>
      <c r="W222" s="6">
        <f>IFERROR(IF(AND(V222&gt;R222,J222&gt;=R222),ROUNDDOWN((Tabla14[[#This Row],[Producción para venta nueva]])/R222,0)*R222,0),0)</f>
        <v>0</v>
      </c>
      <c r="X222" s="76">
        <v>0</v>
      </c>
      <c r="Y222" s="6">
        <f>IF(Tabla14[[#This Row],[Venta del mes]]&gt;0,Tabla14[[#This Row],[Venta del mes]]+Tabla14[[#This Row],[Ajuste venta nueva]],0)</f>
        <v>0</v>
      </c>
      <c r="Z222" s="6">
        <f>+Tabla14[[#This Row],[Producción para venta nueva]]-Tabla14[[#This Row],[Facturación Venta nueva]]</f>
        <v>0</v>
      </c>
      <c r="AA222" s="6">
        <f>IF(AND(A222=1,Tabla14[[#This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2" s="6">
        <v>0</v>
      </c>
      <c r="AC222" s="6">
        <f>IF(Tabla14[[#This Row],[Disponible stock sin venta]]&gt;0,Tabla14[[#This Row],[Disponible stock sin venta]]+Tabla14[[#This Row],[Ajuste stock sin venta]],0)</f>
        <v>0</v>
      </c>
      <c r="AD222" s="3">
        <f>IFERROR(VLOOKUP(Tabla14[[#This Row],[Llave]],[12]Hoja1!$A:$D,4,FALSE),0)</f>
        <v>0</v>
      </c>
      <c r="AE222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22" s="3" t="b">
        <v>0</v>
      </c>
      <c r="AG222" s="3">
        <f>+Tabla14[[#This Row],[En puerto a facturar]]</f>
        <v>0</v>
      </c>
      <c r="AH222" s="3">
        <f>+Tabla14[[#This Row],[Facturación atraso]]</f>
        <v>0</v>
      </c>
      <c r="AI222" s="3">
        <f>+Tabla14[[#This Row],[Plan Irrestricto (DATO)]]-Tabla14[[#This Row],[Puerto ]]-Tabla14[[#This Row],[Atraso]]</f>
        <v>0</v>
      </c>
      <c r="AJ22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22" s="3">
        <f>+Tabla14[[#This Row],[Facturación atraso]]</f>
        <v>0</v>
      </c>
      <c r="AL222" s="3">
        <f>Tabla14[[#This Row],[Plan Ajustado]]-Tabla14[[#This Row],[ Atraso ajustado]]-Tabla14[[#This Row],[En puerto a facturar]]</f>
        <v>0</v>
      </c>
      <c r="AM222" s="3">
        <v>0</v>
      </c>
      <c r="AN222" s="3" t="e">
        <v>#REF!</v>
      </c>
      <c r="AO222" s="3" t="str">
        <f>IF(Tabla14[[#This Row],[Plan Ajustado]]&gt;Tabla14[[#This Row],[En puerto a facturar]],"Si","No")</f>
        <v>No</v>
      </c>
      <c r="AP22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22" s="3">
        <f>IF(Tabla14[[#This Row],[Necesidad]]&gt;=Tabla14[[#This Row],[Stock al día]],Tabla14[[#This Row],[Stock al día]],Tabla14[[#This Row],[Necesidad]])</f>
        <v>0</v>
      </c>
      <c r="AR222" s="3">
        <f>+Tabla14[[#This Row],[Necesidad]]-Tabla14[[#This Row],[Stock Plan]]</f>
        <v>0</v>
      </c>
      <c r="AS222" s="155">
        <f>VLOOKUP(Tabla14[[#This Row],[Sector]]&amp;Tabla14[[#This Row],[Oficina]],[8]Ponderación!$A:$H,8,FALSE)</f>
        <v>44817</v>
      </c>
      <c r="AT222" s="30">
        <f>IFERROR(VLOOKUP(Tabla14[[#This Row],[Llave]],'[6]RV plan de ventas'!$A:$F,6,FALSE),0)</f>
        <v>0</v>
      </c>
      <c r="AU222" s="83">
        <f>IFERROR(VLOOKUP(Tabla14[[#This Row],[Llave]],[9]DELAY!$H:$X,17,FALSE),0)</f>
        <v>0</v>
      </c>
      <c r="AV22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22" s="5">
        <f>Tabla14[[#This Row],[Pecio plan]]*Tabla14[[#This Row],[Plan Ajustado]]</f>
        <v>0</v>
      </c>
      <c r="AX222" s="30">
        <f>IFERROR(VLOOKUP(Tabla14[[#This Row],[Llave]],'[13]Ultimos precios facturados'!$A:$G,7,FALSE),0)</f>
        <v>0</v>
      </c>
      <c r="AY22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22" s="30">
        <f>IFERROR(VLOOKUP(Tabla14[[#This Row],[Llave]],Hoja2!B:K,10,FALSE),0)</f>
        <v>0</v>
      </c>
      <c r="BA22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22" s="30">
        <v>0</v>
      </c>
      <c r="BC222" s="30">
        <f>IF(Tabla14[[#This Row],[Market]]=0,Tabla14[[#This Row],[Precio Final]],Tabla14[[#This Row],[Market]])</f>
        <v>0</v>
      </c>
      <c r="BD222" s="82"/>
      <c r="BE222" s="82" t="str">
        <f>IF(AND(Tabla14[[#This Row],[Atraso a facturar]]&gt;0,Tabla14[[#This Row],[En puerto a facturar]]&gt;0,Tabla14[[#This Row],[Precio Atraso]]=0),"Revisar","OK")</f>
        <v>OK</v>
      </c>
      <c r="BF222" s="82" t="str">
        <f>IF(AND(Tabla14[[#This Row],[Venta del mes]]&gt;0,Tabla14[[#This Row],[Precio venta nueva]]=0),"Revisar","OK")</f>
        <v>OK</v>
      </c>
      <c r="BG222" s="20">
        <f>IFERROR(VLOOKUP(Tabla14[[#This Row],[Llave]],'[5]Consolidación planes'!$A:$M,9,FALSE),0)</f>
        <v>0</v>
      </c>
      <c r="BH222" s="20">
        <f>IFERROR(VLOOKUP(Tabla14[[#This Row],[Llave]],'[5]Consolidación planes'!$A:$M,10,FALSE),0)</f>
        <v>0</v>
      </c>
      <c r="BI222" s="20">
        <f>IFERROR(VLOOKUP(Tabla14[[#This Row],[Llave]],'[5]Consolidación planes'!$A:$M,11,FALSE),0)</f>
        <v>0</v>
      </c>
      <c r="BJ222" s="20">
        <f>IFERROR(VLOOKUP(Tabla14[[#This Row],[Llave]],'[5]Consolidación planes'!$A:$M,12,FALSE),0)</f>
        <v>0</v>
      </c>
      <c r="BK222" s="20">
        <f>IFERROR(VLOOKUP(Tabla14[[#This Row],[Llave]],'[5]Consolidación planes'!$A:$M,13,FALSE),0)</f>
        <v>0</v>
      </c>
      <c r="BL222" s="20">
        <f>IFERROR(VLOOKUP(Tabla14[[#This Row],[Llave]],'[13]Base ultimos planes'!$A:$M,13,FALSE),0)</f>
        <v>0</v>
      </c>
      <c r="BM222" s="20">
        <f>IFERROR(VLOOKUP(Tabla14[[#This Row],[Llave]],'[13]Cruce plan irrestricto'!$C:$M,10,FALSE),0)</f>
        <v>0</v>
      </c>
      <c r="BN222" s="20">
        <f>IFERROR(VLOOKUP(Tabla14[[#This Row],[Llave]],'[13]Cruce plan irrestricto'!$C:$M,11,FALSE),0)</f>
        <v>0</v>
      </c>
      <c r="BO222" s="80">
        <f>IFERROR(VLOOKUP(Tabla14[[#This Row],[Llave]],'[13]Base ultimos planes'!$O:$AA,8,FALSE),0)</f>
        <v>0</v>
      </c>
      <c r="BP222" s="20">
        <f>IFERROR(VLOOKUP(Tabla14[[#This Row],[Llave]],'[13]Base ultimos planes'!$O:$AA,9,FALSE),0)</f>
        <v>0</v>
      </c>
      <c r="BQ222" s="20">
        <f>IFERROR(VLOOKUP(Tabla14[[#This Row],[Llave]],'[13]Base ultimos planes'!$O:$AA,10,FALSE),0)</f>
        <v>0</v>
      </c>
      <c r="BR222" s="20">
        <f>IFERROR(VLOOKUP(Tabla14[[#This Row],[Llave]],'[13]Base ultimos planes'!$O:$AA,11,FALSE),0)</f>
        <v>0</v>
      </c>
      <c r="BS222" s="20">
        <f>IFERROR(VLOOKUP(Tabla14[[#This Row],[Llave]],'[13]Base ultimos planes'!$O:$AA,12,FALSE),0)</f>
        <v>0</v>
      </c>
      <c r="BT222" s="20">
        <f>IFERROR(VLOOKUP(Tabla14[[#This Row],[Llave]],'[13]Base ultimos planes'!$O:$AA,13,FALSE),0)</f>
        <v>0</v>
      </c>
      <c r="BU222" s="20"/>
      <c r="BV222" s="20">
        <f>Tabla14[[#This Row],[ RV Producción mes n+1]]-Tabla14[[#This Row],[Producción disponible]]+Tabla14[[#This Row],[Saldo Volumen disponible]]</f>
        <v>0</v>
      </c>
      <c r="BW222" s="20">
        <f>IFERROR(VLOOKUP(Tabla14[[#This Row],[Llave]],[14]Hoja2!$J:$N,4,FALSE),0)</f>
        <v>0</v>
      </c>
      <c r="BX222" s="20">
        <f>+Tabla14[[#This Row],[Asignación mes n+1]]*Tabla14[[#This Row],[% Uti. producción]]</f>
        <v>0</v>
      </c>
      <c r="BY222" s="20">
        <f>+Tabla14[[#This Row],[Ponderación mes n+1]]+Tabla14[[#This Row],[Saldo mes n-1]]</f>
        <v>0</v>
      </c>
      <c r="BZ222" s="20">
        <f>+Tabla14[[#This Row],[Asignación mes n+1]]-Tabla14[[#This Row],[Ponderación mes n+1]]</f>
        <v>0</v>
      </c>
      <c r="CA222" s="20">
        <f>IFERROR(VLOOKUP(Tabla14[[#This Row],[Llave]],[14]Hoja2!$J:$N,5,FALSE),0)</f>
        <v>0</v>
      </c>
      <c r="CB222" s="20">
        <f>+Tabla14[[#This Row],[Asignación mes n+2]]*Tabla14[[#This Row],[% Uti. producción]]</f>
        <v>0</v>
      </c>
      <c r="CC222" s="20">
        <f>+Tabla14[[#This Row],[Saldo mes n+2]]+Tabla14[[#This Row],[Ponderación mes n+2]]</f>
        <v>0</v>
      </c>
      <c r="CD222" s="20">
        <f>+Tabla14[[#This Row],[Asignación mes n+2]]-Tabla14[[#This Row],[Ponderación mes n+2]]</f>
        <v>0</v>
      </c>
    </row>
    <row r="223" spans="1:82" ht="16" x14ac:dyDescent="0.2">
      <c r="A223">
        <v>1</v>
      </c>
      <c r="B223" t="str">
        <f>Tabla14[[#This Row],[Oficina]]&amp;Tabla14[[#This Row],[Material]]</f>
        <v>Agro Sudamerica1011939</v>
      </c>
      <c r="C223" t="s">
        <v>227</v>
      </c>
      <c r="D223" t="s">
        <v>17</v>
      </c>
      <c r="E223">
        <v>1011939</v>
      </c>
      <c r="F223" t="s">
        <v>261</v>
      </c>
      <c r="G223" t="s">
        <v>217</v>
      </c>
      <c r="H223" t="s">
        <v>218</v>
      </c>
      <c r="I223" s="7">
        <f>IFERROR(IF(Tabla14[[#This Row],[Oficina]]=$I$7,VLOOKUP(Tabla14[[#This Row],[Material]],'[6]RV Producción'!$Y:$AA,3,FALSE),VLOOKUP(Tabla14[[#This Row],[Llave]],'[6]RV Producción'!$C:$G,5,FALSE)),0)</f>
        <v>0</v>
      </c>
      <c r="J223" s="7">
        <f>IFERROR(IF(Tabla14[[#This Row],[Oficina]]=$I$7,VLOOKUP(Tabla14[[#This Row],[Llave]],'[7]Shangai (Tomas)'!$A:$F,6,FALSE),VLOOKUP(Tabla14[[#This Row],[Llave]],'[6]RV plan de ventas'!$A:$E,5,FALSE)),0)</f>
        <v>0</v>
      </c>
      <c r="K223" s="8">
        <f>IFERROR(VLOOKUP(Tabla14[[#This Row],[Sector]]&amp;Tabla14[[#This Row],[Oficina]],[8]Ponderación!$A$3:$G$22,7,FALSE),0)</f>
        <v>0.47745072632608576</v>
      </c>
      <c r="L223" s="7">
        <f>+Tabla14[[#This Row],[ RV Producción mes n+1]]*Tabla14[[#This Row],[% Uti. producción]]</f>
        <v>0</v>
      </c>
      <c r="M223" s="7">
        <f>IFERROR(VLOOKUP(Tabla14[[#This Row],[Material]],'[9]TD Stock'!$B:$C,2,FALSE),0)</f>
        <v>0</v>
      </c>
      <c r="N223" s="7">
        <f>IFERROR(VLOOKUP(Tabla14[[#This Row],[Material]],'[10]Consolidado planificación'!$B:$C,2,FALSE),0)</f>
        <v>0</v>
      </c>
      <c r="O223" s="7">
        <f>IFERROR(VLOOKUP(Tabla14[[#This Row],[Llave]],[11]Hoja2!$D:$G,4,FALSE),0)</f>
        <v>0</v>
      </c>
      <c r="P223" s="14">
        <f>SUM(Tabla14[[#This Row],[Producción disponible]],Tabla14[[#This Row],[Stock al día]],(Tabla14[[#This Row],[Por producir mes N]]*0.9))-Tabla14[[#This Row],[Producción por despachar mes N]]</f>
        <v>0</v>
      </c>
      <c r="Q223" s="7">
        <f>IFERROR(VLOOKUP(Tabla14[[#This Row],[Llave]],[9]DELAY!$A:$D,4,FALSE),0)</f>
        <v>0</v>
      </c>
      <c r="R223" s="9">
        <v>23000</v>
      </c>
      <c r="S223" s="5">
        <f t="shared" si="8"/>
        <v>0</v>
      </c>
      <c r="T223" s="76">
        <v>0</v>
      </c>
      <c r="U223" s="5">
        <f>+Tabla14[[#This Row],[Atraso a facturar]]+Tabla14[[#This Row],[Ajuste atraso]]</f>
        <v>0</v>
      </c>
      <c r="V223" s="3">
        <f>+Tabla14[[#This Row],[Total disponible]]-Tabla14[[#This Row],[Facturación atraso]]</f>
        <v>0</v>
      </c>
      <c r="W223" s="6">
        <f>IFERROR(IF(AND(V223&gt;R223,J223&gt;=R223),ROUNDDOWN((Tabla14[[#This Row],[Producción para venta nueva]])/R223,0)*R223,0),0)</f>
        <v>0</v>
      </c>
      <c r="X223" s="76">
        <v>0</v>
      </c>
      <c r="Y223" s="6">
        <f>IF(Tabla14[[#This Row],[Venta del mes]]&gt;0,Tabla14[[#This Row],[Venta del mes]]+Tabla14[[#This Row],[Ajuste venta nueva]],0)</f>
        <v>0</v>
      </c>
      <c r="Z223" s="6">
        <f>+Tabla14[[#This Row],[Producción para venta nueva]]-Tabla14[[#This Row],[Facturación Venta nueva]]</f>
        <v>0</v>
      </c>
      <c r="AA223" s="6">
        <f>IF(AND(A223=1,Tabla14[[#This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3" s="6">
        <v>0</v>
      </c>
      <c r="AC223" s="6">
        <f>IF(Tabla14[[#This Row],[Disponible stock sin venta]]&gt;0,Tabla14[[#This Row],[Disponible stock sin venta]]+Tabla14[[#This Row],[Ajuste stock sin venta]],0)</f>
        <v>0</v>
      </c>
      <c r="AD223" s="3">
        <f>IFERROR(VLOOKUP(Tabla14[[#This Row],[Llave]],[12]Hoja1!$A:$D,4,FALSE),0)</f>
        <v>0</v>
      </c>
      <c r="AE223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23" s="3" t="b">
        <v>0</v>
      </c>
      <c r="AG223" s="3">
        <f>+Tabla14[[#This Row],[En puerto a facturar]]</f>
        <v>0</v>
      </c>
      <c r="AH223" s="3">
        <f>+Tabla14[[#This Row],[Facturación atraso]]</f>
        <v>0</v>
      </c>
      <c r="AI223" s="3">
        <f>+Tabla14[[#This Row],[Plan Irrestricto (DATO)]]-Tabla14[[#This Row],[Puerto ]]-Tabla14[[#This Row],[Atraso]]</f>
        <v>0</v>
      </c>
      <c r="AJ22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23" s="3">
        <f>+Tabla14[[#This Row],[Facturación atraso]]</f>
        <v>0</v>
      </c>
      <c r="AL223" s="3">
        <f>Tabla14[[#This Row],[Plan Ajustado]]-Tabla14[[#This Row],[ Atraso ajustado]]-Tabla14[[#This Row],[En puerto a facturar]]</f>
        <v>0</v>
      </c>
      <c r="AM223" s="3">
        <v>0</v>
      </c>
      <c r="AN223" s="3" t="e">
        <v>#REF!</v>
      </c>
      <c r="AO223" s="3" t="str">
        <f>IF(Tabla14[[#This Row],[Plan Ajustado]]&gt;Tabla14[[#This Row],[En puerto a facturar]],"Si","No")</f>
        <v>No</v>
      </c>
      <c r="AP22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23" s="3">
        <f>IF(Tabla14[[#This Row],[Necesidad]]&gt;=Tabla14[[#This Row],[Stock al día]],Tabla14[[#This Row],[Stock al día]],Tabla14[[#This Row],[Necesidad]])</f>
        <v>0</v>
      </c>
      <c r="AR223" s="3">
        <f>+Tabla14[[#This Row],[Necesidad]]-Tabla14[[#This Row],[Stock Plan]]</f>
        <v>0</v>
      </c>
      <c r="AS223" s="155">
        <f>VLOOKUP(Tabla14[[#This Row],[Sector]]&amp;Tabla14[[#This Row],[Oficina]],[8]Ponderación!$A:$H,8,FALSE)</f>
        <v>44817</v>
      </c>
      <c r="AT223" s="30">
        <f>IFERROR(VLOOKUP(Tabla14[[#This Row],[Llave]],'[6]RV plan de ventas'!$A:$F,6,FALSE),0)</f>
        <v>0</v>
      </c>
      <c r="AU223" s="83">
        <f>IFERROR(VLOOKUP(Tabla14[[#This Row],[Llave]],[9]DELAY!$H:$X,17,FALSE),0)</f>
        <v>0</v>
      </c>
      <c r="AV22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23" s="5">
        <f>Tabla14[[#This Row],[Pecio plan]]*Tabla14[[#This Row],[Plan Ajustado]]</f>
        <v>0</v>
      </c>
      <c r="AX223" s="30">
        <f>IFERROR(VLOOKUP(Tabla14[[#This Row],[Llave]],'[13]Ultimos precios facturados'!$A:$G,7,FALSE),0)</f>
        <v>0</v>
      </c>
      <c r="AY22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23" s="30">
        <f>IFERROR(VLOOKUP(Tabla14[[#This Row],[Llave]],Hoja2!B:K,10,FALSE),0)</f>
        <v>0</v>
      </c>
      <c r="BA22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23" s="30">
        <v>0</v>
      </c>
      <c r="BC223" s="30">
        <f>IF(Tabla14[[#This Row],[Market]]=0,Tabla14[[#This Row],[Precio Final]],Tabla14[[#This Row],[Market]])</f>
        <v>0</v>
      </c>
      <c r="BD223" s="82"/>
      <c r="BE223" s="82" t="str">
        <f>IF(AND(Tabla14[[#This Row],[Atraso a facturar]]&gt;0,Tabla14[[#This Row],[En puerto a facturar]]&gt;0,Tabla14[[#This Row],[Precio Atraso]]=0),"Revisar","OK")</f>
        <v>OK</v>
      </c>
      <c r="BF223" s="82" t="str">
        <f>IF(AND(Tabla14[[#This Row],[Venta del mes]]&gt;0,Tabla14[[#This Row],[Precio venta nueva]]=0),"Revisar","OK")</f>
        <v>OK</v>
      </c>
      <c r="BG223" s="20">
        <f>IFERROR(VLOOKUP(Tabla14[[#This Row],[Llave]],'[5]Consolidación planes'!$A:$M,9,FALSE),0)</f>
        <v>0</v>
      </c>
      <c r="BH223" s="20">
        <f>IFERROR(VLOOKUP(Tabla14[[#This Row],[Llave]],'[5]Consolidación planes'!$A:$M,10,FALSE),0)</f>
        <v>0</v>
      </c>
      <c r="BI223" s="20">
        <f>IFERROR(VLOOKUP(Tabla14[[#This Row],[Llave]],'[5]Consolidación planes'!$A:$M,11,FALSE),0)</f>
        <v>0</v>
      </c>
      <c r="BJ223" s="20">
        <f>IFERROR(VLOOKUP(Tabla14[[#This Row],[Llave]],'[5]Consolidación planes'!$A:$M,12,FALSE),0)</f>
        <v>0</v>
      </c>
      <c r="BK223" s="20">
        <f>IFERROR(VLOOKUP(Tabla14[[#This Row],[Llave]],'[5]Consolidación planes'!$A:$M,13,FALSE),0)</f>
        <v>0</v>
      </c>
      <c r="BL223" s="20">
        <f>IFERROR(VLOOKUP(Tabla14[[#This Row],[Llave]],'[13]Base ultimos planes'!$A:$M,13,FALSE),0)</f>
        <v>0</v>
      </c>
      <c r="BM223" s="20">
        <f>IFERROR(VLOOKUP(Tabla14[[#This Row],[Llave]],'[13]Cruce plan irrestricto'!$C:$M,10,FALSE),0)</f>
        <v>0</v>
      </c>
      <c r="BN223" s="20">
        <f>IFERROR(VLOOKUP(Tabla14[[#This Row],[Llave]],'[13]Cruce plan irrestricto'!$C:$M,11,FALSE),0)</f>
        <v>0</v>
      </c>
      <c r="BO223" s="80">
        <f>IFERROR(VLOOKUP(Tabla14[[#This Row],[Llave]],'[13]Base ultimos planes'!$O:$AA,8,FALSE),0)</f>
        <v>0</v>
      </c>
      <c r="BP223" s="20">
        <f>IFERROR(VLOOKUP(Tabla14[[#This Row],[Llave]],'[13]Base ultimos planes'!$O:$AA,9,FALSE),0)</f>
        <v>0</v>
      </c>
      <c r="BQ223" s="20">
        <f>IFERROR(VLOOKUP(Tabla14[[#This Row],[Llave]],'[13]Base ultimos planes'!$O:$AA,10,FALSE),0)</f>
        <v>0</v>
      </c>
      <c r="BR223" s="20">
        <f>IFERROR(VLOOKUP(Tabla14[[#This Row],[Llave]],'[13]Base ultimos planes'!$O:$AA,11,FALSE),0)</f>
        <v>0</v>
      </c>
      <c r="BS223" s="20">
        <f>IFERROR(VLOOKUP(Tabla14[[#This Row],[Llave]],'[13]Base ultimos planes'!$O:$AA,12,FALSE),0)</f>
        <v>0</v>
      </c>
      <c r="BT223" s="20">
        <f>IFERROR(VLOOKUP(Tabla14[[#This Row],[Llave]],'[13]Base ultimos planes'!$O:$AA,13,FALSE),0)</f>
        <v>0</v>
      </c>
      <c r="BU223" s="20"/>
      <c r="BV223" s="20">
        <f>Tabla14[[#This Row],[ RV Producción mes n+1]]-Tabla14[[#This Row],[Producción disponible]]+Tabla14[[#This Row],[Saldo Volumen disponible]]</f>
        <v>0</v>
      </c>
      <c r="BW223" s="20">
        <f>IFERROR(VLOOKUP(Tabla14[[#This Row],[Llave]],[14]Hoja2!$J:$N,4,FALSE),0)</f>
        <v>0</v>
      </c>
      <c r="BX223" s="20">
        <f>+Tabla14[[#This Row],[Asignación mes n+1]]*Tabla14[[#This Row],[% Uti. producción]]</f>
        <v>0</v>
      </c>
      <c r="BY223" s="20">
        <f>+Tabla14[[#This Row],[Ponderación mes n+1]]+Tabla14[[#This Row],[Saldo mes n-1]]</f>
        <v>0</v>
      </c>
      <c r="BZ223" s="20">
        <f>+Tabla14[[#This Row],[Asignación mes n+1]]-Tabla14[[#This Row],[Ponderación mes n+1]]</f>
        <v>0</v>
      </c>
      <c r="CA223" s="20">
        <f>IFERROR(VLOOKUP(Tabla14[[#This Row],[Llave]],[14]Hoja2!$J:$N,5,FALSE),0)</f>
        <v>0</v>
      </c>
      <c r="CB223" s="20">
        <f>+Tabla14[[#This Row],[Asignación mes n+2]]*Tabla14[[#This Row],[% Uti. producción]]</f>
        <v>0</v>
      </c>
      <c r="CC223" s="20">
        <f>+Tabla14[[#This Row],[Saldo mes n+2]]+Tabla14[[#This Row],[Ponderación mes n+2]]</f>
        <v>0</v>
      </c>
      <c r="CD223" s="20">
        <f>+Tabla14[[#This Row],[Asignación mes n+2]]-Tabla14[[#This Row],[Ponderación mes n+2]]</f>
        <v>0</v>
      </c>
    </row>
    <row r="224" spans="1:82" ht="16" x14ac:dyDescent="0.2">
      <c r="A224">
        <v>1</v>
      </c>
      <c r="B224" t="str">
        <f>Tabla14[[#This Row],[Oficina]]&amp;Tabla14[[#This Row],[Material]]</f>
        <v>Agro Sudamerica1012207</v>
      </c>
      <c r="C224" t="s">
        <v>227</v>
      </c>
      <c r="D224" t="s">
        <v>17</v>
      </c>
      <c r="E224">
        <v>1012207</v>
      </c>
      <c r="F224" t="s">
        <v>244</v>
      </c>
      <c r="G224" t="s">
        <v>209</v>
      </c>
      <c r="H224" t="s">
        <v>210</v>
      </c>
      <c r="I224" s="7">
        <f>IFERROR(IF(Tabla14[[#This Row],[Oficina]]=$I$7,VLOOKUP(Tabla14[[#This Row],[Material]],'[6]RV Producción'!$Y:$AA,3,FALSE),VLOOKUP(Tabla14[[#This Row],[Llave]],'[6]RV Producción'!$C:$G,5,FALSE)),0)</f>
        <v>41500</v>
      </c>
      <c r="J224" s="7">
        <f>IFERROR(IF(Tabla14[[#This Row],[Oficina]]=$I$7,VLOOKUP(Tabla14[[#This Row],[Llave]],'[7]Shangai (Tomas)'!$A:$F,6,FALSE),VLOOKUP(Tabla14[[#This Row],[Llave]],'[6]RV plan de ventas'!$A:$E,5,FALSE)),0)</f>
        <v>41500</v>
      </c>
      <c r="K224" s="8">
        <f>IFERROR(VLOOKUP(Tabla14[[#This Row],[Sector]]&amp;Tabla14[[#This Row],[Oficina]],[8]Ponderación!$A$3:$G$22,7,FALSE),0)</f>
        <v>0.47745072632608576</v>
      </c>
      <c r="L224" s="7">
        <f>+Tabla14[[#This Row],[ RV Producción mes n+1]]*Tabla14[[#This Row],[% Uti. producción]]</f>
        <v>19814.205142532559</v>
      </c>
      <c r="M224" s="7">
        <f>IFERROR(VLOOKUP(Tabla14[[#This Row],[Material]],'[9]TD Stock'!$B:$C,2,FALSE),0)</f>
        <v>63336</v>
      </c>
      <c r="N224" s="7">
        <f>IFERROR(VLOOKUP(Tabla14[[#This Row],[Material]],'[10]Consolidado planificación'!$B:$C,2,FALSE),0)</f>
        <v>0</v>
      </c>
      <c r="O224" s="7">
        <f>IFERROR(VLOOKUP(Tabla14[[#This Row],[Llave]],[11]Hoja2!$D:$G,4,FALSE),0)</f>
        <v>0</v>
      </c>
      <c r="P224" s="14">
        <f>SUM(Tabla14[[#This Row],[Producción disponible]],Tabla14[[#This Row],[Stock al día]],(Tabla14[[#This Row],[Por producir mes N]]*0.9))-Tabla14[[#This Row],[Producción por despachar mes N]]</f>
        <v>83150.205142532563</v>
      </c>
      <c r="Q224" s="7">
        <f>IFERROR(VLOOKUP(Tabla14[[#This Row],[Llave]],[9]DELAY!$A:$D,4,FALSE),0)</f>
        <v>48000</v>
      </c>
      <c r="R224" s="9">
        <v>23000</v>
      </c>
      <c r="S224" s="5">
        <f t="shared" si="8"/>
        <v>48000</v>
      </c>
      <c r="T224" s="76">
        <v>0</v>
      </c>
      <c r="U224" s="5">
        <f>+Tabla14[[#This Row],[Atraso a facturar]]+Tabla14[[#This Row],[Ajuste atraso]]</f>
        <v>48000</v>
      </c>
      <c r="V224" s="3">
        <f>+Tabla14[[#This Row],[Total disponible]]-Tabla14[[#This Row],[Facturación atraso]]</f>
        <v>35150.205142532563</v>
      </c>
      <c r="W224" s="6">
        <f>IFERROR(IF(AND(V224&gt;R224,J224&gt;=R224),ROUNDDOWN((Tabla14[[#This Row],[Producción para venta nueva]])/R224,0)*R224,0),0)</f>
        <v>23000</v>
      </c>
      <c r="X224" s="76">
        <v>0</v>
      </c>
      <c r="Y224" s="6">
        <f>IF(Tabla14[[#This Row],[Venta del mes]]&gt;0,Tabla14[[#This Row],[Venta del mes]]+Tabla14[[#This Row],[Ajuste venta nueva]],0)</f>
        <v>23000</v>
      </c>
      <c r="Z224" s="6">
        <f>+Tabla14[[#This Row],[Producción para venta nueva]]-Tabla14[[#This Row],[Facturación Venta nueva]]</f>
        <v>12150.205142532563</v>
      </c>
      <c r="AA224" s="6">
        <f>IF(AND(A224=1,Tabla14[[#This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4" s="6">
        <v>0</v>
      </c>
      <c r="AC224" s="6">
        <f>IF(Tabla14[[#This Row],[Disponible stock sin venta]]&gt;0,Tabla14[[#This Row],[Disponible stock sin venta]]+Tabla14[[#This Row],[Ajuste stock sin venta]],0)</f>
        <v>0</v>
      </c>
      <c r="AD224" s="3">
        <f>IFERROR(VLOOKUP(Tabla14[[#This Row],[Llave]],[12]Hoja1!$A:$D,4,FALSE),0)</f>
        <v>0</v>
      </c>
      <c r="AE22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71000</v>
      </c>
      <c r="AF224" s="3">
        <v>71000</v>
      </c>
      <c r="AG224" s="3">
        <f>+Tabla14[[#This Row],[En puerto a facturar]]</f>
        <v>0</v>
      </c>
      <c r="AH224" s="3">
        <f>+Tabla14[[#This Row],[Facturación atraso]]</f>
        <v>48000</v>
      </c>
      <c r="AI224" s="3">
        <f>+Tabla14[[#This Row],[Plan Irrestricto (DATO)]]-Tabla14[[#This Row],[Puerto ]]-Tabla14[[#This Row],[Atraso]]</f>
        <v>23000</v>
      </c>
      <c r="AJ224" s="6">
        <f>IF(Tabla14[[#This Row],[Plan Irrestricto (DATO)]]&gt;0,SUM(Tabla14[[#This Row],[Facturación atraso]],Tabla14[[#This Row],[Facturación Venta nueva]],Tabla14[[#This Row],[Facturación stock]],Tabla14[[#This Row],[En puerto a facturar]]),0)</f>
        <v>71000</v>
      </c>
      <c r="AK224" s="3">
        <f>+Tabla14[[#This Row],[Facturación atraso]]</f>
        <v>48000</v>
      </c>
      <c r="AL224" s="3">
        <f>Tabla14[[#This Row],[Plan Ajustado]]-Tabla14[[#This Row],[ Atraso ajustado]]-Tabla14[[#This Row],[En puerto a facturar]]</f>
        <v>23000</v>
      </c>
      <c r="AM224" s="3">
        <v>0</v>
      </c>
      <c r="AN224" s="3" t="s">
        <v>636</v>
      </c>
      <c r="AO224" s="3" t="str">
        <f>IF(Tabla14[[#This Row],[Plan Ajustado]]&gt;Tabla14[[#This Row],[En puerto a facturar]],"Si","No")</f>
        <v>Si</v>
      </c>
      <c r="AP224" s="3">
        <f>IF(AND(Tabla14[[#This Row],[Plan Ajustado]]&gt;0,Tabla14[[#This Row],[Plan Ajustado]]&gt;Tabla14[[#This Row],[En puerto a facturar]]),(Tabla14[[#This Row],[Plan Ajustado]]-Tabla14[[#This Row],[En puerto a facturar]]),0)</f>
        <v>71000</v>
      </c>
      <c r="AQ224" s="3">
        <f>IF(Tabla14[[#This Row],[Necesidad]]&gt;=Tabla14[[#This Row],[Stock al día]],Tabla14[[#This Row],[Stock al día]],Tabla14[[#This Row],[Necesidad]])</f>
        <v>63336</v>
      </c>
      <c r="AR224" s="3">
        <f>+Tabla14[[#This Row],[Necesidad]]-Tabla14[[#This Row],[Stock Plan]]</f>
        <v>7664</v>
      </c>
      <c r="AS224" s="155">
        <f>VLOOKUP(Tabla14[[#This Row],[Sector]]&amp;Tabla14[[#This Row],[Oficina]],[8]Ponderación!$A:$H,8,FALSE)</f>
        <v>44817</v>
      </c>
      <c r="AT224" s="30">
        <f>IFERROR(VLOOKUP(Tabla14[[#This Row],[Llave]],'[6]RV plan de ventas'!$A:$F,6,FALSE),0)</f>
        <v>0.93667469879518095</v>
      </c>
      <c r="AU224" s="83">
        <f>IFERROR(VLOOKUP(Tabla14[[#This Row],[Llave]],[9]DELAY!$H:$X,17,FALSE),0)</f>
        <v>0.853291666666667</v>
      </c>
      <c r="AV22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0.88030307144069264</v>
      </c>
      <c r="AW224" s="5">
        <f>Tabla14[[#This Row],[Pecio plan]]*Tabla14[[#This Row],[Plan Ajustado]]</f>
        <v>82503.518072289153</v>
      </c>
      <c r="AX224" s="30">
        <f>IFERROR(VLOOKUP(Tabla14[[#This Row],[Llave]],'[13]Ultimos precios facturados'!$A:$G,7,FALSE),0)</f>
        <v>1.2396354139619969</v>
      </c>
      <c r="AY224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0.28986937487760434</v>
      </c>
      <c r="AZ224" s="30">
        <f>IFERROR(VLOOKUP(Tabla14[[#This Row],[Llave]],Hoja2!B:K,10,FALSE),0)</f>
        <v>0.66518072289156616</v>
      </c>
      <c r="BA22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0.88030307144069264</v>
      </c>
      <c r="BB224" s="30">
        <v>1.1620213812998472</v>
      </c>
      <c r="BC224" s="30">
        <f>IF(Tabla14[[#This Row],[Market]]=0,Tabla14[[#This Row],[Precio Final]],Tabla14[[#This Row],[Market]])</f>
        <v>1.1620213812998472</v>
      </c>
      <c r="BD224" s="82"/>
      <c r="BE224" s="82" t="str">
        <f>IF(AND(Tabla14[[#This Row],[Atraso a facturar]]&gt;0,Tabla14[[#This Row],[En puerto a facturar]]&gt;0,Tabla14[[#This Row],[Precio Atraso]]=0),"Revisar","OK")</f>
        <v>OK</v>
      </c>
      <c r="BF224" s="82" t="str">
        <f>IF(AND(Tabla14[[#This Row],[Venta del mes]]&gt;0,Tabla14[[#This Row],[Precio venta nueva]]=0),"Revisar","OK")</f>
        <v>OK</v>
      </c>
      <c r="BG224" s="20">
        <f>IFERROR(VLOOKUP(Tabla14[[#This Row],[Llave]],'[5]Consolidación planes'!$A:$M,9,FALSE),0)</f>
        <v>24000</v>
      </c>
      <c r="BH224" s="20">
        <f>IFERROR(VLOOKUP(Tabla14[[#This Row],[Llave]],'[5]Consolidación planes'!$A:$M,10,FALSE),0)</f>
        <v>60000</v>
      </c>
      <c r="BI224" s="20">
        <f>IFERROR(VLOOKUP(Tabla14[[#This Row],[Llave]],'[5]Consolidación planes'!$A:$M,11,FALSE),0)</f>
        <v>55476</v>
      </c>
      <c r="BJ224" s="20">
        <f>IFERROR(VLOOKUP(Tabla14[[#This Row],[Llave]],'[5]Consolidación planes'!$A:$M,12,FALSE),0)</f>
        <v>24000</v>
      </c>
      <c r="BK224" s="20">
        <f>IFERROR(VLOOKUP(Tabla14[[#This Row],[Llave]],'[5]Consolidación planes'!$A:$M,13,FALSE),0)</f>
        <v>48000</v>
      </c>
      <c r="BL224" s="20">
        <f>IFERROR(VLOOKUP(Tabla14[[#This Row],[Llave]],'[13]Base ultimos planes'!$A:$M,13,FALSE),0)</f>
        <v>72000</v>
      </c>
      <c r="BM224" s="20">
        <f>IFERROR(VLOOKUP(Tabla14[[#This Row],[Llave]],'[13]Cruce plan irrestricto'!$C:$M,10,FALSE),0)</f>
        <v>48000</v>
      </c>
      <c r="BN224" s="20">
        <f>IFERROR(VLOOKUP(Tabla14[[#This Row],[Llave]],'[13]Cruce plan irrestricto'!$C:$M,11,FALSE),0)</f>
        <v>41500</v>
      </c>
      <c r="BO224" s="80">
        <f>IFERROR(VLOOKUP(Tabla14[[#This Row],[Llave]],'[13]Base ultimos planes'!$O:$AA,8,FALSE),0)</f>
        <v>31254.7673</v>
      </c>
      <c r="BP224" s="20">
        <f>IFERROR(VLOOKUP(Tabla14[[#This Row],[Llave]],'[13]Base ultimos planes'!$O:$AA,9,FALSE),0)</f>
        <v>73760</v>
      </c>
      <c r="BQ224" s="20">
        <f>IFERROR(VLOOKUP(Tabla14[[#This Row],[Llave]],'[13]Base ultimos planes'!$O:$AA,10,FALSE),0)</f>
        <v>63571</v>
      </c>
      <c r="BR224" s="20">
        <f>IFERROR(VLOOKUP(Tabla14[[#This Row],[Llave]],'[13]Base ultimos planes'!$O:$AA,11,FALSE),0)</f>
        <v>22080</v>
      </c>
      <c r="BS224" s="20">
        <f>IFERROR(VLOOKUP(Tabla14[[#This Row],[Llave]],'[13]Base ultimos planes'!$O:$AA,12,FALSE),0)</f>
        <v>58667</v>
      </c>
      <c r="BT224" s="20">
        <f>IFERROR(VLOOKUP(Tabla14[[#This Row],[Llave]],'[13]Base ultimos planes'!$O:$AA,13,FALSE),0)</f>
        <v>90939</v>
      </c>
      <c r="BU224" s="20"/>
      <c r="BV224" s="20">
        <f>Tabla14[[#This Row],[ RV Producción mes n+1]]-Tabla14[[#This Row],[Producción disponible]]+Tabla14[[#This Row],[Saldo Volumen disponible]]</f>
        <v>33836</v>
      </c>
      <c r="BW224" s="20">
        <f>IFERROR(VLOOKUP(Tabla14[[#This Row],[Llave]],[14]Hoja2!$J:$N,4,FALSE),0)</f>
        <v>40500</v>
      </c>
      <c r="BX224" s="20">
        <f>+Tabla14[[#This Row],[Asignación mes n+1]]*Tabla14[[#This Row],[% Uti. producción]]</f>
        <v>19336.754416206473</v>
      </c>
      <c r="BY224" s="20">
        <f>+Tabla14[[#This Row],[Ponderación mes n+1]]+Tabla14[[#This Row],[Saldo mes n-1]]</f>
        <v>53172.754416206473</v>
      </c>
      <c r="BZ224" s="20">
        <f>+Tabla14[[#This Row],[Asignación mes n+1]]-Tabla14[[#This Row],[Ponderación mes n+1]]</f>
        <v>21163.245583793527</v>
      </c>
      <c r="CA224" s="20">
        <f>IFERROR(VLOOKUP(Tabla14[[#This Row],[Llave]],[14]Hoja2!$J:$N,5,FALSE),0)</f>
        <v>44000</v>
      </c>
      <c r="CB224" s="20">
        <f>+Tabla14[[#This Row],[Asignación mes n+2]]*Tabla14[[#This Row],[% Uti. producción]]</f>
        <v>21007.831958347775</v>
      </c>
      <c r="CC224" s="20">
        <f>+Tabla14[[#This Row],[Saldo mes n+2]]+Tabla14[[#This Row],[Ponderación mes n+2]]</f>
        <v>42171.077542141298</v>
      </c>
      <c r="CD224" s="20">
        <f>+Tabla14[[#This Row],[Asignación mes n+2]]-Tabla14[[#This Row],[Ponderación mes n+2]]</f>
        <v>22992.168041652225</v>
      </c>
    </row>
    <row r="225" spans="1:82" ht="16" x14ac:dyDescent="0.2">
      <c r="A225">
        <v>1</v>
      </c>
      <c r="B225" t="str">
        <f>Tabla14[[#This Row],[Oficina]]&amp;Tabla14[[#This Row],[Material]]</f>
        <v>Agro Sudamerica1012208</v>
      </c>
      <c r="C225" t="s">
        <v>227</v>
      </c>
      <c r="D225" t="s">
        <v>17</v>
      </c>
      <c r="E225">
        <v>1012208</v>
      </c>
      <c r="F225" t="s">
        <v>256</v>
      </c>
      <c r="G225" t="s">
        <v>253</v>
      </c>
      <c r="H225" t="s">
        <v>254</v>
      </c>
      <c r="I225" s="7">
        <f>IFERROR(IF(Tabla14[[#This Row],[Oficina]]=$I$7,VLOOKUP(Tabla14[[#This Row],[Material]],'[6]RV Producción'!$Y:$AA,3,FALSE),VLOOKUP(Tabla14[[#This Row],[Llave]],'[6]RV Producción'!$C:$G,5,FALSE)),0)</f>
        <v>20493</v>
      </c>
      <c r="J225" s="7">
        <f>IFERROR(IF(Tabla14[[#This Row],[Oficina]]=$I$7,VLOOKUP(Tabla14[[#This Row],[Llave]],'[7]Shangai (Tomas)'!$A:$F,6,FALSE),VLOOKUP(Tabla14[[#This Row],[Llave]],'[6]RV plan de ventas'!$A:$E,5,FALSE)),0)</f>
        <v>0</v>
      </c>
      <c r="K225" s="8">
        <f>IFERROR(VLOOKUP(Tabla14[[#This Row],[Sector]]&amp;Tabla14[[#This Row],[Oficina]],[8]Ponderación!$A$3:$G$22,7,FALSE),0)</f>
        <v>0.47745072632608576</v>
      </c>
      <c r="L225" s="7">
        <f>+Tabla14[[#This Row],[ RV Producción mes n+1]]*Tabla14[[#This Row],[% Uti. producción]]</f>
        <v>9784.3977346004758</v>
      </c>
      <c r="M225" s="7">
        <f>IFERROR(VLOOKUP(Tabla14[[#This Row],[Material]],'[9]TD Stock'!$B:$C,2,FALSE),0)</f>
        <v>8794.0509999999977</v>
      </c>
      <c r="N225" s="7">
        <f>IFERROR(VLOOKUP(Tabla14[[#This Row],[Material]],'[10]Consolidado planificación'!$B:$C,2,FALSE),0)</f>
        <v>600</v>
      </c>
      <c r="O225" s="7">
        <f>IFERROR(VLOOKUP(Tabla14[[#This Row],[Llave]],[11]Hoja2!$D:$G,4,FALSE),0)</f>
        <v>0</v>
      </c>
      <c r="P225" s="14">
        <f>SUM(Tabla14[[#This Row],[Producción disponible]],Tabla14[[#This Row],[Stock al día]],(Tabla14[[#This Row],[Por producir mes N]]*0.9))-Tabla14[[#This Row],[Producción por despachar mes N]]</f>
        <v>19118.448734600475</v>
      </c>
      <c r="Q225" s="7">
        <f>IFERROR(VLOOKUP(Tabla14[[#This Row],[Llave]],[9]DELAY!$A:$D,4,FALSE),0)</f>
        <v>48000</v>
      </c>
      <c r="R225" s="9">
        <v>23000</v>
      </c>
      <c r="S225" s="5">
        <f t="shared" si="8"/>
        <v>0</v>
      </c>
      <c r="T225" s="76">
        <v>0</v>
      </c>
      <c r="U225" s="5">
        <f>+Tabla14[[#This Row],[Atraso a facturar]]+Tabla14[[#This Row],[Ajuste atraso]]</f>
        <v>0</v>
      </c>
      <c r="V225" s="3">
        <f>+Tabla14[[#This Row],[Total disponible]]-Tabla14[[#This Row],[Facturación atraso]]</f>
        <v>19118.448734600475</v>
      </c>
      <c r="W225" s="6">
        <f>IFERROR(IF(AND(V225&gt;R225,J225&gt;=R225),ROUNDDOWN((Tabla14[[#This Row],[Producción para venta nueva]])/R225,0)*R225,0),0)</f>
        <v>0</v>
      </c>
      <c r="X225" s="76">
        <v>0</v>
      </c>
      <c r="Y225" s="6">
        <f>IF(Tabla14[[#This Row],[Venta del mes]]&gt;0,Tabla14[[#This Row],[Venta del mes]]+Tabla14[[#This Row],[Ajuste venta nueva]],0)</f>
        <v>0</v>
      </c>
      <c r="Z225" s="6">
        <f>+Tabla14[[#This Row],[Producción para venta nueva]]-Tabla14[[#This Row],[Facturación Venta nueva]]</f>
        <v>19118.448734600475</v>
      </c>
      <c r="AA225" s="6">
        <f>IF(AND(A225=1,Tabla14[[#This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5" s="6">
        <v>0</v>
      </c>
      <c r="AC225" s="6">
        <f>IF(Tabla14[[#This Row],[Disponible stock sin venta]]&gt;0,Tabla14[[#This Row],[Disponible stock sin venta]]+Tabla14[[#This Row],[Ajuste stock sin venta]],0)</f>
        <v>0</v>
      </c>
      <c r="AD225" s="3">
        <f>IFERROR(VLOOKUP(Tabla14[[#This Row],[Llave]],[12]Hoja1!$A:$D,4,FALSE),0)</f>
        <v>0</v>
      </c>
      <c r="AE22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25" s="3">
        <v>0</v>
      </c>
      <c r="AG225" s="3">
        <f>+Tabla14[[#This Row],[En puerto a facturar]]</f>
        <v>0</v>
      </c>
      <c r="AH225" s="3">
        <f>+Tabla14[[#This Row],[Facturación atraso]]</f>
        <v>0</v>
      </c>
      <c r="AI225" s="3">
        <f>+Tabla14[[#This Row],[Plan Irrestricto (DATO)]]-Tabla14[[#This Row],[Puerto ]]-Tabla14[[#This Row],[Atraso]]</f>
        <v>0</v>
      </c>
      <c r="AJ22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25" s="3">
        <f>+Tabla14[[#This Row],[Facturación atraso]]</f>
        <v>0</v>
      </c>
      <c r="AL225" s="3">
        <f>Tabla14[[#This Row],[Plan Ajustado]]-Tabla14[[#This Row],[ Atraso ajustado]]-Tabla14[[#This Row],[En puerto a facturar]]</f>
        <v>0</v>
      </c>
      <c r="AM225" s="3">
        <v>0</v>
      </c>
      <c r="AN225" s="3" t="e">
        <v>#REF!</v>
      </c>
      <c r="AO225" s="3" t="str">
        <f>IF(Tabla14[[#This Row],[Plan Ajustado]]&gt;Tabla14[[#This Row],[En puerto a facturar]],"Si","No")</f>
        <v>No</v>
      </c>
      <c r="AP22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25" s="3">
        <f>IF(Tabla14[[#This Row],[Necesidad]]&gt;=Tabla14[[#This Row],[Stock al día]],Tabla14[[#This Row],[Stock al día]],Tabla14[[#This Row],[Necesidad]])</f>
        <v>0</v>
      </c>
      <c r="AR225" s="3">
        <f>+Tabla14[[#This Row],[Necesidad]]-Tabla14[[#This Row],[Stock Plan]]</f>
        <v>0</v>
      </c>
      <c r="AS225" s="155">
        <f>VLOOKUP(Tabla14[[#This Row],[Sector]]&amp;Tabla14[[#This Row],[Oficina]],[8]Ponderación!$A:$H,8,FALSE)</f>
        <v>44817</v>
      </c>
      <c r="AT225" s="30">
        <f>IFERROR(VLOOKUP(Tabla14[[#This Row],[Llave]],'[6]RV plan de ventas'!$A:$F,6,FALSE),0)</f>
        <v>0</v>
      </c>
      <c r="AU225" s="83">
        <f>IFERROR(VLOOKUP(Tabla14[[#This Row],[Llave]],[9]DELAY!$H:$X,17,FALSE),0)</f>
        <v>1.5060833333333352</v>
      </c>
      <c r="AV22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25" s="5">
        <f>Tabla14[[#This Row],[Pecio plan]]*Tabla14[[#This Row],[Plan Ajustado]]</f>
        <v>0</v>
      </c>
      <c r="AX225" s="30">
        <f>IFERROR(VLOOKUP(Tabla14[[#This Row],[Llave]],'[13]Ultimos precios facturados'!$A:$G,7,FALSE),0)</f>
        <v>1.451056198695132</v>
      </c>
      <c r="AY22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25" s="30">
        <f>IFERROR(VLOOKUP(Tabla14[[#This Row],[Llave]],Hoja2!B:K,10,FALSE),0)</f>
        <v>1.3866666666666663</v>
      </c>
      <c r="BA22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25" s="30">
        <v>0</v>
      </c>
      <c r="BC225" s="30">
        <f>IF(Tabla14[[#This Row],[Market]]=0,Tabla14[[#This Row],[Precio Final]],Tabla14[[#This Row],[Market]])</f>
        <v>0</v>
      </c>
      <c r="BD225" s="82"/>
      <c r="BE225" s="82" t="str">
        <f>IF(AND(Tabla14[[#This Row],[Atraso a facturar]]&gt;0,Tabla14[[#This Row],[En puerto a facturar]]&gt;0,Tabla14[[#This Row],[Precio Atraso]]=0),"Revisar","OK")</f>
        <v>OK</v>
      </c>
      <c r="BF225" s="82" t="str">
        <f>IF(AND(Tabla14[[#This Row],[Venta del mes]]&gt;0,Tabla14[[#This Row],[Precio venta nueva]]=0),"Revisar","OK")</f>
        <v>OK</v>
      </c>
      <c r="BG225" s="20">
        <f>IFERROR(VLOOKUP(Tabla14[[#This Row],[Llave]],'[5]Consolidación planes'!$A:$M,9,FALSE),0)</f>
        <v>24000</v>
      </c>
      <c r="BH225" s="20">
        <f>IFERROR(VLOOKUP(Tabla14[[#This Row],[Llave]],'[5]Consolidación planes'!$A:$M,10,FALSE),0)</f>
        <v>120000</v>
      </c>
      <c r="BI225" s="20">
        <f>IFERROR(VLOOKUP(Tabla14[[#This Row],[Llave]],'[5]Consolidación planes'!$A:$M,11,FALSE),0)</f>
        <v>72000</v>
      </c>
      <c r="BJ225" s="20">
        <f>IFERROR(VLOOKUP(Tabla14[[#This Row],[Llave]],'[5]Consolidación planes'!$A:$M,12,FALSE),0)</f>
        <v>0</v>
      </c>
      <c r="BK225" s="20">
        <f>IFERROR(VLOOKUP(Tabla14[[#This Row],[Llave]],'[5]Consolidación planes'!$A:$M,13,FALSE),0)</f>
        <v>24000</v>
      </c>
      <c r="BL225" s="20">
        <f>IFERROR(VLOOKUP(Tabla14[[#This Row],[Llave]],'[13]Base ultimos planes'!$A:$M,13,FALSE),0)</f>
        <v>24000</v>
      </c>
      <c r="BM225" s="20">
        <f>IFERROR(VLOOKUP(Tabla14[[#This Row],[Llave]],'[13]Cruce plan irrestricto'!$C:$M,10,FALSE),0)</f>
        <v>24000</v>
      </c>
      <c r="BN225" s="20">
        <f>IFERROR(VLOOKUP(Tabla14[[#This Row],[Llave]],'[13]Cruce plan irrestricto'!$C:$M,11,FALSE),0)</f>
        <v>24000</v>
      </c>
      <c r="BO225" s="80">
        <f>IFERROR(VLOOKUP(Tabla14[[#This Row],[Llave]],'[13]Base ultimos planes'!$O:$AA,8,FALSE),0)</f>
        <v>34374.025999999998</v>
      </c>
      <c r="BP225" s="20">
        <f>IFERROR(VLOOKUP(Tabla14[[#This Row],[Llave]],'[13]Base ultimos planes'!$O:$AA,9,FALSE),0)</f>
        <v>172320</v>
      </c>
      <c r="BQ225" s="20">
        <f>IFERROR(VLOOKUP(Tabla14[[#This Row],[Llave]],'[13]Base ultimos planes'!$O:$AA,10,FALSE),0)</f>
        <v>105840</v>
      </c>
      <c r="BR225" s="20">
        <f>IFERROR(VLOOKUP(Tabla14[[#This Row],[Llave]],'[13]Base ultimos planes'!$O:$AA,11,FALSE),0)</f>
        <v>0</v>
      </c>
      <c r="BS225" s="20">
        <f>IFERROR(VLOOKUP(Tabla14[[#This Row],[Llave]],'[13]Base ultimos planes'!$O:$AA,12,FALSE),0)</f>
        <v>34080</v>
      </c>
      <c r="BT225" s="20">
        <f>IFERROR(VLOOKUP(Tabla14[[#This Row],[Llave]],'[13]Base ultimos planes'!$O:$AA,13,FALSE),0)</f>
        <v>36052</v>
      </c>
      <c r="BU225" s="20"/>
      <c r="BV225" s="20">
        <f>Tabla14[[#This Row],[ RV Producción mes n+1]]-Tabla14[[#This Row],[Producción disponible]]+Tabla14[[#This Row],[Saldo Volumen disponible]]</f>
        <v>29827.050999999999</v>
      </c>
      <c r="BW225" s="20">
        <f>IFERROR(VLOOKUP(Tabla14[[#This Row],[Llave]],[14]Hoja2!$J:$N,4,FALSE),0)</f>
        <v>72000</v>
      </c>
      <c r="BX225" s="20">
        <f>+Tabla14[[#This Row],[Asignación mes n+1]]*Tabla14[[#This Row],[% Uti. producción]]</f>
        <v>34376.452295478171</v>
      </c>
      <c r="BY225" s="20">
        <f>+Tabla14[[#This Row],[Ponderación mes n+1]]+Tabla14[[#This Row],[Saldo mes n-1]]</f>
        <v>64203.503295478171</v>
      </c>
      <c r="BZ225" s="20">
        <f>+Tabla14[[#This Row],[Asignación mes n+1]]-Tabla14[[#This Row],[Ponderación mes n+1]]</f>
        <v>37623.547704521829</v>
      </c>
      <c r="CA225" s="20">
        <f>IFERROR(VLOOKUP(Tabla14[[#This Row],[Llave]],[14]Hoja2!$J:$N,5,FALSE),0)</f>
        <v>72000</v>
      </c>
      <c r="CB225" s="20">
        <f>+Tabla14[[#This Row],[Asignación mes n+2]]*Tabla14[[#This Row],[% Uti. producción]]</f>
        <v>34376.452295478171</v>
      </c>
      <c r="CC225" s="20">
        <f>+Tabla14[[#This Row],[Saldo mes n+2]]+Tabla14[[#This Row],[Ponderación mes n+2]]</f>
        <v>72000</v>
      </c>
      <c r="CD225" s="20">
        <f>+Tabla14[[#This Row],[Asignación mes n+2]]-Tabla14[[#This Row],[Ponderación mes n+2]]</f>
        <v>37623.547704521829</v>
      </c>
    </row>
    <row r="226" spans="1:82" ht="16" x14ac:dyDescent="0.2">
      <c r="A226">
        <v>1</v>
      </c>
      <c r="B226" t="str">
        <f>Tabla14[[#This Row],[Oficina]]&amp;Tabla14[[#This Row],[Material]]</f>
        <v>Agro Sudamerica1012283</v>
      </c>
      <c r="C226" t="s">
        <v>227</v>
      </c>
      <c r="D226" t="s">
        <v>17</v>
      </c>
      <c r="E226">
        <v>1012283</v>
      </c>
      <c r="F226" t="s">
        <v>246</v>
      </c>
      <c r="G226" t="s">
        <v>209</v>
      </c>
      <c r="H226" t="s">
        <v>245</v>
      </c>
      <c r="I226" s="7">
        <f>IFERROR(IF(Tabla14[[#This Row],[Oficina]]=$I$7,VLOOKUP(Tabla14[[#This Row],[Material]],'[6]RV Producción'!$Y:$AA,3,FALSE),VLOOKUP(Tabla14[[#This Row],[Llave]],'[6]RV Producción'!$C:$G,5,FALSE)),0)</f>
        <v>16654</v>
      </c>
      <c r="J226" s="7">
        <f>IFERROR(IF(Tabla14[[#This Row],[Oficina]]=$I$7,VLOOKUP(Tabla14[[#This Row],[Llave]],'[7]Shangai (Tomas)'!$A:$F,6,FALSE),VLOOKUP(Tabla14[[#This Row],[Llave]],'[6]RV plan de ventas'!$A:$E,5,FALSE)),0)</f>
        <v>16654</v>
      </c>
      <c r="K226" s="8">
        <f>IFERROR(VLOOKUP(Tabla14[[#This Row],[Sector]]&amp;Tabla14[[#This Row],[Oficina]],[8]Ponderación!$A$3:$G$22,7,FALSE),0)</f>
        <v>0.47745072632608576</v>
      </c>
      <c r="L226" s="7">
        <f>+Tabla14[[#This Row],[ RV Producción mes n+1]]*Tabla14[[#This Row],[% Uti. producción]]</f>
        <v>7951.4643962346327</v>
      </c>
      <c r="M226" s="7">
        <f>IFERROR(VLOOKUP(Tabla14[[#This Row],[Material]],'[9]TD Stock'!$B:$C,2,FALSE),0)</f>
        <v>19295.451000000001</v>
      </c>
      <c r="N226" s="7">
        <f>IFERROR(VLOOKUP(Tabla14[[#This Row],[Material]],'[10]Consolidado planificación'!$B:$C,2,FALSE),0)</f>
        <v>0</v>
      </c>
      <c r="O226" s="7">
        <f>IFERROR(VLOOKUP(Tabla14[[#This Row],[Llave]],[11]Hoja2!$D:$G,4,FALSE),0)</f>
        <v>0</v>
      </c>
      <c r="P226" s="14">
        <f>SUM(Tabla14[[#This Row],[Producción disponible]],Tabla14[[#This Row],[Stock al día]],(Tabla14[[#This Row],[Por producir mes N]]*0.9))-Tabla14[[#This Row],[Producción por despachar mes N]]</f>
        <v>27246.915396234632</v>
      </c>
      <c r="Q226" s="7">
        <f>IFERROR(VLOOKUP(Tabla14[[#This Row],[Llave]],[9]DELAY!$A:$D,4,FALSE),0)</f>
        <v>0</v>
      </c>
      <c r="R226" s="9">
        <v>23000</v>
      </c>
      <c r="S226" s="5">
        <f t="shared" si="8"/>
        <v>0</v>
      </c>
      <c r="T226" s="76">
        <v>0</v>
      </c>
      <c r="U226" s="5">
        <f>+Tabla14[[#This Row],[Atraso a facturar]]+Tabla14[[#This Row],[Ajuste atraso]]</f>
        <v>0</v>
      </c>
      <c r="V226" s="3">
        <f>+Tabla14[[#This Row],[Total disponible]]-Tabla14[[#This Row],[Facturación atraso]]</f>
        <v>27246.915396234632</v>
      </c>
      <c r="W226" s="6">
        <f>IFERROR(IF(AND(V226&gt;R226,J226&gt;=R226),ROUNDDOWN((Tabla14[[#This Row],[Producción para venta nueva]])/R226,0)*R226,0),0)</f>
        <v>0</v>
      </c>
      <c r="X226" s="76">
        <v>0</v>
      </c>
      <c r="Y226" s="6">
        <f>IF(Tabla14[[#This Row],[Venta del mes]]&gt;0,Tabla14[[#This Row],[Venta del mes]]+Tabla14[[#This Row],[Ajuste venta nueva]],0)</f>
        <v>0</v>
      </c>
      <c r="Z226" s="6">
        <f>+Tabla14[[#This Row],[Producción para venta nueva]]-Tabla14[[#This Row],[Facturación Venta nueva]]</f>
        <v>27246.915396234632</v>
      </c>
      <c r="AA226" s="6">
        <f>IF(AND(A226=1,Tabla14[[#This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23000</v>
      </c>
      <c r="AB226" s="6">
        <v>0</v>
      </c>
      <c r="AC226" s="6">
        <f>IF(Tabla14[[#This Row],[Disponible stock sin venta]]&gt;0,Tabla14[[#This Row],[Disponible stock sin venta]]+Tabla14[[#This Row],[Ajuste stock sin venta]],0)</f>
        <v>23000</v>
      </c>
      <c r="AD226" s="3">
        <f>IFERROR(VLOOKUP(Tabla14[[#This Row],[Llave]],[12]Hoja1!$A:$D,4,FALSE),0)</f>
        <v>0</v>
      </c>
      <c r="AE22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226" s="3">
        <v>23000</v>
      </c>
      <c r="AG226" s="3">
        <f>+Tabla14[[#This Row],[En puerto a facturar]]</f>
        <v>0</v>
      </c>
      <c r="AH226" s="3">
        <f>+Tabla14[[#This Row],[Facturación atraso]]</f>
        <v>0</v>
      </c>
      <c r="AI226" s="3">
        <f>+Tabla14[[#This Row],[Plan Irrestricto (DATO)]]-Tabla14[[#This Row],[Puerto ]]-Tabla14[[#This Row],[Atraso]]</f>
        <v>23000</v>
      </c>
      <c r="AJ226" s="6">
        <f>IF(Tabla14[[#This Row],[Plan Irrestricto (DATO)]]&gt;0,SUM(Tabla14[[#This Row],[Facturación atraso]],Tabla14[[#This Row],[Facturación Venta nueva]],Tabla14[[#This Row],[Facturación stock]],Tabla14[[#This Row],[En puerto a facturar]]),0)</f>
        <v>23000</v>
      </c>
      <c r="AK226" s="3">
        <f>+Tabla14[[#This Row],[Facturación atraso]]</f>
        <v>0</v>
      </c>
      <c r="AL226" s="3">
        <f>Tabla14[[#This Row],[Plan Ajustado]]-Tabla14[[#This Row],[ Atraso ajustado]]-Tabla14[[#This Row],[En puerto a facturar]]</f>
        <v>23000</v>
      </c>
      <c r="AM226" s="3">
        <v>0</v>
      </c>
      <c r="AN226" s="3" t="s">
        <v>883</v>
      </c>
      <c r="AO226" s="3" t="str">
        <f>IF(Tabla14[[#This Row],[Plan Ajustado]]&gt;Tabla14[[#This Row],[En puerto a facturar]],"Si","No")</f>
        <v>Si</v>
      </c>
      <c r="AP226" s="3">
        <f>IF(AND(Tabla14[[#This Row],[Plan Ajustado]]&gt;0,Tabla14[[#This Row],[Plan Ajustado]]&gt;Tabla14[[#This Row],[En puerto a facturar]]),(Tabla14[[#This Row],[Plan Ajustado]]-Tabla14[[#This Row],[En puerto a facturar]]),0)</f>
        <v>23000</v>
      </c>
      <c r="AQ226" s="3">
        <f>IF(Tabla14[[#This Row],[Necesidad]]&gt;=Tabla14[[#This Row],[Stock al día]],Tabla14[[#This Row],[Stock al día]],Tabla14[[#This Row],[Necesidad]])</f>
        <v>19295.451000000001</v>
      </c>
      <c r="AR226" s="3">
        <f>+Tabla14[[#This Row],[Necesidad]]-Tabla14[[#This Row],[Stock Plan]]</f>
        <v>3704.5489999999991</v>
      </c>
      <c r="AS226" s="155">
        <f>VLOOKUP(Tabla14[[#This Row],[Sector]]&amp;Tabla14[[#This Row],[Oficina]],[8]Ponderación!$A:$H,8,FALSE)</f>
        <v>44817</v>
      </c>
      <c r="AT226" s="30">
        <f>IFERROR(VLOOKUP(Tabla14[[#This Row],[Llave]],'[6]RV plan de ventas'!$A:$F,6,FALSE),0)</f>
        <v>0.68668187822745297</v>
      </c>
      <c r="AU226" s="83">
        <f>IFERROR(VLOOKUP(Tabla14[[#This Row],[Llave]],[9]DELAY!$H:$X,17,FALSE),0)</f>
        <v>0</v>
      </c>
      <c r="AV22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26" s="5">
        <f>Tabla14[[#This Row],[Pecio plan]]*Tabla14[[#This Row],[Plan Ajustado]]</f>
        <v>15793.683199231416</v>
      </c>
      <c r="AX226" s="30">
        <f>IFERROR(VLOOKUP(Tabla14[[#This Row],[Llave]],'[13]Ultimos precios facturados'!$A:$G,7,FALSE),0)</f>
        <v>0.82966486310629084</v>
      </c>
      <c r="AY22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26" s="30">
        <f>IFERROR(VLOOKUP(Tabla14[[#This Row],[Llave]],Hoja2!B:K,10,FALSE),0)</f>
        <v>0.65</v>
      </c>
      <c r="BA22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0.82966486310629084</v>
      </c>
      <c r="BB226" s="30">
        <v>0.68668187822745286</v>
      </c>
      <c r="BC226" s="30">
        <f>IF(Tabla14[[#This Row],[Market]]=0,Tabla14[[#This Row],[Precio Final]],Tabla14[[#This Row],[Market]])</f>
        <v>0.68668187822745286</v>
      </c>
      <c r="BD226" s="82"/>
      <c r="BE226" s="82" t="str">
        <f>IF(AND(Tabla14[[#This Row],[Atraso a facturar]]&gt;0,Tabla14[[#This Row],[En puerto a facturar]]&gt;0,Tabla14[[#This Row],[Precio Atraso]]=0),"Revisar","OK")</f>
        <v>OK</v>
      </c>
      <c r="BF226" s="82" t="str">
        <f>IF(AND(Tabla14[[#This Row],[Venta del mes]]&gt;0,Tabla14[[#This Row],[Precio venta nueva]]=0),"Revisar","OK")</f>
        <v>OK</v>
      </c>
      <c r="BG226" s="20">
        <f>IFERROR(VLOOKUP(Tabla14[[#This Row],[Llave]],'[5]Consolidación planes'!$A:$M,9,FALSE),0)</f>
        <v>72000</v>
      </c>
      <c r="BH226" s="20">
        <f>IFERROR(VLOOKUP(Tabla14[[#This Row],[Llave]],'[5]Consolidación planes'!$A:$M,10,FALSE),0)</f>
        <v>48000</v>
      </c>
      <c r="BI226" s="20">
        <f>IFERROR(VLOOKUP(Tabla14[[#This Row],[Llave]],'[5]Consolidación planes'!$A:$M,11,FALSE),0)</f>
        <v>60779</v>
      </c>
      <c r="BJ226" s="20">
        <f>IFERROR(VLOOKUP(Tabla14[[#This Row],[Llave]],'[5]Consolidación planes'!$A:$M,12,FALSE),0)</f>
        <v>48000</v>
      </c>
      <c r="BK226" s="20">
        <f>IFERROR(VLOOKUP(Tabla14[[#This Row],[Llave]],'[5]Consolidación planes'!$A:$M,13,FALSE),0)</f>
        <v>48000</v>
      </c>
      <c r="BL226" s="20">
        <f>IFERROR(VLOOKUP(Tabla14[[#This Row],[Llave]],'[13]Base ultimos planes'!$A:$M,13,FALSE),0)</f>
        <v>48000</v>
      </c>
      <c r="BM226" s="20">
        <f>IFERROR(VLOOKUP(Tabla14[[#This Row],[Llave]],'[13]Cruce plan irrestricto'!$C:$M,10,FALSE),0)</f>
        <v>72000</v>
      </c>
      <c r="BN226" s="20">
        <f>IFERROR(VLOOKUP(Tabla14[[#This Row],[Llave]],'[13]Cruce plan irrestricto'!$C:$M,11,FALSE),0)</f>
        <v>47000</v>
      </c>
      <c r="BO226" s="80">
        <f>IFERROR(VLOOKUP(Tabla14[[#This Row],[Llave]],'[13]Base ultimos planes'!$O:$AA,8,FALSE),0)</f>
        <v>50924.302000000003</v>
      </c>
      <c r="BP226" s="20">
        <f>IFERROR(VLOOKUP(Tabla14[[#This Row],[Llave]],'[13]Base ultimos planes'!$O:$AA,9,FALSE),0)</f>
        <v>34400</v>
      </c>
      <c r="BQ226" s="20">
        <f>IFERROR(VLOOKUP(Tabla14[[#This Row],[Llave]],'[13]Base ultimos planes'!$O:$AA,10,FALSE),0)</f>
        <v>42545</v>
      </c>
      <c r="BR226" s="20">
        <f>IFERROR(VLOOKUP(Tabla14[[#This Row],[Llave]],'[13]Base ultimos planes'!$O:$AA,11,FALSE),0)</f>
        <v>36960</v>
      </c>
      <c r="BS226" s="20">
        <f>IFERROR(VLOOKUP(Tabla14[[#This Row],[Llave]],'[13]Base ultimos planes'!$O:$AA,12,FALSE),0)</f>
        <v>38133</v>
      </c>
      <c r="BT226" s="20">
        <f>IFERROR(VLOOKUP(Tabla14[[#This Row],[Llave]],'[13]Base ultimos planes'!$O:$AA,13,FALSE),0)</f>
        <v>38287</v>
      </c>
      <c r="BU226" s="20"/>
      <c r="BV226" s="20">
        <f>Tabla14[[#This Row],[ RV Producción mes n+1]]-Tabla14[[#This Row],[Producción disponible]]+Tabla14[[#This Row],[Saldo Volumen disponible]]</f>
        <v>35949.451000000001</v>
      </c>
      <c r="BW226" s="20">
        <f>IFERROR(VLOOKUP(Tabla14[[#This Row],[Llave]],[14]Hoja2!$J:$N,4,FALSE),0)</f>
        <v>72000</v>
      </c>
      <c r="BX226" s="20">
        <f>+Tabla14[[#This Row],[Asignación mes n+1]]*Tabla14[[#This Row],[% Uti. producción]]</f>
        <v>34376.452295478171</v>
      </c>
      <c r="BY226" s="20">
        <f>+Tabla14[[#This Row],[Ponderación mes n+1]]+Tabla14[[#This Row],[Saldo mes n-1]]</f>
        <v>70325.903295478172</v>
      </c>
      <c r="BZ226" s="20">
        <f>+Tabla14[[#This Row],[Asignación mes n+1]]-Tabla14[[#This Row],[Ponderación mes n+1]]</f>
        <v>37623.547704521829</v>
      </c>
      <c r="CA226" s="20">
        <f>IFERROR(VLOOKUP(Tabla14[[#This Row],[Llave]],[14]Hoja2!$J:$N,5,FALSE),0)</f>
        <v>288000</v>
      </c>
      <c r="CB226" s="20">
        <f>+Tabla14[[#This Row],[Asignación mes n+2]]*Tabla14[[#This Row],[% Uti. producción]]</f>
        <v>137505.80918191269</v>
      </c>
      <c r="CC226" s="20">
        <f>+Tabla14[[#This Row],[Saldo mes n+2]]+Tabla14[[#This Row],[Ponderación mes n+2]]</f>
        <v>175129.35688643451</v>
      </c>
      <c r="CD226" s="20">
        <f>+Tabla14[[#This Row],[Asignación mes n+2]]-Tabla14[[#This Row],[Ponderación mes n+2]]</f>
        <v>150494.19081808731</v>
      </c>
    </row>
    <row r="227" spans="1:82" ht="16" x14ac:dyDescent="0.2">
      <c r="A227">
        <v>2</v>
      </c>
      <c r="B227" t="str">
        <f>Tabla14[[#This Row],[Oficina]]&amp;Tabla14[[#This Row],[Material]]</f>
        <v>Agro Sudamerica1012362</v>
      </c>
      <c r="C227" t="s">
        <v>227</v>
      </c>
      <c r="D227" t="s">
        <v>17</v>
      </c>
      <c r="E227">
        <v>1012362</v>
      </c>
      <c r="F227" t="s">
        <v>229</v>
      </c>
      <c r="G227" t="s">
        <v>209</v>
      </c>
      <c r="H227" t="s">
        <v>228</v>
      </c>
      <c r="I227" s="7">
        <f>IFERROR(IF(Tabla14[[#This Row],[Oficina]]=$I$7,VLOOKUP(Tabla14[[#This Row],[Material]],'[6]RV Producción'!$Y:$AA,3,FALSE),VLOOKUP(Tabla14[[#This Row],[Llave]],'[6]RV Producción'!$C:$G,5,FALSE)),0)</f>
        <v>0</v>
      </c>
      <c r="J227" s="7">
        <f>IFERROR(IF(Tabla14[[#This Row],[Oficina]]=$I$7,VLOOKUP(Tabla14[[#This Row],[Llave]],'[7]Shangai (Tomas)'!$A:$F,6,FALSE),VLOOKUP(Tabla14[[#This Row],[Llave]],'[6]RV plan de ventas'!$A:$E,5,FALSE)),0)</f>
        <v>0</v>
      </c>
      <c r="K227" s="8">
        <f>IFERROR(VLOOKUP(Tabla14[[#This Row],[Sector]]&amp;Tabla14[[#This Row],[Oficina]],[8]Ponderación!$A$3:$G$22,7,FALSE),0)</f>
        <v>0.47745072632608576</v>
      </c>
      <c r="L227" s="7">
        <f>+Tabla14[[#This Row],[ RV Producción mes n+1]]*Tabla14[[#This Row],[% Uti. producción]]</f>
        <v>0</v>
      </c>
      <c r="M227" s="7">
        <f>IFERROR(VLOOKUP(Tabla14[[#This Row],[Material]],'[9]TD Stock'!$B:$C,2,FALSE),0)</f>
        <v>9810</v>
      </c>
      <c r="N227" s="7">
        <f>IFERROR(VLOOKUP(Tabla14[[#This Row],[Material]],'[10]Consolidado planificación'!$B:$C,2,FALSE),0)</f>
        <v>0</v>
      </c>
      <c r="O227" s="7">
        <f>IFERROR(VLOOKUP(Tabla14[[#This Row],[Llave]],[11]Hoja2!$D:$G,4,FALSE),0)</f>
        <v>0</v>
      </c>
      <c r="P227" s="14">
        <f>SUM(Tabla14[[#This Row],[Producción disponible]],Tabla14[[#This Row],[Stock al día]],(Tabla14[[#This Row],[Por producir mes N]]*0.9))-Tabla14[[#This Row],[Producción por despachar mes N]]</f>
        <v>9810</v>
      </c>
      <c r="Q227" s="7">
        <f>IFERROR(VLOOKUP(Tabla14[[#This Row],[Llave]],[9]DELAY!$A:$D,4,FALSE),0)</f>
        <v>18205</v>
      </c>
      <c r="R227" s="9">
        <v>23000</v>
      </c>
      <c r="S227" s="5">
        <f t="shared" si="8"/>
        <v>0</v>
      </c>
      <c r="T227" s="76">
        <v>0</v>
      </c>
      <c r="U227" s="5">
        <f>+Tabla14[[#This Row],[Atraso a facturar]]+Tabla14[[#This Row],[Ajuste atraso]]</f>
        <v>0</v>
      </c>
      <c r="V227" s="3">
        <f>+Tabla14[[#This Row],[Total disponible]]-Tabla14[[#This Row],[Facturación atraso]]</f>
        <v>9810</v>
      </c>
      <c r="W227" s="6">
        <f>IFERROR(IF(AND(V227&gt;R227,J227&gt;=R227),ROUNDDOWN((Tabla14[[#This Row],[Producción para venta nueva]])/R227,0)*R227,0),0)</f>
        <v>0</v>
      </c>
      <c r="X227" s="76">
        <v>0</v>
      </c>
      <c r="Y227" s="6">
        <f>IF(Tabla14[[#This Row],[Venta del mes]]&gt;0,Tabla14[[#This Row],[Venta del mes]]+Tabla14[[#This Row],[Ajuste venta nueva]],0)</f>
        <v>0</v>
      </c>
      <c r="Z227" s="6">
        <f>+Tabla14[[#This Row],[Producción para venta nueva]]-Tabla14[[#This Row],[Facturación Venta nueva]]</f>
        <v>9810</v>
      </c>
      <c r="AA227" s="6">
        <f>IF(AND(A227=1,Tabla14[[#This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7" s="6">
        <v>0</v>
      </c>
      <c r="AC227" s="6">
        <f>IF(Tabla14[[#This Row],[Disponible stock sin venta]]&gt;0,Tabla14[[#This Row],[Disponible stock sin venta]]+Tabla14[[#This Row],[Ajuste stock sin venta]],0)</f>
        <v>0</v>
      </c>
      <c r="AD227" s="3">
        <f>IFERROR(VLOOKUP(Tabla14[[#This Row],[Llave]],[12]Hoja1!$A:$D,4,FALSE),0)</f>
        <v>0</v>
      </c>
      <c r="AE22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27" s="3">
        <v>0</v>
      </c>
      <c r="AG227" s="3">
        <f>+Tabla14[[#This Row],[En puerto a facturar]]</f>
        <v>0</v>
      </c>
      <c r="AH227" s="3">
        <f>+Tabla14[[#This Row],[Facturación atraso]]</f>
        <v>0</v>
      </c>
      <c r="AI227" s="3">
        <f>+Tabla14[[#This Row],[Plan Irrestricto (DATO)]]-Tabla14[[#This Row],[Puerto ]]-Tabla14[[#This Row],[Atraso]]</f>
        <v>0</v>
      </c>
      <c r="AJ22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27" s="3">
        <f>+Tabla14[[#This Row],[Facturación atraso]]</f>
        <v>0</v>
      </c>
      <c r="AL227" s="3">
        <f>Tabla14[[#This Row],[Plan Ajustado]]-Tabla14[[#This Row],[ Atraso ajustado]]-Tabla14[[#This Row],[En puerto a facturar]]</f>
        <v>0</v>
      </c>
      <c r="AM227" s="3">
        <v>0</v>
      </c>
      <c r="AN227" s="3" t="e">
        <v>#REF!</v>
      </c>
      <c r="AO227" s="3" t="str">
        <f>IF(Tabla14[[#This Row],[Plan Ajustado]]&gt;Tabla14[[#This Row],[En puerto a facturar]],"Si","No")</f>
        <v>No</v>
      </c>
      <c r="AP22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27" s="3">
        <f>IF(Tabla14[[#This Row],[Necesidad]]&gt;=Tabla14[[#This Row],[Stock al día]],Tabla14[[#This Row],[Stock al día]],Tabla14[[#This Row],[Necesidad]])</f>
        <v>0</v>
      </c>
      <c r="AR227" s="3">
        <f>+Tabla14[[#This Row],[Necesidad]]-Tabla14[[#This Row],[Stock Plan]]</f>
        <v>0</v>
      </c>
      <c r="AS227" s="155">
        <f>VLOOKUP(Tabla14[[#This Row],[Sector]]&amp;Tabla14[[#This Row],[Oficina]],[8]Ponderación!$A:$H,8,FALSE)</f>
        <v>44817</v>
      </c>
      <c r="AT227" s="30">
        <f>IFERROR(VLOOKUP(Tabla14[[#This Row],[Llave]],'[6]RV plan de ventas'!$A:$F,6,FALSE),0)</f>
        <v>0</v>
      </c>
      <c r="AU227" s="83">
        <f>IFERROR(VLOOKUP(Tabla14[[#This Row],[Llave]],[9]DELAY!$H:$X,17,FALSE),0)</f>
        <v>0.82894743202416898</v>
      </c>
      <c r="AV22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27" s="5">
        <f>Tabla14[[#This Row],[Pecio plan]]*Tabla14[[#This Row],[Plan Ajustado]]</f>
        <v>0</v>
      </c>
      <c r="AX227" s="30">
        <f>IFERROR(VLOOKUP(Tabla14[[#This Row],[Llave]],'[13]Ultimos precios facturados'!$A:$G,7,FALSE),0)</f>
        <v>0.70593220424209169</v>
      </c>
      <c r="AY22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27" s="30">
        <f>IFERROR(VLOOKUP(Tabla14[[#This Row],[Llave]],Hoja2!B:K,10,FALSE),0)</f>
        <v>0.78</v>
      </c>
      <c r="BA22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27" s="30">
        <v>0</v>
      </c>
      <c r="BC227" s="30">
        <f>IF(Tabla14[[#This Row],[Market]]=0,Tabla14[[#This Row],[Precio Final]],Tabla14[[#This Row],[Market]])</f>
        <v>0</v>
      </c>
      <c r="BD227" s="82"/>
      <c r="BE227" s="82" t="str">
        <f>IF(AND(Tabla14[[#This Row],[Atraso a facturar]]&gt;0,Tabla14[[#This Row],[En puerto a facturar]]&gt;0,Tabla14[[#This Row],[Precio Atraso]]=0),"Revisar","OK")</f>
        <v>OK</v>
      </c>
      <c r="BF227" s="82" t="str">
        <f>IF(AND(Tabla14[[#This Row],[Venta del mes]]&gt;0,Tabla14[[#This Row],[Precio venta nueva]]=0),"Revisar","OK")</f>
        <v>OK</v>
      </c>
      <c r="BG227" s="20">
        <f>IFERROR(VLOOKUP(Tabla14[[#This Row],[Llave]],'[5]Consolidación planes'!$A:$M,9,FALSE),0)</f>
        <v>0</v>
      </c>
      <c r="BH227" s="20">
        <f>IFERROR(VLOOKUP(Tabla14[[#This Row],[Llave]],'[5]Consolidación planes'!$A:$M,10,FALSE),0)</f>
        <v>3000</v>
      </c>
      <c r="BI227" s="20">
        <f>IFERROR(VLOOKUP(Tabla14[[#This Row],[Llave]],'[5]Consolidación planes'!$A:$M,11,FALSE),0)</f>
        <v>0</v>
      </c>
      <c r="BJ227" s="20">
        <f>IFERROR(VLOOKUP(Tabla14[[#This Row],[Llave]],'[5]Consolidación planes'!$A:$M,12,FALSE),0)</f>
        <v>0</v>
      </c>
      <c r="BK227" s="20">
        <f>IFERROR(VLOOKUP(Tabla14[[#This Row],[Llave]],'[5]Consolidación planes'!$A:$M,13,FALSE),0)</f>
        <v>13000</v>
      </c>
      <c r="BL227" s="20">
        <f>IFERROR(VLOOKUP(Tabla14[[#This Row],[Llave]],'[13]Base ultimos planes'!$A:$M,13,FALSE),0)</f>
        <v>10000</v>
      </c>
      <c r="BM227" s="20">
        <f>IFERROR(VLOOKUP(Tabla14[[#This Row],[Llave]],'[13]Cruce plan irrestricto'!$C:$M,10,FALSE),0)</f>
        <v>29000</v>
      </c>
      <c r="BN227" s="20">
        <f>IFERROR(VLOOKUP(Tabla14[[#This Row],[Llave]],'[13]Cruce plan irrestricto'!$C:$M,11,FALSE),0)</f>
        <v>29000</v>
      </c>
      <c r="BO227" s="80">
        <f>IFERROR(VLOOKUP(Tabla14[[#This Row],[Llave]],'[13]Base ultimos planes'!$O:$AA,8,FALSE),0)</f>
        <v>0</v>
      </c>
      <c r="BP227" s="20">
        <f>IFERROR(VLOOKUP(Tabla14[[#This Row],[Llave]],'[13]Base ultimos planes'!$O:$AA,9,FALSE),0)</f>
        <v>1790</v>
      </c>
      <c r="BQ227" s="20">
        <f>IFERROR(VLOOKUP(Tabla14[[#This Row],[Llave]],'[13]Base ultimos planes'!$O:$AA,10,FALSE),0)</f>
        <v>0</v>
      </c>
      <c r="BR227" s="20">
        <f>IFERROR(VLOOKUP(Tabla14[[#This Row],[Llave]],'[13]Base ultimos planes'!$O:$AA,11,FALSE),0)</f>
        <v>0</v>
      </c>
      <c r="BS227" s="20">
        <f>IFERROR(VLOOKUP(Tabla14[[#This Row],[Llave]],'[13]Base ultimos planes'!$O:$AA,12,FALSE),0)</f>
        <v>10310</v>
      </c>
      <c r="BT227" s="20">
        <f>IFERROR(VLOOKUP(Tabla14[[#This Row],[Llave]],'[13]Base ultimos planes'!$O:$AA,13,FALSE),0)</f>
        <v>7859</v>
      </c>
      <c r="BU227" s="20"/>
      <c r="BV227" s="20">
        <f>Tabla14[[#This Row],[ RV Producción mes n+1]]-Tabla14[[#This Row],[Producción disponible]]+Tabla14[[#This Row],[Saldo Volumen disponible]]</f>
        <v>9810</v>
      </c>
      <c r="BW227" s="20">
        <f>IFERROR(VLOOKUP(Tabla14[[#This Row],[Llave]],[14]Hoja2!$J:$N,4,FALSE),0)</f>
        <v>0</v>
      </c>
      <c r="BX227" s="20">
        <f>+Tabla14[[#This Row],[Asignación mes n+1]]*Tabla14[[#This Row],[% Uti. producción]]</f>
        <v>0</v>
      </c>
      <c r="BY227" s="20">
        <f>+Tabla14[[#This Row],[Ponderación mes n+1]]+Tabla14[[#This Row],[Saldo mes n-1]]</f>
        <v>9810</v>
      </c>
      <c r="BZ227" s="20">
        <f>+Tabla14[[#This Row],[Asignación mes n+1]]-Tabla14[[#This Row],[Ponderación mes n+1]]</f>
        <v>0</v>
      </c>
      <c r="CA227" s="20">
        <f>IFERROR(VLOOKUP(Tabla14[[#This Row],[Llave]],[14]Hoja2!$J:$N,5,FALSE),0)</f>
        <v>0</v>
      </c>
      <c r="CB227" s="20">
        <f>+Tabla14[[#This Row],[Asignación mes n+2]]*Tabla14[[#This Row],[% Uti. producción]]</f>
        <v>0</v>
      </c>
      <c r="CC227" s="20">
        <f>+Tabla14[[#This Row],[Saldo mes n+2]]+Tabla14[[#This Row],[Ponderación mes n+2]]</f>
        <v>0</v>
      </c>
      <c r="CD227" s="20">
        <f>+Tabla14[[#This Row],[Asignación mes n+2]]-Tabla14[[#This Row],[Ponderación mes n+2]]</f>
        <v>0</v>
      </c>
    </row>
    <row r="228" spans="1:82" ht="16" x14ac:dyDescent="0.2">
      <c r="A228">
        <v>1</v>
      </c>
      <c r="B228" t="str">
        <f>Tabla14[[#This Row],[Oficina]]&amp;Tabla14[[#This Row],[Material]]</f>
        <v>Agro Sudamerica1012552</v>
      </c>
      <c r="C228" t="s">
        <v>227</v>
      </c>
      <c r="D228" t="s">
        <v>17</v>
      </c>
      <c r="E228">
        <v>1012552</v>
      </c>
      <c r="F228" t="s">
        <v>251</v>
      </c>
      <c r="G228" t="s">
        <v>247</v>
      </c>
      <c r="H228" t="s">
        <v>248</v>
      </c>
      <c r="I228" s="7">
        <f>IFERROR(IF(Tabla14[[#This Row],[Oficina]]=$I$7,VLOOKUP(Tabla14[[#This Row],[Material]],'[6]RV Producción'!$Y:$AA,3,FALSE),VLOOKUP(Tabla14[[#This Row],[Llave]],'[6]RV Producción'!$C:$G,5,FALSE)),0)</f>
        <v>390</v>
      </c>
      <c r="J228" s="7">
        <f>IFERROR(IF(Tabla14[[#This Row],[Oficina]]=$I$7,VLOOKUP(Tabla14[[#This Row],[Llave]],'[7]Shangai (Tomas)'!$A:$F,6,FALSE),VLOOKUP(Tabla14[[#This Row],[Llave]],'[6]RV plan de ventas'!$A:$E,5,FALSE)),0)</f>
        <v>0</v>
      </c>
      <c r="K228" s="8">
        <f>IFERROR(VLOOKUP(Tabla14[[#This Row],[Sector]]&amp;Tabla14[[#This Row],[Oficina]],[8]Ponderación!$A$3:$G$22,7,FALSE),0)</f>
        <v>0.47745072632608576</v>
      </c>
      <c r="L228" s="7">
        <f>+Tabla14[[#This Row],[ RV Producción mes n+1]]*Tabla14[[#This Row],[% Uti. producción]]</f>
        <v>186.20578326717344</v>
      </c>
      <c r="M228" s="7">
        <f>IFERROR(VLOOKUP(Tabla14[[#This Row],[Material]],'[9]TD Stock'!$B:$C,2,FALSE),0)</f>
        <v>80700</v>
      </c>
      <c r="N228" s="7">
        <f>IFERROR(VLOOKUP(Tabla14[[#This Row],[Material]],'[10]Consolidado planificación'!$B:$C,2,FALSE),0)</f>
        <v>0</v>
      </c>
      <c r="O228" s="7">
        <f>IFERROR(VLOOKUP(Tabla14[[#This Row],[Llave]],[11]Hoja2!$D:$G,4,FALSE),0)</f>
        <v>24000</v>
      </c>
      <c r="P228" s="14">
        <f>SUM(Tabla14[[#This Row],[Producción disponible]],Tabla14[[#This Row],[Stock al día]],(Tabla14[[#This Row],[Por producir mes N]]*0.9))-Tabla14[[#This Row],[Producción por despachar mes N]]</f>
        <v>56886.205783267171</v>
      </c>
      <c r="Q228" s="7">
        <f>IFERROR(VLOOKUP(Tabla14[[#This Row],[Llave]],[9]DELAY!$A:$D,4,FALSE),0)</f>
        <v>57000</v>
      </c>
      <c r="R228" s="9">
        <v>23000</v>
      </c>
      <c r="S228" s="5">
        <f t="shared" si="8"/>
        <v>46000</v>
      </c>
      <c r="T228" s="76">
        <v>0</v>
      </c>
      <c r="U228" s="5">
        <f>+Tabla14[[#This Row],[Atraso a facturar]]+Tabla14[[#This Row],[Ajuste atraso]]</f>
        <v>46000</v>
      </c>
      <c r="V228" s="3">
        <f>+Tabla14[[#This Row],[Total disponible]]-Tabla14[[#This Row],[Facturación atraso]]</f>
        <v>10886.205783267171</v>
      </c>
      <c r="W228" s="6">
        <f>IFERROR(IF(AND(V228&gt;R228,J228&gt;=R228),ROUNDDOWN((Tabla14[[#This Row],[Producción para venta nueva]])/R228,0)*R228,0),0)</f>
        <v>0</v>
      </c>
      <c r="X228" s="76">
        <v>0</v>
      </c>
      <c r="Y228" s="6">
        <f>IF(Tabla14[[#This Row],[Venta del mes]]&gt;0,Tabla14[[#This Row],[Venta del mes]]+Tabla14[[#This Row],[Ajuste venta nueva]],0)</f>
        <v>0</v>
      </c>
      <c r="Z228" s="6">
        <f>+Tabla14[[#This Row],[Producción para venta nueva]]-Tabla14[[#This Row],[Facturación Venta nueva]]</f>
        <v>10886.205783267171</v>
      </c>
      <c r="AA228" s="6">
        <f>IF(AND(A228=1,Tabla14[[#This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8" s="6">
        <v>0</v>
      </c>
      <c r="AC228" s="6">
        <f>IF(Tabla14[[#This Row],[Disponible stock sin venta]]&gt;0,Tabla14[[#This Row],[Disponible stock sin venta]]+Tabla14[[#This Row],[Ajuste stock sin venta]],0)</f>
        <v>0</v>
      </c>
      <c r="AD228" s="3">
        <f>IFERROR(VLOOKUP(Tabla14[[#This Row],[Llave]],[12]Hoja1!$A:$D,4,FALSE),0)</f>
        <v>0</v>
      </c>
      <c r="AE22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46000</v>
      </c>
      <c r="AF228" s="3">
        <v>46000</v>
      </c>
      <c r="AG228" s="3">
        <f>+Tabla14[[#This Row],[En puerto a facturar]]</f>
        <v>0</v>
      </c>
      <c r="AH228" s="3">
        <f>+Tabla14[[#This Row],[Facturación atraso]]</f>
        <v>46000</v>
      </c>
      <c r="AI228" s="3">
        <f>+Tabla14[[#This Row],[Plan Irrestricto (DATO)]]-Tabla14[[#This Row],[Puerto ]]-Tabla14[[#This Row],[Atraso]]</f>
        <v>0</v>
      </c>
      <c r="AJ228" s="6">
        <f>IF(Tabla14[[#This Row],[Plan Irrestricto (DATO)]]&gt;0,SUM(Tabla14[[#This Row],[Facturación atraso]],Tabla14[[#This Row],[Facturación Venta nueva]],Tabla14[[#This Row],[Facturación stock]],Tabla14[[#This Row],[En puerto a facturar]]),0)</f>
        <v>46000</v>
      </c>
      <c r="AK228" s="3">
        <f>+Tabla14[[#This Row],[Facturación atraso]]</f>
        <v>46000</v>
      </c>
      <c r="AL228" s="3">
        <f>Tabla14[[#This Row],[Plan Ajustado]]-Tabla14[[#This Row],[ Atraso ajustado]]-Tabla14[[#This Row],[En puerto a facturar]]</f>
        <v>0</v>
      </c>
      <c r="AM228" s="3">
        <v>0</v>
      </c>
      <c r="AN228" s="3" t="s">
        <v>636</v>
      </c>
      <c r="AO228" s="3" t="str">
        <f>IF(Tabla14[[#This Row],[Plan Ajustado]]&gt;Tabla14[[#This Row],[En puerto a facturar]],"Si","No")</f>
        <v>Si</v>
      </c>
      <c r="AP228" s="3">
        <f>IF(AND(Tabla14[[#This Row],[Plan Ajustado]]&gt;0,Tabla14[[#This Row],[Plan Ajustado]]&gt;Tabla14[[#This Row],[En puerto a facturar]]),(Tabla14[[#This Row],[Plan Ajustado]]-Tabla14[[#This Row],[En puerto a facturar]]),0)</f>
        <v>46000</v>
      </c>
      <c r="AQ228" s="3">
        <f>IF(Tabla14[[#This Row],[Necesidad]]&gt;=Tabla14[[#This Row],[Stock al día]],Tabla14[[#This Row],[Stock al día]],Tabla14[[#This Row],[Necesidad]])</f>
        <v>46000</v>
      </c>
      <c r="AR228" s="3">
        <f>+Tabla14[[#This Row],[Necesidad]]-Tabla14[[#This Row],[Stock Plan]]</f>
        <v>0</v>
      </c>
      <c r="AS228" s="155">
        <f>VLOOKUP(Tabla14[[#This Row],[Sector]]&amp;Tabla14[[#This Row],[Oficina]],[8]Ponderación!$A:$H,8,FALSE)</f>
        <v>44817</v>
      </c>
      <c r="AT228" s="30">
        <f>IFERROR(VLOOKUP(Tabla14[[#This Row],[Llave]],'[6]RV plan de ventas'!$A:$F,6,FALSE),0)</f>
        <v>0</v>
      </c>
      <c r="AU228" s="83">
        <f>IFERROR(VLOOKUP(Tabla14[[#This Row],[Llave]],[9]DELAY!$H:$X,17,FALSE),0)</f>
        <v>3.6469135802469101</v>
      </c>
      <c r="AV22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3.6469135802469101</v>
      </c>
      <c r="AW228" s="5">
        <f>Tabla14[[#This Row],[Pecio plan]]*Tabla14[[#This Row],[Plan Ajustado]]</f>
        <v>161000</v>
      </c>
      <c r="AX228" s="30">
        <f>IFERROR(VLOOKUP(Tabla14[[#This Row],[Llave]],'[13]Ultimos precios facturados'!$A:$G,7,FALSE),0)</f>
        <v>4.0301468478826594</v>
      </c>
      <c r="AY22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9.5091638617855981E-2</v>
      </c>
      <c r="AZ228" s="30">
        <f>IFERROR(VLOOKUP(Tabla14[[#This Row],[Llave]],Hoja2!B:K,10,FALSE),0)</f>
        <v>3.45</v>
      </c>
      <c r="BA22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3.6469135802469101</v>
      </c>
      <c r="BB228" s="30">
        <v>3.5</v>
      </c>
      <c r="BC228" s="30">
        <f>IF(Tabla14[[#This Row],[Market]]=0,Tabla14[[#This Row],[Precio Final]],Tabla14[[#This Row],[Market]])</f>
        <v>3.5</v>
      </c>
      <c r="BD228" s="82"/>
      <c r="BE228" s="82" t="str">
        <f>IF(AND(Tabla14[[#This Row],[Atraso a facturar]]&gt;0,Tabla14[[#This Row],[En puerto a facturar]]&gt;0,Tabla14[[#This Row],[Precio Atraso]]=0),"Revisar","OK")</f>
        <v>OK</v>
      </c>
      <c r="BF228" s="82" t="str">
        <f>IF(AND(Tabla14[[#This Row],[Venta del mes]]&gt;0,Tabla14[[#This Row],[Precio venta nueva]]=0),"Revisar","OK")</f>
        <v>OK</v>
      </c>
      <c r="BG228" s="20">
        <f>IFERROR(VLOOKUP(Tabla14[[#This Row],[Llave]],'[5]Consolidación planes'!$A:$M,9,FALSE),0)</f>
        <v>48000</v>
      </c>
      <c r="BH228" s="20">
        <f>IFERROR(VLOOKUP(Tabla14[[#This Row],[Llave]],'[5]Consolidación planes'!$A:$M,10,FALSE),0)</f>
        <v>48000</v>
      </c>
      <c r="BI228" s="20">
        <f>IFERROR(VLOOKUP(Tabla14[[#This Row],[Llave]],'[5]Consolidación planes'!$A:$M,11,FALSE),0)</f>
        <v>48000</v>
      </c>
      <c r="BJ228" s="20">
        <f>IFERROR(VLOOKUP(Tabla14[[#This Row],[Llave]],'[5]Consolidación planes'!$A:$M,12,FALSE),0)</f>
        <v>24000</v>
      </c>
      <c r="BK228" s="20">
        <f>IFERROR(VLOOKUP(Tabla14[[#This Row],[Llave]],'[5]Consolidación planes'!$A:$M,13,FALSE),0)</f>
        <v>72000</v>
      </c>
      <c r="BL228" s="20">
        <f>IFERROR(VLOOKUP(Tabla14[[#This Row],[Llave]],'[13]Base ultimos planes'!$A:$M,13,FALSE),0)</f>
        <v>46000</v>
      </c>
      <c r="BM228" s="20">
        <f>IFERROR(VLOOKUP(Tabla14[[#This Row],[Llave]],'[13]Cruce plan irrestricto'!$C:$M,10,FALSE),0)</f>
        <v>0</v>
      </c>
      <c r="BN228" s="20">
        <f>IFERROR(VLOOKUP(Tabla14[[#This Row],[Llave]],'[13]Cruce plan irrestricto'!$C:$M,11,FALSE),0)</f>
        <v>47000</v>
      </c>
      <c r="BO228" s="80">
        <f>IFERROR(VLOOKUP(Tabla14[[#This Row],[Llave]],'[13]Base ultimos planes'!$O:$AA,8,FALSE),0)</f>
        <v>168000</v>
      </c>
      <c r="BP228" s="20">
        <f>IFERROR(VLOOKUP(Tabla14[[#This Row],[Llave]],'[13]Base ultimos planes'!$O:$AA,9,FALSE),0)</f>
        <v>176400</v>
      </c>
      <c r="BQ228" s="20">
        <f>IFERROR(VLOOKUP(Tabla14[[#This Row],[Llave]],'[13]Base ultimos planes'!$O:$AA,10,FALSE),0)</f>
        <v>194629</v>
      </c>
      <c r="BR228" s="20">
        <f>IFERROR(VLOOKUP(Tabla14[[#This Row],[Llave]],'[13]Base ultimos planes'!$O:$AA,11,FALSE),0)</f>
        <v>94080</v>
      </c>
      <c r="BS228" s="20">
        <f>IFERROR(VLOOKUP(Tabla14[[#This Row],[Llave]],'[13]Base ultimos planes'!$O:$AA,12,FALSE),0)</f>
        <v>321014</v>
      </c>
      <c r="BT228" s="20">
        <f>IFERROR(VLOOKUP(Tabla14[[#This Row],[Llave]],'[13]Base ultimos planes'!$O:$AA,13,FALSE),0)</f>
        <v>207000</v>
      </c>
      <c r="BU228" s="20"/>
      <c r="BV228" s="20">
        <f>Tabla14[[#This Row],[ RV Producción mes n+1]]-Tabla14[[#This Row],[Producción disponible]]+Tabla14[[#This Row],[Saldo Volumen disponible]]</f>
        <v>11089.999999999998</v>
      </c>
      <c r="BW228" s="20">
        <f>IFERROR(VLOOKUP(Tabla14[[#This Row],[Llave]],[14]Hoja2!$J:$N,4,FALSE),0)</f>
        <v>0</v>
      </c>
      <c r="BX228" s="20">
        <f>+Tabla14[[#This Row],[Asignación mes n+1]]*Tabla14[[#This Row],[% Uti. producción]]</f>
        <v>0</v>
      </c>
      <c r="BY228" s="20">
        <f>+Tabla14[[#This Row],[Ponderación mes n+1]]+Tabla14[[#This Row],[Saldo mes n-1]]</f>
        <v>11089.999999999998</v>
      </c>
      <c r="BZ228" s="20">
        <f>+Tabla14[[#This Row],[Asignación mes n+1]]-Tabla14[[#This Row],[Ponderación mes n+1]]</f>
        <v>0</v>
      </c>
      <c r="CA228" s="20">
        <f>IFERROR(VLOOKUP(Tabla14[[#This Row],[Llave]],[14]Hoja2!$J:$N,5,FALSE),0)</f>
        <v>0</v>
      </c>
      <c r="CB228" s="20">
        <f>+Tabla14[[#This Row],[Asignación mes n+2]]*Tabla14[[#This Row],[% Uti. producción]]</f>
        <v>0</v>
      </c>
      <c r="CC228" s="20">
        <f>+Tabla14[[#This Row],[Saldo mes n+2]]+Tabla14[[#This Row],[Ponderación mes n+2]]</f>
        <v>0</v>
      </c>
      <c r="CD228" s="20">
        <f>+Tabla14[[#This Row],[Asignación mes n+2]]-Tabla14[[#This Row],[Ponderación mes n+2]]</f>
        <v>0</v>
      </c>
    </row>
    <row r="229" spans="1:82" ht="16" x14ac:dyDescent="0.2">
      <c r="A229">
        <v>1</v>
      </c>
      <c r="B229" t="str">
        <f>Tabla14[[#This Row],[Oficina]]&amp;Tabla14[[#This Row],[Material]]</f>
        <v>Agro Sudamerica1012556</v>
      </c>
      <c r="C229" t="s">
        <v>227</v>
      </c>
      <c r="D229" t="s">
        <v>17</v>
      </c>
      <c r="E229">
        <v>1012556</v>
      </c>
      <c r="F229" t="s">
        <v>235</v>
      </c>
      <c r="G229" t="s">
        <v>233</v>
      </c>
      <c r="H229" t="s">
        <v>234</v>
      </c>
      <c r="I229" s="7">
        <f>IFERROR(IF(Tabla14[[#This Row],[Oficina]]=$I$7,VLOOKUP(Tabla14[[#This Row],[Material]],'[6]RV Producción'!$Y:$AA,3,FALSE),VLOOKUP(Tabla14[[#This Row],[Llave]],'[6]RV Producción'!$C:$G,5,FALSE)),0)</f>
        <v>240000</v>
      </c>
      <c r="J229" s="7">
        <f>IFERROR(IF(Tabla14[[#This Row],[Oficina]]=$I$7,VLOOKUP(Tabla14[[#This Row],[Llave]],'[7]Shangai (Tomas)'!$A:$F,6,FALSE),VLOOKUP(Tabla14[[#This Row],[Llave]],'[6]RV plan de ventas'!$A:$E,5,FALSE)),0)</f>
        <v>153862</v>
      </c>
      <c r="K229" s="8">
        <f>IFERROR(VLOOKUP(Tabla14[[#This Row],[Sector]]&amp;Tabla14[[#This Row],[Oficina]],[8]Ponderación!$A$3:$G$22,7,FALSE),0)</f>
        <v>0.47745072632608576</v>
      </c>
      <c r="L229" s="7">
        <f>+Tabla14[[#This Row],[ RV Producción mes n+1]]*Tabla14[[#This Row],[% Uti. producción]]</f>
        <v>114588.17431826059</v>
      </c>
      <c r="M229" s="7">
        <f>IFERROR(VLOOKUP(Tabla14[[#This Row],[Material]],'[9]TD Stock'!$B:$C,2,FALSE),0)</f>
        <v>34016.912000000004</v>
      </c>
      <c r="N229" s="7">
        <f>IFERROR(VLOOKUP(Tabla14[[#This Row],[Material]],'[10]Consolidado planificación'!$B:$C,2,FALSE),0)</f>
        <v>45000</v>
      </c>
      <c r="O229" s="7">
        <f>IFERROR(VLOOKUP(Tabla14[[#This Row],[Llave]],[11]Hoja2!$D:$G,4,FALSE),0)</f>
        <v>0</v>
      </c>
      <c r="P229" s="14">
        <f>SUM(Tabla14[[#This Row],[Producción disponible]],Tabla14[[#This Row],[Stock al día]],(Tabla14[[#This Row],[Por producir mes N]]*0.9))-Tabla14[[#This Row],[Producción por despachar mes N]]</f>
        <v>189105.08631826058</v>
      </c>
      <c r="Q229" s="7">
        <f>IFERROR(VLOOKUP(Tabla14[[#This Row],[Llave]],[9]DELAY!$A:$D,4,FALSE),0)</f>
        <v>120000</v>
      </c>
      <c r="R229" s="9">
        <v>23000</v>
      </c>
      <c r="S229" s="5">
        <f t="shared" si="8"/>
        <v>120000</v>
      </c>
      <c r="T229" s="76">
        <v>0</v>
      </c>
      <c r="U229" s="5">
        <f>+Tabla14[[#This Row],[Atraso a facturar]]+Tabla14[[#This Row],[Ajuste atraso]]</f>
        <v>120000</v>
      </c>
      <c r="V229" s="3">
        <f>+Tabla14[[#This Row],[Total disponible]]-Tabla14[[#This Row],[Facturación atraso]]</f>
        <v>69105.086318260583</v>
      </c>
      <c r="W229" s="6">
        <f>IFERROR(IF(AND(V229&gt;R229,J229&gt;=R229),ROUNDDOWN((Tabla14[[#This Row],[Producción para venta nueva]])/R229,0)*R229,0),0)</f>
        <v>69000</v>
      </c>
      <c r="X229" s="76">
        <v>-69000</v>
      </c>
      <c r="Y229" s="6">
        <f>IF(Tabla14[[#This Row],[Venta del mes]]&gt;0,Tabla14[[#This Row],[Venta del mes]]+Tabla14[[#This Row],[Ajuste venta nueva]],0)</f>
        <v>0</v>
      </c>
      <c r="Z229" s="6">
        <f>+Tabla14[[#This Row],[Producción para venta nueva]]-Tabla14[[#This Row],[Facturación Venta nueva]]</f>
        <v>69105.086318260583</v>
      </c>
      <c r="AA229" s="6">
        <f>IF(AND(A229=1,Tabla14[[#This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29" s="6">
        <v>0</v>
      </c>
      <c r="AC229" s="6">
        <f>IF(Tabla14[[#This Row],[Disponible stock sin venta]]&gt;0,Tabla14[[#This Row],[Disponible stock sin venta]]+Tabla14[[#This Row],[Ajuste stock sin venta]],0)</f>
        <v>0</v>
      </c>
      <c r="AD229" s="3">
        <f>IFERROR(VLOOKUP(Tabla14[[#This Row],[Llave]],[12]Hoja1!$A:$D,4,FALSE),0)</f>
        <v>52002.509999999995</v>
      </c>
      <c r="AE22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241002.51</v>
      </c>
      <c r="AF229" s="3">
        <v>241002.51</v>
      </c>
      <c r="AG229" s="3">
        <f>+Tabla14[[#This Row],[En puerto a facturar]]</f>
        <v>52002.509999999995</v>
      </c>
      <c r="AH229" s="3">
        <f>+Tabla14[[#This Row],[Facturación atraso]]</f>
        <v>120000</v>
      </c>
      <c r="AI229" s="3">
        <f>+Tabla14[[#This Row],[Plan Irrestricto (DATO)]]-Tabla14[[#This Row],[Puerto ]]-Tabla14[[#This Row],[Atraso]]</f>
        <v>69000</v>
      </c>
      <c r="AJ229" s="6">
        <f>IF(Tabla14[[#This Row],[Plan Irrestricto (DATO)]]&gt;0,SUM(Tabla14[[#This Row],[Facturación atraso]],Tabla14[[#This Row],[Facturación Venta nueva]],Tabla14[[#This Row],[Facturación stock]],Tabla14[[#This Row],[En puerto a facturar]]),0)</f>
        <v>172002.51</v>
      </c>
      <c r="AK229" s="3">
        <f>+Tabla14[[#This Row],[Facturación atraso]]</f>
        <v>120000</v>
      </c>
      <c r="AL229" s="3">
        <f>Tabla14[[#This Row],[Plan Ajustado]]-Tabla14[[#This Row],[ Atraso ajustado]]-Tabla14[[#This Row],[En puerto a facturar]]</f>
        <v>0</v>
      </c>
      <c r="AM229" s="3" t="s">
        <v>903</v>
      </c>
      <c r="AN229" s="3" t="s">
        <v>896</v>
      </c>
      <c r="AO229" s="3" t="str">
        <f>IF(Tabla14[[#This Row],[Plan Ajustado]]&gt;Tabla14[[#This Row],[En puerto a facturar]],"Si","No")</f>
        <v>Si</v>
      </c>
      <c r="AP229" s="3">
        <f>IF(AND(Tabla14[[#This Row],[Plan Ajustado]]&gt;0,Tabla14[[#This Row],[Plan Ajustado]]&gt;Tabla14[[#This Row],[En puerto a facturar]]),(Tabla14[[#This Row],[Plan Ajustado]]-Tabla14[[#This Row],[En puerto a facturar]]),0)</f>
        <v>120000.00000000001</v>
      </c>
      <c r="AQ229" s="3">
        <f>IF(Tabla14[[#This Row],[Necesidad]]&gt;=Tabla14[[#This Row],[Stock al día]],Tabla14[[#This Row],[Stock al día]],Tabla14[[#This Row],[Necesidad]])</f>
        <v>34016.912000000004</v>
      </c>
      <c r="AR229" s="3">
        <f>+Tabla14[[#This Row],[Necesidad]]-Tabla14[[#This Row],[Stock Plan]]</f>
        <v>85983.088000000018</v>
      </c>
      <c r="AS229" s="155">
        <f>VLOOKUP(Tabla14[[#This Row],[Sector]]&amp;Tabla14[[#This Row],[Oficina]],[8]Ponderación!$A:$H,8,FALSE)</f>
        <v>44817</v>
      </c>
      <c r="AT229" s="30">
        <f>IFERROR(VLOOKUP(Tabla14[[#This Row],[Llave]],'[6]RV plan de ventas'!$A:$F,6,FALSE),0)</f>
        <v>0.98666987300308095</v>
      </c>
      <c r="AU229" s="83">
        <f>IFERROR(VLOOKUP(Tabla14[[#This Row],[Llave]],[9]DELAY!$H:$X,17,FALSE),0)</f>
        <v>1.07557083333333</v>
      </c>
      <c r="AV22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1.07557083333333</v>
      </c>
      <c r="AW229" s="5">
        <f>Tabla14[[#This Row],[Pecio plan]]*Tabla14[[#This Row],[Plan Ajustado]]</f>
        <v>172002.51</v>
      </c>
      <c r="AX229" s="30">
        <f>IFERROR(VLOOKUP(Tabla14[[#This Row],[Llave]],'[13]Ultimos precios facturados'!$A:$G,7,FALSE),0)</f>
        <v>1.0177098867856129</v>
      </c>
      <c r="AY22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5.6854067449878178E-2</v>
      </c>
      <c r="AZ229" s="30">
        <f>IFERROR(VLOOKUP(Tabla14[[#This Row],[Llave]],Hoja2!B:K,10,FALSE),0)</f>
        <v>0.97025163246268653</v>
      </c>
      <c r="BA22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1.07557083333333</v>
      </c>
      <c r="BB229" s="30">
        <v>1</v>
      </c>
      <c r="BC229" s="30">
        <f>IF(Tabla14[[#This Row],[Market]]=0,Tabla14[[#This Row],[Precio Final]],Tabla14[[#This Row],[Market]])</f>
        <v>1</v>
      </c>
      <c r="BD229" s="82"/>
      <c r="BE229" s="82" t="str">
        <f>IF(AND(Tabla14[[#This Row],[Atraso a facturar]]&gt;0,Tabla14[[#This Row],[En puerto a facturar]]&gt;0,Tabla14[[#This Row],[Precio Atraso]]=0),"Revisar","OK")</f>
        <v>OK</v>
      </c>
      <c r="BF229" s="82" t="str">
        <f>IF(AND(Tabla14[[#This Row],[Venta del mes]]&gt;0,Tabla14[[#This Row],[Precio venta nueva]]=0),"Revisar","OK")</f>
        <v>OK</v>
      </c>
      <c r="BG229" s="20">
        <f>IFERROR(VLOOKUP(Tabla14[[#This Row],[Llave]],'[5]Consolidación planes'!$A:$M,9,FALSE),0)</f>
        <v>0</v>
      </c>
      <c r="BH229" s="20">
        <f>IFERROR(VLOOKUP(Tabla14[[#This Row],[Llave]],'[5]Consolidación planes'!$A:$M,10,FALSE),0)</f>
        <v>0</v>
      </c>
      <c r="BI229" s="20">
        <f>IFERROR(VLOOKUP(Tabla14[[#This Row],[Llave]],'[5]Consolidación planes'!$A:$M,11,FALSE),0)</f>
        <v>24000</v>
      </c>
      <c r="BJ229" s="20">
        <f>IFERROR(VLOOKUP(Tabla14[[#This Row],[Llave]],'[5]Consolidación planes'!$A:$M,12,FALSE),0)</f>
        <v>72000</v>
      </c>
      <c r="BK229" s="20">
        <f>IFERROR(VLOOKUP(Tabla14[[#This Row],[Llave]],'[5]Consolidación planes'!$A:$M,13,FALSE),0)</f>
        <v>48000</v>
      </c>
      <c r="BL229" s="20">
        <f>IFERROR(VLOOKUP(Tabla14[[#This Row],[Llave]],'[13]Base ultimos planes'!$A:$M,13,FALSE),0)</f>
        <v>0</v>
      </c>
      <c r="BM229" s="20">
        <f>IFERROR(VLOOKUP(Tabla14[[#This Row],[Llave]],'[13]Cruce plan irrestricto'!$C:$M,10,FALSE),0)</f>
        <v>96000</v>
      </c>
      <c r="BN229" s="20">
        <f>IFERROR(VLOOKUP(Tabla14[[#This Row],[Llave]],'[13]Cruce plan irrestricto'!$C:$M,11,FALSE),0)</f>
        <v>268000</v>
      </c>
      <c r="BO229" s="80">
        <f>IFERROR(VLOOKUP(Tabla14[[#This Row],[Llave]],'[13]Base ultimos planes'!$O:$AA,8,FALSE),0)</f>
        <v>0</v>
      </c>
      <c r="BP229" s="20">
        <f>IFERROR(VLOOKUP(Tabla14[[#This Row],[Llave]],'[13]Base ultimos planes'!$O:$AA,9,FALSE),0)</f>
        <v>0</v>
      </c>
      <c r="BQ229" s="20">
        <f>IFERROR(VLOOKUP(Tabla14[[#This Row],[Llave]],'[13]Base ultimos planes'!$O:$AA,10,FALSE),0)</f>
        <v>18950</v>
      </c>
      <c r="BR229" s="20">
        <f>IFERROR(VLOOKUP(Tabla14[[#This Row],[Llave]],'[13]Base ultimos planes'!$O:$AA,11,FALSE),0)</f>
        <v>57600</v>
      </c>
      <c r="BS229" s="20">
        <f>IFERROR(VLOOKUP(Tabla14[[#This Row],[Llave]],'[13]Base ultimos planes'!$O:$AA,12,FALSE),0)</f>
        <v>38400</v>
      </c>
      <c r="BT229" s="20">
        <f>IFERROR(VLOOKUP(Tabla14[[#This Row],[Llave]],'[13]Base ultimos planes'!$O:$AA,13,FALSE),0)</f>
        <v>0</v>
      </c>
      <c r="BU229" s="20"/>
      <c r="BV229" s="20">
        <f>Tabla14[[#This Row],[ RV Producción mes n+1]]-Tabla14[[#This Row],[Producción disponible]]+Tabla14[[#This Row],[Saldo Volumen disponible]]</f>
        <v>194516.91200000001</v>
      </c>
      <c r="BW229" s="20">
        <f>IFERROR(VLOOKUP(Tabla14[[#This Row],[Llave]],[14]Hoja2!$J:$N,4,FALSE),0)</f>
        <v>228000</v>
      </c>
      <c r="BX229" s="20">
        <f>+Tabla14[[#This Row],[Asignación mes n+1]]*Tabla14[[#This Row],[% Uti. producción]]</f>
        <v>108858.76560234756</v>
      </c>
      <c r="BY229" s="20">
        <f>+Tabla14[[#This Row],[Ponderación mes n+1]]+Tabla14[[#This Row],[Saldo mes n-1]]</f>
        <v>303375.67760234757</v>
      </c>
      <c r="BZ229" s="20">
        <f>+Tabla14[[#This Row],[Asignación mes n+1]]-Tabla14[[#This Row],[Ponderación mes n+1]]</f>
        <v>119141.23439765244</v>
      </c>
      <c r="CA229" s="20">
        <f>IFERROR(VLOOKUP(Tabla14[[#This Row],[Llave]],[14]Hoja2!$J:$N,5,FALSE),0)</f>
        <v>240000</v>
      </c>
      <c r="CB229" s="20">
        <f>+Tabla14[[#This Row],[Asignación mes n+2]]*Tabla14[[#This Row],[% Uti. producción]]</f>
        <v>114588.17431826059</v>
      </c>
      <c r="CC229" s="20">
        <f>+Tabla14[[#This Row],[Saldo mes n+2]]+Tabla14[[#This Row],[Ponderación mes n+2]]</f>
        <v>233729.40871591301</v>
      </c>
      <c r="CD229" s="20">
        <f>+Tabla14[[#This Row],[Asignación mes n+2]]-Tabla14[[#This Row],[Ponderación mes n+2]]</f>
        <v>125411.82568173941</v>
      </c>
    </row>
    <row r="230" spans="1:82" ht="16" x14ac:dyDescent="0.2">
      <c r="A230">
        <v>1</v>
      </c>
      <c r="B230" t="str">
        <f>Tabla14[[#This Row],[Oficina]]&amp;Tabla14[[#This Row],[Material]]</f>
        <v>Agro Sudamerica1012602</v>
      </c>
      <c r="C230" t="s">
        <v>227</v>
      </c>
      <c r="D230" t="s">
        <v>17</v>
      </c>
      <c r="E230">
        <v>1012602</v>
      </c>
      <c r="F230" t="s">
        <v>232</v>
      </c>
      <c r="G230" t="s">
        <v>205</v>
      </c>
      <c r="H230" t="s">
        <v>231</v>
      </c>
      <c r="I230" s="7">
        <f>IFERROR(IF(Tabla14[[#This Row],[Oficina]]=$I$7,VLOOKUP(Tabla14[[#This Row],[Material]],'[6]RV Producción'!$Y:$AA,3,FALSE),VLOOKUP(Tabla14[[#This Row],[Llave]],'[6]RV Producción'!$C:$G,5,FALSE)),0)</f>
        <v>0</v>
      </c>
      <c r="J230" s="7">
        <f>IFERROR(IF(Tabla14[[#This Row],[Oficina]]=$I$7,VLOOKUP(Tabla14[[#This Row],[Llave]],'[7]Shangai (Tomas)'!$A:$F,6,FALSE),VLOOKUP(Tabla14[[#This Row],[Llave]],'[6]RV plan de ventas'!$A:$E,5,FALSE)),0)</f>
        <v>0</v>
      </c>
      <c r="K230" s="8">
        <f>IFERROR(VLOOKUP(Tabla14[[#This Row],[Sector]]&amp;Tabla14[[#This Row],[Oficina]],[8]Ponderación!$A$3:$G$22,7,FALSE),0)</f>
        <v>0.47745072632608576</v>
      </c>
      <c r="L230" s="7">
        <f>+Tabla14[[#This Row],[ RV Producción mes n+1]]*Tabla14[[#This Row],[% Uti. producción]]</f>
        <v>0</v>
      </c>
      <c r="M230" s="7">
        <f>IFERROR(VLOOKUP(Tabla14[[#This Row],[Material]],'[9]TD Stock'!$B:$C,2,FALSE),0)</f>
        <v>0</v>
      </c>
      <c r="N230" s="7">
        <f>IFERROR(VLOOKUP(Tabla14[[#This Row],[Material]],'[10]Consolidado planificación'!$B:$C,2,FALSE),0)</f>
        <v>0</v>
      </c>
      <c r="O230" s="7">
        <f>IFERROR(VLOOKUP(Tabla14[[#This Row],[Llave]],[11]Hoja2!$D:$G,4,FALSE),0)</f>
        <v>0</v>
      </c>
      <c r="P230" s="14">
        <f>SUM(Tabla14[[#This Row],[Producción disponible]],Tabla14[[#This Row],[Stock al día]],(Tabla14[[#This Row],[Por producir mes N]]*0.9))-Tabla14[[#This Row],[Producción por despachar mes N]]</f>
        <v>0</v>
      </c>
      <c r="Q230" s="7">
        <f>IFERROR(VLOOKUP(Tabla14[[#This Row],[Llave]],[9]DELAY!$A:$D,4,FALSE),0)</f>
        <v>0</v>
      </c>
      <c r="R230" s="9">
        <v>23000</v>
      </c>
      <c r="S230" s="5">
        <f t="shared" si="8"/>
        <v>0</v>
      </c>
      <c r="T230" s="76">
        <v>0</v>
      </c>
      <c r="U230" s="5">
        <f>+Tabla14[[#This Row],[Atraso a facturar]]+Tabla14[[#This Row],[Ajuste atraso]]</f>
        <v>0</v>
      </c>
      <c r="V230" s="3">
        <f>+Tabla14[[#This Row],[Total disponible]]-Tabla14[[#This Row],[Facturación atraso]]</f>
        <v>0</v>
      </c>
      <c r="W230" s="6">
        <f>IFERROR(IF(AND(V230&gt;R230,J230&gt;=R230),ROUNDDOWN((Tabla14[[#This Row],[Producción para venta nueva]])/R230,0)*R230,0),0)</f>
        <v>0</v>
      </c>
      <c r="X230" s="76">
        <v>0</v>
      </c>
      <c r="Y230" s="6">
        <f>IF(Tabla14[[#This Row],[Venta del mes]]&gt;0,Tabla14[[#This Row],[Venta del mes]]+Tabla14[[#This Row],[Ajuste venta nueva]],0)</f>
        <v>0</v>
      </c>
      <c r="Z230" s="6">
        <f>+Tabla14[[#This Row],[Producción para venta nueva]]-Tabla14[[#This Row],[Facturación Venta nueva]]</f>
        <v>0</v>
      </c>
      <c r="AA230" s="6">
        <f>IF(AND(A230=1,Tabla14[[#This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30" s="6">
        <v>0</v>
      </c>
      <c r="AC230" s="6">
        <f>IF(Tabla14[[#This Row],[Disponible stock sin venta]]&gt;0,Tabla14[[#This Row],[Disponible stock sin venta]]+Tabla14[[#This Row],[Ajuste stock sin venta]],0)</f>
        <v>0</v>
      </c>
      <c r="AD230" s="3">
        <f>IFERROR(VLOOKUP(Tabla14[[#This Row],[Llave]],[12]Hoja1!$A:$D,4,FALSE),0)</f>
        <v>0</v>
      </c>
      <c r="AE230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30" s="3" t="b">
        <v>0</v>
      </c>
      <c r="AG230" s="3">
        <f>+Tabla14[[#This Row],[En puerto a facturar]]</f>
        <v>0</v>
      </c>
      <c r="AH230" s="3">
        <f>+Tabla14[[#This Row],[Facturación atraso]]</f>
        <v>0</v>
      </c>
      <c r="AI230" s="3">
        <f>+Tabla14[[#This Row],[Plan Irrestricto (DATO)]]-Tabla14[[#This Row],[Puerto ]]-Tabla14[[#This Row],[Atraso]]</f>
        <v>0</v>
      </c>
      <c r="AJ23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30" s="3">
        <f>+Tabla14[[#This Row],[Facturación atraso]]</f>
        <v>0</v>
      </c>
      <c r="AL230" s="3">
        <f>Tabla14[[#This Row],[Plan Ajustado]]-Tabla14[[#This Row],[ Atraso ajustado]]-Tabla14[[#This Row],[En puerto a facturar]]</f>
        <v>0</v>
      </c>
      <c r="AM230" s="3">
        <v>0</v>
      </c>
      <c r="AN230" s="3" t="e">
        <v>#REF!</v>
      </c>
      <c r="AO230" s="3" t="str">
        <f>IF(Tabla14[[#This Row],[Plan Ajustado]]&gt;Tabla14[[#This Row],[En puerto a facturar]],"Si","No")</f>
        <v>No</v>
      </c>
      <c r="AP23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30" s="3">
        <f>IF(Tabla14[[#This Row],[Necesidad]]&gt;=Tabla14[[#This Row],[Stock al día]],Tabla14[[#This Row],[Stock al día]],Tabla14[[#This Row],[Necesidad]])</f>
        <v>0</v>
      </c>
      <c r="AR230" s="3">
        <f>+Tabla14[[#This Row],[Necesidad]]-Tabla14[[#This Row],[Stock Plan]]</f>
        <v>0</v>
      </c>
      <c r="AS230" s="155">
        <f>VLOOKUP(Tabla14[[#This Row],[Sector]]&amp;Tabla14[[#This Row],[Oficina]],[8]Ponderación!$A:$H,8,FALSE)</f>
        <v>44817</v>
      </c>
      <c r="AT230" s="30">
        <f>IFERROR(VLOOKUP(Tabla14[[#This Row],[Llave]],'[6]RV plan de ventas'!$A:$F,6,FALSE),0)</f>
        <v>0</v>
      </c>
      <c r="AU230" s="83">
        <f>IFERROR(VLOOKUP(Tabla14[[#This Row],[Llave]],[9]DELAY!$H:$X,17,FALSE),0)</f>
        <v>0</v>
      </c>
      <c r="AV23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30" s="5">
        <f>Tabla14[[#This Row],[Pecio plan]]*Tabla14[[#This Row],[Plan Ajustado]]</f>
        <v>0</v>
      </c>
      <c r="AX230" s="30">
        <f>IFERROR(VLOOKUP(Tabla14[[#This Row],[Llave]],'[13]Ultimos precios facturados'!$A:$G,7,FALSE),0)</f>
        <v>0</v>
      </c>
      <c r="AY23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30" s="30">
        <f>IFERROR(VLOOKUP(Tabla14[[#This Row],[Llave]],Hoja2!B:K,10,FALSE),0)</f>
        <v>0</v>
      </c>
      <c r="BA23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30" s="30">
        <v>0</v>
      </c>
      <c r="BC230" s="30">
        <f>IF(Tabla14[[#This Row],[Market]]=0,Tabla14[[#This Row],[Precio Final]],Tabla14[[#This Row],[Market]])</f>
        <v>0</v>
      </c>
      <c r="BD230" s="82"/>
      <c r="BE230" s="82" t="str">
        <f>IF(AND(Tabla14[[#This Row],[Atraso a facturar]]&gt;0,Tabla14[[#This Row],[En puerto a facturar]]&gt;0,Tabla14[[#This Row],[Precio Atraso]]=0),"Revisar","OK")</f>
        <v>OK</v>
      </c>
      <c r="BF230" s="82" t="str">
        <f>IF(AND(Tabla14[[#This Row],[Venta del mes]]&gt;0,Tabla14[[#This Row],[Precio venta nueva]]=0),"Revisar","OK")</f>
        <v>OK</v>
      </c>
      <c r="BG230" s="20">
        <f>IFERROR(VLOOKUP(Tabla14[[#This Row],[Llave]],'[5]Consolidación planes'!$A:$M,9,FALSE),0)</f>
        <v>0</v>
      </c>
      <c r="BH230" s="20">
        <f>IFERROR(VLOOKUP(Tabla14[[#This Row],[Llave]],'[5]Consolidación planes'!$A:$M,10,FALSE),0)</f>
        <v>0</v>
      </c>
      <c r="BI230" s="20">
        <f>IFERROR(VLOOKUP(Tabla14[[#This Row],[Llave]],'[5]Consolidación planes'!$A:$M,11,FALSE),0)</f>
        <v>0</v>
      </c>
      <c r="BJ230" s="20">
        <f>IFERROR(VLOOKUP(Tabla14[[#This Row],[Llave]],'[5]Consolidación planes'!$A:$M,12,FALSE),0)</f>
        <v>0</v>
      </c>
      <c r="BK230" s="20">
        <f>IFERROR(VLOOKUP(Tabla14[[#This Row],[Llave]],'[5]Consolidación planes'!$A:$M,13,FALSE),0)</f>
        <v>0</v>
      </c>
      <c r="BL230" s="20">
        <f>IFERROR(VLOOKUP(Tabla14[[#This Row],[Llave]],'[13]Base ultimos planes'!$A:$M,13,FALSE),0)</f>
        <v>0</v>
      </c>
      <c r="BM230" s="20">
        <f>IFERROR(VLOOKUP(Tabla14[[#This Row],[Llave]],'[13]Cruce plan irrestricto'!$C:$M,10,FALSE),0)</f>
        <v>0</v>
      </c>
      <c r="BN230" s="20">
        <f>IFERROR(VLOOKUP(Tabla14[[#This Row],[Llave]],'[13]Cruce plan irrestricto'!$C:$M,11,FALSE),0)</f>
        <v>0</v>
      </c>
      <c r="BO230" s="80">
        <f>IFERROR(VLOOKUP(Tabla14[[#This Row],[Llave]],'[13]Base ultimos planes'!$O:$AA,8,FALSE),0)</f>
        <v>0</v>
      </c>
      <c r="BP230" s="20">
        <f>IFERROR(VLOOKUP(Tabla14[[#This Row],[Llave]],'[13]Base ultimos planes'!$O:$AA,9,FALSE),0)</f>
        <v>0</v>
      </c>
      <c r="BQ230" s="20">
        <f>IFERROR(VLOOKUP(Tabla14[[#This Row],[Llave]],'[13]Base ultimos planes'!$O:$AA,10,FALSE),0)</f>
        <v>0</v>
      </c>
      <c r="BR230" s="20">
        <f>IFERROR(VLOOKUP(Tabla14[[#This Row],[Llave]],'[13]Base ultimos planes'!$O:$AA,11,FALSE),0)</f>
        <v>0</v>
      </c>
      <c r="BS230" s="20">
        <f>IFERROR(VLOOKUP(Tabla14[[#This Row],[Llave]],'[13]Base ultimos planes'!$O:$AA,12,FALSE),0)</f>
        <v>0</v>
      </c>
      <c r="BT230" s="20">
        <f>IFERROR(VLOOKUP(Tabla14[[#This Row],[Llave]],'[13]Base ultimos planes'!$O:$AA,13,FALSE),0)</f>
        <v>0</v>
      </c>
      <c r="BU230" s="20"/>
      <c r="BV230" s="20">
        <f>Tabla14[[#This Row],[ RV Producción mes n+1]]-Tabla14[[#This Row],[Producción disponible]]+Tabla14[[#This Row],[Saldo Volumen disponible]]</f>
        <v>0</v>
      </c>
      <c r="BW230" s="20">
        <f>IFERROR(VLOOKUP(Tabla14[[#This Row],[Llave]],[14]Hoja2!$J:$N,4,FALSE),0)</f>
        <v>0</v>
      </c>
      <c r="BX230" s="20">
        <f>+Tabla14[[#This Row],[Asignación mes n+1]]*Tabla14[[#This Row],[% Uti. producción]]</f>
        <v>0</v>
      </c>
      <c r="BY230" s="20">
        <f>+Tabla14[[#This Row],[Ponderación mes n+1]]+Tabla14[[#This Row],[Saldo mes n-1]]</f>
        <v>0</v>
      </c>
      <c r="BZ230" s="20">
        <f>+Tabla14[[#This Row],[Asignación mes n+1]]-Tabla14[[#This Row],[Ponderación mes n+1]]</f>
        <v>0</v>
      </c>
      <c r="CA230" s="20">
        <f>IFERROR(VLOOKUP(Tabla14[[#This Row],[Llave]],[14]Hoja2!$J:$N,5,FALSE),0)</f>
        <v>0</v>
      </c>
      <c r="CB230" s="20">
        <f>+Tabla14[[#This Row],[Asignación mes n+2]]*Tabla14[[#This Row],[% Uti. producción]]</f>
        <v>0</v>
      </c>
      <c r="CC230" s="20">
        <f>+Tabla14[[#This Row],[Saldo mes n+2]]+Tabla14[[#This Row],[Ponderación mes n+2]]</f>
        <v>0</v>
      </c>
      <c r="CD230" s="20">
        <f>+Tabla14[[#This Row],[Asignación mes n+2]]-Tabla14[[#This Row],[Ponderación mes n+2]]</f>
        <v>0</v>
      </c>
    </row>
    <row r="231" spans="1:82" ht="16" x14ac:dyDescent="0.2">
      <c r="A231">
        <v>1</v>
      </c>
      <c r="B231" t="str">
        <f>Tabla14[[#This Row],[Oficina]]&amp;Tabla14[[#This Row],[Material]]</f>
        <v>Agro Sudamerica1012698</v>
      </c>
      <c r="C231" t="s">
        <v>227</v>
      </c>
      <c r="D231" t="s">
        <v>17</v>
      </c>
      <c r="E231">
        <v>1012698</v>
      </c>
      <c r="F231" t="s">
        <v>308</v>
      </c>
      <c r="G231" t="s">
        <v>37</v>
      </c>
      <c r="H231" t="s">
        <v>37</v>
      </c>
      <c r="I231" s="7">
        <f>IFERROR(IF(Tabla14[[#This Row],[Oficina]]=$I$7,VLOOKUP(Tabla14[[#This Row],[Material]],'[6]RV Producción'!$Y:$AA,3,FALSE),VLOOKUP(Tabla14[[#This Row],[Llave]],'[6]RV Producción'!$C:$G,5,FALSE)),0)</f>
        <v>0</v>
      </c>
      <c r="J231" s="7">
        <f>IFERROR(IF(Tabla14[[#This Row],[Oficina]]=$I$7,VLOOKUP(Tabla14[[#This Row],[Llave]],'[7]Shangai (Tomas)'!$A:$F,6,FALSE),VLOOKUP(Tabla14[[#This Row],[Llave]],'[6]RV plan de ventas'!$A:$E,5,FALSE)),0)</f>
        <v>0</v>
      </c>
      <c r="K231" s="8">
        <f>IFERROR(VLOOKUP(Tabla14[[#This Row],[Sector]]&amp;Tabla14[[#This Row],[Oficina]],[8]Ponderación!$A$3:$G$22,7,FALSE),0)</f>
        <v>0.47745072632608576</v>
      </c>
      <c r="L231" s="7">
        <f>+Tabla14[[#This Row],[ RV Producción mes n+1]]*Tabla14[[#This Row],[% Uti. producción]]</f>
        <v>0</v>
      </c>
      <c r="M231" s="7">
        <f>IFERROR(VLOOKUP(Tabla14[[#This Row],[Material]],'[9]TD Stock'!$B:$C,2,FALSE),0)</f>
        <v>0</v>
      </c>
      <c r="N231" s="7">
        <f>IFERROR(VLOOKUP(Tabla14[[#This Row],[Material]],'[10]Consolidado planificación'!$B:$C,2,FALSE),0)</f>
        <v>0</v>
      </c>
      <c r="O231" s="7">
        <f>IFERROR(VLOOKUP(Tabla14[[#This Row],[Llave]],[11]Hoja2!$D:$G,4,FALSE),0)</f>
        <v>0</v>
      </c>
      <c r="P231" s="14">
        <f>SUM(Tabla14[[#This Row],[Producción disponible]],Tabla14[[#This Row],[Stock al día]],(Tabla14[[#This Row],[Por producir mes N]]*0.9))-Tabla14[[#This Row],[Producción por despachar mes N]]</f>
        <v>0</v>
      </c>
      <c r="Q231" s="7">
        <f>IFERROR(VLOOKUP(Tabla14[[#This Row],[Llave]],[9]DELAY!$A:$D,4,FALSE),0)</f>
        <v>0</v>
      </c>
      <c r="R231" s="9">
        <v>23000</v>
      </c>
      <c r="S231" s="5">
        <f t="shared" si="8"/>
        <v>0</v>
      </c>
      <c r="T231" s="76">
        <v>0</v>
      </c>
      <c r="U231" s="5">
        <f>+Tabla14[[#This Row],[Atraso a facturar]]+Tabla14[[#This Row],[Ajuste atraso]]</f>
        <v>0</v>
      </c>
      <c r="V231" s="3">
        <f>+Tabla14[[#This Row],[Total disponible]]-Tabla14[[#This Row],[Facturación atraso]]</f>
        <v>0</v>
      </c>
      <c r="W231" s="6">
        <f>IFERROR(IF(AND(V231&gt;R231,J231&gt;=R231),ROUNDDOWN((Tabla14[[#This Row],[Producción para venta nueva]])/R231,0)*R231,0),0)</f>
        <v>0</v>
      </c>
      <c r="X231" s="76">
        <v>0</v>
      </c>
      <c r="Y231" s="6">
        <f>IF(Tabla14[[#This Row],[Venta del mes]]&gt;0,Tabla14[[#This Row],[Venta del mes]]+Tabla14[[#This Row],[Ajuste venta nueva]],0)</f>
        <v>0</v>
      </c>
      <c r="Z231" s="6">
        <f>+Tabla14[[#This Row],[Producción para venta nueva]]-Tabla14[[#This Row],[Facturación Venta nueva]]</f>
        <v>0</v>
      </c>
      <c r="AA231" s="6">
        <f>IF(AND(A231=1,Tabla14[[#This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31" s="6">
        <v>0</v>
      </c>
      <c r="AC231" s="6">
        <f>IF(Tabla14[[#This Row],[Disponible stock sin venta]]&gt;0,Tabla14[[#This Row],[Disponible stock sin venta]]+Tabla14[[#This Row],[Ajuste stock sin venta]],0)</f>
        <v>0</v>
      </c>
      <c r="AD231" s="3">
        <f>IFERROR(VLOOKUP(Tabla14[[#This Row],[Llave]],[12]Hoja1!$A:$D,4,FALSE),0)</f>
        <v>0</v>
      </c>
      <c r="AE231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31" s="3" t="b">
        <v>0</v>
      </c>
      <c r="AG231" s="3">
        <f>+Tabla14[[#This Row],[En puerto a facturar]]</f>
        <v>0</v>
      </c>
      <c r="AH231" s="3">
        <f>+Tabla14[[#This Row],[Facturación atraso]]</f>
        <v>0</v>
      </c>
      <c r="AI231" s="3">
        <f>+Tabla14[[#This Row],[Plan Irrestricto (DATO)]]-Tabla14[[#This Row],[Puerto ]]-Tabla14[[#This Row],[Atraso]]</f>
        <v>0</v>
      </c>
      <c r="AJ23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31" s="3">
        <f>+Tabla14[[#This Row],[Facturación atraso]]</f>
        <v>0</v>
      </c>
      <c r="AL231" s="3">
        <f>Tabla14[[#This Row],[Plan Ajustado]]-Tabla14[[#This Row],[ Atraso ajustado]]-Tabla14[[#This Row],[En puerto a facturar]]</f>
        <v>0</v>
      </c>
      <c r="AM231" s="3">
        <v>0</v>
      </c>
      <c r="AN231" s="3" t="e">
        <v>#REF!</v>
      </c>
      <c r="AO231" s="3" t="str">
        <f>IF(Tabla14[[#This Row],[Plan Ajustado]]&gt;Tabla14[[#This Row],[En puerto a facturar]],"Si","No")</f>
        <v>No</v>
      </c>
      <c r="AP23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31" s="3">
        <f>IF(Tabla14[[#This Row],[Necesidad]]&gt;=Tabla14[[#This Row],[Stock al día]],Tabla14[[#This Row],[Stock al día]],Tabla14[[#This Row],[Necesidad]])</f>
        <v>0</v>
      </c>
      <c r="AR231" s="3">
        <f>+Tabla14[[#This Row],[Necesidad]]-Tabla14[[#This Row],[Stock Plan]]</f>
        <v>0</v>
      </c>
      <c r="AS231" s="155">
        <f>VLOOKUP(Tabla14[[#This Row],[Sector]]&amp;Tabla14[[#This Row],[Oficina]],[8]Ponderación!$A:$H,8,FALSE)</f>
        <v>44817</v>
      </c>
      <c r="AT231" s="30">
        <f>IFERROR(VLOOKUP(Tabla14[[#This Row],[Llave]],'[6]RV plan de ventas'!$A:$F,6,FALSE),0)</f>
        <v>0</v>
      </c>
      <c r="AU231" s="83">
        <f>IFERROR(VLOOKUP(Tabla14[[#This Row],[Llave]],[9]DELAY!$H:$X,17,FALSE),0)</f>
        <v>0</v>
      </c>
      <c r="AV23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31" s="5">
        <f>Tabla14[[#This Row],[Pecio plan]]*Tabla14[[#This Row],[Plan Ajustado]]</f>
        <v>0</v>
      </c>
      <c r="AX231" s="30">
        <f>IFERROR(VLOOKUP(Tabla14[[#This Row],[Llave]],'[13]Ultimos precios facturados'!$A:$G,7,FALSE),0)</f>
        <v>0.92774166666666658</v>
      </c>
      <c r="AY23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31" s="30">
        <f>IFERROR(VLOOKUP(Tabla14[[#This Row],[Llave]],Hoja2!B:K,10,FALSE),0)</f>
        <v>0</v>
      </c>
      <c r="BA23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0.92774166666666658</v>
      </c>
      <c r="BB231" s="30">
        <v>0</v>
      </c>
      <c r="BC231" s="30">
        <f>IF(Tabla14[[#This Row],[Market]]=0,Tabla14[[#This Row],[Precio Final]],Tabla14[[#This Row],[Market]])</f>
        <v>0.92774166666666658</v>
      </c>
      <c r="BD231" s="82"/>
      <c r="BE231" s="82" t="str">
        <f>IF(AND(Tabla14[[#This Row],[Atraso a facturar]]&gt;0,Tabla14[[#This Row],[En puerto a facturar]]&gt;0,Tabla14[[#This Row],[Precio Atraso]]=0),"Revisar","OK")</f>
        <v>OK</v>
      </c>
      <c r="BF231" s="82" t="str">
        <f>IF(AND(Tabla14[[#This Row],[Venta del mes]]&gt;0,Tabla14[[#This Row],[Precio venta nueva]]=0),"Revisar","OK")</f>
        <v>OK</v>
      </c>
      <c r="BG231" s="20">
        <f>IFERROR(VLOOKUP(Tabla14[[#This Row],[Llave]],'[5]Consolidación planes'!$A:$M,9,FALSE),0)</f>
        <v>0</v>
      </c>
      <c r="BH231" s="20">
        <f>IFERROR(VLOOKUP(Tabla14[[#This Row],[Llave]],'[5]Consolidación planes'!$A:$M,10,FALSE),0)</f>
        <v>0</v>
      </c>
      <c r="BI231" s="20">
        <f>IFERROR(VLOOKUP(Tabla14[[#This Row],[Llave]],'[5]Consolidación planes'!$A:$M,11,FALSE),0)</f>
        <v>80</v>
      </c>
      <c r="BJ231" s="20">
        <f>IFERROR(VLOOKUP(Tabla14[[#This Row],[Llave]],'[5]Consolidación planes'!$A:$M,12,FALSE),0)</f>
        <v>0</v>
      </c>
      <c r="BK231" s="20">
        <f>IFERROR(VLOOKUP(Tabla14[[#This Row],[Llave]],'[5]Consolidación planes'!$A:$M,13,FALSE),0)</f>
        <v>0</v>
      </c>
      <c r="BL231" s="20">
        <f>IFERROR(VLOOKUP(Tabla14[[#This Row],[Llave]],'[13]Base ultimos planes'!$A:$M,13,FALSE),0)</f>
        <v>0</v>
      </c>
      <c r="BM231" s="20">
        <f>IFERROR(VLOOKUP(Tabla14[[#This Row],[Llave]],'[13]Cruce plan irrestricto'!$C:$M,10,FALSE),0)</f>
        <v>0</v>
      </c>
      <c r="BN231" s="20">
        <f>IFERROR(VLOOKUP(Tabla14[[#This Row],[Llave]],'[13]Cruce plan irrestricto'!$C:$M,11,FALSE),0)</f>
        <v>0</v>
      </c>
      <c r="BO231" s="80">
        <f>IFERROR(VLOOKUP(Tabla14[[#This Row],[Llave]],'[13]Base ultimos planes'!$O:$AA,8,FALSE),0)</f>
        <v>0</v>
      </c>
      <c r="BP231" s="20">
        <f>IFERROR(VLOOKUP(Tabla14[[#This Row],[Llave]],'[13]Base ultimos planes'!$O:$AA,9,FALSE),0)</f>
        <v>0</v>
      </c>
      <c r="BQ231" s="20">
        <f>IFERROR(VLOOKUP(Tabla14[[#This Row],[Llave]],'[13]Base ultimos planes'!$O:$AA,10,FALSE),0)</f>
        <v>480</v>
      </c>
      <c r="BR231" s="20">
        <f>IFERROR(VLOOKUP(Tabla14[[#This Row],[Llave]],'[13]Base ultimos planes'!$O:$AA,11,FALSE),0)</f>
        <v>0</v>
      </c>
      <c r="BS231" s="20">
        <f>IFERROR(VLOOKUP(Tabla14[[#This Row],[Llave]],'[13]Base ultimos planes'!$O:$AA,12,FALSE),0)</f>
        <v>0</v>
      </c>
      <c r="BT231" s="20">
        <f>IFERROR(VLOOKUP(Tabla14[[#This Row],[Llave]],'[13]Base ultimos planes'!$O:$AA,13,FALSE),0)</f>
        <v>0</v>
      </c>
      <c r="BU231" s="20"/>
      <c r="BV231" s="20">
        <f>Tabla14[[#This Row],[ RV Producción mes n+1]]-Tabla14[[#This Row],[Producción disponible]]+Tabla14[[#This Row],[Saldo Volumen disponible]]</f>
        <v>0</v>
      </c>
      <c r="BW231" s="20">
        <f>IFERROR(VLOOKUP(Tabla14[[#This Row],[Llave]],[14]Hoja2!$J:$N,4,FALSE),0)</f>
        <v>0</v>
      </c>
      <c r="BX231" s="20">
        <f>+Tabla14[[#This Row],[Asignación mes n+1]]*Tabla14[[#This Row],[% Uti. producción]]</f>
        <v>0</v>
      </c>
      <c r="BY231" s="20">
        <f>+Tabla14[[#This Row],[Ponderación mes n+1]]+Tabla14[[#This Row],[Saldo mes n-1]]</f>
        <v>0</v>
      </c>
      <c r="BZ231" s="20">
        <f>+Tabla14[[#This Row],[Asignación mes n+1]]-Tabla14[[#This Row],[Ponderación mes n+1]]</f>
        <v>0</v>
      </c>
      <c r="CA231" s="20">
        <f>IFERROR(VLOOKUP(Tabla14[[#This Row],[Llave]],[14]Hoja2!$J:$N,5,FALSE),0)</f>
        <v>0</v>
      </c>
      <c r="CB231" s="20">
        <f>+Tabla14[[#This Row],[Asignación mes n+2]]*Tabla14[[#This Row],[% Uti. producción]]</f>
        <v>0</v>
      </c>
      <c r="CC231" s="20">
        <f>+Tabla14[[#This Row],[Saldo mes n+2]]+Tabla14[[#This Row],[Ponderación mes n+2]]</f>
        <v>0</v>
      </c>
      <c r="CD231" s="20">
        <f>+Tabla14[[#This Row],[Asignación mes n+2]]-Tabla14[[#This Row],[Ponderación mes n+2]]</f>
        <v>0</v>
      </c>
    </row>
    <row r="232" spans="1:82" ht="16" x14ac:dyDescent="0.2">
      <c r="A232">
        <v>1</v>
      </c>
      <c r="B232" t="str">
        <f>Tabla14[[#This Row],[Oficina]]&amp;Tabla14[[#This Row],[Material]]</f>
        <v>Agro Sudamerica1012699</v>
      </c>
      <c r="C232" t="s">
        <v>227</v>
      </c>
      <c r="D232" t="s">
        <v>17</v>
      </c>
      <c r="E232">
        <v>1012699</v>
      </c>
      <c r="F232" t="s">
        <v>307</v>
      </c>
      <c r="G232" t="s">
        <v>205</v>
      </c>
      <c r="H232" t="s">
        <v>206</v>
      </c>
      <c r="I232" s="7">
        <f>IFERROR(IF(Tabla14[[#This Row],[Oficina]]=$I$7,VLOOKUP(Tabla14[[#This Row],[Material]],'[6]RV Producción'!$Y:$AA,3,FALSE),VLOOKUP(Tabla14[[#This Row],[Llave]],'[6]RV Producción'!$C:$G,5,FALSE)),0)</f>
        <v>0</v>
      </c>
      <c r="J232" s="7">
        <f>IFERROR(IF(Tabla14[[#This Row],[Oficina]]=$I$7,VLOOKUP(Tabla14[[#This Row],[Llave]],'[7]Shangai (Tomas)'!$A:$F,6,FALSE),VLOOKUP(Tabla14[[#This Row],[Llave]],'[6]RV plan de ventas'!$A:$E,5,FALSE)),0)</f>
        <v>0</v>
      </c>
      <c r="K232" s="8">
        <f>IFERROR(VLOOKUP(Tabla14[[#This Row],[Sector]]&amp;Tabla14[[#This Row],[Oficina]],[8]Ponderación!$A$3:$G$22,7,FALSE),0)</f>
        <v>0.47745072632608576</v>
      </c>
      <c r="L232" s="7">
        <f>+Tabla14[[#This Row],[ RV Producción mes n+1]]*Tabla14[[#This Row],[% Uti. producción]]</f>
        <v>0</v>
      </c>
      <c r="M232" s="7">
        <f>IFERROR(VLOOKUP(Tabla14[[#This Row],[Material]],'[9]TD Stock'!$B:$C,2,FALSE),0)</f>
        <v>0</v>
      </c>
      <c r="N232" s="7">
        <f>IFERROR(VLOOKUP(Tabla14[[#This Row],[Material]],'[10]Consolidado planificación'!$B:$C,2,FALSE),0)</f>
        <v>0</v>
      </c>
      <c r="O232" s="7">
        <f>IFERROR(VLOOKUP(Tabla14[[#This Row],[Llave]],[11]Hoja2!$D:$G,4,FALSE),0)</f>
        <v>0</v>
      </c>
      <c r="P232" s="14">
        <f>SUM(Tabla14[[#This Row],[Producción disponible]],Tabla14[[#This Row],[Stock al día]],(Tabla14[[#This Row],[Por producir mes N]]*0.9))-Tabla14[[#This Row],[Producción por despachar mes N]]</f>
        <v>0</v>
      </c>
      <c r="Q232" s="7">
        <f>IFERROR(VLOOKUP(Tabla14[[#This Row],[Llave]],[9]DELAY!$A:$D,4,FALSE),0)</f>
        <v>0</v>
      </c>
      <c r="R232" s="9">
        <v>23000</v>
      </c>
      <c r="S232" s="5">
        <f t="shared" si="8"/>
        <v>0</v>
      </c>
      <c r="T232" s="76">
        <v>0</v>
      </c>
      <c r="U232" s="5">
        <f>+Tabla14[[#This Row],[Atraso a facturar]]+Tabla14[[#This Row],[Ajuste atraso]]</f>
        <v>0</v>
      </c>
      <c r="V232" s="3">
        <f>+Tabla14[[#This Row],[Total disponible]]-Tabla14[[#This Row],[Facturación atraso]]</f>
        <v>0</v>
      </c>
      <c r="W232" s="6">
        <f>IFERROR(IF(AND(V232&gt;R232,J232&gt;=R232),ROUNDDOWN((Tabla14[[#This Row],[Producción para venta nueva]])/R232,0)*R232,0),0)</f>
        <v>0</v>
      </c>
      <c r="X232" s="76">
        <v>0</v>
      </c>
      <c r="Y232" s="6">
        <f>IF(Tabla14[[#This Row],[Venta del mes]]&gt;0,Tabla14[[#This Row],[Venta del mes]]+Tabla14[[#This Row],[Ajuste venta nueva]],0)</f>
        <v>0</v>
      </c>
      <c r="Z232" s="6">
        <f>+Tabla14[[#This Row],[Producción para venta nueva]]-Tabla14[[#This Row],[Facturación Venta nueva]]</f>
        <v>0</v>
      </c>
      <c r="AA232" s="6">
        <f>IF(AND(A232=1,Tabla14[[#This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32" s="6">
        <v>0</v>
      </c>
      <c r="AC232" s="6">
        <f>IF(Tabla14[[#This Row],[Disponible stock sin venta]]&gt;0,Tabla14[[#This Row],[Disponible stock sin venta]]+Tabla14[[#This Row],[Ajuste stock sin venta]],0)</f>
        <v>0</v>
      </c>
      <c r="AD232" s="3">
        <f>IFERROR(VLOOKUP(Tabla14[[#This Row],[Llave]],[12]Hoja1!$A:$D,4,FALSE),0)</f>
        <v>0</v>
      </c>
      <c r="AE232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32" s="3" t="b">
        <v>0</v>
      </c>
      <c r="AG232" s="3">
        <f>+Tabla14[[#This Row],[En puerto a facturar]]</f>
        <v>0</v>
      </c>
      <c r="AH232" s="3">
        <f>+Tabla14[[#This Row],[Facturación atraso]]</f>
        <v>0</v>
      </c>
      <c r="AI232" s="3">
        <f>+Tabla14[[#This Row],[Plan Irrestricto (DATO)]]-Tabla14[[#This Row],[Puerto ]]-Tabla14[[#This Row],[Atraso]]</f>
        <v>0</v>
      </c>
      <c r="AJ23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32" s="3">
        <f>+Tabla14[[#This Row],[Facturación atraso]]</f>
        <v>0</v>
      </c>
      <c r="AL232" s="3">
        <f>Tabla14[[#This Row],[Plan Ajustado]]-Tabla14[[#This Row],[ Atraso ajustado]]-Tabla14[[#This Row],[En puerto a facturar]]</f>
        <v>0</v>
      </c>
      <c r="AM232" s="3">
        <v>0</v>
      </c>
      <c r="AN232" s="3" t="e">
        <v>#REF!</v>
      </c>
      <c r="AO232" s="3" t="str">
        <f>IF(Tabla14[[#This Row],[Plan Ajustado]]&gt;Tabla14[[#This Row],[En puerto a facturar]],"Si","No")</f>
        <v>No</v>
      </c>
      <c r="AP23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32" s="3">
        <f>IF(Tabla14[[#This Row],[Necesidad]]&gt;=Tabla14[[#This Row],[Stock al día]],Tabla14[[#This Row],[Stock al día]],Tabla14[[#This Row],[Necesidad]])</f>
        <v>0</v>
      </c>
      <c r="AR232" s="3">
        <f>+Tabla14[[#This Row],[Necesidad]]-Tabla14[[#This Row],[Stock Plan]]</f>
        <v>0</v>
      </c>
      <c r="AS232" s="155">
        <f>VLOOKUP(Tabla14[[#This Row],[Sector]]&amp;Tabla14[[#This Row],[Oficina]],[8]Ponderación!$A:$H,8,FALSE)</f>
        <v>44817</v>
      </c>
      <c r="AT232" s="30">
        <f>IFERROR(VLOOKUP(Tabla14[[#This Row],[Llave]],'[6]RV plan de ventas'!$A:$F,6,FALSE),0)</f>
        <v>0</v>
      </c>
      <c r="AU232" s="83">
        <f>IFERROR(VLOOKUP(Tabla14[[#This Row],[Llave]],[9]DELAY!$H:$X,17,FALSE),0)</f>
        <v>0</v>
      </c>
      <c r="AV23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32" s="5">
        <f>Tabla14[[#This Row],[Pecio plan]]*Tabla14[[#This Row],[Plan Ajustado]]</f>
        <v>0</v>
      </c>
      <c r="AX232" s="30">
        <f>IFERROR(VLOOKUP(Tabla14[[#This Row],[Llave]],'[13]Ultimos precios facturados'!$A:$G,7,FALSE),0)</f>
        <v>0.92774166666666658</v>
      </c>
      <c r="AY23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32" s="30">
        <f>IFERROR(VLOOKUP(Tabla14[[#This Row],[Llave]],Hoja2!B:K,10,FALSE),0)</f>
        <v>0</v>
      </c>
      <c r="BA23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0.92774166666666658</v>
      </c>
      <c r="BB232" s="30">
        <v>0</v>
      </c>
      <c r="BC232" s="30">
        <f>IF(Tabla14[[#This Row],[Market]]=0,Tabla14[[#This Row],[Precio Final]],Tabla14[[#This Row],[Market]])</f>
        <v>0.92774166666666658</v>
      </c>
      <c r="BD232" s="82"/>
      <c r="BE232" s="82" t="str">
        <f>IF(AND(Tabla14[[#This Row],[Atraso a facturar]]&gt;0,Tabla14[[#This Row],[En puerto a facturar]]&gt;0,Tabla14[[#This Row],[Precio Atraso]]=0),"Revisar","OK")</f>
        <v>OK</v>
      </c>
      <c r="BF232" s="82" t="str">
        <f>IF(AND(Tabla14[[#This Row],[Venta del mes]]&gt;0,Tabla14[[#This Row],[Precio venta nueva]]=0),"Revisar","OK")</f>
        <v>OK</v>
      </c>
      <c r="BG232" s="20">
        <f>IFERROR(VLOOKUP(Tabla14[[#This Row],[Llave]],'[5]Consolidación planes'!$A:$M,9,FALSE),0)</f>
        <v>0</v>
      </c>
      <c r="BH232" s="20">
        <f>IFERROR(VLOOKUP(Tabla14[[#This Row],[Llave]],'[5]Consolidación planes'!$A:$M,10,FALSE),0)</f>
        <v>0</v>
      </c>
      <c r="BI232" s="20">
        <f>IFERROR(VLOOKUP(Tabla14[[#This Row],[Llave]],'[5]Consolidación planes'!$A:$M,11,FALSE),0)</f>
        <v>80</v>
      </c>
      <c r="BJ232" s="20">
        <f>IFERROR(VLOOKUP(Tabla14[[#This Row],[Llave]],'[5]Consolidación planes'!$A:$M,12,FALSE),0)</f>
        <v>0</v>
      </c>
      <c r="BK232" s="20">
        <f>IFERROR(VLOOKUP(Tabla14[[#This Row],[Llave]],'[5]Consolidación planes'!$A:$M,13,FALSE),0)</f>
        <v>0</v>
      </c>
      <c r="BL232" s="20">
        <f>IFERROR(VLOOKUP(Tabla14[[#This Row],[Llave]],'[13]Base ultimos planes'!$A:$M,13,FALSE),0)</f>
        <v>0</v>
      </c>
      <c r="BM232" s="20">
        <f>IFERROR(VLOOKUP(Tabla14[[#This Row],[Llave]],'[13]Cruce plan irrestricto'!$C:$M,10,FALSE),0)</f>
        <v>0</v>
      </c>
      <c r="BN232" s="20">
        <f>IFERROR(VLOOKUP(Tabla14[[#This Row],[Llave]],'[13]Cruce plan irrestricto'!$C:$M,11,FALSE),0)</f>
        <v>0</v>
      </c>
      <c r="BO232" s="80">
        <f>IFERROR(VLOOKUP(Tabla14[[#This Row],[Llave]],'[13]Base ultimos planes'!$O:$AA,8,FALSE),0)</f>
        <v>0</v>
      </c>
      <c r="BP232" s="20">
        <f>IFERROR(VLOOKUP(Tabla14[[#This Row],[Llave]],'[13]Base ultimos planes'!$O:$AA,9,FALSE),0)</f>
        <v>0</v>
      </c>
      <c r="BQ232" s="20">
        <f>IFERROR(VLOOKUP(Tabla14[[#This Row],[Llave]],'[13]Base ultimos planes'!$O:$AA,10,FALSE),0)</f>
        <v>520</v>
      </c>
      <c r="BR232" s="20">
        <f>IFERROR(VLOOKUP(Tabla14[[#This Row],[Llave]],'[13]Base ultimos planes'!$O:$AA,11,FALSE),0)</f>
        <v>0</v>
      </c>
      <c r="BS232" s="20">
        <f>IFERROR(VLOOKUP(Tabla14[[#This Row],[Llave]],'[13]Base ultimos planes'!$O:$AA,12,FALSE),0)</f>
        <v>0</v>
      </c>
      <c r="BT232" s="20">
        <f>IFERROR(VLOOKUP(Tabla14[[#This Row],[Llave]],'[13]Base ultimos planes'!$O:$AA,13,FALSE),0)</f>
        <v>0</v>
      </c>
      <c r="BU232" s="20"/>
      <c r="BV232" s="20">
        <f>Tabla14[[#This Row],[ RV Producción mes n+1]]-Tabla14[[#This Row],[Producción disponible]]+Tabla14[[#This Row],[Saldo Volumen disponible]]</f>
        <v>0</v>
      </c>
      <c r="BW232" s="20">
        <f>IFERROR(VLOOKUP(Tabla14[[#This Row],[Llave]],[14]Hoja2!$J:$N,4,FALSE),0)</f>
        <v>0</v>
      </c>
      <c r="BX232" s="20">
        <f>+Tabla14[[#This Row],[Asignación mes n+1]]*Tabla14[[#This Row],[% Uti. producción]]</f>
        <v>0</v>
      </c>
      <c r="BY232" s="20">
        <f>+Tabla14[[#This Row],[Ponderación mes n+1]]+Tabla14[[#This Row],[Saldo mes n-1]]</f>
        <v>0</v>
      </c>
      <c r="BZ232" s="20">
        <f>+Tabla14[[#This Row],[Asignación mes n+1]]-Tabla14[[#This Row],[Ponderación mes n+1]]</f>
        <v>0</v>
      </c>
      <c r="CA232" s="20">
        <f>IFERROR(VLOOKUP(Tabla14[[#This Row],[Llave]],[14]Hoja2!$J:$N,5,FALSE),0)</f>
        <v>0</v>
      </c>
      <c r="CB232" s="20">
        <f>+Tabla14[[#This Row],[Asignación mes n+2]]*Tabla14[[#This Row],[% Uti. producción]]</f>
        <v>0</v>
      </c>
      <c r="CC232" s="20">
        <f>+Tabla14[[#This Row],[Saldo mes n+2]]+Tabla14[[#This Row],[Ponderación mes n+2]]</f>
        <v>0</v>
      </c>
      <c r="CD232" s="20">
        <f>+Tabla14[[#This Row],[Asignación mes n+2]]-Tabla14[[#This Row],[Ponderación mes n+2]]</f>
        <v>0</v>
      </c>
    </row>
    <row r="233" spans="1:82" ht="16" x14ac:dyDescent="0.2">
      <c r="A233">
        <v>1</v>
      </c>
      <c r="B233" t="str">
        <f>Tabla14[[#This Row],[Oficina]]&amp;Tabla14[[#This Row],[Material]]</f>
        <v>Agro Sudamerica1012719</v>
      </c>
      <c r="C233" t="s">
        <v>227</v>
      </c>
      <c r="D233" t="s">
        <v>17</v>
      </c>
      <c r="E233">
        <v>1012719</v>
      </c>
      <c r="F233" t="s">
        <v>236</v>
      </c>
      <c r="G233" t="s">
        <v>233</v>
      </c>
      <c r="H233" t="s">
        <v>234</v>
      </c>
      <c r="I233" s="7">
        <f>IFERROR(IF(Tabla14[[#This Row],[Oficina]]=$I$7,VLOOKUP(Tabla14[[#This Row],[Material]],'[6]RV Producción'!$Y:$AA,3,FALSE),VLOOKUP(Tabla14[[#This Row],[Llave]],'[6]RV Producción'!$C:$G,5,FALSE)),0)</f>
        <v>192000</v>
      </c>
      <c r="J233" s="7">
        <f>IFERROR(IF(Tabla14[[#This Row],[Oficina]]=$I$7,VLOOKUP(Tabla14[[#This Row],[Llave]],'[7]Shangai (Tomas)'!$A:$F,6,FALSE),VLOOKUP(Tabla14[[#This Row],[Llave]],'[6]RV plan de ventas'!$A:$E,5,FALSE)),0)</f>
        <v>214716</v>
      </c>
      <c r="K233" s="8">
        <f>IFERROR(VLOOKUP(Tabla14[[#This Row],[Sector]]&amp;Tabla14[[#This Row],[Oficina]],[8]Ponderación!$A$3:$G$22,7,FALSE),0)</f>
        <v>0.47745072632608576</v>
      </c>
      <c r="L233" s="7">
        <f>+Tabla14[[#This Row],[ RV Producción mes n+1]]*Tabla14[[#This Row],[% Uti. producción]]</f>
        <v>91670.539454608472</v>
      </c>
      <c r="M233" s="7">
        <f>IFERROR(VLOOKUP(Tabla14[[#This Row],[Material]],'[9]TD Stock'!$B:$C,2,FALSE),0)</f>
        <v>24127.624</v>
      </c>
      <c r="N233" s="7">
        <f>IFERROR(VLOOKUP(Tabla14[[#This Row],[Material]],'[10]Consolidado planificación'!$B:$C,2,FALSE),0)</f>
        <v>0</v>
      </c>
      <c r="O233" s="7">
        <f>IFERROR(VLOOKUP(Tabla14[[#This Row],[Llave]],[11]Hoja2!$D:$G,4,FALSE),0)</f>
        <v>0</v>
      </c>
      <c r="P233" s="14">
        <f>SUM(Tabla14[[#This Row],[Producción disponible]],Tabla14[[#This Row],[Stock al día]],(Tabla14[[#This Row],[Por producir mes N]]*0.9))-Tabla14[[#This Row],[Producción por despachar mes N]]</f>
        <v>115798.16345460847</v>
      </c>
      <c r="Q233" s="7">
        <f>IFERROR(VLOOKUP(Tabla14[[#This Row],[Llave]],[9]DELAY!$A:$D,4,FALSE),0)</f>
        <v>24000</v>
      </c>
      <c r="R233" s="9">
        <v>23000</v>
      </c>
      <c r="S233" s="5">
        <f t="shared" si="8"/>
        <v>24000</v>
      </c>
      <c r="T233" s="76">
        <v>0</v>
      </c>
      <c r="U233" s="5">
        <f>+Tabla14[[#This Row],[Atraso a facturar]]+Tabla14[[#This Row],[Ajuste atraso]]</f>
        <v>24000</v>
      </c>
      <c r="V233" s="3">
        <f>+Tabla14[[#This Row],[Total disponible]]-Tabla14[[#This Row],[Facturación atraso]]</f>
        <v>91798.163454608468</v>
      </c>
      <c r="W233" s="6">
        <f>IFERROR(IF(AND(V233&gt;R233,J233&gt;=R233),ROUNDDOWN((Tabla14[[#This Row],[Producción para venta nueva]])/R233,0)*R233,0),0)</f>
        <v>69000</v>
      </c>
      <c r="X233" s="76">
        <v>0</v>
      </c>
      <c r="Y233" s="6">
        <f>IF(Tabla14[[#This Row],[Venta del mes]]&gt;0,Tabla14[[#This Row],[Venta del mes]]+Tabla14[[#This Row],[Ajuste venta nueva]],0)</f>
        <v>69000</v>
      </c>
      <c r="Z233" s="6">
        <f>+Tabla14[[#This Row],[Producción para venta nueva]]-Tabla14[[#This Row],[Facturación Venta nueva]]</f>
        <v>22798.163454608468</v>
      </c>
      <c r="AA233" s="6">
        <f>IF(AND(A233=1,Tabla14[[#This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33" s="6">
        <v>0</v>
      </c>
      <c r="AC233" s="6">
        <f>IF(Tabla14[[#This Row],[Disponible stock sin venta]]&gt;0,Tabla14[[#This Row],[Disponible stock sin venta]]+Tabla14[[#This Row],[Ajuste stock sin venta]],0)</f>
        <v>0</v>
      </c>
      <c r="AD233" s="3">
        <f>IFERROR(VLOOKUP(Tabla14[[#This Row],[Llave]],[12]Hoja1!$A:$D,4,FALSE),0)</f>
        <v>22590.38</v>
      </c>
      <c r="AE23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115590.38</v>
      </c>
      <c r="AF233" s="3">
        <v>115590.38</v>
      </c>
      <c r="AG233" s="3">
        <f>+Tabla14[[#This Row],[En puerto a facturar]]</f>
        <v>22590.38</v>
      </c>
      <c r="AH233" s="3">
        <f>+Tabla14[[#This Row],[Facturación atraso]]</f>
        <v>24000</v>
      </c>
      <c r="AI233" s="3">
        <f>+Tabla14[[#This Row],[Plan Irrestricto (DATO)]]-Tabla14[[#This Row],[Puerto ]]-Tabla14[[#This Row],[Atraso]]</f>
        <v>69000</v>
      </c>
      <c r="AJ233" s="6">
        <f>IF(Tabla14[[#This Row],[Plan Irrestricto (DATO)]]&gt;0,SUM(Tabla14[[#This Row],[Facturación atraso]],Tabla14[[#This Row],[Facturación Venta nueva]],Tabla14[[#This Row],[Facturación stock]],Tabla14[[#This Row],[En puerto a facturar]]),0)</f>
        <v>115590.38</v>
      </c>
      <c r="AK233" s="3">
        <f>+Tabla14[[#This Row],[Facturación atraso]]</f>
        <v>24000</v>
      </c>
      <c r="AL233" s="3">
        <f>Tabla14[[#This Row],[Plan Ajustado]]-Tabla14[[#This Row],[ Atraso ajustado]]-Tabla14[[#This Row],[En puerto a facturar]]</f>
        <v>69000</v>
      </c>
      <c r="AM233" s="3">
        <v>0</v>
      </c>
      <c r="AN233" s="3" t="s">
        <v>636</v>
      </c>
      <c r="AO233" s="3" t="str">
        <f>IF(Tabla14[[#This Row],[Plan Ajustado]]&gt;Tabla14[[#This Row],[En puerto a facturar]],"Si","No")</f>
        <v>Si</v>
      </c>
      <c r="AP233" s="3">
        <f>IF(AND(Tabla14[[#This Row],[Plan Ajustado]]&gt;0,Tabla14[[#This Row],[Plan Ajustado]]&gt;Tabla14[[#This Row],[En puerto a facturar]]),(Tabla14[[#This Row],[Plan Ajustado]]-Tabla14[[#This Row],[En puerto a facturar]]),0)</f>
        <v>93000</v>
      </c>
      <c r="AQ233" s="3">
        <f>IF(Tabla14[[#This Row],[Necesidad]]&gt;=Tabla14[[#This Row],[Stock al día]],Tabla14[[#This Row],[Stock al día]],Tabla14[[#This Row],[Necesidad]])</f>
        <v>24127.624</v>
      </c>
      <c r="AR233" s="3">
        <f>+Tabla14[[#This Row],[Necesidad]]-Tabla14[[#This Row],[Stock Plan]]</f>
        <v>68872.376000000004</v>
      </c>
      <c r="AS233" s="155">
        <f>VLOOKUP(Tabla14[[#This Row],[Sector]]&amp;Tabla14[[#This Row],[Oficina]],[8]Ponderación!$A:$H,8,FALSE)</f>
        <v>44817</v>
      </c>
      <c r="AT233" s="30">
        <f>IFERROR(VLOOKUP(Tabla14[[#This Row],[Llave]],'[6]RV plan de ventas'!$A:$F,6,FALSE),0)</f>
        <v>0.69999906853704397</v>
      </c>
      <c r="AU233" s="83">
        <f>IFERROR(VLOOKUP(Tabla14[[#This Row],[Llave]],[9]DELAY!$H:$X,17,FALSE),0)</f>
        <v>0.62929166666666703</v>
      </c>
      <c r="AV23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0.67149942417257724</v>
      </c>
      <c r="AW233" s="5">
        <f>Tabla14[[#This Row],[Pecio plan]]*Tabla14[[#This Row],[Plan Ajustado]]</f>
        <v>91163.085329056063</v>
      </c>
      <c r="AX233" s="30">
        <f>IFERROR(VLOOKUP(Tabla14[[#This Row],[Llave]],'[13]Ultimos precios facturados'!$A:$G,7,FALSE),0)</f>
        <v>0.6535970937088772</v>
      </c>
      <c r="AY233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2.7390468280867285E-2</v>
      </c>
      <c r="AZ233" s="30">
        <f>IFERROR(VLOOKUP(Tabla14[[#This Row],[Llave]],Hoja2!B:K,10,FALSE),0)</f>
        <v>0.87382004007741154</v>
      </c>
      <c r="BA23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0.67149942417257724</v>
      </c>
      <c r="BB233" s="30">
        <v>0.7886736364138266</v>
      </c>
      <c r="BC233" s="30">
        <f>IF(Tabla14[[#This Row],[Market]]=0,Tabla14[[#This Row],[Precio Final]],Tabla14[[#This Row],[Market]])</f>
        <v>0.7886736364138266</v>
      </c>
      <c r="BD233" s="82"/>
      <c r="BE233" s="82" t="str">
        <f>IF(AND(Tabla14[[#This Row],[Atraso a facturar]]&gt;0,Tabla14[[#This Row],[En puerto a facturar]]&gt;0,Tabla14[[#This Row],[Precio Atraso]]=0),"Revisar","OK")</f>
        <v>OK</v>
      </c>
      <c r="BF233" s="82" t="str">
        <f>IF(AND(Tabla14[[#This Row],[Venta del mes]]&gt;0,Tabla14[[#This Row],[Precio venta nueva]]=0),"Revisar","OK")</f>
        <v>OK</v>
      </c>
      <c r="BG233" s="20">
        <f>IFERROR(VLOOKUP(Tabla14[[#This Row],[Llave]],'[5]Consolidación planes'!$A:$M,9,FALSE),0)</f>
        <v>192000</v>
      </c>
      <c r="BH233" s="20">
        <f>IFERROR(VLOOKUP(Tabla14[[#This Row],[Llave]],'[5]Consolidación planes'!$A:$M,10,FALSE),0)</f>
        <v>423600</v>
      </c>
      <c r="BI233" s="20">
        <f>IFERROR(VLOOKUP(Tabla14[[#This Row],[Llave]],'[5]Consolidación planes'!$A:$M,11,FALSE),0)</f>
        <v>357200</v>
      </c>
      <c r="BJ233" s="20">
        <f>IFERROR(VLOOKUP(Tabla14[[#This Row],[Llave]],'[5]Consolidación planes'!$A:$M,12,FALSE),0)</f>
        <v>144000</v>
      </c>
      <c r="BK233" s="20">
        <f>IFERROR(VLOOKUP(Tabla14[[#This Row],[Llave]],'[5]Consolidación planes'!$A:$M,13,FALSE),0)</f>
        <v>358600</v>
      </c>
      <c r="BL233" s="20">
        <f>IFERROR(VLOOKUP(Tabla14[[#This Row],[Llave]],'[13]Base ultimos planes'!$A:$M,13,FALSE),0)</f>
        <v>24000</v>
      </c>
      <c r="BM233" s="20">
        <f>IFERROR(VLOOKUP(Tabla14[[#This Row],[Llave]],'[13]Cruce plan irrestricto'!$C:$M,10,FALSE),0)</f>
        <v>136446</v>
      </c>
      <c r="BN233" s="20">
        <f>IFERROR(VLOOKUP(Tabla14[[#This Row],[Llave]],'[13]Cruce plan irrestricto'!$C:$M,11,FALSE),0)</f>
        <v>117880</v>
      </c>
      <c r="BO233" s="80">
        <f>IFERROR(VLOOKUP(Tabla14[[#This Row],[Llave]],'[13]Base ultimos planes'!$O:$AA,8,FALSE),0)</f>
        <v>134400</v>
      </c>
      <c r="BP233" s="20">
        <f>IFERROR(VLOOKUP(Tabla14[[#This Row],[Llave]],'[13]Base ultimos planes'!$O:$AA,9,FALSE),0)</f>
        <v>285844</v>
      </c>
      <c r="BQ233" s="20">
        <f>IFERROR(VLOOKUP(Tabla14[[#This Row],[Llave]],'[13]Base ultimos planes'!$O:$AA,10,FALSE),0)</f>
        <v>241660</v>
      </c>
      <c r="BR233" s="20">
        <f>IFERROR(VLOOKUP(Tabla14[[#This Row],[Llave]],'[13]Base ultimos planes'!$O:$AA,11,FALSE),0)</f>
        <v>80640</v>
      </c>
      <c r="BS233" s="20">
        <f>IFERROR(VLOOKUP(Tabla14[[#This Row],[Llave]],'[13]Base ultimos planes'!$O:$AA,12,FALSE),0)</f>
        <v>251432</v>
      </c>
      <c r="BT233" s="20">
        <f>IFERROR(VLOOKUP(Tabla14[[#This Row],[Llave]],'[13]Base ultimos planes'!$O:$AA,13,FALSE),0)</f>
        <v>16965</v>
      </c>
      <c r="BU233" s="20" t="s">
        <v>629</v>
      </c>
      <c r="BV233" s="20">
        <f>Tabla14[[#This Row],[ RV Producción mes n+1]]-Tabla14[[#This Row],[Producción disponible]]+Tabla14[[#This Row],[Saldo Volumen disponible]]</f>
        <v>123127.624</v>
      </c>
      <c r="BW233" s="20">
        <f>IFERROR(VLOOKUP(Tabla14[[#This Row],[Llave]],[14]Hoja2!$J:$N,4,FALSE),0)</f>
        <v>216000</v>
      </c>
      <c r="BX233" s="20">
        <f>+Tabla14[[#This Row],[Asignación mes n+1]]*Tabla14[[#This Row],[% Uti. producción]]</f>
        <v>103129.35688643453</v>
      </c>
      <c r="BY233" s="20">
        <f>+Tabla14[[#This Row],[Ponderación mes n+1]]+Tabla14[[#This Row],[Saldo mes n-1]]</f>
        <v>226256.98088643453</v>
      </c>
      <c r="BZ233" s="20">
        <f>+Tabla14[[#This Row],[Asignación mes n+1]]-Tabla14[[#This Row],[Ponderación mes n+1]]</f>
        <v>112870.64311356547</v>
      </c>
      <c r="CA233" s="20">
        <f>IFERROR(VLOOKUP(Tabla14[[#This Row],[Llave]],[14]Hoja2!$J:$N,5,FALSE),0)</f>
        <v>216000</v>
      </c>
      <c r="CB233" s="20">
        <f>+Tabla14[[#This Row],[Asignación mes n+2]]*Tabla14[[#This Row],[% Uti. producción]]</f>
        <v>103129.35688643453</v>
      </c>
      <c r="CC233" s="20">
        <f>+Tabla14[[#This Row],[Saldo mes n+2]]+Tabla14[[#This Row],[Ponderación mes n+2]]</f>
        <v>216000</v>
      </c>
      <c r="CD233" s="20">
        <f>+Tabla14[[#This Row],[Asignación mes n+2]]-Tabla14[[#This Row],[Ponderación mes n+2]]</f>
        <v>112870.64311356547</v>
      </c>
    </row>
    <row r="234" spans="1:82" ht="16" x14ac:dyDescent="0.2">
      <c r="A234">
        <v>1</v>
      </c>
      <c r="B234" t="str">
        <f>Tabla14[[#This Row],[Oficina]]&amp;Tabla14[[#This Row],[Material]]</f>
        <v>Agro Sudamerica1012744</v>
      </c>
      <c r="C234" t="s">
        <v>227</v>
      </c>
      <c r="D234" t="s">
        <v>17</v>
      </c>
      <c r="E234">
        <v>1012744</v>
      </c>
      <c r="F234" t="s">
        <v>252</v>
      </c>
      <c r="G234" t="s">
        <v>247</v>
      </c>
      <c r="H234" t="s">
        <v>248</v>
      </c>
      <c r="I234" s="7">
        <f>IFERROR(IF(Tabla14[[#This Row],[Oficina]]=$I$7,VLOOKUP(Tabla14[[#This Row],[Material]],'[6]RV Producción'!$Y:$AA,3,FALSE),VLOOKUP(Tabla14[[#This Row],[Llave]],'[6]RV Producción'!$C:$G,5,FALSE)),0)</f>
        <v>0</v>
      </c>
      <c r="J234" s="7">
        <f>IFERROR(IF(Tabla14[[#This Row],[Oficina]]=$I$7,VLOOKUP(Tabla14[[#This Row],[Llave]],'[7]Shangai (Tomas)'!$A:$F,6,FALSE),VLOOKUP(Tabla14[[#This Row],[Llave]],'[6]RV plan de ventas'!$A:$E,5,FALSE)),0)</f>
        <v>0</v>
      </c>
      <c r="K234" s="8">
        <f>IFERROR(VLOOKUP(Tabla14[[#This Row],[Sector]]&amp;Tabla14[[#This Row],[Oficina]],[8]Ponderación!$A$3:$G$22,7,FALSE),0)</f>
        <v>0.47745072632608576</v>
      </c>
      <c r="L234" s="7">
        <f>+Tabla14[[#This Row],[ RV Producción mes n+1]]*Tabla14[[#This Row],[% Uti. producción]]</f>
        <v>0</v>
      </c>
      <c r="M234" s="7">
        <f>IFERROR(VLOOKUP(Tabla14[[#This Row],[Material]],'[9]TD Stock'!$B:$C,2,FALSE),0)</f>
        <v>0</v>
      </c>
      <c r="N234" s="7">
        <f>IFERROR(VLOOKUP(Tabla14[[#This Row],[Material]],'[10]Consolidado planificación'!$B:$C,2,FALSE),0)</f>
        <v>0</v>
      </c>
      <c r="O234" s="7">
        <f>IFERROR(VLOOKUP(Tabla14[[#This Row],[Llave]],[11]Hoja2!$D:$G,4,FALSE),0)</f>
        <v>0</v>
      </c>
      <c r="P234" s="14">
        <f>SUM(Tabla14[[#This Row],[Producción disponible]],Tabla14[[#This Row],[Stock al día]],(Tabla14[[#This Row],[Por producir mes N]]*0.9))-Tabla14[[#This Row],[Producción por despachar mes N]]</f>
        <v>0</v>
      </c>
      <c r="Q234" s="7">
        <f>IFERROR(VLOOKUP(Tabla14[[#This Row],[Llave]],[9]DELAY!$A:$D,4,FALSE),0)</f>
        <v>0</v>
      </c>
      <c r="R234" s="9">
        <v>23000</v>
      </c>
      <c r="S234" s="5">
        <f t="shared" si="8"/>
        <v>0</v>
      </c>
      <c r="T234" s="76">
        <v>0</v>
      </c>
      <c r="U234" s="5">
        <f>+Tabla14[[#This Row],[Atraso a facturar]]+Tabla14[[#This Row],[Ajuste atraso]]</f>
        <v>0</v>
      </c>
      <c r="V234" s="3">
        <f>+Tabla14[[#This Row],[Total disponible]]-Tabla14[[#This Row],[Facturación atraso]]</f>
        <v>0</v>
      </c>
      <c r="W234" s="6">
        <f>IFERROR(IF(AND(V234&gt;R234,J234&gt;=R234),ROUNDDOWN((Tabla14[[#This Row],[Producción para venta nueva]])/R234,0)*R234,0),0)</f>
        <v>0</v>
      </c>
      <c r="X234" s="76">
        <v>0</v>
      </c>
      <c r="Y234" s="6">
        <f>IF(Tabla14[[#This Row],[Venta del mes]]&gt;0,Tabla14[[#This Row],[Venta del mes]]+Tabla14[[#This Row],[Ajuste venta nueva]],0)</f>
        <v>0</v>
      </c>
      <c r="Z234" s="6">
        <f>+Tabla14[[#This Row],[Producción para venta nueva]]-Tabla14[[#This Row],[Facturación Venta nueva]]</f>
        <v>0</v>
      </c>
      <c r="AA234" s="6">
        <f>IF(AND(A234=1,Tabla14[[#This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34" s="6">
        <v>0</v>
      </c>
      <c r="AC234" s="6">
        <f>IF(Tabla14[[#This Row],[Disponible stock sin venta]]&gt;0,Tabla14[[#This Row],[Disponible stock sin venta]]+Tabla14[[#This Row],[Ajuste stock sin venta]],0)</f>
        <v>0</v>
      </c>
      <c r="AD234" s="3">
        <f>IFERROR(VLOOKUP(Tabla14[[#This Row],[Llave]],[12]Hoja1!$A:$D,4,FALSE),0)</f>
        <v>0</v>
      </c>
      <c r="AE234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34" s="3" t="b">
        <v>0</v>
      </c>
      <c r="AG234" s="3">
        <f>+Tabla14[[#This Row],[En puerto a facturar]]</f>
        <v>0</v>
      </c>
      <c r="AH234" s="3">
        <f>+Tabla14[[#This Row],[Facturación atraso]]</f>
        <v>0</v>
      </c>
      <c r="AI234" s="3">
        <f>+Tabla14[[#This Row],[Plan Irrestricto (DATO)]]-Tabla14[[#This Row],[Puerto ]]-Tabla14[[#This Row],[Atraso]]</f>
        <v>0</v>
      </c>
      <c r="AJ23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34" s="3">
        <f>+Tabla14[[#This Row],[Facturación atraso]]</f>
        <v>0</v>
      </c>
      <c r="AL234" s="3">
        <f>Tabla14[[#This Row],[Plan Ajustado]]-Tabla14[[#This Row],[ Atraso ajustado]]-Tabla14[[#This Row],[En puerto a facturar]]</f>
        <v>0</v>
      </c>
      <c r="AM234" s="3">
        <v>0</v>
      </c>
      <c r="AN234" s="3" t="e">
        <v>#REF!</v>
      </c>
      <c r="AO234" s="3" t="str">
        <f>IF(Tabla14[[#This Row],[Plan Ajustado]]&gt;Tabla14[[#This Row],[En puerto a facturar]],"Si","No")</f>
        <v>No</v>
      </c>
      <c r="AP23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34" s="3">
        <f>IF(Tabla14[[#This Row],[Necesidad]]&gt;=Tabla14[[#This Row],[Stock al día]],Tabla14[[#This Row],[Stock al día]],Tabla14[[#This Row],[Necesidad]])</f>
        <v>0</v>
      </c>
      <c r="AR234" s="3">
        <f>+Tabla14[[#This Row],[Necesidad]]-Tabla14[[#This Row],[Stock Plan]]</f>
        <v>0</v>
      </c>
      <c r="AS234" s="155">
        <f>VLOOKUP(Tabla14[[#This Row],[Sector]]&amp;Tabla14[[#This Row],[Oficina]],[8]Ponderación!$A:$H,8,FALSE)</f>
        <v>44817</v>
      </c>
      <c r="AT234" s="30">
        <f>IFERROR(VLOOKUP(Tabla14[[#This Row],[Llave]],'[6]RV plan de ventas'!$A:$F,6,FALSE),0)</f>
        <v>0</v>
      </c>
      <c r="AU234" s="83">
        <f>IFERROR(VLOOKUP(Tabla14[[#This Row],[Llave]],[9]DELAY!$H:$X,17,FALSE),0)</f>
        <v>0</v>
      </c>
      <c r="AV23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34" s="5">
        <f>Tabla14[[#This Row],[Pecio plan]]*Tabla14[[#This Row],[Plan Ajustado]]</f>
        <v>0</v>
      </c>
      <c r="AX234" s="30">
        <f>IFERROR(VLOOKUP(Tabla14[[#This Row],[Llave]],'[13]Ultimos precios facturados'!$A:$G,7,FALSE),0)</f>
        <v>3.4128200397882997</v>
      </c>
      <c r="AY23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34" s="30">
        <f>IFERROR(VLOOKUP(Tabla14[[#This Row],[Llave]],Hoja2!B:K,10,FALSE),0)</f>
        <v>0</v>
      </c>
      <c r="BA23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3.4128200397882997</v>
      </c>
      <c r="BB234" s="30">
        <v>0</v>
      </c>
      <c r="BC234" s="30">
        <f>IF(Tabla14[[#This Row],[Market]]=0,Tabla14[[#This Row],[Precio Final]],Tabla14[[#This Row],[Market]])</f>
        <v>3.4128200397882997</v>
      </c>
      <c r="BD234" s="82"/>
      <c r="BE234" s="82" t="str">
        <f>IF(AND(Tabla14[[#This Row],[Atraso a facturar]]&gt;0,Tabla14[[#This Row],[En puerto a facturar]]&gt;0,Tabla14[[#This Row],[Precio Atraso]]=0),"Revisar","OK")</f>
        <v>OK</v>
      </c>
      <c r="BF234" s="82" t="str">
        <f>IF(AND(Tabla14[[#This Row],[Venta del mes]]&gt;0,Tabla14[[#This Row],[Precio venta nueva]]=0),"Revisar","OK")</f>
        <v>OK</v>
      </c>
      <c r="BG234" s="20">
        <f>IFERROR(VLOOKUP(Tabla14[[#This Row],[Llave]],'[5]Consolidación planes'!$A:$M,9,FALSE),0)</f>
        <v>0</v>
      </c>
      <c r="BH234" s="20">
        <f>IFERROR(VLOOKUP(Tabla14[[#This Row],[Llave]],'[5]Consolidación planes'!$A:$M,10,FALSE),0)</f>
        <v>143000</v>
      </c>
      <c r="BI234" s="20">
        <f>IFERROR(VLOOKUP(Tabla14[[#This Row],[Llave]],'[5]Consolidación planes'!$A:$M,11,FALSE),0)</f>
        <v>72000</v>
      </c>
      <c r="BJ234" s="20">
        <f>IFERROR(VLOOKUP(Tabla14[[#This Row],[Llave]],'[5]Consolidación planes'!$A:$M,12,FALSE),0)</f>
        <v>24000</v>
      </c>
      <c r="BK234" s="20">
        <f>IFERROR(VLOOKUP(Tabla14[[#This Row],[Llave]],'[5]Consolidación planes'!$A:$M,13,FALSE),0)</f>
        <v>24000</v>
      </c>
      <c r="BL234" s="20">
        <f>IFERROR(VLOOKUP(Tabla14[[#This Row],[Llave]],'[13]Base ultimos planes'!$A:$M,13,FALSE),0)</f>
        <v>0</v>
      </c>
      <c r="BM234" s="20">
        <f>IFERROR(VLOOKUP(Tabla14[[#This Row],[Llave]],'[13]Cruce plan irrestricto'!$C:$M,10,FALSE),0)</f>
        <v>0</v>
      </c>
      <c r="BN234" s="20">
        <f>IFERROR(VLOOKUP(Tabla14[[#This Row],[Llave]],'[13]Cruce plan irrestricto'!$C:$M,11,FALSE),0)</f>
        <v>0</v>
      </c>
      <c r="BO234" s="80">
        <f>IFERROR(VLOOKUP(Tabla14[[#This Row],[Llave]],'[13]Base ultimos planes'!$O:$AA,8,FALSE),0)</f>
        <v>0</v>
      </c>
      <c r="BP234" s="20">
        <f>IFERROR(VLOOKUP(Tabla14[[#This Row],[Llave]],'[13]Base ultimos planes'!$O:$AA,9,FALSE),0)</f>
        <v>487469</v>
      </c>
      <c r="BQ234" s="20">
        <f>IFERROR(VLOOKUP(Tabla14[[#This Row],[Llave]],'[13]Base ultimos planes'!$O:$AA,10,FALSE),0)</f>
        <v>249600</v>
      </c>
      <c r="BR234" s="20">
        <f>IFERROR(VLOOKUP(Tabla14[[#This Row],[Llave]],'[13]Base ultimos planes'!$O:$AA,11,FALSE),0)</f>
        <v>78000</v>
      </c>
      <c r="BS234" s="20">
        <f>IFERROR(VLOOKUP(Tabla14[[#This Row],[Llave]],'[13]Base ultimos planes'!$O:$AA,12,FALSE),0)</f>
        <v>81600</v>
      </c>
      <c r="BT234" s="20">
        <f>IFERROR(VLOOKUP(Tabla14[[#This Row],[Llave]],'[13]Base ultimos planes'!$O:$AA,13,FALSE),0)</f>
        <v>0</v>
      </c>
      <c r="BU234" s="20"/>
      <c r="BV234" s="20">
        <f>Tabla14[[#This Row],[ RV Producción mes n+1]]-Tabla14[[#This Row],[Producción disponible]]+Tabla14[[#This Row],[Saldo Volumen disponible]]</f>
        <v>0</v>
      </c>
      <c r="BW234" s="20">
        <f>IFERROR(VLOOKUP(Tabla14[[#This Row],[Llave]],[14]Hoja2!$J:$N,4,FALSE),0)</f>
        <v>0</v>
      </c>
      <c r="BX234" s="20">
        <f>+Tabla14[[#This Row],[Asignación mes n+1]]*Tabla14[[#This Row],[% Uti. producción]]</f>
        <v>0</v>
      </c>
      <c r="BY234" s="20">
        <f>+Tabla14[[#This Row],[Ponderación mes n+1]]+Tabla14[[#This Row],[Saldo mes n-1]]</f>
        <v>0</v>
      </c>
      <c r="BZ234" s="20">
        <f>+Tabla14[[#This Row],[Asignación mes n+1]]-Tabla14[[#This Row],[Ponderación mes n+1]]</f>
        <v>0</v>
      </c>
      <c r="CA234" s="20">
        <f>IFERROR(VLOOKUP(Tabla14[[#This Row],[Llave]],[14]Hoja2!$J:$N,5,FALSE),0)</f>
        <v>0</v>
      </c>
      <c r="CB234" s="20">
        <f>+Tabla14[[#This Row],[Asignación mes n+2]]*Tabla14[[#This Row],[% Uti. producción]]</f>
        <v>0</v>
      </c>
      <c r="CC234" s="20">
        <f>+Tabla14[[#This Row],[Saldo mes n+2]]+Tabla14[[#This Row],[Ponderación mes n+2]]</f>
        <v>0</v>
      </c>
      <c r="CD234" s="20">
        <f>+Tabla14[[#This Row],[Asignación mes n+2]]-Tabla14[[#This Row],[Ponderación mes n+2]]</f>
        <v>0</v>
      </c>
    </row>
    <row r="235" spans="1:82" ht="16" x14ac:dyDescent="0.2">
      <c r="A235">
        <v>1</v>
      </c>
      <c r="B235" t="str">
        <f>Tabla14[[#This Row],[Oficina]]&amp;Tabla14[[#This Row],[Material]]</f>
        <v>Agro Sudamerica1012763</v>
      </c>
      <c r="C235" t="s">
        <v>227</v>
      </c>
      <c r="D235" t="s">
        <v>17</v>
      </c>
      <c r="E235">
        <v>1012763</v>
      </c>
      <c r="F235" t="s">
        <v>309</v>
      </c>
      <c r="G235" t="s">
        <v>209</v>
      </c>
      <c r="H235" t="s">
        <v>245</v>
      </c>
      <c r="I235" s="7">
        <f>IFERROR(IF(Tabla14[[#This Row],[Oficina]]=$I$7,VLOOKUP(Tabla14[[#This Row],[Material]],'[6]RV Producción'!$Y:$AA,3,FALSE),VLOOKUP(Tabla14[[#This Row],[Llave]],'[6]RV Producción'!$C:$G,5,FALSE)),0)</f>
        <v>74419</v>
      </c>
      <c r="J235" s="7">
        <f>IFERROR(IF(Tabla14[[#This Row],[Oficina]]=$I$7,VLOOKUP(Tabla14[[#This Row],[Llave]],'[7]Shangai (Tomas)'!$A:$F,6,FALSE),VLOOKUP(Tabla14[[#This Row],[Llave]],'[6]RV plan de ventas'!$A:$E,5,FALSE)),0)</f>
        <v>106945</v>
      </c>
      <c r="K235" s="8">
        <f>IFERROR(VLOOKUP(Tabla14[[#This Row],[Sector]]&amp;Tabla14[[#This Row],[Oficina]],[8]Ponderación!$A$3:$G$22,7,FALSE),0)</f>
        <v>0.47745072632608576</v>
      </c>
      <c r="L235" s="7">
        <f>+Tabla14[[#This Row],[ RV Producción mes n+1]]*Tabla14[[#This Row],[% Uti. producción]]</f>
        <v>35531.405602460974</v>
      </c>
      <c r="M235" s="7">
        <f>IFERROR(VLOOKUP(Tabla14[[#This Row],[Material]],'[9]TD Stock'!$B:$C,2,FALSE),0)</f>
        <v>8372.7860000000001</v>
      </c>
      <c r="N235" s="7">
        <f>IFERROR(VLOOKUP(Tabla14[[#This Row],[Material]],'[10]Consolidado planificación'!$B:$C,2,FALSE),0)</f>
        <v>3000</v>
      </c>
      <c r="O235" s="7">
        <f>IFERROR(VLOOKUP(Tabla14[[#This Row],[Llave]],[11]Hoja2!$D:$G,4,FALSE),0)</f>
        <v>0</v>
      </c>
      <c r="P235" s="14">
        <f>SUM(Tabla14[[#This Row],[Producción disponible]],Tabla14[[#This Row],[Stock al día]],(Tabla14[[#This Row],[Por producir mes N]]*0.9))-Tabla14[[#This Row],[Producción por despachar mes N]]</f>
        <v>46604.191602460975</v>
      </c>
      <c r="Q235" s="7">
        <f>IFERROR(VLOOKUP(Tabla14[[#This Row],[Llave]],[9]DELAY!$A:$D,4,FALSE),0)</f>
        <v>24000</v>
      </c>
      <c r="R235" s="9">
        <v>23000</v>
      </c>
      <c r="S235" s="5">
        <f t="shared" si="8"/>
        <v>24000</v>
      </c>
      <c r="T235" s="76">
        <v>0</v>
      </c>
      <c r="U235" s="5">
        <f>+Tabla14[[#This Row],[Atraso a facturar]]+Tabla14[[#This Row],[Ajuste atraso]]</f>
        <v>24000</v>
      </c>
      <c r="V235" s="3">
        <f>+Tabla14[[#This Row],[Total disponible]]-Tabla14[[#This Row],[Facturación atraso]]</f>
        <v>22604.191602460975</v>
      </c>
      <c r="W235" s="6">
        <f>IFERROR(IF(AND(V235&gt;R235,J235&gt;=R235),ROUNDDOWN((Tabla14[[#This Row],[Producción para venta nueva]])/R235,0)*R235,0),0)</f>
        <v>0</v>
      </c>
      <c r="X235" s="76">
        <v>0</v>
      </c>
      <c r="Y235" s="6">
        <f>IF(Tabla14[[#This Row],[Venta del mes]]&gt;0,Tabla14[[#This Row],[Venta del mes]]+Tabla14[[#This Row],[Ajuste venta nueva]],0)</f>
        <v>0</v>
      </c>
      <c r="Z235" s="6">
        <f>+Tabla14[[#This Row],[Producción para venta nueva]]-Tabla14[[#This Row],[Facturación Venta nueva]]</f>
        <v>22604.191602460975</v>
      </c>
      <c r="AA235" s="6">
        <f>IF(AND(A235=1,Tabla14[[#This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35" s="6">
        <v>0</v>
      </c>
      <c r="AC235" s="6">
        <f>IF(Tabla14[[#This Row],[Disponible stock sin venta]]&gt;0,Tabla14[[#This Row],[Disponible stock sin venta]]+Tabla14[[#This Row],[Ajuste stock sin venta]],0)</f>
        <v>0</v>
      </c>
      <c r="AD235" s="3">
        <f>IFERROR(VLOOKUP(Tabla14[[#This Row],[Llave]],[12]Hoja1!$A:$D,4,FALSE),0)</f>
        <v>23982.75</v>
      </c>
      <c r="AE23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47982.75</v>
      </c>
      <c r="AF235" s="3">
        <v>47982.75</v>
      </c>
      <c r="AG235" s="3">
        <f>+Tabla14[[#This Row],[En puerto a facturar]]</f>
        <v>23982.75</v>
      </c>
      <c r="AH235" s="3">
        <f>+Tabla14[[#This Row],[Facturación atraso]]</f>
        <v>24000</v>
      </c>
      <c r="AI235" s="3">
        <f>+Tabla14[[#This Row],[Plan Irrestricto (DATO)]]-Tabla14[[#This Row],[Puerto ]]-Tabla14[[#This Row],[Atraso]]</f>
        <v>0</v>
      </c>
      <c r="AJ235" s="6">
        <f>IF(Tabla14[[#This Row],[Plan Irrestricto (DATO)]]&gt;0,SUM(Tabla14[[#This Row],[Facturación atraso]],Tabla14[[#This Row],[Facturación Venta nueva]],Tabla14[[#This Row],[Facturación stock]],Tabla14[[#This Row],[En puerto a facturar]]),0)</f>
        <v>47982.75</v>
      </c>
      <c r="AK235" s="3">
        <f>+Tabla14[[#This Row],[Facturación atraso]]</f>
        <v>24000</v>
      </c>
      <c r="AL235" s="3">
        <f>Tabla14[[#This Row],[Plan Ajustado]]-Tabla14[[#This Row],[ Atraso ajustado]]-Tabla14[[#This Row],[En puerto a facturar]]</f>
        <v>0</v>
      </c>
      <c r="AM235" s="3">
        <v>0</v>
      </c>
      <c r="AN235" s="3" t="s">
        <v>636</v>
      </c>
      <c r="AO235" s="3" t="str">
        <f>IF(Tabla14[[#This Row],[Plan Ajustado]]&gt;Tabla14[[#This Row],[En puerto a facturar]],"Si","No")</f>
        <v>Si</v>
      </c>
      <c r="AP235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235" s="3">
        <f>IF(Tabla14[[#This Row],[Necesidad]]&gt;=Tabla14[[#This Row],[Stock al día]],Tabla14[[#This Row],[Stock al día]],Tabla14[[#This Row],[Necesidad]])</f>
        <v>8372.7860000000001</v>
      </c>
      <c r="AR235" s="3">
        <f>+Tabla14[[#This Row],[Necesidad]]-Tabla14[[#This Row],[Stock Plan]]</f>
        <v>15627.214</v>
      </c>
      <c r="AS235" s="155">
        <f>VLOOKUP(Tabla14[[#This Row],[Sector]]&amp;Tabla14[[#This Row],[Oficina]],[8]Ponderación!$A:$H,8,FALSE)</f>
        <v>44817</v>
      </c>
      <c r="AT235" s="30">
        <f>IFERROR(VLOOKUP(Tabla14[[#This Row],[Llave]],'[6]RV plan de ventas'!$A:$F,6,FALSE),0)</f>
        <v>0.70667165365374696</v>
      </c>
      <c r="AU235" s="83">
        <f>IFERROR(VLOOKUP(Tabla14[[#This Row],[Llave]],[9]DELAY!$H:$X,17,FALSE),0)</f>
        <v>0.85164583333333299</v>
      </c>
      <c r="AV23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0.85164583333333299</v>
      </c>
      <c r="AW235" s="5">
        <f>Tabla14[[#This Row],[Pecio plan]]*Tabla14[[#This Row],[Plan Ajustado]]</f>
        <v>36786.775000000001</v>
      </c>
      <c r="AX235" s="30">
        <f>IFERROR(VLOOKUP(Tabla14[[#This Row],[Llave]],'[13]Ultimos precios facturados'!$A:$G,7,FALSE),0)</f>
        <v>0.74240492269485137</v>
      </c>
      <c r="AY235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0.14714464748152353</v>
      </c>
      <c r="AZ235" s="30">
        <f>IFERROR(VLOOKUP(Tabla14[[#This Row],[Llave]],Hoja2!B:K,10,FALSE),0)</f>
        <v>0.60666666666666669</v>
      </c>
      <c r="BA23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0.85164583333333299</v>
      </c>
      <c r="BB235" s="30">
        <v>0.76666666666666672</v>
      </c>
      <c r="BC235" s="30">
        <f>IF(Tabla14[[#This Row],[Market]]=0,Tabla14[[#This Row],[Precio Final]],Tabla14[[#This Row],[Market]])</f>
        <v>0.76666666666666672</v>
      </c>
      <c r="BD235" s="82"/>
      <c r="BE235" s="82" t="str">
        <f>IF(AND(Tabla14[[#This Row],[Atraso a facturar]]&gt;0,Tabla14[[#This Row],[En puerto a facturar]]&gt;0,Tabla14[[#This Row],[Precio Atraso]]=0),"Revisar","OK")</f>
        <v>OK</v>
      </c>
      <c r="BF235" s="82" t="str">
        <f>IF(AND(Tabla14[[#This Row],[Venta del mes]]&gt;0,Tabla14[[#This Row],[Precio venta nueva]]=0),"Revisar","OK")</f>
        <v>OK</v>
      </c>
      <c r="BG235" s="20">
        <f>IFERROR(VLOOKUP(Tabla14[[#This Row],[Llave]],'[5]Consolidación planes'!$A:$M,9,FALSE),0)</f>
        <v>0</v>
      </c>
      <c r="BH235" s="20">
        <f>IFERROR(VLOOKUP(Tabla14[[#This Row],[Llave]],'[5]Consolidación planes'!$A:$M,10,FALSE),0)</f>
        <v>0</v>
      </c>
      <c r="BI235" s="20">
        <f>IFERROR(VLOOKUP(Tabla14[[#This Row],[Llave]],'[5]Consolidación planes'!$A:$M,11,FALSE),0)</f>
        <v>48000</v>
      </c>
      <c r="BJ235" s="20">
        <f>IFERROR(VLOOKUP(Tabla14[[#This Row],[Llave]],'[5]Consolidación planes'!$A:$M,12,FALSE),0)</f>
        <v>48000</v>
      </c>
      <c r="BK235" s="20">
        <f>IFERROR(VLOOKUP(Tabla14[[#This Row],[Llave]],'[5]Consolidación planes'!$A:$M,13,FALSE),0)</f>
        <v>48000</v>
      </c>
      <c r="BL235" s="20">
        <f>IFERROR(VLOOKUP(Tabla14[[#This Row],[Llave]],'[13]Base ultimos planes'!$A:$M,13,FALSE),0)</f>
        <v>48000</v>
      </c>
      <c r="BM235" s="20">
        <f>IFERROR(VLOOKUP(Tabla14[[#This Row],[Llave]],'[13]Cruce plan irrestricto'!$C:$M,10,FALSE),0)</f>
        <v>72000</v>
      </c>
      <c r="BN235" s="20">
        <f>IFERROR(VLOOKUP(Tabla14[[#This Row],[Llave]],'[13]Cruce plan irrestricto'!$C:$M,11,FALSE),0)</f>
        <v>48000</v>
      </c>
      <c r="BO235" s="80">
        <f>IFERROR(VLOOKUP(Tabla14[[#This Row],[Llave]],'[13]Base ultimos planes'!$O:$AA,8,FALSE),0)</f>
        <v>0</v>
      </c>
      <c r="BP235" s="20">
        <f>IFERROR(VLOOKUP(Tabla14[[#This Row],[Llave]],'[13]Base ultimos planes'!$O:$AA,9,FALSE),0)</f>
        <v>0</v>
      </c>
      <c r="BQ235" s="20">
        <f>IFERROR(VLOOKUP(Tabla14[[#This Row],[Llave]],'[13]Base ultimos planes'!$O:$AA,10,FALSE),0)</f>
        <v>33600</v>
      </c>
      <c r="BR235" s="20">
        <f>IFERROR(VLOOKUP(Tabla14[[#This Row],[Llave]],'[13]Base ultimos planes'!$O:$AA,11,FALSE),0)</f>
        <v>35760</v>
      </c>
      <c r="BS235" s="20">
        <f>IFERROR(VLOOKUP(Tabla14[[#This Row],[Llave]],'[13]Base ultimos planes'!$O:$AA,12,FALSE),0)</f>
        <v>33334</v>
      </c>
      <c r="BT235" s="20">
        <f>IFERROR(VLOOKUP(Tabla14[[#This Row],[Llave]],'[13]Base ultimos planes'!$O:$AA,13,FALSE),0)</f>
        <v>33539</v>
      </c>
      <c r="BU235" s="20"/>
      <c r="BV235" s="20">
        <f>Tabla14[[#This Row],[ RV Producción mes n+1]]-Tabla14[[#This Row],[Producción disponible]]+Tabla14[[#This Row],[Saldo Volumen disponible]]</f>
        <v>61491.786</v>
      </c>
      <c r="BW235" s="20">
        <f>IFERROR(VLOOKUP(Tabla14[[#This Row],[Llave]],[14]Hoja2!$J:$N,4,FALSE),0)</f>
        <v>48000</v>
      </c>
      <c r="BX235" s="20">
        <f>+Tabla14[[#This Row],[Asignación mes n+1]]*Tabla14[[#This Row],[% Uti. producción]]</f>
        <v>22917.634863652118</v>
      </c>
      <c r="BY235" s="20">
        <f>+Tabla14[[#This Row],[Ponderación mes n+1]]+Tabla14[[#This Row],[Saldo mes n-1]]</f>
        <v>84409.420863652122</v>
      </c>
      <c r="BZ235" s="20">
        <f>+Tabla14[[#This Row],[Asignación mes n+1]]-Tabla14[[#This Row],[Ponderación mes n+1]]</f>
        <v>25082.365136347882</v>
      </c>
      <c r="CA235" s="20">
        <f>IFERROR(VLOOKUP(Tabla14[[#This Row],[Llave]],[14]Hoja2!$J:$N,5,FALSE),0)</f>
        <v>48000</v>
      </c>
      <c r="CB235" s="20">
        <f>+Tabla14[[#This Row],[Asignación mes n+2]]*Tabla14[[#This Row],[% Uti. producción]]</f>
        <v>22917.634863652118</v>
      </c>
      <c r="CC235" s="20">
        <f>+Tabla14[[#This Row],[Saldo mes n+2]]+Tabla14[[#This Row],[Ponderación mes n+2]]</f>
        <v>48000</v>
      </c>
      <c r="CD235" s="20">
        <f>+Tabla14[[#This Row],[Asignación mes n+2]]-Tabla14[[#This Row],[Ponderación mes n+2]]</f>
        <v>25082.365136347882</v>
      </c>
    </row>
    <row r="236" spans="1:82" ht="16" x14ac:dyDescent="0.2">
      <c r="A236">
        <v>1</v>
      </c>
      <c r="B236" t="str">
        <f>Tabla14[[#This Row],[Oficina]]&amp;Tabla14[[#This Row],[Material]]</f>
        <v>Agro Sudamerica1012778</v>
      </c>
      <c r="C236" t="s">
        <v>227</v>
      </c>
      <c r="D236" t="s">
        <v>17</v>
      </c>
      <c r="E236">
        <v>1012778</v>
      </c>
      <c r="F236" t="s">
        <v>327</v>
      </c>
      <c r="G236" t="s">
        <v>209</v>
      </c>
      <c r="H236" t="s">
        <v>228</v>
      </c>
      <c r="I236" s="7">
        <f>IFERROR(IF(Tabla14[[#This Row],[Oficina]]=$I$7,VLOOKUP(Tabla14[[#This Row],[Material]],'[6]RV Producción'!$Y:$AA,3,FALSE),VLOOKUP(Tabla14[[#This Row],[Llave]],'[6]RV Producción'!$C:$G,5,FALSE)),0)</f>
        <v>0</v>
      </c>
      <c r="J236" s="7">
        <f>IFERROR(IF(Tabla14[[#This Row],[Oficina]]=$I$7,VLOOKUP(Tabla14[[#This Row],[Llave]],'[7]Shangai (Tomas)'!$A:$F,6,FALSE),VLOOKUP(Tabla14[[#This Row],[Llave]],'[6]RV plan de ventas'!$A:$E,5,FALSE)),0)</f>
        <v>13231</v>
      </c>
      <c r="K236" s="8">
        <f>IFERROR(VLOOKUP(Tabla14[[#This Row],[Sector]]&amp;Tabla14[[#This Row],[Oficina]],[8]Ponderación!$A$3:$G$22,7,FALSE),0)</f>
        <v>0.47745072632608576</v>
      </c>
      <c r="L236" s="7">
        <f>+Tabla14[[#This Row],[ RV Producción mes n+1]]*Tabla14[[#This Row],[% Uti. producción]]</f>
        <v>0</v>
      </c>
      <c r="M236" s="7">
        <f>IFERROR(VLOOKUP(Tabla14[[#This Row],[Material]],'[9]TD Stock'!$B:$C,2,FALSE),0)</f>
        <v>38017.277999999991</v>
      </c>
      <c r="N236" s="7">
        <f>IFERROR(VLOOKUP(Tabla14[[#This Row],[Material]],'[10]Consolidado planificación'!$B:$C,2,FALSE),0)</f>
        <v>0</v>
      </c>
      <c r="O236" s="7">
        <f>IFERROR(VLOOKUP(Tabla14[[#This Row],[Llave]],[11]Hoja2!$D:$G,4,FALSE),0)</f>
        <v>0</v>
      </c>
      <c r="P236" s="14">
        <f>SUM(Tabla14[[#This Row],[Producción disponible]],Tabla14[[#This Row],[Stock al día]],(Tabla14[[#This Row],[Por producir mes N]]*0.9))-Tabla14[[#This Row],[Producción por despachar mes N]]</f>
        <v>38017.277999999991</v>
      </c>
      <c r="Q236" s="7">
        <f>IFERROR(VLOOKUP(Tabla14[[#This Row],[Llave]],[9]DELAY!$A:$D,4,FALSE),0)</f>
        <v>12000</v>
      </c>
      <c r="R236" s="9">
        <v>23000</v>
      </c>
      <c r="S236" s="5">
        <f t="shared" si="8"/>
        <v>12000</v>
      </c>
      <c r="T236" s="76">
        <v>0</v>
      </c>
      <c r="U236" s="5">
        <f>+Tabla14[[#This Row],[Atraso a facturar]]+Tabla14[[#This Row],[Ajuste atraso]]</f>
        <v>12000</v>
      </c>
      <c r="V236" s="3">
        <f>+Tabla14[[#This Row],[Total disponible]]-Tabla14[[#This Row],[Facturación atraso]]</f>
        <v>26017.277999999991</v>
      </c>
      <c r="W236" s="6">
        <f>IFERROR(IF(AND(V236&gt;R236,J236&gt;=R236),ROUNDDOWN((Tabla14[[#This Row],[Producción para venta nueva]])/R236,0)*R236,0),0)</f>
        <v>0</v>
      </c>
      <c r="X236" s="76">
        <v>0</v>
      </c>
      <c r="Y236" s="6">
        <f>IF(Tabla14[[#This Row],[Venta del mes]]&gt;0,Tabla14[[#This Row],[Venta del mes]]+Tabla14[[#This Row],[Ajuste venta nueva]],0)</f>
        <v>0</v>
      </c>
      <c r="Z236" s="6">
        <f>+Tabla14[[#This Row],[Producción para venta nueva]]-Tabla14[[#This Row],[Facturación Venta nueva]]</f>
        <v>26017.277999999991</v>
      </c>
      <c r="AA236" s="6">
        <f>IF(AND(A236=1,Tabla14[[#This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23000</v>
      </c>
      <c r="AB236" s="6">
        <v>0</v>
      </c>
      <c r="AC236" s="6">
        <f>IF(Tabla14[[#This Row],[Disponible stock sin venta]]&gt;0,Tabla14[[#This Row],[Disponible stock sin venta]]+Tabla14[[#This Row],[Ajuste stock sin venta]],0)</f>
        <v>23000</v>
      </c>
      <c r="AD236" s="3">
        <f>IFERROR(VLOOKUP(Tabla14[[#This Row],[Llave]],[12]Hoja1!$A:$D,4,FALSE),0)</f>
        <v>0</v>
      </c>
      <c r="AE23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35000</v>
      </c>
      <c r="AF236" s="3">
        <v>35000</v>
      </c>
      <c r="AG236" s="3">
        <f>+Tabla14[[#This Row],[En puerto a facturar]]</f>
        <v>0</v>
      </c>
      <c r="AH236" s="3">
        <f>+Tabla14[[#This Row],[Facturación atraso]]</f>
        <v>12000</v>
      </c>
      <c r="AI236" s="3">
        <f>+Tabla14[[#This Row],[Plan Irrestricto (DATO)]]-Tabla14[[#This Row],[Puerto ]]-Tabla14[[#This Row],[Atraso]]</f>
        <v>23000</v>
      </c>
      <c r="AJ236" s="6">
        <f>IF(Tabla14[[#This Row],[Plan Irrestricto (DATO)]]&gt;0,SUM(Tabla14[[#This Row],[Facturación atraso]],Tabla14[[#This Row],[Facturación Venta nueva]],Tabla14[[#This Row],[Facturación stock]],Tabla14[[#This Row],[En puerto a facturar]]),0)</f>
        <v>35000</v>
      </c>
      <c r="AK236" s="3">
        <f>+Tabla14[[#This Row],[Facturación atraso]]</f>
        <v>12000</v>
      </c>
      <c r="AL236" s="3">
        <f>Tabla14[[#This Row],[Plan Ajustado]]-Tabla14[[#This Row],[ Atraso ajustado]]-Tabla14[[#This Row],[En puerto a facturar]]</f>
        <v>23000</v>
      </c>
      <c r="AM236" s="3">
        <v>0</v>
      </c>
      <c r="AN236" s="3" t="s">
        <v>883</v>
      </c>
      <c r="AO236" s="3" t="str">
        <f>IF(Tabla14[[#This Row],[Plan Ajustado]]&gt;Tabla14[[#This Row],[En puerto a facturar]],"Si","No")</f>
        <v>Si</v>
      </c>
      <c r="AP236" s="3">
        <f>IF(AND(Tabla14[[#This Row],[Plan Ajustado]]&gt;0,Tabla14[[#This Row],[Plan Ajustado]]&gt;Tabla14[[#This Row],[En puerto a facturar]]),(Tabla14[[#This Row],[Plan Ajustado]]-Tabla14[[#This Row],[En puerto a facturar]]),0)</f>
        <v>35000</v>
      </c>
      <c r="AQ236" s="3">
        <f>IF(Tabla14[[#This Row],[Necesidad]]&gt;=Tabla14[[#This Row],[Stock al día]],Tabla14[[#This Row],[Stock al día]],Tabla14[[#This Row],[Necesidad]])</f>
        <v>35000</v>
      </c>
      <c r="AR236" s="3">
        <f>+Tabla14[[#This Row],[Necesidad]]-Tabla14[[#This Row],[Stock Plan]]</f>
        <v>0</v>
      </c>
      <c r="AS236" s="155">
        <f>VLOOKUP(Tabla14[[#This Row],[Sector]]&amp;Tabla14[[#This Row],[Oficina]],[8]Ponderación!$A:$H,8,FALSE)</f>
        <v>44817</v>
      </c>
      <c r="AT236" s="30">
        <f>IFERROR(VLOOKUP(Tabla14[[#This Row],[Llave]],'[6]RV plan de ventas'!$A:$F,6,FALSE),0)</f>
        <v>0</v>
      </c>
      <c r="AU236" s="83">
        <f>IFERROR(VLOOKUP(Tabla14[[#This Row],[Llave]],[9]DELAY!$H:$X,17,FALSE),0)</f>
        <v>0.60750000000000004</v>
      </c>
      <c r="AV23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0.60750000000000015</v>
      </c>
      <c r="AW236" s="5">
        <f>Tabla14[[#This Row],[Pecio plan]]*Tabla14[[#This Row],[Plan Ajustado]]</f>
        <v>31500</v>
      </c>
      <c r="AX236" s="30">
        <f>IFERROR(VLOOKUP(Tabla14[[#This Row],[Llave]],'[13]Ultimos precios facturados'!$A:$G,7,FALSE),0)</f>
        <v>0.75885421527489794</v>
      </c>
      <c r="AY23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0.19945097784041316</v>
      </c>
      <c r="AZ236" s="30">
        <f>IFERROR(VLOOKUP(Tabla14[[#This Row],[Llave]],Hoja2!B:K,10,FALSE),0)</f>
        <v>0.75</v>
      </c>
      <c r="BA23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0.60750000000000015</v>
      </c>
      <c r="BB236" s="30">
        <v>0.9</v>
      </c>
      <c r="BC236" s="30">
        <f>IF(Tabla14[[#This Row],[Market]]=0,Tabla14[[#This Row],[Precio Final]],Tabla14[[#This Row],[Market]])</f>
        <v>0.9</v>
      </c>
      <c r="BD236" s="82"/>
      <c r="BE236" s="82" t="str">
        <f>IF(AND(Tabla14[[#This Row],[Atraso a facturar]]&gt;0,Tabla14[[#This Row],[En puerto a facturar]]&gt;0,Tabla14[[#This Row],[Precio Atraso]]=0),"Revisar","OK")</f>
        <v>OK</v>
      </c>
      <c r="BF236" s="82" t="str">
        <f>IF(AND(Tabla14[[#This Row],[Venta del mes]]&gt;0,Tabla14[[#This Row],[Precio venta nueva]]=0),"Revisar","OK")</f>
        <v>OK</v>
      </c>
      <c r="BG236" s="20">
        <f>IFERROR(VLOOKUP(Tabla14[[#This Row],[Llave]],'[5]Consolidación planes'!$A:$M,9,FALSE),0)</f>
        <v>0</v>
      </c>
      <c r="BH236" s="20">
        <f>IFERROR(VLOOKUP(Tabla14[[#This Row],[Llave]],'[5]Consolidación planes'!$A:$M,10,FALSE),0)</f>
        <v>0</v>
      </c>
      <c r="BI236" s="20">
        <f>IFERROR(VLOOKUP(Tabla14[[#This Row],[Llave]],'[5]Consolidación planes'!$A:$M,11,FALSE),0)</f>
        <v>0</v>
      </c>
      <c r="BJ236" s="20">
        <f>IFERROR(VLOOKUP(Tabla14[[#This Row],[Llave]],'[5]Consolidación planes'!$A:$M,12,FALSE),0)</f>
        <v>0</v>
      </c>
      <c r="BK236" s="20">
        <f>IFERROR(VLOOKUP(Tabla14[[#This Row],[Llave]],'[5]Consolidación planes'!$A:$M,13,FALSE),0)</f>
        <v>24000</v>
      </c>
      <c r="BL236" s="20">
        <f>IFERROR(VLOOKUP(Tabla14[[#This Row],[Llave]],'[13]Base ultimos planes'!$A:$M,13,FALSE),0)</f>
        <v>24000</v>
      </c>
      <c r="BM236" s="20">
        <f>IFERROR(VLOOKUP(Tabla14[[#This Row],[Llave]],'[13]Cruce plan irrestricto'!$C:$M,10,FALSE),0)</f>
        <v>5000</v>
      </c>
      <c r="BN236" s="20">
        <f>IFERROR(VLOOKUP(Tabla14[[#This Row],[Llave]],'[13]Cruce plan irrestricto'!$C:$M,11,FALSE),0)</f>
        <v>17000</v>
      </c>
      <c r="BO236" s="80">
        <f>IFERROR(VLOOKUP(Tabla14[[#This Row],[Llave]],'[13]Base ultimos planes'!$O:$AA,8,FALSE),0)</f>
        <v>0</v>
      </c>
      <c r="BP236" s="20">
        <f>IFERROR(VLOOKUP(Tabla14[[#This Row],[Llave]],'[13]Base ultimos planes'!$O:$AA,9,FALSE),0)</f>
        <v>0</v>
      </c>
      <c r="BQ236" s="20">
        <f>IFERROR(VLOOKUP(Tabla14[[#This Row],[Llave]],'[13]Base ultimos planes'!$O:$AA,10,FALSE),0)</f>
        <v>0</v>
      </c>
      <c r="BR236" s="20">
        <f>IFERROR(VLOOKUP(Tabla14[[#This Row],[Llave]],'[13]Base ultimos planes'!$O:$AA,11,FALSE),0)</f>
        <v>0</v>
      </c>
      <c r="BS236" s="20">
        <f>IFERROR(VLOOKUP(Tabla14[[#This Row],[Llave]],'[13]Base ultimos planes'!$O:$AA,12,FALSE),0)</f>
        <v>12000</v>
      </c>
      <c r="BT236" s="20">
        <f>IFERROR(VLOOKUP(Tabla14[[#This Row],[Llave]],'[13]Base ultimos planes'!$O:$AA,13,FALSE),0)</f>
        <v>16800</v>
      </c>
      <c r="BU236" s="20"/>
      <c r="BV236" s="20">
        <f>Tabla14[[#This Row],[ RV Producción mes n+1]]-Tabla14[[#This Row],[Producción disponible]]+Tabla14[[#This Row],[Saldo Volumen disponible]]</f>
        <v>26017.277999999991</v>
      </c>
      <c r="BW236" s="20">
        <f>IFERROR(VLOOKUP(Tabla14[[#This Row],[Llave]],[14]Hoja2!$J:$N,4,FALSE),0)</f>
        <v>0</v>
      </c>
      <c r="BX236" s="20">
        <f>+Tabla14[[#This Row],[Asignación mes n+1]]*Tabla14[[#This Row],[% Uti. producción]]</f>
        <v>0</v>
      </c>
      <c r="BY236" s="20">
        <f>+Tabla14[[#This Row],[Ponderación mes n+1]]+Tabla14[[#This Row],[Saldo mes n-1]]</f>
        <v>26017.277999999991</v>
      </c>
      <c r="BZ236" s="20">
        <f>+Tabla14[[#This Row],[Asignación mes n+1]]-Tabla14[[#This Row],[Ponderación mes n+1]]</f>
        <v>0</v>
      </c>
      <c r="CA236" s="20">
        <f>IFERROR(VLOOKUP(Tabla14[[#This Row],[Llave]],[14]Hoja2!$J:$N,5,FALSE),0)</f>
        <v>0</v>
      </c>
      <c r="CB236" s="20">
        <f>+Tabla14[[#This Row],[Asignación mes n+2]]*Tabla14[[#This Row],[% Uti. producción]]</f>
        <v>0</v>
      </c>
      <c r="CC236" s="20">
        <f>+Tabla14[[#This Row],[Saldo mes n+2]]+Tabla14[[#This Row],[Ponderación mes n+2]]</f>
        <v>0</v>
      </c>
      <c r="CD236" s="20">
        <f>+Tabla14[[#This Row],[Asignación mes n+2]]-Tabla14[[#This Row],[Ponderación mes n+2]]</f>
        <v>0</v>
      </c>
    </row>
    <row r="237" spans="1:82" ht="16" x14ac:dyDescent="0.2">
      <c r="A237">
        <v>1</v>
      </c>
      <c r="B237" t="str">
        <f>Tabla14[[#This Row],[Oficina]]&amp;Tabla14[[#This Row],[Material]]</f>
        <v>Agrosuper Asia1012012</v>
      </c>
      <c r="C237" t="s">
        <v>227</v>
      </c>
      <c r="D237" t="s">
        <v>173</v>
      </c>
      <c r="E237">
        <v>1012012</v>
      </c>
      <c r="F237" t="s">
        <v>274</v>
      </c>
      <c r="G237" t="s">
        <v>205</v>
      </c>
      <c r="H237" t="s">
        <v>231</v>
      </c>
      <c r="I237" s="7">
        <f>IFERROR(IF(Tabla14[[#This Row],[Oficina]]=$I$7,VLOOKUP(Tabla14[[#This Row],[Material]],'[6]RV Producción'!$Y:$AA,3,FALSE),VLOOKUP(Tabla14[[#This Row],[Llave]],'[6]RV Producción'!$C:$G,5,FALSE)),0)</f>
        <v>57357</v>
      </c>
      <c r="J237" s="7">
        <f>IFERROR(IF(Tabla14[[#This Row],[Oficina]]=$I$7,VLOOKUP(Tabla14[[#This Row],[Llave]],'[7]Shangai (Tomas)'!$A:$F,6,FALSE),VLOOKUP(Tabla14[[#This Row],[Llave]],'[6]RV plan de ventas'!$A:$E,5,FALSE)),0)</f>
        <v>60000</v>
      </c>
      <c r="K237" s="8">
        <f>IFERROR(VLOOKUP(Tabla14[[#This Row],[Sector]]&amp;Tabla14[[#This Row],[Oficina]],[8]Ponderación!$A$3:$G$22,7,FALSE),0)</f>
        <v>0.47745072632608576</v>
      </c>
      <c r="L237" s="7">
        <f>+Tabla14[[#This Row],[ RV Producción mes n+1]]*Tabla14[[#This Row],[% Uti. producción]]</f>
        <v>27385.141309885301</v>
      </c>
      <c r="M237" s="7">
        <f>IFERROR(VLOOKUP(Tabla14[[#This Row],[Material]],'[9]TD Stock'!$B:$C,2,FALSE),0)</f>
        <v>36229.200000000004</v>
      </c>
      <c r="N237" s="7">
        <f>IFERROR(VLOOKUP(Tabla14[[#This Row],[Material]],'[10]Consolidado planificación'!$B:$C,2,FALSE),0)</f>
        <v>0</v>
      </c>
      <c r="O237" s="7">
        <f>IFERROR(VLOOKUP(Tabla14[[#This Row],[Llave]],[11]Hoja2!$D:$G,4,FALSE),0)</f>
        <v>0</v>
      </c>
      <c r="P237" s="14">
        <f>SUM(Tabla14[[#This Row],[Producción disponible]],Tabla14[[#This Row],[Stock al día]],(Tabla14[[#This Row],[Por producir mes N]]*0.9))-Tabla14[[#This Row],[Producción por despachar mes N]]</f>
        <v>63614.341309885305</v>
      </c>
      <c r="Q237" s="7">
        <f>IFERROR(VLOOKUP(Tabla14[[#This Row],[Llave]],[9]DELAY!$A:$D,4,FALSE),0)</f>
        <v>37000</v>
      </c>
      <c r="R237" s="9">
        <v>22000</v>
      </c>
      <c r="S237" s="5">
        <f t="shared" si="8"/>
        <v>37000</v>
      </c>
      <c r="T237" s="76">
        <v>0</v>
      </c>
      <c r="U237" s="5">
        <f>+Tabla14[[#This Row],[Atraso a facturar]]+Tabla14[[#This Row],[Ajuste atraso]]</f>
        <v>37000</v>
      </c>
      <c r="V237" s="3">
        <f>+Tabla14[[#This Row],[Total disponible]]-Tabla14[[#This Row],[Facturación atraso]]</f>
        <v>26614.341309885305</v>
      </c>
      <c r="W237" s="6">
        <f>IFERROR(IF(AND(V237&gt;R237,J237&gt;=R237),ROUNDDOWN((Tabla14[[#This Row],[Producción para venta nueva]])/R237,0)*R237,0),0)</f>
        <v>22000</v>
      </c>
      <c r="X237" s="76">
        <v>0</v>
      </c>
      <c r="Y237" s="6">
        <f>IF(Tabla14[[#This Row],[Venta del mes]]&gt;0,Tabla14[[#This Row],[Venta del mes]]+Tabla14[[#This Row],[Ajuste venta nueva]],0)</f>
        <v>22000</v>
      </c>
      <c r="Z237" s="6">
        <f>+Tabla14[[#This Row],[Producción para venta nueva]]-Tabla14[[#This Row],[Facturación Venta nueva]]</f>
        <v>4614.3413098853052</v>
      </c>
      <c r="AA237" s="6">
        <f>IF(AND(A237=1,Tabla14[[#This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37" s="6">
        <v>0</v>
      </c>
      <c r="AC237" s="6">
        <f>IF(Tabla14[[#This Row],[Disponible stock sin venta]]&gt;0,Tabla14[[#This Row],[Disponible stock sin venta]]+Tabla14[[#This Row],[Ajuste stock sin venta]],0)</f>
        <v>0</v>
      </c>
      <c r="AD237" s="3">
        <f>IFERROR(VLOOKUP(Tabla14[[#This Row],[Llave]],[12]Hoja1!$A:$D,4,FALSE),0)</f>
        <v>0</v>
      </c>
      <c r="AE23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59000</v>
      </c>
      <c r="AF237" s="3">
        <v>59000</v>
      </c>
      <c r="AG237" s="3">
        <f>+Tabla14[[#This Row],[En puerto a facturar]]</f>
        <v>0</v>
      </c>
      <c r="AH237" s="3">
        <f>+Tabla14[[#This Row],[Facturación atraso]]</f>
        <v>37000</v>
      </c>
      <c r="AI237" s="3">
        <f>+Tabla14[[#This Row],[Plan Irrestricto (DATO)]]-Tabla14[[#This Row],[Puerto ]]-Tabla14[[#This Row],[Atraso]]</f>
        <v>22000</v>
      </c>
      <c r="AJ237" s="6">
        <f>IF(Tabla14[[#This Row],[Plan Irrestricto (DATO)]]&gt;0,SUM(Tabla14[[#This Row],[Facturación atraso]],Tabla14[[#This Row],[Facturación Venta nueva]],Tabla14[[#This Row],[Facturación stock]],Tabla14[[#This Row],[En puerto a facturar]]),0)</f>
        <v>59000</v>
      </c>
      <c r="AK237" s="3">
        <f>+Tabla14[[#This Row],[Facturación atraso]]</f>
        <v>37000</v>
      </c>
      <c r="AL237" s="3">
        <f>Tabla14[[#This Row],[Plan Ajustado]]-Tabla14[[#This Row],[ Atraso ajustado]]-Tabla14[[#This Row],[En puerto a facturar]]</f>
        <v>22000</v>
      </c>
      <c r="AM237" s="3">
        <v>0</v>
      </c>
      <c r="AN237" s="3"/>
      <c r="AO237" s="3" t="str">
        <f>IF(Tabla14[[#This Row],[Plan Ajustado]]&gt;Tabla14[[#This Row],[En puerto a facturar]],"Si","No")</f>
        <v>Si</v>
      </c>
      <c r="AP237" s="3">
        <f>IF(AND(Tabla14[[#This Row],[Plan Ajustado]]&gt;0,Tabla14[[#This Row],[Plan Ajustado]]&gt;Tabla14[[#This Row],[En puerto a facturar]]),(Tabla14[[#This Row],[Plan Ajustado]]-Tabla14[[#This Row],[En puerto a facturar]]),0)</f>
        <v>59000</v>
      </c>
      <c r="AQ237" s="3">
        <f>IF(Tabla14[[#This Row],[Necesidad]]&gt;=Tabla14[[#This Row],[Stock al día]],Tabla14[[#This Row],[Stock al día]],Tabla14[[#This Row],[Necesidad]])</f>
        <v>36229.200000000004</v>
      </c>
      <c r="AR237" s="3">
        <f>+Tabla14[[#This Row],[Necesidad]]-Tabla14[[#This Row],[Stock Plan]]</f>
        <v>22770.799999999996</v>
      </c>
      <c r="AS237" s="155">
        <f>VLOOKUP(Tabla14[[#This Row],[Sector]]&amp;Tabla14[[#This Row],[Oficina]],[8]Ponderación!$A:$H,8,FALSE)</f>
        <v>44817</v>
      </c>
      <c r="AT237" s="30">
        <f>IFERROR(VLOOKUP(Tabla14[[#This Row],[Llave]],'[6]RV plan de ventas'!$A:$F,6,FALSE),0)</f>
        <v>5.1929333333333298</v>
      </c>
      <c r="AU237" s="83">
        <f>IFERROR(VLOOKUP(Tabla14[[#This Row],[Llave]],[9]DELAY!$H:$X,17,FALSE),0)</f>
        <v>6.5189189189189189</v>
      </c>
      <c r="AV23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6.0244836158192081</v>
      </c>
      <c r="AW237" s="5">
        <f>Tabla14[[#This Row],[Pecio plan]]*Tabla14[[#This Row],[Plan Ajustado]]</f>
        <v>355444.53333333327</v>
      </c>
      <c r="AX237" s="30">
        <f>IFERROR(VLOOKUP(Tabla14[[#This Row],[Llave]],'[13]Ultimos precios facturados'!$A:$G,7,FALSE),0)</f>
        <v>7.2771865449742155</v>
      </c>
      <c r="AY23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0.17214110445198791</v>
      </c>
      <c r="AZ237" s="30">
        <f>IFERROR(VLOOKUP(Tabla14[[#This Row],[Llave]],Hoja2!B:K,10,FALSE),0)</f>
        <v>6.5189189189189189</v>
      </c>
      <c r="BA23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6.0244836158192081</v>
      </c>
      <c r="BB237" s="30">
        <v>0</v>
      </c>
      <c r="BC237" s="30">
        <f>IF(Tabla14[[#This Row],[Market]]=0,Tabla14[[#This Row],[Precio Final]],Tabla14[[#This Row],[Market]])</f>
        <v>6.0244836158192081</v>
      </c>
      <c r="BD237" s="82"/>
      <c r="BE237" s="82" t="str">
        <f>IF(AND(Tabla14[[#This Row],[Atraso a facturar]]&gt;0,Tabla14[[#This Row],[En puerto a facturar]]&gt;0,Tabla14[[#This Row],[Precio Atraso]]=0),"Revisar","OK")</f>
        <v>OK</v>
      </c>
      <c r="BF237" s="82" t="str">
        <f>IF(AND(Tabla14[[#This Row],[Venta del mes]]&gt;0,Tabla14[[#This Row],[Precio venta nueva]]=0),"Revisar","OK")</f>
        <v>OK</v>
      </c>
      <c r="BG237" s="20">
        <f>IFERROR(VLOOKUP(Tabla14[[#This Row],[Llave]],'[5]Consolidación planes'!$A:$M,9,FALSE),0)</f>
        <v>108000</v>
      </c>
      <c r="BH237" s="20">
        <f>IFERROR(VLOOKUP(Tabla14[[#This Row],[Llave]],'[5]Consolidación planes'!$A:$M,10,FALSE),0)</f>
        <v>88000</v>
      </c>
      <c r="BI237" s="20">
        <f>IFERROR(VLOOKUP(Tabla14[[#This Row],[Llave]],'[5]Consolidación planes'!$A:$M,11,FALSE),0)</f>
        <v>0</v>
      </c>
      <c r="BJ237" s="20">
        <f>IFERROR(VLOOKUP(Tabla14[[#This Row],[Llave]],'[5]Consolidación planes'!$A:$M,12,FALSE),0)</f>
        <v>0</v>
      </c>
      <c r="BK237" s="20">
        <f>IFERROR(VLOOKUP(Tabla14[[#This Row],[Llave]],'[5]Consolidación planes'!$A:$M,13,FALSE),0)</f>
        <v>0</v>
      </c>
      <c r="BL237" s="20">
        <f>IFERROR(VLOOKUP(Tabla14[[#This Row],[Llave]],'[13]Base ultimos planes'!$A:$M,13,FALSE),0)</f>
        <v>19958</v>
      </c>
      <c r="BM237" s="20">
        <f>IFERROR(VLOOKUP(Tabla14[[#This Row],[Llave]],'[13]Cruce plan irrestricto'!$C:$M,10,FALSE),0)</f>
        <v>17000</v>
      </c>
      <c r="BN237" s="20">
        <f>IFERROR(VLOOKUP(Tabla14[[#This Row],[Llave]],'[13]Cruce plan irrestricto'!$C:$M,11,FALSE),0)</f>
        <v>17000</v>
      </c>
      <c r="BO237" s="80">
        <f>IFERROR(VLOOKUP(Tabla14[[#This Row],[Llave]],'[13]Base ultimos planes'!$O:$AA,8,FALSE),0)</f>
        <v>851564.46669999999</v>
      </c>
      <c r="BP237" s="20">
        <f>IFERROR(VLOOKUP(Tabla14[[#This Row],[Llave]],'[13]Base ultimos planes'!$O:$AA,9,FALSE),0)</f>
        <v>445280</v>
      </c>
      <c r="BQ237" s="20">
        <f>IFERROR(VLOOKUP(Tabla14[[#This Row],[Llave]],'[13]Base ultimos planes'!$O:$AA,10,FALSE),0)</f>
        <v>0</v>
      </c>
      <c r="BR237" s="20">
        <f>IFERROR(VLOOKUP(Tabla14[[#This Row],[Llave]],'[13]Base ultimos planes'!$O:$AA,11,FALSE),0)</f>
        <v>0</v>
      </c>
      <c r="BS237" s="20">
        <f>IFERROR(VLOOKUP(Tabla14[[#This Row],[Llave]],'[13]Base ultimos planes'!$O:$AA,12,FALSE),0)</f>
        <v>0</v>
      </c>
      <c r="BT237" s="20">
        <f>IFERROR(VLOOKUP(Tabla14[[#This Row],[Llave]],'[13]Base ultimos planes'!$O:$AA,13,FALSE),0)</f>
        <v>146960</v>
      </c>
      <c r="BU237" s="20"/>
      <c r="BV237" s="20">
        <f>Tabla14[[#This Row],[ RV Producción mes n+1]]-Tabla14[[#This Row],[Producción disponible]]+Tabla14[[#This Row],[Saldo Volumen disponible]]</f>
        <v>34586.200000000004</v>
      </c>
      <c r="BW237" s="20">
        <f>IFERROR(VLOOKUP(Tabla14[[#This Row],[Llave]],[14]Hoja2!$J:$N,4,FALSE),0)</f>
        <v>40000</v>
      </c>
      <c r="BX237" s="20">
        <f>+Tabla14[[#This Row],[Asignación mes n+1]]*Tabla14[[#This Row],[% Uti. producción]]</f>
        <v>19098.029053043432</v>
      </c>
      <c r="BY237" s="20">
        <f>+Tabla14[[#This Row],[Ponderación mes n+1]]+Tabla14[[#This Row],[Saldo mes n-1]]</f>
        <v>53684.22905304344</v>
      </c>
      <c r="BZ237" s="20">
        <f>+Tabla14[[#This Row],[Asignación mes n+1]]-Tabla14[[#This Row],[Ponderación mes n+1]]</f>
        <v>20901.970946956568</v>
      </c>
      <c r="CA237" s="20">
        <f>IFERROR(VLOOKUP(Tabla14[[#This Row],[Llave]],[14]Hoja2!$J:$N,5,FALSE),0)</f>
        <v>0</v>
      </c>
      <c r="CB237" s="20">
        <f>+Tabla14[[#This Row],[Asignación mes n+2]]*Tabla14[[#This Row],[% Uti. producción]]</f>
        <v>0</v>
      </c>
      <c r="CC237" s="20">
        <f>+Tabla14[[#This Row],[Saldo mes n+2]]+Tabla14[[#This Row],[Ponderación mes n+2]]</f>
        <v>20901.970946956568</v>
      </c>
      <c r="CD237" s="20">
        <f>+Tabla14[[#This Row],[Asignación mes n+2]]-Tabla14[[#This Row],[Ponderación mes n+2]]</f>
        <v>0</v>
      </c>
    </row>
    <row r="238" spans="1:82" ht="16" x14ac:dyDescent="0.2">
      <c r="A238">
        <v>1</v>
      </c>
      <c r="B238" t="str">
        <f>Tabla14[[#This Row],[Oficina]]&amp;Tabla14[[#This Row],[Material]]</f>
        <v>Agrosuper Asia1012612</v>
      </c>
      <c r="C238" t="s">
        <v>227</v>
      </c>
      <c r="D238" t="s">
        <v>173</v>
      </c>
      <c r="E238">
        <v>1012612</v>
      </c>
      <c r="F238" t="s">
        <v>275</v>
      </c>
      <c r="G238" t="s">
        <v>233</v>
      </c>
      <c r="H238" t="s">
        <v>237</v>
      </c>
      <c r="I238" s="7">
        <f>IFERROR(IF(Tabla14[[#This Row],[Oficina]]=$I$7,VLOOKUP(Tabla14[[#This Row],[Material]],'[6]RV Producción'!$Y:$AA,3,FALSE),VLOOKUP(Tabla14[[#This Row],[Llave]],'[6]RV Producción'!$C:$G,5,FALSE)),0)</f>
        <v>1107947</v>
      </c>
      <c r="J238" s="7">
        <f>IFERROR(IF(Tabla14[[#This Row],[Oficina]]=$I$7,VLOOKUP(Tabla14[[#This Row],[Llave]],'[7]Shangai (Tomas)'!$A:$F,6,FALSE),VLOOKUP(Tabla14[[#This Row],[Llave]],'[6]RV plan de ventas'!$A:$E,5,FALSE)),0)</f>
        <v>689747</v>
      </c>
      <c r="K238" s="8">
        <f>IFERROR(VLOOKUP(Tabla14[[#This Row],[Sector]]&amp;Tabla14[[#This Row],[Oficina]],[8]Ponderación!$A$3:$G$22,7,FALSE),0)</f>
        <v>0.47745072632608576</v>
      </c>
      <c r="L238" s="7">
        <f>+Tabla14[[#This Row],[ RV Producción mes n+1]]*Tabla14[[#This Row],[% Uti. producción]]</f>
        <v>528990.09988080768</v>
      </c>
      <c r="M238" s="7">
        <f>IFERROR(VLOOKUP(Tabla14[[#This Row],[Material]],'[9]TD Stock'!$B:$C,2,FALSE),0)</f>
        <v>75655.587</v>
      </c>
      <c r="N238" s="7">
        <f>IFERROR(VLOOKUP(Tabla14[[#This Row],[Material]],'[10]Consolidado planificación'!$B:$C,2,FALSE),0)</f>
        <v>409000</v>
      </c>
      <c r="O238" s="7">
        <f>IFERROR(VLOOKUP(Tabla14[[#This Row],[Llave]],[11]Hoja2!$D:$G,4,FALSE),0)</f>
        <v>0</v>
      </c>
      <c r="P238" s="14">
        <f>SUM(Tabla14[[#This Row],[Producción disponible]],Tabla14[[#This Row],[Stock al día]],(Tabla14[[#This Row],[Por producir mes N]]*0.9))-Tabla14[[#This Row],[Producción por despachar mes N]]</f>
        <v>972745.68688080763</v>
      </c>
      <c r="Q238" s="7">
        <f>IFERROR(VLOOKUP(Tabla14[[#This Row],[Llave]],[9]DELAY!$A:$D,4,FALSE),0)</f>
        <v>950000</v>
      </c>
      <c r="R238" s="9">
        <v>23000</v>
      </c>
      <c r="S238" s="5">
        <f t="shared" si="8"/>
        <v>950000</v>
      </c>
      <c r="T238" s="76">
        <v>0</v>
      </c>
      <c r="U238" s="5">
        <f>+Tabla14[[#This Row],[Atraso a facturar]]+Tabla14[[#This Row],[Ajuste atraso]]</f>
        <v>950000</v>
      </c>
      <c r="V238" s="3">
        <f>+Tabla14[[#This Row],[Total disponible]]-Tabla14[[#This Row],[Facturación atraso]]</f>
        <v>22745.686880807625</v>
      </c>
      <c r="W238" s="6">
        <f>IFERROR(IF(AND(V238&gt;R238,J238&gt;=R238),ROUNDDOWN((Tabla14[[#This Row],[Producción para venta nueva]])/R238,0)*R238,0),0)</f>
        <v>0</v>
      </c>
      <c r="X238" s="76">
        <v>0</v>
      </c>
      <c r="Y238" s="6">
        <f>IF(Tabla14[[#This Row],[Venta del mes]]&gt;0,Tabla14[[#This Row],[Venta del mes]]+Tabla14[[#This Row],[Ajuste venta nueva]],0)</f>
        <v>0</v>
      </c>
      <c r="Z238" s="6">
        <f>+Tabla14[[#This Row],[Producción para venta nueva]]-Tabla14[[#This Row],[Facturación Venta nueva]]</f>
        <v>22745.686880807625</v>
      </c>
      <c r="AA238" s="6">
        <f>IF(AND(A238=1,Tabla14[[#This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38" s="6">
        <v>0</v>
      </c>
      <c r="AC238" s="6">
        <f>IF(Tabla14[[#This Row],[Disponible stock sin venta]]&gt;0,Tabla14[[#This Row],[Disponible stock sin venta]]+Tabla14[[#This Row],[Ajuste stock sin venta]],0)</f>
        <v>0</v>
      </c>
      <c r="AD238" s="3">
        <f>IFERROR(VLOOKUP(Tabla14[[#This Row],[Llave]],[12]Hoja1!$A:$D,4,FALSE),0)</f>
        <v>143866.23999999999</v>
      </c>
      <c r="AE23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1093866.24</v>
      </c>
      <c r="AF238" s="3">
        <v>1093866.24</v>
      </c>
      <c r="AG238" s="3">
        <f>+Tabla14[[#This Row],[En puerto a facturar]]</f>
        <v>143866.23999999999</v>
      </c>
      <c r="AH238" s="3">
        <f>+Tabla14[[#This Row],[Facturación atraso]]</f>
        <v>950000</v>
      </c>
      <c r="AI238" s="3">
        <f>+Tabla14[[#This Row],[Plan Irrestricto (DATO)]]-Tabla14[[#This Row],[Puerto ]]-Tabla14[[#This Row],[Atraso]]</f>
        <v>0</v>
      </c>
      <c r="AJ238" s="6">
        <f>IF(Tabla14[[#This Row],[Plan Irrestricto (DATO)]]&gt;0,SUM(Tabla14[[#This Row],[Facturación atraso]],Tabla14[[#This Row],[Facturación Venta nueva]],Tabla14[[#This Row],[Facturación stock]],Tabla14[[#This Row],[En puerto a facturar]]),0)</f>
        <v>1093866.24</v>
      </c>
      <c r="AK238" s="3">
        <f>+Tabla14[[#This Row],[Facturación atraso]]</f>
        <v>950000</v>
      </c>
      <c r="AL238" s="3">
        <f>Tabla14[[#This Row],[Plan Ajustado]]-Tabla14[[#This Row],[ Atraso ajustado]]-Tabla14[[#This Row],[En puerto a facturar]]</f>
        <v>0</v>
      </c>
      <c r="AM238" s="3" t="s">
        <v>879</v>
      </c>
      <c r="AN238" s="3"/>
      <c r="AO238" s="3" t="str">
        <f>IF(Tabla14[[#This Row],[Plan Ajustado]]&gt;Tabla14[[#This Row],[En puerto a facturar]],"Si","No")</f>
        <v>Si</v>
      </c>
      <c r="AP238" s="3">
        <f>IF(AND(Tabla14[[#This Row],[Plan Ajustado]]&gt;0,Tabla14[[#This Row],[Plan Ajustado]]&gt;Tabla14[[#This Row],[En puerto a facturar]]),(Tabla14[[#This Row],[Plan Ajustado]]-Tabla14[[#This Row],[En puerto a facturar]]),0)</f>
        <v>950000</v>
      </c>
      <c r="AQ238" s="3">
        <f>IF(Tabla14[[#This Row],[Necesidad]]&gt;=Tabla14[[#This Row],[Stock al día]],Tabla14[[#This Row],[Stock al día]],Tabla14[[#This Row],[Necesidad]])</f>
        <v>75655.587</v>
      </c>
      <c r="AR238" s="3">
        <f>+Tabla14[[#This Row],[Necesidad]]-Tabla14[[#This Row],[Stock Plan]]</f>
        <v>874344.41299999994</v>
      </c>
      <c r="AS238" s="155">
        <f>VLOOKUP(Tabla14[[#This Row],[Sector]]&amp;Tabla14[[#This Row],[Oficina]],[8]Ponderación!$A:$H,8,FALSE)</f>
        <v>44817</v>
      </c>
      <c r="AT238" s="30">
        <f>IFERROR(VLOOKUP(Tabla14[[#This Row],[Llave]],'[6]RV plan de ventas'!$A:$F,6,FALSE),0)</f>
        <v>0.85000007249034804</v>
      </c>
      <c r="AU238" s="83">
        <f>IFERROR(VLOOKUP(Tabla14[[#This Row],[Llave]],[9]DELAY!$H:$X,17,FALSE),0)</f>
        <v>1.1203949107534898</v>
      </c>
      <c r="AV23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1.1203949107534898</v>
      </c>
      <c r="AW238" s="5">
        <f>Tabla14[[#This Row],[Pecio plan]]*Tabla14[[#This Row],[Plan Ajustado]]</f>
        <v>1225562.1683410555</v>
      </c>
      <c r="AX238" s="30">
        <f>IFERROR(VLOOKUP(Tabla14[[#This Row],[Llave]],'[13]Ultimos precios facturados'!$A:$G,7,FALSE),0)</f>
        <v>0.94791242465055459</v>
      </c>
      <c r="AY23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0.18196036006862182</v>
      </c>
      <c r="AZ238" s="30">
        <f>IFERROR(VLOOKUP(Tabla14[[#This Row],[Llave]],Hoja2!B:K,10,FALSE),0)</f>
        <v>1.1646897296051419</v>
      </c>
      <c r="BA23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1.1203949107534898</v>
      </c>
      <c r="BB238" s="30">
        <v>0</v>
      </c>
      <c r="BC238" s="30">
        <f>IF(Tabla14[[#This Row],[Market]]=0,Tabla14[[#This Row],[Precio Final]],Tabla14[[#This Row],[Market]])</f>
        <v>1.1203949107534898</v>
      </c>
      <c r="BD238" s="82"/>
      <c r="BE238" s="82" t="str">
        <f>IF(AND(Tabla14[[#This Row],[Atraso a facturar]]&gt;0,Tabla14[[#This Row],[En puerto a facturar]]&gt;0,Tabla14[[#This Row],[Precio Atraso]]=0),"Revisar","OK")</f>
        <v>OK</v>
      </c>
      <c r="BF238" s="82" t="str">
        <f>IF(AND(Tabla14[[#This Row],[Venta del mes]]&gt;0,Tabla14[[#This Row],[Precio venta nueva]]=0),"Revisar","OK")</f>
        <v>OK</v>
      </c>
      <c r="BG238" s="20">
        <f>IFERROR(VLOOKUP(Tabla14[[#This Row],[Llave]],'[5]Consolidación planes'!$A:$M,9,FALSE),0)</f>
        <v>625000</v>
      </c>
      <c r="BH238" s="20">
        <f>IFERROR(VLOOKUP(Tabla14[[#This Row],[Llave]],'[5]Consolidación planes'!$A:$M,10,FALSE),0)</f>
        <v>625000</v>
      </c>
      <c r="BI238" s="20">
        <f>IFERROR(VLOOKUP(Tabla14[[#This Row],[Llave]],'[5]Consolidación planes'!$A:$M,11,FALSE),0)</f>
        <v>950000</v>
      </c>
      <c r="BJ238" s="20">
        <f>IFERROR(VLOOKUP(Tabla14[[#This Row],[Llave]],'[5]Consolidación planes'!$A:$M,12,FALSE),0)</f>
        <v>1100000</v>
      </c>
      <c r="BK238" s="20">
        <f>IFERROR(VLOOKUP(Tabla14[[#This Row],[Llave]],'[5]Consolidación planes'!$A:$M,13,FALSE),0)</f>
        <v>1291866</v>
      </c>
      <c r="BL238" s="20">
        <f>IFERROR(VLOOKUP(Tabla14[[#This Row],[Llave]],'[13]Base ultimos planes'!$A:$M,13,FALSE),0)</f>
        <v>1074071</v>
      </c>
      <c r="BM238" s="20">
        <f>IFERROR(VLOOKUP(Tabla14[[#This Row],[Llave]],'[13]Cruce plan irrestricto'!$C:$M,10,FALSE),0)</f>
        <v>1125000</v>
      </c>
      <c r="BN238" s="20">
        <f>IFERROR(VLOOKUP(Tabla14[[#This Row],[Llave]],'[13]Cruce plan irrestricto'!$C:$M,11,FALSE),0)</f>
        <v>1295324.5</v>
      </c>
      <c r="BO238" s="80">
        <f>IFERROR(VLOOKUP(Tabla14[[#This Row],[Llave]],'[13]Base ultimos planes'!$O:$AA,8,FALSE),0)</f>
        <v>354215.07679999998</v>
      </c>
      <c r="BP238" s="20">
        <f>IFERROR(VLOOKUP(Tabla14[[#This Row],[Llave]],'[13]Base ultimos planes'!$O:$AA,9,FALSE),0)</f>
        <v>420938</v>
      </c>
      <c r="BQ238" s="20">
        <f>IFERROR(VLOOKUP(Tabla14[[#This Row],[Llave]],'[13]Base ultimos planes'!$O:$AA,10,FALSE),0)</f>
        <v>695083</v>
      </c>
      <c r="BR238" s="20">
        <f>IFERROR(VLOOKUP(Tabla14[[#This Row],[Llave]],'[13]Base ultimos planes'!$O:$AA,11,FALSE),0)</f>
        <v>1039305</v>
      </c>
      <c r="BS238" s="20">
        <f>IFERROR(VLOOKUP(Tabla14[[#This Row],[Llave]],'[13]Base ultimos planes'!$O:$AA,12,FALSE),0)</f>
        <v>1122892</v>
      </c>
      <c r="BT238" s="20">
        <f>IFERROR(VLOOKUP(Tabla14[[#This Row],[Llave]],'[13]Base ultimos planes'!$O:$AA,13,FALSE),0)</f>
        <v>1235238</v>
      </c>
      <c r="BU238" s="20"/>
      <c r="BV238" s="20">
        <f>Tabla14[[#This Row],[ RV Producción mes n+1]]-Tabla14[[#This Row],[Producción disponible]]+Tabla14[[#This Row],[Saldo Volumen disponible]]</f>
        <v>601702.58699999994</v>
      </c>
      <c r="BW238" s="20">
        <f>IFERROR(VLOOKUP(Tabla14[[#This Row],[Llave]],[14]Hoja2!$J:$N,4,FALSE),0)</f>
        <v>592512.65</v>
      </c>
      <c r="BX238" s="20">
        <f>+Tabla14[[#This Row],[Asignación mes n+1]]*Tabla14[[#This Row],[% Uti. producción]]</f>
        <v>282895.59509989386</v>
      </c>
      <c r="BY238" s="20">
        <f>+Tabla14[[#This Row],[Ponderación mes n+1]]+Tabla14[[#This Row],[Saldo mes n-1]]</f>
        <v>884598.18209989381</v>
      </c>
      <c r="BZ238" s="20">
        <f>+Tabla14[[#This Row],[Asignación mes n+1]]-Tabla14[[#This Row],[Ponderación mes n+1]]</f>
        <v>309617.05490010616</v>
      </c>
      <c r="CA238" s="20">
        <f>IFERROR(VLOOKUP(Tabla14[[#This Row],[Llave]],[14]Hoja2!$J:$N,5,FALSE),0)</f>
        <v>1000000</v>
      </c>
      <c r="CB238" s="20">
        <f>+Tabla14[[#This Row],[Asignación mes n+2]]*Tabla14[[#This Row],[% Uti. producción]]</f>
        <v>477450.72632608574</v>
      </c>
      <c r="CC238" s="20">
        <f>+Tabla14[[#This Row],[Saldo mes n+2]]+Tabla14[[#This Row],[Ponderación mes n+2]]</f>
        <v>787067.7812261919</v>
      </c>
      <c r="CD238" s="20">
        <f>+Tabla14[[#This Row],[Asignación mes n+2]]-Tabla14[[#This Row],[Ponderación mes n+2]]</f>
        <v>522549.27367391426</v>
      </c>
    </row>
    <row r="239" spans="1:82" ht="16" x14ac:dyDescent="0.2">
      <c r="A239">
        <v>1</v>
      </c>
      <c r="B239" t="str">
        <f>Tabla14[[#This Row],[Oficina]]&amp;Tabla14[[#This Row],[Material]]</f>
        <v>Agrosuper Brasil1011560</v>
      </c>
      <c r="C239" t="s">
        <v>227</v>
      </c>
      <c r="D239" t="s">
        <v>7</v>
      </c>
      <c r="E239">
        <v>1011560</v>
      </c>
      <c r="F239" t="s">
        <v>299</v>
      </c>
      <c r="G239" t="s">
        <v>209</v>
      </c>
      <c r="H239" t="s">
        <v>228</v>
      </c>
      <c r="I239" s="7">
        <f>IFERROR(IF(Tabla14[[#This Row],[Oficina]]=$I$7,VLOOKUP(Tabla14[[#This Row],[Material]],'[6]RV Producción'!$Y:$AA,3,FALSE),VLOOKUP(Tabla14[[#This Row],[Llave]],'[6]RV Producción'!$C:$G,5,FALSE)),0)</f>
        <v>24465</v>
      </c>
      <c r="J239" s="7">
        <f>IFERROR(IF(Tabla14[[#This Row],[Oficina]]=$I$7,VLOOKUP(Tabla14[[#This Row],[Llave]],'[7]Shangai (Tomas)'!$A:$F,6,FALSE),VLOOKUP(Tabla14[[#This Row],[Llave]],'[6]RV plan de ventas'!$A:$E,5,FALSE)),0)</f>
        <v>10216</v>
      </c>
      <c r="K239" s="8">
        <f>IFERROR(VLOOKUP(Tabla14[[#This Row],[Sector]]&amp;Tabla14[[#This Row],[Oficina]],[8]Ponderación!$A$3:$G$22,7,FALSE),0)</f>
        <v>0.81973286675080992</v>
      </c>
      <c r="L239" s="7">
        <f>+Tabla14[[#This Row],[ RV Producción mes n+1]]*Tabla14[[#This Row],[% Uti. producción]]</f>
        <v>20054.764585058565</v>
      </c>
      <c r="M239" s="7">
        <f>IFERROR(VLOOKUP(Tabla14[[#This Row],[Material]],'[9]TD Stock'!$B:$C,2,FALSE),0)</f>
        <v>17118</v>
      </c>
      <c r="N239" s="7">
        <f>IFERROR(VLOOKUP(Tabla14[[#This Row],[Material]],'[10]Consolidado planificación'!$B:$C,2,FALSE),0)</f>
        <v>17923.399177904153</v>
      </c>
      <c r="O239" s="7">
        <f>IFERROR(VLOOKUP(Tabla14[[#This Row],[Llave]],[11]Hoja2!$D:$G,4,FALSE),0)</f>
        <v>0</v>
      </c>
      <c r="P239" s="14">
        <f>SUM(Tabla14[[#This Row],[Producción disponible]],Tabla14[[#This Row],[Stock al día]],(Tabla14[[#This Row],[Por producir mes N]]*0.9))-Tabla14[[#This Row],[Producción por despachar mes N]]</f>
        <v>53303.823845172308</v>
      </c>
      <c r="Q239" s="7">
        <f>IFERROR(VLOOKUP(Tabla14[[#This Row],[Llave]],[9]DELAY!$A:$D,4,FALSE),0)</f>
        <v>48000</v>
      </c>
      <c r="R239" s="9">
        <v>23000</v>
      </c>
      <c r="S239" s="5">
        <f t="shared" si="8"/>
        <v>48000</v>
      </c>
      <c r="T239" s="76">
        <v>-24000</v>
      </c>
      <c r="U239" s="5">
        <f>+Tabla14[[#This Row],[Atraso a facturar]]+Tabla14[[#This Row],[Ajuste atraso]]</f>
        <v>24000</v>
      </c>
      <c r="V239" s="3">
        <f>+Tabla14[[#This Row],[Total disponible]]-Tabla14[[#This Row],[Facturación atraso]]</f>
        <v>29303.823845172308</v>
      </c>
      <c r="W239" s="6">
        <f>IFERROR(IF(AND(V239&gt;R239,J239&gt;=R239),ROUNDDOWN((Tabla14[[#This Row],[Producción para venta nueva]])/R239,0)*R239,0),0)</f>
        <v>0</v>
      </c>
      <c r="X239" s="76">
        <v>0</v>
      </c>
      <c r="Y239" s="6">
        <f>IF(Tabla14[[#This Row],[Venta del mes]]&gt;0,Tabla14[[#This Row],[Venta del mes]]+Tabla14[[#This Row],[Ajuste venta nueva]],0)</f>
        <v>0</v>
      </c>
      <c r="Z239" s="6">
        <f>+Tabla14[[#This Row],[Producción para venta nueva]]-Tabla14[[#This Row],[Facturación Venta nueva]]</f>
        <v>29303.823845172308</v>
      </c>
      <c r="AA239" s="6">
        <f>IF(AND(A239=1,Tabla14[[#This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23000</v>
      </c>
      <c r="AB239" s="6">
        <v>-23000</v>
      </c>
      <c r="AC239" s="6">
        <f>IF(Tabla14[[#This Row],[Disponible stock sin venta]]&gt;0,Tabla14[[#This Row],[Disponible stock sin venta]]+Tabla14[[#This Row],[Ajuste stock sin venta]],0)</f>
        <v>0</v>
      </c>
      <c r="AD239" s="3">
        <f>IFERROR(VLOOKUP(Tabla14[[#This Row],[Llave]],[12]Hoja1!$A:$D,4,FALSE),0)</f>
        <v>0</v>
      </c>
      <c r="AE23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71000</v>
      </c>
      <c r="AF239" s="3">
        <v>48000</v>
      </c>
      <c r="AG239" s="3">
        <f>+Tabla14[[#This Row],[En puerto a facturar]]</f>
        <v>0</v>
      </c>
      <c r="AH239" s="3">
        <f>+Tabla14[[#This Row],[Facturación atraso]]</f>
        <v>24000</v>
      </c>
      <c r="AI239" s="3">
        <f>+Tabla14[[#This Row],[Plan Irrestricto (DATO)]]-Tabla14[[#This Row],[Puerto ]]-Tabla14[[#This Row],[Atraso]]</f>
        <v>24000</v>
      </c>
      <c r="AJ239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239" s="3">
        <f>+Tabla14[[#This Row],[Facturación atraso]]</f>
        <v>24000</v>
      </c>
      <c r="AL239" s="3">
        <f>Tabla14[[#This Row],[Plan Ajustado]]-Tabla14[[#This Row],[ Atraso ajustado]]-Tabla14[[#This Row],[En puerto a facturar]]</f>
        <v>0</v>
      </c>
      <c r="AM239" s="3" t="s">
        <v>880</v>
      </c>
      <c r="AN239" s="3"/>
      <c r="AO239" s="3" t="str">
        <f>IF(Tabla14[[#This Row],[Plan Ajustado]]&gt;Tabla14[[#This Row],[En puerto a facturar]],"Si","No")</f>
        <v>Si</v>
      </c>
      <c r="AP239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239" s="3">
        <f>IF(Tabla14[[#This Row],[Necesidad]]&gt;=Tabla14[[#This Row],[Stock al día]],Tabla14[[#This Row],[Stock al día]],Tabla14[[#This Row],[Necesidad]])</f>
        <v>17118</v>
      </c>
      <c r="AR239" s="3">
        <f>+Tabla14[[#This Row],[Necesidad]]-Tabla14[[#This Row],[Stock Plan]]</f>
        <v>6882</v>
      </c>
      <c r="AS239" s="155">
        <f>VLOOKUP(Tabla14[[#This Row],[Sector]]&amp;Tabla14[[#This Row],[Oficina]],[8]Ponderación!$A:$H,8,FALSE)</f>
        <v>44817</v>
      </c>
      <c r="AT239" s="30">
        <f>IFERROR(VLOOKUP(Tabla14[[#This Row],[Llave]],'[6]RV plan de ventas'!$A:$F,6,FALSE),0)</f>
        <v>0</v>
      </c>
      <c r="AU239" s="83">
        <f>IFERROR(VLOOKUP(Tabla14[[#This Row],[Llave]],[9]DELAY!$H:$X,17,FALSE),0)</f>
        <v>2.8</v>
      </c>
      <c r="AV23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2.8</v>
      </c>
      <c r="AW239" s="5">
        <f>Tabla14[[#This Row],[Pecio plan]]*Tabla14[[#This Row],[Plan Ajustado]]</f>
        <v>67200</v>
      </c>
      <c r="AX239" s="30">
        <f>IFERROR(VLOOKUP(Tabla14[[#This Row],[Llave]],'[13]Ultimos precios facturados'!$A:$G,7,FALSE),0)</f>
        <v>2.601064701064701</v>
      </c>
      <c r="AY23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7.6482256998016265E-2</v>
      </c>
      <c r="AZ239" s="30">
        <f>IFERROR(VLOOKUP(Tabla14[[#This Row],[Llave]],Hoja2!B:K,10,FALSE),0)</f>
        <v>2.7</v>
      </c>
      <c r="BA23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2.8</v>
      </c>
      <c r="BB239" s="30">
        <v>2.8</v>
      </c>
      <c r="BC239" s="30">
        <f>IF(Tabla14[[#This Row],[Market]]=0,Tabla14[[#This Row],[Precio Final]],Tabla14[[#This Row],[Market]])</f>
        <v>2.8</v>
      </c>
      <c r="BD239" s="82"/>
      <c r="BE239" s="82" t="str">
        <f>IF(AND(Tabla14[[#This Row],[Atraso a facturar]]&gt;0,Tabla14[[#This Row],[En puerto a facturar]]&gt;0,Tabla14[[#This Row],[Precio Atraso]]=0),"Revisar","OK")</f>
        <v>OK</v>
      </c>
      <c r="BF239" s="82" t="str">
        <f>IF(AND(Tabla14[[#This Row],[Venta del mes]]&gt;0,Tabla14[[#This Row],[Precio venta nueva]]=0),"Revisar","OK")</f>
        <v>OK</v>
      </c>
      <c r="BG239" s="20">
        <f>IFERROR(VLOOKUP(Tabla14[[#This Row],[Llave]],'[5]Consolidación planes'!$A:$M,9,FALSE),0)</f>
        <v>0</v>
      </c>
      <c r="BH239" s="20">
        <f>IFERROR(VLOOKUP(Tabla14[[#This Row],[Llave]],'[5]Consolidación planes'!$A:$M,10,FALSE),0)</f>
        <v>24000</v>
      </c>
      <c r="BI239" s="20">
        <f>IFERROR(VLOOKUP(Tabla14[[#This Row],[Llave]],'[5]Consolidación planes'!$A:$M,11,FALSE),0)</f>
        <v>0</v>
      </c>
      <c r="BJ239" s="20">
        <f>IFERROR(VLOOKUP(Tabla14[[#This Row],[Llave]],'[5]Consolidación planes'!$A:$M,12,FALSE),0)</f>
        <v>0</v>
      </c>
      <c r="BK239" s="20">
        <f>IFERROR(VLOOKUP(Tabla14[[#This Row],[Llave]],'[5]Consolidación planes'!$A:$M,13,FALSE),0)</f>
        <v>24000</v>
      </c>
      <c r="BL239" s="20">
        <f>IFERROR(VLOOKUP(Tabla14[[#This Row],[Llave]],'[13]Base ultimos planes'!$A:$M,13,FALSE),0)</f>
        <v>24000</v>
      </c>
      <c r="BM239" s="20">
        <f>IFERROR(VLOOKUP(Tabla14[[#This Row],[Llave]],'[13]Cruce plan irrestricto'!$C:$M,10,FALSE),0)</f>
        <v>24000</v>
      </c>
      <c r="BN239" s="20">
        <f>IFERROR(VLOOKUP(Tabla14[[#This Row],[Llave]],'[13]Cruce plan irrestricto'!$C:$M,11,FALSE),0)</f>
        <v>24000</v>
      </c>
      <c r="BO239" s="80">
        <f>IFERROR(VLOOKUP(Tabla14[[#This Row],[Llave]],'[13]Base ultimos planes'!$O:$AA,8,FALSE),0)</f>
        <v>0</v>
      </c>
      <c r="BP239" s="20">
        <f>IFERROR(VLOOKUP(Tabla14[[#This Row],[Llave]],'[13]Base ultimos planes'!$O:$AA,9,FALSE),0)</f>
        <v>60000</v>
      </c>
      <c r="BQ239" s="20">
        <f>IFERROR(VLOOKUP(Tabla14[[#This Row],[Llave]],'[13]Base ultimos planes'!$O:$AA,10,FALSE),0)</f>
        <v>0</v>
      </c>
      <c r="BR239" s="20">
        <f>IFERROR(VLOOKUP(Tabla14[[#This Row],[Llave]],'[13]Base ultimos planes'!$O:$AA,11,FALSE),0)</f>
        <v>0</v>
      </c>
      <c r="BS239" s="20">
        <f>IFERROR(VLOOKUP(Tabla14[[#This Row],[Llave]],'[13]Base ultimos planes'!$O:$AA,12,FALSE),0)</f>
        <v>60000</v>
      </c>
      <c r="BT239" s="20">
        <f>IFERROR(VLOOKUP(Tabla14[[#This Row],[Llave]],'[13]Base ultimos planes'!$O:$AA,13,FALSE),0)</f>
        <v>64134</v>
      </c>
      <c r="BU239" s="20"/>
      <c r="BV239" s="20">
        <f>Tabla14[[#This Row],[ RV Producción mes n+1]]-Tabla14[[#This Row],[Producción disponible]]+Tabla14[[#This Row],[Saldo Volumen disponible]]</f>
        <v>33714.059260113747</v>
      </c>
      <c r="BW239" s="20">
        <f>IFERROR(VLOOKUP(Tabla14[[#This Row],[Llave]],[14]Hoja2!$J:$N,4,FALSE),0)</f>
        <v>24487.197</v>
      </c>
      <c r="BX239" s="20">
        <f>+Tabla14[[#This Row],[Asignación mes n+1]]*Tabla14[[#This Row],[% Uti. producción]]</f>
        <v>20072.960195501833</v>
      </c>
      <c r="BY239" s="20">
        <f>+Tabla14[[#This Row],[Ponderación mes n+1]]+Tabla14[[#This Row],[Saldo mes n-1]]</f>
        <v>53787.019455615577</v>
      </c>
      <c r="BZ239" s="20">
        <f>+Tabla14[[#This Row],[Asignación mes n+1]]-Tabla14[[#This Row],[Ponderación mes n+1]]</f>
        <v>4414.2368044981667</v>
      </c>
      <c r="CA239" s="20">
        <f>IFERROR(VLOOKUP(Tabla14[[#This Row],[Llave]],[14]Hoja2!$J:$N,5,FALSE),0)</f>
        <v>38637.864999999998</v>
      </c>
      <c r="CB239" s="20">
        <f>+Tabla14[[#This Row],[Asignación mes n+2]]*Tabla14[[#This Row],[% Uti. producción]]</f>
        <v>31672.727841580781</v>
      </c>
      <c r="CC239" s="20">
        <f>+Tabla14[[#This Row],[Saldo mes n+2]]+Tabla14[[#This Row],[Ponderación mes n+2]]</f>
        <v>36086.964646078952</v>
      </c>
      <c r="CD239" s="20">
        <f>+Tabla14[[#This Row],[Asignación mes n+2]]-Tabla14[[#This Row],[Ponderación mes n+2]]</f>
        <v>6965.1371584192166</v>
      </c>
    </row>
    <row r="240" spans="1:82" ht="16" x14ac:dyDescent="0.2">
      <c r="A240">
        <v>2</v>
      </c>
      <c r="B240" t="str">
        <f>Tabla14[[#This Row],[Oficina]]&amp;Tabla14[[#This Row],[Material]]</f>
        <v>Agrosuper Brasil1012362</v>
      </c>
      <c r="C240" t="s">
        <v>227</v>
      </c>
      <c r="D240" t="s">
        <v>7</v>
      </c>
      <c r="E240">
        <v>1012362</v>
      </c>
      <c r="F240" t="s">
        <v>229</v>
      </c>
      <c r="G240" t="s">
        <v>209</v>
      </c>
      <c r="H240" t="s">
        <v>228</v>
      </c>
      <c r="I240" s="7">
        <f>IFERROR(IF(Tabla14[[#This Row],[Oficina]]=$I$7,VLOOKUP(Tabla14[[#This Row],[Material]],'[6]RV Producción'!$Y:$AA,3,FALSE),VLOOKUP(Tabla14[[#This Row],[Llave]],'[6]RV Producción'!$C:$G,5,FALSE)),0)</f>
        <v>68626</v>
      </c>
      <c r="J240" s="7">
        <f>IFERROR(IF(Tabla14[[#This Row],[Oficina]]=$I$7,VLOOKUP(Tabla14[[#This Row],[Llave]],'[7]Shangai (Tomas)'!$A:$F,6,FALSE),VLOOKUP(Tabla14[[#This Row],[Llave]],'[6]RV plan de ventas'!$A:$E,5,FALSE)),0)</f>
        <v>68626</v>
      </c>
      <c r="K240" s="8">
        <f>IFERROR(VLOOKUP(Tabla14[[#This Row],[Sector]]&amp;Tabla14[[#This Row],[Oficina]],[8]Ponderación!$A$3:$G$22,7,FALSE),0)</f>
        <v>0.81973286675080992</v>
      </c>
      <c r="L240" s="7">
        <f>+Tabla14[[#This Row],[ RV Producción mes n+1]]*Tabla14[[#This Row],[% Uti. producción]]</f>
        <v>56254.98771364108</v>
      </c>
      <c r="M240" s="7">
        <f>IFERROR(VLOOKUP(Tabla14[[#This Row],[Material]],'[9]TD Stock'!$B:$C,2,FALSE),0)</f>
        <v>9810</v>
      </c>
      <c r="N240" s="7">
        <f>IFERROR(VLOOKUP(Tabla14[[#This Row],[Material]],'[10]Consolidado planificación'!$B:$C,2,FALSE),0)</f>
        <v>0</v>
      </c>
      <c r="O240" s="7">
        <f>IFERROR(VLOOKUP(Tabla14[[#This Row],[Llave]],[11]Hoja2!$D:$G,4,FALSE),0)</f>
        <v>0</v>
      </c>
      <c r="P240" s="14">
        <f>SUM(Tabla14[[#This Row],[Producción disponible]],Tabla14[[#This Row],[Stock al día]],(Tabla14[[#This Row],[Por producir mes N]]*0.9))-Tabla14[[#This Row],[Producción por despachar mes N]]</f>
        <v>66064.98771364108</v>
      </c>
      <c r="Q240" s="7">
        <f>IFERROR(VLOOKUP(Tabla14[[#This Row],[Llave]],[9]DELAY!$A:$D,4,FALSE),0)</f>
        <v>24000</v>
      </c>
      <c r="R240" s="9">
        <v>23000</v>
      </c>
      <c r="S240" s="5">
        <f t="shared" si="8"/>
        <v>24000</v>
      </c>
      <c r="T240" s="76">
        <v>0</v>
      </c>
      <c r="U240" s="5">
        <f>+Tabla14[[#This Row],[Atraso a facturar]]+Tabla14[[#This Row],[Ajuste atraso]]</f>
        <v>24000</v>
      </c>
      <c r="V240" s="3">
        <f>+Tabla14[[#This Row],[Total disponible]]-Tabla14[[#This Row],[Facturación atraso]]</f>
        <v>42064.98771364108</v>
      </c>
      <c r="W240" s="6">
        <f>IFERROR(IF(AND(V240&gt;R240,J240&gt;=R240),ROUNDDOWN((Tabla14[[#This Row],[Producción para venta nueva]])/R240,0)*R240,0),0)</f>
        <v>23000</v>
      </c>
      <c r="X240" s="76">
        <v>-23000</v>
      </c>
      <c r="Y240" s="6">
        <f>IF(Tabla14[[#This Row],[Venta del mes]]&gt;0,Tabla14[[#This Row],[Venta del mes]]+Tabla14[[#This Row],[Ajuste venta nueva]],0)</f>
        <v>0</v>
      </c>
      <c r="Z240" s="6">
        <f>+Tabla14[[#This Row],[Producción para venta nueva]]-Tabla14[[#This Row],[Facturación Venta nueva]]</f>
        <v>42064.98771364108</v>
      </c>
      <c r="AA240" s="6">
        <f>IF(AND(A240=1,Tabla14[[#This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0" s="6">
        <v>0</v>
      </c>
      <c r="AC240" s="6">
        <f>IF(Tabla14[[#This Row],[Disponible stock sin venta]]&gt;0,Tabla14[[#This Row],[Disponible stock sin venta]]+Tabla14[[#This Row],[Ajuste stock sin venta]],0)</f>
        <v>0</v>
      </c>
      <c r="AD240" s="3">
        <f>IFERROR(VLOOKUP(Tabla14[[#This Row],[Llave]],[12]Hoja1!$A:$D,4,FALSE),0)</f>
        <v>0</v>
      </c>
      <c r="AE24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47000</v>
      </c>
      <c r="AF240" s="3">
        <v>47000</v>
      </c>
      <c r="AG240" s="3">
        <f>+Tabla14[[#This Row],[En puerto a facturar]]</f>
        <v>0</v>
      </c>
      <c r="AH240" s="3">
        <f>+Tabla14[[#This Row],[Facturación atraso]]</f>
        <v>24000</v>
      </c>
      <c r="AI240" s="3">
        <f>+Tabla14[[#This Row],[Plan Irrestricto (DATO)]]-Tabla14[[#This Row],[Puerto ]]-Tabla14[[#This Row],[Atraso]]</f>
        <v>23000</v>
      </c>
      <c r="AJ240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240" s="3">
        <f>+Tabla14[[#This Row],[Facturación atraso]]</f>
        <v>24000</v>
      </c>
      <c r="AL240" s="3">
        <f>Tabla14[[#This Row],[Plan Ajustado]]-Tabla14[[#This Row],[ Atraso ajustado]]-Tabla14[[#This Row],[En puerto a facturar]]</f>
        <v>0</v>
      </c>
      <c r="AM240" s="3" t="s">
        <v>880</v>
      </c>
      <c r="AN240" s="3"/>
      <c r="AO240" s="3" t="str">
        <f>IF(Tabla14[[#This Row],[Plan Ajustado]]&gt;Tabla14[[#This Row],[En puerto a facturar]],"Si","No")</f>
        <v>Si</v>
      </c>
      <c r="AP240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240" s="3">
        <f>IF(Tabla14[[#This Row],[Necesidad]]&gt;=Tabla14[[#This Row],[Stock al día]],Tabla14[[#This Row],[Stock al día]],Tabla14[[#This Row],[Necesidad]])</f>
        <v>9810</v>
      </c>
      <c r="AR240" s="3">
        <f>+Tabla14[[#This Row],[Necesidad]]-Tabla14[[#This Row],[Stock Plan]]</f>
        <v>14190</v>
      </c>
      <c r="AS240" s="155">
        <f>VLOOKUP(Tabla14[[#This Row],[Sector]]&amp;Tabla14[[#This Row],[Oficina]],[8]Ponderación!$A:$H,8,FALSE)</f>
        <v>44817</v>
      </c>
      <c r="AT240" s="30">
        <f>IFERROR(VLOOKUP(Tabla14[[#This Row],[Llave]],'[6]RV plan de ventas'!$A:$F,6,FALSE),0)</f>
        <v>2.6866930900824801</v>
      </c>
      <c r="AU240" s="83">
        <f>IFERROR(VLOOKUP(Tabla14[[#This Row],[Llave]],[9]DELAY!$H:$X,17,FALSE),0)</f>
        <v>2.7</v>
      </c>
      <c r="AV24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2.7</v>
      </c>
      <c r="AW240" s="5">
        <f>Tabla14[[#This Row],[Pecio plan]]*Tabla14[[#This Row],[Plan Ajustado]]</f>
        <v>64800.000000000007</v>
      </c>
      <c r="AX240" s="30">
        <f>IFERROR(VLOOKUP(Tabla14[[#This Row],[Llave]],'[13]Ultimos precios facturados'!$A:$G,7,FALSE),0)</f>
        <v>2.7450484764542935</v>
      </c>
      <c r="AY24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1.6410812719956501E-2</v>
      </c>
      <c r="AZ240" s="30">
        <f>IFERROR(VLOOKUP(Tabla14[[#This Row],[Llave]],Hoja2!B:K,10,FALSE),0)</f>
        <v>2.65</v>
      </c>
      <c r="BA24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2.7</v>
      </c>
      <c r="BB240" s="30">
        <v>2.7</v>
      </c>
      <c r="BC240" s="30">
        <f>IF(Tabla14[[#This Row],[Market]]=0,Tabla14[[#This Row],[Precio Final]],Tabla14[[#This Row],[Market]])</f>
        <v>2.7</v>
      </c>
      <c r="BD240" s="82"/>
      <c r="BE240" s="82" t="str">
        <f>IF(AND(Tabla14[[#This Row],[Atraso a facturar]]&gt;0,Tabla14[[#This Row],[En puerto a facturar]]&gt;0,Tabla14[[#This Row],[Precio Atraso]]=0),"Revisar","OK")</f>
        <v>OK</v>
      </c>
      <c r="BF240" s="82" t="str">
        <f>IF(AND(Tabla14[[#This Row],[Venta del mes]]&gt;0,Tabla14[[#This Row],[Precio venta nueva]]=0),"Revisar","OK")</f>
        <v>OK</v>
      </c>
      <c r="BG240" s="20">
        <f>IFERROR(VLOOKUP(Tabla14[[#This Row],[Llave]],'[5]Consolidación planes'!$A:$M,9,FALSE),0)</f>
        <v>24000</v>
      </c>
      <c r="BH240" s="20">
        <f>IFERROR(VLOOKUP(Tabla14[[#This Row],[Llave]],'[5]Consolidación planes'!$A:$M,10,FALSE),0)</f>
        <v>24000</v>
      </c>
      <c r="BI240" s="20">
        <f>IFERROR(VLOOKUP(Tabla14[[#This Row],[Llave]],'[5]Consolidación planes'!$A:$M,11,FALSE),0)</f>
        <v>47990</v>
      </c>
      <c r="BJ240" s="20">
        <f>IFERROR(VLOOKUP(Tabla14[[#This Row],[Llave]],'[5]Consolidación planes'!$A:$M,12,FALSE),0)</f>
        <v>23995</v>
      </c>
      <c r="BK240" s="20">
        <f>IFERROR(VLOOKUP(Tabla14[[#This Row],[Llave]],'[5]Consolidación planes'!$A:$M,13,FALSE),0)</f>
        <v>24000</v>
      </c>
      <c r="BL240" s="20">
        <f>IFERROR(VLOOKUP(Tabla14[[#This Row],[Llave]],'[13]Base ultimos planes'!$A:$M,13,FALSE),0)</f>
        <v>24000</v>
      </c>
      <c r="BM240" s="20">
        <f>IFERROR(VLOOKUP(Tabla14[[#This Row],[Llave]],'[13]Cruce plan irrestricto'!$C:$M,10,FALSE),0)</f>
        <v>23990</v>
      </c>
      <c r="BN240" s="20">
        <f>IFERROR(VLOOKUP(Tabla14[[#This Row],[Llave]],'[13]Cruce plan irrestricto'!$C:$M,11,FALSE),0)</f>
        <v>23990</v>
      </c>
      <c r="BO240" s="80">
        <f>IFERROR(VLOOKUP(Tabla14[[#This Row],[Llave]],'[13]Base ultimos planes'!$O:$AA,8,FALSE),0)</f>
        <v>69600</v>
      </c>
      <c r="BP240" s="20">
        <f>IFERROR(VLOOKUP(Tabla14[[#This Row],[Llave]],'[13]Base ultimos planes'!$O:$AA,9,FALSE),0)</f>
        <v>66400</v>
      </c>
      <c r="BQ240" s="20">
        <f>IFERROR(VLOOKUP(Tabla14[[#This Row],[Llave]],'[13]Base ultimos planes'!$O:$AA,10,FALSE),0)</f>
        <v>136772</v>
      </c>
      <c r="BR240" s="20">
        <f>IFERROR(VLOOKUP(Tabla14[[#This Row],[Llave]],'[13]Base ultimos planes'!$O:$AA,11,FALSE),0)</f>
        <v>70785</v>
      </c>
      <c r="BS240" s="20">
        <f>IFERROR(VLOOKUP(Tabla14[[#This Row],[Llave]],'[13]Base ultimos planes'!$O:$AA,12,FALSE),0)</f>
        <v>64800</v>
      </c>
      <c r="BT240" s="20">
        <f>IFERROR(VLOOKUP(Tabla14[[#This Row],[Llave]],'[13]Base ultimos planes'!$O:$AA,13,FALSE),0)</f>
        <v>64800</v>
      </c>
      <c r="BU240" s="20"/>
      <c r="BV240" s="20">
        <f>Tabla14[[#This Row],[ RV Producción mes n+1]]-Tabla14[[#This Row],[Producción disponible]]+Tabla14[[#This Row],[Saldo Volumen disponible]]</f>
        <v>54436</v>
      </c>
      <c r="BW240" s="20">
        <f>IFERROR(VLOOKUP(Tabla14[[#This Row],[Llave]],[14]Hoja2!$J:$N,4,FALSE),0)</f>
        <v>72000</v>
      </c>
      <c r="BX240" s="20">
        <f>+Tabla14[[#This Row],[Asignación mes n+1]]*Tabla14[[#This Row],[% Uti. producción]]</f>
        <v>59020.766406058312</v>
      </c>
      <c r="BY240" s="20">
        <f>+Tabla14[[#This Row],[Ponderación mes n+1]]+Tabla14[[#This Row],[Saldo mes n-1]]</f>
        <v>113456.7664060583</v>
      </c>
      <c r="BZ240" s="20">
        <f>+Tabla14[[#This Row],[Asignación mes n+1]]-Tabla14[[#This Row],[Ponderación mes n+1]]</f>
        <v>12979.233593941688</v>
      </c>
      <c r="CA240" s="20">
        <f>IFERROR(VLOOKUP(Tabla14[[#This Row],[Llave]],[14]Hoja2!$J:$N,5,FALSE),0)</f>
        <v>72000</v>
      </c>
      <c r="CB240" s="20">
        <f>+Tabla14[[#This Row],[Asignación mes n+2]]*Tabla14[[#This Row],[% Uti. producción]]</f>
        <v>59020.766406058312</v>
      </c>
      <c r="CC240" s="20">
        <f>+Tabla14[[#This Row],[Saldo mes n+2]]+Tabla14[[#This Row],[Ponderación mes n+2]]</f>
        <v>72000</v>
      </c>
      <c r="CD240" s="20">
        <f>+Tabla14[[#This Row],[Asignación mes n+2]]-Tabla14[[#This Row],[Ponderación mes n+2]]</f>
        <v>12979.233593941688</v>
      </c>
    </row>
    <row r="241" spans="1:82" ht="16" x14ac:dyDescent="0.2">
      <c r="A241">
        <v>1</v>
      </c>
      <c r="B241" t="str">
        <f>Tabla14[[#This Row],[Oficina]]&amp;Tabla14[[#This Row],[Material]]</f>
        <v>Agrosuper Brasil1012674</v>
      </c>
      <c r="C241" t="s">
        <v>227</v>
      </c>
      <c r="D241" t="s">
        <v>7</v>
      </c>
      <c r="E241">
        <v>1012674</v>
      </c>
      <c r="F241" t="s">
        <v>230</v>
      </c>
      <c r="G241" t="s">
        <v>209</v>
      </c>
      <c r="H241" t="s">
        <v>228</v>
      </c>
      <c r="I241" s="7">
        <f>IFERROR(IF(Tabla14[[#This Row],[Oficina]]=$I$7,VLOOKUP(Tabla14[[#This Row],[Material]],'[6]RV Producción'!$Y:$AA,3,FALSE),VLOOKUP(Tabla14[[#This Row],[Llave]],'[6]RV Producción'!$C:$G,5,FALSE)),0)</f>
        <v>47206</v>
      </c>
      <c r="J241" s="7">
        <f>IFERROR(IF(Tabla14[[#This Row],[Oficina]]=$I$7,VLOOKUP(Tabla14[[#This Row],[Llave]],'[7]Shangai (Tomas)'!$A:$F,6,FALSE),VLOOKUP(Tabla14[[#This Row],[Llave]],'[6]RV plan de ventas'!$A:$E,5,FALSE)),0)</f>
        <v>19440</v>
      </c>
      <c r="K241" s="8">
        <f>IFERROR(VLOOKUP(Tabla14[[#This Row],[Sector]]&amp;Tabla14[[#This Row],[Oficina]],[8]Ponderación!$A$3:$G$22,7,FALSE),0)</f>
        <v>0.81973286675080992</v>
      </c>
      <c r="L241" s="7">
        <f>+Tabla14[[#This Row],[ RV Producción mes n+1]]*Tabla14[[#This Row],[% Uti. producción]]</f>
        <v>38696.309707838736</v>
      </c>
      <c r="M241" s="7">
        <f>IFERROR(VLOOKUP(Tabla14[[#This Row],[Material]],'[9]TD Stock'!$B:$C,2,FALSE),0)</f>
        <v>21567.302999999996</v>
      </c>
      <c r="N241" s="7">
        <f>IFERROR(VLOOKUP(Tabla14[[#This Row],[Material]],'[10]Consolidado planificación'!$B:$C,2,FALSE),0)</f>
        <v>9000</v>
      </c>
      <c r="O241" s="7">
        <f>IFERROR(VLOOKUP(Tabla14[[#This Row],[Llave]],[11]Hoja2!$D:$G,4,FALSE),0)</f>
        <v>0</v>
      </c>
      <c r="P241" s="14">
        <f>SUM(Tabla14[[#This Row],[Producción disponible]],Tabla14[[#This Row],[Stock al día]],(Tabla14[[#This Row],[Por producir mes N]]*0.9))-Tabla14[[#This Row],[Producción por despachar mes N]]</f>
        <v>68363.612707838736</v>
      </c>
      <c r="Q241" s="7">
        <f>IFERROR(VLOOKUP(Tabla14[[#This Row],[Llave]],[9]DELAY!$A:$D,4,FALSE),0)</f>
        <v>71985</v>
      </c>
      <c r="R241" s="9">
        <v>23000</v>
      </c>
      <c r="S241" s="5">
        <f t="shared" si="8"/>
        <v>46000</v>
      </c>
      <c r="T241" s="76">
        <v>-22000</v>
      </c>
      <c r="U241" s="5">
        <f>+Tabla14[[#This Row],[Atraso a facturar]]+Tabla14[[#This Row],[Ajuste atraso]]</f>
        <v>24000</v>
      </c>
      <c r="V241" s="3">
        <f>+Tabla14[[#This Row],[Total disponible]]-Tabla14[[#This Row],[Facturación atraso]]</f>
        <v>44363.612707838736</v>
      </c>
      <c r="W241" s="6">
        <f>IFERROR(IF(AND(V241&gt;R241,J241&gt;=R241),ROUNDDOWN((Tabla14[[#This Row],[Producción para venta nueva]])/R241,0)*R241,0),0)</f>
        <v>0</v>
      </c>
      <c r="X241" s="76">
        <v>0</v>
      </c>
      <c r="Y241" s="6">
        <f>IF(Tabla14[[#This Row],[Venta del mes]]&gt;0,Tabla14[[#This Row],[Venta del mes]]+Tabla14[[#This Row],[Ajuste venta nueva]],0)</f>
        <v>0</v>
      </c>
      <c r="Z241" s="6">
        <f>+Tabla14[[#This Row],[Producción para venta nueva]]-Tabla14[[#This Row],[Facturación Venta nueva]]</f>
        <v>44363.612707838736</v>
      </c>
      <c r="AA241" s="6">
        <f>IF(AND(A241=1,Tabla14[[#This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1" s="6">
        <v>0</v>
      </c>
      <c r="AC241" s="6">
        <f>IF(Tabla14[[#This Row],[Disponible stock sin venta]]&gt;0,Tabla14[[#This Row],[Disponible stock sin venta]]+Tabla14[[#This Row],[Ajuste stock sin venta]],0)</f>
        <v>0</v>
      </c>
      <c r="AD241" s="3">
        <f>IFERROR(VLOOKUP(Tabla14[[#This Row],[Llave]],[12]Hoja1!$A:$D,4,FALSE),0)</f>
        <v>0</v>
      </c>
      <c r="AE24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46000</v>
      </c>
      <c r="AF241" s="3">
        <v>46000</v>
      </c>
      <c r="AG241" s="3">
        <f>+Tabla14[[#This Row],[En puerto a facturar]]</f>
        <v>0</v>
      </c>
      <c r="AH241" s="3">
        <f>+Tabla14[[#This Row],[Facturación atraso]]</f>
        <v>24000</v>
      </c>
      <c r="AI241" s="3">
        <f>+Tabla14[[#This Row],[Plan Irrestricto (DATO)]]-Tabla14[[#This Row],[Puerto ]]-Tabla14[[#This Row],[Atraso]]</f>
        <v>22000</v>
      </c>
      <c r="AJ241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241" s="3">
        <f>+Tabla14[[#This Row],[Facturación atraso]]</f>
        <v>24000</v>
      </c>
      <c r="AL241" s="3">
        <f>Tabla14[[#This Row],[Plan Ajustado]]-Tabla14[[#This Row],[ Atraso ajustado]]-Tabla14[[#This Row],[En puerto a facturar]]</f>
        <v>0</v>
      </c>
      <c r="AM241" s="3" t="s">
        <v>880</v>
      </c>
      <c r="AN241" s="3"/>
      <c r="AO241" s="3" t="str">
        <f>IF(Tabla14[[#This Row],[Plan Ajustado]]&gt;Tabla14[[#This Row],[En puerto a facturar]],"Si","No")</f>
        <v>Si</v>
      </c>
      <c r="AP241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241" s="3">
        <f>IF(Tabla14[[#This Row],[Necesidad]]&gt;=Tabla14[[#This Row],[Stock al día]],Tabla14[[#This Row],[Stock al día]],Tabla14[[#This Row],[Necesidad]])</f>
        <v>21567.302999999996</v>
      </c>
      <c r="AR241" s="3">
        <f>+Tabla14[[#This Row],[Necesidad]]-Tabla14[[#This Row],[Stock Plan]]</f>
        <v>2432.6970000000038</v>
      </c>
      <c r="AS241" s="155">
        <f>VLOOKUP(Tabla14[[#This Row],[Sector]]&amp;Tabla14[[#This Row],[Oficina]],[8]Ponderación!$A:$H,8,FALSE)</f>
        <v>44817</v>
      </c>
      <c r="AT241" s="30">
        <f>IFERROR(VLOOKUP(Tabla14[[#This Row],[Llave]],'[6]RV plan de ventas'!$A:$F,6,FALSE),0)</f>
        <v>2.48667695473251</v>
      </c>
      <c r="AU241" s="83">
        <f>IFERROR(VLOOKUP(Tabla14[[#This Row],[Llave]],[9]DELAY!$H:$X,17,FALSE),0)</f>
        <v>2.4666666666666668</v>
      </c>
      <c r="AV24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2.4666666666666668</v>
      </c>
      <c r="AW241" s="5">
        <f>Tabla14[[#This Row],[Pecio plan]]*Tabla14[[#This Row],[Plan Ajustado]]</f>
        <v>57600</v>
      </c>
      <c r="AX241" s="30">
        <f>IFERROR(VLOOKUP(Tabla14[[#This Row],[Llave]],'[13]Ultimos precios facturados'!$A:$G,7,FALSE),0)</f>
        <v>2.5971795312677273</v>
      </c>
      <c r="AY24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5.0251768516501032E-2</v>
      </c>
      <c r="AZ241" s="30">
        <f>IFERROR(VLOOKUP(Tabla14[[#This Row],[Llave]],Hoja2!B:K,10,FALSE),0)</f>
        <v>2.4</v>
      </c>
      <c r="BA24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2.4666666666666668</v>
      </c>
      <c r="BB241" s="30">
        <v>2.4</v>
      </c>
      <c r="BC241" s="30">
        <f>IF(Tabla14[[#This Row],[Market]]=0,Tabla14[[#This Row],[Precio Final]],Tabla14[[#This Row],[Market]])</f>
        <v>2.4</v>
      </c>
      <c r="BD241" s="82"/>
      <c r="BE241" s="82" t="str">
        <f>IF(AND(Tabla14[[#This Row],[Atraso a facturar]]&gt;0,Tabla14[[#This Row],[En puerto a facturar]]&gt;0,Tabla14[[#This Row],[Precio Atraso]]=0),"Revisar","OK")</f>
        <v>OK</v>
      </c>
      <c r="BF241" s="82" t="str">
        <f>IF(AND(Tabla14[[#This Row],[Venta del mes]]&gt;0,Tabla14[[#This Row],[Precio venta nueva]]=0),"Revisar","OK")</f>
        <v>OK</v>
      </c>
      <c r="BG241" s="20">
        <f>IFERROR(VLOOKUP(Tabla14[[#This Row],[Llave]],'[5]Consolidación planes'!$A:$M,9,FALSE),0)</f>
        <v>24000</v>
      </c>
      <c r="BH241" s="20">
        <f>IFERROR(VLOOKUP(Tabla14[[#This Row],[Llave]],'[5]Consolidación planes'!$A:$M,10,FALSE),0)</f>
        <v>72000</v>
      </c>
      <c r="BI241" s="20">
        <f>IFERROR(VLOOKUP(Tabla14[[#This Row],[Llave]],'[5]Consolidación planes'!$A:$M,11,FALSE),0)</f>
        <v>24000</v>
      </c>
      <c r="BJ241" s="20">
        <f>IFERROR(VLOOKUP(Tabla14[[#This Row],[Llave]],'[5]Consolidación planes'!$A:$M,12,FALSE),0)</f>
        <v>23995</v>
      </c>
      <c r="BK241" s="20">
        <f>IFERROR(VLOOKUP(Tabla14[[#This Row],[Llave]],'[5]Consolidación planes'!$A:$M,13,FALSE),0)</f>
        <v>24000</v>
      </c>
      <c r="BL241" s="20">
        <f>IFERROR(VLOOKUP(Tabla14[[#This Row],[Llave]],'[13]Base ultimos planes'!$A:$M,13,FALSE),0)</f>
        <v>48000</v>
      </c>
      <c r="BM241" s="20">
        <f>IFERROR(VLOOKUP(Tabla14[[#This Row],[Llave]],'[13]Cruce plan irrestricto'!$C:$M,10,FALSE),0)</f>
        <v>24000</v>
      </c>
      <c r="BN241" s="20">
        <f>IFERROR(VLOOKUP(Tabla14[[#This Row],[Llave]],'[13]Cruce plan irrestricto'!$C:$M,11,FALSE),0)</f>
        <v>24000</v>
      </c>
      <c r="BO241" s="80">
        <f>IFERROR(VLOOKUP(Tabla14[[#This Row],[Llave]],'[13]Base ultimos planes'!$O:$AA,8,FALSE),0)</f>
        <v>64800</v>
      </c>
      <c r="BP241" s="20">
        <f>IFERROR(VLOOKUP(Tabla14[[#This Row],[Llave]],'[13]Base ultimos planes'!$O:$AA,9,FALSE),0)</f>
        <v>184509</v>
      </c>
      <c r="BQ241" s="20">
        <f>IFERROR(VLOOKUP(Tabla14[[#This Row],[Llave]],'[13]Base ultimos planes'!$O:$AA,10,FALSE),0)</f>
        <v>64800</v>
      </c>
      <c r="BR241" s="20">
        <f>IFERROR(VLOOKUP(Tabla14[[#This Row],[Llave]],'[13]Base ultimos planes'!$O:$AA,11,FALSE),0)</f>
        <v>63587</v>
      </c>
      <c r="BS241" s="20">
        <f>IFERROR(VLOOKUP(Tabla14[[#This Row],[Llave]],'[13]Base ultimos planes'!$O:$AA,12,FALSE),0)</f>
        <v>60000</v>
      </c>
      <c r="BT241" s="20">
        <f>IFERROR(VLOOKUP(Tabla14[[#This Row],[Llave]],'[13]Base ultimos planes'!$O:$AA,13,FALSE),0)</f>
        <v>119200</v>
      </c>
      <c r="BU241" s="20"/>
      <c r="BV241" s="20">
        <f>Tabla14[[#This Row],[ RV Producción mes n+1]]-Tabla14[[#This Row],[Producción disponible]]+Tabla14[[#This Row],[Saldo Volumen disponible]]</f>
        <v>52873.303</v>
      </c>
      <c r="BW241" s="20">
        <f>IFERROR(VLOOKUP(Tabla14[[#This Row],[Llave]],[14]Hoja2!$J:$N,4,FALSE),0)</f>
        <v>49000</v>
      </c>
      <c r="BX241" s="20">
        <f>+Tabla14[[#This Row],[Asignación mes n+1]]*Tabla14[[#This Row],[% Uti. producción]]</f>
        <v>40166.910470789684</v>
      </c>
      <c r="BY241" s="20">
        <f>+Tabla14[[#This Row],[Ponderación mes n+1]]+Tabla14[[#This Row],[Saldo mes n-1]]</f>
        <v>93040.213470789691</v>
      </c>
      <c r="BZ241" s="20">
        <f>+Tabla14[[#This Row],[Asignación mes n+1]]-Tabla14[[#This Row],[Ponderación mes n+1]]</f>
        <v>8833.089529210316</v>
      </c>
      <c r="CA241" s="20">
        <f>IFERROR(VLOOKUP(Tabla14[[#This Row],[Llave]],[14]Hoja2!$J:$N,5,FALSE),0)</f>
        <v>53700</v>
      </c>
      <c r="CB241" s="20">
        <f>+Tabla14[[#This Row],[Asignación mes n+2]]*Tabla14[[#This Row],[% Uti. producción]]</f>
        <v>44019.654944518494</v>
      </c>
      <c r="CC241" s="20">
        <f>+Tabla14[[#This Row],[Saldo mes n+2]]+Tabla14[[#This Row],[Ponderación mes n+2]]</f>
        <v>52852.74447372881</v>
      </c>
      <c r="CD241" s="20">
        <f>+Tabla14[[#This Row],[Asignación mes n+2]]-Tabla14[[#This Row],[Ponderación mes n+2]]</f>
        <v>9680.3450554815063</v>
      </c>
    </row>
    <row r="242" spans="1:82" ht="16" x14ac:dyDescent="0.2">
      <c r="A242">
        <v>2</v>
      </c>
      <c r="B242" t="str">
        <f>Tabla14[[#This Row],[Oficina]]&amp;Tabla14[[#This Row],[Material]]</f>
        <v>Agrosuper Shanghai1011586</v>
      </c>
      <c r="C242" t="s">
        <v>227</v>
      </c>
      <c r="D242" t="s">
        <v>140</v>
      </c>
      <c r="E242">
        <v>1011586</v>
      </c>
      <c r="F242" t="s">
        <v>262</v>
      </c>
      <c r="G242" t="s">
        <v>205</v>
      </c>
      <c r="H242" t="s">
        <v>231</v>
      </c>
      <c r="I242" s="7">
        <f>IFERROR(IF(Tabla14[[#This Row],[Oficina]]=$I$7,VLOOKUP(Tabla14[[#This Row],[Material]],'[6]RV Producción'!$Y:$AA,3,FALSE),VLOOKUP(Tabla14[[#This Row],[Llave]],'[6]RV Producción'!$C:$G,5,FALSE)),0)</f>
        <v>116482</v>
      </c>
      <c r="J242" s="7">
        <f>IFERROR(IF(Tabla14[[#This Row],[Oficina]]=$I$7,VLOOKUP(Tabla14[[#This Row],[Llave]],'[7]Shangai (Tomas)'!$A:$F,6,FALSE),VLOOKUP(Tabla14[[#This Row],[Llave]],'[6]RV plan de ventas'!$A:$E,5,FALSE)),0)</f>
        <v>0</v>
      </c>
      <c r="K242" s="8">
        <f>IFERROR(VLOOKUP(Tabla14[[#This Row],[Sector]]&amp;Tabla14[[#This Row],[Oficina]],[8]Ponderación!$A$3:$G$22,7,FALSE),0)</f>
        <v>0.47745072632608576</v>
      </c>
      <c r="L242" s="7">
        <f>+Tabla14[[#This Row],[ RV Producción mes n+1]]*Tabla14[[#This Row],[% Uti. producción]]</f>
        <v>55614.415503915123</v>
      </c>
      <c r="M242" s="7">
        <f>IFERROR(VLOOKUP(Tabla14[[#This Row],[Material]],'[9]TD Stock'!$B:$C,2,FALSE),0)</f>
        <v>33522.720000000001</v>
      </c>
      <c r="N242" s="7">
        <f>IFERROR(VLOOKUP(Tabla14[[#This Row],[Material]],'[10]Consolidado planificación'!$B:$C,2,FALSE),0)</f>
        <v>23000</v>
      </c>
      <c r="O242" s="7">
        <f>IFERROR(VLOOKUP(Tabla14[[#This Row],[Llave]],[11]Hoja2!$D:$G,4,FALSE),0)</f>
        <v>0</v>
      </c>
      <c r="P242" s="14">
        <f>SUM(Tabla14[[#This Row],[Producción disponible]],Tabla14[[#This Row],[Stock al día]],(Tabla14[[#This Row],[Por producir mes N]]*0.9))-Tabla14[[#This Row],[Producción por despachar mes N]]</f>
        <v>109837.13550391512</v>
      </c>
      <c r="Q242" s="7">
        <f>IFERROR(VLOOKUP(Tabla14[[#This Row],[Llave]],[9]DELAY!$A:$D,4,FALSE),0)</f>
        <v>0</v>
      </c>
      <c r="R242" s="9">
        <v>23000</v>
      </c>
      <c r="S242" s="5">
        <f t="shared" si="8"/>
        <v>0</v>
      </c>
      <c r="T242" s="76">
        <v>0</v>
      </c>
      <c r="U242" s="5">
        <f>+Tabla14[[#This Row],[Atraso a facturar]]+Tabla14[[#This Row],[Ajuste atraso]]</f>
        <v>0</v>
      </c>
      <c r="V242" s="3">
        <f>+Tabla14[[#This Row],[Total disponible]]-Tabla14[[#This Row],[Facturación atraso]]</f>
        <v>109837.13550391512</v>
      </c>
      <c r="W242" s="6">
        <f>IFERROR(IF(AND(V242&gt;R242,J242&gt;=R242),ROUNDDOWN((Tabla14[[#This Row],[Producción para venta nueva]])/R242,0)*R242,0),0)</f>
        <v>0</v>
      </c>
      <c r="X242" s="76">
        <v>0</v>
      </c>
      <c r="Y242" s="6">
        <f>IF(Tabla14[[#This Row],[Venta del mes]]&gt;0,Tabla14[[#This Row],[Venta del mes]]+Tabla14[[#This Row],[Ajuste venta nueva]],0)</f>
        <v>0</v>
      </c>
      <c r="Z242" s="6">
        <f>+Tabla14[[#This Row],[Producción para venta nueva]]-Tabla14[[#This Row],[Facturación Venta nueva]]</f>
        <v>109837.13550391512</v>
      </c>
      <c r="AA242" s="6">
        <f>IF(AND(A242=1,Tabla14[[#This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2" s="6">
        <v>0</v>
      </c>
      <c r="AC242" s="6">
        <f>IF(Tabla14[[#This Row],[Disponible stock sin venta]]&gt;0,Tabla14[[#This Row],[Disponible stock sin venta]]+Tabla14[[#This Row],[Ajuste stock sin venta]],0)</f>
        <v>0</v>
      </c>
      <c r="AD242" s="3">
        <f>IFERROR(VLOOKUP(Tabla14[[#This Row],[Llave]],[12]Hoja1!$A:$D,4,FALSE),0)</f>
        <v>0</v>
      </c>
      <c r="AE24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42" s="3">
        <v>0</v>
      </c>
      <c r="AG242" s="3">
        <f>+Tabla14[[#This Row],[En puerto a facturar]]</f>
        <v>0</v>
      </c>
      <c r="AH242" s="3">
        <f>+Tabla14[[#This Row],[Facturación atraso]]</f>
        <v>0</v>
      </c>
      <c r="AI242" s="3">
        <f>+Tabla14[[#This Row],[Plan Irrestricto (DATO)]]-Tabla14[[#This Row],[Puerto ]]-Tabla14[[#This Row],[Atraso]]</f>
        <v>0</v>
      </c>
      <c r="AJ24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42" s="3">
        <f>+Tabla14[[#This Row],[Facturación atraso]]</f>
        <v>0</v>
      </c>
      <c r="AL242" s="3">
        <f>Tabla14[[#This Row],[Plan Ajustado]]-Tabla14[[#This Row],[ Atraso ajustado]]-Tabla14[[#This Row],[En puerto a facturar]]</f>
        <v>0</v>
      </c>
      <c r="AM242" s="3">
        <v>0</v>
      </c>
      <c r="AN242" s="3"/>
      <c r="AO242" s="3" t="str">
        <f>IF(Tabla14[[#This Row],[Plan Ajustado]]&gt;Tabla14[[#This Row],[En puerto a facturar]],"Si","No")</f>
        <v>No</v>
      </c>
      <c r="AP24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42" s="3">
        <f>IF(Tabla14[[#This Row],[Necesidad]]&gt;=Tabla14[[#This Row],[Stock al día]],Tabla14[[#This Row],[Stock al día]],Tabla14[[#This Row],[Necesidad]])</f>
        <v>0</v>
      </c>
      <c r="AR242" s="3">
        <f>+Tabla14[[#This Row],[Necesidad]]-Tabla14[[#This Row],[Stock Plan]]</f>
        <v>0</v>
      </c>
      <c r="AS242" s="155">
        <f>VLOOKUP(Tabla14[[#This Row],[Sector]]&amp;Tabla14[[#This Row],[Oficina]],[8]Ponderación!$A:$H,8,FALSE)</f>
        <v>44817</v>
      </c>
      <c r="AT242" s="30">
        <f>IFERROR(VLOOKUP(Tabla14[[#This Row],[Llave]],'[6]RV plan de ventas'!$A:$F,6,FALSE),0)</f>
        <v>0</v>
      </c>
      <c r="AU242" s="83">
        <f>IFERROR(VLOOKUP(Tabla14[[#This Row],[Llave]],[9]DELAY!$H:$X,17,FALSE),0)</f>
        <v>0</v>
      </c>
      <c r="AV24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42" s="5">
        <f>Tabla14[[#This Row],[Pecio plan]]*Tabla14[[#This Row],[Plan Ajustado]]</f>
        <v>0</v>
      </c>
      <c r="AX242" s="30">
        <f>IFERROR(VLOOKUP(Tabla14[[#This Row],[Llave]],'[13]Ultimos precios facturados'!$A:$G,7,FALSE),0)</f>
        <v>3.2645010141507287</v>
      </c>
      <c r="AY24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42" s="30">
        <f>IFERROR(VLOOKUP(Tabla14[[#This Row],[Llave]],Hoja2!B:K,10,FALSE),0)</f>
        <v>0</v>
      </c>
      <c r="BA24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42" s="30">
        <v>0</v>
      </c>
      <c r="BC242" s="30">
        <f>IF(Tabla14[[#This Row],[Market]]=0,Tabla14[[#This Row],[Precio Final]],Tabla14[[#This Row],[Market]])</f>
        <v>0</v>
      </c>
      <c r="BD242" s="82"/>
      <c r="BE242" s="82" t="str">
        <f>IF(AND(Tabla14[[#This Row],[Atraso a facturar]]&gt;0,Tabla14[[#This Row],[En puerto a facturar]]&gt;0,Tabla14[[#This Row],[Precio Atraso]]=0),"Revisar","OK")</f>
        <v>OK</v>
      </c>
      <c r="BF242" s="82" t="str">
        <f>IF(AND(Tabla14[[#This Row],[Venta del mes]]&gt;0,Tabla14[[#This Row],[Precio venta nueva]]=0),"Revisar","OK")</f>
        <v>OK</v>
      </c>
      <c r="BG242" s="20">
        <f>IFERROR(VLOOKUP(Tabla14[[#This Row],[Llave]],'[5]Consolidación planes'!$A:$M,9,FALSE),0)</f>
        <v>96000</v>
      </c>
      <c r="BH242" s="20">
        <f>IFERROR(VLOOKUP(Tabla14[[#This Row],[Llave]],'[5]Consolidación planes'!$A:$M,10,FALSE),0)</f>
        <v>72000</v>
      </c>
      <c r="BI242" s="20">
        <f>IFERROR(VLOOKUP(Tabla14[[#This Row],[Llave]],'[5]Consolidación planes'!$A:$M,11,FALSE),0)</f>
        <v>48000</v>
      </c>
      <c r="BJ242" s="20">
        <f>IFERROR(VLOOKUP(Tabla14[[#This Row],[Llave]],'[5]Consolidación planes'!$A:$M,12,FALSE),0)</f>
        <v>48000</v>
      </c>
      <c r="BK242" s="20">
        <f>IFERROR(VLOOKUP(Tabla14[[#This Row],[Llave]],'[5]Consolidación planes'!$A:$M,13,FALSE),0)</f>
        <v>48000</v>
      </c>
      <c r="BL242" s="20">
        <f>IFERROR(VLOOKUP(Tabla14[[#This Row],[Llave]],'[13]Base ultimos planes'!$A:$M,13,FALSE),0)</f>
        <v>24000</v>
      </c>
      <c r="BM242" s="20">
        <f>IFERROR(VLOOKUP(Tabla14[[#This Row],[Llave]],'[13]Cruce plan irrestricto'!$C:$M,10,FALSE),0)</f>
        <v>63908</v>
      </c>
      <c r="BN242" s="20">
        <f>IFERROR(VLOOKUP(Tabla14[[#This Row],[Llave]],'[13]Cruce plan irrestricto'!$C:$M,11,FALSE),0)</f>
        <v>0</v>
      </c>
      <c r="BO242" s="80">
        <f>IFERROR(VLOOKUP(Tabla14[[#This Row],[Llave]],'[13]Base ultimos planes'!$O:$AA,8,FALSE),0)</f>
        <v>231360</v>
      </c>
      <c r="BP242" s="20">
        <f>IFERROR(VLOOKUP(Tabla14[[#This Row],[Llave]],'[13]Base ultimos planes'!$O:$AA,9,FALSE),0)</f>
        <v>185400</v>
      </c>
      <c r="BQ242" s="20">
        <f>IFERROR(VLOOKUP(Tabla14[[#This Row],[Llave]],'[13]Base ultimos planes'!$O:$AA,10,FALSE),0)</f>
        <v>112800</v>
      </c>
      <c r="BR242" s="20">
        <f>IFERROR(VLOOKUP(Tabla14[[#This Row],[Llave]],'[13]Base ultimos planes'!$O:$AA,11,FALSE),0)</f>
        <v>130080</v>
      </c>
      <c r="BS242" s="20">
        <f>IFERROR(VLOOKUP(Tabla14[[#This Row],[Llave]],'[13]Base ultimos planes'!$O:$AA,12,FALSE),0)</f>
        <v>145830</v>
      </c>
      <c r="BT242" s="20">
        <f>IFERROR(VLOOKUP(Tabla14[[#This Row],[Llave]],'[13]Base ultimos planes'!$O:$AA,13,FALSE),0)</f>
        <v>86400</v>
      </c>
      <c r="BU242" s="20"/>
      <c r="BV242" s="20">
        <f>Tabla14[[#This Row],[ RV Producción mes n+1]]-Tabla14[[#This Row],[Producción disponible]]+Tabla14[[#This Row],[Saldo Volumen disponible]]</f>
        <v>170704.72</v>
      </c>
      <c r="BW242" s="20">
        <f>IFERROR(VLOOKUP(Tabla14[[#This Row],[Llave]],[14]Hoja2!$J:$N,4,FALSE),0)</f>
        <v>0</v>
      </c>
      <c r="BX242" s="20">
        <f>+Tabla14[[#This Row],[Asignación mes n+1]]*Tabla14[[#This Row],[% Uti. producción]]</f>
        <v>0</v>
      </c>
      <c r="BY242" s="20">
        <f>+Tabla14[[#This Row],[Ponderación mes n+1]]+Tabla14[[#This Row],[Saldo mes n-1]]</f>
        <v>170704.72</v>
      </c>
      <c r="BZ242" s="20">
        <f>+Tabla14[[#This Row],[Asignación mes n+1]]-Tabla14[[#This Row],[Ponderación mes n+1]]</f>
        <v>0</v>
      </c>
      <c r="CA242" s="20">
        <f>IFERROR(VLOOKUP(Tabla14[[#This Row],[Llave]],[14]Hoja2!$J:$N,5,FALSE),0)</f>
        <v>0</v>
      </c>
      <c r="CB242" s="20">
        <f>+Tabla14[[#This Row],[Asignación mes n+2]]*Tabla14[[#This Row],[% Uti. producción]]</f>
        <v>0</v>
      </c>
      <c r="CC242" s="20">
        <f>+Tabla14[[#This Row],[Saldo mes n+2]]+Tabla14[[#This Row],[Ponderación mes n+2]]</f>
        <v>0</v>
      </c>
      <c r="CD242" s="20">
        <f>+Tabla14[[#This Row],[Asignación mes n+2]]-Tabla14[[#This Row],[Ponderación mes n+2]]</f>
        <v>0</v>
      </c>
    </row>
    <row r="243" spans="1:82" ht="16" x14ac:dyDescent="0.2">
      <c r="A243">
        <v>2</v>
      </c>
      <c r="B243" t="str">
        <f>Tabla14[[#This Row],[Oficina]]&amp;Tabla14[[#This Row],[Material]]</f>
        <v>Agrosuper Shanghai1011968</v>
      </c>
      <c r="C243" t="s">
        <v>227</v>
      </c>
      <c r="D243" t="s">
        <v>140</v>
      </c>
      <c r="E243">
        <v>1011968</v>
      </c>
      <c r="F243" t="s">
        <v>270</v>
      </c>
      <c r="G243" t="s">
        <v>268</v>
      </c>
      <c r="H243" t="s">
        <v>269</v>
      </c>
      <c r="I243" s="7">
        <f>IFERROR(IF(Tabla14[[#This Row],[Oficina]]=$I$7,VLOOKUP(Tabla14[[#This Row],[Material]],'[6]RV Producción'!$Y:$AA,3,FALSE),VLOOKUP(Tabla14[[#This Row],[Llave]],'[6]RV Producción'!$C:$G,5,FALSE)),0)</f>
        <v>1631</v>
      </c>
      <c r="J243" s="7">
        <f>IFERROR(IF(Tabla14[[#This Row],[Oficina]]=$I$7,VLOOKUP(Tabla14[[#This Row],[Llave]],'[7]Shangai (Tomas)'!$A:$F,6,FALSE),VLOOKUP(Tabla14[[#This Row],[Llave]],'[6]RV plan de ventas'!$A:$E,5,FALSE)),0)</f>
        <v>0</v>
      </c>
      <c r="K243" s="8">
        <f>IFERROR(VLOOKUP(Tabla14[[#This Row],[Sector]]&amp;Tabla14[[#This Row],[Oficina]],[8]Ponderación!$A$3:$G$22,7,FALSE),0)</f>
        <v>0.47745072632608576</v>
      </c>
      <c r="L243" s="7">
        <f>+Tabla14[[#This Row],[ RV Producción mes n+1]]*Tabla14[[#This Row],[% Uti. producción]]</f>
        <v>778.7221346378459</v>
      </c>
      <c r="M243" s="7">
        <f>IFERROR(VLOOKUP(Tabla14[[#This Row],[Material]],'[9]TD Stock'!$B:$C,2,FALSE),0)</f>
        <v>12600</v>
      </c>
      <c r="N243" s="7">
        <f>IFERROR(VLOOKUP(Tabla14[[#This Row],[Material]],'[10]Consolidado planificación'!$B:$C,2,FALSE),0)</f>
        <v>420</v>
      </c>
      <c r="O243" s="7">
        <f>IFERROR(VLOOKUP(Tabla14[[#This Row],[Llave]],[11]Hoja2!$D:$G,4,FALSE),0)</f>
        <v>0</v>
      </c>
      <c r="P243" s="14">
        <f>SUM(Tabla14[[#This Row],[Producción disponible]],Tabla14[[#This Row],[Stock al día]],(Tabla14[[#This Row],[Por producir mes N]]*0.9))-Tabla14[[#This Row],[Producción por despachar mes N]]</f>
        <v>13756.722134637846</v>
      </c>
      <c r="Q243" s="7">
        <f>IFERROR(VLOOKUP(Tabla14[[#This Row],[Llave]],[9]DELAY!$A:$D,4,FALSE),0)</f>
        <v>0</v>
      </c>
      <c r="R243" s="9">
        <v>23000</v>
      </c>
      <c r="S243" s="5">
        <f t="shared" si="8"/>
        <v>0</v>
      </c>
      <c r="T243" s="76">
        <v>0</v>
      </c>
      <c r="U243" s="5">
        <f>+Tabla14[[#This Row],[Atraso a facturar]]+Tabla14[[#This Row],[Ajuste atraso]]</f>
        <v>0</v>
      </c>
      <c r="V243" s="3">
        <f>+Tabla14[[#This Row],[Total disponible]]-Tabla14[[#This Row],[Facturación atraso]]</f>
        <v>13756.722134637846</v>
      </c>
      <c r="W243" s="6">
        <f>IFERROR(IF(AND(V243&gt;R243,J243&gt;=R243),ROUNDDOWN((Tabla14[[#This Row],[Producción para venta nueva]])/R243,0)*R243,0),0)</f>
        <v>0</v>
      </c>
      <c r="X243" s="76">
        <v>0</v>
      </c>
      <c r="Y243" s="6">
        <f>IF(Tabla14[[#This Row],[Venta del mes]]&gt;0,Tabla14[[#This Row],[Venta del mes]]+Tabla14[[#This Row],[Ajuste venta nueva]],0)</f>
        <v>0</v>
      </c>
      <c r="Z243" s="6">
        <f>+Tabla14[[#This Row],[Producción para venta nueva]]-Tabla14[[#This Row],[Facturación Venta nueva]]</f>
        <v>13756.722134637846</v>
      </c>
      <c r="AA243" s="6">
        <f>IF(AND(A243=1,Tabla14[[#This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3" s="6">
        <v>0</v>
      </c>
      <c r="AC243" s="6">
        <f>IF(Tabla14[[#This Row],[Disponible stock sin venta]]&gt;0,Tabla14[[#This Row],[Disponible stock sin venta]]+Tabla14[[#This Row],[Ajuste stock sin venta]],0)</f>
        <v>0</v>
      </c>
      <c r="AD243" s="3">
        <f>IFERROR(VLOOKUP(Tabla14[[#This Row],[Llave]],[12]Hoja1!$A:$D,4,FALSE),0)</f>
        <v>0</v>
      </c>
      <c r="AE24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43" s="3">
        <v>0</v>
      </c>
      <c r="AG243" s="3">
        <f>+Tabla14[[#This Row],[En puerto a facturar]]</f>
        <v>0</v>
      </c>
      <c r="AH243" s="3">
        <f>+Tabla14[[#This Row],[Facturación atraso]]</f>
        <v>0</v>
      </c>
      <c r="AI243" s="3">
        <f>+Tabla14[[#This Row],[Plan Irrestricto (DATO)]]-Tabla14[[#This Row],[Puerto ]]-Tabla14[[#This Row],[Atraso]]</f>
        <v>0</v>
      </c>
      <c r="AJ24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43" s="3">
        <f>+Tabla14[[#This Row],[Facturación atraso]]</f>
        <v>0</v>
      </c>
      <c r="AL243" s="3">
        <f>Tabla14[[#This Row],[Plan Ajustado]]-Tabla14[[#This Row],[ Atraso ajustado]]-Tabla14[[#This Row],[En puerto a facturar]]</f>
        <v>0</v>
      </c>
      <c r="AM243" s="3">
        <v>0</v>
      </c>
      <c r="AN243" s="3"/>
      <c r="AO243" s="3" t="str">
        <f>IF(Tabla14[[#This Row],[Plan Ajustado]]&gt;Tabla14[[#This Row],[En puerto a facturar]],"Si","No")</f>
        <v>No</v>
      </c>
      <c r="AP24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43" s="3">
        <f>IF(Tabla14[[#This Row],[Necesidad]]&gt;=Tabla14[[#This Row],[Stock al día]],Tabla14[[#This Row],[Stock al día]],Tabla14[[#This Row],[Necesidad]])</f>
        <v>0</v>
      </c>
      <c r="AR243" s="3">
        <f>+Tabla14[[#This Row],[Necesidad]]-Tabla14[[#This Row],[Stock Plan]]</f>
        <v>0</v>
      </c>
      <c r="AS243" s="155">
        <f>VLOOKUP(Tabla14[[#This Row],[Sector]]&amp;Tabla14[[#This Row],[Oficina]],[8]Ponderación!$A:$H,8,FALSE)</f>
        <v>44817</v>
      </c>
      <c r="AT243" s="30">
        <f>IFERROR(VLOOKUP(Tabla14[[#This Row],[Llave]],'[6]RV plan de ventas'!$A:$F,6,FALSE),0)</f>
        <v>0</v>
      </c>
      <c r="AU243" s="83">
        <f>IFERROR(VLOOKUP(Tabla14[[#This Row],[Llave]],[9]DELAY!$H:$X,17,FALSE),0)</f>
        <v>0</v>
      </c>
      <c r="AV24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43" s="5">
        <f>Tabla14[[#This Row],[Pecio plan]]*Tabla14[[#This Row],[Plan Ajustado]]</f>
        <v>0</v>
      </c>
      <c r="AX243" s="30">
        <f>IFERROR(VLOOKUP(Tabla14[[#This Row],[Llave]],'[13]Ultimos precios facturados'!$A:$G,7,FALSE),0)</f>
        <v>5.9127161015058549</v>
      </c>
      <c r="AY24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43" s="30">
        <f>IFERROR(VLOOKUP(Tabla14[[#This Row],[Llave]],Hoja2!B:K,10,FALSE),0)</f>
        <v>0</v>
      </c>
      <c r="BA24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43" s="30">
        <v>0</v>
      </c>
      <c r="BC243" s="30">
        <f>IF(Tabla14[[#This Row],[Market]]=0,Tabla14[[#This Row],[Precio Final]],Tabla14[[#This Row],[Market]])</f>
        <v>0</v>
      </c>
      <c r="BD243" s="82"/>
      <c r="BE243" s="82" t="str">
        <f>IF(AND(Tabla14[[#This Row],[Atraso a facturar]]&gt;0,Tabla14[[#This Row],[En puerto a facturar]]&gt;0,Tabla14[[#This Row],[Precio Atraso]]=0),"Revisar","OK")</f>
        <v>OK</v>
      </c>
      <c r="BF243" s="82" t="str">
        <f>IF(AND(Tabla14[[#This Row],[Venta del mes]]&gt;0,Tabla14[[#This Row],[Precio venta nueva]]=0),"Revisar","OK")</f>
        <v>OK</v>
      </c>
      <c r="BG243" s="20">
        <f>IFERROR(VLOOKUP(Tabla14[[#This Row],[Llave]],'[5]Consolidación planes'!$A:$M,9,FALSE),0)</f>
        <v>5660</v>
      </c>
      <c r="BH243" s="20">
        <f>IFERROR(VLOOKUP(Tabla14[[#This Row],[Llave]],'[5]Consolidación planes'!$A:$M,10,FALSE),0)</f>
        <v>0</v>
      </c>
      <c r="BI243" s="20">
        <f>IFERROR(VLOOKUP(Tabla14[[#This Row],[Llave]],'[5]Consolidación planes'!$A:$M,11,FALSE),0)</f>
        <v>0</v>
      </c>
      <c r="BJ243" s="20">
        <f>IFERROR(VLOOKUP(Tabla14[[#This Row],[Llave]],'[5]Consolidación planes'!$A:$M,12,FALSE),0)</f>
        <v>0</v>
      </c>
      <c r="BK243" s="20">
        <f>IFERROR(VLOOKUP(Tabla14[[#This Row],[Llave]],'[5]Consolidación planes'!$A:$M,13,FALSE),0)</f>
        <v>0</v>
      </c>
      <c r="BL243" s="20">
        <f>IFERROR(VLOOKUP(Tabla14[[#This Row],[Llave]],'[13]Base ultimos planes'!$A:$M,13,FALSE),0)</f>
        <v>0</v>
      </c>
      <c r="BM243" s="20">
        <f>IFERROR(VLOOKUP(Tabla14[[#This Row],[Llave]],'[13]Cruce plan irrestricto'!$C:$M,10,FALSE),0)</f>
        <v>24000</v>
      </c>
      <c r="BN243" s="20">
        <f>IFERROR(VLOOKUP(Tabla14[[#This Row],[Llave]],'[13]Cruce plan irrestricto'!$C:$M,11,FALSE),0)</f>
        <v>0</v>
      </c>
      <c r="BO243" s="80">
        <f>IFERROR(VLOOKUP(Tabla14[[#This Row],[Llave]],'[13]Base ultimos planes'!$O:$AA,8,FALSE),0)</f>
        <v>20942</v>
      </c>
      <c r="BP243" s="20">
        <f>IFERROR(VLOOKUP(Tabla14[[#This Row],[Llave]],'[13]Base ultimos planes'!$O:$AA,9,FALSE),0)</f>
        <v>0</v>
      </c>
      <c r="BQ243" s="20">
        <f>IFERROR(VLOOKUP(Tabla14[[#This Row],[Llave]],'[13]Base ultimos planes'!$O:$AA,10,FALSE),0)</f>
        <v>0</v>
      </c>
      <c r="BR243" s="20">
        <f>IFERROR(VLOOKUP(Tabla14[[#This Row],[Llave]],'[13]Base ultimos planes'!$O:$AA,11,FALSE),0)</f>
        <v>0</v>
      </c>
      <c r="BS243" s="20">
        <f>IFERROR(VLOOKUP(Tabla14[[#This Row],[Llave]],'[13]Base ultimos planes'!$O:$AA,12,FALSE),0)</f>
        <v>0</v>
      </c>
      <c r="BT243" s="20">
        <f>IFERROR(VLOOKUP(Tabla14[[#This Row],[Llave]],'[13]Base ultimos planes'!$O:$AA,13,FALSE),0)</f>
        <v>0</v>
      </c>
      <c r="BU243" s="20"/>
      <c r="BV243" s="20">
        <f>Tabla14[[#This Row],[ RV Producción mes n+1]]-Tabla14[[#This Row],[Producción disponible]]+Tabla14[[#This Row],[Saldo Volumen disponible]]</f>
        <v>14609</v>
      </c>
      <c r="BW243" s="20">
        <f>IFERROR(VLOOKUP(Tabla14[[#This Row],[Llave]],[14]Hoja2!$J:$N,4,FALSE),0)</f>
        <v>0</v>
      </c>
      <c r="BX243" s="20">
        <f>+Tabla14[[#This Row],[Asignación mes n+1]]*Tabla14[[#This Row],[% Uti. producción]]</f>
        <v>0</v>
      </c>
      <c r="BY243" s="20">
        <f>+Tabla14[[#This Row],[Ponderación mes n+1]]+Tabla14[[#This Row],[Saldo mes n-1]]</f>
        <v>14609</v>
      </c>
      <c r="BZ243" s="20">
        <f>+Tabla14[[#This Row],[Asignación mes n+1]]-Tabla14[[#This Row],[Ponderación mes n+1]]</f>
        <v>0</v>
      </c>
      <c r="CA243" s="20">
        <f>IFERROR(VLOOKUP(Tabla14[[#This Row],[Llave]],[14]Hoja2!$J:$N,5,FALSE),0)</f>
        <v>0</v>
      </c>
      <c r="CB243" s="20">
        <f>+Tabla14[[#This Row],[Asignación mes n+2]]*Tabla14[[#This Row],[% Uti. producción]]</f>
        <v>0</v>
      </c>
      <c r="CC243" s="20">
        <f>+Tabla14[[#This Row],[Saldo mes n+2]]+Tabla14[[#This Row],[Ponderación mes n+2]]</f>
        <v>0</v>
      </c>
      <c r="CD243" s="20">
        <f>+Tabla14[[#This Row],[Asignación mes n+2]]-Tabla14[[#This Row],[Ponderación mes n+2]]</f>
        <v>0</v>
      </c>
    </row>
    <row r="244" spans="1:82" ht="16" x14ac:dyDescent="0.2">
      <c r="A244">
        <v>2</v>
      </c>
      <c r="B244" t="str">
        <f>Tabla14[[#This Row],[Oficina]]&amp;Tabla14[[#This Row],[Material]]</f>
        <v>Agrosuper Shanghai1012312</v>
      </c>
      <c r="C244" t="s">
        <v>227</v>
      </c>
      <c r="D244" t="s">
        <v>140</v>
      </c>
      <c r="E244">
        <v>1012312</v>
      </c>
      <c r="F244" t="s">
        <v>267</v>
      </c>
      <c r="G244" t="s">
        <v>266</v>
      </c>
      <c r="H244" t="s">
        <v>266</v>
      </c>
      <c r="I244" s="7">
        <f>IFERROR(IF(Tabla14[[#This Row],[Oficina]]=$I$7,VLOOKUP(Tabla14[[#This Row],[Material]],'[6]RV Producción'!$Y:$AA,3,FALSE),VLOOKUP(Tabla14[[#This Row],[Llave]],'[6]RV Producción'!$C:$G,5,FALSE)),0)</f>
        <v>0</v>
      </c>
      <c r="J244" s="7">
        <f>IFERROR(IF(Tabla14[[#This Row],[Oficina]]=$I$7,VLOOKUP(Tabla14[[#This Row],[Llave]],'[7]Shangai (Tomas)'!$A:$F,6,FALSE),VLOOKUP(Tabla14[[#This Row],[Llave]],'[6]RV plan de ventas'!$A:$E,5,FALSE)),0)</f>
        <v>0</v>
      </c>
      <c r="K244" s="8">
        <f>IFERROR(VLOOKUP(Tabla14[[#This Row],[Sector]]&amp;Tabla14[[#This Row],[Oficina]],[8]Ponderación!$A$3:$G$22,7,FALSE),0)</f>
        <v>0.47745072632608576</v>
      </c>
      <c r="L244" s="7">
        <f>+Tabla14[[#This Row],[ RV Producción mes n+1]]*Tabla14[[#This Row],[% Uti. producción]]</f>
        <v>0</v>
      </c>
      <c r="M244" s="7">
        <f>IFERROR(VLOOKUP(Tabla14[[#This Row],[Material]],'[9]TD Stock'!$B:$C,2,FALSE),0)</f>
        <v>0</v>
      </c>
      <c r="N244" s="7">
        <f>IFERROR(VLOOKUP(Tabla14[[#This Row],[Material]],'[10]Consolidado planificación'!$B:$C,2,FALSE),0)</f>
        <v>0</v>
      </c>
      <c r="O244" s="7">
        <f>IFERROR(VLOOKUP(Tabla14[[#This Row],[Llave]],[11]Hoja2!$D:$G,4,FALSE),0)</f>
        <v>0</v>
      </c>
      <c r="P244" s="14">
        <f>SUM(Tabla14[[#This Row],[Producción disponible]],Tabla14[[#This Row],[Stock al día]],(Tabla14[[#This Row],[Por producir mes N]]*0.9))-Tabla14[[#This Row],[Producción por despachar mes N]]</f>
        <v>0</v>
      </c>
      <c r="Q244" s="7">
        <f>IFERROR(VLOOKUP(Tabla14[[#This Row],[Llave]],[9]DELAY!$A:$D,4,FALSE),0)</f>
        <v>0</v>
      </c>
      <c r="R244" s="9">
        <v>23000</v>
      </c>
      <c r="S244" s="5">
        <f t="shared" si="8"/>
        <v>0</v>
      </c>
      <c r="T244" s="76">
        <v>0</v>
      </c>
      <c r="U244" s="5">
        <f>+Tabla14[[#This Row],[Atraso a facturar]]+Tabla14[[#This Row],[Ajuste atraso]]</f>
        <v>0</v>
      </c>
      <c r="V244" s="3">
        <f>+Tabla14[[#This Row],[Total disponible]]-Tabla14[[#This Row],[Facturación atraso]]</f>
        <v>0</v>
      </c>
      <c r="W244" s="6">
        <f>IFERROR(IF(AND(V244&gt;R244,J244&gt;=R244),ROUNDDOWN((Tabla14[[#This Row],[Producción para venta nueva]])/R244,0)*R244,0),0)</f>
        <v>0</v>
      </c>
      <c r="X244" s="76">
        <v>0</v>
      </c>
      <c r="Y244" s="6">
        <f>IF(Tabla14[[#This Row],[Venta del mes]]&gt;0,Tabla14[[#This Row],[Venta del mes]]+Tabla14[[#This Row],[Ajuste venta nueva]],0)</f>
        <v>0</v>
      </c>
      <c r="Z244" s="6">
        <f>+Tabla14[[#This Row],[Producción para venta nueva]]-Tabla14[[#This Row],[Facturación Venta nueva]]</f>
        <v>0</v>
      </c>
      <c r="AA244" s="6">
        <f>IF(AND(A244=1,Tabla14[[#This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4" s="6">
        <v>0</v>
      </c>
      <c r="AC244" s="6">
        <f>IF(Tabla14[[#This Row],[Disponible stock sin venta]]&gt;0,Tabla14[[#This Row],[Disponible stock sin venta]]+Tabla14[[#This Row],[Ajuste stock sin venta]],0)</f>
        <v>0</v>
      </c>
      <c r="AD244" s="3">
        <f>IFERROR(VLOOKUP(Tabla14[[#This Row],[Llave]],[12]Hoja1!$A:$D,4,FALSE),0)</f>
        <v>0</v>
      </c>
      <c r="AE24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44" s="3">
        <v>0</v>
      </c>
      <c r="AG244" s="3">
        <f>+Tabla14[[#This Row],[En puerto a facturar]]</f>
        <v>0</v>
      </c>
      <c r="AH244" s="3">
        <f>+Tabla14[[#This Row],[Facturación atraso]]</f>
        <v>0</v>
      </c>
      <c r="AI244" s="3">
        <f>+Tabla14[[#This Row],[Plan Irrestricto (DATO)]]-Tabla14[[#This Row],[Puerto ]]-Tabla14[[#This Row],[Atraso]]</f>
        <v>0</v>
      </c>
      <c r="AJ24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44" s="3">
        <f>+Tabla14[[#This Row],[Facturación atraso]]</f>
        <v>0</v>
      </c>
      <c r="AL244" s="3">
        <f>Tabla14[[#This Row],[Plan Ajustado]]-Tabla14[[#This Row],[ Atraso ajustado]]-Tabla14[[#This Row],[En puerto a facturar]]</f>
        <v>0</v>
      </c>
      <c r="AM244" s="3">
        <v>0</v>
      </c>
      <c r="AN244" s="3"/>
      <c r="AO244" s="3" t="str">
        <f>IF(Tabla14[[#This Row],[Plan Ajustado]]&gt;Tabla14[[#This Row],[En puerto a facturar]],"Si","No")</f>
        <v>No</v>
      </c>
      <c r="AP24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44" s="3">
        <f>IF(Tabla14[[#This Row],[Necesidad]]&gt;=Tabla14[[#This Row],[Stock al día]],Tabla14[[#This Row],[Stock al día]],Tabla14[[#This Row],[Necesidad]])</f>
        <v>0</v>
      </c>
      <c r="AR244" s="3">
        <f>+Tabla14[[#This Row],[Necesidad]]-Tabla14[[#This Row],[Stock Plan]]</f>
        <v>0</v>
      </c>
      <c r="AS244" s="155">
        <f>VLOOKUP(Tabla14[[#This Row],[Sector]]&amp;Tabla14[[#This Row],[Oficina]],[8]Ponderación!$A:$H,8,FALSE)</f>
        <v>44817</v>
      </c>
      <c r="AT244" s="30">
        <f>IFERROR(VLOOKUP(Tabla14[[#This Row],[Llave]],'[6]RV plan de ventas'!$A:$F,6,FALSE),0)</f>
        <v>0</v>
      </c>
      <c r="AU244" s="83">
        <f>IFERROR(VLOOKUP(Tabla14[[#This Row],[Llave]],[9]DELAY!$H:$X,17,FALSE),0)</f>
        <v>0</v>
      </c>
      <c r="AV24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44" s="5">
        <f>Tabla14[[#This Row],[Pecio plan]]*Tabla14[[#This Row],[Plan Ajustado]]</f>
        <v>0</v>
      </c>
      <c r="AX244" s="30">
        <f>IFERROR(VLOOKUP(Tabla14[[#This Row],[Llave]],'[13]Ultimos precios facturados'!$A:$G,7,FALSE),0)</f>
        <v>0</v>
      </c>
      <c r="AY24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44" s="30">
        <f>IFERROR(VLOOKUP(Tabla14[[#This Row],[Llave]],Hoja2!B:K,10,FALSE),0)</f>
        <v>0</v>
      </c>
      <c r="BA24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44" s="30">
        <v>0</v>
      </c>
      <c r="BC244" s="30">
        <f>IF(Tabla14[[#This Row],[Market]]=0,Tabla14[[#This Row],[Precio Final]],Tabla14[[#This Row],[Market]])</f>
        <v>0</v>
      </c>
      <c r="BD244" s="82"/>
      <c r="BE244" s="82" t="str">
        <f>IF(AND(Tabla14[[#This Row],[Atraso a facturar]]&gt;0,Tabla14[[#This Row],[En puerto a facturar]]&gt;0,Tabla14[[#This Row],[Precio Atraso]]=0),"Revisar","OK")</f>
        <v>OK</v>
      </c>
      <c r="BF244" s="82" t="str">
        <f>IF(AND(Tabla14[[#This Row],[Venta del mes]]&gt;0,Tabla14[[#This Row],[Precio venta nueva]]=0),"Revisar","OK")</f>
        <v>OK</v>
      </c>
      <c r="BG244" s="20">
        <f>IFERROR(VLOOKUP(Tabla14[[#This Row],[Llave]],'[5]Consolidación planes'!$A:$M,9,FALSE),0)</f>
        <v>0</v>
      </c>
      <c r="BH244" s="20">
        <f>IFERROR(VLOOKUP(Tabla14[[#This Row],[Llave]],'[5]Consolidación planes'!$A:$M,10,FALSE),0)</f>
        <v>0</v>
      </c>
      <c r="BI244" s="20">
        <f>IFERROR(VLOOKUP(Tabla14[[#This Row],[Llave]],'[5]Consolidación planes'!$A:$M,11,FALSE),0)</f>
        <v>0</v>
      </c>
      <c r="BJ244" s="20">
        <f>IFERROR(VLOOKUP(Tabla14[[#This Row],[Llave]],'[5]Consolidación planes'!$A:$M,12,FALSE),0)</f>
        <v>0</v>
      </c>
      <c r="BK244" s="20">
        <f>IFERROR(VLOOKUP(Tabla14[[#This Row],[Llave]],'[5]Consolidación planes'!$A:$M,13,FALSE),0)</f>
        <v>0</v>
      </c>
      <c r="BL244" s="20">
        <f>IFERROR(VLOOKUP(Tabla14[[#This Row],[Llave]],'[13]Base ultimos planes'!$A:$M,13,FALSE),0)</f>
        <v>0</v>
      </c>
      <c r="BM244" s="20">
        <f>IFERROR(VLOOKUP(Tabla14[[#This Row],[Llave]],'[13]Cruce plan irrestricto'!$C:$M,10,FALSE),0)</f>
        <v>0</v>
      </c>
      <c r="BN244" s="20">
        <f>IFERROR(VLOOKUP(Tabla14[[#This Row],[Llave]],'[13]Cruce plan irrestricto'!$C:$M,11,FALSE),0)</f>
        <v>0</v>
      </c>
      <c r="BO244" s="80">
        <f>IFERROR(VLOOKUP(Tabla14[[#This Row],[Llave]],'[13]Base ultimos planes'!$O:$AA,8,FALSE),0)</f>
        <v>0</v>
      </c>
      <c r="BP244" s="20">
        <f>IFERROR(VLOOKUP(Tabla14[[#This Row],[Llave]],'[13]Base ultimos planes'!$O:$AA,9,FALSE),0)</f>
        <v>0</v>
      </c>
      <c r="BQ244" s="20">
        <f>IFERROR(VLOOKUP(Tabla14[[#This Row],[Llave]],'[13]Base ultimos planes'!$O:$AA,10,FALSE),0)</f>
        <v>0</v>
      </c>
      <c r="BR244" s="20">
        <f>IFERROR(VLOOKUP(Tabla14[[#This Row],[Llave]],'[13]Base ultimos planes'!$O:$AA,11,FALSE),0)</f>
        <v>0</v>
      </c>
      <c r="BS244" s="20">
        <f>IFERROR(VLOOKUP(Tabla14[[#This Row],[Llave]],'[13]Base ultimos planes'!$O:$AA,12,FALSE),0)</f>
        <v>0</v>
      </c>
      <c r="BT244" s="20">
        <f>IFERROR(VLOOKUP(Tabla14[[#This Row],[Llave]],'[13]Base ultimos planes'!$O:$AA,13,FALSE),0)</f>
        <v>0</v>
      </c>
      <c r="BU244" s="20"/>
      <c r="BV244" s="20">
        <f>Tabla14[[#This Row],[ RV Producción mes n+1]]-Tabla14[[#This Row],[Producción disponible]]+Tabla14[[#This Row],[Saldo Volumen disponible]]</f>
        <v>0</v>
      </c>
      <c r="BW244" s="20">
        <f>IFERROR(VLOOKUP(Tabla14[[#This Row],[Llave]],[14]Hoja2!$J:$N,4,FALSE),0)</f>
        <v>0</v>
      </c>
      <c r="BX244" s="20">
        <f>+Tabla14[[#This Row],[Asignación mes n+1]]*Tabla14[[#This Row],[% Uti. producción]]</f>
        <v>0</v>
      </c>
      <c r="BY244" s="20">
        <f>+Tabla14[[#This Row],[Ponderación mes n+1]]+Tabla14[[#This Row],[Saldo mes n-1]]</f>
        <v>0</v>
      </c>
      <c r="BZ244" s="20">
        <f>+Tabla14[[#This Row],[Asignación mes n+1]]-Tabla14[[#This Row],[Ponderación mes n+1]]</f>
        <v>0</v>
      </c>
      <c r="CA244" s="20">
        <f>IFERROR(VLOOKUP(Tabla14[[#This Row],[Llave]],[14]Hoja2!$J:$N,5,FALSE),0)</f>
        <v>0</v>
      </c>
      <c r="CB244" s="20">
        <f>+Tabla14[[#This Row],[Asignación mes n+2]]*Tabla14[[#This Row],[% Uti. producción]]</f>
        <v>0</v>
      </c>
      <c r="CC244" s="20">
        <f>+Tabla14[[#This Row],[Saldo mes n+2]]+Tabla14[[#This Row],[Ponderación mes n+2]]</f>
        <v>0</v>
      </c>
      <c r="CD244" s="20">
        <f>+Tabla14[[#This Row],[Asignación mes n+2]]-Tabla14[[#This Row],[Ponderación mes n+2]]</f>
        <v>0</v>
      </c>
    </row>
    <row r="245" spans="1:82" ht="16" x14ac:dyDescent="0.2">
      <c r="A245">
        <v>2</v>
      </c>
      <c r="B245" t="str">
        <f>Tabla14[[#This Row],[Oficina]]&amp;Tabla14[[#This Row],[Material]]</f>
        <v>Agrosuper Shanghai1012448</v>
      </c>
      <c r="C245" t="s">
        <v>227</v>
      </c>
      <c r="D245" t="s">
        <v>140</v>
      </c>
      <c r="E245">
        <v>1012448</v>
      </c>
      <c r="F245" t="s">
        <v>271</v>
      </c>
      <c r="G245" t="s">
        <v>268</v>
      </c>
      <c r="H245" t="s">
        <v>269</v>
      </c>
      <c r="I245" s="7">
        <f>IFERROR(IF(Tabla14[[#This Row],[Oficina]]=$I$7,VLOOKUP(Tabla14[[#This Row],[Material]],'[6]RV Producción'!$Y:$AA,3,FALSE),VLOOKUP(Tabla14[[#This Row],[Llave]],'[6]RV Producción'!$C:$G,5,FALSE)),0)</f>
        <v>267290</v>
      </c>
      <c r="J245" s="7">
        <f>IFERROR(IF(Tabla14[[#This Row],[Oficina]]=$I$7,VLOOKUP(Tabla14[[#This Row],[Llave]],'[7]Shangai (Tomas)'!$A:$F,6,FALSE),VLOOKUP(Tabla14[[#This Row],[Llave]],'[6]RV plan de ventas'!$A:$E,5,FALSE)),0)</f>
        <v>0</v>
      </c>
      <c r="K245" s="8">
        <f>IFERROR(VLOOKUP(Tabla14[[#This Row],[Sector]]&amp;Tabla14[[#This Row],[Oficina]],[8]Ponderación!$A$3:$G$22,7,FALSE),0)</f>
        <v>0.47745072632608576</v>
      </c>
      <c r="L245" s="7">
        <f>+Tabla14[[#This Row],[ RV Producción mes n+1]]*Tabla14[[#This Row],[% Uti. producción]]</f>
        <v>127617.80463969946</v>
      </c>
      <c r="M245" s="7">
        <f>IFERROR(VLOOKUP(Tabla14[[#This Row],[Material]],'[9]TD Stock'!$B:$C,2,FALSE),0)</f>
        <v>31500</v>
      </c>
      <c r="N245" s="7">
        <f>IFERROR(VLOOKUP(Tabla14[[#This Row],[Material]],'[10]Consolidado planificación'!$B:$C,2,FALSE),0)</f>
        <v>74785</v>
      </c>
      <c r="O245" s="7">
        <f>IFERROR(VLOOKUP(Tabla14[[#This Row],[Llave]],[11]Hoja2!$D:$G,4,FALSE),0)</f>
        <v>0</v>
      </c>
      <c r="P245" s="14">
        <f>SUM(Tabla14[[#This Row],[Producción disponible]],Tabla14[[#This Row],[Stock al día]],(Tabla14[[#This Row],[Por producir mes N]]*0.9))-Tabla14[[#This Row],[Producción por despachar mes N]]</f>
        <v>226424.30463969946</v>
      </c>
      <c r="Q245" s="7">
        <f>IFERROR(VLOOKUP(Tabla14[[#This Row],[Llave]],[9]DELAY!$A:$D,4,FALSE),0)</f>
        <v>0</v>
      </c>
      <c r="R245" s="9">
        <v>23000</v>
      </c>
      <c r="S245" s="5">
        <f t="shared" si="8"/>
        <v>0</v>
      </c>
      <c r="T245" s="76">
        <v>0</v>
      </c>
      <c r="U245" s="5">
        <f>+Tabla14[[#This Row],[Atraso a facturar]]+Tabla14[[#This Row],[Ajuste atraso]]</f>
        <v>0</v>
      </c>
      <c r="V245" s="3">
        <f>+Tabla14[[#This Row],[Total disponible]]-Tabla14[[#This Row],[Facturación atraso]]</f>
        <v>226424.30463969946</v>
      </c>
      <c r="W245" s="6">
        <f>IFERROR(IF(AND(V245&gt;R245,J245&gt;=R245),ROUNDDOWN((Tabla14[[#This Row],[Producción para venta nueva]])/R245,0)*R245,0),0)</f>
        <v>0</v>
      </c>
      <c r="X245" s="76">
        <v>0</v>
      </c>
      <c r="Y245" s="6">
        <f>IF(Tabla14[[#This Row],[Venta del mes]]&gt;0,Tabla14[[#This Row],[Venta del mes]]+Tabla14[[#This Row],[Ajuste venta nueva]],0)</f>
        <v>0</v>
      </c>
      <c r="Z245" s="6">
        <f>+Tabla14[[#This Row],[Producción para venta nueva]]-Tabla14[[#This Row],[Facturación Venta nueva]]</f>
        <v>226424.30463969946</v>
      </c>
      <c r="AA245" s="6">
        <f>IF(AND(A245=1,Tabla14[[#This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5" s="6">
        <v>0</v>
      </c>
      <c r="AC245" s="6">
        <f>IF(Tabla14[[#This Row],[Disponible stock sin venta]]&gt;0,Tabla14[[#This Row],[Disponible stock sin venta]]+Tabla14[[#This Row],[Ajuste stock sin venta]],0)</f>
        <v>0</v>
      </c>
      <c r="AD245" s="3">
        <f>IFERROR(VLOOKUP(Tabla14[[#This Row],[Llave]],[12]Hoja1!$A:$D,4,FALSE),0)</f>
        <v>0</v>
      </c>
      <c r="AE24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45" s="3">
        <v>0</v>
      </c>
      <c r="AG245" s="3">
        <f>+Tabla14[[#This Row],[En puerto a facturar]]</f>
        <v>0</v>
      </c>
      <c r="AH245" s="3">
        <f>+Tabla14[[#This Row],[Facturación atraso]]</f>
        <v>0</v>
      </c>
      <c r="AI245" s="3">
        <f>+Tabla14[[#This Row],[Plan Irrestricto (DATO)]]-Tabla14[[#This Row],[Puerto ]]-Tabla14[[#This Row],[Atraso]]</f>
        <v>0</v>
      </c>
      <c r="AJ24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45" s="3">
        <f>+Tabla14[[#This Row],[Facturación atraso]]</f>
        <v>0</v>
      </c>
      <c r="AL245" s="3">
        <f>Tabla14[[#This Row],[Plan Ajustado]]-Tabla14[[#This Row],[ Atraso ajustado]]-Tabla14[[#This Row],[En puerto a facturar]]</f>
        <v>0</v>
      </c>
      <c r="AM245" s="3">
        <v>0</v>
      </c>
      <c r="AN245" s="3"/>
      <c r="AO245" s="3" t="str">
        <f>IF(Tabla14[[#This Row],[Plan Ajustado]]&gt;Tabla14[[#This Row],[En puerto a facturar]],"Si","No")</f>
        <v>No</v>
      </c>
      <c r="AP24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45" s="3">
        <f>IF(Tabla14[[#This Row],[Necesidad]]&gt;=Tabla14[[#This Row],[Stock al día]],Tabla14[[#This Row],[Stock al día]],Tabla14[[#This Row],[Necesidad]])</f>
        <v>0</v>
      </c>
      <c r="AR245" s="3">
        <f>+Tabla14[[#This Row],[Necesidad]]-Tabla14[[#This Row],[Stock Plan]]</f>
        <v>0</v>
      </c>
      <c r="AS245" s="155">
        <f>VLOOKUP(Tabla14[[#This Row],[Sector]]&amp;Tabla14[[#This Row],[Oficina]],[8]Ponderación!$A:$H,8,FALSE)</f>
        <v>44817</v>
      </c>
      <c r="AT245" s="30">
        <f>IFERROR(VLOOKUP(Tabla14[[#This Row],[Llave]],'[6]RV plan de ventas'!$A:$F,6,FALSE),0)</f>
        <v>0</v>
      </c>
      <c r="AU245" s="83">
        <f>IFERROR(VLOOKUP(Tabla14[[#This Row],[Llave]],[9]DELAY!$H:$X,17,FALSE),0)</f>
        <v>0</v>
      </c>
      <c r="AV24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45" s="5">
        <f>Tabla14[[#This Row],[Pecio plan]]*Tabla14[[#This Row],[Plan Ajustado]]</f>
        <v>0</v>
      </c>
      <c r="AX245" s="30">
        <f>IFERROR(VLOOKUP(Tabla14[[#This Row],[Llave]],'[13]Ultimos precios facturados'!$A:$G,7,FALSE),0)</f>
        <v>5.330158672610315</v>
      </c>
      <c r="AY24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45" s="30">
        <f>IFERROR(VLOOKUP(Tabla14[[#This Row],[Llave]],Hoja2!B:K,10,FALSE),0)</f>
        <v>0</v>
      </c>
      <c r="BA24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45" s="30">
        <v>0</v>
      </c>
      <c r="BC245" s="30">
        <f>IF(Tabla14[[#This Row],[Market]]=0,Tabla14[[#This Row],[Precio Final]],Tabla14[[#This Row],[Market]])</f>
        <v>0</v>
      </c>
      <c r="BD245" s="82"/>
      <c r="BE245" s="82" t="str">
        <f>IF(AND(Tabla14[[#This Row],[Atraso a facturar]]&gt;0,Tabla14[[#This Row],[En puerto a facturar]]&gt;0,Tabla14[[#This Row],[Precio Atraso]]=0),"Revisar","OK")</f>
        <v>OK</v>
      </c>
      <c r="BF245" s="82" t="str">
        <f>IF(AND(Tabla14[[#This Row],[Venta del mes]]&gt;0,Tabla14[[#This Row],[Precio venta nueva]]=0),"Revisar","OK")</f>
        <v>OK</v>
      </c>
      <c r="BG245" s="20">
        <f>IFERROR(VLOOKUP(Tabla14[[#This Row],[Llave]],'[5]Consolidación planes'!$A:$M,9,FALSE),0)</f>
        <v>168000</v>
      </c>
      <c r="BH245" s="20">
        <f>IFERROR(VLOOKUP(Tabla14[[#This Row],[Llave]],'[5]Consolidación planes'!$A:$M,10,FALSE),0)</f>
        <v>144000</v>
      </c>
      <c r="BI245" s="20">
        <f>IFERROR(VLOOKUP(Tabla14[[#This Row],[Llave]],'[5]Consolidación planes'!$A:$M,11,FALSE),0)</f>
        <v>96000</v>
      </c>
      <c r="BJ245" s="20">
        <f>IFERROR(VLOOKUP(Tabla14[[#This Row],[Llave]],'[5]Consolidación planes'!$A:$M,12,FALSE),0)</f>
        <v>144000</v>
      </c>
      <c r="BK245" s="20">
        <f>IFERROR(VLOOKUP(Tabla14[[#This Row],[Llave]],'[5]Consolidación planes'!$A:$M,13,FALSE),0)</f>
        <v>168000</v>
      </c>
      <c r="BL245" s="20">
        <f>IFERROR(VLOOKUP(Tabla14[[#This Row],[Llave]],'[13]Base ultimos planes'!$A:$M,13,FALSE),0)</f>
        <v>96000</v>
      </c>
      <c r="BM245" s="20">
        <f>IFERROR(VLOOKUP(Tabla14[[#This Row],[Llave]],'[13]Cruce plan irrestricto'!$C:$M,10,FALSE),0)</f>
        <v>240000</v>
      </c>
      <c r="BN245" s="20">
        <f>IFERROR(VLOOKUP(Tabla14[[#This Row],[Llave]],'[13]Cruce plan irrestricto'!$C:$M,11,FALSE),0)</f>
        <v>263035</v>
      </c>
      <c r="BO245" s="80">
        <f>IFERROR(VLOOKUP(Tabla14[[#This Row],[Llave]],'[13]Base ultimos planes'!$O:$AA,8,FALSE),0)</f>
        <v>609560</v>
      </c>
      <c r="BP245" s="20">
        <f>IFERROR(VLOOKUP(Tabla14[[#This Row],[Llave]],'[13]Base ultimos planes'!$O:$AA,9,FALSE),0)</f>
        <v>518400</v>
      </c>
      <c r="BQ245" s="20">
        <f>IFERROR(VLOOKUP(Tabla14[[#This Row],[Llave]],'[13]Base ultimos planes'!$O:$AA,10,FALSE),0)</f>
        <v>393600</v>
      </c>
      <c r="BR245" s="20">
        <f>IFERROR(VLOOKUP(Tabla14[[#This Row],[Llave]],'[13]Base ultimos planes'!$O:$AA,11,FALSE),0)</f>
        <v>661338</v>
      </c>
      <c r="BS245" s="20">
        <f>IFERROR(VLOOKUP(Tabla14[[#This Row],[Llave]],'[13]Base ultimos planes'!$O:$AA,12,FALSE),0)</f>
        <v>885718</v>
      </c>
      <c r="BT245" s="20">
        <f>IFERROR(VLOOKUP(Tabla14[[#This Row],[Llave]],'[13]Base ultimos planes'!$O:$AA,13,FALSE),0)</f>
        <v>532800</v>
      </c>
      <c r="BU245" s="20"/>
      <c r="BV245" s="20">
        <f>Tabla14[[#This Row],[ RV Producción mes n+1]]-Tabla14[[#This Row],[Producción disponible]]+Tabla14[[#This Row],[Saldo Volumen disponible]]</f>
        <v>366096.5</v>
      </c>
      <c r="BW245" s="20">
        <f>IFERROR(VLOOKUP(Tabla14[[#This Row],[Llave]],[14]Hoja2!$J:$N,4,FALSE),0)</f>
        <v>0</v>
      </c>
      <c r="BX245" s="20">
        <f>+Tabla14[[#This Row],[Asignación mes n+1]]*Tabla14[[#This Row],[% Uti. producción]]</f>
        <v>0</v>
      </c>
      <c r="BY245" s="20">
        <f>+Tabla14[[#This Row],[Ponderación mes n+1]]+Tabla14[[#This Row],[Saldo mes n-1]]</f>
        <v>366096.5</v>
      </c>
      <c r="BZ245" s="20">
        <f>+Tabla14[[#This Row],[Asignación mes n+1]]-Tabla14[[#This Row],[Ponderación mes n+1]]</f>
        <v>0</v>
      </c>
      <c r="CA245" s="20">
        <f>IFERROR(VLOOKUP(Tabla14[[#This Row],[Llave]],[14]Hoja2!$J:$N,5,FALSE),0)</f>
        <v>0</v>
      </c>
      <c r="CB245" s="20">
        <f>+Tabla14[[#This Row],[Asignación mes n+2]]*Tabla14[[#This Row],[% Uti. producción]]</f>
        <v>0</v>
      </c>
      <c r="CC245" s="20">
        <f>+Tabla14[[#This Row],[Saldo mes n+2]]+Tabla14[[#This Row],[Ponderación mes n+2]]</f>
        <v>0</v>
      </c>
      <c r="CD245" s="20">
        <f>+Tabla14[[#This Row],[Asignación mes n+2]]-Tabla14[[#This Row],[Ponderación mes n+2]]</f>
        <v>0</v>
      </c>
    </row>
    <row r="246" spans="1:82" ht="16" x14ac:dyDescent="0.2">
      <c r="A246">
        <v>2</v>
      </c>
      <c r="B246" t="str">
        <f>Tabla14[[#This Row],[Oficina]]&amp;Tabla14[[#This Row],[Material]]</f>
        <v>Agrosuper Shanghai1012452</v>
      </c>
      <c r="C246" t="s">
        <v>227</v>
      </c>
      <c r="D246" t="s">
        <v>140</v>
      </c>
      <c r="E246">
        <v>1012452</v>
      </c>
      <c r="F246" t="s">
        <v>263</v>
      </c>
      <c r="G246" t="s">
        <v>205</v>
      </c>
      <c r="H246" t="s">
        <v>231</v>
      </c>
      <c r="I246" s="7">
        <f>IFERROR(IF(Tabla14[[#This Row],[Oficina]]=$I$7,VLOOKUP(Tabla14[[#This Row],[Material]],'[6]RV Producción'!$Y:$AA,3,FALSE),VLOOKUP(Tabla14[[#This Row],[Llave]],'[6]RV Producción'!$C:$G,5,FALSE)),0)</f>
        <v>12346</v>
      </c>
      <c r="J246" s="7">
        <f>IFERROR(IF(Tabla14[[#This Row],[Oficina]]=$I$7,VLOOKUP(Tabla14[[#This Row],[Llave]],'[7]Shangai (Tomas)'!$A:$F,6,FALSE),VLOOKUP(Tabla14[[#This Row],[Llave]],'[6]RV plan de ventas'!$A:$E,5,FALSE)),0)</f>
        <v>0</v>
      </c>
      <c r="K246" s="8">
        <f>IFERROR(VLOOKUP(Tabla14[[#This Row],[Sector]]&amp;Tabla14[[#This Row],[Oficina]],[8]Ponderación!$A$3:$G$22,7,FALSE),0)</f>
        <v>0.47745072632608576</v>
      </c>
      <c r="L246" s="7">
        <f>+Tabla14[[#This Row],[ RV Producción mes n+1]]*Tabla14[[#This Row],[% Uti. producción]]</f>
        <v>5894.6066672218549</v>
      </c>
      <c r="M246" s="7">
        <f>IFERROR(VLOOKUP(Tabla14[[#This Row],[Material]],'[9]TD Stock'!$B:$C,2,FALSE),0)</f>
        <v>16943.279999999995</v>
      </c>
      <c r="N246" s="7">
        <f>IFERROR(VLOOKUP(Tabla14[[#This Row],[Material]],'[10]Consolidado planificación'!$B:$C,2,FALSE),0)</f>
        <v>8000</v>
      </c>
      <c r="O246" s="7">
        <f>IFERROR(VLOOKUP(Tabla14[[#This Row],[Llave]],[11]Hoja2!$D:$G,4,FALSE),0)</f>
        <v>0</v>
      </c>
      <c r="P246" s="14">
        <f>SUM(Tabla14[[#This Row],[Producción disponible]],Tabla14[[#This Row],[Stock al día]],(Tabla14[[#This Row],[Por producir mes N]]*0.9))-Tabla14[[#This Row],[Producción por despachar mes N]]</f>
        <v>30037.88666722185</v>
      </c>
      <c r="Q246" s="7">
        <f>IFERROR(VLOOKUP(Tabla14[[#This Row],[Llave]],[9]DELAY!$A:$D,4,FALSE),0)</f>
        <v>0</v>
      </c>
      <c r="R246" s="9">
        <v>23000</v>
      </c>
      <c r="S246" s="5">
        <f t="shared" si="8"/>
        <v>0</v>
      </c>
      <c r="T246" s="76">
        <v>0</v>
      </c>
      <c r="U246" s="5">
        <f>+Tabla14[[#This Row],[Atraso a facturar]]+Tabla14[[#This Row],[Ajuste atraso]]</f>
        <v>0</v>
      </c>
      <c r="V246" s="3">
        <f>+Tabla14[[#This Row],[Total disponible]]-Tabla14[[#This Row],[Facturación atraso]]</f>
        <v>30037.88666722185</v>
      </c>
      <c r="W246" s="6">
        <f>IFERROR(IF(AND(V246&gt;R246,J246&gt;=R246),ROUNDDOWN((Tabla14[[#This Row],[Producción para venta nueva]])/R246,0)*R246,0),0)</f>
        <v>0</v>
      </c>
      <c r="X246" s="76">
        <v>0</v>
      </c>
      <c r="Y246" s="6">
        <f>IF(Tabla14[[#This Row],[Venta del mes]]&gt;0,Tabla14[[#This Row],[Venta del mes]]+Tabla14[[#This Row],[Ajuste venta nueva]],0)</f>
        <v>0</v>
      </c>
      <c r="Z246" s="6">
        <f>+Tabla14[[#This Row],[Producción para venta nueva]]-Tabla14[[#This Row],[Facturación Venta nueva]]</f>
        <v>30037.88666722185</v>
      </c>
      <c r="AA246" s="6">
        <f>IF(AND(A246=1,Tabla14[[#This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6" s="6">
        <v>0</v>
      </c>
      <c r="AC246" s="6">
        <f>IF(Tabla14[[#This Row],[Disponible stock sin venta]]&gt;0,Tabla14[[#This Row],[Disponible stock sin venta]]+Tabla14[[#This Row],[Ajuste stock sin venta]],0)</f>
        <v>0</v>
      </c>
      <c r="AD246" s="3">
        <f>IFERROR(VLOOKUP(Tabla14[[#This Row],[Llave]],[12]Hoja1!$A:$D,4,FALSE),0)</f>
        <v>0</v>
      </c>
      <c r="AE24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46" s="3">
        <v>0</v>
      </c>
      <c r="AG246" s="3">
        <f>+Tabla14[[#This Row],[En puerto a facturar]]</f>
        <v>0</v>
      </c>
      <c r="AH246" s="3">
        <f>+Tabla14[[#This Row],[Facturación atraso]]</f>
        <v>0</v>
      </c>
      <c r="AI246" s="3">
        <f>+Tabla14[[#This Row],[Plan Irrestricto (DATO)]]-Tabla14[[#This Row],[Puerto ]]-Tabla14[[#This Row],[Atraso]]</f>
        <v>0</v>
      </c>
      <c r="AJ24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46" s="3">
        <f>+Tabla14[[#This Row],[Facturación atraso]]</f>
        <v>0</v>
      </c>
      <c r="AL246" s="3">
        <f>Tabla14[[#This Row],[Plan Ajustado]]-Tabla14[[#This Row],[ Atraso ajustado]]-Tabla14[[#This Row],[En puerto a facturar]]</f>
        <v>0</v>
      </c>
      <c r="AM246" s="3">
        <v>0</v>
      </c>
      <c r="AN246" s="3"/>
      <c r="AO246" s="3" t="str">
        <f>IF(Tabla14[[#This Row],[Plan Ajustado]]&gt;Tabla14[[#This Row],[En puerto a facturar]],"Si","No")</f>
        <v>No</v>
      </c>
      <c r="AP24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46" s="3">
        <f>IF(Tabla14[[#This Row],[Necesidad]]&gt;=Tabla14[[#This Row],[Stock al día]],Tabla14[[#This Row],[Stock al día]],Tabla14[[#This Row],[Necesidad]])</f>
        <v>0</v>
      </c>
      <c r="AR246" s="3">
        <f>+Tabla14[[#This Row],[Necesidad]]-Tabla14[[#This Row],[Stock Plan]]</f>
        <v>0</v>
      </c>
      <c r="AS246" s="155">
        <f>VLOOKUP(Tabla14[[#This Row],[Sector]]&amp;Tabla14[[#This Row],[Oficina]],[8]Ponderación!$A:$H,8,FALSE)</f>
        <v>44817</v>
      </c>
      <c r="AT246" s="30">
        <f>IFERROR(VLOOKUP(Tabla14[[#This Row],[Llave]],'[6]RV plan de ventas'!$A:$F,6,FALSE),0)</f>
        <v>0</v>
      </c>
      <c r="AU246" s="83">
        <f>IFERROR(VLOOKUP(Tabla14[[#This Row],[Llave]],[9]DELAY!$H:$X,17,FALSE),0)</f>
        <v>0</v>
      </c>
      <c r="AV24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46" s="5">
        <f>Tabla14[[#This Row],[Pecio plan]]*Tabla14[[#This Row],[Plan Ajustado]]</f>
        <v>0</v>
      </c>
      <c r="AX246" s="30">
        <f>IFERROR(VLOOKUP(Tabla14[[#This Row],[Llave]],'[13]Ultimos precios facturados'!$A:$G,7,FALSE),0)</f>
        <v>2.5667479499063663</v>
      </c>
      <c r="AY24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46" s="30">
        <f>IFERROR(VLOOKUP(Tabla14[[#This Row],[Llave]],Hoja2!B:K,10,FALSE),0)</f>
        <v>0</v>
      </c>
      <c r="BA24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46" s="30">
        <v>0</v>
      </c>
      <c r="BC246" s="30">
        <f>IF(Tabla14[[#This Row],[Market]]=0,Tabla14[[#This Row],[Precio Final]],Tabla14[[#This Row],[Market]])</f>
        <v>0</v>
      </c>
      <c r="BD246" s="82"/>
      <c r="BE246" s="82" t="str">
        <f>IF(AND(Tabla14[[#This Row],[Atraso a facturar]]&gt;0,Tabla14[[#This Row],[En puerto a facturar]]&gt;0,Tabla14[[#This Row],[Precio Atraso]]=0),"Revisar","OK")</f>
        <v>OK</v>
      </c>
      <c r="BF246" s="82" t="str">
        <f>IF(AND(Tabla14[[#This Row],[Venta del mes]]&gt;0,Tabla14[[#This Row],[Precio venta nueva]]=0),"Revisar","OK")</f>
        <v>OK</v>
      </c>
      <c r="BG246" s="20">
        <f>IFERROR(VLOOKUP(Tabla14[[#This Row],[Llave]],'[5]Consolidación planes'!$A:$M,9,FALSE),0)</f>
        <v>24000</v>
      </c>
      <c r="BH246" s="20">
        <f>IFERROR(VLOOKUP(Tabla14[[#This Row],[Llave]],'[5]Consolidación planes'!$A:$M,10,FALSE),0)</f>
        <v>72000</v>
      </c>
      <c r="BI246" s="20">
        <f>IFERROR(VLOOKUP(Tabla14[[#This Row],[Llave]],'[5]Consolidación planes'!$A:$M,11,FALSE),0)</f>
        <v>37721</v>
      </c>
      <c r="BJ246" s="20">
        <f>IFERROR(VLOOKUP(Tabla14[[#This Row],[Llave]],'[5]Consolidación planes'!$A:$M,12,FALSE),0)</f>
        <v>0</v>
      </c>
      <c r="BK246" s="20">
        <f>IFERROR(VLOOKUP(Tabla14[[#This Row],[Llave]],'[5]Consolidación planes'!$A:$M,13,FALSE),0)</f>
        <v>24000</v>
      </c>
      <c r="BL246" s="20">
        <f>IFERROR(VLOOKUP(Tabla14[[#This Row],[Llave]],'[13]Base ultimos planes'!$A:$M,13,FALSE),0)</f>
        <v>24000</v>
      </c>
      <c r="BM246" s="20">
        <f>IFERROR(VLOOKUP(Tabla14[[#This Row],[Llave]],'[13]Cruce plan irrestricto'!$C:$M,10,FALSE),0)</f>
        <v>24000</v>
      </c>
      <c r="BN246" s="20">
        <f>IFERROR(VLOOKUP(Tabla14[[#This Row],[Llave]],'[13]Cruce plan irrestricto'!$C:$M,11,FALSE),0)</f>
        <v>0</v>
      </c>
      <c r="BO246" s="80">
        <f>IFERROR(VLOOKUP(Tabla14[[#This Row],[Llave]],'[13]Base ultimos planes'!$O:$AA,8,FALSE),0)</f>
        <v>59280</v>
      </c>
      <c r="BP246" s="20">
        <f>IFERROR(VLOOKUP(Tabla14[[#This Row],[Llave]],'[13]Base ultimos planes'!$O:$AA,9,FALSE),0)</f>
        <v>186120</v>
      </c>
      <c r="BQ246" s="20">
        <f>IFERROR(VLOOKUP(Tabla14[[#This Row],[Llave]],'[13]Base ultimos planes'!$O:$AA,10,FALSE),0)</f>
        <v>99961</v>
      </c>
      <c r="BR246" s="20">
        <f>IFERROR(VLOOKUP(Tabla14[[#This Row],[Llave]],'[13]Base ultimos planes'!$O:$AA,11,FALSE),0)</f>
        <v>0</v>
      </c>
      <c r="BS246" s="20">
        <f>IFERROR(VLOOKUP(Tabla14[[#This Row],[Llave]],'[13]Base ultimos planes'!$O:$AA,12,FALSE),0)</f>
        <v>47293</v>
      </c>
      <c r="BT246" s="20">
        <f>IFERROR(VLOOKUP(Tabla14[[#This Row],[Llave]],'[13]Base ultimos planes'!$O:$AA,13,FALSE),0)</f>
        <v>63258</v>
      </c>
      <c r="BU246" s="20"/>
      <c r="BV246" s="20">
        <f>Tabla14[[#This Row],[ RV Producción mes n+1]]-Tabla14[[#This Row],[Producción disponible]]+Tabla14[[#This Row],[Saldo Volumen disponible]]</f>
        <v>36489.279999999999</v>
      </c>
      <c r="BW246" s="20">
        <f>IFERROR(VLOOKUP(Tabla14[[#This Row],[Llave]],[14]Hoja2!$J:$N,4,FALSE),0)</f>
        <v>0</v>
      </c>
      <c r="BX246" s="20">
        <f>+Tabla14[[#This Row],[Asignación mes n+1]]*Tabla14[[#This Row],[% Uti. producción]]</f>
        <v>0</v>
      </c>
      <c r="BY246" s="20">
        <f>+Tabla14[[#This Row],[Ponderación mes n+1]]+Tabla14[[#This Row],[Saldo mes n-1]]</f>
        <v>36489.279999999999</v>
      </c>
      <c r="BZ246" s="20">
        <f>+Tabla14[[#This Row],[Asignación mes n+1]]-Tabla14[[#This Row],[Ponderación mes n+1]]</f>
        <v>0</v>
      </c>
      <c r="CA246" s="20">
        <f>IFERROR(VLOOKUP(Tabla14[[#This Row],[Llave]],[14]Hoja2!$J:$N,5,FALSE),0)</f>
        <v>0</v>
      </c>
      <c r="CB246" s="20">
        <f>+Tabla14[[#This Row],[Asignación mes n+2]]*Tabla14[[#This Row],[% Uti. producción]]</f>
        <v>0</v>
      </c>
      <c r="CC246" s="20">
        <f>+Tabla14[[#This Row],[Saldo mes n+2]]+Tabla14[[#This Row],[Ponderación mes n+2]]</f>
        <v>0</v>
      </c>
      <c r="CD246" s="20">
        <f>+Tabla14[[#This Row],[Asignación mes n+2]]-Tabla14[[#This Row],[Ponderación mes n+2]]</f>
        <v>0</v>
      </c>
    </row>
    <row r="247" spans="1:82" ht="16" x14ac:dyDescent="0.2">
      <c r="A247">
        <v>2</v>
      </c>
      <c r="B247" t="str">
        <f>Tabla14[[#This Row],[Oficina]]&amp;Tabla14[[#This Row],[Material]]</f>
        <v>Agrosuper Shanghai1012455</v>
      </c>
      <c r="C247" t="s">
        <v>227</v>
      </c>
      <c r="D247" t="s">
        <v>140</v>
      </c>
      <c r="E247">
        <v>1012455</v>
      </c>
      <c r="F247" t="s">
        <v>265</v>
      </c>
      <c r="G247" t="s">
        <v>205</v>
      </c>
      <c r="H247" t="s">
        <v>264</v>
      </c>
      <c r="I247" s="7">
        <f>IFERROR(IF(Tabla14[[#This Row],[Oficina]]=$I$7,VLOOKUP(Tabla14[[#This Row],[Material]],'[6]RV Producción'!$Y:$AA,3,FALSE),VLOOKUP(Tabla14[[#This Row],[Llave]],'[6]RV Producción'!$C:$G,5,FALSE)),0)</f>
        <v>157453</v>
      </c>
      <c r="J247" s="7">
        <f>IFERROR(IF(Tabla14[[#This Row],[Oficina]]=$I$7,VLOOKUP(Tabla14[[#This Row],[Llave]],'[7]Shangai (Tomas)'!$A:$F,6,FALSE),VLOOKUP(Tabla14[[#This Row],[Llave]],'[6]RV plan de ventas'!$A:$E,5,FALSE)),0)</f>
        <v>0</v>
      </c>
      <c r="K247" s="8">
        <f>IFERROR(VLOOKUP(Tabla14[[#This Row],[Sector]]&amp;Tabla14[[#This Row],[Oficina]],[8]Ponderación!$A$3:$G$22,7,FALSE),0)</f>
        <v>0.47745072632608576</v>
      </c>
      <c r="L247" s="7">
        <f>+Tabla14[[#This Row],[ RV Producción mes n+1]]*Tabla14[[#This Row],[% Uti. producción]]</f>
        <v>75176.049212221187</v>
      </c>
      <c r="M247" s="7">
        <f>IFERROR(VLOOKUP(Tabla14[[#This Row],[Material]],'[9]TD Stock'!$B:$C,2,FALSE),0)</f>
        <v>30640</v>
      </c>
      <c r="N247" s="7">
        <f>IFERROR(VLOOKUP(Tabla14[[#This Row],[Material]],'[10]Consolidado planificación'!$B:$C,2,FALSE),0)</f>
        <v>3200</v>
      </c>
      <c r="O247" s="7">
        <f>IFERROR(VLOOKUP(Tabla14[[#This Row],[Llave]],[11]Hoja2!$D:$G,4,FALSE),0)</f>
        <v>0</v>
      </c>
      <c r="P247" s="14">
        <f>SUM(Tabla14[[#This Row],[Producción disponible]],Tabla14[[#This Row],[Stock al día]],(Tabla14[[#This Row],[Por producir mes N]]*0.9))-Tabla14[[#This Row],[Producción por despachar mes N]]</f>
        <v>108696.04921222119</v>
      </c>
      <c r="Q247" s="7">
        <f>IFERROR(VLOOKUP(Tabla14[[#This Row],[Llave]],[9]DELAY!$A:$D,4,FALSE),0)</f>
        <v>0</v>
      </c>
      <c r="R247" s="9">
        <v>23000</v>
      </c>
      <c r="S247" s="5">
        <f t="shared" si="8"/>
        <v>0</v>
      </c>
      <c r="T247" s="76">
        <v>0</v>
      </c>
      <c r="U247" s="5">
        <f>+Tabla14[[#This Row],[Atraso a facturar]]+Tabla14[[#This Row],[Ajuste atraso]]</f>
        <v>0</v>
      </c>
      <c r="V247" s="3">
        <f>+Tabla14[[#This Row],[Total disponible]]-Tabla14[[#This Row],[Facturación atraso]]</f>
        <v>108696.04921222119</v>
      </c>
      <c r="W247" s="6">
        <f>IFERROR(IF(AND(V247&gt;R247,J247&gt;=R247),ROUNDDOWN((Tabla14[[#This Row],[Producción para venta nueva]])/R247,0)*R247,0),0)</f>
        <v>0</v>
      </c>
      <c r="X247" s="76">
        <v>0</v>
      </c>
      <c r="Y247" s="6">
        <f>IF(Tabla14[[#This Row],[Venta del mes]]&gt;0,Tabla14[[#This Row],[Venta del mes]]+Tabla14[[#This Row],[Ajuste venta nueva]],0)</f>
        <v>0</v>
      </c>
      <c r="Z247" s="6">
        <f>+Tabla14[[#This Row],[Producción para venta nueva]]-Tabla14[[#This Row],[Facturación Venta nueva]]</f>
        <v>108696.04921222119</v>
      </c>
      <c r="AA247" s="6">
        <f>IF(AND(A247=1,Tabla14[[#This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7" s="6">
        <v>0</v>
      </c>
      <c r="AC247" s="6">
        <f>IF(Tabla14[[#This Row],[Disponible stock sin venta]]&gt;0,Tabla14[[#This Row],[Disponible stock sin venta]]+Tabla14[[#This Row],[Ajuste stock sin venta]],0)</f>
        <v>0</v>
      </c>
      <c r="AD247" s="3">
        <f>IFERROR(VLOOKUP(Tabla14[[#This Row],[Llave]],[12]Hoja1!$A:$D,4,FALSE),0)</f>
        <v>0</v>
      </c>
      <c r="AE24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47" s="3">
        <v>0</v>
      </c>
      <c r="AG247" s="3">
        <f>+Tabla14[[#This Row],[En puerto a facturar]]</f>
        <v>0</v>
      </c>
      <c r="AH247" s="3">
        <f>+Tabla14[[#This Row],[Facturación atraso]]</f>
        <v>0</v>
      </c>
      <c r="AI247" s="3">
        <f>+Tabla14[[#This Row],[Plan Irrestricto (DATO)]]-Tabla14[[#This Row],[Puerto ]]-Tabla14[[#This Row],[Atraso]]</f>
        <v>0</v>
      </c>
      <c r="AJ24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47" s="3">
        <f>+Tabla14[[#This Row],[Facturación atraso]]</f>
        <v>0</v>
      </c>
      <c r="AL247" s="3">
        <f>Tabla14[[#This Row],[Plan Ajustado]]-Tabla14[[#This Row],[ Atraso ajustado]]-Tabla14[[#This Row],[En puerto a facturar]]</f>
        <v>0</v>
      </c>
      <c r="AM247" s="3">
        <v>0</v>
      </c>
      <c r="AN247" s="3"/>
      <c r="AO247" s="3" t="str">
        <f>IF(Tabla14[[#This Row],[Plan Ajustado]]&gt;Tabla14[[#This Row],[En puerto a facturar]],"Si","No")</f>
        <v>No</v>
      </c>
      <c r="AP24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47" s="3">
        <f>IF(Tabla14[[#This Row],[Necesidad]]&gt;=Tabla14[[#This Row],[Stock al día]],Tabla14[[#This Row],[Stock al día]],Tabla14[[#This Row],[Necesidad]])</f>
        <v>0</v>
      </c>
      <c r="AR247" s="3">
        <f>+Tabla14[[#This Row],[Necesidad]]-Tabla14[[#This Row],[Stock Plan]]</f>
        <v>0</v>
      </c>
      <c r="AS247" s="155">
        <f>VLOOKUP(Tabla14[[#This Row],[Sector]]&amp;Tabla14[[#This Row],[Oficina]],[8]Ponderación!$A:$H,8,FALSE)</f>
        <v>44817</v>
      </c>
      <c r="AT247" s="30">
        <f>IFERROR(VLOOKUP(Tabla14[[#This Row],[Llave]],'[6]RV plan de ventas'!$A:$F,6,FALSE),0)</f>
        <v>0</v>
      </c>
      <c r="AU247" s="83">
        <f>IFERROR(VLOOKUP(Tabla14[[#This Row],[Llave]],[9]DELAY!$H:$X,17,FALSE),0)</f>
        <v>0</v>
      </c>
      <c r="AV24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47" s="5">
        <f>Tabla14[[#This Row],[Pecio plan]]*Tabla14[[#This Row],[Plan Ajustado]]</f>
        <v>0</v>
      </c>
      <c r="AX247" s="30">
        <f>IFERROR(VLOOKUP(Tabla14[[#This Row],[Llave]],'[13]Ultimos precios facturados'!$A:$G,7,FALSE),0)</f>
        <v>2.84789143552702</v>
      </c>
      <c r="AY24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47" s="30">
        <f>IFERROR(VLOOKUP(Tabla14[[#This Row],[Llave]],Hoja2!B:K,10,FALSE),0)</f>
        <v>0</v>
      </c>
      <c r="BA24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47" s="30">
        <v>0</v>
      </c>
      <c r="BC247" s="30">
        <f>IF(Tabla14[[#This Row],[Market]]=0,Tabla14[[#This Row],[Precio Final]],Tabla14[[#This Row],[Market]])</f>
        <v>0</v>
      </c>
      <c r="BD247" s="82"/>
      <c r="BE247" s="82" t="str">
        <f>IF(AND(Tabla14[[#This Row],[Atraso a facturar]]&gt;0,Tabla14[[#This Row],[En puerto a facturar]]&gt;0,Tabla14[[#This Row],[Precio Atraso]]=0),"Revisar","OK")</f>
        <v>OK</v>
      </c>
      <c r="BF247" s="82" t="str">
        <f>IF(AND(Tabla14[[#This Row],[Venta del mes]]&gt;0,Tabla14[[#This Row],[Precio venta nueva]]=0),"Revisar","OK")</f>
        <v>OK</v>
      </c>
      <c r="BG247" s="20">
        <f>IFERROR(VLOOKUP(Tabla14[[#This Row],[Llave]],'[5]Consolidación planes'!$A:$M,9,FALSE),0)</f>
        <v>144000</v>
      </c>
      <c r="BH247" s="20">
        <f>IFERROR(VLOOKUP(Tabla14[[#This Row],[Llave]],'[5]Consolidación planes'!$A:$M,10,FALSE),0)</f>
        <v>48000</v>
      </c>
      <c r="BI247" s="20">
        <f>IFERROR(VLOOKUP(Tabla14[[#This Row],[Llave]],'[5]Consolidación planes'!$A:$M,11,FALSE),0)</f>
        <v>48000</v>
      </c>
      <c r="BJ247" s="20">
        <f>IFERROR(VLOOKUP(Tabla14[[#This Row],[Llave]],'[5]Consolidación planes'!$A:$M,12,FALSE),0)</f>
        <v>120000</v>
      </c>
      <c r="BK247" s="20">
        <f>IFERROR(VLOOKUP(Tabla14[[#This Row],[Llave]],'[5]Consolidación planes'!$A:$M,13,FALSE),0)</f>
        <v>120000</v>
      </c>
      <c r="BL247" s="20">
        <f>IFERROR(VLOOKUP(Tabla14[[#This Row],[Llave]],'[13]Base ultimos planes'!$A:$M,13,FALSE),0)</f>
        <v>192000</v>
      </c>
      <c r="BM247" s="20">
        <f>IFERROR(VLOOKUP(Tabla14[[#This Row],[Llave]],'[13]Cruce plan irrestricto'!$C:$M,10,FALSE),0)</f>
        <v>168000</v>
      </c>
      <c r="BN247" s="20">
        <f>IFERROR(VLOOKUP(Tabla14[[#This Row],[Llave]],'[13]Cruce plan irrestricto'!$C:$M,11,FALSE),0)</f>
        <v>24000</v>
      </c>
      <c r="BO247" s="80">
        <f>IFERROR(VLOOKUP(Tabla14[[#This Row],[Llave]],'[13]Base ultimos planes'!$O:$AA,8,FALSE),0)</f>
        <v>312480</v>
      </c>
      <c r="BP247" s="20">
        <f>IFERROR(VLOOKUP(Tabla14[[#This Row],[Llave]],'[13]Base ultimos planes'!$O:$AA,9,FALSE),0)</f>
        <v>106800</v>
      </c>
      <c r="BQ247" s="20">
        <f>IFERROR(VLOOKUP(Tabla14[[#This Row],[Llave]],'[13]Base ultimos planes'!$O:$AA,10,FALSE),0)</f>
        <v>115200</v>
      </c>
      <c r="BR247" s="20">
        <f>IFERROR(VLOOKUP(Tabla14[[#This Row],[Llave]],'[13]Base ultimos planes'!$O:$AA,11,FALSE),0)</f>
        <v>289800</v>
      </c>
      <c r="BS247" s="20">
        <f>IFERROR(VLOOKUP(Tabla14[[#This Row],[Llave]],'[13]Base ultimos planes'!$O:$AA,12,FALSE),0)</f>
        <v>323225</v>
      </c>
      <c r="BT247" s="20">
        <f>IFERROR(VLOOKUP(Tabla14[[#This Row],[Llave]],'[13]Base ultimos planes'!$O:$AA,13,FALSE),0)</f>
        <v>541042</v>
      </c>
      <c r="BU247" s="20"/>
      <c r="BV247" s="20">
        <f>Tabla14[[#This Row],[ RV Producción mes n+1]]-Tabla14[[#This Row],[Producción disponible]]+Tabla14[[#This Row],[Saldo Volumen disponible]]</f>
        <v>190973</v>
      </c>
      <c r="BW247" s="20">
        <f>IFERROR(VLOOKUP(Tabla14[[#This Row],[Llave]],[14]Hoja2!$J:$N,4,FALSE),0)</f>
        <v>0</v>
      </c>
      <c r="BX247" s="20">
        <f>+Tabla14[[#This Row],[Asignación mes n+1]]*Tabla14[[#This Row],[% Uti. producción]]</f>
        <v>0</v>
      </c>
      <c r="BY247" s="20">
        <f>+Tabla14[[#This Row],[Ponderación mes n+1]]+Tabla14[[#This Row],[Saldo mes n-1]]</f>
        <v>190973</v>
      </c>
      <c r="BZ247" s="20">
        <f>+Tabla14[[#This Row],[Asignación mes n+1]]-Tabla14[[#This Row],[Ponderación mes n+1]]</f>
        <v>0</v>
      </c>
      <c r="CA247" s="20">
        <f>IFERROR(VLOOKUP(Tabla14[[#This Row],[Llave]],[14]Hoja2!$J:$N,5,FALSE),0)</f>
        <v>0</v>
      </c>
      <c r="CB247" s="20">
        <f>+Tabla14[[#This Row],[Asignación mes n+2]]*Tabla14[[#This Row],[% Uti. producción]]</f>
        <v>0</v>
      </c>
      <c r="CC247" s="20">
        <f>+Tabla14[[#This Row],[Saldo mes n+2]]+Tabla14[[#This Row],[Ponderación mes n+2]]</f>
        <v>0</v>
      </c>
      <c r="CD247" s="20">
        <f>+Tabla14[[#This Row],[Asignación mes n+2]]-Tabla14[[#This Row],[Ponderación mes n+2]]</f>
        <v>0</v>
      </c>
    </row>
    <row r="248" spans="1:82" ht="16" x14ac:dyDescent="0.2">
      <c r="A248">
        <v>2</v>
      </c>
      <c r="B248" t="str">
        <f>Tabla14[[#This Row],[Oficina]]&amp;Tabla14[[#This Row],[Material]]</f>
        <v>Agrosuper Shanghai1012502</v>
      </c>
      <c r="C248" t="s">
        <v>227</v>
      </c>
      <c r="D248" t="s">
        <v>140</v>
      </c>
      <c r="E248">
        <v>1012502</v>
      </c>
      <c r="F248" t="s">
        <v>328</v>
      </c>
      <c r="G248" t="s">
        <v>268</v>
      </c>
      <c r="H248" t="s">
        <v>269</v>
      </c>
      <c r="I248" s="7">
        <f>IFERROR(IF(Tabla14[[#This Row],[Oficina]]=$I$7,VLOOKUP(Tabla14[[#This Row],[Material]],'[6]RV Producción'!$Y:$AA,3,FALSE),VLOOKUP(Tabla14[[#This Row],[Llave]],'[6]RV Producción'!$C:$G,5,FALSE)),0)</f>
        <v>8088</v>
      </c>
      <c r="J248" s="7">
        <f>IFERROR(IF(Tabla14[[#This Row],[Oficina]]=$I$7,VLOOKUP(Tabla14[[#This Row],[Llave]],'[7]Shangai (Tomas)'!$A:$F,6,FALSE),VLOOKUP(Tabla14[[#This Row],[Llave]],'[6]RV plan de ventas'!$A:$E,5,FALSE)),0)</f>
        <v>0</v>
      </c>
      <c r="K248" s="8">
        <f>IFERROR(VLOOKUP(Tabla14[[#This Row],[Sector]]&amp;Tabla14[[#This Row],[Oficina]],[8]Ponderación!$A$3:$G$22,7,FALSE),0)</f>
        <v>0.47745072632608576</v>
      </c>
      <c r="L248" s="7">
        <f>+Tabla14[[#This Row],[ RV Producción mes n+1]]*Tabla14[[#This Row],[% Uti. producción]]</f>
        <v>3861.6214745253815</v>
      </c>
      <c r="M248" s="7">
        <f>IFERROR(VLOOKUP(Tabla14[[#This Row],[Material]],'[9]TD Stock'!$B:$C,2,FALSE),0)</f>
        <v>15320</v>
      </c>
      <c r="N248" s="7">
        <f>IFERROR(VLOOKUP(Tabla14[[#This Row],[Material]],'[10]Consolidado planificación'!$B:$C,2,FALSE),0)</f>
        <v>1500</v>
      </c>
      <c r="O248" s="7">
        <f>IFERROR(VLOOKUP(Tabla14[[#This Row],[Llave]],[11]Hoja2!$D:$G,4,FALSE),0)</f>
        <v>0</v>
      </c>
      <c r="P248" s="14">
        <f>SUM(Tabla14[[#This Row],[Producción disponible]],Tabla14[[#This Row],[Stock al día]],(Tabla14[[#This Row],[Por producir mes N]]*0.9))-Tabla14[[#This Row],[Producción por despachar mes N]]</f>
        <v>20531.621474525382</v>
      </c>
      <c r="Q248" s="7">
        <f>IFERROR(VLOOKUP(Tabla14[[#This Row],[Llave]],[9]DELAY!$A:$D,4,FALSE),0)</f>
        <v>0</v>
      </c>
      <c r="R248" s="9">
        <v>23000</v>
      </c>
      <c r="S248" s="5">
        <f t="shared" si="8"/>
        <v>0</v>
      </c>
      <c r="T248" s="76">
        <v>0</v>
      </c>
      <c r="U248" s="5">
        <f>+Tabla14[[#This Row],[Atraso a facturar]]+Tabla14[[#This Row],[Ajuste atraso]]</f>
        <v>0</v>
      </c>
      <c r="V248" s="3">
        <f>+Tabla14[[#This Row],[Total disponible]]-Tabla14[[#This Row],[Facturación atraso]]</f>
        <v>20531.621474525382</v>
      </c>
      <c r="W248" s="6">
        <f>IFERROR(IF(AND(V248&gt;R248,J248&gt;=R248),ROUNDDOWN((Tabla14[[#This Row],[Producción para venta nueva]])/R248,0)*R248,0),0)</f>
        <v>0</v>
      </c>
      <c r="X248" s="76">
        <v>0</v>
      </c>
      <c r="Y248" s="6">
        <f>IF(Tabla14[[#This Row],[Venta del mes]]&gt;0,Tabla14[[#This Row],[Venta del mes]]+Tabla14[[#This Row],[Ajuste venta nueva]],0)</f>
        <v>0</v>
      </c>
      <c r="Z248" s="6">
        <f>+Tabla14[[#This Row],[Producción para venta nueva]]-Tabla14[[#This Row],[Facturación Venta nueva]]</f>
        <v>20531.621474525382</v>
      </c>
      <c r="AA248" s="6">
        <f>IF(AND(A248=1,Tabla14[[#This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8" s="6">
        <v>0</v>
      </c>
      <c r="AC248" s="6">
        <f>IF(Tabla14[[#This Row],[Disponible stock sin venta]]&gt;0,Tabla14[[#This Row],[Disponible stock sin venta]]+Tabla14[[#This Row],[Ajuste stock sin venta]],0)</f>
        <v>0</v>
      </c>
      <c r="AD248" s="3">
        <f>IFERROR(VLOOKUP(Tabla14[[#This Row],[Llave]],[12]Hoja1!$A:$D,4,FALSE),0)</f>
        <v>0</v>
      </c>
      <c r="AE24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48" s="3">
        <v>0</v>
      </c>
      <c r="AG248" s="3">
        <f>+Tabla14[[#This Row],[En puerto a facturar]]</f>
        <v>0</v>
      </c>
      <c r="AH248" s="3">
        <f>+Tabla14[[#This Row],[Facturación atraso]]</f>
        <v>0</v>
      </c>
      <c r="AI248" s="3">
        <f>+Tabla14[[#This Row],[Plan Irrestricto (DATO)]]-Tabla14[[#This Row],[Puerto ]]-Tabla14[[#This Row],[Atraso]]</f>
        <v>0</v>
      </c>
      <c r="AJ24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48" s="3">
        <f>+Tabla14[[#This Row],[Facturación atraso]]</f>
        <v>0</v>
      </c>
      <c r="AL248" s="3">
        <f>Tabla14[[#This Row],[Plan Ajustado]]-Tabla14[[#This Row],[ Atraso ajustado]]-Tabla14[[#This Row],[En puerto a facturar]]</f>
        <v>0</v>
      </c>
      <c r="AM248" s="3">
        <v>0</v>
      </c>
      <c r="AN248" s="3"/>
      <c r="AO248" s="3" t="str">
        <f>IF(Tabla14[[#This Row],[Plan Ajustado]]&gt;Tabla14[[#This Row],[En puerto a facturar]],"Si","No")</f>
        <v>No</v>
      </c>
      <c r="AP24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48" s="3">
        <f>IF(Tabla14[[#This Row],[Necesidad]]&gt;=Tabla14[[#This Row],[Stock al día]],Tabla14[[#This Row],[Stock al día]],Tabla14[[#This Row],[Necesidad]])</f>
        <v>0</v>
      </c>
      <c r="AR248" s="3">
        <f>+Tabla14[[#This Row],[Necesidad]]-Tabla14[[#This Row],[Stock Plan]]</f>
        <v>0</v>
      </c>
      <c r="AS248" s="155">
        <f>VLOOKUP(Tabla14[[#This Row],[Sector]]&amp;Tabla14[[#This Row],[Oficina]],[8]Ponderación!$A:$H,8,FALSE)</f>
        <v>44817</v>
      </c>
      <c r="AT248" s="30">
        <f>IFERROR(VLOOKUP(Tabla14[[#This Row],[Llave]],'[6]RV plan de ventas'!$A:$F,6,FALSE),0)</f>
        <v>0</v>
      </c>
      <c r="AU248" s="83">
        <f>IFERROR(VLOOKUP(Tabla14[[#This Row],[Llave]],[9]DELAY!$H:$X,17,FALSE),0)</f>
        <v>0</v>
      </c>
      <c r="AV24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48" s="5">
        <f>Tabla14[[#This Row],[Pecio plan]]*Tabla14[[#This Row],[Plan Ajustado]]</f>
        <v>0</v>
      </c>
      <c r="AX248" s="30">
        <f>IFERROR(VLOOKUP(Tabla14[[#This Row],[Llave]],'[13]Ultimos precios facturados'!$A:$G,7,FALSE),0)</f>
        <v>5.3695260885045784</v>
      </c>
      <c r="AY24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48" s="30">
        <f>IFERROR(VLOOKUP(Tabla14[[#This Row],[Llave]],Hoja2!B:K,10,FALSE),0)</f>
        <v>0</v>
      </c>
      <c r="BA24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48" s="30">
        <v>0</v>
      </c>
      <c r="BC248" s="30">
        <f>IF(Tabla14[[#This Row],[Market]]=0,Tabla14[[#This Row],[Precio Final]],Tabla14[[#This Row],[Market]])</f>
        <v>0</v>
      </c>
      <c r="BD248" s="82"/>
      <c r="BE248" s="82" t="str">
        <f>IF(AND(Tabla14[[#This Row],[Atraso a facturar]]&gt;0,Tabla14[[#This Row],[En puerto a facturar]]&gt;0,Tabla14[[#This Row],[Precio Atraso]]=0),"Revisar","OK")</f>
        <v>OK</v>
      </c>
      <c r="BF248" s="82" t="str">
        <f>IF(AND(Tabla14[[#This Row],[Venta del mes]]&gt;0,Tabla14[[#This Row],[Precio venta nueva]]=0),"Revisar","OK")</f>
        <v>OK</v>
      </c>
      <c r="BG248" s="20">
        <f>IFERROR(VLOOKUP(Tabla14[[#This Row],[Llave]],'[5]Consolidación planes'!$A:$M,9,FALSE),0)</f>
        <v>0</v>
      </c>
      <c r="BH248" s="20">
        <f>IFERROR(VLOOKUP(Tabla14[[#This Row],[Llave]],'[5]Consolidación planes'!$A:$M,10,FALSE),0)</f>
        <v>0</v>
      </c>
      <c r="BI248" s="20">
        <f>IFERROR(VLOOKUP(Tabla14[[#This Row],[Llave]],'[5]Consolidación planes'!$A:$M,11,FALSE),0)</f>
        <v>0</v>
      </c>
      <c r="BJ248" s="20">
        <f>IFERROR(VLOOKUP(Tabla14[[#This Row],[Llave]],'[5]Consolidación planes'!$A:$M,12,FALSE),0)</f>
        <v>0</v>
      </c>
      <c r="BK248" s="20">
        <f>IFERROR(VLOOKUP(Tabla14[[#This Row],[Llave]],'[5]Consolidación planes'!$A:$M,13,FALSE),0)</f>
        <v>12000</v>
      </c>
      <c r="BL248" s="20">
        <f>IFERROR(VLOOKUP(Tabla14[[#This Row],[Llave]],'[13]Base ultimos planes'!$A:$M,13,FALSE),0)</f>
        <v>0</v>
      </c>
      <c r="BM248" s="20">
        <f>IFERROR(VLOOKUP(Tabla14[[#This Row],[Llave]],'[13]Cruce plan irrestricto'!$C:$M,10,FALSE),0)</f>
        <v>0</v>
      </c>
      <c r="BN248" s="20">
        <f>IFERROR(VLOOKUP(Tabla14[[#This Row],[Llave]],'[13]Cruce plan irrestricto'!$C:$M,11,FALSE),0)</f>
        <v>23920</v>
      </c>
      <c r="BO248" s="80">
        <f>IFERROR(VLOOKUP(Tabla14[[#This Row],[Llave]],'[13]Base ultimos planes'!$O:$AA,8,FALSE),0)</f>
        <v>0</v>
      </c>
      <c r="BP248" s="20">
        <f>IFERROR(VLOOKUP(Tabla14[[#This Row],[Llave]],'[13]Base ultimos planes'!$O:$AA,9,FALSE),0)</f>
        <v>0</v>
      </c>
      <c r="BQ248" s="20">
        <f>IFERROR(VLOOKUP(Tabla14[[#This Row],[Llave]],'[13]Base ultimos planes'!$O:$AA,10,FALSE),0)</f>
        <v>0</v>
      </c>
      <c r="BR248" s="20">
        <f>IFERROR(VLOOKUP(Tabla14[[#This Row],[Llave]],'[13]Base ultimos planes'!$O:$AA,11,FALSE),0)</f>
        <v>0</v>
      </c>
      <c r="BS248" s="20">
        <f>IFERROR(VLOOKUP(Tabla14[[#This Row],[Llave]],'[13]Base ultimos planes'!$O:$AA,12,FALSE),0)</f>
        <v>52600</v>
      </c>
      <c r="BT248" s="20">
        <f>IFERROR(VLOOKUP(Tabla14[[#This Row],[Llave]],'[13]Base ultimos planes'!$O:$AA,13,FALSE),0)</f>
        <v>0</v>
      </c>
      <c r="BU248" s="20"/>
      <c r="BV248" s="20">
        <f>Tabla14[[#This Row],[ RV Producción mes n+1]]-Tabla14[[#This Row],[Producción disponible]]+Tabla14[[#This Row],[Saldo Volumen disponible]]</f>
        <v>24758</v>
      </c>
      <c r="BW248" s="20">
        <f>IFERROR(VLOOKUP(Tabla14[[#This Row],[Llave]],[14]Hoja2!$J:$N,4,FALSE),0)</f>
        <v>0</v>
      </c>
      <c r="BX248" s="20">
        <f>+Tabla14[[#This Row],[Asignación mes n+1]]*Tabla14[[#This Row],[% Uti. producción]]</f>
        <v>0</v>
      </c>
      <c r="BY248" s="20">
        <f>+Tabla14[[#This Row],[Ponderación mes n+1]]+Tabla14[[#This Row],[Saldo mes n-1]]</f>
        <v>24758</v>
      </c>
      <c r="BZ248" s="20">
        <f>+Tabla14[[#This Row],[Asignación mes n+1]]-Tabla14[[#This Row],[Ponderación mes n+1]]</f>
        <v>0</v>
      </c>
      <c r="CA248" s="20">
        <f>IFERROR(VLOOKUP(Tabla14[[#This Row],[Llave]],[14]Hoja2!$J:$N,5,FALSE),0)</f>
        <v>0</v>
      </c>
      <c r="CB248" s="20">
        <f>+Tabla14[[#This Row],[Asignación mes n+2]]*Tabla14[[#This Row],[% Uti. producción]]</f>
        <v>0</v>
      </c>
      <c r="CC248" s="20">
        <f>+Tabla14[[#This Row],[Saldo mes n+2]]+Tabla14[[#This Row],[Ponderación mes n+2]]</f>
        <v>0</v>
      </c>
      <c r="CD248" s="20">
        <f>+Tabla14[[#This Row],[Asignación mes n+2]]-Tabla14[[#This Row],[Ponderación mes n+2]]</f>
        <v>0</v>
      </c>
    </row>
    <row r="249" spans="1:82" ht="16" x14ac:dyDescent="0.2">
      <c r="A249">
        <v>2</v>
      </c>
      <c r="B249" t="str">
        <f>Tabla14[[#This Row],[Oficina]]&amp;Tabla14[[#This Row],[Material]]</f>
        <v>Agrosuper Shanghai1012503</v>
      </c>
      <c r="C249" t="s">
        <v>227</v>
      </c>
      <c r="D249" t="s">
        <v>140</v>
      </c>
      <c r="E249">
        <v>1012503</v>
      </c>
      <c r="F249" t="s">
        <v>272</v>
      </c>
      <c r="G249" t="s">
        <v>268</v>
      </c>
      <c r="H249" t="s">
        <v>269</v>
      </c>
      <c r="I249" s="7">
        <f>IFERROR(IF(Tabla14[[#This Row],[Oficina]]=$I$7,VLOOKUP(Tabla14[[#This Row],[Material]],'[6]RV Producción'!$Y:$AA,3,FALSE),VLOOKUP(Tabla14[[#This Row],[Llave]],'[6]RV Producción'!$C:$G,5,FALSE)),0)</f>
        <v>59797</v>
      </c>
      <c r="J249" s="7">
        <f>IFERROR(IF(Tabla14[[#This Row],[Oficina]]=$I$7,VLOOKUP(Tabla14[[#This Row],[Llave]],'[7]Shangai (Tomas)'!$A:$F,6,FALSE),VLOOKUP(Tabla14[[#This Row],[Llave]],'[6]RV plan de ventas'!$A:$E,5,FALSE)),0)</f>
        <v>0</v>
      </c>
      <c r="K249" s="8">
        <f>IFERROR(VLOOKUP(Tabla14[[#This Row],[Sector]]&amp;Tabla14[[#This Row],[Oficina]],[8]Ponderación!$A$3:$G$22,7,FALSE),0)</f>
        <v>0.47745072632608576</v>
      </c>
      <c r="L249" s="7">
        <f>+Tabla14[[#This Row],[ RV Producción mes n+1]]*Tabla14[[#This Row],[% Uti. producción]]</f>
        <v>28550.12108212095</v>
      </c>
      <c r="M249" s="7">
        <f>IFERROR(VLOOKUP(Tabla14[[#This Row],[Material]],'[9]TD Stock'!$B:$C,2,FALSE),0)</f>
        <v>2640</v>
      </c>
      <c r="N249" s="7">
        <f>IFERROR(VLOOKUP(Tabla14[[#This Row],[Material]],'[10]Consolidado planificación'!$B:$C,2,FALSE),0)</f>
        <v>6500</v>
      </c>
      <c r="O249" s="7">
        <f>IFERROR(VLOOKUP(Tabla14[[#This Row],[Llave]],[11]Hoja2!$D:$G,4,FALSE),0)</f>
        <v>0</v>
      </c>
      <c r="P249" s="14">
        <f>SUM(Tabla14[[#This Row],[Producción disponible]],Tabla14[[#This Row],[Stock al día]],(Tabla14[[#This Row],[Por producir mes N]]*0.9))-Tabla14[[#This Row],[Producción por despachar mes N]]</f>
        <v>37040.121082120953</v>
      </c>
      <c r="Q249" s="7">
        <f>IFERROR(VLOOKUP(Tabla14[[#This Row],[Llave]],[9]DELAY!$A:$D,4,FALSE),0)</f>
        <v>0</v>
      </c>
      <c r="R249" s="9">
        <v>23000</v>
      </c>
      <c r="S249" s="5">
        <f t="shared" si="8"/>
        <v>0</v>
      </c>
      <c r="T249" s="76">
        <v>0</v>
      </c>
      <c r="U249" s="5">
        <f>+Tabla14[[#This Row],[Atraso a facturar]]+Tabla14[[#This Row],[Ajuste atraso]]</f>
        <v>0</v>
      </c>
      <c r="V249" s="3">
        <f>+Tabla14[[#This Row],[Total disponible]]-Tabla14[[#This Row],[Facturación atraso]]</f>
        <v>37040.121082120953</v>
      </c>
      <c r="W249" s="6">
        <f>IFERROR(IF(AND(V249&gt;R249,J249&gt;=R249),ROUNDDOWN((Tabla14[[#This Row],[Producción para venta nueva]])/R249,0)*R249,0),0)</f>
        <v>0</v>
      </c>
      <c r="X249" s="76">
        <v>0</v>
      </c>
      <c r="Y249" s="6">
        <f>IF(Tabla14[[#This Row],[Venta del mes]]&gt;0,Tabla14[[#This Row],[Venta del mes]]+Tabla14[[#This Row],[Ajuste venta nueva]],0)</f>
        <v>0</v>
      </c>
      <c r="Z249" s="6">
        <f>+Tabla14[[#This Row],[Producción para venta nueva]]-Tabla14[[#This Row],[Facturación Venta nueva]]</f>
        <v>37040.121082120953</v>
      </c>
      <c r="AA249" s="6">
        <f>IF(AND(A249=1,Tabla14[[#This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49" s="6">
        <v>0</v>
      </c>
      <c r="AC249" s="6">
        <f>IF(Tabla14[[#This Row],[Disponible stock sin venta]]&gt;0,Tabla14[[#This Row],[Disponible stock sin venta]]+Tabla14[[#This Row],[Ajuste stock sin venta]],0)</f>
        <v>0</v>
      </c>
      <c r="AD249" s="3">
        <f>IFERROR(VLOOKUP(Tabla14[[#This Row],[Llave]],[12]Hoja1!$A:$D,4,FALSE),0)</f>
        <v>16500</v>
      </c>
      <c r="AE24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16500</v>
      </c>
      <c r="AF249" s="3">
        <v>16500</v>
      </c>
      <c r="AG249" s="3">
        <f>+Tabla14[[#This Row],[En puerto a facturar]]</f>
        <v>16500</v>
      </c>
      <c r="AH249" s="3">
        <f>+Tabla14[[#This Row],[Facturación atraso]]</f>
        <v>0</v>
      </c>
      <c r="AI249" s="3">
        <f>+Tabla14[[#This Row],[Plan Irrestricto (DATO)]]-Tabla14[[#This Row],[Puerto ]]-Tabla14[[#This Row],[Atraso]]</f>
        <v>0</v>
      </c>
      <c r="AJ249" s="6">
        <f>IF(Tabla14[[#This Row],[Plan Irrestricto (DATO)]]&gt;0,SUM(Tabla14[[#This Row],[Facturación atraso]],Tabla14[[#This Row],[Facturación Venta nueva]],Tabla14[[#This Row],[Facturación stock]],Tabla14[[#This Row],[En puerto a facturar]]),0)</f>
        <v>16500</v>
      </c>
      <c r="AK249" s="3">
        <f>+Tabla14[[#This Row],[Facturación atraso]]</f>
        <v>0</v>
      </c>
      <c r="AL249" s="3">
        <f>Tabla14[[#This Row],[Plan Ajustado]]-Tabla14[[#This Row],[ Atraso ajustado]]-Tabla14[[#This Row],[En puerto a facturar]]</f>
        <v>0</v>
      </c>
      <c r="AM249" s="3">
        <v>0</v>
      </c>
      <c r="AN249" s="3"/>
      <c r="AO249" s="3" t="str">
        <f>IF(Tabla14[[#This Row],[Plan Ajustado]]&gt;Tabla14[[#This Row],[En puerto a facturar]],"Si","No")</f>
        <v>No</v>
      </c>
      <c r="AP24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49" s="3">
        <f>IF(Tabla14[[#This Row],[Necesidad]]&gt;=Tabla14[[#This Row],[Stock al día]],Tabla14[[#This Row],[Stock al día]],Tabla14[[#This Row],[Necesidad]])</f>
        <v>0</v>
      </c>
      <c r="AR249" s="3">
        <f>+Tabla14[[#This Row],[Necesidad]]-Tabla14[[#This Row],[Stock Plan]]</f>
        <v>0</v>
      </c>
      <c r="AS249" s="155">
        <f>VLOOKUP(Tabla14[[#This Row],[Sector]]&amp;Tabla14[[#This Row],[Oficina]],[8]Ponderación!$A:$H,8,FALSE)</f>
        <v>44817</v>
      </c>
      <c r="AT249" s="30">
        <f>IFERROR(VLOOKUP(Tabla14[[#This Row],[Llave]],'[6]RV plan de ventas'!$A:$F,6,FALSE),0)</f>
        <v>0</v>
      </c>
      <c r="AU249" s="83">
        <f>IFERROR(VLOOKUP(Tabla14[[#This Row],[Llave]],[9]DELAY!$H:$X,17,FALSE),0)</f>
        <v>0</v>
      </c>
      <c r="AV24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49" s="5">
        <f>Tabla14[[#This Row],[Pecio plan]]*Tabla14[[#This Row],[Plan Ajustado]]</f>
        <v>84782.079900798417</v>
      </c>
      <c r="AX249" s="30">
        <f>IFERROR(VLOOKUP(Tabla14[[#This Row],[Llave]],'[13]Ultimos precios facturados'!$A:$G,7,FALSE),0)</f>
        <v>5.1383078727756617</v>
      </c>
      <c r="AY24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49" s="30">
        <f>IFERROR(VLOOKUP(Tabla14[[#This Row],[Llave]],Hoja2!B:K,10,FALSE),0)</f>
        <v>4.3833333333333302</v>
      </c>
      <c r="BA24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5.1383078727756617</v>
      </c>
      <c r="BB249" s="30">
        <v>0</v>
      </c>
      <c r="BC249" s="30">
        <f>IF(Tabla14[[#This Row],[Market]]=0,Tabla14[[#This Row],[Precio Final]],Tabla14[[#This Row],[Market]])</f>
        <v>5.1383078727756617</v>
      </c>
      <c r="BD249" s="82"/>
      <c r="BE249" s="82" t="str">
        <f>IF(AND(Tabla14[[#This Row],[Atraso a facturar]]&gt;0,Tabla14[[#This Row],[En puerto a facturar]]&gt;0,Tabla14[[#This Row],[Precio Atraso]]=0),"Revisar","OK")</f>
        <v>OK</v>
      </c>
      <c r="BF249" s="82" t="str">
        <f>IF(AND(Tabla14[[#This Row],[Venta del mes]]&gt;0,Tabla14[[#This Row],[Precio venta nueva]]=0),"Revisar","OK")</f>
        <v>OK</v>
      </c>
      <c r="BG249" s="20">
        <f>IFERROR(VLOOKUP(Tabla14[[#This Row],[Llave]],'[5]Consolidación planes'!$A:$M,9,FALSE),0)</f>
        <v>14000</v>
      </c>
      <c r="BH249" s="20">
        <f>IFERROR(VLOOKUP(Tabla14[[#This Row],[Llave]],'[5]Consolidación planes'!$A:$M,10,FALSE),0)</f>
        <v>0</v>
      </c>
      <c r="BI249" s="20">
        <f>IFERROR(VLOOKUP(Tabla14[[#This Row],[Llave]],'[5]Consolidación planes'!$A:$M,11,FALSE),0)</f>
        <v>0</v>
      </c>
      <c r="BJ249" s="20">
        <f>IFERROR(VLOOKUP(Tabla14[[#This Row],[Llave]],'[5]Consolidación planes'!$A:$M,12,FALSE),0)</f>
        <v>0</v>
      </c>
      <c r="BK249" s="20">
        <f>IFERROR(VLOOKUP(Tabla14[[#This Row],[Llave]],'[5]Consolidación planes'!$A:$M,13,FALSE),0)</f>
        <v>12000</v>
      </c>
      <c r="BL249" s="20">
        <f>IFERROR(VLOOKUP(Tabla14[[#This Row],[Llave]],'[13]Base ultimos planes'!$A:$M,13,FALSE),0)</f>
        <v>12000</v>
      </c>
      <c r="BM249" s="20">
        <f>IFERROR(VLOOKUP(Tabla14[[#This Row],[Llave]],'[13]Cruce plan irrestricto'!$C:$M,10,FALSE),0)</f>
        <v>312000</v>
      </c>
      <c r="BN249" s="20">
        <f>IFERROR(VLOOKUP(Tabla14[[#This Row],[Llave]],'[13]Cruce plan irrestricto'!$C:$M,11,FALSE),0)</f>
        <v>280460</v>
      </c>
      <c r="BO249" s="80">
        <f>IFERROR(VLOOKUP(Tabla14[[#This Row],[Llave]],'[13]Base ultimos planes'!$O:$AA,8,FALSE),0)</f>
        <v>46900</v>
      </c>
      <c r="BP249" s="20">
        <f>IFERROR(VLOOKUP(Tabla14[[#This Row],[Llave]],'[13]Base ultimos planes'!$O:$AA,9,FALSE),0)</f>
        <v>0</v>
      </c>
      <c r="BQ249" s="20">
        <f>IFERROR(VLOOKUP(Tabla14[[#This Row],[Llave]],'[13]Base ultimos planes'!$O:$AA,10,FALSE),0)</f>
        <v>0</v>
      </c>
      <c r="BR249" s="20">
        <f>IFERROR(VLOOKUP(Tabla14[[#This Row],[Llave]],'[13]Base ultimos planes'!$O:$AA,11,FALSE),0)</f>
        <v>0</v>
      </c>
      <c r="BS249" s="20">
        <f>IFERROR(VLOOKUP(Tabla14[[#This Row],[Llave]],'[13]Base ultimos planes'!$O:$AA,12,FALSE),0)</f>
        <v>64578</v>
      </c>
      <c r="BT249" s="20">
        <f>IFERROR(VLOOKUP(Tabla14[[#This Row],[Llave]],'[13]Base ultimos planes'!$O:$AA,13,FALSE),0)</f>
        <v>56400</v>
      </c>
      <c r="BU249" s="20"/>
      <c r="BV249" s="20">
        <f>Tabla14[[#This Row],[ RV Producción mes n+1]]-Tabla14[[#This Row],[Producción disponible]]+Tabla14[[#This Row],[Saldo Volumen disponible]]</f>
        <v>68287</v>
      </c>
      <c r="BW249" s="20">
        <f>IFERROR(VLOOKUP(Tabla14[[#This Row],[Llave]],[14]Hoja2!$J:$N,4,FALSE),0)</f>
        <v>0</v>
      </c>
      <c r="BX249" s="20">
        <f>+Tabla14[[#This Row],[Asignación mes n+1]]*Tabla14[[#This Row],[% Uti. producción]]</f>
        <v>0</v>
      </c>
      <c r="BY249" s="20">
        <f>+Tabla14[[#This Row],[Ponderación mes n+1]]+Tabla14[[#This Row],[Saldo mes n-1]]</f>
        <v>68287</v>
      </c>
      <c r="BZ249" s="20">
        <f>+Tabla14[[#This Row],[Asignación mes n+1]]-Tabla14[[#This Row],[Ponderación mes n+1]]</f>
        <v>0</v>
      </c>
      <c r="CA249" s="20">
        <f>IFERROR(VLOOKUP(Tabla14[[#This Row],[Llave]],[14]Hoja2!$J:$N,5,FALSE),0)</f>
        <v>0</v>
      </c>
      <c r="CB249" s="20">
        <f>+Tabla14[[#This Row],[Asignación mes n+2]]*Tabla14[[#This Row],[% Uti. producción]]</f>
        <v>0</v>
      </c>
      <c r="CC249" s="20">
        <f>+Tabla14[[#This Row],[Saldo mes n+2]]+Tabla14[[#This Row],[Ponderación mes n+2]]</f>
        <v>0</v>
      </c>
      <c r="CD249" s="20">
        <f>+Tabla14[[#This Row],[Asignación mes n+2]]-Tabla14[[#This Row],[Ponderación mes n+2]]</f>
        <v>0</v>
      </c>
    </row>
    <row r="250" spans="1:82" ht="16" x14ac:dyDescent="0.2">
      <c r="A250">
        <v>2</v>
      </c>
      <c r="B250" t="str">
        <f>Tabla14[[#This Row],[Oficina]]&amp;Tabla14[[#This Row],[Material]]</f>
        <v>Agrosuper Shanghai1012504</v>
      </c>
      <c r="C250" t="s">
        <v>227</v>
      </c>
      <c r="D250" t="s">
        <v>140</v>
      </c>
      <c r="E250">
        <v>1012504</v>
      </c>
      <c r="F250" t="s">
        <v>271</v>
      </c>
      <c r="G250" t="s">
        <v>268</v>
      </c>
      <c r="H250" t="s">
        <v>269</v>
      </c>
      <c r="I250" s="7">
        <f>IFERROR(IF(Tabla14[[#This Row],[Oficina]]=$I$7,VLOOKUP(Tabla14[[#This Row],[Material]],'[6]RV Producción'!$Y:$AA,3,FALSE),VLOOKUP(Tabla14[[#This Row],[Llave]],'[6]RV Producción'!$C:$G,5,FALSE)),0)</f>
        <v>281240</v>
      </c>
      <c r="J250" s="7">
        <f>IFERROR(IF(Tabla14[[#This Row],[Oficina]]=$I$7,VLOOKUP(Tabla14[[#This Row],[Llave]],'[7]Shangai (Tomas)'!$A:$F,6,FALSE),VLOOKUP(Tabla14[[#This Row],[Llave]],'[6]RV plan de ventas'!$A:$E,5,FALSE)),0)</f>
        <v>0</v>
      </c>
      <c r="K250" s="8">
        <f>IFERROR(VLOOKUP(Tabla14[[#This Row],[Sector]]&amp;Tabla14[[#This Row],[Oficina]],[8]Ponderación!$A$3:$G$22,7,FALSE),0)</f>
        <v>0.47745072632608576</v>
      </c>
      <c r="L250" s="7">
        <f>+Tabla14[[#This Row],[ RV Producción mes n+1]]*Tabla14[[#This Row],[% Uti. producción]]</f>
        <v>134278.24227194837</v>
      </c>
      <c r="M250" s="7">
        <f>IFERROR(VLOOKUP(Tabla14[[#This Row],[Material]],'[9]TD Stock'!$B:$C,2,FALSE),0)</f>
        <v>178700</v>
      </c>
      <c r="N250" s="7">
        <f>IFERROR(VLOOKUP(Tabla14[[#This Row],[Material]],'[10]Consolidado planificación'!$B:$C,2,FALSE),0)</f>
        <v>61000</v>
      </c>
      <c r="O250" s="7">
        <f>IFERROR(VLOOKUP(Tabla14[[#This Row],[Llave]],[11]Hoja2!$D:$G,4,FALSE),0)</f>
        <v>0</v>
      </c>
      <c r="P250" s="14">
        <f>SUM(Tabla14[[#This Row],[Producción disponible]],Tabla14[[#This Row],[Stock al día]],(Tabla14[[#This Row],[Por producir mes N]]*0.9))-Tabla14[[#This Row],[Producción por despachar mes N]]</f>
        <v>367878.24227194837</v>
      </c>
      <c r="Q250" s="7">
        <f>IFERROR(VLOOKUP(Tabla14[[#This Row],[Llave]],[9]DELAY!$A:$D,4,FALSE),0)</f>
        <v>0</v>
      </c>
      <c r="R250" s="9">
        <v>23000</v>
      </c>
      <c r="S250" s="5">
        <f t="shared" si="8"/>
        <v>0</v>
      </c>
      <c r="T250" s="76">
        <v>0</v>
      </c>
      <c r="U250" s="5">
        <f>+Tabla14[[#This Row],[Atraso a facturar]]+Tabla14[[#This Row],[Ajuste atraso]]</f>
        <v>0</v>
      </c>
      <c r="V250" s="3">
        <f>+Tabla14[[#This Row],[Total disponible]]-Tabla14[[#This Row],[Facturación atraso]]</f>
        <v>367878.24227194837</v>
      </c>
      <c r="W250" s="6">
        <f>IFERROR(IF(AND(V250&gt;R250,J250&gt;=R250),ROUNDDOWN((Tabla14[[#This Row],[Producción para venta nueva]])/R250,0)*R250,0),0)</f>
        <v>0</v>
      </c>
      <c r="X250" s="76">
        <v>0</v>
      </c>
      <c r="Y250" s="6">
        <f>IF(Tabla14[[#This Row],[Venta del mes]]&gt;0,Tabla14[[#This Row],[Venta del mes]]+Tabla14[[#This Row],[Ajuste venta nueva]],0)</f>
        <v>0</v>
      </c>
      <c r="Z250" s="6">
        <f>+Tabla14[[#This Row],[Producción para venta nueva]]-Tabla14[[#This Row],[Facturación Venta nueva]]</f>
        <v>367878.24227194837</v>
      </c>
      <c r="AA250" s="6">
        <f>IF(AND(A250=1,Tabla14[[#This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0" s="6">
        <v>0</v>
      </c>
      <c r="AC250" s="6">
        <f>IF(Tabla14[[#This Row],[Disponible stock sin venta]]&gt;0,Tabla14[[#This Row],[Disponible stock sin venta]]+Tabla14[[#This Row],[Ajuste stock sin venta]],0)</f>
        <v>0</v>
      </c>
      <c r="AD250" s="3">
        <f>IFERROR(VLOOKUP(Tabla14[[#This Row],[Llave]],[12]Hoja1!$A:$D,4,FALSE),0)</f>
        <v>0</v>
      </c>
      <c r="AE25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50" s="3">
        <v>0</v>
      </c>
      <c r="AG250" s="3">
        <f>+Tabla14[[#This Row],[En puerto a facturar]]</f>
        <v>0</v>
      </c>
      <c r="AH250" s="3">
        <f>+Tabla14[[#This Row],[Facturación atraso]]</f>
        <v>0</v>
      </c>
      <c r="AI250" s="3">
        <f>+Tabla14[[#This Row],[Plan Irrestricto (DATO)]]-Tabla14[[#This Row],[Puerto ]]-Tabla14[[#This Row],[Atraso]]</f>
        <v>0</v>
      </c>
      <c r="AJ25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50" s="3">
        <f>+Tabla14[[#This Row],[Facturación atraso]]</f>
        <v>0</v>
      </c>
      <c r="AL250" s="3">
        <f>Tabla14[[#This Row],[Plan Ajustado]]-Tabla14[[#This Row],[ Atraso ajustado]]-Tabla14[[#This Row],[En puerto a facturar]]</f>
        <v>0</v>
      </c>
      <c r="AM250" s="3">
        <v>0</v>
      </c>
      <c r="AN250" s="3"/>
      <c r="AO250" s="3" t="str">
        <f>IF(Tabla14[[#This Row],[Plan Ajustado]]&gt;Tabla14[[#This Row],[En puerto a facturar]],"Si","No")</f>
        <v>No</v>
      </c>
      <c r="AP25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50" s="3">
        <f>IF(Tabla14[[#This Row],[Necesidad]]&gt;=Tabla14[[#This Row],[Stock al día]],Tabla14[[#This Row],[Stock al día]],Tabla14[[#This Row],[Necesidad]])</f>
        <v>0</v>
      </c>
      <c r="AR250" s="3">
        <f>+Tabla14[[#This Row],[Necesidad]]-Tabla14[[#This Row],[Stock Plan]]</f>
        <v>0</v>
      </c>
      <c r="AS250" s="155">
        <f>VLOOKUP(Tabla14[[#This Row],[Sector]]&amp;Tabla14[[#This Row],[Oficina]],[8]Ponderación!$A:$H,8,FALSE)</f>
        <v>44817</v>
      </c>
      <c r="AT250" s="30">
        <f>IFERROR(VLOOKUP(Tabla14[[#This Row],[Llave]],'[6]RV plan de ventas'!$A:$F,6,FALSE),0)</f>
        <v>0</v>
      </c>
      <c r="AU250" s="83">
        <f>IFERROR(VLOOKUP(Tabla14[[#This Row],[Llave]],[9]DELAY!$H:$X,17,FALSE),0)</f>
        <v>0</v>
      </c>
      <c r="AV25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50" s="5">
        <f>Tabla14[[#This Row],[Pecio plan]]*Tabla14[[#This Row],[Plan Ajustado]]</f>
        <v>0</v>
      </c>
      <c r="AX250" s="30">
        <f>IFERROR(VLOOKUP(Tabla14[[#This Row],[Llave]],'[13]Ultimos precios facturados'!$A:$G,7,FALSE),0)</f>
        <v>4.9304461587743731</v>
      </c>
      <c r="AY25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50" s="30">
        <f>IFERROR(VLOOKUP(Tabla14[[#This Row],[Llave]],Hoja2!B:K,10,FALSE),0)</f>
        <v>0</v>
      </c>
      <c r="BA25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50" s="30">
        <v>0</v>
      </c>
      <c r="BC250" s="30">
        <f>IF(Tabla14[[#This Row],[Market]]=0,Tabla14[[#This Row],[Precio Final]],Tabla14[[#This Row],[Market]])</f>
        <v>0</v>
      </c>
      <c r="BD250" s="82"/>
      <c r="BE250" s="82" t="str">
        <f>IF(AND(Tabla14[[#This Row],[Atraso a facturar]]&gt;0,Tabla14[[#This Row],[En puerto a facturar]]&gt;0,Tabla14[[#This Row],[Precio Atraso]]=0),"Revisar","OK")</f>
        <v>OK</v>
      </c>
      <c r="BF250" s="82" t="str">
        <f>IF(AND(Tabla14[[#This Row],[Venta del mes]]&gt;0,Tabla14[[#This Row],[Precio venta nueva]]=0),"Revisar","OK")</f>
        <v>OK</v>
      </c>
      <c r="BG250" s="20">
        <f>IFERROR(VLOOKUP(Tabla14[[#This Row],[Llave]],'[5]Consolidación planes'!$A:$M,9,FALSE),0)</f>
        <v>48000</v>
      </c>
      <c r="BH250" s="20">
        <f>IFERROR(VLOOKUP(Tabla14[[#This Row],[Llave]],'[5]Consolidación planes'!$A:$M,10,FALSE),0)</f>
        <v>72000</v>
      </c>
      <c r="BI250" s="20">
        <f>IFERROR(VLOOKUP(Tabla14[[#This Row],[Llave]],'[5]Consolidación planes'!$A:$M,11,FALSE),0)</f>
        <v>24000</v>
      </c>
      <c r="BJ250" s="20">
        <f>IFERROR(VLOOKUP(Tabla14[[#This Row],[Llave]],'[5]Consolidación planes'!$A:$M,12,FALSE),0)</f>
        <v>24000</v>
      </c>
      <c r="BK250" s="20">
        <f>IFERROR(VLOOKUP(Tabla14[[#This Row],[Llave]],'[5]Consolidación planes'!$A:$M,13,FALSE),0)</f>
        <v>72000</v>
      </c>
      <c r="BL250" s="20">
        <f>IFERROR(VLOOKUP(Tabla14[[#This Row],[Llave]],'[13]Base ultimos planes'!$A:$M,13,FALSE),0)</f>
        <v>48000</v>
      </c>
      <c r="BM250" s="20">
        <f>IFERROR(VLOOKUP(Tabla14[[#This Row],[Llave]],'[13]Cruce plan irrestricto'!$C:$M,10,FALSE),0)</f>
        <v>24000</v>
      </c>
      <c r="BN250" s="20">
        <f>IFERROR(VLOOKUP(Tabla14[[#This Row],[Llave]],'[13]Cruce plan irrestricto'!$C:$M,11,FALSE),0)</f>
        <v>23900</v>
      </c>
      <c r="BO250" s="80">
        <f>IFERROR(VLOOKUP(Tabla14[[#This Row],[Llave]],'[13]Base ultimos planes'!$O:$AA,8,FALSE),0)</f>
        <v>168720</v>
      </c>
      <c r="BP250" s="20">
        <f>IFERROR(VLOOKUP(Tabla14[[#This Row],[Llave]],'[13]Base ultimos planes'!$O:$AA,9,FALSE),0)</f>
        <v>254520</v>
      </c>
      <c r="BQ250" s="20">
        <f>IFERROR(VLOOKUP(Tabla14[[#This Row],[Llave]],'[13]Base ultimos planes'!$O:$AA,10,FALSE),0)</f>
        <v>90000</v>
      </c>
      <c r="BR250" s="20">
        <f>IFERROR(VLOOKUP(Tabla14[[#This Row],[Llave]],'[13]Base ultimos planes'!$O:$AA,11,FALSE),0)</f>
        <v>51375</v>
      </c>
      <c r="BS250" s="20">
        <f>IFERROR(VLOOKUP(Tabla14[[#This Row],[Llave]],'[13]Base ultimos planes'!$O:$AA,12,FALSE),0)</f>
        <v>373545</v>
      </c>
      <c r="BT250" s="20">
        <f>IFERROR(VLOOKUP(Tabla14[[#This Row],[Llave]],'[13]Base ultimos planes'!$O:$AA,13,FALSE),0)</f>
        <v>176000</v>
      </c>
      <c r="BU250" s="20"/>
      <c r="BV250" s="20">
        <f>Tabla14[[#This Row],[ RV Producción mes n+1]]-Tabla14[[#This Row],[Producción disponible]]+Tabla14[[#This Row],[Saldo Volumen disponible]]</f>
        <v>514840</v>
      </c>
      <c r="BW250" s="20">
        <f>IFERROR(VLOOKUP(Tabla14[[#This Row],[Llave]],[14]Hoja2!$J:$N,4,FALSE),0)</f>
        <v>0</v>
      </c>
      <c r="BX250" s="20">
        <f>+Tabla14[[#This Row],[Asignación mes n+1]]*Tabla14[[#This Row],[% Uti. producción]]</f>
        <v>0</v>
      </c>
      <c r="BY250" s="20">
        <f>+Tabla14[[#This Row],[Ponderación mes n+1]]+Tabla14[[#This Row],[Saldo mes n-1]]</f>
        <v>514840</v>
      </c>
      <c r="BZ250" s="20">
        <f>+Tabla14[[#This Row],[Asignación mes n+1]]-Tabla14[[#This Row],[Ponderación mes n+1]]</f>
        <v>0</v>
      </c>
      <c r="CA250" s="20">
        <f>IFERROR(VLOOKUP(Tabla14[[#This Row],[Llave]],[14]Hoja2!$J:$N,5,FALSE),0)</f>
        <v>0</v>
      </c>
      <c r="CB250" s="20">
        <f>+Tabla14[[#This Row],[Asignación mes n+2]]*Tabla14[[#This Row],[% Uti. producción]]</f>
        <v>0</v>
      </c>
      <c r="CC250" s="20">
        <f>+Tabla14[[#This Row],[Saldo mes n+2]]+Tabla14[[#This Row],[Ponderación mes n+2]]</f>
        <v>0</v>
      </c>
      <c r="CD250" s="20">
        <f>+Tabla14[[#This Row],[Asignación mes n+2]]-Tabla14[[#This Row],[Ponderación mes n+2]]</f>
        <v>0</v>
      </c>
    </row>
    <row r="251" spans="1:82" ht="16" x14ac:dyDescent="0.2">
      <c r="A251">
        <v>2</v>
      </c>
      <c r="B251" t="str">
        <f>Tabla14[[#This Row],[Oficina]]&amp;Tabla14[[#This Row],[Material]]</f>
        <v>Agrosuper Shanghai1012598</v>
      </c>
      <c r="C251" t="s">
        <v>227</v>
      </c>
      <c r="D251" t="s">
        <v>140</v>
      </c>
      <c r="E251">
        <v>1012598</v>
      </c>
      <c r="F251" t="s">
        <v>273</v>
      </c>
      <c r="G251" t="s">
        <v>268</v>
      </c>
      <c r="H251" t="s">
        <v>269</v>
      </c>
      <c r="I251" s="7">
        <f>IFERROR(IF(Tabla14[[#This Row],[Oficina]]=$I$7,VLOOKUP(Tabla14[[#This Row],[Material]],'[6]RV Producción'!$Y:$AA,3,FALSE),VLOOKUP(Tabla14[[#This Row],[Llave]],'[6]RV Producción'!$C:$G,5,FALSE)),0)</f>
        <v>4647</v>
      </c>
      <c r="J251" s="7">
        <f>IFERROR(IF(Tabla14[[#This Row],[Oficina]]=$I$7,VLOOKUP(Tabla14[[#This Row],[Llave]],'[7]Shangai (Tomas)'!$A:$F,6,FALSE),VLOOKUP(Tabla14[[#This Row],[Llave]],'[6]RV plan de ventas'!$A:$E,5,FALSE)),0)</f>
        <v>0</v>
      </c>
      <c r="K251" s="8">
        <f>IFERROR(VLOOKUP(Tabla14[[#This Row],[Sector]]&amp;Tabla14[[#This Row],[Oficina]],[8]Ponderación!$A$3:$G$22,7,FALSE),0)</f>
        <v>0.47745072632608576</v>
      </c>
      <c r="L251" s="7">
        <f>+Tabla14[[#This Row],[ RV Producción mes n+1]]*Tabla14[[#This Row],[% Uti. producción]]</f>
        <v>2218.7135252373205</v>
      </c>
      <c r="M251" s="7">
        <f>IFERROR(VLOOKUP(Tabla14[[#This Row],[Material]],'[9]TD Stock'!$B:$C,2,FALSE),0)</f>
        <v>3820</v>
      </c>
      <c r="N251" s="7">
        <f>IFERROR(VLOOKUP(Tabla14[[#This Row],[Material]],'[10]Consolidado planificación'!$B:$C,2,FALSE),0)</f>
        <v>1000</v>
      </c>
      <c r="O251" s="7">
        <f>IFERROR(VLOOKUP(Tabla14[[#This Row],[Llave]],[11]Hoja2!$D:$G,4,FALSE),0)</f>
        <v>0</v>
      </c>
      <c r="P251" s="14">
        <f>SUM(Tabla14[[#This Row],[Producción disponible]],Tabla14[[#This Row],[Stock al día]],(Tabla14[[#This Row],[Por producir mes N]]*0.9))-Tabla14[[#This Row],[Producción por despachar mes N]]</f>
        <v>6938.7135252373209</v>
      </c>
      <c r="Q251" s="7">
        <f>IFERROR(VLOOKUP(Tabla14[[#This Row],[Llave]],[9]DELAY!$A:$D,4,FALSE),0)</f>
        <v>0</v>
      </c>
      <c r="R251" s="9">
        <v>23000</v>
      </c>
      <c r="S251" s="5">
        <f t="shared" si="8"/>
        <v>0</v>
      </c>
      <c r="T251" s="76">
        <v>0</v>
      </c>
      <c r="U251" s="5">
        <f>+Tabla14[[#This Row],[Atraso a facturar]]+Tabla14[[#This Row],[Ajuste atraso]]</f>
        <v>0</v>
      </c>
      <c r="V251" s="3">
        <f>+Tabla14[[#This Row],[Total disponible]]-Tabla14[[#This Row],[Facturación atraso]]</f>
        <v>6938.7135252373209</v>
      </c>
      <c r="W251" s="6">
        <f>IFERROR(IF(AND(V251&gt;R251,J251&gt;=R251),ROUNDDOWN((Tabla14[[#This Row],[Producción para venta nueva]])/R251,0)*R251,0),0)</f>
        <v>0</v>
      </c>
      <c r="X251" s="76">
        <v>0</v>
      </c>
      <c r="Y251" s="6">
        <f>IF(Tabla14[[#This Row],[Venta del mes]]&gt;0,Tabla14[[#This Row],[Venta del mes]]+Tabla14[[#This Row],[Ajuste venta nueva]],0)</f>
        <v>0</v>
      </c>
      <c r="Z251" s="6">
        <f>+Tabla14[[#This Row],[Producción para venta nueva]]-Tabla14[[#This Row],[Facturación Venta nueva]]</f>
        <v>6938.7135252373209</v>
      </c>
      <c r="AA251" s="6">
        <f>IF(AND(A251=1,Tabla14[[#This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1" s="6">
        <v>0</v>
      </c>
      <c r="AC251" s="6">
        <f>IF(Tabla14[[#This Row],[Disponible stock sin venta]]&gt;0,Tabla14[[#This Row],[Disponible stock sin venta]]+Tabla14[[#This Row],[Ajuste stock sin venta]],0)</f>
        <v>0</v>
      </c>
      <c r="AD251" s="3">
        <f>IFERROR(VLOOKUP(Tabla14[[#This Row],[Llave]],[12]Hoja1!$A:$D,4,FALSE),0)</f>
        <v>7640</v>
      </c>
      <c r="AE25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7640</v>
      </c>
      <c r="AF251" s="3">
        <v>7640</v>
      </c>
      <c r="AG251" s="3">
        <f>+Tabla14[[#This Row],[En puerto a facturar]]</f>
        <v>7640</v>
      </c>
      <c r="AH251" s="3">
        <f>+Tabla14[[#This Row],[Facturación atraso]]</f>
        <v>0</v>
      </c>
      <c r="AI251" s="3">
        <f>+Tabla14[[#This Row],[Plan Irrestricto (DATO)]]-Tabla14[[#This Row],[Puerto ]]-Tabla14[[#This Row],[Atraso]]</f>
        <v>0</v>
      </c>
      <c r="AJ251" s="6">
        <f>IF(Tabla14[[#This Row],[Plan Irrestricto (DATO)]]&gt;0,SUM(Tabla14[[#This Row],[Facturación atraso]],Tabla14[[#This Row],[Facturación Venta nueva]],Tabla14[[#This Row],[Facturación stock]],Tabla14[[#This Row],[En puerto a facturar]]),0)</f>
        <v>7640</v>
      </c>
      <c r="AK251" s="3">
        <f>+Tabla14[[#This Row],[Facturación atraso]]</f>
        <v>0</v>
      </c>
      <c r="AL251" s="3">
        <f>Tabla14[[#This Row],[Plan Ajustado]]-Tabla14[[#This Row],[ Atraso ajustado]]-Tabla14[[#This Row],[En puerto a facturar]]</f>
        <v>0</v>
      </c>
      <c r="AM251" s="3">
        <v>0</v>
      </c>
      <c r="AN251" s="3"/>
      <c r="AO251" s="3" t="str">
        <f>IF(Tabla14[[#This Row],[Plan Ajustado]]&gt;Tabla14[[#This Row],[En puerto a facturar]],"Si","No")</f>
        <v>No</v>
      </c>
      <c r="AP25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51" s="3">
        <f>IF(Tabla14[[#This Row],[Necesidad]]&gt;=Tabla14[[#This Row],[Stock al día]],Tabla14[[#This Row],[Stock al día]],Tabla14[[#This Row],[Necesidad]])</f>
        <v>0</v>
      </c>
      <c r="AR251" s="3">
        <f>+Tabla14[[#This Row],[Necesidad]]-Tabla14[[#This Row],[Stock Plan]]</f>
        <v>0</v>
      </c>
      <c r="AS251" s="155">
        <f>VLOOKUP(Tabla14[[#This Row],[Sector]]&amp;Tabla14[[#This Row],[Oficina]],[8]Ponderación!$A:$H,8,FALSE)</f>
        <v>44817</v>
      </c>
      <c r="AT251" s="30">
        <f>IFERROR(VLOOKUP(Tabla14[[#This Row],[Llave]],'[6]RV plan de ventas'!$A:$F,6,FALSE),0)</f>
        <v>0</v>
      </c>
      <c r="AU251" s="83">
        <f>IFERROR(VLOOKUP(Tabla14[[#This Row],[Llave]],[9]DELAY!$H:$X,17,FALSE),0)</f>
        <v>0</v>
      </c>
      <c r="AV25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51" s="5">
        <f>Tabla14[[#This Row],[Pecio plan]]*Tabla14[[#This Row],[Plan Ajustado]]</f>
        <v>8248.7256905965605</v>
      </c>
      <c r="AX251" s="30">
        <f>IFERROR(VLOOKUP(Tabla14[[#This Row],[Llave]],'[13]Ultimos precios facturados'!$A:$G,7,FALSE),0)</f>
        <v>1.0796761375126389</v>
      </c>
      <c r="AY25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51" s="30">
        <f>IFERROR(VLOOKUP(Tabla14[[#This Row],[Llave]],Hoja2!B:K,10,FALSE),0)</f>
        <v>1.38333333333333</v>
      </c>
      <c r="BA25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1.0796761375126389</v>
      </c>
      <c r="BB251" s="30">
        <v>0</v>
      </c>
      <c r="BC251" s="30">
        <f>IF(Tabla14[[#This Row],[Market]]=0,Tabla14[[#This Row],[Precio Final]],Tabla14[[#This Row],[Market]])</f>
        <v>1.0796761375126389</v>
      </c>
      <c r="BD251" s="82"/>
      <c r="BE251" s="82" t="str">
        <f>IF(AND(Tabla14[[#This Row],[Atraso a facturar]]&gt;0,Tabla14[[#This Row],[En puerto a facturar]]&gt;0,Tabla14[[#This Row],[Precio Atraso]]=0),"Revisar","OK")</f>
        <v>OK</v>
      </c>
      <c r="BF251" s="82" t="str">
        <f>IF(AND(Tabla14[[#This Row],[Venta del mes]]&gt;0,Tabla14[[#This Row],[Precio venta nueva]]=0),"Revisar","OK")</f>
        <v>OK</v>
      </c>
      <c r="BG251" s="20">
        <f>IFERROR(VLOOKUP(Tabla14[[#This Row],[Llave]],'[5]Consolidación planes'!$A:$M,9,FALSE),0)</f>
        <v>4340</v>
      </c>
      <c r="BH251" s="20">
        <f>IFERROR(VLOOKUP(Tabla14[[#This Row],[Llave]],'[5]Consolidación planes'!$A:$M,10,FALSE),0)</f>
        <v>0</v>
      </c>
      <c r="BI251" s="20">
        <f>IFERROR(VLOOKUP(Tabla14[[#This Row],[Llave]],'[5]Consolidación planes'!$A:$M,11,FALSE),0)</f>
        <v>10660</v>
      </c>
      <c r="BJ251" s="20">
        <f>IFERROR(VLOOKUP(Tabla14[[#This Row],[Llave]],'[5]Consolidación planes'!$A:$M,12,FALSE),0)</f>
        <v>0</v>
      </c>
      <c r="BK251" s="20">
        <f>IFERROR(VLOOKUP(Tabla14[[#This Row],[Llave]],'[5]Consolidación planes'!$A:$M,13,FALSE),0)</f>
        <v>0</v>
      </c>
      <c r="BL251" s="20">
        <f>IFERROR(VLOOKUP(Tabla14[[#This Row],[Llave]],'[13]Base ultimos planes'!$A:$M,13,FALSE),0)</f>
        <v>0</v>
      </c>
      <c r="BM251" s="20">
        <f>IFERROR(VLOOKUP(Tabla14[[#This Row],[Llave]],'[13]Cruce plan irrestricto'!$C:$M,10,FALSE),0)</f>
        <v>0</v>
      </c>
      <c r="BN251" s="20">
        <f>IFERROR(VLOOKUP(Tabla14[[#This Row],[Llave]],'[13]Cruce plan irrestricto'!$C:$M,11,FALSE),0)</f>
        <v>7500</v>
      </c>
      <c r="BO251" s="80">
        <f>IFERROR(VLOOKUP(Tabla14[[#This Row],[Llave]],'[13]Base ultimos planes'!$O:$AA,8,FALSE),0)</f>
        <v>3906</v>
      </c>
      <c r="BP251" s="20">
        <f>IFERROR(VLOOKUP(Tabla14[[#This Row],[Llave]],'[13]Base ultimos planes'!$O:$AA,9,FALSE),0)</f>
        <v>0</v>
      </c>
      <c r="BQ251" s="20">
        <f>IFERROR(VLOOKUP(Tabla14[[#This Row],[Llave]],'[13]Base ultimos planes'!$O:$AA,10,FALSE),0)</f>
        <v>10660</v>
      </c>
      <c r="BR251" s="20">
        <f>IFERROR(VLOOKUP(Tabla14[[#This Row],[Llave]],'[13]Base ultimos planes'!$O:$AA,11,FALSE),0)</f>
        <v>0</v>
      </c>
      <c r="BS251" s="20">
        <f>IFERROR(VLOOKUP(Tabla14[[#This Row],[Llave]],'[13]Base ultimos planes'!$O:$AA,12,FALSE),0)</f>
        <v>0</v>
      </c>
      <c r="BT251" s="20">
        <f>IFERROR(VLOOKUP(Tabla14[[#This Row],[Llave]],'[13]Base ultimos planes'!$O:$AA,13,FALSE),0)</f>
        <v>0</v>
      </c>
      <c r="BU251" s="20"/>
      <c r="BV251" s="20">
        <f>Tabla14[[#This Row],[ RV Producción mes n+1]]-Tabla14[[#This Row],[Producción disponible]]+Tabla14[[#This Row],[Saldo Volumen disponible]]</f>
        <v>9367</v>
      </c>
      <c r="BW251" s="20">
        <f>IFERROR(VLOOKUP(Tabla14[[#This Row],[Llave]],[14]Hoja2!$J:$N,4,FALSE),0)</f>
        <v>0</v>
      </c>
      <c r="BX251" s="20">
        <f>+Tabla14[[#This Row],[Asignación mes n+1]]*Tabla14[[#This Row],[% Uti. producción]]</f>
        <v>0</v>
      </c>
      <c r="BY251" s="20">
        <f>+Tabla14[[#This Row],[Ponderación mes n+1]]+Tabla14[[#This Row],[Saldo mes n-1]]</f>
        <v>9367</v>
      </c>
      <c r="BZ251" s="20">
        <f>+Tabla14[[#This Row],[Asignación mes n+1]]-Tabla14[[#This Row],[Ponderación mes n+1]]</f>
        <v>0</v>
      </c>
      <c r="CA251" s="20">
        <f>IFERROR(VLOOKUP(Tabla14[[#This Row],[Llave]],[14]Hoja2!$J:$N,5,FALSE),0)</f>
        <v>0</v>
      </c>
      <c r="CB251" s="20">
        <f>+Tabla14[[#This Row],[Asignación mes n+2]]*Tabla14[[#This Row],[% Uti. producción]]</f>
        <v>0</v>
      </c>
      <c r="CC251" s="20">
        <f>+Tabla14[[#This Row],[Saldo mes n+2]]+Tabla14[[#This Row],[Ponderación mes n+2]]</f>
        <v>0</v>
      </c>
      <c r="CD251" s="20">
        <f>+Tabla14[[#This Row],[Asignación mes n+2]]-Tabla14[[#This Row],[Ponderación mes n+2]]</f>
        <v>0</v>
      </c>
    </row>
    <row r="252" spans="1:82" ht="16" x14ac:dyDescent="0.2">
      <c r="A252">
        <v>1</v>
      </c>
      <c r="B252" t="str">
        <f>Tabla14[[#This Row],[Oficina]]&amp;Tabla14[[#This Row],[Material]]</f>
        <v>Agro Mexico1012764</v>
      </c>
      <c r="C252" t="s">
        <v>227</v>
      </c>
      <c r="D252" t="s">
        <v>370</v>
      </c>
      <c r="E252">
        <v>1012764</v>
      </c>
      <c r="F252" t="s">
        <v>369</v>
      </c>
      <c r="G252" t="s">
        <v>233</v>
      </c>
      <c r="H252" t="s">
        <v>371</v>
      </c>
      <c r="I252" s="7">
        <f>IFERROR(IF(Tabla14[[#This Row],[Oficina]]=$I$7,VLOOKUP(Tabla14[[#This Row],[Material]],'[6]RV Producción'!$Y:$AA,3,FALSE),VLOOKUP(Tabla14[[#This Row],[Llave]],'[6]RV Producción'!$C:$G,5,FALSE)),0)</f>
        <v>189434</v>
      </c>
      <c r="J252" s="7">
        <f>IFERROR(IF(Tabla14[[#This Row],[Oficina]]=$I$7,VLOOKUP(Tabla14[[#This Row],[Llave]],'[7]Shangai (Tomas)'!$A:$F,6,FALSE),VLOOKUP(Tabla14[[#This Row],[Llave]],'[6]RV plan de ventas'!$A:$E,5,FALSE)),0)</f>
        <v>120001</v>
      </c>
      <c r="K252" s="8">
        <f>IFERROR(VLOOKUP(Tabla14[[#This Row],[Sector]]&amp;Tabla14[[#This Row],[Oficina]],[8]Ponderación!$A$3:$G$22,7,FALSE),0)</f>
        <v>0.52379475531688124</v>
      </c>
      <c r="L252" s="7">
        <f>+Tabla14[[#This Row],[ RV Producción mes n+1]]*Tabla14[[#This Row],[% Uti. producción]]</f>
        <v>99224.535678698085</v>
      </c>
      <c r="M252" s="7">
        <f>IFERROR(VLOOKUP(Tabla14[[#This Row],[Material]],'[9]TD Stock'!$B:$C,2,FALSE),0)</f>
        <v>17749.162</v>
      </c>
      <c r="N252" s="7">
        <f>IFERROR(VLOOKUP(Tabla14[[#This Row],[Material]],'[10]Consolidado planificación'!$B:$C,2,FALSE),0)</f>
        <v>60000</v>
      </c>
      <c r="O252" s="7">
        <f>IFERROR(VLOOKUP(Tabla14[[#This Row],[Llave]],[11]Hoja2!$D:$G,4,FALSE),0)</f>
        <v>0</v>
      </c>
      <c r="P252" s="14">
        <f>SUM(Tabla14[[#This Row],[Producción disponible]],Tabla14[[#This Row],[Stock al día]],(Tabla14[[#This Row],[Por producir mes N]]*0.9))-Tabla14[[#This Row],[Producción por despachar mes N]]</f>
        <v>170973.69767869808</v>
      </c>
      <c r="Q252" s="7">
        <f>IFERROR(VLOOKUP(Tabla14[[#This Row],[Llave]],[9]DELAY!$A:$D,4,FALSE),0)</f>
        <v>192000</v>
      </c>
      <c r="R252" s="9">
        <v>23000</v>
      </c>
      <c r="S252" s="5">
        <f t="shared" si="8"/>
        <v>161000</v>
      </c>
      <c r="T252" s="76">
        <v>0</v>
      </c>
      <c r="U252" s="5">
        <f>+Tabla14[[#This Row],[Atraso a facturar]]+Tabla14[[#This Row],[Ajuste atraso]]</f>
        <v>161000</v>
      </c>
      <c r="V252" s="3">
        <f>+Tabla14[[#This Row],[Total disponible]]-Tabla14[[#This Row],[Facturación atraso]]</f>
        <v>9973.6976786980813</v>
      </c>
      <c r="W252" s="6">
        <f>IFERROR(IF(AND(V252&gt;R252,J252&gt;=R252),ROUNDDOWN((Tabla14[[#This Row],[Producción para venta nueva]])/R252,0)*R252,0),0)</f>
        <v>0</v>
      </c>
      <c r="X252" s="76">
        <v>0</v>
      </c>
      <c r="Y252" s="6">
        <f>IF(Tabla14[[#This Row],[Venta del mes]]&gt;0,Tabla14[[#This Row],[Venta del mes]]+Tabla14[[#This Row],[Ajuste venta nueva]],0)</f>
        <v>0</v>
      </c>
      <c r="Z252" s="6">
        <f>+Tabla14[[#This Row],[Producción para venta nueva]]-Tabla14[[#This Row],[Facturación Venta nueva]]</f>
        <v>9973.6976786980813</v>
      </c>
      <c r="AA252" s="6">
        <f>IF(AND(A252=1,Tabla14[[#This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2" s="6">
        <v>0</v>
      </c>
      <c r="AC252" s="6">
        <f>IF(Tabla14[[#This Row],[Disponible stock sin venta]]&gt;0,Tabla14[[#This Row],[Disponible stock sin venta]]+Tabla14[[#This Row],[Ajuste stock sin venta]],0)</f>
        <v>0</v>
      </c>
      <c r="AD252" s="3">
        <f>IFERROR(VLOOKUP(Tabla14[[#This Row],[Llave]],[12]Hoja1!$A:$D,4,FALSE),0)</f>
        <v>143799.72000000003</v>
      </c>
      <c r="AE25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304799.72000000003</v>
      </c>
      <c r="AF252" s="3">
        <v>304799.72000000003</v>
      </c>
      <c r="AG252" s="3">
        <f>+Tabla14[[#This Row],[En puerto a facturar]]</f>
        <v>143799.72000000003</v>
      </c>
      <c r="AH252" s="3">
        <f>+Tabla14[[#This Row],[Facturación atraso]]</f>
        <v>161000</v>
      </c>
      <c r="AI252" s="3">
        <f>+Tabla14[[#This Row],[Plan Irrestricto (DATO)]]-Tabla14[[#This Row],[Puerto ]]-Tabla14[[#This Row],[Atraso]]</f>
        <v>0</v>
      </c>
      <c r="AJ252" s="6">
        <f>IF(Tabla14[[#This Row],[Plan Irrestricto (DATO)]]&gt;0,SUM(Tabla14[[#This Row],[Facturación atraso]],Tabla14[[#This Row],[Facturación Venta nueva]],Tabla14[[#This Row],[Facturación stock]],Tabla14[[#This Row],[En puerto a facturar]]),0)</f>
        <v>304799.72000000003</v>
      </c>
      <c r="AK252" s="3">
        <f>+Tabla14[[#This Row],[Facturación atraso]]</f>
        <v>161000</v>
      </c>
      <c r="AL252" s="3">
        <f>Tabla14[[#This Row],[Plan Ajustado]]-Tabla14[[#This Row],[ Atraso ajustado]]-Tabla14[[#This Row],[En puerto a facturar]]</f>
        <v>0</v>
      </c>
      <c r="AM252" s="3">
        <v>0</v>
      </c>
      <c r="AN252" s="3"/>
      <c r="AO252" s="3" t="str">
        <f>IF(Tabla14[[#This Row],[Plan Ajustado]]&gt;Tabla14[[#This Row],[En puerto a facturar]],"Si","No")</f>
        <v>Si</v>
      </c>
      <c r="AP252" s="3">
        <f>IF(AND(Tabla14[[#This Row],[Plan Ajustado]]&gt;0,Tabla14[[#This Row],[Plan Ajustado]]&gt;Tabla14[[#This Row],[En puerto a facturar]]),(Tabla14[[#This Row],[Plan Ajustado]]-Tabla14[[#This Row],[En puerto a facturar]]),0)</f>
        <v>161000</v>
      </c>
      <c r="AQ252" s="3">
        <f>IF(Tabla14[[#This Row],[Necesidad]]&gt;=Tabla14[[#This Row],[Stock al día]],Tabla14[[#This Row],[Stock al día]],Tabla14[[#This Row],[Necesidad]])</f>
        <v>17749.162</v>
      </c>
      <c r="AR252" s="3">
        <f>+Tabla14[[#This Row],[Necesidad]]-Tabla14[[#This Row],[Stock Plan]]</f>
        <v>143250.83799999999</v>
      </c>
      <c r="AS252" s="155">
        <f>VLOOKUP(Tabla14[[#This Row],[Sector]]&amp;Tabla14[[#This Row],[Oficina]],[8]Ponderación!$A:$H,8,FALSE)</f>
        <v>44787</v>
      </c>
      <c r="AT252" s="30">
        <f>IFERROR(VLOOKUP(Tabla14[[#This Row],[Llave]],'[6]RV plan de ventas'!$A:$F,6,FALSE),0)</f>
        <v>0.68207764935292203</v>
      </c>
      <c r="AU252" s="83">
        <f>IFERROR(VLOOKUP(Tabla14[[#This Row],[Llave]],[9]DELAY!$H:$X,17,FALSE),0)</f>
        <v>0.76217570833333392</v>
      </c>
      <c r="AV25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0.76217570833333392</v>
      </c>
      <c r="AW252" s="5">
        <f>Tabla14[[#This Row],[Pecio plan]]*Tabla14[[#This Row],[Plan Ajustado]]</f>
        <v>232310.94249080186</v>
      </c>
      <c r="AX252" s="30">
        <f>IFERROR(VLOOKUP(Tabla14[[#This Row],[Llave]],'[13]Ultimos precios facturados'!$A:$G,7,FALSE),0)</f>
        <v>0.81651936514029222</v>
      </c>
      <c r="AY252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6.65552577526696E-2</v>
      </c>
      <c r="AZ252" s="30">
        <f>IFERROR(VLOOKUP(Tabla14[[#This Row],[Llave]],Hoja2!B:K,10,FALSE),0)</f>
        <v>0.74675410788355934</v>
      </c>
      <c r="BA25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0.76217570833333392</v>
      </c>
      <c r="BB252" s="30">
        <v>0</v>
      </c>
      <c r="BC252" s="30">
        <f>IF(Tabla14[[#This Row],[Market]]=0,Tabla14[[#This Row],[Precio Final]],Tabla14[[#This Row],[Market]])</f>
        <v>0.76217570833333392</v>
      </c>
      <c r="BD252" s="82"/>
      <c r="BE252" s="82" t="str">
        <f>IF(AND(Tabla14[[#This Row],[Atraso a facturar]]&gt;0,Tabla14[[#This Row],[En puerto a facturar]]&gt;0,Tabla14[[#This Row],[Precio Atraso]]=0),"Revisar","OK")</f>
        <v>OK</v>
      </c>
      <c r="BF252" s="82" t="str">
        <f>IF(AND(Tabla14[[#This Row],[Venta del mes]]&gt;0,Tabla14[[#This Row],[Precio venta nueva]]=0),"Revisar","OK")</f>
        <v>OK</v>
      </c>
      <c r="BG252" s="20">
        <f>IFERROR(VLOOKUP(Tabla14[[#This Row],[Llave]],'[5]Consolidación planes'!$A:$M,9,FALSE),0)</f>
        <v>0</v>
      </c>
      <c r="BH252" s="20">
        <f>IFERROR(VLOOKUP(Tabla14[[#This Row],[Llave]],'[5]Consolidación planes'!$A:$M,10,FALSE),0)</f>
        <v>0</v>
      </c>
      <c r="BI252" s="20">
        <f>IFERROR(VLOOKUP(Tabla14[[#This Row],[Llave]],'[5]Consolidación planes'!$A:$M,11,FALSE),0)</f>
        <v>0</v>
      </c>
      <c r="BJ252" s="20">
        <f>IFERROR(VLOOKUP(Tabla14[[#This Row],[Llave]],'[5]Consolidación planes'!$A:$M,12,FALSE),0)</f>
        <v>0</v>
      </c>
      <c r="BK252" s="20">
        <f>IFERROR(VLOOKUP(Tabla14[[#This Row],[Llave]],'[5]Consolidación planes'!$A:$M,13,FALSE),0)</f>
        <v>0</v>
      </c>
      <c r="BL252" s="20">
        <f>IFERROR(VLOOKUP(Tabla14[[#This Row],[Llave]],'[13]Base ultimos planes'!$A:$M,13,FALSE),0)</f>
        <v>312001</v>
      </c>
      <c r="BM252" s="20">
        <f>IFERROR(VLOOKUP(Tabla14[[#This Row],[Llave]],'[13]Cruce plan irrestricto'!$C:$M,10,FALSE),0)</f>
        <v>192000</v>
      </c>
      <c r="BN252" s="20">
        <f>IFERROR(VLOOKUP(Tabla14[[#This Row],[Llave]],'[13]Cruce plan irrestricto'!$C:$M,11,FALSE),0)</f>
        <v>359989.05</v>
      </c>
      <c r="BO252" s="80">
        <f>IFERROR(VLOOKUP(Tabla14[[#This Row],[Llave]],'[13]Base ultimos planes'!$O:$AA,8,FALSE),0)</f>
        <v>0</v>
      </c>
      <c r="BP252" s="20">
        <f>IFERROR(VLOOKUP(Tabla14[[#This Row],[Llave]],'[13]Base ultimos planes'!$O:$AA,9,FALSE),0)</f>
        <v>0</v>
      </c>
      <c r="BQ252" s="20">
        <f>IFERROR(VLOOKUP(Tabla14[[#This Row],[Llave]],'[13]Base ultimos planes'!$O:$AA,10,FALSE),0)</f>
        <v>0</v>
      </c>
      <c r="BR252" s="20">
        <f>IFERROR(VLOOKUP(Tabla14[[#This Row],[Llave]],'[13]Base ultimos planes'!$O:$AA,11,FALSE),0)</f>
        <v>0</v>
      </c>
      <c r="BS252" s="20">
        <f>IFERROR(VLOOKUP(Tabla14[[#This Row],[Llave]],'[13]Base ultimos planes'!$O:$AA,12,FALSE),0)</f>
        <v>0</v>
      </c>
      <c r="BT252" s="20">
        <f>IFERROR(VLOOKUP(Tabla14[[#This Row],[Llave]],'[13]Base ultimos planes'!$O:$AA,13,FALSE),0)</f>
        <v>303633.28684000002</v>
      </c>
      <c r="BU252" s="20"/>
      <c r="BV252" s="20">
        <f>Tabla14[[#This Row],[ RV Producción mes n+1]]-Tabla14[[#This Row],[Producción disponible]]+Tabla14[[#This Row],[Saldo Volumen disponible]]</f>
        <v>100183.162</v>
      </c>
      <c r="BW252" s="20">
        <f>IFERROR(VLOOKUP(Tabla14[[#This Row],[Llave]],[14]Hoja2!$J:$N,4,FALSE),0)</f>
        <v>162689.66</v>
      </c>
      <c r="BX252" s="20">
        <f>+Tabla14[[#This Row],[Asignación mes n+1]]*Tabla14[[#This Row],[% Uti. producción]]</f>
        <v>85215.990652286608</v>
      </c>
      <c r="BY252" s="20">
        <f>+Tabla14[[#This Row],[Ponderación mes n+1]]+Tabla14[[#This Row],[Saldo mes n-1]]</f>
        <v>185399.1526522866</v>
      </c>
      <c r="BZ252" s="20">
        <f>+Tabla14[[#This Row],[Asignación mes n+1]]-Tabla14[[#This Row],[Ponderación mes n+1]]</f>
        <v>77473.669347713396</v>
      </c>
      <c r="CA252" s="20">
        <f>IFERROR(VLOOKUP(Tabla14[[#This Row],[Llave]],[14]Hoja2!$J:$N,5,FALSE),0)</f>
        <v>216620.69</v>
      </c>
      <c r="CB252" s="20">
        <f>+Tabla14[[#This Row],[Asignación mes n+2]]*Tabla14[[#This Row],[% Uti. producción]]</f>
        <v>113464.78131512398</v>
      </c>
      <c r="CC252" s="20">
        <f>+Tabla14[[#This Row],[Saldo mes n+2]]+Tabla14[[#This Row],[Ponderación mes n+2]]</f>
        <v>190938.45066283736</v>
      </c>
      <c r="CD252" s="20">
        <f>+Tabla14[[#This Row],[Asignación mes n+2]]-Tabla14[[#This Row],[Ponderación mes n+2]]</f>
        <v>103155.90868487602</v>
      </c>
    </row>
    <row r="253" spans="1:82" ht="16" x14ac:dyDescent="0.2">
      <c r="A253">
        <v>2</v>
      </c>
      <c r="B253" t="str">
        <f>Tabla14[[#This Row],[Oficina]]&amp;Tabla14[[#This Row],[Material]]</f>
        <v>Agrosuper Shanghai1030525</v>
      </c>
      <c r="C253" t="s">
        <v>204</v>
      </c>
      <c r="D253" t="s">
        <v>140</v>
      </c>
      <c r="E253">
        <v>1030525</v>
      </c>
      <c r="F253" t="s">
        <v>374</v>
      </c>
      <c r="G253" t="s">
        <v>205</v>
      </c>
      <c r="H253" t="s">
        <v>206</v>
      </c>
      <c r="I253" s="7">
        <f>IFERROR(IF(Tabla14[[#This Row],[Oficina]]=$I$7,VLOOKUP(Tabla14[[#This Row],[Material]],'[6]RV Producción'!$Y:$AA,3,FALSE),VLOOKUP(Tabla14[[#This Row],[Llave]],'[6]RV Producción'!$C:$G,5,FALSE)),0)</f>
        <v>114204</v>
      </c>
      <c r="J253" s="7">
        <f>IFERROR(IF(Tabla14[[#This Row],[Oficina]]=$I$7,VLOOKUP(Tabla14[[#This Row],[Llave]],'[7]Shangai (Tomas)'!$A:$F,6,FALSE),VLOOKUP(Tabla14[[#This Row],[Llave]],'[6]RV plan de ventas'!$A:$E,5,FALSE)),0)</f>
        <v>0</v>
      </c>
      <c r="K253" s="8">
        <f>IFERROR(VLOOKUP(Tabla14[[#This Row],[Sector]]&amp;Tabla14[[#This Row],[Oficina]],[8]Ponderación!$A$3:$G$22,7,FALSE),0)</f>
        <v>0.47745072632608576</v>
      </c>
      <c r="L253" s="7">
        <f>+Tabla14[[#This Row],[ RV Producción mes n+1]]*Tabla14[[#This Row],[% Uti. producción]]</f>
        <v>54526.782749344296</v>
      </c>
      <c r="M253" s="7">
        <f>IFERROR(VLOOKUP(Tabla14[[#This Row],[Material]],'[9]TD Stock'!$B:$C,2,FALSE),0)</f>
        <v>29685</v>
      </c>
      <c r="N253" s="7">
        <f>IFERROR(VLOOKUP(Tabla14[[#This Row],[Material]],'[10]Consolidado planificación'!$B:$C,2,FALSE),0)</f>
        <v>21030.816039306366</v>
      </c>
      <c r="O253" s="7">
        <f>IFERROR(VLOOKUP(Tabla14[[#This Row],[Llave]],[11]Hoja2!$D:$G,4,FALSE),0)</f>
        <v>0</v>
      </c>
      <c r="P253" s="14">
        <f>SUM(Tabla14[[#This Row],[Producción disponible]],Tabla14[[#This Row],[Stock al día]],(Tabla14[[#This Row],[Por producir mes N]]*0.9))-Tabla14[[#This Row],[Producción por despachar mes N]]</f>
        <v>103139.51718472003</v>
      </c>
      <c r="Q253" s="7">
        <f>IFERROR(VLOOKUP(Tabla14[[#This Row],[Llave]],[9]DELAY!$A:$D,4,FALSE),0)</f>
        <v>0</v>
      </c>
      <c r="R253" s="9">
        <v>23000</v>
      </c>
      <c r="S253" s="5">
        <f t="shared" si="8"/>
        <v>0</v>
      </c>
      <c r="T253" s="76">
        <v>0</v>
      </c>
      <c r="U253" s="5">
        <f>+Tabla14[[#This Row],[Atraso a facturar]]+Tabla14[[#This Row],[Ajuste atraso]]</f>
        <v>0</v>
      </c>
      <c r="V253" s="3">
        <f>+Tabla14[[#This Row],[Total disponible]]-Tabla14[[#This Row],[Facturación atraso]]</f>
        <v>103139.51718472003</v>
      </c>
      <c r="W253" s="6">
        <f>IFERROR(IF(AND(V253&gt;R253,J253&gt;=R253),ROUNDDOWN((Tabla14[[#This Row],[Producción para venta nueva]])/R253,0)*R253,0),0)</f>
        <v>0</v>
      </c>
      <c r="X253" s="76">
        <v>0</v>
      </c>
      <c r="Y253" s="6">
        <f>IF(Tabla14[[#This Row],[Venta del mes]]&gt;0,Tabla14[[#This Row],[Venta del mes]]+Tabla14[[#This Row],[Ajuste venta nueva]],0)</f>
        <v>0</v>
      </c>
      <c r="Z253" s="6">
        <f>+Tabla14[[#This Row],[Producción para venta nueva]]-Tabla14[[#This Row],[Facturación Venta nueva]]</f>
        <v>103139.51718472003</v>
      </c>
      <c r="AA253" s="6">
        <f>IF(AND(A253=1,Tabla14[[#This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3" s="6">
        <v>0</v>
      </c>
      <c r="AC253" s="6">
        <f>IF(Tabla14[[#This Row],[Disponible stock sin venta]]&gt;0,Tabla14[[#This Row],[Disponible stock sin venta]]+Tabla14[[#This Row],[Ajuste stock sin venta]],0)</f>
        <v>0</v>
      </c>
      <c r="AD253" s="3">
        <f>IFERROR(VLOOKUP(Tabla14[[#This Row],[Llave]],[12]Hoja1!$A:$D,4,FALSE),0)</f>
        <v>0</v>
      </c>
      <c r="AE25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53" s="3">
        <v>0</v>
      </c>
      <c r="AG253" s="3">
        <f>+Tabla14[[#This Row],[En puerto a facturar]]</f>
        <v>0</v>
      </c>
      <c r="AH253" s="3">
        <f>+Tabla14[[#This Row],[Facturación atraso]]</f>
        <v>0</v>
      </c>
      <c r="AI253" s="3">
        <f>+Tabla14[[#This Row],[Plan Irrestricto (DATO)]]-Tabla14[[#This Row],[Puerto ]]-Tabla14[[#This Row],[Atraso]]</f>
        <v>0</v>
      </c>
      <c r="AJ25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53" s="3">
        <f>+Tabla14[[#This Row],[Facturación atraso]]</f>
        <v>0</v>
      </c>
      <c r="AL253" s="3">
        <f>Tabla14[[#This Row],[Plan Ajustado]]-Tabla14[[#This Row],[ Atraso ajustado]]-Tabla14[[#This Row],[En puerto a facturar]]</f>
        <v>0</v>
      </c>
      <c r="AM253" s="3">
        <v>0</v>
      </c>
      <c r="AN253" s="3"/>
      <c r="AO253" s="3" t="str">
        <f>IF(Tabla14[[#This Row],[Plan Ajustado]]&gt;Tabla14[[#This Row],[En puerto a facturar]],"Si","No")</f>
        <v>No</v>
      </c>
      <c r="AP25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53" s="3">
        <f>IF(Tabla14[[#This Row],[Necesidad]]&gt;=Tabla14[[#This Row],[Stock al día]],Tabla14[[#This Row],[Stock al día]],Tabla14[[#This Row],[Necesidad]])</f>
        <v>0</v>
      </c>
      <c r="AR253" s="3">
        <f>+Tabla14[[#This Row],[Necesidad]]-Tabla14[[#This Row],[Stock Plan]]</f>
        <v>0</v>
      </c>
      <c r="AS253" s="155">
        <f>VLOOKUP(Tabla14[[#This Row],[Sector]]&amp;Tabla14[[#This Row],[Oficina]],[8]Ponderación!$A:$H,8,FALSE)</f>
        <v>44817</v>
      </c>
      <c r="AT253" s="30">
        <f>IFERROR(VLOOKUP(Tabla14[[#This Row],[Llave]],'[6]RV plan de ventas'!$A:$F,6,FALSE),0)</f>
        <v>0</v>
      </c>
      <c r="AU253" s="83">
        <f>IFERROR(VLOOKUP(Tabla14[[#This Row],[Llave]],[9]DELAY!$H:$X,17,FALSE),0)</f>
        <v>0</v>
      </c>
      <c r="AV25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53" s="5">
        <f>Tabla14[[#This Row],[Pecio plan]]*Tabla14[[#This Row],[Plan Ajustado]]</f>
        <v>0</v>
      </c>
      <c r="AX253" s="30">
        <f>IFERROR(VLOOKUP(Tabla14[[#This Row],[Llave]],'[13]Ultimos precios facturados'!$A:$G,7,FALSE),0)</f>
        <v>1.8726789500000001</v>
      </c>
      <c r="AY25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53" s="30">
        <f>IFERROR(VLOOKUP(Tabla14[[#This Row],[Llave]],Hoja2!B:K,10,FALSE),0)</f>
        <v>0</v>
      </c>
      <c r="BA25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53" s="30">
        <v>0</v>
      </c>
      <c r="BC253" s="30">
        <f>IF(Tabla14[[#This Row],[Market]]=0,Tabla14[[#This Row],[Precio Final]],Tabla14[[#This Row],[Market]])</f>
        <v>0</v>
      </c>
      <c r="BD253" s="82"/>
      <c r="BE253" s="82" t="str">
        <f>IF(AND(Tabla14[[#This Row],[Atraso a facturar]]&gt;0,Tabla14[[#This Row],[En puerto a facturar]]&gt;0,Tabla14[[#This Row],[Precio Atraso]]=0),"Revisar","OK")</f>
        <v>OK</v>
      </c>
      <c r="BF253" s="82" t="str">
        <f>IF(AND(Tabla14[[#This Row],[Venta del mes]]&gt;0,Tabla14[[#This Row],[Precio venta nueva]]=0),"Revisar","OK")</f>
        <v>OK</v>
      </c>
      <c r="BG253" s="20">
        <f>IFERROR(VLOOKUP(Tabla14[[#This Row],[Llave]],'[5]Consolidación planes'!$A:$M,9,FALSE),0)</f>
        <v>0</v>
      </c>
      <c r="BH253" s="20">
        <f>IFERROR(VLOOKUP(Tabla14[[#This Row],[Llave]],'[5]Consolidación planes'!$A:$M,10,FALSE),0)</f>
        <v>0</v>
      </c>
      <c r="BI253" s="20">
        <f>IFERROR(VLOOKUP(Tabla14[[#This Row],[Llave]],'[5]Consolidación planes'!$A:$M,11,FALSE),0)</f>
        <v>0</v>
      </c>
      <c r="BJ253" s="20">
        <f>IFERROR(VLOOKUP(Tabla14[[#This Row],[Llave]],'[5]Consolidación planes'!$A:$M,12,FALSE),0)</f>
        <v>0</v>
      </c>
      <c r="BK253" s="20">
        <f>IFERROR(VLOOKUP(Tabla14[[#This Row],[Llave]],'[5]Consolidación planes'!$A:$M,13,FALSE),0)</f>
        <v>0</v>
      </c>
      <c r="BL253" s="20">
        <f>IFERROR(VLOOKUP(Tabla14[[#This Row],[Llave]],'[13]Base ultimos planes'!$A:$M,13,FALSE),0)</f>
        <v>0</v>
      </c>
      <c r="BM253" s="20">
        <f>IFERROR(VLOOKUP(Tabla14[[#This Row],[Llave]],'[13]Cruce plan irrestricto'!$C:$M,10,FALSE),0)</f>
        <v>24000</v>
      </c>
      <c r="BN253" s="20">
        <f>IFERROR(VLOOKUP(Tabla14[[#This Row],[Llave]],'[13]Cruce plan irrestricto'!$C:$M,11,FALSE),0)</f>
        <v>24000</v>
      </c>
      <c r="BO253" s="80">
        <f>IFERROR(VLOOKUP(Tabla14[[#This Row],[Llave]],'[13]Base ultimos planes'!$O:$AA,8,FALSE),0)</f>
        <v>0</v>
      </c>
      <c r="BP253" s="20">
        <f>IFERROR(VLOOKUP(Tabla14[[#This Row],[Llave]],'[13]Base ultimos planes'!$O:$AA,9,FALSE),0)</f>
        <v>0</v>
      </c>
      <c r="BQ253" s="20">
        <f>IFERROR(VLOOKUP(Tabla14[[#This Row],[Llave]],'[13]Base ultimos planes'!$O:$AA,10,FALSE),0)</f>
        <v>0</v>
      </c>
      <c r="BR253" s="20">
        <f>IFERROR(VLOOKUP(Tabla14[[#This Row],[Llave]],'[13]Base ultimos planes'!$O:$AA,11,FALSE),0)</f>
        <v>0</v>
      </c>
      <c r="BS253" s="20">
        <f>IFERROR(VLOOKUP(Tabla14[[#This Row],[Llave]],'[13]Base ultimos planes'!$O:$AA,12,FALSE),0)</f>
        <v>0</v>
      </c>
      <c r="BT253" s="20">
        <f>IFERROR(VLOOKUP(Tabla14[[#This Row],[Llave]],'[13]Base ultimos planes'!$O:$AA,13,FALSE),0)</f>
        <v>0</v>
      </c>
      <c r="BU253" s="20"/>
      <c r="BV253" s="20">
        <f>Tabla14[[#This Row],[ RV Producción mes n+1]]-Tabla14[[#This Row],[Producción disponible]]+Tabla14[[#This Row],[Saldo Volumen disponible]]</f>
        <v>162816.73443537572</v>
      </c>
      <c r="BW253" s="20">
        <f>IFERROR(VLOOKUP(Tabla14[[#This Row],[Llave]],[14]Hoja2!$J:$N,4,FALSE),0)</f>
        <v>0</v>
      </c>
      <c r="BX253" s="20">
        <f>+Tabla14[[#This Row],[Asignación mes n+1]]*Tabla14[[#This Row],[% Uti. producción]]</f>
        <v>0</v>
      </c>
      <c r="BY253" s="20">
        <f>+Tabla14[[#This Row],[Ponderación mes n+1]]+Tabla14[[#This Row],[Saldo mes n-1]]</f>
        <v>162816.73443537572</v>
      </c>
      <c r="BZ253" s="20">
        <f>+Tabla14[[#This Row],[Asignación mes n+1]]-Tabla14[[#This Row],[Ponderación mes n+1]]</f>
        <v>0</v>
      </c>
      <c r="CA253" s="20">
        <f>IFERROR(VLOOKUP(Tabla14[[#This Row],[Llave]],[14]Hoja2!$J:$N,5,FALSE),0)</f>
        <v>0</v>
      </c>
      <c r="CB253" s="20">
        <f>+Tabla14[[#This Row],[Asignación mes n+2]]*Tabla14[[#This Row],[% Uti. producción]]</f>
        <v>0</v>
      </c>
      <c r="CC253" s="20">
        <f>+Tabla14[[#This Row],[Saldo mes n+2]]+Tabla14[[#This Row],[Ponderación mes n+2]]</f>
        <v>0</v>
      </c>
      <c r="CD253" s="20">
        <f>+Tabla14[[#This Row],[Asignación mes n+2]]-Tabla14[[#This Row],[Ponderación mes n+2]]</f>
        <v>0</v>
      </c>
    </row>
    <row r="254" spans="1:82" ht="16" x14ac:dyDescent="0.2">
      <c r="A254">
        <v>1</v>
      </c>
      <c r="B254" t="str">
        <f>Tabla14[[#This Row],[Oficina]]&amp;Tabla14[[#This Row],[Material]]</f>
        <v>Agro Sudamerica1030230</v>
      </c>
      <c r="C254" t="s">
        <v>204</v>
      </c>
      <c r="D254" t="s">
        <v>17</v>
      </c>
      <c r="E254">
        <v>1030230</v>
      </c>
      <c r="F254" t="s">
        <v>378</v>
      </c>
      <c r="G254" t="s">
        <v>71</v>
      </c>
      <c r="H254" t="s">
        <v>215</v>
      </c>
      <c r="I254" s="7">
        <f>IFERROR(IF(Tabla14[[#This Row],[Oficina]]=$I$7,VLOOKUP(Tabla14[[#This Row],[Material]],'[6]RV Producción'!$Y:$AA,3,FALSE),VLOOKUP(Tabla14[[#This Row],[Llave]],'[6]RV Producción'!$C:$G,5,FALSE)),0)</f>
        <v>0</v>
      </c>
      <c r="J254" s="7">
        <f>IFERROR(IF(Tabla14[[#This Row],[Oficina]]=$I$7,VLOOKUP(Tabla14[[#This Row],[Llave]],'[7]Shangai (Tomas)'!$A:$F,6,FALSE),VLOOKUP(Tabla14[[#This Row],[Llave]],'[6]RV plan de ventas'!$A:$E,5,FALSE)),0)</f>
        <v>0</v>
      </c>
      <c r="K254" s="8">
        <f>IFERROR(VLOOKUP(Tabla14[[#This Row],[Sector]]&amp;Tabla14[[#This Row],[Oficina]],[8]Ponderación!$A$3:$G$22,7,FALSE),0)</f>
        <v>0.47745072632608576</v>
      </c>
      <c r="L254" s="7">
        <f>+Tabla14[[#This Row],[ RV Producción mes n+1]]*Tabla14[[#This Row],[% Uti. producción]]</f>
        <v>0</v>
      </c>
      <c r="M254" s="7">
        <f>IFERROR(VLOOKUP(Tabla14[[#This Row],[Material]],'[9]TD Stock'!$B:$C,2,FALSE),0)</f>
        <v>0</v>
      </c>
      <c r="N254" s="7">
        <f>IFERROR(VLOOKUP(Tabla14[[#This Row],[Material]],'[10]Consolidado planificación'!$B:$C,2,FALSE),0)</f>
        <v>0</v>
      </c>
      <c r="O254" s="7">
        <f>IFERROR(VLOOKUP(Tabla14[[#This Row],[Llave]],[11]Hoja2!$D:$G,4,FALSE),0)</f>
        <v>0</v>
      </c>
      <c r="P254" s="14">
        <f>SUM(Tabla14[[#This Row],[Producción disponible]],Tabla14[[#This Row],[Stock al día]],(Tabla14[[#This Row],[Por producir mes N]]*0.9))-Tabla14[[#This Row],[Producción por despachar mes N]]</f>
        <v>0</v>
      </c>
      <c r="Q254" s="7">
        <f>IFERROR(VLOOKUP(Tabla14[[#This Row],[Llave]],[9]DELAY!$A:$D,4,FALSE),0)</f>
        <v>0</v>
      </c>
      <c r="R254" s="9">
        <v>23000</v>
      </c>
      <c r="S254" s="5">
        <f t="shared" si="8"/>
        <v>0</v>
      </c>
      <c r="T254" s="76">
        <v>0</v>
      </c>
      <c r="U254" s="5">
        <f>+Tabla14[[#This Row],[Atraso a facturar]]+Tabla14[[#This Row],[Ajuste atraso]]</f>
        <v>0</v>
      </c>
      <c r="V254" s="3">
        <f>+Tabla14[[#This Row],[Total disponible]]-Tabla14[[#This Row],[Facturación atraso]]</f>
        <v>0</v>
      </c>
      <c r="W254" s="6">
        <f>IFERROR(IF(AND(V254&gt;R254,J254&gt;=R254),ROUNDDOWN((Tabla14[[#This Row],[Producción para venta nueva]])/R254,0)*R254,0),0)</f>
        <v>0</v>
      </c>
      <c r="X254" s="76">
        <v>0</v>
      </c>
      <c r="Y254" s="6">
        <f>IF(Tabla14[[#This Row],[Venta del mes]]&gt;0,Tabla14[[#This Row],[Venta del mes]]+Tabla14[[#This Row],[Ajuste venta nueva]],0)</f>
        <v>0</v>
      </c>
      <c r="Z254" s="6">
        <f>+Tabla14[[#This Row],[Producción para venta nueva]]-Tabla14[[#This Row],[Facturación Venta nueva]]</f>
        <v>0</v>
      </c>
      <c r="AA254" s="6">
        <f>IF(AND(A254=1,Tabla14[[#This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4" s="6">
        <v>0</v>
      </c>
      <c r="AC254" s="6">
        <f>IF(Tabla14[[#This Row],[Disponible stock sin venta]]&gt;0,Tabla14[[#This Row],[Disponible stock sin venta]]+Tabla14[[#This Row],[Ajuste stock sin venta]],0)</f>
        <v>0</v>
      </c>
      <c r="AD254" s="3">
        <f>IFERROR(VLOOKUP(Tabla14[[#This Row],[Llave]],[12]Hoja1!$A:$D,4,FALSE),0)</f>
        <v>0</v>
      </c>
      <c r="AE254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54" s="3" t="b">
        <v>0</v>
      </c>
      <c r="AG254" s="3">
        <f>+Tabla14[[#This Row],[En puerto a facturar]]</f>
        <v>0</v>
      </c>
      <c r="AH254" s="3">
        <f>+Tabla14[[#This Row],[Facturación atraso]]</f>
        <v>0</v>
      </c>
      <c r="AI254" s="3">
        <f>+Tabla14[[#This Row],[Plan Irrestricto (DATO)]]-Tabla14[[#This Row],[Puerto ]]-Tabla14[[#This Row],[Atraso]]</f>
        <v>0</v>
      </c>
      <c r="AJ25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54" s="3">
        <f>+Tabla14[[#This Row],[Facturación atraso]]</f>
        <v>0</v>
      </c>
      <c r="AL254" s="3">
        <f>Tabla14[[#This Row],[Plan Ajustado]]-Tabla14[[#This Row],[ Atraso ajustado]]-Tabla14[[#This Row],[En puerto a facturar]]</f>
        <v>0</v>
      </c>
      <c r="AM254" s="3">
        <v>0</v>
      </c>
      <c r="AN254" s="3" t="e">
        <v>#REF!</v>
      </c>
      <c r="AO254" s="3" t="str">
        <f>IF(Tabla14[[#This Row],[Plan Ajustado]]&gt;Tabla14[[#This Row],[En puerto a facturar]],"Si","No")</f>
        <v>No</v>
      </c>
      <c r="AP25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54" s="3">
        <f>IF(Tabla14[[#This Row],[Necesidad]]&gt;=Tabla14[[#This Row],[Stock al día]],Tabla14[[#This Row],[Stock al día]],Tabla14[[#This Row],[Necesidad]])</f>
        <v>0</v>
      </c>
      <c r="AR254" s="3">
        <f>+Tabla14[[#This Row],[Necesidad]]-Tabla14[[#This Row],[Stock Plan]]</f>
        <v>0</v>
      </c>
      <c r="AS254" s="155">
        <f>VLOOKUP(Tabla14[[#This Row],[Sector]]&amp;Tabla14[[#This Row],[Oficina]],[8]Ponderación!$A:$H,8,FALSE)</f>
        <v>44817</v>
      </c>
      <c r="AT254" s="30">
        <f>IFERROR(VLOOKUP(Tabla14[[#This Row],[Llave]],'[6]RV plan de ventas'!$A:$F,6,FALSE),0)</f>
        <v>0</v>
      </c>
      <c r="AU254" s="83">
        <f>IFERROR(VLOOKUP(Tabla14[[#This Row],[Llave]],[9]DELAY!$H:$X,17,FALSE),0)</f>
        <v>0</v>
      </c>
      <c r="AV25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54" s="5">
        <f>Tabla14[[#This Row],[Pecio plan]]*Tabla14[[#This Row],[Plan Ajustado]]</f>
        <v>0</v>
      </c>
      <c r="AX254" s="30">
        <f>IFERROR(VLOOKUP(Tabla14[[#This Row],[Llave]],'[13]Ultimos precios facturados'!$A:$G,7,FALSE),0)</f>
        <v>0</v>
      </c>
      <c r="AY25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54" s="30">
        <f>IFERROR(VLOOKUP(Tabla14[[#This Row],[Llave]],Hoja2!B:K,10,FALSE),0)</f>
        <v>0</v>
      </c>
      <c r="BA25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54" s="30">
        <v>0</v>
      </c>
      <c r="BC254" s="30">
        <f>IF(Tabla14[[#This Row],[Market]]=0,Tabla14[[#This Row],[Precio Final]],Tabla14[[#This Row],[Market]])</f>
        <v>0</v>
      </c>
      <c r="BD254" s="82"/>
      <c r="BE254" s="82" t="str">
        <f>IF(AND(Tabla14[[#This Row],[Atraso a facturar]]&gt;0,Tabla14[[#This Row],[En puerto a facturar]]&gt;0,Tabla14[[#This Row],[Precio Atraso]]=0),"Revisar","OK")</f>
        <v>OK</v>
      </c>
      <c r="BF254" s="82" t="str">
        <f>IF(AND(Tabla14[[#This Row],[Venta del mes]]&gt;0,Tabla14[[#This Row],[Precio venta nueva]]=0),"Revisar","OK")</f>
        <v>OK</v>
      </c>
      <c r="BG254" s="20">
        <f>IFERROR(VLOOKUP(Tabla14[[#This Row],[Llave]],'[5]Consolidación planes'!$A:$M,9,FALSE),0)</f>
        <v>0</v>
      </c>
      <c r="BH254" s="20">
        <f>IFERROR(VLOOKUP(Tabla14[[#This Row],[Llave]],'[5]Consolidación planes'!$A:$M,10,FALSE),0)</f>
        <v>0</v>
      </c>
      <c r="BI254" s="20">
        <f>IFERROR(VLOOKUP(Tabla14[[#This Row],[Llave]],'[5]Consolidación planes'!$A:$M,11,FALSE),0)</f>
        <v>0</v>
      </c>
      <c r="BJ254" s="20">
        <f>IFERROR(VLOOKUP(Tabla14[[#This Row],[Llave]],'[5]Consolidación planes'!$A:$M,12,FALSE),0)</f>
        <v>0</v>
      </c>
      <c r="BK254" s="20">
        <f>IFERROR(VLOOKUP(Tabla14[[#This Row],[Llave]],'[5]Consolidación planes'!$A:$M,13,FALSE),0)</f>
        <v>0</v>
      </c>
      <c r="BL254" s="20">
        <f>IFERROR(VLOOKUP(Tabla14[[#This Row],[Llave]],'[13]Base ultimos planes'!$A:$M,13,FALSE),0)</f>
        <v>0</v>
      </c>
      <c r="BM254" s="20">
        <f>IFERROR(VLOOKUP(Tabla14[[#This Row],[Llave]],'[13]Cruce plan irrestricto'!$C:$M,10,FALSE),0)</f>
        <v>0</v>
      </c>
      <c r="BN254" s="20">
        <f>IFERROR(VLOOKUP(Tabla14[[#This Row],[Llave]],'[13]Cruce plan irrestricto'!$C:$M,11,FALSE),0)</f>
        <v>0</v>
      </c>
      <c r="BO254" s="80">
        <f>IFERROR(VLOOKUP(Tabla14[[#This Row],[Llave]],'[13]Base ultimos planes'!$O:$AA,8,FALSE),0)</f>
        <v>0</v>
      </c>
      <c r="BP254" s="20">
        <f>IFERROR(VLOOKUP(Tabla14[[#This Row],[Llave]],'[13]Base ultimos planes'!$O:$AA,9,FALSE),0)</f>
        <v>0</v>
      </c>
      <c r="BQ254" s="20">
        <f>IFERROR(VLOOKUP(Tabla14[[#This Row],[Llave]],'[13]Base ultimos planes'!$O:$AA,10,FALSE),0)</f>
        <v>0</v>
      </c>
      <c r="BR254" s="20">
        <f>IFERROR(VLOOKUP(Tabla14[[#This Row],[Llave]],'[13]Base ultimos planes'!$O:$AA,11,FALSE),0)</f>
        <v>0</v>
      </c>
      <c r="BS254" s="20">
        <f>IFERROR(VLOOKUP(Tabla14[[#This Row],[Llave]],'[13]Base ultimos planes'!$O:$AA,12,FALSE),0)</f>
        <v>0</v>
      </c>
      <c r="BT254" s="20">
        <f>IFERROR(VLOOKUP(Tabla14[[#This Row],[Llave]],'[13]Base ultimos planes'!$O:$AA,13,FALSE),0)</f>
        <v>0</v>
      </c>
      <c r="BU254" s="20"/>
      <c r="BV254" s="20">
        <f>Tabla14[[#This Row],[ RV Producción mes n+1]]-Tabla14[[#This Row],[Producción disponible]]+Tabla14[[#This Row],[Saldo Volumen disponible]]</f>
        <v>0</v>
      </c>
      <c r="BW254" s="20">
        <f>IFERROR(VLOOKUP(Tabla14[[#This Row],[Llave]],[14]Hoja2!$J:$N,4,FALSE),0)</f>
        <v>0</v>
      </c>
      <c r="BX254" s="20">
        <f>+Tabla14[[#This Row],[Asignación mes n+1]]*Tabla14[[#This Row],[% Uti. producción]]</f>
        <v>0</v>
      </c>
      <c r="BY254" s="20">
        <f>+Tabla14[[#This Row],[Ponderación mes n+1]]+Tabla14[[#This Row],[Saldo mes n-1]]</f>
        <v>0</v>
      </c>
      <c r="BZ254" s="20">
        <f>+Tabla14[[#This Row],[Asignación mes n+1]]-Tabla14[[#This Row],[Ponderación mes n+1]]</f>
        <v>0</v>
      </c>
      <c r="CA254" s="20">
        <f>IFERROR(VLOOKUP(Tabla14[[#This Row],[Llave]],[14]Hoja2!$J:$N,5,FALSE),0)</f>
        <v>0</v>
      </c>
      <c r="CB254" s="20">
        <f>+Tabla14[[#This Row],[Asignación mes n+2]]*Tabla14[[#This Row],[% Uti. producción]]</f>
        <v>0</v>
      </c>
      <c r="CC254" s="20">
        <f>+Tabla14[[#This Row],[Saldo mes n+2]]+Tabla14[[#This Row],[Ponderación mes n+2]]</f>
        <v>0</v>
      </c>
      <c r="CD254" s="20">
        <f>+Tabla14[[#This Row],[Asignación mes n+2]]-Tabla14[[#This Row],[Ponderación mes n+2]]</f>
        <v>0</v>
      </c>
    </row>
    <row r="255" spans="1:82" ht="16" x14ac:dyDescent="0.2">
      <c r="A255">
        <v>1</v>
      </c>
      <c r="B255" t="str">
        <f>Tabla14[[#This Row],[Oficina]]&amp;Tabla14[[#This Row],[Material]]</f>
        <v>Agro Sudamerica1030672</v>
      </c>
      <c r="C255" t="s">
        <v>204</v>
      </c>
      <c r="D255" t="s">
        <v>17</v>
      </c>
      <c r="E255">
        <v>1030672</v>
      </c>
      <c r="F255" t="s">
        <v>379</v>
      </c>
      <c r="G255" t="s">
        <v>217</v>
      </c>
      <c r="H255" t="s">
        <v>218</v>
      </c>
      <c r="I255" s="7">
        <f>IFERROR(IF(Tabla14[[#This Row],[Oficina]]=$I$7,VLOOKUP(Tabla14[[#This Row],[Material]],'[6]RV Producción'!$Y:$AA,3,FALSE),VLOOKUP(Tabla14[[#This Row],[Llave]],'[6]RV Producción'!$C:$G,5,FALSE)),0)</f>
        <v>0</v>
      </c>
      <c r="J255" s="7">
        <f>IFERROR(IF(Tabla14[[#This Row],[Oficina]]=$I$7,VLOOKUP(Tabla14[[#This Row],[Llave]],'[7]Shangai (Tomas)'!$A:$F,6,FALSE),VLOOKUP(Tabla14[[#This Row],[Llave]],'[6]RV plan de ventas'!$A:$E,5,FALSE)),0)</f>
        <v>0</v>
      </c>
      <c r="K255" s="8">
        <f>IFERROR(VLOOKUP(Tabla14[[#This Row],[Sector]]&amp;Tabla14[[#This Row],[Oficina]],[8]Ponderación!$A$3:$G$22,7,FALSE),0)</f>
        <v>0.47745072632608576</v>
      </c>
      <c r="L255" s="7">
        <f>+Tabla14[[#This Row],[ RV Producción mes n+1]]*Tabla14[[#This Row],[% Uti. producción]]</f>
        <v>0</v>
      </c>
      <c r="M255" s="7">
        <f>IFERROR(VLOOKUP(Tabla14[[#This Row],[Material]],'[9]TD Stock'!$B:$C,2,FALSE),0)</f>
        <v>0</v>
      </c>
      <c r="N255" s="7">
        <f>IFERROR(VLOOKUP(Tabla14[[#This Row],[Material]],'[10]Consolidado planificación'!$B:$C,2,FALSE),0)</f>
        <v>0</v>
      </c>
      <c r="O255" s="7">
        <f>IFERROR(VLOOKUP(Tabla14[[#This Row],[Llave]],[11]Hoja2!$D:$G,4,FALSE),0)</f>
        <v>0</v>
      </c>
      <c r="P255" s="14">
        <f>SUM(Tabla14[[#This Row],[Producción disponible]],Tabla14[[#This Row],[Stock al día]],(Tabla14[[#This Row],[Por producir mes N]]*0.9))-Tabla14[[#This Row],[Producción por despachar mes N]]</f>
        <v>0</v>
      </c>
      <c r="Q255" s="7">
        <f>IFERROR(VLOOKUP(Tabla14[[#This Row],[Llave]],[9]DELAY!$A:$D,4,FALSE),0)</f>
        <v>0</v>
      </c>
      <c r="R255" s="9">
        <v>23000</v>
      </c>
      <c r="S255" s="5">
        <f t="shared" si="8"/>
        <v>0</v>
      </c>
      <c r="T255" s="76">
        <v>0</v>
      </c>
      <c r="U255" s="5">
        <f>+Tabla14[[#This Row],[Atraso a facturar]]+Tabla14[[#This Row],[Ajuste atraso]]</f>
        <v>0</v>
      </c>
      <c r="V255" s="3">
        <f>+Tabla14[[#This Row],[Total disponible]]-Tabla14[[#This Row],[Facturación atraso]]</f>
        <v>0</v>
      </c>
      <c r="W255" s="6">
        <f>IFERROR(IF(AND(V255&gt;R255,J255&gt;=R255),ROUNDDOWN((Tabla14[[#This Row],[Producción para venta nueva]])/R255,0)*R255,0),0)</f>
        <v>0</v>
      </c>
      <c r="X255" s="76">
        <v>0</v>
      </c>
      <c r="Y255" s="6">
        <f>IF(Tabla14[[#This Row],[Venta del mes]]&gt;0,Tabla14[[#This Row],[Venta del mes]]+Tabla14[[#This Row],[Ajuste venta nueva]],0)</f>
        <v>0</v>
      </c>
      <c r="Z255" s="6">
        <f>+Tabla14[[#This Row],[Producción para venta nueva]]-Tabla14[[#This Row],[Facturación Venta nueva]]</f>
        <v>0</v>
      </c>
      <c r="AA255" s="6">
        <f>IF(AND(A255=1,Tabla14[[#This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5" s="6">
        <v>0</v>
      </c>
      <c r="AC255" s="6">
        <f>IF(Tabla14[[#This Row],[Disponible stock sin venta]]&gt;0,Tabla14[[#This Row],[Disponible stock sin venta]]+Tabla14[[#This Row],[Ajuste stock sin venta]],0)</f>
        <v>0</v>
      </c>
      <c r="AD255" s="3">
        <f>IFERROR(VLOOKUP(Tabla14[[#This Row],[Llave]],[12]Hoja1!$A:$D,4,FALSE),0)</f>
        <v>0</v>
      </c>
      <c r="AE255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55" s="3" t="b">
        <v>0</v>
      </c>
      <c r="AG255" s="3">
        <f>+Tabla14[[#This Row],[En puerto a facturar]]</f>
        <v>0</v>
      </c>
      <c r="AH255" s="3">
        <f>+Tabla14[[#This Row],[Facturación atraso]]</f>
        <v>0</v>
      </c>
      <c r="AI255" s="3">
        <f>+Tabla14[[#This Row],[Plan Irrestricto (DATO)]]-Tabla14[[#This Row],[Puerto ]]-Tabla14[[#This Row],[Atraso]]</f>
        <v>0</v>
      </c>
      <c r="AJ25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55" s="3">
        <f>+Tabla14[[#This Row],[Facturación atraso]]</f>
        <v>0</v>
      </c>
      <c r="AL255" s="3">
        <f>Tabla14[[#This Row],[Plan Ajustado]]-Tabla14[[#This Row],[ Atraso ajustado]]-Tabla14[[#This Row],[En puerto a facturar]]</f>
        <v>0</v>
      </c>
      <c r="AM255" s="3">
        <v>0</v>
      </c>
      <c r="AN255" s="3" t="e">
        <v>#REF!</v>
      </c>
      <c r="AO255" s="3" t="str">
        <f>IF(Tabla14[[#This Row],[Plan Ajustado]]&gt;Tabla14[[#This Row],[En puerto a facturar]],"Si","No")</f>
        <v>No</v>
      </c>
      <c r="AP25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55" s="3">
        <f>IF(Tabla14[[#This Row],[Necesidad]]&gt;=Tabla14[[#This Row],[Stock al día]],Tabla14[[#This Row],[Stock al día]],Tabla14[[#This Row],[Necesidad]])</f>
        <v>0</v>
      </c>
      <c r="AR255" s="3">
        <f>+Tabla14[[#This Row],[Necesidad]]-Tabla14[[#This Row],[Stock Plan]]</f>
        <v>0</v>
      </c>
      <c r="AS255" s="155">
        <f>VLOOKUP(Tabla14[[#This Row],[Sector]]&amp;Tabla14[[#This Row],[Oficina]],[8]Ponderación!$A:$H,8,FALSE)</f>
        <v>44817</v>
      </c>
      <c r="AT255" s="30">
        <f>IFERROR(VLOOKUP(Tabla14[[#This Row],[Llave]],'[6]RV plan de ventas'!$A:$F,6,FALSE),0)</f>
        <v>0</v>
      </c>
      <c r="AU255" s="83">
        <f>IFERROR(VLOOKUP(Tabla14[[#This Row],[Llave]],[9]DELAY!$H:$X,17,FALSE),0)</f>
        <v>0</v>
      </c>
      <c r="AV25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55" s="5">
        <f>Tabla14[[#This Row],[Pecio plan]]*Tabla14[[#This Row],[Plan Ajustado]]</f>
        <v>0</v>
      </c>
      <c r="AX255" s="30">
        <f>IFERROR(VLOOKUP(Tabla14[[#This Row],[Llave]],'[13]Ultimos precios facturados'!$A:$G,7,FALSE),0)</f>
        <v>0</v>
      </c>
      <c r="AY25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55" s="30">
        <f>IFERROR(VLOOKUP(Tabla14[[#This Row],[Llave]],Hoja2!B:K,10,FALSE),0)</f>
        <v>0</v>
      </c>
      <c r="BA25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55" s="30">
        <v>0</v>
      </c>
      <c r="BC255" s="30">
        <f>IF(Tabla14[[#This Row],[Market]]=0,Tabla14[[#This Row],[Precio Final]],Tabla14[[#This Row],[Market]])</f>
        <v>0</v>
      </c>
      <c r="BD255" s="82"/>
      <c r="BE255" s="82" t="str">
        <f>IF(AND(Tabla14[[#This Row],[Atraso a facturar]]&gt;0,Tabla14[[#This Row],[En puerto a facturar]]&gt;0,Tabla14[[#This Row],[Precio Atraso]]=0),"Revisar","OK")</f>
        <v>OK</v>
      </c>
      <c r="BF255" s="82" t="str">
        <f>IF(AND(Tabla14[[#This Row],[Venta del mes]]&gt;0,Tabla14[[#This Row],[Precio venta nueva]]=0),"Revisar","OK")</f>
        <v>OK</v>
      </c>
      <c r="BG255" s="20">
        <f>IFERROR(VLOOKUP(Tabla14[[#This Row],[Llave]],'[5]Consolidación planes'!$A:$M,9,FALSE),0)</f>
        <v>0</v>
      </c>
      <c r="BH255" s="20">
        <f>IFERROR(VLOOKUP(Tabla14[[#This Row],[Llave]],'[5]Consolidación planes'!$A:$M,10,FALSE),0)</f>
        <v>0</v>
      </c>
      <c r="BI255" s="20">
        <f>IFERROR(VLOOKUP(Tabla14[[#This Row],[Llave]],'[5]Consolidación planes'!$A:$M,11,FALSE),0)</f>
        <v>0</v>
      </c>
      <c r="BJ255" s="20">
        <f>IFERROR(VLOOKUP(Tabla14[[#This Row],[Llave]],'[5]Consolidación planes'!$A:$M,12,FALSE),0)</f>
        <v>0</v>
      </c>
      <c r="BK255" s="20">
        <f>IFERROR(VLOOKUP(Tabla14[[#This Row],[Llave]],'[5]Consolidación planes'!$A:$M,13,FALSE),0)</f>
        <v>0</v>
      </c>
      <c r="BL255" s="20">
        <f>IFERROR(VLOOKUP(Tabla14[[#This Row],[Llave]],'[13]Base ultimos planes'!$A:$M,13,FALSE),0)</f>
        <v>0</v>
      </c>
      <c r="BM255" s="20">
        <f>IFERROR(VLOOKUP(Tabla14[[#This Row],[Llave]],'[13]Cruce plan irrestricto'!$C:$M,10,FALSE),0)</f>
        <v>0</v>
      </c>
      <c r="BN255" s="20">
        <f>IFERROR(VLOOKUP(Tabla14[[#This Row],[Llave]],'[13]Cruce plan irrestricto'!$C:$M,11,FALSE),0)</f>
        <v>0</v>
      </c>
      <c r="BO255" s="80">
        <f>IFERROR(VLOOKUP(Tabla14[[#This Row],[Llave]],'[13]Base ultimos planes'!$O:$AA,8,FALSE),0)</f>
        <v>0</v>
      </c>
      <c r="BP255" s="20">
        <f>IFERROR(VLOOKUP(Tabla14[[#This Row],[Llave]],'[13]Base ultimos planes'!$O:$AA,9,FALSE),0)</f>
        <v>0</v>
      </c>
      <c r="BQ255" s="20">
        <f>IFERROR(VLOOKUP(Tabla14[[#This Row],[Llave]],'[13]Base ultimos planes'!$O:$AA,10,FALSE),0)</f>
        <v>0</v>
      </c>
      <c r="BR255" s="20">
        <f>IFERROR(VLOOKUP(Tabla14[[#This Row],[Llave]],'[13]Base ultimos planes'!$O:$AA,11,FALSE),0)</f>
        <v>0</v>
      </c>
      <c r="BS255" s="20">
        <f>IFERROR(VLOOKUP(Tabla14[[#This Row],[Llave]],'[13]Base ultimos planes'!$O:$AA,12,FALSE),0)</f>
        <v>0</v>
      </c>
      <c r="BT255" s="20">
        <f>IFERROR(VLOOKUP(Tabla14[[#This Row],[Llave]],'[13]Base ultimos planes'!$O:$AA,13,FALSE),0)</f>
        <v>0</v>
      </c>
      <c r="BU255" s="20"/>
      <c r="BV255" s="20">
        <f>Tabla14[[#This Row],[ RV Producción mes n+1]]-Tabla14[[#This Row],[Producción disponible]]+Tabla14[[#This Row],[Saldo Volumen disponible]]</f>
        <v>0</v>
      </c>
      <c r="BW255" s="20">
        <f>IFERROR(VLOOKUP(Tabla14[[#This Row],[Llave]],[14]Hoja2!$J:$N,4,FALSE),0)</f>
        <v>0</v>
      </c>
      <c r="BX255" s="20">
        <f>+Tabla14[[#This Row],[Asignación mes n+1]]*Tabla14[[#This Row],[% Uti. producción]]</f>
        <v>0</v>
      </c>
      <c r="BY255" s="20">
        <f>+Tabla14[[#This Row],[Ponderación mes n+1]]+Tabla14[[#This Row],[Saldo mes n-1]]</f>
        <v>0</v>
      </c>
      <c r="BZ255" s="20">
        <f>+Tabla14[[#This Row],[Asignación mes n+1]]-Tabla14[[#This Row],[Ponderación mes n+1]]</f>
        <v>0</v>
      </c>
      <c r="CA255" s="20">
        <f>IFERROR(VLOOKUP(Tabla14[[#This Row],[Llave]],[14]Hoja2!$J:$N,5,FALSE),0)</f>
        <v>0</v>
      </c>
      <c r="CB255" s="20">
        <f>+Tabla14[[#This Row],[Asignación mes n+2]]*Tabla14[[#This Row],[% Uti. producción]]</f>
        <v>0</v>
      </c>
      <c r="CC255" s="20">
        <f>+Tabla14[[#This Row],[Saldo mes n+2]]+Tabla14[[#This Row],[Ponderación mes n+2]]</f>
        <v>0</v>
      </c>
      <c r="CD255" s="20">
        <f>+Tabla14[[#This Row],[Asignación mes n+2]]-Tabla14[[#This Row],[Ponderación mes n+2]]</f>
        <v>0</v>
      </c>
    </row>
    <row r="256" spans="1:82" ht="16" x14ac:dyDescent="0.2">
      <c r="A256">
        <v>2</v>
      </c>
      <c r="B256" t="str">
        <f>Tabla14[[#This Row],[Oficina]]&amp;Tabla14[[#This Row],[Material]]</f>
        <v>Agrosuper Shanghai1021905</v>
      </c>
      <c r="C256" t="s">
        <v>6</v>
      </c>
      <c r="D256" t="s">
        <v>140</v>
      </c>
      <c r="E256">
        <v>1021905</v>
      </c>
      <c r="F256" t="s">
        <v>283</v>
      </c>
      <c r="G256" t="s">
        <v>71</v>
      </c>
      <c r="H256" t="s">
        <v>72</v>
      </c>
      <c r="I256" s="7">
        <f>IFERROR(IF(Tabla14[[#This Row],[Oficina]]=$I$7,VLOOKUP(Tabla14[[#This Row],[Material]],'[6]RV Producción'!$Y:$AA,3,FALSE),VLOOKUP(Tabla14[[#This Row],[Llave]],'[6]RV Producción'!$C:$G,5,FALSE)),0)</f>
        <v>0</v>
      </c>
      <c r="J256" s="7">
        <f>IFERROR(IF(Tabla14[[#This Row],[Oficina]]=$I$7,VLOOKUP(Tabla14[[#This Row],[Llave]],'[7]Shangai (Tomas)'!$A:$F,6,FALSE),VLOOKUP(Tabla14[[#This Row],[Llave]],'[6]RV plan de ventas'!$A:$E,5,FALSE)),0)</f>
        <v>0</v>
      </c>
      <c r="K256" s="8">
        <f>IFERROR(VLOOKUP(Tabla14[[#This Row],[Sector]]&amp;Tabla14[[#This Row],[Oficina]],[8]Ponderación!$A$3:$G$22,7,FALSE),0)</f>
        <v>0.38476266834449474</v>
      </c>
      <c r="L256" s="7">
        <f>+Tabla14[[#This Row],[ RV Producción mes n+1]]*Tabla14[[#This Row],[% Uti. producción]]</f>
        <v>0</v>
      </c>
      <c r="M256" s="7">
        <f>IFERROR(VLOOKUP(Tabla14[[#This Row],[Material]],'[9]TD Stock'!$B:$C,2,FALSE),0)</f>
        <v>0</v>
      </c>
      <c r="N256" s="7">
        <f>IFERROR(VLOOKUP(Tabla14[[#This Row],[Material]],'[10]Consolidado planificación'!$B:$C,2,FALSE),0)</f>
        <v>0</v>
      </c>
      <c r="O256" s="7">
        <f>IFERROR(VLOOKUP(Tabla14[[#This Row],[Llave]],[11]Hoja2!$D:$G,4,FALSE),0)</f>
        <v>0</v>
      </c>
      <c r="P256" s="14">
        <f>SUM(Tabla14[[#This Row],[Producción disponible]],Tabla14[[#This Row],[Stock al día]],(Tabla14[[#This Row],[Por producir mes N]]*0.9))-Tabla14[[#This Row],[Producción por despachar mes N]]</f>
        <v>0</v>
      </c>
      <c r="Q256" s="7">
        <f>IFERROR(VLOOKUP(Tabla14[[#This Row],[Llave]],[9]DELAY!$A:$D,4,FALSE),0)</f>
        <v>0</v>
      </c>
      <c r="R256" s="9">
        <v>23000</v>
      </c>
      <c r="S256" s="5">
        <f t="shared" si="8"/>
        <v>0</v>
      </c>
      <c r="T256" s="76">
        <v>0</v>
      </c>
      <c r="U256" s="5">
        <f>+Tabla14[[#This Row],[Atraso a facturar]]+Tabla14[[#This Row],[Ajuste atraso]]</f>
        <v>0</v>
      </c>
      <c r="V256" s="3">
        <f>+Tabla14[[#This Row],[Total disponible]]-Tabla14[[#This Row],[Facturación atraso]]</f>
        <v>0</v>
      </c>
      <c r="W256" s="6">
        <f>IFERROR(IF(AND(V256&gt;R256,J256&gt;=R256),ROUNDDOWN((Tabla14[[#This Row],[Producción para venta nueva]])/R256,0)*R256,0),0)</f>
        <v>0</v>
      </c>
      <c r="X256" s="76">
        <v>0</v>
      </c>
      <c r="Y256" s="6">
        <f>IF(Tabla14[[#This Row],[Venta del mes]]&gt;0,Tabla14[[#This Row],[Venta del mes]]+Tabla14[[#This Row],[Ajuste venta nueva]],0)</f>
        <v>0</v>
      </c>
      <c r="Z256" s="6">
        <f>+Tabla14[[#This Row],[Producción para venta nueva]]-Tabla14[[#This Row],[Facturación Venta nueva]]</f>
        <v>0</v>
      </c>
      <c r="AA256" s="6">
        <f>IF(AND(A256=1,Tabla14[[#This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6" s="6">
        <v>0</v>
      </c>
      <c r="AC256" s="6">
        <f>IF(Tabla14[[#This Row],[Disponible stock sin venta]]&gt;0,Tabla14[[#This Row],[Disponible stock sin venta]]+Tabla14[[#This Row],[Ajuste stock sin venta]],0)</f>
        <v>0</v>
      </c>
      <c r="AD256" s="3">
        <f>IFERROR(VLOOKUP(Tabla14[[#This Row],[Llave]],[12]Hoja1!$A:$D,4,FALSE),0)</f>
        <v>0</v>
      </c>
      <c r="AE25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56" s="3">
        <v>0</v>
      </c>
      <c r="AG256" s="3">
        <f>+Tabla14[[#This Row],[En puerto a facturar]]</f>
        <v>0</v>
      </c>
      <c r="AH256" s="3">
        <f>+Tabla14[[#This Row],[Facturación atraso]]</f>
        <v>0</v>
      </c>
      <c r="AI256" s="3">
        <f>+Tabla14[[#This Row],[Plan Irrestricto (DATO)]]-Tabla14[[#This Row],[Puerto ]]-Tabla14[[#This Row],[Atraso]]</f>
        <v>0</v>
      </c>
      <c r="AJ25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56" s="3">
        <f>+Tabla14[[#This Row],[Facturación atraso]]</f>
        <v>0</v>
      </c>
      <c r="AL256" s="3">
        <f>Tabla14[[#This Row],[Plan Ajustado]]-Tabla14[[#This Row],[ Atraso ajustado]]-Tabla14[[#This Row],[En puerto a facturar]]</f>
        <v>0</v>
      </c>
      <c r="AM256" s="3">
        <v>0</v>
      </c>
      <c r="AN256" s="3"/>
      <c r="AO256" s="3" t="str">
        <f>IF(Tabla14[[#This Row],[Plan Ajustado]]&gt;Tabla14[[#This Row],[En puerto a facturar]],"Si","No")</f>
        <v>No</v>
      </c>
      <c r="AP25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56" s="3">
        <f>IF(Tabla14[[#This Row],[Necesidad]]&gt;=Tabla14[[#This Row],[Stock al día]],Tabla14[[#This Row],[Stock al día]],Tabla14[[#This Row],[Necesidad]])</f>
        <v>0</v>
      </c>
      <c r="AR256" s="3">
        <f>+Tabla14[[#This Row],[Necesidad]]-Tabla14[[#This Row],[Stock Plan]]</f>
        <v>0</v>
      </c>
      <c r="AS256" s="155">
        <f>VLOOKUP(Tabla14[[#This Row],[Sector]]&amp;Tabla14[[#This Row],[Oficina]],[8]Ponderación!$A:$H,8,FALSE)</f>
        <v>44814</v>
      </c>
      <c r="AT256" s="30">
        <f>IFERROR(VLOOKUP(Tabla14[[#This Row],[Llave]],'[6]RV plan de ventas'!$A:$F,6,FALSE),0)</f>
        <v>0</v>
      </c>
      <c r="AU256" s="83">
        <f>IFERROR(VLOOKUP(Tabla14[[#This Row],[Llave]],[9]DELAY!$H:$X,17,FALSE),0)</f>
        <v>0</v>
      </c>
      <c r="AV25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56" s="5">
        <f>Tabla14[[#This Row],[Pecio plan]]*Tabla14[[#This Row],[Plan Ajustado]]</f>
        <v>0</v>
      </c>
      <c r="AX256" s="30">
        <f>IFERROR(VLOOKUP(Tabla14[[#This Row],[Llave]],'[13]Ultimos precios facturados'!$A:$G,7,FALSE),0)</f>
        <v>1.4083154265947304</v>
      </c>
      <c r="AY25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56" s="30">
        <f>IFERROR(VLOOKUP(Tabla14[[#This Row],[Llave]],Hoja2!B:K,10,FALSE),0)</f>
        <v>0</v>
      </c>
      <c r="BA25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56" s="30">
        <v>0</v>
      </c>
      <c r="BC256" s="30">
        <f>IF(Tabla14[[#This Row],[Market]]=0,Tabla14[[#This Row],[Precio Final]],Tabla14[[#This Row],[Market]])</f>
        <v>0</v>
      </c>
      <c r="BD256" s="82"/>
      <c r="BE256" s="82" t="str">
        <f>IF(AND(Tabla14[[#This Row],[Atraso a facturar]]&gt;0,Tabla14[[#This Row],[En puerto a facturar]]&gt;0,Tabla14[[#This Row],[Precio Atraso]]=0),"Revisar","OK")</f>
        <v>OK</v>
      </c>
      <c r="BF256" s="82" t="str">
        <f>IF(AND(Tabla14[[#This Row],[Venta del mes]]&gt;0,Tabla14[[#This Row],[Precio venta nueva]]=0),"Revisar","OK")</f>
        <v>OK</v>
      </c>
      <c r="BG256" s="20">
        <f>IFERROR(VLOOKUP(Tabla14[[#This Row],[Llave]],'[5]Consolidación planes'!$A:$M,9,FALSE),0)</f>
        <v>0</v>
      </c>
      <c r="BH256" s="20">
        <f>IFERROR(VLOOKUP(Tabla14[[#This Row],[Llave]],'[5]Consolidación planes'!$A:$M,10,FALSE),0)</f>
        <v>0</v>
      </c>
      <c r="BI256" s="20">
        <f>IFERROR(VLOOKUP(Tabla14[[#This Row],[Llave]],'[5]Consolidación planes'!$A:$M,11,FALSE),0)</f>
        <v>0</v>
      </c>
      <c r="BJ256" s="20">
        <f>IFERROR(VLOOKUP(Tabla14[[#This Row],[Llave]],'[5]Consolidación planes'!$A:$M,12,FALSE),0)</f>
        <v>0</v>
      </c>
      <c r="BK256" s="20">
        <f>IFERROR(VLOOKUP(Tabla14[[#This Row],[Llave]],'[5]Consolidación planes'!$A:$M,13,FALSE),0)</f>
        <v>0</v>
      </c>
      <c r="BL256" s="20">
        <f>IFERROR(VLOOKUP(Tabla14[[#This Row],[Llave]],'[13]Base ultimos planes'!$A:$M,13,FALSE),0)</f>
        <v>0</v>
      </c>
      <c r="BM256" s="20">
        <f>IFERROR(VLOOKUP(Tabla14[[#This Row],[Llave]],'[13]Cruce plan irrestricto'!$C:$M,10,FALSE),0)</f>
        <v>24008</v>
      </c>
      <c r="BN256" s="20">
        <f>IFERROR(VLOOKUP(Tabla14[[#This Row],[Llave]],'[13]Cruce plan irrestricto'!$C:$M,11,FALSE),0)</f>
        <v>0</v>
      </c>
      <c r="BO256" s="80">
        <f>IFERROR(VLOOKUP(Tabla14[[#This Row],[Llave]],'[13]Base ultimos planes'!$O:$AA,8,FALSE),0)</f>
        <v>0</v>
      </c>
      <c r="BP256" s="20">
        <f>IFERROR(VLOOKUP(Tabla14[[#This Row],[Llave]],'[13]Base ultimos planes'!$O:$AA,9,FALSE),0)</f>
        <v>0</v>
      </c>
      <c r="BQ256" s="20">
        <f>IFERROR(VLOOKUP(Tabla14[[#This Row],[Llave]],'[13]Base ultimos planes'!$O:$AA,10,FALSE),0)</f>
        <v>0</v>
      </c>
      <c r="BR256" s="20">
        <f>IFERROR(VLOOKUP(Tabla14[[#This Row],[Llave]],'[13]Base ultimos planes'!$O:$AA,11,FALSE),0)</f>
        <v>0</v>
      </c>
      <c r="BS256" s="20">
        <f>IFERROR(VLOOKUP(Tabla14[[#This Row],[Llave]],'[13]Base ultimos planes'!$O:$AA,12,FALSE),0)</f>
        <v>0</v>
      </c>
      <c r="BT256" s="20">
        <f>IFERROR(VLOOKUP(Tabla14[[#This Row],[Llave]],'[13]Base ultimos planes'!$O:$AA,13,FALSE),0)</f>
        <v>0</v>
      </c>
      <c r="BU256" s="20"/>
      <c r="BV256" s="20">
        <f>Tabla14[[#This Row],[ RV Producción mes n+1]]-Tabla14[[#This Row],[Producción disponible]]+Tabla14[[#This Row],[Saldo Volumen disponible]]</f>
        <v>0</v>
      </c>
      <c r="BW256" s="20">
        <f>IFERROR(VLOOKUP(Tabla14[[#This Row],[Llave]],[14]Hoja2!$J:$N,4,FALSE),0)</f>
        <v>0</v>
      </c>
      <c r="BX256" s="20">
        <f>+Tabla14[[#This Row],[Asignación mes n+1]]*Tabla14[[#This Row],[% Uti. producción]]</f>
        <v>0</v>
      </c>
      <c r="BY256" s="20">
        <f>+Tabla14[[#This Row],[Ponderación mes n+1]]+Tabla14[[#This Row],[Saldo mes n-1]]</f>
        <v>0</v>
      </c>
      <c r="BZ256" s="20">
        <f>+Tabla14[[#This Row],[Asignación mes n+1]]-Tabla14[[#This Row],[Ponderación mes n+1]]</f>
        <v>0</v>
      </c>
      <c r="CA256" s="20">
        <f>IFERROR(VLOOKUP(Tabla14[[#This Row],[Llave]],[14]Hoja2!$J:$N,5,FALSE),0)</f>
        <v>0</v>
      </c>
      <c r="CB256" s="20">
        <f>+Tabla14[[#This Row],[Asignación mes n+2]]*Tabla14[[#This Row],[% Uti. producción]]</f>
        <v>0</v>
      </c>
      <c r="CC256" s="20">
        <f>+Tabla14[[#This Row],[Saldo mes n+2]]+Tabla14[[#This Row],[Ponderación mes n+2]]</f>
        <v>0</v>
      </c>
      <c r="CD256" s="20">
        <f>+Tabla14[[#This Row],[Asignación mes n+2]]-Tabla14[[#This Row],[Ponderación mes n+2]]</f>
        <v>0</v>
      </c>
    </row>
    <row r="257" spans="1:82" ht="16" x14ac:dyDescent="0.2">
      <c r="A257">
        <v>2</v>
      </c>
      <c r="B257" t="str">
        <f>Tabla14[[#This Row],[Oficina]]&amp;Tabla14[[#This Row],[Material]]</f>
        <v>Agrosuper Shanghai1021971</v>
      </c>
      <c r="C257" t="s">
        <v>6</v>
      </c>
      <c r="D257" t="s">
        <v>140</v>
      </c>
      <c r="E257">
        <v>1021971</v>
      </c>
      <c r="F257" t="s">
        <v>399</v>
      </c>
      <c r="G257" t="s">
        <v>8</v>
      </c>
      <c r="H257" t="s">
        <v>28</v>
      </c>
      <c r="I257" s="7">
        <f>IFERROR(IF(Tabla14[[#This Row],[Oficina]]=$I$7,VLOOKUP(Tabla14[[#This Row],[Material]],'[6]RV Producción'!$Y:$AA,3,FALSE),VLOOKUP(Tabla14[[#This Row],[Llave]],'[6]RV Producción'!$C:$G,5,FALSE)),0)</f>
        <v>0</v>
      </c>
      <c r="J257" s="7">
        <f>IFERROR(IF(Tabla14[[#This Row],[Oficina]]=$I$7,VLOOKUP(Tabla14[[#This Row],[Llave]],'[7]Shangai (Tomas)'!$A:$F,6,FALSE),VLOOKUP(Tabla14[[#This Row],[Llave]],'[6]RV plan de ventas'!$A:$E,5,FALSE)),0)</f>
        <v>0</v>
      </c>
      <c r="K257" s="8">
        <f>IFERROR(VLOOKUP(Tabla14[[#This Row],[Sector]]&amp;Tabla14[[#This Row],[Oficina]],[8]Ponderación!$A$3:$G$22,7,FALSE),0)</f>
        <v>0.38476266834449474</v>
      </c>
      <c r="L257" s="7">
        <f>+Tabla14[[#This Row],[ RV Producción mes n+1]]*Tabla14[[#This Row],[% Uti. producción]]</f>
        <v>0</v>
      </c>
      <c r="M257" s="7">
        <f>IFERROR(VLOOKUP(Tabla14[[#This Row],[Material]],'[9]TD Stock'!$B:$C,2,FALSE),0)</f>
        <v>9380</v>
      </c>
      <c r="N257" s="7">
        <f>IFERROR(VLOOKUP(Tabla14[[#This Row],[Material]],'[10]Consolidado planificación'!$B:$C,2,FALSE),0)</f>
        <v>0</v>
      </c>
      <c r="O257" s="7">
        <f>IFERROR(VLOOKUP(Tabla14[[#This Row],[Llave]],[11]Hoja2!$D:$G,4,FALSE),0)</f>
        <v>0</v>
      </c>
      <c r="P257" s="14">
        <f>SUM(Tabla14[[#This Row],[Producción disponible]],Tabla14[[#This Row],[Stock al día]],(Tabla14[[#This Row],[Por producir mes N]]*0.9))-Tabla14[[#This Row],[Producción por despachar mes N]]</f>
        <v>9380</v>
      </c>
      <c r="Q257" s="7">
        <f>IFERROR(VLOOKUP(Tabla14[[#This Row],[Llave]],[9]DELAY!$A:$D,4,FALSE),0)</f>
        <v>0</v>
      </c>
      <c r="R257" s="9">
        <v>23000</v>
      </c>
      <c r="S257" s="5">
        <f t="shared" si="8"/>
        <v>0</v>
      </c>
      <c r="T257" s="76">
        <v>0</v>
      </c>
      <c r="U257" s="5">
        <f>+Tabla14[[#This Row],[Atraso a facturar]]+Tabla14[[#This Row],[Ajuste atraso]]</f>
        <v>0</v>
      </c>
      <c r="V257" s="3">
        <f>+Tabla14[[#This Row],[Total disponible]]-Tabla14[[#This Row],[Facturación atraso]]</f>
        <v>9380</v>
      </c>
      <c r="W257" s="6">
        <f>IFERROR(IF(AND(V257&gt;R257,J257&gt;=R257),ROUNDDOWN((Tabla14[[#This Row],[Producción para venta nueva]])/R257,0)*R257,0),0)</f>
        <v>0</v>
      </c>
      <c r="X257" s="76">
        <v>0</v>
      </c>
      <c r="Y257" s="6">
        <f>IF(Tabla14[[#This Row],[Venta del mes]]&gt;0,Tabla14[[#This Row],[Venta del mes]]+Tabla14[[#This Row],[Ajuste venta nueva]],0)</f>
        <v>0</v>
      </c>
      <c r="Z257" s="6">
        <f>+Tabla14[[#This Row],[Producción para venta nueva]]-Tabla14[[#This Row],[Facturación Venta nueva]]</f>
        <v>9380</v>
      </c>
      <c r="AA257" s="6">
        <f>IF(AND(A257=1,Tabla14[[#This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7" s="6">
        <v>0</v>
      </c>
      <c r="AC257" s="6">
        <f>IF(Tabla14[[#This Row],[Disponible stock sin venta]]&gt;0,Tabla14[[#This Row],[Disponible stock sin venta]]+Tabla14[[#This Row],[Ajuste stock sin venta]],0)</f>
        <v>0</v>
      </c>
      <c r="AD257" s="3">
        <f>IFERROR(VLOOKUP(Tabla14[[#This Row],[Llave]],[12]Hoja1!$A:$D,4,FALSE),0)</f>
        <v>0</v>
      </c>
      <c r="AE25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57" s="3">
        <v>0</v>
      </c>
      <c r="AG257" s="3">
        <f>+Tabla14[[#This Row],[En puerto a facturar]]</f>
        <v>0</v>
      </c>
      <c r="AH257" s="3">
        <f>+Tabla14[[#This Row],[Facturación atraso]]</f>
        <v>0</v>
      </c>
      <c r="AI257" s="3">
        <f>+Tabla14[[#This Row],[Plan Irrestricto (DATO)]]-Tabla14[[#This Row],[Puerto ]]-Tabla14[[#This Row],[Atraso]]</f>
        <v>0</v>
      </c>
      <c r="AJ25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57" s="3">
        <f>+Tabla14[[#This Row],[Facturación atraso]]</f>
        <v>0</v>
      </c>
      <c r="AL257" s="3">
        <f>Tabla14[[#This Row],[Plan Ajustado]]-Tabla14[[#This Row],[ Atraso ajustado]]-Tabla14[[#This Row],[En puerto a facturar]]</f>
        <v>0</v>
      </c>
      <c r="AM257" s="3">
        <v>0</v>
      </c>
      <c r="AN257" s="3"/>
      <c r="AO257" s="3" t="str">
        <f>IF(Tabla14[[#This Row],[Plan Ajustado]]&gt;Tabla14[[#This Row],[En puerto a facturar]],"Si","No")</f>
        <v>No</v>
      </c>
      <c r="AP25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57" s="3">
        <f>IF(Tabla14[[#This Row],[Necesidad]]&gt;=Tabla14[[#This Row],[Stock al día]],Tabla14[[#This Row],[Stock al día]],Tabla14[[#This Row],[Necesidad]])</f>
        <v>0</v>
      </c>
      <c r="AR257" s="3">
        <f>+Tabla14[[#This Row],[Necesidad]]-Tabla14[[#This Row],[Stock Plan]]</f>
        <v>0</v>
      </c>
      <c r="AS257" s="155">
        <f>VLOOKUP(Tabla14[[#This Row],[Sector]]&amp;Tabla14[[#This Row],[Oficina]],[8]Ponderación!$A:$H,8,FALSE)</f>
        <v>44814</v>
      </c>
      <c r="AT257" s="30">
        <f>IFERROR(VLOOKUP(Tabla14[[#This Row],[Llave]],'[6]RV plan de ventas'!$A:$F,6,FALSE),0)</f>
        <v>0</v>
      </c>
      <c r="AU257" s="83">
        <f>IFERROR(VLOOKUP(Tabla14[[#This Row],[Llave]],[9]DELAY!$H:$X,17,FALSE),0)</f>
        <v>0</v>
      </c>
      <c r="AV25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57" s="5">
        <f>Tabla14[[#This Row],[Pecio plan]]*Tabla14[[#This Row],[Plan Ajustado]]</f>
        <v>0</v>
      </c>
      <c r="AX257" s="30">
        <f>IFERROR(VLOOKUP(Tabla14[[#This Row],[Llave]],'[13]Ultimos precios facturados'!$A:$G,7,FALSE),0)</f>
        <v>1.8032367974564296</v>
      </c>
      <c r="AY25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57" s="30">
        <f>IFERROR(VLOOKUP(Tabla14[[#This Row],[Llave]],Hoja2!B:K,10,FALSE),0)</f>
        <v>0</v>
      </c>
      <c r="BA25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57" s="30">
        <v>0</v>
      </c>
      <c r="BC257" s="30">
        <f>IF(Tabla14[[#This Row],[Market]]=0,Tabla14[[#This Row],[Precio Final]],Tabla14[[#This Row],[Market]])</f>
        <v>0</v>
      </c>
      <c r="BD257" s="82"/>
      <c r="BE257" s="82" t="str">
        <f>IF(AND(Tabla14[[#This Row],[Atraso a facturar]]&gt;0,Tabla14[[#This Row],[En puerto a facturar]]&gt;0,Tabla14[[#This Row],[Precio Atraso]]=0),"Revisar","OK")</f>
        <v>OK</v>
      </c>
      <c r="BF257" s="82" t="str">
        <f>IF(AND(Tabla14[[#This Row],[Venta del mes]]&gt;0,Tabla14[[#This Row],[Precio venta nueva]]=0),"Revisar","OK")</f>
        <v>OK</v>
      </c>
      <c r="BG257" s="20">
        <f>IFERROR(VLOOKUP(Tabla14[[#This Row],[Llave]],'[5]Consolidación planes'!$A:$M,9,FALSE),0)</f>
        <v>0</v>
      </c>
      <c r="BH257" s="20">
        <f>IFERROR(VLOOKUP(Tabla14[[#This Row],[Llave]],'[5]Consolidación planes'!$A:$M,10,FALSE),0)</f>
        <v>0</v>
      </c>
      <c r="BI257" s="20">
        <f>IFERROR(VLOOKUP(Tabla14[[#This Row],[Llave]],'[5]Consolidación planes'!$A:$M,11,FALSE),0)</f>
        <v>0</v>
      </c>
      <c r="BJ257" s="20">
        <f>IFERROR(VLOOKUP(Tabla14[[#This Row],[Llave]],'[5]Consolidación planes'!$A:$M,12,FALSE),0)</f>
        <v>0</v>
      </c>
      <c r="BK257" s="20">
        <f>IFERROR(VLOOKUP(Tabla14[[#This Row],[Llave]],'[5]Consolidación planes'!$A:$M,13,FALSE),0)</f>
        <v>0</v>
      </c>
      <c r="BL257" s="20">
        <f>IFERROR(VLOOKUP(Tabla14[[#This Row],[Llave]],'[13]Base ultimos planes'!$A:$M,13,FALSE),0)</f>
        <v>0</v>
      </c>
      <c r="BM257" s="20">
        <f>IFERROR(VLOOKUP(Tabla14[[#This Row],[Llave]],'[13]Cruce plan irrestricto'!$C:$M,10,FALSE),0)</f>
        <v>41000</v>
      </c>
      <c r="BN257" s="20">
        <f>IFERROR(VLOOKUP(Tabla14[[#This Row],[Llave]],'[13]Cruce plan irrestricto'!$C:$M,11,FALSE),0)</f>
        <v>0</v>
      </c>
      <c r="BO257" s="80">
        <f>IFERROR(VLOOKUP(Tabla14[[#This Row],[Llave]],'[13]Base ultimos planes'!$O:$AA,8,FALSE),0)</f>
        <v>0</v>
      </c>
      <c r="BP257" s="20">
        <f>IFERROR(VLOOKUP(Tabla14[[#This Row],[Llave]],'[13]Base ultimos planes'!$O:$AA,9,FALSE),0)</f>
        <v>0</v>
      </c>
      <c r="BQ257" s="20">
        <f>IFERROR(VLOOKUP(Tabla14[[#This Row],[Llave]],'[13]Base ultimos planes'!$O:$AA,10,FALSE),0)</f>
        <v>0</v>
      </c>
      <c r="BR257" s="20">
        <f>IFERROR(VLOOKUP(Tabla14[[#This Row],[Llave]],'[13]Base ultimos planes'!$O:$AA,11,FALSE),0)</f>
        <v>0</v>
      </c>
      <c r="BS257" s="20">
        <f>IFERROR(VLOOKUP(Tabla14[[#This Row],[Llave]],'[13]Base ultimos planes'!$O:$AA,12,FALSE),0)</f>
        <v>0</v>
      </c>
      <c r="BT257" s="20">
        <f>IFERROR(VLOOKUP(Tabla14[[#This Row],[Llave]],'[13]Base ultimos planes'!$O:$AA,13,FALSE),0)</f>
        <v>0</v>
      </c>
      <c r="BU257" s="20"/>
      <c r="BV257" s="20">
        <f>Tabla14[[#This Row],[ RV Producción mes n+1]]-Tabla14[[#This Row],[Producción disponible]]+Tabla14[[#This Row],[Saldo Volumen disponible]]</f>
        <v>9380</v>
      </c>
      <c r="BW257" s="20">
        <f>IFERROR(VLOOKUP(Tabla14[[#This Row],[Llave]],[14]Hoja2!$J:$N,4,FALSE),0)</f>
        <v>0</v>
      </c>
      <c r="BX257" s="20">
        <f>+Tabla14[[#This Row],[Asignación mes n+1]]*Tabla14[[#This Row],[% Uti. producción]]</f>
        <v>0</v>
      </c>
      <c r="BY257" s="20">
        <f>+Tabla14[[#This Row],[Ponderación mes n+1]]+Tabla14[[#This Row],[Saldo mes n-1]]</f>
        <v>9380</v>
      </c>
      <c r="BZ257" s="20">
        <f>+Tabla14[[#This Row],[Asignación mes n+1]]-Tabla14[[#This Row],[Ponderación mes n+1]]</f>
        <v>0</v>
      </c>
      <c r="CA257" s="20">
        <f>IFERROR(VLOOKUP(Tabla14[[#This Row],[Llave]],[14]Hoja2!$J:$N,5,FALSE),0)</f>
        <v>0</v>
      </c>
      <c r="CB257" s="20">
        <f>+Tabla14[[#This Row],[Asignación mes n+2]]*Tabla14[[#This Row],[% Uti. producción]]</f>
        <v>0</v>
      </c>
      <c r="CC257" s="20">
        <f>+Tabla14[[#This Row],[Saldo mes n+2]]+Tabla14[[#This Row],[Ponderación mes n+2]]</f>
        <v>0</v>
      </c>
      <c r="CD257" s="20">
        <f>+Tabla14[[#This Row],[Asignación mes n+2]]-Tabla14[[#This Row],[Ponderación mes n+2]]</f>
        <v>0</v>
      </c>
    </row>
    <row r="258" spans="1:82" ht="16" x14ac:dyDescent="0.2">
      <c r="A258">
        <v>2</v>
      </c>
      <c r="B258" t="str">
        <f>Tabla14[[#This Row],[Oficina]]&amp;Tabla14[[#This Row],[Material]]</f>
        <v>Agrosuper Shanghai1022418</v>
      </c>
      <c r="C258" t="s">
        <v>6</v>
      </c>
      <c r="D258" t="s">
        <v>140</v>
      </c>
      <c r="E258">
        <v>1022418</v>
      </c>
      <c r="F258" t="s">
        <v>402</v>
      </c>
      <c r="G258" t="s">
        <v>76</v>
      </c>
      <c r="H258" t="s">
        <v>79</v>
      </c>
      <c r="I258" s="7">
        <f>IFERROR(IF(Tabla14[[#This Row],[Oficina]]=$I$7,VLOOKUP(Tabla14[[#This Row],[Material]],'[6]RV Producción'!$Y:$AA,3,FALSE),VLOOKUP(Tabla14[[#This Row],[Llave]],'[6]RV Producción'!$C:$G,5,FALSE)),0)</f>
        <v>0</v>
      </c>
      <c r="J258" s="7">
        <f>IFERROR(IF(Tabla14[[#This Row],[Oficina]]=$I$7,VLOOKUP(Tabla14[[#This Row],[Llave]],'[7]Shangai (Tomas)'!$A:$F,6,FALSE),VLOOKUP(Tabla14[[#This Row],[Llave]],'[6]RV plan de ventas'!$A:$E,5,FALSE)),0)</f>
        <v>0</v>
      </c>
      <c r="K258" s="8">
        <f>IFERROR(VLOOKUP(Tabla14[[#This Row],[Sector]]&amp;Tabla14[[#This Row],[Oficina]],[8]Ponderación!$A$3:$G$22,7,FALSE),0)</f>
        <v>0.38476266834449474</v>
      </c>
      <c r="L258" s="7">
        <f>+Tabla14[[#This Row],[ RV Producción mes n+1]]*Tabla14[[#This Row],[% Uti. producción]]</f>
        <v>0</v>
      </c>
      <c r="M258" s="7">
        <f>IFERROR(VLOOKUP(Tabla14[[#This Row],[Material]],'[9]TD Stock'!$B:$C,2,FALSE),0)</f>
        <v>33705</v>
      </c>
      <c r="N258" s="7">
        <f>IFERROR(VLOOKUP(Tabla14[[#This Row],[Material]],'[10]Consolidado planificación'!$B:$C,2,FALSE),0)</f>
        <v>3600</v>
      </c>
      <c r="O258" s="7">
        <f>IFERROR(VLOOKUP(Tabla14[[#This Row],[Llave]],[11]Hoja2!$D:$G,4,FALSE),0)</f>
        <v>0</v>
      </c>
      <c r="P258" s="14">
        <f>SUM(Tabla14[[#This Row],[Producción disponible]],Tabla14[[#This Row],[Stock al día]],(Tabla14[[#This Row],[Por producir mes N]]*0.9))-Tabla14[[#This Row],[Producción por despachar mes N]]</f>
        <v>36945</v>
      </c>
      <c r="Q258" s="7">
        <f>IFERROR(VLOOKUP(Tabla14[[#This Row],[Llave]],[9]DELAY!$A:$D,4,FALSE),0)</f>
        <v>47880</v>
      </c>
      <c r="R258" s="9">
        <v>23000</v>
      </c>
      <c r="S258" s="5">
        <f t="shared" si="8"/>
        <v>23000</v>
      </c>
      <c r="T258" s="76">
        <v>0</v>
      </c>
      <c r="U258" s="5">
        <f>+Tabla14[[#This Row],[Atraso a facturar]]+Tabla14[[#This Row],[Ajuste atraso]]</f>
        <v>23000</v>
      </c>
      <c r="V258" s="3">
        <f>+Tabla14[[#This Row],[Total disponible]]-Tabla14[[#This Row],[Facturación atraso]]</f>
        <v>13945</v>
      </c>
      <c r="W258" s="6">
        <f>IFERROR(IF(AND(V258&gt;R258,J258&gt;=R258),ROUNDDOWN((Tabla14[[#This Row],[Producción para venta nueva]])/R258,0)*R258,0),0)</f>
        <v>0</v>
      </c>
      <c r="X258" s="76">
        <v>0</v>
      </c>
      <c r="Y258" s="6">
        <f>IF(Tabla14[[#This Row],[Venta del mes]]&gt;0,Tabla14[[#This Row],[Venta del mes]]+Tabla14[[#This Row],[Ajuste venta nueva]],0)</f>
        <v>0</v>
      </c>
      <c r="Z258" s="6">
        <f>+Tabla14[[#This Row],[Producción para venta nueva]]-Tabla14[[#This Row],[Facturación Venta nueva]]</f>
        <v>13945</v>
      </c>
      <c r="AA258" s="6">
        <f>IF(AND(A258=1,Tabla14[[#This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8" s="6">
        <v>0</v>
      </c>
      <c r="AC258" s="6">
        <f>IF(Tabla14[[#This Row],[Disponible stock sin venta]]&gt;0,Tabla14[[#This Row],[Disponible stock sin venta]]+Tabla14[[#This Row],[Ajuste stock sin venta]],0)</f>
        <v>0</v>
      </c>
      <c r="AD258" s="3">
        <f>IFERROR(VLOOKUP(Tabla14[[#This Row],[Llave]],[12]Hoja1!$A:$D,4,FALSE),0)</f>
        <v>0</v>
      </c>
      <c r="AE25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258" s="3">
        <v>23000</v>
      </c>
      <c r="AG258" s="3">
        <f>+Tabla14[[#This Row],[En puerto a facturar]]</f>
        <v>0</v>
      </c>
      <c r="AH258" s="3">
        <f>+Tabla14[[#This Row],[Facturación atraso]]</f>
        <v>23000</v>
      </c>
      <c r="AI258" s="3">
        <f>+Tabla14[[#This Row],[Plan Irrestricto (DATO)]]-Tabla14[[#This Row],[Puerto ]]-Tabla14[[#This Row],[Atraso]]</f>
        <v>0</v>
      </c>
      <c r="AJ258" s="6">
        <f>IF(Tabla14[[#This Row],[Plan Irrestricto (DATO)]]&gt;0,SUM(Tabla14[[#This Row],[Facturación atraso]],Tabla14[[#This Row],[Facturación Venta nueva]],Tabla14[[#This Row],[Facturación stock]],Tabla14[[#This Row],[En puerto a facturar]]),0)</f>
        <v>23000</v>
      </c>
      <c r="AK258" s="3">
        <f>+Tabla14[[#This Row],[Facturación atraso]]</f>
        <v>23000</v>
      </c>
      <c r="AL258" s="3">
        <f>Tabla14[[#This Row],[Plan Ajustado]]-Tabla14[[#This Row],[ Atraso ajustado]]-Tabla14[[#This Row],[En puerto a facturar]]</f>
        <v>0</v>
      </c>
      <c r="AM258" s="3">
        <v>0</v>
      </c>
      <c r="AN258" s="3"/>
      <c r="AO258" s="3" t="str">
        <f>IF(Tabla14[[#This Row],[Plan Ajustado]]&gt;Tabla14[[#This Row],[En puerto a facturar]],"Si","No")</f>
        <v>Si</v>
      </c>
      <c r="AP258" s="3">
        <f>IF(AND(Tabla14[[#This Row],[Plan Ajustado]]&gt;0,Tabla14[[#This Row],[Plan Ajustado]]&gt;Tabla14[[#This Row],[En puerto a facturar]]),(Tabla14[[#This Row],[Plan Ajustado]]-Tabla14[[#This Row],[En puerto a facturar]]),0)</f>
        <v>23000</v>
      </c>
      <c r="AQ258" s="3">
        <f>IF(Tabla14[[#This Row],[Necesidad]]&gt;=Tabla14[[#This Row],[Stock al día]],Tabla14[[#This Row],[Stock al día]],Tabla14[[#This Row],[Necesidad]])</f>
        <v>23000</v>
      </c>
      <c r="AR258" s="3">
        <f>+Tabla14[[#This Row],[Necesidad]]-Tabla14[[#This Row],[Stock Plan]]</f>
        <v>0</v>
      </c>
      <c r="AS258" s="155">
        <f>VLOOKUP(Tabla14[[#This Row],[Sector]]&amp;Tabla14[[#This Row],[Oficina]],[8]Ponderación!$A:$H,8,FALSE)</f>
        <v>44814</v>
      </c>
      <c r="AT258" s="30">
        <f>IFERROR(VLOOKUP(Tabla14[[#This Row],[Llave]],'[6]RV plan de ventas'!$A:$F,6,FALSE),0)</f>
        <v>0</v>
      </c>
      <c r="AU258" s="83">
        <f>IFERROR(VLOOKUP(Tabla14[[#This Row],[Llave]],[9]DELAY!$H:$X,17,FALSE),0)</f>
        <v>5.2697172619047601</v>
      </c>
      <c r="AV25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5.2697172619047601</v>
      </c>
      <c r="AW258" s="5">
        <f>Tabla14[[#This Row],[Pecio plan]]*Tabla14[[#This Row],[Plan Ajustado]]</f>
        <v>121203.49702380948</v>
      </c>
      <c r="AX258" s="30">
        <f>IFERROR(VLOOKUP(Tabla14[[#This Row],[Llave]],'[13]Ultimos precios facturados'!$A:$G,7,FALSE),0)</f>
        <v>0</v>
      </c>
      <c r="AY25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58" s="30">
        <f>IFERROR(VLOOKUP(Tabla14[[#This Row],[Llave]],Hoja2!B:K,10,FALSE),0)</f>
        <v>5.4285714285714297</v>
      </c>
      <c r="BA25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5.2697172619047601</v>
      </c>
      <c r="BB258" s="30">
        <v>0</v>
      </c>
      <c r="BC258" s="30">
        <f>IF(Tabla14[[#This Row],[Market]]=0,Tabla14[[#This Row],[Precio Final]],Tabla14[[#This Row],[Market]])</f>
        <v>5.2697172619047601</v>
      </c>
      <c r="BD258" s="82"/>
      <c r="BE258" s="82" t="str">
        <f>IF(AND(Tabla14[[#This Row],[Atraso a facturar]]&gt;0,Tabla14[[#This Row],[En puerto a facturar]]&gt;0,Tabla14[[#This Row],[Precio Atraso]]=0),"Revisar","OK")</f>
        <v>OK</v>
      </c>
      <c r="BF258" s="82" t="str">
        <f>IF(AND(Tabla14[[#This Row],[Venta del mes]]&gt;0,Tabla14[[#This Row],[Precio venta nueva]]=0),"Revisar","OK")</f>
        <v>OK</v>
      </c>
      <c r="BG258" s="20">
        <f>IFERROR(VLOOKUP(Tabla14[[#This Row],[Llave]],'[5]Consolidación planes'!$A:$M,9,FALSE),0)</f>
        <v>0</v>
      </c>
      <c r="BH258" s="20">
        <f>IFERROR(VLOOKUP(Tabla14[[#This Row],[Llave]],'[5]Consolidación planes'!$A:$M,10,FALSE),0)</f>
        <v>0</v>
      </c>
      <c r="BI258" s="20">
        <f>IFERROR(VLOOKUP(Tabla14[[#This Row],[Llave]],'[5]Consolidación planes'!$A:$M,11,FALSE),0)</f>
        <v>0</v>
      </c>
      <c r="BJ258" s="20">
        <f>IFERROR(VLOOKUP(Tabla14[[#This Row],[Llave]],'[5]Consolidación planes'!$A:$M,12,FALSE),0)</f>
        <v>0</v>
      </c>
      <c r="BK258" s="20">
        <f>IFERROR(VLOOKUP(Tabla14[[#This Row],[Llave]],'[5]Consolidación planes'!$A:$M,13,FALSE),0)</f>
        <v>0</v>
      </c>
      <c r="BL258" s="20">
        <f>IFERROR(VLOOKUP(Tabla14[[#This Row],[Llave]],'[13]Base ultimos planes'!$A:$M,13,FALSE),0)</f>
        <v>0</v>
      </c>
      <c r="BM258" s="20">
        <f>IFERROR(VLOOKUP(Tabla14[[#This Row],[Llave]],'[13]Cruce plan irrestricto'!$C:$M,10,FALSE),0)</f>
        <v>0</v>
      </c>
      <c r="BN258" s="20">
        <f>IFERROR(VLOOKUP(Tabla14[[#This Row],[Llave]],'[13]Cruce plan irrestricto'!$C:$M,11,FALSE),0)</f>
        <v>24000</v>
      </c>
      <c r="BO258" s="80">
        <f>IFERROR(VLOOKUP(Tabla14[[#This Row],[Llave]],'[13]Base ultimos planes'!$O:$AA,8,FALSE),0)</f>
        <v>0</v>
      </c>
      <c r="BP258" s="20">
        <f>IFERROR(VLOOKUP(Tabla14[[#This Row],[Llave]],'[13]Base ultimos planes'!$O:$AA,9,FALSE),0)</f>
        <v>0</v>
      </c>
      <c r="BQ258" s="20">
        <f>IFERROR(VLOOKUP(Tabla14[[#This Row],[Llave]],'[13]Base ultimos planes'!$O:$AA,10,FALSE),0)</f>
        <v>0</v>
      </c>
      <c r="BR258" s="20">
        <f>IFERROR(VLOOKUP(Tabla14[[#This Row],[Llave]],'[13]Base ultimos planes'!$O:$AA,11,FALSE),0)</f>
        <v>0</v>
      </c>
      <c r="BS258" s="20">
        <f>IFERROR(VLOOKUP(Tabla14[[#This Row],[Llave]],'[13]Base ultimos planes'!$O:$AA,12,FALSE),0)</f>
        <v>0</v>
      </c>
      <c r="BT258" s="20">
        <f>IFERROR(VLOOKUP(Tabla14[[#This Row],[Llave]],'[13]Base ultimos planes'!$O:$AA,13,FALSE),0)</f>
        <v>0</v>
      </c>
      <c r="BU258" s="20" t="s">
        <v>692</v>
      </c>
      <c r="BV258" s="20">
        <f>Tabla14[[#This Row],[ RV Producción mes n+1]]-Tabla14[[#This Row],[Producción disponible]]+Tabla14[[#This Row],[Saldo Volumen disponible]]</f>
        <v>13945</v>
      </c>
      <c r="BW258" s="20">
        <f>IFERROR(VLOOKUP(Tabla14[[#This Row],[Llave]],[14]Hoja2!$J:$N,4,FALSE),0)</f>
        <v>7226.9493999999995</v>
      </c>
      <c r="BX258" s="20">
        <f>+Tabla14[[#This Row],[Asignación mes n+1]]*Tabla14[[#This Row],[% Uti. producción]]</f>
        <v>2780.6603351346453</v>
      </c>
      <c r="BY258" s="20">
        <f>+Tabla14[[#This Row],[Ponderación mes n+1]]+Tabla14[[#This Row],[Saldo mes n-1]]</f>
        <v>16725.660335134646</v>
      </c>
      <c r="BZ258" s="20">
        <f>+Tabla14[[#This Row],[Asignación mes n+1]]-Tabla14[[#This Row],[Ponderación mes n+1]]</f>
        <v>4446.2890648653538</v>
      </c>
      <c r="CA258" s="20">
        <f>IFERROR(VLOOKUP(Tabla14[[#This Row],[Llave]],[14]Hoja2!$J:$N,5,FALSE),0)</f>
        <v>0</v>
      </c>
      <c r="CB258" s="20">
        <f>+Tabla14[[#This Row],[Asignación mes n+2]]*Tabla14[[#This Row],[% Uti. producción]]</f>
        <v>0</v>
      </c>
      <c r="CC258" s="20">
        <f>+Tabla14[[#This Row],[Saldo mes n+2]]+Tabla14[[#This Row],[Ponderación mes n+2]]</f>
        <v>4446.2890648653538</v>
      </c>
      <c r="CD258" s="20">
        <f>+Tabla14[[#This Row],[Asignación mes n+2]]-Tabla14[[#This Row],[Ponderación mes n+2]]</f>
        <v>0</v>
      </c>
    </row>
    <row r="259" spans="1:82" ht="16" x14ac:dyDescent="0.2">
      <c r="A259">
        <v>1</v>
      </c>
      <c r="B259" t="str">
        <f>Tabla14[[#This Row],[Oficina]]&amp;Tabla14[[#This Row],[Material]]</f>
        <v>Agrosuper Asia1022605</v>
      </c>
      <c r="C259" t="s">
        <v>6</v>
      </c>
      <c r="D259" t="s">
        <v>173</v>
      </c>
      <c r="E259">
        <v>1022605</v>
      </c>
      <c r="F259" t="s">
        <v>403</v>
      </c>
      <c r="G259" t="s">
        <v>76</v>
      </c>
      <c r="H259" t="s">
        <v>79</v>
      </c>
      <c r="I259" s="7">
        <f>IFERROR(IF(Tabla14[[#This Row],[Oficina]]=$I$7,VLOOKUP(Tabla14[[#This Row],[Material]],'[6]RV Producción'!$Y:$AA,3,FALSE),VLOOKUP(Tabla14[[#This Row],[Llave]],'[6]RV Producción'!$C:$G,5,FALSE)),0)</f>
        <v>19657</v>
      </c>
      <c r="J259" s="7">
        <f>IFERROR(IF(Tabla14[[#This Row],[Oficina]]=$I$7,VLOOKUP(Tabla14[[#This Row],[Llave]],'[7]Shangai (Tomas)'!$A:$F,6,FALSE),VLOOKUP(Tabla14[[#This Row],[Llave]],'[6]RV plan de ventas'!$A:$E,5,FALSE)),0)</f>
        <v>24000</v>
      </c>
      <c r="K259" s="8">
        <f>IFERROR(VLOOKUP(Tabla14[[#This Row],[Sector]]&amp;Tabla14[[#This Row],[Oficina]],[8]Ponderación!$A$3:$G$22,7,FALSE),0)</f>
        <v>0.38476266834449474</v>
      </c>
      <c r="L259" s="7">
        <f>+Tabla14[[#This Row],[ RV Producción mes n+1]]*Tabla14[[#This Row],[% Uti. producción]]</f>
        <v>7563.2797716477335</v>
      </c>
      <c r="M259" s="7">
        <f>IFERROR(VLOOKUP(Tabla14[[#This Row],[Material]],'[9]TD Stock'!$B:$C,2,FALSE),0)</f>
        <v>2430</v>
      </c>
      <c r="N259" s="7">
        <f>IFERROR(VLOOKUP(Tabla14[[#This Row],[Material]],'[10]Consolidado planificación'!$B:$C,2,FALSE),0)</f>
        <v>700</v>
      </c>
      <c r="O259" s="7">
        <f>IFERROR(VLOOKUP(Tabla14[[#This Row],[Llave]],[11]Hoja2!$D:$G,4,FALSE),0)</f>
        <v>0</v>
      </c>
      <c r="P259" s="14">
        <f>SUM(Tabla14[[#This Row],[Producción disponible]],Tabla14[[#This Row],[Stock al día]],(Tabla14[[#This Row],[Por producir mes N]]*0.9))-Tabla14[[#This Row],[Producción por despachar mes N]]</f>
        <v>10623.279771647733</v>
      </c>
      <c r="Q259" s="7">
        <f>IFERROR(VLOOKUP(Tabla14[[#This Row],[Llave]],[9]DELAY!$A:$D,4,FALSE),0)</f>
        <v>0</v>
      </c>
      <c r="R259" s="9">
        <v>7000</v>
      </c>
      <c r="S259" s="5">
        <f t="shared" si="8"/>
        <v>0</v>
      </c>
      <c r="T259" s="76">
        <v>0</v>
      </c>
      <c r="U259" s="5">
        <f>+Tabla14[[#This Row],[Atraso a facturar]]+Tabla14[[#This Row],[Ajuste atraso]]</f>
        <v>0</v>
      </c>
      <c r="V259" s="3">
        <f>+Tabla14[[#This Row],[Total disponible]]-Tabla14[[#This Row],[Facturación atraso]]</f>
        <v>10623.279771647733</v>
      </c>
      <c r="W259" s="6">
        <f>IFERROR(IF(AND(V259&gt;R259,J259&gt;=R259),ROUNDDOWN((Tabla14[[#This Row],[Producción para venta nueva]])/R259,0)*R259,0),0)</f>
        <v>7000</v>
      </c>
      <c r="X259" s="76">
        <v>-7000</v>
      </c>
      <c r="Y259" s="6">
        <f>IF(Tabla14[[#This Row],[Venta del mes]]&gt;0,Tabla14[[#This Row],[Venta del mes]]+Tabla14[[#This Row],[Ajuste venta nueva]],0)</f>
        <v>0</v>
      </c>
      <c r="Z259" s="6">
        <f>+Tabla14[[#This Row],[Producción para venta nueva]]-Tabla14[[#This Row],[Facturación Venta nueva]]</f>
        <v>10623.279771647733</v>
      </c>
      <c r="AA259" s="6">
        <f>IF(AND(A259=1,Tabla14[[#This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59" s="6">
        <v>0</v>
      </c>
      <c r="AC259" s="6">
        <f>IF(Tabla14[[#This Row],[Disponible stock sin venta]]&gt;0,Tabla14[[#This Row],[Disponible stock sin venta]]+Tabla14[[#This Row],[Ajuste stock sin venta]],0)</f>
        <v>0</v>
      </c>
      <c r="AD259" s="3">
        <f>IFERROR(VLOOKUP(Tabla14[[#This Row],[Llave]],[12]Hoja1!$A:$D,4,FALSE),0)</f>
        <v>0</v>
      </c>
      <c r="AE25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7000</v>
      </c>
      <c r="AF259" s="3">
        <v>7000</v>
      </c>
      <c r="AG259" s="3">
        <f>+Tabla14[[#This Row],[En puerto a facturar]]</f>
        <v>0</v>
      </c>
      <c r="AH259" s="3">
        <f>+Tabla14[[#This Row],[Facturación atraso]]</f>
        <v>0</v>
      </c>
      <c r="AI259" s="3">
        <f>+Tabla14[[#This Row],[Plan Irrestricto (DATO)]]-Tabla14[[#This Row],[Puerto ]]-Tabla14[[#This Row],[Atraso]]</f>
        <v>7000</v>
      </c>
      <c r="AJ25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59" s="3">
        <f>+Tabla14[[#This Row],[Facturación atraso]]</f>
        <v>0</v>
      </c>
      <c r="AL259" s="3">
        <f>Tabla14[[#This Row],[Plan Ajustado]]-Tabla14[[#This Row],[ Atraso ajustado]]-Tabla14[[#This Row],[En puerto a facturar]]</f>
        <v>0</v>
      </c>
      <c r="AM259" s="3" t="s">
        <v>878</v>
      </c>
      <c r="AN259" s="3"/>
      <c r="AO259" s="3" t="str">
        <f>IF(Tabla14[[#This Row],[Plan Ajustado]]&gt;Tabla14[[#This Row],[En puerto a facturar]],"Si","No")</f>
        <v>No</v>
      </c>
      <c r="AP25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59" s="3">
        <f>IF(Tabla14[[#This Row],[Necesidad]]&gt;=Tabla14[[#This Row],[Stock al día]],Tabla14[[#This Row],[Stock al día]],Tabla14[[#This Row],[Necesidad]])</f>
        <v>0</v>
      </c>
      <c r="AR259" s="3">
        <f>+Tabla14[[#This Row],[Necesidad]]-Tabla14[[#This Row],[Stock Plan]]</f>
        <v>0</v>
      </c>
      <c r="AS259" s="155">
        <f>VLOOKUP(Tabla14[[#This Row],[Sector]]&amp;Tabla14[[#This Row],[Oficina]],[8]Ponderación!$A:$H,8,FALSE)</f>
        <v>44814</v>
      </c>
      <c r="AT259" s="30">
        <f>IFERROR(VLOOKUP(Tabla14[[#This Row],[Llave]],'[6]RV plan de ventas'!$A:$F,6,FALSE),0)</f>
        <v>4.2636250000000002</v>
      </c>
      <c r="AU259" s="83">
        <f>IFERROR(VLOOKUP(Tabla14[[#This Row],[Llave]],[9]DELAY!$H:$X,17,FALSE),0)</f>
        <v>0</v>
      </c>
      <c r="AV25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59" s="5">
        <f>Tabla14[[#This Row],[Pecio plan]]*Tabla14[[#This Row],[Plan Ajustado]]</f>
        <v>0</v>
      </c>
      <c r="AX259" s="30">
        <f>IFERROR(VLOOKUP(Tabla14[[#This Row],[Llave]],'[13]Ultimos precios facturados'!$A:$G,7,FALSE),0)</f>
        <v>0</v>
      </c>
      <c r="AY25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59" s="30">
        <f>IFERROR(VLOOKUP(Tabla14[[#This Row],[Llave]],Hoja2!B:K,10,FALSE),0)</f>
        <v>0</v>
      </c>
      <c r="BA25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59" s="30">
        <v>0</v>
      </c>
      <c r="BC259" s="30">
        <f>IF(Tabla14[[#This Row],[Market]]=0,Tabla14[[#This Row],[Precio Final]],Tabla14[[#This Row],[Market]])</f>
        <v>0</v>
      </c>
      <c r="BD259" s="82"/>
      <c r="BE259" s="82" t="str">
        <f>IF(AND(Tabla14[[#This Row],[Atraso a facturar]]&gt;0,Tabla14[[#This Row],[En puerto a facturar]]&gt;0,Tabla14[[#This Row],[Precio Atraso]]=0),"Revisar","OK")</f>
        <v>OK</v>
      </c>
      <c r="BF259" s="82" t="str">
        <f>IF(AND(Tabla14[[#This Row],[Venta del mes]]&gt;0,Tabla14[[#This Row],[Precio venta nueva]]=0),"Revisar","OK")</f>
        <v>OK</v>
      </c>
      <c r="BG259" s="20">
        <f>IFERROR(VLOOKUP(Tabla14[[#This Row],[Llave]],'[5]Consolidación planes'!$A:$M,9,FALSE),0)</f>
        <v>0</v>
      </c>
      <c r="BH259" s="20">
        <f>IFERROR(VLOOKUP(Tabla14[[#This Row],[Llave]],'[5]Consolidación planes'!$A:$M,10,FALSE),0)</f>
        <v>0</v>
      </c>
      <c r="BI259" s="20">
        <f>IFERROR(VLOOKUP(Tabla14[[#This Row],[Llave]],'[5]Consolidación planes'!$A:$M,11,FALSE),0)</f>
        <v>0</v>
      </c>
      <c r="BJ259" s="20">
        <f>IFERROR(VLOOKUP(Tabla14[[#This Row],[Llave]],'[5]Consolidación planes'!$A:$M,12,FALSE),0)</f>
        <v>0</v>
      </c>
      <c r="BK259" s="20">
        <f>IFERROR(VLOOKUP(Tabla14[[#This Row],[Llave]],'[5]Consolidación planes'!$A:$M,13,FALSE),0)</f>
        <v>0</v>
      </c>
      <c r="BL259" s="20">
        <f>IFERROR(VLOOKUP(Tabla14[[#This Row],[Llave]],'[13]Base ultimos planes'!$A:$M,13,FALSE),0)</f>
        <v>7000</v>
      </c>
      <c r="BM259" s="20">
        <f>IFERROR(VLOOKUP(Tabla14[[#This Row],[Llave]],'[13]Cruce plan irrestricto'!$C:$M,10,FALSE),0)</f>
        <v>0</v>
      </c>
      <c r="BN259" s="20">
        <f>IFERROR(VLOOKUP(Tabla14[[#This Row],[Llave]],'[13]Cruce plan irrestricto'!$C:$M,11,FALSE),0)</f>
        <v>0</v>
      </c>
      <c r="BO259" s="80">
        <f>IFERROR(VLOOKUP(Tabla14[[#This Row],[Llave]],'[13]Base ultimos planes'!$O:$AA,8,FALSE),0)</f>
        <v>0</v>
      </c>
      <c r="BP259" s="20">
        <f>IFERROR(VLOOKUP(Tabla14[[#This Row],[Llave]],'[13]Base ultimos planes'!$O:$AA,9,FALSE),0)</f>
        <v>0</v>
      </c>
      <c r="BQ259" s="20">
        <f>IFERROR(VLOOKUP(Tabla14[[#This Row],[Llave]],'[13]Base ultimos planes'!$O:$AA,10,FALSE),0)</f>
        <v>0</v>
      </c>
      <c r="BR259" s="20">
        <f>IFERROR(VLOOKUP(Tabla14[[#This Row],[Llave]],'[13]Base ultimos planes'!$O:$AA,11,FALSE),0)</f>
        <v>0</v>
      </c>
      <c r="BS259" s="20">
        <f>IFERROR(VLOOKUP(Tabla14[[#This Row],[Llave]],'[13]Base ultimos planes'!$O:$AA,12,FALSE),0)</f>
        <v>0</v>
      </c>
      <c r="BT259" s="20">
        <f>IFERROR(VLOOKUP(Tabla14[[#This Row],[Llave]],'[13]Base ultimos planes'!$O:$AA,13,FALSE),0)</f>
        <v>30191</v>
      </c>
      <c r="BU259" s="20"/>
      <c r="BV259" s="20">
        <f>Tabla14[[#This Row],[ RV Producción mes n+1]]-Tabla14[[#This Row],[Producción disponible]]+Tabla14[[#This Row],[Saldo Volumen disponible]]</f>
        <v>22717</v>
      </c>
      <c r="BW259" s="20">
        <f>IFERROR(VLOOKUP(Tabla14[[#This Row],[Llave]],[14]Hoja2!$J:$N,4,FALSE),0)</f>
        <v>0</v>
      </c>
      <c r="BX259" s="20">
        <f>+Tabla14[[#This Row],[Asignación mes n+1]]*Tabla14[[#This Row],[% Uti. producción]]</f>
        <v>0</v>
      </c>
      <c r="BY259" s="20">
        <f>+Tabla14[[#This Row],[Ponderación mes n+1]]+Tabla14[[#This Row],[Saldo mes n-1]]</f>
        <v>22717</v>
      </c>
      <c r="BZ259" s="20">
        <f>+Tabla14[[#This Row],[Asignación mes n+1]]-Tabla14[[#This Row],[Ponderación mes n+1]]</f>
        <v>0</v>
      </c>
      <c r="CA259" s="20">
        <f>IFERROR(VLOOKUP(Tabla14[[#This Row],[Llave]],[14]Hoja2!$J:$N,5,FALSE),0)</f>
        <v>0</v>
      </c>
      <c r="CB259" s="20">
        <f>+Tabla14[[#This Row],[Asignación mes n+2]]*Tabla14[[#This Row],[% Uti. producción]]</f>
        <v>0</v>
      </c>
      <c r="CC259" s="20">
        <f>+Tabla14[[#This Row],[Saldo mes n+2]]+Tabla14[[#This Row],[Ponderación mes n+2]]</f>
        <v>0</v>
      </c>
      <c r="CD259" s="20">
        <f>+Tabla14[[#This Row],[Asignación mes n+2]]-Tabla14[[#This Row],[Ponderación mes n+2]]</f>
        <v>0</v>
      </c>
    </row>
    <row r="260" spans="1:82" ht="16" x14ac:dyDescent="0.2">
      <c r="A260">
        <v>1</v>
      </c>
      <c r="B260" t="str">
        <f>Tabla14[[#This Row],[Oficina]]&amp;Tabla14[[#This Row],[Material]]</f>
        <v>Agro Sudamerica1022842</v>
      </c>
      <c r="C260" t="s">
        <v>6</v>
      </c>
      <c r="D260" t="s">
        <v>17</v>
      </c>
      <c r="E260">
        <v>1022842</v>
      </c>
      <c r="F260" t="s">
        <v>405</v>
      </c>
      <c r="G260" t="s">
        <v>71</v>
      </c>
      <c r="H260" t="s">
        <v>586</v>
      </c>
      <c r="I260" s="7">
        <f>IFERROR(IF(Tabla14[[#This Row],[Oficina]]=$I$7,VLOOKUP(Tabla14[[#This Row],[Material]],'[6]RV Producción'!$Y:$AA,3,FALSE),VLOOKUP(Tabla14[[#This Row],[Llave]],'[6]RV Producción'!$C:$G,5,FALSE)),0)</f>
        <v>0</v>
      </c>
      <c r="J260" s="7">
        <f>IFERROR(IF(Tabla14[[#This Row],[Oficina]]=$I$7,VLOOKUP(Tabla14[[#This Row],[Llave]],'[7]Shangai (Tomas)'!$A:$F,6,FALSE),VLOOKUP(Tabla14[[#This Row],[Llave]],'[6]RV plan de ventas'!$A:$E,5,FALSE)),0)</f>
        <v>0</v>
      </c>
      <c r="K260" s="8">
        <f>IFERROR(VLOOKUP(Tabla14[[#This Row],[Sector]]&amp;Tabla14[[#This Row],[Oficina]],[8]Ponderación!$A$3:$G$22,7,FALSE),0)</f>
        <v>0.3545854356400317</v>
      </c>
      <c r="L260" s="7">
        <f>+Tabla14[[#This Row],[ RV Producción mes n+1]]*Tabla14[[#This Row],[% Uti. producción]]</f>
        <v>0</v>
      </c>
      <c r="M260" s="7">
        <f>IFERROR(VLOOKUP(Tabla14[[#This Row],[Material]],'[9]TD Stock'!$B:$C,2,FALSE),0)</f>
        <v>520.84</v>
      </c>
      <c r="N260" s="7">
        <f>IFERROR(VLOOKUP(Tabla14[[#This Row],[Material]],'[10]Consolidado planificación'!$B:$C,2,FALSE),0)</f>
        <v>471</v>
      </c>
      <c r="O260" s="7">
        <f>IFERROR(VLOOKUP(Tabla14[[#This Row],[Llave]],[11]Hoja2!$D:$G,4,FALSE),0)</f>
        <v>0</v>
      </c>
      <c r="P260" s="14">
        <f>SUM(Tabla14[[#This Row],[Producción disponible]],Tabla14[[#This Row],[Stock al día]],(Tabla14[[#This Row],[Por producir mes N]]*0.9))-Tabla14[[#This Row],[Producción por despachar mes N]]</f>
        <v>944.74</v>
      </c>
      <c r="Q260" s="7">
        <f>IFERROR(VLOOKUP(Tabla14[[#This Row],[Llave]],[9]DELAY!$A:$D,4,FALSE),0)</f>
        <v>48000</v>
      </c>
      <c r="R260" s="9">
        <v>23000</v>
      </c>
      <c r="S260" s="5">
        <f t="shared" si="8"/>
        <v>0</v>
      </c>
      <c r="T260" s="76">
        <v>0</v>
      </c>
      <c r="U260" s="5">
        <f>+Tabla14[[#This Row],[Atraso a facturar]]+Tabla14[[#This Row],[Ajuste atraso]]</f>
        <v>0</v>
      </c>
      <c r="V260" s="3">
        <f>+Tabla14[[#This Row],[Total disponible]]-Tabla14[[#This Row],[Facturación atraso]]</f>
        <v>944.74</v>
      </c>
      <c r="W260" s="6">
        <f>IFERROR(IF(AND(V260&gt;R260,J260&gt;=R260),ROUNDDOWN((Tabla14[[#This Row],[Producción para venta nueva]])/R260,0)*R260,0),0)</f>
        <v>0</v>
      </c>
      <c r="X260" s="76">
        <v>0</v>
      </c>
      <c r="Y260" s="6">
        <f>IF(Tabla14[[#This Row],[Venta del mes]]&gt;0,Tabla14[[#This Row],[Venta del mes]]+Tabla14[[#This Row],[Ajuste venta nueva]],0)</f>
        <v>0</v>
      </c>
      <c r="Z260" s="6">
        <f>+Tabla14[[#This Row],[Producción para venta nueva]]-Tabla14[[#This Row],[Facturación Venta nueva]]</f>
        <v>944.74</v>
      </c>
      <c r="AA260" s="6">
        <f>IF(AND(A260=1,Tabla14[[#This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0" s="6">
        <v>0</v>
      </c>
      <c r="AC260" s="6">
        <f>IF(Tabla14[[#This Row],[Disponible stock sin venta]]&gt;0,Tabla14[[#This Row],[Disponible stock sin venta]]+Tabla14[[#This Row],[Ajuste stock sin venta]],0)</f>
        <v>0</v>
      </c>
      <c r="AD260" s="3">
        <f>IFERROR(VLOOKUP(Tabla14[[#This Row],[Llave]],[12]Hoja1!$A:$D,4,FALSE),0)</f>
        <v>0</v>
      </c>
      <c r="AE26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60" s="3">
        <v>0</v>
      </c>
      <c r="AG260" s="3">
        <f>+Tabla14[[#This Row],[En puerto a facturar]]</f>
        <v>0</v>
      </c>
      <c r="AH260" s="3">
        <f>+Tabla14[[#This Row],[Facturación atraso]]</f>
        <v>0</v>
      </c>
      <c r="AI260" s="3">
        <f>+Tabla14[[#This Row],[Plan Irrestricto (DATO)]]-Tabla14[[#This Row],[Puerto ]]-Tabla14[[#This Row],[Atraso]]</f>
        <v>0</v>
      </c>
      <c r="AJ26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60" s="3">
        <f>+Tabla14[[#This Row],[Facturación atraso]]</f>
        <v>0</v>
      </c>
      <c r="AL260" s="3">
        <f>Tabla14[[#This Row],[Plan Ajustado]]-Tabla14[[#This Row],[ Atraso ajustado]]-Tabla14[[#This Row],[En puerto a facturar]]</f>
        <v>0</v>
      </c>
      <c r="AM260" s="3">
        <v>0</v>
      </c>
      <c r="AN260" s="3" t="e">
        <v>#REF!</v>
      </c>
      <c r="AO260" s="3" t="str">
        <f>IF(Tabla14[[#This Row],[Plan Ajustado]]&gt;Tabla14[[#This Row],[En puerto a facturar]],"Si","No")</f>
        <v>No</v>
      </c>
      <c r="AP26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60" s="3">
        <f>IF(Tabla14[[#This Row],[Necesidad]]&gt;=Tabla14[[#This Row],[Stock al día]],Tabla14[[#This Row],[Stock al día]],Tabla14[[#This Row],[Necesidad]])</f>
        <v>0</v>
      </c>
      <c r="AR260" s="3">
        <f>+Tabla14[[#This Row],[Necesidad]]-Tabla14[[#This Row],[Stock Plan]]</f>
        <v>0</v>
      </c>
      <c r="AS260" s="155">
        <f>VLOOKUP(Tabla14[[#This Row],[Sector]]&amp;Tabla14[[#This Row],[Oficina]],[8]Ponderación!$A:$H,8,FALSE)</f>
        <v>44813</v>
      </c>
      <c r="AT260" s="30">
        <f>IFERROR(VLOOKUP(Tabla14[[#This Row],[Llave]],'[6]RV plan de ventas'!$A:$F,6,FALSE),0)</f>
        <v>0</v>
      </c>
      <c r="AU260" s="83">
        <f>IFERROR(VLOOKUP(Tabla14[[#This Row],[Llave]],[9]DELAY!$H:$X,17,FALSE),0)</f>
        <v>2.5249999999999999</v>
      </c>
      <c r="AV26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60" s="5">
        <f>Tabla14[[#This Row],[Pecio plan]]*Tabla14[[#This Row],[Plan Ajustado]]</f>
        <v>0</v>
      </c>
      <c r="AX260" s="30">
        <f>IFERROR(VLOOKUP(Tabla14[[#This Row],[Llave]],'[13]Ultimos precios facturados'!$A:$G,7,FALSE),0)</f>
        <v>0</v>
      </c>
      <c r="AY26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60" s="30">
        <f>IFERROR(VLOOKUP(Tabla14[[#This Row],[Llave]],Hoja2!B:K,10,FALSE),0)</f>
        <v>0</v>
      </c>
      <c r="BA26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60" s="30">
        <v>0</v>
      </c>
      <c r="BC260" s="30">
        <f>IF(Tabla14[[#This Row],[Market]]=0,Tabla14[[#This Row],[Precio Final]],Tabla14[[#This Row],[Market]])</f>
        <v>0</v>
      </c>
      <c r="BD260" s="82"/>
      <c r="BE260" s="82" t="str">
        <f>IF(AND(Tabla14[[#This Row],[Atraso a facturar]]&gt;0,Tabla14[[#This Row],[En puerto a facturar]]&gt;0,Tabla14[[#This Row],[Precio Atraso]]=0),"Revisar","OK")</f>
        <v>OK</v>
      </c>
      <c r="BF260" s="82" t="str">
        <f>IF(AND(Tabla14[[#This Row],[Venta del mes]]&gt;0,Tabla14[[#This Row],[Precio venta nueva]]=0),"Revisar","OK")</f>
        <v>OK</v>
      </c>
      <c r="BG260" s="20">
        <f>IFERROR(VLOOKUP(Tabla14[[#This Row],[Llave]],'[5]Consolidación planes'!$A:$M,9,FALSE),0)</f>
        <v>0</v>
      </c>
      <c r="BH260" s="20">
        <f>IFERROR(VLOOKUP(Tabla14[[#This Row],[Llave]],'[5]Consolidación planes'!$A:$M,10,FALSE),0)</f>
        <v>0</v>
      </c>
      <c r="BI260" s="20">
        <f>IFERROR(VLOOKUP(Tabla14[[#This Row],[Llave]],'[5]Consolidación planes'!$A:$M,11,FALSE),0)</f>
        <v>0</v>
      </c>
      <c r="BJ260" s="20">
        <f>IFERROR(VLOOKUP(Tabla14[[#This Row],[Llave]],'[5]Consolidación planes'!$A:$M,12,FALSE),0)</f>
        <v>0</v>
      </c>
      <c r="BK260" s="20">
        <f>IFERROR(VLOOKUP(Tabla14[[#This Row],[Llave]],'[5]Consolidación planes'!$A:$M,13,FALSE),0)</f>
        <v>0</v>
      </c>
      <c r="BL260" s="20">
        <f>IFERROR(VLOOKUP(Tabla14[[#This Row],[Llave]],'[13]Base ultimos planes'!$A:$M,13,FALSE),0)</f>
        <v>0</v>
      </c>
      <c r="BM260" s="20">
        <f>IFERROR(VLOOKUP(Tabla14[[#This Row],[Llave]],'[13]Cruce plan irrestricto'!$C:$M,10,FALSE),0)</f>
        <v>24000</v>
      </c>
      <c r="BN260" s="20">
        <f>IFERROR(VLOOKUP(Tabla14[[#This Row],[Llave]],'[13]Cruce plan irrestricto'!$C:$M,11,FALSE),0)</f>
        <v>0</v>
      </c>
      <c r="BO260" s="80">
        <f>IFERROR(VLOOKUP(Tabla14[[#This Row],[Llave]],'[13]Base ultimos planes'!$O:$AA,8,FALSE),0)</f>
        <v>0</v>
      </c>
      <c r="BP260" s="20">
        <f>IFERROR(VLOOKUP(Tabla14[[#This Row],[Llave]],'[13]Base ultimos planes'!$O:$AA,9,FALSE),0)</f>
        <v>0</v>
      </c>
      <c r="BQ260" s="20">
        <f>IFERROR(VLOOKUP(Tabla14[[#This Row],[Llave]],'[13]Base ultimos planes'!$O:$AA,10,FALSE),0)</f>
        <v>0</v>
      </c>
      <c r="BR260" s="20">
        <f>IFERROR(VLOOKUP(Tabla14[[#This Row],[Llave]],'[13]Base ultimos planes'!$O:$AA,11,FALSE),0)</f>
        <v>0</v>
      </c>
      <c r="BS260" s="20">
        <f>IFERROR(VLOOKUP(Tabla14[[#This Row],[Llave]],'[13]Base ultimos planes'!$O:$AA,12,FALSE),0)</f>
        <v>0</v>
      </c>
      <c r="BT260" s="20">
        <f>IFERROR(VLOOKUP(Tabla14[[#This Row],[Llave]],'[13]Base ultimos planes'!$O:$AA,13,FALSE),0)</f>
        <v>0</v>
      </c>
      <c r="BU260" s="20"/>
      <c r="BV260" s="20">
        <f>Tabla14[[#This Row],[ RV Producción mes n+1]]-Tabla14[[#This Row],[Producción disponible]]+Tabla14[[#This Row],[Saldo Volumen disponible]]</f>
        <v>944.74</v>
      </c>
      <c r="BW260" s="20">
        <f>IFERROR(VLOOKUP(Tabla14[[#This Row],[Llave]],[14]Hoja2!$J:$N,4,FALSE),0)</f>
        <v>48000</v>
      </c>
      <c r="BX260" s="20">
        <f>+Tabla14[[#This Row],[Asignación mes n+1]]*Tabla14[[#This Row],[% Uti. producción]]</f>
        <v>17020.100910721521</v>
      </c>
      <c r="BY260" s="20">
        <f>+Tabla14[[#This Row],[Ponderación mes n+1]]+Tabla14[[#This Row],[Saldo mes n-1]]</f>
        <v>17964.840910721523</v>
      </c>
      <c r="BZ260" s="20">
        <f>+Tabla14[[#This Row],[Asignación mes n+1]]-Tabla14[[#This Row],[Ponderación mes n+1]]</f>
        <v>30979.899089278479</v>
      </c>
      <c r="CA260" s="20">
        <f>IFERROR(VLOOKUP(Tabla14[[#This Row],[Llave]],[14]Hoja2!$J:$N,5,FALSE),0)</f>
        <v>48000.000100000005</v>
      </c>
      <c r="CB260" s="20">
        <f>+Tabla14[[#This Row],[Asignación mes n+2]]*Tabla14[[#This Row],[% Uti. producción]]</f>
        <v>17020.100946180068</v>
      </c>
      <c r="CC260" s="20">
        <f>+Tabla14[[#This Row],[Saldo mes n+2]]+Tabla14[[#This Row],[Ponderación mes n+2]]</f>
        <v>48000.00003545855</v>
      </c>
      <c r="CD260" s="20">
        <f>+Tabla14[[#This Row],[Asignación mes n+2]]-Tabla14[[#This Row],[Ponderación mes n+2]]</f>
        <v>30979.899153819937</v>
      </c>
    </row>
    <row r="261" spans="1:82" ht="16" x14ac:dyDescent="0.2">
      <c r="A261">
        <v>1</v>
      </c>
      <c r="B261" t="str">
        <f>Tabla14[[#This Row],[Oficina]]&amp;Tabla14[[#This Row],[Material]]</f>
        <v>Agro Sudamerica1022844</v>
      </c>
      <c r="C261" t="s">
        <v>6</v>
      </c>
      <c r="D261" t="s">
        <v>17</v>
      </c>
      <c r="E261">
        <v>1022844</v>
      </c>
      <c r="F261" t="s">
        <v>406</v>
      </c>
      <c r="G261" t="s">
        <v>71</v>
      </c>
      <c r="H261" t="s">
        <v>72</v>
      </c>
      <c r="I261" s="7">
        <f>IFERROR(IF(Tabla14[[#This Row],[Oficina]]=$I$7,VLOOKUP(Tabla14[[#This Row],[Material]],'[6]RV Producción'!$Y:$AA,3,FALSE),VLOOKUP(Tabla14[[#This Row],[Llave]],'[6]RV Producción'!$C:$G,5,FALSE)),0)</f>
        <v>541</v>
      </c>
      <c r="J261" s="7">
        <f>IFERROR(IF(Tabla14[[#This Row],[Oficina]]=$I$7,VLOOKUP(Tabla14[[#This Row],[Llave]],'[7]Shangai (Tomas)'!$A:$F,6,FALSE),VLOOKUP(Tabla14[[#This Row],[Llave]],'[6]RV plan de ventas'!$A:$E,5,FALSE)),0)</f>
        <v>0</v>
      </c>
      <c r="K261" s="8">
        <f>IFERROR(VLOOKUP(Tabla14[[#This Row],[Sector]]&amp;Tabla14[[#This Row],[Oficina]],[8]Ponderación!$A$3:$G$22,7,FALSE),0)</f>
        <v>0.3545854356400317</v>
      </c>
      <c r="L261" s="7">
        <f>+Tabla14[[#This Row],[ RV Producción mes n+1]]*Tabla14[[#This Row],[% Uti. producción]]</f>
        <v>191.83072068125716</v>
      </c>
      <c r="M261" s="7">
        <f>IFERROR(VLOOKUP(Tabla14[[#This Row],[Material]],'[9]TD Stock'!$B:$C,2,FALSE),0)</f>
        <v>24736.058999999983</v>
      </c>
      <c r="N261" s="7">
        <f>IFERROR(VLOOKUP(Tabla14[[#This Row],[Material]],'[10]Consolidado planificación'!$B:$C,2,FALSE),0)</f>
        <v>0</v>
      </c>
      <c r="O261" s="7">
        <f>IFERROR(VLOOKUP(Tabla14[[#This Row],[Llave]],[11]Hoja2!$D:$G,4,FALSE),0)</f>
        <v>0</v>
      </c>
      <c r="P261" s="14">
        <f>SUM(Tabla14[[#This Row],[Producción disponible]],Tabla14[[#This Row],[Stock al día]],(Tabla14[[#This Row],[Por producir mes N]]*0.9))-Tabla14[[#This Row],[Producción por despachar mes N]]</f>
        <v>24927.88972068124</v>
      </c>
      <c r="Q261" s="7">
        <f>IFERROR(VLOOKUP(Tabla14[[#This Row],[Llave]],[9]DELAY!$A:$D,4,FALSE),0)</f>
        <v>24000</v>
      </c>
      <c r="R261" s="9">
        <v>23000</v>
      </c>
      <c r="S261" s="5">
        <f t="shared" si="8"/>
        <v>24000</v>
      </c>
      <c r="T261" s="76">
        <v>0</v>
      </c>
      <c r="U261" s="5">
        <f>+Tabla14[[#This Row],[Atraso a facturar]]+Tabla14[[#This Row],[Ajuste atraso]]</f>
        <v>24000</v>
      </c>
      <c r="V261" s="3">
        <f>+Tabla14[[#This Row],[Total disponible]]-Tabla14[[#This Row],[Facturación atraso]]</f>
        <v>927.88972068123985</v>
      </c>
      <c r="W261" s="6">
        <f>IFERROR(IF(AND(V261&gt;R261,J261&gt;=R261),ROUNDDOWN((Tabla14[[#This Row],[Producción para venta nueva]])/R261,0)*R261,0),0)</f>
        <v>0</v>
      </c>
      <c r="X261" s="76">
        <v>0</v>
      </c>
      <c r="Y261" s="6">
        <f>IF(Tabla14[[#This Row],[Venta del mes]]&gt;0,Tabla14[[#This Row],[Venta del mes]]+Tabla14[[#This Row],[Ajuste venta nueva]],0)</f>
        <v>0</v>
      </c>
      <c r="Z261" s="6">
        <f>+Tabla14[[#This Row],[Producción para venta nueva]]-Tabla14[[#This Row],[Facturación Venta nueva]]</f>
        <v>927.88972068123985</v>
      </c>
      <c r="AA261" s="6">
        <f>IF(AND(A261=1,Tabla14[[#This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1" s="6">
        <v>0</v>
      </c>
      <c r="AC261" s="6">
        <f>IF(Tabla14[[#This Row],[Disponible stock sin venta]]&gt;0,Tabla14[[#This Row],[Disponible stock sin venta]]+Tabla14[[#This Row],[Ajuste stock sin venta]],0)</f>
        <v>0</v>
      </c>
      <c r="AD261" s="3">
        <f>IFERROR(VLOOKUP(Tabla14[[#This Row],[Llave]],[12]Hoja1!$A:$D,4,FALSE),0)</f>
        <v>0</v>
      </c>
      <c r="AE26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261" s="3">
        <v>24000</v>
      </c>
      <c r="AG261" s="3">
        <f>+Tabla14[[#This Row],[En puerto a facturar]]</f>
        <v>0</v>
      </c>
      <c r="AH261" s="3">
        <f>+Tabla14[[#This Row],[Facturación atraso]]</f>
        <v>24000</v>
      </c>
      <c r="AI261" s="3">
        <f>+Tabla14[[#This Row],[Plan Irrestricto (DATO)]]-Tabla14[[#This Row],[Puerto ]]-Tabla14[[#This Row],[Atraso]]</f>
        <v>0</v>
      </c>
      <c r="AJ261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261" s="3">
        <f>+Tabla14[[#This Row],[Facturación atraso]]</f>
        <v>24000</v>
      </c>
      <c r="AL261" s="3">
        <f>Tabla14[[#This Row],[Plan Ajustado]]-Tabla14[[#This Row],[ Atraso ajustado]]-Tabla14[[#This Row],[En puerto a facturar]]</f>
        <v>0</v>
      </c>
      <c r="AM261" s="3">
        <v>0</v>
      </c>
      <c r="AN261" s="3" t="s">
        <v>636</v>
      </c>
      <c r="AO261" s="3" t="str">
        <f>IF(Tabla14[[#This Row],[Plan Ajustado]]&gt;Tabla14[[#This Row],[En puerto a facturar]],"Si","No")</f>
        <v>Si</v>
      </c>
      <c r="AP261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261" s="3">
        <f>IF(Tabla14[[#This Row],[Necesidad]]&gt;=Tabla14[[#This Row],[Stock al día]],Tabla14[[#This Row],[Stock al día]],Tabla14[[#This Row],[Necesidad]])</f>
        <v>24000</v>
      </c>
      <c r="AR261" s="3">
        <f>+Tabla14[[#This Row],[Necesidad]]-Tabla14[[#This Row],[Stock Plan]]</f>
        <v>0</v>
      </c>
      <c r="AS261" s="155">
        <f>VLOOKUP(Tabla14[[#This Row],[Sector]]&amp;Tabla14[[#This Row],[Oficina]],[8]Ponderación!$A:$H,8,FALSE)</f>
        <v>44813</v>
      </c>
      <c r="AT261" s="30">
        <f>IFERROR(VLOOKUP(Tabla14[[#This Row],[Llave]],'[6]RV plan de ventas'!$A:$F,6,FALSE),0)</f>
        <v>0</v>
      </c>
      <c r="AU261" s="83">
        <f>IFERROR(VLOOKUP(Tabla14[[#This Row],[Llave]],[9]DELAY!$H:$X,17,FALSE),0)</f>
        <v>1.7235416666666701</v>
      </c>
      <c r="AV26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1.7235416666666701</v>
      </c>
      <c r="AW261" s="5">
        <f>Tabla14[[#This Row],[Pecio plan]]*Tabla14[[#This Row],[Plan Ajustado]]</f>
        <v>41280</v>
      </c>
      <c r="AX261" s="30">
        <f>IFERROR(VLOOKUP(Tabla14[[#This Row],[Llave]],'[13]Ultimos precios facturados'!$A:$G,7,FALSE),0)</f>
        <v>0</v>
      </c>
      <c r="AY26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61" s="30">
        <f>IFERROR(VLOOKUP(Tabla14[[#This Row],[Llave]],Hoja2!B:K,10,FALSE),0)</f>
        <v>0</v>
      </c>
      <c r="BA26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1.7235416666666701</v>
      </c>
      <c r="BB261" s="30">
        <v>1.72</v>
      </c>
      <c r="BC261" s="30">
        <f>IF(Tabla14[[#This Row],[Market]]=0,Tabla14[[#This Row],[Precio Final]],Tabla14[[#This Row],[Market]])</f>
        <v>1.72</v>
      </c>
      <c r="BD261" s="82"/>
      <c r="BE261" s="82" t="str">
        <f>IF(AND(Tabla14[[#This Row],[Atraso a facturar]]&gt;0,Tabla14[[#This Row],[En puerto a facturar]]&gt;0,Tabla14[[#This Row],[Precio Atraso]]=0),"Revisar","OK")</f>
        <v>OK</v>
      </c>
      <c r="BF261" s="82" t="str">
        <f>IF(AND(Tabla14[[#This Row],[Venta del mes]]&gt;0,Tabla14[[#This Row],[Precio venta nueva]]=0),"Revisar","OK")</f>
        <v>OK</v>
      </c>
      <c r="BG261" s="20">
        <f>IFERROR(VLOOKUP(Tabla14[[#This Row],[Llave]],'[5]Consolidación planes'!$A:$M,9,FALSE),0)</f>
        <v>0</v>
      </c>
      <c r="BH261" s="20">
        <f>IFERROR(VLOOKUP(Tabla14[[#This Row],[Llave]],'[5]Consolidación planes'!$A:$M,10,FALSE),0)</f>
        <v>0</v>
      </c>
      <c r="BI261" s="20">
        <f>IFERROR(VLOOKUP(Tabla14[[#This Row],[Llave]],'[5]Consolidación planes'!$A:$M,11,FALSE),0)</f>
        <v>0</v>
      </c>
      <c r="BJ261" s="20">
        <f>IFERROR(VLOOKUP(Tabla14[[#This Row],[Llave]],'[5]Consolidación planes'!$A:$M,12,FALSE),0)</f>
        <v>0</v>
      </c>
      <c r="BK261" s="20">
        <f>IFERROR(VLOOKUP(Tabla14[[#This Row],[Llave]],'[5]Consolidación planes'!$A:$M,13,FALSE),0)</f>
        <v>0</v>
      </c>
      <c r="BL261" s="20">
        <f>IFERROR(VLOOKUP(Tabla14[[#This Row],[Llave]],'[13]Base ultimos planes'!$A:$M,13,FALSE),0)</f>
        <v>0</v>
      </c>
      <c r="BM261" s="20">
        <f>IFERROR(VLOOKUP(Tabla14[[#This Row],[Llave]],'[13]Cruce plan irrestricto'!$C:$M,10,FALSE),0)</f>
        <v>0</v>
      </c>
      <c r="BN261" s="20">
        <f>IFERROR(VLOOKUP(Tabla14[[#This Row],[Llave]],'[13]Cruce plan irrestricto'!$C:$M,11,FALSE),0)</f>
        <v>0</v>
      </c>
      <c r="BO261" s="80">
        <f>IFERROR(VLOOKUP(Tabla14[[#This Row],[Llave]],'[13]Base ultimos planes'!$O:$AA,8,FALSE),0)</f>
        <v>0</v>
      </c>
      <c r="BP261" s="20">
        <f>IFERROR(VLOOKUP(Tabla14[[#This Row],[Llave]],'[13]Base ultimos planes'!$O:$AA,9,FALSE),0)</f>
        <v>0</v>
      </c>
      <c r="BQ261" s="20">
        <f>IFERROR(VLOOKUP(Tabla14[[#This Row],[Llave]],'[13]Base ultimos planes'!$O:$AA,10,FALSE),0)</f>
        <v>0</v>
      </c>
      <c r="BR261" s="20">
        <f>IFERROR(VLOOKUP(Tabla14[[#This Row],[Llave]],'[13]Base ultimos planes'!$O:$AA,11,FALSE),0)</f>
        <v>0</v>
      </c>
      <c r="BS261" s="20">
        <f>IFERROR(VLOOKUP(Tabla14[[#This Row],[Llave]],'[13]Base ultimos planes'!$O:$AA,12,FALSE),0)</f>
        <v>0</v>
      </c>
      <c r="BT261" s="20">
        <f>IFERROR(VLOOKUP(Tabla14[[#This Row],[Llave]],'[13]Base ultimos planes'!$O:$AA,13,FALSE),0)</f>
        <v>0</v>
      </c>
      <c r="BU261" s="20"/>
      <c r="BV261" s="20">
        <f>Tabla14[[#This Row],[ RV Producción mes n+1]]-Tabla14[[#This Row],[Producción disponible]]+Tabla14[[#This Row],[Saldo Volumen disponible]]</f>
        <v>1277.0589999999827</v>
      </c>
      <c r="BW261" s="20">
        <f>IFERROR(VLOOKUP(Tabla14[[#This Row],[Llave]],[14]Hoja2!$J:$N,4,FALSE),0)</f>
        <v>0</v>
      </c>
      <c r="BX261" s="20">
        <f>+Tabla14[[#This Row],[Asignación mes n+1]]*Tabla14[[#This Row],[% Uti. producción]]</f>
        <v>0</v>
      </c>
      <c r="BY261" s="20">
        <f>+Tabla14[[#This Row],[Ponderación mes n+1]]+Tabla14[[#This Row],[Saldo mes n-1]]</f>
        <v>1277.0589999999827</v>
      </c>
      <c r="BZ261" s="20">
        <f>+Tabla14[[#This Row],[Asignación mes n+1]]-Tabla14[[#This Row],[Ponderación mes n+1]]</f>
        <v>0</v>
      </c>
      <c r="CA261" s="20">
        <f>IFERROR(VLOOKUP(Tabla14[[#This Row],[Llave]],[14]Hoja2!$J:$N,5,FALSE),0)</f>
        <v>0</v>
      </c>
      <c r="CB261" s="20">
        <f>+Tabla14[[#This Row],[Asignación mes n+2]]*Tabla14[[#This Row],[% Uti. producción]]</f>
        <v>0</v>
      </c>
      <c r="CC261" s="20">
        <f>+Tabla14[[#This Row],[Saldo mes n+2]]+Tabla14[[#This Row],[Ponderación mes n+2]]</f>
        <v>0</v>
      </c>
      <c r="CD261" s="20">
        <f>+Tabla14[[#This Row],[Asignación mes n+2]]-Tabla14[[#This Row],[Ponderación mes n+2]]</f>
        <v>0</v>
      </c>
    </row>
    <row r="262" spans="1:82" ht="16" x14ac:dyDescent="0.2">
      <c r="A262">
        <v>2</v>
      </c>
      <c r="B262" t="str">
        <f>Tabla14[[#This Row],[Oficina]]&amp;Tabla14[[#This Row],[Material]]</f>
        <v>Agrosuper Shanghai1022943</v>
      </c>
      <c r="C262" t="s">
        <v>6</v>
      </c>
      <c r="D262" t="s">
        <v>140</v>
      </c>
      <c r="E262">
        <v>1022943</v>
      </c>
      <c r="F262" t="s">
        <v>400</v>
      </c>
      <c r="G262" t="s">
        <v>50</v>
      </c>
      <c r="H262" t="s">
        <v>51</v>
      </c>
      <c r="I262" s="7">
        <f>IFERROR(IF(Tabla14[[#This Row],[Oficina]]=$I$7,VLOOKUP(Tabla14[[#This Row],[Material]],'[6]RV Producción'!$Y:$AA,3,FALSE),VLOOKUP(Tabla14[[#This Row],[Llave]],'[6]RV Producción'!$C:$G,5,FALSE)),0)</f>
        <v>53674</v>
      </c>
      <c r="J262" s="7">
        <f>IFERROR(IF(Tabla14[[#This Row],[Oficina]]=$I$7,VLOOKUP(Tabla14[[#This Row],[Llave]],'[7]Shangai (Tomas)'!$A:$F,6,FALSE),VLOOKUP(Tabla14[[#This Row],[Llave]],'[6]RV plan de ventas'!$A:$E,5,FALSE)),0)</f>
        <v>0</v>
      </c>
      <c r="K262" s="8">
        <f>IFERROR(VLOOKUP(Tabla14[[#This Row],[Sector]]&amp;Tabla14[[#This Row],[Oficina]],[8]Ponderación!$A$3:$G$22,7,FALSE),0)</f>
        <v>0.38476266834449474</v>
      </c>
      <c r="L262" s="7">
        <f>+Tabla14[[#This Row],[ RV Producción mes n+1]]*Tabla14[[#This Row],[% Uti. producción]]</f>
        <v>20651.751460722411</v>
      </c>
      <c r="M262" s="7">
        <f>IFERROR(VLOOKUP(Tabla14[[#This Row],[Material]],'[9]TD Stock'!$B:$C,2,FALSE),0)</f>
        <v>32</v>
      </c>
      <c r="N262" s="7">
        <f>IFERROR(VLOOKUP(Tabla14[[#This Row],[Material]],'[10]Consolidado planificación'!$B:$C,2,FALSE),0)</f>
        <v>0</v>
      </c>
      <c r="O262" s="7">
        <f>IFERROR(VLOOKUP(Tabla14[[#This Row],[Llave]],[11]Hoja2!$D:$G,4,FALSE),0)</f>
        <v>0</v>
      </c>
      <c r="P262" s="14">
        <f>SUM(Tabla14[[#This Row],[Producción disponible]],Tabla14[[#This Row],[Stock al día]],(Tabla14[[#This Row],[Por producir mes N]]*0.9))-Tabla14[[#This Row],[Producción por despachar mes N]]</f>
        <v>20683.751460722411</v>
      </c>
      <c r="Q262" s="7">
        <f>IFERROR(VLOOKUP(Tabla14[[#This Row],[Llave]],[9]DELAY!$A:$D,4,FALSE),0)</f>
        <v>0</v>
      </c>
      <c r="R262" s="9">
        <v>23000</v>
      </c>
      <c r="S262" s="5">
        <f t="shared" si="8"/>
        <v>0</v>
      </c>
      <c r="T262" s="76">
        <v>0</v>
      </c>
      <c r="U262" s="5">
        <f>+Tabla14[[#This Row],[Atraso a facturar]]+Tabla14[[#This Row],[Ajuste atraso]]</f>
        <v>0</v>
      </c>
      <c r="V262" s="3">
        <f>+Tabla14[[#This Row],[Total disponible]]-Tabla14[[#This Row],[Facturación atraso]]</f>
        <v>20683.751460722411</v>
      </c>
      <c r="W262" s="6">
        <f>IFERROR(IF(AND(V262&gt;R262,J262&gt;=R262),ROUNDDOWN((Tabla14[[#This Row],[Producción para venta nueva]])/R262,0)*R262,0),0)</f>
        <v>0</v>
      </c>
      <c r="X262" s="76">
        <v>0</v>
      </c>
      <c r="Y262" s="6">
        <f>IF(Tabla14[[#This Row],[Venta del mes]]&gt;0,Tabla14[[#This Row],[Venta del mes]]+Tabla14[[#This Row],[Ajuste venta nueva]],0)</f>
        <v>0</v>
      </c>
      <c r="Z262" s="6">
        <f>+Tabla14[[#This Row],[Producción para venta nueva]]-Tabla14[[#This Row],[Facturación Venta nueva]]</f>
        <v>20683.751460722411</v>
      </c>
      <c r="AA262" s="6">
        <f>IF(AND(A262=1,Tabla14[[#This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2" s="6">
        <v>0</v>
      </c>
      <c r="AC262" s="6">
        <f>IF(Tabla14[[#This Row],[Disponible stock sin venta]]&gt;0,Tabla14[[#This Row],[Disponible stock sin venta]]+Tabla14[[#This Row],[Ajuste stock sin venta]],0)</f>
        <v>0</v>
      </c>
      <c r="AD262" s="3">
        <f>IFERROR(VLOOKUP(Tabla14[[#This Row],[Llave]],[12]Hoja1!$A:$D,4,FALSE),0)</f>
        <v>0</v>
      </c>
      <c r="AE26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62" s="3">
        <v>0</v>
      </c>
      <c r="AG262" s="3">
        <f>+Tabla14[[#This Row],[En puerto a facturar]]</f>
        <v>0</v>
      </c>
      <c r="AH262" s="3">
        <f>+Tabla14[[#This Row],[Facturación atraso]]</f>
        <v>0</v>
      </c>
      <c r="AI262" s="3">
        <f>+Tabla14[[#This Row],[Plan Irrestricto (DATO)]]-Tabla14[[#This Row],[Puerto ]]-Tabla14[[#This Row],[Atraso]]</f>
        <v>0</v>
      </c>
      <c r="AJ26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62" s="3">
        <f>+Tabla14[[#This Row],[Facturación atraso]]</f>
        <v>0</v>
      </c>
      <c r="AL262" s="3">
        <f>Tabla14[[#This Row],[Plan Ajustado]]-Tabla14[[#This Row],[ Atraso ajustado]]-Tabla14[[#This Row],[En puerto a facturar]]</f>
        <v>0</v>
      </c>
      <c r="AM262" s="3">
        <v>0</v>
      </c>
      <c r="AN262" s="3"/>
      <c r="AO262" s="3" t="str">
        <f>IF(Tabla14[[#This Row],[Plan Ajustado]]&gt;Tabla14[[#This Row],[En puerto a facturar]],"Si","No")</f>
        <v>No</v>
      </c>
      <c r="AP26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62" s="3">
        <f>IF(Tabla14[[#This Row],[Necesidad]]&gt;=Tabla14[[#This Row],[Stock al día]],Tabla14[[#This Row],[Stock al día]],Tabla14[[#This Row],[Necesidad]])</f>
        <v>0</v>
      </c>
      <c r="AR262" s="3">
        <f>+Tabla14[[#This Row],[Necesidad]]-Tabla14[[#This Row],[Stock Plan]]</f>
        <v>0</v>
      </c>
      <c r="AS262" s="155">
        <f>VLOOKUP(Tabla14[[#This Row],[Sector]]&amp;Tabla14[[#This Row],[Oficina]],[8]Ponderación!$A:$H,8,FALSE)</f>
        <v>44814</v>
      </c>
      <c r="AT262" s="30">
        <f>IFERROR(VLOOKUP(Tabla14[[#This Row],[Llave]],'[6]RV plan de ventas'!$A:$F,6,FALSE),0)</f>
        <v>0</v>
      </c>
      <c r="AU262" s="83">
        <f>IFERROR(VLOOKUP(Tabla14[[#This Row],[Llave]],[9]DELAY!$H:$X,17,FALSE),0)</f>
        <v>0</v>
      </c>
      <c r="AV26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62" s="5">
        <f>Tabla14[[#This Row],[Pecio plan]]*Tabla14[[#This Row],[Plan Ajustado]]</f>
        <v>0</v>
      </c>
      <c r="AX262" s="30">
        <f>IFERROR(VLOOKUP(Tabla14[[#This Row],[Llave]],'[13]Ultimos precios facturados'!$A:$G,7,FALSE),0)</f>
        <v>2.4003255462422346</v>
      </c>
      <c r="AY26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62" s="30">
        <f>IFERROR(VLOOKUP(Tabla14[[#This Row],[Llave]],Hoja2!B:K,10,FALSE),0)</f>
        <v>0</v>
      </c>
      <c r="BA26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62" s="30">
        <v>0</v>
      </c>
      <c r="BC262" s="30">
        <f>IF(Tabla14[[#This Row],[Market]]=0,Tabla14[[#This Row],[Precio Final]],Tabla14[[#This Row],[Market]])</f>
        <v>0</v>
      </c>
      <c r="BD262" s="82"/>
      <c r="BE262" s="82" t="str">
        <f>IF(AND(Tabla14[[#This Row],[Atraso a facturar]]&gt;0,Tabla14[[#This Row],[En puerto a facturar]]&gt;0,Tabla14[[#This Row],[Precio Atraso]]=0),"Revisar","OK")</f>
        <v>OK</v>
      </c>
      <c r="BF262" s="82" t="str">
        <f>IF(AND(Tabla14[[#This Row],[Venta del mes]]&gt;0,Tabla14[[#This Row],[Precio venta nueva]]=0),"Revisar","OK")</f>
        <v>OK</v>
      </c>
      <c r="BG262" s="20">
        <f>IFERROR(VLOOKUP(Tabla14[[#This Row],[Llave]],'[5]Consolidación planes'!$A:$M,9,FALSE),0)</f>
        <v>0</v>
      </c>
      <c r="BH262" s="20">
        <f>IFERROR(VLOOKUP(Tabla14[[#This Row],[Llave]],'[5]Consolidación planes'!$A:$M,10,FALSE),0)</f>
        <v>0</v>
      </c>
      <c r="BI262" s="20">
        <f>IFERROR(VLOOKUP(Tabla14[[#This Row],[Llave]],'[5]Consolidación planes'!$A:$M,11,FALSE),0)</f>
        <v>0</v>
      </c>
      <c r="BJ262" s="20">
        <f>IFERROR(VLOOKUP(Tabla14[[#This Row],[Llave]],'[5]Consolidación planes'!$A:$M,12,FALSE),0)</f>
        <v>0</v>
      </c>
      <c r="BK262" s="20">
        <f>IFERROR(VLOOKUP(Tabla14[[#This Row],[Llave]],'[5]Consolidación planes'!$A:$M,13,FALSE),0)</f>
        <v>0</v>
      </c>
      <c r="BL262" s="20">
        <f>IFERROR(VLOOKUP(Tabla14[[#This Row],[Llave]],'[13]Base ultimos planes'!$A:$M,13,FALSE),0)</f>
        <v>0</v>
      </c>
      <c r="BM262" s="20">
        <f>IFERROR(VLOOKUP(Tabla14[[#This Row],[Llave]],'[13]Cruce plan irrestricto'!$C:$M,10,FALSE),0)</f>
        <v>0</v>
      </c>
      <c r="BN262" s="20">
        <f>IFERROR(VLOOKUP(Tabla14[[#This Row],[Llave]],'[13]Cruce plan irrestricto'!$C:$M,11,FALSE),0)</f>
        <v>0</v>
      </c>
      <c r="BO262" s="80">
        <f>IFERROR(VLOOKUP(Tabla14[[#This Row],[Llave]],'[13]Base ultimos planes'!$O:$AA,8,FALSE),0)</f>
        <v>0</v>
      </c>
      <c r="BP262" s="20">
        <f>IFERROR(VLOOKUP(Tabla14[[#This Row],[Llave]],'[13]Base ultimos planes'!$O:$AA,9,FALSE),0)</f>
        <v>0</v>
      </c>
      <c r="BQ262" s="20">
        <f>IFERROR(VLOOKUP(Tabla14[[#This Row],[Llave]],'[13]Base ultimos planes'!$O:$AA,10,FALSE),0)</f>
        <v>0</v>
      </c>
      <c r="BR262" s="20">
        <f>IFERROR(VLOOKUP(Tabla14[[#This Row],[Llave]],'[13]Base ultimos planes'!$O:$AA,11,FALSE),0)</f>
        <v>0</v>
      </c>
      <c r="BS262" s="20">
        <f>IFERROR(VLOOKUP(Tabla14[[#This Row],[Llave]],'[13]Base ultimos planes'!$O:$AA,12,FALSE),0)</f>
        <v>0</v>
      </c>
      <c r="BT262" s="20">
        <f>IFERROR(VLOOKUP(Tabla14[[#This Row],[Llave]],'[13]Base ultimos planes'!$O:$AA,13,FALSE),0)</f>
        <v>0</v>
      </c>
      <c r="BU262" s="20"/>
      <c r="BV262" s="20">
        <f>Tabla14[[#This Row],[ RV Producción mes n+1]]-Tabla14[[#This Row],[Producción disponible]]+Tabla14[[#This Row],[Saldo Volumen disponible]]</f>
        <v>53706</v>
      </c>
      <c r="BW262" s="20">
        <f>IFERROR(VLOOKUP(Tabla14[[#This Row],[Llave]],[14]Hoja2!$J:$N,4,FALSE),0)</f>
        <v>0</v>
      </c>
      <c r="BX262" s="20">
        <f>+Tabla14[[#This Row],[Asignación mes n+1]]*Tabla14[[#This Row],[% Uti. producción]]</f>
        <v>0</v>
      </c>
      <c r="BY262" s="20">
        <f>+Tabla14[[#This Row],[Ponderación mes n+1]]+Tabla14[[#This Row],[Saldo mes n-1]]</f>
        <v>53706</v>
      </c>
      <c r="BZ262" s="20">
        <f>+Tabla14[[#This Row],[Asignación mes n+1]]-Tabla14[[#This Row],[Ponderación mes n+1]]</f>
        <v>0</v>
      </c>
      <c r="CA262" s="20">
        <f>IFERROR(VLOOKUP(Tabla14[[#This Row],[Llave]],[14]Hoja2!$J:$N,5,FALSE),0)</f>
        <v>0</v>
      </c>
      <c r="CB262" s="20">
        <f>+Tabla14[[#This Row],[Asignación mes n+2]]*Tabla14[[#This Row],[% Uti. producción]]</f>
        <v>0</v>
      </c>
      <c r="CC262" s="20">
        <f>+Tabla14[[#This Row],[Saldo mes n+2]]+Tabla14[[#This Row],[Ponderación mes n+2]]</f>
        <v>0</v>
      </c>
      <c r="CD262" s="20">
        <f>+Tabla14[[#This Row],[Asignación mes n+2]]-Tabla14[[#This Row],[Ponderación mes n+2]]</f>
        <v>0</v>
      </c>
    </row>
    <row r="263" spans="1:82" ht="16" x14ac:dyDescent="0.2">
      <c r="A263">
        <v>2</v>
      </c>
      <c r="B263" t="str">
        <f>Tabla14[[#This Row],[Oficina]]&amp;Tabla14[[#This Row],[Material]]</f>
        <v>Agrosuper Shanghai1022995</v>
      </c>
      <c r="C263" t="s">
        <v>6</v>
      </c>
      <c r="D263" t="s">
        <v>140</v>
      </c>
      <c r="E263">
        <v>1022995</v>
      </c>
      <c r="F263" t="s">
        <v>407</v>
      </c>
      <c r="G263" t="s">
        <v>56</v>
      </c>
      <c r="H263" t="s">
        <v>118</v>
      </c>
      <c r="I263" s="7">
        <f>IFERROR(IF(Tabla14[[#This Row],[Oficina]]=$I$7,VLOOKUP(Tabla14[[#This Row],[Material]],'[6]RV Producción'!$Y:$AA,3,FALSE),VLOOKUP(Tabla14[[#This Row],[Llave]],'[6]RV Producción'!$C:$G,5,FALSE)),0)</f>
        <v>0</v>
      </c>
      <c r="J263" s="7">
        <f>IFERROR(IF(Tabla14[[#This Row],[Oficina]]=$I$7,VLOOKUP(Tabla14[[#This Row],[Llave]],'[7]Shangai (Tomas)'!$A:$F,6,FALSE),VLOOKUP(Tabla14[[#This Row],[Llave]],'[6]RV plan de ventas'!$A:$E,5,FALSE)),0)</f>
        <v>0</v>
      </c>
      <c r="K263" s="8">
        <f>IFERROR(VLOOKUP(Tabla14[[#This Row],[Sector]]&amp;Tabla14[[#This Row],[Oficina]],[8]Ponderación!$A$3:$G$22,7,FALSE),0)</f>
        <v>0.38476266834449474</v>
      </c>
      <c r="L263" s="7">
        <f>+Tabla14[[#This Row],[ RV Producción mes n+1]]*Tabla14[[#This Row],[% Uti. producción]]</f>
        <v>0</v>
      </c>
      <c r="M263" s="7">
        <f>IFERROR(VLOOKUP(Tabla14[[#This Row],[Material]],'[9]TD Stock'!$B:$C,2,FALSE),0)</f>
        <v>0</v>
      </c>
      <c r="N263" s="7">
        <f>IFERROR(VLOOKUP(Tabla14[[#This Row],[Material]],'[10]Consolidado planificación'!$B:$C,2,FALSE),0)</f>
        <v>0</v>
      </c>
      <c r="O263" s="7">
        <f>IFERROR(VLOOKUP(Tabla14[[#This Row],[Llave]],[11]Hoja2!$D:$G,4,FALSE),0)</f>
        <v>0</v>
      </c>
      <c r="P263" s="14">
        <f>SUM(Tabla14[[#This Row],[Producción disponible]],Tabla14[[#This Row],[Stock al día]],(Tabla14[[#This Row],[Por producir mes N]]*0.9))-Tabla14[[#This Row],[Producción por despachar mes N]]</f>
        <v>0</v>
      </c>
      <c r="Q263" s="7">
        <f>IFERROR(VLOOKUP(Tabla14[[#This Row],[Llave]],[9]DELAY!$A:$D,4,FALSE),0)</f>
        <v>0</v>
      </c>
      <c r="R263" s="9">
        <v>23000</v>
      </c>
      <c r="S263" s="5">
        <f t="shared" si="8"/>
        <v>0</v>
      </c>
      <c r="T263" s="76">
        <v>0</v>
      </c>
      <c r="U263" s="5">
        <f>+Tabla14[[#This Row],[Atraso a facturar]]+Tabla14[[#This Row],[Ajuste atraso]]</f>
        <v>0</v>
      </c>
      <c r="V263" s="3">
        <f>+Tabla14[[#This Row],[Total disponible]]-Tabla14[[#This Row],[Facturación atraso]]</f>
        <v>0</v>
      </c>
      <c r="W263" s="6">
        <f>IFERROR(IF(AND(V263&gt;R263,J263&gt;=R263),ROUNDDOWN((Tabla14[[#This Row],[Producción para venta nueva]])/R263,0)*R263,0),0)</f>
        <v>0</v>
      </c>
      <c r="X263" s="76">
        <v>0</v>
      </c>
      <c r="Y263" s="6">
        <f>IF(Tabla14[[#This Row],[Venta del mes]]&gt;0,Tabla14[[#This Row],[Venta del mes]]+Tabla14[[#This Row],[Ajuste venta nueva]],0)</f>
        <v>0</v>
      </c>
      <c r="Z263" s="6">
        <f>+Tabla14[[#This Row],[Producción para venta nueva]]-Tabla14[[#This Row],[Facturación Venta nueva]]</f>
        <v>0</v>
      </c>
      <c r="AA263" s="6">
        <f>IF(AND(A263=1,Tabla14[[#This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3" s="6">
        <v>0</v>
      </c>
      <c r="AC263" s="6">
        <f>IF(Tabla14[[#This Row],[Disponible stock sin venta]]&gt;0,Tabla14[[#This Row],[Disponible stock sin venta]]+Tabla14[[#This Row],[Ajuste stock sin venta]],0)</f>
        <v>0</v>
      </c>
      <c r="AD263" s="3">
        <f>IFERROR(VLOOKUP(Tabla14[[#This Row],[Llave]],[12]Hoja1!$A:$D,4,FALSE),0)</f>
        <v>0</v>
      </c>
      <c r="AE26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63" s="3">
        <v>0</v>
      </c>
      <c r="AG263" s="3">
        <f>+Tabla14[[#This Row],[En puerto a facturar]]</f>
        <v>0</v>
      </c>
      <c r="AH263" s="3">
        <f>+Tabla14[[#This Row],[Facturación atraso]]</f>
        <v>0</v>
      </c>
      <c r="AI263" s="3">
        <f>+Tabla14[[#This Row],[Plan Irrestricto (DATO)]]-Tabla14[[#This Row],[Puerto ]]-Tabla14[[#This Row],[Atraso]]</f>
        <v>0</v>
      </c>
      <c r="AJ26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63" s="3">
        <f>+Tabla14[[#This Row],[Facturación atraso]]</f>
        <v>0</v>
      </c>
      <c r="AL263" s="3">
        <f>Tabla14[[#This Row],[Plan Ajustado]]-Tabla14[[#This Row],[ Atraso ajustado]]-Tabla14[[#This Row],[En puerto a facturar]]</f>
        <v>0</v>
      </c>
      <c r="AM263" s="3">
        <v>0</v>
      </c>
      <c r="AN263" s="3"/>
      <c r="AO263" s="3" t="str">
        <f>IF(Tabla14[[#This Row],[Plan Ajustado]]&gt;Tabla14[[#This Row],[En puerto a facturar]],"Si","No")</f>
        <v>No</v>
      </c>
      <c r="AP26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63" s="3">
        <f>IF(Tabla14[[#This Row],[Necesidad]]&gt;=Tabla14[[#This Row],[Stock al día]],Tabla14[[#This Row],[Stock al día]],Tabla14[[#This Row],[Necesidad]])</f>
        <v>0</v>
      </c>
      <c r="AR263" s="3">
        <f>+Tabla14[[#This Row],[Necesidad]]-Tabla14[[#This Row],[Stock Plan]]</f>
        <v>0</v>
      </c>
      <c r="AS263" s="155">
        <f>VLOOKUP(Tabla14[[#This Row],[Sector]]&amp;Tabla14[[#This Row],[Oficina]],[8]Ponderación!$A:$H,8,FALSE)</f>
        <v>44814</v>
      </c>
      <c r="AT263" s="30">
        <f>IFERROR(VLOOKUP(Tabla14[[#This Row],[Llave]],'[6]RV plan de ventas'!$A:$F,6,FALSE),0)</f>
        <v>0</v>
      </c>
      <c r="AU263" s="83">
        <f>IFERROR(VLOOKUP(Tabla14[[#This Row],[Llave]],[9]DELAY!$H:$X,17,FALSE),0)</f>
        <v>0</v>
      </c>
      <c r="AV26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63" s="5">
        <f>Tabla14[[#This Row],[Pecio plan]]*Tabla14[[#This Row],[Plan Ajustado]]</f>
        <v>0</v>
      </c>
      <c r="AX263" s="30">
        <f>IFERROR(VLOOKUP(Tabla14[[#This Row],[Llave]],'[13]Ultimos precios facturados'!$A:$G,7,FALSE),0)</f>
        <v>0</v>
      </c>
      <c r="AY26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63" s="30">
        <f>IFERROR(VLOOKUP(Tabla14[[#This Row],[Llave]],Hoja2!B:K,10,FALSE),0)</f>
        <v>0</v>
      </c>
      <c r="BA26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63" s="30">
        <v>0</v>
      </c>
      <c r="BC263" s="30">
        <f>IF(Tabla14[[#This Row],[Market]]=0,Tabla14[[#This Row],[Precio Final]],Tabla14[[#This Row],[Market]])</f>
        <v>0</v>
      </c>
      <c r="BD263" s="82"/>
      <c r="BE263" s="82" t="str">
        <f>IF(AND(Tabla14[[#This Row],[Atraso a facturar]]&gt;0,Tabla14[[#This Row],[En puerto a facturar]]&gt;0,Tabla14[[#This Row],[Precio Atraso]]=0),"Revisar","OK")</f>
        <v>OK</v>
      </c>
      <c r="BF263" s="82" t="str">
        <f>IF(AND(Tabla14[[#This Row],[Venta del mes]]&gt;0,Tabla14[[#This Row],[Precio venta nueva]]=0),"Revisar","OK")</f>
        <v>OK</v>
      </c>
      <c r="BG263" s="20">
        <f>IFERROR(VLOOKUP(Tabla14[[#This Row],[Llave]],'[5]Consolidación planes'!$A:$M,9,FALSE),0)</f>
        <v>0</v>
      </c>
      <c r="BH263" s="20">
        <f>IFERROR(VLOOKUP(Tabla14[[#This Row],[Llave]],'[5]Consolidación planes'!$A:$M,10,FALSE),0)</f>
        <v>0</v>
      </c>
      <c r="BI263" s="20">
        <f>IFERROR(VLOOKUP(Tabla14[[#This Row],[Llave]],'[5]Consolidación planes'!$A:$M,11,FALSE),0)</f>
        <v>0</v>
      </c>
      <c r="BJ263" s="20">
        <f>IFERROR(VLOOKUP(Tabla14[[#This Row],[Llave]],'[5]Consolidación planes'!$A:$M,12,FALSE),0)</f>
        <v>0</v>
      </c>
      <c r="BK263" s="20">
        <f>IFERROR(VLOOKUP(Tabla14[[#This Row],[Llave]],'[5]Consolidación planes'!$A:$M,13,FALSE),0)</f>
        <v>0</v>
      </c>
      <c r="BL263" s="20">
        <f>IFERROR(VLOOKUP(Tabla14[[#This Row],[Llave]],'[13]Base ultimos planes'!$A:$M,13,FALSE),0)</f>
        <v>0</v>
      </c>
      <c r="BM263" s="20">
        <f>IFERROR(VLOOKUP(Tabla14[[#This Row],[Llave]],'[13]Cruce plan irrestricto'!$C:$M,10,FALSE),0)</f>
        <v>0</v>
      </c>
      <c r="BN263" s="20">
        <f>IFERROR(VLOOKUP(Tabla14[[#This Row],[Llave]],'[13]Cruce plan irrestricto'!$C:$M,11,FALSE),0)</f>
        <v>0</v>
      </c>
      <c r="BO263" s="80">
        <f>IFERROR(VLOOKUP(Tabla14[[#This Row],[Llave]],'[13]Base ultimos planes'!$O:$AA,8,FALSE),0)</f>
        <v>0</v>
      </c>
      <c r="BP263" s="20">
        <f>IFERROR(VLOOKUP(Tabla14[[#This Row],[Llave]],'[13]Base ultimos planes'!$O:$AA,9,FALSE),0)</f>
        <v>0</v>
      </c>
      <c r="BQ263" s="20">
        <f>IFERROR(VLOOKUP(Tabla14[[#This Row],[Llave]],'[13]Base ultimos planes'!$O:$AA,10,FALSE),0)</f>
        <v>0</v>
      </c>
      <c r="BR263" s="20">
        <f>IFERROR(VLOOKUP(Tabla14[[#This Row],[Llave]],'[13]Base ultimos planes'!$O:$AA,11,FALSE),0)</f>
        <v>0</v>
      </c>
      <c r="BS263" s="20">
        <f>IFERROR(VLOOKUP(Tabla14[[#This Row],[Llave]],'[13]Base ultimos planes'!$O:$AA,12,FALSE),0)</f>
        <v>0</v>
      </c>
      <c r="BT263" s="20">
        <f>IFERROR(VLOOKUP(Tabla14[[#This Row],[Llave]],'[13]Base ultimos planes'!$O:$AA,13,FALSE),0)</f>
        <v>0</v>
      </c>
      <c r="BU263" s="20"/>
      <c r="BV263" s="20">
        <f>Tabla14[[#This Row],[ RV Producción mes n+1]]-Tabla14[[#This Row],[Producción disponible]]+Tabla14[[#This Row],[Saldo Volumen disponible]]</f>
        <v>0</v>
      </c>
      <c r="BW263" s="20">
        <f>IFERROR(VLOOKUP(Tabla14[[#This Row],[Llave]],[14]Hoja2!$J:$N,4,FALSE),0)</f>
        <v>0</v>
      </c>
      <c r="BX263" s="20">
        <f>+Tabla14[[#This Row],[Asignación mes n+1]]*Tabla14[[#This Row],[% Uti. producción]]</f>
        <v>0</v>
      </c>
      <c r="BY263" s="20">
        <f>+Tabla14[[#This Row],[Ponderación mes n+1]]+Tabla14[[#This Row],[Saldo mes n-1]]</f>
        <v>0</v>
      </c>
      <c r="BZ263" s="20">
        <f>+Tabla14[[#This Row],[Asignación mes n+1]]-Tabla14[[#This Row],[Ponderación mes n+1]]</f>
        <v>0</v>
      </c>
      <c r="CA263" s="20">
        <f>IFERROR(VLOOKUP(Tabla14[[#This Row],[Llave]],[14]Hoja2!$J:$N,5,FALSE),0)</f>
        <v>0</v>
      </c>
      <c r="CB263" s="20">
        <f>+Tabla14[[#This Row],[Asignación mes n+2]]*Tabla14[[#This Row],[% Uti. producción]]</f>
        <v>0</v>
      </c>
      <c r="CC263" s="20">
        <f>+Tabla14[[#This Row],[Saldo mes n+2]]+Tabla14[[#This Row],[Ponderación mes n+2]]</f>
        <v>0</v>
      </c>
      <c r="CD263" s="20">
        <f>+Tabla14[[#This Row],[Asignación mes n+2]]-Tabla14[[#This Row],[Ponderación mes n+2]]</f>
        <v>0</v>
      </c>
    </row>
    <row r="264" spans="1:82" ht="16" x14ac:dyDescent="0.2">
      <c r="A264">
        <v>2</v>
      </c>
      <c r="B264" t="str">
        <f>Tabla14[[#This Row],[Oficina]]&amp;Tabla14[[#This Row],[Material]]</f>
        <v>Agrosuper Shanghai1023110</v>
      </c>
      <c r="C264" t="s">
        <v>6</v>
      </c>
      <c r="D264" t="s">
        <v>140</v>
      </c>
      <c r="E264">
        <v>1023110</v>
      </c>
      <c r="F264" t="s">
        <v>401</v>
      </c>
      <c r="G264" t="s">
        <v>11</v>
      </c>
      <c r="H264" t="s">
        <v>30</v>
      </c>
      <c r="I264" s="7">
        <f>IFERROR(IF(Tabla14[[#This Row],[Oficina]]=$I$7,VLOOKUP(Tabla14[[#This Row],[Material]],'[6]RV Producción'!$Y:$AA,3,FALSE),VLOOKUP(Tabla14[[#This Row],[Llave]],'[6]RV Producción'!$C:$G,5,FALSE)),0)</f>
        <v>0</v>
      </c>
      <c r="J264" s="7">
        <f>IFERROR(IF(Tabla14[[#This Row],[Oficina]]=$I$7,VLOOKUP(Tabla14[[#This Row],[Llave]],'[7]Shangai (Tomas)'!$A:$F,6,FALSE),VLOOKUP(Tabla14[[#This Row],[Llave]],'[6]RV plan de ventas'!$A:$E,5,FALSE)),0)</f>
        <v>0</v>
      </c>
      <c r="K264" s="8">
        <f>IFERROR(VLOOKUP(Tabla14[[#This Row],[Sector]]&amp;Tabla14[[#This Row],[Oficina]],[8]Ponderación!$A$3:$G$22,7,FALSE),0)</f>
        <v>0.38476266834449474</v>
      </c>
      <c r="L264" s="7">
        <f>+Tabla14[[#This Row],[ RV Producción mes n+1]]*Tabla14[[#This Row],[% Uti. producción]]</f>
        <v>0</v>
      </c>
      <c r="M264" s="7">
        <f>IFERROR(VLOOKUP(Tabla14[[#This Row],[Material]],'[9]TD Stock'!$B:$C,2,FALSE),0)</f>
        <v>67021.793000000005</v>
      </c>
      <c r="N264" s="7">
        <f>IFERROR(VLOOKUP(Tabla14[[#This Row],[Material]],'[10]Consolidado planificación'!$B:$C,2,FALSE),0)</f>
        <v>41782.40332190528</v>
      </c>
      <c r="O264" s="7">
        <f>IFERROR(VLOOKUP(Tabla14[[#This Row],[Llave]],[11]Hoja2!$D:$G,4,FALSE),0)</f>
        <v>0</v>
      </c>
      <c r="P264" s="14">
        <f>SUM(Tabla14[[#This Row],[Producción disponible]],Tabla14[[#This Row],[Stock al día]],(Tabla14[[#This Row],[Por producir mes N]]*0.9))-Tabla14[[#This Row],[Producción por despachar mes N]]</f>
        <v>104625.95598971476</v>
      </c>
      <c r="Q264" s="7">
        <f>IFERROR(VLOOKUP(Tabla14[[#This Row],[Llave]],[9]DELAY!$A:$D,4,FALSE),0)</f>
        <v>0</v>
      </c>
      <c r="R264" s="9">
        <v>23000</v>
      </c>
      <c r="S264" s="5">
        <f t="shared" si="8"/>
        <v>0</v>
      </c>
      <c r="T264" s="76">
        <v>0</v>
      </c>
      <c r="U264" s="5">
        <f>+Tabla14[[#This Row],[Atraso a facturar]]+Tabla14[[#This Row],[Ajuste atraso]]</f>
        <v>0</v>
      </c>
      <c r="V264" s="3">
        <f>+Tabla14[[#This Row],[Total disponible]]-Tabla14[[#This Row],[Facturación atraso]]</f>
        <v>104625.95598971476</v>
      </c>
      <c r="W264" s="6">
        <f>IFERROR(IF(AND(V264&gt;R264,J264&gt;=R264),ROUNDDOWN((Tabla14[[#This Row],[Producción para venta nueva]])/R264,0)*R264,0),0)</f>
        <v>0</v>
      </c>
      <c r="X264" s="76">
        <v>0</v>
      </c>
      <c r="Y264" s="6">
        <f>IF(Tabla14[[#This Row],[Venta del mes]]&gt;0,Tabla14[[#This Row],[Venta del mes]]+Tabla14[[#This Row],[Ajuste venta nueva]],0)</f>
        <v>0</v>
      </c>
      <c r="Z264" s="6">
        <f>+Tabla14[[#This Row],[Producción para venta nueva]]-Tabla14[[#This Row],[Facturación Venta nueva]]</f>
        <v>104625.95598971476</v>
      </c>
      <c r="AA264" s="6">
        <f>IF(AND(A264=1,Tabla14[[#This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4" s="6">
        <v>0</v>
      </c>
      <c r="AC264" s="6">
        <f>IF(Tabla14[[#This Row],[Disponible stock sin venta]]&gt;0,Tabla14[[#This Row],[Disponible stock sin venta]]+Tabla14[[#This Row],[Ajuste stock sin venta]],0)</f>
        <v>0</v>
      </c>
      <c r="AD264" s="3">
        <f>IFERROR(VLOOKUP(Tabla14[[#This Row],[Llave]],[12]Hoja1!$A:$D,4,FALSE),0)</f>
        <v>0</v>
      </c>
      <c r="AE26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64" s="3">
        <v>0</v>
      </c>
      <c r="AG264" s="3">
        <f>+Tabla14[[#This Row],[En puerto a facturar]]</f>
        <v>0</v>
      </c>
      <c r="AH264" s="3">
        <f>+Tabla14[[#This Row],[Facturación atraso]]</f>
        <v>0</v>
      </c>
      <c r="AI264" s="3">
        <f>+Tabla14[[#This Row],[Plan Irrestricto (DATO)]]-Tabla14[[#This Row],[Puerto ]]-Tabla14[[#This Row],[Atraso]]</f>
        <v>0</v>
      </c>
      <c r="AJ26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64" s="3">
        <f>+Tabla14[[#This Row],[Facturación atraso]]</f>
        <v>0</v>
      </c>
      <c r="AL264" s="3">
        <f>Tabla14[[#This Row],[Plan Ajustado]]-Tabla14[[#This Row],[ Atraso ajustado]]-Tabla14[[#This Row],[En puerto a facturar]]</f>
        <v>0</v>
      </c>
      <c r="AM264" s="3">
        <v>0</v>
      </c>
      <c r="AN264" s="3"/>
      <c r="AO264" s="3" t="str">
        <f>IF(Tabla14[[#This Row],[Plan Ajustado]]&gt;Tabla14[[#This Row],[En puerto a facturar]],"Si","No")</f>
        <v>No</v>
      </c>
      <c r="AP26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64" s="3">
        <f>IF(Tabla14[[#This Row],[Necesidad]]&gt;=Tabla14[[#This Row],[Stock al día]],Tabla14[[#This Row],[Stock al día]],Tabla14[[#This Row],[Necesidad]])</f>
        <v>0</v>
      </c>
      <c r="AR264" s="3">
        <f>+Tabla14[[#This Row],[Necesidad]]-Tabla14[[#This Row],[Stock Plan]]</f>
        <v>0</v>
      </c>
      <c r="AS264" s="155">
        <f>VLOOKUP(Tabla14[[#This Row],[Sector]]&amp;Tabla14[[#This Row],[Oficina]],[8]Ponderación!$A:$H,8,FALSE)</f>
        <v>44814</v>
      </c>
      <c r="AT264" s="30">
        <f>IFERROR(VLOOKUP(Tabla14[[#This Row],[Llave]],'[6]RV plan de ventas'!$A:$F,6,FALSE),0)</f>
        <v>0</v>
      </c>
      <c r="AU264" s="83">
        <f>IFERROR(VLOOKUP(Tabla14[[#This Row],[Llave]],[9]DELAY!$H:$X,17,FALSE),0)</f>
        <v>0</v>
      </c>
      <c r="AV26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64" s="5">
        <f>Tabla14[[#This Row],[Pecio plan]]*Tabla14[[#This Row],[Plan Ajustado]]</f>
        <v>0</v>
      </c>
      <c r="AX264" s="30">
        <f>IFERROR(VLOOKUP(Tabla14[[#This Row],[Llave]],'[13]Ultimos precios facturados'!$A:$G,7,FALSE),0)</f>
        <v>0.86936289702296099</v>
      </c>
      <c r="AY26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64" s="30">
        <f>IFERROR(VLOOKUP(Tabla14[[#This Row],[Llave]],Hoja2!B:K,10,FALSE),0)</f>
        <v>0</v>
      </c>
      <c r="BA26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64" s="30">
        <v>0</v>
      </c>
      <c r="BC264" s="30">
        <f>IF(Tabla14[[#This Row],[Market]]=0,Tabla14[[#This Row],[Precio Final]],Tabla14[[#This Row],[Market]])</f>
        <v>0</v>
      </c>
      <c r="BD264" s="82"/>
      <c r="BE264" s="82" t="str">
        <f>IF(AND(Tabla14[[#This Row],[Atraso a facturar]]&gt;0,Tabla14[[#This Row],[En puerto a facturar]]&gt;0,Tabla14[[#This Row],[Precio Atraso]]=0),"Revisar","OK")</f>
        <v>OK</v>
      </c>
      <c r="BF264" s="82" t="str">
        <f>IF(AND(Tabla14[[#This Row],[Venta del mes]]&gt;0,Tabla14[[#This Row],[Precio venta nueva]]=0),"Revisar","OK")</f>
        <v>OK</v>
      </c>
      <c r="BG264" s="20">
        <f>IFERROR(VLOOKUP(Tabla14[[#This Row],[Llave]],'[5]Consolidación planes'!$A:$M,9,FALSE),0)</f>
        <v>0</v>
      </c>
      <c r="BH264" s="20">
        <f>IFERROR(VLOOKUP(Tabla14[[#This Row],[Llave]],'[5]Consolidación planes'!$A:$M,10,FALSE),0)</f>
        <v>0</v>
      </c>
      <c r="BI264" s="20">
        <f>IFERROR(VLOOKUP(Tabla14[[#This Row],[Llave]],'[5]Consolidación planes'!$A:$M,11,FALSE),0)</f>
        <v>0</v>
      </c>
      <c r="BJ264" s="20">
        <f>IFERROR(VLOOKUP(Tabla14[[#This Row],[Llave]],'[5]Consolidación planes'!$A:$M,12,FALSE),0)</f>
        <v>0</v>
      </c>
      <c r="BK264" s="20">
        <f>IFERROR(VLOOKUP(Tabla14[[#This Row],[Llave]],'[5]Consolidación planes'!$A:$M,13,FALSE),0)</f>
        <v>0</v>
      </c>
      <c r="BL264" s="20">
        <f>IFERROR(VLOOKUP(Tabla14[[#This Row],[Llave]],'[13]Base ultimos planes'!$A:$M,13,FALSE),0)</f>
        <v>48000</v>
      </c>
      <c r="BM264" s="20">
        <f>IFERROR(VLOOKUP(Tabla14[[#This Row],[Llave]],'[13]Cruce plan irrestricto'!$C:$M,10,FALSE),0)</f>
        <v>24007</v>
      </c>
      <c r="BN264" s="20">
        <f>IFERROR(VLOOKUP(Tabla14[[#This Row],[Llave]],'[13]Cruce plan irrestricto'!$C:$M,11,FALSE),0)</f>
        <v>73326</v>
      </c>
      <c r="BO264" s="80">
        <f>IFERROR(VLOOKUP(Tabla14[[#This Row],[Llave]],'[13]Base ultimos planes'!$O:$AA,8,FALSE),0)</f>
        <v>0</v>
      </c>
      <c r="BP264" s="20">
        <f>IFERROR(VLOOKUP(Tabla14[[#This Row],[Llave]],'[13]Base ultimos planes'!$O:$AA,9,FALSE),0)</f>
        <v>0</v>
      </c>
      <c r="BQ264" s="20">
        <f>IFERROR(VLOOKUP(Tabla14[[#This Row],[Llave]],'[13]Base ultimos planes'!$O:$AA,10,FALSE),0)</f>
        <v>0</v>
      </c>
      <c r="BR264" s="20">
        <f>IFERROR(VLOOKUP(Tabla14[[#This Row],[Llave]],'[13]Base ultimos planes'!$O:$AA,11,FALSE),0)</f>
        <v>0</v>
      </c>
      <c r="BS264" s="20">
        <f>IFERROR(VLOOKUP(Tabla14[[#This Row],[Llave]],'[13]Base ultimos planes'!$O:$AA,12,FALSE),0)</f>
        <v>0</v>
      </c>
      <c r="BT264" s="20">
        <f>IFERROR(VLOOKUP(Tabla14[[#This Row],[Llave]],'[13]Base ultimos planes'!$O:$AA,13,FALSE),0)</f>
        <v>36000</v>
      </c>
      <c r="BU264" s="20"/>
      <c r="BV264" s="20">
        <f>Tabla14[[#This Row],[ RV Producción mes n+1]]-Tabla14[[#This Row],[Producción disponible]]+Tabla14[[#This Row],[Saldo Volumen disponible]]</f>
        <v>104625.95598971476</v>
      </c>
      <c r="BW264" s="20">
        <f>IFERROR(VLOOKUP(Tabla14[[#This Row],[Llave]],[14]Hoja2!$J:$N,4,FALSE),0)</f>
        <v>0</v>
      </c>
      <c r="BX264" s="20">
        <f>+Tabla14[[#This Row],[Asignación mes n+1]]*Tabla14[[#This Row],[% Uti. producción]]</f>
        <v>0</v>
      </c>
      <c r="BY264" s="20">
        <f>+Tabla14[[#This Row],[Ponderación mes n+1]]+Tabla14[[#This Row],[Saldo mes n-1]]</f>
        <v>104625.95598971476</v>
      </c>
      <c r="BZ264" s="20">
        <f>+Tabla14[[#This Row],[Asignación mes n+1]]-Tabla14[[#This Row],[Ponderación mes n+1]]</f>
        <v>0</v>
      </c>
      <c r="CA264" s="20">
        <f>IFERROR(VLOOKUP(Tabla14[[#This Row],[Llave]],[14]Hoja2!$J:$N,5,FALSE),0)</f>
        <v>0</v>
      </c>
      <c r="CB264" s="20">
        <f>+Tabla14[[#This Row],[Asignación mes n+2]]*Tabla14[[#This Row],[% Uti. producción]]</f>
        <v>0</v>
      </c>
      <c r="CC264" s="20">
        <f>+Tabla14[[#This Row],[Saldo mes n+2]]+Tabla14[[#This Row],[Ponderación mes n+2]]</f>
        <v>0</v>
      </c>
      <c r="CD264" s="20">
        <f>+Tabla14[[#This Row],[Asignación mes n+2]]-Tabla14[[#This Row],[Ponderación mes n+2]]</f>
        <v>0</v>
      </c>
    </row>
    <row r="265" spans="1:82" ht="16" x14ac:dyDescent="0.2">
      <c r="A265">
        <v>1</v>
      </c>
      <c r="B265" t="str">
        <f>Tabla14[[#This Row],[Oficina]]&amp;Tabla14[[#This Row],[Material]]</f>
        <v>Agrosuper Asia1023370</v>
      </c>
      <c r="C265" t="s">
        <v>6</v>
      </c>
      <c r="D265" t="s">
        <v>173</v>
      </c>
      <c r="E265">
        <v>1023370</v>
      </c>
      <c r="F265" t="s">
        <v>408</v>
      </c>
      <c r="G265" t="s">
        <v>59</v>
      </c>
      <c r="H265" t="s">
        <v>60</v>
      </c>
      <c r="I265" s="7">
        <f>IFERROR(IF(Tabla14[[#This Row],[Oficina]]=$I$7,VLOOKUP(Tabla14[[#This Row],[Material]],'[6]RV Producción'!$Y:$AA,3,FALSE),VLOOKUP(Tabla14[[#This Row],[Llave]],'[6]RV Producción'!$C:$G,5,FALSE)),0)</f>
        <v>0</v>
      </c>
      <c r="J265" s="7">
        <f>IFERROR(IF(Tabla14[[#This Row],[Oficina]]=$I$7,VLOOKUP(Tabla14[[#This Row],[Llave]],'[7]Shangai (Tomas)'!$A:$F,6,FALSE),VLOOKUP(Tabla14[[#This Row],[Llave]],'[6]RV plan de ventas'!$A:$E,5,FALSE)),0)</f>
        <v>0</v>
      </c>
      <c r="K265" s="8">
        <f>IFERROR(VLOOKUP(Tabla14[[#This Row],[Sector]]&amp;Tabla14[[#This Row],[Oficina]],[8]Ponderación!$A$3:$G$22,7,FALSE),0)</f>
        <v>0.38476266834449474</v>
      </c>
      <c r="L265" s="7">
        <f>+Tabla14[[#This Row],[ RV Producción mes n+1]]*Tabla14[[#This Row],[% Uti. producción]]</f>
        <v>0</v>
      </c>
      <c r="M265" s="7">
        <f>IFERROR(VLOOKUP(Tabla14[[#This Row],[Material]],'[9]TD Stock'!$B:$C,2,FALSE),0)</f>
        <v>0</v>
      </c>
      <c r="N265" s="7">
        <f>IFERROR(VLOOKUP(Tabla14[[#This Row],[Material]],'[10]Consolidado planificación'!$B:$C,2,FALSE),0)</f>
        <v>0</v>
      </c>
      <c r="O265" s="7">
        <f>IFERROR(VLOOKUP(Tabla14[[#This Row],[Llave]],[11]Hoja2!$D:$G,4,FALSE),0)</f>
        <v>0</v>
      </c>
      <c r="P265" s="14">
        <f>SUM(Tabla14[[#This Row],[Producción disponible]],Tabla14[[#This Row],[Stock al día]],(Tabla14[[#This Row],[Por producir mes N]]*0.9))-Tabla14[[#This Row],[Producción por despachar mes N]]</f>
        <v>0</v>
      </c>
      <c r="Q265" s="7">
        <f>IFERROR(VLOOKUP(Tabla14[[#This Row],[Llave]],[9]DELAY!$A:$D,4,FALSE),0)</f>
        <v>0</v>
      </c>
      <c r="R265" s="9">
        <v>23000</v>
      </c>
      <c r="S265" s="5">
        <f t="shared" si="8"/>
        <v>0</v>
      </c>
      <c r="T265" s="76">
        <v>0</v>
      </c>
      <c r="U265" s="5">
        <f>+Tabla14[[#This Row],[Atraso a facturar]]+Tabla14[[#This Row],[Ajuste atraso]]</f>
        <v>0</v>
      </c>
      <c r="V265" s="3">
        <f>+Tabla14[[#This Row],[Total disponible]]-Tabla14[[#This Row],[Facturación atraso]]</f>
        <v>0</v>
      </c>
      <c r="W265" s="6">
        <f>IFERROR(IF(AND(V265&gt;R265,J265&gt;=R265),ROUNDDOWN((Tabla14[[#This Row],[Producción para venta nueva]])/R265,0)*R265,0),0)</f>
        <v>0</v>
      </c>
      <c r="X265" s="76">
        <v>0</v>
      </c>
      <c r="Y265" s="6">
        <f>IF(Tabla14[[#This Row],[Venta del mes]]&gt;0,Tabla14[[#This Row],[Venta del mes]]+Tabla14[[#This Row],[Ajuste venta nueva]],0)</f>
        <v>0</v>
      </c>
      <c r="Z265" s="6">
        <f>+Tabla14[[#This Row],[Producción para venta nueva]]-Tabla14[[#This Row],[Facturación Venta nueva]]</f>
        <v>0</v>
      </c>
      <c r="AA265" s="6">
        <f>IF(AND(A265=1,Tabla14[[#This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5" s="6">
        <v>0</v>
      </c>
      <c r="AC265" s="6">
        <f>IF(Tabla14[[#This Row],[Disponible stock sin venta]]&gt;0,Tabla14[[#This Row],[Disponible stock sin venta]]+Tabla14[[#This Row],[Ajuste stock sin venta]],0)</f>
        <v>0</v>
      </c>
      <c r="AD265" s="3">
        <f>IFERROR(VLOOKUP(Tabla14[[#This Row],[Llave]],[12]Hoja1!$A:$D,4,FALSE),0)</f>
        <v>0</v>
      </c>
      <c r="AE265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65" s="3" t="b">
        <v>0</v>
      </c>
      <c r="AG265" s="3">
        <f>+Tabla14[[#This Row],[En puerto a facturar]]</f>
        <v>0</v>
      </c>
      <c r="AH265" s="3">
        <f>+Tabla14[[#This Row],[Facturación atraso]]</f>
        <v>0</v>
      </c>
      <c r="AI265" s="3">
        <f>+Tabla14[[#This Row],[Plan Irrestricto (DATO)]]-Tabla14[[#This Row],[Puerto ]]-Tabla14[[#This Row],[Atraso]]</f>
        <v>0</v>
      </c>
      <c r="AJ26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65" s="3">
        <f>+Tabla14[[#This Row],[Facturación atraso]]</f>
        <v>0</v>
      </c>
      <c r="AL265" s="3">
        <f>Tabla14[[#This Row],[Plan Ajustado]]-Tabla14[[#This Row],[ Atraso ajustado]]-Tabla14[[#This Row],[En puerto a facturar]]</f>
        <v>0</v>
      </c>
      <c r="AM265" s="3">
        <v>0</v>
      </c>
      <c r="AN265" s="3"/>
      <c r="AO265" s="3" t="str">
        <f>IF(Tabla14[[#This Row],[Plan Ajustado]]&gt;Tabla14[[#This Row],[En puerto a facturar]],"Si","No")</f>
        <v>No</v>
      </c>
      <c r="AP26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65" s="3">
        <f>IF(Tabla14[[#This Row],[Necesidad]]&gt;=Tabla14[[#This Row],[Stock al día]],Tabla14[[#This Row],[Stock al día]],Tabla14[[#This Row],[Necesidad]])</f>
        <v>0</v>
      </c>
      <c r="AR265" s="3">
        <f>+Tabla14[[#This Row],[Necesidad]]-Tabla14[[#This Row],[Stock Plan]]</f>
        <v>0</v>
      </c>
      <c r="AS265" s="155">
        <f>VLOOKUP(Tabla14[[#This Row],[Sector]]&amp;Tabla14[[#This Row],[Oficina]],[8]Ponderación!$A:$H,8,FALSE)</f>
        <v>44814</v>
      </c>
      <c r="AT265" s="30">
        <f>IFERROR(VLOOKUP(Tabla14[[#This Row],[Llave]],'[6]RV plan de ventas'!$A:$F,6,FALSE),0)</f>
        <v>0</v>
      </c>
      <c r="AU265" s="83">
        <f>IFERROR(VLOOKUP(Tabla14[[#This Row],[Llave]],[9]DELAY!$H:$X,17,FALSE),0)</f>
        <v>0</v>
      </c>
      <c r="AV26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65" s="5">
        <f>Tabla14[[#This Row],[Pecio plan]]*Tabla14[[#This Row],[Plan Ajustado]]</f>
        <v>0</v>
      </c>
      <c r="AX265" s="30">
        <f>IFERROR(VLOOKUP(Tabla14[[#This Row],[Llave]],'[13]Ultimos precios facturados'!$A:$G,7,FALSE),0)</f>
        <v>0</v>
      </c>
      <c r="AY26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65" s="30">
        <f>IFERROR(VLOOKUP(Tabla14[[#This Row],[Llave]],Hoja2!B:K,10,FALSE),0)</f>
        <v>0</v>
      </c>
      <c r="BA26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65" s="30">
        <v>0</v>
      </c>
      <c r="BC265" s="30">
        <f>IF(Tabla14[[#This Row],[Market]]=0,Tabla14[[#This Row],[Precio Final]],Tabla14[[#This Row],[Market]])</f>
        <v>0</v>
      </c>
      <c r="BD265" s="82"/>
      <c r="BE265" s="82" t="str">
        <f>IF(AND(Tabla14[[#This Row],[Atraso a facturar]]&gt;0,Tabla14[[#This Row],[En puerto a facturar]]&gt;0,Tabla14[[#This Row],[Precio Atraso]]=0),"Revisar","OK")</f>
        <v>OK</v>
      </c>
      <c r="BF265" s="82" t="str">
        <f>IF(AND(Tabla14[[#This Row],[Venta del mes]]&gt;0,Tabla14[[#This Row],[Precio venta nueva]]=0),"Revisar","OK")</f>
        <v>OK</v>
      </c>
      <c r="BG265" s="20">
        <f>IFERROR(VLOOKUP(Tabla14[[#This Row],[Llave]],'[5]Consolidación planes'!$A:$M,9,FALSE),0)</f>
        <v>0</v>
      </c>
      <c r="BH265" s="20">
        <f>IFERROR(VLOOKUP(Tabla14[[#This Row],[Llave]],'[5]Consolidación planes'!$A:$M,10,FALSE),0)</f>
        <v>0</v>
      </c>
      <c r="BI265" s="20">
        <f>IFERROR(VLOOKUP(Tabla14[[#This Row],[Llave]],'[5]Consolidación planes'!$A:$M,11,FALSE),0)</f>
        <v>0</v>
      </c>
      <c r="BJ265" s="20">
        <f>IFERROR(VLOOKUP(Tabla14[[#This Row],[Llave]],'[5]Consolidación planes'!$A:$M,12,FALSE),0)</f>
        <v>0</v>
      </c>
      <c r="BK265" s="20">
        <f>IFERROR(VLOOKUP(Tabla14[[#This Row],[Llave]],'[5]Consolidación planes'!$A:$M,13,FALSE),0)</f>
        <v>0</v>
      </c>
      <c r="BL265" s="20">
        <f>IFERROR(VLOOKUP(Tabla14[[#This Row],[Llave]],'[13]Base ultimos planes'!$A:$M,13,FALSE),0)</f>
        <v>24000</v>
      </c>
      <c r="BM265" s="20">
        <f>IFERROR(VLOOKUP(Tabla14[[#This Row],[Llave]],'[13]Cruce plan irrestricto'!$C:$M,10,FALSE),0)</f>
        <v>0</v>
      </c>
      <c r="BN265" s="20">
        <f>IFERROR(VLOOKUP(Tabla14[[#This Row],[Llave]],'[13]Cruce plan irrestricto'!$C:$M,11,FALSE),0)</f>
        <v>0</v>
      </c>
      <c r="BO265" s="80">
        <f>IFERROR(VLOOKUP(Tabla14[[#This Row],[Llave]],'[13]Base ultimos planes'!$O:$AA,8,FALSE),0)</f>
        <v>0</v>
      </c>
      <c r="BP265" s="20">
        <f>IFERROR(VLOOKUP(Tabla14[[#This Row],[Llave]],'[13]Base ultimos planes'!$O:$AA,9,FALSE),0)</f>
        <v>0</v>
      </c>
      <c r="BQ265" s="20">
        <f>IFERROR(VLOOKUP(Tabla14[[#This Row],[Llave]],'[13]Base ultimos planes'!$O:$AA,10,FALSE),0)</f>
        <v>0</v>
      </c>
      <c r="BR265" s="20">
        <f>IFERROR(VLOOKUP(Tabla14[[#This Row],[Llave]],'[13]Base ultimos planes'!$O:$AA,11,FALSE),0)</f>
        <v>0</v>
      </c>
      <c r="BS265" s="20">
        <f>IFERROR(VLOOKUP(Tabla14[[#This Row],[Llave]],'[13]Base ultimos planes'!$O:$AA,12,FALSE),0)</f>
        <v>0</v>
      </c>
      <c r="BT265" s="20">
        <f>IFERROR(VLOOKUP(Tabla14[[#This Row],[Llave]],'[13]Base ultimos planes'!$O:$AA,13,FALSE),0)</f>
        <v>33325</v>
      </c>
      <c r="BU265" s="20"/>
      <c r="BV265" s="20">
        <f>Tabla14[[#This Row],[ RV Producción mes n+1]]-Tabla14[[#This Row],[Producción disponible]]+Tabla14[[#This Row],[Saldo Volumen disponible]]</f>
        <v>0</v>
      </c>
      <c r="BW265" s="20">
        <f>IFERROR(VLOOKUP(Tabla14[[#This Row],[Llave]],[14]Hoja2!$J:$N,4,FALSE),0)</f>
        <v>0</v>
      </c>
      <c r="BX265" s="20">
        <f>+Tabla14[[#This Row],[Asignación mes n+1]]*Tabla14[[#This Row],[% Uti. producción]]</f>
        <v>0</v>
      </c>
      <c r="BY265" s="20">
        <f>+Tabla14[[#This Row],[Ponderación mes n+1]]+Tabla14[[#This Row],[Saldo mes n-1]]</f>
        <v>0</v>
      </c>
      <c r="BZ265" s="20">
        <f>+Tabla14[[#This Row],[Asignación mes n+1]]-Tabla14[[#This Row],[Ponderación mes n+1]]</f>
        <v>0</v>
      </c>
      <c r="CA265" s="20">
        <f>IFERROR(VLOOKUP(Tabla14[[#This Row],[Llave]],[14]Hoja2!$J:$N,5,FALSE),0)</f>
        <v>0</v>
      </c>
      <c r="CB265" s="20">
        <f>+Tabla14[[#This Row],[Asignación mes n+2]]*Tabla14[[#This Row],[% Uti. producción]]</f>
        <v>0</v>
      </c>
      <c r="CC265" s="20">
        <f>+Tabla14[[#This Row],[Saldo mes n+2]]+Tabla14[[#This Row],[Ponderación mes n+2]]</f>
        <v>0</v>
      </c>
      <c r="CD265" s="20">
        <f>+Tabla14[[#This Row],[Asignación mes n+2]]-Tabla14[[#This Row],[Ponderación mes n+2]]</f>
        <v>0</v>
      </c>
    </row>
    <row r="266" spans="1:82" ht="16" x14ac:dyDescent="0.2">
      <c r="A266">
        <v>1</v>
      </c>
      <c r="B266" t="str">
        <f>Tabla14[[#This Row],[Oficina]]&amp;Tabla14[[#This Row],[Material]]</f>
        <v>Agrosuper Asia1023371</v>
      </c>
      <c r="C266" t="s">
        <v>6</v>
      </c>
      <c r="D266" t="s">
        <v>173</v>
      </c>
      <c r="E266">
        <v>1023371</v>
      </c>
      <c r="F266" t="s">
        <v>157</v>
      </c>
      <c r="G266" t="s">
        <v>53</v>
      </c>
      <c r="H266" t="s">
        <v>156</v>
      </c>
      <c r="I266" s="7">
        <f>IFERROR(IF(Tabla14[[#This Row],[Oficina]]=$I$7,VLOOKUP(Tabla14[[#This Row],[Material]],'[6]RV Producción'!$Y:$AA,3,FALSE),VLOOKUP(Tabla14[[#This Row],[Llave]],'[6]RV Producción'!$C:$G,5,FALSE)),0)</f>
        <v>0</v>
      </c>
      <c r="J266" s="7">
        <f>IFERROR(IF(Tabla14[[#This Row],[Oficina]]=$I$7,VLOOKUP(Tabla14[[#This Row],[Llave]],'[7]Shangai (Tomas)'!$A:$F,6,FALSE),VLOOKUP(Tabla14[[#This Row],[Llave]],'[6]RV plan de ventas'!$A:$E,5,FALSE)),0)</f>
        <v>0</v>
      </c>
      <c r="K266" s="8">
        <f>IFERROR(VLOOKUP(Tabla14[[#This Row],[Sector]]&amp;Tabla14[[#This Row],[Oficina]],[8]Ponderación!$A$3:$G$22,7,FALSE),0)</f>
        <v>0.38476266834449474</v>
      </c>
      <c r="L266" s="7">
        <f>+Tabla14[[#This Row],[ RV Producción mes n+1]]*Tabla14[[#This Row],[% Uti. producción]]</f>
        <v>0</v>
      </c>
      <c r="M266" s="7">
        <f>IFERROR(VLOOKUP(Tabla14[[#This Row],[Material]],'[9]TD Stock'!$B:$C,2,FALSE),0)</f>
        <v>0</v>
      </c>
      <c r="N266" s="7">
        <f>IFERROR(VLOOKUP(Tabla14[[#This Row],[Material]],'[10]Consolidado planificación'!$B:$C,2,FALSE),0)</f>
        <v>0</v>
      </c>
      <c r="O266" s="7">
        <f>IFERROR(VLOOKUP(Tabla14[[#This Row],[Llave]],[11]Hoja2!$D:$G,4,FALSE),0)</f>
        <v>0</v>
      </c>
      <c r="P266" s="14">
        <f>SUM(Tabla14[[#This Row],[Producción disponible]],Tabla14[[#This Row],[Stock al día]],(Tabla14[[#This Row],[Por producir mes N]]*0.9))-Tabla14[[#This Row],[Producción por despachar mes N]]</f>
        <v>0</v>
      </c>
      <c r="Q266" s="7">
        <f>IFERROR(VLOOKUP(Tabla14[[#This Row],[Llave]],[9]DELAY!$A:$D,4,FALSE),0)</f>
        <v>0</v>
      </c>
      <c r="R266" s="9">
        <v>23000</v>
      </c>
      <c r="S266" s="5">
        <f t="shared" ref="S266:S308" si="9">IF(AND(P266&gt;Q266,Q266&gt;0),Q266,IF(AND(P266&lt;Q266,Q266&gt;0),(ROUNDDOWN(P266/R266,0)*R266),0))</f>
        <v>0</v>
      </c>
      <c r="T266" s="76">
        <v>0</v>
      </c>
      <c r="U266" s="5">
        <f>+Tabla14[[#This Row],[Atraso a facturar]]+Tabla14[[#This Row],[Ajuste atraso]]</f>
        <v>0</v>
      </c>
      <c r="V266" s="3">
        <f>+Tabla14[[#This Row],[Total disponible]]-Tabla14[[#This Row],[Facturación atraso]]</f>
        <v>0</v>
      </c>
      <c r="W266" s="6">
        <f>IFERROR(IF(AND(V266&gt;R266,J266&gt;=R266),ROUNDDOWN((Tabla14[[#This Row],[Producción para venta nueva]])/R266,0)*R266,0),0)</f>
        <v>0</v>
      </c>
      <c r="X266" s="76">
        <v>0</v>
      </c>
      <c r="Y266" s="6">
        <f>IF(Tabla14[[#This Row],[Venta del mes]]&gt;0,Tabla14[[#This Row],[Venta del mes]]+Tabla14[[#This Row],[Ajuste venta nueva]],0)</f>
        <v>0</v>
      </c>
      <c r="Z266" s="6">
        <f>+Tabla14[[#This Row],[Producción para venta nueva]]-Tabla14[[#This Row],[Facturación Venta nueva]]</f>
        <v>0</v>
      </c>
      <c r="AA266" s="6">
        <f>IF(AND(A266=1,Tabla14[[#This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6" s="6">
        <v>0</v>
      </c>
      <c r="AC266" s="6">
        <f>IF(Tabla14[[#This Row],[Disponible stock sin venta]]&gt;0,Tabla14[[#This Row],[Disponible stock sin venta]]+Tabla14[[#This Row],[Ajuste stock sin venta]],0)</f>
        <v>0</v>
      </c>
      <c r="AD266" s="3">
        <f>IFERROR(VLOOKUP(Tabla14[[#This Row],[Llave]],[12]Hoja1!$A:$D,4,FALSE),0)</f>
        <v>0</v>
      </c>
      <c r="AE266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66" s="3" t="b">
        <v>0</v>
      </c>
      <c r="AG266" s="3">
        <f>+Tabla14[[#This Row],[En puerto a facturar]]</f>
        <v>0</v>
      </c>
      <c r="AH266" s="3">
        <f>+Tabla14[[#This Row],[Facturación atraso]]</f>
        <v>0</v>
      </c>
      <c r="AI266" s="3">
        <f>+Tabla14[[#This Row],[Plan Irrestricto (DATO)]]-Tabla14[[#This Row],[Puerto ]]-Tabla14[[#This Row],[Atraso]]</f>
        <v>0</v>
      </c>
      <c r="AJ26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66" s="3">
        <f>+Tabla14[[#This Row],[Facturación atraso]]</f>
        <v>0</v>
      </c>
      <c r="AL266" s="3">
        <f>Tabla14[[#This Row],[Plan Ajustado]]-Tabla14[[#This Row],[ Atraso ajustado]]-Tabla14[[#This Row],[En puerto a facturar]]</f>
        <v>0</v>
      </c>
      <c r="AM266" s="3">
        <v>0</v>
      </c>
      <c r="AN266" s="3"/>
      <c r="AO266" s="3" t="str">
        <f>IF(Tabla14[[#This Row],[Plan Ajustado]]&gt;Tabla14[[#This Row],[En puerto a facturar]],"Si","No")</f>
        <v>No</v>
      </c>
      <c r="AP26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66" s="3">
        <f>IF(Tabla14[[#This Row],[Necesidad]]&gt;=Tabla14[[#This Row],[Stock al día]],Tabla14[[#This Row],[Stock al día]],Tabla14[[#This Row],[Necesidad]])</f>
        <v>0</v>
      </c>
      <c r="AR266" s="3">
        <f>+Tabla14[[#This Row],[Necesidad]]-Tabla14[[#This Row],[Stock Plan]]</f>
        <v>0</v>
      </c>
      <c r="AS266" s="155">
        <f>VLOOKUP(Tabla14[[#This Row],[Sector]]&amp;Tabla14[[#This Row],[Oficina]],[8]Ponderación!$A:$H,8,FALSE)</f>
        <v>44814</v>
      </c>
      <c r="AT266" s="30">
        <f>IFERROR(VLOOKUP(Tabla14[[#This Row],[Llave]],'[6]RV plan de ventas'!$A:$F,6,FALSE),0)</f>
        <v>0</v>
      </c>
      <c r="AU266" s="83">
        <f>IFERROR(VLOOKUP(Tabla14[[#This Row],[Llave]],[9]DELAY!$H:$X,17,FALSE),0)</f>
        <v>0</v>
      </c>
      <c r="AV26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66" s="5">
        <f>Tabla14[[#This Row],[Pecio plan]]*Tabla14[[#This Row],[Plan Ajustado]]</f>
        <v>0</v>
      </c>
      <c r="AX266" s="30">
        <f>IFERROR(VLOOKUP(Tabla14[[#This Row],[Llave]],'[13]Ultimos precios facturados'!$A:$G,7,FALSE),0)</f>
        <v>0</v>
      </c>
      <c r="AY26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66" s="30">
        <f>IFERROR(VLOOKUP(Tabla14[[#This Row],[Llave]],Hoja2!B:K,10,FALSE),0)</f>
        <v>0</v>
      </c>
      <c r="BA26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66" s="30">
        <v>0</v>
      </c>
      <c r="BC266" s="30">
        <f>IF(Tabla14[[#This Row],[Market]]=0,Tabla14[[#This Row],[Precio Final]],Tabla14[[#This Row],[Market]])</f>
        <v>0</v>
      </c>
      <c r="BD266" s="82"/>
      <c r="BE266" s="82" t="str">
        <f>IF(AND(Tabla14[[#This Row],[Atraso a facturar]]&gt;0,Tabla14[[#This Row],[En puerto a facturar]]&gt;0,Tabla14[[#This Row],[Precio Atraso]]=0),"Revisar","OK")</f>
        <v>OK</v>
      </c>
      <c r="BF266" s="82" t="str">
        <f>IF(AND(Tabla14[[#This Row],[Venta del mes]]&gt;0,Tabla14[[#This Row],[Precio venta nueva]]=0),"Revisar","OK")</f>
        <v>OK</v>
      </c>
      <c r="BG266" s="20">
        <f>IFERROR(VLOOKUP(Tabla14[[#This Row],[Llave]],'[5]Consolidación planes'!$A:$M,9,FALSE),0)</f>
        <v>0</v>
      </c>
      <c r="BH266" s="20">
        <f>IFERROR(VLOOKUP(Tabla14[[#This Row],[Llave]],'[5]Consolidación planes'!$A:$M,10,FALSE),0)</f>
        <v>0</v>
      </c>
      <c r="BI266" s="20">
        <f>IFERROR(VLOOKUP(Tabla14[[#This Row],[Llave]],'[5]Consolidación planes'!$A:$M,11,FALSE),0)</f>
        <v>0</v>
      </c>
      <c r="BJ266" s="20">
        <f>IFERROR(VLOOKUP(Tabla14[[#This Row],[Llave]],'[5]Consolidación planes'!$A:$M,12,FALSE),0)</f>
        <v>0</v>
      </c>
      <c r="BK266" s="20">
        <f>IFERROR(VLOOKUP(Tabla14[[#This Row],[Llave]],'[5]Consolidación planes'!$A:$M,13,FALSE),0)</f>
        <v>0</v>
      </c>
      <c r="BL266" s="20">
        <f>IFERROR(VLOOKUP(Tabla14[[#This Row],[Llave]],'[13]Base ultimos planes'!$A:$M,13,FALSE),0)</f>
        <v>24000</v>
      </c>
      <c r="BM266" s="20">
        <f>IFERROR(VLOOKUP(Tabla14[[#This Row],[Llave]],'[13]Cruce plan irrestricto'!$C:$M,10,FALSE),0)</f>
        <v>0</v>
      </c>
      <c r="BN266" s="20">
        <f>IFERROR(VLOOKUP(Tabla14[[#This Row],[Llave]],'[13]Cruce plan irrestricto'!$C:$M,11,FALSE),0)</f>
        <v>0</v>
      </c>
      <c r="BO266" s="80">
        <f>IFERROR(VLOOKUP(Tabla14[[#This Row],[Llave]],'[13]Base ultimos planes'!$O:$AA,8,FALSE),0)</f>
        <v>0</v>
      </c>
      <c r="BP266" s="20">
        <f>IFERROR(VLOOKUP(Tabla14[[#This Row],[Llave]],'[13]Base ultimos planes'!$O:$AA,9,FALSE),0)</f>
        <v>0</v>
      </c>
      <c r="BQ266" s="20">
        <f>IFERROR(VLOOKUP(Tabla14[[#This Row],[Llave]],'[13]Base ultimos planes'!$O:$AA,10,FALSE),0)</f>
        <v>0</v>
      </c>
      <c r="BR266" s="20">
        <f>IFERROR(VLOOKUP(Tabla14[[#This Row],[Llave]],'[13]Base ultimos planes'!$O:$AA,11,FALSE),0)</f>
        <v>0</v>
      </c>
      <c r="BS266" s="20">
        <f>IFERROR(VLOOKUP(Tabla14[[#This Row],[Llave]],'[13]Base ultimos planes'!$O:$AA,12,FALSE),0)</f>
        <v>0</v>
      </c>
      <c r="BT266" s="20">
        <f>IFERROR(VLOOKUP(Tabla14[[#This Row],[Llave]],'[13]Base ultimos planes'!$O:$AA,13,FALSE),0)</f>
        <v>28525</v>
      </c>
      <c r="BU266" s="20"/>
      <c r="BV266" s="20">
        <f>Tabla14[[#This Row],[ RV Producción mes n+1]]-Tabla14[[#This Row],[Producción disponible]]+Tabla14[[#This Row],[Saldo Volumen disponible]]</f>
        <v>0</v>
      </c>
      <c r="BW266" s="20">
        <f>IFERROR(VLOOKUP(Tabla14[[#This Row],[Llave]],[14]Hoja2!$J:$N,4,FALSE),0)</f>
        <v>0</v>
      </c>
      <c r="BX266" s="20">
        <f>+Tabla14[[#This Row],[Asignación mes n+1]]*Tabla14[[#This Row],[% Uti. producción]]</f>
        <v>0</v>
      </c>
      <c r="BY266" s="20">
        <f>+Tabla14[[#This Row],[Ponderación mes n+1]]+Tabla14[[#This Row],[Saldo mes n-1]]</f>
        <v>0</v>
      </c>
      <c r="BZ266" s="20">
        <f>+Tabla14[[#This Row],[Asignación mes n+1]]-Tabla14[[#This Row],[Ponderación mes n+1]]</f>
        <v>0</v>
      </c>
      <c r="CA266" s="20">
        <f>IFERROR(VLOOKUP(Tabla14[[#This Row],[Llave]],[14]Hoja2!$J:$N,5,FALSE),0)</f>
        <v>0</v>
      </c>
      <c r="CB266" s="20">
        <f>+Tabla14[[#This Row],[Asignación mes n+2]]*Tabla14[[#This Row],[% Uti. producción]]</f>
        <v>0</v>
      </c>
      <c r="CC266" s="20">
        <f>+Tabla14[[#This Row],[Saldo mes n+2]]+Tabla14[[#This Row],[Ponderación mes n+2]]</f>
        <v>0</v>
      </c>
      <c r="CD266" s="20">
        <f>+Tabla14[[#This Row],[Asignación mes n+2]]-Tabla14[[#This Row],[Ponderación mes n+2]]</f>
        <v>0</v>
      </c>
    </row>
    <row r="267" spans="1:82" ht="16" x14ac:dyDescent="0.2">
      <c r="A267">
        <v>1</v>
      </c>
      <c r="B267" t="str">
        <f>Tabla14[[#This Row],[Oficina]]&amp;Tabla14[[#This Row],[Material]]</f>
        <v>Agrosuper Asia1023372</v>
      </c>
      <c r="C267" t="s">
        <v>6</v>
      </c>
      <c r="D267" t="s">
        <v>173</v>
      </c>
      <c r="E267">
        <v>1023372</v>
      </c>
      <c r="F267" t="s">
        <v>311</v>
      </c>
      <c r="G267" t="s">
        <v>409</v>
      </c>
      <c r="H267" t="s">
        <v>51</v>
      </c>
      <c r="I267" s="7">
        <f>IFERROR(IF(Tabla14[[#This Row],[Oficina]]=$I$7,VLOOKUP(Tabla14[[#This Row],[Material]],'[6]RV Producción'!$Y:$AA,3,FALSE),VLOOKUP(Tabla14[[#This Row],[Llave]],'[6]RV Producción'!$C:$G,5,FALSE)),0)</f>
        <v>0</v>
      </c>
      <c r="J267" s="7">
        <f>IFERROR(IF(Tabla14[[#This Row],[Oficina]]=$I$7,VLOOKUP(Tabla14[[#This Row],[Llave]],'[7]Shangai (Tomas)'!$A:$F,6,FALSE),VLOOKUP(Tabla14[[#This Row],[Llave]],'[6]RV plan de ventas'!$A:$E,5,FALSE)),0)</f>
        <v>5707</v>
      </c>
      <c r="K267" s="8">
        <f>IFERROR(VLOOKUP(Tabla14[[#This Row],[Sector]]&amp;Tabla14[[#This Row],[Oficina]],[8]Ponderación!$A$3:$G$22,7,FALSE),0)</f>
        <v>0.38476266834449474</v>
      </c>
      <c r="L267" s="7">
        <f>+Tabla14[[#This Row],[ RV Producción mes n+1]]*Tabla14[[#This Row],[% Uti. producción]]</f>
        <v>0</v>
      </c>
      <c r="M267" s="7">
        <f>IFERROR(VLOOKUP(Tabla14[[#This Row],[Material]],'[9]TD Stock'!$B:$C,2,FALSE),0)</f>
        <v>80975.061000000002</v>
      </c>
      <c r="N267" s="7">
        <f>IFERROR(VLOOKUP(Tabla14[[#This Row],[Material]],'[10]Consolidado planificación'!$B:$C,2,FALSE),0)</f>
        <v>0</v>
      </c>
      <c r="O267" s="7">
        <f>IFERROR(VLOOKUP(Tabla14[[#This Row],[Llave]],[11]Hoja2!$D:$G,4,FALSE),0)</f>
        <v>0</v>
      </c>
      <c r="P267" s="14">
        <f>SUM(Tabla14[[#This Row],[Producción disponible]],Tabla14[[#This Row],[Stock al día]],(Tabla14[[#This Row],[Por producir mes N]]*0.9))-Tabla14[[#This Row],[Producción por despachar mes N]]</f>
        <v>80975.061000000002</v>
      </c>
      <c r="Q267" s="7">
        <f>IFERROR(VLOOKUP(Tabla14[[#This Row],[Llave]],[9]DELAY!$A:$D,4,FALSE),0)</f>
        <v>24000</v>
      </c>
      <c r="R267" s="9">
        <v>23000</v>
      </c>
      <c r="S267" s="5">
        <f t="shared" si="9"/>
        <v>24000</v>
      </c>
      <c r="T267" s="76">
        <v>0</v>
      </c>
      <c r="U267" s="5">
        <f>+Tabla14[[#This Row],[Atraso a facturar]]+Tabla14[[#This Row],[Ajuste atraso]]</f>
        <v>24000</v>
      </c>
      <c r="V267" s="3">
        <f>+Tabla14[[#This Row],[Total disponible]]-Tabla14[[#This Row],[Facturación atraso]]</f>
        <v>56975.061000000002</v>
      </c>
      <c r="W267" s="6">
        <f>IFERROR(IF(AND(V267&gt;R267,J267&gt;=R267),ROUNDDOWN((Tabla14[[#This Row],[Producción para venta nueva]])/R267,0)*R267,0),0)</f>
        <v>0</v>
      </c>
      <c r="X267" s="76">
        <v>0</v>
      </c>
      <c r="Y267" s="6">
        <f>IF(Tabla14[[#This Row],[Venta del mes]]&gt;0,Tabla14[[#This Row],[Venta del mes]]+Tabla14[[#This Row],[Ajuste venta nueva]],0)</f>
        <v>0</v>
      </c>
      <c r="Z267" s="6">
        <f>+Tabla14[[#This Row],[Producción para venta nueva]]-Tabla14[[#This Row],[Facturación Venta nueva]]</f>
        <v>56975.061000000002</v>
      </c>
      <c r="AA267" s="6">
        <f>IF(AND(A267=1,Tabla14[[#This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46000</v>
      </c>
      <c r="AB267" s="6">
        <v>0</v>
      </c>
      <c r="AC267" s="6">
        <f>IF(Tabla14[[#This Row],[Disponible stock sin venta]]&gt;0,Tabla14[[#This Row],[Disponible stock sin venta]]+Tabla14[[#This Row],[Ajuste stock sin venta]],0)</f>
        <v>46000</v>
      </c>
      <c r="AD267" s="3">
        <f>IFERROR(VLOOKUP(Tabla14[[#This Row],[Llave]],[12]Hoja1!$A:$D,4,FALSE),0)</f>
        <v>0</v>
      </c>
      <c r="AE26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70000</v>
      </c>
      <c r="AF267" s="3">
        <v>70000</v>
      </c>
      <c r="AG267" s="3">
        <f>+Tabla14[[#This Row],[En puerto a facturar]]</f>
        <v>0</v>
      </c>
      <c r="AH267" s="3">
        <f>+Tabla14[[#This Row],[Facturación atraso]]</f>
        <v>24000</v>
      </c>
      <c r="AI267" s="3">
        <f>+Tabla14[[#This Row],[Plan Irrestricto (DATO)]]-Tabla14[[#This Row],[Puerto ]]-Tabla14[[#This Row],[Atraso]]</f>
        <v>46000</v>
      </c>
      <c r="AJ267" s="6">
        <f>IF(Tabla14[[#This Row],[Plan Irrestricto (DATO)]]&gt;0,SUM(Tabla14[[#This Row],[Facturación atraso]],Tabla14[[#This Row],[Facturación Venta nueva]],Tabla14[[#This Row],[Facturación stock]],Tabla14[[#This Row],[En puerto a facturar]]),0)</f>
        <v>70000</v>
      </c>
      <c r="AK267" s="3">
        <f>+Tabla14[[#This Row],[Facturación atraso]]</f>
        <v>24000</v>
      </c>
      <c r="AL267" s="3">
        <f>Tabla14[[#This Row],[Plan Ajustado]]-Tabla14[[#This Row],[ Atraso ajustado]]-Tabla14[[#This Row],[En puerto a facturar]]</f>
        <v>46000</v>
      </c>
      <c r="AM267" s="3" t="s">
        <v>875</v>
      </c>
      <c r="AN267" s="3"/>
      <c r="AO267" s="3" t="str">
        <f>IF(Tabla14[[#This Row],[Plan Ajustado]]&gt;Tabla14[[#This Row],[En puerto a facturar]],"Si","No")</f>
        <v>Si</v>
      </c>
      <c r="AP267" s="3">
        <f>IF(AND(Tabla14[[#This Row],[Plan Ajustado]]&gt;0,Tabla14[[#This Row],[Plan Ajustado]]&gt;Tabla14[[#This Row],[En puerto a facturar]]),(Tabla14[[#This Row],[Plan Ajustado]]-Tabla14[[#This Row],[En puerto a facturar]]),0)</f>
        <v>70000</v>
      </c>
      <c r="AQ267" s="3">
        <f>IF(Tabla14[[#This Row],[Necesidad]]&gt;=Tabla14[[#This Row],[Stock al día]],Tabla14[[#This Row],[Stock al día]],Tabla14[[#This Row],[Necesidad]])</f>
        <v>70000</v>
      </c>
      <c r="AR267" s="3">
        <f>+Tabla14[[#This Row],[Necesidad]]-Tabla14[[#This Row],[Stock Plan]]</f>
        <v>0</v>
      </c>
      <c r="AS267" s="155">
        <f>VLOOKUP(Tabla14[[#This Row],[Sector]]&amp;Tabla14[[#This Row],[Oficina]],[8]Ponderación!$A:$H,8,FALSE)</f>
        <v>44814</v>
      </c>
      <c r="AT267" s="30">
        <f>IFERROR(VLOOKUP(Tabla14[[#This Row],[Llave]],'[6]RV plan de ventas'!$A:$F,6,FALSE),0)</f>
        <v>2.7135097248992501</v>
      </c>
      <c r="AU267" s="83">
        <f>IFERROR(VLOOKUP(Tabla14[[#This Row],[Llave]],[9]DELAY!$H:$X,17,FALSE),0)</f>
        <v>3</v>
      </c>
      <c r="AV26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</v>
      </c>
      <c r="AW267" s="5">
        <f>Tabla14[[#This Row],[Pecio plan]]*Tabla14[[#This Row],[Plan Ajustado]]</f>
        <v>210000</v>
      </c>
      <c r="AX267" s="30">
        <f>IFERROR(VLOOKUP(Tabla14[[#This Row],[Llave]],'[13]Ultimos precios facturados'!$A:$G,7,FALSE),0)</f>
        <v>2.5999999999999996</v>
      </c>
      <c r="AY267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0.15384615384615399</v>
      </c>
      <c r="AZ267" s="30">
        <f>IFERROR(VLOOKUP(Tabla14[[#This Row],[Llave]],Hoja2!B:K,10,FALSE),0)</f>
        <v>2.8</v>
      </c>
      <c r="BA26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</v>
      </c>
      <c r="BB267" s="30">
        <v>0</v>
      </c>
      <c r="BC267" s="30">
        <f>IF(Tabla14[[#This Row],[Market]]=0,Tabla14[[#This Row],[Precio Final]],Tabla14[[#This Row],[Market]])</f>
        <v>3</v>
      </c>
      <c r="BD267" s="82"/>
      <c r="BE267" s="82" t="str">
        <f>IF(AND(Tabla14[[#This Row],[Atraso a facturar]]&gt;0,Tabla14[[#This Row],[En puerto a facturar]]&gt;0,Tabla14[[#This Row],[Precio Atraso]]=0),"Revisar","OK")</f>
        <v>OK</v>
      </c>
      <c r="BF267" s="82" t="str">
        <f>IF(AND(Tabla14[[#This Row],[Venta del mes]]&gt;0,Tabla14[[#This Row],[Precio venta nueva]]=0),"Revisar","OK")</f>
        <v>OK</v>
      </c>
      <c r="BG267" s="20">
        <f>IFERROR(VLOOKUP(Tabla14[[#This Row],[Llave]],'[5]Consolidación planes'!$A:$M,9,FALSE),0)</f>
        <v>0</v>
      </c>
      <c r="BH267" s="20">
        <f>IFERROR(VLOOKUP(Tabla14[[#This Row],[Llave]],'[5]Consolidación planes'!$A:$M,10,FALSE),0)</f>
        <v>0</v>
      </c>
      <c r="BI267" s="20">
        <f>IFERROR(VLOOKUP(Tabla14[[#This Row],[Llave]],'[5]Consolidación planes'!$A:$M,11,FALSE),0)</f>
        <v>0</v>
      </c>
      <c r="BJ267" s="20">
        <f>IFERROR(VLOOKUP(Tabla14[[#This Row],[Llave]],'[5]Consolidación planes'!$A:$M,12,FALSE),0)</f>
        <v>0</v>
      </c>
      <c r="BK267" s="20">
        <f>IFERROR(VLOOKUP(Tabla14[[#This Row],[Llave]],'[5]Consolidación planes'!$A:$M,13,FALSE),0)</f>
        <v>0</v>
      </c>
      <c r="BL267" s="20">
        <f>IFERROR(VLOOKUP(Tabla14[[#This Row],[Llave]],'[13]Base ultimos planes'!$A:$M,13,FALSE),0)</f>
        <v>0</v>
      </c>
      <c r="BM267" s="20">
        <f>IFERROR(VLOOKUP(Tabla14[[#This Row],[Llave]],'[13]Cruce plan irrestricto'!$C:$M,10,FALSE),0)</f>
        <v>24000</v>
      </c>
      <c r="BN267" s="20">
        <f>IFERROR(VLOOKUP(Tabla14[[#This Row],[Llave]],'[13]Cruce plan irrestricto'!$C:$M,11,FALSE),0)</f>
        <v>48000</v>
      </c>
      <c r="BO267" s="80">
        <f>IFERROR(VLOOKUP(Tabla14[[#This Row],[Llave]],'[13]Base ultimos planes'!$O:$AA,8,FALSE),0)</f>
        <v>0</v>
      </c>
      <c r="BP267" s="20">
        <f>IFERROR(VLOOKUP(Tabla14[[#This Row],[Llave]],'[13]Base ultimos planes'!$O:$AA,9,FALSE),0)</f>
        <v>0</v>
      </c>
      <c r="BQ267" s="20">
        <f>IFERROR(VLOOKUP(Tabla14[[#This Row],[Llave]],'[13]Base ultimos planes'!$O:$AA,10,FALSE),0)</f>
        <v>0</v>
      </c>
      <c r="BR267" s="20">
        <f>IFERROR(VLOOKUP(Tabla14[[#This Row],[Llave]],'[13]Base ultimos planes'!$O:$AA,11,FALSE),0)</f>
        <v>0</v>
      </c>
      <c r="BS267" s="20">
        <f>IFERROR(VLOOKUP(Tabla14[[#This Row],[Llave]],'[13]Base ultimos planes'!$O:$AA,12,FALSE),0)</f>
        <v>0</v>
      </c>
      <c r="BT267" s="20">
        <f>IFERROR(VLOOKUP(Tabla14[[#This Row],[Llave]],'[13]Base ultimos planes'!$O:$AA,13,FALSE),0)</f>
        <v>0</v>
      </c>
      <c r="BU267" s="20"/>
      <c r="BV267" s="20">
        <f>Tabla14[[#This Row],[ RV Producción mes n+1]]-Tabla14[[#This Row],[Producción disponible]]+Tabla14[[#This Row],[Saldo Volumen disponible]]</f>
        <v>56975.061000000002</v>
      </c>
      <c r="BW267" s="20">
        <f>IFERROR(VLOOKUP(Tabla14[[#This Row],[Llave]],[14]Hoja2!$J:$N,4,FALSE),0)</f>
        <v>48000</v>
      </c>
      <c r="BX267" s="20">
        <f>+Tabla14[[#This Row],[Asignación mes n+1]]*Tabla14[[#This Row],[% Uti. producción]]</f>
        <v>18468.608080535749</v>
      </c>
      <c r="BY267" s="20">
        <f>+Tabla14[[#This Row],[Ponderación mes n+1]]+Tabla14[[#This Row],[Saldo mes n-1]]</f>
        <v>75443.66908053575</v>
      </c>
      <c r="BZ267" s="20">
        <f>+Tabla14[[#This Row],[Asignación mes n+1]]-Tabla14[[#This Row],[Ponderación mes n+1]]</f>
        <v>29531.391919464251</v>
      </c>
      <c r="CA267" s="20">
        <f>IFERROR(VLOOKUP(Tabla14[[#This Row],[Llave]],[14]Hoja2!$J:$N,5,FALSE),0)</f>
        <v>48000</v>
      </c>
      <c r="CB267" s="20">
        <f>+Tabla14[[#This Row],[Asignación mes n+2]]*Tabla14[[#This Row],[% Uti. producción]]</f>
        <v>18468.608080535749</v>
      </c>
      <c r="CC267" s="20">
        <f>+Tabla14[[#This Row],[Saldo mes n+2]]+Tabla14[[#This Row],[Ponderación mes n+2]]</f>
        <v>48000</v>
      </c>
      <c r="CD267" s="20">
        <f>+Tabla14[[#This Row],[Asignación mes n+2]]-Tabla14[[#This Row],[Ponderación mes n+2]]</f>
        <v>29531.391919464251</v>
      </c>
    </row>
    <row r="268" spans="1:82" ht="16" x14ac:dyDescent="0.2">
      <c r="A268">
        <v>1</v>
      </c>
      <c r="B268" t="str">
        <f>Tabla14[[#This Row],[Oficina]]&amp;Tabla14[[#This Row],[Material]]</f>
        <v>Agrosuper Asia1023397</v>
      </c>
      <c r="C268" t="s">
        <v>6</v>
      </c>
      <c r="D268" t="s">
        <v>173</v>
      </c>
      <c r="E268">
        <v>1023397</v>
      </c>
      <c r="F268" t="s">
        <v>44</v>
      </c>
      <c r="G268" t="s">
        <v>11</v>
      </c>
      <c r="H268" t="s">
        <v>41</v>
      </c>
      <c r="I268" s="7">
        <f>IFERROR(IF(Tabla14[[#This Row],[Oficina]]=$I$7,VLOOKUP(Tabla14[[#This Row],[Material]],'[6]RV Producción'!$Y:$AA,3,FALSE),VLOOKUP(Tabla14[[#This Row],[Llave]],'[6]RV Producción'!$C:$G,5,FALSE)),0)</f>
        <v>0</v>
      </c>
      <c r="J268" s="7">
        <f>IFERROR(IF(Tabla14[[#This Row],[Oficina]]=$I$7,VLOOKUP(Tabla14[[#This Row],[Llave]],'[7]Shangai (Tomas)'!$A:$F,6,FALSE),VLOOKUP(Tabla14[[#This Row],[Llave]],'[6]RV plan de ventas'!$A:$E,5,FALSE)),0)</f>
        <v>11650</v>
      </c>
      <c r="K268" s="8">
        <f>IFERROR(VLOOKUP(Tabla14[[#This Row],[Sector]]&amp;Tabla14[[#This Row],[Oficina]],[8]Ponderación!$A$3:$G$22,7,FALSE),0)</f>
        <v>0.38476266834449474</v>
      </c>
      <c r="L268" s="7">
        <f>+Tabla14[[#This Row],[ RV Producción mes n+1]]*Tabla14[[#This Row],[% Uti. producción]]</f>
        <v>0</v>
      </c>
      <c r="M268" s="7">
        <f>IFERROR(VLOOKUP(Tabla14[[#This Row],[Material]],'[9]TD Stock'!$B:$C,2,FALSE),0)</f>
        <v>97244.641000000091</v>
      </c>
      <c r="N268" s="7">
        <f>IFERROR(VLOOKUP(Tabla14[[#This Row],[Material]],'[10]Consolidado planificación'!$B:$C,2,FALSE),0)</f>
        <v>9898.7534536709682</v>
      </c>
      <c r="O268" s="7">
        <f>IFERROR(VLOOKUP(Tabla14[[#This Row],[Llave]],[11]Hoja2!$D:$G,4,FALSE),0)</f>
        <v>0</v>
      </c>
      <c r="P268" s="14">
        <f>SUM(Tabla14[[#This Row],[Producción disponible]],Tabla14[[#This Row],[Stock al día]],(Tabla14[[#This Row],[Por producir mes N]]*0.9))-Tabla14[[#This Row],[Producción por despachar mes N]]</f>
        <v>106153.51910830397</v>
      </c>
      <c r="Q268" s="7">
        <f>IFERROR(VLOOKUP(Tabla14[[#This Row],[Llave]],[9]DELAY!$A:$D,4,FALSE),0)</f>
        <v>120000</v>
      </c>
      <c r="R268" s="9">
        <v>23000</v>
      </c>
      <c r="S268" s="5">
        <f t="shared" si="9"/>
        <v>92000</v>
      </c>
      <c r="T268" s="76">
        <v>-44000</v>
      </c>
      <c r="U268" s="5">
        <f>+Tabla14[[#This Row],[Atraso a facturar]]+Tabla14[[#This Row],[Ajuste atraso]]</f>
        <v>48000</v>
      </c>
      <c r="V268" s="3">
        <f>+Tabla14[[#This Row],[Total disponible]]-Tabla14[[#This Row],[Facturación atraso]]</f>
        <v>58153.519108303968</v>
      </c>
      <c r="W268" s="6">
        <f>IFERROR(IF(AND(V268&gt;R268,J268&gt;=R268),ROUNDDOWN((Tabla14[[#This Row],[Producción para venta nueva]])/R268,0)*R268,0),0)</f>
        <v>0</v>
      </c>
      <c r="X268" s="76">
        <v>0</v>
      </c>
      <c r="Y268" s="6">
        <f>IF(Tabla14[[#This Row],[Venta del mes]]&gt;0,Tabla14[[#This Row],[Venta del mes]]+Tabla14[[#This Row],[Ajuste venta nueva]],0)</f>
        <v>0</v>
      </c>
      <c r="Z268" s="6">
        <f>+Tabla14[[#This Row],[Producción para venta nueva]]-Tabla14[[#This Row],[Facturación Venta nueva]]</f>
        <v>58153.519108303968</v>
      </c>
      <c r="AA268" s="6">
        <f>IF(AND(A268=1,Tabla14[[#This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8" s="6">
        <v>0</v>
      </c>
      <c r="AC268" s="6">
        <f>IF(Tabla14[[#This Row],[Disponible stock sin venta]]&gt;0,Tabla14[[#This Row],[Disponible stock sin venta]]+Tabla14[[#This Row],[Ajuste stock sin venta]],0)</f>
        <v>0</v>
      </c>
      <c r="AD268" s="3">
        <f>IFERROR(VLOOKUP(Tabla14[[#This Row],[Llave]],[12]Hoja1!$A:$D,4,FALSE),0)</f>
        <v>0</v>
      </c>
      <c r="AE26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92000</v>
      </c>
      <c r="AF268" s="3">
        <v>92000</v>
      </c>
      <c r="AG268" s="3">
        <f>+Tabla14[[#This Row],[En puerto a facturar]]</f>
        <v>0</v>
      </c>
      <c r="AH268" s="3">
        <f>+Tabla14[[#This Row],[Facturación atraso]]</f>
        <v>48000</v>
      </c>
      <c r="AI268" s="3">
        <f>+Tabla14[[#This Row],[Plan Irrestricto (DATO)]]-Tabla14[[#This Row],[Puerto ]]-Tabla14[[#This Row],[Atraso]]</f>
        <v>44000</v>
      </c>
      <c r="AJ268" s="6">
        <f>IF(Tabla14[[#This Row],[Plan Irrestricto (DATO)]]&gt;0,SUM(Tabla14[[#This Row],[Facturación atraso]],Tabla14[[#This Row],[Facturación Venta nueva]],Tabla14[[#This Row],[Facturación stock]],Tabla14[[#This Row],[En puerto a facturar]]),0)</f>
        <v>48000</v>
      </c>
      <c r="AK268" s="3">
        <f>+Tabla14[[#This Row],[Facturación atraso]]</f>
        <v>48000</v>
      </c>
      <c r="AL268" s="3">
        <f>Tabla14[[#This Row],[Plan Ajustado]]-Tabla14[[#This Row],[ Atraso ajustado]]-Tabla14[[#This Row],[En puerto a facturar]]</f>
        <v>0</v>
      </c>
      <c r="AM268" s="3" t="s">
        <v>877</v>
      </c>
      <c r="AN268" s="3"/>
      <c r="AO268" s="3" t="str">
        <f>IF(Tabla14[[#This Row],[Plan Ajustado]]&gt;Tabla14[[#This Row],[En puerto a facturar]],"Si","No")</f>
        <v>Si</v>
      </c>
      <c r="AP268" s="3">
        <f>IF(AND(Tabla14[[#This Row],[Plan Ajustado]]&gt;0,Tabla14[[#This Row],[Plan Ajustado]]&gt;Tabla14[[#This Row],[En puerto a facturar]]),(Tabla14[[#This Row],[Plan Ajustado]]-Tabla14[[#This Row],[En puerto a facturar]]),0)</f>
        <v>48000</v>
      </c>
      <c r="AQ268" s="3">
        <f>IF(Tabla14[[#This Row],[Necesidad]]&gt;=Tabla14[[#This Row],[Stock al día]],Tabla14[[#This Row],[Stock al día]],Tabla14[[#This Row],[Necesidad]])</f>
        <v>48000</v>
      </c>
      <c r="AR268" s="3">
        <f>+Tabla14[[#This Row],[Necesidad]]-Tabla14[[#This Row],[Stock Plan]]</f>
        <v>0</v>
      </c>
      <c r="AS268" s="155">
        <f>VLOOKUP(Tabla14[[#This Row],[Sector]]&amp;Tabla14[[#This Row],[Oficina]],[8]Ponderación!$A:$H,8,FALSE)</f>
        <v>44814</v>
      </c>
      <c r="AT268" s="30">
        <f>IFERROR(VLOOKUP(Tabla14[[#This Row],[Llave]],'[6]RV plan de ventas'!$A:$F,6,FALSE),0)</f>
        <v>0.91356223175965701</v>
      </c>
      <c r="AU268" s="83">
        <f>IFERROR(VLOOKUP(Tabla14[[#This Row],[Llave]],[9]DELAY!$H:$X,17,FALSE),0)</f>
        <v>1.1535082916666666</v>
      </c>
      <c r="AV26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1.1535082916666666</v>
      </c>
      <c r="AW268" s="5">
        <f>Tabla14[[#This Row],[Pecio plan]]*Tabla14[[#This Row],[Plan Ajustado]]</f>
        <v>55368.397999999994</v>
      </c>
      <c r="AX268" s="30">
        <f>IFERROR(VLOOKUP(Tabla14[[#This Row],[Llave]],'[13]Ultimos precios facturados'!$A:$G,7,FALSE),0)</f>
        <v>0.98973912625172378</v>
      </c>
      <c r="AY268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0.16546700142608167</v>
      </c>
      <c r="AZ268" s="30">
        <f>IFERROR(VLOOKUP(Tabla14[[#This Row],[Llave]],Hoja2!B:K,10,FALSE),0)</f>
        <v>1.05</v>
      </c>
      <c r="BA26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1.1535082916666666</v>
      </c>
      <c r="BB268" s="30">
        <v>0</v>
      </c>
      <c r="BC268" s="30">
        <f>IF(Tabla14[[#This Row],[Market]]=0,Tabla14[[#This Row],[Precio Final]],Tabla14[[#This Row],[Market]])</f>
        <v>1.1535082916666666</v>
      </c>
      <c r="BD268" s="82"/>
      <c r="BE268" s="82" t="str">
        <f>IF(AND(Tabla14[[#This Row],[Atraso a facturar]]&gt;0,Tabla14[[#This Row],[En puerto a facturar]]&gt;0,Tabla14[[#This Row],[Precio Atraso]]=0),"Revisar","OK")</f>
        <v>OK</v>
      </c>
      <c r="BF268" s="82" t="str">
        <f>IF(AND(Tabla14[[#This Row],[Venta del mes]]&gt;0,Tabla14[[#This Row],[Precio venta nueva]]=0),"Revisar","OK")</f>
        <v>OK</v>
      </c>
      <c r="BG268" s="20">
        <f>IFERROR(VLOOKUP(Tabla14[[#This Row],[Llave]],'[5]Consolidación planes'!$A:$M,9,FALSE),0)</f>
        <v>0</v>
      </c>
      <c r="BH268" s="20">
        <f>IFERROR(VLOOKUP(Tabla14[[#This Row],[Llave]],'[5]Consolidación planes'!$A:$M,10,FALSE),0)</f>
        <v>0</v>
      </c>
      <c r="BI268" s="20">
        <f>IFERROR(VLOOKUP(Tabla14[[#This Row],[Llave]],'[5]Consolidación planes'!$A:$M,11,FALSE),0)</f>
        <v>0</v>
      </c>
      <c r="BJ268" s="20">
        <f>IFERROR(VLOOKUP(Tabla14[[#This Row],[Llave]],'[5]Consolidación planes'!$A:$M,12,FALSE),0)</f>
        <v>0</v>
      </c>
      <c r="BK268" s="20">
        <f>IFERROR(VLOOKUP(Tabla14[[#This Row],[Llave]],'[5]Consolidación planes'!$A:$M,13,FALSE),0)</f>
        <v>0</v>
      </c>
      <c r="BL268" s="20">
        <f>IFERROR(VLOOKUP(Tabla14[[#This Row],[Llave]],'[13]Base ultimos planes'!$A:$M,13,FALSE),0)</f>
        <v>48000</v>
      </c>
      <c r="BM268" s="20">
        <f>IFERROR(VLOOKUP(Tabla14[[#This Row],[Llave]],'[13]Cruce plan irrestricto'!$C:$M,10,FALSE),0)</f>
        <v>96000</v>
      </c>
      <c r="BN268" s="20">
        <f>IFERROR(VLOOKUP(Tabla14[[#This Row],[Llave]],'[13]Cruce plan irrestricto'!$C:$M,11,FALSE),0)</f>
        <v>48000</v>
      </c>
      <c r="BO268" s="80">
        <f>IFERROR(VLOOKUP(Tabla14[[#This Row],[Llave]],'[13]Base ultimos planes'!$O:$AA,8,FALSE),0)</f>
        <v>0</v>
      </c>
      <c r="BP268" s="20">
        <f>IFERROR(VLOOKUP(Tabla14[[#This Row],[Llave]],'[13]Base ultimos planes'!$O:$AA,9,FALSE),0)</f>
        <v>0</v>
      </c>
      <c r="BQ268" s="20">
        <f>IFERROR(VLOOKUP(Tabla14[[#This Row],[Llave]],'[13]Base ultimos planes'!$O:$AA,10,FALSE),0)</f>
        <v>0</v>
      </c>
      <c r="BR268" s="20">
        <f>IFERROR(VLOOKUP(Tabla14[[#This Row],[Llave]],'[13]Base ultimos planes'!$O:$AA,11,FALSE),0)</f>
        <v>0</v>
      </c>
      <c r="BS268" s="20">
        <f>IFERROR(VLOOKUP(Tabla14[[#This Row],[Llave]],'[13]Base ultimos planes'!$O:$AA,12,FALSE),0)</f>
        <v>0</v>
      </c>
      <c r="BT268" s="20">
        <f>IFERROR(VLOOKUP(Tabla14[[#This Row],[Llave]],'[13]Base ultimos planes'!$O:$AA,13,FALSE),0)</f>
        <v>51325</v>
      </c>
      <c r="BU268" s="20"/>
      <c r="BV268" s="20">
        <f>Tabla14[[#This Row],[ RV Producción mes n+1]]-Tabla14[[#This Row],[Producción disponible]]+Tabla14[[#This Row],[Saldo Volumen disponible]]</f>
        <v>58153.519108303968</v>
      </c>
      <c r="BW268" s="20">
        <f>IFERROR(VLOOKUP(Tabla14[[#This Row],[Llave]],[14]Hoja2!$J:$N,4,FALSE),0)</f>
        <v>0</v>
      </c>
      <c r="BX268" s="20">
        <f>+Tabla14[[#This Row],[Asignación mes n+1]]*Tabla14[[#This Row],[% Uti. producción]]</f>
        <v>0</v>
      </c>
      <c r="BY268" s="20">
        <f>+Tabla14[[#This Row],[Ponderación mes n+1]]+Tabla14[[#This Row],[Saldo mes n-1]]</f>
        <v>58153.519108303968</v>
      </c>
      <c r="BZ268" s="20">
        <f>+Tabla14[[#This Row],[Asignación mes n+1]]-Tabla14[[#This Row],[Ponderación mes n+1]]</f>
        <v>0</v>
      </c>
      <c r="CA268" s="20">
        <f>IFERROR(VLOOKUP(Tabla14[[#This Row],[Llave]],[14]Hoja2!$J:$N,5,FALSE),0)</f>
        <v>0</v>
      </c>
      <c r="CB268" s="20">
        <f>+Tabla14[[#This Row],[Asignación mes n+2]]*Tabla14[[#This Row],[% Uti. producción]]</f>
        <v>0</v>
      </c>
      <c r="CC268" s="20">
        <f>+Tabla14[[#This Row],[Saldo mes n+2]]+Tabla14[[#This Row],[Ponderación mes n+2]]</f>
        <v>0</v>
      </c>
      <c r="CD268" s="20">
        <f>+Tabla14[[#This Row],[Asignación mes n+2]]-Tabla14[[#This Row],[Ponderación mes n+2]]</f>
        <v>0</v>
      </c>
    </row>
    <row r="269" spans="1:82" ht="16" x14ac:dyDescent="0.2">
      <c r="A269">
        <v>1</v>
      </c>
      <c r="B269" t="str">
        <f>Tabla14[[#This Row],[Oficina]]&amp;Tabla14[[#This Row],[Material]]</f>
        <v>Agro Sudamerica1100407</v>
      </c>
      <c r="C269" t="s">
        <v>587</v>
      </c>
      <c r="D269" t="s">
        <v>17</v>
      </c>
      <c r="E269">
        <v>1100407</v>
      </c>
      <c r="F269" t="s">
        <v>588</v>
      </c>
      <c r="G269" t="s">
        <v>593</v>
      </c>
      <c r="H269" t="s">
        <v>594</v>
      </c>
      <c r="I269" s="7">
        <f>IFERROR(IF(Tabla14[[#This Row],[Oficina]]=$I$7,VLOOKUP(Tabla14[[#This Row],[Material]],'[6]RV Producción'!$Y:$AA,3,FALSE),VLOOKUP(Tabla14[[#This Row],[Llave]],'[6]RV Producción'!$C:$G,5,FALSE)),0)</f>
        <v>0</v>
      </c>
      <c r="J269" s="7">
        <f>IFERROR(IF(Tabla14[[#This Row],[Oficina]]=$I$7,VLOOKUP(Tabla14[[#This Row],[Llave]],'[7]Shangai (Tomas)'!$A:$F,6,FALSE),VLOOKUP(Tabla14[[#This Row],[Llave]],'[6]RV plan de ventas'!$A:$E,5,FALSE)),0)</f>
        <v>0</v>
      </c>
      <c r="K269" s="8">
        <f>IFERROR(VLOOKUP(Tabla14[[#This Row],[Sector]]&amp;Tabla14[[#This Row],[Oficina]],[8]Ponderación!$A$3:$G$22,7,FALSE),0)</f>
        <v>0.4</v>
      </c>
      <c r="L269" s="7">
        <f>+Tabla14[[#This Row],[ RV Producción mes n+1]]*Tabla14[[#This Row],[% Uti. producción]]</f>
        <v>0</v>
      </c>
      <c r="M269" s="7">
        <f>IFERROR(VLOOKUP(Tabla14[[#This Row],[Material]],'[9]TD Stock'!$B:$C,2,FALSE),0)</f>
        <v>13776</v>
      </c>
      <c r="N269" s="7">
        <f>IFERROR(VLOOKUP(Tabla14[[#This Row],[Material]],'[10]Consolidado planificación'!$B:$C,2,FALSE),0)</f>
        <v>0</v>
      </c>
      <c r="O269" s="7">
        <f>IFERROR(VLOOKUP(Tabla14[[#This Row],[Llave]],[11]Hoja2!$D:$G,4,FALSE),0)</f>
        <v>0</v>
      </c>
      <c r="P269" s="37">
        <f>SUM(Tabla14[[#This Row],[Producción disponible]],Tabla14[[#This Row],[Stock al día]],(Tabla14[[#This Row],[Por producir mes N]]*0.9))-Tabla14[[#This Row],[Producción por despachar mes N]]</f>
        <v>13776</v>
      </c>
      <c r="Q269" s="7">
        <f>IFERROR(VLOOKUP(Tabla14[[#This Row],[Llave]],[9]DELAY!$A:$D,4,FALSE),0)</f>
        <v>9000</v>
      </c>
      <c r="R269" s="9">
        <v>12000</v>
      </c>
      <c r="S269" s="5">
        <f t="shared" si="9"/>
        <v>9000</v>
      </c>
      <c r="T269" s="76">
        <v>0</v>
      </c>
      <c r="U269" s="5">
        <f>+Tabla14[[#This Row],[Atraso a facturar]]+Tabla14[[#This Row],[Ajuste atraso]]</f>
        <v>9000</v>
      </c>
      <c r="V269" s="3">
        <f>+Tabla14[[#This Row],[Total disponible]]-Tabla14[[#This Row],[Facturación atraso]]</f>
        <v>4776</v>
      </c>
      <c r="W269" s="6">
        <f>IFERROR(IF(AND(V269&gt;R269,J269&gt;=R269),ROUNDDOWN((Tabla14[[#This Row],[Producción para venta nueva]])/R269,0)*R269,0),0)</f>
        <v>0</v>
      </c>
      <c r="X269" s="76">
        <v>0</v>
      </c>
      <c r="Y269" s="6">
        <f>IF(Tabla14[[#This Row],[Venta del mes]]&gt;0,Tabla14[[#This Row],[Venta del mes]]+Tabla14[[#This Row],[Ajuste venta nueva]],0)</f>
        <v>0</v>
      </c>
      <c r="Z269" s="6">
        <f>+Tabla14[[#This Row],[Producción para venta nueva]]-Tabla14[[#This Row],[Facturación Venta nueva]]</f>
        <v>4776</v>
      </c>
      <c r="AA269" s="6">
        <f>IF(AND(A269=1,Tabla14[[#This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69" s="6">
        <v>0</v>
      </c>
      <c r="AC269" s="6">
        <f>IF(Tabla14[[#This Row],[Disponible stock sin venta]]&gt;0,Tabla14[[#This Row],[Disponible stock sin venta]]+Tabla14[[#This Row],[Ajuste stock sin venta]],0)</f>
        <v>0</v>
      </c>
      <c r="AD269" s="3">
        <f>IFERROR(VLOOKUP(Tabla14[[#This Row],[Llave]],[12]Hoja1!$A:$D,4,FALSE),0)</f>
        <v>0</v>
      </c>
      <c r="AE26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9000</v>
      </c>
      <c r="AF269" s="3">
        <v>9000</v>
      </c>
      <c r="AG269" s="3">
        <f>+Tabla14[[#This Row],[En puerto a facturar]]</f>
        <v>0</v>
      </c>
      <c r="AH269" s="3">
        <f>+Tabla14[[#This Row],[Facturación atraso]]</f>
        <v>9000</v>
      </c>
      <c r="AI269" s="3">
        <f>+Tabla14[[#This Row],[Plan Irrestricto (DATO)]]-Tabla14[[#This Row],[Puerto ]]-Tabla14[[#This Row],[Atraso]]</f>
        <v>0</v>
      </c>
      <c r="AJ269" s="6">
        <f>IF(Tabla14[[#This Row],[Plan Irrestricto (DATO)]]&gt;0,SUM(Tabla14[[#This Row],[Facturación atraso]],Tabla14[[#This Row],[Facturación Venta nueva]],Tabla14[[#This Row],[Facturación stock]],Tabla14[[#This Row],[En puerto a facturar]]),0)</f>
        <v>9000</v>
      </c>
      <c r="AK269" s="3">
        <f>+Tabla14[[#This Row],[Facturación atraso]]</f>
        <v>9000</v>
      </c>
      <c r="AL269" s="3">
        <f>Tabla14[[#This Row],[Plan Ajustado]]-Tabla14[[#This Row],[ Atraso ajustado]]-Tabla14[[#This Row],[En puerto a facturar]]</f>
        <v>0</v>
      </c>
      <c r="AM269" s="3">
        <v>0</v>
      </c>
      <c r="AN269" s="3" t="s">
        <v>636</v>
      </c>
      <c r="AO269" s="3" t="str">
        <f>IF(Tabla14[[#This Row],[Plan Ajustado]]&gt;Tabla14[[#This Row],[En puerto a facturar]],"Si","No")</f>
        <v>Si</v>
      </c>
      <c r="AP269" s="3">
        <f>IF(AND(Tabla14[[#This Row],[Plan Ajustado]]&gt;0,Tabla14[[#This Row],[Plan Ajustado]]&gt;Tabla14[[#This Row],[En puerto a facturar]]),(Tabla14[[#This Row],[Plan Ajustado]]-Tabla14[[#This Row],[En puerto a facturar]]),0)</f>
        <v>9000</v>
      </c>
      <c r="AQ269" s="3">
        <f>IF(Tabla14[[#This Row],[Necesidad]]&gt;=Tabla14[[#This Row],[Stock al día]],Tabla14[[#This Row],[Stock al día]],Tabla14[[#This Row],[Necesidad]])</f>
        <v>9000</v>
      </c>
      <c r="AR269" s="3">
        <f>+Tabla14[[#This Row],[Necesidad]]-Tabla14[[#This Row],[Stock Plan]]</f>
        <v>0</v>
      </c>
      <c r="AS269" s="155">
        <f>VLOOKUP(Tabla14[[#This Row],[Sector]]&amp;Tabla14[[#This Row],[Oficina]],[8]Ponderación!$A:$H,8,FALSE)</f>
        <v>44817</v>
      </c>
      <c r="AT269" s="30">
        <f>IFERROR(VLOOKUP(Tabla14[[#This Row],[Llave]],'[6]RV plan de ventas'!$A:$F,6,FALSE),0)</f>
        <v>0</v>
      </c>
      <c r="AU269" s="83">
        <f>IFERROR(VLOOKUP(Tabla14[[#This Row],[Llave]],[9]DELAY!$H:$X,17,FALSE),0)</f>
        <v>3.9</v>
      </c>
      <c r="AV26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3.9</v>
      </c>
      <c r="AW269" s="5">
        <f>Tabla14[[#This Row],[Pecio plan]]*Tabla14[[#This Row],[Plan Ajustado]]</f>
        <v>33120</v>
      </c>
      <c r="AX269" s="30">
        <f>IFERROR(VLOOKUP(Tabla14[[#This Row],[Llave]],'[13]Ultimos precios facturados'!$A:$G,7,FALSE),0)</f>
        <v>3.5806491192982453</v>
      </c>
      <c r="AY269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8.9187985212117835E-2</v>
      </c>
      <c r="AZ269" s="30">
        <f>IFERROR(VLOOKUP(Tabla14[[#This Row],[Llave]],Hoja2!B:K,10,FALSE),0)</f>
        <v>3.6</v>
      </c>
      <c r="BA26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3.9</v>
      </c>
      <c r="BB269" s="30">
        <v>3.68</v>
      </c>
      <c r="BC269" s="30">
        <f>IF(Tabla14[[#This Row],[Market]]=0,Tabla14[[#This Row],[Precio Final]],Tabla14[[#This Row],[Market]])</f>
        <v>3.68</v>
      </c>
      <c r="BD269" s="82"/>
      <c r="BE269" s="82" t="str">
        <f>IF(AND(Tabla14[[#This Row],[Atraso a facturar]]&gt;0,Tabla14[[#This Row],[En puerto a facturar]]&gt;0,Tabla14[[#This Row],[Precio Atraso]]=0),"Revisar","OK")</f>
        <v>OK</v>
      </c>
      <c r="BF269" s="82" t="str">
        <f>IF(AND(Tabla14[[#This Row],[Venta del mes]]&gt;0,Tabla14[[#This Row],[Precio venta nueva]]=0),"Revisar","OK")</f>
        <v>OK</v>
      </c>
      <c r="BG269" s="20">
        <f>IFERROR(VLOOKUP(Tabla14[[#This Row],[Llave]],'[5]Consolidación planes'!$A:$M,9,FALSE),0)</f>
        <v>0</v>
      </c>
      <c r="BH269" s="20">
        <f>IFERROR(VLOOKUP(Tabla14[[#This Row],[Llave]],'[5]Consolidación planes'!$A:$M,10,FALSE),0)</f>
        <v>0</v>
      </c>
      <c r="BI269" s="20">
        <f>IFERROR(VLOOKUP(Tabla14[[#This Row],[Llave]],'[5]Consolidación planes'!$A:$M,11,FALSE),0)</f>
        <v>9000</v>
      </c>
      <c r="BJ269" s="20">
        <f>IFERROR(VLOOKUP(Tabla14[[#This Row],[Llave]],'[5]Consolidación planes'!$A:$M,12,FALSE),0)</f>
        <v>12000</v>
      </c>
      <c r="BK269" s="20">
        <f>IFERROR(VLOOKUP(Tabla14[[#This Row],[Llave]],'[5]Consolidación planes'!$A:$M,13,FALSE),0)</f>
        <v>0</v>
      </c>
      <c r="BL269" s="20">
        <f>IFERROR(VLOOKUP(Tabla14[[#This Row],[Llave]],'[13]Base ultimos planes'!$A:$M,13,FALSE),0)</f>
        <v>0</v>
      </c>
      <c r="BM269" s="20">
        <f>IFERROR(VLOOKUP(Tabla14[[#This Row],[Llave]],'[13]Cruce plan irrestricto'!$C:$M,10,FALSE),0)</f>
        <v>24000</v>
      </c>
      <c r="BN269" s="20">
        <f>IFERROR(VLOOKUP(Tabla14[[#This Row],[Llave]],'[13]Cruce plan irrestricto'!$C:$M,11,FALSE),0)</f>
        <v>12000</v>
      </c>
      <c r="BO269" s="80">
        <f>IFERROR(VLOOKUP(Tabla14[[#This Row],[Llave]],'[13]Base ultimos planes'!$O:$AA,8,FALSE),0)</f>
        <v>34512.5</v>
      </c>
      <c r="BP269" s="20">
        <f>IFERROR(VLOOKUP(Tabla14[[#This Row],[Llave]],'[13]Base ultimos planes'!$O:$AA,9,FALSE),0)</f>
        <v>0</v>
      </c>
      <c r="BQ269" s="20">
        <f>IFERROR(VLOOKUP(Tabla14[[#This Row],[Llave]],'[13]Base ultimos planes'!$O:$AA,10,FALSE),0)</f>
        <v>26100</v>
      </c>
      <c r="BR269" s="20">
        <f>IFERROR(VLOOKUP(Tabla14[[#This Row],[Llave]],'[13]Base ultimos planes'!$O:$AA,11,FALSE),0)</f>
        <v>0</v>
      </c>
      <c r="BS269" s="20">
        <f>IFERROR(VLOOKUP(Tabla14[[#This Row],[Llave]],'[13]Base ultimos planes'!$O:$AA,12,FALSE),0)</f>
        <v>0</v>
      </c>
      <c r="BT269" s="20">
        <f>IFERROR(VLOOKUP(Tabla14[[#This Row],[Llave]],'[13]Base ultimos planes'!$O:$AA,13,FALSE),0)</f>
        <v>0</v>
      </c>
      <c r="BU269" s="35"/>
      <c r="BV269" s="20">
        <f>Tabla14[[#This Row],[ RV Producción mes n+1]]-Tabla14[[#This Row],[Producción disponible]]+Tabla14[[#This Row],[Saldo Volumen disponible]]</f>
        <v>4776</v>
      </c>
      <c r="BW269" s="20">
        <f>IFERROR(VLOOKUP(Tabla14[[#This Row],[Llave]],[14]Hoja2!$J:$N,4,FALSE),0)</f>
        <v>0</v>
      </c>
      <c r="BX269" s="20">
        <f>+Tabla14[[#This Row],[Asignación mes n+1]]*Tabla14[[#This Row],[% Uti. producción]]</f>
        <v>0</v>
      </c>
      <c r="BY269" s="20">
        <f>+Tabla14[[#This Row],[Ponderación mes n+1]]+Tabla14[[#This Row],[Saldo mes n-1]]</f>
        <v>4776</v>
      </c>
      <c r="BZ269" s="20">
        <f>+Tabla14[[#This Row],[Asignación mes n+1]]-Tabla14[[#This Row],[Ponderación mes n+1]]</f>
        <v>0</v>
      </c>
      <c r="CA269" s="20">
        <f>IFERROR(VLOOKUP(Tabla14[[#This Row],[Llave]],[14]Hoja2!$J:$N,5,FALSE),0)</f>
        <v>0</v>
      </c>
      <c r="CB269" s="20">
        <f>+Tabla14[[#This Row],[Asignación mes n+2]]*Tabla14[[#This Row],[% Uti. producción]]</f>
        <v>0</v>
      </c>
      <c r="CC269" s="20">
        <f>+Tabla14[[#This Row],[Saldo mes n+2]]+Tabla14[[#This Row],[Ponderación mes n+2]]</f>
        <v>0</v>
      </c>
      <c r="CD269" s="20">
        <f>+Tabla14[[#This Row],[Asignación mes n+2]]-Tabla14[[#This Row],[Ponderación mes n+2]]</f>
        <v>0</v>
      </c>
    </row>
    <row r="270" spans="1:82" ht="16" x14ac:dyDescent="0.2">
      <c r="A270">
        <v>1</v>
      </c>
      <c r="B270" t="str">
        <f>Tabla14[[#This Row],[Oficina]]&amp;Tabla14[[#This Row],[Material]]</f>
        <v>Agro Sudamerica1100408</v>
      </c>
      <c r="C270" t="s">
        <v>587</v>
      </c>
      <c r="D270" t="s">
        <v>17</v>
      </c>
      <c r="E270">
        <v>1100408</v>
      </c>
      <c r="F270" t="s">
        <v>589</v>
      </c>
      <c r="G270" t="s">
        <v>593</v>
      </c>
      <c r="H270" t="s">
        <v>594</v>
      </c>
      <c r="I270" s="7">
        <f>IFERROR(IF(Tabla14[[#This Row],[Oficina]]=$I$7,VLOOKUP(Tabla14[[#This Row],[Material]],'[6]RV Producción'!$Y:$AA,3,FALSE),VLOOKUP(Tabla14[[#This Row],[Llave]],'[6]RV Producción'!$C:$G,5,FALSE)),0)</f>
        <v>0</v>
      </c>
      <c r="J270" s="7">
        <f>IFERROR(IF(Tabla14[[#This Row],[Oficina]]=$I$7,VLOOKUP(Tabla14[[#This Row],[Llave]],'[7]Shangai (Tomas)'!$A:$F,6,FALSE),VLOOKUP(Tabla14[[#This Row],[Llave]],'[6]RV plan de ventas'!$A:$E,5,FALSE)),0)</f>
        <v>0</v>
      </c>
      <c r="K270" s="8">
        <f>IFERROR(VLOOKUP(Tabla14[[#This Row],[Sector]]&amp;Tabla14[[#This Row],[Oficina]],[8]Ponderación!$A$3:$G$22,7,FALSE),0)</f>
        <v>0.4</v>
      </c>
      <c r="L270" s="7">
        <f>+Tabla14[[#This Row],[ RV Producción mes n+1]]*Tabla14[[#This Row],[% Uti. producción]]</f>
        <v>0</v>
      </c>
      <c r="M270" s="7">
        <f>IFERROR(VLOOKUP(Tabla14[[#This Row],[Material]],'[9]TD Stock'!$B:$C,2,FALSE),0)</f>
        <v>20390</v>
      </c>
      <c r="N270" s="7">
        <f>IFERROR(VLOOKUP(Tabla14[[#This Row],[Material]],'[10]Consolidado planificación'!$B:$C,2,FALSE),0)</f>
        <v>0</v>
      </c>
      <c r="O270" s="7">
        <f>IFERROR(VLOOKUP(Tabla14[[#This Row],[Llave]],[11]Hoja2!$D:$G,4,FALSE),0)</f>
        <v>0</v>
      </c>
      <c r="P270" s="37">
        <f>SUM(Tabla14[[#This Row],[Producción disponible]],Tabla14[[#This Row],[Stock al día]],(Tabla14[[#This Row],[Por producir mes N]]*0.9))-Tabla14[[#This Row],[Producción por despachar mes N]]</f>
        <v>20390</v>
      </c>
      <c r="Q270" s="7">
        <f>IFERROR(VLOOKUP(Tabla14[[#This Row],[Llave]],[9]DELAY!$A:$D,4,FALSE),0)</f>
        <v>9000</v>
      </c>
      <c r="R270" s="9">
        <v>6000</v>
      </c>
      <c r="S270" s="5">
        <f t="shared" si="9"/>
        <v>9000</v>
      </c>
      <c r="T270" s="76">
        <v>0</v>
      </c>
      <c r="U270" s="5">
        <f>+Tabla14[[#This Row],[Atraso a facturar]]+Tabla14[[#This Row],[Ajuste atraso]]</f>
        <v>9000</v>
      </c>
      <c r="V270" s="3">
        <f>+Tabla14[[#This Row],[Total disponible]]-Tabla14[[#This Row],[Facturación atraso]]</f>
        <v>11390</v>
      </c>
      <c r="W270" s="6">
        <f>IFERROR(IF(AND(V270&gt;R270,J270&gt;=R270),ROUNDDOWN((Tabla14[[#This Row],[Producción para venta nueva]])/R270,0)*R270,0),0)</f>
        <v>0</v>
      </c>
      <c r="X270" s="76">
        <v>0</v>
      </c>
      <c r="Y270" s="6">
        <f>IF(Tabla14[[#This Row],[Venta del mes]]&gt;0,Tabla14[[#This Row],[Venta del mes]]+Tabla14[[#This Row],[Ajuste venta nueva]],0)</f>
        <v>0</v>
      </c>
      <c r="Z270" s="6">
        <f>+Tabla14[[#This Row],[Producción para venta nueva]]-Tabla14[[#This Row],[Facturación Venta nueva]]</f>
        <v>11390</v>
      </c>
      <c r="AA270" s="6">
        <f>IF(AND(A270=1,Tabla14[[#This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6000</v>
      </c>
      <c r="AB270" s="6">
        <v>-6000</v>
      </c>
      <c r="AC270" s="6">
        <f>IF(Tabla14[[#This Row],[Disponible stock sin venta]]&gt;0,Tabla14[[#This Row],[Disponible stock sin venta]]+Tabla14[[#This Row],[Ajuste stock sin venta]],0)</f>
        <v>0</v>
      </c>
      <c r="AD270" s="3">
        <f>IFERROR(VLOOKUP(Tabla14[[#This Row],[Llave]],[12]Hoja1!$A:$D,4,FALSE),0)</f>
        <v>0</v>
      </c>
      <c r="AE27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15000</v>
      </c>
      <c r="AF270" s="3">
        <v>15000</v>
      </c>
      <c r="AG270" s="3">
        <f>+Tabla14[[#This Row],[En puerto a facturar]]</f>
        <v>0</v>
      </c>
      <c r="AH270" s="3">
        <f>+Tabla14[[#This Row],[Facturación atraso]]</f>
        <v>9000</v>
      </c>
      <c r="AI270" s="3">
        <f>+Tabla14[[#This Row],[Plan Irrestricto (DATO)]]-Tabla14[[#This Row],[Puerto ]]-Tabla14[[#This Row],[Atraso]]</f>
        <v>6000</v>
      </c>
      <c r="AJ270" s="6">
        <f>IF(Tabla14[[#This Row],[Plan Irrestricto (DATO)]]&gt;0,SUM(Tabla14[[#This Row],[Facturación atraso]],Tabla14[[#This Row],[Facturación Venta nueva]],Tabla14[[#This Row],[Facturación stock]],Tabla14[[#This Row],[En puerto a facturar]]),0)</f>
        <v>9000</v>
      </c>
      <c r="AK270" s="3">
        <f>+Tabla14[[#This Row],[Facturación atraso]]</f>
        <v>9000</v>
      </c>
      <c r="AL270" s="3">
        <f>Tabla14[[#This Row],[Plan Ajustado]]-Tabla14[[#This Row],[ Atraso ajustado]]-Tabla14[[#This Row],[En puerto a facturar]]</f>
        <v>0</v>
      </c>
      <c r="AM270" s="3">
        <v>0</v>
      </c>
      <c r="AN270" s="3" t="s">
        <v>636</v>
      </c>
      <c r="AO270" s="3" t="str">
        <f>IF(Tabla14[[#This Row],[Plan Ajustado]]&gt;Tabla14[[#This Row],[En puerto a facturar]],"Si","No")</f>
        <v>Si</v>
      </c>
      <c r="AP270" s="3">
        <f>IF(AND(Tabla14[[#This Row],[Plan Ajustado]]&gt;0,Tabla14[[#This Row],[Plan Ajustado]]&gt;Tabla14[[#This Row],[En puerto a facturar]]),(Tabla14[[#This Row],[Plan Ajustado]]-Tabla14[[#This Row],[En puerto a facturar]]),0)</f>
        <v>9000</v>
      </c>
      <c r="AQ270" s="3">
        <f>IF(Tabla14[[#This Row],[Necesidad]]&gt;=Tabla14[[#This Row],[Stock al día]],Tabla14[[#This Row],[Stock al día]],Tabla14[[#This Row],[Necesidad]])</f>
        <v>9000</v>
      </c>
      <c r="AR270" s="3">
        <f>+Tabla14[[#This Row],[Necesidad]]-Tabla14[[#This Row],[Stock Plan]]</f>
        <v>0</v>
      </c>
      <c r="AS270" s="155">
        <f>VLOOKUP(Tabla14[[#This Row],[Sector]]&amp;Tabla14[[#This Row],[Oficina]],[8]Ponderación!$A:$H,8,FALSE)</f>
        <v>44817</v>
      </c>
      <c r="AT270" s="30">
        <f>IFERROR(VLOOKUP(Tabla14[[#This Row],[Llave]],'[6]RV plan de ventas'!$A:$F,6,FALSE),0)</f>
        <v>0</v>
      </c>
      <c r="AU270" s="83">
        <f>IFERROR(VLOOKUP(Tabla14[[#This Row],[Llave]],[9]DELAY!$H:$X,17,FALSE),0)</f>
        <v>3.9</v>
      </c>
      <c r="AV27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3.9</v>
      </c>
      <c r="AW270" s="5">
        <f>Tabla14[[#This Row],[Pecio plan]]*Tabla14[[#This Row],[Plan Ajustado]]</f>
        <v>33120</v>
      </c>
      <c r="AX270" s="30">
        <f>IFERROR(VLOOKUP(Tabla14[[#This Row],[Llave]],'[13]Ultimos precios facturados'!$A:$G,7,FALSE),0)</f>
        <v>3.4833666740740741</v>
      </c>
      <c r="AY270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0.11960650856162669</v>
      </c>
      <c r="AZ270" s="30">
        <f>IFERROR(VLOOKUP(Tabla14[[#This Row],[Llave]],Hoja2!B:K,10,FALSE),0)</f>
        <v>3.6</v>
      </c>
      <c r="BA27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3.9</v>
      </c>
      <c r="BB270" s="30">
        <v>3.68</v>
      </c>
      <c r="BC270" s="30">
        <f>IF(Tabla14[[#This Row],[Market]]=0,Tabla14[[#This Row],[Precio Final]],Tabla14[[#This Row],[Market]])</f>
        <v>3.68</v>
      </c>
      <c r="BD270" s="82"/>
      <c r="BE270" s="82" t="str">
        <f>IF(AND(Tabla14[[#This Row],[Atraso a facturar]]&gt;0,Tabla14[[#This Row],[En puerto a facturar]]&gt;0,Tabla14[[#This Row],[Precio Atraso]]=0),"Revisar","OK")</f>
        <v>OK</v>
      </c>
      <c r="BF270" s="82" t="str">
        <f>IF(AND(Tabla14[[#This Row],[Venta del mes]]&gt;0,Tabla14[[#This Row],[Precio venta nueva]]=0),"Revisar","OK")</f>
        <v>OK</v>
      </c>
      <c r="BG270" s="20">
        <f>IFERROR(VLOOKUP(Tabla14[[#This Row],[Llave]],'[5]Consolidación planes'!$A:$M,9,FALSE),0)</f>
        <v>0</v>
      </c>
      <c r="BH270" s="20">
        <f>IFERROR(VLOOKUP(Tabla14[[#This Row],[Llave]],'[5]Consolidación planes'!$A:$M,10,FALSE),0)</f>
        <v>0</v>
      </c>
      <c r="BI270" s="20">
        <f>IFERROR(VLOOKUP(Tabla14[[#This Row],[Llave]],'[5]Consolidación planes'!$A:$M,11,FALSE),0)</f>
        <v>9000</v>
      </c>
      <c r="BJ270" s="20">
        <f>IFERROR(VLOOKUP(Tabla14[[#This Row],[Llave]],'[5]Consolidación planes'!$A:$M,12,FALSE),0)</f>
        <v>6000</v>
      </c>
      <c r="BK270" s="20">
        <f>IFERROR(VLOOKUP(Tabla14[[#This Row],[Llave]],'[5]Consolidación planes'!$A:$M,13,FALSE),0)</f>
        <v>0</v>
      </c>
      <c r="BL270" s="20">
        <f>IFERROR(VLOOKUP(Tabla14[[#This Row],[Llave]],'[13]Base ultimos planes'!$A:$M,13,FALSE),0)</f>
        <v>6000</v>
      </c>
      <c r="BM270" s="20">
        <f>IFERROR(VLOOKUP(Tabla14[[#This Row],[Llave]],'[13]Cruce plan irrestricto'!$C:$M,10,FALSE),0)</f>
        <v>12000</v>
      </c>
      <c r="BN270" s="20">
        <f>IFERROR(VLOOKUP(Tabla14[[#This Row],[Llave]],'[13]Cruce plan irrestricto'!$C:$M,11,FALSE),0)</f>
        <v>0</v>
      </c>
      <c r="BO270" s="80">
        <f>IFERROR(VLOOKUP(Tabla14[[#This Row],[Llave]],'[13]Base ultimos planes'!$O:$AA,8,FALSE),0)</f>
        <v>21962.5</v>
      </c>
      <c r="BP270" s="20">
        <f>IFERROR(VLOOKUP(Tabla14[[#This Row],[Llave]],'[13]Base ultimos planes'!$O:$AA,9,FALSE),0)</f>
        <v>0</v>
      </c>
      <c r="BQ270" s="20">
        <f>IFERROR(VLOOKUP(Tabla14[[#This Row],[Llave]],'[13]Base ultimos planes'!$O:$AA,10,FALSE),0)</f>
        <v>26100</v>
      </c>
      <c r="BR270" s="20">
        <f>IFERROR(VLOOKUP(Tabla14[[#This Row],[Llave]],'[13]Base ultimos planes'!$O:$AA,11,FALSE),0)</f>
        <v>0</v>
      </c>
      <c r="BS270" s="20">
        <f>IFERROR(VLOOKUP(Tabla14[[#This Row],[Llave]],'[13]Base ultimos planes'!$O:$AA,12,FALSE),0)</f>
        <v>0</v>
      </c>
      <c r="BT270" s="20">
        <f>IFERROR(VLOOKUP(Tabla14[[#This Row],[Llave]],'[13]Base ultimos planes'!$O:$AA,13,FALSE),0)</f>
        <v>23400</v>
      </c>
      <c r="BU270" s="43" t="s">
        <v>628</v>
      </c>
      <c r="BV270" s="20">
        <f>Tabla14[[#This Row],[ RV Producción mes n+1]]-Tabla14[[#This Row],[Producción disponible]]+Tabla14[[#This Row],[Saldo Volumen disponible]]</f>
        <v>11390</v>
      </c>
      <c r="BW270" s="20">
        <f>IFERROR(VLOOKUP(Tabla14[[#This Row],[Llave]],[14]Hoja2!$J:$N,4,FALSE),0)</f>
        <v>0</v>
      </c>
      <c r="BX270" s="20">
        <f>+Tabla14[[#This Row],[Asignación mes n+1]]*Tabla14[[#This Row],[% Uti. producción]]</f>
        <v>0</v>
      </c>
      <c r="BY270" s="20">
        <f>+Tabla14[[#This Row],[Ponderación mes n+1]]+Tabla14[[#This Row],[Saldo mes n-1]]</f>
        <v>11390</v>
      </c>
      <c r="BZ270" s="20">
        <f>+Tabla14[[#This Row],[Asignación mes n+1]]-Tabla14[[#This Row],[Ponderación mes n+1]]</f>
        <v>0</v>
      </c>
      <c r="CA270" s="20">
        <f>IFERROR(VLOOKUP(Tabla14[[#This Row],[Llave]],[14]Hoja2!$J:$N,5,FALSE),0)</f>
        <v>0</v>
      </c>
      <c r="CB270" s="20">
        <f>+Tabla14[[#This Row],[Asignación mes n+2]]*Tabla14[[#This Row],[% Uti. producción]]</f>
        <v>0</v>
      </c>
      <c r="CC270" s="20">
        <f>+Tabla14[[#This Row],[Saldo mes n+2]]+Tabla14[[#This Row],[Ponderación mes n+2]]</f>
        <v>0</v>
      </c>
      <c r="CD270" s="20">
        <f>+Tabla14[[#This Row],[Asignación mes n+2]]-Tabla14[[#This Row],[Ponderación mes n+2]]</f>
        <v>0</v>
      </c>
    </row>
    <row r="271" spans="1:82" ht="16" x14ac:dyDescent="0.2">
      <c r="A271">
        <v>2</v>
      </c>
      <c r="B271" t="str">
        <f>Tabla14[[#This Row],[Oficina]]&amp;Tabla14[[#This Row],[Material]]</f>
        <v>Agrosuper Shanghai1030419</v>
      </c>
      <c r="C271" t="s">
        <v>204</v>
      </c>
      <c r="D271" t="s">
        <v>140</v>
      </c>
      <c r="E271">
        <v>1030419</v>
      </c>
      <c r="F271" t="s">
        <v>590</v>
      </c>
      <c r="G271" t="s">
        <v>209</v>
      </c>
      <c r="H271" t="s">
        <v>595</v>
      </c>
      <c r="I271" s="7">
        <f>IFERROR(IF(Tabla14[[#This Row],[Oficina]]=$I$7,VLOOKUP(Tabla14[[#This Row],[Material]],'[6]RV Producción'!$Y:$AA,3,FALSE),VLOOKUP(Tabla14[[#This Row],[Llave]],'[6]RV Producción'!$C:$G,5,FALSE)),0)</f>
        <v>10280</v>
      </c>
      <c r="J271" s="7">
        <f>IFERROR(IF(Tabla14[[#This Row],[Oficina]]=$I$7,VLOOKUP(Tabla14[[#This Row],[Llave]],'[7]Shangai (Tomas)'!$A:$F,6,FALSE),VLOOKUP(Tabla14[[#This Row],[Llave]],'[6]RV plan de ventas'!$A:$E,5,FALSE)),0)</f>
        <v>0</v>
      </c>
      <c r="K271" s="8">
        <f>IFERROR(VLOOKUP(Tabla14[[#This Row],[Sector]]&amp;Tabla14[[#This Row],[Oficina]],[8]Ponderación!$A$3:$G$22,7,FALSE),0)</f>
        <v>0.47745072632608576</v>
      </c>
      <c r="L271" s="7">
        <f>+Tabla14[[#This Row],[ RV Producción mes n+1]]*Tabla14[[#This Row],[% Uti. producción]]</f>
        <v>4908.1934666321613</v>
      </c>
      <c r="M271" s="7">
        <f>IFERROR(VLOOKUP(Tabla14[[#This Row],[Material]],'[9]TD Stock'!$B:$C,2,FALSE),0)</f>
        <v>12330</v>
      </c>
      <c r="N271" s="7">
        <f>IFERROR(VLOOKUP(Tabla14[[#This Row],[Material]],'[10]Consolidado planificación'!$B:$C,2,FALSE),0)</f>
        <v>4000</v>
      </c>
      <c r="O271" s="7">
        <f>IFERROR(VLOOKUP(Tabla14[[#This Row],[Llave]],[11]Hoja2!$D:$G,4,FALSE),0)</f>
        <v>0</v>
      </c>
      <c r="P271" s="37">
        <f>SUM(Tabla14[[#This Row],[Producción disponible]],Tabla14[[#This Row],[Stock al día]],(Tabla14[[#This Row],[Por producir mes N]]*0.9))-Tabla14[[#This Row],[Producción por despachar mes N]]</f>
        <v>20838.193466632161</v>
      </c>
      <c r="Q271" s="7">
        <f>IFERROR(VLOOKUP(Tabla14[[#This Row],[Llave]],[9]DELAY!$A:$D,4,FALSE),0)</f>
        <v>24000</v>
      </c>
      <c r="R271" s="9">
        <v>20000</v>
      </c>
      <c r="S271" s="5">
        <f t="shared" si="9"/>
        <v>20000</v>
      </c>
      <c r="T271" s="76">
        <v>0</v>
      </c>
      <c r="U271" s="5">
        <f>+Tabla14[[#This Row],[Atraso a facturar]]+Tabla14[[#This Row],[Ajuste atraso]]</f>
        <v>20000</v>
      </c>
      <c r="V271" s="3">
        <f>+Tabla14[[#This Row],[Total disponible]]-Tabla14[[#This Row],[Facturación atraso]]</f>
        <v>838.19346663216129</v>
      </c>
      <c r="W271" s="6">
        <f>IFERROR(IF(AND(V271&gt;R271,J271&gt;=R271),ROUNDDOWN((Tabla14[[#This Row],[Producción para venta nueva]])/R271,0)*R271,0),0)</f>
        <v>0</v>
      </c>
      <c r="X271" s="76">
        <v>0</v>
      </c>
      <c r="Y271" s="6">
        <f>IF(Tabla14[[#This Row],[Venta del mes]]&gt;0,Tabla14[[#This Row],[Venta del mes]]+Tabla14[[#This Row],[Ajuste venta nueva]],0)</f>
        <v>0</v>
      </c>
      <c r="Z271" s="6">
        <f>+Tabla14[[#This Row],[Producción para venta nueva]]-Tabla14[[#This Row],[Facturación Venta nueva]]</f>
        <v>838.19346663216129</v>
      </c>
      <c r="AA271" s="6">
        <f>IF(AND(A271=1,Tabla14[[#This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1" s="6">
        <v>0</v>
      </c>
      <c r="AC271" s="6">
        <f>IF(Tabla14[[#This Row],[Disponible stock sin venta]]&gt;0,Tabla14[[#This Row],[Disponible stock sin venta]]+Tabla14[[#This Row],[Ajuste stock sin venta]],0)</f>
        <v>0</v>
      </c>
      <c r="AD271" s="3">
        <f>IFERROR(VLOOKUP(Tabla14[[#This Row],[Llave]],[12]Hoja1!$A:$D,4,FALSE),0)</f>
        <v>0</v>
      </c>
      <c r="AE27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20000</v>
      </c>
      <c r="AF271" s="3">
        <v>20000</v>
      </c>
      <c r="AG271" s="3">
        <f>+Tabla14[[#This Row],[En puerto a facturar]]</f>
        <v>0</v>
      </c>
      <c r="AH271" s="3">
        <f>+Tabla14[[#This Row],[Facturación atraso]]</f>
        <v>20000</v>
      </c>
      <c r="AI271" s="3">
        <f>+Tabla14[[#This Row],[Plan Irrestricto (DATO)]]-Tabla14[[#This Row],[Puerto ]]-Tabla14[[#This Row],[Atraso]]</f>
        <v>0</v>
      </c>
      <c r="AJ271" s="6">
        <f>IF(Tabla14[[#This Row],[Plan Irrestricto (DATO)]]&gt;0,SUM(Tabla14[[#This Row],[Facturación atraso]],Tabla14[[#This Row],[Facturación Venta nueva]],Tabla14[[#This Row],[Facturación stock]],Tabla14[[#This Row],[En puerto a facturar]]),0)</f>
        <v>20000</v>
      </c>
      <c r="AK271" s="3">
        <f>+Tabla14[[#This Row],[Facturación atraso]]</f>
        <v>20000</v>
      </c>
      <c r="AL271" s="3">
        <f>Tabla14[[#This Row],[Plan Ajustado]]-Tabla14[[#This Row],[ Atraso ajustado]]-Tabla14[[#This Row],[En puerto a facturar]]</f>
        <v>0</v>
      </c>
      <c r="AM271" s="3">
        <v>0</v>
      </c>
      <c r="AN271" s="3"/>
      <c r="AO271" s="3" t="str">
        <f>IF(Tabla14[[#This Row],[Plan Ajustado]]&gt;Tabla14[[#This Row],[En puerto a facturar]],"Si","No")</f>
        <v>Si</v>
      </c>
      <c r="AP271" s="3">
        <f>IF(AND(Tabla14[[#This Row],[Plan Ajustado]]&gt;0,Tabla14[[#This Row],[Plan Ajustado]]&gt;Tabla14[[#This Row],[En puerto a facturar]]),(Tabla14[[#This Row],[Plan Ajustado]]-Tabla14[[#This Row],[En puerto a facturar]]),0)</f>
        <v>20000</v>
      </c>
      <c r="AQ271" s="3">
        <f>IF(Tabla14[[#This Row],[Necesidad]]&gt;=Tabla14[[#This Row],[Stock al día]],Tabla14[[#This Row],[Stock al día]],Tabla14[[#This Row],[Necesidad]])</f>
        <v>12330</v>
      </c>
      <c r="AR271" s="3">
        <f>+Tabla14[[#This Row],[Necesidad]]-Tabla14[[#This Row],[Stock Plan]]</f>
        <v>7670</v>
      </c>
      <c r="AS271" s="155">
        <f>VLOOKUP(Tabla14[[#This Row],[Sector]]&amp;Tabla14[[#This Row],[Oficina]],[8]Ponderación!$A:$H,8,FALSE)</f>
        <v>44817</v>
      </c>
      <c r="AT271" s="30">
        <f>IFERROR(VLOOKUP(Tabla14[[#This Row],[Llave]],'[6]RV plan de ventas'!$A:$F,6,FALSE),0)</f>
        <v>0</v>
      </c>
      <c r="AU271" s="83">
        <f>IFERROR(VLOOKUP(Tabla14[[#This Row],[Llave]],[9]DELAY!$H:$X,17,FALSE),0)</f>
        <v>1.7749999999999999</v>
      </c>
      <c r="AV27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1.7749999999999999</v>
      </c>
      <c r="AW271" s="5">
        <f>Tabla14[[#This Row],[Pecio plan]]*Tabla14[[#This Row],[Plan Ajustado]]</f>
        <v>35500</v>
      </c>
      <c r="AX271" s="30">
        <f>IFERROR(VLOOKUP(Tabla14[[#This Row],[Llave]],'[13]Ultimos precios facturados'!$A:$G,7,FALSE),0)</f>
        <v>1.7749999999999999</v>
      </c>
      <c r="AY271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</v>
      </c>
      <c r="AZ271" s="30">
        <f>IFERROR(VLOOKUP(Tabla14[[#This Row],[Llave]],Hoja2!B:K,10,FALSE),0)</f>
        <v>1.9</v>
      </c>
      <c r="BA27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1.7749999999999999</v>
      </c>
      <c r="BB271" s="30">
        <v>0</v>
      </c>
      <c r="BC271" s="30">
        <f>IF(Tabla14[[#This Row],[Market]]=0,Tabla14[[#This Row],[Precio Final]],Tabla14[[#This Row],[Market]])</f>
        <v>1.7749999999999999</v>
      </c>
      <c r="BD271" s="82"/>
      <c r="BE271" s="82" t="str">
        <f>IF(AND(Tabla14[[#This Row],[Atraso a facturar]]&gt;0,Tabla14[[#This Row],[En puerto a facturar]]&gt;0,Tabla14[[#This Row],[Precio Atraso]]=0),"Revisar","OK")</f>
        <v>OK</v>
      </c>
      <c r="BF271" s="82" t="str">
        <f>IF(AND(Tabla14[[#This Row],[Venta del mes]]&gt;0,Tabla14[[#This Row],[Precio venta nueva]]=0),"Revisar","OK")</f>
        <v>OK</v>
      </c>
      <c r="BG271" s="20">
        <f>IFERROR(VLOOKUP(Tabla14[[#This Row],[Llave]],'[5]Consolidación planes'!$A:$M,9,FALSE),0)</f>
        <v>0</v>
      </c>
      <c r="BH271" s="20">
        <f>IFERROR(VLOOKUP(Tabla14[[#This Row],[Llave]],'[5]Consolidación planes'!$A:$M,10,FALSE),0)</f>
        <v>0</v>
      </c>
      <c r="BI271" s="20">
        <f>IFERROR(VLOOKUP(Tabla14[[#This Row],[Llave]],'[5]Consolidación planes'!$A:$M,11,FALSE),0)</f>
        <v>0</v>
      </c>
      <c r="BJ271" s="20">
        <f>IFERROR(VLOOKUP(Tabla14[[#This Row],[Llave]],'[5]Consolidación planes'!$A:$M,12,FALSE),0)</f>
        <v>0</v>
      </c>
      <c r="BK271" s="20">
        <f>IFERROR(VLOOKUP(Tabla14[[#This Row],[Llave]],'[5]Consolidación planes'!$A:$M,13,FALSE),0)</f>
        <v>0</v>
      </c>
      <c r="BL271" s="20">
        <f>IFERROR(VLOOKUP(Tabla14[[#This Row],[Llave]],'[13]Base ultimos planes'!$A:$M,13,FALSE),0)</f>
        <v>0</v>
      </c>
      <c r="BM271" s="20">
        <f>IFERROR(VLOOKUP(Tabla14[[#This Row],[Llave]],'[13]Cruce plan irrestricto'!$C:$M,10,FALSE),0)</f>
        <v>0</v>
      </c>
      <c r="BN271" s="20">
        <f>IFERROR(VLOOKUP(Tabla14[[#This Row],[Llave]],'[13]Cruce plan irrestricto'!$C:$M,11,FALSE),0)</f>
        <v>24000</v>
      </c>
      <c r="BO271" s="80">
        <f>IFERROR(VLOOKUP(Tabla14[[#This Row],[Llave]],'[13]Base ultimos planes'!$O:$AA,8,FALSE),0)</f>
        <v>0</v>
      </c>
      <c r="BP271" s="20">
        <f>IFERROR(VLOOKUP(Tabla14[[#This Row],[Llave]],'[13]Base ultimos planes'!$O:$AA,9,FALSE),0)</f>
        <v>0</v>
      </c>
      <c r="BQ271" s="20">
        <f>IFERROR(VLOOKUP(Tabla14[[#This Row],[Llave]],'[13]Base ultimos planes'!$O:$AA,10,FALSE),0)</f>
        <v>0</v>
      </c>
      <c r="BR271" s="20">
        <f>IFERROR(VLOOKUP(Tabla14[[#This Row],[Llave]],'[13]Base ultimos planes'!$O:$AA,11,FALSE),0)</f>
        <v>0</v>
      </c>
      <c r="BS271" s="20">
        <f>IFERROR(VLOOKUP(Tabla14[[#This Row],[Llave]],'[13]Base ultimos planes'!$O:$AA,12,FALSE),0)</f>
        <v>0</v>
      </c>
      <c r="BT271" s="20">
        <f>IFERROR(VLOOKUP(Tabla14[[#This Row],[Llave]],'[13]Base ultimos planes'!$O:$AA,13,FALSE),0)</f>
        <v>0</v>
      </c>
      <c r="BU271" s="35"/>
      <c r="BV271" s="20">
        <f>Tabla14[[#This Row],[ RV Producción mes n+1]]-Tabla14[[#This Row],[Producción disponible]]+Tabla14[[#This Row],[Saldo Volumen disponible]]</f>
        <v>6210</v>
      </c>
      <c r="BW271" s="20">
        <f>IFERROR(VLOOKUP(Tabla14[[#This Row],[Llave]],[14]Hoja2!$J:$N,4,FALSE),0)</f>
        <v>0</v>
      </c>
      <c r="BX271" s="20">
        <f>+Tabla14[[#This Row],[Asignación mes n+1]]*Tabla14[[#This Row],[% Uti. producción]]</f>
        <v>0</v>
      </c>
      <c r="BY271" s="20">
        <f>+Tabla14[[#This Row],[Ponderación mes n+1]]+Tabla14[[#This Row],[Saldo mes n-1]]</f>
        <v>6210</v>
      </c>
      <c r="BZ271" s="20">
        <f>+Tabla14[[#This Row],[Asignación mes n+1]]-Tabla14[[#This Row],[Ponderación mes n+1]]</f>
        <v>0</v>
      </c>
      <c r="CA271" s="20">
        <f>IFERROR(VLOOKUP(Tabla14[[#This Row],[Llave]],[14]Hoja2!$J:$N,5,FALSE),0)</f>
        <v>0</v>
      </c>
      <c r="CB271" s="20">
        <f>+Tabla14[[#This Row],[Asignación mes n+2]]*Tabla14[[#This Row],[% Uti. producción]]</f>
        <v>0</v>
      </c>
      <c r="CC271" s="20">
        <f>+Tabla14[[#This Row],[Saldo mes n+2]]+Tabla14[[#This Row],[Ponderación mes n+2]]</f>
        <v>0</v>
      </c>
      <c r="CD271" s="20">
        <f>+Tabla14[[#This Row],[Asignación mes n+2]]-Tabla14[[#This Row],[Ponderación mes n+2]]</f>
        <v>0</v>
      </c>
    </row>
    <row r="272" spans="1:82" ht="16" x14ac:dyDescent="0.2">
      <c r="A272">
        <v>2</v>
      </c>
      <c r="B272" t="str">
        <f>Tabla14[[#This Row],[Oficina]]&amp;Tabla14[[#This Row],[Material]]</f>
        <v>Agrosuper Shanghai1012424</v>
      </c>
      <c r="C272" t="s">
        <v>227</v>
      </c>
      <c r="D272" t="s">
        <v>140</v>
      </c>
      <c r="E272">
        <v>1012424</v>
      </c>
      <c r="F272" t="s">
        <v>591</v>
      </c>
      <c r="G272" t="s">
        <v>205</v>
      </c>
      <c r="H272" t="s">
        <v>264</v>
      </c>
      <c r="I272" s="7">
        <f>IFERROR(IF(Tabla14[[#This Row],[Oficina]]=$I$7,VLOOKUP(Tabla14[[#This Row],[Material]],'[6]RV Producción'!$Y:$AA,3,FALSE),VLOOKUP(Tabla14[[#This Row],[Llave]],'[6]RV Producción'!$C:$G,5,FALSE)),0)</f>
        <v>0</v>
      </c>
      <c r="J272" s="7">
        <f>IFERROR(IF(Tabla14[[#This Row],[Oficina]]=$I$7,VLOOKUP(Tabla14[[#This Row],[Llave]],'[7]Shangai (Tomas)'!$A:$F,6,FALSE),VLOOKUP(Tabla14[[#This Row],[Llave]],'[6]RV plan de ventas'!$A:$E,5,FALSE)),0)</f>
        <v>0</v>
      </c>
      <c r="K272" s="8">
        <f>IFERROR(VLOOKUP(Tabla14[[#This Row],[Sector]]&amp;Tabla14[[#This Row],[Oficina]],[8]Ponderación!$A$3:$G$22,7,FALSE),0)</f>
        <v>0.47745072632608576</v>
      </c>
      <c r="L272" s="7">
        <f>+Tabla14[[#This Row],[ RV Producción mes n+1]]*Tabla14[[#This Row],[% Uti. producción]]</f>
        <v>0</v>
      </c>
      <c r="M272" s="7">
        <f>IFERROR(VLOOKUP(Tabla14[[#This Row],[Material]],'[9]TD Stock'!$B:$C,2,FALSE),0)</f>
        <v>0</v>
      </c>
      <c r="N272" s="7">
        <f>IFERROR(VLOOKUP(Tabla14[[#This Row],[Material]],'[10]Consolidado planificación'!$B:$C,2,FALSE),0)</f>
        <v>0</v>
      </c>
      <c r="O272" s="7">
        <f>IFERROR(VLOOKUP(Tabla14[[#This Row],[Llave]],[11]Hoja2!$D:$G,4,FALSE),0)</f>
        <v>0</v>
      </c>
      <c r="P272" s="37">
        <f>SUM(Tabla14[[#This Row],[Producción disponible]],Tabla14[[#This Row],[Stock al día]],(Tabla14[[#This Row],[Por producir mes N]]*0.9))-Tabla14[[#This Row],[Producción por despachar mes N]]</f>
        <v>0</v>
      </c>
      <c r="Q272" s="7">
        <f>IFERROR(VLOOKUP(Tabla14[[#This Row],[Llave]],[9]DELAY!$A:$D,4,FALSE),0)</f>
        <v>0</v>
      </c>
      <c r="R272" s="9">
        <v>23000</v>
      </c>
      <c r="S272" s="5">
        <f t="shared" si="9"/>
        <v>0</v>
      </c>
      <c r="T272" s="76">
        <v>0</v>
      </c>
      <c r="U272" s="5">
        <f>+Tabla14[[#This Row],[Atraso a facturar]]+Tabla14[[#This Row],[Ajuste atraso]]</f>
        <v>0</v>
      </c>
      <c r="V272" s="3">
        <f>+Tabla14[[#This Row],[Total disponible]]-Tabla14[[#This Row],[Facturación atraso]]</f>
        <v>0</v>
      </c>
      <c r="W272" s="6">
        <f>IFERROR(IF(AND(V272&gt;R272,J272&gt;=R272),ROUNDDOWN((Tabla14[[#This Row],[Producción para venta nueva]])/R272,0)*R272,0),0)</f>
        <v>0</v>
      </c>
      <c r="X272" s="76">
        <v>0</v>
      </c>
      <c r="Y272" s="6">
        <f>IF(Tabla14[[#This Row],[Venta del mes]]&gt;0,Tabla14[[#This Row],[Venta del mes]]+Tabla14[[#This Row],[Ajuste venta nueva]],0)</f>
        <v>0</v>
      </c>
      <c r="Z272" s="6">
        <f>+Tabla14[[#This Row],[Producción para venta nueva]]-Tabla14[[#This Row],[Facturación Venta nueva]]</f>
        <v>0</v>
      </c>
      <c r="AA272" s="6">
        <f>IF(AND(A272=1,Tabla14[[#This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2" s="6">
        <v>0</v>
      </c>
      <c r="AC272" s="6">
        <f>IF(Tabla14[[#This Row],[Disponible stock sin venta]]&gt;0,Tabla14[[#This Row],[Disponible stock sin venta]]+Tabla14[[#This Row],[Ajuste stock sin venta]],0)</f>
        <v>0</v>
      </c>
      <c r="AD272" s="3">
        <f>IFERROR(VLOOKUP(Tabla14[[#This Row],[Llave]],[12]Hoja1!$A:$D,4,FALSE),0)</f>
        <v>0</v>
      </c>
      <c r="AE27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72" s="3">
        <v>0</v>
      </c>
      <c r="AG272" s="3">
        <f>+Tabla14[[#This Row],[En puerto a facturar]]</f>
        <v>0</v>
      </c>
      <c r="AH272" s="3">
        <f>+Tabla14[[#This Row],[Facturación atraso]]</f>
        <v>0</v>
      </c>
      <c r="AI272" s="3">
        <f>+Tabla14[[#This Row],[Plan Irrestricto (DATO)]]-Tabla14[[#This Row],[Puerto ]]-Tabla14[[#This Row],[Atraso]]</f>
        <v>0</v>
      </c>
      <c r="AJ27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72" s="3">
        <f>+Tabla14[[#This Row],[Facturación atraso]]</f>
        <v>0</v>
      </c>
      <c r="AL272" s="3">
        <f>Tabla14[[#This Row],[Plan Ajustado]]-Tabla14[[#This Row],[ Atraso ajustado]]-Tabla14[[#This Row],[En puerto a facturar]]</f>
        <v>0</v>
      </c>
      <c r="AM272" s="3">
        <v>0</v>
      </c>
      <c r="AN272" s="3"/>
      <c r="AO272" s="3" t="str">
        <f>IF(Tabla14[[#This Row],[Plan Ajustado]]&gt;Tabla14[[#This Row],[En puerto a facturar]],"Si","No")</f>
        <v>No</v>
      </c>
      <c r="AP27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72" s="3">
        <f>IF(Tabla14[[#This Row],[Necesidad]]&gt;=Tabla14[[#This Row],[Stock al día]],Tabla14[[#This Row],[Stock al día]],Tabla14[[#This Row],[Necesidad]])</f>
        <v>0</v>
      </c>
      <c r="AR272" s="3">
        <f>+Tabla14[[#This Row],[Necesidad]]-Tabla14[[#This Row],[Stock Plan]]</f>
        <v>0</v>
      </c>
      <c r="AS272" s="155">
        <f>VLOOKUP(Tabla14[[#This Row],[Sector]]&amp;Tabla14[[#This Row],[Oficina]],[8]Ponderación!$A:$H,8,FALSE)</f>
        <v>44817</v>
      </c>
      <c r="AT272" s="30">
        <f>IFERROR(VLOOKUP(Tabla14[[#This Row],[Llave]],'[6]RV plan de ventas'!$A:$F,6,FALSE),0)</f>
        <v>0</v>
      </c>
      <c r="AU272" s="83">
        <f>IFERROR(VLOOKUP(Tabla14[[#This Row],[Llave]],[9]DELAY!$H:$X,17,FALSE),0)</f>
        <v>0</v>
      </c>
      <c r="AV27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72" s="5">
        <f>Tabla14[[#This Row],[Pecio plan]]*Tabla14[[#This Row],[Plan Ajustado]]</f>
        <v>0</v>
      </c>
      <c r="AX272" s="30">
        <f>IFERROR(VLOOKUP(Tabla14[[#This Row],[Llave]],'[13]Ultimos precios facturados'!$A:$G,7,FALSE),0)</f>
        <v>0</v>
      </c>
      <c r="AY27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72" s="30">
        <f>IFERROR(VLOOKUP(Tabla14[[#This Row],[Llave]],Hoja2!B:K,10,FALSE),0)</f>
        <v>0</v>
      </c>
      <c r="BA27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72" s="30">
        <v>0</v>
      </c>
      <c r="BC272" s="30">
        <f>IF(Tabla14[[#This Row],[Market]]=0,Tabla14[[#This Row],[Precio Final]],Tabla14[[#This Row],[Market]])</f>
        <v>0</v>
      </c>
      <c r="BD272" s="82"/>
      <c r="BE272" s="82" t="str">
        <f>IF(AND(Tabla14[[#This Row],[Atraso a facturar]]&gt;0,Tabla14[[#This Row],[En puerto a facturar]]&gt;0,Tabla14[[#This Row],[Precio Atraso]]=0),"Revisar","OK")</f>
        <v>OK</v>
      </c>
      <c r="BF272" s="82" t="str">
        <f>IF(AND(Tabla14[[#This Row],[Venta del mes]]&gt;0,Tabla14[[#This Row],[Precio venta nueva]]=0),"Revisar","OK")</f>
        <v>OK</v>
      </c>
      <c r="BG272" s="20">
        <f>IFERROR(VLOOKUP(Tabla14[[#This Row],[Llave]],'[5]Consolidación planes'!$A:$M,9,FALSE),0)</f>
        <v>0</v>
      </c>
      <c r="BH272" s="20">
        <f>IFERROR(VLOOKUP(Tabla14[[#This Row],[Llave]],'[5]Consolidación planes'!$A:$M,10,FALSE),0)</f>
        <v>0</v>
      </c>
      <c r="BI272" s="20">
        <f>IFERROR(VLOOKUP(Tabla14[[#This Row],[Llave]],'[5]Consolidación planes'!$A:$M,11,FALSE),0)</f>
        <v>0</v>
      </c>
      <c r="BJ272" s="20">
        <f>IFERROR(VLOOKUP(Tabla14[[#This Row],[Llave]],'[5]Consolidación planes'!$A:$M,12,FALSE),0)</f>
        <v>0</v>
      </c>
      <c r="BK272" s="20">
        <f>IFERROR(VLOOKUP(Tabla14[[#This Row],[Llave]],'[5]Consolidación planes'!$A:$M,13,FALSE),0)</f>
        <v>0</v>
      </c>
      <c r="BL272" s="20">
        <f>IFERROR(VLOOKUP(Tabla14[[#This Row],[Llave]],'[13]Base ultimos planes'!$A:$M,13,FALSE),0)</f>
        <v>0</v>
      </c>
      <c r="BM272" s="20">
        <f>IFERROR(VLOOKUP(Tabla14[[#This Row],[Llave]],'[13]Cruce plan irrestricto'!$C:$M,10,FALSE),0)</f>
        <v>0</v>
      </c>
      <c r="BN272" s="20">
        <f>IFERROR(VLOOKUP(Tabla14[[#This Row],[Llave]],'[13]Cruce plan irrestricto'!$C:$M,11,FALSE),0)</f>
        <v>0</v>
      </c>
      <c r="BO272" s="80">
        <f>IFERROR(VLOOKUP(Tabla14[[#This Row],[Llave]],'[13]Base ultimos planes'!$O:$AA,8,FALSE),0)</f>
        <v>0</v>
      </c>
      <c r="BP272" s="20">
        <f>IFERROR(VLOOKUP(Tabla14[[#This Row],[Llave]],'[13]Base ultimos planes'!$O:$AA,9,FALSE),0)</f>
        <v>0</v>
      </c>
      <c r="BQ272" s="20">
        <f>IFERROR(VLOOKUP(Tabla14[[#This Row],[Llave]],'[13]Base ultimos planes'!$O:$AA,10,FALSE),0)</f>
        <v>0</v>
      </c>
      <c r="BR272" s="20">
        <f>IFERROR(VLOOKUP(Tabla14[[#This Row],[Llave]],'[13]Base ultimos planes'!$O:$AA,11,FALSE),0)</f>
        <v>0</v>
      </c>
      <c r="BS272" s="20">
        <f>IFERROR(VLOOKUP(Tabla14[[#This Row],[Llave]],'[13]Base ultimos planes'!$O:$AA,12,FALSE),0)</f>
        <v>0</v>
      </c>
      <c r="BT272" s="20">
        <f>IFERROR(VLOOKUP(Tabla14[[#This Row],[Llave]],'[13]Base ultimos planes'!$O:$AA,13,FALSE),0)</f>
        <v>0</v>
      </c>
      <c r="BU272" s="35"/>
      <c r="BV272" s="20">
        <f>Tabla14[[#This Row],[ RV Producción mes n+1]]-Tabla14[[#This Row],[Producción disponible]]+Tabla14[[#This Row],[Saldo Volumen disponible]]</f>
        <v>0</v>
      </c>
      <c r="BW272" s="20">
        <f>IFERROR(VLOOKUP(Tabla14[[#This Row],[Llave]],[14]Hoja2!$J:$N,4,FALSE),0)</f>
        <v>0</v>
      </c>
      <c r="BX272" s="20">
        <f>+Tabla14[[#This Row],[Asignación mes n+1]]*Tabla14[[#This Row],[% Uti. producción]]</f>
        <v>0</v>
      </c>
      <c r="BY272" s="20">
        <f>+Tabla14[[#This Row],[Ponderación mes n+1]]+Tabla14[[#This Row],[Saldo mes n-1]]</f>
        <v>0</v>
      </c>
      <c r="BZ272" s="20">
        <f>+Tabla14[[#This Row],[Asignación mes n+1]]-Tabla14[[#This Row],[Ponderación mes n+1]]</f>
        <v>0</v>
      </c>
      <c r="CA272" s="20">
        <f>IFERROR(VLOOKUP(Tabla14[[#This Row],[Llave]],[14]Hoja2!$J:$N,5,FALSE),0)</f>
        <v>0</v>
      </c>
      <c r="CB272" s="20">
        <f>+Tabla14[[#This Row],[Asignación mes n+2]]*Tabla14[[#This Row],[% Uti. producción]]</f>
        <v>0</v>
      </c>
      <c r="CC272" s="20">
        <f>+Tabla14[[#This Row],[Saldo mes n+2]]+Tabla14[[#This Row],[Ponderación mes n+2]]</f>
        <v>0</v>
      </c>
      <c r="CD272" s="20">
        <f>+Tabla14[[#This Row],[Asignación mes n+2]]-Tabla14[[#This Row],[Ponderación mes n+2]]</f>
        <v>0</v>
      </c>
    </row>
    <row r="273" spans="1:82" ht="16" x14ac:dyDescent="0.2">
      <c r="A273">
        <v>2</v>
      </c>
      <c r="B273" t="str">
        <f>Tabla14[[#This Row],[Oficina]]&amp;Tabla14[[#This Row],[Material]]</f>
        <v>Agrosuper Shanghai1012454</v>
      </c>
      <c r="C273" t="s">
        <v>227</v>
      </c>
      <c r="D273" t="s">
        <v>140</v>
      </c>
      <c r="E273">
        <v>1012454</v>
      </c>
      <c r="F273" t="s">
        <v>592</v>
      </c>
      <c r="G273" t="s">
        <v>205</v>
      </c>
      <c r="H273" t="s">
        <v>264</v>
      </c>
      <c r="I273" s="7">
        <f>IFERROR(IF(Tabla14[[#This Row],[Oficina]]=$I$7,VLOOKUP(Tabla14[[#This Row],[Material]],'[6]RV Producción'!$Y:$AA,3,FALSE),VLOOKUP(Tabla14[[#This Row],[Llave]],'[6]RV Producción'!$C:$G,5,FALSE)),0)</f>
        <v>0</v>
      </c>
      <c r="J273" s="7">
        <f>IFERROR(IF(Tabla14[[#This Row],[Oficina]]=$I$7,VLOOKUP(Tabla14[[#This Row],[Llave]],'[7]Shangai (Tomas)'!$A:$F,6,FALSE),VLOOKUP(Tabla14[[#This Row],[Llave]],'[6]RV plan de ventas'!$A:$E,5,FALSE)),0)</f>
        <v>0</v>
      </c>
      <c r="K273" s="8">
        <f>IFERROR(VLOOKUP(Tabla14[[#This Row],[Sector]]&amp;Tabla14[[#This Row],[Oficina]],[8]Ponderación!$A$3:$G$22,7,FALSE),0)</f>
        <v>0.47745072632608576</v>
      </c>
      <c r="L273" s="7">
        <f>+Tabla14[[#This Row],[ RV Producción mes n+1]]*Tabla14[[#This Row],[% Uti. producción]]</f>
        <v>0</v>
      </c>
      <c r="M273" s="7">
        <f>IFERROR(VLOOKUP(Tabla14[[#This Row],[Material]],'[9]TD Stock'!$B:$C,2,FALSE),0)</f>
        <v>0</v>
      </c>
      <c r="N273" s="7">
        <f>IFERROR(VLOOKUP(Tabla14[[#This Row],[Material]],'[10]Consolidado planificación'!$B:$C,2,FALSE),0)</f>
        <v>0</v>
      </c>
      <c r="O273" s="7">
        <f>IFERROR(VLOOKUP(Tabla14[[#This Row],[Llave]],[11]Hoja2!$D:$G,4,FALSE),0)</f>
        <v>0</v>
      </c>
      <c r="P273" s="37">
        <f>SUM(Tabla14[[#This Row],[Producción disponible]],Tabla14[[#This Row],[Stock al día]],(Tabla14[[#This Row],[Por producir mes N]]*0.9))-Tabla14[[#This Row],[Producción por despachar mes N]]</f>
        <v>0</v>
      </c>
      <c r="Q273" s="7">
        <f>IFERROR(VLOOKUP(Tabla14[[#This Row],[Llave]],[9]DELAY!$A:$D,4,FALSE),0)</f>
        <v>0</v>
      </c>
      <c r="R273" s="9">
        <v>23000</v>
      </c>
      <c r="S273" s="5">
        <f t="shared" si="9"/>
        <v>0</v>
      </c>
      <c r="T273" s="76">
        <v>0</v>
      </c>
      <c r="U273" s="5">
        <f>+Tabla14[[#This Row],[Atraso a facturar]]+Tabla14[[#This Row],[Ajuste atraso]]</f>
        <v>0</v>
      </c>
      <c r="V273" s="3">
        <f>+Tabla14[[#This Row],[Total disponible]]-Tabla14[[#This Row],[Facturación atraso]]</f>
        <v>0</v>
      </c>
      <c r="W273" s="6">
        <f>IFERROR(IF(AND(V273&gt;R273,J273&gt;=R273),ROUNDDOWN((Tabla14[[#This Row],[Producción para venta nueva]])/R273,0)*R273,0),0)</f>
        <v>0</v>
      </c>
      <c r="X273" s="76">
        <v>0</v>
      </c>
      <c r="Y273" s="6">
        <f>IF(Tabla14[[#This Row],[Venta del mes]]&gt;0,Tabla14[[#This Row],[Venta del mes]]+Tabla14[[#This Row],[Ajuste venta nueva]],0)</f>
        <v>0</v>
      </c>
      <c r="Z273" s="6">
        <f>+Tabla14[[#This Row],[Producción para venta nueva]]-Tabla14[[#This Row],[Facturación Venta nueva]]</f>
        <v>0</v>
      </c>
      <c r="AA273" s="6">
        <f>IF(AND(A273=1,Tabla14[[#This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3" s="6">
        <v>0</v>
      </c>
      <c r="AC273" s="6">
        <f>IF(Tabla14[[#This Row],[Disponible stock sin venta]]&gt;0,Tabla14[[#This Row],[Disponible stock sin venta]]+Tabla14[[#This Row],[Ajuste stock sin venta]],0)</f>
        <v>0</v>
      </c>
      <c r="AD273" s="3">
        <f>IFERROR(VLOOKUP(Tabla14[[#This Row],[Llave]],[12]Hoja1!$A:$D,4,FALSE),0)</f>
        <v>0</v>
      </c>
      <c r="AE27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73" s="3">
        <v>0</v>
      </c>
      <c r="AG273" s="3">
        <f>+Tabla14[[#This Row],[En puerto a facturar]]</f>
        <v>0</v>
      </c>
      <c r="AH273" s="3">
        <f>+Tabla14[[#This Row],[Facturación atraso]]</f>
        <v>0</v>
      </c>
      <c r="AI273" s="3">
        <f>+Tabla14[[#This Row],[Plan Irrestricto (DATO)]]-Tabla14[[#This Row],[Puerto ]]-Tabla14[[#This Row],[Atraso]]</f>
        <v>0</v>
      </c>
      <c r="AJ27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73" s="3">
        <f>+Tabla14[[#This Row],[Facturación atraso]]</f>
        <v>0</v>
      </c>
      <c r="AL273" s="3">
        <f>Tabla14[[#This Row],[Plan Ajustado]]-Tabla14[[#This Row],[ Atraso ajustado]]-Tabla14[[#This Row],[En puerto a facturar]]</f>
        <v>0</v>
      </c>
      <c r="AM273" s="3">
        <v>0</v>
      </c>
      <c r="AN273" s="3"/>
      <c r="AO273" s="3" t="str">
        <f>IF(Tabla14[[#This Row],[Plan Ajustado]]&gt;Tabla14[[#This Row],[En puerto a facturar]],"Si","No")</f>
        <v>No</v>
      </c>
      <c r="AP27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73" s="3">
        <f>IF(Tabla14[[#This Row],[Necesidad]]&gt;=Tabla14[[#This Row],[Stock al día]],Tabla14[[#This Row],[Stock al día]],Tabla14[[#This Row],[Necesidad]])</f>
        <v>0</v>
      </c>
      <c r="AR273" s="3">
        <f>+Tabla14[[#This Row],[Necesidad]]-Tabla14[[#This Row],[Stock Plan]]</f>
        <v>0</v>
      </c>
      <c r="AS273" s="155">
        <f>VLOOKUP(Tabla14[[#This Row],[Sector]]&amp;Tabla14[[#This Row],[Oficina]],[8]Ponderación!$A:$H,8,FALSE)</f>
        <v>44817</v>
      </c>
      <c r="AT273" s="30">
        <f>IFERROR(VLOOKUP(Tabla14[[#This Row],[Llave]],'[6]RV plan de ventas'!$A:$F,6,FALSE),0)</f>
        <v>0</v>
      </c>
      <c r="AU273" s="83">
        <f>IFERROR(VLOOKUP(Tabla14[[#This Row],[Llave]],[9]DELAY!$H:$X,17,FALSE),0)</f>
        <v>0</v>
      </c>
      <c r="AV27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73" s="5">
        <f>Tabla14[[#This Row],[Pecio plan]]*Tabla14[[#This Row],[Plan Ajustado]]</f>
        <v>0</v>
      </c>
      <c r="AX273" s="30">
        <f>IFERROR(VLOOKUP(Tabla14[[#This Row],[Llave]],'[13]Ultimos precios facturados'!$A:$G,7,FALSE),0)</f>
        <v>0</v>
      </c>
      <c r="AY27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73" s="30">
        <f>IFERROR(VLOOKUP(Tabla14[[#This Row],[Llave]],Hoja2!B:K,10,FALSE),0)</f>
        <v>0</v>
      </c>
      <c r="BA27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73" s="30">
        <v>0</v>
      </c>
      <c r="BC273" s="30">
        <f>IF(Tabla14[[#This Row],[Market]]=0,Tabla14[[#This Row],[Precio Final]],Tabla14[[#This Row],[Market]])</f>
        <v>0</v>
      </c>
      <c r="BD273" s="82"/>
      <c r="BE273" s="82" t="str">
        <f>IF(AND(Tabla14[[#This Row],[Atraso a facturar]]&gt;0,Tabla14[[#This Row],[En puerto a facturar]]&gt;0,Tabla14[[#This Row],[Precio Atraso]]=0),"Revisar","OK")</f>
        <v>OK</v>
      </c>
      <c r="BF273" s="82" t="str">
        <f>IF(AND(Tabla14[[#This Row],[Venta del mes]]&gt;0,Tabla14[[#This Row],[Precio venta nueva]]=0),"Revisar","OK")</f>
        <v>OK</v>
      </c>
      <c r="BG273" s="20">
        <f>IFERROR(VLOOKUP(Tabla14[[#This Row],[Llave]],'[5]Consolidación planes'!$A:$M,9,FALSE),0)</f>
        <v>0</v>
      </c>
      <c r="BH273" s="20">
        <f>IFERROR(VLOOKUP(Tabla14[[#This Row],[Llave]],'[5]Consolidación planes'!$A:$M,10,FALSE),0)</f>
        <v>0</v>
      </c>
      <c r="BI273" s="20">
        <f>IFERROR(VLOOKUP(Tabla14[[#This Row],[Llave]],'[5]Consolidación planes'!$A:$M,11,FALSE),0)</f>
        <v>0</v>
      </c>
      <c r="BJ273" s="20">
        <f>IFERROR(VLOOKUP(Tabla14[[#This Row],[Llave]],'[5]Consolidación planes'!$A:$M,12,FALSE),0)</f>
        <v>0</v>
      </c>
      <c r="BK273" s="20">
        <f>IFERROR(VLOOKUP(Tabla14[[#This Row],[Llave]],'[5]Consolidación planes'!$A:$M,13,FALSE),0)</f>
        <v>0</v>
      </c>
      <c r="BL273" s="20">
        <f>IFERROR(VLOOKUP(Tabla14[[#This Row],[Llave]],'[13]Base ultimos planes'!$A:$M,13,FALSE),0)</f>
        <v>0</v>
      </c>
      <c r="BM273" s="20">
        <f>IFERROR(VLOOKUP(Tabla14[[#This Row],[Llave]],'[13]Cruce plan irrestricto'!$C:$M,10,FALSE),0)</f>
        <v>0</v>
      </c>
      <c r="BN273" s="20">
        <f>IFERROR(VLOOKUP(Tabla14[[#This Row],[Llave]],'[13]Cruce plan irrestricto'!$C:$M,11,FALSE),0)</f>
        <v>0</v>
      </c>
      <c r="BO273" s="80">
        <f>IFERROR(VLOOKUP(Tabla14[[#This Row],[Llave]],'[13]Base ultimos planes'!$O:$AA,8,FALSE),0)</f>
        <v>0</v>
      </c>
      <c r="BP273" s="20">
        <f>IFERROR(VLOOKUP(Tabla14[[#This Row],[Llave]],'[13]Base ultimos planes'!$O:$AA,9,FALSE),0)</f>
        <v>0</v>
      </c>
      <c r="BQ273" s="20">
        <f>IFERROR(VLOOKUP(Tabla14[[#This Row],[Llave]],'[13]Base ultimos planes'!$O:$AA,10,FALSE),0)</f>
        <v>0</v>
      </c>
      <c r="BR273" s="20">
        <f>IFERROR(VLOOKUP(Tabla14[[#This Row],[Llave]],'[13]Base ultimos planes'!$O:$AA,11,FALSE),0)</f>
        <v>0</v>
      </c>
      <c r="BS273" s="20">
        <f>IFERROR(VLOOKUP(Tabla14[[#This Row],[Llave]],'[13]Base ultimos planes'!$O:$AA,12,FALSE),0)</f>
        <v>0</v>
      </c>
      <c r="BT273" s="20">
        <f>IFERROR(VLOOKUP(Tabla14[[#This Row],[Llave]],'[13]Base ultimos planes'!$O:$AA,13,FALSE),0)</f>
        <v>0</v>
      </c>
      <c r="BU273" s="35"/>
      <c r="BV273" s="20">
        <f>Tabla14[[#This Row],[ RV Producción mes n+1]]-Tabla14[[#This Row],[Producción disponible]]+Tabla14[[#This Row],[Saldo Volumen disponible]]</f>
        <v>0</v>
      </c>
      <c r="BW273" s="20">
        <f>IFERROR(VLOOKUP(Tabla14[[#This Row],[Llave]],[14]Hoja2!$J:$N,4,FALSE),0)</f>
        <v>0</v>
      </c>
      <c r="BX273" s="20">
        <f>+Tabla14[[#This Row],[Asignación mes n+1]]*Tabla14[[#This Row],[% Uti. producción]]</f>
        <v>0</v>
      </c>
      <c r="BY273" s="20">
        <f>+Tabla14[[#This Row],[Ponderación mes n+1]]+Tabla14[[#This Row],[Saldo mes n-1]]</f>
        <v>0</v>
      </c>
      <c r="BZ273" s="20">
        <f>+Tabla14[[#This Row],[Asignación mes n+1]]-Tabla14[[#This Row],[Ponderación mes n+1]]</f>
        <v>0</v>
      </c>
      <c r="CA273" s="20">
        <f>IFERROR(VLOOKUP(Tabla14[[#This Row],[Llave]],[14]Hoja2!$J:$N,5,FALSE),0)</f>
        <v>0</v>
      </c>
      <c r="CB273" s="20">
        <f>+Tabla14[[#This Row],[Asignación mes n+2]]*Tabla14[[#This Row],[% Uti. producción]]</f>
        <v>0</v>
      </c>
      <c r="CC273" s="20">
        <f>+Tabla14[[#This Row],[Saldo mes n+2]]+Tabla14[[#This Row],[Ponderación mes n+2]]</f>
        <v>0</v>
      </c>
      <c r="CD273" s="20">
        <f>+Tabla14[[#This Row],[Asignación mes n+2]]-Tabla14[[#This Row],[Ponderación mes n+2]]</f>
        <v>0</v>
      </c>
    </row>
    <row r="274" spans="1:82" ht="16" x14ac:dyDescent="0.2">
      <c r="A274">
        <v>1</v>
      </c>
      <c r="B274" t="str">
        <f>Tabla14[[#This Row],[Oficina]]&amp;Tabla14[[#This Row],[Material]]</f>
        <v>Agro Sudamerica1021005</v>
      </c>
      <c r="C274" t="s">
        <v>6</v>
      </c>
      <c r="D274" t="s">
        <v>17</v>
      </c>
      <c r="E274">
        <v>1021005</v>
      </c>
      <c r="F274" t="s">
        <v>596</v>
      </c>
      <c r="G274" t="s">
        <v>53</v>
      </c>
      <c r="H274" t="s">
        <v>54</v>
      </c>
      <c r="I274" s="7">
        <f>IFERROR(IF(Tabla14[[#This Row],[Oficina]]=$I$7,VLOOKUP(Tabla14[[#This Row],[Material]],'[6]RV Producción'!$Y:$AA,3,FALSE),VLOOKUP(Tabla14[[#This Row],[Llave]],'[6]RV Producción'!$C:$G,5,FALSE)),0)</f>
        <v>0</v>
      </c>
      <c r="J274" s="7">
        <f>IFERROR(IF(Tabla14[[#This Row],[Oficina]]=$I$7,VLOOKUP(Tabla14[[#This Row],[Llave]],'[7]Shangai (Tomas)'!$A:$F,6,FALSE),VLOOKUP(Tabla14[[#This Row],[Llave]],'[6]RV plan de ventas'!$A:$E,5,FALSE)),0)</f>
        <v>0</v>
      </c>
      <c r="K274" s="8">
        <f>IFERROR(VLOOKUP(Tabla14[[#This Row],[Sector]]&amp;Tabla14[[#This Row],[Oficina]],[8]Ponderación!$A$3:$G$22,7,FALSE),0)</f>
        <v>0.3545854356400317</v>
      </c>
      <c r="L274" s="7">
        <f>+Tabla14[[#This Row],[ RV Producción mes n+1]]*Tabla14[[#This Row],[% Uti. producción]]</f>
        <v>0</v>
      </c>
      <c r="M274" s="7">
        <f>IFERROR(VLOOKUP(Tabla14[[#This Row],[Material]],'[9]TD Stock'!$B:$C,2,FALSE),0)</f>
        <v>0</v>
      </c>
      <c r="N274" s="7">
        <f>IFERROR(VLOOKUP(Tabla14[[#This Row],[Material]],'[10]Consolidado planificación'!$B:$C,2,FALSE),0)</f>
        <v>0</v>
      </c>
      <c r="O274" s="7">
        <f>IFERROR(VLOOKUP(Tabla14[[#This Row],[Llave]],[11]Hoja2!$D:$G,4,FALSE),0)</f>
        <v>0</v>
      </c>
      <c r="P274" s="37">
        <f>SUM(Tabla14[[#This Row],[Producción disponible]],Tabla14[[#This Row],[Stock al día]],(Tabla14[[#This Row],[Por producir mes N]]*0.9))-Tabla14[[#This Row],[Producción por despachar mes N]]</f>
        <v>0</v>
      </c>
      <c r="Q274" s="7">
        <f>IFERROR(VLOOKUP(Tabla14[[#This Row],[Llave]],[9]DELAY!$A:$D,4,FALSE),0)</f>
        <v>0</v>
      </c>
      <c r="R274" s="9">
        <v>23000</v>
      </c>
      <c r="S274" s="5">
        <f t="shared" si="9"/>
        <v>0</v>
      </c>
      <c r="T274" s="76">
        <v>0</v>
      </c>
      <c r="U274" s="5">
        <f>+Tabla14[[#This Row],[Atraso a facturar]]+Tabla14[[#This Row],[Ajuste atraso]]</f>
        <v>0</v>
      </c>
      <c r="V274" s="3">
        <f>+Tabla14[[#This Row],[Total disponible]]-Tabla14[[#This Row],[Facturación atraso]]</f>
        <v>0</v>
      </c>
      <c r="W274" s="6">
        <f>IFERROR(IF(AND(V274&gt;R274,J274&gt;=R274),ROUNDDOWN((Tabla14[[#This Row],[Producción para venta nueva]])/R274,0)*R274,0),0)</f>
        <v>0</v>
      </c>
      <c r="X274" s="76">
        <v>0</v>
      </c>
      <c r="Y274" s="6">
        <f>IF(Tabla14[[#This Row],[Venta del mes]]&gt;0,Tabla14[[#This Row],[Venta del mes]]+Tabla14[[#This Row],[Ajuste venta nueva]],0)</f>
        <v>0</v>
      </c>
      <c r="Z274" s="6">
        <f>+Tabla14[[#This Row],[Producción para venta nueva]]-Tabla14[[#This Row],[Facturación Venta nueva]]</f>
        <v>0</v>
      </c>
      <c r="AA274" s="6">
        <f>IF(AND(A274=1,Tabla14[[#This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4" s="6">
        <v>0</v>
      </c>
      <c r="AC274" s="6">
        <f>IF(Tabla14[[#This Row],[Disponible stock sin venta]]&gt;0,Tabla14[[#This Row],[Disponible stock sin venta]]+Tabla14[[#This Row],[Ajuste stock sin venta]],0)</f>
        <v>0</v>
      </c>
      <c r="AD274" s="3">
        <f>IFERROR(VLOOKUP(Tabla14[[#This Row],[Llave]],[12]Hoja1!$A:$D,4,FALSE),0)</f>
        <v>0</v>
      </c>
      <c r="AE274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74" s="3" t="b">
        <v>0</v>
      </c>
      <c r="AG274" s="3">
        <f>+Tabla14[[#This Row],[En puerto a facturar]]</f>
        <v>0</v>
      </c>
      <c r="AH274" s="3">
        <f>+Tabla14[[#This Row],[Facturación atraso]]</f>
        <v>0</v>
      </c>
      <c r="AI274" s="3">
        <f>+Tabla14[[#This Row],[Plan Irrestricto (DATO)]]-Tabla14[[#This Row],[Puerto ]]-Tabla14[[#This Row],[Atraso]]</f>
        <v>0</v>
      </c>
      <c r="AJ27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74" s="3">
        <f>+Tabla14[[#This Row],[Facturación atraso]]</f>
        <v>0</v>
      </c>
      <c r="AL274" s="3">
        <f>Tabla14[[#This Row],[Plan Ajustado]]-Tabla14[[#This Row],[ Atraso ajustado]]-Tabla14[[#This Row],[En puerto a facturar]]</f>
        <v>0</v>
      </c>
      <c r="AM274" s="3">
        <v>0</v>
      </c>
      <c r="AN274" s="3" t="e">
        <v>#REF!</v>
      </c>
      <c r="AO274" s="3" t="str">
        <f>IF(Tabla14[[#This Row],[Plan Ajustado]]&gt;Tabla14[[#This Row],[En puerto a facturar]],"Si","No")</f>
        <v>No</v>
      </c>
      <c r="AP27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74" s="3">
        <f>IF(Tabla14[[#This Row],[Necesidad]]&gt;=Tabla14[[#This Row],[Stock al día]],Tabla14[[#This Row],[Stock al día]],Tabla14[[#This Row],[Necesidad]])</f>
        <v>0</v>
      </c>
      <c r="AR274" s="3">
        <f>+Tabla14[[#This Row],[Necesidad]]-Tabla14[[#This Row],[Stock Plan]]</f>
        <v>0</v>
      </c>
      <c r="AS274" s="155">
        <f>VLOOKUP(Tabla14[[#This Row],[Sector]]&amp;Tabla14[[#This Row],[Oficina]],[8]Ponderación!$A:$H,8,FALSE)</f>
        <v>44813</v>
      </c>
      <c r="AT274" s="30">
        <f>IFERROR(VLOOKUP(Tabla14[[#This Row],[Llave]],'[6]RV plan de ventas'!$A:$F,6,FALSE),0)</f>
        <v>0</v>
      </c>
      <c r="AU274" s="83">
        <f>IFERROR(VLOOKUP(Tabla14[[#This Row],[Llave]],[9]DELAY!$H:$X,17,FALSE),0)</f>
        <v>0</v>
      </c>
      <c r="AV27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74" s="5">
        <f>Tabla14[[#This Row],[Pecio plan]]*Tabla14[[#This Row],[Plan Ajustado]]</f>
        <v>0</v>
      </c>
      <c r="AX274" s="30">
        <f>IFERROR(VLOOKUP(Tabla14[[#This Row],[Llave]],'[13]Ultimos precios facturados'!$A:$G,7,FALSE),0)</f>
        <v>0</v>
      </c>
      <c r="AY27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74" s="30">
        <f>IFERROR(VLOOKUP(Tabla14[[#This Row],[Llave]],Hoja2!B:K,10,FALSE),0)</f>
        <v>0</v>
      </c>
      <c r="BA27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74" s="30">
        <v>0</v>
      </c>
      <c r="BC274" s="30">
        <f>IF(Tabla14[[#This Row],[Market]]=0,Tabla14[[#This Row],[Precio Final]],Tabla14[[#This Row],[Market]])</f>
        <v>0</v>
      </c>
      <c r="BD274" s="82"/>
      <c r="BE274" s="82" t="str">
        <f>IF(AND(Tabla14[[#This Row],[Atraso a facturar]]&gt;0,Tabla14[[#This Row],[En puerto a facturar]]&gt;0,Tabla14[[#This Row],[Precio Atraso]]=0),"Revisar","OK")</f>
        <v>OK</v>
      </c>
      <c r="BF274" s="82" t="str">
        <f>IF(AND(Tabla14[[#This Row],[Venta del mes]]&gt;0,Tabla14[[#This Row],[Precio venta nueva]]=0),"Revisar","OK")</f>
        <v>OK</v>
      </c>
      <c r="BG274" s="20">
        <f>IFERROR(VLOOKUP(Tabla14[[#This Row],[Llave]],'[5]Consolidación planes'!$A:$M,9,FALSE),0)</f>
        <v>0</v>
      </c>
      <c r="BH274" s="20">
        <f>IFERROR(VLOOKUP(Tabla14[[#This Row],[Llave]],'[5]Consolidación planes'!$A:$M,10,FALSE),0)</f>
        <v>0</v>
      </c>
      <c r="BI274" s="20">
        <f>IFERROR(VLOOKUP(Tabla14[[#This Row],[Llave]],'[5]Consolidación planes'!$A:$M,11,FALSE),0)</f>
        <v>0</v>
      </c>
      <c r="BJ274" s="20">
        <f>IFERROR(VLOOKUP(Tabla14[[#This Row],[Llave]],'[5]Consolidación planes'!$A:$M,12,FALSE),0)</f>
        <v>0</v>
      </c>
      <c r="BK274" s="20">
        <f>IFERROR(VLOOKUP(Tabla14[[#This Row],[Llave]],'[5]Consolidación planes'!$A:$M,13,FALSE),0)</f>
        <v>0</v>
      </c>
      <c r="BL274" s="20">
        <f>IFERROR(VLOOKUP(Tabla14[[#This Row],[Llave]],'[13]Base ultimos planes'!$A:$M,13,FALSE),0)</f>
        <v>0</v>
      </c>
      <c r="BM274" s="20">
        <f>IFERROR(VLOOKUP(Tabla14[[#This Row],[Llave]],'[13]Cruce plan irrestricto'!$C:$M,10,FALSE),0)</f>
        <v>0</v>
      </c>
      <c r="BN274" s="20">
        <f>IFERROR(VLOOKUP(Tabla14[[#This Row],[Llave]],'[13]Cruce plan irrestricto'!$C:$M,11,FALSE),0)</f>
        <v>0</v>
      </c>
      <c r="BO274" s="80">
        <f>IFERROR(VLOOKUP(Tabla14[[#This Row],[Llave]],'[13]Base ultimos planes'!$O:$AA,8,FALSE),0)</f>
        <v>0</v>
      </c>
      <c r="BP274" s="20">
        <f>IFERROR(VLOOKUP(Tabla14[[#This Row],[Llave]],'[13]Base ultimos planes'!$O:$AA,9,FALSE),0)</f>
        <v>0</v>
      </c>
      <c r="BQ274" s="20">
        <f>IFERROR(VLOOKUP(Tabla14[[#This Row],[Llave]],'[13]Base ultimos planes'!$O:$AA,10,FALSE),0)</f>
        <v>0</v>
      </c>
      <c r="BR274" s="20">
        <f>IFERROR(VLOOKUP(Tabla14[[#This Row],[Llave]],'[13]Base ultimos planes'!$O:$AA,11,FALSE),0)</f>
        <v>0</v>
      </c>
      <c r="BS274" s="20">
        <f>IFERROR(VLOOKUP(Tabla14[[#This Row],[Llave]],'[13]Base ultimos planes'!$O:$AA,12,FALSE),0)</f>
        <v>0</v>
      </c>
      <c r="BT274" s="20">
        <f>IFERROR(VLOOKUP(Tabla14[[#This Row],[Llave]],'[13]Base ultimos planes'!$O:$AA,13,FALSE),0)</f>
        <v>0</v>
      </c>
      <c r="BU274" s="35"/>
      <c r="BV274" s="20">
        <f>Tabla14[[#This Row],[ RV Producción mes n+1]]-Tabla14[[#This Row],[Producción disponible]]+Tabla14[[#This Row],[Saldo Volumen disponible]]</f>
        <v>0</v>
      </c>
      <c r="BW274" s="20">
        <f>IFERROR(VLOOKUP(Tabla14[[#This Row],[Llave]],[14]Hoja2!$J:$N,4,FALSE),0)</f>
        <v>0</v>
      </c>
      <c r="BX274" s="20">
        <f>+Tabla14[[#This Row],[Asignación mes n+1]]*Tabla14[[#This Row],[% Uti. producción]]</f>
        <v>0</v>
      </c>
      <c r="BY274" s="20">
        <f>+Tabla14[[#This Row],[Ponderación mes n+1]]+Tabla14[[#This Row],[Saldo mes n-1]]</f>
        <v>0</v>
      </c>
      <c r="BZ274" s="20">
        <f>+Tabla14[[#This Row],[Asignación mes n+1]]-Tabla14[[#This Row],[Ponderación mes n+1]]</f>
        <v>0</v>
      </c>
      <c r="CA274" s="20">
        <f>IFERROR(VLOOKUP(Tabla14[[#This Row],[Llave]],[14]Hoja2!$J:$N,5,FALSE),0)</f>
        <v>0</v>
      </c>
      <c r="CB274" s="20">
        <f>+Tabla14[[#This Row],[Asignación mes n+2]]*Tabla14[[#This Row],[% Uti. producción]]</f>
        <v>0</v>
      </c>
      <c r="CC274" s="20">
        <f>+Tabla14[[#This Row],[Saldo mes n+2]]+Tabla14[[#This Row],[Ponderación mes n+2]]</f>
        <v>0</v>
      </c>
      <c r="CD274" s="20">
        <f>+Tabla14[[#This Row],[Asignación mes n+2]]-Tabla14[[#This Row],[Ponderación mes n+2]]</f>
        <v>0</v>
      </c>
    </row>
    <row r="275" spans="1:82" ht="16" x14ac:dyDescent="0.2">
      <c r="A275">
        <v>1</v>
      </c>
      <c r="B275" t="str">
        <f>Tabla14[[#This Row],[Oficina]]&amp;Tabla14[[#This Row],[Material]]</f>
        <v>Agro Sudamerica1022102</v>
      </c>
      <c r="C275" t="s">
        <v>6</v>
      </c>
      <c r="D275" t="s">
        <v>17</v>
      </c>
      <c r="E275">
        <v>1022102</v>
      </c>
      <c r="F275" t="s">
        <v>597</v>
      </c>
      <c r="G275" t="s">
        <v>25</v>
      </c>
      <c r="H275" t="s">
        <v>26</v>
      </c>
      <c r="I275" s="7">
        <f>IFERROR(IF(Tabla14[[#This Row],[Oficina]]=$I$7,VLOOKUP(Tabla14[[#This Row],[Material]],'[6]RV Producción'!$Y:$AA,3,FALSE),VLOOKUP(Tabla14[[#This Row],[Llave]],'[6]RV Producción'!$C:$G,5,FALSE)),0)</f>
        <v>0</v>
      </c>
      <c r="J275" s="7">
        <f>IFERROR(IF(Tabla14[[#This Row],[Oficina]]=$I$7,VLOOKUP(Tabla14[[#This Row],[Llave]],'[7]Shangai (Tomas)'!$A:$F,6,FALSE),VLOOKUP(Tabla14[[#This Row],[Llave]],'[6]RV plan de ventas'!$A:$E,5,FALSE)),0)</f>
        <v>0</v>
      </c>
      <c r="K275" s="8">
        <f>IFERROR(VLOOKUP(Tabla14[[#This Row],[Sector]]&amp;Tabla14[[#This Row],[Oficina]],[8]Ponderación!$A$3:$G$22,7,FALSE),0)</f>
        <v>0.3545854356400317</v>
      </c>
      <c r="L275" s="7">
        <f>+Tabla14[[#This Row],[ RV Producción mes n+1]]*Tabla14[[#This Row],[% Uti. producción]]</f>
        <v>0</v>
      </c>
      <c r="M275" s="7">
        <f>IFERROR(VLOOKUP(Tabla14[[#This Row],[Material]],'[9]TD Stock'!$B:$C,2,FALSE),0)</f>
        <v>0</v>
      </c>
      <c r="N275" s="7">
        <f>IFERROR(VLOOKUP(Tabla14[[#This Row],[Material]],'[10]Consolidado planificación'!$B:$C,2,FALSE),0)</f>
        <v>0</v>
      </c>
      <c r="O275" s="7">
        <f>IFERROR(VLOOKUP(Tabla14[[#This Row],[Llave]],[11]Hoja2!$D:$G,4,FALSE),0)</f>
        <v>0</v>
      </c>
      <c r="P275" s="37">
        <f>SUM(Tabla14[[#This Row],[Producción disponible]],Tabla14[[#This Row],[Stock al día]],(Tabla14[[#This Row],[Por producir mes N]]*0.9))-Tabla14[[#This Row],[Producción por despachar mes N]]</f>
        <v>0</v>
      </c>
      <c r="Q275" s="7">
        <f>IFERROR(VLOOKUP(Tabla14[[#This Row],[Llave]],[9]DELAY!$A:$D,4,FALSE),0)</f>
        <v>0</v>
      </c>
      <c r="R275" s="9">
        <v>0</v>
      </c>
      <c r="S275" s="5">
        <f t="shared" si="9"/>
        <v>0</v>
      </c>
      <c r="T275" s="76">
        <v>0</v>
      </c>
      <c r="U275" s="5">
        <f>+Tabla14[[#This Row],[Atraso a facturar]]+Tabla14[[#This Row],[Ajuste atraso]]</f>
        <v>0</v>
      </c>
      <c r="V275" s="3">
        <f>+Tabla14[[#This Row],[Total disponible]]-Tabla14[[#This Row],[Facturación atraso]]</f>
        <v>0</v>
      </c>
      <c r="W275" s="6">
        <f>IFERROR(IF(AND(V275&gt;R275,J275&gt;=R275),ROUNDDOWN((Tabla14[[#This Row],[Producción para venta nueva]])/R275,0)*R275,0),0)</f>
        <v>0</v>
      </c>
      <c r="X275" s="76">
        <v>0</v>
      </c>
      <c r="Y275" s="6">
        <f>IF(Tabla14[[#This Row],[Venta del mes]]&gt;0,Tabla14[[#This Row],[Venta del mes]]+Tabla14[[#This Row],[Ajuste venta nueva]],0)</f>
        <v>0</v>
      </c>
      <c r="Z275" s="6">
        <f>+Tabla14[[#This Row],[Producción para venta nueva]]-Tabla14[[#This Row],[Facturación Venta nueva]]</f>
        <v>0</v>
      </c>
      <c r="AA275" s="6">
        <f>IF(AND(A275=1,Tabla14[[#This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5" s="6">
        <v>0</v>
      </c>
      <c r="AC275" s="6">
        <f>IF(Tabla14[[#This Row],[Disponible stock sin venta]]&gt;0,Tabla14[[#This Row],[Disponible stock sin venta]]+Tabla14[[#This Row],[Ajuste stock sin venta]],0)</f>
        <v>0</v>
      </c>
      <c r="AD275" s="3">
        <f>IFERROR(VLOOKUP(Tabla14[[#This Row],[Llave]],[12]Hoja1!$A:$D,4,FALSE),0)</f>
        <v>0</v>
      </c>
      <c r="AE275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75" s="3" t="b">
        <v>0</v>
      </c>
      <c r="AG275" s="3">
        <f>+Tabla14[[#This Row],[En puerto a facturar]]</f>
        <v>0</v>
      </c>
      <c r="AH275" s="3">
        <f>+Tabla14[[#This Row],[Facturación atraso]]</f>
        <v>0</v>
      </c>
      <c r="AI275" s="3">
        <f>+Tabla14[[#This Row],[Plan Irrestricto (DATO)]]-Tabla14[[#This Row],[Puerto ]]-Tabla14[[#This Row],[Atraso]]</f>
        <v>0</v>
      </c>
      <c r="AJ27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75" s="3">
        <f>+Tabla14[[#This Row],[Facturación atraso]]</f>
        <v>0</v>
      </c>
      <c r="AL275" s="3">
        <f>Tabla14[[#This Row],[Plan Ajustado]]-Tabla14[[#This Row],[ Atraso ajustado]]-Tabla14[[#This Row],[En puerto a facturar]]</f>
        <v>0</v>
      </c>
      <c r="AM275" s="3">
        <v>0</v>
      </c>
      <c r="AN275" s="3" t="e">
        <v>#REF!</v>
      </c>
      <c r="AO275" s="3" t="str">
        <f>IF(Tabla14[[#This Row],[Plan Ajustado]]&gt;Tabla14[[#This Row],[En puerto a facturar]],"Si","No")</f>
        <v>No</v>
      </c>
      <c r="AP27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75" s="3">
        <f>IF(Tabla14[[#This Row],[Necesidad]]&gt;=Tabla14[[#This Row],[Stock al día]],Tabla14[[#This Row],[Stock al día]],Tabla14[[#This Row],[Necesidad]])</f>
        <v>0</v>
      </c>
      <c r="AR275" s="3">
        <f>+Tabla14[[#This Row],[Necesidad]]-Tabla14[[#This Row],[Stock Plan]]</f>
        <v>0</v>
      </c>
      <c r="AS275" s="155">
        <f>VLOOKUP(Tabla14[[#This Row],[Sector]]&amp;Tabla14[[#This Row],[Oficina]],[8]Ponderación!$A:$H,8,FALSE)</f>
        <v>44813</v>
      </c>
      <c r="AT275" s="30">
        <f>IFERROR(VLOOKUP(Tabla14[[#This Row],[Llave]],'[6]RV plan de ventas'!$A:$F,6,FALSE),0)</f>
        <v>0</v>
      </c>
      <c r="AU275" s="83">
        <f>IFERROR(VLOOKUP(Tabla14[[#This Row],[Llave]],[9]DELAY!$H:$X,17,FALSE),0)</f>
        <v>0</v>
      </c>
      <c r="AV27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75" s="5">
        <f>Tabla14[[#This Row],[Pecio plan]]*Tabla14[[#This Row],[Plan Ajustado]]</f>
        <v>0</v>
      </c>
      <c r="AX275" s="30">
        <f>IFERROR(VLOOKUP(Tabla14[[#This Row],[Llave]],'[13]Ultimos precios facturados'!$A:$G,7,FALSE),0)</f>
        <v>0</v>
      </c>
      <c r="AY27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75" s="30">
        <f>IFERROR(VLOOKUP(Tabla14[[#This Row],[Llave]],Hoja2!B:K,10,FALSE),0)</f>
        <v>0</v>
      </c>
      <c r="BA27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75" s="30">
        <v>0</v>
      </c>
      <c r="BC275" s="30">
        <f>IF(Tabla14[[#This Row],[Market]]=0,Tabla14[[#This Row],[Precio Final]],Tabla14[[#This Row],[Market]])</f>
        <v>0</v>
      </c>
      <c r="BD275" s="82"/>
      <c r="BE275" s="82" t="str">
        <f>IF(AND(Tabla14[[#This Row],[Atraso a facturar]]&gt;0,Tabla14[[#This Row],[En puerto a facturar]]&gt;0,Tabla14[[#This Row],[Precio Atraso]]=0),"Revisar","OK")</f>
        <v>OK</v>
      </c>
      <c r="BF275" s="82" t="str">
        <f>IF(AND(Tabla14[[#This Row],[Venta del mes]]&gt;0,Tabla14[[#This Row],[Precio venta nueva]]=0),"Revisar","OK")</f>
        <v>OK</v>
      </c>
      <c r="BG275" s="20">
        <f>IFERROR(VLOOKUP(Tabla14[[#This Row],[Llave]],'[5]Consolidación planes'!$A:$M,9,FALSE),0)</f>
        <v>0</v>
      </c>
      <c r="BH275" s="20">
        <f>IFERROR(VLOOKUP(Tabla14[[#This Row],[Llave]],'[5]Consolidación planes'!$A:$M,10,FALSE),0)</f>
        <v>0</v>
      </c>
      <c r="BI275" s="20">
        <f>IFERROR(VLOOKUP(Tabla14[[#This Row],[Llave]],'[5]Consolidación planes'!$A:$M,11,FALSE),0)</f>
        <v>0</v>
      </c>
      <c r="BJ275" s="20">
        <f>IFERROR(VLOOKUP(Tabla14[[#This Row],[Llave]],'[5]Consolidación planes'!$A:$M,12,FALSE),0)</f>
        <v>0</v>
      </c>
      <c r="BK275" s="20">
        <f>IFERROR(VLOOKUP(Tabla14[[#This Row],[Llave]],'[5]Consolidación planes'!$A:$M,13,FALSE),0)</f>
        <v>0</v>
      </c>
      <c r="BL275" s="20">
        <f>IFERROR(VLOOKUP(Tabla14[[#This Row],[Llave]],'[13]Base ultimos planes'!$A:$M,13,FALSE),0)</f>
        <v>0</v>
      </c>
      <c r="BM275" s="20">
        <f>IFERROR(VLOOKUP(Tabla14[[#This Row],[Llave]],'[13]Cruce plan irrestricto'!$C:$M,10,FALSE),0)</f>
        <v>0</v>
      </c>
      <c r="BN275" s="20">
        <f>IFERROR(VLOOKUP(Tabla14[[#This Row],[Llave]],'[13]Cruce plan irrestricto'!$C:$M,11,FALSE),0)</f>
        <v>0</v>
      </c>
      <c r="BO275" s="80">
        <f>IFERROR(VLOOKUP(Tabla14[[#This Row],[Llave]],'[13]Base ultimos planes'!$O:$AA,8,FALSE),0)</f>
        <v>0</v>
      </c>
      <c r="BP275" s="20">
        <f>IFERROR(VLOOKUP(Tabla14[[#This Row],[Llave]],'[13]Base ultimos planes'!$O:$AA,9,FALSE),0)</f>
        <v>0</v>
      </c>
      <c r="BQ275" s="20">
        <f>IFERROR(VLOOKUP(Tabla14[[#This Row],[Llave]],'[13]Base ultimos planes'!$O:$AA,10,FALSE),0)</f>
        <v>0</v>
      </c>
      <c r="BR275" s="20">
        <f>IFERROR(VLOOKUP(Tabla14[[#This Row],[Llave]],'[13]Base ultimos planes'!$O:$AA,11,FALSE),0)</f>
        <v>0</v>
      </c>
      <c r="BS275" s="20">
        <f>IFERROR(VLOOKUP(Tabla14[[#This Row],[Llave]],'[13]Base ultimos planes'!$O:$AA,12,FALSE),0)</f>
        <v>0</v>
      </c>
      <c r="BT275" s="20">
        <f>IFERROR(VLOOKUP(Tabla14[[#This Row],[Llave]],'[13]Base ultimos planes'!$O:$AA,13,FALSE),0)</f>
        <v>0</v>
      </c>
      <c r="BU275" s="35"/>
      <c r="BV275" s="20">
        <f>Tabla14[[#This Row],[ RV Producción mes n+1]]-Tabla14[[#This Row],[Producción disponible]]+Tabla14[[#This Row],[Saldo Volumen disponible]]</f>
        <v>0</v>
      </c>
      <c r="BW275" s="20">
        <f>IFERROR(VLOOKUP(Tabla14[[#This Row],[Llave]],[14]Hoja2!$J:$N,4,FALSE),0)</f>
        <v>0</v>
      </c>
      <c r="BX275" s="20">
        <f>+Tabla14[[#This Row],[Asignación mes n+1]]*Tabla14[[#This Row],[% Uti. producción]]</f>
        <v>0</v>
      </c>
      <c r="BY275" s="20">
        <f>+Tabla14[[#This Row],[Ponderación mes n+1]]+Tabla14[[#This Row],[Saldo mes n-1]]</f>
        <v>0</v>
      </c>
      <c r="BZ275" s="20">
        <f>+Tabla14[[#This Row],[Asignación mes n+1]]-Tabla14[[#This Row],[Ponderación mes n+1]]</f>
        <v>0</v>
      </c>
      <c r="CA275" s="20">
        <f>IFERROR(VLOOKUP(Tabla14[[#This Row],[Llave]],[14]Hoja2!$J:$N,5,FALSE),0)</f>
        <v>0</v>
      </c>
      <c r="CB275" s="20">
        <f>+Tabla14[[#This Row],[Asignación mes n+2]]*Tabla14[[#This Row],[% Uti. producción]]</f>
        <v>0</v>
      </c>
      <c r="CC275" s="20">
        <f>+Tabla14[[#This Row],[Saldo mes n+2]]+Tabla14[[#This Row],[Ponderación mes n+2]]</f>
        <v>0</v>
      </c>
      <c r="CD275" s="20">
        <f>+Tabla14[[#This Row],[Asignación mes n+2]]-Tabla14[[#This Row],[Ponderación mes n+2]]</f>
        <v>0</v>
      </c>
    </row>
    <row r="276" spans="1:82" ht="16" x14ac:dyDescent="0.2">
      <c r="A276">
        <v>1</v>
      </c>
      <c r="B276" t="str">
        <f>Tabla14[[#This Row],[Oficina]]&amp;Tabla14[[#This Row],[Material]]</f>
        <v>Agro Sudamerica1020993</v>
      </c>
      <c r="C276" t="s">
        <v>6</v>
      </c>
      <c r="D276" t="s">
        <v>17</v>
      </c>
      <c r="E276">
        <v>1020993</v>
      </c>
      <c r="F276" t="s">
        <v>157</v>
      </c>
      <c r="G276" t="s">
        <v>53</v>
      </c>
      <c r="H276" t="s">
        <v>156</v>
      </c>
      <c r="I276" s="7">
        <f>IFERROR(IF(Tabla14[[#This Row],[Oficina]]=$I$7,VLOOKUP(Tabla14[[#This Row],[Material]],'[6]RV Producción'!$Y:$AA,3,FALSE),VLOOKUP(Tabla14[[#This Row],[Llave]],'[6]RV Producción'!$C:$G,5,FALSE)),0)</f>
        <v>0</v>
      </c>
      <c r="J276" s="7">
        <f>IFERROR(IF(Tabla14[[#This Row],[Oficina]]=$I$7,VLOOKUP(Tabla14[[#This Row],[Llave]],'[7]Shangai (Tomas)'!$A:$F,6,FALSE),VLOOKUP(Tabla14[[#This Row],[Llave]],'[6]RV plan de ventas'!$A:$E,5,FALSE)),0)</f>
        <v>0</v>
      </c>
      <c r="K276" s="8">
        <f>IFERROR(VLOOKUP(Tabla14[[#This Row],[Sector]]&amp;Tabla14[[#This Row],[Oficina]],[8]Ponderación!$A$3:$G$22,7,FALSE),0)</f>
        <v>0.3545854356400317</v>
      </c>
      <c r="L276" s="7">
        <f>+Tabla14[[#This Row],[ RV Producción mes n+1]]*Tabla14[[#This Row],[% Uti. producción]]</f>
        <v>0</v>
      </c>
      <c r="M276" s="7">
        <f>IFERROR(VLOOKUP(Tabla14[[#This Row],[Material]],'[9]TD Stock'!$B:$C,2,FALSE),0)</f>
        <v>3934.2810000000004</v>
      </c>
      <c r="N276" s="7">
        <f>IFERROR(VLOOKUP(Tabla14[[#This Row],[Material]],'[10]Consolidado planificación'!$B:$C,2,FALSE),0)</f>
        <v>0</v>
      </c>
      <c r="O276" s="7">
        <f>IFERROR(VLOOKUP(Tabla14[[#This Row],[Llave]],[11]Hoja2!$D:$G,4,FALSE),0)</f>
        <v>0</v>
      </c>
      <c r="P276" s="37">
        <f>SUM(Tabla14[[#This Row],[Producción disponible]],Tabla14[[#This Row],[Stock al día]],(Tabla14[[#This Row],[Por producir mes N]]*0.9))-Tabla14[[#This Row],[Producción por despachar mes N]]</f>
        <v>3934.2810000000004</v>
      </c>
      <c r="Q276" s="7">
        <f>IFERROR(VLOOKUP(Tabla14[[#This Row],[Llave]],[9]DELAY!$A:$D,4,FALSE),0)</f>
        <v>2900</v>
      </c>
      <c r="R276" s="9">
        <v>23000</v>
      </c>
      <c r="S276" s="5">
        <f t="shared" si="9"/>
        <v>2900</v>
      </c>
      <c r="T276" s="76">
        <v>0</v>
      </c>
      <c r="U276" s="5">
        <f>+Tabla14[[#This Row],[Atraso a facturar]]+Tabla14[[#This Row],[Ajuste atraso]]</f>
        <v>2900</v>
      </c>
      <c r="V276" s="3">
        <f>+Tabla14[[#This Row],[Total disponible]]-Tabla14[[#This Row],[Facturación atraso]]</f>
        <v>1034.2810000000004</v>
      </c>
      <c r="W276" s="6">
        <f>IFERROR(IF(AND(V276&gt;R276,J276&gt;=R276),ROUNDDOWN((Tabla14[[#This Row],[Producción para venta nueva]])/R276,0)*R276,0),0)</f>
        <v>0</v>
      </c>
      <c r="X276" s="76">
        <v>0</v>
      </c>
      <c r="Y276" s="6">
        <f>IF(Tabla14[[#This Row],[Venta del mes]]&gt;0,Tabla14[[#This Row],[Venta del mes]]+Tabla14[[#This Row],[Ajuste venta nueva]],0)</f>
        <v>0</v>
      </c>
      <c r="Z276" s="6">
        <f>+Tabla14[[#This Row],[Producción para venta nueva]]-Tabla14[[#This Row],[Facturación Venta nueva]]</f>
        <v>1034.2810000000004</v>
      </c>
      <c r="AA276" s="6">
        <f>IF(AND(A276=1,Tabla14[[#This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6" s="6">
        <v>0</v>
      </c>
      <c r="AC276" s="6">
        <f>IF(Tabla14[[#This Row],[Disponible stock sin venta]]&gt;0,Tabla14[[#This Row],[Disponible stock sin venta]]+Tabla14[[#This Row],[Ajuste stock sin venta]],0)</f>
        <v>0</v>
      </c>
      <c r="AD276" s="3">
        <f>IFERROR(VLOOKUP(Tabla14[[#This Row],[Llave]],[12]Hoja1!$A:$D,4,FALSE),0)</f>
        <v>0</v>
      </c>
      <c r="AE27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2900</v>
      </c>
      <c r="AF276" s="3">
        <v>2900</v>
      </c>
      <c r="AG276" s="3">
        <f>+Tabla14[[#This Row],[En puerto a facturar]]</f>
        <v>0</v>
      </c>
      <c r="AH276" s="3">
        <f>+Tabla14[[#This Row],[Facturación atraso]]</f>
        <v>2900</v>
      </c>
      <c r="AI276" s="3">
        <f>+Tabla14[[#This Row],[Plan Irrestricto (DATO)]]-Tabla14[[#This Row],[Puerto ]]-Tabla14[[#This Row],[Atraso]]</f>
        <v>0</v>
      </c>
      <c r="AJ276" s="6">
        <f>IF(Tabla14[[#This Row],[Plan Irrestricto (DATO)]]&gt;0,SUM(Tabla14[[#This Row],[Facturación atraso]],Tabla14[[#This Row],[Facturación Venta nueva]],Tabla14[[#This Row],[Facturación stock]],Tabla14[[#This Row],[En puerto a facturar]]),0)</f>
        <v>2900</v>
      </c>
      <c r="AK276" s="3">
        <f>+Tabla14[[#This Row],[Facturación atraso]]</f>
        <v>2900</v>
      </c>
      <c r="AL276" s="3">
        <f>Tabla14[[#This Row],[Plan Ajustado]]-Tabla14[[#This Row],[ Atraso ajustado]]-Tabla14[[#This Row],[En puerto a facturar]]</f>
        <v>0</v>
      </c>
      <c r="AM276" s="3">
        <v>0</v>
      </c>
      <c r="AN276" s="3" t="s">
        <v>883</v>
      </c>
      <c r="AO276" s="3" t="str">
        <f>IF(Tabla14[[#This Row],[Plan Ajustado]]&gt;Tabla14[[#This Row],[En puerto a facturar]],"Si","No")</f>
        <v>Si</v>
      </c>
      <c r="AP276" s="3">
        <f>IF(AND(Tabla14[[#This Row],[Plan Ajustado]]&gt;0,Tabla14[[#This Row],[Plan Ajustado]]&gt;Tabla14[[#This Row],[En puerto a facturar]]),(Tabla14[[#This Row],[Plan Ajustado]]-Tabla14[[#This Row],[En puerto a facturar]]),0)</f>
        <v>2900</v>
      </c>
      <c r="AQ276" s="3">
        <f>IF(Tabla14[[#This Row],[Necesidad]]&gt;=Tabla14[[#This Row],[Stock al día]],Tabla14[[#This Row],[Stock al día]],Tabla14[[#This Row],[Necesidad]])</f>
        <v>2900</v>
      </c>
      <c r="AR276" s="3">
        <f>+Tabla14[[#This Row],[Necesidad]]-Tabla14[[#This Row],[Stock Plan]]</f>
        <v>0</v>
      </c>
      <c r="AS276" s="155">
        <f>VLOOKUP(Tabla14[[#This Row],[Sector]]&amp;Tabla14[[#This Row],[Oficina]],[8]Ponderación!$A:$H,8,FALSE)</f>
        <v>44813</v>
      </c>
      <c r="AT276" s="30">
        <f>IFERROR(VLOOKUP(Tabla14[[#This Row],[Llave]],'[6]RV plan de ventas'!$A:$F,6,FALSE),0)</f>
        <v>0</v>
      </c>
      <c r="AU276" s="83">
        <f>IFERROR(VLOOKUP(Tabla14[[#This Row],[Llave]],[9]DELAY!$H:$X,17,FALSE),0)</f>
        <v>1.9</v>
      </c>
      <c r="AV27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1.9</v>
      </c>
      <c r="AW276" s="5">
        <f>Tabla14[[#This Row],[Pecio plan]]*Tabla14[[#This Row],[Plan Ajustado]]</f>
        <v>5510</v>
      </c>
      <c r="AX276" s="30">
        <f>IFERROR(VLOOKUP(Tabla14[[#This Row],[Llave]],'[13]Ultimos precios facturados'!$A:$G,7,FALSE),0)</f>
        <v>1.3138131134145701</v>
      </c>
      <c r="AY276" s="82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0.44617219953144144</v>
      </c>
      <c r="AZ276" s="30">
        <f>IFERROR(VLOOKUP(Tabla14[[#This Row],[Llave]],Hoja2!B:K,10,FALSE),0)</f>
        <v>0</v>
      </c>
      <c r="BA27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1.9</v>
      </c>
      <c r="BB276" s="30">
        <v>1.9</v>
      </c>
      <c r="BC276" s="30">
        <f>IF(Tabla14[[#This Row],[Market]]=0,Tabla14[[#This Row],[Precio Final]],Tabla14[[#This Row],[Market]])</f>
        <v>1.9</v>
      </c>
      <c r="BD276" s="82"/>
      <c r="BE276" s="82" t="str">
        <f>IF(AND(Tabla14[[#This Row],[Atraso a facturar]]&gt;0,Tabla14[[#This Row],[En puerto a facturar]]&gt;0,Tabla14[[#This Row],[Precio Atraso]]=0),"Revisar","OK")</f>
        <v>OK</v>
      </c>
      <c r="BF276" s="82" t="str">
        <f>IF(AND(Tabla14[[#This Row],[Venta del mes]]&gt;0,Tabla14[[#This Row],[Precio venta nueva]]=0),"Revisar","OK")</f>
        <v>OK</v>
      </c>
      <c r="BG276" s="20">
        <f>IFERROR(VLOOKUP(Tabla14[[#This Row],[Llave]],'[5]Consolidación planes'!$A:$M,9,FALSE),0)</f>
        <v>0</v>
      </c>
      <c r="BH276" s="20">
        <f>IFERROR(VLOOKUP(Tabla14[[#This Row],[Llave]],'[5]Consolidación planes'!$A:$M,10,FALSE),0)</f>
        <v>0</v>
      </c>
      <c r="BI276" s="20">
        <f>IFERROR(VLOOKUP(Tabla14[[#This Row],[Llave]],'[5]Consolidación planes'!$A:$M,11,FALSE),0)</f>
        <v>0</v>
      </c>
      <c r="BJ276" s="20">
        <f>IFERROR(VLOOKUP(Tabla14[[#This Row],[Llave]],'[5]Consolidación planes'!$A:$M,12,FALSE),0)</f>
        <v>0</v>
      </c>
      <c r="BK276" s="20">
        <f>IFERROR(VLOOKUP(Tabla14[[#This Row],[Llave]],'[5]Consolidación planes'!$A:$M,13,FALSE),0)</f>
        <v>0</v>
      </c>
      <c r="BL276" s="20">
        <f>IFERROR(VLOOKUP(Tabla14[[#This Row],[Llave]],'[13]Base ultimos planes'!$A:$M,13,FALSE),0)</f>
        <v>0</v>
      </c>
      <c r="BM276" s="20">
        <f>IFERROR(VLOOKUP(Tabla14[[#This Row],[Llave]],'[13]Cruce plan irrestricto'!$C:$M,10,FALSE),0)</f>
        <v>0</v>
      </c>
      <c r="BN276" s="20">
        <f>IFERROR(VLOOKUP(Tabla14[[#This Row],[Llave]],'[13]Cruce plan irrestricto'!$C:$M,11,FALSE),0)</f>
        <v>0</v>
      </c>
      <c r="BO276" s="80">
        <f>IFERROR(VLOOKUP(Tabla14[[#This Row],[Llave]],'[13]Base ultimos planes'!$O:$AA,8,FALSE),0)</f>
        <v>0</v>
      </c>
      <c r="BP276" s="20">
        <f>IFERROR(VLOOKUP(Tabla14[[#This Row],[Llave]],'[13]Base ultimos planes'!$O:$AA,9,FALSE),0)</f>
        <v>0</v>
      </c>
      <c r="BQ276" s="20">
        <f>IFERROR(VLOOKUP(Tabla14[[#This Row],[Llave]],'[13]Base ultimos planes'!$O:$AA,10,FALSE),0)</f>
        <v>0</v>
      </c>
      <c r="BR276" s="20">
        <f>IFERROR(VLOOKUP(Tabla14[[#This Row],[Llave]],'[13]Base ultimos planes'!$O:$AA,11,FALSE),0)</f>
        <v>0</v>
      </c>
      <c r="BS276" s="20">
        <f>IFERROR(VLOOKUP(Tabla14[[#This Row],[Llave]],'[13]Base ultimos planes'!$O:$AA,12,FALSE),0)</f>
        <v>0</v>
      </c>
      <c r="BT276" s="20">
        <f>IFERROR(VLOOKUP(Tabla14[[#This Row],[Llave]],'[13]Base ultimos planes'!$O:$AA,13,FALSE),0)</f>
        <v>0</v>
      </c>
      <c r="BU276" s="35"/>
      <c r="BV276" s="20">
        <f>Tabla14[[#This Row],[ RV Producción mes n+1]]-Tabla14[[#This Row],[Producción disponible]]+Tabla14[[#This Row],[Saldo Volumen disponible]]</f>
        <v>1034.2810000000004</v>
      </c>
      <c r="BW276" s="20">
        <f>IFERROR(VLOOKUP(Tabla14[[#This Row],[Llave]],[14]Hoja2!$J:$N,4,FALSE),0)</f>
        <v>0</v>
      </c>
      <c r="BX276" s="20">
        <f>+Tabla14[[#This Row],[Asignación mes n+1]]*Tabla14[[#This Row],[% Uti. producción]]</f>
        <v>0</v>
      </c>
      <c r="BY276" s="20">
        <f>+Tabla14[[#This Row],[Ponderación mes n+1]]+Tabla14[[#This Row],[Saldo mes n-1]]</f>
        <v>1034.2810000000004</v>
      </c>
      <c r="BZ276" s="20">
        <f>+Tabla14[[#This Row],[Asignación mes n+1]]-Tabla14[[#This Row],[Ponderación mes n+1]]</f>
        <v>0</v>
      </c>
      <c r="CA276" s="20">
        <f>IFERROR(VLOOKUP(Tabla14[[#This Row],[Llave]],[14]Hoja2!$J:$N,5,FALSE),0)</f>
        <v>0</v>
      </c>
      <c r="CB276" s="20">
        <f>+Tabla14[[#This Row],[Asignación mes n+2]]*Tabla14[[#This Row],[% Uti. producción]]</f>
        <v>0</v>
      </c>
      <c r="CC276" s="20">
        <f>+Tabla14[[#This Row],[Saldo mes n+2]]+Tabla14[[#This Row],[Ponderación mes n+2]]</f>
        <v>0</v>
      </c>
      <c r="CD276" s="20">
        <f>+Tabla14[[#This Row],[Asignación mes n+2]]-Tabla14[[#This Row],[Ponderación mes n+2]]</f>
        <v>0</v>
      </c>
    </row>
    <row r="277" spans="1:82" ht="16" x14ac:dyDescent="0.2">
      <c r="A277">
        <v>1</v>
      </c>
      <c r="B277" t="str">
        <f>Tabla14[[#This Row],[Oficina]]&amp;Tabla14[[#This Row],[Material]]</f>
        <v>Agrosuper Asia1022767</v>
      </c>
      <c r="C277" t="s">
        <v>6</v>
      </c>
      <c r="D277" t="s">
        <v>173</v>
      </c>
      <c r="E277">
        <v>1022767</v>
      </c>
      <c r="F277" t="s">
        <v>598</v>
      </c>
      <c r="G277" t="s">
        <v>11</v>
      </c>
      <c r="H277" t="s">
        <v>41</v>
      </c>
      <c r="I277" s="7">
        <f>IFERROR(IF(Tabla14[[#This Row],[Oficina]]=$I$7,VLOOKUP(Tabla14[[#This Row],[Material]],'[6]RV Producción'!$Y:$AA,3,FALSE),VLOOKUP(Tabla14[[#This Row],[Llave]],'[6]RV Producción'!$C:$G,5,FALSE)),0)</f>
        <v>0</v>
      </c>
      <c r="J277" s="7">
        <f>IFERROR(IF(Tabla14[[#This Row],[Oficina]]=$I$7,VLOOKUP(Tabla14[[#This Row],[Llave]],'[7]Shangai (Tomas)'!$A:$F,6,FALSE),VLOOKUP(Tabla14[[#This Row],[Llave]],'[6]RV plan de ventas'!$A:$E,5,FALSE)),0)</f>
        <v>0</v>
      </c>
      <c r="K277" s="8">
        <f>IFERROR(VLOOKUP(Tabla14[[#This Row],[Sector]]&amp;Tabla14[[#This Row],[Oficina]],[8]Ponderación!$A$3:$G$22,7,FALSE),0)</f>
        <v>0.38476266834449474</v>
      </c>
      <c r="L277" s="7">
        <f>+Tabla14[[#This Row],[ RV Producción mes n+1]]*Tabla14[[#This Row],[% Uti. producción]]</f>
        <v>0</v>
      </c>
      <c r="M277" s="7">
        <f>IFERROR(VLOOKUP(Tabla14[[#This Row],[Material]],'[9]TD Stock'!$B:$C,2,FALSE),0)</f>
        <v>1480</v>
      </c>
      <c r="N277" s="7">
        <f>IFERROR(VLOOKUP(Tabla14[[#This Row],[Material]],'[10]Consolidado planificación'!$B:$C,2,FALSE),0)</f>
        <v>0</v>
      </c>
      <c r="O277" s="7">
        <f>IFERROR(VLOOKUP(Tabla14[[#This Row],[Llave]],[11]Hoja2!$D:$G,4,FALSE),0)</f>
        <v>0</v>
      </c>
      <c r="P277" s="37">
        <f>SUM(Tabla14[[#This Row],[Producción disponible]],Tabla14[[#This Row],[Stock al día]],(Tabla14[[#This Row],[Por producir mes N]]*0.9))-Tabla14[[#This Row],[Producción por despachar mes N]]</f>
        <v>1480</v>
      </c>
      <c r="Q277" s="7">
        <f>IFERROR(VLOOKUP(Tabla14[[#This Row],[Llave]],[9]DELAY!$A:$D,4,FALSE),0)</f>
        <v>0</v>
      </c>
      <c r="R277" s="9">
        <v>23000</v>
      </c>
      <c r="S277" s="5">
        <f t="shared" si="9"/>
        <v>0</v>
      </c>
      <c r="T277" s="76">
        <v>0</v>
      </c>
      <c r="U277" s="5">
        <f>+Tabla14[[#This Row],[Atraso a facturar]]+Tabla14[[#This Row],[Ajuste atraso]]</f>
        <v>0</v>
      </c>
      <c r="V277" s="3">
        <f>+Tabla14[[#This Row],[Total disponible]]-Tabla14[[#This Row],[Facturación atraso]]</f>
        <v>1480</v>
      </c>
      <c r="W277" s="6">
        <f>IFERROR(IF(AND(V277&gt;R277,J277&gt;=R277),ROUNDDOWN((Tabla14[[#This Row],[Producción para venta nueva]])/R277,0)*R277,0),0)</f>
        <v>0</v>
      </c>
      <c r="X277" s="76">
        <v>0</v>
      </c>
      <c r="Y277" s="6">
        <f>IF(Tabla14[[#This Row],[Venta del mes]]&gt;0,Tabla14[[#This Row],[Venta del mes]]+Tabla14[[#This Row],[Ajuste venta nueva]],0)</f>
        <v>0</v>
      </c>
      <c r="Z277" s="6">
        <f>+Tabla14[[#This Row],[Producción para venta nueva]]-Tabla14[[#This Row],[Facturación Venta nueva]]</f>
        <v>1480</v>
      </c>
      <c r="AA277" s="6">
        <f>IF(AND(A277=1,Tabla14[[#This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7" s="6">
        <v>0</v>
      </c>
      <c r="AC277" s="6">
        <f>IF(Tabla14[[#This Row],[Disponible stock sin venta]]&gt;0,Tabla14[[#This Row],[Disponible stock sin venta]]+Tabla14[[#This Row],[Ajuste stock sin venta]],0)</f>
        <v>0</v>
      </c>
      <c r="AD277" s="3">
        <f>IFERROR(VLOOKUP(Tabla14[[#This Row],[Llave]],[12]Hoja1!$A:$D,4,FALSE),0)</f>
        <v>0</v>
      </c>
      <c r="AE27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77" s="3">
        <v>0</v>
      </c>
      <c r="AG277" s="3">
        <f>+Tabla14[[#This Row],[En puerto a facturar]]</f>
        <v>0</v>
      </c>
      <c r="AH277" s="3">
        <f>+Tabla14[[#This Row],[Facturación atraso]]</f>
        <v>0</v>
      </c>
      <c r="AI277" s="3">
        <f>+Tabla14[[#This Row],[Plan Irrestricto (DATO)]]-Tabla14[[#This Row],[Puerto ]]-Tabla14[[#This Row],[Atraso]]</f>
        <v>0</v>
      </c>
      <c r="AJ27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77" s="3">
        <f>+Tabla14[[#This Row],[Facturación atraso]]</f>
        <v>0</v>
      </c>
      <c r="AL277" s="3">
        <f>Tabla14[[#This Row],[Plan Ajustado]]-Tabla14[[#This Row],[ Atraso ajustado]]-Tabla14[[#This Row],[En puerto a facturar]]</f>
        <v>0</v>
      </c>
      <c r="AM277" s="3">
        <v>0</v>
      </c>
      <c r="AN277" s="3"/>
      <c r="AO277" s="3" t="str">
        <f>IF(Tabla14[[#This Row],[Plan Ajustado]]&gt;Tabla14[[#This Row],[En puerto a facturar]],"Si","No")</f>
        <v>No</v>
      </c>
      <c r="AP27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77" s="3">
        <f>IF(Tabla14[[#This Row],[Necesidad]]&gt;=Tabla14[[#This Row],[Stock al día]],Tabla14[[#This Row],[Stock al día]],Tabla14[[#This Row],[Necesidad]])</f>
        <v>0</v>
      </c>
      <c r="AR277" s="3">
        <f>+Tabla14[[#This Row],[Necesidad]]-Tabla14[[#This Row],[Stock Plan]]</f>
        <v>0</v>
      </c>
      <c r="AS277" s="155">
        <f>VLOOKUP(Tabla14[[#This Row],[Sector]]&amp;Tabla14[[#This Row],[Oficina]],[8]Ponderación!$A:$H,8,FALSE)</f>
        <v>44814</v>
      </c>
      <c r="AT277" s="30">
        <f>IFERROR(VLOOKUP(Tabla14[[#This Row],[Llave]],'[6]RV plan de ventas'!$A:$F,6,FALSE),0)</f>
        <v>0</v>
      </c>
      <c r="AU277" s="83">
        <f>IFERROR(VLOOKUP(Tabla14[[#This Row],[Llave]],[9]DELAY!$H:$X,17,FALSE),0)</f>
        <v>0</v>
      </c>
      <c r="AV27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77" s="5">
        <f>Tabla14[[#This Row],[Pecio plan]]*Tabla14[[#This Row],[Plan Ajustado]]</f>
        <v>0</v>
      </c>
      <c r="AX277" s="30">
        <f>IFERROR(VLOOKUP(Tabla14[[#This Row],[Llave]],'[13]Ultimos precios facturados'!$A:$G,7,FALSE),0)</f>
        <v>0</v>
      </c>
      <c r="AY27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77" s="30">
        <f>IFERROR(VLOOKUP(Tabla14[[#This Row],[Llave]],Hoja2!B:K,10,FALSE),0)</f>
        <v>0</v>
      </c>
      <c r="BA27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77" s="30">
        <v>0</v>
      </c>
      <c r="BC277" s="30">
        <f>IF(Tabla14[[#This Row],[Market]]=0,Tabla14[[#This Row],[Precio Final]],Tabla14[[#This Row],[Market]])</f>
        <v>0</v>
      </c>
      <c r="BD277" s="82"/>
      <c r="BE277" s="82" t="str">
        <f>IF(AND(Tabla14[[#This Row],[Atraso a facturar]]&gt;0,Tabla14[[#This Row],[En puerto a facturar]]&gt;0,Tabla14[[#This Row],[Precio Atraso]]=0),"Revisar","OK")</f>
        <v>OK</v>
      </c>
      <c r="BF277" s="82" t="str">
        <f>IF(AND(Tabla14[[#This Row],[Venta del mes]]&gt;0,Tabla14[[#This Row],[Precio venta nueva]]=0),"Revisar","OK")</f>
        <v>OK</v>
      </c>
      <c r="BG277" s="20">
        <f>IFERROR(VLOOKUP(Tabla14[[#This Row],[Llave]],'[5]Consolidación planes'!$A:$M,9,FALSE),0)</f>
        <v>0</v>
      </c>
      <c r="BH277" s="20">
        <f>IFERROR(VLOOKUP(Tabla14[[#This Row],[Llave]],'[5]Consolidación planes'!$A:$M,10,FALSE),0)</f>
        <v>0</v>
      </c>
      <c r="BI277" s="20">
        <f>IFERROR(VLOOKUP(Tabla14[[#This Row],[Llave]],'[5]Consolidación planes'!$A:$M,11,FALSE),0)</f>
        <v>0</v>
      </c>
      <c r="BJ277" s="20">
        <f>IFERROR(VLOOKUP(Tabla14[[#This Row],[Llave]],'[5]Consolidación planes'!$A:$M,12,FALSE),0)</f>
        <v>0</v>
      </c>
      <c r="BK277" s="20">
        <f>IFERROR(VLOOKUP(Tabla14[[#This Row],[Llave]],'[5]Consolidación planes'!$A:$M,13,FALSE),0)</f>
        <v>0</v>
      </c>
      <c r="BL277" s="20">
        <f>IFERROR(VLOOKUP(Tabla14[[#This Row],[Llave]],'[13]Base ultimos planes'!$A:$M,13,FALSE),0)</f>
        <v>0</v>
      </c>
      <c r="BM277" s="20">
        <f>IFERROR(VLOOKUP(Tabla14[[#This Row],[Llave]],'[13]Cruce plan irrestricto'!$C:$M,10,FALSE),0)</f>
        <v>0</v>
      </c>
      <c r="BN277" s="20">
        <f>IFERROR(VLOOKUP(Tabla14[[#This Row],[Llave]],'[13]Cruce plan irrestricto'!$C:$M,11,FALSE),0)</f>
        <v>0</v>
      </c>
      <c r="BO277" s="80">
        <f>IFERROR(VLOOKUP(Tabla14[[#This Row],[Llave]],'[13]Base ultimos planes'!$O:$AA,8,FALSE),0)</f>
        <v>0</v>
      </c>
      <c r="BP277" s="20">
        <f>IFERROR(VLOOKUP(Tabla14[[#This Row],[Llave]],'[13]Base ultimos planes'!$O:$AA,9,FALSE),0)</f>
        <v>0</v>
      </c>
      <c r="BQ277" s="20">
        <f>IFERROR(VLOOKUP(Tabla14[[#This Row],[Llave]],'[13]Base ultimos planes'!$O:$AA,10,FALSE),0)</f>
        <v>0</v>
      </c>
      <c r="BR277" s="20">
        <f>IFERROR(VLOOKUP(Tabla14[[#This Row],[Llave]],'[13]Base ultimos planes'!$O:$AA,11,FALSE),0)</f>
        <v>0</v>
      </c>
      <c r="BS277" s="20">
        <f>IFERROR(VLOOKUP(Tabla14[[#This Row],[Llave]],'[13]Base ultimos planes'!$O:$AA,12,FALSE),0)</f>
        <v>0</v>
      </c>
      <c r="BT277" s="20">
        <f>IFERROR(VLOOKUP(Tabla14[[#This Row],[Llave]],'[13]Base ultimos planes'!$O:$AA,13,FALSE),0)</f>
        <v>0</v>
      </c>
      <c r="BU277" s="35"/>
      <c r="BV277" s="20">
        <f>Tabla14[[#This Row],[ RV Producción mes n+1]]-Tabla14[[#This Row],[Producción disponible]]+Tabla14[[#This Row],[Saldo Volumen disponible]]</f>
        <v>1480</v>
      </c>
      <c r="BW277" s="20">
        <f>IFERROR(VLOOKUP(Tabla14[[#This Row],[Llave]],[14]Hoja2!$J:$N,4,FALSE),0)</f>
        <v>0</v>
      </c>
      <c r="BX277" s="20">
        <f>+Tabla14[[#This Row],[Asignación mes n+1]]*Tabla14[[#This Row],[% Uti. producción]]</f>
        <v>0</v>
      </c>
      <c r="BY277" s="20">
        <f>+Tabla14[[#This Row],[Ponderación mes n+1]]+Tabla14[[#This Row],[Saldo mes n-1]]</f>
        <v>1480</v>
      </c>
      <c r="BZ277" s="20">
        <f>+Tabla14[[#This Row],[Asignación mes n+1]]-Tabla14[[#This Row],[Ponderación mes n+1]]</f>
        <v>0</v>
      </c>
      <c r="CA277" s="20">
        <f>IFERROR(VLOOKUP(Tabla14[[#This Row],[Llave]],[14]Hoja2!$J:$N,5,FALSE),0)</f>
        <v>0</v>
      </c>
      <c r="CB277" s="20">
        <f>+Tabla14[[#This Row],[Asignación mes n+2]]*Tabla14[[#This Row],[% Uti. producción]]</f>
        <v>0</v>
      </c>
      <c r="CC277" s="20">
        <f>+Tabla14[[#This Row],[Saldo mes n+2]]+Tabla14[[#This Row],[Ponderación mes n+2]]</f>
        <v>0</v>
      </c>
      <c r="CD277" s="20">
        <f>+Tabla14[[#This Row],[Asignación mes n+2]]-Tabla14[[#This Row],[Ponderación mes n+2]]</f>
        <v>0</v>
      </c>
    </row>
    <row r="278" spans="1:82" ht="16" x14ac:dyDescent="0.2">
      <c r="A278">
        <v>2</v>
      </c>
      <c r="B278" t="str">
        <f>Tabla14[[#This Row],[Oficina]]&amp;Tabla14[[#This Row],[Material]]</f>
        <v>Agrosuper Shanghai1021740</v>
      </c>
      <c r="C278" t="s">
        <v>6</v>
      </c>
      <c r="D278" t="s">
        <v>140</v>
      </c>
      <c r="E278">
        <v>1021740</v>
      </c>
      <c r="F278" t="s">
        <v>87</v>
      </c>
      <c r="G278" t="s">
        <v>76</v>
      </c>
      <c r="H278" t="s">
        <v>84</v>
      </c>
      <c r="I278" s="7">
        <f>IFERROR(IF(Tabla14[[#This Row],[Oficina]]=$I$7,VLOOKUP(Tabla14[[#This Row],[Material]],'[6]RV Producción'!$Y:$AA,3,FALSE),VLOOKUP(Tabla14[[#This Row],[Llave]],'[6]RV Producción'!$C:$G,5,FALSE)),0)</f>
        <v>106687</v>
      </c>
      <c r="J278" s="7">
        <f>IFERROR(IF(Tabla14[[#This Row],[Oficina]]=$I$7,VLOOKUP(Tabla14[[#This Row],[Llave]],'[7]Shangai (Tomas)'!$A:$F,6,FALSE),VLOOKUP(Tabla14[[#This Row],[Llave]],'[6]RV plan de ventas'!$A:$E,5,FALSE)),0)</f>
        <v>0</v>
      </c>
      <c r="K278" s="8">
        <f>IFERROR(VLOOKUP(Tabla14[[#This Row],[Sector]]&amp;Tabla14[[#This Row],[Oficina]],[8]Ponderación!$A$3:$G$22,7,FALSE),0)</f>
        <v>0.38476266834449474</v>
      </c>
      <c r="L278" s="7">
        <f>+Tabla14[[#This Row],[ RV Producción mes n+1]]*Tabla14[[#This Row],[% Uti. producción]]</f>
        <v>41049.174797669111</v>
      </c>
      <c r="M278" s="7">
        <f>IFERROR(VLOOKUP(Tabla14[[#This Row],[Material]],'[9]TD Stock'!$B:$C,2,FALSE),0)</f>
        <v>75653.84000000004</v>
      </c>
      <c r="N278" s="7">
        <f>IFERROR(VLOOKUP(Tabla14[[#This Row],[Material]],'[10]Consolidado planificación'!$B:$C,2,FALSE),0)</f>
        <v>45680</v>
      </c>
      <c r="O278" s="7">
        <f>IFERROR(VLOOKUP(Tabla14[[#This Row],[Llave]],[11]Hoja2!$D:$G,4,FALSE),0)</f>
        <v>0</v>
      </c>
      <c r="P278" s="37">
        <f>SUM(Tabla14[[#This Row],[Producción disponible]],Tabla14[[#This Row],[Stock al día]],(Tabla14[[#This Row],[Por producir mes N]]*0.9))-Tabla14[[#This Row],[Producción por despachar mes N]]</f>
        <v>157815.01479766914</v>
      </c>
      <c r="Q278" s="7">
        <f>IFERROR(VLOOKUP(Tabla14[[#This Row],[Llave]],[9]DELAY!$A:$D,4,FALSE),0)</f>
        <v>0</v>
      </c>
      <c r="R278" s="9">
        <v>23000</v>
      </c>
      <c r="S278" s="5">
        <f t="shared" si="9"/>
        <v>0</v>
      </c>
      <c r="T278" s="76">
        <v>0</v>
      </c>
      <c r="U278" s="5">
        <f>+Tabla14[[#This Row],[Atraso a facturar]]+Tabla14[[#This Row],[Ajuste atraso]]</f>
        <v>0</v>
      </c>
      <c r="V278" s="3">
        <f>+Tabla14[[#This Row],[Total disponible]]-Tabla14[[#This Row],[Facturación atraso]]</f>
        <v>157815.01479766914</v>
      </c>
      <c r="W278" s="6">
        <f>IFERROR(IF(AND(V278&gt;R278,J278&gt;=R278),ROUNDDOWN((Tabla14[[#This Row],[Producción para venta nueva]])/R278,0)*R278,0),0)</f>
        <v>0</v>
      </c>
      <c r="X278" s="76">
        <v>0</v>
      </c>
      <c r="Y278" s="6">
        <f>IF(Tabla14[[#This Row],[Venta del mes]]&gt;0,Tabla14[[#This Row],[Venta del mes]]+Tabla14[[#This Row],[Ajuste venta nueva]],0)</f>
        <v>0</v>
      </c>
      <c r="Z278" s="6">
        <f>+Tabla14[[#This Row],[Producción para venta nueva]]-Tabla14[[#This Row],[Facturación Venta nueva]]</f>
        <v>157815.01479766914</v>
      </c>
      <c r="AA278" s="6">
        <f>IF(AND(A278=1,Tabla14[[#This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8" s="6">
        <v>0</v>
      </c>
      <c r="AC278" s="6">
        <f>IF(Tabla14[[#This Row],[Disponible stock sin venta]]&gt;0,Tabla14[[#This Row],[Disponible stock sin venta]]+Tabla14[[#This Row],[Ajuste stock sin venta]],0)</f>
        <v>0</v>
      </c>
      <c r="AD278" s="3">
        <f>IFERROR(VLOOKUP(Tabla14[[#This Row],[Llave]],[12]Hoja1!$A:$D,4,FALSE),0)</f>
        <v>0</v>
      </c>
      <c r="AE27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78" s="3">
        <v>0</v>
      </c>
      <c r="AG278" s="3">
        <f>+Tabla14[[#This Row],[En puerto a facturar]]</f>
        <v>0</v>
      </c>
      <c r="AH278" s="3">
        <f>+Tabla14[[#This Row],[Facturación atraso]]</f>
        <v>0</v>
      </c>
      <c r="AI278" s="3">
        <f>+Tabla14[[#This Row],[Plan Irrestricto (DATO)]]-Tabla14[[#This Row],[Puerto ]]-Tabla14[[#This Row],[Atraso]]</f>
        <v>0</v>
      </c>
      <c r="AJ27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78" s="3">
        <f>+Tabla14[[#This Row],[Facturación atraso]]</f>
        <v>0</v>
      </c>
      <c r="AL278" s="3">
        <f>Tabla14[[#This Row],[Plan Ajustado]]-Tabla14[[#This Row],[ Atraso ajustado]]-Tabla14[[#This Row],[En puerto a facturar]]</f>
        <v>0</v>
      </c>
      <c r="AM278" s="3">
        <v>0</v>
      </c>
      <c r="AN278" s="3"/>
      <c r="AO278" s="3" t="str">
        <f>IF(Tabla14[[#This Row],[Plan Ajustado]]&gt;Tabla14[[#This Row],[En puerto a facturar]],"Si","No")</f>
        <v>No</v>
      </c>
      <c r="AP27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78" s="3">
        <f>IF(Tabla14[[#This Row],[Necesidad]]&gt;=Tabla14[[#This Row],[Stock al día]],Tabla14[[#This Row],[Stock al día]],Tabla14[[#This Row],[Necesidad]])</f>
        <v>0</v>
      </c>
      <c r="AR278" s="3">
        <f>+Tabla14[[#This Row],[Necesidad]]-Tabla14[[#This Row],[Stock Plan]]</f>
        <v>0</v>
      </c>
      <c r="AS278" s="155">
        <f>VLOOKUP(Tabla14[[#This Row],[Sector]]&amp;Tabla14[[#This Row],[Oficina]],[8]Ponderación!$A:$H,8,FALSE)</f>
        <v>44814</v>
      </c>
      <c r="AT278" s="30">
        <f>IFERROR(VLOOKUP(Tabla14[[#This Row],[Llave]],'[6]RV plan de ventas'!$A:$F,6,FALSE),0)</f>
        <v>0</v>
      </c>
      <c r="AU278" s="83">
        <f>IFERROR(VLOOKUP(Tabla14[[#This Row],[Llave]],[9]DELAY!$H:$X,17,FALSE),0)</f>
        <v>0</v>
      </c>
      <c r="AV27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78" s="5">
        <f>Tabla14[[#This Row],[Pecio plan]]*Tabla14[[#This Row],[Plan Ajustado]]</f>
        <v>0</v>
      </c>
      <c r="AX278" s="30">
        <f>IFERROR(VLOOKUP(Tabla14[[#This Row],[Llave]],'[13]Ultimos precios facturados'!$A:$G,7,FALSE),0)</f>
        <v>0.43339239832268295</v>
      </c>
      <c r="AY27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78" s="30">
        <f>IFERROR(VLOOKUP(Tabla14[[#This Row],[Llave]],Hoja2!B:K,10,FALSE),0)</f>
        <v>0.41875000000000001</v>
      </c>
      <c r="BA27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78" s="30">
        <v>0</v>
      </c>
      <c r="BC278" s="30">
        <f>IF(Tabla14[[#This Row],[Market]]=0,Tabla14[[#This Row],[Precio Final]],Tabla14[[#This Row],[Market]])</f>
        <v>0</v>
      </c>
      <c r="BD278" s="82"/>
      <c r="BE278" s="82" t="str">
        <f>IF(AND(Tabla14[[#This Row],[Atraso a facturar]]&gt;0,Tabla14[[#This Row],[En puerto a facturar]]&gt;0,Tabla14[[#This Row],[Precio Atraso]]=0),"Revisar","OK")</f>
        <v>OK</v>
      </c>
      <c r="BF278" s="82" t="str">
        <f>IF(AND(Tabla14[[#This Row],[Venta del mes]]&gt;0,Tabla14[[#This Row],[Precio venta nueva]]=0),"Revisar","OK")</f>
        <v>OK</v>
      </c>
      <c r="BG278" s="20">
        <f>IFERROR(VLOOKUP(Tabla14[[#This Row],[Llave]],'[5]Consolidación planes'!$A:$M,9,FALSE),0)</f>
        <v>0</v>
      </c>
      <c r="BH278" s="20">
        <f>IFERROR(VLOOKUP(Tabla14[[#This Row],[Llave]],'[5]Consolidación planes'!$A:$M,10,FALSE),0)</f>
        <v>0</v>
      </c>
      <c r="BI278" s="20">
        <f>IFERROR(VLOOKUP(Tabla14[[#This Row],[Llave]],'[5]Consolidación planes'!$A:$M,11,FALSE),0)</f>
        <v>0</v>
      </c>
      <c r="BJ278" s="20">
        <f>IFERROR(VLOOKUP(Tabla14[[#This Row],[Llave]],'[5]Consolidación planes'!$A:$M,12,FALSE),0)</f>
        <v>0</v>
      </c>
      <c r="BK278" s="20">
        <f>IFERROR(VLOOKUP(Tabla14[[#This Row],[Llave]],'[5]Consolidación planes'!$A:$M,13,FALSE),0)</f>
        <v>0</v>
      </c>
      <c r="BL278" s="20">
        <f>IFERROR(VLOOKUP(Tabla14[[#This Row],[Llave]],'[13]Base ultimos planes'!$A:$M,13,FALSE),0)</f>
        <v>0</v>
      </c>
      <c r="BM278" s="20">
        <f>IFERROR(VLOOKUP(Tabla14[[#This Row],[Llave]],'[13]Cruce plan irrestricto'!$C:$M,10,FALSE),0)</f>
        <v>0</v>
      </c>
      <c r="BN278" s="20">
        <f>IFERROR(VLOOKUP(Tabla14[[#This Row],[Llave]],'[13]Cruce plan irrestricto'!$C:$M,11,FALSE),0)</f>
        <v>33000</v>
      </c>
      <c r="BO278" s="80">
        <f>IFERROR(VLOOKUP(Tabla14[[#This Row],[Llave]],'[13]Base ultimos planes'!$O:$AA,8,FALSE),0)</f>
        <v>0</v>
      </c>
      <c r="BP278" s="20">
        <f>IFERROR(VLOOKUP(Tabla14[[#This Row],[Llave]],'[13]Base ultimos planes'!$O:$AA,9,FALSE),0)</f>
        <v>0</v>
      </c>
      <c r="BQ278" s="20">
        <f>IFERROR(VLOOKUP(Tabla14[[#This Row],[Llave]],'[13]Base ultimos planes'!$O:$AA,10,FALSE),0)</f>
        <v>0</v>
      </c>
      <c r="BR278" s="20">
        <f>IFERROR(VLOOKUP(Tabla14[[#This Row],[Llave]],'[13]Base ultimos planes'!$O:$AA,11,FALSE),0)</f>
        <v>0</v>
      </c>
      <c r="BS278" s="20">
        <f>IFERROR(VLOOKUP(Tabla14[[#This Row],[Llave]],'[13]Base ultimos planes'!$O:$AA,12,FALSE),0)</f>
        <v>0</v>
      </c>
      <c r="BT278" s="20">
        <f>IFERROR(VLOOKUP(Tabla14[[#This Row],[Llave]],'[13]Base ultimos planes'!$O:$AA,13,FALSE),0)</f>
        <v>0</v>
      </c>
      <c r="BU278" s="35"/>
      <c r="BV278" s="20">
        <f>Tabla14[[#This Row],[ RV Producción mes n+1]]-Tabla14[[#This Row],[Producción disponible]]+Tabla14[[#This Row],[Saldo Volumen disponible]]</f>
        <v>223452.84000000003</v>
      </c>
      <c r="BW278" s="20">
        <f>IFERROR(VLOOKUP(Tabla14[[#This Row],[Llave]],[14]Hoja2!$J:$N,4,FALSE),0)</f>
        <v>0</v>
      </c>
      <c r="BX278" s="20">
        <f>+Tabla14[[#This Row],[Asignación mes n+1]]*Tabla14[[#This Row],[% Uti. producción]]</f>
        <v>0</v>
      </c>
      <c r="BY278" s="20">
        <f>+Tabla14[[#This Row],[Ponderación mes n+1]]+Tabla14[[#This Row],[Saldo mes n-1]]</f>
        <v>223452.84000000003</v>
      </c>
      <c r="BZ278" s="20">
        <f>+Tabla14[[#This Row],[Asignación mes n+1]]-Tabla14[[#This Row],[Ponderación mes n+1]]</f>
        <v>0</v>
      </c>
      <c r="CA278" s="20">
        <f>IFERROR(VLOOKUP(Tabla14[[#This Row],[Llave]],[14]Hoja2!$J:$N,5,FALSE),0)</f>
        <v>0</v>
      </c>
      <c r="CB278" s="20">
        <f>+Tabla14[[#This Row],[Asignación mes n+2]]*Tabla14[[#This Row],[% Uti. producción]]</f>
        <v>0</v>
      </c>
      <c r="CC278" s="20">
        <f>+Tabla14[[#This Row],[Saldo mes n+2]]+Tabla14[[#This Row],[Ponderación mes n+2]]</f>
        <v>0</v>
      </c>
      <c r="CD278" s="20">
        <f>+Tabla14[[#This Row],[Asignación mes n+2]]-Tabla14[[#This Row],[Ponderación mes n+2]]</f>
        <v>0</v>
      </c>
    </row>
    <row r="279" spans="1:82" ht="16" x14ac:dyDescent="0.2">
      <c r="A279">
        <v>2</v>
      </c>
      <c r="B279" t="str">
        <f>Tabla14[[#This Row],[Oficina]]&amp;Tabla14[[#This Row],[Material]]</f>
        <v>Agrosuper Shanghai1022388</v>
      </c>
      <c r="C279" t="s">
        <v>6</v>
      </c>
      <c r="D279" t="s">
        <v>140</v>
      </c>
      <c r="E279">
        <v>1022388</v>
      </c>
      <c r="F279" t="s">
        <v>599</v>
      </c>
      <c r="G279" t="s">
        <v>92</v>
      </c>
      <c r="H279" t="s">
        <v>93</v>
      </c>
      <c r="I279" s="7">
        <f>IFERROR(IF(Tabla14[[#This Row],[Oficina]]=$I$7,VLOOKUP(Tabla14[[#This Row],[Material]],'[6]RV Producción'!$Y:$AA,3,FALSE),VLOOKUP(Tabla14[[#This Row],[Llave]],'[6]RV Producción'!$C:$G,5,FALSE)),0)</f>
        <v>54736</v>
      </c>
      <c r="J279" s="7">
        <f>IFERROR(IF(Tabla14[[#This Row],[Oficina]]=$I$7,VLOOKUP(Tabla14[[#This Row],[Llave]],'[7]Shangai (Tomas)'!$A:$F,6,FALSE),VLOOKUP(Tabla14[[#This Row],[Llave]],'[6]RV plan de ventas'!$A:$E,5,FALSE)),0)</f>
        <v>0</v>
      </c>
      <c r="K279" s="8">
        <f>IFERROR(VLOOKUP(Tabla14[[#This Row],[Sector]]&amp;Tabla14[[#This Row],[Oficina]],[8]Ponderación!$A$3:$G$22,7,FALSE),0)</f>
        <v>0.38476266834449474</v>
      </c>
      <c r="L279" s="7">
        <f>+Tabla14[[#This Row],[ RV Producción mes n+1]]*Tabla14[[#This Row],[% Uti. producción]]</f>
        <v>21060.369414504265</v>
      </c>
      <c r="M279" s="7">
        <f>IFERROR(VLOOKUP(Tabla14[[#This Row],[Material]],'[9]TD Stock'!$B:$C,2,FALSE),0)</f>
        <v>37531.21</v>
      </c>
      <c r="N279" s="7">
        <f>IFERROR(VLOOKUP(Tabla14[[#This Row],[Material]],'[10]Consolidado planificación'!$B:$C,2,FALSE),0)</f>
        <v>15947.686187410558</v>
      </c>
      <c r="O279" s="7">
        <f>IFERROR(VLOOKUP(Tabla14[[#This Row],[Llave]],[11]Hoja2!$D:$G,4,FALSE),0)</f>
        <v>0</v>
      </c>
      <c r="P279" s="37">
        <f>SUM(Tabla14[[#This Row],[Producción disponible]],Tabla14[[#This Row],[Stock al día]],(Tabla14[[#This Row],[Por producir mes N]]*0.9))-Tabla14[[#This Row],[Producción por despachar mes N]]</f>
        <v>72944.496983173769</v>
      </c>
      <c r="Q279" s="7">
        <f>IFERROR(VLOOKUP(Tabla14[[#This Row],[Llave]],[9]DELAY!$A:$D,4,FALSE),0)</f>
        <v>0</v>
      </c>
      <c r="R279" s="9">
        <v>23000</v>
      </c>
      <c r="S279" s="5">
        <f t="shared" si="9"/>
        <v>0</v>
      </c>
      <c r="T279" s="76">
        <v>0</v>
      </c>
      <c r="U279" s="5">
        <f>+Tabla14[[#This Row],[Atraso a facturar]]+Tabla14[[#This Row],[Ajuste atraso]]</f>
        <v>0</v>
      </c>
      <c r="V279" s="3">
        <f>+Tabla14[[#This Row],[Total disponible]]-Tabla14[[#This Row],[Facturación atraso]]</f>
        <v>72944.496983173769</v>
      </c>
      <c r="W279" s="6">
        <f>IFERROR(IF(AND(V279&gt;R279,J279&gt;=R279),ROUNDDOWN((Tabla14[[#This Row],[Producción para venta nueva]])/R279,0)*R279,0),0)</f>
        <v>0</v>
      </c>
      <c r="X279" s="76">
        <v>0</v>
      </c>
      <c r="Y279" s="6">
        <f>IF(Tabla14[[#This Row],[Venta del mes]]&gt;0,Tabla14[[#This Row],[Venta del mes]]+Tabla14[[#This Row],[Ajuste venta nueva]],0)</f>
        <v>0</v>
      </c>
      <c r="Z279" s="6">
        <f>+Tabla14[[#This Row],[Producción para venta nueva]]-Tabla14[[#This Row],[Facturación Venta nueva]]</f>
        <v>72944.496983173769</v>
      </c>
      <c r="AA279" s="6">
        <f>IF(AND(A279=1,Tabla14[[#This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79" s="6">
        <v>0</v>
      </c>
      <c r="AC279" s="6">
        <f>IF(Tabla14[[#This Row],[Disponible stock sin venta]]&gt;0,Tabla14[[#This Row],[Disponible stock sin venta]]+Tabla14[[#This Row],[Ajuste stock sin venta]],0)</f>
        <v>0</v>
      </c>
      <c r="AD279" s="3">
        <f>IFERROR(VLOOKUP(Tabla14[[#This Row],[Llave]],[12]Hoja1!$A:$D,4,FALSE),0)</f>
        <v>0</v>
      </c>
      <c r="AE27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79" s="3">
        <v>0</v>
      </c>
      <c r="AG279" s="3">
        <f>+Tabla14[[#This Row],[En puerto a facturar]]</f>
        <v>0</v>
      </c>
      <c r="AH279" s="3">
        <f>+Tabla14[[#This Row],[Facturación atraso]]</f>
        <v>0</v>
      </c>
      <c r="AI279" s="3">
        <f>+Tabla14[[#This Row],[Plan Irrestricto (DATO)]]-Tabla14[[#This Row],[Puerto ]]-Tabla14[[#This Row],[Atraso]]</f>
        <v>0</v>
      </c>
      <c r="AJ27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79" s="3">
        <f>+Tabla14[[#This Row],[Facturación atraso]]</f>
        <v>0</v>
      </c>
      <c r="AL279" s="3">
        <f>Tabla14[[#This Row],[Plan Ajustado]]-Tabla14[[#This Row],[ Atraso ajustado]]-Tabla14[[#This Row],[En puerto a facturar]]</f>
        <v>0</v>
      </c>
      <c r="AM279" s="3">
        <v>0</v>
      </c>
      <c r="AN279" s="3"/>
      <c r="AO279" s="3" t="str">
        <f>IF(Tabla14[[#This Row],[Plan Ajustado]]&gt;Tabla14[[#This Row],[En puerto a facturar]],"Si","No")</f>
        <v>No</v>
      </c>
      <c r="AP27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79" s="3">
        <f>IF(Tabla14[[#This Row],[Necesidad]]&gt;=Tabla14[[#This Row],[Stock al día]],Tabla14[[#This Row],[Stock al día]],Tabla14[[#This Row],[Necesidad]])</f>
        <v>0</v>
      </c>
      <c r="AR279" s="3">
        <f>+Tabla14[[#This Row],[Necesidad]]-Tabla14[[#This Row],[Stock Plan]]</f>
        <v>0</v>
      </c>
      <c r="AS279" s="155">
        <f>VLOOKUP(Tabla14[[#This Row],[Sector]]&amp;Tabla14[[#This Row],[Oficina]],[8]Ponderación!$A:$H,8,FALSE)</f>
        <v>44814</v>
      </c>
      <c r="AT279" s="30">
        <f>IFERROR(VLOOKUP(Tabla14[[#This Row],[Llave]],'[6]RV plan de ventas'!$A:$F,6,FALSE),0)</f>
        <v>0</v>
      </c>
      <c r="AU279" s="83">
        <f>IFERROR(VLOOKUP(Tabla14[[#This Row],[Llave]],[9]DELAY!$H:$X,17,FALSE),0)</f>
        <v>0</v>
      </c>
      <c r="AV27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79" s="5">
        <f>Tabla14[[#This Row],[Pecio plan]]*Tabla14[[#This Row],[Plan Ajustado]]</f>
        <v>0</v>
      </c>
      <c r="AX279" s="30">
        <f>IFERROR(VLOOKUP(Tabla14[[#This Row],[Llave]],'[13]Ultimos precios facturados'!$A:$G,7,FALSE),0)</f>
        <v>1.5884216940914322</v>
      </c>
      <c r="AY27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79" s="30">
        <f>IFERROR(VLOOKUP(Tabla14[[#This Row],[Llave]],Hoja2!B:K,10,FALSE),0)</f>
        <v>0</v>
      </c>
      <c r="BA27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79" s="30">
        <v>0</v>
      </c>
      <c r="BC279" s="30">
        <f>IF(Tabla14[[#This Row],[Market]]=0,Tabla14[[#This Row],[Precio Final]],Tabla14[[#This Row],[Market]])</f>
        <v>0</v>
      </c>
      <c r="BD279" s="82"/>
      <c r="BE279" s="82" t="str">
        <f>IF(AND(Tabla14[[#This Row],[Atraso a facturar]]&gt;0,Tabla14[[#This Row],[En puerto a facturar]]&gt;0,Tabla14[[#This Row],[Precio Atraso]]=0),"Revisar","OK")</f>
        <v>OK</v>
      </c>
      <c r="BF279" s="82" t="str">
        <f>IF(AND(Tabla14[[#This Row],[Venta del mes]]&gt;0,Tabla14[[#This Row],[Precio venta nueva]]=0),"Revisar","OK")</f>
        <v>OK</v>
      </c>
      <c r="BG279" s="20">
        <f>IFERROR(VLOOKUP(Tabla14[[#This Row],[Llave]],'[5]Consolidación planes'!$A:$M,9,FALSE),0)</f>
        <v>0</v>
      </c>
      <c r="BH279" s="20">
        <f>IFERROR(VLOOKUP(Tabla14[[#This Row],[Llave]],'[5]Consolidación planes'!$A:$M,10,FALSE),0)</f>
        <v>0</v>
      </c>
      <c r="BI279" s="20">
        <f>IFERROR(VLOOKUP(Tabla14[[#This Row],[Llave]],'[5]Consolidación planes'!$A:$M,11,FALSE),0)</f>
        <v>0</v>
      </c>
      <c r="BJ279" s="20">
        <f>IFERROR(VLOOKUP(Tabla14[[#This Row],[Llave]],'[5]Consolidación planes'!$A:$M,12,FALSE),0)</f>
        <v>0</v>
      </c>
      <c r="BK279" s="20">
        <f>IFERROR(VLOOKUP(Tabla14[[#This Row],[Llave]],'[5]Consolidación planes'!$A:$M,13,FALSE),0)</f>
        <v>0</v>
      </c>
      <c r="BL279" s="20">
        <f>IFERROR(VLOOKUP(Tabla14[[#This Row],[Llave]],'[13]Base ultimos planes'!$A:$M,13,FALSE),0)</f>
        <v>0</v>
      </c>
      <c r="BM279" s="20">
        <f>IFERROR(VLOOKUP(Tabla14[[#This Row],[Llave]],'[13]Cruce plan irrestricto'!$C:$M,10,FALSE),0)</f>
        <v>168420</v>
      </c>
      <c r="BN279" s="20">
        <f>IFERROR(VLOOKUP(Tabla14[[#This Row],[Llave]],'[13]Cruce plan irrestricto'!$C:$M,11,FALSE),0)</f>
        <v>192160</v>
      </c>
      <c r="BO279" s="80">
        <f>IFERROR(VLOOKUP(Tabla14[[#This Row],[Llave]],'[13]Base ultimos planes'!$O:$AA,8,FALSE),0)</f>
        <v>0</v>
      </c>
      <c r="BP279" s="20">
        <f>IFERROR(VLOOKUP(Tabla14[[#This Row],[Llave]],'[13]Base ultimos planes'!$O:$AA,9,FALSE),0)</f>
        <v>0</v>
      </c>
      <c r="BQ279" s="20">
        <f>IFERROR(VLOOKUP(Tabla14[[#This Row],[Llave]],'[13]Base ultimos planes'!$O:$AA,10,FALSE),0)</f>
        <v>0</v>
      </c>
      <c r="BR279" s="20">
        <f>IFERROR(VLOOKUP(Tabla14[[#This Row],[Llave]],'[13]Base ultimos planes'!$O:$AA,11,FALSE),0)</f>
        <v>0</v>
      </c>
      <c r="BS279" s="20">
        <f>IFERROR(VLOOKUP(Tabla14[[#This Row],[Llave]],'[13]Base ultimos planes'!$O:$AA,12,FALSE),0)</f>
        <v>0</v>
      </c>
      <c r="BT279" s="20">
        <f>IFERROR(VLOOKUP(Tabla14[[#This Row],[Llave]],'[13]Base ultimos planes'!$O:$AA,13,FALSE),0)</f>
        <v>0</v>
      </c>
      <c r="BU279" s="35"/>
      <c r="BV279" s="20">
        <f>Tabla14[[#This Row],[ RV Producción mes n+1]]-Tabla14[[#This Row],[Producción disponible]]+Tabla14[[#This Row],[Saldo Volumen disponible]]</f>
        <v>106620.1275686695</v>
      </c>
      <c r="BW279" s="20">
        <f>IFERROR(VLOOKUP(Tabla14[[#This Row],[Llave]],[14]Hoja2!$J:$N,4,FALSE),0)</f>
        <v>0</v>
      </c>
      <c r="BX279" s="20">
        <f>+Tabla14[[#This Row],[Asignación mes n+1]]*Tabla14[[#This Row],[% Uti. producción]]</f>
        <v>0</v>
      </c>
      <c r="BY279" s="20">
        <f>+Tabla14[[#This Row],[Ponderación mes n+1]]+Tabla14[[#This Row],[Saldo mes n-1]]</f>
        <v>106620.1275686695</v>
      </c>
      <c r="BZ279" s="20">
        <f>+Tabla14[[#This Row],[Asignación mes n+1]]-Tabla14[[#This Row],[Ponderación mes n+1]]</f>
        <v>0</v>
      </c>
      <c r="CA279" s="20">
        <f>IFERROR(VLOOKUP(Tabla14[[#This Row],[Llave]],[14]Hoja2!$J:$N,5,FALSE),0)</f>
        <v>0</v>
      </c>
      <c r="CB279" s="20">
        <f>+Tabla14[[#This Row],[Asignación mes n+2]]*Tabla14[[#This Row],[% Uti. producción]]</f>
        <v>0</v>
      </c>
      <c r="CC279" s="20">
        <f>+Tabla14[[#This Row],[Saldo mes n+2]]+Tabla14[[#This Row],[Ponderación mes n+2]]</f>
        <v>0</v>
      </c>
      <c r="CD279" s="20">
        <f>+Tabla14[[#This Row],[Asignación mes n+2]]-Tabla14[[#This Row],[Ponderación mes n+2]]</f>
        <v>0</v>
      </c>
    </row>
    <row r="280" spans="1:82" ht="16" x14ac:dyDescent="0.2">
      <c r="A280">
        <v>2</v>
      </c>
      <c r="B280" t="str">
        <f>Tabla14[[#This Row],[Oficina]]&amp;Tabla14[[#This Row],[Material]]</f>
        <v>Agrosuper Shanghai1022646</v>
      </c>
      <c r="C280" t="s">
        <v>6</v>
      </c>
      <c r="D280" t="s">
        <v>140</v>
      </c>
      <c r="E280">
        <v>1022646</v>
      </c>
      <c r="F280" t="s">
        <v>600</v>
      </c>
      <c r="G280" t="s">
        <v>56</v>
      </c>
      <c r="H280" t="s">
        <v>57</v>
      </c>
      <c r="I280" s="7">
        <f>IFERROR(IF(Tabla14[[#This Row],[Oficina]]=$I$7,VLOOKUP(Tabla14[[#This Row],[Material]],'[6]RV Producción'!$Y:$AA,3,FALSE),VLOOKUP(Tabla14[[#This Row],[Llave]],'[6]RV Producción'!$C:$G,5,FALSE)),0)</f>
        <v>11072</v>
      </c>
      <c r="J280" s="7">
        <f>IFERROR(IF(Tabla14[[#This Row],[Oficina]]=$I$7,VLOOKUP(Tabla14[[#This Row],[Llave]],'[7]Shangai (Tomas)'!$A:$F,6,FALSE),VLOOKUP(Tabla14[[#This Row],[Llave]],'[6]RV plan de ventas'!$A:$E,5,FALSE)),0)</f>
        <v>0</v>
      </c>
      <c r="K280" s="8">
        <f>IFERROR(VLOOKUP(Tabla14[[#This Row],[Sector]]&amp;Tabla14[[#This Row],[Oficina]],[8]Ponderación!$A$3:$G$22,7,FALSE),0)</f>
        <v>0.38476266834449474</v>
      </c>
      <c r="L280" s="7">
        <f>+Tabla14[[#This Row],[ RV Producción mes n+1]]*Tabla14[[#This Row],[% Uti. producción]]</f>
        <v>4260.0922639102455</v>
      </c>
      <c r="M280" s="7">
        <f>IFERROR(VLOOKUP(Tabla14[[#This Row],[Material]],'[9]TD Stock'!$B:$C,2,FALSE),0)</f>
        <v>25019.167999999998</v>
      </c>
      <c r="N280" s="7">
        <f>IFERROR(VLOOKUP(Tabla14[[#This Row],[Material]],'[10]Consolidado planificación'!$B:$C,2,FALSE),0)</f>
        <v>17031.759691435676</v>
      </c>
      <c r="O280" s="7">
        <f>IFERROR(VLOOKUP(Tabla14[[#This Row],[Llave]],[11]Hoja2!$D:$G,4,FALSE),0)</f>
        <v>0</v>
      </c>
      <c r="P280" s="37">
        <f>SUM(Tabla14[[#This Row],[Producción disponible]],Tabla14[[#This Row],[Stock al día]],(Tabla14[[#This Row],[Por producir mes N]]*0.9))-Tabla14[[#This Row],[Producción por despachar mes N]]</f>
        <v>44607.843986202352</v>
      </c>
      <c r="Q280" s="7">
        <f>IFERROR(VLOOKUP(Tabla14[[#This Row],[Llave]],[9]DELAY!$A:$D,4,FALSE),0)</f>
        <v>0</v>
      </c>
      <c r="R280" s="9">
        <v>23000</v>
      </c>
      <c r="S280" s="5">
        <f t="shared" si="9"/>
        <v>0</v>
      </c>
      <c r="T280" s="76">
        <v>0</v>
      </c>
      <c r="U280" s="5">
        <f>+Tabla14[[#This Row],[Atraso a facturar]]+Tabla14[[#This Row],[Ajuste atraso]]</f>
        <v>0</v>
      </c>
      <c r="V280" s="3">
        <f>+Tabla14[[#This Row],[Total disponible]]-Tabla14[[#This Row],[Facturación atraso]]</f>
        <v>44607.843986202352</v>
      </c>
      <c r="W280" s="6">
        <f>IFERROR(IF(AND(V280&gt;R280,J280&gt;=R280),ROUNDDOWN((Tabla14[[#This Row],[Producción para venta nueva]])/R280,0)*R280,0),0)</f>
        <v>0</v>
      </c>
      <c r="X280" s="76">
        <v>0</v>
      </c>
      <c r="Y280" s="6">
        <f>IF(Tabla14[[#This Row],[Venta del mes]]&gt;0,Tabla14[[#This Row],[Venta del mes]]+Tabla14[[#This Row],[Ajuste venta nueva]],0)</f>
        <v>0</v>
      </c>
      <c r="Z280" s="6">
        <f>+Tabla14[[#This Row],[Producción para venta nueva]]-Tabla14[[#This Row],[Facturación Venta nueva]]</f>
        <v>44607.843986202352</v>
      </c>
      <c r="AA280" s="6">
        <f>IF(AND(A280=1,Tabla14[[#This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0" s="6">
        <v>0</v>
      </c>
      <c r="AC280" s="6">
        <f>IF(Tabla14[[#This Row],[Disponible stock sin venta]]&gt;0,Tabla14[[#This Row],[Disponible stock sin venta]]+Tabla14[[#This Row],[Ajuste stock sin venta]],0)</f>
        <v>0</v>
      </c>
      <c r="AD280" s="3">
        <f>IFERROR(VLOOKUP(Tabla14[[#This Row],[Llave]],[12]Hoja1!$A:$D,4,FALSE),0)</f>
        <v>0</v>
      </c>
      <c r="AE28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80" s="3">
        <v>0</v>
      </c>
      <c r="AG280" s="3">
        <f>+Tabla14[[#This Row],[En puerto a facturar]]</f>
        <v>0</v>
      </c>
      <c r="AH280" s="3">
        <f>+Tabla14[[#This Row],[Facturación atraso]]</f>
        <v>0</v>
      </c>
      <c r="AI280" s="3">
        <f>+Tabla14[[#This Row],[Plan Irrestricto (DATO)]]-Tabla14[[#This Row],[Puerto ]]-Tabla14[[#This Row],[Atraso]]</f>
        <v>0</v>
      </c>
      <c r="AJ28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80" s="3">
        <f>+Tabla14[[#This Row],[Facturación atraso]]</f>
        <v>0</v>
      </c>
      <c r="AL280" s="3">
        <f>Tabla14[[#This Row],[Plan Ajustado]]-Tabla14[[#This Row],[ Atraso ajustado]]-Tabla14[[#This Row],[En puerto a facturar]]</f>
        <v>0</v>
      </c>
      <c r="AM280" s="3">
        <v>0</v>
      </c>
      <c r="AN280" s="3"/>
      <c r="AO280" s="3" t="str">
        <f>IF(Tabla14[[#This Row],[Plan Ajustado]]&gt;Tabla14[[#This Row],[En puerto a facturar]],"Si","No")</f>
        <v>No</v>
      </c>
      <c r="AP28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0" s="3">
        <f>IF(Tabla14[[#This Row],[Necesidad]]&gt;=Tabla14[[#This Row],[Stock al día]],Tabla14[[#This Row],[Stock al día]],Tabla14[[#This Row],[Necesidad]])</f>
        <v>0</v>
      </c>
      <c r="AR280" s="3">
        <f>+Tabla14[[#This Row],[Necesidad]]-Tabla14[[#This Row],[Stock Plan]]</f>
        <v>0</v>
      </c>
      <c r="AS280" s="155">
        <f>VLOOKUP(Tabla14[[#This Row],[Sector]]&amp;Tabla14[[#This Row],[Oficina]],[8]Ponderación!$A:$H,8,FALSE)</f>
        <v>44814</v>
      </c>
      <c r="AT280" s="30">
        <f>IFERROR(VLOOKUP(Tabla14[[#This Row],[Llave]],'[6]RV plan de ventas'!$A:$F,6,FALSE),0)</f>
        <v>0</v>
      </c>
      <c r="AU280" s="83">
        <f>IFERROR(VLOOKUP(Tabla14[[#This Row],[Llave]],[9]DELAY!$H:$X,17,FALSE),0)</f>
        <v>0</v>
      </c>
      <c r="AV28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80" s="5">
        <f>Tabla14[[#This Row],[Pecio plan]]*Tabla14[[#This Row],[Plan Ajustado]]</f>
        <v>0</v>
      </c>
      <c r="AX280" s="30">
        <f>IFERROR(VLOOKUP(Tabla14[[#This Row],[Llave]],'[13]Ultimos precios facturados'!$A:$G,7,FALSE),0)</f>
        <v>5.4547211780949603</v>
      </c>
      <c r="AY28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0" s="30">
        <f>IFERROR(VLOOKUP(Tabla14[[#This Row],[Llave]],Hoja2!B:K,10,FALSE),0)</f>
        <v>0</v>
      </c>
      <c r="BA28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80" s="30">
        <v>0</v>
      </c>
      <c r="BC280" s="30">
        <f>IF(Tabla14[[#This Row],[Market]]=0,Tabla14[[#This Row],[Precio Final]],Tabla14[[#This Row],[Market]])</f>
        <v>0</v>
      </c>
      <c r="BD280" s="82"/>
      <c r="BE280" s="82" t="str">
        <f>IF(AND(Tabla14[[#This Row],[Atraso a facturar]]&gt;0,Tabla14[[#This Row],[En puerto a facturar]]&gt;0,Tabla14[[#This Row],[Precio Atraso]]=0),"Revisar","OK")</f>
        <v>OK</v>
      </c>
      <c r="BF280" s="82" t="str">
        <f>IF(AND(Tabla14[[#This Row],[Venta del mes]]&gt;0,Tabla14[[#This Row],[Precio venta nueva]]=0),"Revisar","OK")</f>
        <v>OK</v>
      </c>
      <c r="BG280" s="20">
        <f>IFERROR(VLOOKUP(Tabla14[[#This Row],[Llave]],'[5]Consolidación planes'!$A:$M,9,FALSE),0)</f>
        <v>0</v>
      </c>
      <c r="BH280" s="20">
        <f>IFERROR(VLOOKUP(Tabla14[[#This Row],[Llave]],'[5]Consolidación planes'!$A:$M,10,FALSE),0)</f>
        <v>0</v>
      </c>
      <c r="BI280" s="20">
        <f>IFERROR(VLOOKUP(Tabla14[[#This Row],[Llave]],'[5]Consolidación planes'!$A:$M,11,FALSE),0)</f>
        <v>0</v>
      </c>
      <c r="BJ280" s="20">
        <f>IFERROR(VLOOKUP(Tabla14[[#This Row],[Llave]],'[5]Consolidación planes'!$A:$M,12,FALSE),0)</f>
        <v>0</v>
      </c>
      <c r="BK280" s="20">
        <f>IFERROR(VLOOKUP(Tabla14[[#This Row],[Llave]],'[5]Consolidación planes'!$A:$M,13,FALSE),0)</f>
        <v>0</v>
      </c>
      <c r="BL280" s="20">
        <f>IFERROR(VLOOKUP(Tabla14[[#This Row],[Llave]],'[13]Base ultimos planes'!$A:$M,13,FALSE),0)</f>
        <v>0</v>
      </c>
      <c r="BM280" s="20">
        <f>IFERROR(VLOOKUP(Tabla14[[#This Row],[Llave]],'[13]Cruce plan irrestricto'!$C:$M,10,FALSE),0)</f>
        <v>0</v>
      </c>
      <c r="BN280" s="20">
        <f>IFERROR(VLOOKUP(Tabla14[[#This Row],[Llave]],'[13]Cruce plan irrestricto'!$C:$M,11,FALSE),0)</f>
        <v>0</v>
      </c>
      <c r="BO280" s="80">
        <f>IFERROR(VLOOKUP(Tabla14[[#This Row],[Llave]],'[13]Base ultimos planes'!$O:$AA,8,FALSE),0)</f>
        <v>0</v>
      </c>
      <c r="BP280" s="20">
        <f>IFERROR(VLOOKUP(Tabla14[[#This Row],[Llave]],'[13]Base ultimos planes'!$O:$AA,9,FALSE),0)</f>
        <v>0</v>
      </c>
      <c r="BQ280" s="20">
        <f>IFERROR(VLOOKUP(Tabla14[[#This Row],[Llave]],'[13]Base ultimos planes'!$O:$AA,10,FALSE),0)</f>
        <v>0</v>
      </c>
      <c r="BR280" s="20">
        <f>IFERROR(VLOOKUP(Tabla14[[#This Row],[Llave]],'[13]Base ultimos planes'!$O:$AA,11,FALSE),0)</f>
        <v>0</v>
      </c>
      <c r="BS280" s="20">
        <f>IFERROR(VLOOKUP(Tabla14[[#This Row],[Llave]],'[13]Base ultimos planes'!$O:$AA,12,FALSE),0)</f>
        <v>0</v>
      </c>
      <c r="BT280" s="20">
        <f>IFERROR(VLOOKUP(Tabla14[[#This Row],[Llave]],'[13]Base ultimos planes'!$O:$AA,13,FALSE),0)</f>
        <v>0</v>
      </c>
      <c r="BU280" s="35"/>
      <c r="BV280" s="20">
        <f>Tabla14[[#This Row],[ RV Producción mes n+1]]-Tabla14[[#This Row],[Producción disponible]]+Tabla14[[#This Row],[Saldo Volumen disponible]]</f>
        <v>51419.751722292109</v>
      </c>
      <c r="BW280" s="20">
        <f>IFERROR(VLOOKUP(Tabla14[[#This Row],[Llave]],[14]Hoja2!$J:$N,4,FALSE),0)</f>
        <v>0</v>
      </c>
      <c r="BX280" s="20">
        <f>+Tabla14[[#This Row],[Asignación mes n+1]]*Tabla14[[#This Row],[% Uti. producción]]</f>
        <v>0</v>
      </c>
      <c r="BY280" s="20">
        <f>+Tabla14[[#This Row],[Ponderación mes n+1]]+Tabla14[[#This Row],[Saldo mes n-1]]</f>
        <v>51419.751722292109</v>
      </c>
      <c r="BZ280" s="20">
        <f>+Tabla14[[#This Row],[Asignación mes n+1]]-Tabla14[[#This Row],[Ponderación mes n+1]]</f>
        <v>0</v>
      </c>
      <c r="CA280" s="20">
        <f>IFERROR(VLOOKUP(Tabla14[[#This Row],[Llave]],[14]Hoja2!$J:$N,5,FALSE),0)</f>
        <v>0</v>
      </c>
      <c r="CB280" s="20">
        <f>+Tabla14[[#This Row],[Asignación mes n+2]]*Tabla14[[#This Row],[% Uti. producción]]</f>
        <v>0</v>
      </c>
      <c r="CC280" s="20">
        <f>+Tabla14[[#This Row],[Saldo mes n+2]]+Tabla14[[#This Row],[Ponderación mes n+2]]</f>
        <v>0</v>
      </c>
      <c r="CD280" s="20">
        <f>+Tabla14[[#This Row],[Asignación mes n+2]]-Tabla14[[#This Row],[Ponderación mes n+2]]</f>
        <v>0</v>
      </c>
    </row>
    <row r="281" spans="1:82" ht="16" x14ac:dyDescent="0.2">
      <c r="A281">
        <v>2</v>
      </c>
      <c r="B281" t="str">
        <f>Tabla14[[#This Row],[Oficina]]&amp;Tabla14[[#This Row],[Material]]</f>
        <v>Agrosuper Shanghai1023035</v>
      </c>
      <c r="C281" t="s">
        <v>6</v>
      </c>
      <c r="D281" t="s">
        <v>140</v>
      </c>
      <c r="E281">
        <v>1023035</v>
      </c>
      <c r="F281" t="s">
        <v>601</v>
      </c>
      <c r="G281" t="s">
        <v>71</v>
      </c>
      <c r="H281" t="s">
        <v>72</v>
      </c>
      <c r="I281" s="7">
        <f>IFERROR(IF(Tabla14[[#This Row],[Oficina]]=$I$7,VLOOKUP(Tabla14[[#This Row],[Material]],'[6]RV Producción'!$Y:$AA,3,FALSE),VLOOKUP(Tabla14[[#This Row],[Llave]],'[6]RV Producción'!$C:$G,5,FALSE)),0)</f>
        <v>0</v>
      </c>
      <c r="J281" s="7">
        <f>IFERROR(IF(Tabla14[[#This Row],[Oficina]]=$I$7,VLOOKUP(Tabla14[[#This Row],[Llave]],'[7]Shangai (Tomas)'!$A:$F,6,FALSE),VLOOKUP(Tabla14[[#This Row],[Llave]],'[6]RV plan de ventas'!$A:$E,5,FALSE)),0)</f>
        <v>0</v>
      </c>
      <c r="K281" s="8">
        <f>IFERROR(VLOOKUP(Tabla14[[#This Row],[Sector]]&amp;Tabla14[[#This Row],[Oficina]],[8]Ponderación!$A$3:$G$22,7,FALSE),0)</f>
        <v>0.38476266834449474</v>
      </c>
      <c r="L281" s="7">
        <f>+Tabla14[[#This Row],[ RV Producción mes n+1]]*Tabla14[[#This Row],[% Uti. producción]]</f>
        <v>0</v>
      </c>
      <c r="M281" s="7">
        <f>IFERROR(VLOOKUP(Tabla14[[#This Row],[Material]],'[9]TD Stock'!$B:$C,2,FALSE),0)</f>
        <v>15837.322000000004</v>
      </c>
      <c r="N281" s="7">
        <f>IFERROR(VLOOKUP(Tabla14[[#This Row],[Material]],'[10]Consolidado planificación'!$B:$C,2,FALSE),0)</f>
        <v>6000</v>
      </c>
      <c r="O281" s="7">
        <f>IFERROR(VLOOKUP(Tabla14[[#This Row],[Llave]],[11]Hoja2!$D:$G,4,FALSE),0)</f>
        <v>0</v>
      </c>
      <c r="P281" s="37">
        <f>SUM(Tabla14[[#This Row],[Producción disponible]],Tabla14[[#This Row],[Stock al día]],(Tabla14[[#This Row],[Por producir mes N]]*0.9))-Tabla14[[#This Row],[Producción por despachar mes N]]</f>
        <v>21237.322000000004</v>
      </c>
      <c r="Q281" s="7">
        <f>IFERROR(VLOOKUP(Tabla14[[#This Row],[Llave]],[9]DELAY!$A:$D,4,FALSE),0)</f>
        <v>24000</v>
      </c>
      <c r="R281" s="9">
        <v>20000</v>
      </c>
      <c r="S281" s="5">
        <f t="shared" si="9"/>
        <v>20000</v>
      </c>
      <c r="T281" s="76">
        <v>0</v>
      </c>
      <c r="U281" s="5">
        <f>+Tabla14[[#This Row],[Atraso a facturar]]+Tabla14[[#This Row],[Ajuste atraso]]</f>
        <v>20000</v>
      </c>
      <c r="V281" s="3">
        <f>+Tabla14[[#This Row],[Total disponible]]-Tabla14[[#This Row],[Facturación atraso]]</f>
        <v>1237.3220000000038</v>
      </c>
      <c r="W281" s="6">
        <f>IFERROR(IF(AND(V281&gt;R281,J281&gt;=R281),ROUNDDOWN((Tabla14[[#This Row],[Producción para venta nueva]])/R281,0)*R281,0),0)</f>
        <v>0</v>
      </c>
      <c r="X281" s="76">
        <v>0</v>
      </c>
      <c r="Y281" s="6">
        <f>IF(Tabla14[[#This Row],[Venta del mes]]&gt;0,Tabla14[[#This Row],[Venta del mes]]+Tabla14[[#This Row],[Ajuste venta nueva]],0)</f>
        <v>0</v>
      </c>
      <c r="Z281" s="6">
        <f>+Tabla14[[#This Row],[Producción para venta nueva]]-Tabla14[[#This Row],[Facturación Venta nueva]]</f>
        <v>1237.3220000000038</v>
      </c>
      <c r="AA281" s="6">
        <f>IF(AND(A281=1,Tabla14[[#This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1" s="6">
        <v>0</v>
      </c>
      <c r="AC281" s="6">
        <f>IF(Tabla14[[#This Row],[Disponible stock sin venta]]&gt;0,Tabla14[[#This Row],[Disponible stock sin venta]]+Tabla14[[#This Row],[Ajuste stock sin venta]],0)</f>
        <v>0</v>
      </c>
      <c r="AD281" s="3">
        <f>IFERROR(VLOOKUP(Tabla14[[#This Row],[Llave]],[12]Hoja1!$A:$D,4,FALSE),0)</f>
        <v>0</v>
      </c>
      <c r="AE28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20000</v>
      </c>
      <c r="AF281" s="3">
        <v>20000</v>
      </c>
      <c r="AG281" s="3">
        <f>+Tabla14[[#This Row],[En puerto a facturar]]</f>
        <v>0</v>
      </c>
      <c r="AH281" s="3">
        <f>+Tabla14[[#This Row],[Facturación atraso]]</f>
        <v>20000</v>
      </c>
      <c r="AI281" s="3">
        <f>+Tabla14[[#This Row],[Plan Irrestricto (DATO)]]-Tabla14[[#This Row],[Puerto ]]-Tabla14[[#This Row],[Atraso]]</f>
        <v>0</v>
      </c>
      <c r="AJ281" s="6">
        <f>IF(Tabla14[[#This Row],[Plan Irrestricto (DATO)]]&gt;0,SUM(Tabla14[[#This Row],[Facturación atraso]],Tabla14[[#This Row],[Facturación Venta nueva]],Tabla14[[#This Row],[Facturación stock]],Tabla14[[#This Row],[En puerto a facturar]]),0)</f>
        <v>20000</v>
      </c>
      <c r="AK281" s="3">
        <f>+Tabla14[[#This Row],[Facturación atraso]]</f>
        <v>20000</v>
      </c>
      <c r="AL281" s="3">
        <f>Tabla14[[#This Row],[Plan Ajustado]]-Tabla14[[#This Row],[ Atraso ajustado]]-Tabla14[[#This Row],[En puerto a facturar]]</f>
        <v>0</v>
      </c>
      <c r="AM281" s="3">
        <v>0</v>
      </c>
      <c r="AN281" s="3"/>
      <c r="AO281" s="3" t="str">
        <f>IF(Tabla14[[#This Row],[Plan Ajustado]]&gt;Tabla14[[#This Row],[En puerto a facturar]],"Si","No")</f>
        <v>Si</v>
      </c>
      <c r="AP281" s="3">
        <f>IF(AND(Tabla14[[#This Row],[Plan Ajustado]]&gt;0,Tabla14[[#This Row],[Plan Ajustado]]&gt;Tabla14[[#This Row],[En puerto a facturar]]),(Tabla14[[#This Row],[Plan Ajustado]]-Tabla14[[#This Row],[En puerto a facturar]]),0)</f>
        <v>20000</v>
      </c>
      <c r="AQ281" s="3">
        <f>IF(Tabla14[[#This Row],[Necesidad]]&gt;=Tabla14[[#This Row],[Stock al día]],Tabla14[[#This Row],[Stock al día]],Tabla14[[#This Row],[Necesidad]])</f>
        <v>15837.322000000004</v>
      </c>
      <c r="AR281" s="3">
        <f>+Tabla14[[#This Row],[Necesidad]]-Tabla14[[#This Row],[Stock Plan]]</f>
        <v>4162.6779999999962</v>
      </c>
      <c r="AS281" s="155">
        <f>VLOOKUP(Tabla14[[#This Row],[Sector]]&amp;Tabla14[[#This Row],[Oficina]],[8]Ponderación!$A:$H,8,FALSE)</f>
        <v>44814</v>
      </c>
      <c r="AT281" s="30">
        <f>IFERROR(VLOOKUP(Tabla14[[#This Row],[Llave]],'[6]RV plan de ventas'!$A:$F,6,FALSE),0)</f>
        <v>0</v>
      </c>
      <c r="AU281" s="83">
        <f>IFERROR(VLOOKUP(Tabla14[[#This Row],[Llave]],[9]DELAY!$H:$X,17,FALSE),0)</f>
        <v>0.92500000000000004</v>
      </c>
      <c r="AV28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0.92500000000000004</v>
      </c>
      <c r="AW281" s="5">
        <f>Tabla14[[#This Row],[Pecio plan]]*Tabla14[[#This Row],[Plan Ajustado]]</f>
        <v>18500</v>
      </c>
      <c r="AX281" s="30">
        <f>IFERROR(VLOOKUP(Tabla14[[#This Row],[Llave]],'[13]Ultimos precios facturados'!$A:$G,7,FALSE),0)</f>
        <v>0</v>
      </c>
      <c r="AY28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1" s="30">
        <f>IFERROR(VLOOKUP(Tabla14[[#This Row],[Llave]],Hoja2!B:K,10,FALSE),0)</f>
        <v>0.93333333333333302</v>
      </c>
      <c r="BA28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0.92500000000000004</v>
      </c>
      <c r="BB281" s="30">
        <v>0</v>
      </c>
      <c r="BC281" s="30">
        <f>IF(Tabla14[[#This Row],[Market]]=0,Tabla14[[#This Row],[Precio Final]],Tabla14[[#This Row],[Market]])</f>
        <v>0.92500000000000004</v>
      </c>
      <c r="BD281" s="82"/>
      <c r="BE281" s="82" t="str">
        <f>IF(AND(Tabla14[[#This Row],[Atraso a facturar]]&gt;0,Tabla14[[#This Row],[En puerto a facturar]]&gt;0,Tabla14[[#This Row],[Precio Atraso]]=0),"Revisar","OK")</f>
        <v>OK</v>
      </c>
      <c r="BF281" s="82" t="str">
        <f>IF(AND(Tabla14[[#This Row],[Venta del mes]]&gt;0,Tabla14[[#This Row],[Precio venta nueva]]=0),"Revisar","OK")</f>
        <v>OK</v>
      </c>
      <c r="BG281" s="20">
        <f>IFERROR(VLOOKUP(Tabla14[[#This Row],[Llave]],'[5]Consolidación planes'!$A:$M,9,FALSE),0)</f>
        <v>0</v>
      </c>
      <c r="BH281" s="20">
        <f>IFERROR(VLOOKUP(Tabla14[[#This Row],[Llave]],'[5]Consolidación planes'!$A:$M,10,FALSE),0)</f>
        <v>0</v>
      </c>
      <c r="BI281" s="20">
        <f>IFERROR(VLOOKUP(Tabla14[[#This Row],[Llave]],'[5]Consolidación planes'!$A:$M,11,FALSE),0)</f>
        <v>0</v>
      </c>
      <c r="BJ281" s="20">
        <f>IFERROR(VLOOKUP(Tabla14[[#This Row],[Llave]],'[5]Consolidación planes'!$A:$M,12,FALSE),0)</f>
        <v>0</v>
      </c>
      <c r="BK281" s="20">
        <f>IFERROR(VLOOKUP(Tabla14[[#This Row],[Llave]],'[5]Consolidación planes'!$A:$M,13,FALSE),0)</f>
        <v>0</v>
      </c>
      <c r="BL281" s="20">
        <f>IFERROR(VLOOKUP(Tabla14[[#This Row],[Llave]],'[13]Base ultimos planes'!$A:$M,13,FALSE),0)</f>
        <v>0</v>
      </c>
      <c r="BM281" s="20">
        <f>IFERROR(VLOOKUP(Tabla14[[#This Row],[Llave]],'[13]Cruce plan irrestricto'!$C:$M,10,FALSE),0)</f>
        <v>0</v>
      </c>
      <c r="BN281" s="20">
        <f>IFERROR(VLOOKUP(Tabla14[[#This Row],[Llave]],'[13]Cruce plan irrestricto'!$C:$M,11,FALSE),0)</f>
        <v>24000</v>
      </c>
      <c r="BO281" s="80">
        <f>IFERROR(VLOOKUP(Tabla14[[#This Row],[Llave]],'[13]Base ultimos planes'!$O:$AA,8,FALSE),0)</f>
        <v>0</v>
      </c>
      <c r="BP281" s="20">
        <f>IFERROR(VLOOKUP(Tabla14[[#This Row],[Llave]],'[13]Base ultimos planes'!$O:$AA,9,FALSE),0)</f>
        <v>0</v>
      </c>
      <c r="BQ281" s="20">
        <f>IFERROR(VLOOKUP(Tabla14[[#This Row],[Llave]],'[13]Base ultimos planes'!$O:$AA,10,FALSE),0)</f>
        <v>0</v>
      </c>
      <c r="BR281" s="20">
        <f>IFERROR(VLOOKUP(Tabla14[[#This Row],[Llave]],'[13]Base ultimos planes'!$O:$AA,11,FALSE),0)</f>
        <v>0</v>
      </c>
      <c r="BS281" s="20">
        <f>IFERROR(VLOOKUP(Tabla14[[#This Row],[Llave]],'[13]Base ultimos planes'!$O:$AA,12,FALSE),0)</f>
        <v>0</v>
      </c>
      <c r="BT281" s="20">
        <f>IFERROR(VLOOKUP(Tabla14[[#This Row],[Llave]],'[13]Base ultimos planes'!$O:$AA,13,FALSE),0)</f>
        <v>0</v>
      </c>
      <c r="BU281" s="35"/>
      <c r="BV281" s="20">
        <f>Tabla14[[#This Row],[ RV Producción mes n+1]]-Tabla14[[#This Row],[Producción disponible]]+Tabla14[[#This Row],[Saldo Volumen disponible]]</f>
        <v>1237.3220000000038</v>
      </c>
      <c r="BW281" s="20">
        <f>IFERROR(VLOOKUP(Tabla14[[#This Row],[Llave]],[14]Hoja2!$J:$N,4,FALSE),0)</f>
        <v>0</v>
      </c>
      <c r="BX281" s="20">
        <f>+Tabla14[[#This Row],[Asignación mes n+1]]*Tabla14[[#This Row],[% Uti. producción]]</f>
        <v>0</v>
      </c>
      <c r="BY281" s="20">
        <f>+Tabla14[[#This Row],[Ponderación mes n+1]]+Tabla14[[#This Row],[Saldo mes n-1]]</f>
        <v>1237.3220000000038</v>
      </c>
      <c r="BZ281" s="20">
        <f>+Tabla14[[#This Row],[Asignación mes n+1]]-Tabla14[[#This Row],[Ponderación mes n+1]]</f>
        <v>0</v>
      </c>
      <c r="CA281" s="20">
        <f>IFERROR(VLOOKUP(Tabla14[[#This Row],[Llave]],[14]Hoja2!$J:$N,5,FALSE),0)</f>
        <v>0</v>
      </c>
      <c r="CB281" s="20">
        <f>+Tabla14[[#This Row],[Asignación mes n+2]]*Tabla14[[#This Row],[% Uti. producción]]</f>
        <v>0</v>
      </c>
      <c r="CC281" s="20">
        <f>+Tabla14[[#This Row],[Saldo mes n+2]]+Tabla14[[#This Row],[Ponderación mes n+2]]</f>
        <v>0</v>
      </c>
      <c r="CD281" s="20">
        <f>+Tabla14[[#This Row],[Asignación mes n+2]]-Tabla14[[#This Row],[Ponderación mes n+2]]</f>
        <v>0</v>
      </c>
    </row>
    <row r="282" spans="1:82" ht="16" x14ac:dyDescent="0.2">
      <c r="A282">
        <v>2</v>
      </c>
      <c r="B282" t="str">
        <f>Tabla14[[#This Row],[Oficina]]&amp;Tabla14[[#This Row],[Material]]</f>
        <v>Agrosuper Shanghai1023362</v>
      </c>
      <c r="C282" t="s">
        <v>6</v>
      </c>
      <c r="D282" t="s">
        <v>140</v>
      </c>
      <c r="E282">
        <v>1023362</v>
      </c>
      <c r="F282" t="s">
        <v>602</v>
      </c>
      <c r="G282" t="s">
        <v>603</v>
      </c>
      <c r="H282" t="s">
        <v>604</v>
      </c>
      <c r="I282" s="7">
        <f>IFERROR(IF(Tabla14[[#This Row],[Oficina]]=$I$7,VLOOKUP(Tabla14[[#This Row],[Material]],'[6]RV Producción'!$Y:$AA,3,FALSE),VLOOKUP(Tabla14[[#This Row],[Llave]],'[6]RV Producción'!$C:$G,5,FALSE)),0)</f>
        <v>0</v>
      </c>
      <c r="J282" s="7">
        <f>IFERROR(IF(Tabla14[[#This Row],[Oficina]]=$I$7,VLOOKUP(Tabla14[[#This Row],[Llave]],'[7]Shangai (Tomas)'!$A:$F,6,FALSE),VLOOKUP(Tabla14[[#This Row],[Llave]],'[6]RV plan de ventas'!$A:$E,5,FALSE)),0)</f>
        <v>0</v>
      </c>
      <c r="K282" s="8">
        <f>IFERROR(VLOOKUP(Tabla14[[#This Row],[Sector]]&amp;Tabla14[[#This Row],[Oficina]],[8]Ponderación!$A$3:$G$22,7,FALSE),0)</f>
        <v>0.38476266834449474</v>
      </c>
      <c r="L282" s="7">
        <f>+Tabla14[[#This Row],[ RV Producción mes n+1]]*Tabla14[[#This Row],[% Uti. producción]]</f>
        <v>0</v>
      </c>
      <c r="M282" s="7">
        <f>IFERROR(VLOOKUP(Tabla14[[#This Row],[Material]],'[9]TD Stock'!$B:$C,2,FALSE),0)</f>
        <v>19.04</v>
      </c>
      <c r="N282" s="7">
        <f>IFERROR(VLOOKUP(Tabla14[[#This Row],[Material]],'[10]Consolidado planificación'!$B:$C,2,FALSE),0)</f>
        <v>0</v>
      </c>
      <c r="O282" s="7">
        <f>IFERROR(VLOOKUP(Tabla14[[#This Row],[Llave]],[11]Hoja2!$D:$G,4,FALSE),0)</f>
        <v>0</v>
      </c>
      <c r="P282" s="37">
        <f>SUM(Tabla14[[#This Row],[Producción disponible]],Tabla14[[#This Row],[Stock al día]],(Tabla14[[#This Row],[Por producir mes N]]*0.9))-Tabla14[[#This Row],[Producción por despachar mes N]]</f>
        <v>19.04</v>
      </c>
      <c r="Q282" s="7">
        <f>IFERROR(VLOOKUP(Tabla14[[#This Row],[Llave]],[9]DELAY!$A:$D,4,FALSE),0)</f>
        <v>0</v>
      </c>
      <c r="R282" s="9">
        <v>7761</v>
      </c>
      <c r="S282" s="5">
        <f t="shared" si="9"/>
        <v>0</v>
      </c>
      <c r="T282" s="76">
        <v>0</v>
      </c>
      <c r="U282" s="5">
        <f>+Tabla14[[#This Row],[Atraso a facturar]]+Tabla14[[#This Row],[Ajuste atraso]]</f>
        <v>0</v>
      </c>
      <c r="V282" s="3">
        <f>+Tabla14[[#This Row],[Total disponible]]-Tabla14[[#This Row],[Facturación atraso]]</f>
        <v>19.04</v>
      </c>
      <c r="W282" s="6">
        <f>IFERROR(IF(AND(V282&gt;R282,J282&gt;=R282),ROUNDDOWN((Tabla14[[#This Row],[Producción para venta nueva]])/R282,0)*R282,0),0)</f>
        <v>0</v>
      </c>
      <c r="X282" s="76">
        <v>0</v>
      </c>
      <c r="Y282" s="6">
        <f>IF(Tabla14[[#This Row],[Venta del mes]]&gt;0,Tabla14[[#This Row],[Venta del mes]]+Tabla14[[#This Row],[Ajuste venta nueva]],0)</f>
        <v>0</v>
      </c>
      <c r="Z282" s="6">
        <f>+Tabla14[[#This Row],[Producción para venta nueva]]-Tabla14[[#This Row],[Facturación Venta nueva]]</f>
        <v>19.04</v>
      </c>
      <c r="AA282" s="6">
        <f>IF(AND(A282=1,Tabla14[[#This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2" s="6">
        <v>0</v>
      </c>
      <c r="AC282" s="6">
        <f>IF(Tabla14[[#This Row],[Disponible stock sin venta]]&gt;0,Tabla14[[#This Row],[Disponible stock sin venta]]+Tabla14[[#This Row],[Ajuste stock sin venta]],0)</f>
        <v>0</v>
      </c>
      <c r="AD282" s="3">
        <f>IFERROR(VLOOKUP(Tabla14[[#This Row],[Llave]],[12]Hoja1!$A:$D,4,FALSE),0)</f>
        <v>0</v>
      </c>
      <c r="AE28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82" s="3">
        <v>0</v>
      </c>
      <c r="AG282" s="3">
        <f>+Tabla14[[#This Row],[En puerto a facturar]]</f>
        <v>0</v>
      </c>
      <c r="AH282" s="3">
        <f>+Tabla14[[#This Row],[Facturación atraso]]</f>
        <v>0</v>
      </c>
      <c r="AI282" s="3">
        <f>+Tabla14[[#This Row],[Plan Irrestricto (DATO)]]-Tabla14[[#This Row],[Puerto ]]-Tabla14[[#This Row],[Atraso]]</f>
        <v>0</v>
      </c>
      <c r="AJ28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82" s="3">
        <f>+Tabla14[[#This Row],[Facturación atraso]]</f>
        <v>0</v>
      </c>
      <c r="AL282" s="3">
        <f>Tabla14[[#This Row],[Plan Ajustado]]-Tabla14[[#This Row],[ Atraso ajustado]]-Tabla14[[#This Row],[En puerto a facturar]]</f>
        <v>0</v>
      </c>
      <c r="AM282" s="3">
        <v>0</v>
      </c>
      <c r="AN282" s="3"/>
      <c r="AO282" s="3" t="str">
        <f>IF(Tabla14[[#This Row],[Plan Ajustado]]&gt;Tabla14[[#This Row],[En puerto a facturar]],"Si","No")</f>
        <v>No</v>
      </c>
      <c r="AP28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2" s="3">
        <f>IF(Tabla14[[#This Row],[Necesidad]]&gt;=Tabla14[[#This Row],[Stock al día]],Tabla14[[#This Row],[Stock al día]],Tabla14[[#This Row],[Necesidad]])</f>
        <v>0</v>
      </c>
      <c r="AR282" s="3">
        <f>+Tabla14[[#This Row],[Necesidad]]-Tabla14[[#This Row],[Stock Plan]]</f>
        <v>0</v>
      </c>
      <c r="AS282" s="155">
        <f>VLOOKUP(Tabla14[[#This Row],[Sector]]&amp;Tabla14[[#This Row],[Oficina]],[8]Ponderación!$A:$H,8,FALSE)</f>
        <v>44814</v>
      </c>
      <c r="AT282" s="30">
        <f>IFERROR(VLOOKUP(Tabla14[[#This Row],[Llave]],'[6]RV plan de ventas'!$A:$F,6,FALSE),0)</f>
        <v>0</v>
      </c>
      <c r="AU282" s="83">
        <f>IFERROR(VLOOKUP(Tabla14[[#This Row],[Llave]],[9]DELAY!$H:$X,17,FALSE),0)</f>
        <v>0</v>
      </c>
      <c r="AV28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82" s="5">
        <f>Tabla14[[#This Row],[Pecio plan]]*Tabla14[[#This Row],[Plan Ajustado]]</f>
        <v>0</v>
      </c>
      <c r="AX282" s="30">
        <f>IFERROR(VLOOKUP(Tabla14[[#This Row],[Llave]],'[13]Ultimos precios facturados'!$A:$G,7,FALSE),0)</f>
        <v>1.6326066589652759</v>
      </c>
      <c r="AY28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2" s="30">
        <f>IFERROR(VLOOKUP(Tabla14[[#This Row],[Llave]],Hoja2!B:K,10,FALSE),0)</f>
        <v>0</v>
      </c>
      <c r="BA28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82" s="30">
        <v>0</v>
      </c>
      <c r="BC282" s="30">
        <f>IF(Tabla14[[#This Row],[Market]]=0,Tabla14[[#This Row],[Precio Final]],Tabla14[[#This Row],[Market]])</f>
        <v>0</v>
      </c>
      <c r="BD282" s="82"/>
      <c r="BE282" s="82" t="str">
        <f>IF(AND(Tabla14[[#This Row],[Atraso a facturar]]&gt;0,Tabla14[[#This Row],[En puerto a facturar]]&gt;0,Tabla14[[#This Row],[Precio Atraso]]=0),"Revisar","OK")</f>
        <v>OK</v>
      </c>
      <c r="BF282" s="82" t="str">
        <f>IF(AND(Tabla14[[#This Row],[Venta del mes]]&gt;0,Tabla14[[#This Row],[Precio venta nueva]]=0),"Revisar","OK")</f>
        <v>OK</v>
      </c>
      <c r="BG282" s="20">
        <f>IFERROR(VLOOKUP(Tabla14[[#This Row],[Llave]],'[5]Consolidación planes'!$A:$M,9,FALSE),0)</f>
        <v>0</v>
      </c>
      <c r="BH282" s="20">
        <f>IFERROR(VLOOKUP(Tabla14[[#This Row],[Llave]],'[5]Consolidación planes'!$A:$M,10,FALSE),0)</f>
        <v>0</v>
      </c>
      <c r="BI282" s="20">
        <f>IFERROR(VLOOKUP(Tabla14[[#This Row],[Llave]],'[5]Consolidación planes'!$A:$M,11,FALSE),0)</f>
        <v>0</v>
      </c>
      <c r="BJ282" s="20">
        <f>IFERROR(VLOOKUP(Tabla14[[#This Row],[Llave]],'[5]Consolidación planes'!$A:$M,12,FALSE),0)</f>
        <v>0</v>
      </c>
      <c r="BK282" s="20">
        <f>IFERROR(VLOOKUP(Tabla14[[#This Row],[Llave]],'[5]Consolidación planes'!$A:$M,13,FALSE),0)</f>
        <v>0</v>
      </c>
      <c r="BL282" s="20">
        <f>IFERROR(VLOOKUP(Tabla14[[#This Row],[Llave]],'[13]Base ultimos planes'!$A:$M,13,FALSE),0)</f>
        <v>7761</v>
      </c>
      <c r="BM282" s="20">
        <f>IFERROR(VLOOKUP(Tabla14[[#This Row],[Llave]],'[13]Cruce plan irrestricto'!$C:$M,10,FALSE),0)</f>
        <v>0</v>
      </c>
      <c r="BN282" s="20">
        <f>IFERROR(VLOOKUP(Tabla14[[#This Row],[Llave]],'[13]Cruce plan irrestricto'!$C:$M,11,FALSE),0)</f>
        <v>0</v>
      </c>
      <c r="BO282" s="80">
        <f>IFERROR(VLOOKUP(Tabla14[[#This Row],[Llave]],'[13]Base ultimos planes'!$O:$AA,8,FALSE),0)</f>
        <v>0</v>
      </c>
      <c r="BP282" s="20">
        <f>IFERROR(VLOOKUP(Tabla14[[#This Row],[Llave]],'[13]Base ultimos planes'!$O:$AA,9,FALSE),0)</f>
        <v>0</v>
      </c>
      <c r="BQ282" s="20">
        <f>IFERROR(VLOOKUP(Tabla14[[#This Row],[Llave]],'[13]Base ultimos planes'!$O:$AA,10,FALSE),0)</f>
        <v>0</v>
      </c>
      <c r="BR282" s="20">
        <f>IFERROR(VLOOKUP(Tabla14[[#This Row],[Llave]],'[13]Base ultimos planes'!$O:$AA,11,FALSE),0)</f>
        <v>0</v>
      </c>
      <c r="BS282" s="20">
        <f>IFERROR(VLOOKUP(Tabla14[[#This Row],[Llave]],'[13]Base ultimos planes'!$O:$AA,12,FALSE),0)</f>
        <v>0</v>
      </c>
      <c r="BT282" s="20">
        <f>IFERROR(VLOOKUP(Tabla14[[#This Row],[Llave]],'[13]Base ultimos planes'!$O:$AA,13,FALSE),0)</f>
        <v>12805</v>
      </c>
      <c r="BU282" s="35"/>
      <c r="BV282" s="20">
        <f>Tabla14[[#This Row],[ RV Producción mes n+1]]-Tabla14[[#This Row],[Producción disponible]]+Tabla14[[#This Row],[Saldo Volumen disponible]]</f>
        <v>19.04</v>
      </c>
      <c r="BW282" s="20">
        <f>IFERROR(VLOOKUP(Tabla14[[#This Row],[Llave]],[14]Hoja2!$J:$N,4,FALSE),0)</f>
        <v>0</v>
      </c>
      <c r="BX282" s="20">
        <f>+Tabla14[[#This Row],[Asignación mes n+1]]*Tabla14[[#This Row],[% Uti. producción]]</f>
        <v>0</v>
      </c>
      <c r="BY282" s="20">
        <f>+Tabla14[[#This Row],[Ponderación mes n+1]]+Tabla14[[#This Row],[Saldo mes n-1]]</f>
        <v>19.04</v>
      </c>
      <c r="BZ282" s="20">
        <f>+Tabla14[[#This Row],[Asignación mes n+1]]-Tabla14[[#This Row],[Ponderación mes n+1]]</f>
        <v>0</v>
      </c>
      <c r="CA282" s="20">
        <f>IFERROR(VLOOKUP(Tabla14[[#This Row],[Llave]],[14]Hoja2!$J:$N,5,FALSE),0)</f>
        <v>0</v>
      </c>
      <c r="CB282" s="20">
        <f>+Tabla14[[#This Row],[Asignación mes n+2]]*Tabla14[[#This Row],[% Uti. producción]]</f>
        <v>0</v>
      </c>
      <c r="CC282" s="20">
        <f>+Tabla14[[#This Row],[Saldo mes n+2]]+Tabla14[[#This Row],[Ponderación mes n+2]]</f>
        <v>0</v>
      </c>
      <c r="CD282" s="20">
        <f>+Tabla14[[#This Row],[Asignación mes n+2]]-Tabla14[[#This Row],[Ponderación mes n+2]]</f>
        <v>0</v>
      </c>
    </row>
    <row r="283" spans="1:82" ht="16" x14ac:dyDescent="0.2">
      <c r="A283">
        <v>2</v>
      </c>
      <c r="B283" t="str">
        <f>Tabla14[[#This Row],[Oficina]]&amp;Tabla14[[#This Row],[Material]]</f>
        <v>Agrosuper Shanghai1023363</v>
      </c>
      <c r="C283" t="s">
        <v>6</v>
      </c>
      <c r="D283" t="s">
        <v>140</v>
      </c>
      <c r="E283">
        <v>1023363</v>
      </c>
      <c r="F283" t="s">
        <v>605</v>
      </c>
      <c r="G283" t="s">
        <v>603</v>
      </c>
      <c r="H283" t="s">
        <v>606</v>
      </c>
      <c r="I283" s="7">
        <f>IFERROR(IF(Tabla14[[#This Row],[Oficina]]=$I$7,VLOOKUP(Tabla14[[#This Row],[Material]],'[6]RV Producción'!$Y:$AA,3,FALSE),VLOOKUP(Tabla14[[#This Row],[Llave]],'[6]RV Producción'!$C:$G,5,FALSE)),0)</f>
        <v>0</v>
      </c>
      <c r="J283" s="7">
        <f>IFERROR(IF(Tabla14[[#This Row],[Oficina]]=$I$7,VLOOKUP(Tabla14[[#This Row],[Llave]],'[7]Shangai (Tomas)'!$A:$F,6,FALSE),VLOOKUP(Tabla14[[#This Row],[Llave]],'[6]RV plan de ventas'!$A:$E,5,FALSE)),0)</f>
        <v>0</v>
      </c>
      <c r="K283" s="8">
        <f>IFERROR(VLOOKUP(Tabla14[[#This Row],[Sector]]&amp;Tabla14[[#This Row],[Oficina]],[8]Ponderación!$A$3:$G$22,7,FALSE),0)</f>
        <v>0.38476266834449474</v>
      </c>
      <c r="L283" s="7">
        <f>+Tabla14[[#This Row],[ RV Producción mes n+1]]*Tabla14[[#This Row],[% Uti. producción]]</f>
        <v>0</v>
      </c>
      <c r="M283" s="7">
        <f>IFERROR(VLOOKUP(Tabla14[[#This Row],[Material]],'[9]TD Stock'!$B:$C,2,FALSE),0)</f>
        <v>14.89</v>
      </c>
      <c r="N283" s="7">
        <f>IFERROR(VLOOKUP(Tabla14[[#This Row],[Material]],'[10]Consolidado planificación'!$B:$C,2,FALSE),0)</f>
        <v>0</v>
      </c>
      <c r="O283" s="7">
        <f>IFERROR(VLOOKUP(Tabla14[[#This Row],[Llave]],[11]Hoja2!$D:$G,4,FALSE),0)</f>
        <v>0</v>
      </c>
      <c r="P283" s="37">
        <f>SUM(Tabla14[[#This Row],[Producción disponible]],Tabla14[[#This Row],[Stock al día]],(Tabla14[[#This Row],[Por producir mes N]]*0.9))-Tabla14[[#This Row],[Producción por despachar mes N]]</f>
        <v>14.89</v>
      </c>
      <c r="Q283" s="7">
        <f>IFERROR(VLOOKUP(Tabla14[[#This Row],[Llave]],[9]DELAY!$A:$D,4,FALSE),0)</f>
        <v>0</v>
      </c>
      <c r="R283" s="9">
        <v>6843</v>
      </c>
      <c r="S283" s="5">
        <f t="shared" si="9"/>
        <v>0</v>
      </c>
      <c r="T283" s="76">
        <v>0</v>
      </c>
      <c r="U283" s="5">
        <f>+Tabla14[[#This Row],[Atraso a facturar]]+Tabla14[[#This Row],[Ajuste atraso]]</f>
        <v>0</v>
      </c>
      <c r="V283" s="3">
        <f>+Tabla14[[#This Row],[Total disponible]]-Tabla14[[#This Row],[Facturación atraso]]</f>
        <v>14.89</v>
      </c>
      <c r="W283" s="6">
        <f>IFERROR(IF(AND(V283&gt;R283,J283&gt;=R283),ROUNDDOWN((Tabla14[[#This Row],[Producción para venta nueva]])/R283,0)*R283,0),0)</f>
        <v>0</v>
      </c>
      <c r="X283" s="76">
        <v>0</v>
      </c>
      <c r="Y283" s="6">
        <f>IF(Tabla14[[#This Row],[Venta del mes]]&gt;0,Tabla14[[#This Row],[Venta del mes]]+Tabla14[[#This Row],[Ajuste venta nueva]],0)</f>
        <v>0</v>
      </c>
      <c r="Z283" s="6">
        <f>+Tabla14[[#This Row],[Producción para venta nueva]]-Tabla14[[#This Row],[Facturación Venta nueva]]</f>
        <v>14.89</v>
      </c>
      <c r="AA283" s="6">
        <f>IF(AND(A283=1,Tabla14[[#This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3" s="6">
        <v>0</v>
      </c>
      <c r="AC283" s="6">
        <f>IF(Tabla14[[#This Row],[Disponible stock sin venta]]&gt;0,Tabla14[[#This Row],[Disponible stock sin venta]]+Tabla14[[#This Row],[Ajuste stock sin venta]],0)</f>
        <v>0</v>
      </c>
      <c r="AD283" s="3">
        <f>IFERROR(VLOOKUP(Tabla14[[#This Row],[Llave]],[12]Hoja1!$A:$D,4,FALSE),0)</f>
        <v>0</v>
      </c>
      <c r="AE28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83" s="3">
        <v>0</v>
      </c>
      <c r="AG283" s="3">
        <f>+Tabla14[[#This Row],[En puerto a facturar]]</f>
        <v>0</v>
      </c>
      <c r="AH283" s="3">
        <f>+Tabla14[[#This Row],[Facturación atraso]]</f>
        <v>0</v>
      </c>
      <c r="AI283" s="3">
        <f>+Tabla14[[#This Row],[Plan Irrestricto (DATO)]]-Tabla14[[#This Row],[Puerto ]]-Tabla14[[#This Row],[Atraso]]</f>
        <v>0</v>
      </c>
      <c r="AJ28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83" s="3">
        <f>+Tabla14[[#This Row],[Facturación atraso]]</f>
        <v>0</v>
      </c>
      <c r="AL283" s="3">
        <f>Tabla14[[#This Row],[Plan Ajustado]]-Tabla14[[#This Row],[ Atraso ajustado]]-Tabla14[[#This Row],[En puerto a facturar]]</f>
        <v>0</v>
      </c>
      <c r="AM283" s="3">
        <v>0</v>
      </c>
      <c r="AN283" s="3"/>
      <c r="AO283" s="3" t="str">
        <f>IF(Tabla14[[#This Row],[Plan Ajustado]]&gt;Tabla14[[#This Row],[En puerto a facturar]],"Si","No")</f>
        <v>No</v>
      </c>
      <c r="AP28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3" s="3">
        <f>IF(Tabla14[[#This Row],[Necesidad]]&gt;=Tabla14[[#This Row],[Stock al día]],Tabla14[[#This Row],[Stock al día]],Tabla14[[#This Row],[Necesidad]])</f>
        <v>0</v>
      </c>
      <c r="AR283" s="3">
        <f>+Tabla14[[#This Row],[Necesidad]]-Tabla14[[#This Row],[Stock Plan]]</f>
        <v>0</v>
      </c>
      <c r="AS283" s="155">
        <f>VLOOKUP(Tabla14[[#This Row],[Sector]]&amp;Tabla14[[#This Row],[Oficina]],[8]Ponderación!$A:$H,8,FALSE)</f>
        <v>44814</v>
      </c>
      <c r="AT283" s="30">
        <f>IFERROR(VLOOKUP(Tabla14[[#This Row],[Llave]],'[6]RV plan de ventas'!$A:$F,6,FALSE),0)</f>
        <v>0</v>
      </c>
      <c r="AU283" s="83">
        <f>IFERROR(VLOOKUP(Tabla14[[#This Row],[Llave]],[9]DELAY!$H:$X,17,FALSE),0)</f>
        <v>0</v>
      </c>
      <c r="AV28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83" s="5">
        <f>Tabla14[[#This Row],[Pecio plan]]*Tabla14[[#This Row],[Plan Ajustado]]</f>
        <v>0</v>
      </c>
      <c r="AX283" s="30">
        <f>IFERROR(VLOOKUP(Tabla14[[#This Row],[Llave]],'[13]Ultimos precios facturados'!$A:$G,7,FALSE),0)</f>
        <v>1.6320950278744659</v>
      </c>
      <c r="AY28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3" s="30">
        <f>IFERROR(VLOOKUP(Tabla14[[#This Row],[Llave]],Hoja2!B:K,10,FALSE),0)</f>
        <v>0</v>
      </c>
      <c r="BA28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83" s="30">
        <v>0</v>
      </c>
      <c r="BC283" s="30">
        <f>IF(Tabla14[[#This Row],[Market]]=0,Tabla14[[#This Row],[Precio Final]],Tabla14[[#This Row],[Market]])</f>
        <v>0</v>
      </c>
      <c r="BD283" s="82"/>
      <c r="BE283" s="82" t="str">
        <f>IF(AND(Tabla14[[#This Row],[Atraso a facturar]]&gt;0,Tabla14[[#This Row],[En puerto a facturar]]&gt;0,Tabla14[[#This Row],[Precio Atraso]]=0),"Revisar","OK")</f>
        <v>OK</v>
      </c>
      <c r="BF283" s="82" t="str">
        <f>IF(AND(Tabla14[[#This Row],[Venta del mes]]&gt;0,Tabla14[[#This Row],[Precio venta nueva]]=0),"Revisar","OK")</f>
        <v>OK</v>
      </c>
      <c r="BG283" s="20">
        <f>IFERROR(VLOOKUP(Tabla14[[#This Row],[Llave]],'[5]Consolidación planes'!$A:$M,9,FALSE),0)</f>
        <v>0</v>
      </c>
      <c r="BH283" s="20">
        <f>IFERROR(VLOOKUP(Tabla14[[#This Row],[Llave]],'[5]Consolidación planes'!$A:$M,10,FALSE),0)</f>
        <v>0</v>
      </c>
      <c r="BI283" s="20">
        <f>IFERROR(VLOOKUP(Tabla14[[#This Row],[Llave]],'[5]Consolidación planes'!$A:$M,11,FALSE),0)</f>
        <v>0</v>
      </c>
      <c r="BJ283" s="20">
        <f>IFERROR(VLOOKUP(Tabla14[[#This Row],[Llave]],'[5]Consolidación planes'!$A:$M,12,FALSE),0)</f>
        <v>0</v>
      </c>
      <c r="BK283" s="20">
        <f>IFERROR(VLOOKUP(Tabla14[[#This Row],[Llave]],'[5]Consolidación planes'!$A:$M,13,FALSE),0)</f>
        <v>0</v>
      </c>
      <c r="BL283" s="20">
        <f>IFERROR(VLOOKUP(Tabla14[[#This Row],[Llave]],'[13]Base ultimos planes'!$A:$M,13,FALSE),0)</f>
        <v>6843</v>
      </c>
      <c r="BM283" s="20">
        <f>IFERROR(VLOOKUP(Tabla14[[#This Row],[Llave]],'[13]Cruce plan irrestricto'!$C:$M,10,FALSE),0)</f>
        <v>0</v>
      </c>
      <c r="BN283" s="20">
        <f>IFERROR(VLOOKUP(Tabla14[[#This Row],[Llave]],'[13]Cruce plan irrestricto'!$C:$M,11,FALSE),0)</f>
        <v>0</v>
      </c>
      <c r="BO283" s="80">
        <f>IFERROR(VLOOKUP(Tabla14[[#This Row],[Llave]],'[13]Base ultimos planes'!$O:$AA,8,FALSE),0)</f>
        <v>0</v>
      </c>
      <c r="BP283" s="20">
        <f>IFERROR(VLOOKUP(Tabla14[[#This Row],[Llave]],'[13]Base ultimos planes'!$O:$AA,9,FALSE),0)</f>
        <v>0</v>
      </c>
      <c r="BQ283" s="20">
        <f>IFERROR(VLOOKUP(Tabla14[[#This Row],[Llave]],'[13]Base ultimos planes'!$O:$AA,10,FALSE),0)</f>
        <v>0</v>
      </c>
      <c r="BR283" s="20">
        <f>IFERROR(VLOOKUP(Tabla14[[#This Row],[Llave]],'[13]Base ultimos planes'!$O:$AA,11,FALSE),0)</f>
        <v>0</v>
      </c>
      <c r="BS283" s="20">
        <f>IFERROR(VLOOKUP(Tabla14[[#This Row],[Llave]],'[13]Base ultimos planes'!$O:$AA,12,FALSE),0)</f>
        <v>0</v>
      </c>
      <c r="BT283" s="20">
        <f>IFERROR(VLOOKUP(Tabla14[[#This Row],[Llave]],'[13]Base ultimos planes'!$O:$AA,13,FALSE),0)</f>
        <v>11302</v>
      </c>
      <c r="BU283" s="35"/>
      <c r="BV283" s="20">
        <f>Tabla14[[#This Row],[ RV Producción mes n+1]]-Tabla14[[#This Row],[Producción disponible]]+Tabla14[[#This Row],[Saldo Volumen disponible]]</f>
        <v>14.89</v>
      </c>
      <c r="BW283" s="20">
        <f>IFERROR(VLOOKUP(Tabla14[[#This Row],[Llave]],[14]Hoja2!$J:$N,4,FALSE),0)</f>
        <v>0</v>
      </c>
      <c r="BX283" s="20">
        <f>+Tabla14[[#This Row],[Asignación mes n+1]]*Tabla14[[#This Row],[% Uti. producción]]</f>
        <v>0</v>
      </c>
      <c r="BY283" s="20">
        <f>+Tabla14[[#This Row],[Ponderación mes n+1]]+Tabla14[[#This Row],[Saldo mes n-1]]</f>
        <v>14.89</v>
      </c>
      <c r="BZ283" s="20">
        <f>+Tabla14[[#This Row],[Asignación mes n+1]]-Tabla14[[#This Row],[Ponderación mes n+1]]</f>
        <v>0</v>
      </c>
      <c r="CA283" s="20">
        <f>IFERROR(VLOOKUP(Tabla14[[#This Row],[Llave]],[14]Hoja2!$J:$N,5,FALSE),0)</f>
        <v>0</v>
      </c>
      <c r="CB283" s="20">
        <f>+Tabla14[[#This Row],[Asignación mes n+2]]*Tabla14[[#This Row],[% Uti. producción]]</f>
        <v>0</v>
      </c>
      <c r="CC283" s="20">
        <f>+Tabla14[[#This Row],[Saldo mes n+2]]+Tabla14[[#This Row],[Ponderación mes n+2]]</f>
        <v>0</v>
      </c>
      <c r="CD283" s="20">
        <f>+Tabla14[[#This Row],[Asignación mes n+2]]-Tabla14[[#This Row],[Ponderación mes n+2]]</f>
        <v>0</v>
      </c>
    </row>
    <row r="284" spans="1:82" ht="16" x14ac:dyDescent="0.2">
      <c r="A284">
        <v>2</v>
      </c>
      <c r="B284" t="str">
        <f>Tabla14[[#This Row],[Oficina]]&amp;Tabla14[[#This Row],[Material]]</f>
        <v>Agrosuper Shanghai1023364</v>
      </c>
      <c r="C284" t="s">
        <v>6</v>
      </c>
      <c r="D284" t="s">
        <v>140</v>
      </c>
      <c r="E284">
        <v>1023364</v>
      </c>
      <c r="F284" t="s">
        <v>607</v>
      </c>
      <c r="G284" t="s">
        <v>76</v>
      </c>
      <c r="H284" t="s">
        <v>77</v>
      </c>
      <c r="I284" s="7">
        <f>IFERROR(IF(Tabla14[[#This Row],[Oficina]]=$I$7,VLOOKUP(Tabla14[[#This Row],[Material]],'[6]RV Producción'!$Y:$AA,3,FALSE),VLOOKUP(Tabla14[[#This Row],[Llave]],'[6]RV Producción'!$C:$G,5,FALSE)),0)</f>
        <v>0</v>
      </c>
      <c r="J284" s="7">
        <f>IFERROR(IF(Tabla14[[#This Row],[Oficina]]=$I$7,VLOOKUP(Tabla14[[#This Row],[Llave]],'[7]Shangai (Tomas)'!$A:$F,6,FALSE),VLOOKUP(Tabla14[[#This Row],[Llave]],'[6]RV plan de ventas'!$A:$E,5,FALSE)),0)</f>
        <v>0</v>
      </c>
      <c r="K284" s="8">
        <f>IFERROR(VLOOKUP(Tabla14[[#This Row],[Sector]]&amp;Tabla14[[#This Row],[Oficina]],[8]Ponderación!$A$3:$G$22,7,FALSE),0)</f>
        <v>0.38476266834449474</v>
      </c>
      <c r="L284" s="7">
        <f>+Tabla14[[#This Row],[ RV Producción mes n+1]]*Tabla14[[#This Row],[% Uti. producción]]</f>
        <v>0</v>
      </c>
      <c r="M284" s="7">
        <f>IFERROR(VLOOKUP(Tabla14[[#This Row],[Material]],'[9]TD Stock'!$B:$C,2,FALSE),0)</f>
        <v>436.053</v>
      </c>
      <c r="N284" s="7">
        <f>IFERROR(VLOOKUP(Tabla14[[#This Row],[Material]],'[10]Consolidado planificación'!$B:$C,2,FALSE),0)</f>
        <v>0</v>
      </c>
      <c r="O284" s="7">
        <f>IFERROR(VLOOKUP(Tabla14[[#This Row],[Llave]],[11]Hoja2!$D:$G,4,FALSE),0)</f>
        <v>0</v>
      </c>
      <c r="P284" s="37">
        <f>SUM(Tabla14[[#This Row],[Producción disponible]],Tabla14[[#This Row],[Stock al día]],(Tabla14[[#This Row],[Por producir mes N]]*0.9))-Tabla14[[#This Row],[Producción por despachar mes N]]</f>
        <v>436.053</v>
      </c>
      <c r="Q284" s="7">
        <f>IFERROR(VLOOKUP(Tabla14[[#This Row],[Llave]],[9]DELAY!$A:$D,4,FALSE),0)</f>
        <v>0</v>
      </c>
      <c r="R284" s="9">
        <v>500</v>
      </c>
      <c r="S284" s="5">
        <f t="shared" si="9"/>
        <v>0</v>
      </c>
      <c r="T284" s="76">
        <v>0</v>
      </c>
      <c r="U284" s="5">
        <f>+Tabla14[[#This Row],[Atraso a facturar]]+Tabla14[[#This Row],[Ajuste atraso]]</f>
        <v>0</v>
      </c>
      <c r="V284" s="3">
        <f>+Tabla14[[#This Row],[Total disponible]]-Tabla14[[#This Row],[Facturación atraso]]</f>
        <v>436.053</v>
      </c>
      <c r="W284" s="6">
        <f>IFERROR(IF(AND(V284&gt;R284,J284&gt;=R284),ROUNDDOWN((Tabla14[[#This Row],[Producción para venta nueva]])/R284,0)*R284,0),0)</f>
        <v>0</v>
      </c>
      <c r="X284" s="76">
        <v>0</v>
      </c>
      <c r="Y284" s="6">
        <f>IF(Tabla14[[#This Row],[Venta del mes]]&gt;0,Tabla14[[#This Row],[Venta del mes]]+Tabla14[[#This Row],[Ajuste venta nueva]],0)</f>
        <v>0</v>
      </c>
      <c r="Z284" s="6">
        <f>+Tabla14[[#This Row],[Producción para venta nueva]]-Tabla14[[#This Row],[Facturación Venta nueva]]</f>
        <v>436.053</v>
      </c>
      <c r="AA284" s="6">
        <f>IF(AND(A284=1,Tabla14[[#This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4" s="6">
        <v>0</v>
      </c>
      <c r="AC284" s="6">
        <f>IF(Tabla14[[#This Row],[Disponible stock sin venta]]&gt;0,Tabla14[[#This Row],[Disponible stock sin venta]]+Tabla14[[#This Row],[Ajuste stock sin venta]],0)</f>
        <v>0</v>
      </c>
      <c r="AD284" s="3">
        <f>IFERROR(VLOOKUP(Tabla14[[#This Row],[Llave]],[12]Hoja1!$A:$D,4,FALSE),0)</f>
        <v>0</v>
      </c>
      <c r="AE28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84" s="3">
        <v>0</v>
      </c>
      <c r="AG284" s="3">
        <f>+Tabla14[[#This Row],[En puerto a facturar]]</f>
        <v>0</v>
      </c>
      <c r="AH284" s="3">
        <f>+Tabla14[[#This Row],[Facturación atraso]]</f>
        <v>0</v>
      </c>
      <c r="AI284" s="3">
        <f>+Tabla14[[#This Row],[Plan Irrestricto (DATO)]]-Tabla14[[#This Row],[Puerto ]]-Tabla14[[#This Row],[Atraso]]</f>
        <v>0</v>
      </c>
      <c r="AJ28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84" s="3">
        <f>+Tabla14[[#This Row],[Facturación atraso]]</f>
        <v>0</v>
      </c>
      <c r="AL284" s="3">
        <f>Tabla14[[#This Row],[Plan Ajustado]]-Tabla14[[#This Row],[ Atraso ajustado]]-Tabla14[[#This Row],[En puerto a facturar]]</f>
        <v>0</v>
      </c>
      <c r="AM284" s="3">
        <v>0</v>
      </c>
      <c r="AN284" s="3"/>
      <c r="AO284" s="3" t="str">
        <f>IF(Tabla14[[#This Row],[Plan Ajustado]]&gt;Tabla14[[#This Row],[En puerto a facturar]],"Si","No")</f>
        <v>No</v>
      </c>
      <c r="AP28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4" s="3">
        <f>IF(Tabla14[[#This Row],[Necesidad]]&gt;=Tabla14[[#This Row],[Stock al día]],Tabla14[[#This Row],[Stock al día]],Tabla14[[#This Row],[Necesidad]])</f>
        <v>0</v>
      </c>
      <c r="AR284" s="3">
        <f>+Tabla14[[#This Row],[Necesidad]]-Tabla14[[#This Row],[Stock Plan]]</f>
        <v>0</v>
      </c>
      <c r="AS284" s="155">
        <f>VLOOKUP(Tabla14[[#This Row],[Sector]]&amp;Tabla14[[#This Row],[Oficina]],[8]Ponderación!$A:$H,8,FALSE)</f>
        <v>44814</v>
      </c>
      <c r="AT284" s="30">
        <f>IFERROR(VLOOKUP(Tabla14[[#This Row],[Llave]],'[6]RV plan de ventas'!$A:$F,6,FALSE),0)</f>
        <v>0</v>
      </c>
      <c r="AU284" s="83">
        <f>IFERROR(VLOOKUP(Tabla14[[#This Row],[Llave]],[9]DELAY!$H:$X,17,FALSE),0)</f>
        <v>0</v>
      </c>
      <c r="AV28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84" s="5">
        <f>Tabla14[[#This Row],[Pecio plan]]*Tabla14[[#This Row],[Plan Ajustado]]</f>
        <v>0</v>
      </c>
      <c r="AX284" s="30">
        <f>IFERROR(VLOOKUP(Tabla14[[#This Row],[Llave]],'[13]Ultimos precios facturados'!$A:$G,7,FALSE),0)</f>
        <v>0</v>
      </c>
      <c r="AY28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4" s="30">
        <f>IFERROR(VLOOKUP(Tabla14[[#This Row],[Llave]],Hoja2!B:K,10,FALSE),0)</f>
        <v>0</v>
      </c>
      <c r="BA28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84" s="30">
        <v>0</v>
      </c>
      <c r="BC284" s="30">
        <f>IF(Tabla14[[#This Row],[Market]]=0,Tabla14[[#This Row],[Precio Final]],Tabla14[[#This Row],[Market]])</f>
        <v>0</v>
      </c>
      <c r="BD284" s="82"/>
      <c r="BE284" s="82" t="str">
        <f>IF(AND(Tabla14[[#This Row],[Atraso a facturar]]&gt;0,Tabla14[[#This Row],[En puerto a facturar]]&gt;0,Tabla14[[#This Row],[Precio Atraso]]=0),"Revisar","OK")</f>
        <v>OK</v>
      </c>
      <c r="BF284" s="82" t="str">
        <f>IF(AND(Tabla14[[#This Row],[Venta del mes]]&gt;0,Tabla14[[#This Row],[Precio venta nueva]]=0),"Revisar","OK")</f>
        <v>OK</v>
      </c>
      <c r="BG284" s="20">
        <f>IFERROR(VLOOKUP(Tabla14[[#This Row],[Llave]],'[5]Consolidación planes'!$A:$M,9,FALSE),0)</f>
        <v>0</v>
      </c>
      <c r="BH284" s="20">
        <f>IFERROR(VLOOKUP(Tabla14[[#This Row],[Llave]],'[5]Consolidación planes'!$A:$M,10,FALSE),0)</f>
        <v>0</v>
      </c>
      <c r="BI284" s="20">
        <f>IFERROR(VLOOKUP(Tabla14[[#This Row],[Llave]],'[5]Consolidación planes'!$A:$M,11,FALSE),0)</f>
        <v>0</v>
      </c>
      <c r="BJ284" s="20">
        <f>IFERROR(VLOOKUP(Tabla14[[#This Row],[Llave]],'[5]Consolidación planes'!$A:$M,12,FALSE),0)</f>
        <v>0</v>
      </c>
      <c r="BK284" s="20">
        <f>IFERROR(VLOOKUP(Tabla14[[#This Row],[Llave]],'[5]Consolidación planes'!$A:$M,13,FALSE),0)</f>
        <v>0</v>
      </c>
      <c r="BL284" s="20">
        <f>IFERROR(VLOOKUP(Tabla14[[#This Row],[Llave]],'[13]Base ultimos planes'!$A:$M,13,FALSE),0)</f>
        <v>0</v>
      </c>
      <c r="BM284" s="20">
        <f>IFERROR(VLOOKUP(Tabla14[[#This Row],[Llave]],'[13]Cruce plan irrestricto'!$C:$M,10,FALSE),0)</f>
        <v>0</v>
      </c>
      <c r="BN284" s="20">
        <f>IFERROR(VLOOKUP(Tabla14[[#This Row],[Llave]],'[13]Cruce plan irrestricto'!$C:$M,11,FALSE),0)</f>
        <v>0</v>
      </c>
      <c r="BO284" s="80">
        <f>IFERROR(VLOOKUP(Tabla14[[#This Row],[Llave]],'[13]Base ultimos planes'!$O:$AA,8,FALSE),0)</f>
        <v>0</v>
      </c>
      <c r="BP284" s="20">
        <f>IFERROR(VLOOKUP(Tabla14[[#This Row],[Llave]],'[13]Base ultimos planes'!$O:$AA,9,FALSE),0)</f>
        <v>0</v>
      </c>
      <c r="BQ284" s="20">
        <f>IFERROR(VLOOKUP(Tabla14[[#This Row],[Llave]],'[13]Base ultimos planes'!$O:$AA,10,FALSE),0)</f>
        <v>0</v>
      </c>
      <c r="BR284" s="20">
        <f>IFERROR(VLOOKUP(Tabla14[[#This Row],[Llave]],'[13]Base ultimos planes'!$O:$AA,11,FALSE),0)</f>
        <v>0</v>
      </c>
      <c r="BS284" s="20">
        <f>IFERROR(VLOOKUP(Tabla14[[#This Row],[Llave]],'[13]Base ultimos planes'!$O:$AA,12,FALSE),0)</f>
        <v>0</v>
      </c>
      <c r="BT284" s="20">
        <f>IFERROR(VLOOKUP(Tabla14[[#This Row],[Llave]],'[13]Base ultimos planes'!$O:$AA,13,FALSE),0)</f>
        <v>0</v>
      </c>
      <c r="BU284" s="35"/>
      <c r="BV284" s="20">
        <f>Tabla14[[#This Row],[ RV Producción mes n+1]]-Tabla14[[#This Row],[Producción disponible]]+Tabla14[[#This Row],[Saldo Volumen disponible]]</f>
        <v>436.053</v>
      </c>
      <c r="BW284" s="20">
        <f>IFERROR(VLOOKUP(Tabla14[[#This Row],[Llave]],[14]Hoja2!$J:$N,4,FALSE),0)</f>
        <v>0</v>
      </c>
      <c r="BX284" s="20">
        <f>+Tabla14[[#This Row],[Asignación mes n+1]]*Tabla14[[#This Row],[% Uti. producción]]</f>
        <v>0</v>
      </c>
      <c r="BY284" s="20">
        <f>+Tabla14[[#This Row],[Ponderación mes n+1]]+Tabla14[[#This Row],[Saldo mes n-1]]</f>
        <v>436.053</v>
      </c>
      <c r="BZ284" s="20">
        <f>+Tabla14[[#This Row],[Asignación mes n+1]]-Tabla14[[#This Row],[Ponderación mes n+1]]</f>
        <v>0</v>
      </c>
      <c r="CA284" s="20">
        <f>IFERROR(VLOOKUP(Tabla14[[#This Row],[Llave]],[14]Hoja2!$J:$N,5,FALSE),0)</f>
        <v>0</v>
      </c>
      <c r="CB284" s="20">
        <f>+Tabla14[[#This Row],[Asignación mes n+2]]*Tabla14[[#This Row],[% Uti. producción]]</f>
        <v>0</v>
      </c>
      <c r="CC284" s="20">
        <f>+Tabla14[[#This Row],[Saldo mes n+2]]+Tabla14[[#This Row],[Ponderación mes n+2]]</f>
        <v>0</v>
      </c>
      <c r="CD284" s="20">
        <f>+Tabla14[[#This Row],[Asignación mes n+2]]-Tabla14[[#This Row],[Ponderación mes n+2]]</f>
        <v>0</v>
      </c>
    </row>
    <row r="285" spans="1:82" ht="16" x14ac:dyDescent="0.2">
      <c r="A285">
        <v>2</v>
      </c>
      <c r="B285" t="str">
        <f>Tabla14[[#This Row],[Oficina]]&amp;Tabla14[[#This Row],[Material]]</f>
        <v>Agrosuper Shanghai1023365</v>
      </c>
      <c r="C285" t="s">
        <v>6</v>
      </c>
      <c r="D285" t="s">
        <v>140</v>
      </c>
      <c r="E285">
        <v>1023365</v>
      </c>
      <c r="F285" t="s">
        <v>608</v>
      </c>
      <c r="G285" t="s">
        <v>11</v>
      </c>
      <c r="H285" t="s">
        <v>47</v>
      </c>
      <c r="I285" s="7">
        <f>IFERROR(IF(Tabla14[[#This Row],[Oficina]]=$I$7,VLOOKUP(Tabla14[[#This Row],[Material]],'[6]RV Producción'!$Y:$AA,3,FALSE),VLOOKUP(Tabla14[[#This Row],[Llave]],'[6]RV Producción'!$C:$G,5,FALSE)),0)</f>
        <v>0</v>
      </c>
      <c r="J285" s="7">
        <f>IFERROR(IF(Tabla14[[#This Row],[Oficina]]=$I$7,VLOOKUP(Tabla14[[#This Row],[Llave]],'[7]Shangai (Tomas)'!$A:$F,6,FALSE),VLOOKUP(Tabla14[[#This Row],[Llave]],'[6]RV plan de ventas'!$A:$E,5,FALSE)),0)</f>
        <v>0</v>
      </c>
      <c r="K285" s="8">
        <f>IFERROR(VLOOKUP(Tabla14[[#This Row],[Sector]]&amp;Tabla14[[#This Row],[Oficina]],[8]Ponderación!$A$3:$G$22,7,FALSE),0)</f>
        <v>0.38476266834449474</v>
      </c>
      <c r="L285" s="7">
        <f>+Tabla14[[#This Row],[ RV Producción mes n+1]]*Tabla14[[#This Row],[% Uti. producción]]</f>
        <v>0</v>
      </c>
      <c r="M285" s="7">
        <f>IFERROR(VLOOKUP(Tabla14[[#This Row],[Material]],'[9]TD Stock'!$B:$C,2,FALSE),0)</f>
        <v>499.072</v>
      </c>
      <c r="N285" s="7">
        <f>IFERROR(VLOOKUP(Tabla14[[#This Row],[Material]],'[10]Consolidado planificación'!$B:$C,2,FALSE),0)</f>
        <v>0</v>
      </c>
      <c r="O285" s="7">
        <f>IFERROR(VLOOKUP(Tabla14[[#This Row],[Llave]],[11]Hoja2!$D:$G,4,FALSE),0)</f>
        <v>0</v>
      </c>
      <c r="P285" s="37">
        <f>SUM(Tabla14[[#This Row],[Producción disponible]],Tabla14[[#This Row],[Stock al día]],(Tabla14[[#This Row],[Por producir mes N]]*0.9))-Tabla14[[#This Row],[Producción por despachar mes N]]</f>
        <v>499.072</v>
      </c>
      <c r="Q285" s="7">
        <f>IFERROR(VLOOKUP(Tabla14[[#This Row],[Llave]],[9]DELAY!$A:$D,4,FALSE),0)</f>
        <v>0</v>
      </c>
      <c r="R285" s="9">
        <v>313</v>
      </c>
      <c r="S285" s="5">
        <f t="shared" si="9"/>
        <v>0</v>
      </c>
      <c r="T285" s="76">
        <v>0</v>
      </c>
      <c r="U285" s="5">
        <f>+Tabla14[[#This Row],[Atraso a facturar]]+Tabla14[[#This Row],[Ajuste atraso]]</f>
        <v>0</v>
      </c>
      <c r="V285" s="3">
        <f>+Tabla14[[#This Row],[Total disponible]]-Tabla14[[#This Row],[Facturación atraso]]</f>
        <v>499.072</v>
      </c>
      <c r="W285" s="6">
        <f>IFERROR(IF(AND(V285&gt;R285,J285&gt;=R285),ROUNDDOWN((Tabla14[[#This Row],[Producción para venta nueva]])/R285,0)*R285,0),0)</f>
        <v>0</v>
      </c>
      <c r="X285" s="76">
        <v>0</v>
      </c>
      <c r="Y285" s="6">
        <f>IF(Tabla14[[#This Row],[Venta del mes]]&gt;0,Tabla14[[#This Row],[Venta del mes]]+Tabla14[[#This Row],[Ajuste venta nueva]],0)</f>
        <v>0</v>
      </c>
      <c r="Z285" s="6">
        <f>+Tabla14[[#This Row],[Producción para venta nueva]]-Tabla14[[#This Row],[Facturación Venta nueva]]</f>
        <v>499.072</v>
      </c>
      <c r="AA285" s="6">
        <f>IF(AND(A285=1,Tabla14[[#This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5" s="6">
        <v>0</v>
      </c>
      <c r="AC285" s="6">
        <f>IF(Tabla14[[#This Row],[Disponible stock sin venta]]&gt;0,Tabla14[[#This Row],[Disponible stock sin venta]]+Tabla14[[#This Row],[Ajuste stock sin venta]],0)</f>
        <v>0</v>
      </c>
      <c r="AD285" s="3">
        <f>IFERROR(VLOOKUP(Tabla14[[#This Row],[Llave]],[12]Hoja1!$A:$D,4,FALSE),0)</f>
        <v>0</v>
      </c>
      <c r="AE28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85" s="3">
        <v>0</v>
      </c>
      <c r="AG285" s="3">
        <f>+Tabla14[[#This Row],[En puerto a facturar]]</f>
        <v>0</v>
      </c>
      <c r="AH285" s="3">
        <f>+Tabla14[[#This Row],[Facturación atraso]]</f>
        <v>0</v>
      </c>
      <c r="AI285" s="3">
        <f>+Tabla14[[#This Row],[Plan Irrestricto (DATO)]]-Tabla14[[#This Row],[Puerto ]]-Tabla14[[#This Row],[Atraso]]</f>
        <v>0</v>
      </c>
      <c r="AJ28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85" s="3">
        <f>+Tabla14[[#This Row],[Facturación atraso]]</f>
        <v>0</v>
      </c>
      <c r="AL285" s="3">
        <f>Tabla14[[#This Row],[Plan Ajustado]]-Tabla14[[#This Row],[ Atraso ajustado]]-Tabla14[[#This Row],[En puerto a facturar]]</f>
        <v>0</v>
      </c>
      <c r="AM285" s="3">
        <v>0</v>
      </c>
      <c r="AN285" s="3"/>
      <c r="AO285" s="3" t="str">
        <f>IF(Tabla14[[#This Row],[Plan Ajustado]]&gt;Tabla14[[#This Row],[En puerto a facturar]],"Si","No")</f>
        <v>No</v>
      </c>
      <c r="AP28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5" s="3">
        <f>IF(Tabla14[[#This Row],[Necesidad]]&gt;=Tabla14[[#This Row],[Stock al día]],Tabla14[[#This Row],[Stock al día]],Tabla14[[#This Row],[Necesidad]])</f>
        <v>0</v>
      </c>
      <c r="AR285" s="3">
        <f>+Tabla14[[#This Row],[Necesidad]]-Tabla14[[#This Row],[Stock Plan]]</f>
        <v>0</v>
      </c>
      <c r="AS285" s="155">
        <f>VLOOKUP(Tabla14[[#This Row],[Sector]]&amp;Tabla14[[#This Row],[Oficina]],[8]Ponderación!$A:$H,8,FALSE)</f>
        <v>44814</v>
      </c>
      <c r="AT285" s="30">
        <f>IFERROR(VLOOKUP(Tabla14[[#This Row],[Llave]],'[6]RV plan de ventas'!$A:$F,6,FALSE),0)</f>
        <v>0</v>
      </c>
      <c r="AU285" s="83">
        <f>IFERROR(VLOOKUP(Tabla14[[#This Row],[Llave]],[9]DELAY!$H:$X,17,FALSE),0)</f>
        <v>0</v>
      </c>
      <c r="AV28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85" s="5">
        <f>Tabla14[[#This Row],[Pecio plan]]*Tabla14[[#This Row],[Plan Ajustado]]</f>
        <v>0</v>
      </c>
      <c r="AX285" s="30">
        <f>IFERROR(VLOOKUP(Tabla14[[#This Row],[Llave]],'[13]Ultimos precios facturados'!$A:$G,7,FALSE),0)</f>
        <v>0</v>
      </c>
      <c r="AY28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5" s="30">
        <f>IFERROR(VLOOKUP(Tabla14[[#This Row],[Llave]],Hoja2!B:K,10,FALSE),0)</f>
        <v>0.89999999999999991</v>
      </c>
      <c r="BA28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85" s="30">
        <v>0</v>
      </c>
      <c r="BC285" s="30">
        <f>IF(Tabla14[[#This Row],[Market]]=0,Tabla14[[#This Row],[Precio Final]],Tabla14[[#This Row],[Market]])</f>
        <v>0</v>
      </c>
      <c r="BD285" s="82"/>
      <c r="BE285" s="82" t="str">
        <f>IF(AND(Tabla14[[#This Row],[Atraso a facturar]]&gt;0,Tabla14[[#This Row],[En puerto a facturar]]&gt;0,Tabla14[[#This Row],[Precio Atraso]]=0),"Revisar","OK")</f>
        <v>OK</v>
      </c>
      <c r="BF285" s="82" t="str">
        <f>IF(AND(Tabla14[[#This Row],[Venta del mes]]&gt;0,Tabla14[[#This Row],[Precio venta nueva]]=0),"Revisar","OK")</f>
        <v>OK</v>
      </c>
      <c r="BG285" s="20">
        <f>IFERROR(VLOOKUP(Tabla14[[#This Row],[Llave]],'[5]Consolidación planes'!$A:$M,9,FALSE),0)</f>
        <v>0</v>
      </c>
      <c r="BH285" s="20">
        <f>IFERROR(VLOOKUP(Tabla14[[#This Row],[Llave]],'[5]Consolidación planes'!$A:$M,10,FALSE),0)</f>
        <v>0</v>
      </c>
      <c r="BI285" s="20">
        <f>IFERROR(VLOOKUP(Tabla14[[#This Row],[Llave]],'[5]Consolidación planes'!$A:$M,11,FALSE),0)</f>
        <v>0</v>
      </c>
      <c r="BJ285" s="20">
        <f>IFERROR(VLOOKUP(Tabla14[[#This Row],[Llave]],'[5]Consolidación planes'!$A:$M,12,FALSE),0)</f>
        <v>0</v>
      </c>
      <c r="BK285" s="20">
        <f>IFERROR(VLOOKUP(Tabla14[[#This Row],[Llave]],'[5]Consolidación planes'!$A:$M,13,FALSE),0)</f>
        <v>0</v>
      </c>
      <c r="BL285" s="20">
        <f>IFERROR(VLOOKUP(Tabla14[[#This Row],[Llave]],'[13]Base ultimos planes'!$A:$M,13,FALSE),0)</f>
        <v>313</v>
      </c>
      <c r="BM285" s="20">
        <f>IFERROR(VLOOKUP(Tabla14[[#This Row],[Llave]],'[13]Cruce plan irrestricto'!$C:$M,10,FALSE),0)</f>
        <v>0</v>
      </c>
      <c r="BN285" s="20">
        <f>IFERROR(VLOOKUP(Tabla14[[#This Row],[Llave]],'[13]Cruce plan irrestricto'!$C:$M,11,FALSE),0)</f>
        <v>313</v>
      </c>
      <c r="BO285" s="80">
        <f>IFERROR(VLOOKUP(Tabla14[[#This Row],[Llave]],'[13]Base ultimos planes'!$O:$AA,8,FALSE),0)</f>
        <v>0</v>
      </c>
      <c r="BP285" s="20">
        <f>IFERROR(VLOOKUP(Tabla14[[#This Row],[Llave]],'[13]Base ultimos planes'!$O:$AA,9,FALSE),0)</f>
        <v>0</v>
      </c>
      <c r="BQ285" s="20">
        <f>IFERROR(VLOOKUP(Tabla14[[#This Row],[Llave]],'[13]Base ultimos planes'!$O:$AA,10,FALSE),0)</f>
        <v>0</v>
      </c>
      <c r="BR285" s="20">
        <f>IFERROR(VLOOKUP(Tabla14[[#This Row],[Llave]],'[13]Base ultimos planes'!$O:$AA,11,FALSE),0)</f>
        <v>0</v>
      </c>
      <c r="BS285" s="20">
        <f>IFERROR(VLOOKUP(Tabla14[[#This Row],[Llave]],'[13]Base ultimos planes'!$O:$AA,12,FALSE),0)</f>
        <v>0</v>
      </c>
      <c r="BT285" s="20">
        <f>IFERROR(VLOOKUP(Tabla14[[#This Row],[Llave]],'[13]Base ultimos planes'!$O:$AA,13,FALSE),0)</f>
        <v>282</v>
      </c>
      <c r="BU285" s="35"/>
      <c r="BV285" s="20">
        <f>Tabla14[[#This Row],[ RV Producción mes n+1]]-Tabla14[[#This Row],[Producción disponible]]+Tabla14[[#This Row],[Saldo Volumen disponible]]</f>
        <v>499.072</v>
      </c>
      <c r="BW285" s="20">
        <f>IFERROR(VLOOKUP(Tabla14[[#This Row],[Llave]],[14]Hoja2!$J:$N,4,FALSE),0)</f>
        <v>0</v>
      </c>
      <c r="BX285" s="20">
        <f>+Tabla14[[#This Row],[Asignación mes n+1]]*Tabla14[[#This Row],[% Uti. producción]]</f>
        <v>0</v>
      </c>
      <c r="BY285" s="20">
        <f>+Tabla14[[#This Row],[Ponderación mes n+1]]+Tabla14[[#This Row],[Saldo mes n-1]]</f>
        <v>499.072</v>
      </c>
      <c r="BZ285" s="20">
        <f>+Tabla14[[#This Row],[Asignación mes n+1]]-Tabla14[[#This Row],[Ponderación mes n+1]]</f>
        <v>0</v>
      </c>
      <c r="CA285" s="20">
        <f>IFERROR(VLOOKUP(Tabla14[[#This Row],[Llave]],[14]Hoja2!$J:$N,5,FALSE),0)</f>
        <v>0</v>
      </c>
      <c r="CB285" s="20">
        <f>+Tabla14[[#This Row],[Asignación mes n+2]]*Tabla14[[#This Row],[% Uti. producción]]</f>
        <v>0</v>
      </c>
      <c r="CC285" s="20">
        <f>+Tabla14[[#This Row],[Saldo mes n+2]]+Tabla14[[#This Row],[Ponderación mes n+2]]</f>
        <v>0</v>
      </c>
      <c r="CD285" s="20">
        <f>+Tabla14[[#This Row],[Asignación mes n+2]]-Tabla14[[#This Row],[Ponderación mes n+2]]</f>
        <v>0</v>
      </c>
    </row>
    <row r="286" spans="1:82" ht="16" x14ac:dyDescent="0.2">
      <c r="A286">
        <v>2</v>
      </c>
      <c r="B286" t="str">
        <f>Tabla14[[#This Row],[Oficina]]&amp;Tabla14[[#This Row],[Material]]</f>
        <v>Agrosuper Shanghai1023366</v>
      </c>
      <c r="C286" t="s">
        <v>6</v>
      </c>
      <c r="D286" t="s">
        <v>140</v>
      </c>
      <c r="E286">
        <v>1023366</v>
      </c>
      <c r="F286" t="s">
        <v>609</v>
      </c>
      <c r="G286" t="s">
        <v>76</v>
      </c>
      <c r="H286" t="s">
        <v>77</v>
      </c>
      <c r="I286" s="7">
        <f>IFERROR(IF(Tabla14[[#This Row],[Oficina]]=$I$7,VLOOKUP(Tabla14[[#This Row],[Material]],'[6]RV Producción'!$Y:$AA,3,FALSE),VLOOKUP(Tabla14[[#This Row],[Llave]],'[6]RV Producción'!$C:$G,5,FALSE)),0)</f>
        <v>0</v>
      </c>
      <c r="J286" s="7">
        <f>IFERROR(IF(Tabla14[[#This Row],[Oficina]]=$I$7,VLOOKUP(Tabla14[[#This Row],[Llave]],'[7]Shangai (Tomas)'!$A:$F,6,FALSE),VLOOKUP(Tabla14[[#This Row],[Llave]],'[6]RV plan de ventas'!$A:$E,5,FALSE)),0)</f>
        <v>0</v>
      </c>
      <c r="K286" s="8">
        <f>IFERROR(VLOOKUP(Tabla14[[#This Row],[Sector]]&amp;Tabla14[[#This Row],[Oficina]],[8]Ponderación!$A$3:$G$22,7,FALSE),0)</f>
        <v>0.38476266834449474</v>
      </c>
      <c r="L286" s="7">
        <f>+Tabla14[[#This Row],[ RV Producción mes n+1]]*Tabla14[[#This Row],[% Uti. producción]]</f>
        <v>0</v>
      </c>
      <c r="M286" s="7">
        <f>IFERROR(VLOOKUP(Tabla14[[#This Row],[Material]],'[9]TD Stock'!$B:$C,2,FALSE),0)</f>
        <v>370.072</v>
      </c>
      <c r="N286" s="7">
        <f>IFERROR(VLOOKUP(Tabla14[[#This Row],[Material]],'[10]Consolidado planificación'!$B:$C,2,FALSE),0)</f>
        <v>0</v>
      </c>
      <c r="O286" s="7">
        <f>IFERROR(VLOOKUP(Tabla14[[#This Row],[Llave]],[11]Hoja2!$D:$G,4,FALSE),0)</f>
        <v>0</v>
      </c>
      <c r="P286" s="37">
        <f>SUM(Tabla14[[#This Row],[Producción disponible]],Tabla14[[#This Row],[Stock al día]],(Tabla14[[#This Row],[Por producir mes N]]*0.9))-Tabla14[[#This Row],[Producción por despachar mes N]]</f>
        <v>370.072</v>
      </c>
      <c r="Q286" s="7">
        <f>IFERROR(VLOOKUP(Tabla14[[#This Row],[Llave]],[9]DELAY!$A:$D,4,FALSE),0)</f>
        <v>0</v>
      </c>
      <c r="R286" s="9">
        <v>557</v>
      </c>
      <c r="S286" s="5">
        <f t="shared" si="9"/>
        <v>0</v>
      </c>
      <c r="T286" s="76">
        <v>0</v>
      </c>
      <c r="U286" s="5">
        <f>+Tabla14[[#This Row],[Atraso a facturar]]+Tabla14[[#This Row],[Ajuste atraso]]</f>
        <v>0</v>
      </c>
      <c r="V286" s="3">
        <f>+Tabla14[[#This Row],[Total disponible]]-Tabla14[[#This Row],[Facturación atraso]]</f>
        <v>370.072</v>
      </c>
      <c r="W286" s="6">
        <f>IFERROR(IF(AND(V286&gt;R286,J286&gt;=R286),ROUNDDOWN((Tabla14[[#This Row],[Producción para venta nueva]])/R286,0)*R286,0),0)</f>
        <v>0</v>
      </c>
      <c r="X286" s="76">
        <v>0</v>
      </c>
      <c r="Y286" s="6">
        <f>IF(Tabla14[[#This Row],[Venta del mes]]&gt;0,Tabla14[[#This Row],[Venta del mes]]+Tabla14[[#This Row],[Ajuste venta nueva]],0)</f>
        <v>0</v>
      </c>
      <c r="Z286" s="6">
        <f>+Tabla14[[#This Row],[Producción para venta nueva]]-Tabla14[[#This Row],[Facturación Venta nueva]]</f>
        <v>370.072</v>
      </c>
      <c r="AA286" s="6">
        <f>IF(AND(A286=1,Tabla14[[#This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6" s="6">
        <v>0</v>
      </c>
      <c r="AC286" s="6">
        <f>IF(Tabla14[[#This Row],[Disponible stock sin venta]]&gt;0,Tabla14[[#This Row],[Disponible stock sin venta]]+Tabla14[[#This Row],[Ajuste stock sin venta]],0)</f>
        <v>0</v>
      </c>
      <c r="AD286" s="3">
        <f>IFERROR(VLOOKUP(Tabla14[[#This Row],[Llave]],[12]Hoja1!$A:$D,4,FALSE),0)</f>
        <v>0</v>
      </c>
      <c r="AE28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86" s="3">
        <v>0</v>
      </c>
      <c r="AG286" s="3">
        <f>+Tabla14[[#This Row],[En puerto a facturar]]</f>
        <v>0</v>
      </c>
      <c r="AH286" s="3">
        <f>+Tabla14[[#This Row],[Facturación atraso]]</f>
        <v>0</v>
      </c>
      <c r="AI286" s="3">
        <f>+Tabla14[[#This Row],[Plan Irrestricto (DATO)]]-Tabla14[[#This Row],[Puerto ]]-Tabla14[[#This Row],[Atraso]]</f>
        <v>0</v>
      </c>
      <c r="AJ28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86" s="3">
        <f>+Tabla14[[#This Row],[Facturación atraso]]</f>
        <v>0</v>
      </c>
      <c r="AL286" s="3">
        <f>Tabla14[[#This Row],[Plan Ajustado]]-Tabla14[[#This Row],[ Atraso ajustado]]-Tabla14[[#This Row],[En puerto a facturar]]</f>
        <v>0</v>
      </c>
      <c r="AM286" s="3">
        <v>0</v>
      </c>
      <c r="AN286" s="3"/>
      <c r="AO286" s="3" t="str">
        <f>IF(Tabla14[[#This Row],[Plan Ajustado]]&gt;Tabla14[[#This Row],[En puerto a facturar]],"Si","No")</f>
        <v>No</v>
      </c>
      <c r="AP28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6" s="3">
        <f>IF(Tabla14[[#This Row],[Necesidad]]&gt;=Tabla14[[#This Row],[Stock al día]],Tabla14[[#This Row],[Stock al día]],Tabla14[[#This Row],[Necesidad]])</f>
        <v>0</v>
      </c>
      <c r="AR286" s="3">
        <f>+Tabla14[[#This Row],[Necesidad]]-Tabla14[[#This Row],[Stock Plan]]</f>
        <v>0</v>
      </c>
      <c r="AS286" s="155">
        <f>VLOOKUP(Tabla14[[#This Row],[Sector]]&amp;Tabla14[[#This Row],[Oficina]],[8]Ponderación!$A:$H,8,FALSE)</f>
        <v>44814</v>
      </c>
      <c r="AT286" s="30">
        <f>IFERROR(VLOOKUP(Tabla14[[#This Row],[Llave]],'[6]RV plan de ventas'!$A:$F,6,FALSE),0)</f>
        <v>0</v>
      </c>
      <c r="AU286" s="83">
        <f>IFERROR(VLOOKUP(Tabla14[[#This Row],[Llave]],[9]DELAY!$H:$X,17,FALSE),0)</f>
        <v>0</v>
      </c>
      <c r="AV28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86" s="5">
        <f>Tabla14[[#This Row],[Pecio plan]]*Tabla14[[#This Row],[Plan Ajustado]]</f>
        <v>0</v>
      </c>
      <c r="AX286" s="30">
        <f>IFERROR(VLOOKUP(Tabla14[[#This Row],[Llave]],'[13]Ultimos precios facturados'!$A:$G,7,FALSE),0)</f>
        <v>0</v>
      </c>
      <c r="AY28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6" s="30">
        <f>IFERROR(VLOOKUP(Tabla14[[#This Row],[Llave]],Hoja2!B:K,10,FALSE),0)</f>
        <v>0</v>
      </c>
      <c r="BA28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86" s="30">
        <v>0</v>
      </c>
      <c r="BC286" s="30">
        <f>IF(Tabla14[[#This Row],[Market]]=0,Tabla14[[#This Row],[Precio Final]],Tabla14[[#This Row],[Market]])</f>
        <v>0</v>
      </c>
      <c r="BD286" s="82"/>
      <c r="BE286" s="82" t="str">
        <f>IF(AND(Tabla14[[#This Row],[Atraso a facturar]]&gt;0,Tabla14[[#This Row],[En puerto a facturar]]&gt;0,Tabla14[[#This Row],[Precio Atraso]]=0),"Revisar","OK")</f>
        <v>OK</v>
      </c>
      <c r="BF286" s="82" t="str">
        <f>IF(AND(Tabla14[[#This Row],[Venta del mes]]&gt;0,Tabla14[[#This Row],[Precio venta nueva]]=0),"Revisar","OK")</f>
        <v>OK</v>
      </c>
      <c r="BG286" s="20">
        <f>IFERROR(VLOOKUP(Tabla14[[#This Row],[Llave]],'[5]Consolidación planes'!$A:$M,9,FALSE),0)</f>
        <v>0</v>
      </c>
      <c r="BH286" s="20">
        <f>IFERROR(VLOOKUP(Tabla14[[#This Row],[Llave]],'[5]Consolidación planes'!$A:$M,10,FALSE),0)</f>
        <v>0</v>
      </c>
      <c r="BI286" s="20">
        <f>IFERROR(VLOOKUP(Tabla14[[#This Row],[Llave]],'[5]Consolidación planes'!$A:$M,11,FALSE),0)</f>
        <v>0</v>
      </c>
      <c r="BJ286" s="20">
        <f>IFERROR(VLOOKUP(Tabla14[[#This Row],[Llave]],'[5]Consolidación planes'!$A:$M,12,FALSE),0)</f>
        <v>0</v>
      </c>
      <c r="BK286" s="20">
        <f>IFERROR(VLOOKUP(Tabla14[[#This Row],[Llave]],'[5]Consolidación planes'!$A:$M,13,FALSE),0)</f>
        <v>0</v>
      </c>
      <c r="BL286" s="20">
        <f>IFERROR(VLOOKUP(Tabla14[[#This Row],[Llave]],'[13]Base ultimos planes'!$A:$M,13,FALSE),0)</f>
        <v>0</v>
      </c>
      <c r="BM286" s="20">
        <f>IFERROR(VLOOKUP(Tabla14[[#This Row],[Llave]],'[13]Cruce plan irrestricto'!$C:$M,10,FALSE),0)</f>
        <v>0</v>
      </c>
      <c r="BN286" s="20">
        <f>IFERROR(VLOOKUP(Tabla14[[#This Row],[Llave]],'[13]Cruce plan irrestricto'!$C:$M,11,FALSE),0)</f>
        <v>0</v>
      </c>
      <c r="BO286" s="80">
        <f>IFERROR(VLOOKUP(Tabla14[[#This Row],[Llave]],'[13]Base ultimos planes'!$O:$AA,8,FALSE),0)</f>
        <v>0</v>
      </c>
      <c r="BP286" s="20">
        <f>IFERROR(VLOOKUP(Tabla14[[#This Row],[Llave]],'[13]Base ultimos planes'!$O:$AA,9,FALSE),0)</f>
        <v>0</v>
      </c>
      <c r="BQ286" s="20">
        <f>IFERROR(VLOOKUP(Tabla14[[#This Row],[Llave]],'[13]Base ultimos planes'!$O:$AA,10,FALSE),0)</f>
        <v>0</v>
      </c>
      <c r="BR286" s="20">
        <f>IFERROR(VLOOKUP(Tabla14[[#This Row],[Llave]],'[13]Base ultimos planes'!$O:$AA,11,FALSE),0)</f>
        <v>0</v>
      </c>
      <c r="BS286" s="20">
        <f>IFERROR(VLOOKUP(Tabla14[[#This Row],[Llave]],'[13]Base ultimos planes'!$O:$AA,12,FALSE),0)</f>
        <v>0</v>
      </c>
      <c r="BT286" s="20">
        <f>IFERROR(VLOOKUP(Tabla14[[#This Row],[Llave]],'[13]Base ultimos planes'!$O:$AA,13,FALSE),0)</f>
        <v>0</v>
      </c>
      <c r="BU286" s="35"/>
      <c r="BV286" s="20">
        <f>Tabla14[[#This Row],[ RV Producción mes n+1]]-Tabla14[[#This Row],[Producción disponible]]+Tabla14[[#This Row],[Saldo Volumen disponible]]</f>
        <v>370.072</v>
      </c>
      <c r="BW286" s="20">
        <f>IFERROR(VLOOKUP(Tabla14[[#This Row],[Llave]],[14]Hoja2!$J:$N,4,FALSE),0)</f>
        <v>0</v>
      </c>
      <c r="BX286" s="20">
        <f>+Tabla14[[#This Row],[Asignación mes n+1]]*Tabla14[[#This Row],[% Uti. producción]]</f>
        <v>0</v>
      </c>
      <c r="BY286" s="20">
        <f>+Tabla14[[#This Row],[Ponderación mes n+1]]+Tabla14[[#This Row],[Saldo mes n-1]]</f>
        <v>370.072</v>
      </c>
      <c r="BZ286" s="20">
        <f>+Tabla14[[#This Row],[Asignación mes n+1]]-Tabla14[[#This Row],[Ponderación mes n+1]]</f>
        <v>0</v>
      </c>
      <c r="CA286" s="20">
        <f>IFERROR(VLOOKUP(Tabla14[[#This Row],[Llave]],[14]Hoja2!$J:$N,5,FALSE),0)</f>
        <v>0</v>
      </c>
      <c r="CB286" s="20">
        <f>+Tabla14[[#This Row],[Asignación mes n+2]]*Tabla14[[#This Row],[% Uti. producción]]</f>
        <v>0</v>
      </c>
      <c r="CC286" s="20">
        <f>+Tabla14[[#This Row],[Saldo mes n+2]]+Tabla14[[#This Row],[Ponderación mes n+2]]</f>
        <v>0</v>
      </c>
      <c r="CD286" s="20">
        <f>+Tabla14[[#This Row],[Asignación mes n+2]]-Tabla14[[#This Row],[Ponderación mes n+2]]</f>
        <v>0</v>
      </c>
    </row>
    <row r="287" spans="1:82" ht="16" x14ac:dyDescent="0.2">
      <c r="A287">
        <v>2</v>
      </c>
      <c r="B287" t="str">
        <f>Tabla14[[#This Row],[Oficina]]&amp;Tabla14[[#This Row],[Material]]</f>
        <v>Agrosuper Shanghai1023367</v>
      </c>
      <c r="C287" t="s">
        <v>6</v>
      </c>
      <c r="D287" t="s">
        <v>140</v>
      </c>
      <c r="E287">
        <v>1023367</v>
      </c>
      <c r="F287" t="s">
        <v>610</v>
      </c>
      <c r="G287" t="s">
        <v>611</v>
      </c>
      <c r="H287" t="s">
        <v>612</v>
      </c>
      <c r="I287" s="7">
        <f>IFERROR(IF(Tabla14[[#This Row],[Oficina]]=$I$7,VLOOKUP(Tabla14[[#This Row],[Material]],'[6]RV Producción'!$Y:$AA,3,FALSE),VLOOKUP(Tabla14[[#This Row],[Llave]],'[6]RV Producción'!$C:$G,5,FALSE)),0)</f>
        <v>0</v>
      </c>
      <c r="J287" s="7">
        <f>IFERROR(IF(Tabla14[[#This Row],[Oficina]]=$I$7,VLOOKUP(Tabla14[[#This Row],[Llave]],'[7]Shangai (Tomas)'!$A:$F,6,FALSE),VLOOKUP(Tabla14[[#This Row],[Llave]],'[6]RV plan de ventas'!$A:$E,5,FALSE)),0)</f>
        <v>0</v>
      </c>
      <c r="K287" s="8">
        <f>IFERROR(VLOOKUP(Tabla14[[#This Row],[Sector]]&amp;Tabla14[[#This Row],[Oficina]],[8]Ponderación!$A$3:$G$22,7,FALSE),0)</f>
        <v>0.38476266834449474</v>
      </c>
      <c r="L287" s="7">
        <f>+Tabla14[[#This Row],[ RV Producción mes n+1]]*Tabla14[[#This Row],[% Uti. producción]]</f>
        <v>0</v>
      </c>
      <c r="M287" s="7">
        <f>IFERROR(VLOOKUP(Tabla14[[#This Row],[Material]],'[9]TD Stock'!$B:$C,2,FALSE),0)</f>
        <v>2934.873</v>
      </c>
      <c r="N287" s="7">
        <f>IFERROR(VLOOKUP(Tabla14[[#This Row],[Material]],'[10]Consolidado planificación'!$B:$C,2,FALSE),0)</f>
        <v>0</v>
      </c>
      <c r="O287" s="7">
        <f>IFERROR(VLOOKUP(Tabla14[[#This Row],[Llave]],[11]Hoja2!$D:$G,4,FALSE),0)</f>
        <v>0</v>
      </c>
      <c r="P287" s="37">
        <f>SUM(Tabla14[[#This Row],[Producción disponible]],Tabla14[[#This Row],[Stock al día]],(Tabla14[[#This Row],[Por producir mes N]]*0.9))-Tabla14[[#This Row],[Producción por despachar mes N]]</f>
        <v>2934.873</v>
      </c>
      <c r="Q287" s="7">
        <f>IFERROR(VLOOKUP(Tabla14[[#This Row],[Llave]],[9]DELAY!$A:$D,4,FALSE),0)</f>
        <v>0</v>
      </c>
      <c r="R287" s="9">
        <v>3177</v>
      </c>
      <c r="S287" s="5">
        <f t="shared" si="9"/>
        <v>0</v>
      </c>
      <c r="T287" s="76">
        <v>0</v>
      </c>
      <c r="U287" s="5">
        <f>+Tabla14[[#This Row],[Atraso a facturar]]+Tabla14[[#This Row],[Ajuste atraso]]</f>
        <v>0</v>
      </c>
      <c r="V287" s="3">
        <f>+Tabla14[[#This Row],[Total disponible]]-Tabla14[[#This Row],[Facturación atraso]]</f>
        <v>2934.873</v>
      </c>
      <c r="W287" s="6">
        <f>IFERROR(IF(AND(V287&gt;R287,J287&gt;=R287),ROUNDDOWN((Tabla14[[#This Row],[Producción para venta nueva]])/R287,0)*R287,0),0)</f>
        <v>0</v>
      </c>
      <c r="X287" s="76">
        <v>0</v>
      </c>
      <c r="Y287" s="6">
        <f>IF(Tabla14[[#This Row],[Venta del mes]]&gt;0,Tabla14[[#This Row],[Venta del mes]]+Tabla14[[#This Row],[Ajuste venta nueva]],0)</f>
        <v>0</v>
      </c>
      <c r="Z287" s="6">
        <f>+Tabla14[[#This Row],[Producción para venta nueva]]-Tabla14[[#This Row],[Facturación Venta nueva]]</f>
        <v>2934.873</v>
      </c>
      <c r="AA287" s="6">
        <f>IF(AND(A287=1,Tabla14[[#This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7" s="6">
        <v>0</v>
      </c>
      <c r="AC287" s="6">
        <f>IF(Tabla14[[#This Row],[Disponible stock sin venta]]&gt;0,Tabla14[[#This Row],[Disponible stock sin venta]]+Tabla14[[#This Row],[Ajuste stock sin venta]],0)</f>
        <v>0</v>
      </c>
      <c r="AD287" s="3">
        <f>IFERROR(VLOOKUP(Tabla14[[#This Row],[Llave]],[12]Hoja1!$A:$D,4,FALSE),0)</f>
        <v>0</v>
      </c>
      <c r="AE28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87" s="3">
        <v>0</v>
      </c>
      <c r="AG287" s="3">
        <f>+Tabla14[[#This Row],[En puerto a facturar]]</f>
        <v>0</v>
      </c>
      <c r="AH287" s="3">
        <f>+Tabla14[[#This Row],[Facturación atraso]]</f>
        <v>0</v>
      </c>
      <c r="AI287" s="3">
        <f>+Tabla14[[#This Row],[Plan Irrestricto (DATO)]]-Tabla14[[#This Row],[Puerto ]]-Tabla14[[#This Row],[Atraso]]</f>
        <v>0</v>
      </c>
      <c r="AJ28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87" s="3">
        <f>+Tabla14[[#This Row],[Facturación atraso]]</f>
        <v>0</v>
      </c>
      <c r="AL287" s="3">
        <f>Tabla14[[#This Row],[Plan Ajustado]]-Tabla14[[#This Row],[ Atraso ajustado]]-Tabla14[[#This Row],[En puerto a facturar]]</f>
        <v>0</v>
      </c>
      <c r="AM287" s="3">
        <v>0</v>
      </c>
      <c r="AN287" s="3"/>
      <c r="AO287" s="3" t="str">
        <f>IF(Tabla14[[#This Row],[Plan Ajustado]]&gt;Tabla14[[#This Row],[En puerto a facturar]],"Si","No")</f>
        <v>No</v>
      </c>
      <c r="AP28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7" s="3">
        <f>IF(Tabla14[[#This Row],[Necesidad]]&gt;=Tabla14[[#This Row],[Stock al día]],Tabla14[[#This Row],[Stock al día]],Tabla14[[#This Row],[Necesidad]])</f>
        <v>0</v>
      </c>
      <c r="AR287" s="3">
        <f>+Tabla14[[#This Row],[Necesidad]]-Tabla14[[#This Row],[Stock Plan]]</f>
        <v>0</v>
      </c>
      <c r="AS287" s="155">
        <f>VLOOKUP(Tabla14[[#This Row],[Sector]]&amp;Tabla14[[#This Row],[Oficina]],[8]Ponderación!$A:$H,8,FALSE)</f>
        <v>44814</v>
      </c>
      <c r="AT287" s="30">
        <f>IFERROR(VLOOKUP(Tabla14[[#This Row],[Llave]],'[6]RV plan de ventas'!$A:$F,6,FALSE),0)</f>
        <v>0</v>
      </c>
      <c r="AU287" s="83">
        <f>IFERROR(VLOOKUP(Tabla14[[#This Row],[Llave]],[9]DELAY!$H:$X,17,FALSE),0)</f>
        <v>0</v>
      </c>
      <c r="AV28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87" s="5">
        <f>Tabla14[[#This Row],[Pecio plan]]*Tabla14[[#This Row],[Plan Ajustado]]</f>
        <v>0</v>
      </c>
      <c r="AX287" s="30">
        <f>IFERROR(VLOOKUP(Tabla14[[#This Row],[Llave]],'[13]Ultimos precios facturados'!$A:$G,7,FALSE),0)</f>
        <v>0</v>
      </c>
      <c r="AY28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7" s="30">
        <f>IFERROR(VLOOKUP(Tabla14[[#This Row],[Llave]],Hoja2!B:K,10,FALSE),0)</f>
        <v>0</v>
      </c>
      <c r="BA28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87" s="30">
        <v>0</v>
      </c>
      <c r="BC287" s="30">
        <f>IF(Tabla14[[#This Row],[Market]]=0,Tabla14[[#This Row],[Precio Final]],Tabla14[[#This Row],[Market]])</f>
        <v>0</v>
      </c>
      <c r="BD287" s="82"/>
      <c r="BE287" s="82" t="str">
        <f>IF(AND(Tabla14[[#This Row],[Atraso a facturar]]&gt;0,Tabla14[[#This Row],[En puerto a facturar]]&gt;0,Tabla14[[#This Row],[Precio Atraso]]=0),"Revisar","OK")</f>
        <v>OK</v>
      </c>
      <c r="BF287" s="82" t="str">
        <f>IF(AND(Tabla14[[#This Row],[Venta del mes]]&gt;0,Tabla14[[#This Row],[Precio venta nueva]]=0),"Revisar","OK")</f>
        <v>OK</v>
      </c>
      <c r="BG287" s="20">
        <f>IFERROR(VLOOKUP(Tabla14[[#This Row],[Llave]],'[5]Consolidación planes'!$A:$M,9,FALSE),0)</f>
        <v>0</v>
      </c>
      <c r="BH287" s="20">
        <f>IFERROR(VLOOKUP(Tabla14[[#This Row],[Llave]],'[5]Consolidación planes'!$A:$M,10,FALSE),0)</f>
        <v>0</v>
      </c>
      <c r="BI287" s="20">
        <f>IFERROR(VLOOKUP(Tabla14[[#This Row],[Llave]],'[5]Consolidación planes'!$A:$M,11,FALSE),0)</f>
        <v>0</v>
      </c>
      <c r="BJ287" s="20">
        <f>IFERROR(VLOOKUP(Tabla14[[#This Row],[Llave]],'[5]Consolidación planes'!$A:$M,12,FALSE),0)</f>
        <v>0</v>
      </c>
      <c r="BK287" s="20">
        <f>IFERROR(VLOOKUP(Tabla14[[#This Row],[Llave]],'[5]Consolidación planes'!$A:$M,13,FALSE),0)</f>
        <v>0</v>
      </c>
      <c r="BL287" s="20">
        <f>IFERROR(VLOOKUP(Tabla14[[#This Row],[Llave]],'[13]Base ultimos planes'!$A:$M,13,FALSE),0)</f>
        <v>0</v>
      </c>
      <c r="BM287" s="20">
        <f>IFERROR(VLOOKUP(Tabla14[[#This Row],[Llave]],'[13]Cruce plan irrestricto'!$C:$M,10,FALSE),0)</f>
        <v>0</v>
      </c>
      <c r="BN287" s="20">
        <f>IFERROR(VLOOKUP(Tabla14[[#This Row],[Llave]],'[13]Cruce plan irrestricto'!$C:$M,11,FALSE),0)</f>
        <v>0</v>
      </c>
      <c r="BO287" s="80">
        <f>IFERROR(VLOOKUP(Tabla14[[#This Row],[Llave]],'[13]Base ultimos planes'!$O:$AA,8,FALSE),0)</f>
        <v>0</v>
      </c>
      <c r="BP287" s="20">
        <f>IFERROR(VLOOKUP(Tabla14[[#This Row],[Llave]],'[13]Base ultimos planes'!$O:$AA,9,FALSE),0)</f>
        <v>0</v>
      </c>
      <c r="BQ287" s="20">
        <f>IFERROR(VLOOKUP(Tabla14[[#This Row],[Llave]],'[13]Base ultimos planes'!$O:$AA,10,FALSE),0)</f>
        <v>0</v>
      </c>
      <c r="BR287" s="20">
        <f>IFERROR(VLOOKUP(Tabla14[[#This Row],[Llave]],'[13]Base ultimos planes'!$O:$AA,11,FALSE),0)</f>
        <v>0</v>
      </c>
      <c r="BS287" s="20">
        <f>IFERROR(VLOOKUP(Tabla14[[#This Row],[Llave]],'[13]Base ultimos planes'!$O:$AA,12,FALSE),0)</f>
        <v>0</v>
      </c>
      <c r="BT287" s="20">
        <f>IFERROR(VLOOKUP(Tabla14[[#This Row],[Llave]],'[13]Base ultimos planes'!$O:$AA,13,FALSE),0)</f>
        <v>0</v>
      </c>
      <c r="BU287" s="35"/>
      <c r="BV287" s="20">
        <f>Tabla14[[#This Row],[ RV Producción mes n+1]]-Tabla14[[#This Row],[Producción disponible]]+Tabla14[[#This Row],[Saldo Volumen disponible]]</f>
        <v>2934.873</v>
      </c>
      <c r="BW287" s="20">
        <f>IFERROR(VLOOKUP(Tabla14[[#This Row],[Llave]],[14]Hoja2!$J:$N,4,FALSE),0)</f>
        <v>0</v>
      </c>
      <c r="BX287" s="20">
        <f>+Tabla14[[#This Row],[Asignación mes n+1]]*Tabla14[[#This Row],[% Uti. producción]]</f>
        <v>0</v>
      </c>
      <c r="BY287" s="20">
        <f>+Tabla14[[#This Row],[Ponderación mes n+1]]+Tabla14[[#This Row],[Saldo mes n-1]]</f>
        <v>2934.873</v>
      </c>
      <c r="BZ287" s="20">
        <f>+Tabla14[[#This Row],[Asignación mes n+1]]-Tabla14[[#This Row],[Ponderación mes n+1]]</f>
        <v>0</v>
      </c>
      <c r="CA287" s="20">
        <f>IFERROR(VLOOKUP(Tabla14[[#This Row],[Llave]],[14]Hoja2!$J:$N,5,FALSE),0)</f>
        <v>0</v>
      </c>
      <c r="CB287" s="20">
        <f>+Tabla14[[#This Row],[Asignación mes n+2]]*Tabla14[[#This Row],[% Uti. producción]]</f>
        <v>0</v>
      </c>
      <c r="CC287" s="20">
        <f>+Tabla14[[#This Row],[Saldo mes n+2]]+Tabla14[[#This Row],[Ponderación mes n+2]]</f>
        <v>0</v>
      </c>
      <c r="CD287" s="20">
        <f>+Tabla14[[#This Row],[Asignación mes n+2]]-Tabla14[[#This Row],[Ponderación mes n+2]]</f>
        <v>0</v>
      </c>
    </row>
    <row r="288" spans="1:82" ht="16" x14ac:dyDescent="0.2">
      <c r="A288">
        <v>2</v>
      </c>
      <c r="B288" t="str">
        <f>Tabla14[[#This Row],[Oficina]]&amp;Tabla14[[#This Row],[Material]]</f>
        <v>Agrosuper Shanghai1023368</v>
      </c>
      <c r="C288" t="s">
        <v>6</v>
      </c>
      <c r="D288" t="s">
        <v>140</v>
      </c>
      <c r="E288">
        <v>1023368</v>
      </c>
      <c r="F288" t="s">
        <v>613</v>
      </c>
      <c r="G288" t="s">
        <v>603</v>
      </c>
      <c r="H288" t="s">
        <v>614</v>
      </c>
      <c r="I288" s="7">
        <f>IFERROR(IF(Tabla14[[#This Row],[Oficina]]=$I$7,VLOOKUP(Tabla14[[#This Row],[Material]],'[6]RV Producción'!$Y:$AA,3,FALSE),VLOOKUP(Tabla14[[#This Row],[Llave]],'[6]RV Producción'!$C:$G,5,FALSE)),0)</f>
        <v>0</v>
      </c>
      <c r="J288" s="7">
        <f>IFERROR(IF(Tabla14[[#This Row],[Oficina]]=$I$7,VLOOKUP(Tabla14[[#This Row],[Llave]],'[7]Shangai (Tomas)'!$A:$F,6,FALSE),VLOOKUP(Tabla14[[#This Row],[Llave]],'[6]RV plan de ventas'!$A:$E,5,FALSE)),0)</f>
        <v>0</v>
      </c>
      <c r="K288" s="8">
        <f>IFERROR(VLOOKUP(Tabla14[[#This Row],[Sector]]&amp;Tabla14[[#This Row],[Oficina]],[8]Ponderación!$A$3:$G$22,7,FALSE),0)</f>
        <v>0.38476266834449474</v>
      </c>
      <c r="L288" s="7">
        <f>+Tabla14[[#This Row],[ RV Producción mes n+1]]*Tabla14[[#This Row],[% Uti. producción]]</f>
        <v>0</v>
      </c>
      <c r="M288" s="7">
        <f>IFERROR(VLOOKUP(Tabla14[[#This Row],[Material]],'[9]TD Stock'!$B:$C,2,FALSE),0)</f>
        <v>551.35500000000002</v>
      </c>
      <c r="N288" s="7">
        <f>IFERROR(VLOOKUP(Tabla14[[#This Row],[Material]],'[10]Consolidado planificación'!$B:$C,2,FALSE),0)</f>
        <v>0</v>
      </c>
      <c r="O288" s="7">
        <f>IFERROR(VLOOKUP(Tabla14[[#This Row],[Llave]],[11]Hoja2!$D:$G,4,FALSE),0)</f>
        <v>0</v>
      </c>
      <c r="P288" s="37">
        <f>SUM(Tabla14[[#This Row],[Producción disponible]],Tabla14[[#This Row],[Stock al día]],(Tabla14[[#This Row],[Por producir mes N]]*0.9))-Tabla14[[#This Row],[Producción por despachar mes N]]</f>
        <v>551.35500000000002</v>
      </c>
      <c r="Q288" s="7">
        <f>IFERROR(VLOOKUP(Tabla14[[#This Row],[Llave]],[9]DELAY!$A:$D,4,FALSE),0)</f>
        <v>0</v>
      </c>
      <c r="R288" s="9">
        <v>7122</v>
      </c>
      <c r="S288" s="5">
        <f t="shared" si="9"/>
        <v>0</v>
      </c>
      <c r="T288" s="76">
        <v>0</v>
      </c>
      <c r="U288" s="5">
        <f>+Tabla14[[#This Row],[Atraso a facturar]]+Tabla14[[#This Row],[Ajuste atraso]]</f>
        <v>0</v>
      </c>
      <c r="V288" s="3">
        <f>+Tabla14[[#This Row],[Total disponible]]-Tabla14[[#This Row],[Facturación atraso]]</f>
        <v>551.35500000000002</v>
      </c>
      <c r="W288" s="6">
        <f>IFERROR(IF(AND(V288&gt;R288,J288&gt;=R288),ROUNDDOWN((Tabla14[[#This Row],[Producción para venta nueva]])/R288,0)*R288,0),0)</f>
        <v>0</v>
      </c>
      <c r="X288" s="76">
        <v>0</v>
      </c>
      <c r="Y288" s="6">
        <f>IF(Tabla14[[#This Row],[Venta del mes]]&gt;0,Tabla14[[#This Row],[Venta del mes]]+Tabla14[[#This Row],[Ajuste venta nueva]],0)</f>
        <v>0</v>
      </c>
      <c r="Z288" s="6">
        <f>+Tabla14[[#This Row],[Producción para venta nueva]]-Tabla14[[#This Row],[Facturación Venta nueva]]</f>
        <v>551.35500000000002</v>
      </c>
      <c r="AA288" s="6">
        <f>IF(AND(A288=1,Tabla14[[#This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8" s="6">
        <v>0</v>
      </c>
      <c r="AC288" s="6">
        <f>IF(Tabla14[[#This Row],[Disponible stock sin venta]]&gt;0,Tabla14[[#This Row],[Disponible stock sin venta]]+Tabla14[[#This Row],[Ajuste stock sin venta]],0)</f>
        <v>0</v>
      </c>
      <c r="AD288" s="3">
        <f>IFERROR(VLOOKUP(Tabla14[[#This Row],[Llave]],[12]Hoja1!$A:$D,4,FALSE),0)</f>
        <v>0</v>
      </c>
      <c r="AE28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88" s="3">
        <v>0</v>
      </c>
      <c r="AG288" s="3">
        <f>+Tabla14[[#This Row],[En puerto a facturar]]</f>
        <v>0</v>
      </c>
      <c r="AH288" s="3">
        <f>+Tabla14[[#This Row],[Facturación atraso]]</f>
        <v>0</v>
      </c>
      <c r="AI288" s="3">
        <f>+Tabla14[[#This Row],[Plan Irrestricto (DATO)]]-Tabla14[[#This Row],[Puerto ]]-Tabla14[[#This Row],[Atraso]]</f>
        <v>0</v>
      </c>
      <c r="AJ28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88" s="3">
        <f>+Tabla14[[#This Row],[Facturación atraso]]</f>
        <v>0</v>
      </c>
      <c r="AL288" s="3">
        <f>Tabla14[[#This Row],[Plan Ajustado]]-Tabla14[[#This Row],[ Atraso ajustado]]-Tabla14[[#This Row],[En puerto a facturar]]</f>
        <v>0</v>
      </c>
      <c r="AM288" s="3">
        <v>0</v>
      </c>
      <c r="AN288" s="3"/>
      <c r="AO288" s="3" t="str">
        <f>IF(Tabla14[[#This Row],[Plan Ajustado]]&gt;Tabla14[[#This Row],[En puerto a facturar]],"Si","No")</f>
        <v>No</v>
      </c>
      <c r="AP28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8" s="3">
        <f>IF(Tabla14[[#This Row],[Necesidad]]&gt;=Tabla14[[#This Row],[Stock al día]],Tabla14[[#This Row],[Stock al día]],Tabla14[[#This Row],[Necesidad]])</f>
        <v>0</v>
      </c>
      <c r="AR288" s="3">
        <f>+Tabla14[[#This Row],[Necesidad]]-Tabla14[[#This Row],[Stock Plan]]</f>
        <v>0</v>
      </c>
      <c r="AS288" s="155">
        <f>VLOOKUP(Tabla14[[#This Row],[Sector]]&amp;Tabla14[[#This Row],[Oficina]],[8]Ponderación!$A:$H,8,FALSE)</f>
        <v>44814</v>
      </c>
      <c r="AT288" s="30">
        <f>IFERROR(VLOOKUP(Tabla14[[#This Row],[Llave]],'[6]RV plan de ventas'!$A:$F,6,FALSE),0)</f>
        <v>0</v>
      </c>
      <c r="AU288" s="83">
        <f>IFERROR(VLOOKUP(Tabla14[[#This Row],[Llave]],[9]DELAY!$H:$X,17,FALSE),0)</f>
        <v>0</v>
      </c>
      <c r="AV28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88" s="5">
        <f>Tabla14[[#This Row],[Pecio plan]]*Tabla14[[#This Row],[Plan Ajustado]]</f>
        <v>0</v>
      </c>
      <c r="AX288" s="30">
        <f>IFERROR(VLOOKUP(Tabla14[[#This Row],[Llave]],'[13]Ultimos precios facturados'!$A:$G,7,FALSE),0)</f>
        <v>1.6334451142837718</v>
      </c>
      <c r="AY28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8" s="30">
        <f>IFERROR(VLOOKUP(Tabla14[[#This Row],[Llave]],Hoja2!B:K,10,FALSE),0)</f>
        <v>0</v>
      </c>
      <c r="BA28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88" s="30">
        <v>0</v>
      </c>
      <c r="BC288" s="30">
        <f>IF(Tabla14[[#This Row],[Market]]=0,Tabla14[[#This Row],[Precio Final]],Tabla14[[#This Row],[Market]])</f>
        <v>0</v>
      </c>
      <c r="BD288" s="82"/>
      <c r="BE288" s="82" t="str">
        <f>IF(AND(Tabla14[[#This Row],[Atraso a facturar]]&gt;0,Tabla14[[#This Row],[En puerto a facturar]]&gt;0,Tabla14[[#This Row],[Precio Atraso]]=0),"Revisar","OK")</f>
        <v>OK</v>
      </c>
      <c r="BF288" s="82" t="str">
        <f>IF(AND(Tabla14[[#This Row],[Venta del mes]]&gt;0,Tabla14[[#This Row],[Precio venta nueva]]=0),"Revisar","OK")</f>
        <v>OK</v>
      </c>
      <c r="BG288" s="20">
        <f>IFERROR(VLOOKUP(Tabla14[[#This Row],[Llave]],'[5]Consolidación planes'!$A:$M,9,FALSE),0)</f>
        <v>0</v>
      </c>
      <c r="BH288" s="20">
        <f>IFERROR(VLOOKUP(Tabla14[[#This Row],[Llave]],'[5]Consolidación planes'!$A:$M,10,FALSE),0)</f>
        <v>0</v>
      </c>
      <c r="BI288" s="20">
        <f>IFERROR(VLOOKUP(Tabla14[[#This Row],[Llave]],'[5]Consolidación planes'!$A:$M,11,FALSE),0)</f>
        <v>0</v>
      </c>
      <c r="BJ288" s="20">
        <f>IFERROR(VLOOKUP(Tabla14[[#This Row],[Llave]],'[5]Consolidación planes'!$A:$M,12,FALSE),0)</f>
        <v>0</v>
      </c>
      <c r="BK288" s="20">
        <f>IFERROR(VLOOKUP(Tabla14[[#This Row],[Llave]],'[5]Consolidación planes'!$A:$M,13,FALSE),0)</f>
        <v>0</v>
      </c>
      <c r="BL288" s="20">
        <f>IFERROR(VLOOKUP(Tabla14[[#This Row],[Llave]],'[13]Base ultimos planes'!$A:$M,13,FALSE),0)</f>
        <v>7122</v>
      </c>
      <c r="BM288" s="20">
        <f>IFERROR(VLOOKUP(Tabla14[[#This Row],[Llave]],'[13]Cruce plan irrestricto'!$C:$M,10,FALSE),0)</f>
        <v>0</v>
      </c>
      <c r="BN288" s="20">
        <f>IFERROR(VLOOKUP(Tabla14[[#This Row],[Llave]],'[13]Cruce plan irrestricto'!$C:$M,11,FALSE),0)</f>
        <v>0</v>
      </c>
      <c r="BO288" s="80">
        <f>IFERROR(VLOOKUP(Tabla14[[#This Row],[Llave]],'[13]Base ultimos planes'!$O:$AA,8,FALSE),0)</f>
        <v>0</v>
      </c>
      <c r="BP288" s="20">
        <f>IFERROR(VLOOKUP(Tabla14[[#This Row],[Llave]],'[13]Base ultimos planes'!$O:$AA,9,FALSE),0)</f>
        <v>0</v>
      </c>
      <c r="BQ288" s="20">
        <f>IFERROR(VLOOKUP(Tabla14[[#This Row],[Llave]],'[13]Base ultimos planes'!$O:$AA,10,FALSE),0)</f>
        <v>0</v>
      </c>
      <c r="BR288" s="20">
        <f>IFERROR(VLOOKUP(Tabla14[[#This Row],[Llave]],'[13]Base ultimos planes'!$O:$AA,11,FALSE),0)</f>
        <v>0</v>
      </c>
      <c r="BS288" s="20">
        <f>IFERROR(VLOOKUP(Tabla14[[#This Row],[Llave]],'[13]Base ultimos planes'!$O:$AA,12,FALSE),0)</f>
        <v>0</v>
      </c>
      <c r="BT288" s="20">
        <f>IFERROR(VLOOKUP(Tabla14[[#This Row],[Llave]],'[13]Base ultimos planes'!$O:$AA,13,FALSE),0)</f>
        <v>11754</v>
      </c>
      <c r="BU288" s="35"/>
      <c r="BV288" s="20">
        <f>Tabla14[[#This Row],[ RV Producción mes n+1]]-Tabla14[[#This Row],[Producción disponible]]+Tabla14[[#This Row],[Saldo Volumen disponible]]</f>
        <v>551.35500000000002</v>
      </c>
      <c r="BW288" s="20">
        <f>IFERROR(VLOOKUP(Tabla14[[#This Row],[Llave]],[14]Hoja2!$J:$N,4,FALSE),0)</f>
        <v>0</v>
      </c>
      <c r="BX288" s="20">
        <f>+Tabla14[[#This Row],[Asignación mes n+1]]*Tabla14[[#This Row],[% Uti. producción]]</f>
        <v>0</v>
      </c>
      <c r="BY288" s="20">
        <f>+Tabla14[[#This Row],[Ponderación mes n+1]]+Tabla14[[#This Row],[Saldo mes n-1]]</f>
        <v>551.35500000000002</v>
      </c>
      <c r="BZ288" s="20">
        <f>+Tabla14[[#This Row],[Asignación mes n+1]]-Tabla14[[#This Row],[Ponderación mes n+1]]</f>
        <v>0</v>
      </c>
      <c r="CA288" s="20">
        <f>IFERROR(VLOOKUP(Tabla14[[#This Row],[Llave]],[14]Hoja2!$J:$N,5,FALSE),0)</f>
        <v>0</v>
      </c>
      <c r="CB288" s="20">
        <f>+Tabla14[[#This Row],[Asignación mes n+2]]*Tabla14[[#This Row],[% Uti. producción]]</f>
        <v>0</v>
      </c>
      <c r="CC288" s="20">
        <f>+Tabla14[[#This Row],[Saldo mes n+2]]+Tabla14[[#This Row],[Ponderación mes n+2]]</f>
        <v>0</v>
      </c>
      <c r="CD288" s="20">
        <f>+Tabla14[[#This Row],[Asignación mes n+2]]-Tabla14[[#This Row],[Ponderación mes n+2]]</f>
        <v>0</v>
      </c>
    </row>
    <row r="289" spans="1:82" ht="16" x14ac:dyDescent="0.2">
      <c r="A289">
        <v>1</v>
      </c>
      <c r="B289" t="str">
        <f>Tabla14[[#This Row],[Oficina]]&amp;Tabla14[[#This Row],[Material]]</f>
        <v>Exportacion Directa1023166</v>
      </c>
      <c r="C289" t="s">
        <v>6</v>
      </c>
      <c r="D289" t="s">
        <v>88</v>
      </c>
      <c r="E289">
        <v>1023166</v>
      </c>
      <c r="F289" t="s">
        <v>295</v>
      </c>
      <c r="G289" t="s">
        <v>56</v>
      </c>
      <c r="H289" t="s">
        <v>57</v>
      </c>
      <c r="I289" s="7">
        <f>IFERROR(IF(Tabla14[[#This Row],[Oficina]]=$I$7,VLOOKUP(Tabla14[[#This Row],[Material]],'[6]RV Producción'!$Y:$AA,3,FALSE),VLOOKUP(Tabla14[[#This Row],[Llave]],'[6]RV Producción'!$C:$G,5,FALSE)),0)</f>
        <v>0</v>
      </c>
      <c r="J289" s="7">
        <f>IFERROR(IF(Tabla14[[#This Row],[Oficina]]=$I$7,VLOOKUP(Tabla14[[#This Row],[Llave]],'[7]Shangai (Tomas)'!$A:$F,6,FALSE),VLOOKUP(Tabla14[[#This Row],[Llave]],'[6]RV plan de ventas'!$A:$E,5,FALSE)),0)</f>
        <v>0</v>
      </c>
      <c r="K289" s="8">
        <f>IFERROR(VLOOKUP(Tabla14[[#This Row],[Sector]]&amp;Tabla14[[#This Row],[Oficina]],[8]Ponderación!$A$3:$G$22,7,FALSE),0)</f>
        <v>0.77338883776001444</v>
      </c>
      <c r="L289" s="7">
        <f>+Tabla14[[#This Row],[ RV Producción mes n+1]]*Tabla14[[#This Row],[% Uti. producción]]</f>
        <v>0</v>
      </c>
      <c r="M289" s="7">
        <f>IFERROR(VLOOKUP(Tabla14[[#This Row],[Material]],'[9]TD Stock'!$B:$C,2,FALSE),0)</f>
        <v>0</v>
      </c>
      <c r="N289" s="7">
        <f>IFERROR(VLOOKUP(Tabla14[[#This Row],[Material]],'[10]Consolidado planificación'!$B:$C,2,FALSE),0)</f>
        <v>0</v>
      </c>
      <c r="O289" s="7">
        <f>IFERROR(VLOOKUP(Tabla14[[#This Row],[Llave]],[11]Hoja2!$D:$G,4,FALSE),0)</f>
        <v>0</v>
      </c>
      <c r="P289" s="37">
        <f>SUM(Tabla14[[#This Row],[Producción disponible]],Tabla14[[#This Row],[Stock al día]],(Tabla14[[#This Row],[Por producir mes N]]*0.9))-Tabla14[[#This Row],[Producción por despachar mes N]]</f>
        <v>0</v>
      </c>
      <c r="Q289" s="7">
        <f>IFERROR(VLOOKUP(Tabla14[[#This Row],[Llave]],[9]DELAY!$A:$D,4,FALSE),0)</f>
        <v>0</v>
      </c>
      <c r="R289" s="9">
        <v>23000</v>
      </c>
      <c r="S289" s="5">
        <f t="shared" si="9"/>
        <v>0</v>
      </c>
      <c r="T289" s="76">
        <v>0</v>
      </c>
      <c r="U289" s="5">
        <f>+Tabla14[[#This Row],[Atraso a facturar]]+Tabla14[[#This Row],[Ajuste atraso]]</f>
        <v>0</v>
      </c>
      <c r="V289" s="3">
        <f>+Tabla14[[#This Row],[Total disponible]]-Tabla14[[#This Row],[Facturación atraso]]</f>
        <v>0</v>
      </c>
      <c r="W289" s="6">
        <f>IFERROR(IF(AND(V289&gt;R289,J289&gt;=R289),ROUNDDOWN((Tabla14[[#This Row],[Producción para venta nueva]])/R289,0)*R289,0),0)</f>
        <v>0</v>
      </c>
      <c r="X289" s="76">
        <v>0</v>
      </c>
      <c r="Y289" s="6">
        <f>IF(Tabla14[[#This Row],[Venta del mes]]&gt;0,Tabla14[[#This Row],[Venta del mes]]+Tabla14[[#This Row],[Ajuste venta nueva]],0)</f>
        <v>0</v>
      </c>
      <c r="Z289" s="6">
        <f>+Tabla14[[#This Row],[Producción para venta nueva]]-Tabla14[[#This Row],[Facturación Venta nueva]]</f>
        <v>0</v>
      </c>
      <c r="AA289" s="6">
        <f>IF(AND(A289=1,Tabla14[[#This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89" s="6">
        <v>0</v>
      </c>
      <c r="AC289" s="6">
        <f>IF(Tabla14[[#This Row],[Disponible stock sin venta]]&gt;0,Tabla14[[#This Row],[Disponible stock sin venta]]+Tabla14[[#This Row],[Ajuste stock sin venta]],0)</f>
        <v>0</v>
      </c>
      <c r="AD289" s="3">
        <f>IFERROR(VLOOKUP(Tabla14[[#This Row],[Llave]],[12]Hoja1!$A:$D,4,FALSE),0)</f>
        <v>0</v>
      </c>
      <c r="AE289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89" s="3" t="b">
        <v>0</v>
      </c>
      <c r="AG289" s="3">
        <f>+Tabla14[[#This Row],[En puerto a facturar]]</f>
        <v>0</v>
      </c>
      <c r="AH289" s="3">
        <f>+Tabla14[[#This Row],[Facturación atraso]]</f>
        <v>0</v>
      </c>
      <c r="AI289" s="3">
        <f>+Tabla14[[#This Row],[Plan Irrestricto (DATO)]]-Tabla14[[#This Row],[Puerto ]]-Tabla14[[#This Row],[Atraso]]</f>
        <v>0</v>
      </c>
      <c r="AJ28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89" s="3">
        <f>+Tabla14[[#This Row],[Facturación atraso]]</f>
        <v>0</v>
      </c>
      <c r="AL289" s="3">
        <f>Tabla14[[#This Row],[Plan Ajustado]]-Tabla14[[#This Row],[ Atraso ajustado]]-Tabla14[[#This Row],[En puerto a facturar]]</f>
        <v>0</v>
      </c>
      <c r="AM289" s="3">
        <v>0</v>
      </c>
      <c r="AN289" s="3"/>
      <c r="AO289" s="3" t="str">
        <f>IF(Tabla14[[#This Row],[Plan Ajustado]]&gt;Tabla14[[#This Row],[En puerto a facturar]],"Si","No")</f>
        <v>No</v>
      </c>
      <c r="AP28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89" s="3">
        <f>IF(Tabla14[[#This Row],[Necesidad]]&gt;=Tabla14[[#This Row],[Stock al día]],Tabla14[[#This Row],[Stock al día]],Tabla14[[#This Row],[Necesidad]])</f>
        <v>0</v>
      </c>
      <c r="AR289" s="3">
        <f>+Tabla14[[#This Row],[Necesidad]]-Tabla14[[#This Row],[Stock Plan]]</f>
        <v>0</v>
      </c>
      <c r="AS289" s="155">
        <f>VLOOKUP(Tabla14[[#This Row],[Sector]]&amp;Tabla14[[#This Row],[Oficina]],[8]Ponderación!$A:$H,8,FALSE)</f>
        <v>44817</v>
      </c>
      <c r="AT289" s="30">
        <f>IFERROR(VLOOKUP(Tabla14[[#This Row],[Llave]],'[6]RV plan de ventas'!$A:$F,6,FALSE),0)</f>
        <v>0</v>
      </c>
      <c r="AU289" s="83">
        <f>IFERROR(VLOOKUP(Tabla14[[#This Row],[Llave]],[9]DELAY!$H:$X,17,FALSE),0)</f>
        <v>0</v>
      </c>
      <c r="AV28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89" s="5">
        <f>Tabla14[[#This Row],[Pecio plan]]*Tabla14[[#This Row],[Plan Ajustado]]</f>
        <v>0</v>
      </c>
      <c r="AX289" s="30">
        <f>IFERROR(VLOOKUP(Tabla14[[#This Row],[Llave]],'[13]Ultimos precios facturados'!$A:$G,7,FALSE),0)</f>
        <v>1.365764</v>
      </c>
      <c r="AY28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89" s="30">
        <f>IFERROR(VLOOKUP(Tabla14[[#This Row],[Llave]],Hoja2!B:K,10,FALSE),0)</f>
        <v>0</v>
      </c>
      <c r="BA28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1.365764</v>
      </c>
      <c r="BB289" s="30">
        <v>0</v>
      </c>
      <c r="BC289" s="30">
        <f>IF(Tabla14[[#This Row],[Market]]=0,Tabla14[[#This Row],[Precio Final]],Tabla14[[#This Row],[Market]])</f>
        <v>1.365764</v>
      </c>
      <c r="BD289" s="82"/>
      <c r="BE289" s="82" t="str">
        <f>IF(AND(Tabla14[[#This Row],[Atraso a facturar]]&gt;0,Tabla14[[#This Row],[En puerto a facturar]]&gt;0,Tabla14[[#This Row],[Precio Atraso]]=0),"Revisar","OK")</f>
        <v>OK</v>
      </c>
      <c r="BF289" s="82" t="str">
        <f>IF(AND(Tabla14[[#This Row],[Venta del mes]]&gt;0,Tabla14[[#This Row],[Precio venta nueva]]=0),"Revisar","OK")</f>
        <v>OK</v>
      </c>
      <c r="BG289" s="20">
        <f>IFERROR(VLOOKUP(Tabla14[[#This Row],[Llave]],'[5]Consolidación planes'!$A:$M,9,FALSE),0)</f>
        <v>0</v>
      </c>
      <c r="BH289" s="20">
        <f>IFERROR(VLOOKUP(Tabla14[[#This Row],[Llave]],'[5]Consolidación planes'!$A:$M,10,FALSE),0)</f>
        <v>0</v>
      </c>
      <c r="BI289" s="20">
        <f>IFERROR(VLOOKUP(Tabla14[[#This Row],[Llave]],'[5]Consolidación planes'!$A:$M,11,FALSE),0)</f>
        <v>0</v>
      </c>
      <c r="BJ289" s="20">
        <f>IFERROR(VLOOKUP(Tabla14[[#This Row],[Llave]],'[5]Consolidación planes'!$A:$M,12,FALSE),0)</f>
        <v>0</v>
      </c>
      <c r="BK289" s="20">
        <f>IFERROR(VLOOKUP(Tabla14[[#This Row],[Llave]],'[5]Consolidación planes'!$A:$M,13,FALSE),0)</f>
        <v>0</v>
      </c>
      <c r="BL289" s="20">
        <f>IFERROR(VLOOKUP(Tabla14[[#This Row],[Llave]],'[13]Base ultimos planes'!$A:$M,13,FALSE),0)</f>
        <v>0</v>
      </c>
      <c r="BM289" s="20">
        <f>IFERROR(VLOOKUP(Tabla14[[#This Row],[Llave]],'[13]Cruce plan irrestricto'!$C:$M,10,FALSE),0)</f>
        <v>0</v>
      </c>
      <c r="BN289" s="20">
        <f>IFERROR(VLOOKUP(Tabla14[[#This Row],[Llave]],'[13]Cruce plan irrestricto'!$C:$M,11,FALSE),0)</f>
        <v>0</v>
      </c>
      <c r="BO289" s="80">
        <f>IFERROR(VLOOKUP(Tabla14[[#This Row],[Llave]],'[13]Base ultimos planes'!$O:$AA,8,FALSE),0)</f>
        <v>0</v>
      </c>
      <c r="BP289" s="20">
        <f>IFERROR(VLOOKUP(Tabla14[[#This Row],[Llave]],'[13]Base ultimos planes'!$O:$AA,9,FALSE),0)</f>
        <v>0</v>
      </c>
      <c r="BQ289" s="20">
        <f>IFERROR(VLOOKUP(Tabla14[[#This Row],[Llave]],'[13]Base ultimos planes'!$O:$AA,10,FALSE),0)</f>
        <v>0</v>
      </c>
      <c r="BR289" s="20">
        <f>IFERROR(VLOOKUP(Tabla14[[#This Row],[Llave]],'[13]Base ultimos planes'!$O:$AA,11,FALSE),0)</f>
        <v>0</v>
      </c>
      <c r="BS289" s="20">
        <f>IFERROR(VLOOKUP(Tabla14[[#This Row],[Llave]],'[13]Base ultimos planes'!$O:$AA,12,FALSE),0)</f>
        <v>0</v>
      </c>
      <c r="BT289" s="20">
        <f>IFERROR(VLOOKUP(Tabla14[[#This Row],[Llave]],'[13]Base ultimos planes'!$O:$AA,13,FALSE),0)</f>
        <v>0</v>
      </c>
      <c r="BU289" s="35"/>
      <c r="BV289" s="20">
        <f>Tabla14[[#This Row],[ RV Producción mes n+1]]-Tabla14[[#This Row],[Producción disponible]]+Tabla14[[#This Row],[Saldo Volumen disponible]]</f>
        <v>0</v>
      </c>
      <c r="BW289" s="20">
        <f>IFERROR(VLOOKUP(Tabla14[[#This Row],[Llave]],[14]Hoja2!$J:$N,4,FALSE),0)</f>
        <v>0</v>
      </c>
      <c r="BX289" s="20">
        <f>+Tabla14[[#This Row],[Asignación mes n+1]]*Tabla14[[#This Row],[% Uti. producción]]</f>
        <v>0</v>
      </c>
      <c r="BY289" s="20">
        <f>+Tabla14[[#This Row],[Ponderación mes n+1]]+Tabla14[[#This Row],[Saldo mes n-1]]</f>
        <v>0</v>
      </c>
      <c r="BZ289" s="20">
        <f>+Tabla14[[#This Row],[Asignación mes n+1]]-Tabla14[[#This Row],[Ponderación mes n+1]]</f>
        <v>0</v>
      </c>
      <c r="CA289" s="20">
        <f>IFERROR(VLOOKUP(Tabla14[[#This Row],[Llave]],[14]Hoja2!$J:$N,5,FALSE),0)</f>
        <v>0</v>
      </c>
      <c r="CB289" s="20">
        <f>+Tabla14[[#This Row],[Asignación mes n+2]]*Tabla14[[#This Row],[% Uti. producción]]</f>
        <v>0</v>
      </c>
      <c r="CC289" s="20">
        <f>+Tabla14[[#This Row],[Saldo mes n+2]]+Tabla14[[#This Row],[Ponderación mes n+2]]</f>
        <v>0</v>
      </c>
      <c r="CD289" s="20">
        <f>+Tabla14[[#This Row],[Asignación mes n+2]]-Tabla14[[#This Row],[Ponderación mes n+2]]</f>
        <v>0</v>
      </c>
    </row>
    <row r="290" spans="1:82" ht="16" x14ac:dyDescent="0.2">
      <c r="A290">
        <v>1</v>
      </c>
      <c r="B290" t="str">
        <f>Tabla14[[#This Row],[Oficina]]&amp;Tabla14[[#This Row],[Material]]</f>
        <v>Agro Sudamerica1011105</v>
      </c>
      <c r="C290" t="s">
        <v>227</v>
      </c>
      <c r="D290" t="s">
        <v>17</v>
      </c>
      <c r="E290">
        <v>1011105</v>
      </c>
      <c r="F290" t="s">
        <v>672</v>
      </c>
      <c r="G290" t="s">
        <v>217</v>
      </c>
      <c r="H290" t="s">
        <v>218</v>
      </c>
      <c r="I290" s="7">
        <f>IFERROR(IF(Tabla14[[#This Row],[Oficina]]=$I$7,VLOOKUP(Tabla14[[#This Row],[Material]],'[6]RV Producción'!$Y:$AA,3,FALSE),VLOOKUP(Tabla14[[#This Row],[Llave]],'[6]RV Producción'!$C:$G,5,FALSE)),0)</f>
        <v>0</v>
      </c>
      <c r="J290" s="7">
        <f>IFERROR(IF(Tabla14[[#This Row],[Oficina]]=$I$7,VLOOKUP(Tabla14[[#This Row],[Llave]],'[7]Shangai (Tomas)'!$A:$F,6,FALSE),VLOOKUP(Tabla14[[#This Row],[Llave]],'[6]RV plan de ventas'!$A:$E,5,FALSE)),0)</f>
        <v>0</v>
      </c>
      <c r="K290" s="8">
        <f>IFERROR(VLOOKUP(Tabla14[[#This Row],[Sector]]&amp;Tabla14[[#This Row],[Oficina]],[8]Ponderación!$A$3:$G$22,7,FALSE),0)</f>
        <v>0.47745072632608576</v>
      </c>
      <c r="L290" s="7">
        <f>+Tabla14[[#This Row],[ RV Producción mes n+1]]*Tabla14[[#This Row],[% Uti. producción]]</f>
        <v>0</v>
      </c>
      <c r="M290" s="7">
        <f>IFERROR(VLOOKUP(Tabla14[[#This Row],[Material]],'[9]TD Stock'!$B:$C,2,FALSE),0)</f>
        <v>13949.66</v>
      </c>
      <c r="N290" s="7">
        <f>IFERROR(VLOOKUP(Tabla14[[#This Row],[Material]],'[10]Consolidado planificación'!$B:$C,2,FALSE),0)</f>
        <v>0</v>
      </c>
      <c r="O290" s="7">
        <f>IFERROR(VLOOKUP(Tabla14[[#This Row],[Llave]],[11]Hoja2!$D:$G,4,FALSE),0)</f>
        <v>0</v>
      </c>
      <c r="P290" s="37">
        <f>SUM(Tabla14[[#This Row],[Producción disponible]],Tabla14[[#This Row],[Stock al día]],(Tabla14[[#This Row],[Por producir mes N]]*0.9))-Tabla14[[#This Row],[Producción por despachar mes N]]</f>
        <v>13949.66</v>
      </c>
      <c r="Q290" s="7">
        <f>IFERROR(VLOOKUP(Tabla14[[#This Row],[Llave]],[9]DELAY!$A:$D,4,FALSE),0)</f>
        <v>14000</v>
      </c>
      <c r="R290" s="9">
        <v>23000</v>
      </c>
      <c r="S290" s="5">
        <f t="shared" si="9"/>
        <v>0</v>
      </c>
      <c r="T290" s="76">
        <v>0</v>
      </c>
      <c r="U290" s="5">
        <f>+Tabla14[[#This Row],[Atraso a facturar]]+Tabla14[[#This Row],[Ajuste atraso]]</f>
        <v>0</v>
      </c>
      <c r="V290" s="3">
        <f>+Tabla14[[#This Row],[Total disponible]]-Tabla14[[#This Row],[Facturación atraso]]</f>
        <v>13949.66</v>
      </c>
      <c r="W290" s="6">
        <f>IFERROR(IF(AND(V290&gt;R290,J290&gt;=R290),ROUNDDOWN((Tabla14[[#This Row],[Producción para venta nueva]])/R290,0)*R290,0),0)</f>
        <v>0</v>
      </c>
      <c r="X290" s="76">
        <v>0</v>
      </c>
      <c r="Y290" s="6">
        <f>IF(Tabla14[[#This Row],[Venta del mes]]&gt;0,Tabla14[[#This Row],[Venta del mes]]+Tabla14[[#This Row],[Ajuste venta nueva]],0)</f>
        <v>0</v>
      </c>
      <c r="Z290" s="6">
        <f>+Tabla14[[#This Row],[Producción para venta nueva]]-Tabla14[[#This Row],[Facturación Venta nueva]]</f>
        <v>13949.66</v>
      </c>
      <c r="AA290" s="6">
        <f>IF(AND(A290=1,Tabla14[[#This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0" s="6">
        <v>0</v>
      </c>
      <c r="AC290" s="6">
        <f>IF(Tabla14[[#This Row],[Disponible stock sin venta]]&gt;0,Tabla14[[#This Row],[Disponible stock sin venta]]+Tabla14[[#This Row],[Ajuste stock sin venta]],0)</f>
        <v>0</v>
      </c>
      <c r="AD290" s="3">
        <f>IFERROR(VLOOKUP(Tabla14[[#This Row],[Llave]],[12]Hoja1!$A:$D,4,FALSE),0)</f>
        <v>0</v>
      </c>
      <c r="AE29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0" s="3">
        <v>0</v>
      </c>
      <c r="AG290" s="3">
        <f>+Tabla14[[#This Row],[En puerto a facturar]]</f>
        <v>0</v>
      </c>
      <c r="AH290" s="3">
        <f>+Tabla14[[#This Row],[Facturación atraso]]</f>
        <v>0</v>
      </c>
      <c r="AI290" s="3">
        <f>+Tabla14[[#This Row],[Plan Irrestricto (DATO)]]-Tabla14[[#This Row],[Puerto ]]-Tabla14[[#This Row],[Atraso]]</f>
        <v>0</v>
      </c>
      <c r="AJ29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0" s="3">
        <f>+Tabla14[[#This Row],[Facturación atraso]]</f>
        <v>0</v>
      </c>
      <c r="AL290" s="3">
        <f>Tabla14[[#This Row],[Plan Ajustado]]-Tabla14[[#This Row],[ Atraso ajustado]]-Tabla14[[#This Row],[En puerto a facturar]]</f>
        <v>0</v>
      </c>
      <c r="AM290" s="3">
        <v>0</v>
      </c>
      <c r="AN290" s="3" t="e">
        <v>#REF!</v>
      </c>
      <c r="AO290" s="3" t="str">
        <f>IF(Tabla14[[#This Row],[Plan Ajustado]]&gt;Tabla14[[#This Row],[En puerto a facturar]],"Si","No")</f>
        <v>No</v>
      </c>
      <c r="AP29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0" s="3">
        <f>IF(Tabla14[[#This Row],[Necesidad]]&gt;=Tabla14[[#This Row],[Stock al día]],Tabla14[[#This Row],[Stock al día]],Tabla14[[#This Row],[Necesidad]])</f>
        <v>0</v>
      </c>
      <c r="AR290" s="3">
        <f>+Tabla14[[#This Row],[Necesidad]]-Tabla14[[#This Row],[Stock Plan]]</f>
        <v>0</v>
      </c>
      <c r="AS290" s="155">
        <f>VLOOKUP(Tabla14[[#This Row],[Sector]]&amp;Tabla14[[#This Row],[Oficina]],[8]Ponderación!$A:$H,8,FALSE)</f>
        <v>44817</v>
      </c>
      <c r="AT290" s="30">
        <f>IFERROR(VLOOKUP(Tabla14[[#This Row],[Llave]],'[6]RV plan de ventas'!$A:$F,6,FALSE),0)</f>
        <v>0</v>
      </c>
      <c r="AU290" s="83">
        <f>IFERROR(VLOOKUP(Tabla14[[#This Row],[Llave]],[9]DELAY!$H:$X,17,FALSE),0)</f>
        <v>2.5477857142857103</v>
      </c>
      <c r="AV29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0" s="5">
        <f>Tabla14[[#This Row],[Pecio plan]]*Tabla14[[#This Row],[Plan Ajustado]]</f>
        <v>0</v>
      </c>
      <c r="AX290" s="30">
        <f>IFERROR(VLOOKUP(Tabla14[[#This Row],[Llave]],'[13]Ultimos precios facturados'!$A:$G,7,FALSE),0)</f>
        <v>2.9489460476487226</v>
      </c>
      <c r="AY29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0" s="30">
        <f>IFERROR(VLOOKUP(Tabla14[[#This Row],[Llave]],Hoja2!B:K,10,FALSE),0)</f>
        <v>0</v>
      </c>
      <c r="BA29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90" s="30">
        <v>0</v>
      </c>
      <c r="BC290" s="30">
        <f>IF(Tabla14[[#This Row],[Market]]=0,Tabla14[[#This Row],[Precio Final]],Tabla14[[#This Row],[Market]])</f>
        <v>0</v>
      </c>
      <c r="BD290" s="82"/>
      <c r="BE290" s="82" t="str">
        <f>IF(AND(Tabla14[[#This Row],[Atraso a facturar]]&gt;0,Tabla14[[#This Row],[En puerto a facturar]]&gt;0,Tabla14[[#This Row],[Precio Atraso]]=0),"Revisar","OK")</f>
        <v>OK</v>
      </c>
      <c r="BF290" s="82" t="str">
        <f>IF(AND(Tabla14[[#This Row],[Venta del mes]]&gt;0,Tabla14[[#This Row],[Precio venta nueva]]=0),"Revisar","OK")</f>
        <v>OK</v>
      </c>
      <c r="BG290" s="20">
        <f>IFERROR(VLOOKUP(Tabla14[[#This Row],[Llave]],'[5]Consolidación planes'!$A:$M,9,FALSE),0)</f>
        <v>0</v>
      </c>
      <c r="BH290" s="20">
        <f>IFERROR(VLOOKUP(Tabla14[[#This Row],[Llave]],'[5]Consolidación planes'!$A:$M,10,FALSE),0)</f>
        <v>0</v>
      </c>
      <c r="BI290" s="20">
        <f>IFERROR(VLOOKUP(Tabla14[[#This Row],[Llave]],'[5]Consolidación planes'!$A:$M,11,FALSE),0)</f>
        <v>0</v>
      </c>
      <c r="BJ290" s="20">
        <f>IFERROR(VLOOKUP(Tabla14[[#This Row],[Llave]],'[5]Consolidación planes'!$A:$M,12,FALSE),0)</f>
        <v>0</v>
      </c>
      <c r="BK290" s="20">
        <f>IFERROR(VLOOKUP(Tabla14[[#This Row],[Llave]],'[5]Consolidación planes'!$A:$M,13,FALSE),0)</f>
        <v>0</v>
      </c>
      <c r="BL290" s="20">
        <f>IFERROR(VLOOKUP(Tabla14[[#This Row],[Llave]],'[13]Base ultimos planes'!$A:$M,13,FALSE),0)</f>
        <v>0</v>
      </c>
      <c r="BM290" s="20">
        <f>IFERROR(VLOOKUP(Tabla14[[#This Row],[Llave]],'[13]Cruce plan irrestricto'!$C:$M,10,FALSE),0)</f>
        <v>0</v>
      </c>
      <c r="BN290" s="20">
        <f>IFERROR(VLOOKUP(Tabla14[[#This Row],[Llave]],'[13]Cruce plan irrestricto'!$C:$M,11,FALSE),0)</f>
        <v>0</v>
      </c>
      <c r="BO290" s="80">
        <f>IFERROR(VLOOKUP(Tabla14[[#This Row],[Llave]],'[13]Base ultimos planes'!$O:$AA,8,FALSE),0)</f>
        <v>0</v>
      </c>
      <c r="BP290" s="20">
        <f>IFERROR(VLOOKUP(Tabla14[[#This Row],[Llave]],'[13]Base ultimos planes'!$O:$AA,9,FALSE),0)</f>
        <v>0</v>
      </c>
      <c r="BQ290" s="20">
        <f>IFERROR(VLOOKUP(Tabla14[[#This Row],[Llave]],'[13]Base ultimos planes'!$O:$AA,10,FALSE),0)</f>
        <v>0</v>
      </c>
      <c r="BR290" s="20">
        <f>IFERROR(VLOOKUP(Tabla14[[#This Row],[Llave]],'[13]Base ultimos planes'!$O:$AA,11,FALSE),0)</f>
        <v>0</v>
      </c>
      <c r="BS290" s="20">
        <f>IFERROR(VLOOKUP(Tabla14[[#This Row],[Llave]],'[13]Base ultimos planes'!$O:$AA,12,FALSE),0)</f>
        <v>0</v>
      </c>
      <c r="BT290" s="20">
        <f>IFERROR(VLOOKUP(Tabla14[[#This Row],[Llave]],'[13]Base ultimos planes'!$O:$AA,13,FALSE),0)</f>
        <v>0</v>
      </c>
      <c r="BU290" s="35"/>
      <c r="BV290" s="20">
        <f>Tabla14[[#This Row],[ RV Producción mes n+1]]-Tabla14[[#This Row],[Producción disponible]]+Tabla14[[#This Row],[Saldo Volumen disponible]]</f>
        <v>13949.66</v>
      </c>
      <c r="BW290" s="20">
        <f>IFERROR(VLOOKUP(Tabla14[[#This Row],[Llave]],[14]Hoja2!$J:$N,4,FALSE),0)</f>
        <v>0</v>
      </c>
      <c r="BX290" s="20">
        <f>+Tabla14[[#This Row],[Asignación mes n+1]]*Tabla14[[#This Row],[% Uti. producción]]</f>
        <v>0</v>
      </c>
      <c r="BY290" s="20">
        <f>+Tabla14[[#This Row],[Ponderación mes n+1]]+Tabla14[[#This Row],[Saldo mes n-1]]</f>
        <v>13949.66</v>
      </c>
      <c r="BZ290" s="20">
        <f>+Tabla14[[#This Row],[Asignación mes n+1]]-Tabla14[[#This Row],[Ponderación mes n+1]]</f>
        <v>0</v>
      </c>
      <c r="CA290" s="20">
        <f>IFERROR(VLOOKUP(Tabla14[[#This Row],[Llave]],[14]Hoja2!$J:$N,5,FALSE),0)</f>
        <v>0</v>
      </c>
      <c r="CB290" s="20">
        <f>+Tabla14[[#This Row],[Asignación mes n+2]]*Tabla14[[#This Row],[% Uti. producción]]</f>
        <v>0</v>
      </c>
      <c r="CC290" s="20">
        <f>+Tabla14[[#This Row],[Saldo mes n+2]]+Tabla14[[#This Row],[Ponderación mes n+2]]</f>
        <v>0</v>
      </c>
      <c r="CD290" s="20">
        <f>+Tabla14[[#This Row],[Asignación mes n+2]]-Tabla14[[#This Row],[Ponderación mes n+2]]</f>
        <v>0</v>
      </c>
    </row>
    <row r="291" spans="1:82" ht="16" x14ac:dyDescent="0.2">
      <c r="A291">
        <v>1</v>
      </c>
      <c r="B291" t="str">
        <f>Tabla14[[#This Row],[Oficina]]&amp;Tabla14[[#This Row],[Material]]</f>
        <v>Agro Sudamerica1030661</v>
      </c>
      <c r="C291" t="s">
        <v>204</v>
      </c>
      <c r="D291" t="s">
        <v>17</v>
      </c>
      <c r="E291">
        <v>1030661</v>
      </c>
      <c r="F291" t="s">
        <v>615</v>
      </c>
      <c r="G291" t="s">
        <v>212</v>
      </c>
      <c r="H291" t="s">
        <v>319</v>
      </c>
      <c r="I291" s="7">
        <f>IFERROR(IF(Tabla14[[#This Row],[Oficina]]=$I$7,VLOOKUP(Tabla14[[#This Row],[Material]],'[6]RV Producción'!$Y:$AA,3,FALSE),VLOOKUP(Tabla14[[#This Row],[Llave]],'[6]RV Producción'!$C:$G,5,FALSE)),0)</f>
        <v>0</v>
      </c>
      <c r="J291" s="7">
        <f>IFERROR(IF(Tabla14[[#This Row],[Oficina]]=$I$7,VLOOKUP(Tabla14[[#This Row],[Llave]],'[7]Shangai (Tomas)'!$A:$F,6,FALSE),VLOOKUP(Tabla14[[#This Row],[Llave]],'[6]RV plan de ventas'!$A:$E,5,FALSE)),0)</f>
        <v>0</v>
      </c>
      <c r="K291" s="8">
        <f>IFERROR(VLOOKUP(Tabla14[[#This Row],[Sector]]&amp;Tabla14[[#This Row],[Oficina]],[8]Ponderación!$A$3:$G$22,7,FALSE),0)</f>
        <v>0.47745072632608576</v>
      </c>
      <c r="L291" s="7">
        <f>+Tabla14[[#This Row],[ RV Producción mes n+1]]*Tabla14[[#This Row],[% Uti. producción]]</f>
        <v>0</v>
      </c>
      <c r="M291" s="7">
        <f>IFERROR(VLOOKUP(Tabla14[[#This Row],[Material]],'[9]TD Stock'!$B:$C,2,FALSE),0)</f>
        <v>0</v>
      </c>
      <c r="N291" s="7">
        <f>IFERROR(VLOOKUP(Tabla14[[#This Row],[Material]],'[10]Consolidado planificación'!$B:$C,2,FALSE),0)</f>
        <v>0</v>
      </c>
      <c r="O291" s="7">
        <f>IFERROR(VLOOKUP(Tabla14[[#This Row],[Llave]],[11]Hoja2!$D:$G,4,FALSE),0)</f>
        <v>0</v>
      </c>
      <c r="P291" s="37">
        <f>SUM(Tabla14[[#This Row],[Producción disponible]],Tabla14[[#This Row],[Stock al día]],(Tabla14[[#This Row],[Por producir mes N]]*0.9))-Tabla14[[#This Row],[Producción por despachar mes N]]</f>
        <v>0</v>
      </c>
      <c r="Q291" s="7">
        <f>IFERROR(VLOOKUP(Tabla14[[#This Row],[Llave]],[9]DELAY!$A:$D,4,FALSE),0)</f>
        <v>0</v>
      </c>
      <c r="R291" s="9">
        <v>0</v>
      </c>
      <c r="S291" s="5">
        <f t="shared" si="9"/>
        <v>0</v>
      </c>
      <c r="T291" s="76">
        <v>0</v>
      </c>
      <c r="U291" s="5">
        <f>+Tabla14[[#This Row],[Atraso a facturar]]+Tabla14[[#This Row],[Ajuste atraso]]</f>
        <v>0</v>
      </c>
      <c r="V291" s="3">
        <f>+Tabla14[[#This Row],[Total disponible]]-Tabla14[[#This Row],[Facturación atraso]]</f>
        <v>0</v>
      </c>
      <c r="W291" s="6">
        <f>IFERROR(IF(AND(V291&gt;R291,J291&gt;=R291),ROUNDDOWN((Tabla14[[#This Row],[Producción para venta nueva]])/R291,0)*R291,0),0)</f>
        <v>0</v>
      </c>
      <c r="X291" s="76">
        <v>0</v>
      </c>
      <c r="Y291" s="6">
        <f>IF(Tabla14[[#This Row],[Venta del mes]]&gt;0,Tabla14[[#This Row],[Venta del mes]]+Tabla14[[#This Row],[Ajuste venta nueva]],0)</f>
        <v>0</v>
      </c>
      <c r="Z291" s="6">
        <f>+Tabla14[[#This Row],[Producción para venta nueva]]-Tabla14[[#This Row],[Facturación Venta nueva]]</f>
        <v>0</v>
      </c>
      <c r="AA291" s="6">
        <f>IF(AND(A291=1,Tabla14[[#This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1" s="6">
        <v>0</v>
      </c>
      <c r="AC291" s="6">
        <f>IF(Tabla14[[#This Row],[Disponible stock sin venta]]&gt;0,Tabla14[[#This Row],[Disponible stock sin venta]]+Tabla14[[#This Row],[Ajuste stock sin venta]],0)</f>
        <v>0</v>
      </c>
      <c r="AD291" s="3">
        <f>IFERROR(VLOOKUP(Tabla14[[#This Row],[Llave]],[12]Hoja1!$A:$D,4,FALSE),0)</f>
        <v>0</v>
      </c>
      <c r="AE291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1" s="3" t="b">
        <v>0</v>
      </c>
      <c r="AG291" s="3">
        <f>+Tabla14[[#This Row],[En puerto a facturar]]</f>
        <v>0</v>
      </c>
      <c r="AH291" s="3">
        <f>+Tabla14[[#This Row],[Facturación atraso]]</f>
        <v>0</v>
      </c>
      <c r="AI291" s="3">
        <f>+Tabla14[[#This Row],[Plan Irrestricto (DATO)]]-Tabla14[[#This Row],[Puerto ]]-Tabla14[[#This Row],[Atraso]]</f>
        <v>0</v>
      </c>
      <c r="AJ29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1" s="3">
        <f>+Tabla14[[#This Row],[Facturación atraso]]</f>
        <v>0</v>
      </c>
      <c r="AL291" s="3">
        <f>Tabla14[[#This Row],[Plan Ajustado]]-Tabla14[[#This Row],[ Atraso ajustado]]-Tabla14[[#This Row],[En puerto a facturar]]</f>
        <v>0</v>
      </c>
      <c r="AM291" s="3">
        <v>0</v>
      </c>
      <c r="AN291" s="3" t="e">
        <v>#REF!</v>
      </c>
      <c r="AO291" s="3" t="str">
        <f>IF(Tabla14[[#This Row],[Plan Ajustado]]&gt;Tabla14[[#This Row],[En puerto a facturar]],"Si","No")</f>
        <v>No</v>
      </c>
      <c r="AP29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1" s="3">
        <f>IF(Tabla14[[#This Row],[Necesidad]]&gt;=Tabla14[[#This Row],[Stock al día]],Tabla14[[#This Row],[Stock al día]],Tabla14[[#This Row],[Necesidad]])</f>
        <v>0</v>
      </c>
      <c r="AR291" s="3">
        <f>+Tabla14[[#This Row],[Necesidad]]-Tabla14[[#This Row],[Stock Plan]]</f>
        <v>0</v>
      </c>
      <c r="AS291" s="155">
        <f>VLOOKUP(Tabla14[[#This Row],[Sector]]&amp;Tabla14[[#This Row],[Oficina]],[8]Ponderación!$A:$H,8,FALSE)</f>
        <v>44817</v>
      </c>
      <c r="AT291" s="30">
        <f>IFERROR(VLOOKUP(Tabla14[[#This Row],[Llave]],'[6]RV plan de ventas'!$A:$F,6,FALSE),0)</f>
        <v>0</v>
      </c>
      <c r="AU291" s="83">
        <f>IFERROR(VLOOKUP(Tabla14[[#This Row],[Llave]],[9]DELAY!$H:$X,17,FALSE),0)</f>
        <v>0</v>
      </c>
      <c r="AV29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1" s="5">
        <f>Tabla14[[#This Row],[Pecio plan]]*Tabla14[[#This Row],[Plan Ajustado]]</f>
        <v>0</v>
      </c>
      <c r="AX291" s="30">
        <f>IFERROR(VLOOKUP(Tabla14[[#This Row],[Llave]],'[13]Ultimos precios facturados'!$A:$G,7,FALSE),0)</f>
        <v>0</v>
      </c>
      <c r="AY29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1" s="30">
        <f>IFERROR(VLOOKUP(Tabla14[[#This Row],[Llave]],Hoja2!B:K,10,FALSE),0)</f>
        <v>0</v>
      </c>
      <c r="BA29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91" s="30">
        <v>0</v>
      </c>
      <c r="BC291" s="30">
        <f>IF(Tabla14[[#This Row],[Market]]=0,Tabla14[[#This Row],[Precio Final]],Tabla14[[#This Row],[Market]])</f>
        <v>0</v>
      </c>
      <c r="BD291" s="82"/>
      <c r="BE291" s="82" t="str">
        <f>IF(AND(Tabla14[[#This Row],[Atraso a facturar]]&gt;0,Tabla14[[#This Row],[En puerto a facturar]]&gt;0,Tabla14[[#This Row],[Precio Atraso]]=0),"Revisar","OK")</f>
        <v>OK</v>
      </c>
      <c r="BF291" s="82" t="str">
        <f>IF(AND(Tabla14[[#This Row],[Venta del mes]]&gt;0,Tabla14[[#This Row],[Precio venta nueva]]=0),"Revisar","OK")</f>
        <v>OK</v>
      </c>
      <c r="BG291" s="20">
        <f>IFERROR(VLOOKUP(Tabla14[[#This Row],[Llave]],'[5]Consolidación planes'!$A:$M,9,FALSE),0)</f>
        <v>0</v>
      </c>
      <c r="BH291" s="20">
        <f>IFERROR(VLOOKUP(Tabla14[[#This Row],[Llave]],'[5]Consolidación planes'!$A:$M,10,FALSE),0)</f>
        <v>0</v>
      </c>
      <c r="BI291" s="20">
        <f>IFERROR(VLOOKUP(Tabla14[[#This Row],[Llave]],'[5]Consolidación planes'!$A:$M,11,FALSE),0)</f>
        <v>0</v>
      </c>
      <c r="BJ291" s="20">
        <f>IFERROR(VLOOKUP(Tabla14[[#This Row],[Llave]],'[5]Consolidación planes'!$A:$M,12,FALSE),0)</f>
        <v>0</v>
      </c>
      <c r="BK291" s="20">
        <f>IFERROR(VLOOKUP(Tabla14[[#This Row],[Llave]],'[5]Consolidación planes'!$A:$M,13,FALSE),0)</f>
        <v>0</v>
      </c>
      <c r="BL291" s="20">
        <f>IFERROR(VLOOKUP(Tabla14[[#This Row],[Llave]],'[13]Base ultimos planes'!$A:$M,13,FALSE),0)</f>
        <v>0</v>
      </c>
      <c r="BM291" s="20">
        <f>IFERROR(VLOOKUP(Tabla14[[#This Row],[Llave]],'[13]Cruce plan irrestricto'!$C:$M,10,FALSE),0)</f>
        <v>0</v>
      </c>
      <c r="BN291" s="20">
        <f>IFERROR(VLOOKUP(Tabla14[[#This Row],[Llave]],'[13]Cruce plan irrestricto'!$C:$M,11,FALSE),0)</f>
        <v>0</v>
      </c>
      <c r="BO291" s="80">
        <f>IFERROR(VLOOKUP(Tabla14[[#This Row],[Llave]],'[13]Base ultimos planes'!$O:$AA,8,FALSE),0)</f>
        <v>0</v>
      </c>
      <c r="BP291" s="20">
        <f>IFERROR(VLOOKUP(Tabla14[[#This Row],[Llave]],'[13]Base ultimos planes'!$O:$AA,9,FALSE),0)</f>
        <v>0</v>
      </c>
      <c r="BQ291" s="20">
        <f>IFERROR(VLOOKUP(Tabla14[[#This Row],[Llave]],'[13]Base ultimos planes'!$O:$AA,10,FALSE),0)</f>
        <v>0</v>
      </c>
      <c r="BR291" s="20">
        <f>IFERROR(VLOOKUP(Tabla14[[#This Row],[Llave]],'[13]Base ultimos planes'!$O:$AA,11,FALSE),0)</f>
        <v>0</v>
      </c>
      <c r="BS291" s="20">
        <f>IFERROR(VLOOKUP(Tabla14[[#This Row],[Llave]],'[13]Base ultimos planes'!$O:$AA,12,FALSE),0)</f>
        <v>0</v>
      </c>
      <c r="BT291" s="20">
        <f>IFERROR(VLOOKUP(Tabla14[[#This Row],[Llave]],'[13]Base ultimos planes'!$O:$AA,13,FALSE),0)</f>
        <v>0</v>
      </c>
      <c r="BU291" s="35"/>
      <c r="BV291" s="20">
        <f>Tabla14[[#This Row],[ RV Producción mes n+1]]-Tabla14[[#This Row],[Producción disponible]]+Tabla14[[#This Row],[Saldo Volumen disponible]]</f>
        <v>0</v>
      </c>
      <c r="BW291" s="20">
        <f>IFERROR(VLOOKUP(Tabla14[[#This Row],[Llave]],[14]Hoja2!$J:$N,4,FALSE),0)</f>
        <v>0</v>
      </c>
      <c r="BX291" s="20">
        <f>+Tabla14[[#This Row],[Asignación mes n+1]]*Tabla14[[#This Row],[% Uti. producción]]</f>
        <v>0</v>
      </c>
      <c r="BY291" s="20">
        <f>+Tabla14[[#This Row],[Ponderación mes n+1]]+Tabla14[[#This Row],[Saldo mes n-1]]</f>
        <v>0</v>
      </c>
      <c r="BZ291" s="20">
        <f>+Tabla14[[#This Row],[Asignación mes n+1]]-Tabla14[[#This Row],[Ponderación mes n+1]]</f>
        <v>0</v>
      </c>
      <c r="CA291" s="20">
        <f>IFERROR(VLOOKUP(Tabla14[[#This Row],[Llave]],[14]Hoja2!$J:$N,5,FALSE),0)</f>
        <v>0</v>
      </c>
      <c r="CB291" s="20">
        <f>+Tabla14[[#This Row],[Asignación mes n+2]]*Tabla14[[#This Row],[% Uti. producción]]</f>
        <v>0</v>
      </c>
      <c r="CC291" s="20">
        <f>+Tabla14[[#This Row],[Saldo mes n+2]]+Tabla14[[#This Row],[Ponderación mes n+2]]</f>
        <v>0</v>
      </c>
      <c r="CD291" s="20">
        <f>+Tabla14[[#This Row],[Asignación mes n+2]]-Tabla14[[#This Row],[Ponderación mes n+2]]</f>
        <v>0</v>
      </c>
    </row>
    <row r="292" spans="1:82" ht="16" x14ac:dyDescent="0.2">
      <c r="A292">
        <v>1</v>
      </c>
      <c r="B292" t="str">
        <f>Tabla14[[#This Row],[Oficina]]&amp;Tabla14[[#This Row],[Material]]</f>
        <v>Agro Sudamerica1030736</v>
      </c>
      <c r="C292" t="s">
        <v>204</v>
      </c>
      <c r="D292" t="s">
        <v>17</v>
      </c>
      <c r="E292">
        <v>1030736</v>
      </c>
      <c r="F292" t="s">
        <v>616</v>
      </c>
      <c r="G292" t="s">
        <v>212</v>
      </c>
      <c r="H292" t="s">
        <v>319</v>
      </c>
      <c r="I292" s="7">
        <f>IFERROR(IF(Tabla14[[#This Row],[Oficina]]=$I$7,VLOOKUP(Tabla14[[#This Row],[Material]],'[6]RV Producción'!$Y:$AA,3,FALSE),VLOOKUP(Tabla14[[#This Row],[Llave]],'[6]RV Producción'!$C:$G,5,FALSE)),0)</f>
        <v>0</v>
      </c>
      <c r="J292" s="7">
        <f>IFERROR(IF(Tabla14[[#This Row],[Oficina]]=$I$7,VLOOKUP(Tabla14[[#This Row],[Llave]],'[7]Shangai (Tomas)'!$A:$F,6,FALSE),VLOOKUP(Tabla14[[#This Row],[Llave]],'[6]RV plan de ventas'!$A:$E,5,FALSE)),0)</f>
        <v>0</v>
      </c>
      <c r="K292" s="8">
        <f>IFERROR(VLOOKUP(Tabla14[[#This Row],[Sector]]&amp;Tabla14[[#This Row],[Oficina]],[8]Ponderación!$A$3:$G$22,7,FALSE),0)</f>
        <v>0.47745072632608576</v>
      </c>
      <c r="L292" s="7">
        <f>+Tabla14[[#This Row],[ RV Producción mes n+1]]*Tabla14[[#This Row],[% Uti. producción]]</f>
        <v>0</v>
      </c>
      <c r="M292" s="7">
        <f>IFERROR(VLOOKUP(Tabla14[[#This Row],[Material]],'[9]TD Stock'!$B:$C,2,FALSE),0)</f>
        <v>0</v>
      </c>
      <c r="N292" s="7">
        <f>IFERROR(VLOOKUP(Tabla14[[#This Row],[Material]],'[10]Consolidado planificación'!$B:$C,2,FALSE),0)</f>
        <v>0</v>
      </c>
      <c r="O292" s="7">
        <f>IFERROR(VLOOKUP(Tabla14[[#This Row],[Llave]],[11]Hoja2!$D:$G,4,FALSE),0)</f>
        <v>0</v>
      </c>
      <c r="P292" s="37">
        <f>SUM(Tabla14[[#This Row],[Producción disponible]],Tabla14[[#This Row],[Stock al día]],(Tabla14[[#This Row],[Por producir mes N]]*0.9))-Tabla14[[#This Row],[Producción por despachar mes N]]</f>
        <v>0</v>
      </c>
      <c r="Q292" s="7">
        <f>IFERROR(VLOOKUP(Tabla14[[#This Row],[Llave]],[9]DELAY!$A:$D,4,FALSE),0)</f>
        <v>0</v>
      </c>
      <c r="R292" s="9">
        <v>0</v>
      </c>
      <c r="S292" s="5">
        <f t="shared" si="9"/>
        <v>0</v>
      </c>
      <c r="T292" s="76">
        <v>0</v>
      </c>
      <c r="U292" s="5">
        <f>+Tabla14[[#This Row],[Atraso a facturar]]+Tabla14[[#This Row],[Ajuste atraso]]</f>
        <v>0</v>
      </c>
      <c r="V292" s="3">
        <f>+Tabla14[[#This Row],[Total disponible]]-Tabla14[[#This Row],[Facturación atraso]]</f>
        <v>0</v>
      </c>
      <c r="W292" s="6">
        <f>IFERROR(IF(AND(V292&gt;R292,J292&gt;=R292),ROUNDDOWN((Tabla14[[#This Row],[Producción para venta nueva]])/R292,0)*R292,0),0)</f>
        <v>0</v>
      </c>
      <c r="X292" s="76">
        <v>0</v>
      </c>
      <c r="Y292" s="6">
        <f>IF(Tabla14[[#This Row],[Venta del mes]]&gt;0,Tabla14[[#This Row],[Venta del mes]]+Tabla14[[#This Row],[Ajuste venta nueva]],0)</f>
        <v>0</v>
      </c>
      <c r="Z292" s="6">
        <f>+Tabla14[[#This Row],[Producción para venta nueva]]-Tabla14[[#This Row],[Facturación Venta nueva]]</f>
        <v>0</v>
      </c>
      <c r="AA292" s="6">
        <f>IF(AND(A292=1,Tabla14[[#This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2" s="6">
        <v>0</v>
      </c>
      <c r="AC292" s="6">
        <f>IF(Tabla14[[#This Row],[Disponible stock sin venta]]&gt;0,Tabla14[[#This Row],[Disponible stock sin venta]]+Tabla14[[#This Row],[Ajuste stock sin venta]],0)</f>
        <v>0</v>
      </c>
      <c r="AD292" s="3">
        <f>IFERROR(VLOOKUP(Tabla14[[#This Row],[Llave]],[12]Hoja1!$A:$D,4,FALSE),0)</f>
        <v>0</v>
      </c>
      <c r="AE292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2" s="3" t="b">
        <v>0</v>
      </c>
      <c r="AG292" s="3">
        <f>+Tabla14[[#This Row],[En puerto a facturar]]</f>
        <v>0</v>
      </c>
      <c r="AH292" s="3">
        <f>+Tabla14[[#This Row],[Facturación atraso]]</f>
        <v>0</v>
      </c>
      <c r="AI292" s="3">
        <f>+Tabla14[[#This Row],[Plan Irrestricto (DATO)]]-Tabla14[[#This Row],[Puerto ]]-Tabla14[[#This Row],[Atraso]]</f>
        <v>0</v>
      </c>
      <c r="AJ29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2" s="3">
        <f>+Tabla14[[#This Row],[Facturación atraso]]</f>
        <v>0</v>
      </c>
      <c r="AL292" s="3">
        <f>Tabla14[[#This Row],[Plan Ajustado]]-Tabla14[[#This Row],[ Atraso ajustado]]-Tabla14[[#This Row],[En puerto a facturar]]</f>
        <v>0</v>
      </c>
      <c r="AM292" s="3">
        <v>0</v>
      </c>
      <c r="AN292" s="3" t="e">
        <v>#REF!</v>
      </c>
      <c r="AO292" s="3" t="str">
        <f>IF(Tabla14[[#This Row],[Plan Ajustado]]&gt;Tabla14[[#This Row],[En puerto a facturar]],"Si","No")</f>
        <v>No</v>
      </c>
      <c r="AP29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2" s="3">
        <f>IF(Tabla14[[#This Row],[Necesidad]]&gt;=Tabla14[[#This Row],[Stock al día]],Tabla14[[#This Row],[Stock al día]],Tabla14[[#This Row],[Necesidad]])</f>
        <v>0</v>
      </c>
      <c r="AR292" s="3">
        <f>+Tabla14[[#This Row],[Necesidad]]-Tabla14[[#This Row],[Stock Plan]]</f>
        <v>0</v>
      </c>
      <c r="AS292" s="155">
        <f>VLOOKUP(Tabla14[[#This Row],[Sector]]&amp;Tabla14[[#This Row],[Oficina]],[8]Ponderación!$A:$H,8,FALSE)</f>
        <v>44817</v>
      </c>
      <c r="AT292" s="30">
        <f>IFERROR(VLOOKUP(Tabla14[[#This Row],[Llave]],'[6]RV plan de ventas'!$A:$F,6,FALSE),0)</f>
        <v>0</v>
      </c>
      <c r="AU292" s="83">
        <f>IFERROR(VLOOKUP(Tabla14[[#This Row],[Llave]],[9]DELAY!$H:$X,17,FALSE),0)</f>
        <v>0</v>
      </c>
      <c r="AV29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2" s="5">
        <f>Tabla14[[#This Row],[Pecio plan]]*Tabla14[[#This Row],[Plan Ajustado]]</f>
        <v>0</v>
      </c>
      <c r="AX292" s="30">
        <f>IFERROR(VLOOKUP(Tabla14[[#This Row],[Llave]],'[13]Ultimos precios facturados'!$A:$G,7,FALSE),0)</f>
        <v>0</v>
      </c>
      <c r="AY29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2" s="30">
        <f>IFERROR(VLOOKUP(Tabla14[[#This Row],[Llave]],Hoja2!B:K,10,FALSE),0)</f>
        <v>0</v>
      </c>
      <c r="BA29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92" s="30">
        <v>0</v>
      </c>
      <c r="BC292" s="30">
        <f>IF(Tabla14[[#This Row],[Market]]=0,Tabla14[[#This Row],[Precio Final]],Tabla14[[#This Row],[Market]])</f>
        <v>0</v>
      </c>
      <c r="BD292" s="82"/>
      <c r="BE292" s="82" t="str">
        <f>IF(AND(Tabla14[[#This Row],[Atraso a facturar]]&gt;0,Tabla14[[#This Row],[En puerto a facturar]]&gt;0,Tabla14[[#This Row],[Precio Atraso]]=0),"Revisar","OK")</f>
        <v>OK</v>
      </c>
      <c r="BF292" s="82" t="str">
        <f>IF(AND(Tabla14[[#This Row],[Venta del mes]]&gt;0,Tabla14[[#This Row],[Precio venta nueva]]=0),"Revisar","OK")</f>
        <v>OK</v>
      </c>
      <c r="BG292" s="20">
        <f>IFERROR(VLOOKUP(Tabla14[[#This Row],[Llave]],'[5]Consolidación planes'!$A:$M,9,FALSE),0)</f>
        <v>0</v>
      </c>
      <c r="BH292" s="20">
        <f>IFERROR(VLOOKUP(Tabla14[[#This Row],[Llave]],'[5]Consolidación planes'!$A:$M,10,FALSE),0)</f>
        <v>0</v>
      </c>
      <c r="BI292" s="20">
        <f>IFERROR(VLOOKUP(Tabla14[[#This Row],[Llave]],'[5]Consolidación planes'!$A:$M,11,FALSE),0)</f>
        <v>0</v>
      </c>
      <c r="BJ292" s="20">
        <f>IFERROR(VLOOKUP(Tabla14[[#This Row],[Llave]],'[5]Consolidación planes'!$A:$M,12,FALSE),0)</f>
        <v>0</v>
      </c>
      <c r="BK292" s="20">
        <f>IFERROR(VLOOKUP(Tabla14[[#This Row],[Llave]],'[5]Consolidación planes'!$A:$M,13,FALSE),0)</f>
        <v>0</v>
      </c>
      <c r="BL292" s="20">
        <f>IFERROR(VLOOKUP(Tabla14[[#This Row],[Llave]],'[13]Base ultimos planes'!$A:$M,13,FALSE),0)</f>
        <v>0</v>
      </c>
      <c r="BM292" s="20">
        <f>IFERROR(VLOOKUP(Tabla14[[#This Row],[Llave]],'[13]Cruce plan irrestricto'!$C:$M,10,FALSE),0)</f>
        <v>0</v>
      </c>
      <c r="BN292" s="20">
        <f>IFERROR(VLOOKUP(Tabla14[[#This Row],[Llave]],'[13]Cruce plan irrestricto'!$C:$M,11,FALSE),0)</f>
        <v>0</v>
      </c>
      <c r="BO292" s="80">
        <f>IFERROR(VLOOKUP(Tabla14[[#This Row],[Llave]],'[13]Base ultimos planes'!$O:$AA,8,FALSE),0)</f>
        <v>0</v>
      </c>
      <c r="BP292" s="20">
        <f>IFERROR(VLOOKUP(Tabla14[[#This Row],[Llave]],'[13]Base ultimos planes'!$O:$AA,9,FALSE),0)</f>
        <v>0</v>
      </c>
      <c r="BQ292" s="20">
        <f>IFERROR(VLOOKUP(Tabla14[[#This Row],[Llave]],'[13]Base ultimos planes'!$O:$AA,10,FALSE),0)</f>
        <v>0</v>
      </c>
      <c r="BR292" s="20">
        <f>IFERROR(VLOOKUP(Tabla14[[#This Row],[Llave]],'[13]Base ultimos planes'!$O:$AA,11,FALSE),0)</f>
        <v>0</v>
      </c>
      <c r="BS292" s="20">
        <f>IFERROR(VLOOKUP(Tabla14[[#This Row],[Llave]],'[13]Base ultimos planes'!$O:$AA,12,FALSE),0)</f>
        <v>0</v>
      </c>
      <c r="BT292" s="20">
        <f>IFERROR(VLOOKUP(Tabla14[[#This Row],[Llave]],'[13]Base ultimos planes'!$O:$AA,13,FALSE),0)</f>
        <v>0</v>
      </c>
      <c r="BU292" s="35"/>
      <c r="BV292" s="20">
        <f>Tabla14[[#This Row],[ RV Producción mes n+1]]-Tabla14[[#This Row],[Producción disponible]]+Tabla14[[#This Row],[Saldo Volumen disponible]]</f>
        <v>0</v>
      </c>
      <c r="BW292" s="20">
        <f>IFERROR(VLOOKUP(Tabla14[[#This Row],[Llave]],[14]Hoja2!$J:$N,4,FALSE),0)</f>
        <v>0</v>
      </c>
      <c r="BX292" s="20">
        <f>+Tabla14[[#This Row],[Asignación mes n+1]]*Tabla14[[#This Row],[% Uti. producción]]</f>
        <v>0</v>
      </c>
      <c r="BY292" s="20">
        <f>+Tabla14[[#This Row],[Ponderación mes n+1]]+Tabla14[[#This Row],[Saldo mes n-1]]</f>
        <v>0</v>
      </c>
      <c r="BZ292" s="20">
        <f>+Tabla14[[#This Row],[Asignación mes n+1]]-Tabla14[[#This Row],[Ponderación mes n+1]]</f>
        <v>0</v>
      </c>
      <c r="CA292" s="20">
        <f>IFERROR(VLOOKUP(Tabla14[[#This Row],[Llave]],[14]Hoja2!$J:$N,5,FALSE),0)</f>
        <v>0</v>
      </c>
      <c r="CB292" s="20">
        <f>+Tabla14[[#This Row],[Asignación mes n+2]]*Tabla14[[#This Row],[% Uti. producción]]</f>
        <v>0</v>
      </c>
      <c r="CC292" s="20">
        <f>+Tabla14[[#This Row],[Saldo mes n+2]]+Tabla14[[#This Row],[Ponderación mes n+2]]</f>
        <v>0</v>
      </c>
      <c r="CD292" s="20">
        <f>+Tabla14[[#This Row],[Asignación mes n+2]]-Tabla14[[#This Row],[Ponderación mes n+2]]</f>
        <v>0</v>
      </c>
    </row>
    <row r="293" spans="1:82" ht="16" x14ac:dyDescent="0.2">
      <c r="A293">
        <v>1</v>
      </c>
      <c r="B293" t="str">
        <f>Tabla14[[#This Row],[Oficina]]&amp;Tabla14[[#This Row],[Material]]</f>
        <v>Agro Sudamerica1030755</v>
      </c>
      <c r="C293" t="s">
        <v>204</v>
      </c>
      <c r="D293" t="s">
        <v>17</v>
      </c>
      <c r="E293">
        <v>1030755</v>
      </c>
      <c r="F293" t="s">
        <v>617</v>
      </c>
      <c r="G293" t="s">
        <v>217</v>
      </c>
      <c r="H293" t="s">
        <v>618</v>
      </c>
      <c r="I293" s="7">
        <f>IFERROR(IF(Tabla14[[#This Row],[Oficina]]=$I$7,VLOOKUP(Tabla14[[#This Row],[Material]],'[6]RV Producción'!$Y:$AA,3,FALSE),VLOOKUP(Tabla14[[#This Row],[Llave]],'[6]RV Producción'!$C:$G,5,FALSE)),0)</f>
        <v>0</v>
      </c>
      <c r="J293" s="7">
        <f>IFERROR(IF(Tabla14[[#This Row],[Oficina]]=$I$7,VLOOKUP(Tabla14[[#This Row],[Llave]],'[7]Shangai (Tomas)'!$A:$F,6,FALSE),VLOOKUP(Tabla14[[#This Row],[Llave]],'[6]RV plan de ventas'!$A:$E,5,FALSE)),0)</f>
        <v>0</v>
      </c>
      <c r="K293" s="8">
        <f>IFERROR(VLOOKUP(Tabla14[[#This Row],[Sector]]&amp;Tabla14[[#This Row],[Oficina]],[8]Ponderación!$A$3:$G$22,7,FALSE),0)</f>
        <v>0.47745072632608576</v>
      </c>
      <c r="L293" s="7">
        <f>+Tabla14[[#This Row],[ RV Producción mes n+1]]*Tabla14[[#This Row],[% Uti. producción]]</f>
        <v>0</v>
      </c>
      <c r="M293" s="7">
        <f>IFERROR(VLOOKUP(Tabla14[[#This Row],[Material]],'[9]TD Stock'!$B:$C,2,FALSE),0)</f>
        <v>0</v>
      </c>
      <c r="N293" s="7">
        <f>IFERROR(VLOOKUP(Tabla14[[#This Row],[Material]],'[10]Consolidado planificación'!$B:$C,2,FALSE),0)</f>
        <v>0</v>
      </c>
      <c r="O293" s="7">
        <f>IFERROR(VLOOKUP(Tabla14[[#This Row],[Llave]],[11]Hoja2!$D:$G,4,FALSE),0)</f>
        <v>0</v>
      </c>
      <c r="P293" s="37">
        <f>SUM(Tabla14[[#This Row],[Producción disponible]],Tabla14[[#This Row],[Stock al día]],(Tabla14[[#This Row],[Por producir mes N]]*0.9))-Tabla14[[#This Row],[Producción por despachar mes N]]</f>
        <v>0</v>
      </c>
      <c r="Q293" s="7">
        <f>IFERROR(VLOOKUP(Tabla14[[#This Row],[Llave]],[9]DELAY!$A:$D,4,FALSE),0)</f>
        <v>0</v>
      </c>
      <c r="R293" s="9">
        <v>0</v>
      </c>
      <c r="S293" s="5">
        <f t="shared" si="9"/>
        <v>0</v>
      </c>
      <c r="T293" s="76">
        <v>0</v>
      </c>
      <c r="U293" s="5">
        <f>+Tabla14[[#This Row],[Atraso a facturar]]+Tabla14[[#This Row],[Ajuste atraso]]</f>
        <v>0</v>
      </c>
      <c r="V293" s="3">
        <f>+Tabla14[[#This Row],[Total disponible]]-Tabla14[[#This Row],[Facturación atraso]]</f>
        <v>0</v>
      </c>
      <c r="W293" s="6">
        <f>IFERROR(IF(AND(V293&gt;R293,J293&gt;=R293),ROUNDDOWN((Tabla14[[#This Row],[Producción para venta nueva]])/R293,0)*R293,0),0)</f>
        <v>0</v>
      </c>
      <c r="X293" s="76">
        <v>0</v>
      </c>
      <c r="Y293" s="6">
        <f>IF(Tabla14[[#This Row],[Venta del mes]]&gt;0,Tabla14[[#This Row],[Venta del mes]]+Tabla14[[#This Row],[Ajuste venta nueva]],0)</f>
        <v>0</v>
      </c>
      <c r="Z293" s="6">
        <f>+Tabla14[[#This Row],[Producción para venta nueva]]-Tabla14[[#This Row],[Facturación Venta nueva]]</f>
        <v>0</v>
      </c>
      <c r="AA293" s="6">
        <f>IF(AND(A293=1,Tabla14[[#This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3" s="6">
        <v>0</v>
      </c>
      <c r="AC293" s="6">
        <f>IF(Tabla14[[#This Row],[Disponible stock sin venta]]&gt;0,Tabla14[[#This Row],[Disponible stock sin venta]]+Tabla14[[#This Row],[Ajuste stock sin venta]],0)</f>
        <v>0</v>
      </c>
      <c r="AD293" s="3">
        <f>IFERROR(VLOOKUP(Tabla14[[#This Row],[Llave]],[12]Hoja1!$A:$D,4,FALSE),0)</f>
        <v>0</v>
      </c>
      <c r="AE293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3" s="3" t="b">
        <v>0</v>
      </c>
      <c r="AG293" s="3">
        <f>+Tabla14[[#This Row],[En puerto a facturar]]</f>
        <v>0</v>
      </c>
      <c r="AH293" s="3">
        <f>+Tabla14[[#This Row],[Facturación atraso]]</f>
        <v>0</v>
      </c>
      <c r="AI293" s="3">
        <f>+Tabla14[[#This Row],[Plan Irrestricto (DATO)]]-Tabla14[[#This Row],[Puerto ]]-Tabla14[[#This Row],[Atraso]]</f>
        <v>0</v>
      </c>
      <c r="AJ29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3" s="3">
        <f>+Tabla14[[#This Row],[Facturación atraso]]</f>
        <v>0</v>
      </c>
      <c r="AL293" s="3">
        <f>Tabla14[[#This Row],[Plan Ajustado]]-Tabla14[[#This Row],[ Atraso ajustado]]-Tabla14[[#This Row],[En puerto a facturar]]</f>
        <v>0</v>
      </c>
      <c r="AM293" s="3">
        <v>0</v>
      </c>
      <c r="AN293" s="3" t="e">
        <v>#REF!</v>
      </c>
      <c r="AO293" s="3" t="str">
        <f>IF(Tabla14[[#This Row],[Plan Ajustado]]&gt;Tabla14[[#This Row],[En puerto a facturar]],"Si","No")</f>
        <v>No</v>
      </c>
      <c r="AP29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3" s="3">
        <f>IF(Tabla14[[#This Row],[Necesidad]]&gt;=Tabla14[[#This Row],[Stock al día]],Tabla14[[#This Row],[Stock al día]],Tabla14[[#This Row],[Necesidad]])</f>
        <v>0</v>
      </c>
      <c r="AR293" s="3">
        <f>+Tabla14[[#This Row],[Necesidad]]-Tabla14[[#This Row],[Stock Plan]]</f>
        <v>0</v>
      </c>
      <c r="AS293" s="155">
        <f>VLOOKUP(Tabla14[[#This Row],[Sector]]&amp;Tabla14[[#This Row],[Oficina]],[8]Ponderación!$A:$H,8,FALSE)</f>
        <v>44817</v>
      </c>
      <c r="AT293" s="30">
        <f>IFERROR(VLOOKUP(Tabla14[[#This Row],[Llave]],'[6]RV plan de ventas'!$A:$F,6,FALSE),0)</f>
        <v>0</v>
      </c>
      <c r="AU293" s="83">
        <f>IFERROR(VLOOKUP(Tabla14[[#This Row],[Llave]],[9]DELAY!$H:$X,17,FALSE),0)</f>
        <v>0</v>
      </c>
      <c r="AV29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3" s="5">
        <f>Tabla14[[#This Row],[Pecio plan]]*Tabla14[[#This Row],[Plan Ajustado]]</f>
        <v>0</v>
      </c>
      <c r="AX293" s="30">
        <f>IFERROR(VLOOKUP(Tabla14[[#This Row],[Llave]],'[13]Ultimos precios facturados'!$A:$G,7,FALSE),0)</f>
        <v>0</v>
      </c>
      <c r="AY29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3" s="30">
        <f>IFERROR(VLOOKUP(Tabla14[[#This Row],[Llave]],Hoja2!B:K,10,FALSE),0)</f>
        <v>0</v>
      </c>
      <c r="BA29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93" s="30">
        <v>0</v>
      </c>
      <c r="BC293" s="30">
        <f>IF(Tabla14[[#This Row],[Market]]=0,Tabla14[[#This Row],[Precio Final]],Tabla14[[#This Row],[Market]])</f>
        <v>0</v>
      </c>
      <c r="BD293" s="82"/>
      <c r="BE293" s="82" t="str">
        <f>IF(AND(Tabla14[[#This Row],[Atraso a facturar]]&gt;0,Tabla14[[#This Row],[En puerto a facturar]]&gt;0,Tabla14[[#This Row],[Precio Atraso]]=0),"Revisar","OK")</f>
        <v>OK</v>
      </c>
      <c r="BF293" s="82" t="str">
        <f>IF(AND(Tabla14[[#This Row],[Venta del mes]]&gt;0,Tabla14[[#This Row],[Precio venta nueva]]=0),"Revisar","OK")</f>
        <v>OK</v>
      </c>
      <c r="BG293" s="20">
        <f>IFERROR(VLOOKUP(Tabla14[[#This Row],[Llave]],'[5]Consolidación planes'!$A:$M,9,FALSE),0)</f>
        <v>0</v>
      </c>
      <c r="BH293" s="20">
        <f>IFERROR(VLOOKUP(Tabla14[[#This Row],[Llave]],'[5]Consolidación planes'!$A:$M,10,FALSE),0)</f>
        <v>0</v>
      </c>
      <c r="BI293" s="20">
        <f>IFERROR(VLOOKUP(Tabla14[[#This Row],[Llave]],'[5]Consolidación planes'!$A:$M,11,FALSE),0)</f>
        <v>0</v>
      </c>
      <c r="BJ293" s="20">
        <f>IFERROR(VLOOKUP(Tabla14[[#This Row],[Llave]],'[5]Consolidación planes'!$A:$M,12,FALSE),0)</f>
        <v>0</v>
      </c>
      <c r="BK293" s="20">
        <f>IFERROR(VLOOKUP(Tabla14[[#This Row],[Llave]],'[5]Consolidación planes'!$A:$M,13,FALSE),0)</f>
        <v>0</v>
      </c>
      <c r="BL293" s="20">
        <f>IFERROR(VLOOKUP(Tabla14[[#This Row],[Llave]],'[13]Base ultimos planes'!$A:$M,13,FALSE),0)</f>
        <v>0</v>
      </c>
      <c r="BM293" s="20">
        <f>IFERROR(VLOOKUP(Tabla14[[#This Row],[Llave]],'[13]Cruce plan irrestricto'!$C:$M,10,FALSE),0)</f>
        <v>0</v>
      </c>
      <c r="BN293" s="20">
        <f>IFERROR(VLOOKUP(Tabla14[[#This Row],[Llave]],'[13]Cruce plan irrestricto'!$C:$M,11,FALSE),0)</f>
        <v>0</v>
      </c>
      <c r="BO293" s="80">
        <f>IFERROR(VLOOKUP(Tabla14[[#This Row],[Llave]],'[13]Base ultimos planes'!$O:$AA,8,FALSE),0)</f>
        <v>0</v>
      </c>
      <c r="BP293" s="20">
        <f>IFERROR(VLOOKUP(Tabla14[[#This Row],[Llave]],'[13]Base ultimos planes'!$O:$AA,9,FALSE),0)</f>
        <v>0</v>
      </c>
      <c r="BQ293" s="20">
        <f>IFERROR(VLOOKUP(Tabla14[[#This Row],[Llave]],'[13]Base ultimos planes'!$O:$AA,10,FALSE),0)</f>
        <v>0</v>
      </c>
      <c r="BR293" s="20">
        <f>IFERROR(VLOOKUP(Tabla14[[#This Row],[Llave]],'[13]Base ultimos planes'!$O:$AA,11,FALSE),0)</f>
        <v>0</v>
      </c>
      <c r="BS293" s="20">
        <f>IFERROR(VLOOKUP(Tabla14[[#This Row],[Llave]],'[13]Base ultimos planes'!$O:$AA,12,FALSE),0)</f>
        <v>0</v>
      </c>
      <c r="BT293" s="20">
        <f>IFERROR(VLOOKUP(Tabla14[[#This Row],[Llave]],'[13]Base ultimos planes'!$O:$AA,13,FALSE),0)</f>
        <v>0</v>
      </c>
      <c r="BU293" s="35"/>
      <c r="BV293" s="20">
        <f>Tabla14[[#This Row],[ RV Producción mes n+1]]-Tabla14[[#This Row],[Producción disponible]]+Tabla14[[#This Row],[Saldo Volumen disponible]]</f>
        <v>0</v>
      </c>
      <c r="BW293" s="20">
        <f>IFERROR(VLOOKUP(Tabla14[[#This Row],[Llave]],[14]Hoja2!$J:$N,4,FALSE),0)</f>
        <v>0</v>
      </c>
      <c r="BX293" s="20">
        <f>+Tabla14[[#This Row],[Asignación mes n+1]]*Tabla14[[#This Row],[% Uti. producción]]</f>
        <v>0</v>
      </c>
      <c r="BY293" s="20">
        <f>+Tabla14[[#This Row],[Ponderación mes n+1]]+Tabla14[[#This Row],[Saldo mes n-1]]</f>
        <v>0</v>
      </c>
      <c r="BZ293" s="20">
        <f>+Tabla14[[#This Row],[Asignación mes n+1]]-Tabla14[[#This Row],[Ponderación mes n+1]]</f>
        <v>0</v>
      </c>
      <c r="CA293" s="20">
        <f>IFERROR(VLOOKUP(Tabla14[[#This Row],[Llave]],[14]Hoja2!$J:$N,5,FALSE),0)</f>
        <v>0</v>
      </c>
      <c r="CB293" s="20">
        <f>+Tabla14[[#This Row],[Asignación mes n+2]]*Tabla14[[#This Row],[% Uti. producción]]</f>
        <v>0</v>
      </c>
      <c r="CC293" s="20">
        <f>+Tabla14[[#This Row],[Saldo mes n+2]]+Tabla14[[#This Row],[Ponderación mes n+2]]</f>
        <v>0</v>
      </c>
      <c r="CD293" s="20">
        <f>+Tabla14[[#This Row],[Asignación mes n+2]]-Tabla14[[#This Row],[Ponderación mes n+2]]</f>
        <v>0</v>
      </c>
    </row>
    <row r="294" spans="1:82" ht="16" x14ac:dyDescent="0.2">
      <c r="A294">
        <v>1</v>
      </c>
      <c r="B294" t="str">
        <f>Tabla14[[#This Row],[Oficina]]&amp;Tabla14[[#This Row],[Material]]</f>
        <v>Agrosuper Asia1030576</v>
      </c>
      <c r="C294" t="s">
        <v>204</v>
      </c>
      <c r="D294" t="s">
        <v>173</v>
      </c>
      <c r="E294">
        <v>1030576</v>
      </c>
      <c r="F294" t="s">
        <v>619</v>
      </c>
      <c r="G294" t="s">
        <v>620</v>
      </c>
      <c r="H294" t="s">
        <v>620</v>
      </c>
      <c r="I294" s="7">
        <f>IFERROR(IF(Tabla14[[#This Row],[Oficina]]=$I$7,VLOOKUP(Tabla14[[#This Row],[Material]],'[6]RV Producción'!$Y:$AA,3,FALSE),VLOOKUP(Tabla14[[#This Row],[Llave]],'[6]RV Producción'!$C:$G,5,FALSE)),0)</f>
        <v>0</v>
      </c>
      <c r="J294" s="7">
        <f>IFERROR(IF(Tabla14[[#This Row],[Oficina]]=$I$7,VLOOKUP(Tabla14[[#This Row],[Llave]],'[7]Shangai (Tomas)'!$A:$F,6,FALSE),VLOOKUP(Tabla14[[#This Row],[Llave]],'[6]RV plan de ventas'!$A:$E,5,FALSE)),0)</f>
        <v>0</v>
      </c>
      <c r="K294" s="8">
        <f>IFERROR(VLOOKUP(Tabla14[[#This Row],[Sector]]&amp;Tabla14[[#This Row],[Oficina]],[8]Ponderación!$A$3:$G$22,7,FALSE),0)</f>
        <v>0.47745072632608576</v>
      </c>
      <c r="L294" s="7">
        <f>+Tabla14[[#This Row],[ RV Producción mes n+1]]*Tabla14[[#This Row],[% Uti. producción]]</f>
        <v>0</v>
      </c>
      <c r="M294" s="7">
        <f>IFERROR(VLOOKUP(Tabla14[[#This Row],[Material]],'[9]TD Stock'!$B:$C,2,FALSE),0)</f>
        <v>0</v>
      </c>
      <c r="N294" s="7">
        <f>IFERROR(VLOOKUP(Tabla14[[#This Row],[Material]],'[10]Consolidado planificación'!$B:$C,2,FALSE),0)</f>
        <v>0</v>
      </c>
      <c r="O294" s="7">
        <f>IFERROR(VLOOKUP(Tabla14[[#This Row],[Llave]],[11]Hoja2!$D:$G,4,FALSE),0)</f>
        <v>0</v>
      </c>
      <c r="P294" s="37">
        <f>SUM(Tabla14[[#This Row],[Producción disponible]],Tabla14[[#This Row],[Stock al día]],(Tabla14[[#This Row],[Por producir mes N]]*0.9))-Tabla14[[#This Row],[Producción por despachar mes N]]</f>
        <v>0</v>
      </c>
      <c r="Q294" s="7">
        <f>IFERROR(VLOOKUP(Tabla14[[#This Row],[Llave]],[9]DELAY!$A:$D,4,FALSE),0)</f>
        <v>0</v>
      </c>
      <c r="R294" s="9">
        <v>0</v>
      </c>
      <c r="S294" s="5">
        <f t="shared" si="9"/>
        <v>0</v>
      </c>
      <c r="T294" s="76">
        <v>0</v>
      </c>
      <c r="U294" s="5">
        <f>+Tabla14[[#This Row],[Atraso a facturar]]+Tabla14[[#This Row],[Ajuste atraso]]</f>
        <v>0</v>
      </c>
      <c r="V294" s="3">
        <f>+Tabla14[[#This Row],[Total disponible]]-Tabla14[[#This Row],[Facturación atraso]]</f>
        <v>0</v>
      </c>
      <c r="W294" s="6">
        <f>IFERROR(IF(AND(V294&gt;R294,J294&gt;=R294),ROUNDDOWN((Tabla14[[#This Row],[Producción para venta nueva]])/R294,0)*R294,0),0)</f>
        <v>0</v>
      </c>
      <c r="X294" s="76">
        <v>0</v>
      </c>
      <c r="Y294" s="6">
        <f>IF(Tabla14[[#This Row],[Venta del mes]]&gt;0,Tabla14[[#This Row],[Venta del mes]]+Tabla14[[#This Row],[Ajuste venta nueva]],0)</f>
        <v>0</v>
      </c>
      <c r="Z294" s="6">
        <f>+Tabla14[[#This Row],[Producción para venta nueva]]-Tabla14[[#This Row],[Facturación Venta nueva]]</f>
        <v>0</v>
      </c>
      <c r="AA294" s="6">
        <f>IF(AND(A294=1,Tabla14[[#This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4" s="6">
        <v>0</v>
      </c>
      <c r="AC294" s="6">
        <f>IF(Tabla14[[#This Row],[Disponible stock sin venta]]&gt;0,Tabla14[[#This Row],[Disponible stock sin venta]]+Tabla14[[#This Row],[Ajuste stock sin venta]],0)</f>
        <v>0</v>
      </c>
      <c r="AD294" s="3">
        <f>IFERROR(VLOOKUP(Tabla14[[#This Row],[Llave]],[12]Hoja1!$A:$D,4,FALSE),0)</f>
        <v>0</v>
      </c>
      <c r="AE294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4" s="3" t="b">
        <v>0</v>
      </c>
      <c r="AG294" s="3">
        <f>+Tabla14[[#This Row],[En puerto a facturar]]</f>
        <v>0</v>
      </c>
      <c r="AH294" s="3">
        <f>+Tabla14[[#This Row],[Facturación atraso]]</f>
        <v>0</v>
      </c>
      <c r="AI294" s="3">
        <f>+Tabla14[[#This Row],[Plan Irrestricto (DATO)]]-Tabla14[[#This Row],[Puerto ]]-Tabla14[[#This Row],[Atraso]]</f>
        <v>0</v>
      </c>
      <c r="AJ29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4" s="3">
        <f>+Tabla14[[#This Row],[Facturación atraso]]</f>
        <v>0</v>
      </c>
      <c r="AL294" s="3">
        <f>Tabla14[[#This Row],[Plan Ajustado]]-Tabla14[[#This Row],[ Atraso ajustado]]-Tabla14[[#This Row],[En puerto a facturar]]</f>
        <v>0</v>
      </c>
      <c r="AM294" s="3">
        <v>0</v>
      </c>
      <c r="AN294" s="3"/>
      <c r="AO294" s="3" t="str">
        <f>IF(Tabla14[[#This Row],[Plan Ajustado]]&gt;Tabla14[[#This Row],[En puerto a facturar]],"Si","No")</f>
        <v>No</v>
      </c>
      <c r="AP29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4" s="3">
        <f>IF(Tabla14[[#This Row],[Necesidad]]&gt;=Tabla14[[#This Row],[Stock al día]],Tabla14[[#This Row],[Stock al día]],Tabla14[[#This Row],[Necesidad]])</f>
        <v>0</v>
      </c>
      <c r="AR294" s="3">
        <f>+Tabla14[[#This Row],[Necesidad]]-Tabla14[[#This Row],[Stock Plan]]</f>
        <v>0</v>
      </c>
      <c r="AS294" s="155">
        <f>VLOOKUP(Tabla14[[#This Row],[Sector]]&amp;Tabla14[[#This Row],[Oficina]],[8]Ponderación!$A:$H,8,FALSE)</f>
        <v>44817</v>
      </c>
      <c r="AT294" s="30">
        <f>IFERROR(VLOOKUP(Tabla14[[#This Row],[Llave]],'[6]RV plan de ventas'!$A:$F,6,FALSE),0)</f>
        <v>0</v>
      </c>
      <c r="AU294" s="83">
        <f>IFERROR(VLOOKUP(Tabla14[[#This Row],[Llave]],[9]DELAY!$H:$X,17,FALSE),0)</f>
        <v>0</v>
      </c>
      <c r="AV29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4" s="5">
        <f>Tabla14[[#This Row],[Pecio plan]]*Tabla14[[#This Row],[Plan Ajustado]]</f>
        <v>0</v>
      </c>
      <c r="AX294" s="30">
        <f>IFERROR(VLOOKUP(Tabla14[[#This Row],[Llave]],'[13]Ultimos precios facturados'!$A:$G,7,FALSE),0)</f>
        <v>1</v>
      </c>
      <c r="AY29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4" s="30">
        <f>IFERROR(VLOOKUP(Tabla14[[#This Row],[Llave]],Hoja2!B:K,10,FALSE),0)</f>
        <v>0</v>
      </c>
      <c r="BA29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</v>
      </c>
      <c r="BB294" s="30">
        <v>0</v>
      </c>
      <c r="BC294" s="30">
        <f>IF(Tabla14[[#This Row],[Market]]=0,Tabla14[[#This Row],[Precio Final]],Tabla14[[#This Row],[Market]])</f>
        <v>1</v>
      </c>
      <c r="BD294" s="82"/>
      <c r="BE294" s="82" t="str">
        <f>IF(AND(Tabla14[[#This Row],[Atraso a facturar]]&gt;0,Tabla14[[#This Row],[En puerto a facturar]]&gt;0,Tabla14[[#This Row],[Precio Atraso]]=0),"Revisar","OK")</f>
        <v>OK</v>
      </c>
      <c r="BF294" s="82" t="str">
        <f>IF(AND(Tabla14[[#This Row],[Venta del mes]]&gt;0,Tabla14[[#This Row],[Precio venta nueva]]=0),"Revisar","OK")</f>
        <v>OK</v>
      </c>
      <c r="BG294" s="20">
        <f>IFERROR(VLOOKUP(Tabla14[[#This Row],[Llave]],'[5]Consolidación planes'!$A:$M,9,FALSE),0)</f>
        <v>0</v>
      </c>
      <c r="BH294" s="20">
        <f>IFERROR(VLOOKUP(Tabla14[[#This Row],[Llave]],'[5]Consolidación planes'!$A:$M,10,FALSE),0)</f>
        <v>0</v>
      </c>
      <c r="BI294" s="20">
        <f>IFERROR(VLOOKUP(Tabla14[[#This Row],[Llave]],'[5]Consolidación planes'!$A:$M,11,FALSE),0)</f>
        <v>0</v>
      </c>
      <c r="BJ294" s="20">
        <f>IFERROR(VLOOKUP(Tabla14[[#This Row],[Llave]],'[5]Consolidación planes'!$A:$M,12,FALSE),0)</f>
        <v>0</v>
      </c>
      <c r="BK294" s="20">
        <f>IFERROR(VLOOKUP(Tabla14[[#This Row],[Llave]],'[5]Consolidación planes'!$A:$M,13,FALSE),0)</f>
        <v>0</v>
      </c>
      <c r="BL294" s="20">
        <f>IFERROR(VLOOKUP(Tabla14[[#This Row],[Llave]],'[13]Base ultimos planes'!$A:$M,13,FALSE),0)</f>
        <v>0</v>
      </c>
      <c r="BM294" s="20">
        <f>IFERROR(VLOOKUP(Tabla14[[#This Row],[Llave]],'[13]Cruce plan irrestricto'!$C:$M,10,FALSE),0)</f>
        <v>0</v>
      </c>
      <c r="BN294" s="20">
        <f>IFERROR(VLOOKUP(Tabla14[[#This Row],[Llave]],'[13]Cruce plan irrestricto'!$C:$M,11,FALSE),0)</f>
        <v>0</v>
      </c>
      <c r="BO294" s="80">
        <f>IFERROR(VLOOKUP(Tabla14[[#This Row],[Llave]],'[13]Base ultimos planes'!$O:$AA,8,FALSE),0)</f>
        <v>0</v>
      </c>
      <c r="BP294" s="20">
        <f>IFERROR(VLOOKUP(Tabla14[[#This Row],[Llave]],'[13]Base ultimos planes'!$O:$AA,9,FALSE),0)</f>
        <v>0</v>
      </c>
      <c r="BQ294" s="20">
        <f>IFERROR(VLOOKUP(Tabla14[[#This Row],[Llave]],'[13]Base ultimos planes'!$O:$AA,10,FALSE),0)</f>
        <v>0</v>
      </c>
      <c r="BR294" s="20">
        <f>IFERROR(VLOOKUP(Tabla14[[#This Row],[Llave]],'[13]Base ultimos planes'!$O:$AA,11,FALSE),0)</f>
        <v>0</v>
      </c>
      <c r="BS294" s="20">
        <f>IFERROR(VLOOKUP(Tabla14[[#This Row],[Llave]],'[13]Base ultimos planes'!$O:$AA,12,FALSE),0)</f>
        <v>0</v>
      </c>
      <c r="BT294" s="20">
        <f>IFERROR(VLOOKUP(Tabla14[[#This Row],[Llave]],'[13]Base ultimos planes'!$O:$AA,13,FALSE),0)</f>
        <v>0</v>
      </c>
      <c r="BU294" s="35"/>
      <c r="BV294" s="20">
        <f>Tabla14[[#This Row],[ RV Producción mes n+1]]-Tabla14[[#This Row],[Producción disponible]]+Tabla14[[#This Row],[Saldo Volumen disponible]]</f>
        <v>0</v>
      </c>
      <c r="BW294" s="20">
        <f>IFERROR(VLOOKUP(Tabla14[[#This Row],[Llave]],[14]Hoja2!$J:$N,4,FALSE),0)</f>
        <v>0</v>
      </c>
      <c r="BX294" s="20">
        <f>+Tabla14[[#This Row],[Asignación mes n+1]]*Tabla14[[#This Row],[% Uti. producción]]</f>
        <v>0</v>
      </c>
      <c r="BY294" s="20">
        <f>+Tabla14[[#This Row],[Ponderación mes n+1]]+Tabla14[[#This Row],[Saldo mes n-1]]</f>
        <v>0</v>
      </c>
      <c r="BZ294" s="20">
        <f>+Tabla14[[#This Row],[Asignación mes n+1]]-Tabla14[[#This Row],[Ponderación mes n+1]]</f>
        <v>0</v>
      </c>
      <c r="CA294" s="20">
        <f>IFERROR(VLOOKUP(Tabla14[[#This Row],[Llave]],[14]Hoja2!$J:$N,5,FALSE),0)</f>
        <v>0</v>
      </c>
      <c r="CB294" s="20">
        <f>+Tabla14[[#This Row],[Asignación mes n+2]]*Tabla14[[#This Row],[% Uti. producción]]</f>
        <v>0</v>
      </c>
      <c r="CC294" s="20">
        <f>+Tabla14[[#This Row],[Saldo mes n+2]]+Tabla14[[#This Row],[Ponderación mes n+2]]</f>
        <v>0</v>
      </c>
      <c r="CD294" s="20">
        <f>+Tabla14[[#This Row],[Asignación mes n+2]]-Tabla14[[#This Row],[Ponderación mes n+2]]</f>
        <v>0</v>
      </c>
    </row>
    <row r="295" spans="1:82" ht="16" x14ac:dyDescent="0.2">
      <c r="A295">
        <v>1</v>
      </c>
      <c r="B295" t="str">
        <f>Tabla14[[#This Row],[Oficina]]&amp;Tabla14[[#This Row],[Material]]</f>
        <v>Agrosuper Brasil1030740</v>
      </c>
      <c r="C295" t="s">
        <v>204</v>
      </c>
      <c r="D295" t="s">
        <v>7</v>
      </c>
      <c r="E295">
        <v>1030740</v>
      </c>
      <c r="F295" t="s">
        <v>621</v>
      </c>
      <c r="G295" t="s">
        <v>212</v>
      </c>
      <c r="H295" t="s">
        <v>319</v>
      </c>
      <c r="I295" s="7">
        <f>IFERROR(IF(Tabla14[[#This Row],[Oficina]]=$I$7,VLOOKUP(Tabla14[[#This Row],[Material]],'[6]RV Producción'!$Y:$AA,3,FALSE),VLOOKUP(Tabla14[[#This Row],[Llave]],'[6]RV Producción'!$C:$G,5,FALSE)),0)</f>
        <v>0</v>
      </c>
      <c r="J295" s="7">
        <f>IFERROR(IF(Tabla14[[#This Row],[Oficina]]=$I$7,VLOOKUP(Tabla14[[#This Row],[Llave]],'[7]Shangai (Tomas)'!$A:$F,6,FALSE),VLOOKUP(Tabla14[[#This Row],[Llave]],'[6]RV plan de ventas'!$A:$E,5,FALSE)),0)</f>
        <v>0</v>
      </c>
      <c r="K295" s="8">
        <f>IFERROR(VLOOKUP(Tabla14[[#This Row],[Sector]]&amp;Tabla14[[#This Row],[Oficina]],[8]Ponderación!$A$3:$G$22,7,FALSE),0)</f>
        <v>0.81973286675080992</v>
      </c>
      <c r="L295" s="7">
        <f>+Tabla14[[#This Row],[ RV Producción mes n+1]]*Tabla14[[#This Row],[% Uti. producción]]</f>
        <v>0</v>
      </c>
      <c r="M295" s="7">
        <f>IFERROR(VLOOKUP(Tabla14[[#This Row],[Material]],'[9]TD Stock'!$B:$C,2,FALSE),0)</f>
        <v>0</v>
      </c>
      <c r="N295" s="7">
        <f>IFERROR(VLOOKUP(Tabla14[[#This Row],[Material]],'[10]Consolidado planificación'!$B:$C,2,FALSE),0)</f>
        <v>0</v>
      </c>
      <c r="O295" s="7">
        <f>IFERROR(VLOOKUP(Tabla14[[#This Row],[Llave]],[11]Hoja2!$D:$G,4,FALSE),0)</f>
        <v>0</v>
      </c>
      <c r="P295" s="37">
        <f>SUM(Tabla14[[#This Row],[Producción disponible]],Tabla14[[#This Row],[Stock al día]],(Tabla14[[#This Row],[Por producir mes N]]*0.9))-Tabla14[[#This Row],[Producción por despachar mes N]]</f>
        <v>0</v>
      </c>
      <c r="Q295" s="7">
        <f>IFERROR(VLOOKUP(Tabla14[[#This Row],[Llave]],[9]DELAY!$A:$D,4,FALSE),0)</f>
        <v>0</v>
      </c>
      <c r="R295" s="9">
        <v>0</v>
      </c>
      <c r="S295" s="5">
        <f t="shared" si="9"/>
        <v>0</v>
      </c>
      <c r="T295" s="76">
        <v>0</v>
      </c>
      <c r="U295" s="5">
        <f>+Tabla14[[#This Row],[Atraso a facturar]]+Tabla14[[#This Row],[Ajuste atraso]]</f>
        <v>0</v>
      </c>
      <c r="V295" s="3">
        <f>+Tabla14[[#This Row],[Total disponible]]-Tabla14[[#This Row],[Facturación atraso]]</f>
        <v>0</v>
      </c>
      <c r="W295" s="6">
        <f>IFERROR(IF(AND(V295&gt;R295,J295&gt;=R295),ROUNDDOWN((Tabla14[[#This Row],[Producción para venta nueva]])/R295,0)*R295,0),0)</f>
        <v>0</v>
      </c>
      <c r="X295" s="76">
        <v>0</v>
      </c>
      <c r="Y295" s="6">
        <f>IF(Tabla14[[#This Row],[Venta del mes]]&gt;0,Tabla14[[#This Row],[Venta del mes]]+Tabla14[[#This Row],[Ajuste venta nueva]],0)</f>
        <v>0</v>
      </c>
      <c r="Z295" s="6">
        <f>+Tabla14[[#This Row],[Producción para venta nueva]]-Tabla14[[#This Row],[Facturación Venta nueva]]</f>
        <v>0</v>
      </c>
      <c r="AA295" s="6">
        <f>IF(AND(A295=1,Tabla14[[#This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5" s="6">
        <v>0</v>
      </c>
      <c r="AC295" s="6">
        <f>IF(Tabla14[[#This Row],[Disponible stock sin venta]]&gt;0,Tabla14[[#This Row],[Disponible stock sin venta]]+Tabla14[[#This Row],[Ajuste stock sin venta]],0)</f>
        <v>0</v>
      </c>
      <c r="AD295" s="3">
        <f>IFERROR(VLOOKUP(Tabla14[[#This Row],[Llave]],[12]Hoja1!$A:$D,4,FALSE),0)</f>
        <v>0</v>
      </c>
      <c r="AE295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5" s="3" t="b">
        <v>0</v>
      </c>
      <c r="AG295" s="3">
        <f>+Tabla14[[#This Row],[En puerto a facturar]]</f>
        <v>0</v>
      </c>
      <c r="AH295" s="3">
        <f>+Tabla14[[#This Row],[Facturación atraso]]</f>
        <v>0</v>
      </c>
      <c r="AI295" s="3">
        <f>+Tabla14[[#This Row],[Plan Irrestricto (DATO)]]-Tabla14[[#This Row],[Puerto ]]-Tabla14[[#This Row],[Atraso]]</f>
        <v>0</v>
      </c>
      <c r="AJ29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5" s="3">
        <f>+Tabla14[[#This Row],[Facturación atraso]]</f>
        <v>0</v>
      </c>
      <c r="AL295" s="3">
        <f>Tabla14[[#This Row],[Plan Ajustado]]-Tabla14[[#This Row],[ Atraso ajustado]]-Tabla14[[#This Row],[En puerto a facturar]]</f>
        <v>0</v>
      </c>
      <c r="AM295" s="3">
        <v>0</v>
      </c>
      <c r="AN295" s="3"/>
      <c r="AO295" s="3" t="str">
        <f>IF(Tabla14[[#This Row],[Plan Ajustado]]&gt;Tabla14[[#This Row],[En puerto a facturar]],"Si","No")</f>
        <v>No</v>
      </c>
      <c r="AP29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5" s="3">
        <f>IF(Tabla14[[#This Row],[Necesidad]]&gt;=Tabla14[[#This Row],[Stock al día]],Tabla14[[#This Row],[Stock al día]],Tabla14[[#This Row],[Necesidad]])</f>
        <v>0</v>
      </c>
      <c r="AR295" s="3">
        <f>+Tabla14[[#This Row],[Necesidad]]-Tabla14[[#This Row],[Stock Plan]]</f>
        <v>0</v>
      </c>
      <c r="AS295" s="155">
        <f>VLOOKUP(Tabla14[[#This Row],[Sector]]&amp;Tabla14[[#This Row],[Oficina]],[8]Ponderación!$A:$H,8,FALSE)</f>
        <v>44817</v>
      </c>
      <c r="AT295" s="30">
        <f>IFERROR(VLOOKUP(Tabla14[[#This Row],[Llave]],'[6]RV plan de ventas'!$A:$F,6,FALSE),0)</f>
        <v>0</v>
      </c>
      <c r="AU295" s="83">
        <f>IFERROR(VLOOKUP(Tabla14[[#This Row],[Llave]],[9]DELAY!$H:$X,17,FALSE),0)</f>
        <v>0</v>
      </c>
      <c r="AV29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5" s="5">
        <f>Tabla14[[#This Row],[Pecio plan]]*Tabla14[[#This Row],[Plan Ajustado]]</f>
        <v>0</v>
      </c>
      <c r="AX295" s="30">
        <f>IFERROR(VLOOKUP(Tabla14[[#This Row],[Llave]],'[13]Ultimos precios facturados'!$A:$G,7,FALSE),0)</f>
        <v>0</v>
      </c>
      <c r="AY29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5" s="30">
        <f>IFERROR(VLOOKUP(Tabla14[[#This Row],[Llave]],Hoja2!B:K,10,FALSE),0)</f>
        <v>0</v>
      </c>
      <c r="BA29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95" s="30">
        <v>0</v>
      </c>
      <c r="BC295" s="30">
        <f>IF(Tabla14[[#This Row],[Market]]=0,Tabla14[[#This Row],[Precio Final]],Tabla14[[#This Row],[Market]])</f>
        <v>0</v>
      </c>
      <c r="BD295" s="82"/>
      <c r="BE295" s="82" t="str">
        <f>IF(AND(Tabla14[[#This Row],[Atraso a facturar]]&gt;0,Tabla14[[#This Row],[En puerto a facturar]]&gt;0,Tabla14[[#This Row],[Precio Atraso]]=0),"Revisar","OK")</f>
        <v>OK</v>
      </c>
      <c r="BF295" s="82" t="str">
        <f>IF(AND(Tabla14[[#This Row],[Venta del mes]]&gt;0,Tabla14[[#This Row],[Precio venta nueva]]=0),"Revisar","OK")</f>
        <v>OK</v>
      </c>
      <c r="BG295" s="20">
        <f>IFERROR(VLOOKUP(Tabla14[[#This Row],[Llave]],'[5]Consolidación planes'!$A:$M,9,FALSE),0)</f>
        <v>0</v>
      </c>
      <c r="BH295" s="20">
        <f>IFERROR(VLOOKUP(Tabla14[[#This Row],[Llave]],'[5]Consolidación planes'!$A:$M,10,FALSE),0)</f>
        <v>0</v>
      </c>
      <c r="BI295" s="20">
        <f>IFERROR(VLOOKUP(Tabla14[[#This Row],[Llave]],'[5]Consolidación planes'!$A:$M,11,FALSE),0)</f>
        <v>0</v>
      </c>
      <c r="BJ295" s="20">
        <f>IFERROR(VLOOKUP(Tabla14[[#This Row],[Llave]],'[5]Consolidación planes'!$A:$M,12,FALSE),0)</f>
        <v>0</v>
      </c>
      <c r="BK295" s="20">
        <f>IFERROR(VLOOKUP(Tabla14[[#This Row],[Llave]],'[5]Consolidación planes'!$A:$M,13,FALSE),0)</f>
        <v>0</v>
      </c>
      <c r="BL295" s="20">
        <f>IFERROR(VLOOKUP(Tabla14[[#This Row],[Llave]],'[13]Base ultimos planes'!$A:$M,13,FALSE),0)</f>
        <v>0</v>
      </c>
      <c r="BM295" s="20">
        <f>IFERROR(VLOOKUP(Tabla14[[#This Row],[Llave]],'[13]Cruce plan irrestricto'!$C:$M,10,FALSE),0)</f>
        <v>0</v>
      </c>
      <c r="BN295" s="20">
        <f>IFERROR(VLOOKUP(Tabla14[[#This Row],[Llave]],'[13]Cruce plan irrestricto'!$C:$M,11,FALSE),0)</f>
        <v>0</v>
      </c>
      <c r="BO295" s="80">
        <f>IFERROR(VLOOKUP(Tabla14[[#This Row],[Llave]],'[13]Base ultimos planes'!$O:$AA,8,FALSE),0)</f>
        <v>0</v>
      </c>
      <c r="BP295" s="20">
        <f>IFERROR(VLOOKUP(Tabla14[[#This Row],[Llave]],'[13]Base ultimos planes'!$O:$AA,9,FALSE),0)</f>
        <v>0</v>
      </c>
      <c r="BQ295" s="20">
        <f>IFERROR(VLOOKUP(Tabla14[[#This Row],[Llave]],'[13]Base ultimos planes'!$O:$AA,10,FALSE),0)</f>
        <v>0</v>
      </c>
      <c r="BR295" s="20">
        <f>IFERROR(VLOOKUP(Tabla14[[#This Row],[Llave]],'[13]Base ultimos planes'!$O:$AA,11,FALSE),0)</f>
        <v>0</v>
      </c>
      <c r="BS295" s="20">
        <f>IFERROR(VLOOKUP(Tabla14[[#This Row],[Llave]],'[13]Base ultimos planes'!$O:$AA,12,FALSE),0)</f>
        <v>0</v>
      </c>
      <c r="BT295" s="20">
        <f>IFERROR(VLOOKUP(Tabla14[[#This Row],[Llave]],'[13]Base ultimos planes'!$O:$AA,13,FALSE),0)</f>
        <v>0</v>
      </c>
      <c r="BU295" s="35"/>
      <c r="BV295" s="20">
        <f>Tabla14[[#This Row],[ RV Producción mes n+1]]-Tabla14[[#This Row],[Producción disponible]]+Tabla14[[#This Row],[Saldo Volumen disponible]]</f>
        <v>0</v>
      </c>
      <c r="BW295" s="20">
        <f>IFERROR(VLOOKUP(Tabla14[[#This Row],[Llave]],[14]Hoja2!$J:$N,4,FALSE),0)</f>
        <v>0</v>
      </c>
      <c r="BX295" s="20">
        <f>+Tabla14[[#This Row],[Asignación mes n+1]]*Tabla14[[#This Row],[% Uti. producción]]</f>
        <v>0</v>
      </c>
      <c r="BY295" s="20">
        <f>+Tabla14[[#This Row],[Ponderación mes n+1]]+Tabla14[[#This Row],[Saldo mes n-1]]</f>
        <v>0</v>
      </c>
      <c r="BZ295" s="20">
        <f>+Tabla14[[#This Row],[Asignación mes n+1]]-Tabla14[[#This Row],[Ponderación mes n+1]]</f>
        <v>0</v>
      </c>
      <c r="CA295" s="20">
        <f>IFERROR(VLOOKUP(Tabla14[[#This Row],[Llave]],[14]Hoja2!$J:$N,5,FALSE),0)</f>
        <v>0</v>
      </c>
      <c r="CB295" s="20">
        <f>+Tabla14[[#This Row],[Asignación mes n+2]]*Tabla14[[#This Row],[% Uti. producción]]</f>
        <v>0</v>
      </c>
      <c r="CC295" s="20">
        <f>+Tabla14[[#This Row],[Saldo mes n+2]]+Tabla14[[#This Row],[Ponderación mes n+2]]</f>
        <v>0</v>
      </c>
      <c r="CD295" s="20">
        <f>+Tabla14[[#This Row],[Asignación mes n+2]]-Tabla14[[#This Row],[Ponderación mes n+2]]</f>
        <v>0</v>
      </c>
    </row>
    <row r="296" spans="1:82" ht="16" x14ac:dyDescent="0.2">
      <c r="A296">
        <v>1</v>
      </c>
      <c r="B296" t="str">
        <f>Tabla14[[#This Row],[Oficina]]&amp;Tabla14[[#This Row],[Material]]</f>
        <v>Agro Sudamerica1012342</v>
      </c>
      <c r="C296" t="s">
        <v>227</v>
      </c>
      <c r="D296" t="s">
        <v>17</v>
      </c>
      <c r="E296">
        <v>1012342</v>
      </c>
      <c r="F296" t="s">
        <v>229</v>
      </c>
      <c r="G296" t="s">
        <v>209</v>
      </c>
      <c r="H296" t="s">
        <v>228</v>
      </c>
      <c r="I296" s="7">
        <f>IFERROR(IF(Tabla14[[#This Row],[Oficina]]=$I$7,VLOOKUP(Tabla14[[#This Row],[Material]],'[6]RV Producción'!$Y:$AA,3,FALSE),VLOOKUP(Tabla14[[#This Row],[Llave]],'[6]RV Producción'!$C:$G,5,FALSE)),0)</f>
        <v>0</v>
      </c>
      <c r="J296" s="7">
        <f>IFERROR(IF(Tabla14[[#This Row],[Oficina]]=$I$7,VLOOKUP(Tabla14[[#This Row],[Llave]],'[7]Shangai (Tomas)'!$A:$F,6,FALSE),VLOOKUP(Tabla14[[#This Row],[Llave]],'[6]RV plan de ventas'!$A:$E,5,FALSE)),0)</f>
        <v>0</v>
      </c>
      <c r="K296" s="8">
        <f>IFERROR(VLOOKUP(Tabla14[[#This Row],[Sector]]&amp;Tabla14[[#This Row],[Oficina]],[8]Ponderación!$A$3:$G$22,7,FALSE),0)</f>
        <v>0.47745072632608576</v>
      </c>
      <c r="L296" s="7">
        <f>+Tabla14[[#This Row],[ RV Producción mes n+1]]*Tabla14[[#This Row],[% Uti. producción]]</f>
        <v>0</v>
      </c>
      <c r="M296" s="7">
        <f>IFERROR(VLOOKUP(Tabla14[[#This Row],[Material]],'[9]TD Stock'!$B:$C,2,FALSE),0)</f>
        <v>0</v>
      </c>
      <c r="N296" s="7">
        <f>IFERROR(VLOOKUP(Tabla14[[#This Row],[Material]],'[10]Consolidado planificación'!$B:$C,2,FALSE),0)</f>
        <v>0</v>
      </c>
      <c r="O296" s="7">
        <f>IFERROR(VLOOKUP(Tabla14[[#This Row],[Llave]],[11]Hoja2!$D:$G,4,FALSE),0)</f>
        <v>0</v>
      </c>
      <c r="P296" s="37">
        <f>SUM(Tabla14[[#This Row],[Producción disponible]],Tabla14[[#This Row],[Stock al día]],(Tabla14[[#This Row],[Por producir mes N]]*0.9))-Tabla14[[#This Row],[Producción por despachar mes N]]</f>
        <v>0</v>
      </c>
      <c r="Q296" s="7">
        <f>IFERROR(VLOOKUP(Tabla14[[#This Row],[Llave]],[9]DELAY!$A:$D,4,FALSE),0)</f>
        <v>0</v>
      </c>
      <c r="R296" s="9">
        <v>0</v>
      </c>
      <c r="S296" s="5">
        <f t="shared" si="9"/>
        <v>0</v>
      </c>
      <c r="T296" s="76">
        <v>0</v>
      </c>
      <c r="U296" s="5">
        <f>+Tabla14[[#This Row],[Atraso a facturar]]+Tabla14[[#This Row],[Ajuste atraso]]</f>
        <v>0</v>
      </c>
      <c r="V296" s="3">
        <f>+Tabla14[[#This Row],[Total disponible]]-Tabla14[[#This Row],[Facturación atraso]]</f>
        <v>0</v>
      </c>
      <c r="W296" s="6">
        <f>IFERROR(IF(AND(V296&gt;R296,J296&gt;=R296),ROUNDDOWN((Tabla14[[#This Row],[Producción para venta nueva]])/R296,0)*R296,0),0)</f>
        <v>0</v>
      </c>
      <c r="X296" s="76">
        <v>0</v>
      </c>
      <c r="Y296" s="6">
        <f>IF(Tabla14[[#This Row],[Venta del mes]]&gt;0,Tabla14[[#This Row],[Venta del mes]]+Tabla14[[#This Row],[Ajuste venta nueva]],0)</f>
        <v>0</v>
      </c>
      <c r="Z296" s="6">
        <f>+Tabla14[[#This Row],[Producción para venta nueva]]-Tabla14[[#This Row],[Facturación Venta nueva]]</f>
        <v>0</v>
      </c>
      <c r="AA296" s="6">
        <f>IF(AND(A296=1,Tabla14[[#This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6" s="6">
        <v>0</v>
      </c>
      <c r="AC296" s="6">
        <f>IF(Tabla14[[#This Row],[Disponible stock sin venta]]&gt;0,Tabla14[[#This Row],[Disponible stock sin venta]]+Tabla14[[#This Row],[Ajuste stock sin venta]],0)</f>
        <v>0</v>
      </c>
      <c r="AD296" s="3">
        <f>IFERROR(VLOOKUP(Tabla14[[#This Row],[Llave]],[12]Hoja1!$A:$D,4,FALSE),0)</f>
        <v>0</v>
      </c>
      <c r="AE296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6" s="3" t="b">
        <v>0</v>
      </c>
      <c r="AG296" s="3">
        <f>+Tabla14[[#This Row],[En puerto a facturar]]</f>
        <v>0</v>
      </c>
      <c r="AH296" s="3">
        <f>+Tabla14[[#This Row],[Facturación atraso]]</f>
        <v>0</v>
      </c>
      <c r="AI296" s="3">
        <f>+Tabla14[[#This Row],[Plan Irrestricto (DATO)]]-Tabla14[[#This Row],[Puerto ]]-Tabla14[[#This Row],[Atraso]]</f>
        <v>0</v>
      </c>
      <c r="AJ29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6" s="3">
        <f>+Tabla14[[#This Row],[Facturación atraso]]</f>
        <v>0</v>
      </c>
      <c r="AL296" s="3">
        <f>Tabla14[[#This Row],[Plan Ajustado]]-Tabla14[[#This Row],[ Atraso ajustado]]-Tabla14[[#This Row],[En puerto a facturar]]</f>
        <v>0</v>
      </c>
      <c r="AM296" s="3">
        <v>0</v>
      </c>
      <c r="AN296" s="3" t="e">
        <v>#REF!</v>
      </c>
      <c r="AO296" s="3" t="str">
        <f>IF(Tabla14[[#This Row],[Plan Ajustado]]&gt;Tabla14[[#This Row],[En puerto a facturar]],"Si","No")</f>
        <v>No</v>
      </c>
      <c r="AP29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6" s="3">
        <f>IF(Tabla14[[#This Row],[Necesidad]]&gt;=Tabla14[[#This Row],[Stock al día]],Tabla14[[#This Row],[Stock al día]],Tabla14[[#This Row],[Necesidad]])</f>
        <v>0</v>
      </c>
      <c r="AR296" s="3">
        <f>+Tabla14[[#This Row],[Necesidad]]-Tabla14[[#This Row],[Stock Plan]]</f>
        <v>0</v>
      </c>
      <c r="AS296" s="155">
        <f>VLOOKUP(Tabla14[[#This Row],[Sector]]&amp;Tabla14[[#This Row],[Oficina]],[8]Ponderación!$A:$H,8,FALSE)</f>
        <v>44817</v>
      </c>
      <c r="AT296" s="30">
        <f>IFERROR(VLOOKUP(Tabla14[[#This Row],[Llave]],'[6]RV plan de ventas'!$A:$F,6,FALSE),0)</f>
        <v>0</v>
      </c>
      <c r="AU296" s="83">
        <f>IFERROR(VLOOKUP(Tabla14[[#This Row],[Llave]],[9]DELAY!$H:$X,17,FALSE),0)</f>
        <v>0</v>
      </c>
      <c r="AV29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6" s="5">
        <f>Tabla14[[#This Row],[Pecio plan]]*Tabla14[[#This Row],[Plan Ajustado]]</f>
        <v>0</v>
      </c>
      <c r="AX296" s="30">
        <f>IFERROR(VLOOKUP(Tabla14[[#This Row],[Llave]],'[13]Ultimos precios facturados'!$A:$G,7,FALSE),0)</f>
        <v>0</v>
      </c>
      <c r="AY29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6" s="30">
        <f>IFERROR(VLOOKUP(Tabla14[[#This Row],[Llave]],Hoja2!B:K,10,FALSE),0)</f>
        <v>0</v>
      </c>
      <c r="BA29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96" s="30">
        <v>0</v>
      </c>
      <c r="BC296" s="30">
        <f>IF(Tabla14[[#This Row],[Market]]=0,Tabla14[[#This Row],[Precio Final]],Tabla14[[#This Row],[Market]])</f>
        <v>0</v>
      </c>
      <c r="BD296" s="82"/>
      <c r="BE296" s="82" t="str">
        <f>IF(AND(Tabla14[[#This Row],[Atraso a facturar]]&gt;0,Tabla14[[#This Row],[En puerto a facturar]]&gt;0,Tabla14[[#This Row],[Precio Atraso]]=0),"Revisar","OK")</f>
        <v>OK</v>
      </c>
      <c r="BF296" s="82" t="str">
        <f>IF(AND(Tabla14[[#This Row],[Venta del mes]]&gt;0,Tabla14[[#This Row],[Precio venta nueva]]=0),"Revisar","OK")</f>
        <v>OK</v>
      </c>
      <c r="BG296" s="20">
        <f>IFERROR(VLOOKUP(Tabla14[[#This Row],[Llave]],'[5]Consolidación planes'!$A:$M,9,FALSE),0)</f>
        <v>0</v>
      </c>
      <c r="BH296" s="20">
        <f>IFERROR(VLOOKUP(Tabla14[[#This Row],[Llave]],'[5]Consolidación planes'!$A:$M,10,FALSE),0)</f>
        <v>0</v>
      </c>
      <c r="BI296" s="20">
        <f>IFERROR(VLOOKUP(Tabla14[[#This Row],[Llave]],'[5]Consolidación planes'!$A:$M,11,FALSE),0)</f>
        <v>0</v>
      </c>
      <c r="BJ296" s="20">
        <f>IFERROR(VLOOKUP(Tabla14[[#This Row],[Llave]],'[5]Consolidación planes'!$A:$M,12,FALSE),0)</f>
        <v>0</v>
      </c>
      <c r="BK296" s="20">
        <f>IFERROR(VLOOKUP(Tabla14[[#This Row],[Llave]],'[5]Consolidación planes'!$A:$M,13,FALSE),0)</f>
        <v>0</v>
      </c>
      <c r="BL296" s="20">
        <f>IFERROR(VLOOKUP(Tabla14[[#This Row],[Llave]],'[13]Base ultimos planes'!$A:$M,13,FALSE),0)</f>
        <v>0</v>
      </c>
      <c r="BM296" s="20">
        <f>IFERROR(VLOOKUP(Tabla14[[#This Row],[Llave]],'[13]Cruce plan irrestricto'!$C:$M,10,FALSE),0)</f>
        <v>0</v>
      </c>
      <c r="BN296" s="20">
        <f>IFERROR(VLOOKUP(Tabla14[[#This Row],[Llave]],'[13]Cruce plan irrestricto'!$C:$M,11,FALSE),0)</f>
        <v>0</v>
      </c>
      <c r="BO296" s="80">
        <f>IFERROR(VLOOKUP(Tabla14[[#This Row],[Llave]],'[13]Base ultimos planes'!$O:$AA,8,FALSE),0)</f>
        <v>0</v>
      </c>
      <c r="BP296" s="20">
        <f>IFERROR(VLOOKUP(Tabla14[[#This Row],[Llave]],'[13]Base ultimos planes'!$O:$AA,9,FALSE),0)</f>
        <v>0</v>
      </c>
      <c r="BQ296" s="20">
        <f>IFERROR(VLOOKUP(Tabla14[[#This Row],[Llave]],'[13]Base ultimos planes'!$O:$AA,10,FALSE),0)</f>
        <v>0</v>
      </c>
      <c r="BR296" s="20">
        <f>IFERROR(VLOOKUP(Tabla14[[#This Row],[Llave]],'[13]Base ultimos planes'!$O:$AA,11,FALSE),0)</f>
        <v>0</v>
      </c>
      <c r="BS296" s="20">
        <f>IFERROR(VLOOKUP(Tabla14[[#This Row],[Llave]],'[13]Base ultimos planes'!$O:$AA,12,FALSE),0)</f>
        <v>0</v>
      </c>
      <c r="BT296" s="20">
        <f>IFERROR(VLOOKUP(Tabla14[[#This Row],[Llave]],'[13]Base ultimos planes'!$O:$AA,13,FALSE),0)</f>
        <v>0</v>
      </c>
      <c r="BU296" s="35"/>
      <c r="BV296" s="20">
        <f>Tabla14[[#This Row],[ RV Producción mes n+1]]-Tabla14[[#This Row],[Producción disponible]]+Tabla14[[#This Row],[Saldo Volumen disponible]]</f>
        <v>0</v>
      </c>
      <c r="BW296" s="20">
        <f>IFERROR(VLOOKUP(Tabla14[[#This Row],[Llave]],[14]Hoja2!$J:$N,4,FALSE),0)</f>
        <v>0</v>
      </c>
      <c r="BX296" s="20">
        <f>+Tabla14[[#This Row],[Asignación mes n+1]]*Tabla14[[#This Row],[% Uti. producción]]</f>
        <v>0</v>
      </c>
      <c r="BY296" s="20">
        <f>+Tabla14[[#This Row],[Ponderación mes n+1]]+Tabla14[[#This Row],[Saldo mes n-1]]</f>
        <v>0</v>
      </c>
      <c r="BZ296" s="20">
        <f>+Tabla14[[#This Row],[Asignación mes n+1]]-Tabla14[[#This Row],[Ponderación mes n+1]]</f>
        <v>0</v>
      </c>
      <c r="CA296" s="20">
        <f>IFERROR(VLOOKUP(Tabla14[[#This Row],[Llave]],[14]Hoja2!$J:$N,5,FALSE),0)</f>
        <v>0</v>
      </c>
      <c r="CB296" s="20">
        <f>+Tabla14[[#This Row],[Asignación mes n+2]]*Tabla14[[#This Row],[% Uti. producción]]</f>
        <v>0</v>
      </c>
      <c r="CC296" s="20">
        <f>+Tabla14[[#This Row],[Saldo mes n+2]]+Tabla14[[#This Row],[Ponderación mes n+2]]</f>
        <v>0</v>
      </c>
      <c r="CD296" s="20">
        <f>+Tabla14[[#This Row],[Asignación mes n+2]]-Tabla14[[#This Row],[Ponderación mes n+2]]</f>
        <v>0</v>
      </c>
    </row>
    <row r="297" spans="1:82" ht="16" x14ac:dyDescent="0.2">
      <c r="A297">
        <v>1</v>
      </c>
      <c r="B297" t="str">
        <f>Tabla14[[#This Row],[Oficina]]&amp;Tabla14[[#This Row],[Material]]</f>
        <v>Agro Sudamerica1011431</v>
      </c>
      <c r="C297" t="s">
        <v>227</v>
      </c>
      <c r="D297" t="s">
        <v>17</v>
      </c>
      <c r="E297">
        <v>1011431</v>
      </c>
      <c r="F297" t="s">
        <v>622</v>
      </c>
      <c r="G297" t="s">
        <v>209</v>
      </c>
      <c r="H297" t="s">
        <v>228</v>
      </c>
      <c r="I297" s="7">
        <f>IFERROR(IF(Tabla14[[#This Row],[Oficina]]=$I$7,VLOOKUP(Tabla14[[#This Row],[Material]],'[6]RV Producción'!$Y:$AA,3,FALSE),VLOOKUP(Tabla14[[#This Row],[Llave]],'[6]RV Producción'!$C:$G,5,FALSE)),0)</f>
        <v>0</v>
      </c>
      <c r="J297" s="7">
        <f>IFERROR(IF(Tabla14[[#This Row],[Oficina]]=$I$7,VLOOKUP(Tabla14[[#This Row],[Llave]],'[7]Shangai (Tomas)'!$A:$F,6,FALSE),VLOOKUP(Tabla14[[#This Row],[Llave]],'[6]RV plan de ventas'!$A:$E,5,FALSE)),0)</f>
        <v>0</v>
      </c>
      <c r="K297" s="8">
        <f>IFERROR(VLOOKUP(Tabla14[[#This Row],[Sector]]&amp;Tabla14[[#This Row],[Oficina]],[8]Ponderación!$A$3:$G$22,7,FALSE),0)</f>
        <v>0.47745072632608576</v>
      </c>
      <c r="L297" s="7">
        <f>+Tabla14[[#This Row],[ RV Producción mes n+1]]*Tabla14[[#This Row],[% Uti. producción]]</f>
        <v>0</v>
      </c>
      <c r="M297" s="7">
        <f>IFERROR(VLOOKUP(Tabla14[[#This Row],[Material]],'[9]TD Stock'!$B:$C,2,FALSE),0)</f>
        <v>0</v>
      </c>
      <c r="N297" s="7">
        <f>IFERROR(VLOOKUP(Tabla14[[#This Row],[Material]],'[10]Consolidado planificación'!$B:$C,2,FALSE),0)</f>
        <v>0</v>
      </c>
      <c r="O297" s="7">
        <f>IFERROR(VLOOKUP(Tabla14[[#This Row],[Llave]],[11]Hoja2!$D:$G,4,FALSE),0)</f>
        <v>0</v>
      </c>
      <c r="P297" s="37">
        <f>SUM(Tabla14[[#This Row],[Producción disponible]],Tabla14[[#This Row],[Stock al día]],(Tabla14[[#This Row],[Por producir mes N]]*0.9))-Tabla14[[#This Row],[Producción por despachar mes N]]</f>
        <v>0</v>
      </c>
      <c r="Q297" s="7">
        <f>IFERROR(VLOOKUP(Tabla14[[#This Row],[Llave]],[9]DELAY!$A:$D,4,FALSE),0)</f>
        <v>0</v>
      </c>
      <c r="R297" s="9">
        <v>0</v>
      </c>
      <c r="S297" s="5">
        <f t="shared" si="9"/>
        <v>0</v>
      </c>
      <c r="T297" s="76">
        <v>0</v>
      </c>
      <c r="U297" s="5">
        <f>+Tabla14[[#This Row],[Atraso a facturar]]+Tabla14[[#This Row],[Ajuste atraso]]</f>
        <v>0</v>
      </c>
      <c r="V297" s="3">
        <f>+Tabla14[[#This Row],[Total disponible]]-Tabla14[[#This Row],[Facturación atraso]]</f>
        <v>0</v>
      </c>
      <c r="W297" s="6">
        <f>IFERROR(IF(AND(V297&gt;R297,J297&gt;=R297),ROUNDDOWN((Tabla14[[#This Row],[Producción para venta nueva]])/R297,0)*R297,0),0)</f>
        <v>0</v>
      </c>
      <c r="X297" s="76">
        <v>0</v>
      </c>
      <c r="Y297" s="6">
        <f>IF(Tabla14[[#This Row],[Venta del mes]]&gt;0,Tabla14[[#This Row],[Venta del mes]]+Tabla14[[#This Row],[Ajuste venta nueva]],0)</f>
        <v>0</v>
      </c>
      <c r="Z297" s="6">
        <f>+Tabla14[[#This Row],[Producción para venta nueva]]-Tabla14[[#This Row],[Facturación Venta nueva]]</f>
        <v>0</v>
      </c>
      <c r="AA297" s="6">
        <f>IF(AND(A297=1,Tabla14[[#This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7" s="6">
        <v>0</v>
      </c>
      <c r="AC297" s="6">
        <f>IF(Tabla14[[#This Row],[Disponible stock sin venta]]&gt;0,Tabla14[[#This Row],[Disponible stock sin venta]]+Tabla14[[#This Row],[Ajuste stock sin venta]],0)</f>
        <v>0</v>
      </c>
      <c r="AD297" s="3">
        <f>IFERROR(VLOOKUP(Tabla14[[#This Row],[Llave]],[12]Hoja1!$A:$D,4,FALSE),0)</f>
        <v>0</v>
      </c>
      <c r="AE297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7" s="3" t="b">
        <v>0</v>
      </c>
      <c r="AG297" s="3">
        <f>+Tabla14[[#This Row],[En puerto a facturar]]</f>
        <v>0</v>
      </c>
      <c r="AH297" s="3">
        <f>+Tabla14[[#This Row],[Facturación atraso]]</f>
        <v>0</v>
      </c>
      <c r="AI297" s="3">
        <f>+Tabla14[[#This Row],[Plan Irrestricto (DATO)]]-Tabla14[[#This Row],[Puerto ]]-Tabla14[[#This Row],[Atraso]]</f>
        <v>0</v>
      </c>
      <c r="AJ29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7" s="3">
        <f>+Tabla14[[#This Row],[Facturación atraso]]</f>
        <v>0</v>
      </c>
      <c r="AL297" s="3">
        <f>Tabla14[[#This Row],[Plan Ajustado]]-Tabla14[[#This Row],[ Atraso ajustado]]-Tabla14[[#This Row],[En puerto a facturar]]</f>
        <v>0</v>
      </c>
      <c r="AM297" s="3">
        <v>0</v>
      </c>
      <c r="AN297" s="3" t="e">
        <v>#REF!</v>
      </c>
      <c r="AO297" s="3" t="str">
        <f>IF(Tabla14[[#This Row],[Plan Ajustado]]&gt;Tabla14[[#This Row],[En puerto a facturar]],"Si","No")</f>
        <v>No</v>
      </c>
      <c r="AP29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7" s="3">
        <f>IF(Tabla14[[#This Row],[Necesidad]]&gt;=Tabla14[[#This Row],[Stock al día]],Tabla14[[#This Row],[Stock al día]],Tabla14[[#This Row],[Necesidad]])</f>
        <v>0</v>
      </c>
      <c r="AR297" s="3">
        <f>+Tabla14[[#This Row],[Necesidad]]-Tabla14[[#This Row],[Stock Plan]]</f>
        <v>0</v>
      </c>
      <c r="AS297" s="155">
        <f>VLOOKUP(Tabla14[[#This Row],[Sector]]&amp;Tabla14[[#This Row],[Oficina]],[8]Ponderación!$A:$H,8,FALSE)</f>
        <v>44817</v>
      </c>
      <c r="AT297" s="30">
        <f>IFERROR(VLOOKUP(Tabla14[[#This Row],[Llave]],'[6]RV plan de ventas'!$A:$F,6,FALSE),0)</f>
        <v>0</v>
      </c>
      <c r="AU297" s="83">
        <f>IFERROR(VLOOKUP(Tabla14[[#This Row],[Llave]],[9]DELAY!$H:$X,17,FALSE),0)</f>
        <v>0</v>
      </c>
      <c r="AV29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7" s="5">
        <f>Tabla14[[#This Row],[Pecio plan]]*Tabla14[[#This Row],[Plan Ajustado]]</f>
        <v>0</v>
      </c>
      <c r="AX297" s="30">
        <f>IFERROR(VLOOKUP(Tabla14[[#This Row],[Llave]],'[13]Ultimos precios facturados'!$A:$G,7,FALSE),0)</f>
        <v>0</v>
      </c>
      <c r="AY29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7" s="30">
        <f>IFERROR(VLOOKUP(Tabla14[[#This Row],[Llave]],Hoja2!B:K,10,FALSE),0)</f>
        <v>0</v>
      </c>
      <c r="BA29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97" s="30">
        <v>0</v>
      </c>
      <c r="BC297" s="30">
        <f>IF(Tabla14[[#This Row],[Market]]=0,Tabla14[[#This Row],[Precio Final]],Tabla14[[#This Row],[Market]])</f>
        <v>0</v>
      </c>
      <c r="BD297" s="82"/>
      <c r="BE297" s="82" t="str">
        <f>IF(AND(Tabla14[[#This Row],[Atraso a facturar]]&gt;0,Tabla14[[#This Row],[En puerto a facturar]]&gt;0,Tabla14[[#This Row],[Precio Atraso]]=0),"Revisar","OK")</f>
        <v>OK</v>
      </c>
      <c r="BF297" s="82" t="str">
        <f>IF(AND(Tabla14[[#This Row],[Venta del mes]]&gt;0,Tabla14[[#This Row],[Precio venta nueva]]=0),"Revisar","OK")</f>
        <v>OK</v>
      </c>
      <c r="BG297" s="20">
        <f>IFERROR(VLOOKUP(Tabla14[[#This Row],[Llave]],'[5]Consolidación planes'!$A:$M,9,FALSE),0)</f>
        <v>0</v>
      </c>
      <c r="BH297" s="20">
        <f>IFERROR(VLOOKUP(Tabla14[[#This Row],[Llave]],'[5]Consolidación planes'!$A:$M,10,FALSE),0)</f>
        <v>0</v>
      </c>
      <c r="BI297" s="20">
        <f>IFERROR(VLOOKUP(Tabla14[[#This Row],[Llave]],'[5]Consolidación planes'!$A:$M,11,FALSE),0)</f>
        <v>0</v>
      </c>
      <c r="BJ297" s="20">
        <f>IFERROR(VLOOKUP(Tabla14[[#This Row],[Llave]],'[5]Consolidación planes'!$A:$M,12,FALSE),0)</f>
        <v>0</v>
      </c>
      <c r="BK297" s="20">
        <f>IFERROR(VLOOKUP(Tabla14[[#This Row],[Llave]],'[5]Consolidación planes'!$A:$M,13,FALSE),0)</f>
        <v>0</v>
      </c>
      <c r="BL297" s="20">
        <f>IFERROR(VLOOKUP(Tabla14[[#This Row],[Llave]],'[13]Base ultimos planes'!$A:$M,13,FALSE),0)</f>
        <v>0</v>
      </c>
      <c r="BM297" s="20">
        <f>IFERROR(VLOOKUP(Tabla14[[#This Row],[Llave]],'[13]Cruce plan irrestricto'!$C:$M,10,FALSE),0)</f>
        <v>0</v>
      </c>
      <c r="BN297" s="20">
        <f>IFERROR(VLOOKUP(Tabla14[[#This Row],[Llave]],'[13]Cruce plan irrestricto'!$C:$M,11,FALSE),0)</f>
        <v>0</v>
      </c>
      <c r="BO297" s="80">
        <f>IFERROR(VLOOKUP(Tabla14[[#This Row],[Llave]],'[13]Base ultimos planes'!$O:$AA,8,FALSE),0)</f>
        <v>0</v>
      </c>
      <c r="BP297" s="20">
        <f>IFERROR(VLOOKUP(Tabla14[[#This Row],[Llave]],'[13]Base ultimos planes'!$O:$AA,9,FALSE),0)</f>
        <v>0</v>
      </c>
      <c r="BQ297" s="20">
        <f>IFERROR(VLOOKUP(Tabla14[[#This Row],[Llave]],'[13]Base ultimos planes'!$O:$AA,10,FALSE),0)</f>
        <v>0</v>
      </c>
      <c r="BR297" s="20">
        <f>IFERROR(VLOOKUP(Tabla14[[#This Row],[Llave]],'[13]Base ultimos planes'!$O:$AA,11,FALSE),0)</f>
        <v>0</v>
      </c>
      <c r="BS297" s="20">
        <f>IFERROR(VLOOKUP(Tabla14[[#This Row],[Llave]],'[13]Base ultimos planes'!$O:$AA,12,FALSE),0)</f>
        <v>0</v>
      </c>
      <c r="BT297" s="20">
        <f>IFERROR(VLOOKUP(Tabla14[[#This Row],[Llave]],'[13]Base ultimos planes'!$O:$AA,13,FALSE),0)</f>
        <v>0</v>
      </c>
      <c r="BU297" s="35"/>
      <c r="BV297" s="20">
        <f>Tabla14[[#This Row],[ RV Producción mes n+1]]-Tabla14[[#This Row],[Producción disponible]]+Tabla14[[#This Row],[Saldo Volumen disponible]]</f>
        <v>0</v>
      </c>
      <c r="BW297" s="20">
        <f>IFERROR(VLOOKUP(Tabla14[[#This Row],[Llave]],[14]Hoja2!$J:$N,4,FALSE),0)</f>
        <v>0</v>
      </c>
      <c r="BX297" s="20">
        <f>+Tabla14[[#This Row],[Asignación mes n+1]]*Tabla14[[#This Row],[% Uti. producción]]</f>
        <v>0</v>
      </c>
      <c r="BY297" s="20">
        <f>+Tabla14[[#This Row],[Ponderación mes n+1]]+Tabla14[[#This Row],[Saldo mes n-1]]</f>
        <v>0</v>
      </c>
      <c r="BZ297" s="20">
        <f>+Tabla14[[#This Row],[Asignación mes n+1]]-Tabla14[[#This Row],[Ponderación mes n+1]]</f>
        <v>0</v>
      </c>
      <c r="CA297" s="20">
        <f>IFERROR(VLOOKUP(Tabla14[[#This Row],[Llave]],[14]Hoja2!$J:$N,5,FALSE),0)</f>
        <v>0</v>
      </c>
      <c r="CB297" s="20">
        <f>+Tabla14[[#This Row],[Asignación mes n+2]]*Tabla14[[#This Row],[% Uti. producción]]</f>
        <v>0</v>
      </c>
      <c r="CC297" s="20">
        <f>+Tabla14[[#This Row],[Saldo mes n+2]]+Tabla14[[#This Row],[Ponderación mes n+2]]</f>
        <v>0</v>
      </c>
      <c r="CD297" s="20">
        <f>+Tabla14[[#This Row],[Asignación mes n+2]]-Tabla14[[#This Row],[Ponderación mes n+2]]</f>
        <v>0</v>
      </c>
    </row>
    <row r="298" spans="1:82" ht="16" x14ac:dyDescent="0.2">
      <c r="A298">
        <v>1</v>
      </c>
      <c r="B298" t="str">
        <f>Tabla14[[#This Row],[Oficina]]&amp;Tabla14[[#This Row],[Material]]</f>
        <v>Agro Sudamerica1011566</v>
      </c>
      <c r="C298" t="s">
        <v>227</v>
      </c>
      <c r="D298" t="s">
        <v>17</v>
      </c>
      <c r="E298">
        <v>1011566</v>
      </c>
      <c r="F298" t="s">
        <v>623</v>
      </c>
      <c r="G298" t="s">
        <v>266</v>
      </c>
      <c r="H298" t="s">
        <v>266</v>
      </c>
      <c r="I298" s="7">
        <f>IFERROR(IF(Tabla14[[#This Row],[Oficina]]=$I$7,VLOOKUP(Tabla14[[#This Row],[Material]],'[6]RV Producción'!$Y:$AA,3,FALSE),VLOOKUP(Tabla14[[#This Row],[Llave]],'[6]RV Producción'!$C:$G,5,FALSE)),0)</f>
        <v>0</v>
      </c>
      <c r="J298" s="7">
        <f>IFERROR(IF(Tabla14[[#This Row],[Oficina]]=$I$7,VLOOKUP(Tabla14[[#This Row],[Llave]],'[7]Shangai (Tomas)'!$A:$F,6,FALSE),VLOOKUP(Tabla14[[#This Row],[Llave]],'[6]RV plan de ventas'!$A:$E,5,FALSE)),0)</f>
        <v>0</v>
      </c>
      <c r="K298" s="8">
        <f>IFERROR(VLOOKUP(Tabla14[[#This Row],[Sector]]&amp;Tabla14[[#This Row],[Oficina]],[8]Ponderación!$A$3:$G$22,7,FALSE),0)</f>
        <v>0.47745072632608576</v>
      </c>
      <c r="L298" s="7">
        <f>+Tabla14[[#This Row],[ RV Producción mes n+1]]*Tabla14[[#This Row],[% Uti. producción]]</f>
        <v>0</v>
      </c>
      <c r="M298" s="7">
        <f>IFERROR(VLOOKUP(Tabla14[[#This Row],[Material]],'[9]TD Stock'!$B:$C,2,FALSE),0)</f>
        <v>0</v>
      </c>
      <c r="N298" s="7">
        <f>IFERROR(VLOOKUP(Tabla14[[#This Row],[Material]],'[10]Consolidado planificación'!$B:$C,2,FALSE),0)</f>
        <v>0</v>
      </c>
      <c r="O298" s="7">
        <f>IFERROR(VLOOKUP(Tabla14[[#This Row],[Llave]],[11]Hoja2!$D:$G,4,FALSE),0)</f>
        <v>0</v>
      </c>
      <c r="P298" s="37">
        <f>SUM(Tabla14[[#This Row],[Producción disponible]],Tabla14[[#This Row],[Stock al día]],(Tabla14[[#This Row],[Por producir mes N]]*0.9))-Tabla14[[#This Row],[Producción por despachar mes N]]</f>
        <v>0</v>
      </c>
      <c r="Q298" s="7">
        <f>IFERROR(VLOOKUP(Tabla14[[#This Row],[Llave]],[9]DELAY!$A:$D,4,FALSE),0)</f>
        <v>0</v>
      </c>
      <c r="R298" s="9">
        <v>2100</v>
      </c>
      <c r="S298" s="5">
        <f t="shared" si="9"/>
        <v>0</v>
      </c>
      <c r="T298" s="76">
        <v>0</v>
      </c>
      <c r="U298" s="5">
        <f>+Tabla14[[#This Row],[Atraso a facturar]]+Tabla14[[#This Row],[Ajuste atraso]]</f>
        <v>0</v>
      </c>
      <c r="V298" s="3">
        <f>+Tabla14[[#This Row],[Total disponible]]-Tabla14[[#This Row],[Facturación atraso]]</f>
        <v>0</v>
      </c>
      <c r="W298" s="6">
        <f>IFERROR(IF(AND(V298&gt;R298,J298&gt;=R298),ROUNDDOWN((Tabla14[[#This Row],[Producción para venta nueva]])/R298,0)*R298,0),0)</f>
        <v>0</v>
      </c>
      <c r="X298" s="76">
        <v>0</v>
      </c>
      <c r="Y298" s="6">
        <f>IF(Tabla14[[#This Row],[Venta del mes]]&gt;0,Tabla14[[#This Row],[Venta del mes]]+Tabla14[[#This Row],[Ajuste venta nueva]],0)</f>
        <v>0</v>
      </c>
      <c r="Z298" s="6">
        <f>+Tabla14[[#This Row],[Producción para venta nueva]]-Tabla14[[#This Row],[Facturación Venta nueva]]</f>
        <v>0</v>
      </c>
      <c r="AA298" s="6">
        <f>IF(AND(A298=1,Tabla14[[#This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8" s="6">
        <v>0</v>
      </c>
      <c r="AC298" s="6">
        <f>IF(Tabla14[[#This Row],[Disponible stock sin venta]]&gt;0,Tabla14[[#This Row],[Disponible stock sin venta]]+Tabla14[[#This Row],[Ajuste stock sin venta]],0)</f>
        <v>0</v>
      </c>
      <c r="AD298" s="3">
        <f>IFERROR(VLOOKUP(Tabla14[[#This Row],[Llave]],[12]Hoja1!$A:$D,4,FALSE),0)</f>
        <v>0</v>
      </c>
      <c r="AE298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8" s="3" t="b">
        <v>0</v>
      </c>
      <c r="AG298" s="3">
        <f>+Tabla14[[#This Row],[En puerto a facturar]]</f>
        <v>0</v>
      </c>
      <c r="AH298" s="3">
        <f>+Tabla14[[#This Row],[Facturación atraso]]</f>
        <v>0</v>
      </c>
      <c r="AI298" s="3">
        <f>+Tabla14[[#This Row],[Plan Irrestricto (DATO)]]-Tabla14[[#This Row],[Puerto ]]-Tabla14[[#This Row],[Atraso]]</f>
        <v>0</v>
      </c>
      <c r="AJ29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8" s="3">
        <f>+Tabla14[[#This Row],[Facturación atraso]]</f>
        <v>0</v>
      </c>
      <c r="AL298" s="3">
        <f>Tabla14[[#This Row],[Plan Ajustado]]-Tabla14[[#This Row],[ Atraso ajustado]]-Tabla14[[#This Row],[En puerto a facturar]]</f>
        <v>0</v>
      </c>
      <c r="AM298" s="3">
        <v>0</v>
      </c>
      <c r="AN298" s="3" t="e">
        <v>#REF!</v>
      </c>
      <c r="AO298" s="3" t="str">
        <f>IF(Tabla14[[#This Row],[Plan Ajustado]]&gt;Tabla14[[#This Row],[En puerto a facturar]],"Si","No")</f>
        <v>No</v>
      </c>
      <c r="AP29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8" s="3">
        <f>IF(Tabla14[[#This Row],[Necesidad]]&gt;=Tabla14[[#This Row],[Stock al día]],Tabla14[[#This Row],[Stock al día]],Tabla14[[#This Row],[Necesidad]])</f>
        <v>0</v>
      </c>
      <c r="AR298" s="3">
        <f>+Tabla14[[#This Row],[Necesidad]]-Tabla14[[#This Row],[Stock Plan]]</f>
        <v>0</v>
      </c>
      <c r="AS298" s="155">
        <f>VLOOKUP(Tabla14[[#This Row],[Sector]]&amp;Tabla14[[#This Row],[Oficina]],[8]Ponderación!$A:$H,8,FALSE)</f>
        <v>44817</v>
      </c>
      <c r="AT298" s="30">
        <f>IFERROR(VLOOKUP(Tabla14[[#This Row],[Llave]],'[6]RV plan de ventas'!$A:$F,6,FALSE),0)</f>
        <v>0</v>
      </c>
      <c r="AU298" s="83">
        <f>IFERROR(VLOOKUP(Tabla14[[#This Row],[Llave]],[9]DELAY!$H:$X,17,FALSE),0)</f>
        <v>0</v>
      </c>
      <c r="AV29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8" s="5">
        <f>Tabla14[[#This Row],[Pecio plan]]*Tabla14[[#This Row],[Plan Ajustado]]</f>
        <v>0</v>
      </c>
      <c r="AX298" s="30">
        <f>IFERROR(VLOOKUP(Tabla14[[#This Row],[Llave]],'[13]Ultimos precios facturados'!$A:$G,7,FALSE),0)</f>
        <v>0.58101484042553198</v>
      </c>
      <c r="AY29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8" s="30">
        <f>IFERROR(VLOOKUP(Tabla14[[#This Row],[Llave]],Hoja2!B:K,10,FALSE),0)</f>
        <v>0</v>
      </c>
      <c r="BA29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0.58101484042553198</v>
      </c>
      <c r="BB298" s="30">
        <v>0</v>
      </c>
      <c r="BC298" s="30">
        <f>IF(Tabla14[[#This Row],[Market]]=0,Tabla14[[#This Row],[Precio Final]],Tabla14[[#This Row],[Market]])</f>
        <v>0.58101484042553198</v>
      </c>
      <c r="BD298" s="82"/>
      <c r="BE298" s="82" t="str">
        <f>IF(AND(Tabla14[[#This Row],[Atraso a facturar]]&gt;0,Tabla14[[#This Row],[En puerto a facturar]]&gt;0,Tabla14[[#This Row],[Precio Atraso]]=0),"Revisar","OK")</f>
        <v>OK</v>
      </c>
      <c r="BF298" s="82" t="str">
        <f>IF(AND(Tabla14[[#This Row],[Venta del mes]]&gt;0,Tabla14[[#This Row],[Precio venta nueva]]=0),"Revisar","OK")</f>
        <v>OK</v>
      </c>
      <c r="BG298" s="20">
        <f>IFERROR(VLOOKUP(Tabla14[[#This Row],[Llave]],'[5]Consolidación planes'!$A:$M,9,FALSE),0)</f>
        <v>0</v>
      </c>
      <c r="BH298" s="20">
        <f>IFERROR(VLOOKUP(Tabla14[[#This Row],[Llave]],'[5]Consolidación planes'!$A:$M,10,FALSE),0)</f>
        <v>0</v>
      </c>
      <c r="BI298" s="20">
        <f>IFERROR(VLOOKUP(Tabla14[[#This Row],[Llave]],'[5]Consolidación planes'!$A:$M,11,FALSE),0)</f>
        <v>0</v>
      </c>
      <c r="BJ298" s="20">
        <f>IFERROR(VLOOKUP(Tabla14[[#This Row],[Llave]],'[5]Consolidación planes'!$A:$M,12,FALSE),0)</f>
        <v>0</v>
      </c>
      <c r="BK298" s="20">
        <f>IFERROR(VLOOKUP(Tabla14[[#This Row],[Llave]],'[5]Consolidación planes'!$A:$M,13,FALSE),0)</f>
        <v>0</v>
      </c>
      <c r="BL298" s="20">
        <f>IFERROR(VLOOKUP(Tabla14[[#This Row],[Llave]],'[13]Base ultimos planes'!$A:$M,13,FALSE),0)</f>
        <v>0</v>
      </c>
      <c r="BM298" s="20">
        <f>IFERROR(VLOOKUP(Tabla14[[#This Row],[Llave]],'[13]Cruce plan irrestricto'!$C:$M,10,FALSE),0)</f>
        <v>0</v>
      </c>
      <c r="BN298" s="20">
        <f>IFERROR(VLOOKUP(Tabla14[[#This Row],[Llave]],'[13]Cruce plan irrestricto'!$C:$M,11,FALSE),0)</f>
        <v>0</v>
      </c>
      <c r="BO298" s="80">
        <f>IFERROR(VLOOKUP(Tabla14[[#This Row],[Llave]],'[13]Base ultimos planes'!$O:$AA,8,FALSE),0)</f>
        <v>0</v>
      </c>
      <c r="BP298" s="20">
        <f>IFERROR(VLOOKUP(Tabla14[[#This Row],[Llave]],'[13]Base ultimos planes'!$O:$AA,9,FALSE),0)</f>
        <v>0</v>
      </c>
      <c r="BQ298" s="20">
        <f>IFERROR(VLOOKUP(Tabla14[[#This Row],[Llave]],'[13]Base ultimos planes'!$O:$AA,10,FALSE),0)</f>
        <v>0</v>
      </c>
      <c r="BR298" s="20">
        <f>IFERROR(VLOOKUP(Tabla14[[#This Row],[Llave]],'[13]Base ultimos planes'!$O:$AA,11,FALSE),0)</f>
        <v>0</v>
      </c>
      <c r="BS298" s="20">
        <f>IFERROR(VLOOKUP(Tabla14[[#This Row],[Llave]],'[13]Base ultimos planes'!$O:$AA,12,FALSE),0)</f>
        <v>0</v>
      </c>
      <c r="BT298" s="20">
        <f>IFERROR(VLOOKUP(Tabla14[[#This Row],[Llave]],'[13]Base ultimos planes'!$O:$AA,13,FALSE),0)</f>
        <v>0</v>
      </c>
      <c r="BU298" s="35"/>
      <c r="BV298" s="20">
        <f>Tabla14[[#This Row],[ RV Producción mes n+1]]-Tabla14[[#This Row],[Producción disponible]]+Tabla14[[#This Row],[Saldo Volumen disponible]]</f>
        <v>0</v>
      </c>
      <c r="BW298" s="20">
        <f>IFERROR(VLOOKUP(Tabla14[[#This Row],[Llave]],[14]Hoja2!$J:$N,4,FALSE),0)</f>
        <v>0</v>
      </c>
      <c r="BX298" s="20">
        <f>+Tabla14[[#This Row],[Asignación mes n+1]]*Tabla14[[#This Row],[% Uti. producción]]</f>
        <v>0</v>
      </c>
      <c r="BY298" s="20">
        <f>+Tabla14[[#This Row],[Ponderación mes n+1]]+Tabla14[[#This Row],[Saldo mes n-1]]</f>
        <v>0</v>
      </c>
      <c r="BZ298" s="20">
        <f>+Tabla14[[#This Row],[Asignación mes n+1]]-Tabla14[[#This Row],[Ponderación mes n+1]]</f>
        <v>0</v>
      </c>
      <c r="CA298" s="20">
        <f>IFERROR(VLOOKUP(Tabla14[[#This Row],[Llave]],[14]Hoja2!$J:$N,5,FALSE),0)</f>
        <v>0</v>
      </c>
      <c r="CB298" s="20">
        <f>+Tabla14[[#This Row],[Asignación mes n+2]]*Tabla14[[#This Row],[% Uti. producción]]</f>
        <v>0</v>
      </c>
      <c r="CC298" s="20">
        <f>+Tabla14[[#This Row],[Saldo mes n+2]]+Tabla14[[#This Row],[Ponderación mes n+2]]</f>
        <v>0</v>
      </c>
      <c r="CD298" s="20">
        <f>+Tabla14[[#This Row],[Asignación mes n+2]]-Tabla14[[#This Row],[Ponderación mes n+2]]</f>
        <v>0</v>
      </c>
    </row>
    <row r="299" spans="1:82" ht="16" x14ac:dyDescent="0.2">
      <c r="A299">
        <v>2</v>
      </c>
      <c r="B299" t="str">
        <f>Tabla14[[#This Row],[Oficina]]&amp;Tabla14[[#This Row],[Material]]</f>
        <v>Agrosuper Shanghai1012423</v>
      </c>
      <c r="C299" t="s">
        <v>227</v>
      </c>
      <c r="D299" t="s">
        <v>140</v>
      </c>
      <c r="E299">
        <v>1012423</v>
      </c>
      <c r="F299" t="s">
        <v>624</v>
      </c>
      <c r="G299" t="s">
        <v>205</v>
      </c>
      <c r="H299" t="s">
        <v>264</v>
      </c>
      <c r="I299" s="7">
        <f>IFERROR(IF(Tabla14[[#This Row],[Oficina]]=$I$7,VLOOKUP(Tabla14[[#This Row],[Material]],'[6]RV Producción'!$Y:$AA,3,FALSE),VLOOKUP(Tabla14[[#This Row],[Llave]],'[6]RV Producción'!$C:$G,5,FALSE)),0)</f>
        <v>0</v>
      </c>
      <c r="J299" s="7">
        <f>IFERROR(IF(Tabla14[[#This Row],[Oficina]]=$I$7,VLOOKUP(Tabla14[[#This Row],[Llave]],'[7]Shangai (Tomas)'!$A:$F,6,FALSE),VLOOKUP(Tabla14[[#This Row],[Llave]],'[6]RV plan de ventas'!$A:$E,5,FALSE)),0)</f>
        <v>0</v>
      </c>
      <c r="K299" s="8">
        <f>IFERROR(VLOOKUP(Tabla14[[#This Row],[Sector]]&amp;Tabla14[[#This Row],[Oficina]],[8]Ponderación!$A$3:$G$22,7,FALSE),0)</f>
        <v>0.47745072632608576</v>
      </c>
      <c r="L299" s="7">
        <f>+Tabla14[[#This Row],[ RV Producción mes n+1]]*Tabla14[[#This Row],[% Uti. producción]]</f>
        <v>0</v>
      </c>
      <c r="M299" s="7">
        <f>IFERROR(VLOOKUP(Tabla14[[#This Row],[Material]],'[9]TD Stock'!$B:$C,2,FALSE),0)</f>
        <v>0</v>
      </c>
      <c r="N299" s="7">
        <f>IFERROR(VLOOKUP(Tabla14[[#This Row],[Material]],'[10]Consolidado planificación'!$B:$C,2,FALSE),0)</f>
        <v>0</v>
      </c>
      <c r="O299" s="7">
        <f>IFERROR(VLOOKUP(Tabla14[[#This Row],[Llave]],[11]Hoja2!$D:$G,4,FALSE),0)</f>
        <v>0</v>
      </c>
      <c r="P299" s="37">
        <f>SUM(Tabla14[[#This Row],[Producción disponible]],Tabla14[[#This Row],[Stock al día]],(Tabla14[[#This Row],[Por producir mes N]]*0.9))-Tabla14[[#This Row],[Producción por despachar mes N]]</f>
        <v>0</v>
      </c>
      <c r="Q299" s="7">
        <f>IFERROR(VLOOKUP(Tabla14[[#This Row],[Llave]],[9]DELAY!$A:$D,4,FALSE),0)</f>
        <v>0</v>
      </c>
      <c r="R299" s="9">
        <v>0</v>
      </c>
      <c r="S299" s="5">
        <f t="shared" si="9"/>
        <v>0</v>
      </c>
      <c r="T299" s="76">
        <v>0</v>
      </c>
      <c r="U299" s="5">
        <f>+Tabla14[[#This Row],[Atraso a facturar]]+Tabla14[[#This Row],[Ajuste atraso]]</f>
        <v>0</v>
      </c>
      <c r="V299" s="3">
        <f>+Tabla14[[#This Row],[Total disponible]]-Tabla14[[#This Row],[Facturación atraso]]</f>
        <v>0</v>
      </c>
      <c r="W299" s="6">
        <f>IFERROR(IF(AND(V299&gt;R299,J299&gt;=R299),ROUNDDOWN((Tabla14[[#This Row],[Producción para venta nueva]])/R299,0)*R299,0),0)</f>
        <v>0</v>
      </c>
      <c r="X299" s="76">
        <v>0</v>
      </c>
      <c r="Y299" s="6">
        <f>IF(Tabla14[[#This Row],[Venta del mes]]&gt;0,Tabla14[[#This Row],[Venta del mes]]+Tabla14[[#This Row],[Ajuste venta nueva]],0)</f>
        <v>0</v>
      </c>
      <c r="Z299" s="6">
        <f>+Tabla14[[#This Row],[Producción para venta nueva]]-Tabla14[[#This Row],[Facturación Venta nueva]]</f>
        <v>0</v>
      </c>
      <c r="AA299" s="6">
        <f>IF(AND(A299=1,Tabla14[[#This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299" s="6">
        <v>0</v>
      </c>
      <c r="AC299" s="6">
        <f>IF(Tabla14[[#This Row],[Disponible stock sin venta]]&gt;0,Tabla14[[#This Row],[Disponible stock sin venta]]+Tabla14[[#This Row],[Ajuste stock sin venta]],0)</f>
        <v>0</v>
      </c>
      <c r="AD299" s="3">
        <f>IFERROR(VLOOKUP(Tabla14[[#This Row],[Llave]],[12]Hoja1!$A:$D,4,FALSE),0)</f>
        <v>0</v>
      </c>
      <c r="AE29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299" s="3">
        <v>0</v>
      </c>
      <c r="AG299" s="3">
        <f>+Tabla14[[#This Row],[En puerto a facturar]]</f>
        <v>0</v>
      </c>
      <c r="AH299" s="3">
        <f>+Tabla14[[#This Row],[Facturación atraso]]</f>
        <v>0</v>
      </c>
      <c r="AI299" s="3">
        <f>+Tabla14[[#This Row],[Plan Irrestricto (DATO)]]-Tabla14[[#This Row],[Puerto ]]-Tabla14[[#This Row],[Atraso]]</f>
        <v>0</v>
      </c>
      <c r="AJ29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299" s="3">
        <f>+Tabla14[[#This Row],[Facturación atraso]]</f>
        <v>0</v>
      </c>
      <c r="AL299" s="3">
        <f>Tabla14[[#This Row],[Plan Ajustado]]-Tabla14[[#This Row],[ Atraso ajustado]]-Tabla14[[#This Row],[En puerto a facturar]]</f>
        <v>0</v>
      </c>
      <c r="AM299" s="3">
        <v>0</v>
      </c>
      <c r="AN299" s="3"/>
      <c r="AO299" s="3" t="str">
        <f>IF(Tabla14[[#This Row],[Plan Ajustado]]&gt;Tabla14[[#This Row],[En puerto a facturar]],"Si","No")</f>
        <v>No</v>
      </c>
      <c r="AP29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299" s="3">
        <f>IF(Tabla14[[#This Row],[Necesidad]]&gt;=Tabla14[[#This Row],[Stock al día]],Tabla14[[#This Row],[Stock al día]],Tabla14[[#This Row],[Necesidad]])</f>
        <v>0</v>
      </c>
      <c r="AR299" s="3">
        <f>+Tabla14[[#This Row],[Necesidad]]-Tabla14[[#This Row],[Stock Plan]]</f>
        <v>0</v>
      </c>
      <c r="AS299" s="155">
        <f>VLOOKUP(Tabla14[[#This Row],[Sector]]&amp;Tabla14[[#This Row],[Oficina]],[8]Ponderación!$A:$H,8,FALSE)</f>
        <v>44817</v>
      </c>
      <c r="AT299" s="30">
        <f>IFERROR(VLOOKUP(Tabla14[[#This Row],[Llave]],'[6]RV plan de ventas'!$A:$F,6,FALSE),0)</f>
        <v>0</v>
      </c>
      <c r="AU299" s="83">
        <f>IFERROR(VLOOKUP(Tabla14[[#This Row],[Llave]],[9]DELAY!$H:$X,17,FALSE),0)</f>
        <v>0</v>
      </c>
      <c r="AV29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299" s="5">
        <f>Tabla14[[#This Row],[Pecio plan]]*Tabla14[[#This Row],[Plan Ajustado]]</f>
        <v>0</v>
      </c>
      <c r="AX299" s="30">
        <f>IFERROR(VLOOKUP(Tabla14[[#This Row],[Llave]],'[13]Ultimos precios facturados'!$A:$G,7,FALSE),0)</f>
        <v>0</v>
      </c>
      <c r="AY299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299" s="30">
        <f>IFERROR(VLOOKUP(Tabla14[[#This Row],[Llave]],Hoja2!B:K,10,FALSE),0)</f>
        <v>0</v>
      </c>
      <c r="BA29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299" s="30">
        <v>0</v>
      </c>
      <c r="BC299" s="30">
        <f>IF(Tabla14[[#This Row],[Market]]=0,Tabla14[[#This Row],[Precio Final]],Tabla14[[#This Row],[Market]])</f>
        <v>0</v>
      </c>
      <c r="BD299" s="82"/>
      <c r="BE299" s="82" t="str">
        <f>IF(AND(Tabla14[[#This Row],[Atraso a facturar]]&gt;0,Tabla14[[#This Row],[En puerto a facturar]]&gt;0,Tabla14[[#This Row],[Precio Atraso]]=0),"Revisar","OK")</f>
        <v>OK</v>
      </c>
      <c r="BF299" s="82" t="str">
        <f>IF(AND(Tabla14[[#This Row],[Venta del mes]]&gt;0,Tabla14[[#This Row],[Precio venta nueva]]=0),"Revisar","OK")</f>
        <v>OK</v>
      </c>
      <c r="BG299" s="20">
        <f>IFERROR(VLOOKUP(Tabla14[[#This Row],[Llave]],'[5]Consolidación planes'!$A:$M,9,FALSE),0)</f>
        <v>0</v>
      </c>
      <c r="BH299" s="20">
        <f>IFERROR(VLOOKUP(Tabla14[[#This Row],[Llave]],'[5]Consolidación planes'!$A:$M,10,FALSE),0)</f>
        <v>0</v>
      </c>
      <c r="BI299" s="20">
        <f>IFERROR(VLOOKUP(Tabla14[[#This Row],[Llave]],'[5]Consolidación planes'!$A:$M,11,FALSE),0)</f>
        <v>0</v>
      </c>
      <c r="BJ299" s="20">
        <f>IFERROR(VLOOKUP(Tabla14[[#This Row],[Llave]],'[5]Consolidación planes'!$A:$M,12,FALSE),0)</f>
        <v>0</v>
      </c>
      <c r="BK299" s="20">
        <f>IFERROR(VLOOKUP(Tabla14[[#This Row],[Llave]],'[5]Consolidación planes'!$A:$M,13,FALSE),0)</f>
        <v>0</v>
      </c>
      <c r="BL299" s="20">
        <f>IFERROR(VLOOKUP(Tabla14[[#This Row],[Llave]],'[13]Base ultimos planes'!$A:$M,13,FALSE),0)</f>
        <v>0</v>
      </c>
      <c r="BM299" s="20">
        <f>IFERROR(VLOOKUP(Tabla14[[#This Row],[Llave]],'[13]Cruce plan irrestricto'!$C:$M,10,FALSE),0)</f>
        <v>0</v>
      </c>
      <c r="BN299" s="20">
        <f>IFERROR(VLOOKUP(Tabla14[[#This Row],[Llave]],'[13]Cruce plan irrestricto'!$C:$M,11,FALSE),0)</f>
        <v>0</v>
      </c>
      <c r="BO299" s="80">
        <f>IFERROR(VLOOKUP(Tabla14[[#This Row],[Llave]],'[13]Base ultimos planes'!$O:$AA,8,FALSE),0)</f>
        <v>0</v>
      </c>
      <c r="BP299" s="20">
        <f>IFERROR(VLOOKUP(Tabla14[[#This Row],[Llave]],'[13]Base ultimos planes'!$O:$AA,9,FALSE),0)</f>
        <v>0</v>
      </c>
      <c r="BQ299" s="20">
        <f>IFERROR(VLOOKUP(Tabla14[[#This Row],[Llave]],'[13]Base ultimos planes'!$O:$AA,10,FALSE),0)</f>
        <v>0</v>
      </c>
      <c r="BR299" s="20">
        <f>IFERROR(VLOOKUP(Tabla14[[#This Row],[Llave]],'[13]Base ultimos planes'!$O:$AA,11,FALSE),0)</f>
        <v>0</v>
      </c>
      <c r="BS299" s="20">
        <f>IFERROR(VLOOKUP(Tabla14[[#This Row],[Llave]],'[13]Base ultimos planes'!$O:$AA,12,FALSE),0)</f>
        <v>0</v>
      </c>
      <c r="BT299" s="20">
        <f>IFERROR(VLOOKUP(Tabla14[[#This Row],[Llave]],'[13]Base ultimos planes'!$O:$AA,13,FALSE),0)</f>
        <v>0</v>
      </c>
      <c r="BU299" s="35"/>
      <c r="BV299" s="20">
        <f>Tabla14[[#This Row],[ RV Producción mes n+1]]-Tabla14[[#This Row],[Producción disponible]]+Tabla14[[#This Row],[Saldo Volumen disponible]]</f>
        <v>0</v>
      </c>
      <c r="BW299" s="20">
        <f>IFERROR(VLOOKUP(Tabla14[[#This Row],[Llave]],[14]Hoja2!$J:$N,4,FALSE),0)</f>
        <v>0</v>
      </c>
      <c r="BX299" s="20">
        <f>+Tabla14[[#This Row],[Asignación mes n+1]]*Tabla14[[#This Row],[% Uti. producción]]</f>
        <v>0</v>
      </c>
      <c r="BY299" s="20">
        <f>+Tabla14[[#This Row],[Ponderación mes n+1]]+Tabla14[[#This Row],[Saldo mes n-1]]</f>
        <v>0</v>
      </c>
      <c r="BZ299" s="20">
        <f>+Tabla14[[#This Row],[Asignación mes n+1]]-Tabla14[[#This Row],[Ponderación mes n+1]]</f>
        <v>0</v>
      </c>
      <c r="CA299" s="20">
        <f>IFERROR(VLOOKUP(Tabla14[[#This Row],[Llave]],[14]Hoja2!$J:$N,5,FALSE),0)</f>
        <v>0</v>
      </c>
      <c r="CB299" s="20">
        <f>+Tabla14[[#This Row],[Asignación mes n+2]]*Tabla14[[#This Row],[% Uti. producción]]</f>
        <v>0</v>
      </c>
      <c r="CC299" s="20">
        <f>+Tabla14[[#This Row],[Saldo mes n+2]]+Tabla14[[#This Row],[Ponderación mes n+2]]</f>
        <v>0</v>
      </c>
      <c r="CD299" s="20">
        <f>+Tabla14[[#This Row],[Asignación mes n+2]]-Tabla14[[#This Row],[Ponderación mes n+2]]</f>
        <v>0</v>
      </c>
    </row>
    <row r="300" spans="1:82" ht="16" x14ac:dyDescent="0.2">
      <c r="A300">
        <v>1</v>
      </c>
      <c r="B300" t="str">
        <f>Tabla14[[#This Row],[Oficina]]&amp;Tabla14[[#This Row],[Material]]</f>
        <v>Agro Sudamerica1022781</v>
      </c>
      <c r="C300" t="s">
        <v>6</v>
      </c>
      <c r="D300" t="s">
        <v>17</v>
      </c>
      <c r="E300">
        <v>1022781</v>
      </c>
      <c r="F300" t="s">
        <v>656</v>
      </c>
      <c r="G300" t="s">
        <v>76</v>
      </c>
      <c r="H300" t="s">
        <v>79</v>
      </c>
      <c r="I300" s="7">
        <f>IFERROR(IF(Tabla14[[#This Row],[Oficina]]=$I$7,VLOOKUP(Tabla14[[#This Row],[Material]],'[6]RV Producción'!$Y:$AA,3,FALSE),VLOOKUP(Tabla14[[#This Row],[Llave]],'[6]RV Producción'!$C:$G,5,FALSE)),0)</f>
        <v>14087</v>
      </c>
      <c r="J300" s="7">
        <f>IFERROR(IF(Tabla14[[#This Row],[Oficina]]=$I$7,VLOOKUP(Tabla14[[#This Row],[Llave]],'[7]Shangai (Tomas)'!$A:$F,6,FALSE),VLOOKUP(Tabla14[[#This Row],[Llave]],'[6]RV plan de ventas'!$A:$E,5,FALSE)),0)</f>
        <v>0</v>
      </c>
      <c r="K300" s="8">
        <f>IFERROR(VLOOKUP(Tabla14[[#This Row],[Sector]]&amp;Tabla14[[#This Row],[Oficina]],[8]Ponderación!$A$3:$G$22,7,FALSE),0)</f>
        <v>0.3545854356400317</v>
      </c>
      <c r="L300" s="7">
        <f>+Tabla14[[#This Row],[ RV Producción mes n+1]]*Tabla14[[#This Row],[% Uti. producción]]</f>
        <v>4995.0450318611265</v>
      </c>
      <c r="M300" s="7">
        <f>IFERROR(VLOOKUP(Tabla14[[#This Row],[Material]],'[9]TD Stock'!$B:$C,2,FALSE),0)</f>
        <v>0</v>
      </c>
      <c r="N300" s="15">
        <f>IFERROR(VLOOKUP(Tabla14[[#This Row],[Material]],'[10]Consolidado planificación'!$B:$C,2,FALSE),0)</f>
        <v>0</v>
      </c>
      <c r="O300" s="7">
        <f>IFERROR(VLOOKUP(Tabla14[[#This Row],[Llave]],[11]Hoja2!$D:$G,4,FALSE),0)</f>
        <v>0</v>
      </c>
      <c r="P300" s="37">
        <f>SUM(Tabla14[[#This Row],[Producción disponible]],Tabla14[[#This Row],[Stock al día]],(Tabla14[[#This Row],[Por producir mes N]]*0.9))-Tabla14[[#This Row],[Producción por despachar mes N]]</f>
        <v>4995.0450318611265</v>
      </c>
      <c r="Q300" s="15">
        <f>IFERROR(VLOOKUP(Tabla14[[#This Row],[Llave]],[9]DELAY!$A:$D,4,FALSE),0)</f>
        <v>14086.8</v>
      </c>
      <c r="R300" s="75">
        <v>23000</v>
      </c>
      <c r="S300" s="5">
        <f t="shared" si="9"/>
        <v>0</v>
      </c>
      <c r="T300" s="76">
        <v>0</v>
      </c>
      <c r="U300" s="5">
        <f>+Tabla14[[#This Row],[Atraso a facturar]]+Tabla14[[#This Row],[Ajuste atraso]]</f>
        <v>0</v>
      </c>
      <c r="V300" s="3">
        <f>+Tabla14[[#This Row],[Total disponible]]-Tabla14[[#This Row],[Facturación atraso]]</f>
        <v>4995.0450318611265</v>
      </c>
      <c r="W300" s="6">
        <f>IFERROR(IF(AND(V300&gt;R300,J300&gt;=R300),ROUNDDOWN((Tabla14[[#This Row],[Producción para venta nueva]])/R300,0)*R300,0),0)</f>
        <v>0</v>
      </c>
      <c r="X300" s="76">
        <v>0</v>
      </c>
      <c r="Y300" s="6">
        <f>IF(Tabla14[[#This Row],[Venta del mes]]&gt;0,Tabla14[[#This Row],[Venta del mes]]+Tabla14[[#This Row],[Ajuste venta nueva]],0)</f>
        <v>0</v>
      </c>
      <c r="Z300" s="6">
        <f>+Tabla14[[#This Row],[Producción para venta nueva]]-Tabla14[[#This Row],[Facturación Venta nueva]]</f>
        <v>4995.0450318611265</v>
      </c>
      <c r="AA300" s="6">
        <f>IF(AND(A300=1,Tabla14[[#This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0" s="6">
        <v>0</v>
      </c>
      <c r="AC300" s="6">
        <f>IF(Tabla14[[#This Row],[Disponible stock sin venta]]&gt;0,Tabla14[[#This Row],[Disponible stock sin venta]]+Tabla14[[#This Row],[Ajuste stock sin venta]],0)</f>
        <v>0</v>
      </c>
      <c r="AD300" s="3">
        <f>IFERROR(VLOOKUP(Tabla14[[#This Row],[Llave]],[12]Hoja1!$A:$D,4,FALSE),0)</f>
        <v>0</v>
      </c>
      <c r="AE30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0" s="3">
        <v>0</v>
      </c>
      <c r="AG300" s="3">
        <f>+Tabla14[[#This Row],[En puerto a facturar]]</f>
        <v>0</v>
      </c>
      <c r="AH300" s="3">
        <f>+Tabla14[[#This Row],[Facturación atraso]]</f>
        <v>0</v>
      </c>
      <c r="AI300" s="3">
        <f>+Tabla14[[#This Row],[Plan Irrestricto (DATO)]]-Tabla14[[#This Row],[Puerto ]]-Tabla14[[#This Row],[Atraso]]</f>
        <v>0</v>
      </c>
      <c r="AJ300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0" s="3">
        <f>+Tabla14[[#This Row],[Facturación atraso]]</f>
        <v>0</v>
      </c>
      <c r="AL300" s="3">
        <f>Tabla14[[#This Row],[Plan Ajustado]]-Tabla14[[#This Row],[ Atraso ajustado]]-Tabla14[[#This Row],[En puerto a facturar]]</f>
        <v>0</v>
      </c>
      <c r="AM300" s="3">
        <v>0</v>
      </c>
      <c r="AN300" s="3" t="e">
        <v>#REF!</v>
      </c>
      <c r="AO300" s="3" t="str">
        <f>IF(Tabla14[[#This Row],[Plan Ajustado]]&gt;Tabla14[[#This Row],[En puerto a facturar]],"Si","No")</f>
        <v>No</v>
      </c>
      <c r="AP300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0" s="3">
        <f>IF(Tabla14[[#This Row],[Necesidad]]&gt;=Tabla14[[#This Row],[Stock al día]],Tabla14[[#This Row],[Stock al día]],Tabla14[[#This Row],[Necesidad]])</f>
        <v>0</v>
      </c>
      <c r="AR300" s="3">
        <f>+Tabla14[[#This Row],[Necesidad]]-Tabla14[[#This Row],[Stock Plan]]</f>
        <v>0</v>
      </c>
      <c r="AS300" s="155">
        <f>VLOOKUP(Tabla14[[#This Row],[Sector]]&amp;Tabla14[[#This Row],[Oficina]],[8]Ponderación!$A:$H,8,FALSE)</f>
        <v>44813</v>
      </c>
      <c r="AT300" s="30">
        <f>IFERROR(VLOOKUP(Tabla14[[#This Row],[Llave]],'[6]RV plan de ventas'!$A:$F,6,FALSE),0)</f>
        <v>0</v>
      </c>
      <c r="AU300" s="83">
        <f>IFERROR(VLOOKUP(Tabla14[[#This Row],[Llave]],[9]DELAY!$H:$X,17,FALSE),0)</f>
        <v>11.053309329774484</v>
      </c>
      <c r="AV30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0" s="5">
        <f>Tabla14[[#This Row],[Pecio plan]]*Tabla14[[#This Row],[Plan Ajustado]]</f>
        <v>0</v>
      </c>
      <c r="AX300" s="30">
        <f>IFERROR(VLOOKUP(Tabla14[[#This Row],[Llave]],'[13]Ultimos precios facturados'!$A:$G,7,FALSE),0)</f>
        <v>10.083610299857648</v>
      </c>
      <c r="AY300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0" s="30">
        <f>IFERROR(VLOOKUP(Tabla14[[#This Row],[Llave]],Hoja2!B:K,10,FALSE),0)</f>
        <v>10.5</v>
      </c>
      <c r="BA30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00" s="30">
        <v>0</v>
      </c>
      <c r="BC300" s="30">
        <f>IF(Tabla14[[#This Row],[Market]]=0,Tabla14[[#This Row],[Precio Final]],Tabla14[[#This Row],[Market]])</f>
        <v>0</v>
      </c>
      <c r="BD300" s="82"/>
      <c r="BE300" s="82" t="str">
        <f>IF(AND(Tabla14[[#This Row],[Atraso a facturar]]&gt;0,Tabla14[[#This Row],[En puerto a facturar]]&gt;0,Tabla14[[#This Row],[Precio Atraso]]=0),"Revisar","OK")</f>
        <v>OK</v>
      </c>
      <c r="BF300" s="82" t="str">
        <f>IF(AND(Tabla14[[#This Row],[Venta del mes]]&gt;0,Tabla14[[#This Row],[Precio venta nueva]]=0),"Revisar","OK")</f>
        <v>OK</v>
      </c>
      <c r="BG300" s="20">
        <f>IFERROR(VLOOKUP(Tabla14[[#This Row],[Llave]],'[5]Consolidación planes'!$A:$M,9,FALSE),0)</f>
        <v>7067</v>
      </c>
      <c r="BH300" s="20">
        <f>IFERROR(VLOOKUP(Tabla14[[#This Row],[Llave]],'[5]Consolidación planes'!$A:$M,10,FALSE),0)</f>
        <v>3060</v>
      </c>
      <c r="BI300" s="20">
        <f>IFERROR(VLOOKUP(Tabla14[[#This Row],[Llave]],'[5]Consolidación planes'!$A:$M,11,FALSE),0)</f>
        <v>10282</v>
      </c>
      <c r="BJ300" s="20">
        <f>IFERROR(VLOOKUP(Tabla14[[#This Row],[Llave]],'[5]Consolidación planes'!$A:$M,12,FALSE),0)</f>
        <v>1500</v>
      </c>
      <c r="BK300" s="20">
        <f>IFERROR(VLOOKUP(Tabla14[[#This Row],[Llave]],'[5]Consolidación planes'!$A:$M,13,FALSE),0)</f>
        <v>6600</v>
      </c>
      <c r="BL300" s="20">
        <f>IFERROR(VLOOKUP(Tabla14[[#This Row],[Llave]],'[13]Base ultimos planes'!$A:$M,13,FALSE),0)</f>
        <v>15300</v>
      </c>
      <c r="BM300" s="20">
        <f>IFERROR(VLOOKUP(Tabla14[[#This Row],[Llave]],'[13]Cruce plan irrestricto'!$C:$M,10,FALSE),0)</f>
        <v>6120</v>
      </c>
      <c r="BN300" s="20">
        <f>IFERROR(VLOOKUP(Tabla14[[#This Row],[Llave]],'[13]Cruce plan irrestricto'!$C:$M,11,FALSE),0)</f>
        <v>6120</v>
      </c>
      <c r="BO300" s="80">
        <f>IFERROR(VLOOKUP(Tabla14[[#This Row],[Llave]],'[13]Base ultimos planes'!$O:$AA,8,FALSE),0)</f>
        <v>79009.06</v>
      </c>
      <c r="BP300" s="20">
        <f>IFERROR(VLOOKUP(Tabla14[[#This Row],[Llave]],'[13]Base ultimos planes'!$O:$AA,9,FALSE),0)</f>
        <v>39589</v>
      </c>
      <c r="BQ300" s="20">
        <f>IFERROR(VLOOKUP(Tabla14[[#This Row],[Llave]],'[13]Base ultimos planes'!$O:$AA,10,FALSE),0)</f>
        <v>108578</v>
      </c>
      <c r="BR300" s="20">
        <f>IFERROR(VLOOKUP(Tabla14[[#This Row],[Llave]],'[13]Base ultimos planes'!$O:$AA,11,FALSE),0)</f>
        <v>22170</v>
      </c>
      <c r="BS300" s="20">
        <f>IFERROR(VLOOKUP(Tabla14[[#This Row],[Llave]],'[13]Base ultimos planes'!$O:$AA,12,FALSE),0)</f>
        <v>88521</v>
      </c>
      <c r="BT300" s="20">
        <f>IFERROR(VLOOKUP(Tabla14[[#This Row],[Llave]],'[13]Base ultimos planes'!$O:$AA,13,FALSE),0)</f>
        <v>198441</v>
      </c>
      <c r="BU300" s="35"/>
      <c r="BV300" s="20">
        <f>Tabla14[[#This Row],[ RV Producción mes n+1]]-Tabla14[[#This Row],[Producción disponible]]+Tabla14[[#This Row],[Saldo Volumen disponible]]</f>
        <v>14087</v>
      </c>
      <c r="BW300" s="20">
        <f>IFERROR(VLOOKUP(Tabla14[[#This Row],[Llave]],[14]Hoja2!$J:$N,4,FALSE),0)</f>
        <v>11866.166499999999</v>
      </c>
      <c r="BX300" s="20">
        <f>+Tabla14[[#This Row],[Asignación mes n+1]]*Tabla14[[#This Row],[% Uti. producción]]</f>
        <v>4207.5698177796503</v>
      </c>
      <c r="BY300" s="20">
        <f>+Tabla14[[#This Row],[Ponderación mes n+1]]+Tabla14[[#This Row],[Saldo mes n-1]]</f>
        <v>18294.569817779651</v>
      </c>
      <c r="BZ300" s="20">
        <f>+Tabla14[[#This Row],[Asignación mes n+1]]-Tabla14[[#This Row],[Ponderación mes n+1]]</f>
        <v>7658.5966822203491</v>
      </c>
      <c r="CA300" s="20">
        <f>IFERROR(VLOOKUP(Tabla14[[#This Row],[Llave]],[14]Hoja2!$J:$N,5,FALSE),0)</f>
        <v>8200</v>
      </c>
      <c r="CB300" s="20">
        <f>+Tabla14[[#This Row],[Asignación mes n+2]]*Tabla14[[#This Row],[% Uti. producción]]</f>
        <v>2907.6005722482601</v>
      </c>
      <c r="CC300" s="20">
        <f>+Tabla14[[#This Row],[Saldo mes n+2]]+Tabla14[[#This Row],[Ponderación mes n+2]]</f>
        <v>10566.197254468609</v>
      </c>
      <c r="CD300" s="20">
        <f>+Tabla14[[#This Row],[Asignación mes n+2]]-Tabla14[[#This Row],[Ponderación mes n+2]]</f>
        <v>5292.3994277517395</v>
      </c>
    </row>
    <row r="301" spans="1:82" ht="16" x14ac:dyDescent="0.2">
      <c r="A301">
        <v>2</v>
      </c>
      <c r="B301" t="str">
        <f>Tabla14[[#This Row],[Oficina]]&amp;Tabla14[[#This Row],[Material]]</f>
        <v>Agro Sudamerica1022782</v>
      </c>
      <c r="C301" t="s">
        <v>6</v>
      </c>
      <c r="D301" t="s">
        <v>17</v>
      </c>
      <c r="E301">
        <v>1022782</v>
      </c>
      <c r="F301" t="s">
        <v>657</v>
      </c>
      <c r="G301" t="s">
        <v>76</v>
      </c>
      <c r="H301" t="s">
        <v>79</v>
      </c>
      <c r="I301" s="7">
        <f>IFERROR(IF(Tabla14[[#This Row],[Oficina]]=$I$7,VLOOKUP(Tabla14[[#This Row],[Material]],'[6]RV Producción'!$Y:$AA,3,FALSE),VLOOKUP(Tabla14[[#This Row],[Llave]],'[6]RV Producción'!$C:$G,5,FALSE)),0)</f>
        <v>2868</v>
      </c>
      <c r="J301" s="7">
        <f>IFERROR(IF(Tabla14[[#This Row],[Oficina]]=$I$7,VLOOKUP(Tabla14[[#This Row],[Llave]],'[7]Shangai (Tomas)'!$A:$F,6,FALSE),VLOOKUP(Tabla14[[#This Row],[Llave]],'[6]RV plan de ventas'!$A:$E,5,FALSE)),0)</f>
        <v>0</v>
      </c>
      <c r="K301" s="8">
        <f>IFERROR(VLOOKUP(Tabla14[[#This Row],[Sector]]&amp;Tabla14[[#This Row],[Oficina]],[8]Ponderación!$A$3:$G$22,7,FALSE),0)</f>
        <v>0.3545854356400317</v>
      </c>
      <c r="L301" s="7">
        <f>+Tabla14[[#This Row],[ RV Producción mes n+1]]*Tabla14[[#This Row],[% Uti. producción]]</f>
        <v>1016.9510294156109</v>
      </c>
      <c r="M301" s="7">
        <f>IFERROR(VLOOKUP(Tabla14[[#This Row],[Material]],'[9]TD Stock'!$B:$C,2,FALSE),0)</f>
        <v>0</v>
      </c>
      <c r="N301" s="15">
        <f>IFERROR(VLOOKUP(Tabla14[[#This Row],[Material]],'[10]Consolidado planificación'!$B:$C,2,FALSE),0)</f>
        <v>0</v>
      </c>
      <c r="O301" s="7">
        <f>IFERROR(VLOOKUP(Tabla14[[#This Row],[Llave]],[11]Hoja2!$D:$G,4,FALSE),0)</f>
        <v>0</v>
      </c>
      <c r="P301" s="37">
        <f>SUM(Tabla14[[#This Row],[Producción disponible]],Tabla14[[#This Row],[Stock al día]],(Tabla14[[#This Row],[Por producir mes N]]*0.9))-Tabla14[[#This Row],[Producción por despachar mes N]]</f>
        <v>1016.9510294156109</v>
      </c>
      <c r="Q301" s="15">
        <f>IFERROR(VLOOKUP(Tabla14[[#This Row],[Llave]],[9]DELAY!$A:$D,4,FALSE),0)</f>
        <v>17068.8</v>
      </c>
      <c r="R301" s="75">
        <v>23000</v>
      </c>
      <c r="S301" s="5">
        <f t="shared" si="9"/>
        <v>0</v>
      </c>
      <c r="T301" s="76">
        <v>0</v>
      </c>
      <c r="U301" s="5">
        <f>+Tabla14[[#This Row],[Atraso a facturar]]+Tabla14[[#This Row],[Ajuste atraso]]</f>
        <v>0</v>
      </c>
      <c r="V301" s="3">
        <f>+Tabla14[[#This Row],[Total disponible]]-Tabla14[[#This Row],[Facturación atraso]]</f>
        <v>1016.9510294156109</v>
      </c>
      <c r="W301" s="6">
        <f>IFERROR(IF(AND(V301&gt;R301,J301&gt;=R301),ROUNDDOWN((Tabla14[[#This Row],[Producción para venta nueva]])/R301,0)*R301,0),0)</f>
        <v>0</v>
      </c>
      <c r="X301" s="76">
        <v>0</v>
      </c>
      <c r="Y301" s="6">
        <f>IF(Tabla14[[#This Row],[Venta del mes]]&gt;0,Tabla14[[#This Row],[Venta del mes]]+Tabla14[[#This Row],[Ajuste venta nueva]],0)</f>
        <v>0</v>
      </c>
      <c r="Z301" s="6">
        <f>+Tabla14[[#This Row],[Producción para venta nueva]]-Tabla14[[#This Row],[Facturación Venta nueva]]</f>
        <v>1016.9510294156109</v>
      </c>
      <c r="AA301" s="6">
        <f>IF(AND(A301=1,Tabla14[[#This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1" s="6">
        <v>0</v>
      </c>
      <c r="AC301" s="6">
        <f>IF(Tabla14[[#This Row],[Disponible stock sin venta]]&gt;0,Tabla14[[#This Row],[Disponible stock sin venta]]+Tabla14[[#This Row],[Ajuste stock sin venta]],0)</f>
        <v>0</v>
      </c>
      <c r="AD301" s="3">
        <f>IFERROR(VLOOKUP(Tabla14[[#This Row],[Llave]],[12]Hoja1!$A:$D,4,FALSE),0)</f>
        <v>0</v>
      </c>
      <c r="AE30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1" s="3">
        <v>0</v>
      </c>
      <c r="AG301" s="3">
        <f>+Tabla14[[#This Row],[En puerto a facturar]]</f>
        <v>0</v>
      </c>
      <c r="AH301" s="3">
        <f>+Tabla14[[#This Row],[Facturación atraso]]</f>
        <v>0</v>
      </c>
      <c r="AI301" s="3">
        <f>+Tabla14[[#This Row],[Plan Irrestricto (DATO)]]-Tabla14[[#This Row],[Puerto ]]-Tabla14[[#This Row],[Atraso]]</f>
        <v>0</v>
      </c>
      <c r="AJ30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1" s="3">
        <f>+Tabla14[[#This Row],[Facturación atraso]]</f>
        <v>0</v>
      </c>
      <c r="AL301" s="3">
        <f>Tabla14[[#This Row],[Plan Ajustado]]-Tabla14[[#This Row],[ Atraso ajustado]]-Tabla14[[#This Row],[En puerto a facturar]]</f>
        <v>0</v>
      </c>
      <c r="AM301" s="3">
        <v>0</v>
      </c>
      <c r="AN301" s="3" t="e">
        <v>#REF!</v>
      </c>
      <c r="AO301" s="3" t="str">
        <f>IF(Tabla14[[#This Row],[Plan Ajustado]]&gt;Tabla14[[#This Row],[En puerto a facturar]],"Si","No")</f>
        <v>No</v>
      </c>
      <c r="AP30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1" s="3">
        <f>IF(Tabla14[[#This Row],[Necesidad]]&gt;=Tabla14[[#This Row],[Stock al día]],Tabla14[[#This Row],[Stock al día]],Tabla14[[#This Row],[Necesidad]])</f>
        <v>0</v>
      </c>
      <c r="AR301" s="3">
        <f>+Tabla14[[#This Row],[Necesidad]]-Tabla14[[#This Row],[Stock Plan]]</f>
        <v>0</v>
      </c>
      <c r="AS301" s="155">
        <f>VLOOKUP(Tabla14[[#This Row],[Sector]]&amp;Tabla14[[#This Row],[Oficina]],[8]Ponderación!$A:$H,8,FALSE)</f>
        <v>44813</v>
      </c>
      <c r="AT301" s="30">
        <f>IFERROR(VLOOKUP(Tabla14[[#This Row],[Llave]],'[6]RV plan de ventas'!$A:$F,6,FALSE),0)</f>
        <v>0</v>
      </c>
      <c r="AU301" s="83">
        <f>IFERROR(VLOOKUP(Tabla14[[#This Row],[Llave]],[9]DELAY!$H:$X,17,FALSE),0)</f>
        <v>7.9176040494938134</v>
      </c>
      <c r="AV30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1" s="5">
        <f>Tabla14[[#This Row],[Pecio plan]]*Tabla14[[#This Row],[Plan Ajustado]]</f>
        <v>0</v>
      </c>
      <c r="AX301" s="30">
        <f>IFERROR(VLOOKUP(Tabla14[[#This Row],[Llave]],'[13]Ultimos precios facturados'!$A:$G,7,FALSE),0)</f>
        <v>8.0710707864912834</v>
      </c>
      <c r="AY301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1" s="30">
        <f>IFERROR(VLOOKUP(Tabla14[[#This Row],[Llave]],Hoja2!B:K,10,FALSE),0)</f>
        <v>0</v>
      </c>
      <c r="BA30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01" s="30">
        <v>0</v>
      </c>
      <c r="BC301" s="30">
        <f>IF(Tabla14[[#This Row],[Market]]=0,Tabla14[[#This Row],[Precio Final]],Tabla14[[#This Row],[Market]])</f>
        <v>0</v>
      </c>
      <c r="BD301" s="82"/>
      <c r="BE301" s="82" t="str">
        <f>IF(AND(Tabla14[[#This Row],[Atraso a facturar]]&gt;0,Tabla14[[#This Row],[En puerto a facturar]]&gt;0,Tabla14[[#This Row],[Precio Atraso]]=0),"Revisar","OK")</f>
        <v>OK</v>
      </c>
      <c r="BF301" s="82" t="str">
        <f>IF(AND(Tabla14[[#This Row],[Venta del mes]]&gt;0,Tabla14[[#This Row],[Precio venta nueva]]=0),"Revisar","OK")</f>
        <v>OK</v>
      </c>
      <c r="BG301" s="20">
        <f>IFERROR(VLOOKUP(Tabla14[[#This Row],[Llave]],'[5]Consolidación planes'!$A:$M,9,FALSE),0)</f>
        <v>18796</v>
      </c>
      <c r="BH301" s="20">
        <f>IFERROR(VLOOKUP(Tabla14[[#This Row],[Llave]],'[5]Consolidación planes'!$A:$M,10,FALSE),0)</f>
        <v>3600</v>
      </c>
      <c r="BI301" s="20">
        <f>IFERROR(VLOOKUP(Tabla14[[#This Row],[Llave]],'[5]Consolidación planes'!$A:$M,11,FALSE),0)</f>
        <v>0</v>
      </c>
      <c r="BJ301" s="20">
        <f>IFERROR(VLOOKUP(Tabla14[[#This Row],[Llave]],'[5]Consolidación planes'!$A:$M,12,FALSE),0)</f>
        <v>0</v>
      </c>
      <c r="BK301" s="20">
        <f>IFERROR(VLOOKUP(Tabla14[[#This Row],[Llave]],'[5]Consolidación planes'!$A:$M,13,FALSE),0)</f>
        <v>3600</v>
      </c>
      <c r="BL301" s="20">
        <f>IFERROR(VLOOKUP(Tabla14[[#This Row],[Llave]],'[13]Base ultimos planes'!$A:$M,13,FALSE),0)</f>
        <v>11520</v>
      </c>
      <c r="BM301" s="20">
        <f>IFERROR(VLOOKUP(Tabla14[[#This Row],[Llave]],'[13]Cruce plan irrestricto'!$C:$M,10,FALSE),0)</f>
        <v>0</v>
      </c>
      <c r="BN301" s="20">
        <f>IFERROR(VLOOKUP(Tabla14[[#This Row],[Llave]],'[13]Cruce plan irrestricto'!$C:$M,11,FALSE),0)</f>
        <v>0</v>
      </c>
      <c r="BO301" s="80">
        <f>IFERROR(VLOOKUP(Tabla14[[#This Row],[Llave]],'[13]Base ultimos planes'!$O:$AA,8,FALSE),0)</f>
        <v>156946.6</v>
      </c>
      <c r="BP301" s="20">
        <f>IFERROR(VLOOKUP(Tabla14[[#This Row],[Llave]],'[13]Base ultimos planes'!$O:$AA,9,FALSE),0)</f>
        <v>36108</v>
      </c>
      <c r="BQ301" s="20">
        <f>IFERROR(VLOOKUP(Tabla14[[#This Row],[Llave]],'[13]Base ultimos planes'!$O:$AA,10,FALSE),0)</f>
        <v>0</v>
      </c>
      <c r="BR301" s="20">
        <f>IFERROR(VLOOKUP(Tabla14[[#This Row],[Llave]],'[13]Base ultimos planes'!$O:$AA,11,FALSE),0)</f>
        <v>0</v>
      </c>
      <c r="BS301" s="20">
        <f>IFERROR(VLOOKUP(Tabla14[[#This Row],[Llave]],'[13]Base ultimos planes'!$O:$AA,12,FALSE),0)</f>
        <v>36360</v>
      </c>
      <c r="BT301" s="20">
        <f>IFERROR(VLOOKUP(Tabla14[[#This Row],[Llave]],'[13]Base ultimos planes'!$O:$AA,13,FALSE),0)</f>
        <v>120730</v>
      </c>
      <c r="BU301" s="35"/>
      <c r="BV301" s="20">
        <f>Tabla14[[#This Row],[ RV Producción mes n+1]]-Tabla14[[#This Row],[Producción disponible]]+Tabla14[[#This Row],[Saldo Volumen disponible]]</f>
        <v>2868</v>
      </c>
      <c r="BW301" s="20">
        <f>IFERROR(VLOOKUP(Tabla14[[#This Row],[Llave]],[14]Hoja2!$J:$N,4,FALSE),0)</f>
        <v>2794.3986</v>
      </c>
      <c r="BX301" s="20">
        <f>+Tabla14[[#This Row],[Asignación mes n+1]]*Tabla14[[#This Row],[% Uti. producción]]</f>
        <v>990.8530449328947</v>
      </c>
      <c r="BY301" s="20">
        <f>+Tabla14[[#This Row],[Ponderación mes n+1]]+Tabla14[[#This Row],[Saldo mes n-1]]</f>
        <v>3858.8530449328946</v>
      </c>
      <c r="BZ301" s="20">
        <f>+Tabla14[[#This Row],[Asignación mes n+1]]-Tabla14[[#This Row],[Ponderación mes n+1]]</f>
        <v>1803.5455550671054</v>
      </c>
      <c r="CA301" s="20">
        <f>IFERROR(VLOOKUP(Tabla14[[#This Row],[Llave]],[14]Hoja2!$J:$N,5,FALSE),0)</f>
        <v>1033.8815</v>
      </c>
      <c r="CB301" s="20">
        <f>+Tabla14[[#This Row],[Asignación mes n+2]]*Tabla14[[#This Row],[% Uti. producción]]</f>
        <v>366.5993220776694</v>
      </c>
      <c r="CC301" s="20">
        <f>+Tabla14[[#This Row],[Saldo mes n+2]]+Tabla14[[#This Row],[Ponderación mes n+2]]</f>
        <v>2170.1448771447749</v>
      </c>
      <c r="CD301" s="20">
        <f>+Tabla14[[#This Row],[Asignación mes n+2]]-Tabla14[[#This Row],[Ponderación mes n+2]]</f>
        <v>667.28217792233056</v>
      </c>
    </row>
    <row r="302" spans="1:82" ht="16" x14ac:dyDescent="0.2">
      <c r="A302">
        <v>2</v>
      </c>
      <c r="B302" t="str">
        <f>Tabla14[[#This Row],[Oficina]]&amp;Tabla14[[#This Row],[Material]]</f>
        <v>Agro Sudamerica1022783</v>
      </c>
      <c r="C302" t="s">
        <v>6</v>
      </c>
      <c r="D302" t="s">
        <v>17</v>
      </c>
      <c r="E302">
        <v>1022783</v>
      </c>
      <c r="F302" t="s">
        <v>658</v>
      </c>
      <c r="G302" t="s">
        <v>76</v>
      </c>
      <c r="H302" t="s">
        <v>79</v>
      </c>
      <c r="I302" s="7">
        <f>IFERROR(IF(Tabla14[[#This Row],[Oficina]]=$I$7,VLOOKUP(Tabla14[[#This Row],[Material]],'[6]RV Producción'!$Y:$AA,3,FALSE),VLOOKUP(Tabla14[[#This Row],[Llave]],'[6]RV Producción'!$C:$G,5,FALSE)),0)</f>
        <v>0</v>
      </c>
      <c r="J302" s="7">
        <f>IFERROR(IF(Tabla14[[#This Row],[Oficina]]=$I$7,VLOOKUP(Tabla14[[#This Row],[Llave]],'[7]Shangai (Tomas)'!$A:$F,6,FALSE),VLOOKUP(Tabla14[[#This Row],[Llave]],'[6]RV plan de ventas'!$A:$E,5,FALSE)),0)</f>
        <v>0</v>
      </c>
      <c r="K302" s="8">
        <f>IFERROR(VLOOKUP(Tabla14[[#This Row],[Sector]]&amp;Tabla14[[#This Row],[Oficina]],[8]Ponderación!$A$3:$G$22,7,FALSE),0)</f>
        <v>0.3545854356400317</v>
      </c>
      <c r="L302" s="7">
        <f>+Tabla14[[#This Row],[ RV Producción mes n+1]]*Tabla14[[#This Row],[% Uti. producción]]</f>
        <v>0</v>
      </c>
      <c r="M302" s="7">
        <f>IFERROR(VLOOKUP(Tabla14[[#This Row],[Material]],'[9]TD Stock'!$B:$C,2,FALSE),0)</f>
        <v>0</v>
      </c>
      <c r="N302" s="15">
        <f>IFERROR(VLOOKUP(Tabla14[[#This Row],[Material]],'[10]Consolidado planificación'!$B:$C,2,FALSE),0)</f>
        <v>0</v>
      </c>
      <c r="O302" s="7">
        <f>IFERROR(VLOOKUP(Tabla14[[#This Row],[Llave]],[11]Hoja2!$D:$G,4,FALSE),0)</f>
        <v>0</v>
      </c>
      <c r="P302" s="37">
        <f>SUM(Tabla14[[#This Row],[Producción disponible]],Tabla14[[#This Row],[Stock al día]],(Tabla14[[#This Row],[Por producir mes N]]*0.9))-Tabla14[[#This Row],[Producción por despachar mes N]]</f>
        <v>0</v>
      </c>
      <c r="Q302" s="15">
        <f>IFERROR(VLOOKUP(Tabla14[[#This Row],[Llave]],[9]DELAY!$A:$D,4,FALSE),0)</f>
        <v>7740</v>
      </c>
      <c r="R302" s="75">
        <v>23000</v>
      </c>
      <c r="S302" s="5">
        <f t="shared" si="9"/>
        <v>0</v>
      </c>
      <c r="T302" s="76">
        <v>0</v>
      </c>
      <c r="U302" s="5">
        <f>+Tabla14[[#This Row],[Atraso a facturar]]+Tabla14[[#This Row],[Ajuste atraso]]</f>
        <v>0</v>
      </c>
      <c r="V302" s="3">
        <f>+Tabla14[[#This Row],[Total disponible]]-Tabla14[[#This Row],[Facturación atraso]]</f>
        <v>0</v>
      </c>
      <c r="W302" s="6">
        <f>IFERROR(IF(AND(V302&gt;R302,J302&gt;=R302),ROUNDDOWN((Tabla14[[#This Row],[Producción para venta nueva]])/R302,0)*R302,0),0)</f>
        <v>0</v>
      </c>
      <c r="X302" s="76">
        <v>0</v>
      </c>
      <c r="Y302" s="6">
        <f>IF(Tabla14[[#This Row],[Venta del mes]]&gt;0,Tabla14[[#This Row],[Venta del mes]]+Tabla14[[#This Row],[Ajuste venta nueva]],0)</f>
        <v>0</v>
      </c>
      <c r="Z302" s="6">
        <f>+Tabla14[[#This Row],[Producción para venta nueva]]-Tabla14[[#This Row],[Facturación Venta nueva]]</f>
        <v>0</v>
      </c>
      <c r="AA302" s="6">
        <f>IF(AND(A302=1,Tabla14[[#This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2" s="6">
        <v>0</v>
      </c>
      <c r="AC302" s="6">
        <f>IF(Tabla14[[#This Row],[Disponible stock sin venta]]&gt;0,Tabla14[[#This Row],[Disponible stock sin venta]]+Tabla14[[#This Row],[Ajuste stock sin venta]],0)</f>
        <v>0</v>
      </c>
      <c r="AD302" s="3">
        <f>IFERROR(VLOOKUP(Tabla14[[#This Row],[Llave]],[12]Hoja1!$A:$D,4,FALSE),0)</f>
        <v>0</v>
      </c>
      <c r="AE302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2" s="3" t="b">
        <v>0</v>
      </c>
      <c r="AG302" s="3">
        <f>+Tabla14[[#This Row],[En puerto a facturar]]</f>
        <v>0</v>
      </c>
      <c r="AH302" s="3">
        <f>+Tabla14[[#This Row],[Facturación atraso]]</f>
        <v>0</v>
      </c>
      <c r="AI302" s="3">
        <f>+Tabla14[[#This Row],[Plan Irrestricto (DATO)]]-Tabla14[[#This Row],[Puerto ]]-Tabla14[[#This Row],[Atraso]]</f>
        <v>0</v>
      </c>
      <c r="AJ302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2" s="3">
        <f>+Tabla14[[#This Row],[Facturación atraso]]</f>
        <v>0</v>
      </c>
      <c r="AL302" s="3">
        <f>Tabla14[[#This Row],[Plan Ajustado]]-Tabla14[[#This Row],[ Atraso ajustado]]-Tabla14[[#This Row],[En puerto a facturar]]</f>
        <v>0</v>
      </c>
      <c r="AM302" s="3">
        <v>0</v>
      </c>
      <c r="AN302" s="3" t="e">
        <v>#REF!</v>
      </c>
      <c r="AO302" s="3" t="str">
        <f>IF(Tabla14[[#This Row],[Plan Ajustado]]&gt;Tabla14[[#This Row],[En puerto a facturar]],"Si","No")</f>
        <v>No</v>
      </c>
      <c r="AP302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2" s="3">
        <f>IF(Tabla14[[#This Row],[Necesidad]]&gt;=Tabla14[[#This Row],[Stock al día]],Tabla14[[#This Row],[Stock al día]],Tabla14[[#This Row],[Necesidad]])</f>
        <v>0</v>
      </c>
      <c r="AR302" s="3">
        <f>+Tabla14[[#This Row],[Necesidad]]-Tabla14[[#This Row],[Stock Plan]]</f>
        <v>0</v>
      </c>
      <c r="AS302" s="155">
        <f>VLOOKUP(Tabla14[[#This Row],[Sector]]&amp;Tabla14[[#This Row],[Oficina]],[8]Ponderación!$A:$H,8,FALSE)</f>
        <v>44813</v>
      </c>
      <c r="AT302" s="30">
        <f>IFERROR(VLOOKUP(Tabla14[[#This Row],[Llave]],'[6]RV plan de ventas'!$A:$F,6,FALSE),0)</f>
        <v>0</v>
      </c>
      <c r="AU302" s="83">
        <f>IFERROR(VLOOKUP(Tabla14[[#This Row],[Llave]],[9]DELAY!$H:$X,17,FALSE),0)</f>
        <v>7.8294573643410796</v>
      </c>
      <c r="AV30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2" s="5">
        <f>Tabla14[[#This Row],[Pecio plan]]*Tabla14[[#This Row],[Plan Ajustado]]</f>
        <v>0</v>
      </c>
      <c r="AX302" s="30">
        <f>IFERROR(VLOOKUP(Tabla14[[#This Row],[Llave]],'[13]Ultimos precios facturados'!$A:$G,7,FALSE),0)</f>
        <v>7.8038713556981198</v>
      </c>
      <c r="AY302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2" s="30">
        <f>IFERROR(VLOOKUP(Tabla14[[#This Row],[Llave]],Hoja2!B:K,10,FALSE),0)</f>
        <v>0</v>
      </c>
      <c r="BA30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7.8038713556981198</v>
      </c>
      <c r="BB302" s="30">
        <v>0</v>
      </c>
      <c r="BC302" s="30">
        <f>IF(Tabla14[[#This Row],[Market]]=0,Tabla14[[#This Row],[Precio Final]],Tabla14[[#This Row],[Market]])</f>
        <v>7.8038713556981198</v>
      </c>
      <c r="BD302" s="82"/>
      <c r="BE302" s="82" t="str">
        <f>IF(AND(Tabla14[[#This Row],[Atraso a facturar]]&gt;0,Tabla14[[#This Row],[En puerto a facturar]]&gt;0,Tabla14[[#This Row],[Precio Atraso]]=0),"Revisar","OK")</f>
        <v>OK</v>
      </c>
      <c r="BF302" s="82" t="str">
        <f>IF(AND(Tabla14[[#This Row],[Venta del mes]]&gt;0,Tabla14[[#This Row],[Precio venta nueva]]=0),"Revisar","OK")</f>
        <v>OK</v>
      </c>
      <c r="BG302" s="20">
        <f>IFERROR(VLOOKUP(Tabla14[[#This Row],[Llave]],'[5]Consolidación planes'!$A:$M,9,FALSE),0)</f>
        <v>0</v>
      </c>
      <c r="BH302" s="20">
        <f>IFERROR(VLOOKUP(Tabla14[[#This Row],[Llave]],'[5]Consolidación planes'!$A:$M,10,FALSE),0)</f>
        <v>15600</v>
      </c>
      <c r="BI302" s="20">
        <f>IFERROR(VLOOKUP(Tabla14[[#This Row],[Llave]],'[5]Consolidación planes'!$A:$M,11,FALSE),0)</f>
        <v>0</v>
      </c>
      <c r="BJ302" s="20">
        <f>IFERROR(VLOOKUP(Tabla14[[#This Row],[Llave]],'[5]Consolidación planes'!$A:$M,12,FALSE),0)</f>
        <v>0</v>
      </c>
      <c r="BK302" s="20">
        <f>IFERROR(VLOOKUP(Tabla14[[#This Row],[Llave]],'[5]Consolidación planes'!$A:$M,13,FALSE),0)</f>
        <v>0</v>
      </c>
      <c r="BL302" s="20">
        <f>IFERROR(VLOOKUP(Tabla14[[#This Row],[Llave]],'[13]Base ultimos planes'!$A:$M,13,FALSE),0)</f>
        <v>4800</v>
      </c>
      <c r="BM302" s="20">
        <f>IFERROR(VLOOKUP(Tabla14[[#This Row],[Llave]],'[13]Cruce plan irrestricto'!$C:$M,10,FALSE),0)</f>
        <v>0</v>
      </c>
      <c r="BN302" s="20">
        <f>IFERROR(VLOOKUP(Tabla14[[#This Row],[Llave]],'[13]Cruce plan irrestricto'!$C:$M,11,FALSE),0)</f>
        <v>0</v>
      </c>
      <c r="BO302" s="80">
        <f>IFERROR(VLOOKUP(Tabla14[[#This Row],[Llave]],'[13]Base ultimos planes'!$O:$AA,8,FALSE),0)</f>
        <v>0</v>
      </c>
      <c r="BP302" s="20">
        <f>IFERROR(VLOOKUP(Tabla14[[#This Row],[Llave]],'[13]Base ultimos planes'!$O:$AA,9,FALSE),0)</f>
        <v>156468</v>
      </c>
      <c r="BQ302" s="20">
        <f>IFERROR(VLOOKUP(Tabla14[[#This Row],[Llave]],'[13]Base ultimos planes'!$O:$AA,10,FALSE),0)</f>
        <v>0</v>
      </c>
      <c r="BR302" s="20">
        <f>IFERROR(VLOOKUP(Tabla14[[#This Row],[Llave]],'[13]Base ultimos planes'!$O:$AA,11,FALSE),0)</f>
        <v>0</v>
      </c>
      <c r="BS302" s="20">
        <f>IFERROR(VLOOKUP(Tabla14[[#This Row],[Llave]],'[13]Base ultimos planes'!$O:$AA,12,FALSE),0)</f>
        <v>0</v>
      </c>
      <c r="BT302" s="20">
        <f>IFERROR(VLOOKUP(Tabla14[[#This Row],[Llave]],'[13]Base ultimos planes'!$O:$AA,13,FALSE),0)</f>
        <v>48384</v>
      </c>
      <c r="BU302" s="35"/>
      <c r="BV302" s="20">
        <f>Tabla14[[#This Row],[ RV Producción mes n+1]]-Tabla14[[#This Row],[Producción disponible]]+Tabla14[[#This Row],[Saldo Volumen disponible]]</f>
        <v>0</v>
      </c>
      <c r="BW302" s="20">
        <f>IFERROR(VLOOKUP(Tabla14[[#This Row],[Llave]],[14]Hoja2!$J:$N,4,FALSE),0)</f>
        <v>0</v>
      </c>
      <c r="BX302" s="20">
        <f>+Tabla14[[#This Row],[Asignación mes n+1]]*Tabla14[[#This Row],[% Uti. producción]]</f>
        <v>0</v>
      </c>
      <c r="BY302" s="20">
        <f>+Tabla14[[#This Row],[Ponderación mes n+1]]+Tabla14[[#This Row],[Saldo mes n-1]]</f>
        <v>0</v>
      </c>
      <c r="BZ302" s="20">
        <f>+Tabla14[[#This Row],[Asignación mes n+1]]-Tabla14[[#This Row],[Ponderación mes n+1]]</f>
        <v>0</v>
      </c>
      <c r="CA302" s="20">
        <f>IFERROR(VLOOKUP(Tabla14[[#This Row],[Llave]],[14]Hoja2!$J:$N,5,FALSE),0)</f>
        <v>0</v>
      </c>
      <c r="CB302" s="20">
        <f>+Tabla14[[#This Row],[Asignación mes n+2]]*Tabla14[[#This Row],[% Uti. producción]]</f>
        <v>0</v>
      </c>
      <c r="CC302" s="20">
        <f>+Tabla14[[#This Row],[Saldo mes n+2]]+Tabla14[[#This Row],[Ponderación mes n+2]]</f>
        <v>0</v>
      </c>
      <c r="CD302" s="20">
        <f>+Tabla14[[#This Row],[Asignación mes n+2]]-Tabla14[[#This Row],[Ponderación mes n+2]]</f>
        <v>0</v>
      </c>
    </row>
    <row r="303" spans="1:82" ht="16" x14ac:dyDescent="0.2">
      <c r="A303">
        <v>2</v>
      </c>
      <c r="B303" t="str">
        <f>Tabla14[[#This Row],[Oficina]]&amp;Tabla14[[#This Row],[Material]]</f>
        <v>Agro Sudamerica1022784</v>
      </c>
      <c r="C303" t="s">
        <v>6</v>
      </c>
      <c r="D303" t="s">
        <v>17</v>
      </c>
      <c r="E303">
        <v>1022784</v>
      </c>
      <c r="F303" t="s">
        <v>659</v>
      </c>
      <c r="G303" t="s">
        <v>76</v>
      </c>
      <c r="H303" t="s">
        <v>79</v>
      </c>
      <c r="I303" s="7">
        <f>IFERROR(IF(Tabla14[[#This Row],[Oficina]]=$I$7,VLOOKUP(Tabla14[[#This Row],[Material]],'[6]RV Producción'!$Y:$AA,3,FALSE),VLOOKUP(Tabla14[[#This Row],[Llave]],'[6]RV Producción'!$C:$G,5,FALSE)),0)</f>
        <v>5895</v>
      </c>
      <c r="J303" s="7">
        <f>IFERROR(IF(Tabla14[[#This Row],[Oficina]]=$I$7,VLOOKUP(Tabla14[[#This Row],[Llave]],'[7]Shangai (Tomas)'!$A:$F,6,FALSE),VLOOKUP(Tabla14[[#This Row],[Llave]],'[6]RV plan de ventas'!$A:$E,5,FALSE)),0)</f>
        <v>0</v>
      </c>
      <c r="K303" s="8">
        <f>IFERROR(VLOOKUP(Tabla14[[#This Row],[Sector]]&amp;Tabla14[[#This Row],[Oficina]],[8]Ponderación!$A$3:$G$22,7,FALSE),0)</f>
        <v>0.3545854356400317</v>
      </c>
      <c r="L303" s="7">
        <f>+Tabla14[[#This Row],[ RV Producción mes n+1]]*Tabla14[[#This Row],[% Uti. producción]]</f>
        <v>2090.2811430979868</v>
      </c>
      <c r="M303" s="7">
        <f>IFERROR(VLOOKUP(Tabla14[[#This Row],[Material]],'[9]TD Stock'!$B:$C,2,FALSE),0)</f>
        <v>0</v>
      </c>
      <c r="N303" s="15">
        <f>IFERROR(VLOOKUP(Tabla14[[#This Row],[Material]],'[10]Consolidado planificación'!$B:$C,2,FALSE),0)</f>
        <v>0</v>
      </c>
      <c r="O303" s="7">
        <f>IFERROR(VLOOKUP(Tabla14[[#This Row],[Llave]],[11]Hoja2!$D:$G,4,FALSE),0)</f>
        <v>0</v>
      </c>
      <c r="P303" s="37">
        <f>SUM(Tabla14[[#This Row],[Producción disponible]],Tabla14[[#This Row],[Stock al día]],(Tabla14[[#This Row],[Por producir mes N]]*0.9))-Tabla14[[#This Row],[Producción por despachar mes N]]</f>
        <v>2090.2811430979868</v>
      </c>
      <c r="Q303" s="15">
        <f>IFERROR(VLOOKUP(Tabla14[[#This Row],[Llave]],[9]DELAY!$A:$D,4,FALSE),0)</f>
        <v>5895</v>
      </c>
      <c r="R303" s="75">
        <v>3500</v>
      </c>
      <c r="S303" s="5">
        <f t="shared" si="9"/>
        <v>0</v>
      </c>
      <c r="T303" s="76">
        <v>0</v>
      </c>
      <c r="U303" s="5">
        <f>+Tabla14[[#This Row],[Atraso a facturar]]+Tabla14[[#This Row],[Ajuste atraso]]</f>
        <v>0</v>
      </c>
      <c r="V303" s="3">
        <f>+Tabla14[[#This Row],[Total disponible]]-Tabla14[[#This Row],[Facturación atraso]]</f>
        <v>2090.2811430979868</v>
      </c>
      <c r="W303" s="6">
        <f>IFERROR(IF(AND(V303&gt;R303,J303&gt;=R303),ROUNDDOWN((Tabla14[[#This Row],[Producción para venta nueva]])/R303,0)*R303,0),0)</f>
        <v>0</v>
      </c>
      <c r="X303" s="76">
        <v>0</v>
      </c>
      <c r="Y303" s="6">
        <f>IF(Tabla14[[#This Row],[Venta del mes]]&gt;0,Tabla14[[#This Row],[Venta del mes]]+Tabla14[[#This Row],[Ajuste venta nueva]],0)</f>
        <v>0</v>
      </c>
      <c r="Z303" s="6">
        <f>+Tabla14[[#This Row],[Producción para venta nueva]]-Tabla14[[#This Row],[Facturación Venta nueva]]</f>
        <v>2090.2811430979868</v>
      </c>
      <c r="AA303" s="6">
        <f>IF(AND(A303=1,Tabla14[[#This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3" s="6">
        <v>0</v>
      </c>
      <c r="AC303" s="6">
        <f>IF(Tabla14[[#This Row],[Disponible stock sin venta]]&gt;0,Tabla14[[#This Row],[Disponible stock sin venta]]+Tabla14[[#This Row],[Ajuste stock sin venta]],0)</f>
        <v>0</v>
      </c>
      <c r="AD303" s="3">
        <f>IFERROR(VLOOKUP(Tabla14[[#This Row],[Llave]],[12]Hoja1!$A:$D,4,FALSE),0)</f>
        <v>0</v>
      </c>
      <c r="AE30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3" s="3">
        <v>0</v>
      </c>
      <c r="AG303" s="3">
        <f>+Tabla14[[#This Row],[En puerto a facturar]]</f>
        <v>0</v>
      </c>
      <c r="AH303" s="3">
        <f>+Tabla14[[#This Row],[Facturación atraso]]</f>
        <v>0</v>
      </c>
      <c r="AI303" s="3">
        <f>+Tabla14[[#This Row],[Plan Irrestricto (DATO)]]-Tabla14[[#This Row],[Puerto ]]-Tabla14[[#This Row],[Atraso]]</f>
        <v>0</v>
      </c>
      <c r="AJ30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3" s="3">
        <f>+Tabla14[[#This Row],[Facturación atraso]]</f>
        <v>0</v>
      </c>
      <c r="AL303" s="3">
        <f>Tabla14[[#This Row],[Plan Ajustado]]-Tabla14[[#This Row],[ Atraso ajustado]]-Tabla14[[#This Row],[En puerto a facturar]]</f>
        <v>0</v>
      </c>
      <c r="AM303" s="3">
        <v>0</v>
      </c>
      <c r="AN303" s="3" t="e">
        <v>#REF!</v>
      </c>
      <c r="AO303" s="3" t="str">
        <f>IF(Tabla14[[#This Row],[Plan Ajustado]]&gt;Tabla14[[#This Row],[En puerto a facturar]],"Si","No")</f>
        <v>No</v>
      </c>
      <c r="AP30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3" s="3">
        <f>IF(Tabla14[[#This Row],[Necesidad]]&gt;=Tabla14[[#This Row],[Stock al día]],Tabla14[[#This Row],[Stock al día]],Tabla14[[#This Row],[Necesidad]])</f>
        <v>0</v>
      </c>
      <c r="AR303" s="3">
        <f>+Tabla14[[#This Row],[Necesidad]]-Tabla14[[#This Row],[Stock Plan]]</f>
        <v>0</v>
      </c>
      <c r="AS303" s="155">
        <f>VLOOKUP(Tabla14[[#This Row],[Sector]]&amp;Tabla14[[#This Row],[Oficina]],[8]Ponderación!$A:$H,8,FALSE)</f>
        <v>44813</v>
      </c>
      <c r="AT303" s="30">
        <f>IFERROR(VLOOKUP(Tabla14[[#This Row],[Llave]],'[6]RV plan de ventas'!$A:$F,6,FALSE),0)</f>
        <v>0</v>
      </c>
      <c r="AU303" s="83">
        <f>IFERROR(VLOOKUP(Tabla14[[#This Row],[Llave]],[9]DELAY!$H:$X,17,FALSE),0)</f>
        <v>7.7099236641221403</v>
      </c>
      <c r="AV30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3" s="5">
        <f>Tabla14[[#This Row],[Pecio plan]]*Tabla14[[#This Row],[Plan Ajustado]]</f>
        <v>0</v>
      </c>
      <c r="AX303" s="30">
        <f>IFERROR(VLOOKUP(Tabla14[[#This Row],[Llave]],'[13]Ultimos precios facturados'!$A:$G,7,FALSE),0)</f>
        <v>7.6725485156912638</v>
      </c>
      <c r="AY303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3" s="30">
        <f>IFERROR(VLOOKUP(Tabla14[[#This Row],[Llave]],Hoja2!B:K,10,FALSE),0)</f>
        <v>0</v>
      </c>
      <c r="BA30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03" s="30">
        <v>0</v>
      </c>
      <c r="BC303" s="30">
        <f>IF(Tabla14[[#This Row],[Market]]=0,Tabla14[[#This Row],[Precio Final]],Tabla14[[#This Row],[Market]])</f>
        <v>0</v>
      </c>
      <c r="BD303" s="82"/>
      <c r="BE303" s="82" t="str">
        <f>IF(AND(Tabla14[[#This Row],[Atraso a facturar]]&gt;0,Tabla14[[#This Row],[En puerto a facturar]]&gt;0,Tabla14[[#This Row],[Precio Atraso]]=0),"Revisar","OK")</f>
        <v>OK</v>
      </c>
      <c r="BF303" s="82" t="str">
        <f>IF(AND(Tabla14[[#This Row],[Venta del mes]]&gt;0,Tabla14[[#This Row],[Precio venta nueva]]=0),"Revisar","OK")</f>
        <v>OK</v>
      </c>
      <c r="BG303" s="20">
        <f>IFERROR(VLOOKUP(Tabla14[[#This Row],[Llave]],'[5]Consolidación planes'!$A:$M,9,FALSE),0)</f>
        <v>0</v>
      </c>
      <c r="BH303" s="20">
        <f>IFERROR(VLOOKUP(Tabla14[[#This Row],[Llave]],'[5]Consolidación planes'!$A:$M,10,FALSE),0)</f>
        <v>0</v>
      </c>
      <c r="BI303" s="20">
        <f>IFERROR(VLOOKUP(Tabla14[[#This Row],[Llave]],'[5]Consolidación planes'!$A:$M,11,FALSE),0)</f>
        <v>0</v>
      </c>
      <c r="BJ303" s="20">
        <f>IFERROR(VLOOKUP(Tabla14[[#This Row],[Llave]],'[5]Consolidación planes'!$A:$M,12,FALSE),0)</f>
        <v>0</v>
      </c>
      <c r="BK303" s="20">
        <f>IFERROR(VLOOKUP(Tabla14[[#This Row],[Llave]],'[5]Consolidación planes'!$A:$M,13,FALSE),0)</f>
        <v>0</v>
      </c>
      <c r="BL303" s="20">
        <f>IFERROR(VLOOKUP(Tabla14[[#This Row],[Llave]],'[13]Base ultimos planes'!$A:$M,13,FALSE),0)</f>
        <v>900</v>
      </c>
      <c r="BM303" s="20">
        <f>IFERROR(VLOOKUP(Tabla14[[#This Row],[Llave]],'[13]Cruce plan irrestricto'!$C:$M,10,FALSE),0)</f>
        <v>0</v>
      </c>
      <c r="BN303" s="20">
        <f>IFERROR(VLOOKUP(Tabla14[[#This Row],[Llave]],'[13]Cruce plan irrestricto'!$C:$M,11,FALSE),0)</f>
        <v>0</v>
      </c>
      <c r="BO303" s="80">
        <f>IFERROR(VLOOKUP(Tabla14[[#This Row],[Llave]],'[13]Base ultimos planes'!$O:$AA,8,FALSE),0)</f>
        <v>0</v>
      </c>
      <c r="BP303" s="20">
        <f>IFERROR(VLOOKUP(Tabla14[[#This Row],[Llave]],'[13]Base ultimos planes'!$O:$AA,9,FALSE),0)</f>
        <v>0</v>
      </c>
      <c r="BQ303" s="20">
        <f>IFERROR(VLOOKUP(Tabla14[[#This Row],[Llave]],'[13]Base ultimos planes'!$O:$AA,10,FALSE),0)</f>
        <v>0</v>
      </c>
      <c r="BR303" s="20">
        <f>IFERROR(VLOOKUP(Tabla14[[#This Row],[Llave]],'[13]Base ultimos planes'!$O:$AA,11,FALSE),0)</f>
        <v>0</v>
      </c>
      <c r="BS303" s="20">
        <f>IFERROR(VLOOKUP(Tabla14[[#This Row],[Llave]],'[13]Base ultimos planes'!$O:$AA,12,FALSE),0)</f>
        <v>0</v>
      </c>
      <c r="BT303" s="20">
        <f>IFERROR(VLOOKUP(Tabla14[[#This Row],[Llave]],'[13]Base ultimos planes'!$O:$AA,13,FALSE),0)</f>
        <v>9072</v>
      </c>
      <c r="BU303" s="35"/>
      <c r="BV303" s="20">
        <f>Tabla14[[#This Row],[ RV Producción mes n+1]]-Tabla14[[#This Row],[Producción disponible]]+Tabla14[[#This Row],[Saldo Volumen disponible]]</f>
        <v>5895</v>
      </c>
      <c r="BW303" s="20">
        <f>IFERROR(VLOOKUP(Tabla14[[#This Row],[Llave]],[14]Hoja2!$J:$N,4,FALSE),0)</f>
        <v>0</v>
      </c>
      <c r="BX303" s="20">
        <f>+Tabla14[[#This Row],[Asignación mes n+1]]*Tabla14[[#This Row],[% Uti. producción]]</f>
        <v>0</v>
      </c>
      <c r="BY303" s="20">
        <f>+Tabla14[[#This Row],[Ponderación mes n+1]]+Tabla14[[#This Row],[Saldo mes n-1]]</f>
        <v>5895</v>
      </c>
      <c r="BZ303" s="20">
        <f>+Tabla14[[#This Row],[Asignación mes n+1]]-Tabla14[[#This Row],[Ponderación mes n+1]]</f>
        <v>0</v>
      </c>
      <c r="CA303" s="20">
        <f>IFERROR(VLOOKUP(Tabla14[[#This Row],[Llave]],[14]Hoja2!$J:$N,5,FALSE),0)</f>
        <v>5895</v>
      </c>
      <c r="CB303" s="20">
        <f>+Tabla14[[#This Row],[Asignación mes n+2]]*Tabla14[[#This Row],[% Uti. producción]]</f>
        <v>2090.2811430979868</v>
      </c>
      <c r="CC303" s="20">
        <f>+Tabla14[[#This Row],[Saldo mes n+2]]+Tabla14[[#This Row],[Ponderación mes n+2]]</f>
        <v>2090.2811430979868</v>
      </c>
      <c r="CD303" s="20">
        <f>+Tabla14[[#This Row],[Asignación mes n+2]]-Tabla14[[#This Row],[Ponderación mes n+2]]</f>
        <v>3804.7188569020132</v>
      </c>
    </row>
    <row r="304" spans="1:82" ht="16" x14ac:dyDescent="0.2">
      <c r="A304">
        <v>2</v>
      </c>
      <c r="B304" t="str">
        <f>Tabla14[[#This Row],[Oficina]]&amp;Tabla14[[#This Row],[Material]]</f>
        <v>Agrosuper Brasil1022782</v>
      </c>
      <c r="C304" t="s">
        <v>6</v>
      </c>
      <c r="D304" t="s">
        <v>7</v>
      </c>
      <c r="E304">
        <v>1022782</v>
      </c>
      <c r="F304" t="s">
        <v>657</v>
      </c>
      <c r="G304" t="s">
        <v>76</v>
      </c>
      <c r="H304" t="s">
        <v>79</v>
      </c>
      <c r="I304" s="7">
        <f>IFERROR(IF(Tabla14[[#This Row],[Oficina]]=$I$7,VLOOKUP(Tabla14[[#This Row],[Material]],'[6]RV Producción'!$Y:$AA,3,FALSE),VLOOKUP(Tabla14[[#This Row],[Llave]],'[6]RV Producción'!$C:$G,5,FALSE)),0)</f>
        <v>0</v>
      </c>
      <c r="J304" s="7">
        <f>IFERROR(IF(Tabla14[[#This Row],[Oficina]]=$I$7,VLOOKUP(Tabla14[[#This Row],[Llave]],'[7]Shangai (Tomas)'!$A:$F,6,FALSE),VLOOKUP(Tabla14[[#This Row],[Llave]],'[6]RV plan de ventas'!$A:$E,5,FALSE)),0)</f>
        <v>0</v>
      </c>
      <c r="K304" s="8">
        <f>IFERROR(VLOOKUP(Tabla14[[#This Row],[Sector]]&amp;Tabla14[[#This Row],[Oficina]],[8]Ponderación!$A$3:$G$22,7,FALSE),0)</f>
        <v>0.77338883776001444</v>
      </c>
      <c r="L304" s="7">
        <f>+Tabla14[[#This Row],[ RV Producción mes n+1]]*Tabla14[[#This Row],[% Uti. producción]]</f>
        <v>0</v>
      </c>
      <c r="M304" s="7">
        <f>IFERROR(VLOOKUP(Tabla14[[#This Row],[Material]],'[9]TD Stock'!$B:$C,2,FALSE),0)</f>
        <v>0</v>
      </c>
      <c r="N304" s="15">
        <f>IFERROR(VLOOKUP(Tabla14[[#This Row],[Material]],'[10]Consolidado planificación'!$B:$C,2,FALSE),0)</f>
        <v>0</v>
      </c>
      <c r="O304" s="7">
        <f>IFERROR(VLOOKUP(Tabla14[[#This Row],[Llave]],[11]Hoja2!$D:$G,4,FALSE),0)</f>
        <v>0</v>
      </c>
      <c r="P304" s="37">
        <f>SUM(Tabla14[[#This Row],[Producción disponible]],Tabla14[[#This Row],[Stock al día]],(Tabla14[[#This Row],[Por producir mes N]]*0.9))-Tabla14[[#This Row],[Producción por despachar mes N]]</f>
        <v>0</v>
      </c>
      <c r="Q304" s="15">
        <f>IFERROR(VLOOKUP(Tabla14[[#This Row],[Llave]],[9]DELAY!$A:$D,4,FALSE),0)</f>
        <v>0</v>
      </c>
      <c r="R304" s="75">
        <v>23000</v>
      </c>
      <c r="S304" s="5">
        <f t="shared" si="9"/>
        <v>0</v>
      </c>
      <c r="T304" s="76">
        <v>0</v>
      </c>
      <c r="U304" s="5">
        <f>+Tabla14[[#This Row],[Atraso a facturar]]+Tabla14[[#This Row],[Ajuste atraso]]</f>
        <v>0</v>
      </c>
      <c r="V304" s="3">
        <f>+Tabla14[[#This Row],[Total disponible]]-Tabla14[[#This Row],[Facturación atraso]]</f>
        <v>0</v>
      </c>
      <c r="W304" s="6">
        <f>IFERROR(IF(AND(V304&gt;R304,J304&gt;=R304),ROUNDDOWN((Tabla14[[#This Row],[Producción para venta nueva]])/R304,0)*R304,0),0)</f>
        <v>0</v>
      </c>
      <c r="X304" s="76">
        <v>0</v>
      </c>
      <c r="Y304" s="6">
        <f>IF(Tabla14[[#This Row],[Venta del mes]]&gt;0,Tabla14[[#This Row],[Venta del mes]]+Tabla14[[#This Row],[Ajuste venta nueva]],0)</f>
        <v>0</v>
      </c>
      <c r="Z304" s="6">
        <f>+Tabla14[[#This Row],[Producción para venta nueva]]-Tabla14[[#This Row],[Facturación Venta nueva]]</f>
        <v>0</v>
      </c>
      <c r="AA304" s="6">
        <f>IF(AND(A304=1,Tabla14[[#This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4" s="6">
        <v>0</v>
      </c>
      <c r="AC304" s="6">
        <f>IF(Tabla14[[#This Row],[Disponible stock sin venta]]&gt;0,Tabla14[[#This Row],[Disponible stock sin venta]]+Tabla14[[#This Row],[Ajuste stock sin venta]],0)</f>
        <v>0</v>
      </c>
      <c r="AD304" s="3">
        <f>IFERROR(VLOOKUP(Tabla14[[#This Row],[Llave]],[12]Hoja1!$A:$D,4,FALSE),0)</f>
        <v>0</v>
      </c>
      <c r="AE304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4" s="3" t="b">
        <v>0</v>
      </c>
      <c r="AG304" s="3">
        <f>+Tabla14[[#This Row],[En puerto a facturar]]</f>
        <v>0</v>
      </c>
      <c r="AH304" s="3">
        <f>+Tabla14[[#This Row],[Facturación atraso]]</f>
        <v>0</v>
      </c>
      <c r="AI304" s="3">
        <f>+Tabla14[[#This Row],[Plan Irrestricto (DATO)]]-Tabla14[[#This Row],[Puerto ]]-Tabla14[[#This Row],[Atraso]]</f>
        <v>0</v>
      </c>
      <c r="AJ30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4" s="3">
        <f>+Tabla14[[#This Row],[Facturación atraso]]</f>
        <v>0</v>
      </c>
      <c r="AL304" s="3">
        <f>Tabla14[[#This Row],[Plan Ajustado]]-Tabla14[[#This Row],[ Atraso ajustado]]-Tabla14[[#This Row],[En puerto a facturar]]</f>
        <v>0</v>
      </c>
      <c r="AM304" s="3">
        <v>0</v>
      </c>
      <c r="AN304" s="3"/>
      <c r="AO304" s="3" t="str">
        <f>IF(Tabla14[[#This Row],[Plan Ajustado]]&gt;Tabla14[[#This Row],[En puerto a facturar]],"Si","No")</f>
        <v>No</v>
      </c>
      <c r="AP30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4" s="3">
        <f>IF(Tabla14[[#This Row],[Necesidad]]&gt;=Tabla14[[#This Row],[Stock al día]],Tabla14[[#This Row],[Stock al día]],Tabla14[[#This Row],[Necesidad]])</f>
        <v>0</v>
      </c>
      <c r="AR304" s="3">
        <f>+Tabla14[[#This Row],[Necesidad]]-Tabla14[[#This Row],[Stock Plan]]</f>
        <v>0</v>
      </c>
      <c r="AS304" s="155">
        <f>VLOOKUP(Tabla14[[#This Row],[Sector]]&amp;Tabla14[[#This Row],[Oficina]],[8]Ponderación!$A:$H,8,FALSE)</f>
        <v>44817</v>
      </c>
      <c r="AT304" s="30">
        <f>IFERROR(VLOOKUP(Tabla14[[#This Row],[Llave]],'[6]RV plan de ventas'!$A:$F,6,FALSE),0)</f>
        <v>0</v>
      </c>
      <c r="AU304" s="83">
        <f>IFERROR(VLOOKUP(Tabla14[[#This Row],[Llave]],[9]DELAY!$H:$X,17,FALSE),0)</f>
        <v>0</v>
      </c>
      <c r="AV30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4" s="5">
        <f>Tabla14[[#This Row],[Pecio plan]]*Tabla14[[#This Row],[Plan Ajustado]]</f>
        <v>0</v>
      </c>
      <c r="AX304" s="30">
        <f>IFERROR(VLOOKUP(Tabla14[[#This Row],[Llave]],'[13]Ultimos precios facturados'!$A:$G,7,FALSE),0)</f>
        <v>8.3464566929133852</v>
      </c>
      <c r="AY304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4" s="30">
        <f>IFERROR(VLOOKUP(Tabla14[[#This Row],[Llave]],Hoja2!B:K,10,FALSE),0)</f>
        <v>0</v>
      </c>
      <c r="BA30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8.3464566929133852</v>
      </c>
      <c r="BB304" s="30">
        <v>0</v>
      </c>
      <c r="BC304" s="30">
        <f>IF(Tabla14[[#This Row],[Market]]=0,Tabla14[[#This Row],[Precio Final]],Tabla14[[#This Row],[Market]])</f>
        <v>8.3464566929133852</v>
      </c>
      <c r="BD304" s="82"/>
      <c r="BE304" s="82" t="str">
        <f>IF(AND(Tabla14[[#This Row],[Atraso a facturar]]&gt;0,Tabla14[[#This Row],[En puerto a facturar]]&gt;0,Tabla14[[#This Row],[Precio Atraso]]=0),"Revisar","OK")</f>
        <v>OK</v>
      </c>
      <c r="BF304" s="82" t="str">
        <f>IF(AND(Tabla14[[#This Row],[Venta del mes]]&gt;0,Tabla14[[#This Row],[Precio venta nueva]]=0),"Revisar","OK")</f>
        <v>OK</v>
      </c>
      <c r="BG304" s="20">
        <f>IFERROR(VLOOKUP(Tabla14[[#This Row],[Llave]],'[5]Consolidación planes'!$A:$M,9,FALSE),0)</f>
        <v>0</v>
      </c>
      <c r="BH304" s="20">
        <f>IFERROR(VLOOKUP(Tabla14[[#This Row],[Llave]],'[5]Consolidación planes'!$A:$M,10,FALSE),0)</f>
        <v>0</v>
      </c>
      <c r="BI304" s="20">
        <f>IFERROR(VLOOKUP(Tabla14[[#This Row],[Llave]],'[5]Consolidación planes'!$A:$M,11,FALSE),0)</f>
        <v>0</v>
      </c>
      <c r="BJ304" s="20">
        <f>IFERROR(VLOOKUP(Tabla14[[#This Row],[Llave]],'[5]Consolidación planes'!$A:$M,12,FALSE),0)</f>
        <v>0</v>
      </c>
      <c r="BK304" s="20">
        <f>IFERROR(VLOOKUP(Tabla14[[#This Row],[Llave]],'[5]Consolidación planes'!$A:$M,13,FALSE),0)</f>
        <v>0</v>
      </c>
      <c r="BL304" s="20">
        <f>IFERROR(VLOOKUP(Tabla14[[#This Row],[Llave]],'[13]Base ultimos planes'!$A:$M,13,FALSE),0)</f>
        <v>6240</v>
      </c>
      <c r="BM304" s="20">
        <f>IFERROR(VLOOKUP(Tabla14[[#This Row],[Llave]],'[13]Cruce plan irrestricto'!$C:$M,10,FALSE),0)</f>
        <v>0</v>
      </c>
      <c r="BN304" s="20">
        <f>IFERROR(VLOOKUP(Tabla14[[#This Row],[Llave]],'[13]Cruce plan irrestricto'!$C:$M,11,FALSE),0)</f>
        <v>0</v>
      </c>
      <c r="BO304" s="80">
        <f>IFERROR(VLOOKUP(Tabla14[[#This Row],[Llave]],'[13]Base ultimos planes'!$O:$AA,8,FALSE),0)</f>
        <v>0</v>
      </c>
      <c r="BP304" s="20">
        <f>IFERROR(VLOOKUP(Tabla14[[#This Row],[Llave]],'[13]Base ultimos planes'!$O:$AA,9,FALSE),0)</f>
        <v>0</v>
      </c>
      <c r="BQ304" s="20">
        <f>IFERROR(VLOOKUP(Tabla14[[#This Row],[Llave]],'[13]Base ultimos planes'!$O:$AA,10,FALSE),0)</f>
        <v>0</v>
      </c>
      <c r="BR304" s="20">
        <f>IFERROR(VLOOKUP(Tabla14[[#This Row],[Llave]],'[13]Base ultimos planes'!$O:$AA,11,FALSE),0)</f>
        <v>0</v>
      </c>
      <c r="BS304" s="20">
        <f>IFERROR(VLOOKUP(Tabla14[[#This Row],[Llave]],'[13]Base ultimos planes'!$O:$AA,12,FALSE),0)</f>
        <v>0</v>
      </c>
      <c r="BT304" s="20">
        <f>IFERROR(VLOOKUP(Tabla14[[#This Row],[Llave]],'[13]Base ultimos planes'!$O:$AA,13,FALSE),0)</f>
        <v>66144</v>
      </c>
      <c r="BU304" s="35"/>
      <c r="BV304" s="20">
        <f>Tabla14[[#This Row],[ RV Producción mes n+1]]-Tabla14[[#This Row],[Producción disponible]]+Tabla14[[#This Row],[Saldo Volumen disponible]]</f>
        <v>0</v>
      </c>
      <c r="BW304" s="20">
        <f>IFERROR(VLOOKUP(Tabla14[[#This Row],[Llave]],[14]Hoja2!$J:$N,4,FALSE),0)</f>
        <v>0</v>
      </c>
      <c r="BX304" s="20">
        <f>+Tabla14[[#This Row],[Asignación mes n+1]]*Tabla14[[#This Row],[% Uti. producción]]</f>
        <v>0</v>
      </c>
      <c r="BY304" s="20">
        <f>+Tabla14[[#This Row],[Ponderación mes n+1]]+Tabla14[[#This Row],[Saldo mes n-1]]</f>
        <v>0</v>
      </c>
      <c r="BZ304" s="20">
        <f>+Tabla14[[#This Row],[Asignación mes n+1]]-Tabla14[[#This Row],[Ponderación mes n+1]]</f>
        <v>0</v>
      </c>
      <c r="CA304" s="20">
        <f>IFERROR(VLOOKUP(Tabla14[[#This Row],[Llave]],[14]Hoja2!$J:$N,5,FALSE),0)</f>
        <v>0</v>
      </c>
      <c r="CB304" s="20">
        <f>+Tabla14[[#This Row],[Asignación mes n+2]]*Tabla14[[#This Row],[% Uti. producción]]</f>
        <v>0</v>
      </c>
      <c r="CC304" s="20">
        <f>+Tabla14[[#This Row],[Saldo mes n+2]]+Tabla14[[#This Row],[Ponderación mes n+2]]</f>
        <v>0</v>
      </c>
      <c r="CD304" s="20">
        <f>+Tabla14[[#This Row],[Asignación mes n+2]]-Tabla14[[#This Row],[Ponderación mes n+2]]</f>
        <v>0</v>
      </c>
    </row>
    <row r="305" spans="1:82" ht="16" x14ac:dyDescent="0.2">
      <c r="A305">
        <v>2</v>
      </c>
      <c r="B305" t="str">
        <f>Tabla14[[#This Row],[Oficina]]&amp;Tabla14[[#This Row],[Material]]</f>
        <v>Agrosuper Brasil1022783</v>
      </c>
      <c r="C305" t="s">
        <v>6</v>
      </c>
      <c r="D305" t="s">
        <v>7</v>
      </c>
      <c r="E305">
        <v>1022783</v>
      </c>
      <c r="F305" t="s">
        <v>658</v>
      </c>
      <c r="G305" t="s">
        <v>76</v>
      </c>
      <c r="H305" t="s">
        <v>79</v>
      </c>
      <c r="I305" s="7">
        <f>IFERROR(IF(Tabla14[[#This Row],[Oficina]]=$I$7,VLOOKUP(Tabla14[[#This Row],[Material]],'[6]RV Producción'!$Y:$AA,3,FALSE),VLOOKUP(Tabla14[[#This Row],[Llave]],'[6]RV Producción'!$C:$G,5,FALSE)),0)</f>
        <v>811</v>
      </c>
      <c r="J305" s="7">
        <f>IFERROR(IF(Tabla14[[#This Row],[Oficina]]=$I$7,VLOOKUP(Tabla14[[#This Row],[Llave]],'[7]Shangai (Tomas)'!$A:$F,6,FALSE),VLOOKUP(Tabla14[[#This Row],[Llave]],'[6]RV plan de ventas'!$A:$E,5,FALSE)),0)</f>
        <v>0</v>
      </c>
      <c r="K305" s="8">
        <f>IFERROR(VLOOKUP(Tabla14[[#This Row],[Sector]]&amp;Tabla14[[#This Row],[Oficina]],[8]Ponderación!$A$3:$G$22,7,FALSE),0)</f>
        <v>0.77338883776001444</v>
      </c>
      <c r="L305" s="7">
        <f>+Tabla14[[#This Row],[ RV Producción mes n+1]]*Tabla14[[#This Row],[% Uti. producción]]</f>
        <v>627.21834742337171</v>
      </c>
      <c r="M305" s="7">
        <f>IFERROR(VLOOKUP(Tabla14[[#This Row],[Material]],'[9]TD Stock'!$B:$C,2,FALSE),0)</f>
        <v>0</v>
      </c>
      <c r="N305" s="15">
        <f>IFERROR(VLOOKUP(Tabla14[[#This Row],[Material]],'[10]Consolidado planificación'!$B:$C,2,FALSE),0)</f>
        <v>0</v>
      </c>
      <c r="O305" s="7">
        <f>IFERROR(VLOOKUP(Tabla14[[#This Row],[Llave]],[11]Hoja2!$D:$G,4,FALSE),0)</f>
        <v>0</v>
      </c>
      <c r="P305" s="37">
        <f>SUM(Tabla14[[#This Row],[Producción disponible]],Tabla14[[#This Row],[Stock al día]],(Tabla14[[#This Row],[Por producir mes N]]*0.9))-Tabla14[[#This Row],[Producción por despachar mes N]]</f>
        <v>627.21834742337171</v>
      </c>
      <c r="Q305" s="15">
        <f>IFERROR(VLOOKUP(Tabla14[[#This Row],[Llave]],[9]DELAY!$A:$D,4,FALSE),0)</f>
        <v>0</v>
      </c>
      <c r="R305" s="75">
        <v>23000</v>
      </c>
      <c r="S305" s="5">
        <f t="shared" si="9"/>
        <v>0</v>
      </c>
      <c r="T305" s="76">
        <v>0</v>
      </c>
      <c r="U305" s="5">
        <f>+Tabla14[[#This Row],[Atraso a facturar]]+Tabla14[[#This Row],[Ajuste atraso]]</f>
        <v>0</v>
      </c>
      <c r="V305" s="3">
        <f>+Tabla14[[#This Row],[Total disponible]]-Tabla14[[#This Row],[Facturación atraso]]</f>
        <v>627.21834742337171</v>
      </c>
      <c r="W305" s="6">
        <f>IFERROR(IF(AND(V305&gt;R305,J305&gt;=R305),ROUNDDOWN((Tabla14[[#This Row],[Producción para venta nueva]])/R305,0)*R305,0),0)</f>
        <v>0</v>
      </c>
      <c r="X305" s="76">
        <v>0</v>
      </c>
      <c r="Y305" s="6">
        <f>IF(Tabla14[[#This Row],[Venta del mes]]&gt;0,Tabla14[[#This Row],[Venta del mes]]+Tabla14[[#This Row],[Ajuste venta nueva]],0)</f>
        <v>0</v>
      </c>
      <c r="Z305" s="6">
        <f>+Tabla14[[#This Row],[Producción para venta nueva]]-Tabla14[[#This Row],[Facturación Venta nueva]]</f>
        <v>627.21834742337171</v>
      </c>
      <c r="AA305" s="6">
        <f>IF(AND(A305=1,Tabla14[[#This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5" s="6">
        <v>0</v>
      </c>
      <c r="AC305" s="6">
        <f>IF(Tabla14[[#This Row],[Disponible stock sin venta]]&gt;0,Tabla14[[#This Row],[Disponible stock sin venta]]+Tabla14[[#This Row],[Ajuste stock sin venta]],0)</f>
        <v>0</v>
      </c>
      <c r="AD305" s="3">
        <f>IFERROR(VLOOKUP(Tabla14[[#This Row],[Llave]],[12]Hoja1!$A:$D,4,FALSE),0)</f>
        <v>0</v>
      </c>
      <c r="AE30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5" s="3">
        <v>0</v>
      </c>
      <c r="AG305" s="3">
        <f>+Tabla14[[#This Row],[En puerto a facturar]]</f>
        <v>0</v>
      </c>
      <c r="AH305" s="3">
        <f>+Tabla14[[#This Row],[Facturación atraso]]</f>
        <v>0</v>
      </c>
      <c r="AI305" s="3">
        <f>+Tabla14[[#This Row],[Plan Irrestricto (DATO)]]-Tabla14[[#This Row],[Puerto ]]-Tabla14[[#This Row],[Atraso]]</f>
        <v>0</v>
      </c>
      <c r="AJ305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5" s="3">
        <f>+Tabla14[[#This Row],[Facturación atraso]]</f>
        <v>0</v>
      </c>
      <c r="AL305" s="3">
        <f>Tabla14[[#This Row],[Plan Ajustado]]-Tabla14[[#This Row],[ Atraso ajustado]]-Tabla14[[#This Row],[En puerto a facturar]]</f>
        <v>0</v>
      </c>
      <c r="AM305" s="3">
        <v>0</v>
      </c>
      <c r="AN305" s="3"/>
      <c r="AO305" s="3" t="str">
        <f>IF(Tabla14[[#This Row],[Plan Ajustado]]&gt;Tabla14[[#This Row],[En puerto a facturar]],"Si","No")</f>
        <v>No</v>
      </c>
      <c r="AP305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5" s="3">
        <f>IF(Tabla14[[#This Row],[Necesidad]]&gt;=Tabla14[[#This Row],[Stock al día]],Tabla14[[#This Row],[Stock al día]],Tabla14[[#This Row],[Necesidad]])</f>
        <v>0</v>
      </c>
      <c r="AR305" s="3">
        <f>+Tabla14[[#This Row],[Necesidad]]-Tabla14[[#This Row],[Stock Plan]]</f>
        <v>0</v>
      </c>
      <c r="AS305" s="155">
        <f>VLOOKUP(Tabla14[[#This Row],[Sector]]&amp;Tabla14[[#This Row],[Oficina]],[8]Ponderación!$A:$H,8,FALSE)</f>
        <v>44817</v>
      </c>
      <c r="AT305" s="30">
        <f>IFERROR(VLOOKUP(Tabla14[[#This Row],[Llave]],'[6]RV plan de ventas'!$A:$F,6,FALSE),0)</f>
        <v>0</v>
      </c>
      <c r="AU305" s="83">
        <f>IFERROR(VLOOKUP(Tabla14[[#This Row],[Llave]],[9]DELAY!$H:$X,17,FALSE),0)</f>
        <v>0</v>
      </c>
      <c r="AV30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5" s="5">
        <f>Tabla14[[#This Row],[Pecio plan]]*Tabla14[[#This Row],[Plan Ajustado]]</f>
        <v>0</v>
      </c>
      <c r="AX305" s="30">
        <f>IFERROR(VLOOKUP(Tabla14[[#This Row],[Llave]],'[13]Ultimos precios facturados'!$A:$G,7,FALSE),0)</f>
        <v>8.2170542635658901</v>
      </c>
      <c r="AY305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5" s="30">
        <f>IFERROR(VLOOKUP(Tabla14[[#This Row],[Llave]],Hoja2!B:K,10,FALSE),0)</f>
        <v>0</v>
      </c>
      <c r="BA30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05" s="30">
        <v>0</v>
      </c>
      <c r="BC305" s="30">
        <f>IF(Tabla14[[#This Row],[Market]]=0,Tabla14[[#This Row],[Precio Final]],Tabla14[[#This Row],[Market]])</f>
        <v>0</v>
      </c>
      <c r="BD305" s="82"/>
      <c r="BE305" s="82" t="str">
        <f>IF(AND(Tabla14[[#This Row],[Atraso a facturar]]&gt;0,Tabla14[[#This Row],[En puerto a facturar]]&gt;0,Tabla14[[#This Row],[Precio Atraso]]=0),"Revisar","OK")</f>
        <v>OK</v>
      </c>
      <c r="BF305" s="82" t="str">
        <f>IF(AND(Tabla14[[#This Row],[Venta del mes]]&gt;0,Tabla14[[#This Row],[Precio venta nueva]]=0),"Revisar","OK")</f>
        <v>OK</v>
      </c>
      <c r="BG305" s="20">
        <f>IFERROR(VLOOKUP(Tabla14[[#This Row],[Llave]],'[5]Consolidación planes'!$A:$M,9,FALSE),0)</f>
        <v>0</v>
      </c>
      <c r="BH305" s="20">
        <f>IFERROR(VLOOKUP(Tabla14[[#This Row],[Llave]],'[5]Consolidación planes'!$A:$M,10,FALSE),0)</f>
        <v>0</v>
      </c>
      <c r="BI305" s="20">
        <f>IFERROR(VLOOKUP(Tabla14[[#This Row],[Llave]],'[5]Consolidación planes'!$A:$M,11,FALSE),0)</f>
        <v>0</v>
      </c>
      <c r="BJ305" s="20">
        <f>IFERROR(VLOOKUP(Tabla14[[#This Row],[Llave]],'[5]Consolidación planes'!$A:$M,12,FALSE),0)</f>
        <v>0</v>
      </c>
      <c r="BK305" s="20">
        <f>IFERROR(VLOOKUP(Tabla14[[#This Row],[Llave]],'[5]Consolidación planes'!$A:$M,13,FALSE),0)</f>
        <v>0</v>
      </c>
      <c r="BL305" s="20">
        <f>IFERROR(VLOOKUP(Tabla14[[#This Row],[Llave]],'[13]Base ultimos planes'!$A:$M,13,FALSE),0)</f>
        <v>6480</v>
      </c>
      <c r="BM305" s="20">
        <f>IFERROR(VLOOKUP(Tabla14[[#This Row],[Llave]],'[13]Cruce plan irrestricto'!$C:$M,10,FALSE),0)</f>
        <v>0</v>
      </c>
      <c r="BN305" s="20">
        <f>IFERROR(VLOOKUP(Tabla14[[#This Row],[Llave]],'[13]Cruce plan irrestricto'!$C:$M,11,FALSE),0)</f>
        <v>0</v>
      </c>
      <c r="BO305" s="80">
        <f>IFERROR(VLOOKUP(Tabla14[[#This Row],[Llave]],'[13]Base ultimos planes'!$O:$AA,8,FALSE),0)</f>
        <v>0</v>
      </c>
      <c r="BP305" s="20">
        <f>IFERROR(VLOOKUP(Tabla14[[#This Row],[Llave]],'[13]Base ultimos planes'!$O:$AA,9,FALSE),0)</f>
        <v>0</v>
      </c>
      <c r="BQ305" s="20">
        <f>IFERROR(VLOOKUP(Tabla14[[#This Row],[Llave]],'[13]Base ultimos planes'!$O:$AA,10,FALSE),0)</f>
        <v>0</v>
      </c>
      <c r="BR305" s="20">
        <f>IFERROR(VLOOKUP(Tabla14[[#This Row],[Llave]],'[13]Base ultimos planes'!$O:$AA,11,FALSE),0)</f>
        <v>0</v>
      </c>
      <c r="BS305" s="20">
        <f>IFERROR(VLOOKUP(Tabla14[[#This Row],[Llave]],'[13]Base ultimos planes'!$O:$AA,12,FALSE),0)</f>
        <v>0</v>
      </c>
      <c r="BT305" s="20">
        <f>IFERROR(VLOOKUP(Tabla14[[#This Row],[Llave]],'[13]Base ultimos planes'!$O:$AA,13,FALSE),0)</f>
        <v>68688</v>
      </c>
      <c r="BU305" s="35"/>
      <c r="BV305" s="20">
        <f>Tabla14[[#This Row],[ RV Producción mes n+1]]-Tabla14[[#This Row],[Producción disponible]]+Tabla14[[#This Row],[Saldo Volumen disponible]]</f>
        <v>811</v>
      </c>
      <c r="BW305" s="20">
        <f>IFERROR(VLOOKUP(Tabla14[[#This Row],[Llave]],[14]Hoja2!$J:$N,4,FALSE),0)</f>
        <v>7740</v>
      </c>
      <c r="BX305" s="20">
        <f>+Tabla14[[#This Row],[Asignación mes n+1]]*Tabla14[[#This Row],[% Uti. producción]]</f>
        <v>5986.0296042625114</v>
      </c>
      <c r="BY305" s="20">
        <f>+Tabla14[[#This Row],[Ponderación mes n+1]]+Tabla14[[#This Row],[Saldo mes n-1]]</f>
        <v>6797.0296042625114</v>
      </c>
      <c r="BZ305" s="20">
        <f>+Tabla14[[#This Row],[Asignación mes n+1]]-Tabla14[[#This Row],[Ponderación mes n+1]]</f>
        <v>1753.9703957374886</v>
      </c>
      <c r="CA305" s="20">
        <f>IFERROR(VLOOKUP(Tabla14[[#This Row],[Llave]],[14]Hoja2!$J:$N,5,FALSE),0)</f>
        <v>9468.2613000000001</v>
      </c>
      <c r="CB305" s="20">
        <f>+Tabla14[[#This Row],[Asignación mes n+2]]*Tabla14[[#This Row],[% Uti. producción]]</f>
        <v>7322.6476024151234</v>
      </c>
      <c r="CC305" s="20">
        <f>+Tabla14[[#This Row],[Saldo mes n+2]]+Tabla14[[#This Row],[Ponderación mes n+2]]</f>
        <v>9076.6179981526111</v>
      </c>
      <c r="CD305" s="20">
        <f>+Tabla14[[#This Row],[Asignación mes n+2]]-Tabla14[[#This Row],[Ponderación mes n+2]]</f>
        <v>2145.6136975848767</v>
      </c>
    </row>
    <row r="306" spans="1:82" ht="16" x14ac:dyDescent="0.2">
      <c r="A306">
        <v>2</v>
      </c>
      <c r="B306" t="str">
        <f>Tabla14[[#This Row],[Oficina]]&amp;Tabla14[[#This Row],[Material]]</f>
        <v>Agrosuper Brasil1022784</v>
      </c>
      <c r="C306" t="s">
        <v>6</v>
      </c>
      <c r="D306" t="s">
        <v>7</v>
      </c>
      <c r="E306">
        <v>1022784</v>
      </c>
      <c r="F306" t="s">
        <v>659</v>
      </c>
      <c r="G306" t="s">
        <v>76</v>
      </c>
      <c r="H306" t="s">
        <v>79</v>
      </c>
      <c r="I306" s="7">
        <f>IFERROR(IF(Tabla14[[#This Row],[Oficina]]=$I$7,VLOOKUP(Tabla14[[#This Row],[Material]],'[6]RV Producción'!$Y:$AA,3,FALSE),VLOOKUP(Tabla14[[#This Row],[Llave]],'[6]RV Producción'!$C:$G,5,FALSE)),0)</f>
        <v>0</v>
      </c>
      <c r="J306" s="7">
        <f>IFERROR(IF(Tabla14[[#This Row],[Oficina]]=$I$7,VLOOKUP(Tabla14[[#This Row],[Llave]],'[7]Shangai (Tomas)'!$A:$F,6,FALSE),VLOOKUP(Tabla14[[#This Row],[Llave]],'[6]RV plan de ventas'!$A:$E,5,FALSE)),0)</f>
        <v>0</v>
      </c>
      <c r="K306" s="8">
        <f>IFERROR(VLOOKUP(Tabla14[[#This Row],[Sector]]&amp;Tabla14[[#This Row],[Oficina]],[8]Ponderación!$A$3:$G$22,7,FALSE),0)</f>
        <v>0.77338883776001444</v>
      </c>
      <c r="L306" s="7">
        <f>+Tabla14[[#This Row],[ RV Producción mes n+1]]*Tabla14[[#This Row],[% Uti. producción]]</f>
        <v>0</v>
      </c>
      <c r="M306" s="7">
        <f>IFERROR(VLOOKUP(Tabla14[[#This Row],[Material]],'[9]TD Stock'!$B:$C,2,FALSE),0)</f>
        <v>0</v>
      </c>
      <c r="N306" s="15">
        <f>IFERROR(VLOOKUP(Tabla14[[#This Row],[Material]],'[10]Consolidado planificación'!$B:$C,2,FALSE),0)</f>
        <v>0</v>
      </c>
      <c r="O306" s="7">
        <f>IFERROR(VLOOKUP(Tabla14[[#This Row],[Llave]],[11]Hoja2!$D:$G,4,FALSE),0)</f>
        <v>0</v>
      </c>
      <c r="P306" s="37">
        <f>SUM(Tabla14[[#This Row],[Producción disponible]],Tabla14[[#This Row],[Stock al día]],(Tabla14[[#This Row],[Por producir mes N]]*0.9))-Tabla14[[#This Row],[Producción por despachar mes N]]</f>
        <v>0</v>
      </c>
      <c r="Q306" s="15">
        <f>IFERROR(VLOOKUP(Tabla14[[#This Row],[Llave]],[9]DELAY!$A:$D,4,FALSE),0)</f>
        <v>0</v>
      </c>
      <c r="R306" s="75">
        <v>3500</v>
      </c>
      <c r="S306" s="5">
        <f t="shared" si="9"/>
        <v>0</v>
      </c>
      <c r="T306" s="76">
        <v>0</v>
      </c>
      <c r="U306" s="5">
        <f>+Tabla14[[#This Row],[Atraso a facturar]]+Tabla14[[#This Row],[Ajuste atraso]]</f>
        <v>0</v>
      </c>
      <c r="V306" s="3">
        <f>+Tabla14[[#This Row],[Total disponible]]-Tabla14[[#This Row],[Facturación atraso]]</f>
        <v>0</v>
      </c>
      <c r="W306" s="6">
        <f>IFERROR(IF(AND(V306&gt;R306,J306&gt;=R306),ROUNDDOWN((Tabla14[[#This Row],[Producción para venta nueva]])/R306,0)*R306,0),0)</f>
        <v>0</v>
      </c>
      <c r="X306" s="76">
        <v>0</v>
      </c>
      <c r="Y306" s="6">
        <f>IF(Tabla14[[#This Row],[Venta del mes]]&gt;0,Tabla14[[#This Row],[Venta del mes]]+Tabla14[[#This Row],[Ajuste venta nueva]],0)</f>
        <v>0</v>
      </c>
      <c r="Z306" s="6">
        <f>+Tabla14[[#This Row],[Producción para venta nueva]]-Tabla14[[#This Row],[Facturación Venta nueva]]</f>
        <v>0</v>
      </c>
      <c r="AA306" s="6">
        <f>IF(AND(A306=1,Tabla14[[#This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6" s="6">
        <v>0</v>
      </c>
      <c r="AC306" s="6">
        <f>IF(Tabla14[[#This Row],[Disponible stock sin venta]]&gt;0,Tabla14[[#This Row],[Disponible stock sin venta]]+Tabla14[[#This Row],[Ajuste stock sin venta]],0)</f>
        <v>0</v>
      </c>
      <c r="AD306" s="3">
        <f>IFERROR(VLOOKUP(Tabla14[[#This Row],[Llave]],[12]Hoja1!$A:$D,4,FALSE),0)</f>
        <v>0</v>
      </c>
      <c r="AE306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6" s="3" t="b">
        <v>0</v>
      </c>
      <c r="AG306" s="3">
        <f>+Tabla14[[#This Row],[En puerto a facturar]]</f>
        <v>0</v>
      </c>
      <c r="AH306" s="3">
        <f>+Tabla14[[#This Row],[Facturación atraso]]</f>
        <v>0</v>
      </c>
      <c r="AI306" s="3">
        <f>+Tabla14[[#This Row],[Plan Irrestricto (DATO)]]-Tabla14[[#This Row],[Puerto ]]-Tabla14[[#This Row],[Atraso]]</f>
        <v>0</v>
      </c>
      <c r="AJ306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6" s="3">
        <f>+Tabla14[[#This Row],[Facturación atraso]]</f>
        <v>0</v>
      </c>
      <c r="AL306" s="3">
        <f>Tabla14[[#This Row],[Plan Ajustado]]-Tabla14[[#This Row],[ Atraso ajustado]]-Tabla14[[#This Row],[En puerto a facturar]]</f>
        <v>0</v>
      </c>
      <c r="AM306" s="3">
        <v>0</v>
      </c>
      <c r="AN306" s="3"/>
      <c r="AO306" s="3" t="str">
        <f>IF(Tabla14[[#This Row],[Plan Ajustado]]&gt;Tabla14[[#This Row],[En puerto a facturar]],"Si","No")</f>
        <v>No</v>
      </c>
      <c r="AP306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6" s="3">
        <f>IF(Tabla14[[#This Row],[Necesidad]]&gt;=Tabla14[[#This Row],[Stock al día]],Tabla14[[#This Row],[Stock al día]],Tabla14[[#This Row],[Necesidad]])</f>
        <v>0</v>
      </c>
      <c r="AR306" s="3">
        <f>+Tabla14[[#This Row],[Necesidad]]-Tabla14[[#This Row],[Stock Plan]]</f>
        <v>0</v>
      </c>
      <c r="AS306" s="155">
        <f>VLOOKUP(Tabla14[[#This Row],[Sector]]&amp;Tabla14[[#This Row],[Oficina]],[8]Ponderación!$A:$H,8,FALSE)</f>
        <v>44817</v>
      </c>
      <c r="AT306" s="30">
        <f>IFERROR(VLOOKUP(Tabla14[[#This Row],[Llave]],'[6]RV plan de ventas'!$A:$F,6,FALSE),0)</f>
        <v>0</v>
      </c>
      <c r="AU306" s="83">
        <f>IFERROR(VLOOKUP(Tabla14[[#This Row],[Llave]],[9]DELAY!$H:$X,17,FALSE),0)</f>
        <v>0</v>
      </c>
      <c r="AV30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6" s="5">
        <f>Tabla14[[#This Row],[Pecio plan]]*Tabla14[[#This Row],[Plan Ajustado]]</f>
        <v>0</v>
      </c>
      <c r="AX306" s="30">
        <f>IFERROR(VLOOKUP(Tabla14[[#This Row],[Llave]],'[13]Ultimos precios facturados'!$A:$G,7,FALSE),0)</f>
        <v>8.0916030534351151</v>
      </c>
      <c r="AY306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6" s="30">
        <f>IFERROR(VLOOKUP(Tabla14[[#This Row],[Llave]],Hoja2!B:K,10,FALSE),0)</f>
        <v>0</v>
      </c>
      <c r="BA30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8.0916030534351151</v>
      </c>
      <c r="BB306" s="30">
        <v>0</v>
      </c>
      <c r="BC306" s="30">
        <f>IF(Tabla14[[#This Row],[Market]]=0,Tabla14[[#This Row],[Precio Final]],Tabla14[[#This Row],[Market]])</f>
        <v>8.0916030534351151</v>
      </c>
      <c r="BD306" s="82"/>
      <c r="BE306" s="82" t="str">
        <f>IF(AND(Tabla14[[#This Row],[Atraso a facturar]]&gt;0,Tabla14[[#This Row],[En puerto a facturar]]&gt;0,Tabla14[[#This Row],[Precio Atraso]]=0),"Revisar","OK")</f>
        <v>OK</v>
      </c>
      <c r="BF306" s="82" t="str">
        <f>IF(AND(Tabla14[[#This Row],[Venta del mes]]&gt;0,Tabla14[[#This Row],[Precio venta nueva]]=0),"Revisar","OK")</f>
        <v>OK</v>
      </c>
      <c r="BG306" s="20">
        <f>IFERROR(VLOOKUP(Tabla14[[#This Row],[Llave]],'[5]Consolidación planes'!$A:$M,9,FALSE),0)</f>
        <v>0</v>
      </c>
      <c r="BH306" s="20">
        <f>IFERROR(VLOOKUP(Tabla14[[#This Row],[Llave]],'[5]Consolidación planes'!$A:$M,10,FALSE),0)</f>
        <v>0</v>
      </c>
      <c r="BI306" s="20">
        <f>IFERROR(VLOOKUP(Tabla14[[#This Row],[Llave]],'[5]Consolidación planes'!$A:$M,11,FALSE),0)</f>
        <v>0</v>
      </c>
      <c r="BJ306" s="20">
        <f>IFERROR(VLOOKUP(Tabla14[[#This Row],[Llave]],'[5]Consolidación planes'!$A:$M,12,FALSE),0)</f>
        <v>0</v>
      </c>
      <c r="BK306" s="20">
        <f>IFERROR(VLOOKUP(Tabla14[[#This Row],[Llave]],'[5]Consolidación planes'!$A:$M,13,FALSE),0)</f>
        <v>0</v>
      </c>
      <c r="BL306" s="20">
        <f>IFERROR(VLOOKUP(Tabla14[[#This Row],[Llave]],'[13]Base ultimos planes'!$A:$M,13,FALSE),0)</f>
        <v>5175</v>
      </c>
      <c r="BM306" s="20">
        <f>IFERROR(VLOOKUP(Tabla14[[#This Row],[Llave]],'[13]Cruce plan irrestricto'!$C:$M,10,FALSE),0)</f>
        <v>0</v>
      </c>
      <c r="BN306" s="20">
        <f>IFERROR(VLOOKUP(Tabla14[[#This Row],[Llave]],'[13]Cruce plan irrestricto'!$C:$M,11,FALSE),0)</f>
        <v>0</v>
      </c>
      <c r="BO306" s="80">
        <f>IFERROR(VLOOKUP(Tabla14[[#This Row],[Llave]],'[13]Base ultimos planes'!$O:$AA,8,FALSE),0)</f>
        <v>0</v>
      </c>
      <c r="BP306" s="20">
        <f>IFERROR(VLOOKUP(Tabla14[[#This Row],[Llave]],'[13]Base ultimos planes'!$O:$AA,9,FALSE),0)</f>
        <v>0</v>
      </c>
      <c r="BQ306" s="20">
        <f>IFERROR(VLOOKUP(Tabla14[[#This Row],[Llave]],'[13]Base ultimos planes'!$O:$AA,10,FALSE),0)</f>
        <v>0</v>
      </c>
      <c r="BR306" s="20">
        <f>IFERROR(VLOOKUP(Tabla14[[#This Row],[Llave]],'[13]Base ultimos planes'!$O:$AA,11,FALSE),0)</f>
        <v>0</v>
      </c>
      <c r="BS306" s="20">
        <f>IFERROR(VLOOKUP(Tabla14[[#This Row],[Llave]],'[13]Base ultimos planes'!$O:$AA,12,FALSE),0)</f>
        <v>0</v>
      </c>
      <c r="BT306" s="20">
        <f>IFERROR(VLOOKUP(Tabla14[[#This Row],[Llave]],'[13]Base ultimos planes'!$O:$AA,13,FALSE),0)</f>
        <v>54855</v>
      </c>
      <c r="BU306" s="35"/>
      <c r="BV306" s="20">
        <f>Tabla14[[#This Row],[ RV Producción mes n+1]]-Tabla14[[#This Row],[Producción disponible]]+Tabla14[[#This Row],[Saldo Volumen disponible]]</f>
        <v>0</v>
      </c>
      <c r="BW306" s="20">
        <f>IFERROR(VLOOKUP(Tabla14[[#This Row],[Llave]],[14]Hoja2!$J:$N,4,FALSE),0)</f>
        <v>0</v>
      </c>
      <c r="BX306" s="20">
        <f>+Tabla14[[#This Row],[Asignación mes n+1]]*Tabla14[[#This Row],[% Uti. producción]]</f>
        <v>0</v>
      </c>
      <c r="BY306" s="20">
        <f>+Tabla14[[#This Row],[Ponderación mes n+1]]+Tabla14[[#This Row],[Saldo mes n-1]]</f>
        <v>0</v>
      </c>
      <c r="BZ306" s="20">
        <f>+Tabla14[[#This Row],[Asignación mes n+1]]-Tabla14[[#This Row],[Ponderación mes n+1]]</f>
        <v>0</v>
      </c>
      <c r="CA306" s="20">
        <f>IFERROR(VLOOKUP(Tabla14[[#This Row],[Llave]],[14]Hoja2!$J:$N,5,FALSE),0)</f>
        <v>0</v>
      </c>
      <c r="CB306" s="20">
        <f>+Tabla14[[#This Row],[Asignación mes n+2]]*Tabla14[[#This Row],[% Uti. producción]]</f>
        <v>0</v>
      </c>
      <c r="CC306" s="20">
        <f>+Tabla14[[#This Row],[Saldo mes n+2]]+Tabla14[[#This Row],[Ponderación mes n+2]]</f>
        <v>0</v>
      </c>
      <c r="CD306" s="20">
        <f>+Tabla14[[#This Row],[Asignación mes n+2]]-Tabla14[[#This Row],[Ponderación mes n+2]]</f>
        <v>0</v>
      </c>
    </row>
    <row r="307" spans="1:82" ht="16" x14ac:dyDescent="0.2">
      <c r="A307">
        <v>1</v>
      </c>
      <c r="B307" t="str">
        <f>Tabla14[[#This Row],[Oficina]]&amp;Tabla14[[#This Row],[Material]]</f>
        <v>Agro Sudamerica1022786</v>
      </c>
      <c r="C307" t="s">
        <v>6</v>
      </c>
      <c r="D307" t="s">
        <v>17</v>
      </c>
      <c r="E307">
        <v>1022786</v>
      </c>
      <c r="F307" t="s">
        <v>288</v>
      </c>
      <c r="G307" t="s">
        <v>76</v>
      </c>
      <c r="H307" t="s">
        <v>79</v>
      </c>
      <c r="I307" s="7">
        <f>IFERROR(IF(Tabla14[[#This Row],[Oficina]]=$I$7,VLOOKUP(Tabla14[[#This Row],[Material]],'[6]RV Producción'!$Y:$AA,3,FALSE),VLOOKUP(Tabla14[[#This Row],[Llave]],'[6]RV Producción'!$C:$G,5,FALSE)),0)</f>
        <v>300</v>
      </c>
      <c r="J307" s="7">
        <f>IFERROR(IF(Tabla14[[#This Row],[Oficina]]=$I$7,VLOOKUP(Tabla14[[#This Row],[Llave]],'[7]Shangai (Tomas)'!$A:$F,6,FALSE),VLOOKUP(Tabla14[[#This Row],[Llave]],'[6]RV plan de ventas'!$A:$E,5,FALSE)),0)</f>
        <v>0</v>
      </c>
      <c r="K307" s="8">
        <f>IFERROR(VLOOKUP(Tabla14[[#This Row],[Sector]]&amp;Tabla14[[#This Row],[Oficina]],[8]Ponderación!$A$3:$G$22,7,FALSE),0)</f>
        <v>0.3545854356400317</v>
      </c>
      <c r="L307" s="7">
        <f>+Tabla14[[#This Row],[ RV Producción mes n+1]]*Tabla14[[#This Row],[% Uti. producción]]</f>
        <v>106.37563069200951</v>
      </c>
      <c r="M307" s="7">
        <f>IFERROR(VLOOKUP(Tabla14[[#This Row],[Material]],'[9]TD Stock'!$B:$C,2,FALSE),0)</f>
        <v>0</v>
      </c>
      <c r="N307" s="15">
        <f>IFERROR(VLOOKUP(Tabla14[[#This Row],[Material]],'[10]Consolidado planificación'!$B:$C,2,FALSE),0)</f>
        <v>0</v>
      </c>
      <c r="O307" s="7">
        <f>IFERROR(VLOOKUP(Tabla14[[#This Row],[Llave]],[11]Hoja2!$D:$G,4,FALSE),0)</f>
        <v>0</v>
      </c>
      <c r="P307" s="37">
        <f>SUM(Tabla14[[#This Row],[Producción disponible]],Tabla14[[#This Row],[Stock al día]],(Tabla14[[#This Row],[Por producir mes N]]*0.9))-Tabla14[[#This Row],[Producción por despachar mes N]]</f>
        <v>106.37563069200951</v>
      </c>
      <c r="Q307" s="15">
        <f>IFERROR(VLOOKUP(Tabla14[[#This Row],[Llave]],[9]DELAY!$A:$D,4,FALSE),0)</f>
        <v>2704</v>
      </c>
      <c r="R307" s="75">
        <v>23000</v>
      </c>
      <c r="S307" s="5">
        <f t="shared" si="9"/>
        <v>0</v>
      </c>
      <c r="T307" s="76">
        <v>0</v>
      </c>
      <c r="U307" s="5">
        <f>+Tabla14[[#This Row],[Atraso a facturar]]+Tabla14[[#This Row],[Ajuste atraso]]</f>
        <v>0</v>
      </c>
      <c r="V307" s="3">
        <f>+Tabla14[[#This Row],[Total disponible]]-Tabla14[[#This Row],[Facturación atraso]]</f>
        <v>106.37563069200951</v>
      </c>
      <c r="W307" s="6">
        <f>IFERROR(IF(AND(V307&gt;R307,J307&gt;=R307),ROUNDDOWN((Tabla14[[#This Row],[Producción para venta nueva]])/R307,0)*R307,0),0)</f>
        <v>0</v>
      </c>
      <c r="X307" s="76">
        <v>0</v>
      </c>
      <c r="Y307" s="6">
        <f>IF(Tabla14[[#This Row],[Venta del mes]]&gt;0,Tabla14[[#This Row],[Venta del mes]]+Tabla14[[#This Row],[Ajuste venta nueva]],0)</f>
        <v>0</v>
      </c>
      <c r="Z307" s="6">
        <f>+Tabla14[[#This Row],[Producción para venta nueva]]-Tabla14[[#This Row],[Facturación Venta nueva]]</f>
        <v>106.37563069200951</v>
      </c>
      <c r="AA307" s="6">
        <f>IF(AND(A307=1,Tabla14[[#This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7" s="6">
        <v>0</v>
      </c>
      <c r="AC307" s="6">
        <f>IF(Tabla14[[#This Row],[Disponible stock sin venta]]&gt;0,Tabla14[[#This Row],[Disponible stock sin venta]]+Tabla14[[#This Row],[Ajuste stock sin venta]],0)</f>
        <v>0</v>
      </c>
      <c r="AD307" s="3">
        <f>IFERROR(VLOOKUP(Tabla14[[#This Row],[Llave]],[12]Hoja1!$A:$D,4,FALSE),0)</f>
        <v>0</v>
      </c>
      <c r="AE30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7" s="3">
        <v>0</v>
      </c>
      <c r="AG307" s="3">
        <f>+Tabla14[[#This Row],[En puerto a facturar]]</f>
        <v>0</v>
      </c>
      <c r="AH307" s="3">
        <f>+Tabla14[[#This Row],[Facturación atraso]]</f>
        <v>0</v>
      </c>
      <c r="AI307" s="3">
        <f>+Tabla14[[#This Row],[Plan Irrestricto (DATO)]]-Tabla14[[#This Row],[Puerto ]]-Tabla14[[#This Row],[Atraso]]</f>
        <v>0</v>
      </c>
      <c r="AJ307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7" s="3">
        <f>+Tabla14[[#This Row],[Facturación atraso]]</f>
        <v>0</v>
      </c>
      <c r="AL307" s="3">
        <f>Tabla14[[#This Row],[Plan Ajustado]]-Tabla14[[#This Row],[ Atraso ajustado]]-Tabla14[[#This Row],[En puerto a facturar]]</f>
        <v>0</v>
      </c>
      <c r="AM307" s="3">
        <v>0</v>
      </c>
      <c r="AN307" s="3" t="e">
        <v>#REF!</v>
      </c>
      <c r="AO307" s="3" t="str">
        <f>IF(Tabla14[[#This Row],[Plan Ajustado]]&gt;Tabla14[[#This Row],[En puerto a facturar]],"Si","No")</f>
        <v>No</v>
      </c>
      <c r="AP307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7" s="3">
        <f>IF(Tabla14[[#This Row],[Necesidad]]&gt;=Tabla14[[#This Row],[Stock al día]],Tabla14[[#This Row],[Stock al día]],Tabla14[[#This Row],[Necesidad]])</f>
        <v>0</v>
      </c>
      <c r="AR307" s="3">
        <f>+Tabla14[[#This Row],[Necesidad]]-Tabla14[[#This Row],[Stock Plan]]</f>
        <v>0</v>
      </c>
      <c r="AS307" s="155">
        <f>VLOOKUP(Tabla14[[#This Row],[Sector]]&amp;Tabla14[[#This Row],[Oficina]],[8]Ponderación!$A:$H,8,FALSE)</f>
        <v>44813</v>
      </c>
      <c r="AT307" s="30">
        <f>IFERROR(VLOOKUP(Tabla14[[#This Row],[Llave]],'[6]RV plan de ventas'!$A:$F,6,FALSE),0)</f>
        <v>0</v>
      </c>
      <c r="AU307" s="83">
        <f>IFERROR(VLOOKUP(Tabla14[[#This Row],[Llave]],[9]DELAY!$H:$X,17,FALSE),0)</f>
        <v>17.1449704142012</v>
      </c>
      <c r="AV30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7" s="5">
        <f>Tabla14[[#This Row],[Pecio plan]]*Tabla14[[#This Row],[Plan Ajustado]]</f>
        <v>0</v>
      </c>
      <c r="AX307" s="30">
        <f>IFERROR(VLOOKUP(Tabla14[[#This Row],[Llave]],'[13]Ultimos precios facturados'!$A:$G,7,FALSE),0)</f>
        <v>17.385145364891518</v>
      </c>
      <c r="AY307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7" s="30">
        <f>IFERROR(VLOOKUP(Tabla14[[#This Row],[Llave]],Hoja2!B:K,10,FALSE),0)</f>
        <v>0</v>
      </c>
      <c r="BA30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07" s="30">
        <v>0</v>
      </c>
      <c r="BC307" s="30">
        <f>IF(Tabla14[[#This Row],[Market]]=0,Tabla14[[#This Row],[Precio Final]],Tabla14[[#This Row],[Market]])</f>
        <v>0</v>
      </c>
      <c r="BD307" s="82"/>
      <c r="BE307" s="82" t="str">
        <f>IF(AND(Tabla14[[#This Row],[Atraso a facturar]]&gt;0,Tabla14[[#This Row],[En puerto a facturar]]&gt;0,Tabla14[[#This Row],[Precio Atraso]]=0),"Revisar","OK")</f>
        <v>OK</v>
      </c>
      <c r="BF307" s="82" t="str">
        <f>IF(AND(Tabla14[[#This Row],[Venta del mes]]&gt;0,Tabla14[[#This Row],[Precio venta nueva]]=0),"Revisar","OK")</f>
        <v>OK</v>
      </c>
      <c r="BG307" s="20">
        <f>IFERROR(VLOOKUP(Tabla14[[#This Row],[Llave]],'[5]Consolidación planes'!$A:$M,9,FALSE),0)</f>
        <v>0</v>
      </c>
      <c r="BH307" s="20">
        <f>IFERROR(VLOOKUP(Tabla14[[#This Row],[Llave]],'[5]Consolidación planes'!$A:$M,10,FALSE),0)</f>
        <v>300</v>
      </c>
      <c r="BI307" s="20">
        <f>IFERROR(VLOOKUP(Tabla14[[#This Row],[Llave]],'[5]Consolidación planes'!$A:$M,11,FALSE),0)</f>
        <v>0</v>
      </c>
      <c r="BJ307" s="20">
        <f>IFERROR(VLOOKUP(Tabla14[[#This Row],[Llave]],'[5]Consolidación planes'!$A:$M,12,FALSE),0)</f>
        <v>1500</v>
      </c>
      <c r="BK307" s="20">
        <f>IFERROR(VLOOKUP(Tabla14[[#This Row],[Llave]],'[5]Consolidación planes'!$A:$M,13,FALSE),0)</f>
        <v>1500</v>
      </c>
      <c r="BL307" s="20">
        <f>IFERROR(VLOOKUP(Tabla14[[#This Row],[Llave]],'[13]Base ultimos planes'!$A:$M,13,FALSE),0)</f>
        <v>0</v>
      </c>
      <c r="BM307" s="20">
        <f>IFERROR(VLOOKUP(Tabla14[[#This Row],[Llave]],'[13]Cruce plan irrestricto'!$C:$M,10,FALSE),0)</f>
        <v>0</v>
      </c>
      <c r="BN307" s="20">
        <f>IFERROR(VLOOKUP(Tabla14[[#This Row],[Llave]],'[13]Cruce plan irrestricto'!$C:$M,11,FALSE),0)</f>
        <v>0</v>
      </c>
      <c r="BO307" s="80">
        <f>IFERROR(VLOOKUP(Tabla14[[#This Row],[Llave]],'[13]Base ultimos planes'!$O:$AA,8,FALSE),0)</f>
        <v>0</v>
      </c>
      <c r="BP307" s="20">
        <f>IFERROR(VLOOKUP(Tabla14[[#This Row],[Llave]],'[13]Base ultimos planes'!$O:$AA,9,FALSE),0)</f>
        <v>3450</v>
      </c>
      <c r="BQ307" s="20">
        <f>IFERROR(VLOOKUP(Tabla14[[#This Row],[Llave]],'[13]Base ultimos planes'!$O:$AA,10,FALSE),0)</f>
        <v>0</v>
      </c>
      <c r="BR307" s="20">
        <f>IFERROR(VLOOKUP(Tabla14[[#This Row],[Llave]],'[13]Base ultimos planes'!$O:$AA,11,FALSE),0)</f>
        <v>22965</v>
      </c>
      <c r="BS307" s="20">
        <f>IFERROR(VLOOKUP(Tabla14[[#This Row],[Llave]],'[13]Base ultimos planes'!$O:$AA,12,FALSE),0)</f>
        <v>22965</v>
      </c>
      <c r="BT307" s="20">
        <f>IFERROR(VLOOKUP(Tabla14[[#This Row],[Llave]],'[13]Base ultimos planes'!$O:$AA,13,FALSE),0)</f>
        <v>0</v>
      </c>
      <c r="BU307" s="35"/>
      <c r="BV307" s="20">
        <f>Tabla14[[#This Row],[ RV Producción mes n+1]]-Tabla14[[#This Row],[Producción disponible]]+Tabla14[[#This Row],[Saldo Volumen disponible]]</f>
        <v>300</v>
      </c>
      <c r="BW307" s="20">
        <f>IFERROR(VLOOKUP(Tabla14[[#This Row],[Llave]],[14]Hoja2!$J:$N,4,FALSE),0)</f>
        <v>3004</v>
      </c>
      <c r="BX307" s="20">
        <f>+Tabla14[[#This Row],[Asignación mes n+1]]*Tabla14[[#This Row],[% Uti. producción]]</f>
        <v>1065.1746486626553</v>
      </c>
      <c r="BY307" s="20">
        <f>+Tabla14[[#This Row],[Ponderación mes n+1]]+Tabla14[[#This Row],[Saldo mes n-1]]</f>
        <v>1365.1746486626553</v>
      </c>
      <c r="BZ307" s="20">
        <f>+Tabla14[[#This Row],[Asignación mes n+1]]-Tabla14[[#This Row],[Ponderación mes n+1]]</f>
        <v>1938.8253513373447</v>
      </c>
      <c r="CA307" s="20">
        <f>IFERROR(VLOOKUP(Tabla14[[#This Row],[Llave]],[14]Hoja2!$J:$N,5,FALSE),0)</f>
        <v>300</v>
      </c>
      <c r="CB307" s="20">
        <f>+Tabla14[[#This Row],[Asignación mes n+2]]*Tabla14[[#This Row],[% Uti. producción]]</f>
        <v>106.37563069200951</v>
      </c>
      <c r="CC307" s="20">
        <f>+Tabla14[[#This Row],[Saldo mes n+2]]+Tabla14[[#This Row],[Ponderación mes n+2]]</f>
        <v>2045.2009820293542</v>
      </c>
      <c r="CD307" s="20">
        <f>+Tabla14[[#This Row],[Asignación mes n+2]]-Tabla14[[#This Row],[Ponderación mes n+2]]</f>
        <v>193.62436930799049</v>
      </c>
    </row>
    <row r="308" spans="1:82" ht="16" x14ac:dyDescent="0.2">
      <c r="A308">
        <v>1</v>
      </c>
      <c r="B308" t="str">
        <f>Tabla14[[#This Row],[Oficina]]&amp;Tabla14[[#This Row],[Material]]</f>
        <v>Agro Sudamerica1023295</v>
      </c>
      <c r="C308" t="s">
        <v>6</v>
      </c>
      <c r="D308" t="s">
        <v>17</v>
      </c>
      <c r="E308">
        <v>1023295</v>
      </c>
      <c r="F308" t="s">
        <v>289</v>
      </c>
      <c r="G308" t="s">
        <v>76</v>
      </c>
      <c r="H308" t="s">
        <v>79</v>
      </c>
      <c r="I308" s="7">
        <f>IFERROR(IF(Tabla14[[#This Row],[Oficina]]=$I$7,VLOOKUP(Tabla14[[#This Row],[Material]],'[6]RV Producción'!$Y:$AA,3,FALSE),VLOOKUP(Tabla14[[#This Row],[Llave]],'[6]RV Producción'!$C:$G,5,FALSE)),0)</f>
        <v>1000</v>
      </c>
      <c r="J308" s="7">
        <f>IFERROR(IF(Tabla14[[#This Row],[Oficina]]=$I$7,VLOOKUP(Tabla14[[#This Row],[Llave]],'[7]Shangai (Tomas)'!$A:$F,6,FALSE),VLOOKUP(Tabla14[[#This Row],[Llave]],'[6]RV plan de ventas'!$A:$E,5,FALSE)),0)</f>
        <v>1000</v>
      </c>
      <c r="K308" s="8">
        <f>IFERROR(VLOOKUP(Tabla14[[#This Row],[Sector]]&amp;Tabla14[[#This Row],[Oficina]],[8]Ponderación!$A$3:$G$22,7,FALSE),0)</f>
        <v>0.3545854356400317</v>
      </c>
      <c r="L308" s="7">
        <f>+Tabla14[[#This Row],[ RV Producción mes n+1]]*Tabla14[[#This Row],[% Uti. producción]]</f>
        <v>354.58543564003168</v>
      </c>
      <c r="M308" s="7">
        <f>IFERROR(VLOOKUP(Tabla14[[#This Row],[Material]],'[9]TD Stock'!$B:$C,2,FALSE),0)</f>
        <v>1901.2499999999975</v>
      </c>
      <c r="N308" s="15">
        <f>IFERROR(VLOOKUP(Tabla14[[#This Row],[Material]],'[10]Consolidado planificación'!$B:$C,2,FALSE),0)</f>
        <v>0</v>
      </c>
      <c r="O308" s="7">
        <f>IFERROR(VLOOKUP(Tabla14[[#This Row],[Llave]],[11]Hoja2!$D:$G,4,FALSE),0)</f>
        <v>0</v>
      </c>
      <c r="P308" s="37">
        <f>SUM(Tabla14[[#This Row],[Producción disponible]],Tabla14[[#This Row],[Stock al día]],(Tabla14[[#This Row],[Por producir mes N]]*0.9))-Tabla14[[#This Row],[Producción por despachar mes N]]</f>
        <v>2255.8354356400291</v>
      </c>
      <c r="Q308" s="15">
        <f>IFERROR(VLOOKUP(Tabla14[[#This Row],[Llave]],[9]DELAY!$A:$D,4,FALSE),0)</f>
        <v>0</v>
      </c>
      <c r="R308" s="75">
        <v>23000</v>
      </c>
      <c r="S308" s="5">
        <f t="shared" si="9"/>
        <v>0</v>
      </c>
      <c r="T308" s="76">
        <v>0</v>
      </c>
      <c r="U308" s="5">
        <f>+Tabla14[[#This Row],[Atraso a facturar]]+Tabla14[[#This Row],[Ajuste atraso]]</f>
        <v>0</v>
      </c>
      <c r="V308" s="3">
        <f>+Tabla14[[#This Row],[Total disponible]]-Tabla14[[#This Row],[Facturación atraso]]</f>
        <v>2255.8354356400291</v>
      </c>
      <c r="W308" s="6">
        <f>IFERROR(IF(AND(V308&gt;R308,J308&gt;=R308),ROUNDDOWN((Tabla14[[#This Row],[Producción para venta nueva]])/R308,0)*R308,0),0)</f>
        <v>0</v>
      </c>
      <c r="X308" s="76">
        <v>0</v>
      </c>
      <c r="Y308" s="6">
        <f>IF(Tabla14[[#This Row],[Venta del mes]]&gt;0,Tabla14[[#This Row],[Venta del mes]]+Tabla14[[#This Row],[Ajuste venta nueva]],0)</f>
        <v>0</v>
      </c>
      <c r="Z308" s="6">
        <f>+Tabla14[[#This Row],[Producción para venta nueva]]-Tabla14[[#This Row],[Facturación Venta nueva]]</f>
        <v>2255.8354356400291</v>
      </c>
      <c r="AA308" s="6">
        <f>IF(AND(A308=1,Tabla14[[#This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8" s="6">
        <v>0</v>
      </c>
      <c r="AC308" s="6">
        <f>IF(Tabla14[[#This Row],[Disponible stock sin venta]]&gt;0,Tabla14[[#This Row],[Disponible stock sin venta]]+Tabla14[[#This Row],[Ajuste stock sin venta]],0)</f>
        <v>0</v>
      </c>
      <c r="AD308" s="3">
        <f>IFERROR(VLOOKUP(Tabla14[[#This Row],[Llave]],[12]Hoja1!$A:$D,4,FALSE),0)</f>
        <v>0</v>
      </c>
      <c r="AE30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8" s="3">
        <v>0</v>
      </c>
      <c r="AG308" s="3">
        <f>+Tabla14[[#This Row],[En puerto a facturar]]</f>
        <v>0</v>
      </c>
      <c r="AH308" s="3">
        <f>+Tabla14[[#This Row],[Facturación atraso]]</f>
        <v>0</v>
      </c>
      <c r="AI308" s="3">
        <f>+Tabla14[[#This Row],[Plan Irrestricto (DATO)]]-Tabla14[[#This Row],[Puerto ]]-Tabla14[[#This Row],[Atraso]]</f>
        <v>0</v>
      </c>
      <c r="AJ308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8" s="3">
        <f>+Tabla14[[#This Row],[Facturación atraso]]</f>
        <v>0</v>
      </c>
      <c r="AL308" s="3">
        <f>Tabla14[[#This Row],[Plan Ajustado]]-Tabla14[[#This Row],[ Atraso ajustado]]-Tabla14[[#This Row],[En puerto a facturar]]</f>
        <v>0</v>
      </c>
      <c r="AM308" s="3">
        <v>0</v>
      </c>
      <c r="AN308" s="3" t="e">
        <v>#REF!</v>
      </c>
      <c r="AO308" s="3" t="str">
        <f>IF(Tabla14[[#This Row],[Plan Ajustado]]&gt;Tabla14[[#This Row],[En puerto a facturar]],"Si","No")</f>
        <v>No</v>
      </c>
      <c r="AP308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8" s="3">
        <f>IF(Tabla14[[#This Row],[Necesidad]]&gt;=Tabla14[[#This Row],[Stock al día]],Tabla14[[#This Row],[Stock al día]],Tabla14[[#This Row],[Necesidad]])</f>
        <v>0</v>
      </c>
      <c r="AR308" s="3">
        <f>+Tabla14[[#This Row],[Necesidad]]-Tabla14[[#This Row],[Stock Plan]]</f>
        <v>0</v>
      </c>
      <c r="AS308" s="155">
        <f>VLOOKUP(Tabla14[[#This Row],[Sector]]&amp;Tabla14[[#This Row],[Oficina]],[8]Ponderación!$A:$H,8,FALSE)</f>
        <v>44813</v>
      </c>
      <c r="AT308" s="30">
        <f>IFERROR(VLOOKUP(Tabla14[[#This Row],[Llave]],'[6]RV plan de ventas'!$A:$F,6,FALSE),0)</f>
        <v>12.287000000000001</v>
      </c>
      <c r="AU308" s="83">
        <f>IFERROR(VLOOKUP(Tabla14[[#This Row],[Llave]],[9]DELAY!$H:$X,17,FALSE),0)</f>
        <v>0</v>
      </c>
      <c r="AV30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8" s="5">
        <f>Tabla14[[#This Row],[Pecio plan]]*Tabla14[[#This Row],[Plan Ajustado]]</f>
        <v>0</v>
      </c>
      <c r="AX308" s="30">
        <f>IFERROR(VLOOKUP(Tabla14[[#This Row],[Llave]],'[13]Ultimos precios facturados'!$A:$G,7,FALSE),0)</f>
        <v>14.505494505494505</v>
      </c>
      <c r="AY308" s="82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8" s="30">
        <f>IFERROR(VLOOKUP(Tabla14[[#This Row],[Llave]],Hoja2!B:K,10,FALSE),0)</f>
        <v>12.187000000000001</v>
      </c>
      <c r="BA30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08" s="30">
        <v>0</v>
      </c>
      <c r="BC308" s="30">
        <f>IF(Tabla14[[#This Row],[Market]]=0,Tabla14[[#This Row],[Precio Final]],Tabla14[[#This Row],[Market]])</f>
        <v>0</v>
      </c>
      <c r="BD308" s="82"/>
      <c r="BE308" s="82" t="str">
        <f>IF(AND(Tabla14[[#This Row],[Atraso a facturar]]&gt;0,Tabla14[[#This Row],[En puerto a facturar]]&gt;0,Tabla14[[#This Row],[Precio Atraso]]=0),"Revisar","OK")</f>
        <v>OK</v>
      </c>
      <c r="BF308" s="82" t="str">
        <f>IF(AND(Tabla14[[#This Row],[Venta del mes]]&gt;0,Tabla14[[#This Row],[Precio venta nueva]]=0),"Revisar","OK")</f>
        <v>OK</v>
      </c>
      <c r="BG308" s="20">
        <f>IFERROR(VLOOKUP(Tabla14[[#This Row],[Llave]],'[5]Consolidación planes'!$A:$M,9,FALSE),0)</f>
        <v>0</v>
      </c>
      <c r="BH308" s="20">
        <f>IFERROR(VLOOKUP(Tabla14[[#This Row],[Llave]],'[5]Consolidación planes'!$A:$M,10,FALSE),0)</f>
        <v>2700</v>
      </c>
      <c r="BI308" s="20">
        <f>IFERROR(VLOOKUP(Tabla14[[#This Row],[Llave]],'[5]Consolidación planes'!$A:$M,11,FALSE),0)</f>
        <v>0</v>
      </c>
      <c r="BJ308" s="20">
        <f>IFERROR(VLOOKUP(Tabla14[[#This Row],[Llave]],'[5]Consolidación planes'!$A:$M,12,FALSE),0)</f>
        <v>0</v>
      </c>
      <c r="BK308" s="20">
        <f>IFERROR(VLOOKUP(Tabla14[[#This Row],[Llave]],'[5]Consolidación planes'!$A:$M,13,FALSE),0)</f>
        <v>0</v>
      </c>
      <c r="BL308" s="20">
        <f>IFERROR(VLOOKUP(Tabla14[[#This Row],[Llave]],'[13]Base ultimos planes'!$A:$M,13,FALSE),0)</f>
        <v>0</v>
      </c>
      <c r="BM308" s="20">
        <f>IFERROR(VLOOKUP(Tabla14[[#This Row],[Llave]],'[13]Cruce plan irrestricto'!$C:$M,10,FALSE),0)</f>
        <v>0</v>
      </c>
      <c r="BN308" s="20">
        <f>IFERROR(VLOOKUP(Tabla14[[#This Row],[Llave]],'[13]Cruce plan irrestricto'!$C:$M,11,FALSE),0)</f>
        <v>450</v>
      </c>
      <c r="BO308" s="80">
        <f>IFERROR(VLOOKUP(Tabla14[[#This Row],[Llave]],'[13]Base ultimos planes'!$O:$AA,8,FALSE),0)</f>
        <v>0</v>
      </c>
      <c r="BP308" s="20">
        <f>IFERROR(VLOOKUP(Tabla14[[#This Row],[Llave]],'[13]Base ultimos planes'!$O:$AA,9,FALSE),0)</f>
        <v>33075</v>
      </c>
      <c r="BQ308" s="20">
        <f>IFERROR(VLOOKUP(Tabla14[[#This Row],[Llave]],'[13]Base ultimos planes'!$O:$AA,10,FALSE),0)</f>
        <v>0</v>
      </c>
      <c r="BR308" s="20">
        <f>IFERROR(VLOOKUP(Tabla14[[#This Row],[Llave]],'[13]Base ultimos planes'!$O:$AA,11,FALSE),0)</f>
        <v>0</v>
      </c>
      <c r="BS308" s="20">
        <f>IFERROR(VLOOKUP(Tabla14[[#This Row],[Llave]],'[13]Base ultimos planes'!$O:$AA,12,FALSE),0)</f>
        <v>0</v>
      </c>
      <c r="BT308" s="20">
        <f>IFERROR(VLOOKUP(Tabla14[[#This Row],[Llave]],'[13]Base ultimos planes'!$O:$AA,13,FALSE),0)</f>
        <v>0</v>
      </c>
      <c r="BU308" s="35"/>
      <c r="BV308" s="20">
        <f>Tabla14[[#This Row],[ RV Producción mes n+1]]-Tabla14[[#This Row],[Producción disponible]]+Tabla14[[#This Row],[Saldo Volumen disponible]]</f>
        <v>2901.2499999999973</v>
      </c>
      <c r="BW308" s="20">
        <f>IFERROR(VLOOKUP(Tabla14[[#This Row],[Llave]],[14]Hoja2!$J:$N,4,FALSE),0)</f>
        <v>1000</v>
      </c>
      <c r="BX308" s="20">
        <f>+Tabla14[[#This Row],[Asignación mes n+1]]*Tabla14[[#This Row],[% Uti. producción]]</f>
        <v>354.58543564003168</v>
      </c>
      <c r="BY308" s="20">
        <f>+Tabla14[[#This Row],[Ponderación mes n+1]]+Tabla14[[#This Row],[Saldo mes n-1]]</f>
        <v>3255.8354356400291</v>
      </c>
      <c r="BZ308" s="20">
        <f>+Tabla14[[#This Row],[Asignación mes n+1]]-Tabla14[[#This Row],[Ponderación mes n+1]]</f>
        <v>645.41456435996838</v>
      </c>
      <c r="CA308" s="20">
        <f>IFERROR(VLOOKUP(Tabla14[[#This Row],[Llave]],[14]Hoja2!$J:$N,5,FALSE),0)</f>
        <v>1000</v>
      </c>
      <c r="CB308" s="20">
        <f>+Tabla14[[#This Row],[Asignación mes n+2]]*Tabla14[[#This Row],[% Uti. producción]]</f>
        <v>354.58543564003168</v>
      </c>
      <c r="CC308" s="20">
        <f>+Tabla14[[#This Row],[Saldo mes n+2]]+Tabla14[[#This Row],[Ponderación mes n+2]]</f>
        <v>1000</v>
      </c>
      <c r="CD308" s="20">
        <f>+Tabla14[[#This Row],[Asignación mes n+2]]-Tabla14[[#This Row],[Ponderación mes n+2]]</f>
        <v>645.41456435996838</v>
      </c>
    </row>
    <row r="309" spans="1:82" ht="16" x14ac:dyDescent="0.2">
      <c r="A309">
        <v>1</v>
      </c>
      <c r="B309" t="str">
        <f>Tabla14[[#This Row],[Oficina]]&amp;Tabla14[[#This Row],[Material]]</f>
        <v>Agro Sudamerica1012782</v>
      </c>
      <c r="C309" t="s">
        <v>227</v>
      </c>
      <c r="D309" t="s">
        <v>17</v>
      </c>
      <c r="E309">
        <v>1012782</v>
      </c>
      <c r="F309" t="s">
        <v>705</v>
      </c>
      <c r="G309" t="s">
        <v>76</v>
      </c>
      <c r="H309" t="s">
        <v>257</v>
      </c>
      <c r="I309" s="7">
        <f>IFERROR(IF(Tabla14[[#This Row],[Oficina]]=$I$7,VLOOKUP(Tabla14[[#This Row],[Material]],'[6]RV Producción'!$Y:$AA,3,FALSE),VLOOKUP(Tabla14[[#This Row],[Llave]],'[6]RV Producción'!$C:$G,5,FALSE)),0)</f>
        <v>0</v>
      </c>
      <c r="J309" s="7">
        <f>IFERROR(IF(Tabla14[[#This Row],[Oficina]]=$I$7,VLOOKUP(Tabla14[[#This Row],[Llave]],'[7]Shangai (Tomas)'!$A:$F,6,FALSE),VLOOKUP(Tabla14[[#This Row],[Llave]],'[6]RV plan de ventas'!$A:$E,5,FALSE)),0)</f>
        <v>0</v>
      </c>
      <c r="K309" s="8">
        <f>IFERROR(VLOOKUP(Tabla14[[#This Row],[Sector]]&amp;Tabla14[[#This Row],[Oficina]],[8]Ponderación!$A$3:$G$22,7,FALSE),0)</f>
        <v>0.47745072632608576</v>
      </c>
      <c r="L309" s="7">
        <f>+Tabla14[[#This Row],[ RV Producción mes n+1]]*Tabla14[[#This Row],[% Uti. producción]]</f>
        <v>0</v>
      </c>
      <c r="M309" s="7">
        <f>IFERROR(VLOOKUP(Tabla14[[#This Row],[Material]],'[9]TD Stock'!$B:$C,2,FALSE),0)</f>
        <v>0</v>
      </c>
      <c r="N309" s="15">
        <f>IFERROR(VLOOKUP(Tabla14[[#This Row],[Material]],'[10]Consolidado planificación'!$B:$C,2,FALSE),0)</f>
        <v>0</v>
      </c>
      <c r="O309" s="7">
        <f>IFERROR(VLOOKUP(Tabla14[[#This Row],[Llave]],[11]Hoja2!$D:$G,4,FALSE),0)</f>
        <v>0</v>
      </c>
      <c r="P309" s="37">
        <f>SUM(Tabla14[[#This Row],[Producción disponible]],Tabla14[[#This Row],[Stock al día]],(Tabla14[[#This Row],[Por producir mes N]]*0.9))-Tabla14[[#This Row],[Producción por despachar mes N]]</f>
        <v>0</v>
      </c>
      <c r="Q309" s="15">
        <f>IFERROR(VLOOKUP(Tabla14[[#This Row],[Llave]],[9]DELAY!$A:$D,4,FALSE),0)</f>
        <v>0</v>
      </c>
      <c r="R309" s="75">
        <v>23000</v>
      </c>
      <c r="S309" s="98">
        <f>IF(AND(P309&gt;Q309,Q309&gt;0),Q309,IF(AND(P309&lt;Q309,Q309&gt;0),(ROUNDDOWN(P309/R309,0)*R309),0))</f>
        <v>0</v>
      </c>
      <c r="T309" s="76">
        <v>0</v>
      </c>
      <c r="U309" s="98">
        <f>+Tabla14[[#This Row],[Atraso a facturar]]+Tabla14[[#This Row],[Ajuste atraso]]</f>
        <v>0</v>
      </c>
      <c r="V309" s="3">
        <f>+Tabla14[[#This Row],[Total disponible]]-Tabla14[[#This Row],[Facturación atraso]]</f>
        <v>0</v>
      </c>
      <c r="W309" s="6">
        <f>IFERROR(IF(AND(V309&gt;R309,J309&gt;=R309),ROUNDDOWN((Tabla14[[#This Row],[Producción para venta nueva]])/R309,0)*R309,0),0)</f>
        <v>0</v>
      </c>
      <c r="X309" s="76">
        <v>0</v>
      </c>
      <c r="Y309" s="6">
        <f>IF(Tabla14[[#This Row],[Venta del mes]]&gt;0,Tabla14[[#This Row],[Venta del mes]]+Tabla14[[#This Row],[Ajuste venta nueva]],0)</f>
        <v>0</v>
      </c>
      <c r="Z309" s="6">
        <f>+Tabla14[[#This Row],[Producción para venta nueva]]-Tabla14[[#This Row],[Facturación Venta nueva]]</f>
        <v>0</v>
      </c>
      <c r="AA309" s="6">
        <f>IF(AND(A309=1,Tabla14[[#This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09" s="6">
        <v>0</v>
      </c>
      <c r="AC309" s="6">
        <f>IF(Tabla14[[#This Row],[Disponible stock sin venta]]&gt;0,Tabla14[[#This Row],[Disponible stock sin venta]]+Tabla14[[#This Row],[Ajuste stock sin venta]],0)</f>
        <v>0</v>
      </c>
      <c r="AD309" s="3">
        <f>IFERROR(VLOOKUP(Tabla14[[#This Row],[Llave]],[12]Hoja1!$A:$D,4,FALSE),0)</f>
        <v>0</v>
      </c>
      <c r="AE309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09" s="3" t="b">
        <v>0</v>
      </c>
      <c r="AG309" s="3">
        <f>+Tabla14[[#This Row],[En puerto a facturar]]</f>
        <v>0</v>
      </c>
      <c r="AH309" s="3">
        <f>+Tabla14[[#This Row],[Facturación atraso]]</f>
        <v>0</v>
      </c>
      <c r="AI309" s="3">
        <f>+Tabla14[[#This Row],[Plan Irrestricto (DATO)]]-Tabla14[[#This Row],[Puerto ]]-Tabla14[[#This Row],[Atraso]]</f>
        <v>0</v>
      </c>
      <c r="AJ309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09" s="3">
        <f>+Tabla14[[#This Row],[Facturación atraso]]</f>
        <v>0</v>
      </c>
      <c r="AL309" s="3">
        <f>Tabla14[[#This Row],[Plan Ajustado]]-Tabla14[[#This Row],[ Atraso ajustado]]-Tabla14[[#This Row],[En puerto a facturar]]</f>
        <v>0</v>
      </c>
      <c r="AM309" s="3">
        <v>0</v>
      </c>
      <c r="AN309" s="3" t="e">
        <v>#REF!</v>
      </c>
      <c r="AO309" s="3" t="str">
        <f>IF(Tabla14[[#This Row],[Plan Ajustado]]&gt;Tabla14[[#This Row],[En puerto a facturar]],"Si","No")</f>
        <v>No</v>
      </c>
      <c r="AP309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09" s="3">
        <f>IF(Tabla14[[#This Row],[Necesidad]]&gt;=Tabla14[[#This Row],[Stock al día]],Tabla14[[#This Row],[Stock al día]],Tabla14[[#This Row],[Necesidad]])</f>
        <v>0</v>
      </c>
      <c r="AR309" s="3">
        <f>+Tabla14[[#This Row],[Necesidad]]-Tabla14[[#This Row],[Stock Plan]]</f>
        <v>0</v>
      </c>
      <c r="AS309" s="155">
        <f>VLOOKUP(Tabla14[[#This Row],[Sector]]&amp;Tabla14[[#This Row],[Oficina]],[8]Ponderación!$A:$H,8,FALSE)</f>
        <v>44817</v>
      </c>
      <c r="AT309" s="30">
        <f>IFERROR(VLOOKUP(Tabla14[[#This Row],[Llave]],'[6]RV plan de ventas'!$A:$F,6,FALSE),0)</f>
        <v>0</v>
      </c>
      <c r="AU309" s="83">
        <f>IFERROR(VLOOKUP(Tabla14[[#This Row],[Llave]],[9]DELAY!$H:$X,17,FALSE),0)</f>
        <v>0</v>
      </c>
      <c r="AV30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09" s="5">
        <f>Tabla14[[#This Row],[Pecio plan]]*Tabla14[[#This Row],[Plan Ajustado]]</f>
        <v>0</v>
      </c>
      <c r="AX309" s="30">
        <f>IFERROR(VLOOKUP(Tabla14[[#This Row],[Llave]],'[13]Ultimos precios facturados'!$A:$G,7,FALSE),0)</f>
        <v>0.4753130482769119</v>
      </c>
      <c r="AY309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09" s="30">
        <f>IFERROR(VLOOKUP(Tabla14[[#This Row],[Llave]],Hoja2!B:K,10,FALSE),0)</f>
        <v>0</v>
      </c>
      <c r="BA30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0.4753130482769119</v>
      </c>
      <c r="BB309" s="30">
        <v>0</v>
      </c>
      <c r="BC309" s="30">
        <f>IF(Tabla14[[#This Row],[Market]]=0,Tabla14[[#This Row],[Precio Final]],Tabla14[[#This Row],[Market]])</f>
        <v>0.4753130482769119</v>
      </c>
      <c r="BD309" s="99"/>
      <c r="BE309" s="99" t="str">
        <f>IF(AND(Tabla14[[#This Row],[Atraso a facturar]]&gt;0,Tabla14[[#This Row],[En puerto a facturar]]&gt;0,Tabla14[[#This Row],[Precio Atraso]]=0),"Revisar","OK")</f>
        <v>OK</v>
      </c>
      <c r="BF309" s="99" t="str">
        <f>IF(AND(Tabla14[[#This Row],[Venta del mes]]&gt;0,Tabla14[[#This Row],[Precio venta nueva]]=0),"Revisar","OK")</f>
        <v>OK</v>
      </c>
      <c r="BG309" s="20">
        <f>IFERROR(VLOOKUP(Tabla14[[#This Row],[Llave]],'[5]Consolidación planes'!$A:$M,9,FALSE),0)</f>
        <v>0</v>
      </c>
      <c r="BH309" s="20">
        <f>IFERROR(VLOOKUP(Tabla14[[#This Row],[Llave]],'[5]Consolidación planes'!$A:$M,10,FALSE),0)</f>
        <v>0</v>
      </c>
      <c r="BI309" s="20">
        <f>IFERROR(VLOOKUP(Tabla14[[#This Row],[Llave]],'[5]Consolidación planes'!$A:$M,11,FALSE),0)</f>
        <v>0</v>
      </c>
      <c r="BJ309" s="20">
        <f>IFERROR(VLOOKUP(Tabla14[[#This Row],[Llave]],'[5]Consolidación planes'!$A:$M,12,FALSE),0)</f>
        <v>0</v>
      </c>
      <c r="BK309" s="20">
        <f>IFERROR(VLOOKUP(Tabla14[[#This Row],[Llave]],'[5]Consolidación planes'!$A:$M,13,FALSE),0)</f>
        <v>0</v>
      </c>
      <c r="BL309" s="35">
        <f>IFERROR(VLOOKUP(Tabla14[[#This Row],[Llave]],'[13]Base ultimos planes'!$A:$M,13,FALSE),0)</f>
        <v>0</v>
      </c>
      <c r="BM309" s="35">
        <f>IFERROR(VLOOKUP(Tabla14[[#This Row],[Llave]],'[13]Cruce plan irrestricto'!$C:$M,10,FALSE),0)</f>
        <v>2628</v>
      </c>
      <c r="BN309" s="35">
        <f>IFERROR(VLOOKUP(Tabla14[[#This Row],[Llave]],'[13]Cruce plan irrestricto'!$C:$M,11,FALSE),0)</f>
        <v>0</v>
      </c>
      <c r="BO309" s="80">
        <f>IFERROR(VLOOKUP(Tabla14[[#This Row],[Llave]],'[13]Base ultimos planes'!$O:$AA,8,FALSE),0)</f>
        <v>0</v>
      </c>
      <c r="BP309" s="100">
        <f>IFERROR(VLOOKUP(Tabla14[[#This Row],[Llave]],'[13]Base ultimos planes'!$O:$AA,9,FALSE),0)</f>
        <v>0</v>
      </c>
      <c r="BQ309" s="100">
        <f>IFERROR(VLOOKUP(Tabla14[[#This Row],[Llave]],'[13]Base ultimos planes'!$O:$AA,10,FALSE),0)</f>
        <v>0</v>
      </c>
      <c r="BR309" s="100">
        <f>IFERROR(VLOOKUP(Tabla14[[#This Row],[Llave]],'[13]Base ultimos planes'!$O:$AA,11,FALSE),0)</f>
        <v>0</v>
      </c>
      <c r="BS309" s="100">
        <f>IFERROR(VLOOKUP(Tabla14[[#This Row],[Llave]],'[13]Base ultimos planes'!$O:$AA,12,FALSE),0)</f>
        <v>0</v>
      </c>
      <c r="BT309" s="100">
        <f>IFERROR(VLOOKUP(Tabla14[[#This Row],[Llave]],'[13]Base ultimos planes'!$O:$AA,13,FALSE),0)</f>
        <v>0</v>
      </c>
      <c r="BU309" s="35"/>
      <c r="BV309" s="20">
        <f>Tabla14[[#This Row],[ RV Producción mes n+1]]-Tabla14[[#This Row],[Producción disponible]]+Tabla14[[#This Row],[Saldo Volumen disponible]]</f>
        <v>0</v>
      </c>
      <c r="BW309" s="20">
        <f>IFERROR(VLOOKUP(Tabla14[[#This Row],[Llave]],[14]Hoja2!$J:$N,4,FALSE),0)</f>
        <v>0</v>
      </c>
      <c r="BX309" s="20">
        <f>+Tabla14[[#This Row],[Asignación mes n+1]]*Tabla14[[#This Row],[% Uti. producción]]</f>
        <v>0</v>
      </c>
      <c r="BY309" s="20">
        <f>+Tabla14[[#This Row],[Ponderación mes n+1]]+Tabla14[[#This Row],[Saldo mes n-1]]</f>
        <v>0</v>
      </c>
      <c r="BZ309" s="20">
        <f>+Tabla14[[#This Row],[Asignación mes n+1]]-Tabla14[[#This Row],[Ponderación mes n+1]]</f>
        <v>0</v>
      </c>
      <c r="CA309" s="20">
        <f>IFERROR(VLOOKUP(Tabla14[[#This Row],[Llave]],[14]Hoja2!$J:$N,5,FALSE),0)</f>
        <v>0</v>
      </c>
      <c r="CB309" s="20">
        <f>+Tabla14[[#This Row],[Asignación mes n+2]]*Tabla14[[#This Row],[% Uti. producción]]</f>
        <v>0</v>
      </c>
      <c r="CC309" s="20">
        <f>+Tabla14[[#This Row],[Saldo mes n+2]]+Tabla14[[#This Row],[Ponderación mes n+2]]</f>
        <v>0</v>
      </c>
      <c r="CD309" s="20">
        <f>+Tabla14[[#This Row],[Asignación mes n+2]]-Tabla14[[#This Row],[Ponderación mes n+2]]</f>
        <v>0</v>
      </c>
    </row>
    <row r="310" spans="1:82" ht="16" x14ac:dyDescent="0.2">
      <c r="A310">
        <v>2</v>
      </c>
      <c r="B310" t="str">
        <f>Tabla14[[#This Row],[Oficina]]&amp;Tabla14[[#This Row],[Material]]</f>
        <v>Agro Sudamerica1021864</v>
      </c>
      <c r="C310" t="s">
        <v>6</v>
      </c>
      <c r="D310" t="s">
        <v>17</v>
      </c>
      <c r="E310">
        <v>1021864</v>
      </c>
      <c r="F310" t="s">
        <v>10</v>
      </c>
      <c r="G310" t="s">
        <v>8</v>
      </c>
      <c r="H310" t="s">
        <v>9</v>
      </c>
      <c r="I310" s="7">
        <f>IFERROR(IF(Tabla14[[#This Row],[Oficina]]=$I$7,VLOOKUP(Tabla14[[#This Row],[Material]],'[6]RV Producción'!$Y:$AA,3,FALSE),VLOOKUP(Tabla14[[#This Row],[Llave]],'[6]RV Producción'!$C:$G,5,FALSE)),0)</f>
        <v>0</v>
      </c>
      <c r="J310" s="7">
        <f>IFERROR(IF(Tabla14[[#This Row],[Oficina]]=$I$7,VLOOKUP(Tabla14[[#This Row],[Llave]],'[7]Shangai (Tomas)'!$A:$F,6,FALSE),VLOOKUP(Tabla14[[#This Row],[Llave]],'[6]RV plan de ventas'!$A:$E,5,FALSE)),0)</f>
        <v>0</v>
      </c>
      <c r="K310" s="8">
        <f>IFERROR(VLOOKUP(Tabla14[[#This Row],[Sector]]&amp;Tabla14[[#This Row],[Oficina]],[8]Ponderación!$A$3:$G$22,7,FALSE),0)</f>
        <v>0.3545854356400317</v>
      </c>
      <c r="L310" s="7">
        <f>+Tabla14[[#This Row],[ RV Producción mes n+1]]*Tabla14[[#This Row],[% Uti. producción]]</f>
        <v>0</v>
      </c>
      <c r="M310" s="7">
        <f>IFERROR(VLOOKUP(Tabla14[[#This Row],[Material]],'[9]TD Stock'!$B:$C,2,FALSE),0)</f>
        <v>13477.258000000002</v>
      </c>
      <c r="N310" s="15">
        <f>IFERROR(VLOOKUP(Tabla14[[#This Row],[Material]],'[10]Consolidado planificación'!$B:$C,2,FALSE),0)</f>
        <v>13025.359886711134</v>
      </c>
      <c r="O310" s="7">
        <f>IFERROR(VLOOKUP(Tabla14[[#This Row],[Llave]],[11]Hoja2!$D:$G,4,FALSE),0)</f>
        <v>0</v>
      </c>
      <c r="P310" s="37">
        <f>SUM(Tabla14[[#This Row],[Producción disponible]],Tabla14[[#This Row],[Stock al día]],(Tabla14[[#This Row],[Por producir mes N]]*0.9))-Tabla14[[#This Row],[Producción por despachar mes N]]</f>
        <v>25200.081898040022</v>
      </c>
      <c r="Q310" s="15">
        <f>IFERROR(VLOOKUP(Tabla14[[#This Row],[Llave]],[9]DELAY!$A:$D,4,FALSE),0)</f>
        <v>24000</v>
      </c>
      <c r="R310" s="75">
        <v>23000</v>
      </c>
      <c r="S310" s="98">
        <f>IF(AND(P310&gt;Q310,Q310&gt;0),Q310,IF(AND(P310&lt;Q310,Q310&gt;0),(ROUNDDOWN(P310/R310,0)*R310),0))</f>
        <v>24000</v>
      </c>
      <c r="T310" s="76">
        <v>0</v>
      </c>
      <c r="U310" s="98">
        <f>+Tabla14[[#This Row],[Atraso a facturar]]+Tabla14[[#This Row],[Ajuste atraso]]</f>
        <v>24000</v>
      </c>
      <c r="V310" s="3">
        <f>+Tabla14[[#This Row],[Total disponible]]-Tabla14[[#This Row],[Facturación atraso]]</f>
        <v>1200.0818980400218</v>
      </c>
      <c r="W310" s="6">
        <f>IFERROR(IF(AND(V310&gt;R310,J310&gt;=R310),ROUNDDOWN((Tabla14[[#This Row],[Producción para venta nueva]])/R310,0)*R310,0),0)</f>
        <v>0</v>
      </c>
      <c r="X310" s="76">
        <v>0</v>
      </c>
      <c r="Y310" s="6">
        <f>IF(Tabla14[[#This Row],[Venta del mes]]&gt;0,Tabla14[[#This Row],[Venta del mes]]+Tabla14[[#This Row],[Ajuste venta nueva]],0)</f>
        <v>0</v>
      </c>
      <c r="Z310" s="6">
        <f>+Tabla14[[#This Row],[Producción para venta nueva]]-Tabla14[[#This Row],[Facturación Venta nueva]]</f>
        <v>1200.0818980400218</v>
      </c>
      <c r="AA310" s="6">
        <f>IF(AND(A310=1,Tabla14[[#This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0" s="6">
        <v>0</v>
      </c>
      <c r="AC310" s="6">
        <f>IF(Tabla14[[#This Row],[Disponible stock sin venta]]&gt;0,Tabla14[[#This Row],[Disponible stock sin venta]]+Tabla14[[#This Row],[Ajuste stock sin venta]],0)</f>
        <v>0</v>
      </c>
      <c r="AD310" s="3">
        <f>IFERROR(VLOOKUP(Tabla14[[#This Row],[Llave]],[12]Hoja1!$A:$D,4,FALSE),0)</f>
        <v>0</v>
      </c>
      <c r="AE31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310" s="3">
        <v>24000</v>
      </c>
      <c r="AG310" s="3">
        <f>+Tabla14[[#This Row],[En puerto a facturar]]</f>
        <v>0</v>
      </c>
      <c r="AH310" s="3">
        <f>+Tabla14[[#This Row],[Facturación atraso]]</f>
        <v>24000</v>
      </c>
      <c r="AI310" s="3">
        <f>+Tabla14[[#This Row],[Plan Irrestricto (DATO)]]-Tabla14[[#This Row],[Puerto ]]-Tabla14[[#This Row],[Atraso]]</f>
        <v>0</v>
      </c>
      <c r="AJ310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310" s="3">
        <f>+Tabla14[[#This Row],[Facturación atraso]]</f>
        <v>24000</v>
      </c>
      <c r="AL310" s="3">
        <f>Tabla14[[#This Row],[Plan Ajustado]]-Tabla14[[#This Row],[ Atraso ajustado]]-Tabla14[[#This Row],[En puerto a facturar]]</f>
        <v>0</v>
      </c>
      <c r="AM310" s="3">
        <v>0</v>
      </c>
      <c r="AN310" s="3" t="s">
        <v>636</v>
      </c>
      <c r="AO310" s="3" t="str">
        <f>IF(Tabla14[[#This Row],[Plan Ajustado]]&gt;Tabla14[[#This Row],[En puerto a facturar]],"Si","No")</f>
        <v>Si</v>
      </c>
      <c r="AP310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310" s="3">
        <f>IF(Tabla14[[#This Row],[Necesidad]]&gt;=Tabla14[[#This Row],[Stock al día]],Tabla14[[#This Row],[Stock al día]],Tabla14[[#This Row],[Necesidad]])</f>
        <v>13477.258000000002</v>
      </c>
      <c r="AR310" s="3">
        <f>+Tabla14[[#This Row],[Necesidad]]-Tabla14[[#This Row],[Stock Plan]]</f>
        <v>10522.741999999998</v>
      </c>
      <c r="AS310" s="155">
        <f>VLOOKUP(Tabla14[[#This Row],[Sector]]&amp;Tabla14[[#This Row],[Oficina]],[8]Ponderación!$A:$H,8,FALSE)</f>
        <v>44813</v>
      </c>
      <c r="AT310" s="30">
        <f>IFERROR(VLOOKUP(Tabla14[[#This Row],[Llave]],'[6]RV plan de ventas'!$A:$F,6,FALSE),0)</f>
        <v>0</v>
      </c>
      <c r="AU310" s="83">
        <f>IFERROR(VLOOKUP(Tabla14[[#This Row],[Llave]],[9]DELAY!$H:$X,17,FALSE),0)</f>
        <v>0.78</v>
      </c>
      <c r="AV31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0.78</v>
      </c>
      <c r="AW310" s="5">
        <f>Tabla14[[#This Row],[Pecio plan]]*Tabla14[[#This Row],[Plan Ajustado]]</f>
        <v>16800</v>
      </c>
      <c r="AX310" s="30">
        <f>IFERROR(VLOOKUP(Tabla14[[#This Row],[Llave]],'[13]Ultimos precios facturados'!$A:$G,7,FALSE),0)</f>
        <v>0.57009589070684785</v>
      </c>
      <c r="AY310" s="99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0.36819088282305851</v>
      </c>
      <c r="AZ310" s="30">
        <f>IFERROR(VLOOKUP(Tabla14[[#This Row],[Llave]],Hoja2!B:K,10,FALSE),0)</f>
        <v>0.5</v>
      </c>
      <c r="BA31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0.78</v>
      </c>
      <c r="BB310" s="30">
        <v>0.7</v>
      </c>
      <c r="BC310" s="30">
        <f>IF(Tabla14[[#This Row],[Market]]=0,Tabla14[[#This Row],[Precio Final]],Tabla14[[#This Row],[Market]])</f>
        <v>0.7</v>
      </c>
      <c r="BD310" s="99"/>
      <c r="BE310" s="99" t="str">
        <f>IF(AND(Tabla14[[#This Row],[Atraso a facturar]]&gt;0,Tabla14[[#This Row],[En puerto a facturar]]&gt;0,Tabla14[[#This Row],[Precio Atraso]]=0),"Revisar","OK")</f>
        <v>OK</v>
      </c>
      <c r="BF310" s="99" t="str">
        <f>IF(AND(Tabla14[[#This Row],[Venta del mes]]&gt;0,Tabla14[[#This Row],[Precio venta nueva]]=0),"Revisar","OK")</f>
        <v>OK</v>
      </c>
      <c r="BG310" s="20">
        <f>IFERROR(VLOOKUP(Tabla14[[#This Row],[Llave]],'[5]Consolidación planes'!$A:$M,9,FALSE),0)</f>
        <v>0</v>
      </c>
      <c r="BH310" s="20">
        <f>IFERROR(VLOOKUP(Tabla14[[#This Row],[Llave]],'[5]Consolidación planes'!$A:$M,10,FALSE),0)</f>
        <v>0</v>
      </c>
      <c r="BI310" s="20">
        <f>IFERROR(VLOOKUP(Tabla14[[#This Row],[Llave]],'[5]Consolidación planes'!$A:$M,11,FALSE),0)</f>
        <v>0</v>
      </c>
      <c r="BJ310" s="20">
        <f>IFERROR(VLOOKUP(Tabla14[[#This Row],[Llave]],'[5]Consolidación planes'!$A:$M,12,FALSE),0)</f>
        <v>0</v>
      </c>
      <c r="BK310" s="20">
        <f>IFERROR(VLOOKUP(Tabla14[[#This Row],[Llave]],'[5]Consolidación planes'!$A:$M,13,FALSE),0)</f>
        <v>0</v>
      </c>
      <c r="BL310" s="35">
        <f>IFERROR(VLOOKUP(Tabla14[[#This Row],[Llave]],'[13]Base ultimos planes'!$A:$M,13,FALSE),0)</f>
        <v>0</v>
      </c>
      <c r="BM310" s="35">
        <f>IFERROR(VLOOKUP(Tabla14[[#This Row],[Llave]],'[13]Cruce plan irrestricto'!$C:$M,10,FALSE),0)</f>
        <v>0</v>
      </c>
      <c r="BN310" s="35">
        <f>IFERROR(VLOOKUP(Tabla14[[#This Row],[Llave]],'[13]Cruce plan irrestricto'!$C:$M,11,FALSE),0)</f>
        <v>43922</v>
      </c>
      <c r="BO310" s="80">
        <f>IFERROR(VLOOKUP(Tabla14[[#This Row],[Llave]],'[13]Base ultimos planes'!$O:$AA,8,FALSE),0)</f>
        <v>0</v>
      </c>
      <c r="BP310" s="100">
        <f>IFERROR(VLOOKUP(Tabla14[[#This Row],[Llave]],'[13]Base ultimos planes'!$O:$AA,9,FALSE),0)</f>
        <v>0</v>
      </c>
      <c r="BQ310" s="100">
        <f>IFERROR(VLOOKUP(Tabla14[[#This Row],[Llave]],'[13]Base ultimos planes'!$O:$AA,10,FALSE),0)</f>
        <v>0</v>
      </c>
      <c r="BR310" s="100">
        <f>IFERROR(VLOOKUP(Tabla14[[#This Row],[Llave]],'[13]Base ultimos planes'!$O:$AA,11,FALSE),0)</f>
        <v>0</v>
      </c>
      <c r="BS310" s="100">
        <f>IFERROR(VLOOKUP(Tabla14[[#This Row],[Llave]],'[13]Base ultimos planes'!$O:$AA,12,FALSE),0)</f>
        <v>0</v>
      </c>
      <c r="BT310" s="100">
        <f>IFERROR(VLOOKUP(Tabla14[[#This Row],[Llave]],'[13]Base ultimos planes'!$O:$AA,13,FALSE),0)</f>
        <v>0</v>
      </c>
      <c r="BU310" s="35"/>
      <c r="BV310" s="20">
        <f>Tabla14[[#This Row],[ RV Producción mes n+1]]-Tabla14[[#This Row],[Producción disponible]]+Tabla14[[#This Row],[Saldo Volumen disponible]]</f>
        <v>1200.0818980400218</v>
      </c>
      <c r="BW310" s="20">
        <f>IFERROR(VLOOKUP(Tabla14[[#This Row],[Llave]],[14]Hoja2!$J:$N,4,FALSE),0)</f>
        <v>0</v>
      </c>
      <c r="BX310" s="20">
        <f>+Tabla14[[#This Row],[Asignación mes n+1]]*Tabla14[[#This Row],[% Uti. producción]]</f>
        <v>0</v>
      </c>
      <c r="BY310" s="20">
        <f>+Tabla14[[#This Row],[Ponderación mes n+1]]+Tabla14[[#This Row],[Saldo mes n-1]]</f>
        <v>1200.0818980400218</v>
      </c>
      <c r="BZ310" s="20">
        <f>+Tabla14[[#This Row],[Asignación mes n+1]]-Tabla14[[#This Row],[Ponderación mes n+1]]</f>
        <v>0</v>
      </c>
      <c r="CA310" s="20">
        <f>IFERROR(VLOOKUP(Tabla14[[#This Row],[Llave]],[14]Hoja2!$J:$N,5,FALSE),0)</f>
        <v>0</v>
      </c>
      <c r="CB310" s="20">
        <f>+Tabla14[[#This Row],[Asignación mes n+2]]*Tabla14[[#This Row],[% Uti. producción]]</f>
        <v>0</v>
      </c>
      <c r="CC310" s="20">
        <f>+Tabla14[[#This Row],[Saldo mes n+2]]+Tabla14[[#This Row],[Ponderación mes n+2]]</f>
        <v>0</v>
      </c>
      <c r="CD310" s="20">
        <f>+Tabla14[[#This Row],[Asignación mes n+2]]-Tabla14[[#This Row],[Ponderación mes n+2]]</f>
        <v>0</v>
      </c>
    </row>
    <row r="311" spans="1:82" ht="16" x14ac:dyDescent="0.2">
      <c r="A311">
        <v>1</v>
      </c>
      <c r="B311" t="str">
        <f>Tabla14[[#This Row],[Oficina]]&amp;Tabla14[[#This Row],[Material]]</f>
        <v>Agro Sudamerica1030817</v>
      </c>
      <c r="C311" t="s">
        <v>204</v>
      </c>
      <c r="D311" t="s">
        <v>17</v>
      </c>
      <c r="E311">
        <v>1030817</v>
      </c>
      <c r="F311" t="s">
        <v>219</v>
      </c>
      <c r="G311" t="s">
        <v>217</v>
      </c>
      <c r="H311" t="s">
        <v>218</v>
      </c>
      <c r="I311" s="7">
        <f>IFERROR(IF(Tabla14[[#This Row],[Oficina]]=$I$7,VLOOKUP(Tabla14[[#This Row],[Material]],'[6]RV Producción'!$Y:$AA,3,FALSE),VLOOKUP(Tabla14[[#This Row],[Llave]],'[6]RV Producción'!$C:$G,5,FALSE)),0)</f>
        <v>0</v>
      </c>
      <c r="J311" s="7">
        <f>IFERROR(IF(Tabla14[[#This Row],[Oficina]]=$I$7,VLOOKUP(Tabla14[[#This Row],[Llave]],'[7]Shangai (Tomas)'!$A:$F,6,FALSE),VLOOKUP(Tabla14[[#This Row],[Llave]],'[6]RV plan de ventas'!$A:$E,5,FALSE)),0)</f>
        <v>0</v>
      </c>
      <c r="K311" s="8">
        <f>IFERROR(VLOOKUP(Tabla14[[#This Row],[Sector]]&amp;Tabla14[[#This Row],[Oficina]],[8]Ponderación!$A$3:$G$22,7,FALSE),0)</f>
        <v>0.47745072632608576</v>
      </c>
      <c r="L311" s="7">
        <f>+Tabla14[[#This Row],[ RV Producción mes n+1]]*Tabla14[[#This Row],[% Uti. producción]]</f>
        <v>0</v>
      </c>
      <c r="M311" s="7">
        <f>IFERROR(VLOOKUP(Tabla14[[#This Row],[Material]],'[9]TD Stock'!$B:$C,2,FALSE),0)</f>
        <v>3667.7460000000001</v>
      </c>
      <c r="N311" s="15">
        <f>IFERROR(VLOOKUP(Tabla14[[#This Row],[Material]],'[10]Consolidado planificación'!$B:$C,2,FALSE),0)</f>
        <v>0</v>
      </c>
      <c r="O311" s="15">
        <f>IFERROR(VLOOKUP(Tabla14[[#This Row],[Llave]],[11]Hoja2!$D:$G,4,FALSE),0)</f>
        <v>0</v>
      </c>
      <c r="P311" s="37">
        <f>SUM(Tabla14[[#This Row],[Producción disponible]],Tabla14[[#This Row],[Stock al día]],(Tabla14[[#This Row],[Por producir mes N]]*0.9))-Tabla14[[#This Row],[Producción por despachar mes N]]</f>
        <v>3667.7460000000001</v>
      </c>
      <c r="Q311" s="15">
        <f>IFERROR(VLOOKUP(Tabla14[[#This Row],[Llave]],[9]DELAY!$A:$D,4,FALSE),0)</f>
        <v>3703</v>
      </c>
      <c r="R311" s="75">
        <v>23000</v>
      </c>
      <c r="S311" s="98">
        <f t="shared" ref="S311:S314" si="10">IF(AND(P311&gt;Q311,Q311&gt;0),Q311,IF(AND(P311&lt;Q311,Q311&gt;0),(ROUNDDOWN(P311/R311,0)*R311),0))</f>
        <v>0</v>
      </c>
      <c r="T311" s="76">
        <v>0</v>
      </c>
      <c r="U311" s="98">
        <f>+Tabla14[[#This Row],[Atraso a facturar]]+Tabla14[[#This Row],[Ajuste atraso]]</f>
        <v>0</v>
      </c>
      <c r="V311" s="3">
        <f>+Tabla14[[#This Row],[Total disponible]]-Tabla14[[#This Row],[Facturación atraso]]</f>
        <v>3667.7460000000001</v>
      </c>
      <c r="W311" s="6">
        <f>IFERROR(IF(AND(V311&gt;R311,J311&gt;=R311),ROUNDDOWN((Tabla14[[#This Row],[Producción para venta nueva]])/R311,0)*R311,0),0)</f>
        <v>0</v>
      </c>
      <c r="X311" s="76">
        <v>0</v>
      </c>
      <c r="Y311" s="6">
        <f>IF(Tabla14[[#This Row],[Venta del mes]]&gt;0,Tabla14[[#This Row],[Venta del mes]]+Tabla14[[#This Row],[Ajuste venta nueva]],0)</f>
        <v>0</v>
      </c>
      <c r="Z311" s="6">
        <f>+Tabla14[[#This Row],[Producción para venta nueva]]-Tabla14[[#This Row],[Facturación Venta nueva]]</f>
        <v>3667.7460000000001</v>
      </c>
      <c r="AA311" s="6">
        <f>IF(AND(A311=1,Tabla14[[#This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1" s="6">
        <v>0</v>
      </c>
      <c r="AC311" s="6">
        <f>IF(Tabla14[[#This Row],[Disponible stock sin venta]]&gt;0,Tabla14[[#This Row],[Disponible stock sin venta]]+Tabla14[[#This Row],[Ajuste stock sin venta]],0)</f>
        <v>0</v>
      </c>
      <c r="AD311" s="3">
        <f>IFERROR(VLOOKUP(Tabla14[[#This Row],[Llave]],[12]Hoja1!$A:$D,4,FALSE),0)</f>
        <v>0</v>
      </c>
      <c r="AE31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11" s="3">
        <v>0</v>
      </c>
      <c r="AG311" s="3">
        <f>+Tabla14[[#This Row],[En puerto a facturar]]</f>
        <v>0</v>
      </c>
      <c r="AH311" s="3">
        <f>+Tabla14[[#This Row],[Facturación atraso]]</f>
        <v>0</v>
      </c>
      <c r="AI311" s="3">
        <f>+Tabla14[[#This Row],[Plan Irrestricto (DATO)]]-Tabla14[[#This Row],[Puerto ]]-Tabla14[[#This Row],[Atraso]]</f>
        <v>0</v>
      </c>
      <c r="AJ311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11" s="3">
        <f>+Tabla14[[#This Row],[Facturación atraso]]</f>
        <v>0</v>
      </c>
      <c r="AL311" s="3">
        <f>Tabla14[[#This Row],[Plan Ajustado]]-Tabla14[[#This Row],[ Atraso ajustado]]-Tabla14[[#This Row],[En puerto a facturar]]</f>
        <v>0</v>
      </c>
      <c r="AM311" s="3">
        <v>0</v>
      </c>
      <c r="AN311" s="3" t="e">
        <v>#REF!</v>
      </c>
      <c r="AO311" s="3" t="str">
        <f>IF(Tabla14[[#This Row],[Plan Ajustado]]&gt;Tabla14[[#This Row],[En puerto a facturar]],"Si","No")</f>
        <v>No</v>
      </c>
      <c r="AP311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11" s="3">
        <f>IF(Tabla14[[#This Row],[Necesidad]]&gt;=Tabla14[[#This Row],[Stock al día]],Tabla14[[#This Row],[Stock al día]],Tabla14[[#This Row],[Necesidad]])</f>
        <v>0</v>
      </c>
      <c r="AR311" s="3">
        <f>+Tabla14[[#This Row],[Necesidad]]-Tabla14[[#This Row],[Stock Plan]]</f>
        <v>0</v>
      </c>
      <c r="AS311" s="155">
        <f>VLOOKUP(Tabla14[[#This Row],[Sector]]&amp;Tabla14[[#This Row],[Oficina]],[8]Ponderación!$A:$H,8,FALSE)</f>
        <v>44817</v>
      </c>
      <c r="AT311" s="30">
        <f>IFERROR(VLOOKUP(Tabla14[[#This Row],[Llave]],'[6]RV plan de ventas'!$A:$F,6,FALSE),0)</f>
        <v>0</v>
      </c>
      <c r="AU311" s="83">
        <f>IFERROR(VLOOKUP(Tabla14[[#This Row],[Llave]],[9]DELAY!$H:$X,17,FALSE),0)</f>
        <v>2.35</v>
      </c>
      <c r="AV31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11" s="5">
        <f>Tabla14[[#This Row],[Pecio plan]]*Tabla14[[#This Row],[Plan Ajustado]]</f>
        <v>0</v>
      </c>
      <c r="AX311" s="30">
        <f>IFERROR(VLOOKUP(Tabla14[[#This Row],[Llave]],'[13]Ultimos precios facturados'!$A:$G,7,FALSE),0)</f>
        <v>2.1856964087091555</v>
      </c>
      <c r="AY311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11" s="30">
        <f>IFERROR(VLOOKUP(Tabla14[[#This Row],[Llave]],Hoja2!B:K,10,FALSE),0)</f>
        <v>2.25</v>
      </c>
      <c r="BA31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11" s="30">
        <v>0</v>
      </c>
      <c r="BC311" s="30">
        <f>IF(Tabla14[[#This Row],[Market]]=0,Tabla14[[#This Row],[Precio Final]],Tabla14[[#This Row],[Market]])</f>
        <v>0</v>
      </c>
      <c r="BD311" s="99"/>
      <c r="BE311" s="99" t="str">
        <f>IF(AND(Tabla14[[#This Row],[Atraso a facturar]]&gt;0,Tabla14[[#This Row],[En puerto a facturar]]&gt;0,Tabla14[[#This Row],[Precio Atraso]]=0),"Revisar","OK")</f>
        <v>OK</v>
      </c>
      <c r="BF311" s="99" t="str">
        <f>IF(AND(Tabla14[[#This Row],[Venta del mes]]&gt;0,Tabla14[[#This Row],[Precio venta nueva]]=0),"Revisar","OK")</f>
        <v>OK</v>
      </c>
      <c r="BG311" s="20">
        <f>IFERROR(VLOOKUP(Tabla14[[#This Row],[Llave]],'[5]Consolidación planes'!$A:$M,9,FALSE),0)</f>
        <v>0</v>
      </c>
      <c r="BH311" s="20">
        <f>IFERROR(VLOOKUP(Tabla14[[#This Row],[Llave]],'[5]Consolidación planes'!$A:$M,10,FALSE),0)</f>
        <v>0</v>
      </c>
      <c r="BI311" s="20">
        <f>IFERROR(VLOOKUP(Tabla14[[#This Row],[Llave]],'[5]Consolidación planes'!$A:$M,11,FALSE),0)</f>
        <v>0</v>
      </c>
      <c r="BJ311" s="20">
        <f>IFERROR(VLOOKUP(Tabla14[[#This Row],[Llave]],'[5]Consolidación planes'!$A:$M,12,FALSE),0)</f>
        <v>0</v>
      </c>
      <c r="BK311" s="20">
        <f>IFERROR(VLOOKUP(Tabla14[[#This Row],[Llave]],'[5]Consolidación planes'!$A:$M,13,FALSE),0)</f>
        <v>0</v>
      </c>
      <c r="BL311" s="35">
        <f>IFERROR(VLOOKUP(Tabla14[[#This Row],[Llave]],'[13]Base ultimos planes'!$A:$M,13,FALSE),0)</f>
        <v>0</v>
      </c>
      <c r="BM311" s="35">
        <f>IFERROR(VLOOKUP(Tabla14[[#This Row],[Llave]],'[13]Cruce plan irrestricto'!$C:$M,10,FALSE),0)</f>
        <v>0</v>
      </c>
      <c r="BN311" s="35">
        <f>IFERROR(VLOOKUP(Tabla14[[#This Row],[Llave]],'[13]Cruce plan irrestricto'!$C:$M,11,FALSE),0)</f>
        <v>24000</v>
      </c>
      <c r="BO311" s="80">
        <f>IFERROR(VLOOKUP(Tabla14[[#This Row],[Llave]],'[13]Base ultimos planes'!$O:$AA,8,FALSE),0)</f>
        <v>0</v>
      </c>
      <c r="BP311" s="100">
        <f>IFERROR(VLOOKUP(Tabla14[[#This Row],[Llave]],'[13]Base ultimos planes'!$O:$AA,9,FALSE),0)</f>
        <v>0</v>
      </c>
      <c r="BQ311" s="100">
        <f>IFERROR(VLOOKUP(Tabla14[[#This Row],[Llave]],'[13]Base ultimos planes'!$O:$AA,10,FALSE),0)</f>
        <v>0</v>
      </c>
      <c r="BR311" s="100">
        <f>IFERROR(VLOOKUP(Tabla14[[#This Row],[Llave]],'[13]Base ultimos planes'!$O:$AA,11,FALSE),0)</f>
        <v>0</v>
      </c>
      <c r="BS311" s="100">
        <f>IFERROR(VLOOKUP(Tabla14[[#This Row],[Llave]],'[13]Base ultimos planes'!$O:$AA,12,FALSE),0)</f>
        <v>0</v>
      </c>
      <c r="BT311" s="100">
        <f>IFERROR(VLOOKUP(Tabla14[[#This Row],[Llave]],'[13]Base ultimos planes'!$O:$AA,13,FALSE),0)</f>
        <v>0</v>
      </c>
      <c r="BU311" s="35"/>
      <c r="BV311" s="20">
        <f>Tabla14[[#This Row],[ RV Producción mes n+1]]-Tabla14[[#This Row],[Producción disponible]]+Tabla14[[#This Row],[Saldo Volumen disponible]]</f>
        <v>3667.7460000000001</v>
      </c>
      <c r="BW311" s="20">
        <f>IFERROR(VLOOKUP(Tabla14[[#This Row],[Llave]],[14]Hoja2!$J:$N,4,FALSE),0)</f>
        <v>0</v>
      </c>
      <c r="BX311" s="20">
        <f>+Tabla14[[#This Row],[Asignación mes n+1]]*Tabla14[[#This Row],[% Uti. producción]]</f>
        <v>0</v>
      </c>
      <c r="BY311" s="20">
        <f>+Tabla14[[#This Row],[Ponderación mes n+1]]+Tabla14[[#This Row],[Saldo mes n-1]]</f>
        <v>3667.7460000000001</v>
      </c>
      <c r="BZ311" s="20">
        <f>+Tabla14[[#This Row],[Asignación mes n+1]]-Tabla14[[#This Row],[Ponderación mes n+1]]</f>
        <v>0</v>
      </c>
      <c r="CA311" s="20">
        <f>IFERROR(VLOOKUP(Tabla14[[#This Row],[Llave]],[14]Hoja2!$J:$N,5,FALSE),0)</f>
        <v>0</v>
      </c>
      <c r="CB311" s="20">
        <f>+Tabla14[[#This Row],[Asignación mes n+2]]*Tabla14[[#This Row],[% Uti. producción]]</f>
        <v>0</v>
      </c>
      <c r="CC311" s="20">
        <f>+Tabla14[[#This Row],[Saldo mes n+2]]+Tabla14[[#This Row],[Ponderación mes n+2]]</f>
        <v>0</v>
      </c>
      <c r="CD311" s="20">
        <f>+Tabla14[[#This Row],[Asignación mes n+2]]-Tabla14[[#This Row],[Ponderación mes n+2]]</f>
        <v>0</v>
      </c>
    </row>
    <row r="312" spans="1:82" ht="16" x14ac:dyDescent="0.2">
      <c r="A312">
        <v>1</v>
      </c>
      <c r="B312" t="str">
        <f>Tabla14[[#This Row],[Oficina]]&amp;Tabla14[[#This Row],[Material]]</f>
        <v>Agro Sudamerica1030812</v>
      </c>
      <c r="C312" t="s">
        <v>204</v>
      </c>
      <c r="D312" t="s">
        <v>17</v>
      </c>
      <c r="E312">
        <v>1030812</v>
      </c>
      <c r="F312" t="s">
        <v>777</v>
      </c>
      <c r="G312" t="s">
        <v>220</v>
      </c>
      <c r="H312" t="s">
        <v>221</v>
      </c>
      <c r="I312" s="7">
        <f>IFERROR(IF(Tabla14[[#This Row],[Oficina]]=$I$7,VLOOKUP(Tabla14[[#This Row],[Material]],'[6]RV Producción'!$Y:$AA,3,FALSE),VLOOKUP(Tabla14[[#This Row],[Llave]],'[6]RV Producción'!$C:$G,5,FALSE)),0)</f>
        <v>0</v>
      </c>
      <c r="J312" s="7">
        <f>IFERROR(IF(Tabla14[[#This Row],[Oficina]]=$I$7,VLOOKUP(Tabla14[[#This Row],[Llave]],'[7]Shangai (Tomas)'!$A:$F,6,FALSE),VLOOKUP(Tabla14[[#This Row],[Llave]],'[6]RV plan de ventas'!$A:$E,5,FALSE)),0)</f>
        <v>0</v>
      </c>
      <c r="K312" s="8">
        <f>IFERROR(VLOOKUP(Tabla14[[#This Row],[Sector]]&amp;Tabla14[[#This Row],[Oficina]],[8]Ponderación!$A$3:$G$22,7,FALSE),0)</f>
        <v>0.47745072632608576</v>
      </c>
      <c r="L312" s="7">
        <f>+Tabla14[[#This Row],[ RV Producción mes n+1]]*Tabla14[[#This Row],[% Uti. producción]]</f>
        <v>0</v>
      </c>
      <c r="M312" s="7">
        <f>IFERROR(VLOOKUP(Tabla14[[#This Row],[Material]],'[9]TD Stock'!$B:$C,2,FALSE),0)</f>
        <v>25005</v>
      </c>
      <c r="N312" s="15">
        <f>IFERROR(VLOOKUP(Tabla14[[#This Row],[Material]],'[10]Consolidado planificación'!$B:$C,2,FALSE),0)</f>
        <v>0</v>
      </c>
      <c r="O312" s="15">
        <f>IFERROR(VLOOKUP(Tabla14[[#This Row],[Llave]],[11]Hoja2!$D:$G,4,FALSE),0)</f>
        <v>0</v>
      </c>
      <c r="P312" s="37">
        <f>SUM(Tabla14[[#This Row],[Producción disponible]],Tabla14[[#This Row],[Stock al día]],(Tabla14[[#This Row],[Por producir mes N]]*0.9))-Tabla14[[#This Row],[Producción por despachar mes N]]</f>
        <v>25005</v>
      </c>
      <c r="Q312" s="15">
        <f>IFERROR(VLOOKUP(Tabla14[[#This Row],[Llave]],[9]DELAY!$A:$D,4,FALSE),0)</f>
        <v>24000</v>
      </c>
      <c r="R312" s="75">
        <v>23000</v>
      </c>
      <c r="S312" s="98">
        <f t="shared" si="10"/>
        <v>24000</v>
      </c>
      <c r="T312" s="76">
        <v>0</v>
      </c>
      <c r="U312" s="98">
        <f>+Tabla14[[#This Row],[Atraso a facturar]]+Tabla14[[#This Row],[Ajuste atraso]]</f>
        <v>24000</v>
      </c>
      <c r="V312" s="3">
        <f>+Tabla14[[#This Row],[Total disponible]]-Tabla14[[#This Row],[Facturación atraso]]</f>
        <v>1005</v>
      </c>
      <c r="W312" s="6">
        <f>IFERROR(IF(AND(V312&gt;R312,J312&gt;=R312),ROUNDDOWN((Tabla14[[#This Row],[Producción para venta nueva]])/R312,0)*R312,0),0)</f>
        <v>0</v>
      </c>
      <c r="X312" s="76">
        <v>0</v>
      </c>
      <c r="Y312" s="6">
        <f>IF(Tabla14[[#This Row],[Venta del mes]]&gt;0,Tabla14[[#This Row],[Venta del mes]]+Tabla14[[#This Row],[Ajuste venta nueva]],0)</f>
        <v>0</v>
      </c>
      <c r="Z312" s="6">
        <f>+Tabla14[[#This Row],[Producción para venta nueva]]-Tabla14[[#This Row],[Facturación Venta nueva]]</f>
        <v>1005</v>
      </c>
      <c r="AA312" s="6">
        <f>IF(AND(A312=1,Tabla14[[#This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2" s="6">
        <v>0</v>
      </c>
      <c r="AC312" s="6">
        <f>IF(Tabla14[[#This Row],[Disponible stock sin venta]]&gt;0,Tabla14[[#This Row],[Disponible stock sin venta]]+Tabla14[[#This Row],[Ajuste stock sin venta]],0)</f>
        <v>0</v>
      </c>
      <c r="AD312" s="3">
        <f>IFERROR(VLOOKUP(Tabla14[[#This Row],[Llave]],[12]Hoja1!$A:$D,4,FALSE),0)</f>
        <v>0</v>
      </c>
      <c r="AE31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312" s="3">
        <v>24000</v>
      </c>
      <c r="AG312" s="3">
        <f>+Tabla14[[#This Row],[En puerto a facturar]]</f>
        <v>0</v>
      </c>
      <c r="AH312" s="3">
        <f>+Tabla14[[#This Row],[Facturación atraso]]</f>
        <v>24000</v>
      </c>
      <c r="AI312" s="3">
        <f>+Tabla14[[#This Row],[Plan Irrestricto (DATO)]]-Tabla14[[#This Row],[Puerto ]]-Tabla14[[#This Row],[Atraso]]</f>
        <v>0</v>
      </c>
      <c r="AJ312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312" s="3">
        <f>+Tabla14[[#This Row],[Facturación atraso]]</f>
        <v>24000</v>
      </c>
      <c r="AL312" s="3">
        <f>Tabla14[[#This Row],[Plan Ajustado]]-Tabla14[[#This Row],[ Atraso ajustado]]-Tabla14[[#This Row],[En puerto a facturar]]</f>
        <v>0</v>
      </c>
      <c r="AM312" s="3">
        <v>0</v>
      </c>
      <c r="AN312" s="3" t="s">
        <v>636</v>
      </c>
      <c r="AO312" s="3" t="str">
        <f>IF(Tabla14[[#This Row],[Plan Ajustado]]&gt;Tabla14[[#This Row],[En puerto a facturar]],"Si","No")</f>
        <v>Si</v>
      </c>
      <c r="AP312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312" s="3">
        <f>IF(Tabla14[[#This Row],[Necesidad]]&gt;=Tabla14[[#This Row],[Stock al día]],Tabla14[[#This Row],[Stock al día]],Tabla14[[#This Row],[Necesidad]])</f>
        <v>24000</v>
      </c>
      <c r="AR312" s="3">
        <f>+Tabla14[[#This Row],[Necesidad]]-Tabla14[[#This Row],[Stock Plan]]</f>
        <v>0</v>
      </c>
      <c r="AS312" s="155">
        <f>VLOOKUP(Tabla14[[#This Row],[Sector]]&amp;Tabla14[[#This Row],[Oficina]],[8]Ponderación!$A:$H,8,FALSE)</f>
        <v>44817</v>
      </c>
      <c r="AT312" s="30">
        <f>IFERROR(VLOOKUP(Tabla14[[#This Row],[Llave]],'[6]RV plan de ventas'!$A:$F,6,FALSE),0)</f>
        <v>0</v>
      </c>
      <c r="AU312" s="83">
        <f>IFERROR(VLOOKUP(Tabla14[[#This Row],[Llave]],[9]DELAY!$H:$X,17,FALSE),0)</f>
        <v>4.55104166666667</v>
      </c>
      <c r="AV31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4.55104166666667</v>
      </c>
      <c r="AW312" s="5">
        <f>Tabla14[[#This Row],[Pecio plan]]*Tabla14[[#This Row],[Plan Ajustado]]</f>
        <v>106480</v>
      </c>
      <c r="AX312" s="30">
        <f>IFERROR(VLOOKUP(Tabla14[[#This Row],[Llave]],'[13]Ultimos precios facturados'!$A:$G,7,FALSE),0)</f>
        <v>0</v>
      </c>
      <c r="AY312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12" s="30">
        <f>IFERROR(VLOOKUP(Tabla14[[#This Row],[Llave]],Hoja2!B:K,10,FALSE),0)</f>
        <v>0</v>
      </c>
      <c r="BA31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4.55104166666667</v>
      </c>
      <c r="BB312" s="30">
        <v>4.4366666666666665</v>
      </c>
      <c r="BC312" s="30">
        <f>IF(Tabla14[[#This Row],[Market]]=0,Tabla14[[#This Row],[Precio Final]],Tabla14[[#This Row],[Market]])</f>
        <v>4.4366666666666665</v>
      </c>
      <c r="BD312" s="99"/>
      <c r="BE312" s="99" t="str">
        <f>IF(AND(Tabla14[[#This Row],[Atraso a facturar]]&gt;0,Tabla14[[#This Row],[En puerto a facturar]]&gt;0,Tabla14[[#This Row],[Precio Atraso]]=0),"Revisar","OK")</f>
        <v>OK</v>
      </c>
      <c r="BF312" s="99" t="str">
        <f>IF(AND(Tabla14[[#This Row],[Venta del mes]]&gt;0,Tabla14[[#This Row],[Precio venta nueva]]=0),"Revisar","OK")</f>
        <v>OK</v>
      </c>
      <c r="BG312" s="20">
        <f>IFERROR(VLOOKUP(Tabla14[[#This Row],[Llave]],'[5]Consolidación planes'!$A:$M,9,FALSE),0)</f>
        <v>0</v>
      </c>
      <c r="BH312" s="20">
        <f>IFERROR(VLOOKUP(Tabla14[[#This Row],[Llave]],'[5]Consolidación planes'!$A:$M,10,FALSE),0)</f>
        <v>0</v>
      </c>
      <c r="BI312" s="20">
        <f>IFERROR(VLOOKUP(Tabla14[[#This Row],[Llave]],'[5]Consolidación planes'!$A:$M,11,FALSE),0)</f>
        <v>0</v>
      </c>
      <c r="BJ312" s="20">
        <f>IFERROR(VLOOKUP(Tabla14[[#This Row],[Llave]],'[5]Consolidación planes'!$A:$M,12,FALSE),0)</f>
        <v>0</v>
      </c>
      <c r="BK312" s="20">
        <f>IFERROR(VLOOKUP(Tabla14[[#This Row],[Llave]],'[5]Consolidación planes'!$A:$M,13,FALSE),0)</f>
        <v>0</v>
      </c>
      <c r="BL312" s="35">
        <f>IFERROR(VLOOKUP(Tabla14[[#This Row],[Llave]],'[13]Base ultimos planes'!$A:$M,13,FALSE),0)</f>
        <v>0</v>
      </c>
      <c r="BM312" s="35">
        <f>IFERROR(VLOOKUP(Tabla14[[#This Row],[Llave]],'[13]Cruce plan irrestricto'!$C:$M,10,FALSE),0)</f>
        <v>0</v>
      </c>
      <c r="BN312" s="35">
        <f>IFERROR(VLOOKUP(Tabla14[[#This Row],[Llave]],'[13]Cruce plan irrestricto'!$C:$M,11,FALSE),0)</f>
        <v>0</v>
      </c>
      <c r="BO312" s="80">
        <f>IFERROR(VLOOKUP(Tabla14[[#This Row],[Llave]],'[13]Base ultimos planes'!$O:$AA,8,FALSE),0)</f>
        <v>0</v>
      </c>
      <c r="BP312" s="100">
        <f>IFERROR(VLOOKUP(Tabla14[[#This Row],[Llave]],'[13]Base ultimos planes'!$O:$AA,9,FALSE),0)</f>
        <v>0</v>
      </c>
      <c r="BQ312" s="100">
        <f>IFERROR(VLOOKUP(Tabla14[[#This Row],[Llave]],'[13]Base ultimos planes'!$O:$AA,10,FALSE),0)</f>
        <v>0</v>
      </c>
      <c r="BR312" s="100">
        <f>IFERROR(VLOOKUP(Tabla14[[#This Row],[Llave]],'[13]Base ultimos planes'!$O:$AA,11,FALSE),0)</f>
        <v>0</v>
      </c>
      <c r="BS312" s="100">
        <f>IFERROR(VLOOKUP(Tabla14[[#This Row],[Llave]],'[13]Base ultimos planes'!$O:$AA,12,FALSE),0)</f>
        <v>0</v>
      </c>
      <c r="BT312" s="100">
        <f>IFERROR(VLOOKUP(Tabla14[[#This Row],[Llave]],'[13]Base ultimos planes'!$O:$AA,13,FALSE),0)</f>
        <v>0</v>
      </c>
      <c r="BU312" s="35"/>
      <c r="BV312" s="20">
        <f>Tabla14[[#This Row],[ RV Producción mes n+1]]-Tabla14[[#This Row],[Producción disponible]]+Tabla14[[#This Row],[Saldo Volumen disponible]]</f>
        <v>1005</v>
      </c>
      <c r="BW312" s="20">
        <f>IFERROR(VLOOKUP(Tabla14[[#This Row],[Llave]],[14]Hoja2!$J:$N,4,FALSE),0)</f>
        <v>0</v>
      </c>
      <c r="BX312" s="20">
        <f>+Tabla14[[#This Row],[Asignación mes n+1]]*Tabla14[[#This Row],[% Uti. producción]]</f>
        <v>0</v>
      </c>
      <c r="BY312" s="20">
        <f>+Tabla14[[#This Row],[Ponderación mes n+1]]+Tabla14[[#This Row],[Saldo mes n-1]]</f>
        <v>1005</v>
      </c>
      <c r="BZ312" s="20">
        <f>+Tabla14[[#This Row],[Asignación mes n+1]]-Tabla14[[#This Row],[Ponderación mes n+1]]</f>
        <v>0</v>
      </c>
      <c r="CA312" s="20">
        <f>IFERROR(VLOOKUP(Tabla14[[#This Row],[Llave]],[14]Hoja2!$J:$N,5,FALSE),0)</f>
        <v>0</v>
      </c>
      <c r="CB312" s="20">
        <f>+Tabla14[[#This Row],[Asignación mes n+2]]*Tabla14[[#This Row],[% Uti. producción]]</f>
        <v>0</v>
      </c>
      <c r="CC312" s="20">
        <f>+Tabla14[[#This Row],[Saldo mes n+2]]+Tabla14[[#This Row],[Ponderación mes n+2]]</f>
        <v>0</v>
      </c>
      <c r="CD312" s="20">
        <f>+Tabla14[[#This Row],[Asignación mes n+2]]-Tabla14[[#This Row],[Ponderación mes n+2]]</f>
        <v>0</v>
      </c>
    </row>
    <row r="313" spans="1:82" ht="16" x14ac:dyDescent="0.2">
      <c r="B313" t="str">
        <f>Tabla14[[#This Row],[Oficina]]&amp;Tabla14[[#This Row],[Material]]</f>
        <v>Agro Sudamerica1030816</v>
      </c>
      <c r="C313" t="s">
        <v>204</v>
      </c>
      <c r="D313" t="s">
        <v>17</v>
      </c>
      <c r="E313">
        <v>1030816</v>
      </c>
      <c r="F313" t="s">
        <v>207</v>
      </c>
      <c r="G313" t="s">
        <v>205</v>
      </c>
      <c r="H313" t="s">
        <v>206</v>
      </c>
      <c r="I313" s="7">
        <f>IFERROR(IF(Tabla14[[#This Row],[Oficina]]=$I$7,VLOOKUP(Tabla14[[#This Row],[Material]],'[6]RV Producción'!$Y:$AA,3,FALSE),VLOOKUP(Tabla14[[#This Row],[Llave]],'[6]RV Producción'!$C:$G,5,FALSE)),0)</f>
        <v>0</v>
      </c>
      <c r="J313" s="7">
        <f>IFERROR(IF(Tabla14[[#This Row],[Oficina]]=$I$7,VLOOKUP(Tabla14[[#This Row],[Llave]],'[7]Shangai (Tomas)'!$A:$F,6,FALSE),VLOOKUP(Tabla14[[#This Row],[Llave]],'[6]RV plan de ventas'!$A:$E,5,FALSE)),0)</f>
        <v>0</v>
      </c>
      <c r="K313" s="8">
        <f>IFERROR(VLOOKUP(Tabla14[[#This Row],[Sector]]&amp;Tabla14[[#This Row],[Oficina]],[8]Ponderación!$A$3:$G$22,7,FALSE),0)</f>
        <v>0.47745072632608576</v>
      </c>
      <c r="L313" s="7">
        <f>+Tabla14[[#This Row],[ RV Producción mes n+1]]*Tabla14[[#This Row],[% Uti. producción]]</f>
        <v>0</v>
      </c>
      <c r="M313" s="7">
        <f>IFERROR(VLOOKUP(Tabla14[[#This Row],[Material]],'[9]TD Stock'!$B:$C,2,FALSE),0)</f>
        <v>1541.2560000000001</v>
      </c>
      <c r="N313" s="15">
        <f>IFERROR(VLOOKUP(Tabla14[[#This Row],[Material]],'[10]Consolidado planificación'!$B:$C,2,FALSE),0)</f>
        <v>0</v>
      </c>
      <c r="O313" s="15">
        <f>IFERROR(VLOOKUP(Tabla14[[#This Row],[Llave]],[11]Hoja2!$D:$G,4,FALSE),0)</f>
        <v>0</v>
      </c>
      <c r="P313" s="37">
        <f>SUM(Tabla14[[#This Row],[Producción disponible]],Tabla14[[#This Row],[Stock al día]],(Tabla14[[#This Row],[Por producir mes N]]*0.9))-Tabla14[[#This Row],[Producción por despachar mes N]]</f>
        <v>1541.2560000000001</v>
      </c>
      <c r="Q313" s="15">
        <f>IFERROR(VLOOKUP(Tabla14[[#This Row],[Llave]],[9]DELAY!$A:$D,4,FALSE),0)</f>
        <v>14409</v>
      </c>
      <c r="R313" s="75">
        <v>23000</v>
      </c>
      <c r="S313" s="98">
        <f t="shared" si="10"/>
        <v>0</v>
      </c>
      <c r="T313" s="76">
        <v>0</v>
      </c>
      <c r="U313" s="98">
        <f>+Tabla14[[#This Row],[Atraso a facturar]]+Tabla14[[#This Row],[Ajuste atraso]]</f>
        <v>0</v>
      </c>
      <c r="V313" s="3">
        <f>+Tabla14[[#This Row],[Total disponible]]-Tabla14[[#This Row],[Facturación atraso]]</f>
        <v>1541.2560000000001</v>
      </c>
      <c r="W313" s="6">
        <f>IFERROR(IF(AND(V313&gt;R313,J313&gt;=R313),ROUNDDOWN((Tabla14[[#This Row],[Producción para venta nueva]])/R313,0)*R313,0),0)</f>
        <v>0</v>
      </c>
      <c r="X313" s="76">
        <v>0</v>
      </c>
      <c r="Y313" s="6">
        <f>IF(Tabla14[[#This Row],[Venta del mes]]&gt;0,Tabla14[[#This Row],[Venta del mes]]+Tabla14[[#This Row],[Ajuste venta nueva]],0)</f>
        <v>0</v>
      </c>
      <c r="Z313" s="6">
        <f>+Tabla14[[#This Row],[Producción para venta nueva]]-Tabla14[[#This Row],[Facturación Venta nueva]]</f>
        <v>1541.2560000000001</v>
      </c>
      <c r="AA313" s="6">
        <f>IF(AND(A313=1,Tabla14[[#This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3" s="6">
        <v>0</v>
      </c>
      <c r="AC313" s="6">
        <f>IF(Tabla14[[#This Row],[Disponible stock sin venta]]&gt;0,Tabla14[[#This Row],[Disponible stock sin venta]]+Tabla14[[#This Row],[Ajuste stock sin venta]],0)</f>
        <v>0</v>
      </c>
      <c r="AD313" s="3">
        <f>IFERROR(VLOOKUP(Tabla14[[#This Row],[Llave]],[12]Hoja1!$A:$D,4,FALSE),0)</f>
        <v>0</v>
      </c>
      <c r="AE31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13" s="3">
        <v>0</v>
      </c>
      <c r="AG313" s="3">
        <f>+Tabla14[[#This Row],[En puerto a facturar]]</f>
        <v>0</v>
      </c>
      <c r="AH313" s="3">
        <f>+Tabla14[[#This Row],[Facturación atraso]]</f>
        <v>0</v>
      </c>
      <c r="AI313" s="3">
        <f>+Tabla14[[#This Row],[Plan Irrestricto (DATO)]]-Tabla14[[#This Row],[Puerto ]]-Tabla14[[#This Row],[Atraso]]</f>
        <v>0</v>
      </c>
      <c r="AJ31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13" s="3">
        <f>+Tabla14[[#This Row],[Facturación atraso]]</f>
        <v>0</v>
      </c>
      <c r="AL313" s="3">
        <f>Tabla14[[#This Row],[Plan Ajustado]]-Tabla14[[#This Row],[ Atraso ajustado]]-Tabla14[[#This Row],[En puerto a facturar]]</f>
        <v>0</v>
      </c>
      <c r="AM313" s="3">
        <v>0</v>
      </c>
      <c r="AN313" s="3" t="e">
        <v>#REF!</v>
      </c>
      <c r="AO313" s="3" t="str">
        <f>IF(Tabla14[[#This Row],[Plan Ajustado]]&gt;Tabla14[[#This Row],[En puerto a facturar]],"Si","No")</f>
        <v>No</v>
      </c>
      <c r="AP31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13" s="3">
        <f>IF(Tabla14[[#This Row],[Necesidad]]&gt;=Tabla14[[#This Row],[Stock al día]],Tabla14[[#This Row],[Stock al día]],Tabla14[[#This Row],[Necesidad]])</f>
        <v>0</v>
      </c>
      <c r="AR313" s="3">
        <f>+Tabla14[[#This Row],[Necesidad]]-Tabla14[[#This Row],[Stock Plan]]</f>
        <v>0</v>
      </c>
      <c r="AS313" s="155">
        <f>VLOOKUP(Tabla14[[#This Row],[Sector]]&amp;Tabla14[[#This Row],[Oficina]],[8]Ponderación!$A:$H,8,FALSE)</f>
        <v>44817</v>
      </c>
      <c r="AT313" s="30">
        <f>IFERROR(VLOOKUP(Tabla14[[#This Row],[Llave]],'[6]RV plan de ventas'!$A:$F,6,FALSE),0)</f>
        <v>0</v>
      </c>
      <c r="AU313" s="83">
        <f>IFERROR(VLOOKUP(Tabla14[[#This Row],[Llave]],[9]DELAY!$H:$X,17,FALSE),0)</f>
        <v>1.6</v>
      </c>
      <c r="AV31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13" s="5">
        <f>Tabla14[[#This Row],[Pecio plan]]*Tabla14[[#This Row],[Plan Ajustado]]</f>
        <v>0</v>
      </c>
      <c r="AX313" s="30">
        <f>IFERROR(VLOOKUP(Tabla14[[#This Row],[Llave]],'[13]Ultimos precios facturados'!$A:$G,7,FALSE),0)</f>
        <v>0</v>
      </c>
      <c r="AY313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13" s="30">
        <f>IFERROR(VLOOKUP(Tabla14[[#This Row],[Llave]],Hoja2!B:K,10,FALSE),0)</f>
        <v>0</v>
      </c>
      <c r="BA31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13" s="30">
        <v>0</v>
      </c>
      <c r="BC313" s="30">
        <f>IF(Tabla14[[#This Row],[Market]]=0,Tabla14[[#This Row],[Precio Final]],Tabla14[[#This Row],[Market]])</f>
        <v>0</v>
      </c>
      <c r="BD313" s="99"/>
      <c r="BE313" s="99" t="str">
        <f>IF(AND(Tabla14[[#This Row],[Atraso a facturar]]&gt;0,Tabla14[[#This Row],[En puerto a facturar]]&gt;0,Tabla14[[#This Row],[Precio Atraso]]=0),"Revisar","OK")</f>
        <v>OK</v>
      </c>
      <c r="BF313" s="99" t="str">
        <f>IF(AND(Tabla14[[#This Row],[Venta del mes]]&gt;0,Tabla14[[#This Row],[Precio venta nueva]]=0),"Revisar","OK")</f>
        <v>OK</v>
      </c>
      <c r="BG313" s="20">
        <f>IFERROR(VLOOKUP(Tabla14[[#This Row],[Llave]],'[5]Consolidación planes'!$A:$M,9,FALSE),0)</f>
        <v>0</v>
      </c>
      <c r="BH313" s="20">
        <f>IFERROR(VLOOKUP(Tabla14[[#This Row],[Llave]],'[5]Consolidación planes'!$A:$M,10,FALSE),0)</f>
        <v>0</v>
      </c>
      <c r="BI313" s="20">
        <f>IFERROR(VLOOKUP(Tabla14[[#This Row],[Llave]],'[5]Consolidación planes'!$A:$M,11,FALSE),0)</f>
        <v>0</v>
      </c>
      <c r="BJ313" s="20">
        <f>IFERROR(VLOOKUP(Tabla14[[#This Row],[Llave]],'[5]Consolidación planes'!$A:$M,12,FALSE),0)</f>
        <v>0</v>
      </c>
      <c r="BK313" s="20">
        <f>IFERROR(VLOOKUP(Tabla14[[#This Row],[Llave]],'[5]Consolidación planes'!$A:$M,13,FALSE),0)</f>
        <v>0</v>
      </c>
      <c r="BL313" s="35">
        <f>IFERROR(VLOOKUP(Tabla14[[#This Row],[Llave]],'[13]Base ultimos planes'!$A:$M,13,FALSE),0)</f>
        <v>0</v>
      </c>
      <c r="BM313" s="35">
        <f>IFERROR(VLOOKUP(Tabla14[[#This Row],[Llave]],'[13]Cruce plan irrestricto'!$C:$M,10,FALSE),0)</f>
        <v>0</v>
      </c>
      <c r="BN313" s="35">
        <f>IFERROR(VLOOKUP(Tabla14[[#This Row],[Llave]],'[13]Cruce plan irrestricto'!$C:$M,11,FALSE),0)</f>
        <v>0</v>
      </c>
      <c r="BO313" s="80">
        <f>IFERROR(VLOOKUP(Tabla14[[#This Row],[Llave]],'[13]Base ultimos planes'!$O:$AA,8,FALSE),0)</f>
        <v>0</v>
      </c>
      <c r="BP313" s="100">
        <f>IFERROR(VLOOKUP(Tabla14[[#This Row],[Llave]],'[13]Base ultimos planes'!$O:$AA,9,FALSE),0)</f>
        <v>0</v>
      </c>
      <c r="BQ313" s="100">
        <f>IFERROR(VLOOKUP(Tabla14[[#This Row],[Llave]],'[13]Base ultimos planes'!$O:$AA,10,FALSE),0)</f>
        <v>0</v>
      </c>
      <c r="BR313" s="100">
        <f>IFERROR(VLOOKUP(Tabla14[[#This Row],[Llave]],'[13]Base ultimos planes'!$O:$AA,11,FALSE),0)</f>
        <v>0</v>
      </c>
      <c r="BS313" s="100">
        <f>IFERROR(VLOOKUP(Tabla14[[#This Row],[Llave]],'[13]Base ultimos planes'!$O:$AA,12,FALSE),0)</f>
        <v>0</v>
      </c>
      <c r="BT313" s="100">
        <f>IFERROR(VLOOKUP(Tabla14[[#This Row],[Llave]],'[13]Base ultimos planes'!$O:$AA,13,FALSE),0)</f>
        <v>0</v>
      </c>
      <c r="BU313" s="35"/>
      <c r="BV313" s="20">
        <f>Tabla14[[#This Row],[ RV Producción mes n+1]]-Tabla14[[#This Row],[Producción disponible]]+Tabla14[[#This Row],[Saldo Volumen disponible]]</f>
        <v>1541.2560000000001</v>
      </c>
      <c r="BW313" s="20">
        <f>IFERROR(VLOOKUP(Tabla14[[#This Row],[Llave]],[14]Hoja2!$J:$N,4,FALSE),0)</f>
        <v>6261.1651000000002</v>
      </c>
      <c r="BX313" s="20">
        <f>+Tabla14[[#This Row],[Asignación mes n+1]]*Tabla14[[#This Row],[% Uti. producción]]</f>
        <v>2989.3978246425395</v>
      </c>
      <c r="BY313" s="20">
        <f>+Tabla14[[#This Row],[Ponderación mes n+1]]+Tabla14[[#This Row],[Saldo mes n-1]]</f>
        <v>4530.6538246425398</v>
      </c>
      <c r="BZ313" s="20">
        <f>+Tabla14[[#This Row],[Asignación mes n+1]]-Tabla14[[#This Row],[Ponderación mes n+1]]</f>
        <v>3271.7672753574607</v>
      </c>
      <c r="CA313" s="20">
        <f>IFERROR(VLOOKUP(Tabla14[[#This Row],[Llave]],[14]Hoja2!$J:$N,5,FALSE),0)</f>
        <v>29072.936300000001</v>
      </c>
      <c r="CB313" s="20">
        <f>+Tabla14[[#This Row],[Asignación mes n+2]]*Tabla14[[#This Row],[% Uti. producción]]</f>
        <v>13880.894552867025</v>
      </c>
      <c r="CC313" s="20">
        <f>+Tabla14[[#This Row],[Saldo mes n+2]]+Tabla14[[#This Row],[Ponderación mes n+2]]</f>
        <v>17152.661828224485</v>
      </c>
      <c r="CD313" s="20">
        <f>+Tabla14[[#This Row],[Asignación mes n+2]]-Tabla14[[#This Row],[Ponderación mes n+2]]</f>
        <v>15192.041747132977</v>
      </c>
    </row>
    <row r="314" spans="1:82" ht="16" x14ac:dyDescent="0.2">
      <c r="B314" t="str">
        <f>Tabla14[[#This Row],[Oficina]]&amp;Tabla14[[#This Row],[Material]]</f>
        <v>Agro Sudamerica1030821</v>
      </c>
      <c r="C314" t="s">
        <v>204</v>
      </c>
      <c r="D314" t="s">
        <v>17</v>
      </c>
      <c r="E314">
        <v>1030821</v>
      </c>
      <c r="F314" t="s">
        <v>778</v>
      </c>
      <c r="G314" t="s">
        <v>212</v>
      </c>
      <c r="H314" t="s">
        <v>213</v>
      </c>
      <c r="I314" s="7">
        <f>IFERROR(IF(Tabla14[[#This Row],[Oficina]]=$I$7,VLOOKUP(Tabla14[[#This Row],[Material]],'[6]RV Producción'!$Y:$AA,3,FALSE),VLOOKUP(Tabla14[[#This Row],[Llave]],'[6]RV Producción'!$C:$G,5,FALSE)),0)</f>
        <v>0</v>
      </c>
      <c r="J314" s="7">
        <f>IFERROR(IF(Tabla14[[#This Row],[Oficina]]=$I$7,VLOOKUP(Tabla14[[#This Row],[Llave]],'[7]Shangai (Tomas)'!$A:$F,6,FALSE),VLOOKUP(Tabla14[[#This Row],[Llave]],'[6]RV plan de ventas'!$A:$E,5,FALSE)),0)</f>
        <v>0</v>
      </c>
      <c r="K314" s="8">
        <f>IFERROR(VLOOKUP(Tabla14[[#This Row],[Sector]]&amp;Tabla14[[#This Row],[Oficina]],[8]Ponderación!$A$3:$G$22,7,FALSE),0)</f>
        <v>0.47745072632608576</v>
      </c>
      <c r="L314" s="7">
        <f>+Tabla14[[#This Row],[ RV Producción mes n+1]]*Tabla14[[#This Row],[% Uti. producción]]</f>
        <v>0</v>
      </c>
      <c r="M314" s="7">
        <f>IFERROR(VLOOKUP(Tabla14[[#This Row],[Material]],'[9]TD Stock'!$B:$C,2,FALSE),0)</f>
        <v>0</v>
      </c>
      <c r="N314" s="15">
        <f>IFERROR(VLOOKUP(Tabla14[[#This Row],[Material]],'[10]Consolidado planificación'!$B:$C,2,FALSE),0)</f>
        <v>0</v>
      </c>
      <c r="O314" s="15">
        <f>IFERROR(VLOOKUP(Tabla14[[#This Row],[Llave]],[11]Hoja2!$D:$G,4,FALSE),0)</f>
        <v>0</v>
      </c>
      <c r="P314" s="37">
        <f>SUM(Tabla14[[#This Row],[Producción disponible]],Tabla14[[#This Row],[Stock al día]],(Tabla14[[#This Row],[Por producir mes N]]*0.9))-Tabla14[[#This Row],[Producción por despachar mes N]]</f>
        <v>0</v>
      </c>
      <c r="Q314" s="15">
        <f>IFERROR(VLOOKUP(Tabla14[[#This Row],[Llave]],[9]DELAY!$A:$D,4,FALSE),0)</f>
        <v>0</v>
      </c>
      <c r="R314" s="75"/>
      <c r="S314" s="98">
        <f t="shared" si="10"/>
        <v>0</v>
      </c>
      <c r="T314" s="76">
        <v>0</v>
      </c>
      <c r="U314" s="98">
        <f>+Tabla14[[#This Row],[Atraso a facturar]]+Tabla14[[#This Row],[Ajuste atraso]]</f>
        <v>0</v>
      </c>
      <c r="V314" s="3">
        <f>+Tabla14[[#This Row],[Total disponible]]-Tabla14[[#This Row],[Facturación atraso]]</f>
        <v>0</v>
      </c>
      <c r="W314" s="6">
        <f>IFERROR(IF(AND(V314&gt;R314,J314&gt;=R314),ROUNDDOWN((Tabla14[[#This Row],[Producción para venta nueva]])/R314,0)*R314,0),0)</f>
        <v>0</v>
      </c>
      <c r="X314" s="76">
        <v>0</v>
      </c>
      <c r="Y314" s="6">
        <f>IF(Tabla14[[#This Row],[Venta del mes]]&gt;0,Tabla14[[#This Row],[Venta del mes]]+Tabla14[[#This Row],[Ajuste venta nueva]],0)</f>
        <v>0</v>
      </c>
      <c r="Z314" s="6">
        <f>+Tabla14[[#This Row],[Producción para venta nueva]]-Tabla14[[#This Row],[Facturación Venta nueva]]</f>
        <v>0</v>
      </c>
      <c r="AA314" s="6">
        <f>IF(AND(A314=1,Tabla14[[#This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4" s="6">
        <v>0</v>
      </c>
      <c r="AC314" s="6">
        <f>IF(Tabla14[[#This Row],[Disponible stock sin venta]]&gt;0,Tabla14[[#This Row],[Disponible stock sin venta]]+Tabla14[[#This Row],[Ajuste stock sin venta]],0)</f>
        <v>0</v>
      </c>
      <c r="AD314" s="3">
        <f>IFERROR(VLOOKUP(Tabla14[[#This Row],[Llave]],[12]Hoja1!$A:$D,4,FALSE),0)</f>
        <v>0</v>
      </c>
      <c r="AE314" s="18" t="b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14" s="3" t="b">
        <v>0</v>
      </c>
      <c r="AG314" s="3">
        <f>+Tabla14[[#This Row],[En puerto a facturar]]</f>
        <v>0</v>
      </c>
      <c r="AH314" s="3">
        <f>+Tabla14[[#This Row],[Facturación atraso]]</f>
        <v>0</v>
      </c>
      <c r="AI314" s="3">
        <f>+Tabla14[[#This Row],[Plan Irrestricto (DATO)]]-Tabla14[[#This Row],[Puerto ]]-Tabla14[[#This Row],[Atraso]]</f>
        <v>0</v>
      </c>
      <c r="AJ314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14" s="3">
        <f>+Tabla14[[#This Row],[Facturación atraso]]</f>
        <v>0</v>
      </c>
      <c r="AL314" s="3">
        <f>Tabla14[[#This Row],[Plan Ajustado]]-Tabla14[[#This Row],[ Atraso ajustado]]-Tabla14[[#This Row],[En puerto a facturar]]</f>
        <v>0</v>
      </c>
      <c r="AM314" s="3">
        <v>0</v>
      </c>
      <c r="AN314" s="3" t="e">
        <v>#REF!</v>
      </c>
      <c r="AO314" s="3" t="str">
        <f>IF(Tabla14[[#This Row],[Plan Ajustado]]&gt;Tabla14[[#This Row],[En puerto a facturar]],"Si","No")</f>
        <v>No</v>
      </c>
      <c r="AP314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14" s="3">
        <f>IF(Tabla14[[#This Row],[Necesidad]]&gt;=Tabla14[[#This Row],[Stock al día]],Tabla14[[#This Row],[Stock al día]],Tabla14[[#This Row],[Necesidad]])</f>
        <v>0</v>
      </c>
      <c r="AR314" s="3">
        <f>+Tabla14[[#This Row],[Necesidad]]-Tabla14[[#This Row],[Stock Plan]]</f>
        <v>0</v>
      </c>
      <c r="AS314" s="155">
        <f>VLOOKUP(Tabla14[[#This Row],[Sector]]&amp;Tabla14[[#This Row],[Oficina]],[8]Ponderación!$A:$H,8,FALSE)</f>
        <v>44817</v>
      </c>
      <c r="AT314" s="30">
        <f>IFERROR(VLOOKUP(Tabla14[[#This Row],[Llave]],'[6]RV plan de ventas'!$A:$F,6,FALSE),0)</f>
        <v>0</v>
      </c>
      <c r="AU314" s="83">
        <f>IFERROR(VLOOKUP(Tabla14[[#This Row],[Llave]],[9]DELAY!$H:$X,17,FALSE),0)</f>
        <v>0</v>
      </c>
      <c r="AV31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14" s="5">
        <f>Tabla14[[#This Row],[Pecio plan]]*Tabla14[[#This Row],[Plan Ajustado]]</f>
        <v>0</v>
      </c>
      <c r="AX314" s="30">
        <f>IFERROR(VLOOKUP(Tabla14[[#This Row],[Llave]],'[13]Ultimos precios facturados'!$A:$G,7,FALSE),0)</f>
        <v>0</v>
      </c>
      <c r="AY314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14" s="30">
        <f>IFERROR(VLOOKUP(Tabla14[[#This Row],[Llave]],Hoja2!B:K,10,FALSE),0)</f>
        <v>0</v>
      </c>
      <c r="BA31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14" s="30">
        <v>0</v>
      </c>
      <c r="BC314" s="30">
        <f>IF(Tabla14[[#This Row],[Market]]=0,Tabla14[[#This Row],[Precio Final]],Tabla14[[#This Row],[Market]])</f>
        <v>0</v>
      </c>
      <c r="BD314" s="99"/>
      <c r="BE314" s="99" t="str">
        <f>IF(AND(Tabla14[[#This Row],[Atraso a facturar]]&gt;0,Tabla14[[#This Row],[En puerto a facturar]]&gt;0,Tabla14[[#This Row],[Precio Atraso]]=0),"Revisar","OK")</f>
        <v>OK</v>
      </c>
      <c r="BF314" s="99" t="str">
        <f>IF(AND(Tabla14[[#This Row],[Venta del mes]]&gt;0,Tabla14[[#This Row],[Precio venta nueva]]=0),"Revisar","OK")</f>
        <v>OK</v>
      </c>
      <c r="BG314" s="20">
        <f>IFERROR(VLOOKUP(Tabla14[[#This Row],[Llave]],'[5]Consolidación planes'!$A:$M,9,FALSE),0)</f>
        <v>0</v>
      </c>
      <c r="BH314" s="20">
        <f>IFERROR(VLOOKUP(Tabla14[[#This Row],[Llave]],'[5]Consolidación planes'!$A:$M,10,FALSE),0)</f>
        <v>0</v>
      </c>
      <c r="BI314" s="20">
        <f>IFERROR(VLOOKUP(Tabla14[[#This Row],[Llave]],'[5]Consolidación planes'!$A:$M,11,FALSE),0)</f>
        <v>0</v>
      </c>
      <c r="BJ314" s="20">
        <f>IFERROR(VLOOKUP(Tabla14[[#This Row],[Llave]],'[5]Consolidación planes'!$A:$M,12,FALSE),0)</f>
        <v>0</v>
      </c>
      <c r="BK314" s="20">
        <f>IFERROR(VLOOKUP(Tabla14[[#This Row],[Llave]],'[5]Consolidación planes'!$A:$M,13,FALSE),0)</f>
        <v>0</v>
      </c>
      <c r="BL314" s="35">
        <f>IFERROR(VLOOKUP(Tabla14[[#This Row],[Llave]],'[13]Base ultimos planes'!$A:$M,13,FALSE),0)</f>
        <v>0</v>
      </c>
      <c r="BM314" s="35">
        <f>IFERROR(VLOOKUP(Tabla14[[#This Row],[Llave]],'[13]Cruce plan irrestricto'!$C:$M,10,FALSE),0)</f>
        <v>0</v>
      </c>
      <c r="BN314" s="35">
        <f>IFERROR(VLOOKUP(Tabla14[[#This Row],[Llave]],'[13]Cruce plan irrestricto'!$C:$M,11,FALSE),0)</f>
        <v>0</v>
      </c>
      <c r="BO314" s="80">
        <f>IFERROR(VLOOKUP(Tabla14[[#This Row],[Llave]],'[13]Base ultimos planes'!$O:$AA,8,FALSE),0)</f>
        <v>0</v>
      </c>
      <c r="BP314" s="100">
        <f>IFERROR(VLOOKUP(Tabla14[[#This Row],[Llave]],'[13]Base ultimos planes'!$O:$AA,9,FALSE),0)</f>
        <v>0</v>
      </c>
      <c r="BQ314" s="100">
        <f>IFERROR(VLOOKUP(Tabla14[[#This Row],[Llave]],'[13]Base ultimos planes'!$O:$AA,10,FALSE),0)</f>
        <v>0</v>
      </c>
      <c r="BR314" s="100">
        <f>IFERROR(VLOOKUP(Tabla14[[#This Row],[Llave]],'[13]Base ultimos planes'!$O:$AA,11,FALSE),0)</f>
        <v>0</v>
      </c>
      <c r="BS314" s="100">
        <f>IFERROR(VLOOKUP(Tabla14[[#This Row],[Llave]],'[13]Base ultimos planes'!$O:$AA,12,FALSE),0)</f>
        <v>0</v>
      </c>
      <c r="BT314" s="100">
        <f>IFERROR(VLOOKUP(Tabla14[[#This Row],[Llave]],'[13]Base ultimos planes'!$O:$AA,13,FALSE),0)</f>
        <v>0</v>
      </c>
      <c r="BU314" s="35"/>
      <c r="BV314" s="20">
        <f>Tabla14[[#This Row],[ RV Producción mes n+1]]-Tabla14[[#This Row],[Producción disponible]]+Tabla14[[#This Row],[Saldo Volumen disponible]]</f>
        <v>0</v>
      </c>
      <c r="BW314" s="20">
        <f>IFERROR(VLOOKUP(Tabla14[[#This Row],[Llave]],[14]Hoja2!$J:$N,4,FALSE),0)</f>
        <v>0</v>
      </c>
      <c r="BX314" s="20">
        <f>+Tabla14[[#This Row],[Asignación mes n+1]]*Tabla14[[#This Row],[% Uti. producción]]</f>
        <v>0</v>
      </c>
      <c r="BY314" s="20">
        <f>+Tabla14[[#This Row],[Ponderación mes n+1]]+Tabla14[[#This Row],[Saldo mes n-1]]</f>
        <v>0</v>
      </c>
      <c r="BZ314" s="20">
        <f>+Tabla14[[#This Row],[Asignación mes n+1]]-Tabla14[[#This Row],[Ponderación mes n+1]]</f>
        <v>0</v>
      </c>
      <c r="CA314" s="20">
        <f>IFERROR(VLOOKUP(Tabla14[[#This Row],[Llave]],[14]Hoja2!$J:$N,5,FALSE),0)</f>
        <v>0</v>
      </c>
      <c r="CB314" s="20">
        <f>+Tabla14[[#This Row],[Asignación mes n+2]]*Tabla14[[#This Row],[% Uti. producción]]</f>
        <v>0</v>
      </c>
      <c r="CC314" s="20">
        <f>+Tabla14[[#This Row],[Saldo mes n+2]]+Tabla14[[#This Row],[Ponderación mes n+2]]</f>
        <v>0</v>
      </c>
      <c r="CD314" s="20">
        <f>+Tabla14[[#This Row],[Asignación mes n+2]]-Tabla14[[#This Row],[Ponderación mes n+2]]</f>
        <v>0</v>
      </c>
    </row>
    <row r="315" spans="1:82" ht="16" x14ac:dyDescent="0.2">
      <c r="A315">
        <v>1</v>
      </c>
      <c r="B315" t="str">
        <f>Tabla14[[#This Row],[Oficina]]&amp;Tabla14[[#This Row],[Material]]</f>
        <v>Agro Sudamerica1020086</v>
      </c>
      <c r="C315" t="s">
        <v>6</v>
      </c>
      <c r="D315" t="s">
        <v>17</v>
      </c>
      <c r="E315">
        <v>1020086</v>
      </c>
      <c r="F315" t="s">
        <v>779</v>
      </c>
      <c r="G315" t="s">
        <v>50</v>
      </c>
      <c r="H315" t="s">
        <v>51</v>
      </c>
      <c r="I315" s="7">
        <f>IFERROR(IF(Tabla14[[#This Row],[Oficina]]=$I$7,VLOOKUP(Tabla14[[#This Row],[Material]],'[6]RV Producción'!$Y:$AA,3,FALSE),VLOOKUP(Tabla14[[#This Row],[Llave]],'[6]RV Producción'!$C:$G,5,FALSE)),0)</f>
        <v>106118</v>
      </c>
      <c r="J315" s="7">
        <f>IFERROR(IF(Tabla14[[#This Row],[Oficina]]=$I$7,VLOOKUP(Tabla14[[#This Row],[Llave]],'[7]Shangai (Tomas)'!$A:$F,6,FALSE),VLOOKUP(Tabla14[[#This Row],[Llave]],'[6]RV plan de ventas'!$A:$E,5,FALSE)),0)</f>
        <v>96000</v>
      </c>
      <c r="K315" s="8">
        <f>IFERROR(VLOOKUP(Tabla14[[#This Row],[Sector]]&amp;Tabla14[[#This Row],[Oficina]],[8]Ponderación!$A$3:$G$22,7,FALSE),0)</f>
        <v>0.3545854356400317</v>
      </c>
      <c r="L315" s="7">
        <f>+Tabla14[[#This Row],[ RV Producción mes n+1]]*Tabla14[[#This Row],[% Uti. producción]]</f>
        <v>37627.897259248886</v>
      </c>
      <c r="M315" s="7">
        <f>IFERROR(VLOOKUP(Tabla14[[#This Row],[Material]],'[9]TD Stock'!$B:$C,2,FALSE),0)</f>
        <v>20.14</v>
      </c>
      <c r="N315" s="15">
        <f>IFERROR(VLOOKUP(Tabla14[[#This Row],[Material]],'[10]Consolidado planificación'!$B:$C,2,FALSE),0)</f>
        <v>0</v>
      </c>
      <c r="O315" s="15">
        <f>IFERROR(VLOOKUP(Tabla14[[#This Row],[Llave]],[11]Hoja2!$D:$G,4,FALSE),0)</f>
        <v>0</v>
      </c>
      <c r="P315" s="37">
        <f>SUM(Tabla14[[#This Row],[Producción disponible]],Tabla14[[#This Row],[Stock al día]],(Tabla14[[#This Row],[Por producir mes N]]*0.9))-Tabla14[[#This Row],[Producción por despachar mes N]]</f>
        <v>37648.037259248886</v>
      </c>
      <c r="Q315" s="15">
        <f>IFERROR(VLOOKUP(Tabla14[[#This Row],[Llave]],[9]DELAY!$A:$D,4,FALSE),0)</f>
        <v>24000</v>
      </c>
      <c r="R315" s="75">
        <v>23000</v>
      </c>
      <c r="S315" s="98">
        <f>IF(AND(P315&gt;Q315,Q315&gt;0),Q315,IF(AND(P315&lt;Q315,Q315&gt;0),(ROUNDDOWN(P315/R315,0)*R315),0))</f>
        <v>24000</v>
      </c>
      <c r="T315" s="76">
        <v>0</v>
      </c>
      <c r="U315" s="98">
        <f>+Tabla14[[#This Row],[Atraso a facturar]]+Tabla14[[#This Row],[Ajuste atraso]]</f>
        <v>24000</v>
      </c>
      <c r="V315" s="3">
        <f>+Tabla14[[#This Row],[Total disponible]]-Tabla14[[#This Row],[Facturación atraso]]</f>
        <v>13648.037259248886</v>
      </c>
      <c r="W315" s="6">
        <f>IFERROR(IF(AND(V315&gt;R315,J315&gt;=R315),ROUNDDOWN((Tabla14[[#This Row],[Producción para venta nueva]])/R315,0)*R315,0),0)</f>
        <v>0</v>
      </c>
      <c r="X315" s="76">
        <v>0</v>
      </c>
      <c r="Y315" s="6">
        <f>IF(Tabla14[[#This Row],[Venta del mes]]&gt;0,Tabla14[[#This Row],[Venta del mes]]+Tabla14[[#This Row],[Ajuste venta nueva]],0)</f>
        <v>0</v>
      </c>
      <c r="Z315" s="6">
        <f>+Tabla14[[#This Row],[Producción para venta nueva]]-Tabla14[[#This Row],[Facturación Venta nueva]]</f>
        <v>13648.037259248886</v>
      </c>
      <c r="AA315" s="6">
        <f>IF(AND(A315=1,Tabla14[[#This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5" s="6">
        <v>0</v>
      </c>
      <c r="AC315" s="6">
        <f>IF(Tabla14[[#This Row],[Disponible stock sin venta]]&gt;0,Tabla14[[#This Row],[Disponible stock sin venta]]+Tabla14[[#This Row],[Ajuste stock sin venta]],0)</f>
        <v>0</v>
      </c>
      <c r="AD315" s="3">
        <f>IFERROR(VLOOKUP(Tabla14[[#This Row],[Llave]],[12]Hoja1!$A:$D,4,FALSE),0)</f>
        <v>0</v>
      </c>
      <c r="AE31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315" s="3">
        <v>24000</v>
      </c>
      <c r="AG315" s="3">
        <f>+Tabla14[[#This Row],[En puerto a facturar]]</f>
        <v>0</v>
      </c>
      <c r="AH315" s="3">
        <f>+Tabla14[[#This Row],[Facturación atraso]]</f>
        <v>24000</v>
      </c>
      <c r="AI315" s="3">
        <f>+Tabla14[[#This Row],[Plan Irrestricto (DATO)]]-Tabla14[[#This Row],[Puerto ]]-Tabla14[[#This Row],[Atraso]]</f>
        <v>0</v>
      </c>
      <c r="AJ315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315" s="3">
        <f>+Tabla14[[#This Row],[Facturación atraso]]</f>
        <v>24000</v>
      </c>
      <c r="AL315" s="3">
        <f>Tabla14[[#This Row],[Plan Ajustado]]-Tabla14[[#This Row],[ Atraso ajustado]]-Tabla14[[#This Row],[En puerto a facturar]]</f>
        <v>0</v>
      </c>
      <c r="AM315" s="3">
        <v>0</v>
      </c>
      <c r="AN315" s="3" t="s">
        <v>636</v>
      </c>
      <c r="AO315" s="3" t="str">
        <f>IF(Tabla14[[#This Row],[Plan Ajustado]]&gt;Tabla14[[#This Row],[En puerto a facturar]],"Si","No")</f>
        <v>Si</v>
      </c>
      <c r="AP315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315" s="3">
        <f>IF(Tabla14[[#This Row],[Necesidad]]&gt;=Tabla14[[#This Row],[Stock al día]],Tabla14[[#This Row],[Stock al día]],Tabla14[[#This Row],[Necesidad]])</f>
        <v>20.14</v>
      </c>
      <c r="AR315" s="3">
        <f>+Tabla14[[#This Row],[Necesidad]]-Tabla14[[#This Row],[Stock Plan]]</f>
        <v>23979.86</v>
      </c>
      <c r="AS315" s="155">
        <f>VLOOKUP(Tabla14[[#This Row],[Sector]]&amp;Tabla14[[#This Row],[Oficina]],[8]Ponderación!$A:$H,8,FALSE)</f>
        <v>44813</v>
      </c>
      <c r="AT315" s="30">
        <f>IFERROR(VLOOKUP(Tabla14[[#This Row],[Llave]],'[6]RV plan de ventas'!$A:$F,6,FALSE),0)</f>
        <v>3.20667708333333</v>
      </c>
      <c r="AU315" s="83">
        <f>IFERROR(VLOOKUP(Tabla14[[#This Row],[Llave]],[9]DELAY!$H:$X,17,FALSE),0)</f>
        <v>3.2722916666666695</v>
      </c>
      <c r="AV31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3.2722916666666695</v>
      </c>
      <c r="AW315" s="5">
        <f>Tabla14[[#This Row],[Pecio plan]]*Tabla14[[#This Row],[Plan Ajustado]]</f>
        <v>77040</v>
      </c>
      <c r="AX315" s="30">
        <f>IFERROR(VLOOKUP(Tabla14[[#This Row],[Llave]],'[13]Ultimos precios facturados'!$A:$G,7,FALSE),0)</f>
        <v>0</v>
      </c>
      <c r="AY315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15" s="30">
        <f>IFERROR(VLOOKUP(Tabla14[[#This Row],[Llave]],Hoja2!B:K,10,FALSE),0)</f>
        <v>0</v>
      </c>
      <c r="BA31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3.2722916666666695</v>
      </c>
      <c r="BB315" s="30">
        <v>3.21</v>
      </c>
      <c r="BC315" s="30">
        <f>IF(Tabla14[[#This Row],[Market]]=0,Tabla14[[#This Row],[Precio Final]],Tabla14[[#This Row],[Market]])</f>
        <v>3.21</v>
      </c>
      <c r="BD315" s="99"/>
      <c r="BE315" s="99" t="str">
        <f>IF(AND(Tabla14[[#This Row],[Atraso a facturar]]&gt;0,Tabla14[[#This Row],[En puerto a facturar]]&gt;0,Tabla14[[#This Row],[Precio Atraso]]=0),"Revisar","OK")</f>
        <v>OK</v>
      </c>
      <c r="BF315" s="99" t="str">
        <f>IF(AND(Tabla14[[#This Row],[Venta del mes]]&gt;0,Tabla14[[#This Row],[Precio venta nueva]]=0),"Revisar","OK")</f>
        <v>OK</v>
      </c>
      <c r="BG315" s="20">
        <f>IFERROR(VLOOKUP(Tabla14[[#This Row],[Llave]],'[5]Consolidación planes'!$A:$M,9,FALSE),0)</f>
        <v>0</v>
      </c>
      <c r="BH315" s="20">
        <f>IFERROR(VLOOKUP(Tabla14[[#This Row],[Llave]],'[5]Consolidación planes'!$A:$M,10,FALSE),0)</f>
        <v>0</v>
      </c>
      <c r="BI315" s="20">
        <f>IFERROR(VLOOKUP(Tabla14[[#This Row],[Llave]],'[5]Consolidación planes'!$A:$M,11,FALSE),0)</f>
        <v>0</v>
      </c>
      <c r="BJ315" s="20">
        <f>IFERROR(VLOOKUP(Tabla14[[#This Row],[Llave]],'[5]Consolidación planes'!$A:$M,12,FALSE),0)</f>
        <v>0</v>
      </c>
      <c r="BK315" s="20">
        <f>IFERROR(VLOOKUP(Tabla14[[#This Row],[Llave]],'[5]Consolidación planes'!$A:$M,13,FALSE),0)</f>
        <v>0</v>
      </c>
      <c r="BL315" s="35">
        <f>IFERROR(VLOOKUP(Tabla14[[#This Row],[Llave]],'[13]Base ultimos planes'!$A:$M,13,FALSE),0)</f>
        <v>0</v>
      </c>
      <c r="BM315" s="35">
        <f>IFERROR(VLOOKUP(Tabla14[[#This Row],[Llave]],'[13]Cruce plan irrestricto'!$C:$M,10,FALSE),0)</f>
        <v>0</v>
      </c>
      <c r="BN315" s="35">
        <f>IFERROR(VLOOKUP(Tabla14[[#This Row],[Llave]],'[13]Cruce plan irrestricto'!$C:$M,11,FALSE),0)</f>
        <v>0</v>
      </c>
      <c r="BO315" s="80">
        <f>IFERROR(VLOOKUP(Tabla14[[#This Row],[Llave]],'[13]Base ultimos planes'!$O:$AA,8,FALSE),0)</f>
        <v>0</v>
      </c>
      <c r="BP315" s="100">
        <f>IFERROR(VLOOKUP(Tabla14[[#This Row],[Llave]],'[13]Base ultimos planes'!$O:$AA,9,FALSE),0)</f>
        <v>0</v>
      </c>
      <c r="BQ315" s="100">
        <f>IFERROR(VLOOKUP(Tabla14[[#This Row],[Llave]],'[13]Base ultimos planes'!$O:$AA,10,FALSE),0)</f>
        <v>0</v>
      </c>
      <c r="BR315" s="100">
        <f>IFERROR(VLOOKUP(Tabla14[[#This Row],[Llave]],'[13]Base ultimos planes'!$O:$AA,11,FALSE),0)</f>
        <v>0</v>
      </c>
      <c r="BS315" s="100">
        <f>IFERROR(VLOOKUP(Tabla14[[#This Row],[Llave]],'[13]Base ultimos planes'!$O:$AA,12,FALSE),0)</f>
        <v>0</v>
      </c>
      <c r="BT315" s="100">
        <f>IFERROR(VLOOKUP(Tabla14[[#This Row],[Llave]],'[13]Base ultimos planes'!$O:$AA,13,FALSE),0)</f>
        <v>0</v>
      </c>
      <c r="BU315" s="35"/>
      <c r="BV315" s="20">
        <f>Tabla14[[#This Row],[ RV Producción mes n+1]]-Tabla14[[#This Row],[Producción disponible]]+Tabla14[[#This Row],[Saldo Volumen disponible]]</f>
        <v>82138.14</v>
      </c>
      <c r="BW315" s="20">
        <f>IFERROR(VLOOKUP(Tabla14[[#This Row],[Llave]],[14]Hoja2!$J:$N,4,FALSE),0)</f>
        <v>168000</v>
      </c>
      <c r="BX315" s="20">
        <f>+Tabla14[[#This Row],[Asignación mes n+1]]*Tabla14[[#This Row],[% Uti. producción]]</f>
        <v>59570.353187525325</v>
      </c>
      <c r="BY315" s="20">
        <f>+Tabla14[[#This Row],[Ponderación mes n+1]]+Tabla14[[#This Row],[Saldo mes n-1]]</f>
        <v>141708.49318752531</v>
      </c>
      <c r="BZ315" s="20">
        <f>+Tabla14[[#This Row],[Asignación mes n+1]]-Tabla14[[#This Row],[Ponderación mes n+1]]</f>
        <v>108429.64681247468</v>
      </c>
      <c r="CA315" s="20">
        <f>IFERROR(VLOOKUP(Tabla14[[#This Row],[Llave]],[14]Hoja2!$J:$N,5,FALSE),0)</f>
        <v>168000</v>
      </c>
      <c r="CB315" s="20">
        <f>+Tabla14[[#This Row],[Asignación mes n+2]]*Tabla14[[#This Row],[% Uti. producción]]</f>
        <v>59570.353187525325</v>
      </c>
      <c r="CC315" s="20">
        <f>+Tabla14[[#This Row],[Saldo mes n+2]]+Tabla14[[#This Row],[Ponderación mes n+2]]</f>
        <v>168000</v>
      </c>
      <c r="CD315" s="20">
        <f>+Tabla14[[#This Row],[Asignación mes n+2]]-Tabla14[[#This Row],[Ponderación mes n+2]]</f>
        <v>108429.64681247468</v>
      </c>
    </row>
    <row r="316" spans="1:82" ht="16" x14ac:dyDescent="0.2">
      <c r="A316">
        <v>1</v>
      </c>
      <c r="B316" t="str">
        <f>Tabla14[[#This Row],[Oficina]]&amp;Tabla14[[#This Row],[Material]]</f>
        <v>Agro Sudamerica1022290</v>
      </c>
      <c r="C316" t="s">
        <v>6</v>
      </c>
      <c r="D316" t="s">
        <v>17</v>
      </c>
      <c r="E316">
        <v>1022290</v>
      </c>
      <c r="F316" t="s">
        <v>780</v>
      </c>
      <c r="G316" t="s">
        <v>11</v>
      </c>
      <c r="H316" t="s">
        <v>15</v>
      </c>
      <c r="I316" s="7">
        <f>IFERROR(IF(Tabla14[[#This Row],[Oficina]]=$I$7,VLOOKUP(Tabla14[[#This Row],[Material]],'[6]RV Producción'!$Y:$AA,3,FALSE),VLOOKUP(Tabla14[[#This Row],[Llave]],'[6]RV Producción'!$C:$G,5,FALSE)),0)</f>
        <v>0</v>
      </c>
      <c r="J316" s="7">
        <f>IFERROR(IF(Tabla14[[#This Row],[Oficina]]=$I$7,VLOOKUP(Tabla14[[#This Row],[Llave]],'[7]Shangai (Tomas)'!$A:$F,6,FALSE),VLOOKUP(Tabla14[[#This Row],[Llave]],'[6]RV plan de ventas'!$A:$E,5,FALSE)),0)</f>
        <v>0</v>
      </c>
      <c r="K316" s="8">
        <f>IFERROR(VLOOKUP(Tabla14[[#This Row],[Sector]]&amp;Tabla14[[#This Row],[Oficina]],[8]Ponderación!$A$3:$G$22,7,FALSE),0)</f>
        <v>0.3545854356400317</v>
      </c>
      <c r="L316" s="7">
        <f>+Tabla14[[#This Row],[ RV Producción mes n+1]]*Tabla14[[#This Row],[% Uti. producción]]</f>
        <v>0</v>
      </c>
      <c r="M316" s="7">
        <f>IFERROR(VLOOKUP(Tabla14[[#This Row],[Material]],'[9]TD Stock'!$B:$C,2,FALSE),0)</f>
        <v>27440.932000000008</v>
      </c>
      <c r="N316" s="15">
        <f>IFERROR(VLOOKUP(Tabla14[[#This Row],[Material]],'[10]Consolidado planificación'!$B:$C,2,FALSE),0)</f>
        <v>0</v>
      </c>
      <c r="O316" s="15">
        <f>IFERROR(VLOOKUP(Tabla14[[#This Row],[Llave]],[11]Hoja2!$D:$G,4,FALSE),0)</f>
        <v>0</v>
      </c>
      <c r="P316" s="37">
        <f>SUM(Tabla14[[#This Row],[Producción disponible]],Tabla14[[#This Row],[Stock al día]],(Tabla14[[#This Row],[Por producir mes N]]*0.9))-Tabla14[[#This Row],[Producción por despachar mes N]]</f>
        <v>27440.932000000008</v>
      </c>
      <c r="Q316" s="15">
        <f>IFERROR(VLOOKUP(Tabla14[[#This Row],[Llave]],[9]DELAY!$A:$D,4,FALSE),0)</f>
        <v>24000</v>
      </c>
      <c r="R316" s="75">
        <v>23000</v>
      </c>
      <c r="S316" s="98">
        <f>IF(AND(P316&gt;Q316,Q316&gt;0),Q316,IF(AND(P316&lt;Q316,Q316&gt;0),(ROUNDDOWN(P316/R316,0)*R316),0))</f>
        <v>24000</v>
      </c>
      <c r="T316" s="76">
        <v>0</v>
      </c>
      <c r="U316" s="98">
        <f>+Tabla14[[#This Row],[Atraso a facturar]]+Tabla14[[#This Row],[Ajuste atraso]]</f>
        <v>24000</v>
      </c>
      <c r="V316" s="3">
        <f>+Tabla14[[#This Row],[Total disponible]]-Tabla14[[#This Row],[Facturación atraso]]</f>
        <v>3440.932000000008</v>
      </c>
      <c r="W316" s="6">
        <f>IFERROR(IF(AND(V316&gt;R316,J316&gt;=R316),ROUNDDOWN((Tabla14[[#This Row],[Producción para venta nueva]])/R316,0)*R316,0),0)</f>
        <v>0</v>
      </c>
      <c r="X316" s="76">
        <v>0</v>
      </c>
      <c r="Y316" s="6">
        <f>IF(Tabla14[[#This Row],[Venta del mes]]&gt;0,Tabla14[[#This Row],[Venta del mes]]+Tabla14[[#This Row],[Ajuste venta nueva]],0)</f>
        <v>0</v>
      </c>
      <c r="Z316" s="6">
        <f>+Tabla14[[#This Row],[Producción para venta nueva]]-Tabla14[[#This Row],[Facturación Venta nueva]]</f>
        <v>3440.932000000008</v>
      </c>
      <c r="AA316" s="6">
        <f>IF(AND(A316=1,Tabla14[[#This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6" s="6">
        <v>0</v>
      </c>
      <c r="AC316" s="6">
        <f>IF(Tabla14[[#This Row],[Disponible stock sin venta]]&gt;0,Tabla14[[#This Row],[Disponible stock sin venta]]+Tabla14[[#This Row],[Ajuste stock sin venta]],0)</f>
        <v>0</v>
      </c>
      <c r="AD316" s="3">
        <f>IFERROR(VLOOKUP(Tabla14[[#This Row],[Llave]],[12]Hoja1!$A:$D,4,FALSE),0)</f>
        <v>0</v>
      </c>
      <c r="AE31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316" s="3">
        <v>24000</v>
      </c>
      <c r="AG316" s="3">
        <f>+Tabla14[[#This Row],[En puerto a facturar]]</f>
        <v>0</v>
      </c>
      <c r="AH316" s="3">
        <f>+Tabla14[[#This Row],[Facturación atraso]]</f>
        <v>24000</v>
      </c>
      <c r="AI316" s="3">
        <f>+Tabla14[[#This Row],[Plan Irrestricto (DATO)]]-Tabla14[[#This Row],[Puerto ]]-Tabla14[[#This Row],[Atraso]]</f>
        <v>0</v>
      </c>
      <c r="AJ316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316" s="3">
        <f>+Tabla14[[#This Row],[Facturación atraso]]</f>
        <v>24000</v>
      </c>
      <c r="AL316" s="3">
        <f>Tabla14[[#This Row],[Plan Ajustado]]-Tabla14[[#This Row],[ Atraso ajustado]]-Tabla14[[#This Row],[En puerto a facturar]]</f>
        <v>0</v>
      </c>
      <c r="AM316" s="3">
        <v>0</v>
      </c>
      <c r="AN316" s="3" t="s">
        <v>636</v>
      </c>
      <c r="AO316" s="3" t="str">
        <f>IF(Tabla14[[#This Row],[Plan Ajustado]]&gt;Tabla14[[#This Row],[En puerto a facturar]],"Si","No")</f>
        <v>Si</v>
      </c>
      <c r="AP316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316" s="3">
        <f>IF(Tabla14[[#This Row],[Necesidad]]&gt;=Tabla14[[#This Row],[Stock al día]],Tabla14[[#This Row],[Stock al día]],Tabla14[[#This Row],[Necesidad]])</f>
        <v>24000</v>
      </c>
      <c r="AR316" s="3">
        <f>+Tabla14[[#This Row],[Necesidad]]-Tabla14[[#This Row],[Stock Plan]]</f>
        <v>0</v>
      </c>
      <c r="AS316" s="155">
        <f>VLOOKUP(Tabla14[[#This Row],[Sector]]&amp;Tabla14[[#This Row],[Oficina]],[8]Ponderación!$A:$H,8,FALSE)</f>
        <v>44813</v>
      </c>
      <c r="AT316" s="30">
        <f>IFERROR(VLOOKUP(Tabla14[[#This Row],[Llave]],'[6]RV plan de ventas'!$A:$F,6,FALSE),0)</f>
        <v>0</v>
      </c>
      <c r="AU316" s="83">
        <f>IFERROR(VLOOKUP(Tabla14[[#This Row],[Llave]],[9]DELAY!$H:$X,17,FALSE),0)</f>
        <v>1.75270833333333</v>
      </c>
      <c r="AV31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1.75270833333333</v>
      </c>
      <c r="AW316" s="5">
        <f>Tabla14[[#This Row],[Pecio plan]]*Tabla14[[#This Row],[Plan Ajustado]]</f>
        <v>43200</v>
      </c>
      <c r="AX316" s="30">
        <f>IFERROR(VLOOKUP(Tabla14[[#This Row],[Llave]],'[13]Ultimos precios facturados'!$A:$G,7,FALSE),0)</f>
        <v>0</v>
      </c>
      <c r="AY316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16" s="30">
        <f>IFERROR(VLOOKUP(Tabla14[[#This Row],[Llave]],Hoja2!B:K,10,FALSE),0)</f>
        <v>0</v>
      </c>
      <c r="BA31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1.75270833333333</v>
      </c>
      <c r="BB316" s="30">
        <v>1.8</v>
      </c>
      <c r="BC316" s="30">
        <f>IF(Tabla14[[#This Row],[Market]]=0,Tabla14[[#This Row],[Precio Final]],Tabla14[[#This Row],[Market]])</f>
        <v>1.8</v>
      </c>
      <c r="BD316" s="99"/>
      <c r="BE316" s="99" t="str">
        <f>IF(AND(Tabla14[[#This Row],[Atraso a facturar]]&gt;0,Tabla14[[#This Row],[En puerto a facturar]]&gt;0,Tabla14[[#This Row],[Precio Atraso]]=0),"Revisar","OK")</f>
        <v>OK</v>
      </c>
      <c r="BF316" s="99" t="str">
        <f>IF(AND(Tabla14[[#This Row],[Venta del mes]]&gt;0,Tabla14[[#This Row],[Precio venta nueva]]=0),"Revisar","OK")</f>
        <v>OK</v>
      </c>
      <c r="BG316" s="20">
        <f>IFERROR(VLOOKUP(Tabla14[[#This Row],[Llave]],'[5]Consolidación planes'!$A:$M,9,FALSE),0)</f>
        <v>0</v>
      </c>
      <c r="BH316" s="20">
        <f>IFERROR(VLOOKUP(Tabla14[[#This Row],[Llave]],'[5]Consolidación planes'!$A:$M,10,FALSE),0)</f>
        <v>0</v>
      </c>
      <c r="BI316" s="20">
        <f>IFERROR(VLOOKUP(Tabla14[[#This Row],[Llave]],'[5]Consolidación planes'!$A:$M,11,FALSE),0)</f>
        <v>0</v>
      </c>
      <c r="BJ316" s="20">
        <f>IFERROR(VLOOKUP(Tabla14[[#This Row],[Llave]],'[5]Consolidación planes'!$A:$M,12,FALSE),0)</f>
        <v>0</v>
      </c>
      <c r="BK316" s="20">
        <f>IFERROR(VLOOKUP(Tabla14[[#This Row],[Llave]],'[5]Consolidación planes'!$A:$M,13,FALSE),0)</f>
        <v>0</v>
      </c>
      <c r="BL316" s="35">
        <f>IFERROR(VLOOKUP(Tabla14[[#This Row],[Llave]],'[13]Base ultimos planes'!$A:$M,13,FALSE),0)</f>
        <v>0</v>
      </c>
      <c r="BM316" s="35">
        <f>IFERROR(VLOOKUP(Tabla14[[#This Row],[Llave]],'[13]Cruce plan irrestricto'!$C:$M,10,FALSE),0)</f>
        <v>0</v>
      </c>
      <c r="BN316" s="35">
        <f>IFERROR(VLOOKUP(Tabla14[[#This Row],[Llave]],'[13]Cruce plan irrestricto'!$C:$M,11,FALSE),0)</f>
        <v>0</v>
      </c>
      <c r="BO316" s="80">
        <f>IFERROR(VLOOKUP(Tabla14[[#This Row],[Llave]],'[13]Base ultimos planes'!$O:$AA,8,FALSE),0)</f>
        <v>0</v>
      </c>
      <c r="BP316" s="100">
        <f>IFERROR(VLOOKUP(Tabla14[[#This Row],[Llave]],'[13]Base ultimos planes'!$O:$AA,9,FALSE),0)</f>
        <v>0</v>
      </c>
      <c r="BQ316" s="100">
        <f>IFERROR(VLOOKUP(Tabla14[[#This Row],[Llave]],'[13]Base ultimos planes'!$O:$AA,10,FALSE),0)</f>
        <v>0</v>
      </c>
      <c r="BR316" s="100">
        <f>IFERROR(VLOOKUP(Tabla14[[#This Row],[Llave]],'[13]Base ultimos planes'!$O:$AA,11,FALSE),0)</f>
        <v>0</v>
      </c>
      <c r="BS316" s="100">
        <f>IFERROR(VLOOKUP(Tabla14[[#This Row],[Llave]],'[13]Base ultimos planes'!$O:$AA,12,FALSE),0)</f>
        <v>0</v>
      </c>
      <c r="BT316" s="100">
        <f>IFERROR(VLOOKUP(Tabla14[[#This Row],[Llave]],'[13]Base ultimos planes'!$O:$AA,13,FALSE),0)</f>
        <v>0</v>
      </c>
      <c r="BU316" s="35"/>
      <c r="BV316" s="20">
        <f>Tabla14[[#This Row],[ RV Producción mes n+1]]-Tabla14[[#This Row],[Producción disponible]]+Tabla14[[#This Row],[Saldo Volumen disponible]]</f>
        <v>3440.932000000008</v>
      </c>
      <c r="BW316" s="20">
        <f>IFERROR(VLOOKUP(Tabla14[[#This Row],[Llave]],[14]Hoja2!$J:$N,4,FALSE),0)</f>
        <v>0</v>
      </c>
      <c r="BX316" s="20">
        <f>+Tabla14[[#This Row],[Asignación mes n+1]]*Tabla14[[#This Row],[% Uti. producción]]</f>
        <v>0</v>
      </c>
      <c r="BY316" s="20">
        <f>+Tabla14[[#This Row],[Ponderación mes n+1]]+Tabla14[[#This Row],[Saldo mes n-1]]</f>
        <v>3440.932000000008</v>
      </c>
      <c r="BZ316" s="20">
        <f>+Tabla14[[#This Row],[Asignación mes n+1]]-Tabla14[[#This Row],[Ponderación mes n+1]]</f>
        <v>0</v>
      </c>
      <c r="CA316" s="20">
        <f>IFERROR(VLOOKUP(Tabla14[[#This Row],[Llave]],[14]Hoja2!$J:$N,5,FALSE),0)</f>
        <v>0</v>
      </c>
      <c r="CB316" s="20">
        <f>+Tabla14[[#This Row],[Asignación mes n+2]]*Tabla14[[#This Row],[% Uti. producción]]</f>
        <v>0</v>
      </c>
      <c r="CC316" s="20">
        <f>+Tabla14[[#This Row],[Saldo mes n+2]]+Tabla14[[#This Row],[Ponderación mes n+2]]</f>
        <v>0</v>
      </c>
      <c r="CD316" s="20">
        <f>+Tabla14[[#This Row],[Asignación mes n+2]]-Tabla14[[#This Row],[Ponderación mes n+2]]</f>
        <v>0</v>
      </c>
    </row>
    <row r="317" spans="1:82" ht="16" x14ac:dyDescent="0.2">
      <c r="A317">
        <v>1</v>
      </c>
      <c r="B317" t="str">
        <f>Tabla14[[#This Row],[Oficina]]&amp;Tabla14[[#This Row],[Material]]</f>
        <v>Exportacion Directa1022346</v>
      </c>
      <c r="C317" t="s">
        <v>6</v>
      </c>
      <c r="D317" t="s">
        <v>88</v>
      </c>
      <c r="E317">
        <v>1022346</v>
      </c>
      <c r="F317" t="s">
        <v>781</v>
      </c>
      <c r="G317" t="s">
        <v>53</v>
      </c>
      <c r="H317" t="s">
        <v>54</v>
      </c>
      <c r="I317" s="7">
        <f>IFERROR(IF(Tabla14[[#This Row],[Oficina]]=$I$7,VLOOKUP(Tabla14[[#This Row],[Material]],'[6]RV Producción'!$Y:$AA,3,FALSE),VLOOKUP(Tabla14[[#This Row],[Llave]],'[6]RV Producción'!$C:$G,5,FALSE)),0)</f>
        <v>9480</v>
      </c>
      <c r="J317" s="7">
        <f>IFERROR(IF(Tabla14[[#This Row],[Oficina]]=$I$7,VLOOKUP(Tabla14[[#This Row],[Llave]],'[7]Shangai (Tomas)'!$A:$F,6,FALSE),VLOOKUP(Tabla14[[#This Row],[Llave]],'[6]RV plan de ventas'!$A:$E,5,FALSE)),0)</f>
        <v>5000</v>
      </c>
      <c r="K317" s="8">
        <f>IFERROR(VLOOKUP(Tabla14[[#This Row],[Sector]]&amp;Tabla14[[#This Row],[Oficina]],[8]Ponderación!$A$3:$G$22,7,FALSE),0)</f>
        <v>0.77338883776001444</v>
      </c>
      <c r="L317" s="7">
        <f>+Tabla14[[#This Row],[ RV Producción mes n+1]]*Tabla14[[#This Row],[% Uti. producción]]</f>
        <v>7331.7261819649366</v>
      </c>
      <c r="M317" s="7">
        <f>IFERROR(VLOOKUP(Tabla14[[#This Row],[Material]],'[9]TD Stock'!$B:$C,2,FALSE),0)</f>
        <v>0</v>
      </c>
      <c r="N317" s="15">
        <f>IFERROR(VLOOKUP(Tabla14[[#This Row],[Material]],'[10]Consolidado planificación'!$B:$C,2,FALSE),0)</f>
        <v>0</v>
      </c>
      <c r="O317" s="15">
        <f>IFERROR(VLOOKUP(Tabla14[[#This Row],[Llave]],[11]Hoja2!$D:$G,4,FALSE),0)</f>
        <v>0</v>
      </c>
      <c r="P317" s="37">
        <f>SUM(Tabla14[[#This Row],[Producción disponible]],Tabla14[[#This Row],[Stock al día]],(Tabla14[[#This Row],[Por producir mes N]]*0.9))-Tabla14[[#This Row],[Producción por despachar mes N]]</f>
        <v>7331.7261819649366</v>
      </c>
      <c r="Q317" s="15">
        <f>IFERROR(VLOOKUP(Tabla14[[#This Row],[Llave]],[9]DELAY!$A:$D,4,FALSE),0)</f>
        <v>5000</v>
      </c>
      <c r="R317" s="75">
        <v>23000</v>
      </c>
      <c r="S317" s="98">
        <f t="shared" ref="S317:S318" si="11">IF(AND(P317&gt;Q317,Q317&gt;0),Q317,IF(AND(P317&lt;Q317,Q317&gt;0),(ROUNDDOWN(P317/R317,0)*R317),0))</f>
        <v>5000</v>
      </c>
      <c r="T317" s="76">
        <v>0</v>
      </c>
      <c r="U317" s="98">
        <f>+Tabla14[[#This Row],[Atraso a facturar]]+Tabla14[[#This Row],[Ajuste atraso]]</f>
        <v>5000</v>
      </c>
      <c r="V317" s="3">
        <f>+Tabla14[[#This Row],[Total disponible]]-Tabla14[[#This Row],[Facturación atraso]]</f>
        <v>2331.7261819649366</v>
      </c>
      <c r="W317" s="6">
        <f>IFERROR(IF(AND(V317&gt;R317,J317&gt;=R317),ROUNDDOWN((Tabla14[[#This Row],[Producción para venta nueva]])/R317,0)*R317,0),0)</f>
        <v>0</v>
      </c>
      <c r="X317" s="76">
        <v>0</v>
      </c>
      <c r="Y317" s="6">
        <f>IF(Tabla14[[#This Row],[Venta del mes]]&gt;0,Tabla14[[#This Row],[Venta del mes]]+Tabla14[[#This Row],[Ajuste venta nueva]],0)</f>
        <v>0</v>
      </c>
      <c r="Z317" s="6">
        <f>+Tabla14[[#This Row],[Producción para venta nueva]]-Tabla14[[#This Row],[Facturación Venta nueva]]</f>
        <v>2331.7261819649366</v>
      </c>
      <c r="AA317" s="6">
        <f>IF(AND(A318=1,Tabla14[[#This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7" s="6">
        <v>0</v>
      </c>
      <c r="AC317" s="6">
        <f>IF(Tabla14[[#This Row],[Disponible stock sin venta]]&gt;0,Tabla14[[#This Row],[Disponible stock sin venta]]+Tabla14[[#This Row],[Ajuste stock sin venta]],0)</f>
        <v>0</v>
      </c>
      <c r="AD317" s="3">
        <f>IFERROR(VLOOKUP(Tabla14[[#This Row],[Llave]],[12]Hoja1!$A:$D,4,FALSE),0)</f>
        <v>0</v>
      </c>
      <c r="AE31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5000</v>
      </c>
      <c r="AF317" s="3">
        <v>5000</v>
      </c>
      <c r="AG317" s="3">
        <f>+Tabla14[[#This Row],[En puerto a facturar]]</f>
        <v>0</v>
      </c>
      <c r="AH317" s="3">
        <f>+Tabla14[[#This Row],[Facturación atraso]]</f>
        <v>5000</v>
      </c>
      <c r="AI317" s="3">
        <f>+Tabla14[[#This Row],[Plan Irrestricto (DATO)]]-Tabla14[[#This Row],[Puerto ]]-Tabla14[[#This Row],[Atraso]]</f>
        <v>0</v>
      </c>
      <c r="AJ317" s="6">
        <f>IF(Tabla14[[#This Row],[Plan Irrestricto (DATO)]]&gt;0,SUM(Tabla14[[#This Row],[Facturación atraso]],Tabla14[[#This Row],[Facturación Venta nueva]],Tabla14[[#This Row],[Facturación stock]],Tabla14[[#This Row],[En puerto a facturar]]),0)</f>
        <v>5000</v>
      </c>
      <c r="AK317" s="3">
        <f>+Tabla14[[#This Row],[Facturación atraso]]</f>
        <v>5000</v>
      </c>
      <c r="AL317" s="3">
        <f>Tabla14[[#This Row],[Plan Ajustado]]-Tabla14[[#This Row],[ Atraso ajustado]]-Tabla14[[#This Row],[En puerto a facturar]]</f>
        <v>0</v>
      </c>
      <c r="AM317" s="3">
        <v>0</v>
      </c>
      <c r="AN317" s="3"/>
      <c r="AO317" s="3" t="str">
        <f>IF(Tabla14[[#This Row],[Plan Ajustado]]&gt;Tabla14[[#This Row],[En puerto a facturar]],"Si","No")</f>
        <v>Si</v>
      </c>
      <c r="AP317" s="3">
        <f>IF(AND(Tabla14[[#This Row],[Plan Ajustado]]&gt;0,Tabla14[[#This Row],[Plan Ajustado]]&gt;Tabla14[[#This Row],[En puerto a facturar]]),(Tabla14[[#This Row],[Plan Ajustado]]-Tabla14[[#This Row],[En puerto a facturar]]),0)</f>
        <v>5000</v>
      </c>
      <c r="AQ317" s="3">
        <f>IF(Tabla14[[#This Row],[Necesidad]]&gt;=Tabla14[[#This Row],[Stock al día]],Tabla14[[#This Row],[Stock al día]],Tabla14[[#This Row],[Necesidad]])</f>
        <v>0</v>
      </c>
      <c r="AR317" s="3">
        <f>+Tabla14[[#This Row],[Necesidad]]-Tabla14[[#This Row],[Stock Plan]]</f>
        <v>5000</v>
      </c>
      <c r="AS317" s="155">
        <f>VLOOKUP(Tabla14[[#This Row],[Sector]]&amp;Tabla14[[#This Row],[Oficina]],[8]Ponderación!$A:$H,8,FALSE)</f>
        <v>44817</v>
      </c>
      <c r="AT317" s="30">
        <f>IFERROR(VLOOKUP(Tabla14[[#This Row],[Llave]],'[6]RV plan de ventas'!$A:$F,6,FALSE),0)</f>
        <v>2.7120000000000002</v>
      </c>
      <c r="AU317" s="83">
        <f>IFERROR(VLOOKUP(Tabla14[[#This Row],[Llave]],[9]DELAY!$H:$X,17,FALSE),0)</f>
        <v>2.66848054</v>
      </c>
      <c r="AV31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2.66848054</v>
      </c>
      <c r="AW317" s="5">
        <f>Tabla14[[#This Row],[Pecio plan]]*Tabla14[[#This Row],[Plan Ajustado]]</f>
        <v>13342.402700000001</v>
      </c>
      <c r="AX317" s="30">
        <f>IFERROR(VLOOKUP(Tabla14[[#This Row],[Llave]],'[13]Ultimos precios facturados'!$A:$G,7,FALSE),0)</f>
        <v>0</v>
      </c>
      <c r="AY317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17" s="30">
        <f>IFERROR(VLOOKUP(Tabla14[[#This Row],[Llave]],Hoja2!B:K,10,FALSE),0)</f>
        <v>0</v>
      </c>
      <c r="BA31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2.66848054</v>
      </c>
      <c r="BB317" s="30">
        <v>0</v>
      </c>
      <c r="BC317" s="30">
        <f>IF(Tabla14[[#This Row],[Market]]=0,Tabla14[[#This Row],[Precio Final]],Tabla14[[#This Row],[Market]])</f>
        <v>2.66848054</v>
      </c>
      <c r="BD317" s="99"/>
      <c r="BE317" s="99" t="str">
        <f>IF(AND(Tabla14[[#This Row],[Atraso a facturar]]&gt;0,Tabla14[[#This Row],[En puerto a facturar]]&gt;0,Tabla14[[#This Row],[Precio Atraso]]=0),"Revisar","OK")</f>
        <v>OK</v>
      </c>
      <c r="BF317" s="99" t="str">
        <f>IF(AND(Tabla14[[#This Row],[Venta del mes]]&gt;0,Tabla14[[#This Row],[Precio venta nueva]]=0),"Revisar","OK")</f>
        <v>OK</v>
      </c>
      <c r="BG317" s="20">
        <f>IFERROR(VLOOKUP(Tabla14[[#This Row],[Llave]],'[5]Consolidación planes'!$A:$M,9,FALSE),0)</f>
        <v>0</v>
      </c>
      <c r="BH317" s="20">
        <f>IFERROR(VLOOKUP(Tabla14[[#This Row],[Llave]],'[5]Consolidación planes'!$A:$M,10,FALSE),0)</f>
        <v>0</v>
      </c>
      <c r="BI317" s="20">
        <f>IFERROR(VLOOKUP(Tabla14[[#This Row],[Llave]],'[5]Consolidación planes'!$A:$M,11,FALSE),0)</f>
        <v>0</v>
      </c>
      <c r="BJ317" s="20">
        <f>IFERROR(VLOOKUP(Tabla14[[#This Row],[Llave]],'[5]Consolidación planes'!$A:$M,12,FALSE),0)</f>
        <v>0</v>
      </c>
      <c r="BK317" s="20">
        <f>IFERROR(VLOOKUP(Tabla14[[#This Row],[Llave]],'[5]Consolidación planes'!$A:$M,13,FALSE),0)</f>
        <v>0</v>
      </c>
      <c r="BL317" s="35">
        <f>IFERROR(VLOOKUP(Tabla14[[#This Row],[Llave]],'[13]Base ultimos planes'!$A:$M,13,FALSE),0)</f>
        <v>0</v>
      </c>
      <c r="BM317" s="35">
        <f>IFERROR(VLOOKUP(Tabla14[[#This Row],[Llave]],'[13]Cruce plan irrestricto'!$C:$M,10,FALSE),0)</f>
        <v>0</v>
      </c>
      <c r="BN317" s="35">
        <f>IFERROR(VLOOKUP(Tabla14[[#This Row],[Llave]],'[13]Cruce plan irrestricto'!$C:$M,11,FALSE),0)</f>
        <v>0</v>
      </c>
      <c r="BO317" s="80">
        <f>IFERROR(VLOOKUP(Tabla14[[#This Row],[Llave]],'[13]Base ultimos planes'!$O:$AA,8,FALSE),0)</f>
        <v>0</v>
      </c>
      <c r="BP317" s="100">
        <f>IFERROR(VLOOKUP(Tabla14[[#This Row],[Llave]],'[13]Base ultimos planes'!$O:$AA,9,FALSE),0)</f>
        <v>0</v>
      </c>
      <c r="BQ317" s="100">
        <f>IFERROR(VLOOKUP(Tabla14[[#This Row],[Llave]],'[13]Base ultimos planes'!$O:$AA,10,FALSE),0)</f>
        <v>0</v>
      </c>
      <c r="BR317" s="100">
        <f>IFERROR(VLOOKUP(Tabla14[[#This Row],[Llave]],'[13]Base ultimos planes'!$O:$AA,11,FALSE),0)</f>
        <v>0</v>
      </c>
      <c r="BS317" s="100">
        <f>IFERROR(VLOOKUP(Tabla14[[#This Row],[Llave]],'[13]Base ultimos planes'!$O:$AA,12,FALSE),0)</f>
        <v>0</v>
      </c>
      <c r="BT317" s="100">
        <f>IFERROR(VLOOKUP(Tabla14[[#This Row],[Llave]],'[13]Base ultimos planes'!$O:$AA,13,FALSE),0)</f>
        <v>0</v>
      </c>
      <c r="BU317" s="35"/>
      <c r="BV317" s="20">
        <f>Tabla14[[#This Row],[ RV Producción mes n+1]]-Tabla14[[#This Row],[Producción disponible]]+Tabla14[[#This Row],[Saldo Volumen disponible]]</f>
        <v>4480</v>
      </c>
      <c r="BW317" s="20">
        <f>IFERROR(VLOOKUP(Tabla14[[#This Row],[Llave]],[14]Hoja2!$J:$N,4,FALSE),0)</f>
        <v>9000</v>
      </c>
      <c r="BX317" s="20">
        <f>+Tabla14[[#This Row],[Asignación mes n+1]]*Tabla14[[#This Row],[% Uti. producción]]</f>
        <v>6960.4995398401297</v>
      </c>
      <c r="BY317" s="20">
        <f>+Tabla14[[#This Row],[Ponderación mes n+1]]+Tabla14[[#This Row],[Saldo mes n-1]]</f>
        <v>11440.49953984013</v>
      </c>
      <c r="BZ317" s="20">
        <f>+Tabla14[[#This Row],[Asignación mes n+1]]-Tabla14[[#This Row],[Ponderación mes n+1]]</f>
        <v>2039.5004601598703</v>
      </c>
      <c r="CA317" s="20">
        <f>IFERROR(VLOOKUP(Tabla14[[#This Row],[Llave]],[14]Hoja2!$J:$N,5,FALSE),0)</f>
        <v>9000</v>
      </c>
      <c r="CB317" s="20">
        <f>+Tabla14[[#This Row],[Asignación mes n+2]]*Tabla14[[#This Row],[% Uti. producción]]</f>
        <v>6960.4995398401297</v>
      </c>
      <c r="CC317" s="20">
        <f>+Tabla14[[#This Row],[Saldo mes n+2]]+Tabla14[[#This Row],[Ponderación mes n+2]]</f>
        <v>9000</v>
      </c>
      <c r="CD317" s="20">
        <f>+Tabla14[[#This Row],[Asignación mes n+2]]-Tabla14[[#This Row],[Ponderación mes n+2]]</f>
        <v>2039.5004601598703</v>
      </c>
    </row>
    <row r="318" spans="1:82" ht="16" x14ac:dyDescent="0.2">
      <c r="A318">
        <v>1</v>
      </c>
      <c r="B318" t="str">
        <f>Tabla14[[#This Row],[Oficina]]&amp;Tabla14[[#This Row],[Material]]</f>
        <v>Exportacion Directa1023419</v>
      </c>
      <c r="C318" t="s">
        <v>6</v>
      </c>
      <c r="D318" t="s">
        <v>88</v>
      </c>
      <c r="E318">
        <v>1023419</v>
      </c>
      <c r="F318" t="s">
        <v>295</v>
      </c>
      <c r="G318" t="s">
        <v>11</v>
      </c>
      <c r="H318" t="s">
        <v>15</v>
      </c>
      <c r="I318" s="7">
        <f>IFERROR(IF(Tabla14[[#This Row],[Oficina]]=$I$7,VLOOKUP(Tabla14[[#This Row],[Material]],'[6]RV Producción'!$Y:$AA,3,FALSE),VLOOKUP(Tabla14[[#This Row],[Llave]],'[6]RV Producción'!$C:$G,5,FALSE)),0)</f>
        <v>19418</v>
      </c>
      <c r="J318" s="7">
        <f>IFERROR(IF(Tabla14[[#This Row],[Oficina]]=$I$7,VLOOKUP(Tabla14[[#This Row],[Llave]],'[7]Shangai (Tomas)'!$A:$F,6,FALSE),VLOOKUP(Tabla14[[#This Row],[Llave]],'[6]RV plan de ventas'!$A:$E,5,FALSE)),0)</f>
        <v>24000</v>
      </c>
      <c r="K318" s="8">
        <f>IFERROR(VLOOKUP(Tabla14[[#This Row],[Sector]]&amp;Tabla14[[#This Row],[Oficina]],[8]Ponderación!$A$3:$G$22,7,FALSE),0)</f>
        <v>0.77338883776001444</v>
      </c>
      <c r="L318" s="7">
        <f>+Tabla14[[#This Row],[ RV Producción mes n+1]]*Tabla14[[#This Row],[% Uti. producción]]</f>
        <v>15017.664451623961</v>
      </c>
      <c r="M318" s="7">
        <f>IFERROR(VLOOKUP(Tabla14[[#This Row],[Material]],'[9]TD Stock'!$B:$C,2,FALSE),0)</f>
        <v>21620.39</v>
      </c>
      <c r="N318" s="15">
        <f>IFERROR(VLOOKUP(Tabla14[[#This Row],[Material]],'[10]Consolidado planificación'!$B:$C,2,FALSE),0)</f>
        <v>3000</v>
      </c>
      <c r="O318" s="15">
        <f>IFERROR(VLOOKUP(Tabla14[[#This Row],[Llave]],[11]Hoja2!$D:$G,4,FALSE),0)</f>
        <v>0</v>
      </c>
      <c r="P318" s="37">
        <f>SUM(Tabla14[[#This Row],[Producción disponible]],Tabla14[[#This Row],[Stock al día]],(Tabla14[[#This Row],[Por producir mes N]]*0.9))-Tabla14[[#This Row],[Producción por despachar mes N]]</f>
        <v>39338.054451623961</v>
      </c>
      <c r="Q318" s="15">
        <f>IFERROR(VLOOKUP(Tabla14[[#This Row],[Llave]],[9]DELAY!$A:$D,4,FALSE),0)</f>
        <v>24000</v>
      </c>
      <c r="R318" s="75">
        <v>23000</v>
      </c>
      <c r="S318" s="98">
        <f t="shared" si="11"/>
        <v>24000</v>
      </c>
      <c r="T318" s="76">
        <v>0</v>
      </c>
      <c r="U318" s="98">
        <f>+Tabla14[[#This Row],[Atraso a facturar]]+Tabla14[[#This Row],[Ajuste atraso]]</f>
        <v>24000</v>
      </c>
      <c r="V318" s="3">
        <f>+Tabla14[[#This Row],[Total disponible]]-Tabla14[[#This Row],[Facturación atraso]]</f>
        <v>15338.054451623961</v>
      </c>
      <c r="W318" s="6">
        <f>IFERROR(IF(AND(V318&gt;R318,J318&gt;=R318),ROUNDDOWN((Tabla14[[#This Row],[Producción para venta nueva]])/R318,0)*R318,0),0)</f>
        <v>0</v>
      </c>
      <c r="X318" s="76">
        <v>0</v>
      </c>
      <c r="Y318" s="6">
        <f>IF(Tabla14[[#This Row],[Venta del mes]]&gt;0,Tabla14[[#This Row],[Venta del mes]]+Tabla14[[#This Row],[Ajuste venta nueva]],0)</f>
        <v>0</v>
      </c>
      <c r="Z318" s="6">
        <f>+Tabla14[[#This Row],[Producción para venta nueva]]-Tabla14[[#This Row],[Facturación Venta nueva]]</f>
        <v>15338.054451623961</v>
      </c>
      <c r="AA318" s="6">
        <f>IF(AND(A319=1,Tabla14[[#This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8" s="6">
        <v>0</v>
      </c>
      <c r="AC318" s="6">
        <f>IF(Tabla14[[#This Row],[Disponible stock sin venta]]&gt;0,Tabla14[[#This Row],[Disponible stock sin venta]]+Tabla14[[#This Row],[Ajuste stock sin venta]],0)</f>
        <v>0</v>
      </c>
      <c r="AD318" s="3">
        <f>IFERROR(VLOOKUP(Tabla14[[#This Row],[Llave]],[12]Hoja1!$A:$D,4,FALSE),0)</f>
        <v>0</v>
      </c>
      <c r="AE318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24000</v>
      </c>
      <c r="AF318" s="3">
        <v>24000</v>
      </c>
      <c r="AG318" s="3">
        <f>+Tabla14[[#This Row],[En puerto a facturar]]</f>
        <v>0</v>
      </c>
      <c r="AH318" s="3">
        <f>+Tabla14[[#This Row],[Facturación atraso]]</f>
        <v>24000</v>
      </c>
      <c r="AI318" s="3">
        <f>+Tabla14[[#This Row],[Plan Irrestricto (DATO)]]-Tabla14[[#This Row],[Puerto ]]-Tabla14[[#This Row],[Atraso]]</f>
        <v>0</v>
      </c>
      <c r="AJ318" s="6">
        <f>IF(Tabla14[[#This Row],[Plan Irrestricto (DATO)]]&gt;0,SUM(Tabla14[[#This Row],[Facturación atraso]],Tabla14[[#This Row],[Facturación Venta nueva]],Tabla14[[#This Row],[Facturación stock]],Tabla14[[#This Row],[En puerto a facturar]]),0)</f>
        <v>24000</v>
      </c>
      <c r="AK318" s="3">
        <f>+Tabla14[[#This Row],[Facturación atraso]]</f>
        <v>24000</v>
      </c>
      <c r="AL318" s="3">
        <f>Tabla14[[#This Row],[Plan Ajustado]]-Tabla14[[#This Row],[ Atraso ajustado]]-Tabla14[[#This Row],[En puerto a facturar]]</f>
        <v>0</v>
      </c>
      <c r="AM318" s="3">
        <v>0</v>
      </c>
      <c r="AN318" s="3"/>
      <c r="AO318" s="3" t="str">
        <f>IF(Tabla14[[#This Row],[Plan Ajustado]]&gt;Tabla14[[#This Row],[En puerto a facturar]],"Si","No")</f>
        <v>Si</v>
      </c>
      <c r="AP318" s="3">
        <f>IF(AND(Tabla14[[#This Row],[Plan Ajustado]]&gt;0,Tabla14[[#This Row],[Plan Ajustado]]&gt;Tabla14[[#This Row],[En puerto a facturar]]),(Tabla14[[#This Row],[Plan Ajustado]]-Tabla14[[#This Row],[En puerto a facturar]]),0)</f>
        <v>24000</v>
      </c>
      <c r="AQ318" s="3">
        <f>IF(Tabla14[[#This Row],[Necesidad]]&gt;=Tabla14[[#This Row],[Stock al día]],Tabla14[[#This Row],[Stock al día]],Tabla14[[#This Row],[Necesidad]])</f>
        <v>21620.39</v>
      </c>
      <c r="AR318" s="3">
        <f>+Tabla14[[#This Row],[Necesidad]]-Tabla14[[#This Row],[Stock Plan]]</f>
        <v>2379.6100000000006</v>
      </c>
      <c r="AS318" s="155">
        <f>VLOOKUP(Tabla14[[#This Row],[Sector]]&amp;Tabla14[[#This Row],[Oficina]],[8]Ponderación!$A:$H,8,FALSE)</f>
        <v>44817</v>
      </c>
      <c r="AT318" s="30">
        <f>IFERROR(VLOOKUP(Tabla14[[#This Row],[Llave]],'[6]RV plan de ventas'!$A:$F,6,FALSE),0)</f>
        <v>1.8890416666666701</v>
      </c>
      <c r="AU318" s="83">
        <f>IFERROR(VLOOKUP(Tabla14[[#This Row],[Llave]],[9]DELAY!$H:$X,17,FALSE),0)</f>
        <v>1.84287634166667</v>
      </c>
      <c r="AV318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1.84287634166667</v>
      </c>
      <c r="AW318" s="5">
        <f>Tabla14[[#This Row],[Pecio plan]]*Tabla14[[#This Row],[Plan Ajustado]]</f>
        <v>44229.032200000082</v>
      </c>
      <c r="AX318" s="30">
        <f>IFERROR(VLOOKUP(Tabla14[[#This Row],[Llave]],'[13]Ultimos precios facturados'!$A:$G,7,FALSE),0)</f>
        <v>0</v>
      </c>
      <c r="AY318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18" s="30">
        <f>IFERROR(VLOOKUP(Tabla14[[#This Row],[Llave]],Hoja2!B:K,10,FALSE),0)</f>
        <v>1.8</v>
      </c>
      <c r="BA318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1.84287634166667</v>
      </c>
      <c r="BB318" s="30">
        <v>0</v>
      </c>
      <c r="BC318" s="30">
        <f>IF(Tabla14[[#This Row],[Market]]=0,Tabla14[[#This Row],[Precio Final]],Tabla14[[#This Row],[Market]])</f>
        <v>1.84287634166667</v>
      </c>
      <c r="BD318" s="99"/>
      <c r="BE318" s="99" t="str">
        <f>IF(AND(Tabla14[[#This Row],[Atraso a facturar]]&gt;0,Tabla14[[#This Row],[En puerto a facturar]]&gt;0,Tabla14[[#This Row],[Precio Atraso]]=0),"Revisar","OK")</f>
        <v>OK</v>
      </c>
      <c r="BF318" s="99" t="str">
        <f>IF(AND(Tabla14[[#This Row],[Venta del mes]]&gt;0,Tabla14[[#This Row],[Precio venta nueva]]=0),"Revisar","OK")</f>
        <v>OK</v>
      </c>
      <c r="BG318" s="20">
        <f>IFERROR(VLOOKUP(Tabla14[[#This Row],[Llave]],'[5]Consolidación planes'!$A:$M,9,FALSE),0)</f>
        <v>0</v>
      </c>
      <c r="BH318" s="20">
        <f>IFERROR(VLOOKUP(Tabla14[[#This Row],[Llave]],'[5]Consolidación planes'!$A:$M,10,FALSE),0)</f>
        <v>0</v>
      </c>
      <c r="BI318" s="20">
        <f>IFERROR(VLOOKUP(Tabla14[[#This Row],[Llave]],'[5]Consolidación planes'!$A:$M,11,FALSE),0)</f>
        <v>0</v>
      </c>
      <c r="BJ318" s="20">
        <f>IFERROR(VLOOKUP(Tabla14[[#This Row],[Llave]],'[5]Consolidación planes'!$A:$M,12,FALSE),0)</f>
        <v>0</v>
      </c>
      <c r="BK318" s="20">
        <f>IFERROR(VLOOKUP(Tabla14[[#This Row],[Llave]],'[5]Consolidación planes'!$A:$M,13,FALSE),0)</f>
        <v>0</v>
      </c>
      <c r="BL318" s="35">
        <f>IFERROR(VLOOKUP(Tabla14[[#This Row],[Llave]],'[13]Base ultimos planes'!$A:$M,13,FALSE),0)</f>
        <v>0</v>
      </c>
      <c r="BM318" s="35">
        <f>IFERROR(VLOOKUP(Tabla14[[#This Row],[Llave]],'[13]Cruce plan irrestricto'!$C:$M,10,FALSE),0)</f>
        <v>0</v>
      </c>
      <c r="BN318" s="35">
        <f>IFERROR(VLOOKUP(Tabla14[[#This Row],[Llave]],'[13]Cruce plan irrestricto'!$C:$M,11,FALSE),0)</f>
        <v>0</v>
      </c>
      <c r="BO318" s="80">
        <f>IFERROR(VLOOKUP(Tabla14[[#This Row],[Llave]],'[13]Base ultimos planes'!$O:$AA,8,FALSE),0)</f>
        <v>0</v>
      </c>
      <c r="BP318" s="100">
        <f>IFERROR(VLOOKUP(Tabla14[[#This Row],[Llave]],'[13]Base ultimos planes'!$O:$AA,9,FALSE),0)</f>
        <v>0</v>
      </c>
      <c r="BQ318" s="100">
        <f>IFERROR(VLOOKUP(Tabla14[[#This Row],[Llave]],'[13]Base ultimos planes'!$O:$AA,10,FALSE),0)</f>
        <v>0</v>
      </c>
      <c r="BR318" s="100">
        <f>IFERROR(VLOOKUP(Tabla14[[#This Row],[Llave]],'[13]Base ultimos planes'!$O:$AA,11,FALSE),0)</f>
        <v>0</v>
      </c>
      <c r="BS318" s="100">
        <f>IFERROR(VLOOKUP(Tabla14[[#This Row],[Llave]],'[13]Base ultimos planes'!$O:$AA,12,FALSE),0)</f>
        <v>0</v>
      </c>
      <c r="BT318" s="100">
        <f>IFERROR(VLOOKUP(Tabla14[[#This Row],[Llave]],'[13]Base ultimos planes'!$O:$AA,13,FALSE),0)</f>
        <v>0</v>
      </c>
      <c r="BU318" s="35"/>
      <c r="BV318" s="20">
        <f>Tabla14[[#This Row],[ RV Producción mes n+1]]-Tabla14[[#This Row],[Producción disponible]]+Tabla14[[#This Row],[Saldo Volumen disponible]]</f>
        <v>19738.39</v>
      </c>
      <c r="BW318" s="20">
        <f>IFERROR(VLOOKUP(Tabla14[[#This Row],[Llave]],[14]Hoja2!$J:$N,4,FALSE),0)</f>
        <v>43200</v>
      </c>
      <c r="BX318" s="20">
        <f>+Tabla14[[#This Row],[Asignación mes n+1]]*Tabla14[[#This Row],[% Uti. producción]]</f>
        <v>33410.397791232623</v>
      </c>
      <c r="BY318" s="20">
        <f>+Tabla14[[#This Row],[Ponderación mes n+1]]+Tabla14[[#This Row],[Saldo mes n-1]]</f>
        <v>53148.787791232622</v>
      </c>
      <c r="BZ318" s="20">
        <f>+Tabla14[[#This Row],[Asignación mes n+1]]-Tabla14[[#This Row],[Ponderación mes n+1]]</f>
        <v>9789.6022087673773</v>
      </c>
      <c r="CA318" s="20">
        <f>IFERROR(VLOOKUP(Tabla14[[#This Row],[Llave]],[14]Hoja2!$J:$N,5,FALSE),0)</f>
        <v>43200</v>
      </c>
      <c r="CB318" s="20">
        <f>+Tabla14[[#This Row],[Asignación mes n+2]]*Tabla14[[#This Row],[% Uti. producción]]</f>
        <v>33410.397791232623</v>
      </c>
      <c r="CC318" s="20">
        <f>+Tabla14[[#This Row],[Saldo mes n+2]]+Tabla14[[#This Row],[Ponderación mes n+2]]</f>
        <v>43200</v>
      </c>
      <c r="CD318" s="20">
        <f>+Tabla14[[#This Row],[Asignación mes n+2]]-Tabla14[[#This Row],[Ponderación mes n+2]]</f>
        <v>9789.6022087673773</v>
      </c>
    </row>
    <row r="319" spans="1:82" ht="16" x14ac:dyDescent="0.2">
      <c r="B319" t="str">
        <f>Tabla14[[#This Row],[Oficina]]&amp;Tabla14[[#This Row],[Material]]</f>
        <v>Agro Mexico1030802</v>
      </c>
      <c r="C319" t="s">
        <v>204</v>
      </c>
      <c r="D319" t="s">
        <v>370</v>
      </c>
      <c r="E319">
        <v>1030802</v>
      </c>
      <c r="F319" t="s">
        <v>787</v>
      </c>
      <c r="G319" t="s">
        <v>233</v>
      </c>
      <c r="H319" t="s">
        <v>233</v>
      </c>
      <c r="I319" s="7">
        <f>IFERROR(IF(Tabla14[[#This Row],[Oficina]]=$I$7,VLOOKUP(Tabla14[[#This Row],[Material]],'[6]RV Producción'!$Y:$AA,3,FALSE),VLOOKUP(Tabla14[[#This Row],[Llave]],'[6]RV Producción'!$C:$G,5,FALSE)),0)</f>
        <v>153669</v>
      </c>
      <c r="J319" s="7">
        <f>IFERROR(IF(Tabla14[[#This Row],[Oficina]]=$I$7,VLOOKUP(Tabla14[[#This Row],[Llave]],'[7]Shangai (Tomas)'!$A:$F,6,FALSE),VLOOKUP(Tabla14[[#This Row],[Llave]],'[6]RV plan de ventas'!$A:$E,5,FALSE)),0)</f>
        <v>144000</v>
      </c>
      <c r="K319" s="8">
        <f>IFERROR(VLOOKUP(Tabla14[[#This Row],[Sector]]&amp;Tabla14[[#This Row],[Oficina]],[8]Ponderación!$A$3:$G$22,7,FALSE),0)</f>
        <v>0.52379475531688124</v>
      </c>
      <c r="L319" s="7">
        <f>+Tabla14[[#This Row],[ RV Producción mes n+1]]*Tabla14[[#This Row],[% Uti. producción]]</f>
        <v>80491.016254789822</v>
      </c>
      <c r="M319" s="7">
        <f>IFERROR(VLOOKUP(Tabla14[[#This Row],[Material]],'[9]TD Stock'!$B:$C,2,FALSE),0)</f>
        <v>16287.806999999999</v>
      </c>
      <c r="N319" s="15">
        <f>IFERROR(VLOOKUP(Tabla14[[#This Row],[Material]],'[10]Consolidado planificación'!$B:$C,2,FALSE),0)</f>
        <v>22500</v>
      </c>
      <c r="O319" s="15">
        <f>IFERROR(VLOOKUP(Tabla14[[#This Row],[Llave]],[11]Hoja2!$D:$G,4,FALSE),0)</f>
        <v>0</v>
      </c>
      <c r="P319" s="37">
        <f>SUM(Tabla14[[#This Row],[Producción disponible]],Tabla14[[#This Row],[Stock al día]],(Tabla14[[#This Row],[Por producir mes N]]*0.9))-Tabla14[[#This Row],[Producción por despachar mes N]]</f>
        <v>117028.82325478982</v>
      </c>
      <c r="Q319" s="15">
        <f>IFERROR(VLOOKUP(Tabla14[[#This Row],[Llave]],[9]DELAY!$A:$D,4,FALSE),0)</f>
        <v>48000</v>
      </c>
      <c r="R319" s="75">
        <v>23000</v>
      </c>
      <c r="S319" s="98">
        <f>IF(AND(P319&gt;Q319,Q319&gt;0),Q319,IF(AND(P319&lt;Q319,Q319&gt;0),(ROUNDDOWN(P319/R319,0)*R319),0))</f>
        <v>48000</v>
      </c>
      <c r="T319" s="76">
        <v>0</v>
      </c>
      <c r="U319" s="98">
        <f>+Tabla14[[#This Row],[Atraso a facturar]]+Tabla14[[#This Row],[Ajuste atraso]]</f>
        <v>48000</v>
      </c>
      <c r="V319" s="3">
        <f>+Tabla14[[#This Row],[Total disponible]]-Tabla14[[#This Row],[Facturación atraso]]</f>
        <v>69028.823254789822</v>
      </c>
      <c r="W319" s="6">
        <f>IFERROR(IF(AND(V319&gt;R319,J319&gt;=R319),ROUNDDOWN((Tabla14[[#This Row],[Producción para venta nueva]])/R319,0)*R319,0),0)</f>
        <v>69000</v>
      </c>
      <c r="X319" s="76">
        <v>0</v>
      </c>
      <c r="Y319" s="6">
        <f>IF(Tabla14[[#This Row],[Venta del mes]]&gt;0,Tabla14[[#This Row],[Venta del mes]]+Tabla14[[#This Row],[Ajuste venta nueva]],0)</f>
        <v>69000</v>
      </c>
      <c r="Z319" s="6">
        <f>+Tabla14[[#This Row],[Producción para venta nueva]]-Tabla14[[#This Row],[Facturación Venta nueva]]</f>
        <v>28.823254789822386</v>
      </c>
      <c r="AA319" s="6">
        <f>IF(AND(A319=1,Tabla14[[#This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19" s="6">
        <v>0</v>
      </c>
      <c r="AC319" s="6">
        <f>IF(Tabla14[[#This Row],[Disponible stock sin venta]]&gt;0,Tabla14[[#This Row],[Disponible stock sin venta]]+Tabla14[[#This Row],[Ajuste stock sin venta]],0)</f>
        <v>0</v>
      </c>
      <c r="AD319" s="3">
        <f>IFERROR(VLOOKUP(Tabla14[[#This Row],[Llave]],[12]Hoja1!$A:$D,4,FALSE),0)</f>
        <v>48008.182000000001</v>
      </c>
      <c r="AE319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165008.182</v>
      </c>
      <c r="AF319" s="3">
        <v>165008.182</v>
      </c>
      <c r="AG319" s="3">
        <f>+Tabla14[[#This Row],[En puerto a facturar]]</f>
        <v>48008.182000000001</v>
      </c>
      <c r="AH319" s="3">
        <f>+Tabla14[[#This Row],[Facturación atraso]]</f>
        <v>48000</v>
      </c>
      <c r="AI319" s="3">
        <f>+Tabla14[[#This Row],[Plan Irrestricto (DATO)]]-Tabla14[[#This Row],[Puerto ]]-Tabla14[[#This Row],[Atraso]]</f>
        <v>69000</v>
      </c>
      <c r="AJ319" s="6">
        <f>IF(Tabla14[[#This Row],[Plan Irrestricto (DATO)]]&gt;0,SUM(Tabla14[[#This Row],[Facturación atraso]],Tabla14[[#This Row],[Facturación Venta nueva]],Tabla14[[#This Row],[Facturación stock]],Tabla14[[#This Row],[En puerto a facturar]]),0)</f>
        <v>165008.182</v>
      </c>
      <c r="AK319" s="3">
        <f>+Tabla14[[#This Row],[Facturación atraso]]</f>
        <v>48000</v>
      </c>
      <c r="AL319" s="3">
        <f>Tabla14[[#This Row],[Plan Ajustado]]-Tabla14[[#This Row],[ Atraso ajustado]]-Tabla14[[#This Row],[En puerto a facturar]]</f>
        <v>69000</v>
      </c>
      <c r="AM319" s="3">
        <v>0</v>
      </c>
      <c r="AN319" s="3"/>
      <c r="AO319" s="3" t="str">
        <f>IF(Tabla14[[#This Row],[Plan Ajustado]]&gt;Tabla14[[#This Row],[En puerto a facturar]],"Si","No")</f>
        <v>Si</v>
      </c>
      <c r="AP319" s="3">
        <f>IF(AND(Tabla14[[#This Row],[Plan Ajustado]]&gt;0,Tabla14[[#This Row],[Plan Ajustado]]&gt;Tabla14[[#This Row],[En puerto a facturar]]),(Tabla14[[#This Row],[Plan Ajustado]]-Tabla14[[#This Row],[En puerto a facturar]]),0)</f>
        <v>117000</v>
      </c>
      <c r="AQ319" s="3">
        <f>IF(Tabla14[[#This Row],[Necesidad]]&gt;=Tabla14[[#This Row],[Stock al día]],Tabla14[[#This Row],[Stock al día]],Tabla14[[#This Row],[Necesidad]])</f>
        <v>16287.806999999999</v>
      </c>
      <c r="AR319" s="3">
        <f>+Tabla14[[#This Row],[Necesidad]]-Tabla14[[#This Row],[Stock Plan]]</f>
        <v>100712.193</v>
      </c>
      <c r="AS319" s="155">
        <f>VLOOKUP(Tabla14[[#This Row],[Sector]]&amp;Tabla14[[#This Row],[Oficina]],[8]Ponderación!$A:$H,8,FALSE)</f>
        <v>44787</v>
      </c>
      <c r="AT319" s="30">
        <f>IFERROR(VLOOKUP(Tabla14[[#This Row],[Llave]],'[6]RV plan de ventas'!$A:$F,6,FALSE),0)</f>
        <v>1.2437708333333299</v>
      </c>
      <c r="AU319" s="83">
        <f>IFERROR(VLOOKUP(Tabla14[[#This Row],[Llave]],[9]DELAY!$H:$X,17,FALSE),0)</f>
        <v>1.3022750000000001</v>
      </c>
      <c r="AV319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1.2778108343382013</v>
      </c>
      <c r="AW319" s="5">
        <f>Tabla14[[#This Row],[Pecio plan]]*Tabla14[[#This Row],[Plan Ajustado]]</f>
        <v>210849.24271404976</v>
      </c>
      <c r="AX319" s="30">
        <f>IFERROR(VLOOKUP(Tabla14[[#This Row],[Llave]],'[13]Ultimos precios facturados'!$A:$G,7,FALSE),0)</f>
        <v>1.3423074825049206</v>
      </c>
      <c r="AY319" s="99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4.8049086373533542E-2</v>
      </c>
      <c r="AZ319" s="30">
        <f>IFERROR(VLOOKUP(Tabla14[[#This Row],[Llave]],Hoja2!B:K,10,FALSE),0)</f>
        <v>1.1724080139022055</v>
      </c>
      <c r="BA319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1.2778108343382013</v>
      </c>
      <c r="BB319" s="30">
        <v>0</v>
      </c>
      <c r="BC319" s="30">
        <f>IF(Tabla14[[#This Row],[Market]]=0,Tabla14[[#This Row],[Precio Final]],Tabla14[[#This Row],[Market]])</f>
        <v>1.2778108343382013</v>
      </c>
      <c r="BD319" s="99"/>
      <c r="BE319" s="99" t="str">
        <f>IF(AND(Tabla14[[#This Row],[Atraso a facturar]]&gt;0,Tabla14[[#This Row],[En puerto a facturar]]&gt;0,Tabla14[[#This Row],[Precio Atraso]]=0),"Revisar","OK")</f>
        <v>OK</v>
      </c>
      <c r="BF319" s="99" t="str">
        <f>IF(AND(Tabla14[[#This Row],[Venta del mes]]&gt;0,Tabla14[[#This Row],[Precio venta nueva]]=0),"Revisar","OK")</f>
        <v>OK</v>
      </c>
      <c r="BG319" s="20">
        <f>IFERROR(VLOOKUP(Tabla14[[#This Row],[Llave]],'[5]Consolidación planes'!$A:$M,9,FALSE),0)</f>
        <v>0</v>
      </c>
      <c r="BH319" s="20">
        <f>IFERROR(VLOOKUP(Tabla14[[#This Row],[Llave]],'[5]Consolidación planes'!$A:$M,10,FALSE),0)</f>
        <v>0</v>
      </c>
      <c r="BI319" s="20">
        <f>IFERROR(VLOOKUP(Tabla14[[#This Row],[Llave]],'[5]Consolidación planes'!$A:$M,11,FALSE),0)</f>
        <v>0</v>
      </c>
      <c r="BJ319" s="20">
        <f>IFERROR(VLOOKUP(Tabla14[[#This Row],[Llave]],'[5]Consolidación planes'!$A:$M,12,FALSE),0)</f>
        <v>0</v>
      </c>
      <c r="BK319" s="20">
        <f>IFERROR(VLOOKUP(Tabla14[[#This Row],[Llave]],'[5]Consolidación planes'!$A:$M,13,FALSE),0)</f>
        <v>0</v>
      </c>
      <c r="BL319" s="35">
        <f>IFERROR(VLOOKUP(Tabla14[[#This Row],[Llave]],'[13]Base ultimos planes'!$A:$M,13,FALSE),0)</f>
        <v>0</v>
      </c>
      <c r="BM319" s="35">
        <f>IFERROR(VLOOKUP(Tabla14[[#This Row],[Llave]],'[13]Cruce plan irrestricto'!$C:$M,10,FALSE),0)</f>
        <v>0</v>
      </c>
      <c r="BN319" s="35">
        <f>IFERROR(VLOOKUP(Tabla14[[#This Row],[Llave]],'[13]Cruce plan irrestricto'!$C:$M,11,FALSE),0)</f>
        <v>96000</v>
      </c>
      <c r="BO319" s="80">
        <f>IFERROR(VLOOKUP(Tabla14[[#This Row],[Llave]],'[13]Base ultimos planes'!$O:$AA,8,FALSE),0)</f>
        <v>0</v>
      </c>
      <c r="BP319" s="100">
        <f>IFERROR(VLOOKUP(Tabla14[[#This Row],[Llave]],'[13]Base ultimos planes'!$O:$AA,9,FALSE),0)</f>
        <v>0</v>
      </c>
      <c r="BQ319" s="100">
        <f>IFERROR(VLOOKUP(Tabla14[[#This Row],[Llave]],'[13]Base ultimos planes'!$O:$AA,10,FALSE),0)</f>
        <v>0</v>
      </c>
      <c r="BR319" s="100">
        <f>IFERROR(VLOOKUP(Tabla14[[#This Row],[Llave]],'[13]Base ultimos planes'!$O:$AA,11,FALSE),0)</f>
        <v>0</v>
      </c>
      <c r="BS319" s="100">
        <f>IFERROR(VLOOKUP(Tabla14[[#This Row],[Llave]],'[13]Base ultimos planes'!$O:$AA,12,FALSE),0)</f>
        <v>0</v>
      </c>
      <c r="BT319" s="100">
        <f>IFERROR(VLOOKUP(Tabla14[[#This Row],[Llave]],'[13]Base ultimos planes'!$O:$AA,13,FALSE),0)</f>
        <v>0</v>
      </c>
      <c r="BU319" s="35"/>
      <c r="BV319" s="20">
        <f>Tabla14[[#This Row],[ RV Producción mes n+1]]-Tabla14[[#This Row],[Producción disponible]]+Tabla14[[#This Row],[Saldo Volumen disponible]]</f>
        <v>73206.807000000001</v>
      </c>
      <c r="BW319" s="20">
        <f>IFERROR(VLOOKUP(Tabla14[[#This Row],[Llave]],[14]Hoja2!$J:$N,4,FALSE),0)</f>
        <v>36898.277999999998</v>
      </c>
      <c r="BX319" s="20">
        <f>+Tabla14[[#This Row],[Asignación mes n+1]]*Tabla14[[#This Row],[% Uti. producción]]</f>
        <v>19327.124496624263</v>
      </c>
      <c r="BY319" s="20">
        <f>+Tabla14[[#This Row],[Ponderación mes n+1]]+Tabla14[[#This Row],[Saldo mes n-1]]</f>
        <v>92533.931496624267</v>
      </c>
      <c r="BZ319" s="20">
        <f>+Tabla14[[#This Row],[Asignación mes n+1]]-Tabla14[[#This Row],[Ponderación mes n+1]]</f>
        <v>17571.153503375735</v>
      </c>
      <c r="CA319" s="20">
        <f>IFERROR(VLOOKUP(Tabla14[[#This Row],[Llave]],[14]Hoja2!$J:$N,5,FALSE),0)</f>
        <v>100800</v>
      </c>
      <c r="CB319" s="20">
        <f>+Tabla14[[#This Row],[Asignación mes n+2]]*Tabla14[[#This Row],[% Uti. producción]]</f>
        <v>52798.511335941628</v>
      </c>
      <c r="CC319" s="20">
        <f>+Tabla14[[#This Row],[Saldo mes n+2]]+Tabla14[[#This Row],[Ponderación mes n+2]]</f>
        <v>70369.664839317367</v>
      </c>
      <c r="CD319" s="20">
        <f>+Tabla14[[#This Row],[Asignación mes n+2]]-Tabla14[[#This Row],[Ponderación mes n+2]]</f>
        <v>48001.488664058372</v>
      </c>
    </row>
    <row r="320" spans="1:82" ht="16" x14ac:dyDescent="0.2">
      <c r="B320" t="str">
        <f>Tabla14[[#This Row],[Oficina]]&amp;Tabla14[[#This Row],[Material]]</f>
        <v>Agro Sudamerica1023433</v>
      </c>
      <c r="C320" t="s">
        <v>6</v>
      </c>
      <c r="D320" t="s">
        <v>17</v>
      </c>
      <c r="E320">
        <v>1023433</v>
      </c>
      <c r="F320" t="s">
        <v>857</v>
      </c>
      <c r="G320" t="s">
        <v>67</v>
      </c>
      <c r="H320" t="s">
        <v>68</v>
      </c>
      <c r="I320" s="7">
        <f>IFERROR(IF(Tabla14[[#This Row],[Oficina]]=$I$7,VLOOKUP(Tabla14[[#This Row],[Material]],'[6]RV Producción'!$Y:$AA,3,FALSE),VLOOKUP(Tabla14[[#This Row],[Llave]],'[6]RV Producción'!$C:$G,5,FALSE)),0)</f>
        <v>110455</v>
      </c>
      <c r="J320" s="7">
        <f>IFERROR(IF(Tabla14[[#This Row],[Oficina]]=$I$7,VLOOKUP(Tabla14[[#This Row],[Llave]],'[7]Shangai (Tomas)'!$A:$F,6,FALSE),VLOOKUP(Tabla14[[#This Row],[Llave]],'[6]RV plan de ventas'!$A:$E,5,FALSE)),0)</f>
        <v>48000</v>
      </c>
      <c r="K320" s="17">
        <f>IFERROR(VLOOKUP(Tabla14[[#This Row],[Sector]]&amp;Tabla14[[#This Row],[Oficina]],[8]Ponderación!$A$3:$G$22,7,FALSE),0)</f>
        <v>0.3545854356400317</v>
      </c>
      <c r="L320" s="7">
        <f>+Tabla14[[#This Row],[ RV Producción mes n+1]]*Tabla14[[#This Row],[% Uti. producción]]</f>
        <v>39165.734293619702</v>
      </c>
      <c r="M320" s="15">
        <f>IFERROR(VLOOKUP(Tabla14[[#This Row],[Material]],'[9]TD Stock'!$B:$C,2,FALSE),0)</f>
        <v>19.52</v>
      </c>
      <c r="N320" s="15">
        <f>IFERROR(VLOOKUP(Tabla14[[#This Row],[Material]],'[10]Consolidado planificación'!$B:$C,2,FALSE),0)</f>
        <v>15936.82559759888</v>
      </c>
      <c r="O320" s="15">
        <f>IFERROR(VLOOKUP(Tabla14[[#This Row],[Llave]],[11]Hoja2!$D:$G,4,FALSE),0)</f>
        <v>0</v>
      </c>
      <c r="P320" s="37">
        <f>SUM(Tabla14[[#This Row],[Producción disponible]],Tabla14[[#This Row],[Stock al día]],(Tabla14[[#This Row],[Por producir mes N]]*0.9))-Tabla14[[#This Row],[Producción por despachar mes N]]</f>
        <v>53528.397331458691</v>
      </c>
      <c r="Q320" s="15">
        <f>IFERROR(VLOOKUP(Tabla14[[#This Row],[Llave]],[9]DELAY!$A:$D,4,FALSE),0)</f>
        <v>72000</v>
      </c>
      <c r="R320" s="75">
        <v>23000</v>
      </c>
      <c r="S320" s="98">
        <f>IF(AND(P320&gt;Q320,Q320&gt;0),Q320,IF(AND(P320&lt;Q320,Q320&gt;0),(ROUNDDOWN(P320/R320,0)*R320),0))</f>
        <v>46000</v>
      </c>
      <c r="T320" s="76">
        <v>0</v>
      </c>
      <c r="U320" s="98">
        <f>+Tabla14[[#This Row],[Atraso a facturar]]+Tabla14[[#This Row],[Ajuste atraso]]</f>
        <v>46000</v>
      </c>
      <c r="V320" s="3">
        <f>+Tabla14[[#This Row],[Total disponible]]-Tabla14[[#This Row],[Facturación atraso]]</f>
        <v>7528.397331458691</v>
      </c>
      <c r="W320" s="6">
        <f>IFERROR(IF(AND(V320&gt;R320,J320&gt;=R320),ROUNDDOWN((Tabla14[[#This Row],[Producción para venta nueva]])/R320,0)*R320,0),0)</f>
        <v>0</v>
      </c>
      <c r="X320" s="76">
        <v>0</v>
      </c>
      <c r="Y320" s="6">
        <f>IF(Tabla14[[#This Row],[Venta del mes]]&gt;0,Tabla14[[#This Row],[Venta del mes]]+Tabla14[[#This Row],[Ajuste venta nueva]],0)</f>
        <v>0</v>
      </c>
      <c r="Z320" s="6">
        <f>+Tabla14[[#This Row],[Producción para venta nueva]]-Tabla14[[#This Row],[Facturación Venta nueva]]</f>
        <v>7528.397331458691</v>
      </c>
      <c r="AA320" s="6">
        <f>IF(AND(A320=1,Tabla14[[#This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20" s="188">
        <v>0</v>
      </c>
      <c r="AC320" s="6">
        <f>IF(Tabla14[[#This Row],[Disponible stock sin venta]]&gt;0,Tabla14[[#This Row],[Disponible stock sin venta]]+Tabla14[[#This Row],[Ajuste stock sin venta]],0)</f>
        <v>0</v>
      </c>
      <c r="AD320" s="3">
        <f>IFERROR(VLOOKUP(Tabla14[[#This Row],[Llave]],[12]Hoja1!$A:$D,4,FALSE),0)</f>
        <v>0</v>
      </c>
      <c r="AE320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46000</v>
      </c>
      <c r="AF320" s="3">
        <v>46000</v>
      </c>
      <c r="AG320" s="3">
        <f>+Tabla14[[#This Row],[En puerto a facturar]]</f>
        <v>0</v>
      </c>
      <c r="AH320" s="3">
        <f>+Tabla14[[#This Row],[Facturación atraso]]</f>
        <v>46000</v>
      </c>
      <c r="AI320" s="3">
        <f>+Tabla14[[#This Row],[Plan Irrestricto (DATO)]]-Tabla14[[#This Row],[Puerto ]]-Tabla14[[#This Row],[Atraso]]</f>
        <v>0</v>
      </c>
      <c r="AJ320" s="6">
        <f>IF(Tabla14[[#This Row],[Plan Irrestricto (DATO)]]&gt;0,SUM(Tabla14[[#This Row],[Facturación atraso]],Tabla14[[#This Row],[Facturación Venta nueva]],Tabla14[[#This Row],[Facturación stock]],Tabla14[[#This Row],[En puerto a facturar]]),0)</f>
        <v>46000</v>
      </c>
      <c r="AK320" s="3">
        <f>+Tabla14[[#This Row],[Facturación atraso]]</f>
        <v>46000</v>
      </c>
      <c r="AL320" s="3">
        <f>Tabla14[[#This Row],[Plan Ajustado]]-Tabla14[[#This Row],[ Atraso ajustado]]-Tabla14[[#This Row],[En puerto a facturar]]</f>
        <v>0</v>
      </c>
      <c r="AM320" s="3">
        <v>0</v>
      </c>
      <c r="AN320" s="3" t="s">
        <v>636</v>
      </c>
      <c r="AO320" s="3" t="str">
        <f>IF(Tabla14[[#This Row],[Plan Ajustado]]&gt;Tabla14[[#This Row],[En puerto a facturar]],"Si","No")</f>
        <v>Si</v>
      </c>
      <c r="AP320" s="3">
        <f>IF(AND(Tabla14[[#This Row],[Plan Ajustado]]&gt;0,Tabla14[[#This Row],[Plan Ajustado]]&gt;Tabla14[[#This Row],[En puerto a facturar]]),(Tabla14[[#This Row],[Plan Ajustado]]-Tabla14[[#This Row],[En puerto a facturar]]),0)</f>
        <v>46000</v>
      </c>
      <c r="AQ320" s="3">
        <f>IF(Tabla14[[#This Row],[Necesidad]]&gt;=Tabla14[[#This Row],[Stock al día]],Tabla14[[#This Row],[Stock al día]],Tabla14[[#This Row],[Necesidad]])</f>
        <v>19.52</v>
      </c>
      <c r="AR320" s="3">
        <f>+Tabla14[[#This Row],[Necesidad]]-Tabla14[[#This Row],[Stock Plan]]</f>
        <v>45980.480000000003</v>
      </c>
      <c r="AS320" s="155">
        <f>VLOOKUP(Tabla14[[#This Row],[Sector]]&amp;Tabla14[[#This Row],[Oficina]],[8]Ponderación!$A:$H,8,FALSE)</f>
        <v>44813</v>
      </c>
      <c r="AT320" s="30">
        <f>IFERROR(VLOOKUP(Tabla14[[#This Row],[Llave]],'[6]RV plan de ventas'!$A:$F,6,FALSE),0)</f>
        <v>1.88666666666667</v>
      </c>
      <c r="AU320" s="83">
        <f>IFERROR(VLOOKUP(Tabla14[[#This Row],[Llave]],[9]DELAY!$H:$X,17,FALSE),0)</f>
        <v>2.19</v>
      </c>
      <c r="AV320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2.19</v>
      </c>
      <c r="AW320" s="98">
        <f>Tabla14[[#This Row],[Pecio plan]]*Tabla14[[#This Row],[Plan Ajustado]]</f>
        <v>91540</v>
      </c>
      <c r="AX320" s="30">
        <f>IFERROR(VLOOKUP(Tabla14[[#This Row],[Llave]],'[13]Ultimos precios facturados'!$A:$G,7,FALSE),0)</f>
        <v>0</v>
      </c>
      <c r="AY320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20" s="30"/>
      <c r="BA320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2.19</v>
      </c>
      <c r="BB320" s="30">
        <v>1.99</v>
      </c>
      <c r="BC320" s="30">
        <f>IF(Tabla14[[#This Row],[Market]]=0,Tabla14[[#This Row],[Precio Final]],Tabla14[[#This Row],[Market]])</f>
        <v>1.99</v>
      </c>
      <c r="BD320" s="99"/>
      <c r="BE320" s="99" t="str">
        <f>IF(AND(Tabla14[[#This Row],[Atraso a facturar]]&gt;0,Tabla14[[#This Row],[En puerto a facturar]]&gt;0,Tabla14[[#This Row],[Precio Atraso]]=0),"Revisar","OK")</f>
        <v>OK</v>
      </c>
      <c r="BF320" s="99" t="str">
        <f>IF(AND(Tabla14[[#This Row],[Venta del mes]]&gt;0,Tabla14[[#This Row],[Precio venta nueva]]=0),"Revisar","OK")</f>
        <v>OK</v>
      </c>
      <c r="BG320" s="20">
        <f>IFERROR(VLOOKUP(Tabla14[[#This Row],[Llave]],'[5]Consolidación planes'!$A:$M,9,FALSE),0)</f>
        <v>0</v>
      </c>
      <c r="BH320" s="20">
        <f>IFERROR(VLOOKUP(Tabla14[[#This Row],[Llave]],'[5]Consolidación planes'!$A:$M,10,FALSE),0)</f>
        <v>0</v>
      </c>
      <c r="BI320" s="20">
        <f>IFERROR(VLOOKUP(Tabla14[[#This Row],[Llave]],'[5]Consolidación planes'!$A:$M,11,FALSE),0)</f>
        <v>0</v>
      </c>
      <c r="BJ320" s="20">
        <f>IFERROR(VLOOKUP(Tabla14[[#This Row],[Llave]],'[5]Consolidación planes'!$A:$M,12,FALSE),0)</f>
        <v>0</v>
      </c>
      <c r="BK320" s="20">
        <f>IFERROR(VLOOKUP(Tabla14[[#This Row],[Llave]],'[5]Consolidación planes'!$A:$M,13,FALSE),0)</f>
        <v>0</v>
      </c>
      <c r="BL320" s="35">
        <f>IFERROR(VLOOKUP(Tabla14[[#This Row],[Llave]],'[13]Base ultimos planes'!$A:$M,13,FALSE),0)</f>
        <v>0</v>
      </c>
      <c r="BM320" s="35">
        <f>IFERROR(VLOOKUP(Tabla14[[#This Row],[Llave]],'[13]Cruce plan irrestricto'!$C:$M,10,FALSE),0)</f>
        <v>0</v>
      </c>
      <c r="BN320" s="35">
        <f>IFERROR(VLOOKUP(Tabla14[[#This Row],[Llave]],'[13]Cruce plan irrestricto'!$C:$M,11,FALSE),0)</f>
        <v>0</v>
      </c>
      <c r="BO320" s="80">
        <f>IFERROR(VLOOKUP(Tabla14[[#This Row],[Llave]],'[13]Base ultimos planes'!$O:$AA,8,FALSE),0)</f>
        <v>0</v>
      </c>
      <c r="BP320" s="100">
        <f>IFERROR(VLOOKUP(Tabla14[[#This Row],[Llave]],'[13]Base ultimos planes'!$O:$AA,9,FALSE),0)</f>
        <v>0</v>
      </c>
      <c r="BQ320" s="100">
        <f>IFERROR(VLOOKUP(Tabla14[[#This Row],[Llave]],'[13]Base ultimos planes'!$O:$AA,10,FALSE),0)</f>
        <v>0</v>
      </c>
      <c r="BR320" s="100">
        <f>IFERROR(VLOOKUP(Tabla14[[#This Row],[Llave]],'[13]Base ultimos planes'!$O:$AA,11,FALSE),0)</f>
        <v>0</v>
      </c>
      <c r="BS320" s="100">
        <f>IFERROR(VLOOKUP(Tabla14[[#This Row],[Llave]],'[13]Base ultimos planes'!$O:$AA,12,FALSE),0)</f>
        <v>0</v>
      </c>
      <c r="BT320" s="100">
        <f>IFERROR(VLOOKUP(Tabla14[[#This Row],[Llave]],'[13]Base ultimos planes'!$O:$AA,13,FALSE),0)</f>
        <v>0</v>
      </c>
      <c r="BU320" s="35"/>
      <c r="BV320" s="20">
        <f>Tabla14[[#This Row],[ RV Producción mes n+1]]-Tabla14[[#This Row],[Producción disponible]]+Tabla14[[#This Row],[Saldo Volumen disponible]]</f>
        <v>78817.663037838996</v>
      </c>
      <c r="BW320" s="20">
        <f>IFERROR(VLOOKUP(Tabla14[[#This Row],[Llave]],[14]Hoja2!$J:$N,4,FALSE),0)</f>
        <v>0</v>
      </c>
      <c r="BX320" s="20">
        <f>+Tabla14[[#This Row],[Asignación mes n+1]]*Tabla14[[#This Row],[% Uti. producción]]</f>
        <v>0</v>
      </c>
      <c r="BY320" s="20">
        <f>+Tabla14[[#This Row],[Ponderación mes n+1]]+Tabla14[[#This Row],[Saldo mes n-1]]</f>
        <v>78817.663037838996</v>
      </c>
      <c r="BZ320" s="20">
        <f>+Tabla14[[#This Row],[Asignación mes n+1]]-Tabla14[[#This Row],[Ponderación mes n+1]]</f>
        <v>0</v>
      </c>
      <c r="CA320" s="20">
        <f>IFERROR(VLOOKUP(Tabla14[[#This Row],[Llave]],[14]Hoja2!$J:$N,5,FALSE),0)</f>
        <v>0</v>
      </c>
      <c r="CB320" s="20">
        <f>+Tabla14[[#This Row],[Asignación mes n+2]]*Tabla14[[#This Row],[% Uti. producción]]</f>
        <v>0</v>
      </c>
      <c r="CC320" s="20">
        <f>+Tabla14[[#This Row],[Saldo mes n+2]]+Tabla14[[#This Row],[Ponderación mes n+2]]</f>
        <v>0</v>
      </c>
      <c r="CD320" s="20">
        <f>+Tabla14[[#This Row],[Asignación mes n+2]]-Tabla14[[#This Row],[Ponderación mes n+2]]</f>
        <v>0</v>
      </c>
    </row>
    <row r="321" spans="2:82" ht="16" x14ac:dyDescent="0.2">
      <c r="B321" t="str">
        <f>Tabla14[[#This Row],[Oficina]]&amp;Tabla14[[#This Row],[Material]]</f>
        <v>Agro Sudamerica1023436</v>
      </c>
      <c r="C321" t="s">
        <v>6</v>
      </c>
      <c r="D321" t="s">
        <v>17</v>
      </c>
      <c r="E321">
        <v>1023436</v>
      </c>
      <c r="F321" t="s">
        <v>858</v>
      </c>
      <c r="G321" t="s">
        <v>76</v>
      </c>
      <c r="H321" t="s">
        <v>77</v>
      </c>
      <c r="I321" s="7">
        <f>IFERROR(IF(Tabla14[[#This Row],[Oficina]]=$I$7,VLOOKUP(Tabla14[[#This Row],[Material]],'[6]RV Producción'!$Y:$AA,3,FALSE),VLOOKUP(Tabla14[[#This Row],[Llave]],'[6]RV Producción'!$C:$G,5,FALSE)),0)</f>
        <v>24000</v>
      </c>
      <c r="J321" s="7">
        <f>IFERROR(IF(Tabla14[[#This Row],[Oficina]]=$I$7,VLOOKUP(Tabla14[[#This Row],[Llave]],'[7]Shangai (Tomas)'!$A:$F,6,FALSE),VLOOKUP(Tabla14[[#This Row],[Llave]],'[6]RV plan de ventas'!$A:$E,5,FALSE)),0)</f>
        <v>24000</v>
      </c>
      <c r="K321" s="17">
        <f>IFERROR(VLOOKUP(Tabla14[[#This Row],[Sector]]&amp;Tabla14[[#This Row],[Oficina]],[8]Ponderación!$A$3:$G$22,7,FALSE),0)</f>
        <v>0.3545854356400317</v>
      </c>
      <c r="L321" s="7">
        <f>+Tabla14[[#This Row],[ RV Producción mes n+1]]*Tabla14[[#This Row],[% Uti. producción]]</f>
        <v>8510.0504553607607</v>
      </c>
      <c r="M321" s="15">
        <f>IFERROR(VLOOKUP(Tabla14[[#This Row],[Material]],'[9]TD Stock'!$B:$C,2,FALSE),0)</f>
        <v>9340</v>
      </c>
      <c r="N321" s="15">
        <f>IFERROR(VLOOKUP(Tabla14[[#This Row],[Material]],'[10]Consolidado planificación'!$B:$C,2,FALSE),0)</f>
        <v>6440.3680000000004</v>
      </c>
      <c r="O321" s="15">
        <f>IFERROR(VLOOKUP(Tabla14[[#This Row],[Llave]],[11]Hoja2!$D:$G,4,FALSE),0)</f>
        <v>0</v>
      </c>
      <c r="P321" s="37">
        <f>SUM(Tabla14[[#This Row],[Producción disponible]],Tabla14[[#This Row],[Stock al día]],(Tabla14[[#This Row],[Por producir mes N]]*0.9))-Tabla14[[#This Row],[Producción por despachar mes N]]</f>
        <v>23646.381655360761</v>
      </c>
      <c r="Q321" s="15">
        <f>IFERROR(VLOOKUP(Tabla14[[#This Row],[Llave]],[9]DELAY!$A:$D,4,FALSE),0)</f>
        <v>24000</v>
      </c>
      <c r="R321" s="75">
        <v>23000</v>
      </c>
      <c r="S321" s="98">
        <f t="shared" ref="S321:S323" si="12">IF(AND(P321&gt;Q321,Q321&gt;0),Q321,IF(AND(P321&lt;Q321,Q321&gt;0),(ROUNDDOWN(P321/R321,0)*R321),0))</f>
        <v>23000</v>
      </c>
      <c r="T321" s="76">
        <v>0</v>
      </c>
      <c r="U321" s="98">
        <f>+Tabla14[[#This Row],[Atraso a facturar]]+Tabla14[[#This Row],[Ajuste atraso]]</f>
        <v>23000</v>
      </c>
      <c r="V321" s="3">
        <f>+Tabla14[[#This Row],[Total disponible]]-Tabla14[[#This Row],[Facturación atraso]]</f>
        <v>646.38165536076121</v>
      </c>
      <c r="W321" s="6">
        <f>IFERROR(IF(AND(V321&gt;R321,J321&gt;=R321),ROUNDDOWN((Tabla14[[#This Row],[Producción para venta nueva]])/R321,0)*R321,0),0)</f>
        <v>0</v>
      </c>
      <c r="X321" s="76">
        <v>0</v>
      </c>
      <c r="Y321" s="6">
        <f>IF(Tabla14[[#This Row],[Venta del mes]]&gt;0,Tabla14[[#This Row],[Venta del mes]]+Tabla14[[#This Row],[Ajuste venta nueva]],0)</f>
        <v>0</v>
      </c>
      <c r="Z321" s="6">
        <f>+Tabla14[[#This Row],[Producción para venta nueva]]-Tabla14[[#This Row],[Facturación Venta nueva]]</f>
        <v>646.38165536076121</v>
      </c>
      <c r="AA321" s="6">
        <f>IF(AND(A321=1,Tabla14[[#This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21" s="188">
        <v>0</v>
      </c>
      <c r="AC321" s="6">
        <f>IF(Tabla14[[#This Row],[Disponible stock sin venta]]&gt;0,Tabla14[[#This Row],[Disponible stock sin venta]]+Tabla14[[#This Row],[Ajuste stock sin venta]],0)</f>
        <v>0</v>
      </c>
      <c r="AD321" s="3">
        <f>IFERROR(VLOOKUP(Tabla14[[#This Row],[Llave]],[12]Hoja1!$A:$D,4,FALSE),0)</f>
        <v>0</v>
      </c>
      <c r="AE321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</v>
      </c>
      <c r="AF321" s="3">
        <v>23000</v>
      </c>
      <c r="AG321" s="3">
        <f>+Tabla14[[#This Row],[En puerto a facturar]]</f>
        <v>0</v>
      </c>
      <c r="AH321" s="3">
        <f>+Tabla14[[#This Row],[Facturación atraso]]</f>
        <v>23000</v>
      </c>
      <c r="AI321" s="3">
        <f>+Tabla14[[#This Row],[Plan Irrestricto (DATO)]]-Tabla14[[#This Row],[Puerto ]]-Tabla14[[#This Row],[Atraso]]</f>
        <v>0</v>
      </c>
      <c r="AJ321" s="6">
        <f>IF(Tabla14[[#This Row],[Plan Irrestricto (DATO)]]&gt;0,SUM(Tabla14[[#This Row],[Facturación atraso]],Tabla14[[#This Row],[Facturación Venta nueva]],Tabla14[[#This Row],[Facturación stock]],Tabla14[[#This Row],[En puerto a facturar]]),0)</f>
        <v>23000</v>
      </c>
      <c r="AK321" s="3">
        <f>+Tabla14[[#This Row],[Facturación atraso]]</f>
        <v>23000</v>
      </c>
      <c r="AL321" s="3">
        <f>Tabla14[[#This Row],[Plan Ajustado]]-Tabla14[[#This Row],[ Atraso ajustado]]-Tabla14[[#This Row],[En puerto a facturar]]</f>
        <v>0</v>
      </c>
      <c r="AM321" s="3">
        <v>0</v>
      </c>
      <c r="AN321" s="3" t="s">
        <v>636</v>
      </c>
      <c r="AO321" s="3" t="str">
        <f>IF(Tabla14[[#This Row],[Plan Ajustado]]&gt;Tabla14[[#This Row],[En puerto a facturar]],"Si","No")</f>
        <v>Si</v>
      </c>
      <c r="AP321" s="3">
        <f>IF(AND(Tabla14[[#This Row],[Plan Ajustado]]&gt;0,Tabla14[[#This Row],[Plan Ajustado]]&gt;Tabla14[[#This Row],[En puerto a facturar]]),(Tabla14[[#This Row],[Plan Ajustado]]-Tabla14[[#This Row],[En puerto a facturar]]),0)</f>
        <v>23000</v>
      </c>
      <c r="AQ321" s="3">
        <f>IF(Tabla14[[#This Row],[Necesidad]]&gt;=Tabla14[[#This Row],[Stock al día]],Tabla14[[#This Row],[Stock al día]],Tabla14[[#This Row],[Necesidad]])</f>
        <v>9340</v>
      </c>
      <c r="AR321" s="3">
        <f>+Tabla14[[#This Row],[Necesidad]]-Tabla14[[#This Row],[Stock Plan]]</f>
        <v>13660</v>
      </c>
      <c r="AS321" s="155">
        <f>VLOOKUP(Tabla14[[#This Row],[Sector]]&amp;Tabla14[[#This Row],[Oficina]],[8]Ponderación!$A:$H,8,FALSE)</f>
        <v>44813</v>
      </c>
      <c r="AT321" s="30">
        <f>IFERROR(VLOOKUP(Tabla14[[#This Row],[Llave]],'[6]RV plan de ventas'!$A:$F,6,FALSE),0)</f>
        <v>0.5</v>
      </c>
      <c r="AU321" s="83">
        <f>IFERROR(VLOOKUP(Tabla14[[#This Row],[Llave]],[9]DELAY!$H:$X,17,FALSE),0)</f>
        <v>0.8</v>
      </c>
      <c r="AV321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0.8</v>
      </c>
      <c r="AW321" s="98">
        <f>Tabla14[[#This Row],[Pecio plan]]*Tabla14[[#This Row],[Plan Ajustado]]</f>
        <v>11500</v>
      </c>
      <c r="AX321" s="30">
        <f>IFERROR(VLOOKUP(Tabla14[[#This Row],[Llave]],'[13]Ultimos precios facturados'!$A:$G,7,FALSE),0)</f>
        <v>0</v>
      </c>
      <c r="AY321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21" s="30"/>
      <c r="BA321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0.8</v>
      </c>
      <c r="BB321" s="30">
        <v>0.5</v>
      </c>
      <c r="BC321" s="30">
        <f>IF(Tabla14[[#This Row],[Market]]=0,Tabla14[[#This Row],[Precio Final]],Tabla14[[#This Row],[Market]])</f>
        <v>0.5</v>
      </c>
      <c r="BD321" s="99"/>
      <c r="BE321" s="99" t="str">
        <f>IF(AND(Tabla14[[#This Row],[Atraso a facturar]]&gt;0,Tabla14[[#This Row],[En puerto a facturar]]&gt;0,Tabla14[[#This Row],[Precio Atraso]]=0),"Revisar","OK")</f>
        <v>OK</v>
      </c>
      <c r="BF321" s="99" t="str">
        <f>IF(AND(Tabla14[[#This Row],[Venta del mes]]&gt;0,Tabla14[[#This Row],[Precio venta nueva]]=0),"Revisar","OK")</f>
        <v>OK</v>
      </c>
      <c r="BG321" s="20">
        <f>IFERROR(VLOOKUP(Tabla14[[#This Row],[Llave]],'[5]Consolidación planes'!$A:$M,9,FALSE),0)</f>
        <v>0</v>
      </c>
      <c r="BH321" s="20">
        <f>IFERROR(VLOOKUP(Tabla14[[#This Row],[Llave]],'[5]Consolidación planes'!$A:$M,10,FALSE),0)</f>
        <v>0</v>
      </c>
      <c r="BI321" s="20">
        <f>IFERROR(VLOOKUP(Tabla14[[#This Row],[Llave]],'[5]Consolidación planes'!$A:$M,11,FALSE),0)</f>
        <v>0</v>
      </c>
      <c r="BJ321" s="20">
        <f>IFERROR(VLOOKUP(Tabla14[[#This Row],[Llave]],'[5]Consolidación planes'!$A:$M,12,FALSE),0)</f>
        <v>0</v>
      </c>
      <c r="BK321" s="20">
        <f>IFERROR(VLOOKUP(Tabla14[[#This Row],[Llave]],'[5]Consolidación planes'!$A:$M,13,FALSE),0)</f>
        <v>0</v>
      </c>
      <c r="BL321" s="35">
        <f>IFERROR(VLOOKUP(Tabla14[[#This Row],[Llave]],'[13]Base ultimos planes'!$A:$M,13,FALSE),0)</f>
        <v>0</v>
      </c>
      <c r="BM321" s="35">
        <f>IFERROR(VLOOKUP(Tabla14[[#This Row],[Llave]],'[13]Cruce plan irrestricto'!$C:$M,10,FALSE),0)</f>
        <v>0</v>
      </c>
      <c r="BN321" s="35">
        <f>IFERROR(VLOOKUP(Tabla14[[#This Row],[Llave]],'[13]Cruce plan irrestricto'!$C:$M,11,FALSE),0)</f>
        <v>0</v>
      </c>
      <c r="BO321" s="80">
        <f>IFERROR(VLOOKUP(Tabla14[[#This Row],[Llave]],'[13]Base ultimos planes'!$O:$AA,8,FALSE),0)</f>
        <v>0</v>
      </c>
      <c r="BP321" s="100">
        <f>IFERROR(VLOOKUP(Tabla14[[#This Row],[Llave]],'[13]Base ultimos planes'!$O:$AA,9,FALSE),0)</f>
        <v>0</v>
      </c>
      <c r="BQ321" s="100">
        <f>IFERROR(VLOOKUP(Tabla14[[#This Row],[Llave]],'[13]Base ultimos planes'!$O:$AA,10,FALSE),0)</f>
        <v>0</v>
      </c>
      <c r="BR321" s="100">
        <f>IFERROR(VLOOKUP(Tabla14[[#This Row],[Llave]],'[13]Base ultimos planes'!$O:$AA,11,FALSE),0)</f>
        <v>0</v>
      </c>
      <c r="BS321" s="100">
        <f>IFERROR(VLOOKUP(Tabla14[[#This Row],[Llave]],'[13]Base ultimos planes'!$O:$AA,12,FALSE),0)</f>
        <v>0</v>
      </c>
      <c r="BT321" s="100">
        <f>IFERROR(VLOOKUP(Tabla14[[#This Row],[Llave]],'[13]Base ultimos planes'!$O:$AA,13,FALSE),0)</f>
        <v>0</v>
      </c>
      <c r="BU321" s="35"/>
      <c r="BV321" s="20">
        <f>Tabla14[[#This Row],[ RV Producción mes n+1]]-Tabla14[[#This Row],[Producción disponible]]+Tabla14[[#This Row],[Saldo Volumen disponible]]</f>
        <v>16136.331200000001</v>
      </c>
      <c r="BW321" s="20">
        <f>IFERROR(VLOOKUP(Tabla14[[#This Row],[Llave]],[14]Hoja2!$J:$N,4,FALSE),0)</f>
        <v>0</v>
      </c>
      <c r="BX321" s="20">
        <f>+Tabla14[[#This Row],[Asignación mes n+1]]*Tabla14[[#This Row],[% Uti. producción]]</f>
        <v>0</v>
      </c>
      <c r="BY321" s="20">
        <f>+Tabla14[[#This Row],[Ponderación mes n+1]]+Tabla14[[#This Row],[Saldo mes n-1]]</f>
        <v>16136.331200000001</v>
      </c>
      <c r="BZ321" s="20">
        <f>+Tabla14[[#This Row],[Asignación mes n+1]]-Tabla14[[#This Row],[Ponderación mes n+1]]</f>
        <v>0</v>
      </c>
      <c r="CA321" s="20">
        <f>IFERROR(VLOOKUP(Tabla14[[#This Row],[Llave]],[14]Hoja2!$J:$N,5,FALSE),0)</f>
        <v>0</v>
      </c>
      <c r="CB321" s="20">
        <f>+Tabla14[[#This Row],[Asignación mes n+2]]*Tabla14[[#This Row],[% Uti. producción]]</f>
        <v>0</v>
      </c>
      <c r="CC321" s="20">
        <f>+Tabla14[[#This Row],[Saldo mes n+2]]+Tabla14[[#This Row],[Ponderación mes n+2]]</f>
        <v>0</v>
      </c>
      <c r="CD321" s="20">
        <f>+Tabla14[[#This Row],[Asignación mes n+2]]-Tabla14[[#This Row],[Ponderación mes n+2]]</f>
        <v>0</v>
      </c>
    </row>
    <row r="322" spans="2:82" ht="16" x14ac:dyDescent="0.2">
      <c r="B322" t="str">
        <f>Tabla14[[#This Row],[Oficina]]&amp;Tabla14[[#This Row],[Material]]</f>
        <v>Agro Sudamerica1012375</v>
      </c>
      <c r="C322" t="s">
        <v>227</v>
      </c>
      <c r="D322" t="s">
        <v>17</v>
      </c>
      <c r="E322">
        <v>1012375</v>
      </c>
      <c r="F322" t="s">
        <v>859</v>
      </c>
      <c r="G322" t="s">
        <v>863</v>
      </c>
      <c r="H322" t="s">
        <v>864</v>
      </c>
      <c r="I322" s="7">
        <f>IFERROR(IF(Tabla14[[#This Row],[Oficina]]=$I$7,VLOOKUP(Tabla14[[#This Row],[Material]],'[6]RV Producción'!$Y:$AA,3,FALSE),VLOOKUP(Tabla14[[#This Row],[Llave]],'[6]RV Producción'!$C:$G,5,FALSE)),0)</f>
        <v>48000</v>
      </c>
      <c r="J322" s="7">
        <f>IFERROR(IF(Tabla14[[#This Row],[Oficina]]=$I$7,VLOOKUP(Tabla14[[#This Row],[Llave]],'[7]Shangai (Tomas)'!$A:$F,6,FALSE),VLOOKUP(Tabla14[[#This Row],[Llave]],'[6]RV plan de ventas'!$A:$E,5,FALSE)),0)</f>
        <v>48000</v>
      </c>
      <c r="K322" s="17">
        <f>IFERROR(VLOOKUP(Tabla14[[#This Row],[Sector]]&amp;Tabla14[[#This Row],[Oficina]],[8]Ponderación!$A$3:$G$22,7,FALSE),0)</f>
        <v>0.47745072632608576</v>
      </c>
      <c r="L322" s="7">
        <f>+Tabla14[[#This Row],[ RV Producción mes n+1]]*Tabla14[[#This Row],[% Uti. producción]]</f>
        <v>22917.634863652118</v>
      </c>
      <c r="M322" s="15">
        <f>IFERROR(VLOOKUP(Tabla14[[#This Row],[Material]],'[9]TD Stock'!$B:$C,2,FALSE),0)</f>
        <v>0</v>
      </c>
      <c r="N322" s="15">
        <f>IFERROR(VLOOKUP(Tabla14[[#This Row],[Material]],'[10]Consolidado planificación'!$B:$C,2,FALSE),0)</f>
        <v>0</v>
      </c>
      <c r="O322" s="15">
        <f>IFERROR(VLOOKUP(Tabla14[[#This Row],[Llave]],[11]Hoja2!$D:$G,4,FALSE),0)</f>
        <v>0</v>
      </c>
      <c r="P322" s="37">
        <f>SUM(Tabla14[[#This Row],[Producción disponible]],Tabla14[[#This Row],[Stock al día]],(Tabla14[[#This Row],[Por producir mes N]]*0.9))-Tabla14[[#This Row],[Producción por despachar mes N]]</f>
        <v>22917.634863652118</v>
      </c>
      <c r="Q322" s="15">
        <f>IFERROR(VLOOKUP(Tabla14[[#This Row],[Llave]],[9]DELAY!$A:$D,4,FALSE),0)</f>
        <v>0</v>
      </c>
      <c r="R322" s="75">
        <v>22000</v>
      </c>
      <c r="S322" s="98">
        <f t="shared" si="12"/>
        <v>0</v>
      </c>
      <c r="T322" s="76">
        <v>0</v>
      </c>
      <c r="U322" s="98">
        <f>+Tabla14[[#This Row],[Atraso a facturar]]+Tabla14[[#This Row],[Ajuste atraso]]</f>
        <v>0</v>
      </c>
      <c r="V322" s="3">
        <f>+Tabla14[[#This Row],[Total disponible]]-Tabla14[[#This Row],[Facturación atraso]]</f>
        <v>22917.634863652118</v>
      </c>
      <c r="W322" s="6">
        <f>IFERROR(IF(AND(V322&gt;R322,J322&gt;=R322),ROUNDDOWN((Tabla14[[#This Row],[Producción para venta nueva]])/R322,0)*R322,0),0)</f>
        <v>22000</v>
      </c>
      <c r="X322" s="76">
        <v>0</v>
      </c>
      <c r="Y322" s="6">
        <f>IF(Tabla14[[#This Row],[Venta del mes]]&gt;0,Tabla14[[#This Row],[Venta del mes]]+Tabla14[[#This Row],[Ajuste venta nueva]],0)</f>
        <v>22000</v>
      </c>
      <c r="Z322" s="6">
        <f>+Tabla14[[#This Row],[Producción para venta nueva]]-Tabla14[[#This Row],[Facturación Venta nueva]]</f>
        <v>917.63486365211793</v>
      </c>
      <c r="AA322" s="6">
        <f>IF(AND(A322=1,Tabla14[[#This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22" s="188">
        <v>0</v>
      </c>
      <c r="AC322" s="6">
        <f>IF(Tabla14[[#This Row],[Disponible stock sin venta]]&gt;0,Tabla14[[#This Row],[Disponible stock sin venta]]+Tabla14[[#This Row],[Ajuste stock sin venta]],0)</f>
        <v>0</v>
      </c>
      <c r="AD322" s="3">
        <f>IFERROR(VLOOKUP(Tabla14[[#This Row],[Llave]],[12]Hoja1!$A:$D,4,FALSE),0)</f>
        <v>0</v>
      </c>
      <c r="AE322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22000</v>
      </c>
      <c r="AF322" s="3">
        <v>22000</v>
      </c>
      <c r="AG322" s="3">
        <f>+Tabla14[[#This Row],[En puerto a facturar]]</f>
        <v>0</v>
      </c>
      <c r="AH322" s="3">
        <f>+Tabla14[[#This Row],[Facturación atraso]]</f>
        <v>0</v>
      </c>
      <c r="AI322" s="3">
        <f>+Tabla14[[#This Row],[Plan Irrestricto (DATO)]]-Tabla14[[#This Row],[Puerto ]]-Tabla14[[#This Row],[Atraso]]</f>
        <v>22000</v>
      </c>
      <c r="AJ322" s="6">
        <f>IF(Tabla14[[#This Row],[Plan Irrestricto (DATO)]]&gt;0,SUM(Tabla14[[#This Row],[Facturación atraso]],Tabla14[[#This Row],[Facturación Venta nueva]],Tabla14[[#This Row],[Facturación stock]],Tabla14[[#This Row],[En puerto a facturar]]),0)</f>
        <v>22000</v>
      </c>
      <c r="AK322" s="3">
        <f>+Tabla14[[#This Row],[Facturación atraso]]</f>
        <v>0</v>
      </c>
      <c r="AL322" s="3">
        <f>Tabla14[[#This Row],[Plan Ajustado]]-Tabla14[[#This Row],[ Atraso ajustado]]-Tabla14[[#This Row],[En puerto a facturar]]</f>
        <v>22000</v>
      </c>
      <c r="AM322" s="3">
        <v>0</v>
      </c>
      <c r="AN322" s="3" t="s">
        <v>636</v>
      </c>
      <c r="AO322" s="3" t="str">
        <f>IF(Tabla14[[#This Row],[Plan Ajustado]]&gt;Tabla14[[#This Row],[En puerto a facturar]],"Si","No")</f>
        <v>Si</v>
      </c>
      <c r="AP322" s="3">
        <f>IF(AND(Tabla14[[#This Row],[Plan Ajustado]]&gt;0,Tabla14[[#This Row],[Plan Ajustado]]&gt;Tabla14[[#This Row],[En puerto a facturar]]),(Tabla14[[#This Row],[Plan Ajustado]]-Tabla14[[#This Row],[En puerto a facturar]]),0)</f>
        <v>22000</v>
      </c>
      <c r="AQ322" s="3">
        <f>IF(Tabla14[[#This Row],[Necesidad]]&gt;=Tabla14[[#This Row],[Stock al día]],Tabla14[[#This Row],[Stock al día]],Tabla14[[#This Row],[Necesidad]])</f>
        <v>0</v>
      </c>
      <c r="AR322" s="3">
        <f>+Tabla14[[#This Row],[Necesidad]]-Tabla14[[#This Row],[Stock Plan]]</f>
        <v>22000</v>
      </c>
      <c r="AS322" s="155">
        <f>VLOOKUP(Tabla14[[#This Row],[Sector]]&amp;Tabla14[[#This Row],[Oficina]],[8]Ponderación!$A:$H,8,FALSE)</f>
        <v>44817</v>
      </c>
      <c r="AT322" s="30">
        <f>IFERROR(VLOOKUP(Tabla14[[#This Row],[Llave]],'[6]RV plan de ventas'!$A:$F,6,FALSE),0)</f>
        <v>2.1</v>
      </c>
      <c r="AU322" s="83">
        <f>IFERROR(VLOOKUP(Tabla14[[#This Row],[Llave]],[9]DELAY!$H:$X,17,FALSE),0)</f>
        <v>0</v>
      </c>
      <c r="AV322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2.1</v>
      </c>
      <c r="AW322" s="98">
        <f>Tabla14[[#This Row],[Pecio plan]]*Tabla14[[#This Row],[Plan Ajustado]]</f>
        <v>46200</v>
      </c>
      <c r="AX322" s="30">
        <f>IFERROR(VLOOKUP(Tabla14[[#This Row],[Llave]],'[13]Ultimos precios facturados'!$A:$G,7,FALSE),0)</f>
        <v>0</v>
      </c>
      <c r="AY322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22" s="30"/>
      <c r="BA322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2.1</v>
      </c>
      <c r="BB322" s="30">
        <v>2.1</v>
      </c>
      <c r="BC322" s="30">
        <f>IF(Tabla14[[#This Row],[Market]]=0,Tabla14[[#This Row],[Precio Final]],Tabla14[[#This Row],[Market]])</f>
        <v>2.1</v>
      </c>
      <c r="BD322" s="99"/>
      <c r="BE322" s="99" t="str">
        <f>IF(AND(Tabla14[[#This Row],[Atraso a facturar]]&gt;0,Tabla14[[#This Row],[En puerto a facturar]]&gt;0,Tabla14[[#This Row],[Precio Atraso]]=0),"Revisar","OK")</f>
        <v>OK</v>
      </c>
      <c r="BF322" s="99" t="str">
        <f>IF(AND(Tabla14[[#This Row],[Venta del mes]]&gt;0,Tabla14[[#This Row],[Precio venta nueva]]=0),"Revisar","OK")</f>
        <v>OK</v>
      </c>
      <c r="BG322" s="20">
        <f>IFERROR(VLOOKUP(Tabla14[[#This Row],[Llave]],'[5]Consolidación planes'!$A:$M,9,FALSE),0)</f>
        <v>0</v>
      </c>
      <c r="BH322" s="20">
        <f>IFERROR(VLOOKUP(Tabla14[[#This Row],[Llave]],'[5]Consolidación planes'!$A:$M,10,FALSE),0)</f>
        <v>0</v>
      </c>
      <c r="BI322" s="20">
        <f>IFERROR(VLOOKUP(Tabla14[[#This Row],[Llave]],'[5]Consolidación planes'!$A:$M,11,FALSE),0)</f>
        <v>0</v>
      </c>
      <c r="BJ322" s="20">
        <f>IFERROR(VLOOKUP(Tabla14[[#This Row],[Llave]],'[5]Consolidación planes'!$A:$M,12,FALSE),0)</f>
        <v>0</v>
      </c>
      <c r="BK322" s="20">
        <f>IFERROR(VLOOKUP(Tabla14[[#This Row],[Llave]],'[5]Consolidación planes'!$A:$M,13,FALSE),0)</f>
        <v>0</v>
      </c>
      <c r="BL322" s="35">
        <f>IFERROR(VLOOKUP(Tabla14[[#This Row],[Llave]],'[13]Base ultimos planes'!$A:$M,13,FALSE),0)</f>
        <v>0</v>
      </c>
      <c r="BM322" s="35">
        <f>IFERROR(VLOOKUP(Tabla14[[#This Row],[Llave]],'[13]Cruce plan irrestricto'!$C:$M,10,FALSE),0)</f>
        <v>0</v>
      </c>
      <c r="BN322" s="35">
        <f>IFERROR(VLOOKUP(Tabla14[[#This Row],[Llave]],'[13]Cruce plan irrestricto'!$C:$M,11,FALSE),0)</f>
        <v>0</v>
      </c>
      <c r="BO322" s="80">
        <f>IFERROR(VLOOKUP(Tabla14[[#This Row],[Llave]],'[13]Base ultimos planes'!$O:$AA,8,FALSE),0)</f>
        <v>0</v>
      </c>
      <c r="BP322" s="100">
        <f>IFERROR(VLOOKUP(Tabla14[[#This Row],[Llave]],'[13]Base ultimos planes'!$O:$AA,9,FALSE),0)</f>
        <v>0</v>
      </c>
      <c r="BQ322" s="100">
        <f>IFERROR(VLOOKUP(Tabla14[[#This Row],[Llave]],'[13]Base ultimos planes'!$O:$AA,10,FALSE),0)</f>
        <v>0</v>
      </c>
      <c r="BR322" s="100">
        <f>IFERROR(VLOOKUP(Tabla14[[#This Row],[Llave]],'[13]Base ultimos planes'!$O:$AA,11,FALSE),0)</f>
        <v>0</v>
      </c>
      <c r="BS322" s="100">
        <f>IFERROR(VLOOKUP(Tabla14[[#This Row],[Llave]],'[13]Base ultimos planes'!$O:$AA,12,FALSE),0)</f>
        <v>0</v>
      </c>
      <c r="BT322" s="100">
        <f>IFERROR(VLOOKUP(Tabla14[[#This Row],[Llave]],'[13]Base ultimos planes'!$O:$AA,13,FALSE),0)</f>
        <v>0</v>
      </c>
      <c r="BU322" s="35"/>
      <c r="BV322" s="20">
        <f>Tabla14[[#This Row],[ RV Producción mes n+1]]-Tabla14[[#This Row],[Producción disponible]]+Tabla14[[#This Row],[Saldo Volumen disponible]]</f>
        <v>26000</v>
      </c>
      <c r="BW322" s="20">
        <f>IFERROR(VLOOKUP(Tabla14[[#This Row],[Llave]],[14]Hoja2!$J:$N,4,FALSE),0)</f>
        <v>24000</v>
      </c>
      <c r="BX322" s="20">
        <f>+Tabla14[[#This Row],[Asignación mes n+1]]*Tabla14[[#This Row],[% Uti. producción]]</f>
        <v>11458.817431826059</v>
      </c>
      <c r="BY322" s="20">
        <f>+Tabla14[[#This Row],[Ponderación mes n+1]]+Tabla14[[#This Row],[Saldo mes n-1]]</f>
        <v>37458.817431826057</v>
      </c>
      <c r="BZ322" s="20">
        <f>+Tabla14[[#This Row],[Asignación mes n+1]]-Tabla14[[#This Row],[Ponderación mes n+1]]</f>
        <v>12541.182568173941</v>
      </c>
      <c r="CA322" s="20">
        <f>IFERROR(VLOOKUP(Tabla14[[#This Row],[Llave]],[14]Hoja2!$J:$N,5,FALSE),0)</f>
        <v>24000</v>
      </c>
      <c r="CB322" s="20">
        <f>+Tabla14[[#This Row],[Asignación mes n+2]]*Tabla14[[#This Row],[% Uti. producción]]</f>
        <v>11458.817431826059</v>
      </c>
      <c r="CC322" s="20">
        <f>+Tabla14[[#This Row],[Saldo mes n+2]]+Tabla14[[#This Row],[Ponderación mes n+2]]</f>
        <v>24000</v>
      </c>
      <c r="CD322" s="20">
        <f>+Tabla14[[#This Row],[Asignación mes n+2]]-Tabla14[[#This Row],[Ponderación mes n+2]]</f>
        <v>12541.182568173941</v>
      </c>
    </row>
    <row r="323" spans="2:82" ht="16" x14ac:dyDescent="0.2">
      <c r="B323" t="str">
        <f>Tabla14[[#This Row],[Oficina]]&amp;Tabla14[[#This Row],[Material]]</f>
        <v>Agro Sudamerica1023420</v>
      </c>
      <c r="C323" t="s">
        <v>6</v>
      </c>
      <c r="D323" t="s">
        <v>17</v>
      </c>
      <c r="E323">
        <v>1023420</v>
      </c>
      <c r="F323" t="s">
        <v>860</v>
      </c>
      <c r="G323" t="s">
        <v>59</v>
      </c>
      <c r="H323" t="s">
        <v>62</v>
      </c>
      <c r="I323" s="7">
        <f>IFERROR(IF(Tabla14[[#This Row],[Oficina]]=$I$7,VLOOKUP(Tabla14[[#This Row],[Material]],'[6]RV Producción'!$Y:$AA,3,FALSE),VLOOKUP(Tabla14[[#This Row],[Llave]],'[6]RV Producción'!$C:$G,5,FALSE)),0)</f>
        <v>48000</v>
      </c>
      <c r="J323" s="7">
        <f>IFERROR(IF(Tabla14[[#This Row],[Oficina]]=$I$7,VLOOKUP(Tabla14[[#This Row],[Llave]],'[7]Shangai (Tomas)'!$A:$F,6,FALSE),VLOOKUP(Tabla14[[#This Row],[Llave]],'[6]RV plan de ventas'!$A:$E,5,FALSE)),0)</f>
        <v>48000</v>
      </c>
      <c r="K323" s="17">
        <f>IFERROR(VLOOKUP(Tabla14[[#This Row],[Sector]]&amp;Tabla14[[#This Row],[Oficina]],[8]Ponderación!$A$3:$G$22,7,FALSE),0)</f>
        <v>0.3545854356400317</v>
      </c>
      <c r="L323" s="7">
        <f>+Tabla14[[#This Row],[ RV Producción mes n+1]]*Tabla14[[#This Row],[% Uti. producción]]</f>
        <v>17020.100910721521</v>
      </c>
      <c r="M323" s="15">
        <f>IFERROR(VLOOKUP(Tabla14[[#This Row],[Material]],'[9]TD Stock'!$B:$C,2,FALSE),0)</f>
        <v>0</v>
      </c>
      <c r="N323" s="15">
        <f>IFERROR(VLOOKUP(Tabla14[[#This Row],[Material]],'[10]Consolidado planificación'!$B:$C,2,FALSE),0)</f>
        <v>0</v>
      </c>
      <c r="O323" s="15">
        <f>IFERROR(VLOOKUP(Tabla14[[#This Row],[Llave]],[11]Hoja2!$D:$G,4,FALSE),0)</f>
        <v>0</v>
      </c>
      <c r="P323" s="37">
        <f>SUM(Tabla14[[#This Row],[Producción disponible]],Tabla14[[#This Row],[Stock al día]],(Tabla14[[#This Row],[Por producir mes N]]*0.9))-Tabla14[[#This Row],[Producción por despachar mes N]]</f>
        <v>17020.100910721521</v>
      </c>
      <c r="Q323" s="15">
        <f>IFERROR(VLOOKUP(Tabla14[[#This Row],[Llave]],[9]DELAY!$A:$D,4,FALSE),0)</f>
        <v>0</v>
      </c>
      <c r="R323" s="75">
        <v>23000</v>
      </c>
      <c r="S323" s="98">
        <f t="shared" si="12"/>
        <v>0</v>
      </c>
      <c r="T323" s="76">
        <v>0</v>
      </c>
      <c r="U323" s="98">
        <f>+Tabla14[[#This Row],[Atraso a facturar]]+Tabla14[[#This Row],[Ajuste atraso]]</f>
        <v>0</v>
      </c>
      <c r="V323" s="3">
        <f>+Tabla14[[#This Row],[Total disponible]]-Tabla14[[#This Row],[Facturación atraso]]</f>
        <v>17020.100910721521</v>
      </c>
      <c r="W323" s="6">
        <f>IFERROR(IF(AND(V323&gt;R323,J323&gt;=R323),ROUNDDOWN((Tabla14[[#This Row],[Producción para venta nueva]])/R323,0)*R323,0),0)</f>
        <v>0</v>
      </c>
      <c r="X323" s="76">
        <v>0</v>
      </c>
      <c r="Y323" s="6">
        <f>IF(Tabla14[[#This Row],[Venta del mes]]&gt;0,Tabla14[[#This Row],[Venta del mes]]+Tabla14[[#This Row],[Ajuste venta nueva]],0)</f>
        <v>0</v>
      </c>
      <c r="Z323" s="6">
        <f>+Tabla14[[#This Row],[Producción para venta nueva]]-Tabla14[[#This Row],[Facturación Venta nueva]]</f>
        <v>17020.100910721521</v>
      </c>
      <c r="AA323" s="6">
        <f>IF(AND(A323=1,Tabla14[[#This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23" s="188">
        <v>0</v>
      </c>
      <c r="AC323" s="6">
        <f>IF(Tabla14[[#This Row],[Disponible stock sin venta]]&gt;0,Tabla14[[#This Row],[Disponible stock sin venta]]+Tabla14[[#This Row],[Ajuste stock sin venta]],0)</f>
        <v>0</v>
      </c>
      <c r="AD323" s="3">
        <f>IFERROR(VLOOKUP(Tabla14[[#This Row],[Llave]],[12]Hoja1!$A:$D,4,FALSE),0)</f>
        <v>0</v>
      </c>
      <c r="AE323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0</v>
      </c>
      <c r="AF323" s="3">
        <v>0</v>
      </c>
      <c r="AG323" s="3">
        <f>+Tabla14[[#This Row],[En puerto a facturar]]</f>
        <v>0</v>
      </c>
      <c r="AH323" s="3">
        <f>+Tabla14[[#This Row],[Facturación atraso]]</f>
        <v>0</v>
      </c>
      <c r="AI323" s="3">
        <f>+Tabla14[[#This Row],[Plan Irrestricto (DATO)]]-Tabla14[[#This Row],[Puerto ]]-Tabla14[[#This Row],[Atraso]]</f>
        <v>0</v>
      </c>
      <c r="AJ323" s="6">
        <f>IF(Tabla14[[#This Row],[Plan Irrestricto (DATO)]]&gt;0,SUM(Tabla14[[#This Row],[Facturación atraso]],Tabla14[[#This Row],[Facturación Venta nueva]],Tabla14[[#This Row],[Facturación stock]],Tabla14[[#This Row],[En puerto a facturar]]),0)</f>
        <v>0</v>
      </c>
      <c r="AK323" s="3">
        <f>+Tabla14[[#This Row],[Facturación atraso]]</f>
        <v>0</v>
      </c>
      <c r="AL323" s="3">
        <f>Tabla14[[#This Row],[Plan Ajustado]]-Tabla14[[#This Row],[ Atraso ajustado]]-Tabla14[[#This Row],[En puerto a facturar]]</f>
        <v>0</v>
      </c>
      <c r="AM323" s="3">
        <v>0</v>
      </c>
      <c r="AN323" s="3" t="e">
        <v>#REF!</v>
      </c>
      <c r="AO323" s="3" t="str">
        <f>IF(Tabla14[[#This Row],[Plan Ajustado]]&gt;Tabla14[[#This Row],[En puerto a facturar]],"Si","No")</f>
        <v>No</v>
      </c>
      <c r="AP323" s="3">
        <f>IF(AND(Tabla14[[#This Row],[Plan Ajustado]]&gt;0,Tabla14[[#This Row],[Plan Ajustado]]&gt;Tabla14[[#This Row],[En puerto a facturar]]),(Tabla14[[#This Row],[Plan Ajustado]]-Tabla14[[#This Row],[En puerto a facturar]]),0)</f>
        <v>0</v>
      </c>
      <c r="AQ323" s="3">
        <f>IF(Tabla14[[#This Row],[Necesidad]]&gt;=Tabla14[[#This Row],[Stock al día]],Tabla14[[#This Row],[Stock al día]],Tabla14[[#This Row],[Necesidad]])</f>
        <v>0</v>
      </c>
      <c r="AR323" s="3">
        <f>+Tabla14[[#This Row],[Necesidad]]-Tabla14[[#This Row],[Stock Plan]]</f>
        <v>0</v>
      </c>
      <c r="AS323" s="155">
        <f>VLOOKUP(Tabla14[[#This Row],[Sector]]&amp;Tabla14[[#This Row],[Oficina]],[8]Ponderación!$A:$H,8,FALSE)</f>
        <v>44813</v>
      </c>
      <c r="AT323" s="30">
        <f>IFERROR(VLOOKUP(Tabla14[[#This Row],[Llave]],'[6]RV plan de ventas'!$A:$F,6,FALSE),0)</f>
        <v>2.83666666666667</v>
      </c>
      <c r="AU323" s="83">
        <f>IFERROR(VLOOKUP(Tabla14[[#This Row],[Llave]],[9]DELAY!$H:$X,17,FALSE),0)</f>
        <v>0</v>
      </c>
      <c r="AV323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</v>
      </c>
      <c r="AW323" s="98">
        <f>Tabla14[[#This Row],[Pecio plan]]*Tabla14[[#This Row],[Plan Ajustado]]</f>
        <v>0</v>
      </c>
      <c r="AX323" s="30">
        <f>IFERROR(VLOOKUP(Tabla14[[#This Row],[Llave]],'[13]Ultimos precios facturados'!$A:$G,7,FALSE),0)</f>
        <v>0</v>
      </c>
      <c r="AY323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23" s="30"/>
      <c r="BA323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</v>
      </c>
      <c r="BB323" s="30">
        <v>0</v>
      </c>
      <c r="BC323" s="30">
        <f>IF(Tabla14[[#This Row],[Market]]=0,Tabla14[[#This Row],[Precio Final]],Tabla14[[#This Row],[Market]])</f>
        <v>0</v>
      </c>
      <c r="BD323" s="99"/>
      <c r="BE323" s="99" t="str">
        <f>IF(AND(Tabla14[[#This Row],[Atraso a facturar]]&gt;0,Tabla14[[#This Row],[En puerto a facturar]]&gt;0,Tabla14[[#This Row],[Precio Atraso]]=0),"Revisar","OK")</f>
        <v>OK</v>
      </c>
      <c r="BF323" s="99" t="str">
        <f>IF(AND(Tabla14[[#This Row],[Venta del mes]]&gt;0,Tabla14[[#This Row],[Precio venta nueva]]=0),"Revisar","OK")</f>
        <v>OK</v>
      </c>
      <c r="BG323" s="20">
        <f>IFERROR(VLOOKUP(Tabla14[[#This Row],[Llave]],'[5]Consolidación planes'!$A:$M,9,FALSE),0)</f>
        <v>0</v>
      </c>
      <c r="BH323" s="20">
        <f>IFERROR(VLOOKUP(Tabla14[[#This Row],[Llave]],'[5]Consolidación planes'!$A:$M,10,FALSE),0)</f>
        <v>0</v>
      </c>
      <c r="BI323" s="20">
        <f>IFERROR(VLOOKUP(Tabla14[[#This Row],[Llave]],'[5]Consolidación planes'!$A:$M,11,FALSE),0)</f>
        <v>0</v>
      </c>
      <c r="BJ323" s="20">
        <f>IFERROR(VLOOKUP(Tabla14[[#This Row],[Llave]],'[5]Consolidación planes'!$A:$M,12,FALSE),0)</f>
        <v>0</v>
      </c>
      <c r="BK323" s="20">
        <f>IFERROR(VLOOKUP(Tabla14[[#This Row],[Llave]],'[5]Consolidación planes'!$A:$M,13,FALSE),0)</f>
        <v>0</v>
      </c>
      <c r="BL323" s="35">
        <f>IFERROR(VLOOKUP(Tabla14[[#This Row],[Llave]],'[13]Base ultimos planes'!$A:$M,13,FALSE),0)</f>
        <v>0</v>
      </c>
      <c r="BM323" s="35">
        <f>IFERROR(VLOOKUP(Tabla14[[#This Row],[Llave]],'[13]Cruce plan irrestricto'!$C:$M,10,FALSE),0)</f>
        <v>0</v>
      </c>
      <c r="BN323" s="35">
        <f>IFERROR(VLOOKUP(Tabla14[[#This Row],[Llave]],'[13]Cruce plan irrestricto'!$C:$M,11,FALSE),0)</f>
        <v>0</v>
      </c>
      <c r="BO323" s="80">
        <f>IFERROR(VLOOKUP(Tabla14[[#This Row],[Llave]],'[13]Base ultimos planes'!$O:$AA,8,FALSE),0)</f>
        <v>0</v>
      </c>
      <c r="BP323" s="100">
        <f>IFERROR(VLOOKUP(Tabla14[[#This Row],[Llave]],'[13]Base ultimos planes'!$O:$AA,9,FALSE),0)</f>
        <v>0</v>
      </c>
      <c r="BQ323" s="100">
        <f>IFERROR(VLOOKUP(Tabla14[[#This Row],[Llave]],'[13]Base ultimos planes'!$O:$AA,10,FALSE),0)</f>
        <v>0</v>
      </c>
      <c r="BR323" s="100">
        <f>IFERROR(VLOOKUP(Tabla14[[#This Row],[Llave]],'[13]Base ultimos planes'!$O:$AA,11,FALSE),0)</f>
        <v>0</v>
      </c>
      <c r="BS323" s="100">
        <f>IFERROR(VLOOKUP(Tabla14[[#This Row],[Llave]],'[13]Base ultimos planes'!$O:$AA,12,FALSE),0)</f>
        <v>0</v>
      </c>
      <c r="BT323" s="100">
        <f>IFERROR(VLOOKUP(Tabla14[[#This Row],[Llave]],'[13]Base ultimos planes'!$O:$AA,13,FALSE),0)</f>
        <v>0</v>
      </c>
      <c r="BU323" s="35"/>
      <c r="BV323" s="20">
        <f>Tabla14[[#This Row],[ RV Producción mes n+1]]-Tabla14[[#This Row],[Producción disponible]]+Tabla14[[#This Row],[Saldo Volumen disponible]]</f>
        <v>48000</v>
      </c>
      <c r="BW323" s="20">
        <f>IFERROR(VLOOKUP(Tabla14[[#This Row],[Llave]],[14]Hoja2!$J:$N,4,FALSE),0)</f>
        <v>48000</v>
      </c>
      <c r="BX323" s="20">
        <f>+Tabla14[[#This Row],[Asignación mes n+1]]*Tabla14[[#This Row],[% Uti. producción]]</f>
        <v>17020.100910721521</v>
      </c>
      <c r="BY323" s="20">
        <f>+Tabla14[[#This Row],[Ponderación mes n+1]]+Tabla14[[#This Row],[Saldo mes n-1]]</f>
        <v>65020.100910721521</v>
      </c>
      <c r="BZ323" s="20">
        <f>+Tabla14[[#This Row],[Asignación mes n+1]]-Tabla14[[#This Row],[Ponderación mes n+1]]</f>
        <v>30979.899089278479</v>
      </c>
      <c r="CA323" s="20">
        <f>IFERROR(VLOOKUP(Tabla14[[#This Row],[Llave]],[14]Hoja2!$J:$N,5,FALSE),0)</f>
        <v>48000</v>
      </c>
      <c r="CB323" s="20">
        <f>+Tabla14[[#This Row],[Asignación mes n+2]]*Tabla14[[#This Row],[% Uti. producción]]</f>
        <v>17020.100910721521</v>
      </c>
      <c r="CC323" s="20">
        <f>+Tabla14[[#This Row],[Saldo mes n+2]]+Tabla14[[#This Row],[Ponderación mes n+2]]</f>
        <v>48000</v>
      </c>
      <c r="CD323" s="20">
        <f>+Tabla14[[#This Row],[Asignación mes n+2]]-Tabla14[[#This Row],[Ponderación mes n+2]]</f>
        <v>30979.899089278479</v>
      </c>
    </row>
    <row r="324" spans="2:82" ht="16" x14ac:dyDescent="0.2">
      <c r="B324" t="str">
        <f>Tabla14[[#This Row],[Oficina]]&amp;Tabla14[[#This Row],[Material]]</f>
        <v>Agrosuper Asia1020660</v>
      </c>
      <c r="C324" t="s">
        <v>6</v>
      </c>
      <c r="D324" t="s">
        <v>173</v>
      </c>
      <c r="E324">
        <v>1020660</v>
      </c>
      <c r="F324" t="s">
        <v>165</v>
      </c>
      <c r="G324" t="s">
        <v>159</v>
      </c>
      <c r="H324" t="s">
        <v>164</v>
      </c>
      <c r="I324" s="7">
        <f>IFERROR(IF(Tabla14[[#This Row],[Oficina]]=$I$7,VLOOKUP(Tabla14[[#This Row],[Material]],'[6]RV Producción'!$Y:$AA,3,FALSE),VLOOKUP(Tabla14[[#This Row],[Llave]],'[6]RV Producción'!$C:$G,5,FALSE)),0)</f>
        <v>132000</v>
      </c>
      <c r="J324" s="7">
        <f>IFERROR(IF(Tabla14[[#This Row],[Oficina]]=$I$7,VLOOKUP(Tabla14[[#This Row],[Llave]],'[7]Shangai (Tomas)'!$A:$F,6,FALSE),VLOOKUP(Tabla14[[#This Row],[Llave]],'[6]RV plan de ventas'!$A:$E,5,FALSE)),0)</f>
        <v>132000</v>
      </c>
      <c r="K324" s="17">
        <f>IFERROR(VLOOKUP(Tabla14[[#This Row],[Sector]]&amp;Tabla14[[#This Row],[Oficina]],[8]Ponderación!$A$3:$G$22,7,FALSE),0)</f>
        <v>0.38476266834449474</v>
      </c>
      <c r="L324" s="7">
        <f>+Tabla14[[#This Row],[ RV Producción mes n+1]]*Tabla14[[#This Row],[% Uti. producción]]</f>
        <v>50788.672221473309</v>
      </c>
      <c r="M324" s="15">
        <f>IFERROR(VLOOKUP(Tabla14[[#This Row],[Material]],'[9]TD Stock'!$B:$C,2,FALSE),0)</f>
        <v>62666.198999999986</v>
      </c>
      <c r="N324" s="15">
        <f>IFERROR(VLOOKUP(Tabla14[[#This Row],[Material]],'[10]Consolidado planificación'!$B:$C,2,FALSE),0)</f>
        <v>59956.416000000005</v>
      </c>
      <c r="O324" s="15">
        <f>IFERROR(VLOOKUP(Tabla14[[#This Row],[Llave]],[11]Hoja2!$D:$G,4,FALSE),0)</f>
        <v>0</v>
      </c>
      <c r="P324" s="37">
        <f>SUM(Tabla14[[#This Row],[Producción disponible]],Tabla14[[#This Row],[Stock al día]],(Tabla14[[#This Row],[Por producir mes N]]*0.9))-Tabla14[[#This Row],[Producción por despachar mes N]]</f>
        <v>167415.64562147329</v>
      </c>
      <c r="Q324" s="15">
        <f>IFERROR(VLOOKUP(Tabla14[[#This Row],[Llave]],[9]DELAY!$A:$D,4,FALSE),0)</f>
        <v>115000</v>
      </c>
      <c r="R324" s="75">
        <v>23000</v>
      </c>
      <c r="S324" s="98">
        <f t="shared" ref="S324:S327" si="13">IF(AND(P324&gt;Q324,Q324&gt;0),Q324,IF(AND(P324&lt;Q324,Q324&gt;0),(ROUNDDOWN(P324/R324,0)*R324),0))</f>
        <v>115000</v>
      </c>
      <c r="T324" s="76">
        <v>-67000</v>
      </c>
      <c r="U324" s="98">
        <f>+Tabla14[[#This Row],[Atraso a facturar]]+Tabla14[[#This Row],[Ajuste atraso]]</f>
        <v>48000</v>
      </c>
      <c r="V324" s="3">
        <f>+Tabla14[[#This Row],[Total disponible]]-Tabla14[[#This Row],[Facturación atraso]]</f>
        <v>119415.64562147329</v>
      </c>
      <c r="W324" s="6">
        <f>IFERROR(IF(AND(V324&gt;R324,J324&gt;=R324),ROUNDDOWN((Tabla14[[#This Row],[Producción para venta nueva]])/R324,0)*R324,0),0)</f>
        <v>115000</v>
      </c>
      <c r="X324" s="76">
        <v>-71000</v>
      </c>
      <c r="Y324" s="6">
        <f>IF(Tabla14[[#This Row],[Venta del mes]]&gt;0,Tabla14[[#This Row],[Venta del mes]]+Tabla14[[#This Row],[Ajuste venta nueva]],0)</f>
        <v>44000</v>
      </c>
      <c r="Z324" s="6">
        <f>+Tabla14[[#This Row],[Producción para venta nueva]]-Tabla14[[#This Row],[Facturación Venta nueva]]</f>
        <v>75415.64562147329</v>
      </c>
      <c r="AA324" s="6">
        <f>IF(AND(A324=1,Tabla14[[#This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24" s="188">
        <v>0</v>
      </c>
      <c r="AC324" s="6">
        <f>IF(Tabla14[[#This Row],[Disponible stock sin venta]]&gt;0,Tabla14[[#This Row],[Disponible stock sin venta]]+Tabla14[[#This Row],[Ajuste stock sin venta]],0)</f>
        <v>0</v>
      </c>
      <c r="AD324" s="3">
        <f>IFERROR(VLOOKUP(Tabla14[[#This Row],[Llave]],[12]Hoja1!$A:$D,4,FALSE),0)</f>
        <v>0</v>
      </c>
      <c r="AE324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230000</v>
      </c>
      <c r="AF324" s="3">
        <v>161000</v>
      </c>
      <c r="AG324" s="3">
        <f>+Tabla14[[#This Row],[En puerto a facturar]]</f>
        <v>0</v>
      </c>
      <c r="AH324" s="3">
        <f>+Tabla14[[#This Row],[Facturación atraso]]</f>
        <v>48000</v>
      </c>
      <c r="AI324" s="3">
        <f>+Tabla14[[#This Row],[Plan Irrestricto (DATO)]]-Tabla14[[#This Row],[Puerto ]]-Tabla14[[#This Row],[Atraso]]</f>
        <v>113000</v>
      </c>
      <c r="AJ324" s="6">
        <f>IF(Tabla14[[#This Row],[Plan Irrestricto (DATO)]]&gt;0,SUM(Tabla14[[#This Row],[Facturación atraso]],Tabla14[[#This Row],[Facturación Venta nueva]],Tabla14[[#This Row],[Facturación stock]],Tabla14[[#This Row],[En puerto a facturar]]),0)</f>
        <v>92000</v>
      </c>
      <c r="AK324" s="3">
        <f>+Tabla14[[#This Row],[Facturación atraso]]</f>
        <v>48000</v>
      </c>
      <c r="AL324" s="3">
        <f>Tabla14[[#This Row],[Plan Ajustado]]-Tabla14[[#This Row],[ Atraso ajustado]]-Tabla14[[#This Row],[En puerto a facturar]]</f>
        <v>44000</v>
      </c>
      <c r="AM324" s="3" t="s">
        <v>877</v>
      </c>
      <c r="AN324" s="3"/>
      <c r="AO324" s="3" t="str">
        <f>IF(Tabla14[[#This Row],[Plan Ajustado]]&gt;Tabla14[[#This Row],[En puerto a facturar]],"Si","No")</f>
        <v>Si</v>
      </c>
      <c r="AP324" s="3">
        <f>IF(AND(Tabla14[[#This Row],[Plan Ajustado]]&gt;0,Tabla14[[#This Row],[Plan Ajustado]]&gt;Tabla14[[#This Row],[En puerto a facturar]]),(Tabla14[[#This Row],[Plan Ajustado]]-Tabla14[[#This Row],[En puerto a facturar]]),0)</f>
        <v>92000</v>
      </c>
      <c r="AQ324" s="3">
        <f>IF(Tabla14[[#This Row],[Necesidad]]&gt;=Tabla14[[#This Row],[Stock al día]],Tabla14[[#This Row],[Stock al día]],Tabla14[[#This Row],[Necesidad]])</f>
        <v>62666.198999999986</v>
      </c>
      <c r="AR324" s="3">
        <f>+Tabla14[[#This Row],[Necesidad]]-Tabla14[[#This Row],[Stock Plan]]</f>
        <v>29333.801000000014</v>
      </c>
      <c r="AS324" s="155">
        <f>VLOOKUP(Tabla14[[#This Row],[Sector]]&amp;Tabla14[[#This Row],[Oficina]],[8]Ponderación!$A:$H,8,FALSE)</f>
        <v>44814</v>
      </c>
      <c r="AT324" s="30">
        <f>IFERROR(VLOOKUP(Tabla14[[#This Row],[Llave]],'[6]RV plan de ventas'!$A:$F,6,FALSE),0)</f>
        <v>1</v>
      </c>
      <c r="AU324" s="83">
        <f>IFERROR(VLOOKUP(Tabla14[[#This Row],[Llave]],[9]DELAY!$H:$X,17,FALSE),0)</f>
        <v>1.2</v>
      </c>
      <c r="AV324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1.1043478260869566</v>
      </c>
      <c r="AW324" s="98">
        <f>Tabla14[[#This Row],[Pecio plan]]*Tabla14[[#This Row],[Plan Ajustado]]</f>
        <v>101600</v>
      </c>
      <c r="AX324" s="30">
        <f>IFERROR(VLOOKUP(Tabla14[[#This Row],[Llave]],'[13]Ultimos precios facturados'!$A:$G,7,FALSE),0)</f>
        <v>0</v>
      </c>
      <c r="AY324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24" s="30"/>
      <c r="BA324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1.1043478260869566</v>
      </c>
      <c r="BB324" s="30">
        <v>0</v>
      </c>
      <c r="BC324" s="30">
        <f>IF(Tabla14[[#This Row],[Market]]=0,Tabla14[[#This Row],[Precio Final]],Tabla14[[#This Row],[Market]])</f>
        <v>1.1043478260869566</v>
      </c>
      <c r="BD324" s="99"/>
      <c r="BE324" s="99" t="str">
        <f>IF(AND(Tabla14[[#This Row],[Atraso a facturar]]&gt;0,Tabla14[[#This Row],[En puerto a facturar]]&gt;0,Tabla14[[#This Row],[Precio Atraso]]=0),"Revisar","OK")</f>
        <v>OK</v>
      </c>
      <c r="BF324" s="99" t="str">
        <f>IF(AND(Tabla14[[#This Row],[Venta del mes]]&gt;0,Tabla14[[#This Row],[Precio venta nueva]]=0),"Revisar","OK")</f>
        <v>OK</v>
      </c>
      <c r="BG324" s="20">
        <f>IFERROR(VLOOKUP(Tabla14[[#This Row],[Llave]],'[5]Consolidación planes'!$A:$M,9,FALSE),0)</f>
        <v>0</v>
      </c>
      <c r="BH324" s="20">
        <f>IFERROR(VLOOKUP(Tabla14[[#This Row],[Llave]],'[5]Consolidación planes'!$A:$M,10,FALSE),0)</f>
        <v>0</v>
      </c>
      <c r="BI324" s="20">
        <f>IFERROR(VLOOKUP(Tabla14[[#This Row],[Llave]],'[5]Consolidación planes'!$A:$M,11,FALSE),0)</f>
        <v>0</v>
      </c>
      <c r="BJ324" s="20">
        <f>IFERROR(VLOOKUP(Tabla14[[#This Row],[Llave]],'[5]Consolidación planes'!$A:$M,12,FALSE),0)</f>
        <v>0</v>
      </c>
      <c r="BK324" s="20">
        <f>IFERROR(VLOOKUP(Tabla14[[#This Row],[Llave]],'[5]Consolidación planes'!$A:$M,13,FALSE),0)</f>
        <v>0</v>
      </c>
      <c r="BL324" s="35">
        <f>IFERROR(VLOOKUP(Tabla14[[#This Row],[Llave]],'[13]Base ultimos planes'!$A:$M,13,FALSE),0)</f>
        <v>0</v>
      </c>
      <c r="BM324" s="35">
        <f>IFERROR(VLOOKUP(Tabla14[[#This Row],[Llave]],'[13]Cruce plan irrestricto'!$C:$M,10,FALSE),0)</f>
        <v>0</v>
      </c>
      <c r="BN324" s="35">
        <f>IFERROR(VLOOKUP(Tabla14[[#This Row],[Llave]],'[13]Cruce plan irrestricto'!$C:$M,11,FALSE),0)</f>
        <v>0</v>
      </c>
      <c r="BO324" s="80">
        <f>IFERROR(VLOOKUP(Tabla14[[#This Row],[Llave]],'[13]Base ultimos planes'!$O:$AA,8,FALSE),0)</f>
        <v>0</v>
      </c>
      <c r="BP324" s="100">
        <f>IFERROR(VLOOKUP(Tabla14[[#This Row],[Llave]],'[13]Base ultimos planes'!$O:$AA,9,FALSE),0)</f>
        <v>0</v>
      </c>
      <c r="BQ324" s="100">
        <f>IFERROR(VLOOKUP(Tabla14[[#This Row],[Llave]],'[13]Base ultimos planes'!$O:$AA,10,FALSE),0)</f>
        <v>0</v>
      </c>
      <c r="BR324" s="100">
        <f>IFERROR(VLOOKUP(Tabla14[[#This Row],[Llave]],'[13]Base ultimos planes'!$O:$AA,11,FALSE),0)</f>
        <v>0</v>
      </c>
      <c r="BS324" s="100">
        <f>IFERROR(VLOOKUP(Tabla14[[#This Row],[Llave]],'[13]Base ultimos planes'!$O:$AA,12,FALSE),0)</f>
        <v>0</v>
      </c>
      <c r="BT324" s="100">
        <f>IFERROR(VLOOKUP(Tabla14[[#This Row],[Llave]],'[13]Base ultimos planes'!$O:$AA,13,FALSE),0)</f>
        <v>0</v>
      </c>
      <c r="BU324" s="35"/>
      <c r="BV324" s="20">
        <f>Tabla14[[#This Row],[ RV Producción mes n+1]]-Tabla14[[#This Row],[Producción disponible]]+Tabla14[[#This Row],[Saldo Volumen disponible]]</f>
        <v>156626.97339999999</v>
      </c>
      <c r="BW324" s="20">
        <f>IFERROR(VLOOKUP(Tabla14[[#This Row],[Llave]],[14]Hoja2!$J:$N,4,FALSE),0)</f>
        <v>0</v>
      </c>
      <c r="BX324" s="20">
        <f>+Tabla14[[#This Row],[Asignación mes n+1]]*Tabla14[[#This Row],[% Uti. producción]]</f>
        <v>0</v>
      </c>
      <c r="BY324" s="20">
        <f>+Tabla14[[#This Row],[Ponderación mes n+1]]+Tabla14[[#This Row],[Saldo mes n-1]]</f>
        <v>156626.97339999999</v>
      </c>
      <c r="BZ324" s="20">
        <f>+Tabla14[[#This Row],[Asignación mes n+1]]-Tabla14[[#This Row],[Ponderación mes n+1]]</f>
        <v>0</v>
      </c>
      <c r="CA324" s="20">
        <f>IFERROR(VLOOKUP(Tabla14[[#This Row],[Llave]],[14]Hoja2!$J:$N,5,FALSE),0)</f>
        <v>0</v>
      </c>
      <c r="CB324" s="20">
        <f>+Tabla14[[#This Row],[Asignación mes n+2]]*Tabla14[[#This Row],[% Uti. producción]]</f>
        <v>0</v>
      </c>
      <c r="CC324" s="20">
        <f>+Tabla14[[#This Row],[Saldo mes n+2]]+Tabla14[[#This Row],[Ponderación mes n+2]]</f>
        <v>0</v>
      </c>
      <c r="CD324" s="20">
        <f>+Tabla14[[#This Row],[Asignación mes n+2]]-Tabla14[[#This Row],[Ponderación mes n+2]]</f>
        <v>0</v>
      </c>
    </row>
    <row r="325" spans="2:82" ht="16" x14ac:dyDescent="0.2">
      <c r="B325" t="str">
        <f>Tabla14[[#This Row],[Oficina]]&amp;Tabla14[[#This Row],[Material]]</f>
        <v>Agrosuper Asia1023435</v>
      </c>
      <c r="C325" t="s">
        <v>6</v>
      </c>
      <c r="D325" t="s">
        <v>173</v>
      </c>
      <c r="E325">
        <v>1023435</v>
      </c>
      <c r="F325" t="s">
        <v>861</v>
      </c>
      <c r="G325" t="s">
        <v>611</v>
      </c>
      <c r="H325" t="s">
        <v>612</v>
      </c>
      <c r="I325" s="7">
        <f>IFERROR(IF(Tabla14[[#This Row],[Oficina]]=$I$7,VLOOKUP(Tabla14[[#This Row],[Material]],'[6]RV Producción'!$Y:$AA,3,FALSE),VLOOKUP(Tabla14[[#This Row],[Llave]],'[6]RV Producción'!$C:$G,5,FALSE)),0)</f>
        <v>315194</v>
      </c>
      <c r="J325" s="7">
        <f>IFERROR(IF(Tabla14[[#This Row],[Oficina]]=$I$7,VLOOKUP(Tabla14[[#This Row],[Llave]],'[7]Shangai (Tomas)'!$A:$F,6,FALSE),VLOOKUP(Tabla14[[#This Row],[Llave]],'[6]RV plan de ventas'!$A:$E,5,FALSE)),0)</f>
        <v>335809</v>
      </c>
      <c r="K325" s="17">
        <f>IFERROR(VLOOKUP(Tabla14[[#This Row],[Sector]]&amp;Tabla14[[#This Row],[Oficina]],[8]Ponderación!$A$3:$G$22,7,FALSE),0)</f>
        <v>0.38476266834449474</v>
      </c>
      <c r="L325" s="7">
        <f>+Tabla14[[#This Row],[ RV Producción mes n+1]]*Tabla14[[#This Row],[% Uti. producción]]</f>
        <v>121274.88448617468</v>
      </c>
      <c r="M325" s="15">
        <f>IFERROR(VLOOKUP(Tabla14[[#This Row],[Material]],'[9]TD Stock'!$B:$C,2,FALSE),0)</f>
        <v>91072.715999999957</v>
      </c>
      <c r="N325" s="15">
        <f>IFERROR(VLOOKUP(Tabla14[[#This Row],[Material]],'[10]Consolidado planificación'!$B:$C,2,FALSE),0)</f>
        <v>142965.66556535978</v>
      </c>
      <c r="O325" s="15">
        <f>IFERROR(VLOOKUP(Tabla14[[#This Row],[Llave]],[11]Hoja2!$D:$G,4,FALSE),0)</f>
        <v>0</v>
      </c>
      <c r="P325" s="37">
        <f>SUM(Tabla14[[#This Row],[Producción disponible]],Tabla14[[#This Row],[Stock al día]],(Tabla14[[#This Row],[Por producir mes N]]*0.9))-Tabla14[[#This Row],[Producción por despachar mes N]]</f>
        <v>341016.69949499844</v>
      </c>
      <c r="Q325" s="15">
        <f>IFERROR(VLOOKUP(Tabla14[[#This Row],[Llave]],[9]DELAY!$A:$D,4,FALSE),0)</f>
        <v>336000</v>
      </c>
      <c r="R325" s="75">
        <v>23000</v>
      </c>
      <c r="S325" s="98">
        <f t="shared" si="13"/>
        <v>336000</v>
      </c>
      <c r="T325" s="76">
        <v>-240000</v>
      </c>
      <c r="U325" s="98">
        <f>+Tabla14[[#This Row],[Atraso a facturar]]+Tabla14[[#This Row],[Ajuste atraso]]</f>
        <v>96000</v>
      </c>
      <c r="V325" s="3">
        <f>+Tabla14[[#This Row],[Total disponible]]-Tabla14[[#This Row],[Facturación atraso]]</f>
        <v>245016.69949499844</v>
      </c>
      <c r="W325" s="6">
        <f>IFERROR(IF(AND(V325&gt;R325,J325&gt;=R325),ROUNDDOWN((Tabla14[[#This Row],[Producción para venta nueva]])/R325,0)*R325,0),0)</f>
        <v>230000</v>
      </c>
      <c r="X325" s="76">
        <v>-230000</v>
      </c>
      <c r="Y325" s="6">
        <f>IF(Tabla14[[#This Row],[Venta del mes]]&gt;0,Tabla14[[#This Row],[Venta del mes]]+Tabla14[[#This Row],[Ajuste venta nueva]],0)</f>
        <v>0</v>
      </c>
      <c r="Z325" s="6">
        <f>+Tabla14[[#This Row],[Producción para venta nueva]]-Tabla14[[#This Row],[Facturación Venta nueva]]</f>
        <v>245016.69949499844</v>
      </c>
      <c r="AA325" s="6">
        <f>IF(AND(A325=1,Tabla14[[#This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25" s="188">
        <v>0</v>
      </c>
      <c r="AC325" s="6">
        <f>IF(Tabla14[[#This Row],[Disponible stock sin venta]]&gt;0,Tabla14[[#This Row],[Disponible stock sin venta]]+Tabla14[[#This Row],[Ajuste stock sin venta]],0)</f>
        <v>0</v>
      </c>
      <c r="AD325" s="3">
        <f>IFERROR(VLOOKUP(Tabla14[[#This Row],[Llave]],[12]Hoja1!$A:$D,4,FALSE),0)</f>
        <v>0</v>
      </c>
      <c r="AE325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566000</v>
      </c>
      <c r="AF325" s="3">
        <v>336000</v>
      </c>
      <c r="AG325" s="3">
        <f>+Tabla14[[#This Row],[En puerto a facturar]]</f>
        <v>0</v>
      </c>
      <c r="AH325" s="3">
        <f>+Tabla14[[#This Row],[Facturación atraso]]</f>
        <v>96000</v>
      </c>
      <c r="AI325" s="3">
        <f>+Tabla14[[#This Row],[Plan Irrestricto (DATO)]]-Tabla14[[#This Row],[Puerto ]]-Tabla14[[#This Row],[Atraso]]</f>
        <v>240000</v>
      </c>
      <c r="AJ325" s="6">
        <f>IF(Tabla14[[#This Row],[Plan Irrestricto (DATO)]]&gt;0,SUM(Tabla14[[#This Row],[Facturación atraso]],Tabla14[[#This Row],[Facturación Venta nueva]],Tabla14[[#This Row],[Facturación stock]],Tabla14[[#This Row],[En puerto a facturar]]),0)</f>
        <v>96000</v>
      </c>
      <c r="AK325" s="3">
        <f>+Tabla14[[#This Row],[Facturación atraso]]</f>
        <v>96000</v>
      </c>
      <c r="AL325" s="3">
        <f>Tabla14[[#This Row],[Plan Ajustado]]-Tabla14[[#This Row],[ Atraso ajustado]]-Tabla14[[#This Row],[En puerto a facturar]]</f>
        <v>0</v>
      </c>
      <c r="AM325" s="3" t="s">
        <v>877</v>
      </c>
      <c r="AN325" s="3"/>
      <c r="AO325" s="3" t="str">
        <f>IF(Tabla14[[#This Row],[Plan Ajustado]]&gt;Tabla14[[#This Row],[En puerto a facturar]],"Si","No")</f>
        <v>Si</v>
      </c>
      <c r="AP325" s="3">
        <f>IF(AND(Tabla14[[#This Row],[Plan Ajustado]]&gt;0,Tabla14[[#This Row],[Plan Ajustado]]&gt;Tabla14[[#This Row],[En puerto a facturar]]),(Tabla14[[#This Row],[Plan Ajustado]]-Tabla14[[#This Row],[En puerto a facturar]]),0)</f>
        <v>96000</v>
      </c>
      <c r="AQ325" s="3">
        <f>IF(Tabla14[[#This Row],[Necesidad]]&gt;=Tabla14[[#This Row],[Stock al día]],Tabla14[[#This Row],[Stock al día]],Tabla14[[#This Row],[Necesidad]])</f>
        <v>91072.715999999957</v>
      </c>
      <c r="AR325" s="3">
        <f>+Tabla14[[#This Row],[Necesidad]]-Tabla14[[#This Row],[Stock Plan]]</f>
        <v>4927.2840000000433</v>
      </c>
      <c r="AS325" s="155">
        <f>VLOOKUP(Tabla14[[#This Row],[Sector]]&amp;Tabla14[[#This Row],[Oficina]],[8]Ponderación!$A:$H,8,FALSE)</f>
        <v>44814</v>
      </c>
      <c r="AT325" s="30">
        <f>IFERROR(VLOOKUP(Tabla14[[#This Row],[Llave]],'[6]RV plan de ventas'!$A:$F,6,FALSE),0)</f>
        <v>0.59999880884669599</v>
      </c>
      <c r="AU325" s="83">
        <f>IFERROR(VLOOKUP(Tabla14[[#This Row],[Llave]],[9]DELAY!$H:$X,17,FALSE),0)</f>
        <v>0.85357142857142887</v>
      </c>
      <c r="AV325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0.85357142857142887</v>
      </c>
      <c r="AW325" s="98">
        <f>Tabla14[[#This Row],[Pecio plan]]*Tabla14[[#This Row],[Plan Ajustado]]</f>
        <v>81942.857142857174</v>
      </c>
      <c r="AX325" s="30">
        <f>IFERROR(VLOOKUP(Tabla14[[#This Row],[Llave]],'[13]Ultimos precios facturados'!$A:$G,7,FALSE),0)</f>
        <v>0</v>
      </c>
      <c r="AY325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25" s="30"/>
      <c r="BA325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0.85357142857142887</v>
      </c>
      <c r="BB325" s="30">
        <v>0</v>
      </c>
      <c r="BC325" s="30">
        <f>IF(Tabla14[[#This Row],[Market]]=0,Tabla14[[#This Row],[Precio Final]],Tabla14[[#This Row],[Market]])</f>
        <v>0.85357142857142887</v>
      </c>
      <c r="BD325" s="99"/>
      <c r="BE325" s="99" t="str">
        <f>IF(AND(Tabla14[[#This Row],[Atraso a facturar]]&gt;0,Tabla14[[#This Row],[En puerto a facturar]]&gt;0,Tabla14[[#This Row],[Precio Atraso]]=0),"Revisar","OK")</f>
        <v>OK</v>
      </c>
      <c r="BF325" s="99" t="str">
        <f>IF(AND(Tabla14[[#This Row],[Venta del mes]]&gt;0,Tabla14[[#This Row],[Precio venta nueva]]=0),"Revisar","OK")</f>
        <v>OK</v>
      </c>
      <c r="BG325" s="20">
        <f>IFERROR(VLOOKUP(Tabla14[[#This Row],[Llave]],'[5]Consolidación planes'!$A:$M,9,FALSE),0)</f>
        <v>0</v>
      </c>
      <c r="BH325" s="20">
        <f>IFERROR(VLOOKUP(Tabla14[[#This Row],[Llave]],'[5]Consolidación planes'!$A:$M,10,FALSE),0)</f>
        <v>0</v>
      </c>
      <c r="BI325" s="20">
        <f>IFERROR(VLOOKUP(Tabla14[[#This Row],[Llave]],'[5]Consolidación planes'!$A:$M,11,FALSE),0)</f>
        <v>0</v>
      </c>
      <c r="BJ325" s="20">
        <f>IFERROR(VLOOKUP(Tabla14[[#This Row],[Llave]],'[5]Consolidación planes'!$A:$M,12,FALSE),0)</f>
        <v>0</v>
      </c>
      <c r="BK325" s="20">
        <f>IFERROR(VLOOKUP(Tabla14[[#This Row],[Llave]],'[5]Consolidación planes'!$A:$M,13,FALSE),0)</f>
        <v>0</v>
      </c>
      <c r="BL325" s="35">
        <f>IFERROR(VLOOKUP(Tabla14[[#This Row],[Llave]],'[13]Base ultimos planes'!$A:$M,13,FALSE),0)</f>
        <v>0</v>
      </c>
      <c r="BM325" s="35">
        <f>IFERROR(VLOOKUP(Tabla14[[#This Row],[Llave]],'[13]Cruce plan irrestricto'!$C:$M,10,FALSE),0)</f>
        <v>0</v>
      </c>
      <c r="BN325" s="35">
        <f>IFERROR(VLOOKUP(Tabla14[[#This Row],[Llave]],'[13]Cruce plan irrestricto'!$C:$M,11,FALSE),0)</f>
        <v>0</v>
      </c>
      <c r="BO325" s="80">
        <f>IFERROR(VLOOKUP(Tabla14[[#This Row],[Llave]],'[13]Base ultimos planes'!$O:$AA,8,FALSE),0)</f>
        <v>0</v>
      </c>
      <c r="BP325" s="100">
        <f>IFERROR(VLOOKUP(Tabla14[[#This Row],[Llave]],'[13]Base ultimos planes'!$O:$AA,9,FALSE),0)</f>
        <v>0</v>
      </c>
      <c r="BQ325" s="100">
        <f>IFERROR(VLOOKUP(Tabla14[[#This Row],[Llave]],'[13]Base ultimos planes'!$O:$AA,10,FALSE),0)</f>
        <v>0</v>
      </c>
      <c r="BR325" s="100">
        <f>IFERROR(VLOOKUP(Tabla14[[#This Row],[Llave]],'[13]Base ultimos planes'!$O:$AA,11,FALSE),0)</f>
        <v>0</v>
      </c>
      <c r="BS325" s="100">
        <f>IFERROR(VLOOKUP(Tabla14[[#This Row],[Llave]],'[13]Base ultimos planes'!$O:$AA,12,FALSE),0)</f>
        <v>0</v>
      </c>
      <c r="BT325" s="100">
        <f>IFERROR(VLOOKUP(Tabla14[[#This Row],[Llave]],'[13]Base ultimos planes'!$O:$AA,13,FALSE),0)</f>
        <v>0</v>
      </c>
      <c r="BU325" s="35"/>
      <c r="BV325" s="20">
        <f>Tabla14[[#This Row],[ RV Producción mes n+1]]-Tabla14[[#This Row],[Producción disponible]]+Tabla14[[#This Row],[Saldo Volumen disponible]]</f>
        <v>438935.81500882376</v>
      </c>
      <c r="BW325" s="20">
        <f>IFERROR(VLOOKUP(Tabla14[[#This Row],[Llave]],[14]Hoja2!$J:$N,4,FALSE),0)</f>
        <v>0</v>
      </c>
      <c r="BX325" s="20">
        <f>+Tabla14[[#This Row],[Asignación mes n+1]]*Tabla14[[#This Row],[% Uti. producción]]</f>
        <v>0</v>
      </c>
      <c r="BY325" s="20">
        <f>+Tabla14[[#This Row],[Ponderación mes n+1]]+Tabla14[[#This Row],[Saldo mes n-1]]</f>
        <v>438935.81500882376</v>
      </c>
      <c r="BZ325" s="20">
        <f>+Tabla14[[#This Row],[Asignación mes n+1]]-Tabla14[[#This Row],[Ponderación mes n+1]]</f>
        <v>0</v>
      </c>
      <c r="CA325" s="20">
        <f>IFERROR(VLOOKUP(Tabla14[[#This Row],[Llave]],[14]Hoja2!$J:$N,5,FALSE),0)</f>
        <v>0</v>
      </c>
      <c r="CB325" s="20">
        <f>+Tabla14[[#This Row],[Asignación mes n+2]]*Tabla14[[#This Row],[% Uti. producción]]</f>
        <v>0</v>
      </c>
      <c r="CC325" s="20">
        <f>+Tabla14[[#This Row],[Saldo mes n+2]]+Tabla14[[#This Row],[Ponderación mes n+2]]</f>
        <v>0</v>
      </c>
      <c r="CD325" s="20">
        <f>+Tabla14[[#This Row],[Asignación mes n+2]]-Tabla14[[#This Row],[Ponderación mes n+2]]</f>
        <v>0</v>
      </c>
    </row>
    <row r="326" spans="2:82" ht="16" x14ac:dyDescent="0.2">
      <c r="B326" t="str">
        <f>Tabla14[[#This Row],[Oficina]]&amp;Tabla14[[#This Row],[Material]]</f>
        <v>Agrosuper Asia1023438</v>
      </c>
      <c r="C326" t="s">
        <v>6</v>
      </c>
      <c r="D326" t="s">
        <v>173</v>
      </c>
      <c r="E326">
        <v>1023438</v>
      </c>
      <c r="F326" t="s">
        <v>87</v>
      </c>
      <c r="G326" t="s">
        <v>76</v>
      </c>
      <c r="H326" t="s">
        <v>84</v>
      </c>
      <c r="I326" s="7">
        <f>IFERROR(IF(Tabla14[[#This Row],[Oficina]]=$I$7,VLOOKUP(Tabla14[[#This Row],[Material]],'[6]RV Producción'!$Y:$AA,3,FALSE),VLOOKUP(Tabla14[[#This Row],[Llave]],'[6]RV Producción'!$C:$G,5,FALSE)),0)</f>
        <v>150000</v>
      </c>
      <c r="J326" s="7">
        <f>IFERROR(IF(Tabla14[[#This Row],[Oficina]]=$I$7,VLOOKUP(Tabla14[[#This Row],[Llave]],'[7]Shangai (Tomas)'!$A:$F,6,FALSE),VLOOKUP(Tabla14[[#This Row],[Llave]],'[6]RV plan de ventas'!$A:$E,5,FALSE)),0)</f>
        <v>201433</v>
      </c>
      <c r="K326" s="17">
        <f>IFERROR(VLOOKUP(Tabla14[[#This Row],[Sector]]&amp;Tabla14[[#This Row],[Oficina]],[8]Ponderación!$A$3:$G$22,7,FALSE),0)</f>
        <v>0.38476266834449474</v>
      </c>
      <c r="L326" s="7">
        <f>+Tabla14[[#This Row],[ RV Producción mes n+1]]*Tabla14[[#This Row],[% Uti. producción]]</f>
        <v>57714.400251674211</v>
      </c>
      <c r="M326" s="15">
        <f>IFERROR(VLOOKUP(Tabla14[[#This Row],[Material]],'[9]TD Stock'!$B:$C,2,FALSE),0)</f>
        <v>25240.115999999998</v>
      </c>
      <c r="N326" s="15">
        <f>IFERROR(VLOOKUP(Tabla14[[#This Row],[Material]],'[10]Consolidado planificación'!$B:$C,2,FALSE),0)</f>
        <v>36750.491942748107</v>
      </c>
      <c r="O326" s="15">
        <f>IFERROR(VLOOKUP(Tabla14[[#This Row],[Llave]],[11]Hoja2!$D:$G,4,FALSE),0)</f>
        <v>0</v>
      </c>
      <c r="P326" s="37">
        <f>SUM(Tabla14[[#This Row],[Producción disponible]],Tabla14[[#This Row],[Stock al día]],(Tabla14[[#This Row],[Por producir mes N]]*0.9))-Tabla14[[#This Row],[Producción por despachar mes N]]</f>
        <v>116029.9590001475</v>
      </c>
      <c r="Q326" s="15">
        <f>IFERROR(VLOOKUP(Tabla14[[#This Row],[Llave]],[9]DELAY!$A:$D,4,FALSE),0)</f>
        <v>141000</v>
      </c>
      <c r="R326" s="75">
        <v>23000</v>
      </c>
      <c r="S326" s="98">
        <f>IF(AND(P326&gt;Q326,Q326&gt;0),Q326,IF(AND(P326&lt;Q326,Q326&gt;0),(ROUNDDOWN(P326/R326,0)*R326),0))</f>
        <v>115000</v>
      </c>
      <c r="T326" s="76">
        <v>-40000</v>
      </c>
      <c r="U326" s="98">
        <f>+Tabla14[[#This Row],[Atraso a facturar]]+Tabla14[[#This Row],[Ajuste atraso]]</f>
        <v>75000</v>
      </c>
      <c r="V326" s="3">
        <f>+Tabla14[[#This Row],[Total disponible]]-Tabla14[[#This Row],[Facturación atraso]]</f>
        <v>41029.959000147501</v>
      </c>
      <c r="W326" s="6">
        <f>IFERROR(IF(AND(V326&gt;R326,J326&gt;=R326),ROUNDDOWN((Tabla14[[#This Row],[Producción para venta nueva]])/R326,0)*R326,0),0)</f>
        <v>23000</v>
      </c>
      <c r="X326" s="76">
        <v>-23000</v>
      </c>
      <c r="Y326" s="6">
        <f>IF(Tabla14[[#This Row],[Venta del mes]]&gt;0,Tabla14[[#This Row],[Venta del mes]]+Tabla14[[#This Row],[Ajuste venta nueva]],0)</f>
        <v>0</v>
      </c>
      <c r="Z326" s="6">
        <f>+Tabla14[[#This Row],[Producción para venta nueva]]-Tabla14[[#This Row],[Facturación Venta nueva]]</f>
        <v>41029.959000147501</v>
      </c>
      <c r="AA326" s="6">
        <f>IF(AND(A326=1,Tabla14[[#This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26" s="188">
        <v>0</v>
      </c>
      <c r="AC326" s="6">
        <f>IF(Tabla14[[#This Row],[Disponible stock sin venta]]&gt;0,Tabla14[[#This Row],[Disponible stock sin venta]]+Tabla14[[#This Row],[Ajuste stock sin venta]],0)</f>
        <v>0</v>
      </c>
      <c r="AD326" s="3">
        <f>IFERROR(VLOOKUP(Tabla14[[#This Row],[Llave]],[12]Hoja1!$A:$D,4,FALSE),0)</f>
        <v>0</v>
      </c>
      <c r="AE326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138000</v>
      </c>
      <c r="AF326" s="3">
        <v>115000</v>
      </c>
      <c r="AG326" s="3">
        <f>+Tabla14[[#This Row],[En puerto a facturar]]</f>
        <v>0</v>
      </c>
      <c r="AH326" s="3">
        <f>+Tabla14[[#This Row],[Facturación atraso]]</f>
        <v>75000</v>
      </c>
      <c r="AI326" s="3">
        <f>+Tabla14[[#This Row],[Plan Irrestricto (DATO)]]-Tabla14[[#This Row],[Puerto ]]-Tabla14[[#This Row],[Atraso]]</f>
        <v>40000</v>
      </c>
      <c r="AJ326" s="6">
        <f>IF(Tabla14[[#This Row],[Plan Irrestricto (DATO)]]&gt;0,SUM(Tabla14[[#This Row],[Facturación atraso]],Tabla14[[#This Row],[Facturación Venta nueva]],Tabla14[[#This Row],[Facturación stock]],Tabla14[[#This Row],[En puerto a facturar]]),0)</f>
        <v>75000</v>
      </c>
      <c r="AK326" s="3">
        <f>+Tabla14[[#This Row],[Facturación atraso]]</f>
        <v>75000</v>
      </c>
      <c r="AL326" s="3">
        <f>Tabla14[[#This Row],[Plan Ajustado]]-Tabla14[[#This Row],[ Atraso ajustado]]-Tabla14[[#This Row],[En puerto a facturar]]</f>
        <v>0</v>
      </c>
      <c r="AM326" s="3" t="s">
        <v>877</v>
      </c>
      <c r="AN326" s="3"/>
      <c r="AO326" s="3" t="str">
        <f>IF(Tabla14[[#This Row],[Plan Ajustado]]&gt;Tabla14[[#This Row],[En puerto a facturar]],"Si","No")</f>
        <v>Si</v>
      </c>
      <c r="AP326" s="3">
        <f>IF(AND(Tabla14[[#This Row],[Plan Ajustado]]&gt;0,Tabla14[[#This Row],[Plan Ajustado]]&gt;Tabla14[[#This Row],[En puerto a facturar]]),(Tabla14[[#This Row],[Plan Ajustado]]-Tabla14[[#This Row],[En puerto a facturar]]),0)</f>
        <v>75000</v>
      </c>
      <c r="AQ326" s="3">
        <f>IF(Tabla14[[#This Row],[Necesidad]]&gt;=Tabla14[[#This Row],[Stock al día]],Tabla14[[#This Row],[Stock al día]],Tabla14[[#This Row],[Necesidad]])</f>
        <v>25240.115999999998</v>
      </c>
      <c r="AR326" s="3">
        <f>+Tabla14[[#This Row],[Necesidad]]-Tabla14[[#This Row],[Stock Plan]]</f>
        <v>49759.884000000005</v>
      </c>
      <c r="AS326" s="155">
        <f>VLOOKUP(Tabla14[[#This Row],[Sector]]&amp;Tabla14[[#This Row],[Oficina]],[8]Ponderación!$A:$H,8,FALSE)</f>
        <v>44814</v>
      </c>
      <c r="AT326" s="30">
        <f>IFERROR(VLOOKUP(Tabla14[[#This Row],[Llave]],'[6]RV plan de ventas'!$A:$F,6,FALSE),0)</f>
        <v>1</v>
      </c>
      <c r="AU326" s="83">
        <f>IFERROR(VLOOKUP(Tabla14[[#This Row],[Llave]],[9]DELAY!$H:$X,17,FALSE),0)</f>
        <v>1.3</v>
      </c>
      <c r="AV326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1.3</v>
      </c>
      <c r="AW326" s="98">
        <f>Tabla14[[#This Row],[Pecio plan]]*Tabla14[[#This Row],[Plan Ajustado]]</f>
        <v>97500</v>
      </c>
      <c r="AX326" s="30">
        <f>IFERROR(VLOOKUP(Tabla14[[#This Row],[Llave]],'[13]Ultimos precios facturados'!$A:$G,7,FALSE),0)</f>
        <v>0</v>
      </c>
      <c r="AY326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26" s="30"/>
      <c r="BA326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1.3</v>
      </c>
      <c r="BB326" s="30">
        <v>0</v>
      </c>
      <c r="BC326" s="30">
        <f>IF(Tabla14[[#This Row],[Market]]=0,Tabla14[[#This Row],[Precio Final]],Tabla14[[#This Row],[Market]])</f>
        <v>1.3</v>
      </c>
      <c r="BD326" s="99"/>
      <c r="BE326" s="99" t="str">
        <f>IF(AND(Tabla14[[#This Row],[Atraso a facturar]]&gt;0,Tabla14[[#This Row],[En puerto a facturar]]&gt;0,Tabla14[[#This Row],[Precio Atraso]]=0),"Revisar","OK")</f>
        <v>OK</v>
      </c>
      <c r="BF326" s="99" t="str">
        <f>IF(AND(Tabla14[[#This Row],[Venta del mes]]&gt;0,Tabla14[[#This Row],[Precio venta nueva]]=0),"Revisar","OK")</f>
        <v>OK</v>
      </c>
      <c r="BG326" s="20">
        <f>IFERROR(VLOOKUP(Tabla14[[#This Row],[Llave]],'[5]Consolidación planes'!$A:$M,9,FALSE),0)</f>
        <v>0</v>
      </c>
      <c r="BH326" s="20">
        <f>IFERROR(VLOOKUP(Tabla14[[#This Row],[Llave]],'[5]Consolidación planes'!$A:$M,10,FALSE),0)</f>
        <v>0</v>
      </c>
      <c r="BI326" s="20">
        <f>IFERROR(VLOOKUP(Tabla14[[#This Row],[Llave]],'[5]Consolidación planes'!$A:$M,11,FALSE),0)</f>
        <v>0</v>
      </c>
      <c r="BJ326" s="20">
        <f>IFERROR(VLOOKUP(Tabla14[[#This Row],[Llave]],'[5]Consolidación planes'!$A:$M,12,FALSE),0)</f>
        <v>0</v>
      </c>
      <c r="BK326" s="20">
        <f>IFERROR(VLOOKUP(Tabla14[[#This Row],[Llave]],'[5]Consolidación planes'!$A:$M,13,FALSE),0)</f>
        <v>0</v>
      </c>
      <c r="BL326" s="35">
        <f>IFERROR(VLOOKUP(Tabla14[[#This Row],[Llave]],'[13]Base ultimos planes'!$A:$M,13,FALSE),0)</f>
        <v>0</v>
      </c>
      <c r="BM326" s="35">
        <f>IFERROR(VLOOKUP(Tabla14[[#This Row],[Llave]],'[13]Cruce plan irrestricto'!$C:$M,10,FALSE),0)</f>
        <v>0</v>
      </c>
      <c r="BN326" s="35">
        <f>IFERROR(VLOOKUP(Tabla14[[#This Row],[Llave]],'[13]Cruce plan irrestricto'!$C:$M,11,FALSE),0)</f>
        <v>0</v>
      </c>
      <c r="BO326" s="80">
        <f>IFERROR(VLOOKUP(Tabla14[[#This Row],[Llave]],'[13]Base ultimos planes'!$O:$AA,8,FALSE),0)</f>
        <v>0</v>
      </c>
      <c r="BP326" s="100">
        <f>IFERROR(VLOOKUP(Tabla14[[#This Row],[Llave]],'[13]Base ultimos planes'!$O:$AA,9,FALSE),0)</f>
        <v>0</v>
      </c>
      <c r="BQ326" s="100">
        <f>IFERROR(VLOOKUP(Tabla14[[#This Row],[Llave]],'[13]Base ultimos planes'!$O:$AA,10,FALSE),0)</f>
        <v>0</v>
      </c>
      <c r="BR326" s="100">
        <f>IFERROR(VLOOKUP(Tabla14[[#This Row],[Llave]],'[13]Base ultimos planes'!$O:$AA,11,FALSE),0)</f>
        <v>0</v>
      </c>
      <c r="BS326" s="100">
        <f>IFERROR(VLOOKUP(Tabla14[[#This Row],[Llave]],'[13]Base ultimos planes'!$O:$AA,12,FALSE),0)</f>
        <v>0</v>
      </c>
      <c r="BT326" s="100">
        <f>IFERROR(VLOOKUP(Tabla14[[#This Row],[Llave]],'[13]Base ultimos planes'!$O:$AA,13,FALSE),0)</f>
        <v>0</v>
      </c>
      <c r="BU326" s="35"/>
      <c r="BV326" s="20">
        <f>Tabla14[[#This Row],[ RV Producción mes n+1]]-Tabla14[[#This Row],[Producción disponible]]+Tabla14[[#This Row],[Saldo Volumen disponible]]</f>
        <v>133315.5587484733</v>
      </c>
      <c r="BW326" s="20">
        <f>IFERROR(VLOOKUP(Tabla14[[#This Row],[Llave]],[14]Hoja2!$J:$N,4,FALSE),0)</f>
        <v>0</v>
      </c>
      <c r="BX326" s="20">
        <f>+Tabla14[[#This Row],[Asignación mes n+1]]*Tabla14[[#This Row],[% Uti. producción]]</f>
        <v>0</v>
      </c>
      <c r="BY326" s="20">
        <f>+Tabla14[[#This Row],[Ponderación mes n+1]]+Tabla14[[#This Row],[Saldo mes n-1]]</f>
        <v>133315.5587484733</v>
      </c>
      <c r="BZ326" s="20">
        <f>+Tabla14[[#This Row],[Asignación mes n+1]]-Tabla14[[#This Row],[Ponderación mes n+1]]</f>
        <v>0</v>
      </c>
      <c r="CA326" s="20">
        <f>IFERROR(VLOOKUP(Tabla14[[#This Row],[Llave]],[14]Hoja2!$J:$N,5,FALSE),0)</f>
        <v>0</v>
      </c>
      <c r="CB326" s="20">
        <f>+Tabla14[[#This Row],[Asignación mes n+2]]*Tabla14[[#This Row],[% Uti. producción]]</f>
        <v>0</v>
      </c>
      <c r="CC326" s="20">
        <f>+Tabla14[[#This Row],[Saldo mes n+2]]+Tabla14[[#This Row],[Ponderación mes n+2]]</f>
        <v>0</v>
      </c>
      <c r="CD326" s="20">
        <f>+Tabla14[[#This Row],[Asignación mes n+2]]-Tabla14[[#This Row],[Ponderación mes n+2]]</f>
        <v>0</v>
      </c>
    </row>
    <row r="327" spans="2:82" ht="16" x14ac:dyDescent="0.2">
      <c r="B327" t="str">
        <f>Tabla14[[#This Row],[Oficina]]&amp;Tabla14[[#This Row],[Material]]</f>
        <v>Agrosuper Asia1023439</v>
      </c>
      <c r="C327" t="s">
        <v>6</v>
      </c>
      <c r="D327" t="s">
        <v>173</v>
      </c>
      <c r="E327">
        <v>1023439</v>
      </c>
      <c r="F327" t="s">
        <v>862</v>
      </c>
      <c r="G327" t="s">
        <v>92</v>
      </c>
      <c r="H327" t="s">
        <v>865</v>
      </c>
      <c r="I327" s="7">
        <f>IFERROR(IF(Tabla14[[#This Row],[Oficina]]=$I$7,VLOOKUP(Tabla14[[#This Row],[Material]],'[6]RV Producción'!$Y:$AA,3,FALSE),VLOOKUP(Tabla14[[#This Row],[Llave]],'[6]RV Producción'!$C:$G,5,FALSE)),0)</f>
        <v>100000</v>
      </c>
      <c r="J327" s="7">
        <f>IFERROR(IF(Tabla14[[#This Row],[Oficina]]=$I$7,VLOOKUP(Tabla14[[#This Row],[Llave]],'[7]Shangai (Tomas)'!$A:$F,6,FALSE),VLOOKUP(Tabla14[[#This Row],[Llave]],'[6]RV plan de ventas'!$A:$E,5,FALSE)),0)</f>
        <v>100000</v>
      </c>
      <c r="K327" s="17">
        <f>IFERROR(VLOOKUP(Tabla14[[#This Row],[Sector]]&amp;Tabla14[[#This Row],[Oficina]],[8]Ponderación!$A$3:$G$22,7,FALSE),0)</f>
        <v>0.38476266834449474</v>
      </c>
      <c r="L327" s="7">
        <f>+Tabla14[[#This Row],[ RV Producción mes n+1]]*Tabla14[[#This Row],[% Uti. producción]]</f>
        <v>38476.266834449474</v>
      </c>
      <c r="M327" s="15">
        <f>IFERROR(VLOOKUP(Tabla14[[#This Row],[Material]],'[9]TD Stock'!$B:$C,2,FALSE),0)</f>
        <v>24020</v>
      </c>
      <c r="N327" s="15">
        <f>IFERROR(VLOOKUP(Tabla14[[#This Row],[Material]],'[10]Consolidado planificación'!$B:$C,2,FALSE),0)</f>
        <v>25772.612999999998</v>
      </c>
      <c r="O327" s="15">
        <f>IFERROR(VLOOKUP(Tabla14[[#This Row],[Llave]],[11]Hoja2!$D:$G,4,FALSE),0)</f>
        <v>0</v>
      </c>
      <c r="P327" s="37">
        <f>SUM(Tabla14[[#This Row],[Producción disponible]],Tabla14[[#This Row],[Stock al día]],(Tabla14[[#This Row],[Por producir mes N]]*0.9))-Tabla14[[#This Row],[Producción por despachar mes N]]</f>
        <v>85691.618534449473</v>
      </c>
      <c r="Q327" s="15">
        <f>IFERROR(VLOOKUP(Tabla14[[#This Row],[Llave]],[9]DELAY!$A:$D,4,FALSE),0)</f>
        <v>32000</v>
      </c>
      <c r="R327" s="75">
        <v>23000</v>
      </c>
      <c r="S327" s="98">
        <f t="shared" si="13"/>
        <v>32000</v>
      </c>
      <c r="T327" s="76">
        <v>0</v>
      </c>
      <c r="U327" s="98">
        <f>+Tabla14[[#This Row],[Atraso a facturar]]+Tabla14[[#This Row],[Ajuste atraso]]</f>
        <v>32000</v>
      </c>
      <c r="V327" s="3">
        <f>+Tabla14[[#This Row],[Total disponible]]-Tabla14[[#This Row],[Facturación atraso]]</f>
        <v>53691.618534449473</v>
      </c>
      <c r="W327" s="6">
        <f>IFERROR(IF(AND(V327&gt;R327,J327&gt;=R327),ROUNDDOWN((Tabla14[[#This Row],[Producción para venta nueva]])/R327,0)*R327,0),0)</f>
        <v>46000</v>
      </c>
      <c r="X327" s="76">
        <v>-46000</v>
      </c>
      <c r="Y327" s="6">
        <f>IF(Tabla14[[#This Row],[Venta del mes]]&gt;0,Tabla14[[#This Row],[Venta del mes]]+Tabla14[[#This Row],[Ajuste venta nueva]],0)</f>
        <v>0</v>
      </c>
      <c r="Z327" s="6">
        <f>+Tabla14[[#This Row],[Producción para venta nueva]]-Tabla14[[#This Row],[Facturación Venta nueva]]</f>
        <v>53691.618534449473</v>
      </c>
      <c r="AA327" s="6">
        <f>IF(AND(A327=1,Tabla14[[#This Row],[Saldo Volumen disponible]]&gt;Tabla14[[#This Row],[Vol. prom. Por contenedor]],Tabla14[[#This Row],[Saldo Volumen disponible]]&gt;Tabla14[[#This Row],[ RV  Venta mes n+1]],Tabla14[[#This Row],[Delay]]&lt;Tabla14[[#This Row],[Total disponible]]),ROUNDDOWN((Tabla14[[#This Row],[Saldo Volumen disponible]]+Tabla14[[#This Row],[Ajuste venta nueva]])/Tabla14[[#This Row],[Vol. prom. Por contenedor]],0)*Tabla14[[#This Row],[Vol. prom. Por contenedor]],0)</f>
        <v>0</v>
      </c>
      <c r="AB327" s="188">
        <v>0</v>
      </c>
      <c r="AC327" s="6">
        <f>IF(Tabla14[[#This Row],[Disponible stock sin venta]]&gt;0,Tabla14[[#This Row],[Disponible stock sin venta]]+Tabla14[[#This Row],[Ajuste stock sin venta]],0)</f>
        <v>0</v>
      </c>
      <c r="AD327" s="3">
        <f>IFERROR(VLOOKUP(Tabla14[[#This Row],[Llave]],[12]Hoja1!$A:$D,4,FALSE),0)</f>
        <v>0</v>
      </c>
      <c r="AE327" s="18">
        <f>IF(AND(Tabla14[[#This Row],[Oficina]]=$I$7,Tabla14[[#This Row],[Delay]]&gt;0),Tabla14[[#This Row],[Atraso a facturar]],IF(AND(Tabla14[[#This Row],[Oficina]]=$I$7,Tabla14[[#This Row],[Delay]]=0),0+Tabla14[[#This Row],[En puerto a facturar]],IF(Tabla14[[#This Row],[Total disponible]]&gt;0,Tabla14[[#This Row],[Atraso a facturar]]+Tabla14[[#This Row],[Venta del mes]]+Tabla14[[#This Row],[Disponible stock sin venta]]+Tabla14[[#This Row],[En puerto a facturar]])))</f>
        <v>78000</v>
      </c>
      <c r="AF327" s="3">
        <v>78000</v>
      </c>
      <c r="AG327" s="3">
        <f>+Tabla14[[#This Row],[En puerto a facturar]]</f>
        <v>0</v>
      </c>
      <c r="AH327" s="3">
        <f>+Tabla14[[#This Row],[Facturación atraso]]</f>
        <v>32000</v>
      </c>
      <c r="AI327" s="3">
        <f>+Tabla14[[#This Row],[Plan Irrestricto (DATO)]]-Tabla14[[#This Row],[Puerto ]]-Tabla14[[#This Row],[Atraso]]</f>
        <v>46000</v>
      </c>
      <c r="AJ327" s="6">
        <f>IF(Tabla14[[#This Row],[Plan Irrestricto (DATO)]]&gt;0,SUM(Tabla14[[#This Row],[Facturación atraso]],Tabla14[[#This Row],[Facturación Venta nueva]],Tabla14[[#This Row],[Facturación stock]],Tabla14[[#This Row],[En puerto a facturar]]),0)</f>
        <v>32000</v>
      </c>
      <c r="AK327" s="3">
        <f>+Tabla14[[#This Row],[Facturación atraso]]</f>
        <v>32000</v>
      </c>
      <c r="AL327" s="3">
        <f>Tabla14[[#This Row],[Plan Ajustado]]-Tabla14[[#This Row],[ Atraso ajustado]]-Tabla14[[#This Row],[En puerto a facturar]]</f>
        <v>0</v>
      </c>
      <c r="AM327" s="3" t="s">
        <v>881</v>
      </c>
      <c r="AN327" s="3"/>
      <c r="AO327" s="3" t="str">
        <f>IF(Tabla14[[#This Row],[Plan Ajustado]]&gt;Tabla14[[#This Row],[En puerto a facturar]],"Si","No")</f>
        <v>Si</v>
      </c>
      <c r="AP327" s="3">
        <f>IF(AND(Tabla14[[#This Row],[Plan Ajustado]]&gt;0,Tabla14[[#This Row],[Plan Ajustado]]&gt;Tabla14[[#This Row],[En puerto a facturar]]),(Tabla14[[#This Row],[Plan Ajustado]]-Tabla14[[#This Row],[En puerto a facturar]]),0)</f>
        <v>32000</v>
      </c>
      <c r="AQ327" s="3">
        <f>IF(Tabla14[[#This Row],[Necesidad]]&gt;=Tabla14[[#This Row],[Stock al día]],Tabla14[[#This Row],[Stock al día]],Tabla14[[#This Row],[Necesidad]])</f>
        <v>24020</v>
      </c>
      <c r="AR327" s="3">
        <f>+Tabla14[[#This Row],[Necesidad]]-Tabla14[[#This Row],[Stock Plan]]</f>
        <v>7980</v>
      </c>
      <c r="AS327" s="155">
        <f>VLOOKUP(Tabla14[[#This Row],[Sector]]&amp;Tabla14[[#This Row],[Oficina]],[8]Ponderación!$A:$H,8,FALSE)</f>
        <v>44814</v>
      </c>
      <c r="AT327" s="30">
        <f>IFERROR(VLOOKUP(Tabla14[[#This Row],[Llave]],'[6]RV plan de ventas'!$A:$F,6,FALSE),0)</f>
        <v>0.5</v>
      </c>
      <c r="AU327" s="83">
        <f>IFERROR(VLOOKUP(Tabla14[[#This Row],[Llave]],[9]DELAY!$H:$X,17,FALSE),0)</f>
        <v>0.7</v>
      </c>
      <c r="AV327" s="30">
        <f>IF(Tabla14[[#This Row],[Plan Ajustado]]=0,0,((Tabla14[[#This Row],[Facturación atraso]]*Tabla14[[#This Row],[Precio Atraso]]+Tabla14[[#This Row],[Facturación Venta nueva]]*Tabla14[[#This Row],[Precio venta nueva]])+(Tabla14[[#This Row],[En puerto a facturar]]+Tabla14[[#This Row],[Facturación stock]])*Tabla14[[#This Row],[Precio Atraso]])/Tabla14[[#This Row],[Plan Ajustado]])</f>
        <v>0.7</v>
      </c>
      <c r="AW327" s="98">
        <f>Tabla14[[#This Row],[Pecio plan]]*Tabla14[[#This Row],[Plan Ajustado]]</f>
        <v>22400</v>
      </c>
      <c r="AX327" s="30">
        <f>IFERROR(VLOOKUP(Tabla14[[#This Row],[Llave]],'[13]Ultimos precios facturados'!$A:$G,7,FALSE),0)</f>
        <v>0</v>
      </c>
      <c r="AY327" s="99" t="str">
        <f>IF(AND(Tabla14[[#This Row],[Precio ponderado]]&gt;0,Tabla14[[#This Row],[Precio Ultima facturación]]&gt;0),(ABS(Tabla14[[#This Row],[Precio Ultima facturación]]-Tabla14[[#This Row],[Precio ponderado]])/Tabla14[[#This Row],[Precio Ultima facturación]]),"No Aplica")</f>
        <v>No Aplica</v>
      </c>
      <c r="AZ327" s="30"/>
      <c r="BA327" s="30">
        <f>IF(AND(Tabla14[[#This Row],[Plan Irrestricto (DATO)]]&gt;0,Tabla14[[#This Row],[Precio ponderado]]=0),Tabla14[[#This Row],[Precio Ultima facturación]],IF(AND(Tabla14[[#This Row],[Plan Irrestricto (DATO)]]&gt;0,Tabla14[[#This Row],[Precio ponderado]]&gt;0),Tabla14[[#This Row],[Precio ponderado]],0))</f>
        <v>0.7</v>
      </c>
      <c r="BB327" s="30">
        <v>0</v>
      </c>
      <c r="BC327" s="30">
        <f>IF(Tabla14[[#This Row],[Market]]=0,Tabla14[[#This Row],[Precio Final]],Tabla14[[#This Row],[Market]])</f>
        <v>0.7</v>
      </c>
      <c r="BD327" s="99"/>
      <c r="BE327" s="99" t="str">
        <f>IF(AND(Tabla14[[#This Row],[Atraso a facturar]]&gt;0,Tabla14[[#This Row],[En puerto a facturar]]&gt;0,Tabla14[[#This Row],[Precio Atraso]]=0),"Revisar","OK")</f>
        <v>OK</v>
      </c>
      <c r="BF327" s="99" t="str">
        <f>IF(AND(Tabla14[[#This Row],[Venta del mes]]&gt;0,Tabla14[[#This Row],[Precio venta nueva]]=0),"Revisar","OK")</f>
        <v>OK</v>
      </c>
      <c r="BG327" s="20">
        <f>IFERROR(VLOOKUP(Tabla14[[#This Row],[Llave]],'[5]Consolidación planes'!$A:$M,9,FALSE),0)</f>
        <v>0</v>
      </c>
      <c r="BH327" s="20">
        <f>IFERROR(VLOOKUP(Tabla14[[#This Row],[Llave]],'[5]Consolidación planes'!$A:$M,10,FALSE),0)</f>
        <v>0</v>
      </c>
      <c r="BI327" s="20">
        <f>IFERROR(VLOOKUP(Tabla14[[#This Row],[Llave]],'[5]Consolidación planes'!$A:$M,11,FALSE),0)</f>
        <v>0</v>
      </c>
      <c r="BJ327" s="20">
        <f>IFERROR(VLOOKUP(Tabla14[[#This Row],[Llave]],'[5]Consolidación planes'!$A:$M,12,FALSE),0)</f>
        <v>0</v>
      </c>
      <c r="BK327" s="20">
        <f>IFERROR(VLOOKUP(Tabla14[[#This Row],[Llave]],'[5]Consolidación planes'!$A:$M,13,FALSE),0)</f>
        <v>0</v>
      </c>
      <c r="BL327" s="35">
        <f>IFERROR(VLOOKUP(Tabla14[[#This Row],[Llave]],'[13]Base ultimos planes'!$A:$M,13,FALSE),0)</f>
        <v>0</v>
      </c>
      <c r="BM327" s="35">
        <f>IFERROR(VLOOKUP(Tabla14[[#This Row],[Llave]],'[13]Cruce plan irrestricto'!$C:$M,10,FALSE),0)</f>
        <v>0</v>
      </c>
      <c r="BN327" s="35">
        <f>IFERROR(VLOOKUP(Tabla14[[#This Row],[Llave]],'[13]Cruce plan irrestricto'!$C:$M,11,FALSE),0)</f>
        <v>0</v>
      </c>
      <c r="BO327" s="80">
        <f>IFERROR(VLOOKUP(Tabla14[[#This Row],[Llave]],'[13]Base ultimos planes'!$O:$AA,8,FALSE),0)</f>
        <v>0</v>
      </c>
      <c r="BP327" s="100">
        <f>IFERROR(VLOOKUP(Tabla14[[#This Row],[Llave]],'[13]Base ultimos planes'!$O:$AA,9,FALSE),0)</f>
        <v>0</v>
      </c>
      <c r="BQ327" s="100">
        <f>IFERROR(VLOOKUP(Tabla14[[#This Row],[Llave]],'[13]Base ultimos planes'!$O:$AA,10,FALSE),0)</f>
        <v>0</v>
      </c>
      <c r="BR327" s="100">
        <f>IFERROR(VLOOKUP(Tabla14[[#This Row],[Llave]],'[13]Base ultimos planes'!$O:$AA,11,FALSE),0)</f>
        <v>0</v>
      </c>
      <c r="BS327" s="100">
        <f>IFERROR(VLOOKUP(Tabla14[[#This Row],[Llave]],'[13]Base ultimos planes'!$O:$AA,12,FALSE),0)</f>
        <v>0</v>
      </c>
      <c r="BT327" s="100">
        <f>IFERROR(VLOOKUP(Tabla14[[#This Row],[Llave]],'[13]Base ultimos planes'!$O:$AA,13,FALSE),0)</f>
        <v>0</v>
      </c>
      <c r="BU327" s="35"/>
      <c r="BV327" s="20">
        <f>Tabla14[[#This Row],[ RV Producción mes n+1]]-Tabla14[[#This Row],[Producción disponible]]+Tabla14[[#This Row],[Saldo Volumen disponible]]</f>
        <v>115215.3517</v>
      </c>
      <c r="BW327" s="20">
        <f>IFERROR(VLOOKUP(Tabla14[[#This Row],[Llave]],[14]Hoja2!$J:$N,4,FALSE),0)</f>
        <v>0</v>
      </c>
      <c r="BX327" s="20">
        <f>+Tabla14[[#This Row],[Asignación mes n+1]]*Tabla14[[#This Row],[% Uti. producción]]</f>
        <v>0</v>
      </c>
      <c r="BY327" s="20">
        <f>+Tabla14[[#This Row],[Ponderación mes n+1]]+Tabla14[[#This Row],[Saldo mes n-1]]</f>
        <v>115215.3517</v>
      </c>
      <c r="BZ327" s="20">
        <f>+Tabla14[[#This Row],[Asignación mes n+1]]-Tabla14[[#This Row],[Ponderación mes n+1]]</f>
        <v>0</v>
      </c>
      <c r="CA327" s="20">
        <f>IFERROR(VLOOKUP(Tabla14[[#This Row],[Llave]],[14]Hoja2!$J:$N,5,FALSE),0)</f>
        <v>0</v>
      </c>
      <c r="CB327" s="20">
        <f>+Tabla14[[#This Row],[Asignación mes n+2]]*Tabla14[[#This Row],[% Uti. producción]]</f>
        <v>0</v>
      </c>
      <c r="CC327" s="20">
        <f>+Tabla14[[#This Row],[Saldo mes n+2]]+Tabla14[[#This Row],[Ponderación mes n+2]]</f>
        <v>0</v>
      </c>
      <c r="CD327" s="20">
        <f>+Tabla14[[#This Row],[Asignación mes n+2]]-Tabla14[[#This Row],[Ponderación mes n+2]]</f>
        <v>0</v>
      </c>
    </row>
    <row r="330" spans="2:82" x14ac:dyDescent="0.2">
      <c r="B330" t="s">
        <v>718</v>
      </c>
    </row>
    <row r="331" spans="2:82" x14ac:dyDescent="0.2">
      <c r="B331" t="s">
        <v>898</v>
      </c>
    </row>
    <row r="332" spans="2:82" x14ac:dyDescent="0.2">
      <c r="B332" t="s">
        <v>899</v>
      </c>
      <c r="P332" s="185">
        <f>+P93/R93</f>
        <v>21.847399929001053</v>
      </c>
    </row>
    <row r="333" spans="2:82" x14ac:dyDescent="0.2">
      <c r="B333" t="s">
        <v>900</v>
      </c>
    </row>
    <row r="334" spans="2:82" x14ac:dyDescent="0.2">
      <c r="B334" t="s">
        <v>715</v>
      </c>
      <c r="P334" s="7">
        <f>21*22000</f>
        <v>462000</v>
      </c>
    </row>
    <row r="335" spans="2:82" x14ac:dyDescent="0.2">
      <c r="B335" t="s">
        <v>714</v>
      </c>
      <c r="P335" s="7">
        <f>+P334+AD93</f>
        <v>638027.80000000005</v>
      </c>
    </row>
    <row r="336" spans="2:82" x14ac:dyDescent="0.2">
      <c r="B336" t="s">
        <v>901</v>
      </c>
    </row>
    <row r="337" spans="2:2" x14ac:dyDescent="0.2">
      <c r="B337" t="s">
        <v>902</v>
      </c>
    </row>
    <row r="360" spans="6:6" x14ac:dyDescent="0.2">
      <c r="F360">
        <v>0</v>
      </c>
    </row>
    <row r="361" spans="6:6" x14ac:dyDescent="0.2">
      <c r="F361">
        <v>0</v>
      </c>
    </row>
    <row r="362" spans="6:6" x14ac:dyDescent="0.2">
      <c r="F362">
        <v>0</v>
      </c>
    </row>
    <row r="363" spans="6:6" x14ac:dyDescent="0.2">
      <c r="F363">
        <v>0</v>
      </c>
    </row>
    <row r="364" spans="6:6" x14ac:dyDescent="0.2">
      <c r="F364">
        <v>0</v>
      </c>
    </row>
    <row r="365" spans="6:6" x14ac:dyDescent="0.2">
      <c r="F365">
        <v>0</v>
      </c>
    </row>
    <row r="366" spans="6:6" x14ac:dyDescent="0.2">
      <c r="F366">
        <v>0</v>
      </c>
    </row>
    <row r="367" spans="6:6" x14ac:dyDescent="0.2">
      <c r="F367">
        <v>0</v>
      </c>
    </row>
    <row r="368" spans="6:6" x14ac:dyDescent="0.2">
      <c r="F368">
        <v>0</v>
      </c>
    </row>
    <row r="369" spans="6:6" x14ac:dyDescent="0.2">
      <c r="F369">
        <v>0</v>
      </c>
    </row>
    <row r="370" spans="6:6" x14ac:dyDescent="0.2">
      <c r="F370">
        <v>0</v>
      </c>
    </row>
    <row r="371" spans="6:6" x14ac:dyDescent="0.2">
      <c r="F371">
        <v>0</v>
      </c>
    </row>
    <row r="372" spans="6:6" x14ac:dyDescent="0.2">
      <c r="F372">
        <v>0</v>
      </c>
    </row>
    <row r="373" spans="6:6" x14ac:dyDescent="0.2">
      <c r="F373">
        <v>0</v>
      </c>
    </row>
    <row r="374" spans="6:6" x14ac:dyDescent="0.2">
      <c r="F374">
        <v>0</v>
      </c>
    </row>
    <row r="375" spans="6:6" x14ac:dyDescent="0.2">
      <c r="F375">
        <v>0</v>
      </c>
    </row>
    <row r="376" spans="6:6" x14ac:dyDescent="0.2">
      <c r="F376">
        <v>0</v>
      </c>
    </row>
    <row r="377" spans="6:6" x14ac:dyDescent="0.2">
      <c r="F377">
        <v>0</v>
      </c>
    </row>
    <row r="378" spans="6:6" x14ac:dyDescent="0.2">
      <c r="F378">
        <v>0</v>
      </c>
    </row>
    <row r="379" spans="6:6" x14ac:dyDescent="0.2">
      <c r="F379">
        <v>0</v>
      </c>
    </row>
    <row r="380" spans="6:6" x14ac:dyDescent="0.2">
      <c r="F380">
        <v>-66000</v>
      </c>
    </row>
    <row r="381" spans="6:6" x14ac:dyDescent="0.2">
      <c r="F381">
        <v>0</v>
      </c>
    </row>
    <row r="382" spans="6:6" x14ac:dyDescent="0.2">
      <c r="F382">
        <v>0</v>
      </c>
    </row>
    <row r="383" spans="6:6" x14ac:dyDescent="0.2">
      <c r="F383">
        <v>0</v>
      </c>
    </row>
    <row r="384" spans="6:6" x14ac:dyDescent="0.2">
      <c r="F384">
        <v>0</v>
      </c>
    </row>
    <row r="385" spans="6:6" x14ac:dyDescent="0.2">
      <c r="F385">
        <v>0</v>
      </c>
    </row>
    <row r="386" spans="6:6" x14ac:dyDescent="0.2">
      <c r="F386">
        <v>0</v>
      </c>
    </row>
    <row r="387" spans="6:6" x14ac:dyDescent="0.2">
      <c r="F387">
        <v>0</v>
      </c>
    </row>
    <row r="388" spans="6:6" x14ac:dyDescent="0.2">
      <c r="F388">
        <v>0</v>
      </c>
    </row>
    <row r="389" spans="6:6" x14ac:dyDescent="0.2">
      <c r="F389">
        <v>0</v>
      </c>
    </row>
    <row r="390" spans="6:6" x14ac:dyDescent="0.2">
      <c r="F390">
        <v>-48000</v>
      </c>
    </row>
    <row r="391" spans="6:6" x14ac:dyDescent="0.2">
      <c r="F391">
        <v>0</v>
      </c>
    </row>
    <row r="392" spans="6:6" x14ac:dyDescent="0.2">
      <c r="F392">
        <v>0</v>
      </c>
    </row>
    <row r="393" spans="6:6" x14ac:dyDescent="0.2">
      <c r="F393">
        <v>0</v>
      </c>
    </row>
    <row r="497" spans="6:6" x14ac:dyDescent="0.2">
      <c r="F497">
        <v>0</v>
      </c>
    </row>
    <row r="498" spans="6:6" x14ac:dyDescent="0.2">
      <c r="F498">
        <v>0</v>
      </c>
    </row>
    <row r="499" spans="6:6" x14ac:dyDescent="0.2">
      <c r="F499">
        <v>0</v>
      </c>
    </row>
    <row r="524" spans="6:6" x14ac:dyDescent="0.2">
      <c r="F524">
        <v>-5000</v>
      </c>
    </row>
    <row r="525" spans="6:6" x14ac:dyDescent="0.2">
      <c r="F525">
        <v>-600000</v>
      </c>
    </row>
    <row r="546" spans="6:6" x14ac:dyDescent="0.2">
      <c r="F546">
        <v>0</v>
      </c>
    </row>
    <row r="552" spans="6:6" x14ac:dyDescent="0.2">
      <c r="F552">
        <v>0</v>
      </c>
    </row>
    <row r="553" spans="6:6" x14ac:dyDescent="0.2">
      <c r="F553">
        <v>0</v>
      </c>
    </row>
    <row r="554" spans="6:6" x14ac:dyDescent="0.2">
      <c r="F554">
        <v>-24000</v>
      </c>
    </row>
    <row r="555" spans="6:6" x14ac:dyDescent="0.2">
      <c r="F555">
        <v>0</v>
      </c>
    </row>
    <row r="564" spans="6:6" x14ac:dyDescent="0.2">
      <c r="F564">
        <v>0</v>
      </c>
    </row>
    <row r="581" spans="6:6" x14ac:dyDescent="0.2">
      <c r="F581">
        <v>0</v>
      </c>
    </row>
  </sheetData>
  <autoFilter ref="A9:A310" xr:uid="{A4C1E6EB-CE18-49E7-895E-CADD47765CD3}"/>
  <mergeCells count="2">
    <mergeCell ref="BG8:BL8"/>
    <mergeCell ref="BO8:BT8"/>
  </mergeCells>
  <phoneticPr fontId="11" type="noConversion"/>
  <conditionalFormatting sqref="E1:E1048576">
    <cfRule type="duplicateValues" dxfId="419" priority="9"/>
    <cfRule type="duplicateValues" dxfId="418" priority="13"/>
  </conditionalFormatting>
  <conditionalFormatting sqref="B1:B1048576 C1:XFD1">
    <cfRule type="duplicateValues" dxfId="417" priority="10"/>
    <cfRule type="duplicateValues" dxfId="416" priority="11"/>
    <cfRule type="duplicateValues" dxfId="415" priority="12"/>
  </conditionalFormatting>
  <conditionalFormatting sqref="AA10 AA11:AS72 AF10 AF309:AF319 AA73:AL73 AO73:AS73 AA109:AS109 AA108:AL108 AO108:AS108 AA110:AL110 AO110:AS110 AA240:AL241 AO240:AS241 AC10 AA74:AS107 AA111:AS236 AA242:AS308 AA238:AS239 AA237:AM237 AO237:AS237">
    <cfRule type="cellIs" dxfId="414" priority="8" operator="equal">
      <formula>"Venta insuficiente"</formula>
    </cfRule>
  </conditionalFormatting>
  <conditionalFormatting sqref="E10:E327">
    <cfRule type="duplicateValues" dxfId="413" priority="14"/>
  </conditionalFormatting>
  <conditionalFormatting sqref="AM108:AN108">
    <cfRule type="cellIs" dxfId="412" priority="7" operator="equal">
      <formula>"Venta insuficiente"</formula>
    </cfRule>
  </conditionalFormatting>
  <conditionalFormatting sqref="AM110">
    <cfRule type="cellIs" dxfId="411" priority="6" operator="equal">
      <formula>"Venta insuficiente"</formula>
    </cfRule>
  </conditionalFormatting>
  <conditionalFormatting sqref="AM240:AN240">
    <cfRule type="cellIs" dxfId="410" priority="5" operator="equal">
      <formula>"Venta insuficiente"</formula>
    </cfRule>
  </conditionalFormatting>
  <conditionalFormatting sqref="AM241">
    <cfRule type="cellIs" dxfId="409" priority="4" operator="equal">
      <formula>"Venta insuficiente"</formula>
    </cfRule>
  </conditionalFormatting>
  <conditionalFormatting sqref="AN110">
    <cfRule type="cellIs" dxfId="408" priority="3" operator="equal">
      <formula>"Venta insuficiente"</formula>
    </cfRule>
  </conditionalFormatting>
  <conditionalFormatting sqref="AN241">
    <cfRule type="cellIs" dxfId="407" priority="2" operator="equal">
      <formula>"Venta insuficiente"</formula>
    </cfRule>
  </conditionalFormatting>
  <conditionalFormatting sqref="AN237">
    <cfRule type="cellIs" dxfId="406" priority="1" operator="equal">
      <formula>"Venta insuficiente"</formula>
    </cfRule>
  </conditionalFormatting>
  <pageMargins left="0.7" right="0.7" top="0.75" bottom="0.75" header="0.3" footer="0.3"/>
  <pageSetup orientation="portrait" r:id="rId1"/>
  <customProperties>
    <customPr name="_pios_id" r:id="rId2"/>
    <customPr name="IbpWorksheetKeyString_GUID" r:id="rId3"/>
  </customProperties>
  <drawing r:id="rId4"/>
  <tableParts count="1"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5" id="{CF0789BD-C6B7-42FF-836E-20B7B3062AAE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96000</xm:f>
              </x14:cfvo>
              <x14:cfIcon iconSet="NoIcons" iconId="0"/>
              <x14:cfIcon iconSet="3Symbols" iconId="1"/>
              <x14:cfIcon iconSet="3Symbols" iconId="1"/>
            </x14:iconSet>
          </x14:cfRule>
          <xm:sqref>AA11:AC319 AA10 AC10</xm:sqref>
        </x14:conditionalFormatting>
      </x14:conditionalFormattings>
    </ext>
    <ext xmlns:x15="http://schemas.microsoft.com/office/spreadsheetml/2010/11/main" uri="{3A4CF648-6AED-40f4-86FF-DC5316D8AED3}">
      <x14:slicerList xmlns:x14="http://schemas.microsoft.com/office/spreadsheetml/2009/9/main">
        <x14:slicer r:id="rId6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17079-3098-4DEF-BD7B-81311C972B42}">
  <sheetPr filterMode="1"/>
  <dimension ref="A1:L41"/>
  <sheetViews>
    <sheetView showGridLines="0" zoomScale="80" zoomScaleNormal="80" workbookViewId="0">
      <selection activeCell="D36" sqref="D36:H39"/>
    </sheetView>
  </sheetViews>
  <sheetFormatPr baseColWidth="10" defaultRowHeight="15" x14ac:dyDescent="0.2"/>
  <cols>
    <col min="1" max="1" width="17.6640625" bestFit="1" customWidth="1"/>
    <col min="2" max="2" width="30" bestFit="1" customWidth="1"/>
    <col min="3" max="3" width="20.6640625" bestFit="1" customWidth="1"/>
    <col min="4" max="4" width="18.83203125" bestFit="1" customWidth="1"/>
    <col min="5" max="5" width="12.6640625" customWidth="1"/>
    <col min="6" max="6" width="13.1640625" customWidth="1"/>
    <col min="7" max="7" width="12" customWidth="1"/>
    <col min="8" max="8" width="15.1640625" customWidth="1"/>
    <col min="9" max="9" width="21.1640625" bestFit="1" customWidth="1"/>
    <col min="10" max="10" width="25.6640625" bestFit="1" customWidth="1"/>
    <col min="11" max="11" width="12.6640625" bestFit="1" customWidth="1"/>
    <col min="12" max="12" width="10" bestFit="1" customWidth="1"/>
  </cols>
  <sheetData>
    <row r="1" spans="1:11" x14ac:dyDescent="0.2">
      <c r="A1" s="10" t="s">
        <v>0</v>
      </c>
      <c r="B1" t="s">
        <v>6</v>
      </c>
    </row>
    <row r="2" spans="1:11" x14ac:dyDescent="0.2">
      <c r="C2" s="13" t="e">
        <f>+C4-B4</f>
        <v>#VALUE!</v>
      </c>
    </row>
    <row r="3" spans="1:11" x14ac:dyDescent="0.2">
      <c r="B3" s="10" t="s">
        <v>833</v>
      </c>
    </row>
    <row r="4" spans="1:11" x14ac:dyDescent="0.2">
      <c r="A4" s="10" t="s">
        <v>1</v>
      </c>
      <c r="B4" t="s">
        <v>419</v>
      </c>
      <c r="C4" t="s">
        <v>641</v>
      </c>
      <c r="D4" t="s">
        <v>827</v>
      </c>
      <c r="E4" t="s">
        <v>828</v>
      </c>
      <c r="F4" t="s">
        <v>830</v>
      </c>
      <c r="G4" t="s">
        <v>912</v>
      </c>
      <c r="H4" t="s">
        <v>704</v>
      </c>
      <c r="I4" t="s">
        <v>831</v>
      </c>
    </row>
    <row r="5" spans="1:11" x14ac:dyDescent="0.2">
      <c r="A5" t="s">
        <v>17</v>
      </c>
      <c r="B5" s="13">
        <v>2556370</v>
      </c>
      <c r="C5" s="13">
        <v>906451.57010710787</v>
      </c>
      <c r="D5" s="13">
        <v>1919112.6579999994</v>
      </c>
      <c r="E5" s="109">
        <v>3086592.6868710802</v>
      </c>
      <c r="F5" s="13">
        <v>190326.60999999996</v>
      </c>
      <c r="G5" s="3">
        <v>2797501.61</v>
      </c>
      <c r="H5" s="13">
        <v>2586502.61</v>
      </c>
      <c r="I5" s="13">
        <v>1649918.4298928927</v>
      </c>
    </row>
    <row r="6" spans="1:11" x14ac:dyDescent="0.2">
      <c r="A6" t="s">
        <v>173</v>
      </c>
      <c r="B6" s="13">
        <v>2650269</v>
      </c>
      <c r="C6" s="13">
        <v>1019724.5722706958</v>
      </c>
      <c r="D6" s="13">
        <v>1472429.3109999998</v>
      </c>
      <c r="E6" s="109">
        <v>3153147.8308114908</v>
      </c>
      <c r="F6" s="13">
        <v>688333.64999999991</v>
      </c>
      <c r="G6" s="3">
        <v>3507333.65</v>
      </c>
      <c r="H6" s="13">
        <v>2781333.65</v>
      </c>
      <c r="I6" s="13">
        <v>1630544.4277293042</v>
      </c>
    </row>
    <row r="7" spans="1:11" x14ac:dyDescent="0.2">
      <c r="A7" t="s">
        <v>7</v>
      </c>
      <c r="B7" s="13">
        <v>782411</v>
      </c>
      <c r="C7" s="13">
        <v>605107.93394065066</v>
      </c>
      <c r="D7" s="13">
        <v>655216.84000000008</v>
      </c>
      <c r="E7" s="109">
        <v>1258797.2161280981</v>
      </c>
      <c r="F7" s="13">
        <v>0</v>
      </c>
      <c r="G7" s="3">
        <v>1200000</v>
      </c>
      <c r="H7" s="13">
        <v>694000</v>
      </c>
      <c r="I7" s="13">
        <v>177303.06605934931</v>
      </c>
    </row>
    <row r="8" spans="1:11" x14ac:dyDescent="0.2">
      <c r="A8" t="s">
        <v>88</v>
      </c>
      <c r="B8" s="13">
        <v>1914909</v>
      </c>
      <c r="C8" s="13">
        <v>1480969.2459261911</v>
      </c>
      <c r="D8" s="13">
        <v>1283472.8769999994</v>
      </c>
      <c r="E8" s="109">
        <v>3049356.7341041961</v>
      </c>
      <c r="F8" s="13">
        <v>0</v>
      </c>
      <c r="G8" s="3">
        <v>2923594.1212653858</v>
      </c>
      <c r="H8" s="13">
        <v>1929734.8590624055</v>
      </c>
      <c r="I8" s="13">
        <v>433939.75407380861</v>
      </c>
    </row>
    <row r="9" spans="1:11" x14ac:dyDescent="0.2">
      <c r="A9" t="s">
        <v>350</v>
      </c>
      <c r="B9" s="13">
        <v>7903959</v>
      </c>
      <c r="C9" s="13">
        <v>4012253.3222446451</v>
      </c>
      <c r="D9" s="13">
        <v>5330231.6859999988</v>
      </c>
      <c r="E9" s="13">
        <v>10547894.467914864</v>
      </c>
      <c r="F9" s="13">
        <v>878660.25999999989</v>
      </c>
      <c r="G9" s="3">
        <v>10428429.381265385</v>
      </c>
      <c r="H9" s="13">
        <v>7991571.1190624051</v>
      </c>
      <c r="I9" s="13">
        <v>3891705.6777553544</v>
      </c>
    </row>
    <row r="15" spans="1:11" x14ac:dyDescent="0.2">
      <c r="D15" s="13"/>
    </row>
    <row r="16" spans="1:11" x14ac:dyDescent="0.2">
      <c r="D16" s="12" t="s">
        <v>1</v>
      </c>
      <c r="E16" s="12" t="s">
        <v>834</v>
      </c>
      <c r="F16" s="12" t="s">
        <v>641</v>
      </c>
      <c r="G16" s="12" t="s">
        <v>637</v>
      </c>
      <c r="H16" s="176" t="s">
        <v>836</v>
      </c>
      <c r="I16" s="12" t="s">
        <v>837</v>
      </c>
      <c r="J16" s="12" t="s">
        <v>412</v>
      </c>
      <c r="K16" s="12" t="s">
        <v>411</v>
      </c>
    </row>
    <row r="17" spans="1:12" x14ac:dyDescent="0.2">
      <c r="D17" t="str">
        <f>+A5</f>
        <v>Agro Sudamerica</v>
      </c>
      <c r="E17" s="13">
        <f>+B5</f>
        <v>2556370</v>
      </c>
      <c r="F17" s="13">
        <f>+C5</f>
        <v>906451.57010710787</v>
      </c>
      <c r="G17" s="13">
        <f t="shared" ref="G17:G20" si="0">+D5</f>
        <v>1919112.6579999994</v>
      </c>
      <c r="H17" s="13">
        <f>+I17-SUM(F17:G17)</f>
        <v>261028.45876397286</v>
      </c>
      <c r="I17" s="178">
        <f>+E5</f>
        <v>3086592.6868710802</v>
      </c>
      <c r="J17" s="13">
        <f>+G5</f>
        <v>2797501.61</v>
      </c>
      <c r="K17" s="13">
        <f>+H5</f>
        <v>2586502.61</v>
      </c>
      <c r="L17" s="13">
        <f>+K17-J17</f>
        <v>-210999</v>
      </c>
    </row>
    <row r="18" spans="1:12" x14ac:dyDescent="0.2">
      <c r="A18" t="s">
        <v>0</v>
      </c>
      <c r="B18" t="s">
        <v>356</v>
      </c>
      <c r="D18" t="str">
        <f t="shared" ref="D18:D20" si="1">+A6</f>
        <v>Agrosuper Asia</v>
      </c>
      <c r="E18" s="13">
        <f t="shared" ref="E18:F20" si="2">+B6</f>
        <v>2650269</v>
      </c>
      <c r="F18" s="13">
        <f t="shared" si="2"/>
        <v>1019724.5722706958</v>
      </c>
      <c r="G18" s="13">
        <f t="shared" si="0"/>
        <v>1472429.3109999998</v>
      </c>
      <c r="H18" s="13">
        <f t="shared" ref="H18:H20" si="3">+I18-SUM(F18:G18)</f>
        <v>660993.94754079496</v>
      </c>
      <c r="I18" s="178">
        <f t="shared" ref="I18:I20" si="4">+E6</f>
        <v>3153147.8308114908</v>
      </c>
      <c r="J18" s="13">
        <f>+G6</f>
        <v>3507333.65</v>
      </c>
      <c r="K18" s="109">
        <f>+H6</f>
        <v>2781333.65</v>
      </c>
      <c r="L18" s="13">
        <f t="shared" ref="L18:L20" si="5">+K18-J18</f>
        <v>-726000</v>
      </c>
    </row>
    <row r="19" spans="1:12" x14ac:dyDescent="0.2">
      <c r="C19" s="13"/>
      <c r="D19" t="str">
        <f t="shared" si="1"/>
        <v>Agrosuper Brasil</v>
      </c>
      <c r="E19" s="13">
        <f t="shared" si="2"/>
        <v>782411</v>
      </c>
      <c r="F19" s="13">
        <f t="shared" si="2"/>
        <v>605107.93394065066</v>
      </c>
      <c r="G19" s="13">
        <f t="shared" si="0"/>
        <v>655216.84000000008</v>
      </c>
      <c r="H19" s="13">
        <f>+I19-SUM(F19:G19)+1600</f>
        <v>72.442187447333708</v>
      </c>
      <c r="I19" s="178">
        <f t="shared" si="4"/>
        <v>1258797.2161280981</v>
      </c>
      <c r="J19" s="13">
        <f t="shared" ref="J19" si="6">+G7</f>
        <v>1200000</v>
      </c>
      <c r="K19" s="109">
        <f>+H7</f>
        <v>694000</v>
      </c>
      <c r="L19" s="13">
        <f t="shared" si="5"/>
        <v>-506000</v>
      </c>
    </row>
    <row r="20" spans="1:12" x14ac:dyDescent="0.2">
      <c r="A20" t="s">
        <v>832</v>
      </c>
      <c r="D20" t="str">
        <f t="shared" si="1"/>
        <v>Exportacion Directa</v>
      </c>
      <c r="E20" s="13">
        <f t="shared" si="2"/>
        <v>1914909</v>
      </c>
      <c r="F20" s="13">
        <f t="shared" si="2"/>
        <v>1480969.2459261911</v>
      </c>
      <c r="G20" s="13">
        <f t="shared" si="0"/>
        <v>1283472.8769999994</v>
      </c>
      <c r="H20" s="13">
        <f t="shared" si="3"/>
        <v>284914.61117800558</v>
      </c>
      <c r="I20" s="178">
        <f t="shared" si="4"/>
        <v>3049356.7341041961</v>
      </c>
      <c r="J20" s="13">
        <f>+B26</f>
        <v>3146935.0901425523</v>
      </c>
      <c r="K20" s="109">
        <f>+H8</f>
        <v>1929734.8590624055</v>
      </c>
      <c r="L20" s="13">
        <f t="shared" si="5"/>
        <v>-1217200.2310801467</v>
      </c>
    </row>
    <row r="21" spans="1:12" ht="19" x14ac:dyDescent="0.25">
      <c r="A21" t="s">
        <v>1</v>
      </c>
      <c r="B21" t="s">
        <v>729</v>
      </c>
      <c r="D21" s="177" t="s">
        <v>729</v>
      </c>
      <c r="E21" s="177">
        <f t="shared" ref="E21:K21" si="7">SUM(E17:E20)</f>
        <v>7903959</v>
      </c>
      <c r="F21" s="177">
        <f t="shared" si="7"/>
        <v>4012253.3222446451</v>
      </c>
      <c r="G21" s="177">
        <f t="shared" si="7"/>
        <v>5330231.6859999988</v>
      </c>
      <c r="H21" s="177">
        <f t="shared" si="7"/>
        <v>1207009.4596702207</v>
      </c>
      <c r="I21" s="177">
        <f t="shared" si="7"/>
        <v>10547894.467914864</v>
      </c>
      <c r="J21" s="177">
        <f t="shared" si="7"/>
        <v>10651770.350142552</v>
      </c>
      <c r="K21" s="177">
        <f t="shared" si="7"/>
        <v>7991571.1190624051</v>
      </c>
    </row>
    <row r="22" spans="1:12" x14ac:dyDescent="0.2">
      <c r="A22" t="s">
        <v>370</v>
      </c>
      <c r="B22" s="13">
        <v>311989.05</v>
      </c>
    </row>
    <row r="23" spans="1:12" x14ac:dyDescent="0.2">
      <c r="A23" t="s">
        <v>17</v>
      </c>
      <c r="B23" s="13">
        <v>5744193.3500000006</v>
      </c>
      <c r="F23" s="38">
        <f>+F21/E21</f>
        <v>0.50762577617680515</v>
      </c>
      <c r="I23" s="13">
        <f>+I21-J21</f>
        <v>-103875.88222768717</v>
      </c>
      <c r="K23" s="13">
        <f>+J21-K21</f>
        <v>2660199.2310801465</v>
      </c>
    </row>
    <row r="24" spans="1:12" x14ac:dyDescent="0.2">
      <c r="A24" t="s">
        <v>173</v>
      </c>
      <c r="B24" s="13">
        <v>4050370.86</v>
      </c>
      <c r="I24" s="3"/>
    </row>
    <row r="25" spans="1:12" x14ac:dyDescent="0.2">
      <c r="A25" t="s">
        <v>7</v>
      </c>
      <c r="B25" s="13">
        <v>862000</v>
      </c>
      <c r="F25" s="51">
        <f>1-F23</f>
        <v>0.49237422382319485</v>
      </c>
    </row>
    <row r="26" spans="1:12" x14ac:dyDescent="0.2">
      <c r="A26" t="s">
        <v>88</v>
      </c>
      <c r="B26" s="13">
        <v>3146935.0901425523</v>
      </c>
    </row>
    <row r="27" spans="1:12" x14ac:dyDescent="0.2">
      <c r="A27" t="s">
        <v>350</v>
      </c>
      <c r="B27" s="13">
        <v>14115488.350142552</v>
      </c>
      <c r="D27" s="12" t="s">
        <v>1</v>
      </c>
      <c r="E27" s="12" t="s">
        <v>835</v>
      </c>
      <c r="F27" s="12" t="s">
        <v>838</v>
      </c>
      <c r="G27" s="12" t="s">
        <v>913</v>
      </c>
      <c r="H27" s="176" t="s">
        <v>849</v>
      </c>
      <c r="I27" s="176" t="s">
        <v>914</v>
      </c>
    </row>
    <row r="28" spans="1:12" x14ac:dyDescent="0.2">
      <c r="D28" t="str">
        <f>+D17</f>
        <v>Agro Sudamerica</v>
      </c>
      <c r="E28" s="13">
        <f>+E17-F17</f>
        <v>1649918.429892892</v>
      </c>
      <c r="F28" s="13">
        <f>+I17-K17</f>
        <v>500090.07687108032</v>
      </c>
      <c r="G28" s="13">
        <f>+SUM(E28:F28)</f>
        <v>2150008.5067639723</v>
      </c>
      <c r="H28" s="13">
        <f>+F5</f>
        <v>190326.60999999996</v>
      </c>
      <c r="I28" s="13">
        <f>+G28-H28</f>
        <v>1959681.8967639725</v>
      </c>
      <c r="J28" s="13">
        <f>+I28-G17</f>
        <v>40569.238763973117</v>
      </c>
    </row>
    <row r="29" spans="1:12" x14ac:dyDescent="0.2">
      <c r="D29" t="str">
        <f>+D18</f>
        <v>Agrosuper Asia</v>
      </c>
      <c r="E29" s="13">
        <f>+E18-F18</f>
        <v>1630544.4277293042</v>
      </c>
      <c r="F29" s="13">
        <f>+I18-K18</f>
        <v>371814.18081149086</v>
      </c>
      <c r="G29" s="13">
        <f t="shared" ref="G29:G32" si="8">+SUM(E29:F29)</f>
        <v>2002358.608540795</v>
      </c>
      <c r="H29" s="13">
        <f t="shared" ref="H29:H32" si="9">+F6</f>
        <v>688333.64999999991</v>
      </c>
      <c r="I29" s="13">
        <f t="shared" ref="I29:I32" si="10">+G29-H29</f>
        <v>1314024.9585407951</v>
      </c>
      <c r="J29" s="13">
        <f t="shared" ref="J29:J32" si="11">+I29-G18</f>
        <v>-158404.35245920462</v>
      </c>
    </row>
    <row r="30" spans="1:12" x14ac:dyDescent="0.2">
      <c r="D30" t="str">
        <f>+D19</f>
        <v>Agrosuper Brasil</v>
      </c>
      <c r="E30" s="13">
        <f>+E19-F19</f>
        <v>177303.06605934934</v>
      </c>
      <c r="F30" s="13">
        <f>+I19-K19</f>
        <v>564797.21612809808</v>
      </c>
      <c r="G30" s="13">
        <f t="shared" si="8"/>
        <v>742100.28218744742</v>
      </c>
      <c r="H30" s="13">
        <f t="shared" si="9"/>
        <v>0</v>
      </c>
      <c r="I30" s="13">
        <f t="shared" si="10"/>
        <v>742100.28218744742</v>
      </c>
      <c r="J30" s="13">
        <f t="shared" si="11"/>
        <v>86883.442187447334</v>
      </c>
    </row>
    <row r="31" spans="1:12" x14ac:dyDescent="0.2">
      <c r="D31" t="str">
        <f>+D20</f>
        <v>Exportacion Directa</v>
      </c>
      <c r="E31" s="13">
        <f>+E20-F20</f>
        <v>433939.7540738089</v>
      </c>
      <c r="F31" s="13">
        <f>+I20-K20</f>
        <v>1119621.8750417905</v>
      </c>
      <c r="G31" s="13">
        <f t="shared" si="8"/>
        <v>1553561.6291155994</v>
      </c>
      <c r="H31" s="13">
        <f t="shared" si="9"/>
        <v>0</v>
      </c>
      <c r="I31" s="13">
        <f t="shared" si="10"/>
        <v>1553561.6291155994</v>
      </c>
      <c r="J31" s="13">
        <f t="shared" si="11"/>
        <v>270088.75211560004</v>
      </c>
    </row>
    <row r="32" spans="1:12" ht="19" x14ac:dyDescent="0.25">
      <c r="D32" s="177" t="s">
        <v>729</v>
      </c>
      <c r="E32" s="177">
        <f>SUM(E28:E31)</f>
        <v>3891705.677755354</v>
      </c>
      <c r="F32" s="177">
        <f>SUM(F28:F31)</f>
        <v>2556323.3488524598</v>
      </c>
      <c r="G32" s="177">
        <f t="shared" si="8"/>
        <v>6448029.0266078133</v>
      </c>
      <c r="H32" s="177">
        <f t="shared" si="9"/>
        <v>878660.25999999989</v>
      </c>
      <c r="I32" s="177">
        <f t="shared" si="10"/>
        <v>5569368.7666078135</v>
      </c>
      <c r="J32" s="13">
        <f t="shared" si="11"/>
        <v>239137.08060781471</v>
      </c>
    </row>
    <row r="36" spans="4:8" ht="16" x14ac:dyDescent="0.2">
      <c r="D36" s="196" t="s">
        <v>1</v>
      </c>
      <c r="E36" s="197" t="s">
        <v>916</v>
      </c>
      <c r="F36" s="197" t="s">
        <v>847</v>
      </c>
      <c r="G36" s="197" t="s">
        <v>915</v>
      </c>
      <c r="H36" s="197" t="s">
        <v>917</v>
      </c>
    </row>
    <row r="37" spans="4:8" hidden="1" x14ac:dyDescent="0.2">
      <c r="D37" t="s">
        <v>17</v>
      </c>
      <c r="E37" s="58">
        <f>+D5</f>
        <v>1919112.6579999994</v>
      </c>
      <c r="F37" s="13">
        <f>+B5+H17</f>
        <v>2817398.4587639729</v>
      </c>
      <c r="G37" s="13">
        <f>+K17+H28</f>
        <v>2776829.2199999997</v>
      </c>
      <c r="H37" s="58">
        <f>+SUM(E37:F37)-G37</f>
        <v>1959681.896763972</v>
      </c>
    </row>
    <row r="38" spans="4:8" hidden="1" x14ac:dyDescent="0.2">
      <c r="D38" t="s">
        <v>173</v>
      </c>
      <c r="E38" s="13">
        <f t="shared" ref="E38:E41" si="12">+D6</f>
        <v>1472429.3109999998</v>
      </c>
      <c r="F38" s="13">
        <f t="shared" ref="F38:F41" si="13">+B6+H18</f>
        <v>3311262.947540795</v>
      </c>
      <c r="G38" s="13">
        <f t="shared" ref="G38:G41" si="14">+K18+H29</f>
        <v>3469667.3</v>
      </c>
      <c r="H38" s="13">
        <f t="shared" ref="H38:H41" si="15">+SUM(E38:F38)-G38</f>
        <v>1314024.9585407944</v>
      </c>
    </row>
    <row r="39" spans="4:8" x14ac:dyDescent="0.2">
      <c r="D39" t="s">
        <v>7</v>
      </c>
      <c r="E39" s="58">
        <f t="shared" si="12"/>
        <v>655216.84000000008</v>
      </c>
      <c r="F39" s="13">
        <f t="shared" si="13"/>
        <v>782483.44218744733</v>
      </c>
      <c r="G39" s="13">
        <f t="shared" si="14"/>
        <v>694000</v>
      </c>
      <c r="H39" s="58">
        <f t="shared" si="15"/>
        <v>743700.28218744742</v>
      </c>
    </row>
    <row r="40" spans="4:8" ht="16" hidden="1" x14ac:dyDescent="0.2">
      <c r="D40" t="s">
        <v>88</v>
      </c>
      <c r="E40" s="198">
        <f t="shared" si="12"/>
        <v>1283472.8769999994</v>
      </c>
      <c r="F40" s="198">
        <f t="shared" si="13"/>
        <v>2199823.6111780056</v>
      </c>
      <c r="G40" s="198">
        <f t="shared" si="14"/>
        <v>1929734.8590624055</v>
      </c>
      <c r="H40" s="198">
        <f t="shared" si="15"/>
        <v>1553561.6291155994</v>
      </c>
    </row>
    <row r="41" spans="4:8" ht="19" hidden="1" x14ac:dyDescent="0.25">
      <c r="D41" s="177" t="s">
        <v>729</v>
      </c>
      <c r="E41" s="177">
        <f t="shared" si="12"/>
        <v>5330231.6859999988</v>
      </c>
      <c r="F41" s="177">
        <f t="shared" si="13"/>
        <v>9110968.4596702214</v>
      </c>
      <c r="G41" s="177">
        <f t="shared" si="14"/>
        <v>8870231.3790624049</v>
      </c>
      <c r="H41" s="177">
        <f t="shared" si="15"/>
        <v>5570968.7666078154</v>
      </c>
    </row>
  </sheetData>
  <autoFilter ref="D36:H41" xr:uid="{E1D17079-3098-4DEF-BD7B-81311C972B42}">
    <filterColumn colId="0">
      <filters>
        <filter val="Agrosuper Brasil"/>
      </filters>
    </filterColumn>
  </autoFilter>
  <pageMargins left="0.7" right="0.7" top="0.75" bottom="0.75" header="0.3" footer="0.3"/>
  <customProperties>
    <customPr name="_pios_id" r:id="rId3"/>
    <customPr name="IbpWorksheetKeyString_GUID" r:id="rId4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30AC9-BEBB-4926-A0DA-C0F8E962614D}">
  <sheetPr>
    <tabColor theme="5" tint="-0.249977111117893"/>
  </sheetPr>
  <dimension ref="B3:J45"/>
  <sheetViews>
    <sheetView showGridLines="0" zoomScale="80" zoomScaleNormal="80" workbookViewId="0">
      <selection activeCell="B17" sqref="B17:J17"/>
    </sheetView>
  </sheetViews>
  <sheetFormatPr baseColWidth="10" defaultRowHeight="15" x14ac:dyDescent="0.2"/>
  <cols>
    <col min="2" max="2" width="23.33203125" bestFit="1" customWidth="1"/>
    <col min="3" max="3" width="16.6640625" bestFit="1" customWidth="1"/>
    <col min="4" max="4" width="18.33203125" bestFit="1" customWidth="1"/>
    <col min="5" max="5" width="17.1640625" customWidth="1"/>
    <col min="6" max="6" width="23.1640625" bestFit="1" customWidth="1"/>
    <col min="7" max="7" width="9.1640625" customWidth="1"/>
    <col min="8" max="8" width="19.5" bestFit="1" customWidth="1"/>
    <col min="9" max="9" width="16" customWidth="1"/>
    <col min="10" max="10" width="17.1640625" bestFit="1" customWidth="1"/>
    <col min="11" max="11" width="38.83203125" bestFit="1" customWidth="1"/>
    <col min="12" max="12" width="8.1640625" bestFit="1" customWidth="1"/>
    <col min="13" max="13" width="15.5" bestFit="1" customWidth="1"/>
    <col min="15" max="15" width="15.83203125" bestFit="1" customWidth="1"/>
    <col min="18" max="18" width="17.6640625" bestFit="1" customWidth="1"/>
    <col min="19" max="19" width="14" bestFit="1" customWidth="1"/>
  </cols>
  <sheetData>
    <row r="3" spans="2:10" x14ac:dyDescent="0.2">
      <c r="B3" s="201" t="s">
        <v>773</v>
      </c>
      <c r="C3" s="201"/>
      <c r="D3" s="201"/>
      <c r="E3" s="201"/>
      <c r="F3" s="201"/>
      <c r="H3" s="202" t="s">
        <v>772</v>
      </c>
      <c r="I3" s="202"/>
      <c r="J3" s="202"/>
    </row>
    <row r="4" spans="2:10" x14ac:dyDescent="0.2">
      <c r="B4" s="193"/>
      <c r="C4" s="193"/>
      <c r="D4" s="193"/>
      <c r="E4" s="193"/>
      <c r="F4" s="193"/>
      <c r="H4" s="194"/>
      <c r="I4" s="194"/>
      <c r="J4" s="194"/>
    </row>
    <row r="5" spans="2:10" x14ac:dyDescent="0.2">
      <c r="B5" s="10" t="s">
        <v>0</v>
      </c>
      <c r="C5" t="s">
        <v>6</v>
      </c>
      <c r="D5" s="193"/>
      <c r="E5" s="193"/>
      <c r="F5" s="193"/>
      <c r="H5" s="194"/>
      <c r="I5" s="194"/>
      <c r="J5" s="194"/>
    </row>
    <row r="7" spans="2:10" x14ac:dyDescent="0.2">
      <c r="B7" s="150" t="s">
        <v>1</v>
      </c>
      <c r="C7" t="s">
        <v>910</v>
      </c>
      <c r="D7" s="149" t="s">
        <v>345</v>
      </c>
      <c r="E7" s="147" t="s">
        <v>667</v>
      </c>
      <c r="F7" s="195" t="s">
        <v>911</v>
      </c>
      <c r="H7" s="31" t="s">
        <v>1</v>
      </c>
      <c r="I7" s="65" t="s">
        <v>667</v>
      </c>
      <c r="J7" s="149" t="s">
        <v>763</v>
      </c>
    </row>
    <row r="8" spans="2:10" x14ac:dyDescent="0.2">
      <c r="B8" s="11" t="s">
        <v>17</v>
      </c>
      <c r="C8" s="13">
        <v>2797501.61</v>
      </c>
      <c r="D8" s="105">
        <v>-210999</v>
      </c>
      <c r="E8" s="157">
        <v>2586502.61</v>
      </c>
      <c r="F8" s="148">
        <v>5183199.2125260504</v>
      </c>
      <c r="H8" s="11" t="s">
        <v>6</v>
      </c>
      <c r="I8" s="13">
        <v>8056571.1190624079</v>
      </c>
      <c r="J8" s="148">
        <v>22829447.41720318</v>
      </c>
    </row>
    <row r="9" spans="2:10" x14ac:dyDescent="0.2">
      <c r="B9" s="11" t="s">
        <v>173</v>
      </c>
      <c r="C9" s="13">
        <v>3507333.65</v>
      </c>
      <c r="D9" s="105">
        <v>-726000</v>
      </c>
      <c r="E9" s="157">
        <v>2781333.65</v>
      </c>
      <c r="F9" s="148">
        <v>9381071.572426863</v>
      </c>
      <c r="H9" s="11" t="s">
        <v>204</v>
      </c>
      <c r="I9" s="13">
        <v>278008.18200000003</v>
      </c>
      <c r="J9" s="148">
        <v>1056575.0681815564</v>
      </c>
    </row>
    <row r="10" spans="2:10" x14ac:dyDescent="0.2">
      <c r="B10" s="11" t="s">
        <v>7</v>
      </c>
      <c r="C10" s="13">
        <v>1200000</v>
      </c>
      <c r="D10" s="105">
        <v>-506000</v>
      </c>
      <c r="E10" s="157">
        <v>694000</v>
      </c>
      <c r="F10" s="148">
        <v>982535.48827852844</v>
      </c>
      <c r="H10" s="11" t="s">
        <v>227</v>
      </c>
      <c r="I10" s="13">
        <v>3146230.3000000003</v>
      </c>
      <c r="J10" s="148">
        <v>3700764.1511137211</v>
      </c>
    </row>
    <row r="11" spans="2:10" x14ac:dyDescent="0.2">
      <c r="B11" s="11" t="s">
        <v>140</v>
      </c>
      <c r="C11" s="13">
        <v>65000</v>
      </c>
      <c r="D11" s="105">
        <v>0</v>
      </c>
      <c r="E11" s="157">
        <v>65000</v>
      </c>
      <c r="F11" s="148">
        <v>175756.35486755948</v>
      </c>
      <c r="H11" s="11" t="s">
        <v>587</v>
      </c>
      <c r="I11" s="13">
        <v>18000</v>
      </c>
      <c r="J11" s="148">
        <v>66240</v>
      </c>
    </row>
    <row r="12" spans="2:10" x14ac:dyDescent="0.2">
      <c r="B12" s="11" t="s">
        <v>88</v>
      </c>
      <c r="C12" s="13">
        <v>2923594.1212653862</v>
      </c>
      <c r="D12" s="105">
        <v>-993859.2622029807</v>
      </c>
      <c r="E12" s="157">
        <v>1929734.8590624055</v>
      </c>
      <c r="F12" s="148">
        <v>7106884.7891041944</v>
      </c>
      <c r="H12" s="11" t="s">
        <v>350</v>
      </c>
      <c r="I12" s="13">
        <v>11498809.601062408</v>
      </c>
      <c r="J12" s="148">
        <v>27653026.636498459</v>
      </c>
    </row>
    <row r="13" spans="2:10" x14ac:dyDescent="0.2">
      <c r="B13" s="11" t="s">
        <v>350</v>
      </c>
      <c r="C13" s="13">
        <v>10493429.381265387</v>
      </c>
      <c r="D13" s="105">
        <v>-2436858.2622029791</v>
      </c>
      <c r="E13" s="158">
        <v>8056571.1190624051</v>
      </c>
      <c r="F13" s="148">
        <v>22829447.417203195</v>
      </c>
    </row>
    <row r="15" spans="2:10" x14ac:dyDescent="0.2">
      <c r="C15" s="13"/>
      <c r="E15" s="7"/>
    </row>
    <row r="16" spans="2:10" x14ac:dyDescent="0.2">
      <c r="C16" s="13"/>
      <c r="D16" s="13"/>
      <c r="E16" s="13"/>
      <c r="F16" s="13"/>
    </row>
    <row r="18" spans="2:10" x14ac:dyDescent="0.2">
      <c r="B18" s="203" t="s">
        <v>663</v>
      </c>
      <c r="C18" s="203"/>
      <c r="D18" s="203"/>
      <c r="E18" s="203"/>
      <c r="F18" s="203"/>
      <c r="G18" s="203"/>
      <c r="H18" s="203"/>
      <c r="I18" s="203"/>
      <c r="J18" s="203"/>
    </row>
    <row r="20" spans="2:10" x14ac:dyDescent="0.2">
      <c r="B20" s="151" t="s">
        <v>1</v>
      </c>
      <c r="C20" s="147" t="s">
        <v>667</v>
      </c>
      <c r="D20" s="152" t="s">
        <v>664</v>
      </c>
      <c r="E20" s="152" t="s">
        <v>764</v>
      </c>
      <c r="F20" s="152" t="s">
        <v>765</v>
      </c>
    </row>
    <row r="21" spans="2:10" x14ac:dyDescent="0.2">
      <c r="B21" s="11" t="s">
        <v>370</v>
      </c>
      <c r="C21" s="58">
        <v>469807.902</v>
      </c>
      <c r="D21" s="13">
        <v>191807.90200000003</v>
      </c>
      <c r="E21" s="3">
        <v>209000</v>
      </c>
      <c r="F21" s="154">
        <v>69000</v>
      </c>
    </row>
    <row r="22" spans="2:10" x14ac:dyDescent="0.2">
      <c r="B22" s="11" t="s">
        <v>17</v>
      </c>
      <c r="C22" s="58">
        <v>4220926.9499999993</v>
      </c>
      <c r="D22" s="13">
        <v>624750.94999999995</v>
      </c>
      <c r="E22" s="3">
        <v>2770176</v>
      </c>
      <c r="F22" s="154">
        <v>826000</v>
      </c>
    </row>
    <row r="23" spans="2:10" x14ac:dyDescent="0.2">
      <c r="B23" s="11" t="s">
        <v>173</v>
      </c>
      <c r="C23" s="58">
        <v>4003199.8899999997</v>
      </c>
      <c r="D23" s="13">
        <v>832199.8899999999</v>
      </c>
      <c r="E23" s="3">
        <v>2352000</v>
      </c>
      <c r="F23" s="154">
        <v>819000</v>
      </c>
    </row>
    <row r="24" spans="2:10" x14ac:dyDescent="0.2">
      <c r="B24" s="11" t="s">
        <v>7</v>
      </c>
      <c r="C24" s="58">
        <v>766000</v>
      </c>
      <c r="D24" s="13">
        <v>0</v>
      </c>
      <c r="E24" s="3">
        <v>742000</v>
      </c>
      <c r="F24" s="154">
        <v>24000</v>
      </c>
    </row>
    <row r="25" spans="2:10" x14ac:dyDescent="0.2">
      <c r="B25" s="11" t="s">
        <v>140</v>
      </c>
      <c r="C25" s="58">
        <v>109140</v>
      </c>
      <c r="D25" s="13">
        <v>24140</v>
      </c>
      <c r="E25" s="3">
        <v>85000</v>
      </c>
      <c r="F25" s="154">
        <v>0</v>
      </c>
    </row>
    <row r="26" spans="2:10" x14ac:dyDescent="0.2">
      <c r="B26" s="11" t="s">
        <v>88</v>
      </c>
      <c r="C26" s="58">
        <v>1929734.8590624055</v>
      </c>
      <c r="D26" s="13">
        <v>0</v>
      </c>
      <c r="E26" s="3">
        <v>997314.19047619053</v>
      </c>
      <c r="F26" s="154">
        <v>932420.66858621454</v>
      </c>
    </row>
    <row r="27" spans="2:10" x14ac:dyDescent="0.2">
      <c r="B27" s="11" t="s">
        <v>350</v>
      </c>
      <c r="C27" s="58">
        <v>11498809.601062404</v>
      </c>
      <c r="D27" s="13">
        <v>1672898.7419999999</v>
      </c>
      <c r="E27" s="3">
        <v>7155490.1904761903</v>
      </c>
      <c r="F27" s="154">
        <v>2670420.6685862145</v>
      </c>
    </row>
    <row r="28" spans="2:10" x14ac:dyDescent="0.2">
      <c r="D28" s="38">
        <f>D27/C27</f>
        <v>0.14548451535761028</v>
      </c>
      <c r="E28" s="38">
        <f>E27/C27</f>
        <v>0.62228095244007486</v>
      </c>
      <c r="F28" s="38">
        <f>F27/C27</f>
        <v>0.23223453220231488</v>
      </c>
    </row>
    <row r="29" spans="2:10" x14ac:dyDescent="0.2">
      <c r="E29" s="38"/>
      <c r="F29" s="38"/>
    </row>
    <row r="32" spans="2:10" x14ac:dyDescent="0.2">
      <c r="B32" s="204" t="s">
        <v>665</v>
      </c>
      <c r="C32" s="204"/>
      <c r="D32" s="204"/>
      <c r="E32" s="204"/>
      <c r="F32" s="204"/>
      <c r="G32" s="204"/>
      <c r="H32" s="204"/>
      <c r="I32" s="204"/>
      <c r="J32" s="204"/>
    </row>
    <row r="34" spans="2:10" hidden="1" x14ac:dyDescent="0.2"/>
    <row r="35" spans="2:10" hidden="1" x14ac:dyDescent="0.2">
      <c r="B35" s="10" t="s">
        <v>680</v>
      </c>
      <c r="C35" t="s">
        <v>361</v>
      </c>
      <c r="H35" s="10" t="s">
        <v>680</v>
      </c>
      <c r="I35" t="s">
        <v>361</v>
      </c>
    </row>
    <row r="37" spans="2:10" x14ac:dyDescent="0.2">
      <c r="B37" s="31" t="s">
        <v>1</v>
      </c>
      <c r="C37" s="147" t="s">
        <v>667</v>
      </c>
      <c r="D37" s="152" t="s">
        <v>767</v>
      </c>
      <c r="E37" s="152" t="s">
        <v>770</v>
      </c>
      <c r="F37" s="152" t="s">
        <v>631</v>
      </c>
      <c r="H37" s="10" t="s">
        <v>1</v>
      </c>
      <c r="I37" s="1" t="s">
        <v>667</v>
      </c>
      <c r="J37" s="57" t="s">
        <v>767</v>
      </c>
    </row>
    <row r="38" spans="2:10" x14ac:dyDescent="0.2">
      <c r="B38" s="11" t="s">
        <v>370</v>
      </c>
      <c r="C38" s="64">
        <v>469807.902</v>
      </c>
      <c r="D38" s="153">
        <v>243963.03099999999</v>
      </c>
      <c r="E38" s="160">
        <v>34036.968999999997</v>
      </c>
      <c r="F38" s="3">
        <v>191807.90200000003</v>
      </c>
      <c r="H38" s="11" t="s">
        <v>6</v>
      </c>
      <c r="I38" s="64">
        <v>8056571.1190624079</v>
      </c>
      <c r="J38" s="153">
        <v>2421868.6625726093</v>
      </c>
    </row>
    <row r="39" spans="2:10" x14ac:dyDescent="0.2">
      <c r="B39" s="11" t="s">
        <v>17</v>
      </c>
      <c r="C39" s="64">
        <v>4220926.95</v>
      </c>
      <c r="D39" s="153">
        <v>1293829.784</v>
      </c>
      <c r="E39" s="160">
        <v>2302346.2160000005</v>
      </c>
      <c r="F39" s="3">
        <v>624750.94999999995</v>
      </c>
      <c r="H39" s="11" t="s">
        <v>587</v>
      </c>
      <c r="I39" s="64">
        <v>18000</v>
      </c>
      <c r="J39" s="153">
        <v>0</v>
      </c>
    </row>
    <row r="40" spans="2:10" x14ac:dyDescent="0.2">
      <c r="B40" s="11" t="s">
        <v>173</v>
      </c>
      <c r="C40" s="64">
        <v>4003199.8900000006</v>
      </c>
      <c r="D40" s="153">
        <v>1719494.7390000001</v>
      </c>
      <c r="E40" s="160">
        <v>1451505.2610000002</v>
      </c>
      <c r="F40" s="3">
        <v>832199.8899999999</v>
      </c>
      <c r="H40" s="11" t="s">
        <v>204</v>
      </c>
      <c r="I40" s="64">
        <v>278008.18200000003</v>
      </c>
      <c r="J40" s="153">
        <v>108382.193</v>
      </c>
    </row>
    <row r="41" spans="2:10" x14ac:dyDescent="0.2">
      <c r="B41" s="11" t="s">
        <v>7</v>
      </c>
      <c r="C41" s="64">
        <v>766000</v>
      </c>
      <c r="D41" s="153">
        <v>185535.36399999983</v>
      </c>
      <c r="E41" s="160">
        <v>580464.63600000017</v>
      </c>
      <c r="F41" s="3">
        <v>0</v>
      </c>
      <c r="H41" s="11" t="s">
        <v>227</v>
      </c>
      <c r="I41" s="64">
        <v>3146230.3</v>
      </c>
      <c r="J41" s="153">
        <v>1683040.8179999995</v>
      </c>
    </row>
    <row r="42" spans="2:10" x14ac:dyDescent="0.2">
      <c r="B42" s="11" t="s">
        <v>140</v>
      </c>
      <c r="C42" s="64">
        <v>109140</v>
      </c>
      <c r="D42" s="153">
        <v>11832.677999999996</v>
      </c>
      <c r="E42" s="160">
        <v>73167.322</v>
      </c>
      <c r="F42" s="3">
        <v>24140</v>
      </c>
      <c r="H42" s="11" t="s">
        <v>350</v>
      </c>
      <c r="I42" s="64">
        <v>11498809.601062408</v>
      </c>
      <c r="J42" s="154">
        <v>4213291.6735726092</v>
      </c>
    </row>
    <row r="43" spans="2:10" x14ac:dyDescent="0.2">
      <c r="B43" s="11" t="s">
        <v>88</v>
      </c>
      <c r="C43" s="64">
        <v>1929734.8590624055</v>
      </c>
      <c r="D43" s="153">
        <v>758636.07757260953</v>
      </c>
      <c r="E43" s="160">
        <v>1171098.781489796</v>
      </c>
      <c r="F43" s="3">
        <v>0</v>
      </c>
    </row>
    <row r="44" spans="2:10" x14ac:dyDescent="0.2">
      <c r="B44" s="11" t="s">
        <v>350</v>
      </c>
      <c r="C44" s="64">
        <v>11498809.601062406</v>
      </c>
      <c r="D44" s="154">
        <v>4213291.6735726092</v>
      </c>
      <c r="E44" s="160">
        <v>5612619.1854897961</v>
      </c>
      <c r="F44" s="3">
        <v>1672898.7419999999</v>
      </c>
    </row>
    <row r="45" spans="2:10" x14ac:dyDescent="0.2">
      <c r="D45" s="38"/>
      <c r="E45" s="38"/>
      <c r="F45" s="38"/>
    </row>
  </sheetData>
  <mergeCells count="4">
    <mergeCell ref="B3:F3"/>
    <mergeCell ref="H3:J3"/>
    <mergeCell ref="B18:J18"/>
    <mergeCell ref="B32:J32"/>
  </mergeCells>
  <pageMargins left="0.7" right="0.7" top="0.75" bottom="0.75" header="0.3" footer="0.3"/>
  <pageSetup orientation="portrait" r:id="rId6"/>
  <customProperties>
    <customPr name="_pios_id" r:id="rId7"/>
    <customPr name="IbpWorksheetKeyString_GUID" r:id="rId8"/>
  </customProperties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43C2C-1DF0-4BB7-BBE0-61BA46DB9CCA}">
  <sheetPr>
    <tabColor theme="5" tint="-0.249977111117893"/>
  </sheetPr>
  <dimension ref="B3:O152"/>
  <sheetViews>
    <sheetView showGridLines="0" zoomScale="80" zoomScaleNormal="80" workbookViewId="0">
      <selection activeCell="E14" sqref="E14"/>
    </sheetView>
  </sheetViews>
  <sheetFormatPr baseColWidth="10" defaultRowHeight="15" x14ac:dyDescent="0.2"/>
  <cols>
    <col min="1" max="1" width="21.5" bestFit="1" customWidth="1"/>
    <col min="2" max="2" width="17.6640625" bestFit="1" customWidth="1"/>
    <col min="3" max="3" width="20.83203125" bestFit="1" customWidth="1"/>
    <col min="4" max="4" width="14.33203125" customWidth="1"/>
    <col min="5" max="5" width="12.6640625" bestFit="1" customWidth="1"/>
    <col min="6" max="6" width="12.6640625" style="7" bestFit="1" customWidth="1"/>
    <col min="7" max="7" width="10.33203125" bestFit="1" customWidth="1"/>
    <col min="8" max="8" width="12.1640625" customWidth="1"/>
    <col min="9" max="9" width="10.33203125" bestFit="1" customWidth="1"/>
    <col min="10" max="10" width="12.6640625" bestFit="1" customWidth="1"/>
    <col min="11" max="13" width="10.33203125" bestFit="1" customWidth="1"/>
    <col min="18" max="18" width="17.6640625" bestFit="1" customWidth="1"/>
    <col min="19" max="19" width="14" bestFit="1" customWidth="1"/>
  </cols>
  <sheetData>
    <row r="3" spans="2:15" x14ac:dyDescent="0.2">
      <c r="B3" s="10" t="s">
        <v>3</v>
      </c>
      <c r="C3" t="s">
        <v>356</v>
      </c>
    </row>
    <row r="4" spans="2:15" x14ac:dyDescent="0.2">
      <c r="B4" s="10" t="s">
        <v>2</v>
      </c>
      <c r="C4" t="s">
        <v>356</v>
      </c>
    </row>
    <row r="5" spans="2:15" x14ac:dyDescent="0.2">
      <c r="B5" s="10" t="s">
        <v>0</v>
      </c>
      <c r="C5" t="s">
        <v>356</v>
      </c>
    </row>
    <row r="6" spans="2:15" x14ac:dyDescent="0.2">
      <c r="J6" s="13"/>
    </row>
    <row r="7" spans="2:15" x14ac:dyDescent="0.2">
      <c r="C7" s="10" t="s">
        <v>833</v>
      </c>
      <c r="F7"/>
    </row>
    <row r="8" spans="2:15" ht="16" x14ac:dyDescent="0.2">
      <c r="B8" s="31" t="s">
        <v>1</v>
      </c>
      <c r="C8" s="1" t="s">
        <v>882</v>
      </c>
      <c r="D8" s="191" t="s">
        <v>722</v>
      </c>
      <c r="E8" s="191" t="s">
        <v>872</v>
      </c>
      <c r="F8" s="191" t="s">
        <v>873</v>
      </c>
      <c r="G8" s="24" t="s">
        <v>425</v>
      </c>
      <c r="H8" s="24" t="s">
        <v>694</v>
      </c>
      <c r="I8" s="24" t="s">
        <v>870</v>
      </c>
      <c r="J8" s="24" t="s">
        <v>871</v>
      </c>
      <c r="O8" s="13"/>
    </row>
    <row r="9" spans="2:15" x14ac:dyDescent="0.2">
      <c r="B9" t="s">
        <v>370</v>
      </c>
      <c r="C9" s="192">
        <v>469807.902</v>
      </c>
      <c r="D9" s="3">
        <v>191807.90200000003</v>
      </c>
      <c r="E9" s="3">
        <v>209000</v>
      </c>
      <c r="F9" s="3">
        <v>69000</v>
      </c>
      <c r="G9" s="64">
        <v>0</v>
      </c>
      <c r="H9" s="189">
        <v>312001</v>
      </c>
      <c r="I9" s="23">
        <v>192000</v>
      </c>
      <c r="J9" s="23">
        <v>455989.05</v>
      </c>
      <c r="O9" s="13"/>
    </row>
    <row r="10" spans="2:15" x14ac:dyDescent="0.2">
      <c r="B10" t="s">
        <v>17</v>
      </c>
      <c r="C10" s="192">
        <v>4624925.9499999993</v>
      </c>
      <c r="D10" s="3">
        <v>624750.94999999995</v>
      </c>
      <c r="E10" s="3">
        <v>2770176</v>
      </c>
      <c r="F10" s="3">
        <v>1229999</v>
      </c>
      <c r="G10" s="23">
        <v>4971059</v>
      </c>
      <c r="H10" s="189">
        <v>4510500</v>
      </c>
      <c r="I10" s="23">
        <v>4528755</v>
      </c>
      <c r="J10" s="23">
        <v>4964730.3500000006</v>
      </c>
      <c r="O10" s="13"/>
    </row>
    <row r="11" spans="2:15" x14ac:dyDescent="0.2">
      <c r="B11" t="s">
        <v>173</v>
      </c>
      <c r="C11" s="192">
        <v>4729199.8899999997</v>
      </c>
      <c r="D11" s="3">
        <v>832199.8899999999</v>
      </c>
      <c r="E11" s="3">
        <v>2352000</v>
      </c>
      <c r="F11" s="3">
        <v>1545000</v>
      </c>
      <c r="G11" s="23">
        <v>3773733</v>
      </c>
      <c r="H11" s="189">
        <v>3486830</v>
      </c>
      <c r="I11" s="23">
        <v>3262000</v>
      </c>
      <c r="J11" s="23">
        <v>3756870.86</v>
      </c>
      <c r="O11" s="13"/>
    </row>
    <row r="12" spans="2:15" x14ac:dyDescent="0.2">
      <c r="B12" t="s">
        <v>7</v>
      </c>
      <c r="C12" s="192">
        <v>1341000</v>
      </c>
      <c r="D12" s="3">
        <v>0</v>
      </c>
      <c r="E12" s="3">
        <v>742000</v>
      </c>
      <c r="F12" s="3">
        <v>599000</v>
      </c>
      <c r="G12" s="23">
        <v>744000</v>
      </c>
      <c r="H12" s="189">
        <v>617895</v>
      </c>
      <c r="I12" s="23">
        <v>527990</v>
      </c>
      <c r="J12" s="23">
        <v>717990</v>
      </c>
      <c r="O12" s="13"/>
    </row>
    <row r="13" spans="2:15" x14ac:dyDescent="0.2">
      <c r="B13" t="s">
        <v>140</v>
      </c>
      <c r="C13" s="192">
        <v>109140</v>
      </c>
      <c r="D13" s="3">
        <v>24140</v>
      </c>
      <c r="E13" s="3">
        <v>85000</v>
      </c>
      <c r="F13" s="3">
        <v>0</v>
      </c>
      <c r="G13" s="23">
        <v>2873948</v>
      </c>
      <c r="H13" s="189">
        <v>2503465</v>
      </c>
      <c r="I13" s="23">
        <v>4995699</v>
      </c>
      <c r="J13" s="23">
        <v>3584768</v>
      </c>
      <c r="O13" s="13"/>
    </row>
    <row r="14" spans="2:15" x14ac:dyDescent="0.2">
      <c r="B14" t="s">
        <v>88</v>
      </c>
      <c r="C14" s="192">
        <v>2923594.1212653862</v>
      </c>
      <c r="D14" s="3">
        <v>0</v>
      </c>
      <c r="E14" s="3">
        <v>997314.19047619053</v>
      </c>
      <c r="F14" s="3">
        <v>1926279.9307891959</v>
      </c>
      <c r="G14" s="23">
        <v>2519357</v>
      </c>
      <c r="H14" s="189">
        <v>2541207</v>
      </c>
      <c r="I14" s="23">
        <v>2262112</v>
      </c>
      <c r="J14" s="23">
        <v>2251184.9600000004</v>
      </c>
      <c r="O14" s="13"/>
    </row>
    <row r="15" spans="2:15" x14ac:dyDescent="0.2">
      <c r="B15" t="s">
        <v>350</v>
      </c>
      <c r="C15" s="192">
        <v>14197667.863265384</v>
      </c>
      <c r="D15" s="3">
        <v>1672898.7419999999</v>
      </c>
      <c r="E15" s="3">
        <v>7155490.1904761903</v>
      </c>
      <c r="F15" s="3">
        <v>5369278.9307891959</v>
      </c>
      <c r="G15" s="23">
        <v>14882097</v>
      </c>
      <c r="H15" s="189">
        <v>13971898</v>
      </c>
      <c r="I15" s="23">
        <v>15768556</v>
      </c>
      <c r="J15" s="23">
        <v>15731533.220000001</v>
      </c>
    </row>
    <row r="16" spans="2:15" x14ac:dyDescent="0.2">
      <c r="F16"/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ht="14.5" customHeight="1" x14ac:dyDescent="0.2">
      <c r="F33"/>
    </row>
    <row r="34" spans="6:6" x14ac:dyDescent="0.2">
      <c r="F34"/>
    </row>
    <row r="35" spans="6:6" x14ac:dyDescent="0.2">
      <c r="F35"/>
    </row>
    <row r="36" spans="6:6" x14ac:dyDescent="0.2">
      <c r="F36"/>
    </row>
    <row r="37" spans="6:6" x14ac:dyDescent="0.2">
      <c r="F37"/>
    </row>
    <row r="38" spans="6:6" x14ac:dyDescent="0.2">
      <c r="F38"/>
    </row>
    <row r="39" spans="6:6" x14ac:dyDescent="0.2">
      <c r="F39"/>
    </row>
    <row r="40" spans="6:6" x14ac:dyDescent="0.2">
      <c r="F40"/>
    </row>
    <row r="41" spans="6:6" x14ac:dyDescent="0.2">
      <c r="F41"/>
    </row>
    <row r="42" spans="6:6" x14ac:dyDescent="0.2">
      <c r="F42"/>
    </row>
    <row r="43" spans="6:6" x14ac:dyDescent="0.2">
      <c r="F43"/>
    </row>
    <row r="44" spans="6:6" x14ac:dyDescent="0.2">
      <c r="F44"/>
    </row>
    <row r="45" spans="6:6" x14ac:dyDescent="0.2">
      <c r="F45"/>
    </row>
    <row r="46" spans="6:6" x14ac:dyDescent="0.2">
      <c r="F46"/>
    </row>
    <row r="47" spans="6:6" ht="14.5" customHeight="1" x14ac:dyDescent="0.2">
      <c r="F47"/>
    </row>
    <row r="48" spans="6:6" x14ac:dyDescent="0.2">
      <c r="F48"/>
    </row>
    <row r="49" spans="6:6" x14ac:dyDescent="0.2">
      <c r="F49"/>
    </row>
    <row r="50" spans="6:6" ht="14.5" hidden="1" customHeight="1" x14ac:dyDescent="0.2">
      <c r="F50"/>
    </row>
    <row r="51" spans="6:6" x14ac:dyDescent="0.2">
      <c r="F51"/>
    </row>
    <row r="52" spans="6:6" x14ac:dyDescent="0.2">
      <c r="F52"/>
    </row>
    <row r="53" spans="6:6" x14ac:dyDescent="0.2">
      <c r="F53"/>
    </row>
    <row r="54" spans="6:6" x14ac:dyDescent="0.2">
      <c r="F54"/>
    </row>
    <row r="55" spans="6:6" x14ac:dyDescent="0.2">
      <c r="F55"/>
    </row>
    <row r="56" spans="6:6" x14ac:dyDescent="0.2">
      <c r="F56"/>
    </row>
    <row r="57" spans="6:6" x14ac:dyDescent="0.2">
      <c r="F57"/>
    </row>
    <row r="58" spans="6:6" x14ac:dyDescent="0.2">
      <c r="F58"/>
    </row>
    <row r="59" spans="6:6" x14ac:dyDescent="0.2">
      <c r="F59"/>
    </row>
    <row r="60" spans="6:6" x14ac:dyDescent="0.2">
      <c r="F60"/>
    </row>
    <row r="61" spans="6:6" x14ac:dyDescent="0.2">
      <c r="F61"/>
    </row>
    <row r="62" spans="6:6" x14ac:dyDescent="0.2">
      <c r="F62"/>
    </row>
    <row r="63" spans="6:6" x14ac:dyDescent="0.2">
      <c r="F63"/>
    </row>
    <row r="64" spans="6:6" x14ac:dyDescent="0.2">
      <c r="F64"/>
    </row>
    <row r="65" spans="6:6" x14ac:dyDescent="0.2">
      <c r="F65"/>
    </row>
    <row r="66" spans="6:6" x14ac:dyDescent="0.2">
      <c r="F66"/>
    </row>
    <row r="67" spans="6:6" x14ac:dyDescent="0.2">
      <c r="F67"/>
    </row>
    <row r="68" spans="6:6" x14ac:dyDescent="0.2">
      <c r="F68"/>
    </row>
    <row r="69" spans="6:6" x14ac:dyDescent="0.2">
      <c r="F69"/>
    </row>
    <row r="70" spans="6:6" x14ac:dyDescent="0.2">
      <c r="F70"/>
    </row>
    <row r="71" spans="6:6" x14ac:dyDescent="0.2">
      <c r="F71"/>
    </row>
    <row r="72" spans="6:6" x14ac:dyDescent="0.2">
      <c r="F72"/>
    </row>
    <row r="73" spans="6:6" x14ac:dyDescent="0.2">
      <c r="F73"/>
    </row>
    <row r="74" spans="6:6" x14ac:dyDescent="0.2">
      <c r="F74"/>
    </row>
    <row r="75" spans="6:6" x14ac:dyDescent="0.2">
      <c r="F75"/>
    </row>
    <row r="76" spans="6:6" x14ac:dyDescent="0.2">
      <c r="F76"/>
    </row>
    <row r="77" spans="6:6" x14ac:dyDescent="0.2">
      <c r="F77"/>
    </row>
    <row r="78" spans="6:6" x14ac:dyDescent="0.2">
      <c r="F78"/>
    </row>
    <row r="79" spans="6:6" x14ac:dyDescent="0.2">
      <c r="F79"/>
    </row>
    <row r="80" spans="6:6" x14ac:dyDescent="0.2">
      <c r="F80"/>
    </row>
    <row r="81" spans="6:6" x14ac:dyDescent="0.2">
      <c r="F81"/>
    </row>
    <row r="82" spans="6:6" x14ac:dyDescent="0.2">
      <c r="F82"/>
    </row>
    <row r="83" spans="6:6" x14ac:dyDescent="0.2">
      <c r="F83"/>
    </row>
    <row r="84" spans="6:6" x14ac:dyDescent="0.2">
      <c r="F84"/>
    </row>
    <row r="85" spans="6:6" x14ac:dyDescent="0.2">
      <c r="F85"/>
    </row>
    <row r="86" spans="6:6" x14ac:dyDescent="0.2">
      <c r="F86"/>
    </row>
    <row r="87" spans="6:6" x14ac:dyDescent="0.2">
      <c r="F87"/>
    </row>
    <row r="88" spans="6:6" x14ac:dyDescent="0.2">
      <c r="F88"/>
    </row>
    <row r="89" spans="6:6" x14ac:dyDescent="0.2">
      <c r="F89"/>
    </row>
    <row r="90" spans="6:6" x14ac:dyDescent="0.2">
      <c r="F90"/>
    </row>
    <row r="91" spans="6:6" x14ac:dyDescent="0.2">
      <c r="F91"/>
    </row>
    <row r="92" spans="6:6" x14ac:dyDescent="0.2">
      <c r="F92"/>
    </row>
    <row r="93" spans="6:6" x14ac:dyDescent="0.2">
      <c r="F93"/>
    </row>
    <row r="94" spans="6:6" x14ac:dyDescent="0.2">
      <c r="F94"/>
    </row>
    <row r="95" spans="6:6" x14ac:dyDescent="0.2">
      <c r="F95"/>
    </row>
    <row r="96" spans="6:6" x14ac:dyDescent="0.2">
      <c r="F96"/>
    </row>
    <row r="97" spans="6:6" x14ac:dyDescent="0.2">
      <c r="F97"/>
    </row>
    <row r="98" spans="6:6" x14ac:dyDescent="0.2">
      <c r="F98"/>
    </row>
    <row r="99" spans="6:6" x14ac:dyDescent="0.2">
      <c r="F99"/>
    </row>
    <row r="100" spans="6:6" x14ac:dyDescent="0.2">
      <c r="F100"/>
    </row>
    <row r="101" spans="6:6" x14ac:dyDescent="0.2">
      <c r="F101"/>
    </row>
    <row r="102" spans="6:6" x14ac:dyDescent="0.2">
      <c r="F102"/>
    </row>
    <row r="103" spans="6:6" x14ac:dyDescent="0.2">
      <c r="F103"/>
    </row>
    <row r="104" spans="6:6" x14ac:dyDescent="0.2">
      <c r="F104"/>
    </row>
    <row r="105" spans="6:6" x14ac:dyDescent="0.2">
      <c r="F105"/>
    </row>
    <row r="106" spans="6:6" x14ac:dyDescent="0.2">
      <c r="F106"/>
    </row>
    <row r="107" spans="6:6" x14ac:dyDescent="0.2">
      <c r="F107"/>
    </row>
    <row r="108" spans="6:6" x14ac:dyDescent="0.2">
      <c r="F108"/>
    </row>
    <row r="109" spans="6:6" x14ac:dyDescent="0.2">
      <c r="F109"/>
    </row>
    <row r="110" spans="6:6" x14ac:dyDescent="0.2">
      <c r="F110"/>
    </row>
    <row r="111" spans="6:6" x14ac:dyDescent="0.2">
      <c r="F111"/>
    </row>
    <row r="112" spans="6:6" x14ac:dyDescent="0.2">
      <c r="F112"/>
    </row>
    <row r="113" spans="6:6" x14ac:dyDescent="0.2">
      <c r="F113"/>
    </row>
    <row r="114" spans="6:6" x14ac:dyDescent="0.2">
      <c r="F114"/>
    </row>
    <row r="115" spans="6:6" x14ac:dyDescent="0.2">
      <c r="F115"/>
    </row>
    <row r="116" spans="6:6" x14ac:dyDescent="0.2">
      <c r="F116"/>
    </row>
    <row r="117" spans="6:6" x14ac:dyDescent="0.2">
      <c r="F117"/>
    </row>
    <row r="118" spans="6:6" x14ac:dyDescent="0.2">
      <c r="F118"/>
    </row>
    <row r="119" spans="6:6" x14ac:dyDescent="0.2">
      <c r="F119"/>
    </row>
    <row r="120" spans="6:6" x14ac:dyDescent="0.2">
      <c r="F120"/>
    </row>
    <row r="121" spans="6:6" x14ac:dyDescent="0.2">
      <c r="F121"/>
    </row>
    <row r="122" spans="6:6" x14ac:dyDescent="0.2">
      <c r="F122"/>
    </row>
    <row r="123" spans="6:6" x14ac:dyDescent="0.2">
      <c r="F123"/>
    </row>
    <row r="124" spans="6:6" x14ac:dyDescent="0.2">
      <c r="F124"/>
    </row>
    <row r="125" spans="6:6" x14ac:dyDescent="0.2">
      <c r="F125"/>
    </row>
    <row r="126" spans="6:6" x14ac:dyDescent="0.2">
      <c r="F126"/>
    </row>
    <row r="127" spans="6:6" x14ac:dyDescent="0.2">
      <c r="F127"/>
    </row>
    <row r="128" spans="6:6" x14ac:dyDescent="0.2">
      <c r="F128"/>
    </row>
    <row r="129" spans="6:6" x14ac:dyDescent="0.2">
      <c r="F129"/>
    </row>
    <row r="130" spans="6:6" x14ac:dyDescent="0.2">
      <c r="F130"/>
    </row>
    <row r="131" spans="6:6" x14ac:dyDescent="0.2">
      <c r="F131"/>
    </row>
    <row r="132" spans="6:6" x14ac:dyDescent="0.2">
      <c r="F132"/>
    </row>
    <row r="133" spans="6:6" x14ac:dyDescent="0.2">
      <c r="F133"/>
    </row>
    <row r="134" spans="6:6" x14ac:dyDescent="0.2">
      <c r="F134"/>
    </row>
    <row r="135" spans="6:6" x14ac:dyDescent="0.2">
      <c r="F135"/>
    </row>
    <row r="136" spans="6:6" x14ac:dyDescent="0.2">
      <c r="F136"/>
    </row>
    <row r="137" spans="6:6" x14ac:dyDescent="0.2">
      <c r="F137"/>
    </row>
    <row r="138" spans="6:6" x14ac:dyDescent="0.2">
      <c r="F138"/>
    </row>
    <row r="139" spans="6:6" x14ac:dyDescent="0.2">
      <c r="F139"/>
    </row>
    <row r="140" spans="6:6" x14ac:dyDescent="0.2">
      <c r="F140"/>
    </row>
    <row r="141" spans="6:6" x14ac:dyDescent="0.2">
      <c r="F141"/>
    </row>
    <row r="142" spans="6:6" x14ac:dyDescent="0.2">
      <c r="F142"/>
    </row>
    <row r="143" spans="6:6" x14ac:dyDescent="0.2">
      <c r="F143"/>
    </row>
    <row r="144" spans="6:6" x14ac:dyDescent="0.2">
      <c r="F144"/>
    </row>
    <row r="145" spans="6:6" x14ac:dyDescent="0.2">
      <c r="F145"/>
    </row>
    <row r="146" spans="6:6" x14ac:dyDescent="0.2">
      <c r="F146"/>
    </row>
    <row r="147" spans="6:6" x14ac:dyDescent="0.2">
      <c r="F147"/>
    </row>
    <row r="148" spans="6:6" x14ac:dyDescent="0.2">
      <c r="F148"/>
    </row>
    <row r="149" spans="6:6" x14ac:dyDescent="0.2">
      <c r="F149"/>
    </row>
    <row r="150" spans="6:6" x14ac:dyDescent="0.2">
      <c r="F150"/>
    </row>
    <row r="151" spans="6:6" x14ac:dyDescent="0.2">
      <c r="F151"/>
    </row>
    <row r="152" spans="6:6" x14ac:dyDescent="0.2">
      <c r="F152"/>
    </row>
  </sheetData>
  <pageMargins left="0.7" right="0.7" top="0.75" bottom="0.75" header="0.3" footer="0.3"/>
  <pageSetup orientation="portrait" r:id="rId2"/>
  <customProperties>
    <customPr name="_pios_id" r:id="rId3"/>
    <customPr name="IbpWorksheetKeyString_GUID" r:id="rId4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4500-E798-423F-829F-5DCAD9C4383A}">
  <dimension ref="B2:F22"/>
  <sheetViews>
    <sheetView showGridLines="0" topLeftCell="A4" zoomScale="80" zoomScaleNormal="80" workbookViewId="0">
      <selection activeCell="B15" sqref="B15"/>
    </sheetView>
  </sheetViews>
  <sheetFormatPr baseColWidth="10" defaultRowHeight="15" x14ac:dyDescent="0.2"/>
  <cols>
    <col min="2" max="2" width="49.1640625" bestFit="1" customWidth="1"/>
    <col min="3" max="3" width="13.6640625" bestFit="1" customWidth="1"/>
    <col min="4" max="4" width="11.33203125" bestFit="1" customWidth="1"/>
    <col min="5" max="5" width="12.6640625" bestFit="1" customWidth="1"/>
  </cols>
  <sheetData>
    <row r="2" spans="2:6" x14ac:dyDescent="0.2">
      <c r="B2" s="10" t="s">
        <v>3</v>
      </c>
      <c r="C2" t="s">
        <v>356</v>
      </c>
      <c r="F2" s="7"/>
    </row>
    <row r="3" spans="2:6" x14ac:dyDescent="0.2">
      <c r="B3" s="10" t="s">
        <v>2</v>
      </c>
      <c r="C3" t="s">
        <v>356</v>
      </c>
      <c r="F3" s="7"/>
    </row>
    <row r="4" spans="2:6" x14ac:dyDescent="0.2">
      <c r="B4" s="10" t="s">
        <v>0</v>
      </c>
      <c r="C4" t="s">
        <v>356</v>
      </c>
      <c r="F4" s="7"/>
    </row>
    <row r="5" spans="2:6" x14ac:dyDescent="0.2">
      <c r="F5" s="7"/>
    </row>
    <row r="6" spans="2:6" x14ac:dyDescent="0.2">
      <c r="C6" s="10" t="s">
        <v>833</v>
      </c>
    </row>
    <row r="7" spans="2:6" x14ac:dyDescent="0.2">
      <c r="B7" s="10" t="s">
        <v>691</v>
      </c>
      <c r="C7" s="65" t="s">
        <v>412</v>
      </c>
      <c r="D7" t="s">
        <v>721</v>
      </c>
      <c r="E7" t="s">
        <v>704</v>
      </c>
    </row>
    <row r="8" spans="2:6" x14ac:dyDescent="0.2">
      <c r="B8">
        <v>0</v>
      </c>
      <c r="C8" s="109">
        <v>8261454.8532653851</v>
      </c>
      <c r="D8" s="13">
        <v>-1041858.2622029781</v>
      </c>
      <c r="E8" s="13">
        <v>7219596.591062407</v>
      </c>
    </row>
    <row r="9" spans="2:6" x14ac:dyDescent="0.2">
      <c r="B9" t="s">
        <v>876</v>
      </c>
      <c r="C9" s="109">
        <v>66000</v>
      </c>
      <c r="D9" s="13">
        <v>-22000</v>
      </c>
      <c r="E9" s="13">
        <v>44000</v>
      </c>
    </row>
    <row r="10" spans="2:6" x14ac:dyDescent="0.2">
      <c r="B10" t="s">
        <v>903</v>
      </c>
      <c r="C10" s="109">
        <v>241002.51</v>
      </c>
      <c r="D10" s="13">
        <v>-69000</v>
      </c>
      <c r="E10" s="13">
        <v>172002.51</v>
      </c>
    </row>
    <row r="11" spans="2:6" x14ac:dyDescent="0.2">
      <c r="B11" t="s">
        <v>904</v>
      </c>
      <c r="C11" s="109">
        <v>196200</v>
      </c>
      <c r="D11" s="13">
        <v>-69000</v>
      </c>
      <c r="E11" s="13">
        <v>127200</v>
      </c>
    </row>
    <row r="12" spans="2:6" x14ac:dyDescent="0.2">
      <c r="B12" t="s">
        <v>875</v>
      </c>
      <c r="C12" s="109">
        <v>1274000</v>
      </c>
      <c r="D12" s="13">
        <v>-541000</v>
      </c>
      <c r="E12" s="13">
        <v>733000</v>
      </c>
    </row>
    <row r="13" spans="2:6" x14ac:dyDescent="0.2">
      <c r="B13" t="s">
        <v>880</v>
      </c>
      <c r="C13" s="109">
        <v>141000</v>
      </c>
      <c r="D13" s="13">
        <v>-69000</v>
      </c>
      <c r="E13" s="13">
        <v>72000</v>
      </c>
    </row>
    <row r="14" spans="2:6" x14ac:dyDescent="0.2">
      <c r="B14" t="s">
        <v>879</v>
      </c>
      <c r="C14" s="109">
        <v>1093866.24</v>
      </c>
      <c r="D14" s="13">
        <v>0</v>
      </c>
      <c r="E14" s="13">
        <v>1093866.24</v>
      </c>
    </row>
    <row r="15" spans="2:6" x14ac:dyDescent="0.2">
      <c r="B15" t="s">
        <v>881</v>
      </c>
      <c r="C15" s="109">
        <v>78000</v>
      </c>
      <c r="D15" s="13">
        <v>-46000</v>
      </c>
      <c r="E15" s="13">
        <v>32000</v>
      </c>
    </row>
    <row r="16" spans="2:6" x14ac:dyDescent="0.2">
      <c r="B16" t="s">
        <v>886</v>
      </c>
      <c r="C16" s="109">
        <v>56271</v>
      </c>
      <c r="D16" s="13">
        <v>-23000</v>
      </c>
      <c r="E16" s="13">
        <v>33271</v>
      </c>
    </row>
    <row r="17" spans="2:5" x14ac:dyDescent="0.2">
      <c r="B17" t="s">
        <v>877</v>
      </c>
      <c r="C17" s="109">
        <v>938976.12</v>
      </c>
      <c r="D17" s="13">
        <v>-484000</v>
      </c>
      <c r="E17" s="13">
        <v>454976.12</v>
      </c>
    </row>
    <row r="18" spans="2:5" x14ac:dyDescent="0.2">
      <c r="B18" t="s">
        <v>874</v>
      </c>
      <c r="C18" s="109">
        <v>616031.91</v>
      </c>
      <c r="D18" s="13">
        <v>-132000</v>
      </c>
      <c r="E18" s="13">
        <v>484031.91000000003</v>
      </c>
    </row>
    <row r="19" spans="2:5" x14ac:dyDescent="0.2">
      <c r="B19" t="s">
        <v>878</v>
      </c>
      <c r="C19" s="109">
        <v>76000</v>
      </c>
      <c r="D19" s="13">
        <v>-7000</v>
      </c>
      <c r="E19" s="13">
        <v>69000</v>
      </c>
    </row>
    <row r="20" spans="2:5" x14ac:dyDescent="0.2">
      <c r="B20" t="s">
        <v>905</v>
      </c>
      <c r="C20" s="109">
        <v>46000</v>
      </c>
      <c r="D20" s="13">
        <v>-46000</v>
      </c>
      <c r="E20" s="13">
        <v>0</v>
      </c>
    </row>
    <row r="21" spans="2:5" x14ac:dyDescent="0.2">
      <c r="B21" t="s">
        <v>889</v>
      </c>
      <c r="C21" s="109">
        <v>1112865.23</v>
      </c>
      <c r="D21" s="13">
        <v>-149000</v>
      </c>
      <c r="E21" s="13">
        <v>963865.23</v>
      </c>
    </row>
    <row r="22" spans="2:5" x14ac:dyDescent="0.2">
      <c r="B22" t="s">
        <v>350</v>
      </c>
      <c r="C22" s="109">
        <v>14197667.863265386</v>
      </c>
      <c r="D22" s="13">
        <v>-2698858.26220298</v>
      </c>
      <c r="E22" s="13">
        <v>11498809.601062406</v>
      </c>
    </row>
  </sheetData>
  <pageMargins left="0.7" right="0.7" top="0.75" bottom="0.75" header="0.3" footer="0.3"/>
  <customProperties>
    <customPr name="_pios_id" r:id="rId2"/>
    <customPr name="IbpWorksheetKeyString_GUID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5361E-2128-4069-BFA7-41F3B1FE6FAC}">
  <dimension ref="A1:J31"/>
  <sheetViews>
    <sheetView showGridLines="0" zoomScale="80" zoomScaleNormal="80" workbookViewId="0">
      <selection activeCell="H12" sqref="A10:H12"/>
    </sheetView>
  </sheetViews>
  <sheetFormatPr baseColWidth="10" defaultRowHeight="15" x14ac:dyDescent="0.2"/>
  <cols>
    <col min="1" max="1" width="17.6640625" bestFit="1" customWidth="1"/>
    <col min="2" max="2" width="30" bestFit="1" customWidth="1"/>
    <col min="3" max="3" width="20.6640625" bestFit="1" customWidth="1"/>
    <col min="4" max="4" width="18.83203125" bestFit="1" customWidth="1"/>
    <col min="5" max="5" width="25.5" bestFit="1" customWidth="1"/>
    <col min="6" max="6" width="20.6640625" bestFit="1" customWidth="1"/>
    <col min="7" max="7" width="21.6640625" bestFit="1" customWidth="1"/>
    <col min="8" max="8" width="19.1640625" bestFit="1" customWidth="1"/>
    <col min="9" max="9" width="22.83203125" bestFit="1" customWidth="1"/>
    <col min="10" max="11" width="21.1640625" bestFit="1" customWidth="1"/>
  </cols>
  <sheetData>
    <row r="1" spans="1:10" x14ac:dyDescent="0.2">
      <c r="A1" s="10" t="s">
        <v>0</v>
      </c>
      <c r="B1" t="s">
        <v>356</v>
      </c>
    </row>
    <row r="2" spans="1:10" x14ac:dyDescent="0.2">
      <c r="C2" s="13" t="e">
        <f>+C4-B4</f>
        <v>#VALUE!</v>
      </c>
    </row>
    <row r="3" spans="1:10" x14ac:dyDescent="0.2">
      <c r="B3" s="10" t="s">
        <v>833</v>
      </c>
    </row>
    <row r="4" spans="1:10" x14ac:dyDescent="0.2">
      <c r="A4" s="10" t="s">
        <v>1</v>
      </c>
      <c r="B4" t="s">
        <v>419</v>
      </c>
      <c r="C4" t="s">
        <v>641</v>
      </c>
      <c r="D4" t="s">
        <v>827</v>
      </c>
      <c r="E4" t="s">
        <v>828</v>
      </c>
      <c r="F4" t="s">
        <v>830</v>
      </c>
      <c r="G4" t="s">
        <v>829</v>
      </c>
      <c r="H4" t="s">
        <v>704</v>
      </c>
      <c r="I4" t="s">
        <v>831</v>
      </c>
    </row>
    <row r="5" spans="1:10" x14ac:dyDescent="0.2">
      <c r="A5" t="s">
        <v>370</v>
      </c>
      <c r="B5" s="13">
        <v>199000</v>
      </c>
      <c r="C5" s="13">
        <v>159200</v>
      </c>
      <c r="D5" s="13">
        <v>82295</v>
      </c>
      <c r="E5" s="13">
        <v>320605</v>
      </c>
      <c r="F5" s="13">
        <v>23989.05</v>
      </c>
      <c r="G5" s="174">
        <v>311989.05</v>
      </c>
      <c r="H5" s="13">
        <v>455989.05</v>
      </c>
      <c r="I5" s="13">
        <v>-71595</v>
      </c>
    </row>
    <row r="6" spans="1:10" x14ac:dyDescent="0.2">
      <c r="A6" t="s">
        <v>17</v>
      </c>
      <c r="B6" s="13">
        <v>4125666</v>
      </c>
      <c r="C6" s="13">
        <v>2444468.3634827365</v>
      </c>
      <c r="D6" s="13">
        <v>3148584</v>
      </c>
      <c r="E6" s="109">
        <v>6297487.4758441746</v>
      </c>
      <c r="F6" s="13">
        <v>150068.34999999998</v>
      </c>
      <c r="G6" s="174">
        <v>5913230.3500000006</v>
      </c>
      <c r="H6" s="13">
        <v>4970730.3500000006</v>
      </c>
      <c r="I6" s="13">
        <v>3199523.112361439</v>
      </c>
    </row>
    <row r="7" spans="1:10" x14ac:dyDescent="0.2">
      <c r="A7" t="s">
        <v>173</v>
      </c>
      <c r="B7" s="13">
        <v>4115608</v>
      </c>
      <c r="C7" s="13">
        <v>1881632.9169624175</v>
      </c>
      <c r="D7" s="13">
        <v>1171348</v>
      </c>
      <c r="E7" s="109">
        <v>3913438.9045138685</v>
      </c>
      <c r="F7" s="13">
        <v>548370.86</v>
      </c>
      <c r="G7" s="174">
        <v>4771870.8599999994</v>
      </c>
      <c r="H7" s="13">
        <v>3756870.86</v>
      </c>
      <c r="I7" s="13">
        <v>2986913.9875514512</v>
      </c>
    </row>
    <row r="8" spans="1:10" x14ac:dyDescent="0.2">
      <c r="A8" t="s">
        <v>7</v>
      </c>
      <c r="B8" s="13">
        <v>720662</v>
      </c>
      <c r="C8" s="13">
        <v>586769.05743648205</v>
      </c>
      <c r="D8" s="13">
        <v>649649</v>
      </c>
      <c r="E8" s="109">
        <v>1272714.3703899819</v>
      </c>
      <c r="F8" s="13">
        <v>0</v>
      </c>
      <c r="G8" s="174">
        <v>1197990</v>
      </c>
      <c r="H8" s="13">
        <v>717990</v>
      </c>
      <c r="I8" s="13">
        <v>688617.31295349996</v>
      </c>
    </row>
    <row r="9" spans="1:10" x14ac:dyDescent="0.2">
      <c r="A9" t="s">
        <v>88</v>
      </c>
      <c r="B9" s="13">
        <v>2266198</v>
      </c>
      <c r="C9" s="13">
        <v>1975180.0828142995</v>
      </c>
      <c r="D9" s="13">
        <v>1616314</v>
      </c>
      <c r="E9" s="109">
        <v>3581728.5465308558</v>
      </c>
      <c r="F9" s="13">
        <v>0</v>
      </c>
      <c r="G9" s="174">
        <v>4090155.3292832826</v>
      </c>
      <c r="H9" s="13">
        <v>2428399.3292832817</v>
      </c>
      <c r="I9" s="13">
        <v>1463180.4677666074</v>
      </c>
    </row>
    <row r="10" spans="1:10" x14ac:dyDescent="0.2">
      <c r="A10" t="s">
        <v>350</v>
      </c>
      <c r="B10" s="13">
        <v>11427134</v>
      </c>
      <c r="C10" s="13">
        <v>7047250.4206959354</v>
      </c>
      <c r="D10" s="13">
        <v>6668190</v>
      </c>
      <c r="E10" s="13">
        <v>15385974.297278881</v>
      </c>
      <c r="F10" s="13">
        <v>722428.26</v>
      </c>
      <c r="G10" s="174">
        <v>16285235.589283282</v>
      </c>
      <c r="H10" s="13">
        <v>12329979.589283282</v>
      </c>
      <c r="I10" s="13">
        <v>8266639.8806329975</v>
      </c>
    </row>
    <row r="15" spans="1:10" x14ac:dyDescent="0.2">
      <c r="D15" s="13"/>
    </row>
    <row r="16" spans="1:10" x14ac:dyDescent="0.2">
      <c r="D16" s="12" t="s">
        <v>1</v>
      </c>
      <c r="E16" s="12" t="s">
        <v>834</v>
      </c>
      <c r="F16" s="12" t="s">
        <v>641</v>
      </c>
      <c r="G16" s="12" t="s">
        <v>637</v>
      </c>
      <c r="H16" s="176" t="s">
        <v>836</v>
      </c>
      <c r="I16" s="12" t="s">
        <v>837</v>
      </c>
      <c r="J16" s="12" t="s">
        <v>411</v>
      </c>
    </row>
    <row r="17" spans="1:10" x14ac:dyDescent="0.2">
      <c r="D17" t="s">
        <v>370</v>
      </c>
      <c r="E17" s="13">
        <f>+B5</f>
        <v>199000</v>
      </c>
      <c r="F17" s="13">
        <f>+C5</f>
        <v>159200</v>
      </c>
      <c r="G17" s="13">
        <f t="shared" ref="G17:G21" si="0">+D5</f>
        <v>82295</v>
      </c>
      <c r="H17" s="13">
        <f>+I17-SUM(F17:G17)</f>
        <v>79110</v>
      </c>
      <c r="I17" s="13">
        <v>320605</v>
      </c>
      <c r="J17" s="13">
        <f>+H5</f>
        <v>455989.05</v>
      </c>
    </row>
    <row r="18" spans="1:10" x14ac:dyDescent="0.2">
      <c r="A18" s="10" t="s">
        <v>0</v>
      </c>
      <c r="B18" t="s">
        <v>356</v>
      </c>
      <c r="D18" t="s">
        <v>17</v>
      </c>
      <c r="E18" s="13">
        <f t="shared" ref="E18:E21" si="1">+B6</f>
        <v>4125666</v>
      </c>
      <c r="F18" s="13">
        <f t="shared" ref="F18:F21" si="2">+C6</f>
        <v>2444468.3634827365</v>
      </c>
      <c r="G18" s="13">
        <f t="shared" si="0"/>
        <v>3148584</v>
      </c>
      <c r="H18" s="13">
        <f t="shared" ref="H18:H21" si="3">+I18-SUM(F18:G18)</f>
        <v>704435.11236143857</v>
      </c>
      <c r="I18" s="109">
        <v>6297487.4758441746</v>
      </c>
      <c r="J18" s="109">
        <f t="shared" ref="J18:J22" si="4">+H6</f>
        <v>4970730.3500000006</v>
      </c>
    </row>
    <row r="19" spans="1:10" x14ac:dyDescent="0.2">
      <c r="C19" s="13"/>
      <c r="D19" t="s">
        <v>173</v>
      </c>
      <c r="E19" s="13">
        <f t="shared" si="1"/>
        <v>4115608</v>
      </c>
      <c r="F19" s="13">
        <f t="shared" si="2"/>
        <v>1881632.9169624175</v>
      </c>
      <c r="G19" s="13">
        <f t="shared" si="0"/>
        <v>1171348</v>
      </c>
      <c r="H19" s="13">
        <f t="shared" si="3"/>
        <v>860457.98755145073</v>
      </c>
      <c r="I19" s="109">
        <v>3913438.9045138685</v>
      </c>
      <c r="J19" s="109">
        <f t="shared" si="4"/>
        <v>3756870.86</v>
      </c>
    </row>
    <row r="20" spans="1:10" x14ac:dyDescent="0.2">
      <c r="A20" s="10" t="s">
        <v>832</v>
      </c>
      <c r="D20" t="s">
        <v>7</v>
      </c>
      <c r="E20" s="13">
        <f t="shared" si="1"/>
        <v>720662</v>
      </c>
      <c r="F20" s="13">
        <f t="shared" si="2"/>
        <v>586769.05743648205</v>
      </c>
      <c r="G20" s="13">
        <f t="shared" si="0"/>
        <v>649649</v>
      </c>
      <c r="H20" s="13">
        <f t="shared" si="3"/>
        <v>36296.312953499844</v>
      </c>
      <c r="I20" s="109">
        <v>1272714.3703899819</v>
      </c>
      <c r="J20" s="109">
        <f t="shared" si="4"/>
        <v>717990</v>
      </c>
    </row>
    <row r="21" spans="1:10" x14ac:dyDescent="0.2">
      <c r="A21" s="10" t="s">
        <v>1</v>
      </c>
      <c r="B21" t="s">
        <v>729</v>
      </c>
      <c r="D21" t="s">
        <v>88</v>
      </c>
      <c r="E21" s="13">
        <f t="shared" si="1"/>
        <v>2266198</v>
      </c>
      <c r="F21" s="13">
        <f t="shared" si="2"/>
        <v>1975180.0828142995</v>
      </c>
      <c r="G21" s="13">
        <f t="shared" si="0"/>
        <v>1616314</v>
      </c>
      <c r="H21" s="13">
        <f t="shared" si="3"/>
        <v>-9765.5362834436819</v>
      </c>
      <c r="I21" s="109">
        <v>3581728.5465308558</v>
      </c>
      <c r="J21" s="109">
        <f t="shared" si="4"/>
        <v>2428399.3292832817</v>
      </c>
    </row>
    <row r="22" spans="1:10" x14ac:dyDescent="0.2">
      <c r="A22" t="s">
        <v>370</v>
      </c>
      <c r="B22" s="13">
        <v>311989.05</v>
      </c>
      <c r="E22" s="175">
        <f>SUM(E17:E21)</f>
        <v>11427134</v>
      </c>
      <c r="F22" s="175">
        <f t="shared" ref="F22:H22" si="5">SUM(F17:F21)</f>
        <v>7047250.4206959354</v>
      </c>
      <c r="G22" s="175">
        <f t="shared" si="5"/>
        <v>6668190</v>
      </c>
      <c r="H22" s="175">
        <f t="shared" si="5"/>
        <v>1670533.8765829455</v>
      </c>
      <c r="I22" s="175">
        <v>15385974.297278881</v>
      </c>
      <c r="J22" s="175">
        <f t="shared" si="4"/>
        <v>12329979.589283282</v>
      </c>
    </row>
    <row r="23" spans="1:10" x14ac:dyDescent="0.2">
      <c r="A23" t="s">
        <v>17</v>
      </c>
      <c r="B23" s="13">
        <v>5744193.3500000006</v>
      </c>
    </row>
    <row r="24" spans="1:10" x14ac:dyDescent="0.2">
      <c r="A24" t="s">
        <v>173</v>
      </c>
      <c r="B24" s="13">
        <v>4050370.86</v>
      </c>
      <c r="F24" s="38">
        <f>+F22/E22</f>
        <v>0.61671197876002293</v>
      </c>
    </row>
    <row r="25" spans="1:10" x14ac:dyDescent="0.2">
      <c r="A25" t="s">
        <v>7</v>
      </c>
      <c r="B25" s="13">
        <v>862000</v>
      </c>
      <c r="D25" s="12" t="s">
        <v>1</v>
      </c>
      <c r="E25" s="12" t="s">
        <v>835</v>
      </c>
      <c r="F25" s="12" t="s">
        <v>838</v>
      </c>
    </row>
    <row r="26" spans="1:10" x14ac:dyDescent="0.2">
      <c r="A26" t="s">
        <v>88</v>
      </c>
      <c r="B26" s="13">
        <v>3146935.0901425523</v>
      </c>
      <c r="D26" t="s">
        <v>370</v>
      </c>
      <c r="E26" s="13">
        <f>+E17-F17</f>
        <v>39800</v>
      </c>
      <c r="F26" s="13">
        <v>0</v>
      </c>
    </row>
    <row r="27" spans="1:10" x14ac:dyDescent="0.2">
      <c r="A27" t="s">
        <v>350</v>
      </c>
      <c r="B27" s="13">
        <v>14115488.350142552</v>
      </c>
      <c r="D27" t="s">
        <v>17</v>
      </c>
      <c r="E27" s="13">
        <f t="shared" ref="E27:E31" si="6">+E18-F18</f>
        <v>1681197.6365172635</v>
      </c>
      <c r="F27" s="13">
        <f t="shared" ref="F27:F30" si="7">+I18-J18</f>
        <v>1326757.1258441741</v>
      </c>
    </row>
    <row r="28" spans="1:10" x14ac:dyDescent="0.2">
      <c r="D28" t="s">
        <v>173</v>
      </c>
      <c r="E28" s="13">
        <f t="shared" si="6"/>
        <v>2233975.0830375822</v>
      </c>
      <c r="F28" s="13">
        <f t="shared" si="7"/>
        <v>156568.04451386863</v>
      </c>
    </row>
    <row r="29" spans="1:10" x14ac:dyDescent="0.2">
      <c r="D29" t="s">
        <v>7</v>
      </c>
      <c r="E29" s="13">
        <f t="shared" si="6"/>
        <v>133892.94256351795</v>
      </c>
      <c r="F29" s="13">
        <f t="shared" si="7"/>
        <v>554724.37038998189</v>
      </c>
    </row>
    <row r="30" spans="1:10" x14ac:dyDescent="0.2">
      <c r="D30" t="s">
        <v>88</v>
      </c>
      <c r="E30" s="13">
        <f t="shared" si="6"/>
        <v>291017.9171857005</v>
      </c>
      <c r="F30" s="13">
        <f t="shared" si="7"/>
        <v>1153329.2172475741</v>
      </c>
    </row>
    <row r="31" spans="1:10" x14ac:dyDescent="0.2">
      <c r="E31" s="175">
        <f t="shared" si="6"/>
        <v>4379883.5793040646</v>
      </c>
      <c r="F31" s="175">
        <f>SUM(F26:F30)</f>
        <v>3191378.7579955989</v>
      </c>
    </row>
  </sheetData>
  <pageMargins left="0.7" right="0.7" top="0.75" bottom="0.75" header="0.3" footer="0.3"/>
  <customProperties>
    <customPr name="_pios_id" r:id="rId3"/>
    <customPr name="IbpWorksheetKeyString_GUID" r:id="rId4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64DD3-C276-4EE8-AB45-D7318E8BC9FA}">
  <dimension ref="C5:E9"/>
  <sheetViews>
    <sheetView topLeftCell="A4" workbookViewId="0">
      <selection activeCell="E22" sqref="E22"/>
    </sheetView>
  </sheetViews>
  <sheetFormatPr baseColWidth="10" defaultRowHeight="15" x14ac:dyDescent="0.2"/>
  <cols>
    <col min="4" max="4" width="20.6640625" bestFit="1" customWidth="1"/>
  </cols>
  <sheetData>
    <row r="5" spans="3:5" x14ac:dyDescent="0.2">
      <c r="C5" t="s">
        <v>839</v>
      </c>
      <c r="D5" t="s">
        <v>840</v>
      </c>
      <c r="E5">
        <v>300</v>
      </c>
    </row>
    <row r="6" spans="3:5" x14ac:dyDescent="0.2">
      <c r="C6" t="s">
        <v>842</v>
      </c>
      <c r="D6" t="s">
        <v>841</v>
      </c>
      <c r="E6">
        <v>300</v>
      </c>
    </row>
    <row r="7" spans="3:5" x14ac:dyDescent="0.2">
      <c r="C7" t="s">
        <v>842</v>
      </c>
      <c r="D7" t="s">
        <v>843</v>
      </c>
      <c r="E7">
        <v>1500</v>
      </c>
    </row>
    <row r="8" spans="3:5" x14ac:dyDescent="0.2">
      <c r="C8" t="s">
        <v>842</v>
      </c>
      <c r="D8" t="s">
        <v>844</v>
      </c>
      <c r="E8">
        <v>300</v>
      </c>
    </row>
    <row r="9" spans="3:5" x14ac:dyDescent="0.2">
      <c r="C9" t="s">
        <v>842</v>
      </c>
      <c r="D9" t="s">
        <v>845</v>
      </c>
      <c r="E9">
        <v>500</v>
      </c>
    </row>
  </sheetData>
  <pageMargins left="0.7" right="0.7" top="0.75" bottom="0.75" header="0.3" footer="0.3"/>
  <customProperties>
    <customPr name="_pios_id" r:id="rId1"/>
    <customPr name="IbpWorksheetKeyString_GU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941D5-E23D-4142-9CF7-B3F399DC9020}">
  <sheetPr>
    <tabColor rgb="FFFF0000"/>
  </sheetPr>
  <dimension ref="A1:CC619"/>
  <sheetViews>
    <sheetView showGridLines="0" topLeftCell="AS1" zoomScale="70" zoomScaleNormal="70" workbookViewId="0">
      <selection activeCell="BV15" sqref="BV15"/>
    </sheetView>
  </sheetViews>
  <sheetFormatPr baseColWidth="10" defaultRowHeight="15" outlineLevelCol="1" x14ac:dyDescent="0.2"/>
  <cols>
    <col min="1" max="1" width="2.33203125" customWidth="1"/>
    <col min="2" max="2" width="11.5" customWidth="1"/>
    <col min="3" max="3" width="10.33203125" customWidth="1"/>
    <col min="4" max="4" width="17.5" customWidth="1"/>
    <col min="5" max="5" width="11" bestFit="1" customWidth="1"/>
    <col min="6" max="6" width="36.6640625" bestFit="1" customWidth="1"/>
    <col min="7" max="7" width="16.1640625" customWidth="1"/>
    <col min="8" max="8" width="20.83203125" bestFit="1" customWidth="1"/>
    <col min="9" max="15" width="15.6640625" customWidth="1" outlineLevel="1"/>
    <col min="16" max="16" width="20.33203125" customWidth="1"/>
    <col min="17" max="20" width="15.6640625" customWidth="1"/>
    <col min="21" max="21" width="16.33203125" customWidth="1"/>
    <col min="22" max="27" width="15.6640625" customWidth="1"/>
    <col min="28" max="31" width="13.83203125" customWidth="1"/>
    <col min="32" max="32" width="16.6640625" customWidth="1"/>
    <col min="33" max="35" width="16.6640625" hidden="1" customWidth="1" outlineLevel="1"/>
    <col min="36" max="36" width="16.6640625" customWidth="1" collapsed="1"/>
    <col min="37" max="38" width="16.6640625" customWidth="1"/>
    <col min="39" max="40" width="44.5" customWidth="1"/>
    <col min="41" max="43" width="16.6640625" customWidth="1"/>
    <col min="44" max="45" width="21.83203125" customWidth="1"/>
    <col min="46" max="50" width="15.6640625" hidden="1" customWidth="1" outlineLevel="1"/>
    <col min="51" max="53" width="18" hidden="1" customWidth="1" outlineLevel="1"/>
    <col min="54" max="54" width="71.5" hidden="1" customWidth="1" outlineLevel="1"/>
    <col min="55" max="56" width="18" hidden="1" customWidth="1" outlineLevel="1"/>
    <col min="57" max="68" width="10.83203125" hidden="1" customWidth="1" outlineLevel="1"/>
    <col min="69" max="69" width="24" customWidth="1" collapsed="1"/>
    <col min="70" max="70" width="28.6640625" customWidth="1"/>
  </cols>
  <sheetData>
    <row r="1" spans="1:81" x14ac:dyDescent="0.2">
      <c r="A1" s="108"/>
      <c r="B1" s="108">
        <v>1</v>
      </c>
      <c r="C1" s="108">
        <f>+B1+1</f>
        <v>2</v>
      </c>
      <c r="D1" s="108">
        <f t="shared" ref="D1:BO1" si="0">+C1+1</f>
        <v>3</v>
      </c>
      <c r="E1" s="108">
        <f t="shared" si="0"/>
        <v>4</v>
      </c>
      <c r="F1" s="108">
        <f t="shared" si="0"/>
        <v>5</v>
      </c>
      <c r="G1" s="108">
        <f t="shared" si="0"/>
        <v>6</v>
      </c>
      <c r="H1" s="108">
        <f t="shared" si="0"/>
        <v>7</v>
      </c>
      <c r="I1" s="108">
        <f t="shared" si="0"/>
        <v>8</v>
      </c>
      <c r="J1" s="108">
        <f t="shared" si="0"/>
        <v>9</v>
      </c>
      <c r="K1" s="108">
        <f t="shared" si="0"/>
        <v>10</v>
      </c>
      <c r="L1" s="108">
        <f t="shared" si="0"/>
        <v>11</v>
      </c>
      <c r="M1" s="108">
        <f t="shared" si="0"/>
        <v>12</v>
      </c>
      <c r="N1" s="108">
        <f t="shared" si="0"/>
        <v>13</v>
      </c>
      <c r="O1" s="108">
        <f t="shared" si="0"/>
        <v>14</v>
      </c>
      <c r="P1" s="108">
        <f t="shared" si="0"/>
        <v>15</v>
      </c>
      <c r="Q1" s="108">
        <f t="shared" si="0"/>
        <v>16</v>
      </c>
      <c r="R1" s="108">
        <f t="shared" si="0"/>
        <v>17</v>
      </c>
      <c r="S1" s="108">
        <f t="shared" si="0"/>
        <v>18</v>
      </c>
      <c r="T1" s="108">
        <f t="shared" si="0"/>
        <v>19</v>
      </c>
      <c r="U1" s="108">
        <f t="shared" si="0"/>
        <v>20</v>
      </c>
      <c r="V1" s="108">
        <f t="shared" si="0"/>
        <v>21</v>
      </c>
      <c r="W1" s="108">
        <f t="shared" si="0"/>
        <v>22</v>
      </c>
      <c r="X1" s="108">
        <f t="shared" si="0"/>
        <v>23</v>
      </c>
      <c r="Y1" s="108">
        <f t="shared" si="0"/>
        <v>24</v>
      </c>
      <c r="Z1" s="108">
        <f t="shared" si="0"/>
        <v>25</v>
      </c>
      <c r="AA1" s="108">
        <f t="shared" si="0"/>
        <v>26</v>
      </c>
      <c r="AB1" s="108"/>
      <c r="AC1" s="108"/>
      <c r="AD1" s="108">
        <f t="shared" ref="AD1" si="1">+AA1+1</f>
        <v>27</v>
      </c>
      <c r="AE1" s="108"/>
      <c r="AF1" s="108">
        <f t="shared" ref="AF1" si="2">+AD1+1</f>
        <v>28</v>
      </c>
      <c r="AG1" s="108">
        <f t="shared" ref="AG1:AM1" si="3">+AF1+1</f>
        <v>29</v>
      </c>
      <c r="AH1" s="108">
        <f t="shared" si="3"/>
        <v>30</v>
      </c>
      <c r="AI1" s="108">
        <f t="shared" si="3"/>
        <v>31</v>
      </c>
      <c r="AJ1" s="108">
        <f t="shared" si="3"/>
        <v>32</v>
      </c>
      <c r="AK1" s="108">
        <f t="shared" si="3"/>
        <v>33</v>
      </c>
      <c r="AL1" s="108">
        <f t="shared" si="3"/>
        <v>34</v>
      </c>
      <c r="AM1" s="108">
        <f t="shared" si="3"/>
        <v>35</v>
      </c>
      <c r="AN1" s="108"/>
      <c r="AO1" s="108"/>
      <c r="AP1" s="108"/>
      <c r="AQ1" s="108"/>
      <c r="AR1" s="108"/>
      <c r="AS1" s="108"/>
      <c r="AT1" s="108">
        <f>+AM1+1</f>
        <v>36</v>
      </c>
      <c r="AU1" s="108">
        <f>+AT1+1</f>
        <v>37</v>
      </c>
      <c r="AV1" s="108">
        <f t="shared" si="0"/>
        <v>38</v>
      </c>
      <c r="AW1" s="108">
        <f t="shared" si="0"/>
        <v>39</v>
      </c>
      <c r="AX1" s="108">
        <f t="shared" si="0"/>
        <v>40</v>
      </c>
      <c r="AY1" s="108">
        <f t="shared" si="0"/>
        <v>41</v>
      </c>
      <c r="AZ1" s="108"/>
      <c r="BA1" s="108"/>
      <c r="BB1" s="108"/>
      <c r="BC1" s="108">
        <f>+AY1+1</f>
        <v>42</v>
      </c>
      <c r="BD1" s="108">
        <f t="shared" si="0"/>
        <v>43</v>
      </c>
      <c r="BE1" s="108">
        <f t="shared" si="0"/>
        <v>44</v>
      </c>
      <c r="BF1" s="108">
        <f t="shared" si="0"/>
        <v>45</v>
      </c>
      <c r="BG1" s="108">
        <f t="shared" si="0"/>
        <v>46</v>
      </c>
      <c r="BH1" s="108">
        <f t="shared" si="0"/>
        <v>47</v>
      </c>
      <c r="BI1" s="108">
        <f t="shared" si="0"/>
        <v>48</v>
      </c>
      <c r="BJ1" s="108">
        <f t="shared" si="0"/>
        <v>49</v>
      </c>
      <c r="BK1" s="108">
        <f t="shared" si="0"/>
        <v>50</v>
      </c>
      <c r="BL1" s="108">
        <f t="shared" si="0"/>
        <v>51</v>
      </c>
      <c r="BM1" s="108">
        <f t="shared" si="0"/>
        <v>52</v>
      </c>
      <c r="BN1" s="108">
        <f t="shared" si="0"/>
        <v>53</v>
      </c>
      <c r="BO1" s="108">
        <f t="shared" si="0"/>
        <v>54</v>
      </c>
      <c r="BP1" s="108">
        <f t="shared" ref="BP1:BQ1" si="4">+BO1+1</f>
        <v>55</v>
      </c>
      <c r="BQ1" s="108">
        <f t="shared" si="4"/>
        <v>56</v>
      </c>
    </row>
    <row r="2" spans="1:81" x14ac:dyDescent="0.2">
      <c r="G2" s="39"/>
      <c r="H2" s="39"/>
      <c r="I2" s="39"/>
      <c r="J2" s="39"/>
      <c r="V2" s="54"/>
      <c r="Z2" s="44"/>
      <c r="AT2" s="3"/>
    </row>
    <row r="3" spans="1:81" x14ac:dyDescent="0.2">
      <c r="H3" s="159"/>
      <c r="I3" s="3"/>
      <c r="J3" s="3"/>
      <c r="P3" s="3"/>
      <c r="S3" s="3"/>
      <c r="V3" s="7"/>
      <c r="AT3" s="7"/>
    </row>
    <row r="5" spans="1:81" x14ac:dyDescent="0.2">
      <c r="AR5" s="3"/>
      <c r="AS5" s="3"/>
    </row>
    <row r="6" spans="1:81" x14ac:dyDescent="0.2">
      <c r="I6" s="159"/>
      <c r="J6" s="159"/>
      <c r="M6" s="159"/>
      <c r="N6" s="159"/>
      <c r="O6" s="159"/>
      <c r="Q6" s="159"/>
      <c r="R6" s="7"/>
      <c r="AF6" s="3"/>
      <c r="AJ6" s="3"/>
      <c r="AR6" s="3"/>
      <c r="AS6" s="3"/>
      <c r="AU6" s="159"/>
    </row>
    <row r="7" spans="1:81" x14ac:dyDescent="0.2">
      <c r="I7" s="46" t="s">
        <v>140</v>
      </c>
      <c r="L7" s="40">
        <f>+L8/I8</f>
        <v>0.60934868692769972</v>
      </c>
      <c r="M7" s="7"/>
      <c r="N7" s="7"/>
      <c r="P7" s="77"/>
      <c r="V7" s="3"/>
      <c r="X7" s="3"/>
      <c r="AD7" s="7"/>
      <c r="AE7" s="7"/>
      <c r="AF7" s="7"/>
      <c r="AG7" s="3"/>
      <c r="AJ7" s="3">
        <f>+AF8-AJ8</f>
        <v>2014223.7608592715</v>
      </c>
      <c r="AK7" s="3"/>
      <c r="AL7" s="3"/>
      <c r="AM7" s="3"/>
      <c r="AN7" s="3"/>
      <c r="AO7" s="3"/>
      <c r="AP7" s="3"/>
      <c r="AQ7" s="3"/>
      <c r="AR7" s="3"/>
      <c r="AS7" s="3"/>
      <c r="BV7" t="s">
        <v>819</v>
      </c>
      <c r="BZ7" t="s">
        <v>820</v>
      </c>
    </row>
    <row r="8" spans="1:81" ht="17" thickBot="1" x14ac:dyDescent="0.25">
      <c r="I8" s="7">
        <f>SUBTOTAL(9,I10:I319 )</f>
        <v>11980134</v>
      </c>
      <c r="J8" s="7">
        <f>SUBTOTAL(9,J10:J319)</f>
        <v>10201671</v>
      </c>
      <c r="K8" s="16"/>
      <c r="L8" s="16">
        <f>SUBTOTAL(9,Tabla145[Producción disponible])</f>
        <v>7300078.9221178908</v>
      </c>
      <c r="M8" s="16">
        <f>SUBTOTAL(9,Tabla145[Stock al día])</f>
        <v>10088598</v>
      </c>
      <c r="N8" s="16">
        <f>SUBTOTAL(9,Tabla145[Por producir mes N] )</f>
        <v>4417106.8635560181</v>
      </c>
      <c r="O8" s="16">
        <f>SUBTOTAL(9,Tabla145[Producción por despachar mes N] )</f>
        <v>648800</v>
      </c>
      <c r="P8" s="16">
        <f>SUBTOTAL(9,Tabla145[Total disponible])</f>
        <v>20715273.099318314</v>
      </c>
      <c r="Q8" s="16">
        <f>SUBTOTAL(9,Tabla145[Delay])</f>
        <v>11321357</v>
      </c>
      <c r="R8" s="16">
        <f>SUBTOTAL(9,Tabla145[Vol. prom. Por contenedor])</f>
        <v>5804684.1387440525</v>
      </c>
      <c r="S8" s="16">
        <f>SUBTOTAL(9,Tabla145[Atraso a facturar])</f>
        <v>9747925.9523809515</v>
      </c>
      <c r="T8" s="16">
        <f>SUBTOTAL(9,Tabla145[Ajuste atraso])</f>
        <v>-1938248</v>
      </c>
      <c r="U8" s="16">
        <f>SUBTOTAL(9,Tabla145[Facturación atraso])</f>
        <v>7809677.9523809524</v>
      </c>
      <c r="V8" s="16">
        <f>SUBTOTAL(9,Tabla145[Producción para venta nueva])</f>
        <v>12905595.146937361</v>
      </c>
      <c r="W8" s="16">
        <f>SUBTOTAL(9,Tabla145[Venta del mes])</f>
        <v>6429361.0435689976</v>
      </c>
      <c r="X8" s="16">
        <f>SUBTOTAL(9,Tabla145[Ajuste venta nueva])</f>
        <v>-1914508</v>
      </c>
      <c r="Y8" s="16">
        <f>SUBTOTAL(9,Tabla145[Facturación Venta nueva])</f>
        <v>4514853.0435689967</v>
      </c>
      <c r="Z8" s="16">
        <f>SUBTOTAL(9,Tabla145[Saldo Volumen disponible])</f>
        <v>8390742.1033683605</v>
      </c>
      <c r="AA8" s="16">
        <f>SUBTOTAL(9,Tabla145[Disponible stock sin venta])</f>
        <v>210833.33333333334</v>
      </c>
      <c r="AB8" s="16"/>
      <c r="AC8" s="16">
        <f>SUBTOTAL(9,Tabla145[Facturación stock])</f>
        <v>108333.33333333333</v>
      </c>
      <c r="AD8" s="16">
        <f>SUBTOTAL(9,Tabla145[En puerto a facturar])</f>
        <v>840718.26</v>
      </c>
      <c r="AE8" s="16">
        <f>SUBTOTAL(9,Tabla145[Plan Irrestricto Inicial])</f>
        <v>14806731.350142552</v>
      </c>
      <c r="AF8" s="16">
        <f>SUBTOTAL(9,Tabla145[Plan Irrestricto])</f>
        <v>14806731.350142552</v>
      </c>
      <c r="AG8" s="16">
        <f>SUBTOTAL(9,Tabla145[[Puerto ]])</f>
        <v>840718.26</v>
      </c>
      <c r="AH8" s="16">
        <f>SUBTOTAL(9,Tabla145[Atraso])</f>
        <v>7809677.9523809524</v>
      </c>
      <c r="AI8" s="16">
        <f>SUBTOTAL(9,Tabla145[Venta nueva])</f>
        <v>6156335.1377616003</v>
      </c>
      <c r="AJ8" s="16">
        <f>SUBTOTAL(9,Tabla145[Plan Ajustado])</f>
        <v>12792507.58928328</v>
      </c>
      <c r="AK8" s="16">
        <f>SUBTOTAL(9,Tabla145[[ Atraso ajustado]])</f>
        <v>7809677.9523809524</v>
      </c>
      <c r="AL8" s="16">
        <f>SUBTOTAL(9,Tabla145[Venta nueva Ajustado])</f>
        <v>4142111.3769023307</v>
      </c>
      <c r="AM8" s="16"/>
      <c r="AN8" s="16"/>
      <c r="AO8" s="16"/>
      <c r="AP8" s="16">
        <f>SUBTOTAL(9,Tabla145[Necesidad])</f>
        <v>11951789.32928328</v>
      </c>
      <c r="AQ8" s="16">
        <f>SUBTOTAL(9,Tabla145[Stock Plan])</f>
        <v>6084002.6666666651</v>
      </c>
      <c r="AR8" s="16">
        <f>SUBTOTAL(9,Tabla145[Producción nueva])</f>
        <v>5867786.6626166161</v>
      </c>
      <c r="AS8" s="16"/>
      <c r="AT8" s="47" t="s">
        <v>140</v>
      </c>
      <c r="AU8" s="16"/>
      <c r="AV8" s="16"/>
      <c r="AW8" s="34"/>
      <c r="AX8" s="34"/>
      <c r="AY8" s="34"/>
      <c r="AZ8" s="34"/>
      <c r="BA8" s="34"/>
      <c r="BB8" s="34"/>
      <c r="BC8" s="34"/>
      <c r="BD8" s="34"/>
      <c r="BE8" s="199" t="s">
        <v>689</v>
      </c>
      <c r="BF8" s="199"/>
      <c r="BG8" s="199"/>
      <c r="BH8" s="199"/>
      <c r="BI8" s="199"/>
      <c r="BJ8" s="199"/>
      <c r="BK8" s="200" t="s">
        <v>690</v>
      </c>
      <c r="BL8" s="200"/>
      <c r="BM8" s="200"/>
      <c r="BN8" s="200"/>
      <c r="BO8" s="200"/>
      <c r="BP8" s="200"/>
      <c r="BR8" s="7">
        <f>SUBTOTAL(9,Tabla145[Producción disponible mes n-1])</f>
        <v>4680055.0778821083</v>
      </c>
      <c r="BS8" s="7">
        <f>SUBTOTAL(9,Tabla145[Saldo mes n-1])</f>
        <v>13070797.181250472</v>
      </c>
      <c r="BT8" s="7">
        <f>SUBTOTAL(9,Tabla145[Asignación mes n+2])</f>
        <v>12474565.42575</v>
      </c>
      <c r="BU8" s="7">
        <f>SUBTOTAL(9,Tabla145[Ponderación mes n+2])</f>
        <v>7493476.8394520674</v>
      </c>
      <c r="BV8" s="7">
        <f>SUBTOTAL(9,Tabla145[Irrstricto mes n+2])</f>
        <v>20564274.020702533</v>
      </c>
      <c r="BW8" s="7">
        <f>SUBTOTAL(9,Tabla145[Saldo mes n+2])</f>
        <v>4981088.5862979349</v>
      </c>
      <c r="BX8" s="7">
        <f>SUBTOTAL(9,Tabla145[Asignación mes n+3])</f>
        <v>10998815.584209997</v>
      </c>
      <c r="BY8" s="7">
        <f>SUBTOTAL(9,Tabla145[Ponderación mes n+3])</f>
        <v>6595695.9077037368</v>
      </c>
      <c r="BZ8" s="7">
        <f>SUBTOTAL(9,Tabla145[Irrstricto mes n+3])</f>
        <v>11576784.494001672</v>
      </c>
      <c r="CA8" s="7">
        <f>SUBTOTAL(9,Tabla145[Saldo mes n+3])</f>
        <v>4403119.6765062613</v>
      </c>
      <c r="CB8" s="7">
        <f>SUBTOTAL(9,Tabla145[Saldo mes n+4])</f>
        <v>11980134</v>
      </c>
    </row>
    <row r="9" spans="1:81" ht="34" customHeight="1" thickBot="1" x14ac:dyDescent="0.25">
      <c r="A9" t="s">
        <v>627</v>
      </c>
      <c r="B9" s="2" t="s">
        <v>330</v>
      </c>
      <c r="C9" s="2" t="s">
        <v>0</v>
      </c>
      <c r="D9" s="2" t="s">
        <v>1</v>
      </c>
      <c r="E9" s="2" t="s">
        <v>4</v>
      </c>
      <c r="F9" s="2" t="s">
        <v>5</v>
      </c>
      <c r="G9" s="2" t="s">
        <v>2</v>
      </c>
      <c r="H9" s="2" t="s">
        <v>3</v>
      </c>
      <c r="I9" s="2" t="s">
        <v>335</v>
      </c>
      <c r="J9" s="2" t="s">
        <v>336</v>
      </c>
      <c r="K9" s="2" t="s">
        <v>331</v>
      </c>
      <c r="L9" s="2" t="s">
        <v>332</v>
      </c>
      <c r="M9" s="2" t="s">
        <v>333</v>
      </c>
      <c r="N9" s="2" t="s">
        <v>681</v>
      </c>
      <c r="O9" s="2" t="s">
        <v>338</v>
      </c>
      <c r="P9" s="2" t="s">
        <v>339</v>
      </c>
      <c r="Q9" s="2" t="s">
        <v>340</v>
      </c>
      <c r="R9" s="2" t="s">
        <v>341</v>
      </c>
      <c r="S9" s="79" t="s">
        <v>342</v>
      </c>
      <c r="T9" s="79" t="s">
        <v>674</v>
      </c>
      <c r="U9" s="78" t="s">
        <v>676</v>
      </c>
      <c r="V9" s="2" t="s">
        <v>677</v>
      </c>
      <c r="W9" s="79" t="s">
        <v>344</v>
      </c>
      <c r="X9" s="79" t="s">
        <v>675</v>
      </c>
      <c r="Y9" s="78" t="s">
        <v>678</v>
      </c>
      <c r="Z9" s="42" t="s">
        <v>679</v>
      </c>
      <c r="AA9" s="79" t="s">
        <v>783</v>
      </c>
      <c r="AB9" s="79" t="s">
        <v>784</v>
      </c>
      <c r="AC9" s="78" t="s">
        <v>782</v>
      </c>
      <c r="AD9" s="78" t="s">
        <v>346</v>
      </c>
      <c r="AE9" s="74" t="s">
        <v>788</v>
      </c>
      <c r="AF9" s="74" t="s">
        <v>410</v>
      </c>
      <c r="AG9" s="102" t="s">
        <v>706</v>
      </c>
      <c r="AH9" s="102" t="s">
        <v>707</v>
      </c>
      <c r="AI9" s="102" t="s">
        <v>708</v>
      </c>
      <c r="AJ9" s="74" t="s">
        <v>680</v>
      </c>
      <c r="AK9" s="102" t="s">
        <v>709</v>
      </c>
      <c r="AL9" s="102" t="s">
        <v>710</v>
      </c>
      <c r="AM9" s="74" t="s">
        <v>691</v>
      </c>
      <c r="AN9" s="74" t="s">
        <v>806</v>
      </c>
      <c r="AO9" s="74" t="s">
        <v>766</v>
      </c>
      <c r="AP9" s="74" t="s">
        <v>768</v>
      </c>
      <c r="AQ9" s="74" t="s">
        <v>769</v>
      </c>
      <c r="AR9" s="74" t="s">
        <v>666</v>
      </c>
      <c r="AS9" s="74" t="s">
        <v>771</v>
      </c>
      <c r="AT9" s="4" t="s">
        <v>580</v>
      </c>
      <c r="AU9" s="4" t="s">
        <v>581</v>
      </c>
      <c r="AV9" s="4" t="s">
        <v>582</v>
      </c>
      <c r="AW9" s="4" t="s">
        <v>584</v>
      </c>
      <c r="AX9" s="4" t="s">
        <v>660</v>
      </c>
      <c r="AY9" s="4" t="s">
        <v>693</v>
      </c>
      <c r="AZ9" s="138" t="s">
        <v>750</v>
      </c>
      <c r="BA9" s="138" t="s">
        <v>751</v>
      </c>
      <c r="BB9" s="138" t="s">
        <v>752</v>
      </c>
      <c r="BC9" s="4" t="s">
        <v>749</v>
      </c>
      <c r="BD9" s="4" t="s">
        <v>792</v>
      </c>
      <c r="BE9" s="81" t="s">
        <v>414</v>
      </c>
      <c r="BF9" s="81" t="s">
        <v>415</v>
      </c>
      <c r="BG9" s="81" t="s">
        <v>416</v>
      </c>
      <c r="BH9" s="81" t="s">
        <v>417</v>
      </c>
      <c r="BI9" s="81" t="s">
        <v>418</v>
      </c>
      <c r="BJ9" s="81" t="s">
        <v>682</v>
      </c>
      <c r="BK9" s="21" t="s">
        <v>683</v>
      </c>
      <c r="BL9" s="21" t="s">
        <v>684</v>
      </c>
      <c r="BM9" s="21" t="s">
        <v>685</v>
      </c>
      <c r="BN9" s="21" t="s">
        <v>686</v>
      </c>
      <c r="BO9" s="21" t="s">
        <v>687</v>
      </c>
      <c r="BP9" s="21" t="s">
        <v>688</v>
      </c>
      <c r="BQ9" s="2" t="s">
        <v>626</v>
      </c>
      <c r="BR9" s="2" t="s">
        <v>785</v>
      </c>
      <c r="BS9" s="22" t="s">
        <v>786</v>
      </c>
      <c r="BT9" s="22" t="s">
        <v>811</v>
      </c>
      <c r="BU9" s="22" t="s">
        <v>812</v>
      </c>
      <c r="BV9" s="19" t="s">
        <v>813</v>
      </c>
      <c r="BW9" s="22" t="s">
        <v>814</v>
      </c>
      <c r="BX9" s="4" t="s">
        <v>818</v>
      </c>
      <c r="BY9" s="4" t="s">
        <v>817</v>
      </c>
      <c r="BZ9" s="19" t="s">
        <v>816</v>
      </c>
      <c r="CA9" s="22" t="s">
        <v>815</v>
      </c>
      <c r="CB9" s="2" t="s">
        <v>825</v>
      </c>
      <c r="CC9" s="2" t="s">
        <v>826</v>
      </c>
    </row>
    <row r="10" spans="1:81" ht="16" x14ac:dyDescent="0.2">
      <c r="A10">
        <v>1</v>
      </c>
      <c r="B10" t="str">
        <f>Tabla145[[#This Row],[Oficina]]&amp;Tabla145[[#This Row],[Material]]</f>
        <v>Agro Sudamerica1020017</v>
      </c>
      <c r="C10" t="s">
        <v>6</v>
      </c>
      <c r="D10" t="s">
        <v>17</v>
      </c>
      <c r="E10">
        <v>1020017</v>
      </c>
      <c r="F10" t="s">
        <v>20</v>
      </c>
      <c r="G10" t="s">
        <v>18</v>
      </c>
      <c r="H10" t="s">
        <v>19</v>
      </c>
      <c r="I10" s="7">
        <f>IFERROR(VLOOKUP(Tabla145[[#This Row],[Llave]],'[7]RV Producción'!$C:$G,5,FALSE),0)</f>
        <v>0</v>
      </c>
      <c r="J10" s="7">
        <f>IFERROR(IF(Tabla145[[#This Row],[Oficina]]=$I$7,VLOOKUP(Tabla145[[#This Row],[Llave]],'[7]Shangai (Tomas)'!$A:$F,6,FALSE),VLOOKUP(Tabla145[[#This Row],[Llave]],'[7]RV plan de ventas'!$A:$E,5,FALSE)),0)</f>
        <v>0</v>
      </c>
      <c r="K10" s="8">
        <f>IFERROR(VLOOKUP(Tabla145[[#This Row],[Oficina]],[15]Ponderación!$B$2:$E$9,4,FALSE),0)</f>
        <v>0.45719439678473212</v>
      </c>
      <c r="L10" s="7">
        <f>+Tabla145[[#This Row],[ RV Producción mes n+1]]*Tabla145[[#This Row],[% Uti. producción]]</f>
        <v>0</v>
      </c>
      <c r="M10" s="7">
        <f>IFERROR(VLOOKUP(Tabla145[[#This Row],[Material]],[16]Stock!$G:$K,5,FALSE),0)</f>
        <v>3824</v>
      </c>
      <c r="N10" s="7">
        <f>IFERROR(VLOOKUP(Tabla145[[#This Row],[Material]],[16]Produccion!$M:$N,2,FALSE),0)</f>
        <v>0</v>
      </c>
      <c r="O10" s="7">
        <f>IFERROR(VLOOKUP(Tabla145[[#This Row],[Llave]],'[16]TD Conf-AP'!$I:$M,4,FALSE),0)</f>
        <v>0</v>
      </c>
      <c r="P10" s="14">
        <f>SUM(Tabla145[[#This Row],[Producción disponible]],Tabla145[[#This Row],[Stock al día]],(Tabla145[[#This Row],[Por producir mes N]]*0.9))-Tabla145[[#This Row],[Producción por despachar mes N]]</f>
        <v>3824</v>
      </c>
      <c r="Q10" s="7">
        <f>IFERROR(VLOOKUP(Tabla145[[#This Row],[Llave]],[17]DELAY!$A:$D,4,FALSE),0)</f>
        <v>8000</v>
      </c>
      <c r="R10" s="9">
        <v>24000</v>
      </c>
      <c r="S10" s="5">
        <f t="shared" ref="S10:S73" si="5">IF(AND(P10&gt;Q10,Q10&gt;0),Q10,IF(AND(P10&lt;Q10,Q10&gt;0),(ROUNDDOWN(P10/R10,0)*R10),0))</f>
        <v>0</v>
      </c>
      <c r="T10" s="76">
        <v>0</v>
      </c>
      <c r="U10" s="5">
        <f>+Tabla145[[#This Row],[Atraso a facturar]]+Tabla145[[#This Row],[Ajuste atraso]]</f>
        <v>0</v>
      </c>
      <c r="V10" s="3">
        <f>+Tabla145[[#This Row],[Total disponible]]-Tabla145[[#This Row],[Facturación atraso]]</f>
        <v>3824</v>
      </c>
      <c r="W10" s="6">
        <f>IFERROR(IF(AND(V10&gt;R10,J10&gt;=R10),ROUNDDOWN((Tabla145[[#This Row],[Producción para venta nueva]])/R10,0)*R10,0),0)</f>
        <v>0</v>
      </c>
      <c r="X10" s="76">
        <v>0</v>
      </c>
      <c r="Y10" s="6">
        <f>IF(Tabla145[[#This Row],[Venta del mes]]&gt;0,Tabla145[[#This Row],[Venta del mes]]+Tabla145[[#This Row],[Ajuste venta nueva]],0)</f>
        <v>0</v>
      </c>
      <c r="Z10" s="6">
        <f>+Tabla145[[#This Row],[Producción para venta nueva]]-Tabla145[[#This Row],[Facturación Venta nueva]]</f>
        <v>3824</v>
      </c>
      <c r="AA10" s="6">
        <f>IF(AND(A10=1,Tabla145[[#This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" s="76">
        <v>0</v>
      </c>
      <c r="AC10" s="6">
        <f>IF(Tabla145[[#This Row],[Disponible stock sin venta]]&gt;0,Tabla145[[#This Row],[Disponible stock sin venta]]+Tabla145[[#This Row],[Ajuste stock sin venta]],0)</f>
        <v>0</v>
      </c>
      <c r="AD10" s="18">
        <f>IFERROR(VLOOKUP(Tabla145[[#This Row],[Llave]],'[16]TD Puerto'!$A:$D,4,FALSE),0)</f>
        <v>0</v>
      </c>
      <c r="AE10" s="18">
        <v>0</v>
      </c>
      <c r="AF10" s="3">
        <f>+Tabla145[[#This Row],[Plan Irrestricto Inicial]]</f>
        <v>0</v>
      </c>
      <c r="AG10" s="6">
        <f>+Tabla145[[#This Row],[En puerto a facturar]]</f>
        <v>0</v>
      </c>
      <c r="AH10" s="6">
        <f>+Tabla145[[#This Row],[Facturación atraso]]</f>
        <v>0</v>
      </c>
      <c r="AI10" s="6">
        <f>+Tabla145[[#This Row],[Plan Irrestricto]]-Tabla145[[#This Row],[Puerto ]]-Tabla145[[#This Row],[Atraso]]</f>
        <v>0</v>
      </c>
      <c r="AJ10" s="6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0" s="6">
        <f>+Tabla145[[#This Row],[Facturación atraso]]</f>
        <v>0</v>
      </c>
      <c r="AL10" s="6">
        <f>+Tabla145[[#This Row],[Plan Ajustado]]-Tabla145[[#This Row],[ Atraso ajustado]]-Tabla145[[#This Row],[Puerto ]]</f>
        <v>0</v>
      </c>
      <c r="AM10" s="6">
        <f>IFERROR(VLOOKUP(Tabla145[[#This Row],[Llave]],[18]!Tabla14[#All],34,FALSE),0)</f>
        <v>0</v>
      </c>
      <c r="AN10" s="6">
        <f>IFERROR(VLOOKUP(Tabla145[[#This Row],[Llave]],[18]!Tabla14[#All],35,FALSE),0)</f>
        <v>0</v>
      </c>
      <c r="AO10" s="6" t="str">
        <f>IF(Tabla145[[#This Row],[Plan Ajustado]]&gt;Tabla145[[#This Row],[En puerto a facturar]],"Si","No")</f>
        <v>No</v>
      </c>
      <c r="AP10" s="6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0" s="6">
        <f>IF(Tabla145[[#This Row],[Necesidad]]&gt;=Tabla145[[#This Row],[Stock al día]],Tabla145[[#This Row],[Stock al día]],Tabla145[[#This Row],[Necesidad]])</f>
        <v>0</v>
      </c>
      <c r="AR10" s="6">
        <f>+Tabla145[[#This Row],[Necesidad]]-Tabla145[[#This Row],[Stock Plan]]</f>
        <v>0</v>
      </c>
      <c r="AS10" s="155">
        <f>IFERROR(VLOOKUP(Tabla145[[#This Row],[Oficina]],[19]Ponderación!$B$14:$E$21,4,FALSE),"")</f>
        <v>44789</v>
      </c>
      <c r="AT1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2.7713806580000813</v>
      </c>
      <c r="AU10" s="83">
        <f>IFERROR(VLOOKUP(Tabla145[[#This Row],[Llave]],[17]DELAY!$H:$W,16,FALSE),0)</f>
        <v>2.7558579380733956</v>
      </c>
      <c r="AV1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0" s="5">
        <f>Tabla145[[#This Row],[Ajuste precio IC]]*Tabla145[[#This Row],[Plan Ajustado]]</f>
        <v>0</v>
      </c>
      <c r="AX10" s="30">
        <f>IFERROR(VLOOKUP(Tabla145[[#This Row],[Llave]],'[13]Ultimos precios facturados'!$A:$G,7,FALSE),0)</f>
        <v>2.7713806580000813</v>
      </c>
      <c r="AY1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0" s="30">
        <f>IFERROR(VLOOKUP(Tabla145[[#This Row],[Llave]],Hoja2!B:K,10,FALSE),0)</f>
        <v>0</v>
      </c>
      <c r="BA10" s="30">
        <f>IF(Tabla145[[#This Row],[Ajuste precio IC]]="",Tabla145[[#This Row],[Precio ponderado]],Tabla145[[#This Row],[Precio ponderado]])</f>
        <v>0</v>
      </c>
      <c r="BB10" s="82"/>
      <c r="BC10" s="82" t="str">
        <f>IF(AND(Tabla145[[#This Row],[Atraso a facturar]]&gt;0,Tabla145[[#This Row],[Precio Atraso]]=0),"Revisar","OK")</f>
        <v>OK</v>
      </c>
      <c r="BD10" s="82" t="str">
        <f>IF(AND(Tabla145[[#This Row],[Venta del mes]]&gt;0,Tabla145[[#This Row],[Precio venta nueva]]=0),"Revisar","OK")</f>
        <v>OK</v>
      </c>
      <c r="BE10" s="20">
        <f>IFERROR(VLOOKUP(Tabla145[[#This Row],[Llave]],'[5]Consolidación planes'!$A:$M,9,FALSE),0)</f>
        <v>192000</v>
      </c>
      <c r="BF10" s="20">
        <f>IFERROR(VLOOKUP(Tabla145[[#This Row],[Llave]],'[5]Consolidación planes'!$A:$M,10,FALSE),0)</f>
        <v>108000</v>
      </c>
      <c r="BG10" s="20">
        <f>IFERROR(VLOOKUP(Tabla145[[#This Row],[Llave]],'[5]Consolidación planes'!$A:$M,11,FALSE),0)</f>
        <v>132000</v>
      </c>
      <c r="BH10" s="20">
        <f>IFERROR(VLOOKUP(Tabla145[[#This Row],[Llave]],'[5]Consolidación planes'!$A:$M,12,FALSE),0)</f>
        <v>96000</v>
      </c>
      <c r="BI10" s="20">
        <f>IFERROR(VLOOKUP(Tabla145[[#This Row],[Llave]],'[5]Consolidación planes'!$A:$M,13,FALSE),0)</f>
        <v>37000</v>
      </c>
      <c r="BJ10" s="20">
        <f>IFERROR(VLOOKUP(Tabla145[[#This Row],[Llave]],'[13]Base ultimos planes'!$A:$M,13,FALSE),0)</f>
        <v>0</v>
      </c>
      <c r="BK10" s="80">
        <f>IFERROR(VLOOKUP(Tabla145[[#This Row],[Llave]],'[13]Base ultimos planes'!$O:$AA,8,FALSE),0)</f>
        <v>518400</v>
      </c>
      <c r="BL10" s="80">
        <f>IFERROR(VLOOKUP(Tabla145[[#This Row],[Llave]],'[13]Base ultimos planes'!$O:$AA,9,FALSE),0)</f>
        <v>287900</v>
      </c>
      <c r="BM10" s="80">
        <f>IFERROR(VLOOKUP(Tabla145[[#This Row],[Llave]],'[13]Base ultimos planes'!$O:$AA,10,FALSE),0)</f>
        <v>363120</v>
      </c>
      <c r="BN10" s="80">
        <f>IFERROR(VLOOKUP(Tabla145[[#This Row],[Llave]],'[13]Base ultimos planes'!$O:$AA,11,FALSE),0)</f>
        <v>267600</v>
      </c>
      <c r="BO10" s="80">
        <f>IFERROR(VLOOKUP(Tabla145[[#This Row],[Llave]],'[13]Base ultimos planes'!$O:$AA,12,FALSE),0)</f>
        <v>105190</v>
      </c>
      <c r="BP10" s="80">
        <f>IFERROR(VLOOKUP(Tabla145[[#This Row],[Llave]],'[13]Base ultimos planes'!$O:$AA,13,FALSE),0)</f>
        <v>0</v>
      </c>
      <c r="BQ10" s="20"/>
      <c r="BR10" s="20">
        <f>Tabla145[[#This Row],[ RV Producción mes n+1]]*(1-Tabla145[[#This Row],[% Uti. producción]])</f>
        <v>0</v>
      </c>
      <c r="BS10" s="20">
        <f>+Tabla145[[#This Row],[Producción disponible mes n-1]]+Tabla145[[#This Row],[Saldo Volumen disponible]]</f>
        <v>3824</v>
      </c>
      <c r="BT10" s="7">
        <f>IFERROR(VLOOKUP(Tabla145[[#This Row],[Llave]],'[21]RV n+2 y n+3'!$B:$F,4,FALSE),0)</f>
        <v>144000</v>
      </c>
      <c r="BU10" s="7">
        <f>+Tabla145[[#This Row],[Asignación mes n+2]]*Tabla145[[#This Row],[% Uti. producción]]</f>
        <v>65835.993137001424</v>
      </c>
      <c r="BV10" s="7">
        <f>+Tabla145[[#This Row],[Ponderación mes n+2]]+Tabla145[[#This Row],[Saldo mes n-1]]</f>
        <v>69659.993137001424</v>
      </c>
      <c r="BW10" s="7">
        <f>+Tabla145[[#This Row],[Asignación mes n+2]]-Tabla145[[#This Row],[Ponderación mes n+2]]</f>
        <v>78164.006862998576</v>
      </c>
      <c r="BX10" s="7">
        <f>IFERROR(VLOOKUP(Tabla145[[#This Row],[Llave]],'[21]RV n+2 y n+3'!$B:$F,5,FALSE),0)</f>
        <v>112393.92</v>
      </c>
      <c r="BY10" s="7">
        <f>+Tabla145[[#This Row],[Asignación mes n+3]]*Tabla145[[#This Row],[% Uti. producción]]</f>
        <v>51385.870456671437</v>
      </c>
      <c r="BZ10" s="3">
        <f>+Tabla145[[#This Row],[Ponderación mes n+3]]+Tabla145[[#This Row],[Saldo mes n+2]]</f>
        <v>129549.87731967002</v>
      </c>
      <c r="CA10" s="3">
        <f>+Tabla145[[#This Row],[Asignación mes n+3]]-Tabla145[[#This Row],[Ponderación mes n+3]]</f>
        <v>61008.049543328561</v>
      </c>
      <c r="CB10" s="3">
        <f>+Tabla145[[#This Row],[Producción disponible mes n-1]]+Tabla145[[#This Row],[Producción disponible]]</f>
        <v>0</v>
      </c>
      <c r="CC10" s="3">
        <f>+Tabla145[[#This Row],[Saldo mes n+4]]-Tabla145[[#This Row],[ RV Producción mes n+1]]</f>
        <v>0</v>
      </c>
    </row>
    <row r="11" spans="1:81" ht="16" x14ac:dyDescent="0.2">
      <c r="A11">
        <v>1</v>
      </c>
      <c r="B11" t="str">
        <f>Tabla145[[#This Row],[Oficina]]&amp;Tabla145[[#This Row],[Material]]</f>
        <v>Agro Sudamerica1021279</v>
      </c>
      <c r="C11" t="s">
        <v>6</v>
      </c>
      <c r="D11" t="s">
        <v>17</v>
      </c>
      <c r="E11">
        <v>1021279</v>
      </c>
      <c r="F11" t="s">
        <v>671</v>
      </c>
      <c r="G11" t="s">
        <v>92</v>
      </c>
      <c r="H11" t="s">
        <v>93</v>
      </c>
      <c r="I11" s="7">
        <f>IFERROR(VLOOKUP(Tabla145[[#This Row],[Llave]],'[7]RV Producción'!$C:$G,5,FALSE),0)</f>
        <v>19578</v>
      </c>
      <c r="J11" s="7">
        <f>IFERROR(IF(Tabla145[[#This Row],[Oficina]]=$I$7,VLOOKUP(Tabla145[[#This Row],[Llave]],'[7]Shangai (Tomas)'!$A:$F,6,FALSE),VLOOKUP(Tabla145[[#This Row],[Llave]],'[7]RV plan de ventas'!$A:$E,5,FALSE)),0)</f>
        <v>16178</v>
      </c>
      <c r="K11" s="8">
        <f>IFERROR(VLOOKUP(Tabla145[[#This Row],[Oficina]],[15]Ponderación!$B$2:$E$9,4,FALSE),0)</f>
        <v>0.45719439678473212</v>
      </c>
      <c r="L11" s="7">
        <f>+Tabla145[[#This Row],[ RV Producción mes n+1]]*Tabla145[[#This Row],[% Uti. producción]]</f>
        <v>8950.9519002514862</v>
      </c>
      <c r="M11" s="7">
        <f>IFERROR(VLOOKUP(Tabla145[[#This Row],[Material]],[16]Stock!$G:$K,5,FALSE),0)</f>
        <v>12423</v>
      </c>
      <c r="N11" s="7">
        <f>IFERROR(VLOOKUP(Tabla145[[#This Row],[Material]],[16]Produccion!$M:$N,2,FALSE),0)</f>
        <v>7726</v>
      </c>
      <c r="O11" s="7">
        <f>IFERROR(VLOOKUP(Tabla145[[#This Row],[Llave]],'[16]TD Conf-AP'!$I:$M,4,FALSE),0)</f>
        <v>0</v>
      </c>
      <c r="P11" s="14">
        <f>SUM(Tabla145[[#This Row],[Producción disponible]],Tabla145[[#This Row],[Stock al día]],(Tabla145[[#This Row],[Por producir mes N]]*0.9))-Tabla145[[#This Row],[Producción por despachar mes N]]</f>
        <v>28327.351900251488</v>
      </c>
      <c r="Q11" s="7">
        <f>IFERROR(VLOOKUP(Tabla145[[#This Row],[Llave]],[17]DELAY!$A:$D,4,FALSE),0)</f>
        <v>24000</v>
      </c>
      <c r="R11" s="9">
        <v>24000</v>
      </c>
      <c r="S11" s="5">
        <f t="shared" si="5"/>
        <v>24000</v>
      </c>
      <c r="T11" s="76">
        <v>0</v>
      </c>
      <c r="U11" s="5">
        <f>+Tabla145[[#This Row],[Atraso a facturar]]+Tabla145[[#This Row],[Ajuste atraso]]</f>
        <v>24000</v>
      </c>
      <c r="V11" s="3">
        <f>+Tabla145[[#This Row],[Total disponible]]-Tabla145[[#This Row],[Facturación atraso]]</f>
        <v>4327.3519002514877</v>
      </c>
      <c r="W11" s="6">
        <f>IFERROR(IF(AND(V11&gt;R11,J11&gt;=R11),ROUNDDOWN((Tabla145[[#This Row],[Producción para venta nueva]])/R11,0)*R11,0),0)</f>
        <v>0</v>
      </c>
      <c r="X11" s="76">
        <v>0</v>
      </c>
      <c r="Y11" s="6">
        <f>IF(Tabla145[[#This Row],[Venta del mes]]&gt;0,Tabla145[[#This Row],[Venta del mes]]+Tabla145[[#This Row],[Ajuste venta nueva]],0)</f>
        <v>0</v>
      </c>
      <c r="Z11" s="6">
        <f>+Tabla145[[#This Row],[Producción para venta nueva]]-Tabla145[[#This Row],[Facturación Venta nueva]]</f>
        <v>4327.3519002514877</v>
      </c>
      <c r="AA11" s="6">
        <f>IF(AND(A11=1,Tabla145[[#This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" s="6">
        <v>0</v>
      </c>
      <c r="AC11" s="6">
        <f>IF(Tabla145[[#This Row],[Disponible stock sin venta]]&gt;0,Tabla145[[#This Row],[Disponible stock sin venta]]+Tabla145[[#This Row],[Ajuste stock sin venta]],0)</f>
        <v>0</v>
      </c>
      <c r="AD11" s="3">
        <f>IFERROR(VLOOKUP(Tabla145[[#This Row],[Llave]],'[16]TD Puerto'!$A:$D,4,FALSE),0)</f>
        <v>0</v>
      </c>
      <c r="AE11" s="3">
        <v>0</v>
      </c>
      <c r="AF11" s="3">
        <f>+Tabla145[[#This Row],[Plan Irrestricto Inicial]]</f>
        <v>0</v>
      </c>
      <c r="AG11" s="3">
        <f>+Tabla145[[#This Row],[En puerto a facturar]]</f>
        <v>0</v>
      </c>
      <c r="AH11" s="3">
        <f>+Tabla145[[#This Row],[Facturación atraso]]</f>
        <v>24000</v>
      </c>
      <c r="AI11" s="3">
        <f>+Tabla145[[#This Row],[Plan Irrestricto]]-Tabla145[[#This Row],[Puerto ]]-Tabla145[[#This Row],[Atraso]]</f>
        <v>-24000</v>
      </c>
      <c r="AJ1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1" s="3">
        <f>+Tabla145[[#This Row],[Facturación atraso]]</f>
        <v>24000</v>
      </c>
      <c r="AL11" s="3">
        <f>+Tabla145[[#This Row],[Plan Ajustado]]-Tabla145[[#This Row],[ Atraso ajustado]]-Tabla145[[#This Row],[Puerto ]]</f>
        <v>-24000</v>
      </c>
      <c r="AM11" s="6">
        <f>IFERROR(VLOOKUP(Tabla145[[#This Row],[Llave]],[18]!Tabla14[#All],34,FALSE),0)</f>
        <v>0</v>
      </c>
      <c r="AN11" s="6">
        <f>IFERROR(VLOOKUP(Tabla145[[#This Row],[Llave]],[18]!Tabla14[#All],35,FALSE),0)</f>
        <v>0</v>
      </c>
      <c r="AO11" s="3" t="str">
        <f>IF(Tabla145[[#This Row],[Plan Ajustado]]&gt;Tabla145[[#This Row],[En puerto a facturar]],"Si","No")</f>
        <v>No</v>
      </c>
      <c r="AP1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1" s="3">
        <f>IF(Tabla145[[#This Row],[Necesidad]]&gt;=Tabla145[[#This Row],[Stock al día]],Tabla145[[#This Row],[Stock al día]],Tabla145[[#This Row],[Necesidad]])</f>
        <v>0</v>
      </c>
      <c r="AR11" s="3">
        <f>+Tabla145[[#This Row],[Necesidad]]-Tabla145[[#This Row],[Stock Plan]]</f>
        <v>0</v>
      </c>
      <c r="AS11" s="155">
        <f>IFERROR(VLOOKUP(Tabla145[[#This Row],[Oficina]],[19]Ponderación!$B$14:$E$21,4,FALSE),"")</f>
        <v>44789</v>
      </c>
      <c r="AT1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1.33662999134627</v>
      </c>
      <c r="AU11" s="83">
        <f>IFERROR(VLOOKUP(Tabla145[[#This Row],[Llave]],[17]DELAY!$H:$W,16,FALSE),0)</f>
        <v>1.8</v>
      </c>
      <c r="AV1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1" s="5">
        <f>Tabla145[[#This Row],[Ajuste precio IC]]*Tabla145[[#This Row],[Plan Ajustado]]</f>
        <v>0</v>
      </c>
      <c r="AX11" s="30">
        <f>IFERROR(VLOOKUP(Tabla145[[#This Row],[Llave]],'[13]Ultimos precios facturados'!$A:$G,7,FALSE),0)</f>
        <v>0</v>
      </c>
      <c r="AY1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1" s="30">
        <f>IFERROR(VLOOKUP(Tabla145[[#This Row],[Llave]],Hoja2!B:K,10,FALSE),0)</f>
        <v>1.2366666666666666</v>
      </c>
      <c r="BA11" s="30">
        <f>IF(Tabla145[[#This Row],[Ajuste precio IC]]="",Tabla145[[#This Row],[Precio ponderado]],Tabla145[[#This Row],[Precio ponderado]])</f>
        <v>0</v>
      </c>
      <c r="BB11" s="82"/>
      <c r="BC11" s="82" t="str">
        <f>IF(AND(Tabla145[[#This Row],[Atraso a facturar]]&gt;0,Tabla145[[#This Row],[Precio Atraso]]=0),"Revisar","OK")</f>
        <v>OK</v>
      </c>
      <c r="BD11" s="82" t="str">
        <f>IF(AND(Tabla145[[#This Row],[Venta del mes]]&gt;0,Tabla145[[#This Row],[Precio venta nueva]]=0),"Revisar","OK")</f>
        <v>OK</v>
      </c>
      <c r="BE11" s="20">
        <f>IFERROR(VLOOKUP(Tabla145[[#This Row],[Llave]],'[5]Consolidación planes'!$A:$M,9,FALSE),0)</f>
        <v>0</v>
      </c>
      <c r="BF11" s="20">
        <f>IFERROR(VLOOKUP(Tabla145[[#This Row],[Llave]],'[5]Consolidación planes'!$A:$M,10,FALSE),0)</f>
        <v>0</v>
      </c>
      <c r="BG11" s="20">
        <f>IFERROR(VLOOKUP(Tabla145[[#This Row],[Llave]],'[5]Consolidación planes'!$A:$M,11,FALSE),0)</f>
        <v>0</v>
      </c>
      <c r="BH11" s="20">
        <f>IFERROR(VLOOKUP(Tabla145[[#This Row],[Llave]],'[5]Consolidación planes'!$A:$M,12,FALSE),0)</f>
        <v>0</v>
      </c>
      <c r="BI11" s="20">
        <f>IFERROR(VLOOKUP(Tabla145[[#This Row],[Llave]],'[5]Consolidación planes'!$A:$M,13,FALSE),0)</f>
        <v>0</v>
      </c>
      <c r="BJ11" s="20">
        <f>IFERROR(VLOOKUP(Tabla145[[#This Row],[Llave]],'[13]Base ultimos planes'!$A:$M,13,FALSE),0)</f>
        <v>0</v>
      </c>
      <c r="BK11" s="80">
        <f>IFERROR(VLOOKUP(Tabla145[[#This Row],[Llave]],'[13]Base ultimos planes'!$O:$AA,8,FALSE),0)</f>
        <v>0</v>
      </c>
      <c r="BL11" s="20">
        <f>IFERROR(VLOOKUP(Tabla145[[#This Row],[Llave]],'[13]Base ultimos planes'!$O:$AA,9,FALSE),0)</f>
        <v>0</v>
      </c>
      <c r="BM11" s="20">
        <f>IFERROR(VLOOKUP(Tabla145[[#This Row],[Llave]],'[13]Base ultimos planes'!$O:$AA,10,FALSE),0)</f>
        <v>0</v>
      </c>
      <c r="BN11" s="20">
        <f>IFERROR(VLOOKUP(Tabla145[[#This Row],[Llave]],'[13]Base ultimos planes'!$O:$AA,11,FALSE),0)</f>
        <v>0</v>
      </c>
      <c r="BO11" s="20">
        <f>IFERROR(VLOOKUP(Tabla145[[#This Row],[Llave]],'[13]Base ultimos planes'!$O:$AA,12,FALSE),0)</f>
        <v>0</v>
      </c>
      <c r="BP11" s="20">
        <f>IFERROR(VLOOKUP(Tabla145[[#This Row],[Llave]],'[13]Base ultimos planes'!$O:$AA,13,FALSE),0)</f>
        <v>0</v>
      </c>
      <c r="BQ11" s="20"/>
      <c r="BR11" s="20">
        <f>Tabla145[[#This Row],[ RV Producción mes n+1]]*(1-Tabla145[[#This Row],[% Uti. producción]])</f>
        <v>10627.048099748516</v>
      </c>
      <c r="BS11" s="20">
        <f>+Tabla145[[#This Row],[Producción disponible mes n-1]]+Tabla145[[#This Row],[Saldo Volumen disponible]]</f>
        <v>14954.400000000003</v>
      </c>
      <c r="BT11" s="7">
        <f>IFERROR(VLOOKUP(Tabla145[[#This Row],[Llave]],'[21]RV n+2 y n+3'!$B:$F,4,FALSE),0)</f>
        <v>5907.6527999999998</v>
      </c>
      <c r="BU11" s="7">
        <f>+Tabla145[[#This Row],[Asignación mes n+2]]*Tabla145[[#This Row],[% Uti. producción]]</f>
        <v>2700.9457583096337</v>
      </c>
      <c r="BV11" s="7">
        <f>+Tabla145[[#This Row],[Ponderación mes n+2]]+Tabla145[[#This Row],[Saldo mes n-1]]</f>
        <v>17655.345758309639</v>
      </c>
      <c r="BW11" s="7">
        <f>+Tabla145[[#This Row],[Asignación mes n+2]]-Tabla145[[#This Row],[Ponderación mes n+2]]</f>
        <v>3206.7070416903662</v>
      </c>
      <c r="BX11" s="7">
        <f>IFERROR(VLOOKUP(Tabla145[[#This Row],[Llave]],'[21]RV n+2 y n+3'!$B:$F,5,FALSE),0)</f>
        <v>0</v>
      </c>
      <c r="BY11" s="7">
        <f>+Tabla145[[#This Row],[Asignación mes n+3]]*Tabla145[[#This Row],[% Uti. producción]]</f>
        <v>0</v>
      </c>
      <c r="BZ11" s="3">
        <f>+Tabla145[[#This Row],[Ponderación mes n+3]]+Tabla145[[#This Row],[Saldo mes n+2]]</f>
        <v>3206.7070416903662</v>
      </c>
      <c r="CA11" s="3">
        <f>+Tabla145[[#This Row],[Asignación mes n+3]]-Tabla145[[#This Row],[Ponderación mes n+3]]</f>
        <v>0</v>
      </c>
      <c r="CB11" s="3">
        <f>+Tabla145[[#This Row],[Producción disponible mes n-1]]+Tabla145[[#This Row],[Producción disponible]]</f>
        <v>19578</v>
      </c>
      <c r="CC11" s="3">
        <f>+Tabla145[[#This Row],[Saldo mes n+4]]-Tabla145[[#This Row],[ RV Producción mes n+1]]</f>
        <v>0</v>
      </c>
    </row>
    <row r="12" spans="1:81" ht="16" x14ac:dyDescent="0.2">
      <c r="A12">
        <v>1</v>
      </c>
      <c r="B12" t="str">
        <f>Tabla145[[#This Row],[Oficina]]&amp;Tabla145[[#This Row],[Material]]</f>
        <v>Agro Sudamerica1020339</v>
      </c>
      <c r="C12" t="s">
        <v>6</v>
      </c>
      <c r="D12" t="s">
        <v>17</v>
      </c>
      <c r="E12">
        <v>1020339</v>
      </c>
      <c r="F12" t="s">
        <v>49</v>
      </c>
      <c r="G12" t="s">
        <v>11</v>
      </c>
      <c r="H12" t="s">
        <v>15</v>
      </c>
      <c r="I12" s="7">
        <f>IFERROR(VLOOKUP(Tabla145[[#This Row],[Llave]],'[7]RV Producción'!$C:$G,5,FALSE),0)</f>
        <v>142307</v>
      </c>
      <c r="J12" s="3">
        <f>IFERROR(IF(Tabla145[[#This Row],[Oficina]]=$I$7,VLOOKUP(Tabla145[[#This Row],[Llave]],'[7]Shangai (Tomas)'!$A:$F,6,FALSE),VLOOKUP(Tabla145[[#This Row],[Llave]],'[7]RV plan de ventas'!$A:$E,5,FALSE)),0)</f>
        <v>0</v>
      </c>
      <c r="K12" s="8">
        <f>IFERROR(VLOOKUP(Tabla145[[#This Row],[Oficina]],[15]Ponderación!$B$2:$E$9,4,FALSE),0)</f>
        <v>0.45719439678473212</v>
      </c>
      <c r="L12" s="7">
        <f>+Tabla145[[#This Row],[ RV Producción mes n+1]]*Tabla145[[#This Row],[% Uti. producción]]</f>
        <v>65061.963023244876</v>
      </c>
      <c r="M12" s="7">
        <f>IFERROR(VLOOKUP(Tabla145[[#This Row],[Material]],[16]Stock!$G:$K,5,FALSE),0)</f>
        <v>26006</v>
      </c>
      <c r="N12" s="7">
        <f>IFERROR(VLOOKUP(Tabla145[[#This Row],[Material]],[16]Produccion!$M:$N,2,FALSE),0)</f>
        <v>10911</v>
      </c>
      <c r="O12" s="7">
        <f>IFERROR(VLOOKUP(Tabla145[[#This Row],[Llave]],'[16]TD Conf-AP'!$I:$M,4,FALSE),0)</f>
        <v>0</v>
      </c>
      <c r="P12" s="14">
        <f>SUM(Tabla145[[#This Row],[Producción disponible]],Tabla145[[#This Row],[Stock al día]],(Tabla145[[#This Row],[Por producir mes N]]*0.9))-Tabla145[[#This Row],[Producción por despachar mes N]]</f>
        <v>100887.86302324486</v>
      </c>
      <c r="Q12" s="7">
        <f>IFERROR(VLOOKUP(Tabla145[[#This Row],[Llave]],[17]DELAY!$A:$D,4,FALSE),0)</f>
        <v>202500</v>
      </c>
      <c r="R12" s="9">
        <v>24000</v>
      </c>
      <c r="S12" s="5">
        <f t="shared" si="5"/>
        <v>96000</v>
      </c>
      <c r="T12" s="76">
        <v>0</v>
      </c>
      <c r="U12" s="5">
        <f>+Tabla145[[#This Row],[Atraso a facturar]]+Tabla145[[#This Row],[Ajuste atraso]]</f>
        <v>96000</v>
      </c>
      <c r="V12" s="3">
        <f>+Tabla145[[#This Row],[Total disponible]]-Tabla145[[#This Row],[Facturación atraso]]</f>
        <v>4887.8630232448631</v>
      </c>
      <c r="W12" s="6">
        <f>IFERROR(IF(AND(V12&gt;R12,J12&gt;=R12),ROUNDDOWN((Tabla145[[#This Row],[Producción para venta nueva]])/R12,0)*R12,0),0)</f>
        <v>0</v>
      </c>
      <c r="X12" s="76">
        <v>0</v>
      </c>
      <c r="Y12" s="6">
        <f>IF(Tabla145[[#This Row],[Venta del mes]]&gt;0,Tabla145[[#This Row],[Venta del mes]]+Tabla145[[#This Row],[Ajuste venta nueva]],0)</f>
        <v>0</v>
      </c>
      <c r="Z12" s="6">
        <f>+Tabla145[[#This Row],[Producción para venta nueva]]-Tabla145[[#This Row],[Facturación Venta nueva]]</f>
        <v>4887.8630232448631</v>
      </c>
      <c r="AA12" s="6">
        <f>IF(AND(A12=1,Tabla145[[#This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" s="6">
        <v>0</v>
      </c>
      <c r="AC12" s="6">
        <f>IF(Tabla145[[#This Row],[Disponible stock sin venta]]&gt;0,Tabla145[[#This Row],[Disponible stock sin venta]]+Tabla145[[#This Row],[Ajuste stock sin venta]],0)</f>
        <v>0</v>
      </c>
      <c r="AD12" s="3">
        <f>IFERROR(VLOOKUP(Tabla145[[#This Row],[Llave]],'[16]TD Puerto'!$A:$D,4,FALSE),0)</f>
        <v>0</v>
      </c>
      <c r="AE12" s="3">
        <v>226500</v>
      </c>
      <c r="AF12" s="3">
        <f>+Tabla145[[#This Row],[Plan Irrestricto Inicial]]</f>
        <v>226500</v>
      </c>
      <c r="AG12" s="3">
        <f>+Tabla145[[#This Row],[En puerto a facturar]]</f>
        <v>0</v>
      </c>
      <c r="AH12" s="3">
        <f>+Tabla145[[#This Row],[Facturación atraso]]</f>
        <v>96000</v>
      </c>
      <c r="AI12" s="3">
        <f>+Tabla145[[#This Row],[Plan Irrestricto]]-Tabla145[[#This Row],[Puerto ]]-Tabla145[[#This Row],[Atraso]]</f>
        <v>130500</v>
      </c>
      <c r="AJ12" s="3">
        <f>IF(Tabla145[[#This Row],[Plan Irrestricto]]&gt;0,SUM(Tabla145[[#This Row],[Facturación atraso]],Tabla145[[#This Row],[Facturación Venta nueva]],Tabla145[[#This Row],[Facturación stock]],Tabla145[[#This Row],[En puerto a facturar]]),0)</f>
        <v>96000</v>
      </c>
      <c r="AK12" s="3">
        <f>+Tabla145[[#This Row],[Facturación atraso]]</f>
        <v>96000</v>
      </c>
      <c r="AL12" s="3">
        <f>+Tabla145[[#This Row],[Plan Ajustado]]-Tabla145[[#This Row],[ Atraso ajustado]]-Tabla145[[#This Row],[Puerto ]]</f>
        <v>0</v>
      </c>
      <c r="AM12" s="6">
        <f>IFERROR(VLOOKUP(Tabla145[[#This Row],[Llave]],[18]!Tabla14[#All],34,FALSE),0)</f>
        <v>0</v>
      </c>
      <c r="AN12" s="6">
        <f>IFERROR(VLOOKUP(Tabla145[[#This Row],[Llave]],[18]!Tabla14[#All],35,FALSE),0)</f>
        <v>0</v>
      </c>
      <c r="AO12" s="3" t="str">
        <f>IF(Tabla145[[#This Row],[Plan Ajustado]]&gt;Tabla145[[#This Row],[En puerto a facturar]],"Si","No")</f>
        <v>Si</v>
      </c>
      <c r="AP12" s="3">
        <f>IF(AND(Tabla145[[#This Row],[Plan Ajustado]]&gt;0,Tabla145[[#This Row],[Plan Ajustado]]&gt;Tabla145[[#This Row],[En puerto a facturar]]),(Tabla145[[#This Row],[Plan Ajustado]]-Tabla145[[#This Row],[En puerto a facturar]]),0)</f>
        <v>96000</v>
      </c>
      <c r="AQ12" s="3">
        <f>IF(Tabla145[[#This Row],[Necesidad]]&gt;=Tabla145[[#This Row],[Stock al día]],Tabla145[[#This Row],[Stock al día]],Tabla145[[#This Row],[Necesidad]])</f>
        <v>26006</v>
      </c>
      <c r="AR12" s="3">
        <f>+Tabla145[[#This Row],[Necesidad]]-Tabla145[[#This Row],[Stock Plan]]</f>
        <v>69994</v>
      </c>
      <c r="AS12" s="155">
        <f>IFERROR(VLOOKUP(Tabla145[[#This Row],[Oficina]],[19]Ponderación!$B$14:$E$21,4,FALSE),"")</f>
        <v>44789</v>
      </c>
      <c r="AT1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1.4936306219854043</v>
      </c>
      <c r="AU12" s="83">
        <f>IFERROR(VLOOKUP(Tabla145[[#This Row],[Llave]],[17]DELAY!$H:$W,16,FALSE),0)</f>
        <v>1.5930907144190465</v>
      </c>
      <c r="AV1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1.5930907144190465</v>
      </c>
      <c r="AW12" s="5">
        <f>Tabla145[[#This Row],[Ajuste precio IC]]*Tabla145[[#This Row],[Plan Ajustado]]</f>
        <v>142720</v>
      </c>
      <c r="AX12" s="30">
        <f>IFERROR(VLOOKUP(Tabla145[[#This Row],[Llave]],'[13]Ultimos precios facturados'!$A:$G,7,FALSE),0)</f>
        <v>1.4936306219854043</v>
      </c>
      <c r="AY1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6.6589484019439246E-2</v>
      </c>
      <c r="AZ12" s="30">
        <f>IFERROR(VLOOKUP(Tabla145[[#This Row],[Llave]],Hoja2!B:K,10,FALSE),0)</f>
        <v>1.4866666666666666</v>
      </c>
      <c r="BA12" s="30">
        <f>IF(Tabla145[[#This Row],[Ajuste precio IC]]="",Tabla145[[#This Row],[Precio ponderado]],Tabla145[[#This Row],[Precio ponderado]])</f>
        <v>1.5930907144190465</v>
      </c>
      <c r="BB12" s="82"/>
      <c r="BC12" s="82" t="str">
        <f>IF(AND(Tabla145[[#This Row],[Atraso a facturar]]&gt;0,Tabla145[[#This Row],[Precio Atraso]]=0),"Revisar","OK")</f>
        <v>OK</v>
      </c>
      <c r="BD12" s="82" t="str">
        <f>IF(AND(Tabla145[[#This Row],[Venta del mes]]&gt;0,Tabla145[[#This Row],[Precio venta nueva]]=0),"Revisar","OK")</f>
        <v>OK</v>
      </c>
      <c r="BE12" s="20">
        <f>IFERROR(VLOOKUP(Tabla145[[#This Row],[Llave]],'[5]Consolidación planes'!$A:$M,9,FALSE),0)</f>
        <v>34000</v>
      </c>
      <c r="BF12" s="20">
        <f>IFERROR(VLOOKUP(Tabla145[[#This Row],[Llave]],'[5]Consolidación planes'!$A:$M,10,FALSE),0)</f>
        <v>95000</v>
      </c>
      <c r="BG12" s="20">
        <f>IFERROR(VLOOKUP(Tabla145[[#This Row],[Llave]],'[5]Consolidación planes'!$A:$M,11,FALSE),0)</f>
        <v>85000</v>
      </c>
      <c r="BH12" s="20">
        <f>IFERROR(VLOOKUP(Tabla145[[#This Row],[Llave]],'[5]Consolidación planes'!$A:$M,12,FALSE),0)</f>
        <v>98500</v>
      </c>
      <c r="BI12" s="20">
        <f>IFERROR(VLOOKUP(Tabla145[[#This Row],[Llave]],'[5]Consolidación planes'!$A:$M,13,FALSE),0)</f>
        <v>130881</v>
      </c>
      <c r="BJ12" s="20">
        <f>IFERROR(VLOOKUP(Tabla145[[#This Row],[Llave]],'[13]Base ultimos planes'!$A:$M,13,FALSE),0)</f>
        <v>168000</v>
      </c>
      <c r="BK12" s="80">
        <f>IFERROR(VLOOKUP(Tabla145[[#This Row],[Llave]],'[13]Base ultimos planes'!$O:$AA,8,FALSE),0)</f>
        <v>54400</v>
      </c>
      <c r="BL12" s="20">
        <f>IFERROR(VLOOKUP(Tabla145[[#This Row],[Llave]],'[13]Base ultimos planes'!$O:$AA,9,FALSE),0)</f>
        <v>127400</v>
      </c>
      <c r="BM12" s="20">
        <f>IFERROR(VLOOKUP(Tabla145[[#This Row],[Llave]],'[13]Base ultimos planes'!$O:$AA,10,FALSE),0)</f>
        <v>115793</v>
      </c>
      <c r="BN12" s="20">
        <f>IFERROR(VLOOKUP(Tabla145[[#This Row],[Llave]],'[13]Base ultimos planes'!$O:$AA,11,FALSE),0)</f>
        <v>135470</v>
      </c>
      <c r="BO12" s="20">
        <f>IFERROR(VLOOKUP(Tabla145[[#This Row],[Llave]],'[13]Base ultimos planes'!$O:$AA,12,FALSE),0)</f>
        <v>186971</v>
      </c>
      <c r="BP12" s="20">
        <f>IFERROR(VLOOKUP(Tabla145[[#This Row],[Llave]],'[13]Base ultimos planes'!$O:$AA,13,FALSE),0)</f>
        <v>263881</v>
      </c>
      <c r="BQ12" s="20"/>
      <c r="BR12" s="20">
        <f>Tabla145[[#This Row],[ RV Producción mes n+1]]*(1-Tabla145[[#This Row],[% Uti. producción]])</f>
        <v>77245.036976755131</v>
      </c>
      <c r="BS12" s="20">
        <f>+Tabla145[[#This Row],[Producción disponible mes n-1]]+Tabla145[[#This Row],[Saldo Volumen disponible]]</f>
        <v>82132.899999999994</v>
      </c>
      <c r="BT12" s="7">
        <f>IFERROR(VLOOKUP(Tabla145[[#This Row],[Llave]],'[21]RV n+2 y n+3'!$B:$F,4,FALSE),0)</f>
        <v>0</v>
      </c>
      <c r="BU12" s="7">
        <f>+Tabla145[[#This Row],[Asignación mes n+2]]*Tabla145[[#This Row],[% Uti. producción]]</f>
        <v>0</v>
      </c>
      <c r="BV12" s="7">
        <f>+Tabla145[[#This Row],[Ponderación mes n+2]]+Tabla145[[#This Row],[Saldo mes n-1]]</f>
        <v>82132.899999999994</v>
      </c>
      <c r="BW12" s="7">
        <f>+Tabla145[[#This Row],[Asignación mes n+2]]-Tabla145[[#This Row],[Ponderación mes n+2]]</f>
        <v>0</v>
      </c>
      <c r="BX12" s="7">
        <f>IFERROR(VLOOKUP(Tabla145[[#This Row],[Llave]],'[21]RV n+2 y n+3'!$B:$F,5,FALSE),0)</f>
        <v>0</v>
      </c>
      <c r="BY12" s="7">
        <f>+Tabla145[[#This Row],[Asignación mes n+3]]*Tabla145[[#This Row],[% Uti. producción]]</f>
        <v>0</v>
      </c>
      <c r="BZ12" s="3">
        <f>+Tabla145[[#This Row],[Ponderación mes n+3]]+Tabla145[[#This Row],[Saldo mes n+2]]</f>
        <v>0</v>
      </c>
      <c r="CA12" s="3">
        <f>+Tabla145[[#This Row],[Asignación mes n+3]]-Tabla145[[#This Row],[Ponderación mes n+3]]</f>
        <v>0</v>
      </c>
      <c r="CB12" s="3">
        <f>+Tabla145[[#This Row],[Producción disponible mes n-1]]+Tabla145[[#This Row],[Producción disponible]]</f>
        <v>142307</v>
      </c>
      <c r="CC12" s="3">
        <f>+Tabla145[[#This Row],[Saldo mes n+4]]-Tabla145[[#This Row],[ RV Producción mes n+1]]</f>
        <v>0</v>
      </c>
    </row>
    <row r="13" spans="1:81" ht="16" x14ac:dyDescent="0.2">
      <c r="A13">
        <v>1</v>
      </c>
      <c r="B13" t="str">
        <f>Tabla145[[#This Row],[Oficina]]&amp;Tabla145[[#This Row],[Material]]</f>
        <v>Agro Sudamerica1020349</v>
      </c>
      <c r="C13" t="s">
        <v>6</v>
      </c>
      <c r="D13" t="s">
        <v>17</v>
      </c>
      <c r="E13">
        <v>1020349</v>
      </c>
      <c r="F13" t="s">
        <v>69</v>
      </c>
      <c r="G13" t="s">
        <v>67</v>
      </c>
      <c r="H13" t="s">
        <v>68</v>
      </c>
      <c r="I13" s="7">
        <f>IFERROR(VLOOKUP(Tabla145[[#This Row],[Llave]],'[7]RV Producción'!$C:$G,5,FALSE),0)</f>
        <v>0</v>
      </c>
      <c r="J13" s="3">
        <f>IFERROR(IF(Tabla145[[#This Row],[Oficina]]=$I$7,VLOOKUP(Tabla145[[#This Row],[Llave]],'[7]Shangai (Tomas)'!$A:$F,6,FALSE),VLOOKUP(Tabla145[[#This Row],[Llave]],'[7]RV plan de ventas'!$A:$E,5,FALSE)),0)</f>
        <v>72000</v>
      </c>
      <c r="K13" s="8">
        <f>IFERROR(VLOOKUP(Tabla145[[#This Row],[Oficina]],[15]Ponderación!$B$2:$E$9,4,FALSE),0)</f>
        <v>0.45719439678473212</v>
      </c>
      <c r="L13" s="7">
        <f>+Tabla145[[#This Row],[ RV Producción mes n+1]]*Tabla145[[#This Row],[% Uti. producción]]</f>
        <v>0</v>
      </c>
      <c r="M13" s="7">
        <f>IFERROR(VLOOKUP(Tabla145[[#This Row],[Material]],[16]Stock!$G:$K,5,FALSE),0)</f>
        <v>23452</v>
      </c>
      <c r="N13" s="7">
        <f>IFERROR(VLOOKUP(Tabla145[[#This Row],[Material]],[16]Produccion!$M:$N,2,FALSE),0)</f>
        <v>413</v>
      </c>
      <c r="O13" s="7">
        <f>IFERROR(VLOOKUP(Tabla145[[#This Row],[Llave]],'[16]TD Conf-AP'!$I:$M,4,FALSE),0)</f>
        <v>0</v>
      </c>
      <c r="P13" s="14">
        <f>SUM(Tabla145[[#This Row],[Producción disponible]],Tabla145[[#This Row],[Stock al día]],(Tabla145[[#This Row],[Por producir mes N]]*0.9))-Tabla145[[#This Row],[Producción por despachar mes N]]</f>
        <v>23823.7</v>
      </c>
      <c r="Q13" s="7">
        <f>IFERROR(VLOOKUP(Tabla145[[#This Row],[Llave]],[17]DELAY!$A:$D,4,FALSE),0)</f>
        <v>48000</v>
      </c>
      <c r="R13" s="9">
        <v>24000</v>
      </c>
      <c r="S13" s="5">
        <f t="shared" si="5"/>
        <v>0</v>
      </c>
      <c r="T13" s="76">
        <v>0</v>
      </c>
      <c r="U13" s="5">
        <f>+Tabla145[[#This Row],[Atraso a facturar]]+Tabla145[[#This Row],[Ajuste atraso]]</f>
        <v>0</v>
      </c>
      <c r="V13" s="3">
        <f>+Tabla145[[#This Row],[Total disponible]]-Tabla145[[#This Row],[Facturación atraso]]</f>
        <v>23823.7</v>
      </c>
      <c r="W13" s="6">
        <f>IFERROR(IF(AND(V13&gt;R13,J13&gt;=R13),ROUNDDOWN((Tabla145[[#This Row],[Producción para venta nueva]])/R13,0)*R13,0),0)</f>
        <v>0</v>
      </c>
      <c r="X13" s="76">
        <v>0</v>
      </c>
      <c r="Y13" s="6">
        <f>IF(Tabla145[[#This Row],[Venta del mes]]&gt;0,Tabla145[[#This Row],[Venta del mes]]+Tabla145[[#This Row],[Ajuste venta nueva]],0)</f>
        <v>0</v>
      </c>
      <c r="Z13" s="6">
        <f>+Tabla145[[#This Row],[Producción para venta nueva]]-Tabla145[[#This Row],[Facturación Venta nueva]]</f>
        <v>23823.7</v>
      </c>
      <c r="AA13" s="6">
        <f>IF(AND(A13=1,Tabla145[[#This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" s="6">
        <v>0</v>
      </c>
      <c r="AC13" s="6">
        <f>IF(Tabla145[[#This Row],[Disponible stock sin venta]]&gt;0,Tabla145[[#This Row],[Disponible stock sin venta]]+Tabla145[[#This Row],[Ajuste stock sin venta]],0)</f>
        <v>0</v>
      </c>
      <c r="AD13" s="3">
        <f>IFERROR(VLOOKUP(Tabla145[[#This Row],[Llave]],'[16]TD Puerto'!$A:$D,4,FALSE),0)</f>
        <v>0</v>
      </c>
      <c r="AE13" s="3">
        <v>24000</v>
      </c>
      <c r="AF13" s="3">
        <f>+Tabla145[[#This Row],[Plan Irrestricto Inicial]]</f>
        <v>24000</v>
      </c>
      <c r="AG13" s="3">
        <f>+Tabla145[[#This Row],[En puerto a facturar]]</f>
        <v>0</v>
      </c>
      <c r="AH13" s="3">
        <f>+Tabla145[[#This Row],[Facturación atraso]]</f>
        <v>0</v>
      </c>
      <c r="AI13" s="3">
        <f>+Tabla145[[#This Row],[Plan Irrestricto]]-Tabla145[[#This Row],[Puerto ]]-Tabla145[[#This Row],[Atraso]]</f>
        <v>24000</v>
      </c>
      <c r="AJ1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3" s="3">
        <f>+Tabla145[[#This Row],[Facturación atraso]]</f>
        <v>0</v>
      </c>
      <c r="AL13" s="3">
        <f>+Tabla145[[#This Row],[Plan Ajustado]]-Tabla145[[#This Row],[ Atraso ajustado]]-Tabla145[[#This Row],[Puerto ]]</f>
        <v>0</v>
      </c>
      <c r="AM13" s="6">
        <f>IFERROR(VLOOKUP(Tabla145[[#This Row],[Llave]],[18]!Tabla14[#All],34,FALSE),0)</f>
        <v>0</v>
      </c>
      <c r="AN13" s="6">
        <f>IFERROR(VLOOKUP(Tabla145[[#This Row],[Llave]],[18]!Tabla14[#All],35,FALSE),0)</f>
        <v>0</v>
      </c>
      <c r="AO13" s="3" t="str">
        <f>IF(Tabla145[[#This Row],[Plan Ajustado]]&gt;Tabla145[[#This Row],[En puerto a facturar]],"Si","No")</f>
        <v>No</v>
      </c>
      <c r="AP1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3" s="3">
        <f>IF(Tabla145[[#This Row],[Necesidad]]&gt;=Tabla145[[#This Row],[Stock al día]],Tabla145[[#This Row],[Stock al día]],Tabla145[[#This Row],[Necesidad]])</f>
        <v>0</v>
      </c>
      <c r="AR13" s="3">
        <f>+Tabla145[[#This Row],[Necesidad]]-Tabla145[[#This Row],[Stock Plan]]</f>
        <v>0</v>
      </c>
      <c r="AS13" s="155">
        <f>IFERROR(VLOOKUP(Tabla145[[#This Row],[Oficina]],[19]Ponderación!$B$14:$E$21,4,FALSE),"")</f>
        <v>44789</v>
      </c>
      <c r="AT1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1.99</v>
      </c>
      <c r="AU13" s="83">
        <f>IFERROR(VLOOKUP(Tabla145[[#This Row],[Llave]],[17]DELAY!$H:$W,16,FALSE),0)</f>
        <v>1.7525208333333351</v>
      </c>
      <c r="AV1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3" s="5">
        <f>Tabla145[[#This Row],[Ajuste precio IC]]*Tabla145[[#This Row],[Plan Ajustado]]</f>
        <v>0</v>
      </c>
      <c r="AX13" s="30">
        <f>IFERROR(VLOOKUP(Tabla145[[#This Row],[Llave]],'[13]Ultimos precios facturados'!$A:$G,7,FALSE),0)</f>
        <v>1.7744762868547115</v>
      </c>
      <c r="AY1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3" s="30">
        <f>IFERROR(VLOOKUP(Tabla145[[#This Row],[Llave]],Hoja2!B:K,10,FALSE),0)</f>
        <v>0</v>
      </c>
      <c r="BA13" s="30">
        <f>IF(Tabla145[[#This Row],[Ajuste precio IC]]="",Tabla145[[#This Row],[Precio ponderado]],Tabla145[[#This Row],[Precio ponderado]])</f>
        <v>0</v>
      </c>
      <c r="BB13" s="82"/>
      <c r="BC13" s="82" t="str">
        <f>IF(AND(Tabla145[[#This Row],[Atraso a facturar]]&gt;0,Tabla145[[#This Row],[Precio Atraso]]=0),"Revisar","OK")</f>
        <v>OK</v>
      </c>
      <c r="BD13" s="82" t="str">
        <f>IF(AND(Tabla145[[#This Row],[Venta del mes]]&gt;0,Tabla145[[#This Row],[Precio venta nueva]]=0),"Revisar","OK")</f>
        <v>OK</v>
      </c>
      <c r="BE13" s="20">
        <f>IFERROR(VLOOKUP(Tabla145[[#This Row],[Llave]],'[5]Consolidación planes'!$A:$M,9,FALSE),0)</f>
        <v>120000</v>
      </c>
      <c r="BF13" s="20">
        <f>IFERROR(VLOOKUP(Tabla145[[#This Row],[Llave]],'[5]Consolidación planes'!$A:$M,10,FALSE),0)</f>
        <v>156000</v>
      </c>
      <c r="BG13" s="20">
        <f>IFERROR(VLOOKUP(Tabla145[[#This Row],[Llave]],'[5]Consolidación planes'!$A:$M,11,FALSE),0)</f>
        <v>228000</v>
      </c>
      <c r="BH13" s="20">
        <f>IFERROR(VLOOKUP(Tabla145[[#This Row],[Llave]],'[5]Consolidación planes'!$A:$M,12,FALSE),0)</f>
        <v>192000</v>
      </c>
      <c r="BI13" s="20">
        <f>IFERROR(VLOOKUP(Tabla145[[#This Row],[Llave]],'[5]Consolidación planes'!$A:$M,13,FALSE),0)</f>
        <v>0</v>
      </c>
      <c r="BJ13" s="20">
        <f>IFERROR(VLOOKUP(Tabla145[[#This Row],[Llave]],'[13]Base ultimos planes'!$A:$M,13,FALSE),0)</f>
        <v>24000</v>
      </c>
      <c r="BK13" s="80">
        <f>IFERROR(VLOOKUP(Tabla145[[#This Row],[Llave]],'[13]Base ultimos planes'!$O:$AA,8,FALSE),0)</f>
        <v>243200</v>
      </c>
      <c r="BL13" s="20">
        <f>IFERROR(VLOOKUP(Tabla145[[#This Row],[Llave]],'[13]Base ultimos planes'!$O:$AA,9,FALSE),0)</f>
        <v>302179</v>
      </c>
      <c r="BM13" s="20">
        <f>IFERROR(VLOOKUP(Tabla145[[#This Row],[Llave]],'[13]Base ultimos planes'!$O:$AA,10,FALSE),0)</f>
        <v>424800</v>
      </c>
      <c r="BN13" s="20">
        <f>IFERROR(VLOOKUP(Tabla145[[#This Row],[Llave]],'[13]Base ultimos planes'!$O:$AA,11,FALSE),0)</f>
        <v>335760</v>
      </c>
      <c r="BO13" s="20">
        <f>IFERROR(VLOOKUP(Tabla145[[#This Row],[Llave]],'[13]Base ultimos planes'!$O:$AA,12,FALSE),0)</f>
        <v>0</v>
      </c>
      <c r="BP13" s="20">
        <f>IFERROR(VLOOKUP(Tabla145[[#This Row],[Llave]],'[13]Base ultimos planes'!$O:$AA,13,FALSE),0)</f>
        <v>42186</v>
      </c>
      <c r="BQ13" s="20"/>
      <c r="BR13" s="20">
        <f>Tabla145[[#This Row],[ RV Producción mes n+1]]*(1-Tabla145[[#This Row],[% Uti. producción]])</f>
        <v>0</v>
      </c>
      <c r="BS13" s="20">
        <f>+Tabla145[[#This Row],[Producción disponible mes n-1]]+Tabla145[[#This Row],[Saldo Volumen disponible]]</f>
        <v>23823.7</v>
      </c>
      <c r="BT13" s="7">
        <f>IFERROR(VLOOKUP(Tabla145[[#This Row],[Llave]],'[21]RV n+2 y n+3'!$B:$F,4,FALSE),0)</f>
        <v>196000.00499999998</v>
      </c>
      <c r="BU13" s="7">
        <f>+Tabla145[[#This Row],[Asignación mes n+2]]*Tabla145[[#This Row],[% Uti. producción]]</f>
        <v>89610.104055779462</v>
      </c>
      <c r="BV13" s="7">
        <f>+Tabla145[[#This Row],[Ponderación mes n+2]]+Tabla145[[#This Row],[Saldo mes n-1]]</f>
        <v>113433.80405577946</v>
      </c>
      <c r="BW13" s="7">
        <f>+Tabla145[[#This Row],[Asignación mes n+2]]-Tabla145[[#This Row],[Ponderación mes n+2]]</f>
        <v>106389.90094422051</v>
      </c>
      <c r="BX13" s="7">
        <f>IFERROR(VLOOKUP(Tabla145[[#This Row],[Llave]],'[21]RV n+2 y n+3'!$B:$F,5,FALSE),0)</f>
        <v>161097.95200000002</v>
      </c>
      <c r="BY13" s="7">
        <f>+Tabla145[[#This Row],[Asignación mes n+3]]*Tabla145[[#This Row],[% Uti. producción]]</f>
        <v>73653.080987895737</v>
      </c>
      <c r="BZ13" s="3">
        <f>+Tabla145[[#This Row],[Ponderación mes n+3]]+Tabla145[[#This Row],[Saldo mes n+2]]</f>
        <v>180042.98193211626</v>
      </c>
      <c r="CA13" s="3">
        <f>+Tabla145[[#This Row],[Asignación mes n+3]]-Tabla145[[#This Row],[Ponderación mes n+3]]</f>
        <v>87444.871012104282</v>
      </c>
      <c r="CB13" s="3">
        <f>+Tabla145[[#This Row],[Producción disponible mes n-1]]+Tabla145[[#This Row],[Producción disponible]]</f>
        <v>0</v>
      </c>
      <c r="CC13" s="3">
        <f>+Tabla145[[#This Row],[Saldo mes n+4]]-Tabla145[[#This Row],[ RV Producción mes n+1]]</f>
        <v>0</v>
      </c>
    </row>
    <row r="14" spans="1:81" ht="16" x14ac:dyDescent="0.2">
      <c r="A14">
        <v>1</v>
      </c>
      <c r="B14" t="str">
        <f>Tabla145[[#This Row],[Oficina]]&amp;Tabla145[[#This Row],[Material]]</f>
        <v>Agro Sudamerica1020352</v>
      </c>
      <c r="C14" t="s">
        <v>6</v>
      </c>
      <c r="D14" t="s">
        <v>17</v>
      </c>
      <c r="E14">
        <v>1020352</v>
      </c>
      <c r="F14" t="s">
        <v>35</v>
      </c>
      <c r="G14" t="s">
        <v>8</v>
      </c>
      <c r="H14" t="s">
        <v>34</v>
      </c>
      <c r="I14" s="7">
        <f>IFERROR(VLOOKUP(Tabla145[[#This Row],[Llave]],'[7]RV Producción'!$C:$G,5,FALSE),0)</f>
        <v>14677</v>
      </c>
      <c r="J14" s="3">
        <f>IFERROR(IF(Tabla145[[#This Row],[Oficina]]=$I$7,VLOOKUP(Tabla145[[#This Row],[Llave]],'[7]Shangai (Tomas)'!$A:$F,6,FALSE),VLOOKUP(Tabla145[[#This Row],[Llave]],'[7]RV plan de ventas'!$A:$E,5,FALSE)),0)</f>
        <v>0</v>
      </c>
      <c r="K14" s="8">
        <f>IFERROR(VLOOKUP(Tabla145[[#This Row],[Oficina]],[15]Ponderación!$B$2:$E$9,4,FALSE),0)</f>
        <v>0.45719439678473212</v>
      </c>
      <c r="L14" s="7">
        <f>+Tabla145[[#This Row],[ RV Producción mes n+1]]*Tabla145[[#This Row],[% Uti. producción]]</f>
        <v>6710.2421616095135</v>
      </c>
      <c r="M14" s="7">
        <f>IFERROR(VLOOKUP(Tabla145[[#This Row],[Material]],[16]Stock!$G:$K,5,FALSE),0)</f>
        <v>23710</v>
      </c>
      <c r="N14" s="7">
        <f>IFERROR(VLOOKUP(Tabla145[[#This Row],[Material]],[16]Produccion!$M:$N,2,FALSE),0)</f>
        <v>15285</v>
      </c>
      <c r="O14" s="7">
        <f>IFERROR(VLOOKUP(Tabla145[[#This Row],[Llave]],'[16]TD Conf-AP'!$I:$M,4,FALSE),0)</f>
        <v>0</v>
      </c>
      <c r="P14" s="14">
        <f>SUM(Tabla145[[#This Row],[Producción disponible]],Tabla145[[#This Row],[Stock al día]],(Tabla145[[#This Row],[Por producir mes N]]*0.9))-Tabla145[[#This Row],[Producción por despachar mes N]]</f>
        <v>44176.742161609509</v>
      </c>
      <c r="Q14" s="7">
        <f>IFERROR(VLOOKUP(Tabla145[[#This Row],[Llave]],[17]DELAY!$A:$D,4,FALSE),0)</f>
        <v>48000</v>
      </c>
      <c r="R14" s="9">
        <v>24000</v>
      </c>
      <c r="S14" s="5">
        <f t="shared" si="5"/>
        <v>24000</v>
      </c>
      <c r="T14" s="76">
        <v>0</v>
      </c>
      <c r="U14" s="5">
        <f>+Tabla145[[#This Row],[Atraso a facturar]]+Tabla145[[#This Row],[Ajuste atraso]]</f>
        <v>24000</v>
      </c>
      <c r="V14" s="3">
        <f>+Tabla145[[#This Row],[Total disponible]]-Tabla145[[#This Row],[Facturación atraso]]</f>
        <v>20176.742161609509</v>
      </c>
      <c r="W14" s="6">
        <f>IFERROR(IF(AND(V14&gt;R14,J14&gt;=R14),ROUNDDOWN((Tabla145[[#This Row],[Producción para venta nueva]])/R14,0)*R14,0),0)</f>
        <v>0</v>
      </c>
      <c r="X14" s="76">
        <v>0</v>
      </c>
      <c r="Y14" s="6">
        <f>IF(Tabla145[[#This Row],[Venta del mes]]&gt;0,Tabla145[[#This Row],[Venta del mes]]+Tabla145[[#This Row],[Ajuste venta nueva]],0)</f>
        <v>0</v>
      </c>
      <c r="Z14" s="6">
        <f>+Tabla145[[#This Row],[Producción para venta nueva]]-Tabla145[[#This Row],[Facturación Venta nueva]]</f>
        <v>20176.742161609509</v>
      </c>
      <c r="AA14" s="6">
        <f>IF(AND(A14=1,Tabla145[[#This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" s="6">
        <v>0</v>
      </c>
      <c r="AC14" s="6">
        <f>IF(Tabla145[[#This Row],[Disponible stock sin venta]]&gt;0,Tabla145[[#This Row],[Disponible stock sin venta]]+Tabla145[[#This Row],[Ajuste stock sin venta]],0)</f>
        <v>0</v>
      </c>
      <c r="AD14" s="3">
        <f>IFERROR(VLOOKUP(Tabla145[[#This Row],[Llave]],'[16]TD Puerto'!$A:$D,4,FALSE),0)</f>
        <v>47966.82</v>
      </c>
      <c r="AE14" s="3">
        <v>95966.82</v>
      </c>
      <c r="AF14" s="3">
        <f>+Tabla145[[#This Row],[Plan Irrestricto Inicial]]</f>
        <v>95966.82</v>
      </c>
      <c r="AG14" s="3">
        <f>+Tabla145[[#This Row],[En puerto a facturar]]</f>
        <v>47966.82</v>
      </c>
      <c r="AH14" s="3">
        <f>+Tabla145[[#This Row],[Facturación atraso]]</f>
        <v>24000</v>
      </c>
      <c r="AI14" s="3">
        <f>+Tabla145[[#This Row],[Plan Irrestricto]]-Tabla145[[#This Row],[Puerto ]]-Tabla145[[#This Row],[Atraso]]</f>
        <v>24000.000000000007</v>
      </c>
      <c r="AJ14" s="3">
        <f>IF(Tabla145[[#This Row],[Plan Irrestricto]]&gt;0,SUM(Tabla145[[#This Row],[Facturación atraso]],Tabla145[[#This Row],[Facturación Venta nueva]],Tabla145[[#This Row],[Facturación stock]],Tabla145[[#This Row],[En puerto a facturar]]),0)</f>
        <v>71966.820000000007</v>
      </c>
      <c r="AK14" s="3">
        <f>+Tabla145[[#This Row],[Facturación atraso]]</f>
        <v>24000</v>
      </c>
      <c r="AL14" s="3">
        <f>+Tabla145[[#This Row],[Plan Ajustado]]-Tabla145[[#This Row],[ Atraso ajustado]]-Tabla145[[#This Row],[Puerto ]]</f>
        <v>0</v>
      </c>
      <c r="AM14" s="6">
        <f>IFERROR(VLOOKUP(Tabla145[[#This Row],[Llave]],[18]!Tabla14[#All],34,FALSE),0)</f>
        <v>0</v>
      </c>
      <c r="AN14" s="6">
        <f>IFERROR(VLOOKUP(Tabla145[[#This Row],[Llave]],[18]!Tabla14[#All],35,FALSE),0)</f>
        <v>0</v>
      </c>
      <c r="AO14" s="3" t="str">
        <f>IF(Tabla145[[#This Row],[Plan Ajustado]]&gt;Tabla145[[#This Row],[En puerto a facturar]],"Si","No")</f>
        <v>Si</v>
      </c>
      <c r="AP14" s="3">
        <f>IF(AND(Tabla145[[#This Row],[Plan Ajustado]]&gt;0,Tabla145[[#This Row],[Plan Ajustado]]&gt;Tabla145[[#This Row],[En puerto a facturar]]),(Tabla145[[#This Row],[Plan Ajustado]]-Tabla145[[#This Row],[En puerto a facturar]]),0)</f>
        <v>24000.000000000007</v>
      </c>
      <c r="AQ14" s="3">
        <f>IF(Tabla145[[#This Row],[Necesidad]]&gt;=Tabla145[[#This Row],[Stock al día]],Tabla145[[#This Row],[Stock al día]],Tabla145[[#This Row],[Necesidad]])</f>
        <v>23710</v>
      </c>
      <c r="AR14" s="3">
        <f>+Tabla145[[#This Row],[Necesidad]]-Tabla145[[#This Row],[Stock Plan]]</f>
        <v>290.00000000000728</v>
      </c>
      <c r="AS14" s="155">
        <f>IFERROR(VLOOKUP(Tabla145[[#This Row],[Oficina]],[19]Ponderación!$B$14:$E$21,4,FALSE),"")</f>
        <v>44789</v>
      </c>
      <c r="AT1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1.2933397315970714</v>
      </c>
      <c r="AU14" s="83">
        <f>IFERROR(VLOOKUP(Tabla145[[#This Row],[Llave]],[17]DELAY!$H:$W,16,FALSE),0)</f>
        <v>1.3508854166666651</v>
      </c>
      <c r="AV1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1.3508854166666648</v>
      </c>
      <c r="AW14" s="5">
        <f>Tabla145[[#This Row],[Ajuste precio IC]]*Tabla145[[#This Row],[Plan Ajustado]]</f>
        <v>93496.893649999998</v>
      </c>
      <c r="AX14" s="30">
        <f>IFERROR(VLOOKUP(Tabla145[[#This Row],[Llave]],'[13]Ultimos precios facturados'!$A:$G,7,FALSE),0)</f>
        <v>1.2933397315970714</v>
      </c>
      <c r="AY1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4.4493866277914136E-2</v>
      </c>
      <c r="AZ14" s="30">
        <f>IFERROR(VLOOKUP(Tabla145[[#This Row],[Llave]],Hoja2!B:K,10,FALSE),0)</f>
        <v>1.2991666666666666</v>
      </c>
      <c r="BA14" s="30">
        <f>IF(Tabla145[[#This Row],[Ajuste precio IC]]="",Tabla145[[#This Row],[Precio ponderado]],Tabla145[[#This Row],[Precio ponderado]])</f>
        <v>1.3508854166666648</v>
      </c>
      <c r="BB14" s="82"/>
      <c r="BC14" s="82" t="str">
        <f>IF(AND(Tabla145[[#This Row],[Atraso a facturar]]&gt;0,Tabla145[[#This Row],[Precio Atraso]]=0),"Revisar","OK")</f>
        <v>OK</v>
      </c>
      <c r="BD14" s="82" t="str">
        <f>IF(AND(Tabla145[[#This Row],[Venta del mes]]&gt;0,Tabla145[[#This Row],[Precio venta nueva]]=0),"Revisar","OK")</f>
        <v>OK</v>
      </c>
      <c r="BE14" s="20">
        <f>IFERROR(VLOOKUP(Tabla145[[#This Row],[Llave]],'[5]Consolidación planes'!$A:$M,9,FALSE),0)</f>
        <v>35000</v>
      </c>
      <c r="BF14" s="20">
        <f>IFERROR(VLOOKUP(Tabla145[[#This Row],[Llave]],'[5]Consolidación planes'!$A:$M,10,FALSE),0)</f>
        <v>0</v>
      </c>
      <c r="BG14" s="20">
        <f>IFERROR(VLOOKUP(Tabla145[[#This Row],[Llave]],'[5]Consolidación planes'!$A:$M,11,FALSE),0)</f>
        <v>48000</v>
      </c>
      <c r="BH14" s="20">
        <f>IFERROR(VLOOKUP(Tabla145[[#This Row],[Llave]],'[5]Consolidación planes'!$A:$M,12,FALSE),0)</f>
        <v>48000</v>
      </c>
      <c r="BI14" s="20">
        <f>IFERROR(VLOOKUP(Tabla145[[#This Row],[Llave]],'[5]Consolidación planes'!$A:$M,13,FALSE),0)</f>
        <v>24000</v>
      </c>
      <c r="BJ14" s="20">
        <f>IFERROR(VLOOKUP(Tabla145[[#This Row],[Llave]],'[13]Base ultimos planes'!$A:$M,13,FALSE),0)</f>
        <v>48000</v>
      </c>
      <c r="BK14" s="80">
        <f>IFERROR(VLOOKUP(Tabla145[[#This Row],[Llave]],'[13]Base ultimos planes'!$O:$AA,8,FALSE),0)</f>
        <v>47250</v>
      </c>
      <c r="BL14" s="20">
        <f>IFERROR(VLOOKUP(Tabla145[[#This Row],[Llave]],'[13]Base ultimos planes'!$O:$AA,9,FALSE),0)</f>
        <v>0</v>
      </c>
      <c r="BM14" s="20">
        <f>IFERROR(VLOOKUP(Tabla145[[#This Row],[Llave]],'[13]Base ultimos planes'!$O:$AA,10,FALSE),0)</f>
        <v>57310</v>
      </c>
      <c r="BN14" s="20">
        <f>IFERROR(VLOOKUP(Tabla145[[#This Row],[Llave]],'[13]Base ultimos planes'!$O:$AA,11,FALSE),0)</f>
        <v>50880</v>
      </c>
      <c r="BO14" s="20">
        <f>IFERROR(VLOOKUP(Tabla145[[#This Row],[Llave]],'[13]Base ultimos planes'!$O:$AA,12,FALSE),0)</f>
        <v>30240</v>
      </c>
      <c r="BP14" s="20">
        <f>IFERROR(VLOOKUP(Tabla145[[#This Row],[Llave]],'[13]Base ultimos planes'!$O:$AA,13,FALSE),0)</f>
        <v>60230</v>
      </c>
      <c r="BQ14" s="20"/>
      <c r="BR14" s="20">
        <f>Tabla145[[#This Row],[ RV Producción mes n+1]]*(1-Tabla145[[#This Row],[% Uti. producción]])</f>
        <v>7966.7578383904874</v>
      </c>
      <c r="BS14" s="20">
        <f>+Tabla145[[#This Row],[Producción disponible mes n-1]]+Tabla145[[#This Row],[Saldo Volumen disponible]]</f>
        <v>28143.499999999996</v>
      </c>
      <c r="BT14" s="7">
        <f>IFERROR(VLOOKUP(Tabla145[[#This Row],[Llave]],'[21]RV n+2 y n+3'!$B:$F,4,FALSE),0)</f>
        <v>68463.434999999998</v>
      </c>
      <c r="BU14" s="7">
        <f>+Tabla145[[#This Row],[Asignación mes n+2]]*Tabla145[[#This Row],[% Uti. producción]]</f>
        <v>31301.098866635715</v>
      </c>
      <c r="BV14" s="7">
        <f>+Tabla145[[#This Row],[Ponderación mes n+2]]+Tabla145[[#This Row],[Saldo mes n-1]]</f>
        <v>59444.598866635715</v>
      </c>
      <c r="BW14" s="7">
        <f>+Tabla145[[#This Row],[Asignación mes n+2]]-Tabla145[[#This Row],[Ponderación mes n+2]]</f>
        <v>37162.336133364282</v>
      </c>
      <c r="BX14" s="7">
        <f>IFERROR(VLOOKUP(Tabla145[[#This Row],[Llave]],'[21]RV n+2 y n+3'!$B:$F,5,FALSE),0)</f>
        <v>59362.133000000002</v>
      </c>
      <c r="BY14" s="7">
        <f>+Tabla145[[#This Row],[Asignación mes n+3]]*Tabla145[[#This Row],[% Uti. producción]]</f>
        <v>27140.03458879004</v>
      </c>
      <c r="BZ14" s="3">
        <f>+Tabla145[[#This Row],[Ponderación mes n+3]]+Tabla145[[#This Row],[Saldo mes n+2]]</f>
        <v>64302.370722154323</v>
      </c>
      <c r="CA14" s="3">
        <f>+Tabla145[[#This Row],[Asignación mes n+3]]-Tabla145[[#This Row],[Ponderación mes n+3]]</f>
        <v>32222.098411209961</v>
      </c>
      <c r="CB14" s="3">
        <f>+Tabla145[[#This Row],[Producción disponible mes n-1]]+Tabla145[[#This Row],[Producción disponible]]</f>
        <v>14677</v>
      </c>
      <c r="CC14" s="3">
        <f>+Tabla145[[#This Row],[Saldo mes n+4]]-Tabla145[[#This Row],[ RV Producción mes n+1]]</f>
        <v>0</v>
      </c>
    </row>
    <row r="15" spans="1:81" ht="16" x14ac:dyDescent="0.2">
      <c r="A15">
        <v>1</v>
      </c>
      <c r="B15" t="str">
        <f>Tabla145[[#This Row],[Oficina]]&amp;Tabla145[[#This Row],[Material]]</f>
        <v>Agro Sudamerica1020367</v>
      </c>
      <c r="C15" t="s">
        <v>6</v>
      </c>
      <c r="D15" t="s">
        <v>17</v>
      </c>
      <c r="E15">
        <v>1020367</v>
      </c>
      <c r="F15" t="s">
        <v>42</v>
      </c>
      <c r="G15" t="s">
        <v>11</v>
      </c>
      <c r="H15" t="s">
        <v>41</v>
      </c>
      <c r="I15" s="7">
        <f>IFERROR(VLOOKUP(Tabla145[[#This Row],[Llave]],'[7]RV Producción'!$C:$G,5,FALSE),0)</f>
        <v>138208</v>
      </c>
      <c r="J15" s="3">
        <f>IFERROR(IF(Tabla145[[#This Row],[Oficina]]=$I$7,VLOOKUP(Tabla145[[#This Row],[Llave]],'[7]Shangai (Tomas)'!$A:$F,6,FALSE),VLOOKUP(Tabla145[[#This Row],[Llave]],'[7]RV plan de ventas'!$A:$E,5,FALSE)),0)</f>
        <v>144000</v>
      </c>
      <c r="K15" s="8">
        <f>IFERROR(VLOOKUP(Tabla145[[#This Row],[Oficina]],[15]Ponderación!$B$2:$E$9,4,FALSE),0)</f>
        <v>0.45719439678473212</v>
      </c>
      <c r="L15" s="7">
        <f>+Tabla145[[#This Row],[ RV Producción mes n+1]]*Tabla145[[#This Row],[% Uti. producción]]</f>
        <v>63187.923190824258</v>
      </c>
      <c r="M15" s="7">
        <f>IFERROR(VLOOKUP(Tabla145[[#This Row],[Material]],[16]Stock!$G:$K,5,FALSE),0)</f>
        <v>79702</v>
      </c>
      <c r="N15" s="7">
        <f>IFERROR(VLOOKUP(Tabla145[[#This Row],[Material]],[16]Produccion!$M:$N,2,FALSE),0)</f>
        <v>30806</v>
      </c>
      <c r="O15" s="7">
        <f>IFERROR(VLOOKUP(Tabla145[[#This Row],[Llave]],'[16]TD Conf-AP'!$I:$M,4,FALSE),0)</f>
        <v>0</v>
      </c>
      <c r="P15" s="14">
        <f>SUM(Tabla145[[#This Row],[Producción disponible]],Tabla145[[#This Row],[Stock al día]],(Tabla145[[#This Row],[Por producir mes N]]*0.9))-Tabla145[[#This Row],[Producción por despachar mes N]]</f>
        <v>170615.32319082425</v>
      </c>
      <c r="Q15" s="7">
        <f>IFERROR(VLOOKUP(Tabla145[[#This Row],[Llave]],[17]DELAY!$A:$D,4,FALSE),0)</f>
        <v>94000</v>
      </c>
      <c r="R15" s="9">
        <v>24000</v>
      </c>
      <c r="S15" s="5">
        <f t="shared" si="5"/>
        <v>94000</v>
      </c>
      <c r="T15" s="76">
        <v>0</v>
      </c>
      <c r="U15" s="5">
        <f>+Tabla145[[#This Row],[Atraso a facturar]]+Tabla145[[#This Row],[Ajuste atraso]]</f>
        <v>94000</v>
      </c>
      <c r="V15" s="3">
        <f>+Tabla145[[#This Row],[Total disponible]]-Tabla145[[#This Row],[Facturación atraso]]</f>
        <v>76615.323190824245</v>
      </c>
      <c r="W15" s="6">
        <f>IFERROR(IF(AND(V15&gt;R15,J15&gt;=R15),ROUNDDOWN((Tabla145[[#This Row],[Producción para venta nueva]])/R15,0)*R15,0),0)</f>
        <v>72000</v>
      </c>
      <c r="X15" s="76">
        <v>0</v>
      </c>
      <c r="Y15" s="6">
        <f>IF(Tabla145[[#This Row],[Venta del mes]]&gt;0,Tabla145[[#This Row],[Venta del mes]]+Tabla145[[#This Row],[Ajuste venta nueva]],0)</f>
        <v>72000</v>
      </c>
      <c r="Z15" s="6">
        <f>+Tabla145[[#This Row],[Producción para venta nueva]]-Tabla145[[#This Row],[Facturación Venta nueva]]</f>
        <v>4615.3231908242451</v>
      </c>
      <c r="AA15" s="6">
        <f>IF(AND(A15=1,Tabla145[[#This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" s="6">
        <v>0</v>
      </c>
      <c r="AC15" s="6">
        <f>IF(Tabla145[[#This Row],[Disponible stock sin venta]]&gt;0,Tabla145[[#This Row],[Disponible stock sin venta]]+Tabla145[[#This Row],[Ajuste stock sin venta]],0)</f>
        <v>0</v>
      </c>
      <c r="AD15" s="3">
        <f>IFERROR(VLOOKUP(Tabla145[[#This Row],[Llave]],'[16]TD Puerto'!$A:$D,4,FALSE),0)</f>
        <v>0</v>
      </c>
      <c r="AE15" s="3">
        <v>166000</v>
      </c>
      <c r="AF15" s="3">
        <f>+Tabla145[[#This Row],[Plan Irrestricto Inicial]]</f>
        <v>166000</v>
      </c>
      <c r="AG15" s="3">
        <f>+Tabla145[[#This Row],[En puerto a facturar]]</f>
        <v>0</v>
      </c>
      <c r="AH15" s="3">
        <f>+Tabla145[[#This Row],[Facturación atraso]]</f>
        <v>94000</v>
      </c>
      <c r="AI15" s="3">
        <f>+Tabla145[[#This Row],[Plan Irrestricto]]-Tabla145[[#This Row],[Puerto ]]-Tabla145[[#This Row],[Atraso]]</f>
        <v>72000</v>
      </c>
      <c r="AJ15" s="3">
        <f>IF(Tabla145[[#This Row],[Plan Irrestricto]]&gt;0,SUM(Tabla145[[#This Row],[Facturación atraso]],Tabla145[[#This Row],[Facturación Venta nueva]],Tabla145[[#This Row],[Facturación stock]],Tabla145[[#This Row],[En puerto a facturar]]),0)</f>
        <v>166000</v>
      </c>
      <c r="AK15" s="3">
        <f>+Tabla145[[#This Row],[Facturación atraso]]</f>
        <v>94000</v>
      </c>
      <c r="AL15" s="3">
        <f>+Tabla145[[#This Row],[Plan Ajustado]]-Tabla145[[#This Row],[ Atraso ajustado]]-Tabla145[[#This Row],[Puerto ]]</f>
        <v>72000</v>
      </c>
      <c r="AM15" s="6">
        <f>IFERROR(VLOOKUP(Tabla145[[#This Row],[Llave]],[18]!Tabla14[#All],34,FALSE),0)</f>
        <v>0</v>
      </c>
      <c r="AN15" s="6">
        <f>IFERROR(VLOOKUP(Tabla145[[#This Row],[Llave]],[18]!Tabla14[#All],35,FALSE),0)</f>
        <v>0</v>
      </c>
      <c r="AO15" s="3" t="str">
        <f>IF(Tabla145[[#This Row],[Plan Ajustado]]&gt;Tabla145[[#This Row],[En puerto a facturar]],"Si","No")</f>
        <v>Si</v>
      </c>
      <c r="AP15" s="3">
        <f>IF(AND(Tabla145[[#This Row],[Plan Ajustado]]&gt;0,Tabla145[[#This Row],[Plan Ajustado]]&gt;Tabla145[[#This Row],[En puerto a facturar]]),(Tabla145[[#This Row],[Plan Ajustado]]-Tabla145[[#This Row],[En puerto a facturar]]),0)</f>
        <v>166000</v>
      </c>
      <c r="AQ15" s="3">
        <f>IF(Tabla145[[#This Row],[Necesidad]]&gt;=Tabla145[[#This Row],[Stock al día]],Tabla145[[#This Row],[Stock al día]],Tabla145[[#This Row],[Necesidad]])</f>
        <v>79702</v>
      </c>
      <c r="AR15" s="3">
        <f>+Tabla145[[#This Row],[Necesidad]]-Tabla145[[#This Row],[Stock Plan]]</f>
        <v>86298</v>
      </c>
      <c r="AS15" s="155">
        <f>IFERROR(VLOOKUP(Tabla145[[#This Row],[Oficina]],[19]Ponderación!$B$14:$E$21,4,FALSE),"")</f>
        <v>44789</v>
      </c>
      <c r="AT1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1.18667361111111</v>
      </c>
      <c r="AU15" s="83">
        <f>IFERROR(VLOOKUP(Tabla145[[#This Row],[Llave]],[17]DELAY!$H:$W,16,FALSE),0)</f>
        <v>1.2115495218290797</v>
      </c>
      <c r="AV1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1.2007599701923701</v>
      </c>
      <c r="AW15" s="5">
        <f>Tabla145[[#This Row],[Ajuste precio IC]]*Tabla145[[#This Row],[Plan Ajustado]]</f>
        <v>183988.14583333334</v>
      </c>
      <c r="AX15" s="30">
        <f>IFERROR(VLOOKUP(Tabla145[[#This Row],[Llave]],'[13]Ultimos precios facturados'!$A:$G,7,FALSE),0)</f>
        <v>1.2121438720873106</v>
      </c>
      <c r="AY1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9.3915434933786873E-3</v>
      </c>
      <c r="AZ15" s="30">
        <f>IFERROR(VLOOKUP(Tabla145[[#This Row],[Llave]],Hoja2!B:K,10,FALSE),0)</f>
        <v>1.1083623242971887</v>
      </c>
      <c r="BA15" s="30">
        <f>IF(Tabla145[[#This Row],[Ajuste precio IC]]="",Tabla145[[#This Row],[Precio ponderado]],Tabla145[[#This Row],[Precio ponderado]])</f>
        <v>1.2007599701923701</v>
      </c>
      <c r="BB15" s="82"/>
      <c r="BC15" s="82" t="str">
        <f>IF(AND(Tabla145[[#This Row],[Atraso a facturar]]&gt;0,Tabla145[[#This Row],[Precio Atraso]]=0),"Revisar","OK")</f>
        <v>OK</v>
      </c>
      <c r="BD15" s="82" t="str">
        <f>IF(AND(Tabla145[[#This Row],[Venta del mes]]&gt;0,Tabla145[[#This Row],[Precio venta nueva]]=0),"Revisar","OK")</f>
        <v>OK</v>
      </c>
      <c r="BE15" s="20">
        <f>IFERROR(VLOOKUP(Tabla145[[#This Row],[Llave]],'[5]Consolidación planes'!$A:$M,9,FALSE),0)</f>
        <v>48000</v>
      </c>
      <c r="BF15" s="20">
        <f>IFERROR(VLOOKUP(Tabla145[[#This Row],[Llave]],'[5]Consolidación planes'!$A:$M,10,FALSE),0)</f>
        <v>72000</v>
      </c>
      <c r="BG15" s="20">
        <f>IFERROR(VLOOKUP(Tabla145[[#This Row],[Llave]],'[5]Consolidación planes'!$A:$M,11,FALSE),0)</f>
        <v>24000</v>
      </c>
      <c r="BH15" s="20">
        <f>IFERROR(VLOOKUP(Tabla145[[#This Row],[Llave]],'[5]Consolidación planes'!$A:$M,12,FALSE),0)</f>
        <v>48100</v>
      </c>
      <c r="BI15" s="20">
        <f>IFERROR(VLOOKUP(Tabla145[[#This Row],[Llave]],'[5]Consolidación planes'!$A:$M,13,FALSE),0)</f>
        <v>72000</v>
      </c>
      <c r="BJ15" s="20">
        <f>IFERROR(VLOOKUP(Tabla145[[#This Row],[Llave]],'[13]Base ultimos planes'!$A:$M,13,FALSE),0)</f>
        <v>145000</v>
      </c>
      <c r="BK15" s="80">
        <f>IFERROR(VLOOKUP(Tabla145[[#This Row],[Llave]],'[13]Base ultimos planes'!$O:$AA,8,FALSE),0)</f>
        <v>64800</v>
      </c>
      <c r="BL15" s="20">
        <f>IFERROR(VLOOKUP(Tabla145[[#This Row],[Llave]],'[13]Base ultimos planes'!$O:$AA,9,FALSE),0)</f>
        <v>89200</v>
      </c>
      <c r="BM15" s="20">
        <f>IFERROR(VLOOKUP(Tabla145[[#This Row],[Llave]],'[13]Base ultimos planes'!$O:$AA,10,FALSE),0)</f>
        <v>26400</v>
      </c>
      <c r="BN15" s="20">
        <f>IFERROR(VLOOKUP(Tabla145[[#This Row],[Llave]],'[13]Base ultimos planes'!$O:$AA,11,FALSE),0)</f>
        <v>53143</v>
      </c>
      <c r="BO15" s="20">
        <f>IFERROR(VLOOKUP(Tabla145[[#This Row],[Llave]],'[13]Base ultimos planes'!$O:$AA,12,FALSE),0)</f>
        <v>74627</v>
      </c>
      <c r="BP15" s="20">
        <f>IFERROR(VLOOKUP(Tabla145[[#This Row],[Llave]],'[13]Base ultimos planes'!$O:$AA,13,FALSE),0)</f>
        <v>166475</v>
      </c>
      <c r="BQ15" s="20"/>
      <c r="BR15" s="20">
        <f>Tabla145[[#This Row],[ RV Producción mes n+1]]*(1-Tabla145[[#This Row],[% Uti. producción]])</f>
        <v>75020.076809175749</v>
      </c>
      <c r="BS15" s="20">
        <f>+Tabla145[[#This Row],[Producción disponible mes n-1]]+Tabla145[[#This Row],[Saldo Volumen disponible]]</f>
        <v>79635.399999999994</v>
      </c>
      <c r="BT15" s="7">
        <f>IFERROR(VLOOKUP(Tabla145[[#This Row],[Llave]],'[21]RV n+2 y n+3'!$B:$F,4,FALSE),0)</f>
        <v>168000</v>
      </c>
      <c r="BU15" s="7">
        <f>+Tabla145[[#This Row],[Asignación mes n+2]]*Tabla145[[#This Row],[% Uti. producción]]</f>
        <v>76808.658659834997</v>
      </c>
      <c r="BV15" s="7">
        <f>+Tabla145[[#This Row],[Ponderación mes n+2]]+Tabla145[[#This Row],[Saldo mes n-1]]</f>
        <v>156444.05865983499</v>
      </c>
      <c r="BW15" s="7">
        <f>+Tabla145[[#This Row],[Asignación mes n+2]]-Tabla145[[#This Row],[Ponderación mes n+2]]</f>
        <v>91191.341340165003</v>
      </c>
      <c r="BX15" s="7">
        <f>IFERROR(VLOOKUP(Tabla145[[#This Row],[Llave]],'[21]RV n+2 y n+3'!$B:$F,5,FALSE),0)</f>
        <v>0</v>
      </c>
      <c r="BY15" s="7">
        <f>+Tabla145[[#This Row],[Asignación mes n+3]]*Tabla145[[#This Row],[% Uti. producción]]</f>
        <v>0</v>
      </c>
      <c r="BZ15" s="3">
        <f>+Tabla145[[#This Row],[Ponderación mes n+3]]+Tabla145[[#This Row],[Saldo mes n+2]]</f>
        <v>91191.341340165003</v>
      </c>
      <c r="CA15" s="3">
        <f>+Tabla145[[#This Row],[Asignación mes n+3]]-Tabla145[[#This Row],[Ponderación mes n+3]]</f>
        <v>0</v>
      </c>
      <c r="CB15" s="3">
        <f>+Tabla145[[#This Row],[Producción disponible mes n-1]]+Tabla145[[#This Row],[Producción disponible]]</f>
        <v>138208</v>
      </c>
      <c r="CC15" s="3">
        <f>+Tabla145[[#This Row],[Saldo mes n+4]]-Tabla145[[#This Row],[ RV Producción mes n+1]]</f>
        <v>0</v>
      </c>
    </row>
    <row r="16" spans="1:81" ht="16" x14ac:dyDescent="0.2">
      <c r="A16">
        <v>1</v>
      </c>
      <c r="B16" t="str">
        <f>Tabla145[[#This Row],[Oficina]]&amp;Tabla145[[#This Row],[Material]]</f>
        <v>Agro Sudamerica1020412</v>
      </c>
      <c r="C16" t="s">
        <v>6</v>
      </c>
      <c r="D16" t="s">
        <v>17</v>
      </c>
      <c r="E16">
        <v>1020412</v>
      </c>
      <c r="F16" t="s">
        <v>73</v>
      </c>
      <c r="G16" t="s">
        <v>71</v>
      </c>
      <c r="H16" t="s">
        <v>72</v>
      </c>
      <c r="I16" s="7">
        <f>IFERROR(VLOOKUP(Tabla145[[#This Row],[Llave]],'[7]RV Producción'!$C:$G,5,FALSE),0)</f>
        <v>73218</v>
      </c>
      <c r="J16" s="3">
        <f>IFERROR(IF(Tabla145[[#This Row],[Oficina]]=$I$7,VLOOKUP(Tabla145[[#This Row],[Llave]],'[7]Shangai (Tomas)'!$A:$F,6,FALSE),VLOOKUP(Tabla145[[#This Row],[Llave]],'[7]RV plan de ventas'!$A:$E,5,FALSE)),0)</f>
        <v>117630</v>
      </c>
      <c r="K16" s="8">
        <f>IFERROR(VLOOKUP(Tabla145[[#This Row],[Oficina]],[15]Ponderación!$B$2:$E$9,4,FALSE),0)</f>
        <v>0.45719439678473212</v>
      </c>
      <c r="L16" s="7">
        <f>+Tabla145[[#This Row],[ RV Producción mes n+1]]*Tabla145[[#This Row],[% Uti. producción]]</f>
        <v>33474.859343784519</v>
      </c>
      <c r="M16" s="7">
        <f>IFERROR(VLOOKUP(Tabla145[[#This Row],[Material]],[16]Stock!$G:$K,5,FALSE),0)</f>
        <v>80495</v>
      </c>
      <c r="N16" s="7">
        <f>IFERROR(VLOOKUP(Tabla145[[#This Row],[Material]],[16]Produccion!$M:$N,2,FALSE),0)</f>
        <v>4593</v>
      </c>
      <c r="O16" s="7">
        <f>IFERROR(VLOOKUP(Tabla145[[#This Row],[Llave]],'[16]TD Conf-AP'!$I:$M,4,FALSE),0)</f>
        <v>0</v>
      </c>
      <c r="P16" s="14">
        <f>SUM(Tabla145[[#This Row],[Producción disponible]],Tabla145[[#This Row],[Stock al día]],(Tabla145[[#This Row],[Por producir mes N]]*0.9))-Tabla145[[#This Row],[Producción por despachar mes N]]</f>
        <v>118103.55934378451</v>
      </c>
      <c r="Q16" s="7">
        <f>IFERROR(VLOOKUP(Tabla145[[#This Row],[Llave]],[17]DELAY!$A:$D,4,FALSE),0)</f>
        <v>48000</v>
      </c>
      <c r="R16" s="9">
        <v>24000</v>
      </c>
      <c r="S16" s="5">
        <f t="shared" si="5"/>
        <v>48000</v>
      </c>
      <c r="T16" s="76">
        <v>0</v>
      </c>
      <c r="U16" s="5">
        <f>+Tabla145[[#This Row],[Atraso a facturar]]+Tabla145[[#This Row],[Ajuste atraso]]</f>
        <v>48000</v>
      </c>
      <c r="V16" s="3">
        <f>+Tabla145[[#This Row],[Total disponible]]-Tabla145[[#This Row],[Facturación atraso]]</f>
        <v>70103.559343784509</v>
      </c>
      <c r="W16" s="6">
        <f>IFERROR(IF(AND(V16&gt;R16,J16&gt;=R16),ROUNDDOWN((Tabla145[[#This Row],[Producción para venta nueva]])/R16,0)*R16,0),0)</f>
        <v>48000</v>
      </c>
      <c r="X16" s="76">
        <v>0</v>
      </c>
      <c r="Y16" s="6">
        <f>IF(Tabla145[[#This Row],[Venta del mes]]&gt;0,Tabla145[[#This Row],[Venta del mes]]+Tabla145[[#This Row],[Ajuste venta nueva]],0)</f>
        <v>48000</v>
      </c>
      <c r="Z16" s="6">
        <f>+Tabla145[[#This Row],[Producción para venta nueva]]-Tabla145[[#This Row],[Facturación Venta nueva]]</f>
        <v>22103.559343784509</v>
      </c>
      <c r="AA16" s="6">
        <f>IF(AND(A16=1,Tabla145[[#This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" s="6">
        <v>0</v>
      </c>
      <c r="AC16" s="6">
        <f>IF(Tabla145[[#This Row],[Disponible stock sin venta]]&gt;0,Tabla145[[#This Row],[Disponible stock sin venta]]+Tabla145[[#This Row],[Ajuste stock sin venta]],0)</f>
        <v>0</v>
      </c>
      <c r="AD16" s="3">
        <f>IFERROR(VLOOKUP(Tabla145[[#This Row],[Llave]],'[16]TD Puerto'!$A:$D,4,FALSE),0)</f>
        <v>0</v>
      </c>
      <c r="AE16" s="3">
        <v>48000</v>
      </c>
      <c r="AF16" s="3">
        <f>+Tabla145[[#This Row],[Plan Irrestricto Inicial]]</f>
        <v>48000</v>
      </c>
      <c r="AG16" s="3">
        <f>+Tabla145[[#This Row],[En puerto a facturar]]</f>
        <v>0</v>
      </c>
      <c r="AH16" s="3">
        <f>+Tabla145[[#This Row],[Facturación atraso]]</f>
        <v>48000</v>
      </c>
      <c r="AI16" s="3">
        <f>+Tabla145[[#This Row],[Plan Irrestricto]]-Tabla145[[#This Row],[Puerto ]]-Tabla145[[#This Row],[Atraso]]</f>
        <v>0</v>
      </c>
      <c r="AJ16" s="3">
        <f>IF(Tabla145[[#This Row],[Plan Irrestricto]]&gt;0,SUM(Tabla145[[#This Row],[Facturación atraso]],Tabla145[[#This Row],[Facturación Venta nueva]],Tabla145[[#This Row],[Facturación stock]],Tabla145[[#This Row],[En puerto a facturar]]),0)</f>
        <v>96000</v>
      </c>
      <c r="AK16" s="3">
        <f>+Tabla145[[#This Row],[Facturación atraso]]</f>
        <v>48000</v>
      </c>
      <c r="AL16" s="3">
        <f>+Tabla145[[#This Row],[Plan Ajustado]]-Tabla145[[#This Row],[ Atraso ajustado]]-Tabla145[[#This Row],[Puerto ]]</f>
        <v>48000</v>
      </c>
      <c r="AM16" s="6">
        <f>IFERROR(VLOOKUP(Tabla145[[#This Row],[Llave]],[18]!Tabla14[#All],34,FALSE),0)</f>
        <v>0</v>
      </c>
      <c r="AN16" s="6">
        <f>IFERROR(VLOOKUP(Tabla145[[#This Row],[Llave]],[18]!Tabla14[#All],35,FALSE),0)</f>
        <v>0</v>
      </c>
      <c r="AO16" s="3" t="str">
        <f>IF(Tabla145[[#This Row],[Plan Ajustado]]&gt;Tabla145[[#This Row],[En puerto a facturar]],"Si","No")</f>
        <v>Si</v>
      </c>
      <c r="AP16" s="3">
        <f>IF(AND(Tabla145[[#This Row],[Plan Ajustado]]&gt;0,Tabla145[[#This Row],[Plan Ajustado]]&gt;Tabla145[[#This Row],[En puerto a facturar]]),(Tabla145[[#This Row],[Plan Ajustado]]-Tabla145[[#This Row],[En puerto a facturar]]),0)</f>
        <v>96000</v>
      </c>
      <c r="AQ16" s="3">
        <f>IF(Tabla145[[#This Row],[Necesidad]]&gt;=Tabla145[[#This Row],[Stock al día]],Tabla145[[#This Row],[Stock al día]],Tabla145[[#This Row],[Necesidad]])</f>
        <v>80495</v>
      </c>
      <c r="AR16" s="3">
        <f>+Tabla145[[#This Row],[Necesidad]]-Tabla145[[#This Row],[Stock Plan]]</f>
        <v>15505</v>
      </c>
      <c r="AS16" s="155">
        <f>IFERROR(VLOOKUP(Tabla145[[#This Row],[Oficina]],[19]Ponderación!$B$14:$E$21,4,FALSE),"")</f>
        <v>44789</v>
      </c>
      <c r="AT1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1.84787894244666</v>
      </c>
      <c r="AU16" s="83">
        <f>IFERROR(VLOOKUP(Tabla145[[#This Row],[Llave]],[17]DELAY!$H:$W,16,FALSE),0)</f>
        <v>1.8865238253205152</v>
      </c>
      <c r="AV1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1.8672013838835877</v>
      </c>
      <c r="AW16" s="5">
        <f>Tabla145[[#This Row],[Ajuste precio IC]]*Tabla145[[#This Row],[Plan Ajustado]]</f>
        <v>170138.58923743945</v>
      </c>
      <c r="AX16" s="30">
        <f>IFERROR(VLOOKUP(Tabla145[[#This Row],[Llave]],'[13]Ultimos precios facturados'!$A:$G,7,FALSE),0)</f>
        <v>1.7801020566349952</v>
      </c>
      <c r="AY1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4.8929400943022422E-2</v>
      </c>
      <c r="AZ16" s="30">
        <f>IFERROR(VLOOKUP(Tabla145[[#This Row],[Llave]],Hoja2!B:K,10,FALSE),0)</f>
        <v>1.7722769712233275</v>
      </c>
      <c r="BA16" s="30">
        <f>IF(Tabla145[[#This Row],[Ajuste precio IC]]="",Tabla145[[#This Row],[Precio ponderado]],Tabla145[[#This Row],[Precio ponderado]])</f>
        <v>1.8672013838835877</v>
      </c>
      <c r="BB16" s="82"/>
      <c r="BC16" s="82" t="str">
        <f>IF(AND(Tabla145[[#This Row],[Atraso a facturar]]&gt;0,Tabla145[[#This Row],[Precio Atraso]]=0),"Revisar","OK")</f>
        <v>OK</v>
      </c>
      <c r="BD16" s="82" t="str">
        <f>IF(AND(Tabla145[[#This Row],[Venta del mes]]&gt;0,Tabla145[[#This Row],[Precio venta nueva]]=0),"Revisar","OK")</f>
        <v>OK</v>
      </c>
      <c r="BE16" s="20">
        <f>IFERROR(VLOOKUP(Tabla145[[#This Row],[Llave]],'[5]Consolidación planes'!$A:$M,9,FALSE),0)</f>
        <v>48000</v>
      </c>
      <c r="BF16" s="20">
        <f>IFERROR(VLOOKUP(Tabla145[[#This Row],[Llave]],'[5]Consolidación planes'!$A:$M,10,FALSE),0)</f>
        <v>73000</v>
      </c>
      <c r="BG16" s="20">
        <f>IFERROR(VLOOKUP(Tabla145[[#This Row],[Llave]],'[5]Consolidación planes'!$A:$M,11,FALSE),0)</f>
        <v>96000</v>
      </c>
      <c r="BH16" s="20">
        <f>IFERROR(VLOOKUP(Tabla145[[#This Row],[Llave]],'[5]Consolidación planes'!$A:$M,12,FALSE),0)</f>
        <v>72000</v>
      </c>
      <c r="BI16" s="20">
        <f>IFERROR(VLOOKUP(Tabla145[[#This Row],[Llave]],'[5]Consolidación planes'!$A:$M,13,FALSE),0)</f>
        <v>72000</v>
      </c>
      <c r="BJ16" s="20">
        <f>IFERROR(VLOOKUP(Tabla145[[#This Row],[Llave]],'[13]Base ultimos planes'!$A:$M,13,FALSE),0)</f>
        <v>116000</v>
      </c>
      <c r="BK16" s="80">
        <f>IFERROR(VLOOKUP(Tabla145[[#This Row],[Llave]],'[13]Base ultimos planes'!$O:$AA,8,FALSE),0)</f>
        <v>67200</v>
      </c>
      <c r="BL16" s="20">
        <f>IFERROR(VLOOKUP(Tabla145[[#This Row],[Llave]],'[13]Base ultimos planes'!$O:$AA,9,FALSE),0)</f>
        <v>115910</v>
      </c>
      <c r="BM16" s="20">
        <f>IFERROR(VLOOKUP(Tabla145[[#This Row],[Llave]],'[13]Base ultimos planes'!$O:$AA,10,FALSE),0)</f>
        <v>139150</v>
      </c>
      <c r="BN16" s="20">
        <f>IFERROR(VLOOKUP(Tabla145[[#This Row],[Llave]],'[13]Base ultimos planes'!$O:$AA,11,FALSE),0)</f>
        <v>115909</v>
      </c>
      <c r="BO16" s="20">
        <f>IFERROR(VLOOKUP(Tabla145[[#This Row],[Llave]],'[13]Base ultimos planes'!$O:$AA,12,FALSE),0)</f>
        <v>121440</v>
      </c>
      <c r="BP16" s="20">
        <f>IFERROR(VLOOKUP(Tabla145[[#This Row],[Llave]],'[13]Base ultimos planes'!$O:$AA,13,FALSE),0)</f>
        <v>208322</v>
      </c>
      <c r="BQ16" s="20"/>
      <c r="BR16" s="20">
        <f>Tabla145[[#This Row],[ RV Producción mes n+1]]*(1-Tabla145[[#This Row],[% Uti. producción]])</f>
        <v>39743.140656215488</v>
      </c>
      <c r="BS16" s="20">
        <f>+Tabla145[[#This Row],[Producción disponible mes n-1]]+Tabla145[[#This Row],[Saldo Volumen disponible]]</f>
        <v>61846.7</v>
      </c>
      <c r="BT16" s="7">
        <f>IFERROR(VLOOKUP(Tabla145[[#This Row],[Llave]],'[21]RV n+2 y n+3'!$B:$F,4,FALSE),0)</f>
        <v>64202.826900000007</v>
      </c>
      <c r="BU16" s="7">
        <f>+Tabla145[[#This Row],[Asignación mes n+2]]*Tabla145[[#This Row],[% Uti. producción]]</f>
        <v>29353.172716420075</v>
      </c>
      <c r="BV16" s="7">
        <f>+Tabla145[[#This Row],[Ponderación mes n+2]]+Tabla145[[#This Row],[Saldo mes n-1]]</f>
        <v>91199.872716420068</v>
      </c>
      <c r="BW16" s="7">
        <f>+Tabla145[[#This Row],[Asignación mes n+2]]-Tabla145[[#This Row],[Ponderación mes n+2]]</f>
        <v>34849.654183579929</v>
      </c>
      <c r="BX16" s="7">
        <f>IFERROR(VLOOKUP(Tabla145[[#This Row],[Llave]],'[21]RV n+2 y n+3'!$B:$F,5,FALSE),0)</f>
        <v>18102.082999999999</v>
      </c>
      <c r="BY16" s="7">
        <f>+Tabla145[[#This Row],[Asignación mes n+3]]*Tabla145[[#This Row],[% Uti. producción]]</f>
        <v>8276.1709177321536</v>
      </c>
      <c r="BZ16" s="3">
        <f>+Tabla145[[#This Row],[Ponderación mes n+3]]+Tabla145[[#This Row],[Saldo mes n+2]]</f>
        <v>43125.825101312083</v>
      </c>
      <c r="CA16" s="3">
        <f>+Tabla145[[#This Row],[Asignación mes n+3]]-Tabla145[[#This Row],[Ponderación mes n+3]]</f>
        <v>9825.9120822678451</v>
      </c>
      <c r="CB16" s="3">
        <f>+Tabla145[[#This Row],[Producción disponible mes n-1]]+Tabla145[[#This Row],[Producción disponible]]</f>
        <v>73218</v>
      </c>
      <c r="CC16" s="3">
        <f>+Tabla145[[#This Row],[Saldo mes n+4]]-Tabla145[[#This Row],[ RV Producción mes n+1]]</f>
        <v>0</v>
      </c>
    </row>
    <row r="17" spans="1:81" ht="16" x14ac:dyDescent="0.2">
      <c r="A17">
        <v>1</v>
      </c>
      <c r="B17" t="str">
        <f>Tabla145[[#This Row],[Oficina]]&amp;Tabla145[[#This Row],[Material]]</f>
        <v>Agro Sudamerica1021980</v>
      </c>
      <c r="C17" t="s">
        <v>6</v>
      </c>
      <c r="D17" t="s">
        <v>17</v>
      </c>
      <c r="E17">
        <v>1021980</v>
      </c>
      <c r="F17" t="s">
        <v>673</v>
      </c>
      <c r="G17" t="s">
        <v>18</v>
      </c>
      <c r="H17" t="s">
        <v>21</v>
      </c>
      <c r="I17" s="7">
        <f>IFERROR(VLOOKUP(Tabla145[[#This Row],[Llave]],'[7]RV Producción'!$C:$G,5,FALSE),0)</f>
        <v>5544</v>
      </c>
      <c r="J17" s="3">
        <f>IFERROR(IF(Tabla145[[#This Row],[Oficina]]=$I$7,VLOOKUP(Tabla145[[#This Row],[Llave]],'[7]Shangai (Tomas)'!$A:$F,6,FALSE),VLOOKUP(Tabla145[[#This Row],[Llave]],'[7]RV plan de ventas'!$A:$E,5,FALSE)),0)</f>
        <v>4514</v>
      </c>
      <c r="K17" s="8">
        <f>IFERROR(VLOOKUP(Tabla145[[#This Row],[Oficina]],[15]Ponderación!$B$2:$E$9,4,FALSE),0)</f>
        <v>0.45719439678473212</v>
      </c>
      <c r="L17" s="7">
        <f>+Tabla145[[#This Row],[ RV Producción mes n+1]]*Tabla145[[#This Row],[% Uti. producción]]</f>
        <v>2534.6857357745548</v>
      </c>
      <c r="M17" s="7">
        <f>IFERROR(VLOOKUP(Tabla145[[#This Row],[Material]],[16]Stock!$G:$K,5,FALSE),0)</f>
        <v>6987</v>
      </c>
      <c r="N17" s="7">
        <f>IFERROR(VLOOKUP(Tabla145[[#This Row],[Material]],[16]Produccion!$M:$N,2,FALSE),0)</f>
        <v>610</v>
      </c>
      <c r="O17" s="7">
        <f>IFERROR(VLOOKUP(Tabla145[[#This Row],[Llave]],'[16]TD Conf-AP'!$I:$M,4,FALSE),0)</f>
        <v>0</v>
      </c>
      <c r="P17" s="14">
        <f>SUM(Tabla145[[#This Row],[Producción disponible]],Tabla145[[#This Row],[Stock al día]],(Tabla145[[#This Row],[Por producir mes N]]*0.9))-Tabla145[[#This Row],[Producción por despachar mes N]]</f>
        <v>10070.685735774554</v>
      </c>
      <c r="Q17" s="7">
        <f>IFERROR(VLOOKUP(Tabla145[[#This Row],[Llave]],[17]DELAY!$A:$D,4,FALSE),0)</f>
        <v>0</v>
      </c>
      <c r="R17" s="9">
        <v>24000</v>
      </c>
      <c r="S17" s="5">
        <f t="shared" si="5"/>
        <v>0</v>
      </c>
      <c r="T17" s="76">
        <v>0</v>
      </c>
      <c r="U17" s="5">
        <f>+Tabla145[[#This Row],[Atraso a facturar]]+Tabla145[[#This Row],[Ajuste atraso]]</f>
        <v>0</v>
      </c>
      <c r="V17" s="3">
        <f>+Tabla145[[#This Row],[Total disponible]]-Tabla145[[#This Row],[Facturación atraso]]</f>
        <v>10070.685735774554</v>
      </c>
      <c r="W17" s="6">
        <f>IFERROR(IF(AND(V17&gt;R17,J17&gt;=R17),ROUNDDOWN((Tabla145[[#This Row],[Producción para venta nueva]])/R17,0)*R17,0),0)</f>
        <v>0</v>
      </c>
      <c r="X17" s="76">
        <v>0</v>
      </c>
      <c r="Y17" s="6">
        <f>IF(Tabla145[[#This Row],[Venta del mes]]&gt;0,Tabla145[[#This Row],[Venta del mes]]+Tabla145[[#This Row],[Ajuste venta nueva]],0)</f>
        <v>0</v>
      </c>
      <c r="Z17" s="6">
        <f>+Tabla145[[#This Row],[Producción para venta nueva]]-Tabla145[[#This Row],[Facturación Venta nueva]]</f>
        <v>10070.685735774554</v>
      </c>
      <c r="AA17" s="6">
        <f>IF(AND(A17=1,Tabla145[[#This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" s="6">
        <v>0</v>
      </c>
      <c r="AC17" s="6">
        <f>IF(Tabla145[[#This Row],[Disponible stock sin venta]]&gt;0,Tabla145[[#This Row],[Disponible stock sin venta]]+Tabla145[[#This Row],[Ajuste stock sin venta]],0)</f>
        <v>0</v>
      </c>
      <c r="AD17" s="3">
        <f>IFERROR(VLOOKUP(Tabla145[[#This Row],[Llave]],'[16]TD Puerto'!$A:$D,4,FALSE),0)</f>
        <v>0</v>
      </c>
      <c r="AE17" s="3">
        <v>0</v>
      </c>
      <c r="AF17" s="3">
        <f>+Tabla145[[#This Row],[Plan Irrestricto Inicial]]</f>
        <v>0</v>
      </c>
      <c r="AG17" s="3">
        <f>+Tabla145[[#This Row],[En puerto a facturar]]</f>
        <v>0</v>
      </c>
      <c r="AH17" s="3">
        <f>+Tabla145[[#This Row],[Facturación atraso]]</f>
        <v>0</v>
      </c>
      <c r="AI17" s="3">
        <f>+Tabla145[[#This Row],[Plan Irrestricto]]-Tabla145[[#This Row],[Puerto ]]-Tabla145[[#This Row],[Atraso]]</f>
        <v>0</v>
      </c>
      <c r="AJ1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7" s="3">
        <f>+Tabla145[[#This Row],[Facturación atraso]]</f>
        <v>0</v>
      </c>
      <c r="AL17" s="3">
        <f>+Tabla145[[#This Row],[Plan Ajustado]]-Tabla145[[#This Row],[ Atraso ajustado]]-Tabla145[[#This Row],[Puerto ]]</f>
        <v>0</v>
      </c>
      <c r="AM17" s="6">
        <f>IFERROR(VLOOKUP(Tabla145[[#This Row],[Llave]],[18]!Tabla14[#All],34,FALSE),0)</f>
        <v>0</v>
      </c>
      <c r="AN17" s="6">
        <f>IFERROR(VLOOKUP(Tabla145[[#This Row],[Llave]],[18]!Tabla14[#All],35,FALSE),0)</f>
        <v>0</v>
      </c>
      <c r="AO17" s="3" t="str">
        <f>IF(Tabla145[[#This Row],[Plan Ajustado]]&gt;Tabla145[[#This Row],[En puerto a facturar]],"Si","No")</f>
        <v>No</v>
      </c>
      <c r="AP1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7" s="3">
        <f>IF(Tabla145[[#This Row],[Necesidad]]&gt;=Tabla145[[#This Row],[Stock al día]],Tabla145[[#This Row],[Stock al día]],Tabla145[[#This Row],[Necesidad]])</f>
        <v>0</v>
      </c>
      <c r="AR17" s="3">
        <f>+Tabla145[[#This Row],[Necesidad]]-Tabla145[[#This Row],[Stock Plan]]</f>
        <v>0</v>
      </c>
      <c r="AS17" s="155">
        <f>IFERROR(VLOOKUP(Tabla145[[#This Row],[Oficina]],[19]Ponderación!$B$14:$E$21,4,FALSE),"")</f>
        <v>44789</v>
      </c>
      <c r="AT1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5.4862649534780701</v>
      </c>
      <c r="AU17" s="83">
        <f>IFERROR(VLOOKUP(Tabla145[[#This Row],[Llave]],[17]DELAY!$H:$W,16,FALSE),0)</f>
        <v>0</v>
      </c>
      <c r="AV1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7" s="5">
        <f>Tabla145[[#This Row],[Ajuste precio IC]]*Tabla145[[#This Row],[Plan Ajustado]]</f>
        <v>0</v>
      </c>
      <c r="AX17" s="30">
        <f>IFERROR(VLOOKUP(Tabla145[[#This Row],[Llave]],'[13]Ultimos precios facturados'!$A:$G,7,FALSE),0)</f>
        <v>0</v>
      </c>
      <c r="AY1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7" s="30">
        <f>IFERROR(VLOOKUP(Tabla145[[#This Row],[Llave]],Hoja2!B:K,10,FALSE),0)</f>
        <v>0</v>
      </c>
      <c r="BA17" s="30">
        <f>IF(Tabla145[[#This Row],[Ajuste precio IC]]="",Tabla145[[#This Row],[Precio ponderado]],Tabla145[[#This Row],[Precio ponderado]])</f>
        <v>0</v>
      </c>
      <c r="BB17" s="82"/>
      <c r="BC17" s="82" t="str">
        <f>IF(AND(Tabla145[[#This Row],[Atraso a facturar]]&gt;0,Tabla145[[#This Row],[Precio Atraso]]=0),"Revisar","OK")</f>
        <v>OK</v>
      </c>
      <c r="BD17" s="82" t="str">
        <f>IF(AND(Tabla145[[#This Row],[Venta del mes]]&gt;0,Tabla145[[#This Row],[Precio venta nueva]]=0),"Revisar","OK")</f>
        <v>OK</v>
      </c>
      <c r="BE17" s="20">
        <f>IFERROR(VLOOKUP(Tabla145[[#This Row],[Llave]],'[5]Consolidación planes'!$A:$M,9,FALSE),0)</f>
        <v>0</v>
      </c>
      <c r="BF17" s="20">
        <f>IFERROR(VLOOKUP(Tabla145[[#This Row],[Llave]],'[5]Consolidación planes'!$A:$M,10,FALSE),0)</f>
        <v>0</v>
      </c>
      <c r="BG17" s="20">
        <f>IFERROR(VLOOKUP(Tabla145[[#This Row],[Llave]],'[5]Consolidación planes'!$A:$M,11,FALSE),0)</f>
        <v>0</v>
      </c>
      <c r="BH17" s="20">
        <f>IFERROR(VLOOKUP(Tabla145[[#This Row],[Llave]],'[5]Consolidación planes'!$A:$M,12,FALSE),0)</f>
        <v>0</v>
      </c>
      <c r="BI17" s="20">
        <f>IFERROR(VLOOKUP(Tabla145[[#This Row],[Llave]],'[5]Consolidación planes'!$A:$M,13,FALSE),0)</f>
        <v>0</v>
      </c>
      <c r="BJ17" s="20">
        <f>IFERROR(VLOOKUP(Tabla145[[#This Row],[Llave]],'[13]Base ultimos planes'!$A:$M,13,FALSE),0)</f>
        <v>0</v>
      </c>
      <c r="BK17" s="80">
        <f>IFERROR(VLOOKUP(Tabla145[[#This Row],[Llave]],'[13]Base ultimos planes'!$O:$AA,8,FALSE),0)</f>
        <v>0</v>
      </c>
      <c r="BL17" s="20">
        <f>IFERROR(VLOOKUP(Tabla145[[#This Row],[Llave]],'[13]Base ultimos planes'!$O:$AA,9,FALSE),0)</f>
        <v>0</v>
      </c>
      <c r="BM17" s="20">
        <f>IFERROR(VLOOKUP(Tabla145[[#This Row],[Llave]],'[13]Base ultimos planes'!$O:$AA,10,FALSE),0)</f>
        <v>0</v>
      </c>
      <c r="BN17" s="20">
        <f>IFERROR(VLOOKUP(Tabla145[[#This Row],[Llave]],'[13]Base ultimos planes'!$O:$AA,11,FALSE),0)</f>
        <v>0</v>
      </c>
      <c r="BO17" s="20">
        <f>IFERROR(VLOOKUP(Tabla145[[#This Row],[Llave]],'[13]Base ultimos planes'!$O:$AA,12,FALSE),0)</f>
        <v>0</v>
      </c>
      <c r="BP17" s="20">
        <f>IFERROR(VLOOKUP(Tabla145[[#This Row],[Llave]],'[13]Base ultimos planes'!$O:$AA,13,FALSE),0)</f>
        <v>0</v>
      </c>
      <c r="BQ17" s="20"/>
      <c r="BR17" s="20">
        <f>Tabla145[[#This Row],[ RV Producción mes n+1]]*(1-Tabla145[[#This Row],[% Uti. producción]])</f>
        <v>3009.3142642254456</v>
      </c>
      <c r="BS17" s="20">
        <f>+Tabla145[[#This Row],[Producción disponible mes n-1]]+Tabla145[[#This Row],[Saldo Volumen disponible]]</f>
        <v>13080</v>
      </c>
      <c r="BT17" s="7">
        <f>IFERROR(VLOOKUP(Tabla145[[#This Row],[Llave]],'[21]RV n+2 y n+3'!$B:$F,4,FALSE),0)</f>
        <v>0</v>
      </c>
      <c r="BU17" s="7">
        <f>+Tabla145[[#This Row],[Asignación mes n+2]]*Tabla145[[#This Row],[% Uti. producción]]</f>
        <v>0</v>
      </c>
      <c r="BV17" s="7">
        <f>+Tabla145[[#This Row],[Ponderación mes n+2]]+Tabla145[[#This Row],[Saldo mes n-1]]</f>
        <v>13080</v>
      </c>
      <c r="BW17" s="7">
        <f>+Tabla145[[#This Row],[Asignación mes n+2]]-Tabla145[[#This Row],[Ponderación mes n+2]]</f>
        <v>0</v>
      </c>
      <c r="BX17" s="7">
        <f>IFERROR(VLOOKUP(Tabla145[[#This Row],[Llave]],'[21]RV n+2 y n+3'!$B:$F,5,FALSE),0)</f>
        <v>2854.19893</v>
      </c>
      <c r="BY17" s="7">
        <f>+Tabla145[[#This Row],[Asignación mes n+3]]*Tabla145[[#This Row],[% Uti. producción]]</f>
        <v>1304.9237581049779</v>
      </c>
      <c r="BZ17" s="3">
        <f>+Tabla145[[#This Row],[Ponderación mes n+3]]+Tabla145[[#This Row],[Saldo mes n+2]]</f>
        <v>1304.9237581049779</v>
      </c>
      <c r="CA17" s="3">
        <f>+Tabla145[[#This Row],[Asignación mes n+3]]-Tabla145[[#This Row],[Ponderación mes n+3]]</f>
        <v>1549.2751718950221</v>
      </c>
      <c r="CB17" s="3">
        <f>+Tabla145[[#This Row],[Producción disponible mes n-1]]+Tabla145[[#This Row],[Producción disponible]]</f>
        <v>5544</v>
      </c>
      <c r="CC17" s="3">
        <f>+Tabla145[[#This Row],[Saldo mes n+4]]-Tabla145[[#This Row],[ RV Producción mes n+1]]</f>
        <v>0</v>
      </c>
    </row>
    <row r="18" spans="1:81" ht="16" x14ac:dyDescent="0.2">
      <c r="A18">
        <v>1</v>
      </c>
      <c r="B18" t="str">
        <f>Tabla145[[#This Row],[Oficina]]&amp;Tabla145[[#This Row],[Material]]</f>
        <v>Agro Sudamerica1020848</v>
      </c>
      <c r="C18" t="s">
        <v>6</v>
      </c>
      <c r="D18" t="s">
        <v>17</v>
      </c>
      <c r="E18">
        <v>1020848</v>
      </c>
      <c r="F18" t="s">
        <v>52</v>
      </c>
      <c r="G18" t="s">
        <v>50</v>
      </c>
      <c r="H18" t="s">
        <v>51</v>
      </c>
      <c r="I18" s="7">
        <f>IFERROR(VLOOKUP(Tabla145[[#This Row],[Llave]],'[7]RV Producción'!$C:$G,5,FALSE),0)</f>
        <v>0</v>
      </c>
      <c r="J18" s="3">
        <f>IFERROR(IF(Tabla145[[#This Row],[Oficina]]=$I$7,VLOOKUP(Tabla145[[#This Row],[Llave]],'[7]Shangai (Tomas)'!$A:$F,6,FALSE),VLOOKUP(Tabla145[[#This Row],[Llave]],'[7]RV plan de ventas'!$A:$E,5,FALSE)),0)</f>
        <v>36000</v>
      </c>
      <c r="K18" s="8">
        <f>IFERROR(VLOOKUP(Tabla145[[#This Row],[Oficina]],[15]Ponderación!$B$2:$E$9,4,FALSE),0)</f>
        <v>0.45719439678473212</v>
      </c>
      <c r="L18" s="7">
        <f>+Tabla145[[#This Row],[ RV Producción mes n+1]]*Tabla145[[#This Row],[% Uti. producción]]</f>
        <v>0</v>
      </c>
      <c r="M18" s="7">
        <f>IFERROR(VLOOKUP(Tabla145[[#This Row],[Material]],[16]Stock!$G:$K,5,FALSE),0)</f>
        <v>83131</v>
      </c>
      <c r="N18" s="7">
        <f>IFERROR(VLOOKUP(Tabla145[[#This Row],[Material]],[16]Produccion!$M:$N,2,FALSE),0)</f>
        <v>11770.379223671147</v>
      </c>
      <c r="O18" s="7">
        <f>IFERROR(VLOOKUP(Tabla145[[#This Row],[Llave]],'[16]TD Conf-AP'!$I:$M,4,FALSE),0)</f>
        <v>0</v>
      </c>
      <c r="P18" s="14">
        <f>SUM(Tabla145[[#This Row],[Producción disponible]],Tabla145[[#This Row],[Stock al día]],(Tabla145[[#This Row],[Por producir mes N]]*0.9))-Tabla145[[#This Row],[Producción por despachar mes N]]</f>
        <v>93724.341301304026</v>
      </c>
      <c r="Q18" s="7">
        <f>IFERROR(VLOOKUP(Tabla145[[#This Row],[Llave]],[17]DELAY!$A:$D,4,FALSE),0)</f>
        <v>96000</v>
      </c>
      <c r="R18" s="9">
        <v>24000</v>
      </c>
      <c r="S18" s="5">
        <f t="shared" si="5"/>
        <v>72000</v>
      </c>
      <c r="T18" s="76">
        <v>-24000</v>
      </c>
      <c r="U18" s="5">
        <f>+Tabla145[[#This Row],[Atraso a facturar]]+Tabla145[[#This Row],[Ajuste atraso]]</f>
        <v>48000</v>
      </c>
      <c r="V18" s="3">
        <f>+Tabla145[[#This Row],[Total disponible]]-Tabla145[[#This Row],[Facturación atraso]]</f>
        <v>45724.341301304026</v>
      </c>
      <c r="W18" s="6">
        <f>IFERROR(IF(AND(V18&gt;R18,J18&gt;=R18),ROUNDDOWN((Tabla145[[#This Row],[Producción para venta nueva]])/R18,0)*R18,0),0)</f>
        <v>24000</v>
      </c>
      <c r="X18" s="76">
        <v>0</v>
      </c>
      <c r="Y18" s="6">
        <f>IF(Tabla145[[#This Row],[Venta del mes]]&gt;0,Tabla145[[#This Row],[Venta del mes]]+Tabla145[[#This Row],[Ajuste venta nueva]],0)</f>
        <v>24000</v>
      </c>
      <c r="Z18" s="6">
        <f>+Tabla145[[#This Row],[Producción para venta nueva]]-Tabla145[[#This Row],[Facturación Venta nueva]]</f>
        <v>21724.341301304026</v>
      </c>
      <c r="AA18" s="6">
        <f>IF(AND(A18=1,Tabla145[[#This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" s="6">
        <v>0</v>
      </c>
      <c r="AC18" s="6">
        <f>IF(Tabla145[[#This Row],[Disponible stock sin venta]]&gt;0,Tabla145[[#This Row],[Disponible stock sin venta]]+Tabla145[[#This Row],[Ajuste stock sin venta]],0)</f>
        <v>0</v>
      </c>
      <c r="AD18" s="3">
        <f>IFERROR(VLOOKUP(Tabla145[[#This Row],[Llave]],'[16]TD Puerto'!$A:$D,4,FALSE),0)</f>
        <v>0</v>
      </c>
      <c r="AE18" s="3">
        <v>48000</v>
      </c>
      <c r="AF18" s="3">
        <f>+Tabla145[[#This Row],[Plan Irrestricto Inicial]]</f>
        <v>48000</v>
      </c>
      <c r="AG18" s="3">
        <f>+Tabla145[[#This Row],[En puerto a facturar]]</f>
        <v>0</v>
      </c>
      <c r="AH18" s="3">
        <f>+Tabla145[[#This Row],[Facturación atraso]]</f>
        <v>48000</v>
      </c>
      <c r="AI18" s="3">
        <f>+Tabla145[[#This Row],[Plan Irrestricto]]-Tabla145[[#This Row],[Puerto ]]-Tabla145[[#This Row],[Atraso]]</f>
        <v>0</v>
      </c>
      <c r="AJ18" s="3">
        <f>IF(Tabla145[[#This Row],[Plan Irrestricto]]&gt;0,SUM(Tabla145[[#This Row],[Facturación atraso]],Tabla145[[#This Row],[Facturación Venta nueva]],Tabla145[[#This Row],[Facturación stock]],Tabla145[[#This Row],[En puerto a facturar]]),0)</f>
        <v>72000</v>
      </c>
      <c r="AK18" s="3">
        <f>+Tabla145[[#This Row],[Facturación atraso]]</f>
        <v>48000</v>
      </c>
      <c r="AL18" s="3">
        <f>+Tabla145[[#This Row],[Plan Ajustado]]-Tabla145[[#This Row],[ Atraso ajustado]]-Tabla145[[#This Row],[Puerto ]]</f>
        <v>24000</v>
      </c>
      <c r="AM18" s="6">
        <f>IFERROR(VLOOKUP(Tabla145[[#This Row],[Llave]],[18]!Tabla14[#All],34,FALSE),0)</f>
        <v>0</v>
      </c>
      <c r="AN18" s="6">
        <f>IFERROR(VLOOKUP(Tabla145[[#This Row],[Llave]],[18]!Tabla14[#All],35,FALSE),0)</f>
        <v>0</v>
      </c>
      <c r="AO18" s="3" t="str">
        <f>IF(Tabla145[[#This Row],[Plan Ajustado]]&gt;Tabla145[[#This Row],[En puerto a facturar]],"Si","No")</f>
        <v>Si</v>
      </c>
      <c r="AP18" s="3">
        <f>IF(AND(Tabla145[[#This Row],[Plan Ajustado]]&gt;0,Tabla145[[#This Row],[Plan Ajustado]]&gt;Tabla145[[#This Row],[En puerto a facturar]]),(Tabla145[[#This Row],[Plan Ajustado]]-Tabla145[[#This Row],[En puerto a facturar]]),0)</f>
        <v>72000</v>
      </c>
      <c r="AQ18" s="3">
        <f>IF(Tabla145[[#This Row],[Necesidad]]&gt;=Tabla145[[#This Row],[Stock al día]],Tabla145[[#This Row],[Stock al día]],Tabla145[[#This Row],[Necesidad]])</f>
        <v>72000</v>
      </c>
      <c r="AR18" s="3">
        <f>+Tabla145[[#This Row],[Necesidad]]-Tabla145[[#This Row],[Stock Plan]]</f>
        <v>0</v>
      </c>
      <c r="AS18" s="155">
        <f>IFERROR(VLOOKUP(Tabla145[[#This Row],[Oficina]],[19]Ponderación!$B$14:$E$21,4,FALSE),"")</f>
        <v>44789</v>
      </c>
      <c r="AT1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3.22</v>
      </c>
      <c r="AU18" s="83">
        <f>IFERROR(VLOOKUP(Tabla145[[#This Row],[Llave]],[17]DELAY!$H:$W,16,FALSE),0)</f>
        <v>3.2853593750000023</v>
      </c>
      <c r="AV1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3.2635729166666683</v>
      </c>
      <c r="AW18" s="5">
        <f>Tabla145[[#This Row],[Ajuste precio IC]]*Tabla145[[#This Row],[Plan Ajustado]]</f>
        <v>226320</v>
      </c>
      <c r="AX18" s="30">
        <f>IFERROR(VLOOKUP(Tabla145[[#This Row],[Llave]],'[13]Ultimos precios facturados'!$A:$G,7,FALSE),0)</f>
        <v>2.7010263567894919</v>
      </c>
      <c r="AY1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0.20827140707572858</v>
      </c>
      <c r="AZ18" s="30">
        <f>IFERROR(VLOOKUP(Tabla145[[#This Row],[Llave]],Hoja2!B:K,10,FALSE),0)</f>
        <v>3.1433333333333335</v>
      </c>
      <c r="BA18" s="30">
        <f>IF(Tabla145[[#This Row],[Ajuste precio IC]]="",Tabla145[[#This Row],[Precio ponderado]],Tabla145[[#This Row],[Precio ponderado]])</f>
        <v>3.2635729166666683</v>
      </c>
      <c r="BB18" s="82"/>
      <c r="BC18" s="82" t="str">
        <f>IF(AND(Tabla145[[#This Row],[Atraso a facturar]]&gt;0,Tabla145[[#This Row],[Precio Atraso]]=0),"Revisar","OK")</f>
        <v>OK</v>
      </c>
      <c r="BD18" s="82" t="str">
        <f>IF(AND(Tabla145[[#This Row],[Venta del mes]]&gt;0,Tabla145[[#This Row],[Precio venta nueva]]=0),"Revisar","OK")</f>
        <v>OK</v>
      </c>
      <c r="BE18" s="20">
        <f>IFERROR(VLOOKUP(Tabla145[[#This Row],[Llave]],'[5]Consolidación planes'!$A:$M,9,FALSE),0)</f>
        <v>240000</v>
      </c>
      <c r="BF18" s="20">
        <f>IFERROR(VLOOKUP(Tabla145[[#This Row],[Llave]],'[5]Consolidación planes'!$A:$M,10,FALSE),0)</f>
        <v>147000</v>
      </c>
      <c r="BG18" s="20">
        <f>IFERROR(VLOOKUP(Tabla145[[#This Row],[Llave]],'[5]Consolidación planes'!$A:$M,11,FALSE),0)</f>
        <v>360000</v>
      </c>
      <c r="BH18" s="20">
        <f>IFERROR(VLOOKUP(Tabla145[[#This Row],[Llave]],'[5]Consolidación planes'!$A:$M,12,FALSE),0)</f>
        <v>192000</v>
      </c>
      <c r="BI18" s="20">
        <f>IFERROR(VLOOKUP(Tabla145[[#This Row],[Llave]],'[5]Consolidación planes'!$A:$M,13,FALSE),0)</f>
        <v>72000</v>
      </c>
      <c r="BJ18" s="20">
        <f>IFERROR(VLOOKUP(Tabla145[[#This Row],[Llave]],'[13]Base ultimos planes'!$A:$M,13,FALSE),0)</f>
        <v>72000</v>
      </c>
      <c r="BK18" s="80">
        <f>IFERROR(VLOOKUP(Tabla145[[#This Row],[Llave]],'[13]Base ultimos planes'!$O:$AA,8,FALSE),0)</f>
        <v>684000</v>
      </c>
      <c r="BL18" s="20">
        <f>IFERROR(VLOOKUP(Tabla145[[#This Row],[Llave]],'[13]Base ultimos planes'!$O:$AA,9,FALSE),0)</f>
        <v>364350</v>
      </c>
      <c r="BM18" s="20">
        <f>IFERROR(VLOOKUP(Tabla145[[#This Row],[Llave]],'[13]Base ultimos planes'!$O:$AA,10,FALSE),0)</f>
        <v>949090</v>
      </c>
      <c r="BN18" s="20">
        <f>IFERROR(VLOOKUP(Tabla145[[#This Row],[Llave]],'[13]Base ultimos planes'!$O:$AA,11,FALSE),0)</f>
        <v>495200</v>
      </c>
      <c r="BO18" s="20">
        <f>IFERROR(VLOOKUP(Tabla145[[#This Row],[Llave]],'[13]Base ultimos planes'!$O:$AA,12,FALSE),0)</f>
        <v>201467</v>
      </c>
      <c r="BP18" s="20">
        <f>IFERROR(VLOOKUP(Tabla145[[#This Row],[Llave]],'[13]Base ultimos planes'!$O:$AA,13,FALSE),0)</f>
        <v>204416</v>
      </c>
      <c r="BQ18" s="20"/>
      <c r="BR18" s="20">
        <f>Tabla145[[#This Row],[ RV Producción mes n+1]]*(1-Tabla145[[#This Row],[% Uti. producción]])</f>
        <v>0</v>
      </c>
      <c r="BS18" s="20">
        <f>+Tabla145[[#This Row],[Producción disponible mes n-1]]+Tabla145[[#This Row],[Saldo Volumen disponible]]</f>
        <v>21724.341301304026</v>
      </c>
      <c r="BT18" s="7">
        <f>IFERROR(VLOOKUP(Tabla145[[#This Row],[Llave]],'[21]RV n+2 y n+3'!$B:$F,4,FALSE),0)</f>
        <v>72000</v>
      </c>
      <c r="BU18" s="7">
        <f>+Tabla145[[#This Row],[Asignación mes n+2]]*Tabla145[[#This Row],[% Uti. producción]]</f>
        <v>32917.996568500712</v>
      </c>
      <c r="BV18" s="7">
        <f>+Tabla145[[#This Row],[Ponderación mes n+2]]+Tabla145[[#This Row],[Saldo mes n-1]]</f>
        <v>54642.337869804738</v>
      </c>
      <c r="BW18" s="7">
        <f>+Tabla145[[#This Row],[Asignación mes n+2]]-Tabla145[[#This Row],[Ponderación mes n+2]]</f>
        <v>39082.003431499288</v>
      </c>
      <c r="BX18" s="7">
        <f>IFERROR(VLOOKUP(Tabla145[[#This Row],[Llave]],'[21]RV n+2 y n+3'!$B:$F,5,FALSE),0)</f>
        <v>129563.696</v>
      </c>
      <c r="BY18" s="7">
        <f>+Tabla145[[#This Row],[Asignación mes n+3]]*Tabla145[[#This Row],[% Uti. producción]]</f>
        <v>59235.795837920406</v>
      </c>
      <c r="BZ18" s="3">
        <f>+Tabla145[[#This Row],[Ponderación mes n+3]]+Tabla145[[#This Row],[Saldo mes n+2]]</f>
        <v>98317.799269419687</v>
      </c>
      <c r="CA18" s="3">
        <f>+Tabla145[[#This Row],[Asignación mes n+3]]-Tabla145[[#This Row],[Ponderación mes n+3]]</f>
        <v>70327.90016207959</v>
      </c>
      <c r="CB18" s="3">
        <f>+Tabla145[[#This Row],[Producción disponible mes n-1]]+Tabla145[[#This Row],[Producción disponible]]</f>
        <v>0</v>
      </c>
      <c r="CC18" s="3">
        <f>+Tabla145[[#This Row],[Saldo mes n+4]]-Tabla145[[#This Row],[ RV Producción mes n+1]]</f>
        <v>0</v>
      </c>
    </row>
    <row r="19" spans="1:81" ht="16" x14ac:dyDescent="0.2">
      <c r="A19">
        <v>1</v>
      </c>
      <c r="B19" t="str">
        <f>Tabla145[[#This Row],[Oficina]]&amp;Tabla145[[#This Row],[Material]]</f>
        <v>Agro Sudamerica1020869</v>
      </c>
      <c r="C19" t="s">
        <v>6</v>
      </c>
      <c r="D19" t="s">
        <v>17</v>
      </c>
      <c r="E19">
        <v>1020869</v>
      </c>
      <c r="F19" t="s">
        <v>27</v>
      </c>
      <c r="G19" t="s">
        <v>25</v>
      </c>
      <c r="H19" t="s">
        <v>26</v>
      </c>
      <c r="I19" s="7">
        <f>IFERROR(VLOOKUP(Tabla145[[#This Row],[Llave]],'[7]RV Producción'!$C:$G,5,FALSE),0)</f>
        <v>0</v>
      </c>
      <c r="J19" s="3">
        <f>IFERROR(IF(Tabla145[[#This Row],[Oficina]]=$I$7,VLOOKUP(Tabla145[[#This Row],[Llave]],'[7]Shangai (Tomas)'!$A:$F,6,FALSE),VLOOKUP(Tabla145[[#This Row],[Llave]],'[7]RV plan de ventas'!$A:$E,5,FALSE)),0)</f>
        <v>24000</v>
      </c>
      <c r="K19" s="8">
        <f>IFERROR(VLOOKUP(Tabla145[[#This Row],[Oficina]],[15]Ponderación!$B$2:$E$9,4,FALSE),0)</f>
        <v>0.45719439678473212</v>
      </c>
      <c r="L19" s="7">
        <f>+Tabla145[[#This Row],[ RV Producción mes n+1]]*Tabla145[[#This Row],[% Uti. producción]]</f>
        <v>0</v>
      </c>
      <c r="M19" s="7">
        <f>IFERROR(VLOOKUP(Tabla145[[#This Row],[Material]],[16]Stock!$G:$K,5,FALSE),0)</f>
        <v>73794</v>
      </c>
      <c r="N19" s="7">
        <f>IFERROR(VLOOKUP(Tabla145[[#This Row],[Material]],[16]Produccion!$M:$N,2,FALSE),0)</f>
        <v>0</v>
      </c>
      <c r="O19" s="7">
        <f>IFERROR(VLOOKUP(Tabla145[[#This Row],[Llave]],'[16]TD Conf-AP'!$I:$M,4,FALSE),0)</f>
        <v>0</v>
      </c>
      <c r="P19" s="14">
        <f>SUM(Tabla145[[#This Row],[Producción disponible]],Tabla145[[#This Row],[Stock al día]],(Tabla145[[#This Row],[Por producir mes N]]*0.9))-Tabla145[[#This Row],[Producción por despachar mes N]]</f>
        <v>73794</v>
      </c>
      <c r="Q19" s="7">
        <f>IFERROR(VLOOKUP(Tabla145[[#This Row],[Llave]],[17]DELAY!$A:$D,4,FALSE),0)</f>
        <v>43000</v>
      </c>
      <c r="R19" s="9">
        <v>24000</v>
      </c>
      <c r="S19" s="5">
        <f t="shared" si="5"/>
        <v>43000</v>
      </c>
      <c r="T19" s="76">
        <v>-24000</v>
      </c>
      <c r="U19" s="5">
        <f>+Tabla145[[#This Row],[Atraso a facturar]]+Tabla145[[#This Row],[Ajuste atraso]]</f>
        <v>19000</v>
      </c>
      <c r="V19" s="3">
        <f>+Tabla145[[#This Row],[Total disponible]]-Tabla145[[#This Row],[Facturación atraso]]</f>
        <v>54794</v>
      </c>
      <c r="W19" s="6">
        <f>IFERROR(IF(AND(V19&gt;R19,J19&gt;=R19),ROUNDDOWN((Tabla145[[#This Row],[Producción para venta nueva]])/R19,0)*R19,0),0)</f>
        <v>48000</v>
      </c>
      <c r="X19" s="76">
        <v>0</v>
      </c>
      <c r="Y19" s="6">
        <f>IF(Tabla145[[#This Row],[Venta del mes]]&gt;0,Tabla145[[#This Row],[Venta del mes]]+Tabla145[[#This Row],[Ajuste venta nueva]],0)</f>
        <v>48000</v>
      </c>
      <c r="Z19" s="6">
        <f>+Tabla145[[#This Row],[Producción para venta nueva]]-Tabla145[[#This Row],[Facturación Venta nueva]]</f>
        <v>6794</v>
      </c>
      <c r="AA19" s="6">
        <f>IF(AND(A19=1,Tabla145[[#This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" s="6">
        <v>0</v>
      </c>
      <c r="AC19" s="6">
        <f>IF(Tabla145[[#This Row],[Disponible stock sin venta]]&gt;0,Tabla145[[#This Row],[Disponible stock sin venta]]+Tabla145[[#This Row],[Ajuste stock sin venta]],0)</f>
        <v>0</v>
      </c>
      <c r="AD19" s="3">
        <f>IFERROR(VLOOKUP(Tabla145[[#This Row],[Llave]],'[16]TD Puerto'!$A:$D,4,FALSE),0)</f>
        <v>0</v>
      </c>
      <c r="AE19" s="3">
        <v>0</v>
      </c>
      <c r="AF19" s="3">
        <f>+Tabla145[[#This Row],[Plan Irrestricto Inicial]]</f>
        <v>0</v>
      </c>
      <c r="AG19" s="3">
        <f>+Tabla145[[#This Row],[En puerto a facturar]]</f>
        <v>0</v>
      </c>
      <c r="AH19" s="3">
        <f>+Tabla145[[#This Row],[Facturación atraso]]</f>
        <v>19000</v>
      </c>
      <c r="AI19" s="3">
        <f>+Tabla145[[#This Row],[Plan Irrestricto]]-Tabla145[[#This Row],[Puerto ]]-Tabla145[[#This Row],[Atraso]]</f>
        <v>-19000</v>
      </c>
      <c r="AJ1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9" s="3">
        <f>+Tabla145[[#This Row],[Facturación atraso]]</f>
        <v>19000</v>
      </c>
      <c r="AL19" s="3">
        <f>+Tabla145[[#This Row],[Plan Ajustado]]-Tabla145[[#This Row],[ Atraso ajustado]]-Tabla145[[#This Row],[Puerto ]]</f>
        <v>-19000</v>
      </c>
      <c r="AM19" s="6">
        <f>IFERROR(VLOOKUP(Tabla145[[#This Row],[Llave]],[18]!Tabla14[#All],34,FALSE),0)</f>
        <v>0</v>
      </c>
      <c r="AN19" s="6">
        <f>IFERROR(VLOOKUP(Tabla145[[#This Row],[Llave]],[18]!Tabla14[#All],35,FALSE),0)</f>
        <v>0</v>
      </c>
      <c r="AO19" s="3" t="str">
        <f>IF(Tabla145[[#This Row],[Plan Ajustado]]&gt;Tabla145[[#This Row],[En puerto a facturar]],"Si","No")</f>
        <v>No</v>
      </c>
      <c r="AP1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9" s="3">
        <f>IF(Tabla145[[#This Row],[Necesidad]]&gt;=Tabla145[[#This Row],[Stock al día]],Tabla145[[#This Row],[Stock al día]],Tabla145[[#This Row],[Necesidad]])</f>
        <v>0</v>
      </c>
      <c r="AR19" s="3">
        <f>+Tabla145[[#This Row],[Necesidad]]-Tabla145[[#This Row],[Stock Plan]]</f>
        <v>0</v>
      </c>
      <c r="AS19" s="155">
        <f>IFERROR(VLOOKUP(Tabla145[[#This Row],[Oficina]],[19]Ponderación!$B$14:$E$21,4,FALSE),"")</f>
        <v>44789</v>
      </c>
      <c r="AT1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4.1900000000000004</v>
      </c>
      <c r="AU19" s="83">
        <f>IFERROR(VLOOKUP(Tabla145[[#This Row],[Llave]],[17]DELAY!$H:$W,16,FALSE),0)</f>
        <v>4.8824376166666692</v>
      </c>
      <c r="AV1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9" s="5">
        <f>Tabla145[[#This Row],[Ajuste precio IC]]*Tabla145[[#This Row],[Plan Ajustado]]</f>
        <v>0</v>
      </c>
      <c r="AX19" s="30">
        <f>IFERROR(VLOOKUP(Tabla145[[#This Row],[Llave]],'[13]Ultimos precios facturados'!$A:$G,7,FALSE),0)</f>
        <v>4.8511556546752237</v>
      </c>
      <c r="AY1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9" s="30">
        <f>IFERROR(VLOOKUP(Tabla145[[#This Row],[Llave]],Hoja2!B:K,10,FALSE),0)</f>
        <v>4.2</v>
      </c>
      <c r="BA19" s="30">
        <f>IF(Tabla145[[#This Row],[Ajuste precio IC]]="",Tabla145[[#This Row],[Precio ponderado]],Tabla145[[#This Row],[Precio ponderado]])</f>
        <v>0</v>
      </c>
      <c r="BB19" s="82"/>
      <c r="BC19" s="82" t="str">
        <f>IF(AND(Tabla145[[#This Row],[Atraso a facturar]]&gt;0,Tabla145[[#This Row],[Precio Atraso]]=0),"Revisar","OK")</f>
        <v>OK</v>
      </c>
      <c r="BD19" s="82" t="str">
        <f>IF(AND(Tabla145[[#This Row],[Venta del mes]]&gt;0,Tabla145[[#This Row],[Precio venta nueva]]=0),"Revisar","OK")</f>
        <v>OK</v>
      </c>
      <c r="BE19" s="20">
        <f>IFERROR(VLOOKUP(Tabla145[[#This Row],[Llave]],'[5]Consolidación planes'!$A:$M,9,FALSE),0)</f>
        <v>0</v>
      </c>
      <c r="BF19" s="20">
        <f>IFERROR(VLOOKUP(Tabla145[[#This Row],[Llave]],'[5]Consolidación planes'!$A:$M,10,FALSE),0)</f>
        <v>0</v>
      </c>
      <c r="BG19" s="20">
        <f>IFERROR(VLOOKUP(Tabla145[[#This Row],[Llave]],'[5]Consolidación planes'!$A:$M,11,FALSE),0)</f>
        <v>24000</v>
      </c>
      <c r="BH19" s="20">
        <f>IFERROR(VLOOKUP(Tabla145[[#This Row],[Llave]],'[5]Consolidación planes'!$A:$M,12,FALSE),0)</f>
        <v>0</v>
      </c>
      <c r="BI19" s="20">
        <f>IFERROR(VLOOKUP(Tabla145[[#This Row],[Llave]],'[5]Consolidación planes'!$A:$M,13,FALSE),0)</f>
        <v>0</v>
      </c>
      <c r="BJ19" s="20">
        <f>IFERROR(VLOOKUP(Tabla145[[#This Row],[Llave]],'[13]Base ultimos planes'!$A:$M,13,FALSE),0)</f>
        <v>33000</v>
      </c>
      <c r="BK19" s="80">
        <f>IFERROR(VLOOKUP(Tabla145[[#This Row],[Llave]],'[13]Base ultimos planes'!$O:$AA,8,FALSE),0)</f>
        <v>0</v>
      </c>
      <c r="BL19" s="20">
        <f>IFERROR(VLOOKUP(Tabla145[[#This Row],[Llave]],'[13]Base ultimos planes'!$O:$AA,9,FALSE),0)</f>
        <v>0</v>
      </c>
      <c r="BM19" s="20">
        <f>IFERROR(VLOOKUP(Tabla145[[#This Row],[Llave]],'[13]Base ultimos planes'!$O:$AA,10,FALSE),0)</f>
        <v>120000</v>
      </c>
      <c r="BN19" s="20">
        <f>IFERROR(VLOOKUP(Tabla145[[#This Row],[Llave]],'[13]Base ultimos planes'!$O:$AA,11,FALSE),0)</f>
        <v>0</v>
      </c>
      <c r="BO19" s="20">
        <f>IFERROR(VLOOKUP(Tabla145[[#This Row],[Llave]],'[13]Base ultimos planes'!$O:$AA,12,FALSE),0)</f>
        <v>0</v>
      </c>
      <c r="BP19" s="20">
        <f>IFERROR(VLOOKUP(Tabla145[[#This Row],[Llave]],'[13]Base ultimos planes'!$O:$AA,13,FALSE),0)</f>
        <v>139067</v>
      </c>
      <c r="BQ19" s="20"/>
      <c r="BR19" s="20">
        <f>Tabla145[[#This Row],[ RV Producción mes n+1]]*(1-Tabla145[[#This Row],[% Uti. producción]])</f>
        <v>0</v>
      </c>
      <c r="BS19" s="20">
        <f>+Tabla145[[#This Row],[Producción disponible mes n-1]]+Tabla145[[#This Row],[Saldo Volumen disponible]]</f>
        <v>6794</v>
      </c>
      <c r="BT19" s="7">
        <f>IFERROR(VLOOKUP(Tabla145[[#This Row],[Llave]],'[21]RV n+2 y n+3'!$B:$F,4,FALSE),0)</f>
        <v>34000</v>
      </c>
      <c r="BU19" s="7">
        <f>+Tabla145[[#This Row],[Asignación mes n+2]]*Tabla145[[#This Row],[% Uti. producción]]</f>
        <v>15544.609490680892</v>
      </c>
      <c r="BV19" s="7">
        <f>+Tabla145[[#This Row],[Ponderación mes n+2]]+Tabla145[[#This Row],[Saldo mes n-1]]</f>
        <v>22338.609490680894</v>
      </c>
      <c r="BW19" s="7">
        <f>+Tabla145[[#This Row],[Asignación mes n+2]]-Tabla145[[#This Row],[Ponderación mes n+2]]</f>
        <v>18455.390509319106</v>
      </c>
      <c r="BX19" s="7">
        <f>IFERROR(VLOOKUP(Tabla145[[#This Row],[Llave]],'[21]RV n+2 y n+3'!$B:$F,5,FALSE),0)</f>
        <v>61258.672000000006</v>
      </c>
      <c r="BY19" s="7">
        <f>+Tabla145[[#This Row],[Asignación mes n+3]]*Tabla145[[#This Row],[% Uti. producción]]</f>
        <v>28007.121592873762</v>
      </c>
      <c r="BZ19" s="3">
        <f>+Tabla145[[#This Row],[Ponderación mes n+3]]+Tabla145[[#This Row],[Saldo mes n+2]]</f>
        <v>46462.512102192864</v>
      </c>
      <c r="CA19" s="3">
        <f>+Tabla145[[#This Row],[Asignación mes n+3]]-Tabla145[[#This Row],[Ponderación mes n+3]]</f>
        <v>33251.55040712624</v>
      </c>
      <c r="CB19" s="3">
        <f>+Tabla145[[#This Row],[Producción disponible mes n-1]]+Tabla145[[#This Row],[Producción disponible]]</f>
        <v>0</v>
      </c>
      <c r="CC19" s="3">
        <f>+Tabla145[[#This Row],[Saldo mes n+4]]-Tabla145[[#This Row],[ RV Producción mes n+1]]</f>
        <v>0</v>
      </c>
    </row>
    <row r="20" spans="1:81" ht="16" x14ac:dyDescent="0.2">
      <c r="A20">
        <v>1</v>
      </c>
      <c r="B20" t="str">
        <f>Tabla145[[#This Row],[Oficina]]&amp;Tabla145[[#This Row],[Material]]</f>
        <v>Agro Sudamerica1020886</v>
      </c>
      <c r="C20" t="s">
        <v>6</v>
      </c>
      <c r="D20" t="s">
        <v>17</v>
      </c>
      <c r="E20">
        <v>1020886</v>
      </c>
      <c r="F20" t="s">
        <v>282</v>
      </c>
      <c r="G20" t="s">
        <v>56</v>
      </c>
      <c r="H20" t="s">
        <v>57</v>
      </c>
      <c r="I20" s="7">
        <f>IFERROR(VLOOKUP(Tabla145[[#This Row],[Llave]],'[7]RV Producción'!$C:$G,5,FALSE),0)</f>
        <v>3829</v>
      </c>
      <c r="J20" s="3">
        <f>IFERROR(IF(Tabla145[[#This Row],[Oficina]]=$I$7,VLOOKUP(Tabla145[[#This Row],[Llave]],'[7]Shangai (Tomas)'!$A:$F,6,FALSE),VLOOKUP(Tabla145[[#This Row],[Llave]],'[7]RV plan de ventas'!$A:$E,5,FALSE)),0)</f>
        <v>0</v>
      </c>
      <c r="K20" s="8">
        <f>IFERROR(VLOOKUP(Tabla145[[#This Row],[Oficina]],[15]Ponderación!$B$2:$E$9,4,FALSE),0)</f>
        <v>0.45719439678473212</v>
      </c>
      <c r="L20" s="7">
        <f>+Tabla145[[#This Row],[ RV Producción mes n+1]]*Tabla145[[#This Row],[% Uti. producción]]</f>
        <v>1750.5973452887392</v>
      </c>
      <c r="M20" s="7">
        <f>IFERROR(VLOOKUP(Tabla145[[#This Row],[Material]],[16]Stock!$G:$K,5,FALSE),0)</f>
        <v>18727</v>
      </c>
      <c r="N20" s="7">
        <f>IFERROR(VLOOKUP(Tabla145[[#This Row],[Material]],[16]Produccion!$M:$N,2,FALSE),0)</f>
        <v>0</v>
      </c>
      <c r="O20" s="7">
        <f>IFERROR(VLOOKUP(Tabla145[[#This Row],[Llave]],'[16]TD Conf-AP'!$I:$M,4,FALSE),0)</f>
        <v>0</v>
      </c>
      <c r="P20" s="14">
        <f>SUM(Tabla145[[#This Row],[Producción disponible]],Tabla145[[#This Row],[Stock al día]],(Tabla145[[#This Row],[Por producir mes N]]*0.9))-Tabla145[[#This Row],[Producción por despachar mes N]]</f>
        <v>20477.597345288741</v>
      </c>
      <c r="Q20" s="7">
        <f>IFERROR(VLOOKUP(Tabla145[[#This Row],[Llave]],[17]DELAY!$A:$D,4,FALSE),0)</f>
        <v>0</v>
      </c>
      <c r="R20" s="9">
        <v>24000</v>
      </c>
      <c r="S20" s="5">
        <f t="shared" si="5"/>
        <v>0</v>
      </c>
      <c r="T20" s="76">
        <v>0</v>
      </c>
      <c r="U20" s="5">
        <f>+Tabla145[[#This Row],[Atraso a facturar]]+Tabla145[[#This Row],[Ajuste atraso]]</f>
        <v>0</v>
      </c>
      <c r="V20" s="3">
        <f>+Tabla145[[#This Row],[Total disponible]]-Tabla145[[#This Row],[Facturación atraso]]</f>
        <v>20477.597345288741</v>
      </c>
      <c r="W20" s="6">
        <f>IFERROR(IF(AND(V20&gt;R20,J20&gt;=R20),ROUNDDOWN((Tabla145[[#This Row],[Producción para venta nueva]])/R20,0)*R20,0),0)</f>
        <v>0</v>
      </c>
      <c r="X20" s="76">
        <v>0</v>
      </c>
      <c r="Y20" s="6">
        <f>IF(Tabla145[[#This Row],[Venta del mes]]&gt;0,Tabla145[[#This Row],[Venta del mes]]+Tabla145[[#This Row],[Ajuste venta nueva]],0)</f>
        <v>0</v>
      </c>
      <c r="Z20" s="6">
        <f>+Tabla145[[#This Row],[Producción para venta nueva]]-Tabla145[[#This Row],[Facturación Venta nueva]]</f>
        <v>20477.597345288741</v>
      </c>
      <c r="AA20" s="6">
        <f>IF(AND(A20=1,Tabla145[[#This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0" s="6">
        <v>0</v>
      </c>
      <c r="AC20" s="6">
        <f>IF(Tabla145[[#This Row],[Disponible stock sin venta]]&gt;0,Tabla145[[#This Row],[Disponible stock sin venta]]+Tabla145[[#This Row],[Ajuste stock sin venta]],0)</f>
        <v>0</v>
      </c>
      <c r="AD20" s="3">
        <f>IFERROR(VLOOKUP(Tabla145[[#This Row],[Llave]],'[16]TD Puerto'!$A:$D,4,FALSE),0)</f>
        <v>0</v>
      </c>
      <c r="AE20" s="3">
        <v>0</v>
      </c>
      <c r="AF20" s="3">
        <f>+Tabla145[[#This Row],[Plan Irrestricto Inicial]]</f>
        <v>0</v>
      </c>
      <c r="AG20" s="3">
        <f>+Tabla145[[#This Row],[En puerto a facturar]]</f>
        <v>0</v>
      </c>
      <c r="AH20" s="3">
        <f>+Tabla145[[#This Row],[Facturación atraso]]</f>
        <v>0</v>
      </c>
      <c r="AI20" s="3">
        <f>+Tabla145[[#This Row],[Plan Irrestricto]]-Tabla145[[#This Row],[Puerto ]]-Tabla145[[#This Row],[Atraso]]</f>
        <v>0</v>
      </c>
      <c r="AJ2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" s="3">
        <f>+Tabla145[[#This Row],[Facturación atraso]]</f>
        <v>0</v>
      </c>
      <c r="AL20" s="3">
        <f>+Tabla145[[#This Row],[Plan Ajustado]]-Tabla145[[#This Row],[ Atraso ajustado]]-Tabla145[[#This Row],[Puerto ]]</f>
        <v>0</v>
      </c>
      <c r="AM20" s="6">
        <f>IFERROR(VLOOKUP(Tabla145[[#This Row],[Llave]],[18]!Tabla14[#All],34,FALSE),0)</f>
        <v>0</v>
      </c>
      <c r="AN20" s="6">
        <f>IFERROR(VLOOKUP(Tabla145[[#This Row],[Llave]],[18]!Tabla14[#All],35,FALSE),0)</f>
        <v>0</v>
      </c>
      <c r="AO20" s="3" t="str">
        <f>IF(Tabla145[[#This Row],[Plan Ajustado]]&gt;Tabla145[[#This Row],[En puerto a facturar]],"Si","No")</f>
        <v>No</v>
      </c>
      <c r="AP2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" s="3">
        <f>IF(Tabla145[[#This Row],[Necesidad]]&gt;=Tabla145[[#This Row],[Stock al día]],Tabla145[[#This Row],[Stock al día]],Tabla145[[#This Row],[Necesidad]])</f>
        <v>0</v>
      </c>
      <c r="AR20" s="3">
        <f>+Tabla145[[#This Row],[Necesidad]]-Tabla145[[#This Row],[Stock Plan]]</f>
        <v>0</v>
      </c>
      <c r="AS20" s="155">
        <f>IFERROR(VLOOKUP(Tabla145[[#This Row],[Oficina]],[19]Ponderación!$B$14:$E$21,4,FALSE),"")</f>
        <v>44789</v>
      </c>
      <c r="AT2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0" s="83">
        <f>IFERROR(VLOOKUP(Tabla145[[#This Row],[Llave]],[17]DELAY!$H:$W,16,FALSE),0)</f>
        <v>0</v>
      </c>
      <c r="AV2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" s="5">
        <f>Tabla145[[#This Row],[Ajuste precio IC]]*Tabla145[[#This Row],[Plan Ajustado]]</f>
        <v>0</v>
      </c>
      <c r="AX20" s="30">
        <f>IFERROR(VLOOKUP(Tabla145[[#This Row],[Llave]],'[13]Ultimos precios facturados'!$A:$G,7,FALSE),0)</f>
        <v>0</v>
      </c>
      <c r="AY2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" s="30">
        <f>IFERROR(VLOOKUP(Tabla145[[#This Row],[Llave]],Hoja2!B:K,10,FALSE),0)</f>
        <v>0</v>
      </c>
      <c r="BA20" s="30">
        <f>IF(Tabla145[[#This Row],[Ajuste precio IC]]="",Tabla145[[#This Row],[Precio ponderado]],Tabla145[[#This Row],[Precio ponderado]])</f>
        <v>0</v>
      </c>
      <c r="BB20" s="82"/>
      <c r="BC20" s="82" t="str">
        <f>IF(AND(Tabla145[[#This Row],[Atraso a facturar]]&gt;0,Tabla145[[#This Row],[Precio Atraso]]=0),"Revisar","OK")</f>
        <v>OK</v>
      </c>
      <c r="BD20" s="82" t="str">
        <f>IF(AND(Tabla145[[#This Row],[Venta del mes]]&gt;0,Tabla145[[#This Row],[Precio venta nueva]]=0),"Revisar","OK")</f>
        <v>OK</v>
      </c>
      <c r="BE20" s="20">
        <f>IFERROR(VLOOKUP(Tabla145[[#This Row],[Llave]],'[5]Consolidación planes'!$A:$M,9,FALSE),0)</f>
        <v>0</v>
      </c>
      <c r="BF20" s="20">
        <f>IFERROR(VLOOKUP(Tabla145[[#This Row],[Llave]],'[5]Consolidación planes'!$A:$M,10,FALSE),0)</f>
        <v>10000</v>
      </c>
      <c r="BG20" s="20">
        <f>IFERROR(VLOOKUP(Tabla145[[#This Row],[Llave]],'[5]Consolidación planes'!$A:$M,11,FALSE),0)</f>
        <v>0</v>
      </c>
      <c r="BH20" s="20">
        <f>IFERROR(VLOOKUP(Tabla145[[#This Row],[Llave]],'[5]Consolidación planes'!$A:$M,12,FALSE),0)</f>
        <v>0</v>
      </c>
      <c r="BI20" s="20">
        <f>IFERROR(VLOOKUP(Tabla145[[#This Row],[Llave]],'[5]Consolidación planes'!$A:$M,13,FALSE),0)</f>
        <v>0</v>
      </c>
      <c r="BJ20" s="20">
        <f>IFERROR(VLOOKUP(Tabla145[[#This Row],[Llave]],'[13]Base ultimos planes'!$A:$M,13,FALSE),0)</f>
        <v>0</v>
      </c>
      <c r="BK20" s="80">
        <f>IFERROR(VLOOKUP(Tabla145[[#This Row],[Llave]],'[13]Base ultimos planes'!$O:$AA,8,FALSE),0)</f>
        <v>0</v>
      </c>
      <c r="BL20" s="20">
        <f>IFERROR(VLOOKUP(Tabla145[[#This Row],[Llave]],'[13]Base ultimos planes'!$O:$AA,9,FALSE),0)</f>
        <v>51667</v>
      </c>
      <c r="BM20" s="20">
        <f>IFERROR(VLOOKUP(Tabla145[[#This Row],[Llave]],'[13]Base ultimos planes'!$O:$AA,10,FALSE),0)</f>
        <v>0</v>
      </c>
      <c r="BN20" s="20">
        <f>IFERROR(VLOOKUP(Tabla145[[#This Row],[Llave]],'[13]Base ultimos planes'!$O:$AA,11,FALSE),0)</f>
        <v>0</v>
      </c>
      <c r="BO20" s="20">
        <f>IFERROR(VLOOKUP(Tabla145[[#This Row],[Llave]],'[13]Base ultimos planes'!$O:$AA,12,FALSE),0)</f>
        <v>0</v>
      </c>
      <c r="BP20" s="20">
        <f>IFERROR(VLOOKUP(Tabla145[[#This Row],[Llave]],'[13]Base ultimos planes'!$O:$AA,13,FALSE),0)</f>
        <v>0</v>
      </c>
      <c r="BQ20" s="20"/>
      <c r="BR20" s="20">
        <f>Tabla145[[#This Row],[ RV Producción mes n+1]]*(1-Tabla145[[#This Row],[% Uti. producción]])</f>
        <v>2078.4026547112608</v>
      </c>
      <c r="BS20" s="20">
        <f>+Tabla145[[#This Row],[Producción disponible mes n-1]]+Tabla145[[#This Row],[Saldo Volumen disponible]]</f>
        <v>22556</v>
      </c>
      <c r="BT20" s="7">
        <f>IFERROR(VLOOKUP(Tabla145[[#This Row],[Llave]],'[21]RV n+2 y n+3'!$B:$F,4,FALSE),0)</f>
        <v>11671.242</v>
      </c>
      <c r="BU20" s="7">
        <f>+Tabla145[[#This Row],[Asignación mes n+2]]*Tabla145[[#This Row],[% Uti. producción]]</f>
        <v>5336.0264459186301</v>
      </c>
      <c r="BV20" s="7">
        <f>+Tabla145[[#This Row],[Ponderación mes n+2]]+Tabla145[[#This Row],[Saldo mes n-1]]</f>
        <v>27892.026445918629</v>
      </c>
      <c r="BW20" s="7">
        <f>+Tabla145[[#This Row],[Asignación mes n+2]]-Tabla145[[#This Row],[Ponderación mes n+2]]</f>
        <v>6335.2155540813701</v>
      </c>
      <c r="BX20" s="7">
        <f>IFERROR(VLOOKUP(Tabla145[[#This Row],[Llave]],'[21]RV n+2 y n+3'!$B:$F,5,FALSE),0)</f>
        <v>0</v>
      </c>
      <c r="BY20" s="7">
        <f>+Tabla145[[#This Row],[Asignación mes n+3]]*Tabla145[[#This Row],[% Uti. producción]]</f>
        <v>0</v>
      </c>
      <c r="BZ20" s="3">
        <f>+Tabla145[[#This Row],[Ponderación mes n+3]]+Tabla145[[#This Row],[Saldo mes n+2]]</f>
        <v>6335.2155540813701</v>
      </c>
      <c r="CA20" s="3">
        <f>+Tabla145[[#This Row],[Asignación mes n+3]]-Tabla145[[#This Row],[Ponderación mes n+3]]</f>
        <v>0</v>
      </c>
      <c r="CB20" s="3">
        <f>+Tabla145[[#This Row],[Producción disponible mes n-1]]+Tabla145[[#This Row],[Producción disponible]]</f>
        <v>3829</v>
      </c>
      <c r="CC20" s="3">
        <f>+Tabla145[[#This Row],[Saldo mes n+4]]-Tabla145[[#This Row],[ RV Producción mes n+1]]</f>
        <v>0</v>
      </c>
    </row>
    <row r="21" spans="1:81" ht="16" x14ac:dyDescent="0.2">
      <c r="A21">
        <v>1</v>
      </c>
      <c r="B21" t="str">
        <f>Tabla145[[#This Row],[Oficina]]&amp;Tabla145[[#This Row],[Material]]</f>
        <v>Agro Sudamerica1020915</v>
      </c>
      <c r="C21" t="s">
        <v>6</v>
      </c>
      <c r="D21" t="s">
        <v>17</v>
      </c>
      <c r="E21">
        <v>1020915</v>
      </c>
      <c r="F21" t="s">
        <v>61</v>
      </c>
      <c r="G21" t="s">
        <v>59</v>
      </c>
      <c r="H21" t="s">
        <v>60</v>
      </c>
      <c r="I21" s="7">
        <f>IFERROR(VLOOKUP(Tabla145[[#This Row],[Llave]],'[7]RV Producción'!$C:$G,5,FALSE),0)</f>
        <v>0</v>
      </c>
      <c r="J21" s="3">
        <f>IFERROR(IF(Tabla145[[#This Row],[Oficina]]=$I$7,VLOOKUP(Tabla145[[#This Row],[Llave]],'[7]Shangai (Tomas)'!$A:$F,6,FALSE),VLOOKUP(Tabla145[[#This Row],[Llave]],'[7]RV plan de ventas'!$A:$E,5,FALSE)),0)</f>
        <v>28652</v>
      </c>
      <c r="K21" s="8">
        <f>IFERROR(VLOOKUP(Tabla145[[#This Row],[Oficina]],[15]Ponderación!$B$2:$E$9,4,FALSE),0)</f>
        <v>0.45719439678473212</v>
      </c>
      <c r="L21" s="7">
        <f>+Tabla145[[#This Row],[ RV Producción mes n+1]]*Tabla145[[#This Row],[% Uti. producción]]</f>
        <v>0</v>
      </c>
      <c r="M21" s="7">
        <f>IFERROR(VLOOKUP(Tabla145[[#This Row],[Material]],[16]Stock!$G:$K,5,FALSE),0)</f>
        <v>59049</v>
      </c>
      <c r="N21" s="7">
        <f>IFERROR(VLOOKUP(Tabla145[[#This Row],[Material]],[16]Produccion!$M:$N,2,FALSE),0)</f>
        <v>0</v>
      </c>
      <c r="O21" s="7">
        <f>IFERROR(VLOOKUP(Tabla145[[#This Row],[Llave]],'[16]TD Conf-AP'!$I:$M,4,FALSE),0)</f>
        <v>0</v>
      </c>
      <c r="P21" s="14">
        <f>SUM(Tabla145[[#This Row],[Producción disponible]],Tabla145[[#This Row],[Stock al día]],(Tabla145[[#This Row],[Por producir mes N]]*0.9))-Tabla145[[#This Row],[Producción por despachar mes N]]</f>
        <v>59049</v>
      </c>
      <c r="Q21" s="7">
        <f>IFERROR(VLOOKUP(Tabla145[[#This Row],[Llave]],[17]DELAY!$A:$D,4,FALSE),0)</f>
        <v>28000</v>
      </c>
      <c r="R21" s="9">
        <v>24000</v>
      </c>
      <c r="S21" s="5">
        <f t="shared" si="5"/>
        <v>28000</v>
      </c>
      <c r="T21" s="76">
        <v>0</v>
      </c>
      <c r="U21" s="5">
        <f>+Tabla145[[#This Row],[Atraso a facturar]]+Tabla145[[#This Row],[Ajuste atraso]]</f>
        <v>28000</v>
      </c>
      <c r="V21" s="3">
        <f>+Tabla145[[#This Row],[Total disponible]]-Tabla145[[#This Row],[Facturación atraso]]</f>
        <v>31049</v>
      </c>
      <c r="W21" s="6">
        <f>IFERROR(IF(AND(V21&gt;R21,J21&gt;=R21),ROUNDDOWN((Tabla145[[#This Row],[Producción para venta nueva]])/R21,0)*R21,0),0)</f>
        <v>24000</v>
      </c>
      <c r="X21" s="76">
        <v>0</v>
      </c>
      <c r="Y21" s="6">
        <f>IF(Tabla145[[#This Row],[Venta del mes]]&gt;0,Tabla145[[#This Row],[Venta del mes]]+Tabla145[[#This Row],[Ajuste venta nueva]],0)</f>
        <v>24000</v>
      </c>
      <c r="Z21" s="6">
        <f>+Tabla145[[#This Row],[Producción para venta nueva]]-Tabla145[[#This Row],[Facturación Venta nueva]]</f>
        <v>7049</v>
      </c>
      <c r="AA21" s="6">
        <f>IF(AND(A21=1,Tabla145[[#This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" s="6">
        <v>0</v>
      </c>
      <c r="AC21" s="6">
        <f>IF(Tabla145[[#This Row],[Disponible stock sin venta]]&gt;0,Tabla145[[#This Row],[Disponible stock sin venta]]+Tabla145[[#This Row],[Ajuste stock sin venta]],0)</f>
        <v>0</v>
      </c>
      <c r="AD21" s="3">
        <f>IFERROR(VLOOKUP(Tabla145[[#This Row],[Llave]],'[16]TD Puerto'!$A:$D,4,FALSE),0)</f>
        <v>0</v>
      </c>
      <c r="AE21" s="3">
        <v>0</v>
      </c>
      <c r="AF21" s="3">
        <f>+Tabla145[[#This Row],[Plan Irrestricto Inicial]]</f>
        <v>0</v>
      </c>
      <c r="AG21" s="3">
        <f>+Tabla145[[#This Row],[En puerto a facturar]]</f>
        <v>0</v>
      </c>
      <c r="AH21" s="3">
        <f>+Tabla145[[#This Row],[Facturación atraso]]</f>
        <v>28000</v>
      </c>
      <c r="AI21" s="3">
        <f>+Tabla145[[#This Row],[Plan Irrestricto]]-Tabla145[[#This Row],[Puerto ]]-Tabla145[[#This Row],[Atraso]]</f>
        <v>-28000</v>
      </c>
      <c r="AJ2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1" s="3">
        <f>+Tabla145[[#This Row],[Facturación atraso]]</f>
        <v>28000</v>
      </c>
      <c r="AL21" s="3">
        <f>+Tabla145[[#This Row],[Plan Ajustado]]-Tabla145[[#This Row],[ Atraso ajustado]]-Tabla145[[#This Row],[Puerto ]]</f>
        <v>-28000</v>
      </c>
      <c r="AM21" s="6">
        <f>IFERROR(VLOOKUP(Tabla145[[#This Row],[Llave]],[18]!Tabla14[#All],34,FALSE),0)</f>
        <v>0</v>
      </c>
      <c r="AN21" s="6">
        <f>IFERROR(VLOOKUP(Tabla145[[#This Row],[Llave]],[18]!Tabla14[#All],35,FALSE),0)</f>
        <v>0</v>
      </c>
      <c r="AO21" s="3" t="str">
        <f>IF(Tabla145[[#This Row],[Plan Ajustado]]&gt;Tabla145[[#This Row],[En puerto a facturar]],"Si","No")</f>
        <v>No</v>
      </c>
      <c r="AP2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1" s="3">
        <f>IF(Tabla145[[#This Row],[Necesidad]]&gt;=Tabla145[[#This Row],[Stock al día]],Tabla145[[#This Row],[Stock al día]],Tabla145[[#This Row],[Necesidad]])</f>
        <v>0</v>
      </c>
      <c r="AR21" s="3">
        <f>+Tabla145[[#This Row],[Necesidad]]-Tabla145[[#This Row],[Stock Plan]]</f>
        <v>0</v>
      </c>
      <c r="AS21" s="155">
        <f>IFERROR(VLOOKUP(Tabla145[[#This Row],[Oficina]],[19]Ponderación!$B$14:$E$21,4,FALSE),"")</f>
        <v>44789</v>
      </c>
      <c r="AT2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1.98670249895295</v>
      </c>
      <c r="AU21" s="83">
        <f>IFERROR(VLOOKUP(Tabla145[[#This Row],[Llave]],[17]DELAY!$H:$W,16,FALSE),0)</f>
        <v>2.3356785714285713</v>
      </c>
      <c r="AV2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1" s="5">
        <f>Tabla145[[#This Row],[Ajuste precio IC]]*Tabla145[[#This Row],[Plan Ajustado]]</f>
        <v>0</v>
      </c>
      <c r="AX21" s="30">
        <f>IFERROR(VLOOKUP(Tabla145[[#This Row],[Llave]],'[13]Ultimos precios facturados'!$A:$G,7,FALSE),0)</f>
        <v>2.2697888366895929</v>
      </c>
      <c r="AY2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1" s="30">
        <f>IFERROR(VLOOKUP(Tabla145[[#This Row],[Llave]],Hoja2!B:K,10,FALSE),0)</f>
        <v>1.9</v>
      </c>
      <c r="BA21" s="30">
        <f>IF(Tabla145[[#This Row],[Ajuste precio IC]]="",Tabla145[[#This Row],[Precio ponderado]],Tabla145[[#This Row],[Precio ponderado]])</f>
        <v>0</v>
      </c>
      <c r="BB21" s="82"/>
      <c r="BC21" s="82" t="str">
        <f>IF(AND(Tabla145[[#This Row],[Atraso a facturar]]&gt;0,Tabla145[[#This Row],[Precio Atraso]]=0),"Revisar","OK")</f>
        <v>OK</v>
      </c>
      <c r="BD21" s="82" t="str">
        <f>IF(AND(Tabla145[[#This Row],[Venta del mes]]&gt;0,Tabla145[[#This Row],[Precio venta nueva]]=0),"Revisar","OK")</f>
        <v>OK</v>
      </c>
      <c r="BE21" s="20">
        <f>IFERROR(VLOOKUP(Tabla145[[#This Row],[Llave]],'[5]Consolidación planes'!$A:$M,9,FALSE),0)</f>
        <v>10000</v>
      </c>
      <c r="BF21" s="20">
        <f>IFERROR(VLOOKUP(Tabla145[[#This Row],[Llave]],'[5]Consolidación planes'!$A:$M,10,FALSE),0)</f>
        <v>2000</v>
      </c>
      <c r="BG21" s="20">
        <f>IFERROR(VLOOKUP(Tabla145[[#This Row],[Llave]],'[5]Consolidación planes'!$A:$M,11,FALSE),0)</f>
        <v>0</v>
      </c>
      <c r="BH21" s="20">
        <f>IFERROR(VLOOKUP(Tabla145[[#This Row],[Llave]],'[5]Consolidación planes'!$A:$M,12,FALSE),0)</f>
        <v>0</v>
      </c>
      <c r="BI21" s="20">
        <f>IFERROR(VLOOKUP(Tabla145[[#This Row],[Llave]],'[5]Consolidación planes'!$A:$M,13,FALSE),0)</f>
        <v>0</v>
      </c>
      <c r="BJ21" s="20">
        <f>IFERROR(VLOOKUP(Tabla145[[#This Row],[Llave]],'[13]Base ultimos planes'!$A:$M,13,FALSE),0)</f>
        <v>0</v>
      </c>
      <c r="BK21" s="80">
        <f>IFERROR(VLOOKUP(Tabla145[[#This Row],[Llave]],'[13]Base ultimos planes'!$O:$AA,8,FALSE),0)</f>
        <v>17000</v>
      </c>
      <c r="BL21" s="20">
        <f>IFERROR(VLOOKUP(Tabla145[[#This Row],[Llave]],'[13]Base ultimos planes'!$O:$AA,9,FALSE),0)</f>
        <v>4300</v>
      </c>
      <c r="BM21" s="20">
        <f>IFERROR(VLOOKUP(Tabla145[[#This Row],[Llave]],'[13]Base ultimos planes'!$O:$AA,10,FALSE),0)</f>
        <v>0</v>
      </c>
      <c r="BN21" s="20">
        <f>IFERROR(VLOOKUP(Tabla145[[#This Row],[Llave]],'[13]Base ultimos planes'!$O:$AA,11,FALSE),0)</f>
        <v>0</v>
      </c>
      <c r="BO21" s="20">
        <f>IFERROR(VLOOKUP(Tabla145[[#This Row],[Llave]],'[13]Base ultimos planes'!$O:$AA,12,FALSE),0)</f>
        <v>0</v>
      </c>
      <c r="BP21" s="20">
        <f>IFERROR(VLOOKUP(Tabla145[[#This Row],[Llave]],'[13]Base ultimos planes'!$O:$AA,13,FALSE),0)</f>
        <v>0</v>
      </c>
      <c r="BQ21" s="20"/>
      <c r="BR21" s="20">
        <f>Tabla145[[#This Row],[ RV Producción mes n+1]]*(1-Tabla145[[#This Row],[% Uti. producción]])</f>
        <v>0</v>
      </c>
      <c r="BS21" s="20">
        <f>+Tabla145[[#This Row],[Producción disponible mes n-1]]+Tabla145[[#This Row],[Saldo Volumen disponible]]</f>
        <v>7049</v>
      </c>
      <c r="BT21" s="7">
        <f>IFERROR(VLOOKUP(Tabla145[[#This Row],[Llave]],'[21]RV n+2 y n+3'!$B:$F,4,FALSE),0)</f>
        <v>0</v>
      </c>
      <c r="BU21" s="7">
        <f>+Tabla145[[#This Row],[Asignación mes n+2]]*Tabla145[[#This Row],[% Uti. producción]]</f>
        <v>0</v>
      </c>
      <c r="BV21" s="7">
        <f>+Tabla145[[#This Row],[Ponderación mes n+2]]+Tabla145[[#This Row],[Saldo mes n-1]]</f>
        <v>7049</v>
      </c>
      <c r="BW21" s="7">
        <f>+Tabla145[[#This Row],[Asignación mes n+2]]-Tabla145[[#This Row],[Ponderación mes n+2]]</f>
        <v>0</v>
      </c>
      <c r="BX21" s="7">
        <f>IFERROR(VLOOKUP(Tabla145[[#This Row],[Llave]],'[21]RV n+2 y n+3'!$B:$F,5,FALSE),0)</f>
        <v>0</v>
      </c>
      <c r="BY21" s="7">
        <f>+Tabla145[[#This Row],[Asignación mes n+3]]*Tabla145[[#This Row],[% Uti. producción]]</f>
        <v>0</v>
      </c>
      <c r="BZ21" s="3">
        <f>+Tabla145[[#This Row],[Ponderación mes n+3]]+Tabla145[[#This Row],[Saldo mes n+2]]</f>
        <v>0</v>
      </c>
      <c r="CA21" s="3">
        <f>+Tabla145[[#This Row],[Asignación mes n+3]]-Tabla145[[#This Row],[Ponderación mes n+3]]</f>
        <v>0</v>
      </c>
      <c r="CB21" s="3">
        <f>+Tabla145[[#This Row],[Producción disponible mes n-1]]+Tabla145[[#This Row],[Producción disponible]]</f>
        <v>0</v>
      </c>
      <c r="CC21" s="3">
        <f>+Tabla145[[#This Row],[Saldo mes n+4]]-Tabla145[[#This Row],[ RV Producción mes n+1]]</f>
        <v>0</v>
      </c>
    </row>
    <row r="22" spans="1:81" ht="16" x14ac:dyDescent="0.2">
      <c r="A22">
        <v>1</v>
      </c>
      <c r="B22" t="str">
        <f>Tabla145[[#This Row],[Oficina]]&amp;Tabla145[[#This Row],[Material]]</f>
        <v>Agro Sudamerica1020925</v>
      </c>
      <c r="C22" t="s">
        <v>6</v>
      </c>
      <c r="D22" t="s">
        <v>17</v>
      </c>
      <c r="E22">
        <v>1020925</v>
      </c>
      <c r="F22" t="s">
        <v>13</v>
      </c>
      <c r="G22" t="s">
        <v>11</v>
      </c>
      <c r="H22" t="s">
        <v>12</v>
      </c>
      <c r="I22" s="7">
        <f>IFERROR(VLOOKUP(Tabla145[[#This Row],[Llave]],'[7]RV Producción'!$C:$G,5,FALSE),0)</f>
        <v>11897</v>
      </c>
      <c r="J22" s="3">
        <f>IFERROR(IF(Tabla145[[#This Row],[Oficina]]=$I$7,VLOOKUP(Tabla145[[#This Row],[Llave]],'[7]Shangai (Tomas)'!$A:$F,6,FALSE),VLOOKUP(Tabla145[[#This Row],[Llave]],'[7]RV plan de ventas'!$A:$E,5,FALSE)),0)</f>
        <v>0</v>
      </c>
      <c r="K22" s="8">
        <f>IFERROR(VLOOKUP(Tabla145[[#This Row],[Oficina]],[15]Ponderación!$B$2:$E$9,4,FALSE),0)</f>
        <v>0.45719439678473212</v>
      </c>
      <c r="L22" s="7">
        <f>+Tabla145[[#This Row],[ RV Producción mes n+1]]*Tabla145[[#This Row],[% Uti. producción]]</f>
        <v>5439.2417385479575</v>
      </c>
      <c r="M22" s="7">
        <f>IFERROR(VLOOKUP(Tabla145[[#This Row],[Material]],[16]Stock!$G:$K,5,FALSE),0)</f>
        <v>140777</v>
      </c>
      <c r="N22" s="7">
        <f>IFERROR(VLOOKUP(Tabla145[[#This Row],[Material]],[16]Produccion!$M:$N,2,FALSE),0)</f>
        <v>3152</v>
      </c>
      <c r="O22" s="7">
        <f>IFERROR(VLOOKUP(Tabla145[[#This Row],[Llave]],'[16]TD Conf-AP'!$I:$M,4,FALSE),0)</f>
        <v>0</v>
      </c>
      <c r="P22" s="14">
        <f>SUM(Tabla145[[#This Row],[Producción disponible]],Tabla145[[#This Row],[Stock al día]],(Tabla145[[#This Row],[Por producir mes N]]*0.9))-Tabla145[[#This Row],[Producción por despachar mes N]]</f>
        <v>149053.04173854794</v>
      </c>
      <c r="Q22" s="7">
        <f>IFERROR(VLOOKUP(Tabla145[[#This Row],[Llave]],[17]DELAY!$A:$D,4,FALSE),0)</f>
        <v>156000</v>
      </c>
      <c r="R22" s="9">
        <v>24000</v>
      </c>
      <c r="S22" s="5">
        <f t="shared" si="5"/>
        <v>144000</v>
      </c>
      <c r="T22" s="76">
        <v>-48000</v>
      </c>
      <c r="U22" s="5">
        <f>+Tabla145[[#This Row],[Atraso a facturar]]+Tabla145[[#This Row],[Ajuste atraso]]</f>
        <v>96000</v>
      </c>
      <c r="V22" s="3">
        <f>+Tabla145[[#This Row],[Total disponible]]-Tabla145[[#This Row],[Facturación atraso]]</f>
        <v>53053.041738547938</v>
      </c>
      <c r="W22" s="6">
        <f>IFERROR(IF(AND(V22&gt;R22,J22&gt;=R22),ROUNDDOWN((Tabla145[[#This Row],[Producción para venta nueva]])/R22,0)*R22,0),0)</f>
        <v>0</v>
      </c>
      <c r="X22" s="76">
        <v>0</v>
      </c>
      <c r="Y22" s="6">
        <f>IF(Tabla145[[#This Row],[Venta del mes]]&gt;0,Tabla145[[#This Row],[Venta del mes]]+Tabla145[[#This Row],[Ajuste venta nueva]],0)</f>
        <v>0</v>
      </c>
      <c r="Z22" s="6">
        <f>+Tabla145[[#This Row],[Producción para venta nueva]]-Tabla145[[#This Row],[Facturación Venta nueva]]</f>
        <v>53053.041738547938</v>
      </c>
      <c r="AA22" s="6">
        <f>IF(AND(A22=1,Tabla145[[#This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" s="6">
        <v>0</v>
      </c>
      <c r="AC22" s="6">
        <f>IF(Tabla145[[#This Row],[Disponible stock sin venta]]&gt;0,Tabla145[[#This Row],[Disponible stock sin venta]]+Tabla145[[#This Row],[Ajuste stock sin venta]],0)</f>
        <v>0</v>
      </c>
      <c r="AD22" s="3">
        <f>IFERROR(VLOOKUP(Tabla145[[#This Row],[Llave]],'[16]TD Puerto'!$A:$D,4,FALSE),0)</f>
        <v>0</v>
      </c>
      <c r="AE22" s="3">
        <v>48000</v>
      </c>
      <c r="AF22" s="3">
        <f>+Tabla145[[#This Row],[Plan Irrestricto Inicial]]</f>
        <v>48000</v>
      </c>
      <c r="AG22" s="3">
        <f>+Tabla145[[#This Row],[En puerto a facturar]]</f>
        <v>0</v>
      </c>
      <c r="AH22" s="3">
        <f>+Tabla145[[#This Row],[Facturación atraso]]</f>
        <v>96000</v>
      </c>
      <c r="AI22" s="3">
        <f>+Tabla145[[#This Row],[Plan Irrestricto]]-Tabla145[[#This Row],[Puerto ]]-Tabla145[[#This Row],[Atraso]]</f>
        <v>-48000</v>
      </c>
      <c r="AJ22" s="3">
        <f>IF(Tabla145[[#This Row],[Plan Irrestricto]]&gt;0,SUM(Tabla145[[#This Row],[Facturación atraso]],Tabla145[[#This Row],[Facturación Venta nueva]],Tabla145[[#This Row],[Facturación stock]],Tabla145[[#This Row],[En puerto a facturar]]),0)</f>
        <v>96000</v>
      </c>
      <c r="AK22" s="3">
        <f>+Tabla145[[#This Row],[Facturación atraso]]</f>
        <v>96000</v>
      </c>
      <c r="AL22" s="3">
        <f>+Tabla145[[#This Row],[Plan Ajustado]]-Tabla145[[#This Row],[ Atraso ajustado]]-Tabla145[[#This Row],[Puerto ]]</f>
        <v>0</v>
      </c>
      <c r="AM22" s="6">
        <f>IFERROR(VLOOKUP(Tabla145[[#This Row],[Llave]],[18]!Tabla14[#All],34,FALSE),0)</f>
        <v>0</v>
      </c>
      <c r="AN22" s="6">
        <f>IFERROR(VLOOKUP(Tabla145[[#This Row],[Llave]],[18]!Tabla14[#All],35,FALSE),0)</f>
        <v>0</v>
      </c>
      <c r="AO22" s="3" t="str">
        <f>IF(Tabla145[[#This Row],[Plan Ajustado]]&gt;Tabla145[[#This Row],[En puerto a facturar]],"Si","No")</f>
        <v>Si</v>
      </c>
      <c r="AP22" s="3">
        <f>IF(AND(Tabla145[[#This Row],[Plan Ajustado]]&gt;0,Tabla145[[#This Row],[Plan Ajustado]]&gt;Tabla145[[#This Row],[En puerto a facturar]]),(Tabla145[[#This Row],[Plan Ajustado]]-Tabla145[[#This Row],[En puerto a facturar]]),0)</f>
        <v>96000</v>
      </c>
      <c r="AQ22" s="3">
        <f>IF(Tabla145[[#This Row],[Necesidad]]&gt;=Tabla145[[#This Row],[Stock al día]],Tabla145[[#This Row],[Stock al día]],Tabla145[[#This Row],[Necesidad]])</f>
        <v>96000</v>
      </c>
      <c r="AR22" s="3">
        <f>+Tabla145[[#This Row],[Necesidad]]-Tabla145[[#This Row],[Stock Plan]]</f>
        <v>0</v>
      </c>
      <c r="AS22" s="155">
        <f>IFERROR(VLOOKUP(Tabla145[[#This Row],[Oficina]],[19]Ponderación!$B$14:$E$21,4,FALSE),"")</f>
        <v>44789</v>
      </c>
      <c r="AT2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1.3330788976691959</v>
      </c>
      <c r="AU22" s="83">
        <f>IFERROR(VLOOKUP(Tabla145[[#This Row],[Llave]],[17]DELAY!$H:$W,16,FALSE),0)</f>
        <v>1.4945641025641048</v>
      </c>
      <c r="AV2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1.4945641025641048</v>
      </c>
      <c r="AW22" s="5">
        <f>Tabla145[[#This Row],[Ajuste precio IC]]*Tabla145[[#This Row],[Plan Ajustado]]</f>
        <v>139200</v>
      </c>
      <c r="AX22" s="30">
        <f>IFERROR(VLOOKUP(Tabla145[[#This Row],[Llave]],'[13]Ultimos precios facturados'!$A:$G,7,FALSE),0)</f>
        <v>1.3330788976691959</v>
      </c>
      <c r="AY2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0.12113701985475547</v>
      </c>
      <c r="AZ22" s="30">
        <f>IFERROR(VLOOKUP(Tabla145[[#This Row],[Llave]],Hoja2!B:K,10,FALSE),0)</f>
        <v>1.45</v>
      </c>
      <c r="BA22" s="30">
        <f>IF(Tabla145[[#This Row],[Ajuste precio IC]]="",Tabla145[[#This Row],[Precio ponderado]],Tabla145[[#This Row],[Precio ponderado]])</f>
        <v>1.4945641025641048</v>
      </c>
      <c r="BB22" s="82"/>
      <c r="BC22" s="82" t="str">
        <f>IF(AND(Tabla145[[#This Row],[Atraso a facturar]]&gt;0,Tabla145[[#This Row],[Precio Atraso]]=0),"Revisar","OK")</f>
        <v>OK</v>
      </c>
      <c r="BD22" s="82" t="str">
        <f>IF(AND(Tabla145[[#This Row],[Venta del mes]]&gt;0,Tabla145[[#This Row],[Precio venta nueva]]=0),"Revisar","OK")</f>
        <v>OK</v>
      </c>
      <c r="BE22" s="20">
        <f>IFERROR(VLOOKUP(Tabla145[[#This Row],[Llave]],'[5]Consolidación planes'!$A:$M,9,FALSE),0)</f>
        <v>0</v>
      </c>
      <c r="BF22" s="20">
        <f>IFERROR(VLOOKUP(Tabla145[[#This Row],[Llave]],'[5]Consolidación planes'!$A:$M,10,FALSE),0)</f>
        <v>3000</v>
      </c>
      <c r="BG22" s="20">
        <f>IFERROR(VLOOKUP(Tabla145[[#This Row],[Llave]],'[5]Consolidación planes'!$A:$M,11,FALSE),0)</f>
        <v>14000</v>
      </c>
      <c r="BH22" s="20">
        <f>IFERROR(VLOOKUP(Tabla145[[#This Row],[Llave]],'[5]Consolidación planes'!$A:$M,12,FALSE),0)</f>
        <v>38000</v>
      </c>
      <c r="BI22" s="20">
        <f>IFERROR(VLOOKUP(Tabla145[[#This Row],[Llave]],'[5]Consolidación planes'!$A:$M,13,FALSE),0)</f>
        <v>48000</v>
      </c>
      <c r="BJ22" s="20">
        <f>IFERROR(VLOOKUP(Tabla145[[#This Row],[Llave]],'[13]Base ultimos planes'!$A:$M,13,FALSE),0)</f>
        <v>72000</v>
      </c>
      <c r="BK22" s="80">
        <f>IFERROR(VLOOKUP(Tabla145[[#This Row],[Llave]],'[13]Base ultimos planes'!$O:$AA,8,FALSE),0)</f>
        <v>0</v>
      </c>
      <c r="BL22" s="20">
        <f>IFERROR(VLOOKUP(Tabla145[[#This Row],[Llave]],'[13]Base ultimos planes'!$O:$AA,9,FALSE),0)</f>
        <v>3450</v>
      </c>
      <c r="BM22" s="20">
        <f>IFERROR(VLOOKUP(Tabla145[[#This Row],[Llave]],'[13]Base ultimos planes'!$O:$AA,10,FALSE),0)</f>
        <v>13300</v>
      </c>
      <c r="BN22" s="20">
        <f>IFERROR(VLOOKUP(Tabla145[[#This Row],[Llave]],'[13]Base ultimos planes'!$O:$AA,11,FALSE),0)</f>
        <v>44140</v>
      </c>
      <c r="BO22" s="20">
        <f>IFERROR(VLOOKUP(Tabla145[[#This Row],[Llave]],'[13]Base ultimos planes'!$O:$AA,12,FALSE),0)</f>
        <v>69120</v>
      </c>
      <c r="BP22" s="20">
        <f>IFERROR(VLOOKUP(Tabla145[[#This Row],[Llave]],'[13]Base ultimos planes'!$O:$AA,13,FALSE),0)</f>
        <v>103224</v>
      </c>
      <c r="BQ22" s="20"/>
      <c r="BR22" s="20">
        <f>Tabla145[[#This Row],[ RV Producción mes n+1]]*(1-Tabla145[[#This Row],[% Uti. producción]])</f>
        <v>6457.7582614520425</v>
      </c>
      <c r="BS22" s="20">
        <f>+Tabla145[[#This Row],[Producción disponible mes n-1]]+Tabla145[[#This Row],[Saldo Volumen disponible]]</f>
        <v>59510.799999999981</v>
      </c>
      <c r="BT22" s="7">
        <f>IFERROR(VLOOKUP(Tabla145[[#This Row],[Llave]],'[21]RV n+2 y n+3'!$B:$F,4,FALSE),0)</f>
        <v>72000</v>
      </c>
      <c r="BU22" s="7">
        <f>+Tabla145[[#This Row],[Asignación mes n+2]]*Tabla145[[#This Row],[% Uti. producción]]</f>
        <v>32917.996568500712</v>
      </c>
      <c r="BV22" s="7">
        <f>+Tabla145[[#This Row],[Ponderación mes n+2]]+Tabla145[[#This Row],[Saldo mes n-1]]</f>
        <v>92428.796568500693</v>
      </c>
      <c r="BW22" s="7">
        <f>+Tabla145[[#This Row],[Asignación mes n+2]]-Tabla145[[#This Row],[Ponderación mes n+2]]</f>
        <v>39082.003431499288</v>
      </c>
      <c r="BX22" s="7">
        <f>IFERROR(VLOOKUP(Tabla145[[#This Row],[Llave]],'[21]RV n+2 y n+3'!$B:$F,5,FALSE),0)</f>
        <v>0</v>
      </c>
      <c r="BY22" s="7">
        <f>+Tabla145[[#This Row],[Asignación mes n+3]]*Tabla145[[#This Row],[% Uti. producción]]</f>
        <v>0</v>
      </c>
      <c r="BZ22" s="3">
        <f>+Tabla145[[#This Row],[Ponderación mes n+3]]+Tabla145[[#This Row],[Saldo mes n+2]]</f>
        <v>39082.003431499288</v>
      </c>
      <c r="CA22" s="3">
        <f>+Tabla145[[#This Row],[Asignación mes n+3]]-Tabla145[[#This Row],[Ponderación mes n+3]]</f>
        <v>0</v>
      </c>
      <c r="CB22" s="3">
        <f>+Tabla145[[#This Row],[Producción disponible mes n-1]]+Tabla145[[#This Row],[Producción disponible]]</f>
        <v>11897</v>
      </c>
      <c r="CC22" s="3">
        <f>+Tabla145[[#This Row],[Saldo mes n+4]]-Tabla145[[#This Row],[ RV Producción mes n+1]]</f>
        <v>0</v>
      </c>
    </row>
    <row r="23" spans="1:81" ht="16" x14ac:dyDescent="0.2">
      <c r="A23">
        <v>1</v>
      </c>
      <c r="B23" t="str">
        <f>Tabla145[[#This Row],[Oficina]]&amp;Tabla145[[#This Row],[Material]]</f>
        <v>Agro Sudamerica1020944</v>
      </c>
      <c r="C23" t="s">
        <v>6</v>
      </c>
      <c r="D23" t="s">
        <v>17</v>
      </c>
      <c r="E23">
        <v>1020944</v>
      </c>
      <c r="F23" t="s">
        <v>63</v>
      </c>
      <c r="G23" t="s">
        <v>59</v>
      </c>
      <c r="H23" t="s">
        <v>62</v>
      </c>
      <c r="I23" s="7">
        <f>IFERROR(VLOOKUP(Tabla145[[#This Row],[Llave]],'[7]RV Producción'!$C:$G,5,FALSE),0)</f>
        <v>120000</v>
      </c>
      <c r="J23" s="3">
        <f>IFERROR(IF(Tabla145[[#This Row],[Oficina]]=$I$7,VLOOKUP(Tabla145[[#This Row],[Llave]],'[7]Shangai (Tomas)'!$A:$F,6,FALSE),VLOOKUP(Tabla145[[#This Row],[Llave]],'[7]RV plan de ventas'!$A:$E,5,FALSE)),0)</f>
        <v>146353</v>
      </c>
      <c r="K23" s="8">
        <f>IFERROR(VLOOKUP(Tabla145[[#This Row],[Oficina]],[15]Ponderación!$B$2:$E$9,4,FALSE),0)</f>
        <v>0.45719439678473212</v>
      </c>
      <c r="L23" s="7">
        <f>+Tabla145[[#This Row],[ RV Producción mes n+1]]*Tabla145[[#This Row],[% Uti. producción]]</f>
        <v>54863.327614167851</v>
      </c>
      <c r="M23" s="7">
        <f>IFERROR(VLOOKUP(Tabla145[[#This Row],[Material]],[16]Stock!$G:$K,5,FALSE),0)</f>
        <v>106899</v>
      </c>
      <c r="N23" s="7">
        <f>IFERROR(VLOOKUP(Tabla145[[#This Row],[Material]],[16]Produccion!$M:$N,2,FALSE),0)</f>
        <v>90006.482900192263</v>
      </c>
      <c r="O23" s="7">
        <f>IFERROR(VLOOKUP(Tabla145[[#This Row],[Llave]],'[16]TD Conf-AP'!$I:$M,4,FALSE),0)</f>
        <v>0</v>
      </c>
      <c r="P23" s="14">
        <f>SUM(Tabla145[[#This Row],[Producción disponible]],Tabla145[[#This Row],[Stock al día]],(Tabla145[[#This Row],[Por producir mes N]]*0.9))-Tabla145[[#This Row],[Producción por despachar mes N]]</f>
        <v>242768.16222434089</v>
      </c>
      <c r="Q23" s="7">
        <f>IFERROR(VLOOKUP(Tabla145[[#This Row],[Llave]],[17]DELAY!$A:$D,4,FALSE),0)</f>
        <v>238000</v>
      </c>
      <c r="R23" s="9">
        <v>24000</v>
      </c>
      <c r="S23" s="5">
        <f t="shared" si="5"/>
        <v>238000</v>
      </c>
      <c r="T23" s="76">
        <v>-60000</v>
      </c>
      <c r="U23" s="5">
        <f>+Tabla145[[#This Row],[Atraso a facturar]]+Tabla145[[#This Row],[Ajuste atraso]]</f>
        <v>178000</v>
      </c>
      <c r="V23" s="3">
        <f>+Tabla145[[#This Row],[Total disponible]]-Tabla145[[#This Row],[Facturación atraso]]</f>
        <v>64768.162224340893</v>
      </c>
      <c r="W23" s="6">
        <f>IFERROR(IF(AND(V23&gt;R23,J23&gt;=R23),ROUNDDOWN((Tabla145[[#This Row],[Producción para venta nueva]])/R23,0)*R23,0),0)</f>
        <v>48000</v>
      </c>
      <c r="X23" s="76">
        <v>0</v>
      </c>
      <c r="Y23" s="6">
        <f>IF(Tabla145[[#This Row],[Venta del mes]]&gt;0,Tabla145[[#This Row],[Venta del mes]]+Tabla145[[#This Row],[Ajuste venta nueva]],0)</f>
        <v>48000</v>
      </c>
      <c r="Z23" s="6">
        <f>+Tabla145[[#This Row],[Producción para venta nueva]]-Tabla145[[#This Row],[Facturación Venta nueva]]</f>
        <v>16768.162224340893</v>
      </c>
      <c r="AA23" s="6">
        <f>IF(AND(A23=1,Tabla145[[#This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" s="6">
        <v>0</v>
      </c>
      <c r="AC23" s="6">
        <f>IF(Tabla145[[#This Row],[Disponible stock sin venta]]&gt;0,Tabla145[[#This Row],[Disponible stock sin venta]]+Tabla145[[#This Row],[Ajuste stock sin venta]],0)</f>
        <v>0</v>
      </c>
      <c r="AD23" s="3">
        <f>IFERROR(VLOOKUP(Tabla145[[#This Row],[Llave]],'[16]TD Puerto'!$A:$D,4,FALSE),0)</f>
        <v>0</v>
      </c>
      <c r="AE23" s="3">
        <v>262000</v>
      </c>
      <c r="AF23" s="3">
        <f>+Tabla145[[#This Row],[Plan Irrestricto Inicial]]</f>
        <v>262000</v>
      </c>
      <c r="AG23" s="3">
        <f>+Tabla145[[#This Row],[En puerto a facturar]]</f>
        <v>0</v>
      </c>
      <c r="AH23" s="3">
        <f>+Tabla145[[#This Row],[Facturación atraso]]</f>
        <v>178000</v>
      </c>
      <c r="AI23" s="3">
        <f>+Tabla145[[#This Row],[Plan Irrestricto]]-Tabla145[[#This Row],[Puerto ]]-Tabla145[[#This Row],[Atraso]]</f>
        <v>84000</v>
      </c>
      <c r="AJ23" s="3">
        <f>IF(Tabla145[[#This Row],[Plan Irrestricto]]&gt;0,SUM(Tabla145[[#This Row],[Facturación atraso]],Tabla145[[#This Row],[Facturación Venta nueva]],Tabla145[[#This Row],[Facturación stock]],Tabla145[[#This Row],[En puerto a facturar]]),0)</f>
        <v>226000</v>
      </c>
      <c r="AK23" s="3">
        <f>+Tabla145[[#This Row],[Facturación atraso]]</f>
        <v>178000</v>
      </c>
      <c r="AL23" s="3">
        <f>+Tabla145[[#This Row],[Plan Ajustado]]-Tabla145[[#This Row],[ Atraso ajustado]]-Tabla145[[#This Row],[Puerto ]]</f>
        <v>48000</v>
      </c>
      <c r="AM23" s="6">
        <f>IFERROR(VLOOKUP(Tabla145[[#This Row],[Llave]],[18]!Tabla14[#All],34,FALSE),0)</f>
        <v>0</v>
      </c>
      <c r="AN23" s="6">
        <f>IFERROR(VLOOKUP(Tabla145[[#This Row],[Llave]],[18]!Tabla14[#All],35,FALSE),0)</f>
        <v>0</v>
      </c>
      <c r="AO23" s="3" t="str">
        <f>IF(Tabla145[[#This Row],[Plan Ajustado]]&gt;Tabla145[[#This Row],[En puerto a facturar]],"Si","No")</f>
        <v>Si</v>
      </c>
      <c r="AP23" s="3">
        <f>IF(AND(Tabla145[[#This Row],[Plan Ajustado]]&gt;0,Tabla145[[#This Row],[Plan Ajustado]]&gt;Tabla145[[#This Row],[En puerto a facturar]]),(Tabla145[[#This Row],[Plan Ajustado]]-Tabla145[[#This Row],[En puerto a facturar]]),0)</f>
        <v>226000</v>
      </c>
      <c r="AQ23" s="3">
        <f>IF(Tabla145[[#This Row],[Necesidad]]&gt;=Tabla145[[#This Row],[Stock al día]],Tabla145[[#This Row],[Stock al día]],Tabla145[[#This Row],[Necesidad]])</f>
        <v>106899</v>
      </c>
      <c r="AR23" s="3">
        <f>+Tabla145[[#This Row],[Necesidad]]-Tabla145[[#This Row],[Stock Plan]]</f>
        <v>119101</v>
      </c>
      <c r="AS23" s="155">
        <f>IFERROR(VLOOKUP(Tabla145[[#This Row],[Oficina]],[19]Ponderación!$B$14:$E$21,4,FALSE),"")</f>
        <v>44789</v>
      </c>
      <c r="AT2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2.8276700853416101</v>
      </c>
      <c r="AU23" s="83">
        <f>IFERROR(VLOOKUP(Tabla145[[#This Row],[Llave]],[17]DELAY!$H:$W,16,FALSE),0)</f>
        <v>2.8241846857105681</v>
      </c>
      <c r="AV2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2.8249249475791078</v>
      </c>
      <c r="AW23" s="5">
        <f>Tabla145[[#This Row],[Ajuste precio IC]]*Tabla145[[#This Row],[Plan Ajustado]]</f>
        <v>606809.40020750824</v>
      </c>
      <c r="AX23" s="30">
        <f>IFERROR(VLOOKUP(Tabla145[[#This Row],[Llave]],'[13]Ultimos precios facturados'!$A:$G,7,FALSE),0)</f>
        <v>2.4869559132430363</v>
      </c>
      <c r="AY2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0.13589667293110702</v>
      </c>
      <c r="AZ23" s="30">
        <f>IFERROR(VLOOKUP(Tabla145[[#This Row],[Llave]],Hoja2!B:K,10,FALSE),0)</f>
        <v>2.6849973460509213</v>
      </c>
      <c r="BA23" s="30">
        <f>IF(Tabla145[[#This Row],[Ajuste precio IC]]="",Tabla145[[#This Row],[Precio ponderado]],Tabla145[[#This Row],[Precio ponderado]])</f>
        <v>2.8249249475791078</v>
      </c>
      <c r="BB23" s="82"/>
      <c r="BC23" s="82" t="str">
        <f>IF(AND(Tabla145[[#This Row],[Atraso a facturar]]&gt;0,Tabla145[[#This Row],[Precio Atraso]]=0),"Revisar","OK")</f>
        <v>OK</v>
      </c>
      <c r="BD23" s="82" t="str">
        <f>IF(AND(Tabla145[[#This Row],[Venta del mes]]&gt;0,Tabla145[[#This Row],[Precio venta nueva]]=0),"Revisar","OK")</f>
        <v>OK</v>
      </c>
      <c r="BE23" s="20">
        <f>IFERROR(VLOOKUP(Tabla145[[#This Row],[Llave]],'[5]Consolidación planes'!$A:$M,9,FALSE),0)</f>
        <v>480000</v>
      </c>
      <c r="BF23" s="20">
        <f>IFERROR(VLOOKUP(Tabla145[[#This Row],[Llave]],'[5]Consolidación planes'!$A:$M,10,FALSE),0)</f>
        <v>508001</v>
      </c>
      <c r="BG23" s="20">
        <f>IFERROR(VLOOKUP(Tabla145[[#This Row],[Llave]],'[5]Consolidación planes'!$A:$M,11,FALSE),0)</f>
        <v>384000</v>
      </c>
      <c r="BH23" s="20">
        <f>IFERROR(VLOOKUP(Tabla145[[#This Row],[Llave]],'[5]Consolidación planes'!$A:$M,12,FALSE),0)</f>
        <v>188000</v>
      </c>
      <c r="BI23" s="20">
        <f>IFERROR(VLOOKUP(Tabla145[[#This Row],[Llave]],'[5]Consolidación planes'!$A:$M,13,FALSE),0)</f>
        <v>504000</v>
      </c>
      <c r="BJ23" s="20">
        <f>IFERROR(VLOOKUP(Tabla145[[#This Row],[Llave]],'[13]Base ultimos planes'!$A:$M,13,FALSE),0)</f>
        <v>262964</v>
      </c>
      <c r="BK23" s="80">
        <f>IFERROR(VLOOKUP(Tabla145[[#This Row],[Llave]],'[13]Base ultimos planes'!$O:$AA,8,FALSE),0)</f>
        <v>1248000</v>
      </c>
      <c r="BL23" s="20">
        <f>IFERROR(VLOOKUP(Tabla145[[#This Row],[Llave]],'[13]Base ultimos planes'!$O:$AA,9,FALSE),0)</f>
        <v>1281954</v>
      </c>
      <c r="BM23" s="20">
        <f>IFERROR(VLOOKUP(Tabla145[[#This Row],[Llave]],'[13]Base ultimos planes'!$O:$AA,10,FALSE),0)</f>
        <v>924000</v>
      </c>
      <c r="BN23" s="20">
        <f>IFERROR(VLOOKUP(Tabla145[[#This Row],[Llave]],'[13]Base ultimos planes'!$O:$AA,11,FALSE),0)</f>
        <v>424640</v>
      </c>
      <c r="BO23" s="20">
        <f>IFERROR(VLOOKUP(Tabla145[[#This Row],[Llave]],'[13]Base ultimos planes'!$O:$AA,12,FALSE),0)</f>
        <v>1231920</v>
      </c>
      <c r="BP23" s="20">
        <f>IFERROR(VLOOKUP(Tabla145[[#This Row],[Llave]],'[13]Base ultimos planes'!$O:$AA,13,FALSE),0)</f>
        <v>681801</v>
      </c>
      <c r="BQ23" s="20"/>
      <c r="BR23" s="20">
        <f>Tabla145[[#This Row],[ RV Producción mes n+1]]*(1-Tabla145[[#This Row],[% Uti. producción]])</f>
        <v>65136.672385832149</v>
      </c>
      <c r="BS23" s="20">
        <f>+Tabla145[[#This Row],[Producción disponible mes n-1]]+Tabla145[[#This Row],[Saldo Volumen disponible]]</f>
        <v>81904.834610173042</v>
      </c>
      <c r="BT23" s="7">
        <f>IFERROR(VLOOKUP(Tabla145[[#This Row],[Llave]],'[21]RV n+2 y n+3'!$B:$F,4,FALSE),0)</f>
        <v>240000</v>
      </c>
      <c r="BU23" s="7">
        <f>+Tabla145[[#This Row],[Asignación mes n+2]]*Tabla145[[#This Row],[% Uti. producción]]</f>
        <v>109726.6552283357</v>
      </c>
      <c r="BV23" s="7">
        <f>+Tabla145[[#This Row],[Ponderación mes n+2]]+Tabla145[[#This Row],[Saldo mes n-1]]</f>
        <v>191631.48983850874</v>
      </c>
      <c r="BW23" s="7">
        <f>+Tabla145[[#This Row],[Asignación mes n+2]]-Tabla145[[#This Row],[Ponderación mes n+2]]</f>
        <v>130273.3447716643</v>
      </c>
      <c r="BX23" s="7">
        <f>IFERROR(VLOOKUP(Tabla145[[#This Row],[Llave]],'[21]RV n+2 y n+3'!$B:$F,5,FALSE),0)</f>
        <v>110930.23</v>
      </c>
      <c r="BY23" s="7">
        <f>+Tabla145[[#This Row],[Asignación mes n+3]]*Tabla145[[#This Row],[% Uti. producción]]</f>
        <v>50716.679590041589</v>
      </c>
      <c r="BZ23" s="3">
        <f>+Tabla145[[#This Row],[Ponderación mes n+3]]+Tabla145[[#This Row],[Saldo mes n+2]]</f>
        <v>180990.02436170587</v>
      </c>
      <c r="CA23" s="3">
        <f>+Tabla145[[#This Row],[Asignación mes n+3]]-Tabla145[[#This Row],[Ponderación mes n+3]]</f>
        <v>60213.550409958407</v>
      </c>
      <c r="CB23" s="3">
        <f>+Tabla145[[#This Row],[Producción disponible mes n-1]]+Tabla145[[#This Row],[Producción disponible]]</f>
        <v>120000</v>
      </c>
      <c r="CC23" s="3">
        <f>+Tabla145[[#This Row],[Saldo mes n+4]]-Tabla145[[#This Row],[ RV Producción mes n+1]]</f>
        <v>0</v>
      </c>
    </row>
    <row r="24" spans="1:81" ht="16" x14ac:dyDescent="0.2">
      <c r="A24">
        <v>1</v>
      </c>
      <c r="B24" t="str">
        <f>Tabla145[[#This Row],[Oficina]]&amp;Tabla145[[#This Row],[Material]]</f>
        <v>Agro Sudamerica1021023</v>
      </c>
      <c r="C24" t="s">
        <v>6</v>
      </c>
      <c r="D24" t="s">
        <v>17</v>
      </c>
      <c r="E24">
        <v>1021023</v>
      </c>
      <c r="F24" t="s">
        <v>43</v>
      </c>
      <c r="G24" t="s">
        <v>11</v>
      </c>
      <c r="H24" t="s">
        <v>41</v>
      </c>
      <c r="I24" s="7">
        <f>IFERROR(VLOOKUP(Tabla145[[#This Row],[Llave]],'[7]RV Producción'!$C:$G,5,FALSE),0)</f>
        <v>94744</v>
      </c>
      <c r="J24" s="3">
        <f>IFERROR(IF(Tabla145[[#This Row],[Oficina]]=$I$7,VLOOKUP(Tabla145[[#This Row],[Llave]],'[7]Shangai (Tomas)'!$A:$F,6,FALSE),VLOOKUP(Tabla145[[#This Row],[Llave]],'[7]RV plan de ventas'!$A:$E,5,FALSE)),0)</f>
        <v>120000</v>
      </c>
      <c r="K24" s="8">
        <f>IFERROR(VLOOKUP(Tabla145[[#This Row],[Oficina]],[15]Ponderación!$B$2:$E$9,4,FALSE),0)</f>
        <v>0.45719439678473212</v>
      </c>
      <c r="L24" s="7">
        <f>+Tabla145[[#This Row],[ RV Producción mes n+1]]*Tabla145[[#This Row],[% Uti. producción]]</f>
        <v>43316.425928972661</v>
      </c>
      <c r="M24" s="7">
        <f>IFERROR(VLOOKUP(Tabla145[[#This Row],[Material]],[16]Stock!$G:$K,5,FALSE),0)</f>
        <v>36017</v>
      </c>
      <c r="N24" s="7">
        <f>IFERROR(VLOOKUP(Tabla145[[#This Row],[Material]],[16]Produccion!$M:$N,2,FALSE),0)</f>
        <v>45048</v>
      </c>
      <c r="O24" s="7">
        <f>IFERROR(VLOOKUP(Tabla145[[#This Row],[Llave]],'[16]TD Conf-AP'!$I:$M,4,FALSE),0)</f>
        <v>0</v>
      </c>
      <c r="P24" s="14">
        <f>SUM(Tabla145[[#This Row],[Producción disponible]],Tabla145[[#This Row],[Stock al día]],(Tabla145[[#This Row],[Por producir mes N]]*0.9))-Tabla145[[#This Row],[Producción por despachar mes N]]</f>
        <v>119876.62592897267</v>
      </c>
      <c r="Q24" s="7">
        <f>IFERROR(VLOOKUP(Tabla145[[#This Row],[Llave]],[17]DELAY!$A:$D,4,FALSE),0)</f>
        <v>23000</v>
      </c>
      <c r="R24" s="9">
        <v>24000</v>
      </c>
      <c r="S24" s="5">
        <f t="shared" si="5"/>
        <v>23000</v>
      </c>
      <c r="T24" s="76">
        <v>0</v>
      </c>
      <c r="U24" s="5">
        <f>+Tabla145[[#This Row],[Atraso a facturar]]+Tabla145[[#This Row],[Ajuste atraso]]</f>
        <v>23000</v>
      </c>
      <c r="V24" s="3">
        <f>+Tabla145[[#This Row],[Total disponible]]-Tabla145[[#This Row],[Facturación atraso]]</f>
        <v>96876.625928972673</v>
      </c>
      <c r="W24" s="6">
        <f>IFERROR(IF(AND(V24&gt;R24,J24&gt;=R24),ROUNDDOWN((Tabla145[[#This Row],[Producción para venta nueva]])/R24,0)*R24,0),0)</f>
        <v>96000</v>
      </c>
      <c r="X24" s="76">
        <v>0</v>
      </c>
      <c r="Y24" s="6">
        <f>IF(Tabla145[[#This Row],[Venta del mes]]&gt;0,Tabla145[[#This Row],[Venta del mes]]+Tabla145[[#This Row],[Ajuste venta nueva]],0)</f>
        <v>96000</v>
      </c>
      <c r="Z24" s="6">
        <f>+Tabla145[[#This Row],[Producción para venta nueva]]-Tabla145[[#This Row],[Facturación Venta nueva]]</f>
        <v>876.62592897267314</v>
      </c>
      <c r="AA24" s="6">
        <f>IF(AND(A24=1,Tabla145[[#This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" s="6">
        <v>0</v>
      </c>
      <c r="AC24" s="6">
        <f>IF(Tabla145[[#This Row],[Disponible stock sin venta]]&gt;0,Tabla145[[#This Row],[Disponible stock sin venta]]+Tabla145[[#This Row],[Ajuste stock sin venta]],0)</f>
        <v>0</v>
      </c>
      <c r="AD24" s="3">
        <f>IFERROR(VLOOKUP(Tabla145[[#This Row],[Llave]],'[16]TD Puerto'!$A:$D,4,FALSE),0)</f>
        <v>0</v>
      </c>
      <c r="AE24" s="3">
        <v>167000</v>
      </c>
      <c r="AF24" s="3">
        <f>+Tabla145[[#This Row],[Plan Irrestricto Inicial]]</f>
        <v>167000</v>
      </c>
      <c r="AG24" s="3">
        <f>+Tabla145[[#This Row],[En puerto a facturar]]</f>
        <v>0</v>
      </c>
      <c r="AH24" s="3">
        <f>+Tabla145[[#This Row],[Facturación atraso]]</f>
        <v>23000</v>
      </c>
      <c r="AI24" s="3">
        <f>+Tabla145[[#This Row],[Plan Irrestricto]]-Tabla145[[#This Row],[Puerto ]]-Tabla145[[#This Row],[Atraso]]</f>
        <v>144000</v>
      </c>
      <c r="AJ24" s="3">
        <f>IF(Tabla145[[#This Row],[Plan Irrestricto]]&gt;0,SUM(Tabla145[[#This Row],[Facturación atraso]],Tabla145[[#This Row],[Facturación Venta nueva]],Tabla145[[#This Row],[Facturación stock]],Tabla145[[#This Row],[En puerto a facturar]]),0)</f>
        <v>119000</v>
      </c>
      <c r="AK24" s="3">
        <f>+Tabla145[[#This Row],[Facturación atraso]]</f>
        <v>23000</v>
      </c>
      <c r="AL24" s="3">
        <f>+Tabla145[[#This Row],[Plan Ajustado]]-Tabla145[[#This Row],[ Atraso ajustado]]-Tabla145[[#This Row],[Puerto ]]</f>
        <v>96000</v>
      </c>
      <c r="AM24" s="6">
        <f>IFERROR(VLOOKUP(Tabla145[[#This Row],[Llave]],[18]!Tabla14[#All],34,FALSE),0)</f>
        <v>0</v>
      </c>
      <c r="AN24" s="6">
        <f>IFERROR(VLOOKUP(Tabla145[[#This Row],[Llave]],[18]!Tabla14[#All],35,FALSE),0)</f>
        <v>0</v>
      </c>
      <c r="AO24" s="3" t="str">
        <f>IF(Tabla145[[#This Row],[Plan Ajustado]]&gt;Tabla145[[#This Row],[En puerto a facturar]],"Si","No")</f>
        <v>Si</v>
      </c>
      <c r="AP24" s="3">
        <f>IF(AND(Tabla145[[#This Row],[Plan Ajustado]]&gt;0,Tabla145[[#This Row],[Plan Ajustado]]&gt;Tabla145[[#This Row],[En puerto a facturar]]),(Tabla145[[#This Row],[Plan Ajustado]]-Tabla145[[#This Row],[En puerto a facturar]]),0)</f>
        <v>119000</v>
      </c>
      <c r="AQ24" s="3">
        <f>IF(Tabla145[[#This Row],[Necesidad]]&gt;=Tabla145[[#This Row],[Stock al día]],Tabla145[[#This Row],[Stock al día]],Tabla145[[#This Row],[Necesidad]])</f>
        <v>36017</v>
      </c>
      <c r="AR24" s="3">
        <f>+Tabla145[[#This Row],[Necesidad]]-Tabla145[[#This Row],[Stock Plan]]</f>
        <v>82983</v>
      </c>
      <c r="AS24" s="155">
        <f>IFERROR(VLOOKUP(Tabla145[[#This Row],[Oficina]],[19]Ponderación!$B$14:$E$21,4,FALSE),"")</f>
        <v>44789</v>
      </c>
      <c r="AT2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1.19</v>
      </c>
      <c r="AU24" s="83">
        <f>IFERROR(VLOOKUP(Tabla145[[#This Row],[Llave]],[17]DELAY!$H:$W,16,FALSE),0)</f>
        <v>1.13041666638655</v>
      </c>
      <c r="AV2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1.1784838935032829</v>
      </c>
      <c r="AW24" s="5">
        <f>Tabla145[[#This Row],[Ajuste precio IC]]*Tabla145[[#This Row],[Plan Ajustado]]</f>
        <v>133513.52499999999</v>
      </c>
      <c r="AX24" s="30">
        <f>IFERROR(VLOOKUP(Tabla145[[#This Row],[Llave]],'[13]Ultimos precios facturados'!$A:$G,7,FALSE),0)</f>
        <v>1.1075126748274666</v>
      </c>
      <c r="AY2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6.4081631108079601E-2</v>
      </c>
      <c r="AZ24" s="30">
        <f>IFERROR(VLOOKUP(Tabla145[[#This Row],[Llave]],Hoja2!B:K,10,FALSE),0)</f>
        <v>1.1219623949579831</v>
      </c>
      <c r="BA24" s="30">
        <f>IF(Tabla145[[#This Row],[Ajuste precio IC]]="",Tabla145[[#This Row],[Precio ponderado]],Tabla145[[#This Row],[Precio ponderado]])</f>
        <v>1.1784838935032829</v>
      </c>
      <c r="BB24" s="82"/>
      <c r="BC24" s="82" t="str">
        <f>IF(AND(Tabla145[[#This Row],[Atraso a facturar]]&gt;0,Tabla145[[#This Row],[Precio Atraso]]=0),"Revisar","OK")</f>
        <v>OK</v>
      </c>
      <c r="BD24" s="82" t="str">
        <f>IF(AND(Tabla145[[#This Row],[Venta del mes]]&gt;0,Tabla145[[#This Row],[Precio venta nueva]]=0),"Revisar","OK")</f>
        <v>OK</v>
      </c>
      <c r="BE24" s="20">
        <f>IFERROR(VLOOKUP(Tabla145[[#This Row],[Llave]],'[5]Consolidación planes'!$A:$M,9,FALSE),0)</f>
        <v>120000</v>
      </c>
      <c r="BF24" s="20">
        <f>IFERROR(VLOOKUP(Tabla145[[#This Row],[Llave]],'[5]Consolidación planes'!$A:$M,10,FALSE),0)</f>
        <v>216000</v>
      </c>
      <c r="BG24" s="20">
        <f>IFERROR(VLOOKUP(Tabla145[[#This Row],[Llave]],'[5]Consolidación planes'!$A:$M,11,FALSE),0)</f>
        <v>264000</v>
      </c>
      <c r="BH24" s="20">
        <f>IFERROR(VLOOKUP(Tabla145[[#This Row],[Llave]],'[5]Consolidación planes'!$A:$M,12,FALSE),0)</f>
        <v>167000</v>
      </c>
      <c r="BI24" s="20">
        <f>IFERROR(VLOOKUP(Tabla145[[#This Row],[Llave]],'[5]Consolidación planes'!$A:$M,13,FALSE),0)</f>
        <v>96000</v>
      </c>
      <c r="BJ24" s="20">
        <f>IFERROR(VLOOKUP(Tabla145[[#This Row],[Llave]],'[13]Base ultimos planes'!$A:$M,13,FALSE),0)</f>
        <v>120000</v>
      </c>
      <c r="BK24" s="80">
        <f>IFERROR(VLOOKUP(Tabla145[[#This Row],[Llave]],'[13]Base ultimos planes'!$O:$AA,8,FALSE),0)</f>
        <v>141600</v>
      </c>
      <c r="BL24" s="20">
        <f>IFERROR(VLOOKUP(Tabla145[[#This Row],[Llave]],'[13]Base ultimos planes'!$O:$AA,9,FALSE),0)</f>
        <v>245849</v>
      </c>
      <c r="BM24" s="20">
        <f>IFERROR(VLOOKUP(Tabla145[[#This Row],[Llave]],'[13]Base ultimos planes'!$O:$AA,10,FALSE),0)</f>
        <v>290400</v>
      </c>
      <c r="BN24" s="20">
        <f>IFERROR(VLOOKUP(Tabla145[[#This Row],[Llave]],'[13]Base ultimos planes'!$O:$AA,11,FALSE),0)</f>
        <v>181920</v>
      </c>
      <c r="BO24" s="20">
        <f>IFERROR(VLOOKUP(Tabla145[[#This Row],[Llave]],'[13]Base ultimos planes'!$O:$AA,12,FALSE),0)</f>
        <v>95760</v>
      </c>
      <c r="BP24" s="20">
        <f>IFERROR(VLOOKUP(Tabla145[[#This Row],[Llave]],'[13]Base ultimos planes'!$O:$AA,13,FALSE),0)</f>
        <v>134889</v>
      </c>
      <c r="BQ24" s="20"/>
      <c r="BR24" s="20">
        <f>Tabla145[[#This Row],[ RV Producción mes n+1]]*(1-Tabla145[[#This Row],[% Uti. producción]])</f>
        <v>51427.574071027346</v>
      </c>
      <c r="BS24" s="20">
        <f>+Tabla145[[#This Row],[Producción disponible mes n-1]]+Tabla145[[#This Row],[Saldo Volumen disponible]]</f>
        <v>52304.200000000019</v>
      </c>
      <c r="BT24" s="7">
        <f>IFERROR(VLOOKUP(Tabla145[[#This Row],[Llave]],'[21]RV n+2 y n+3'!$B:$F,4,FALSE),0)</f>
        <v>192000</v>
      </c>
      <c r="BU24" s="7">
        <f>+Tabla145[[#This Row],[Asignación mes n+2]]*Tabla145[[#This Row],[% Uti. producción]]</f>
        <v>87781.32418266857</v>
      </c>
      <c r="BV24" s="7">
        <f>+Tabla145[[#This Row],[Ponderación mes n+2]]+Tabla145[[#This Row],[Saldo mes n-1]]</f>
        <v>140085.5241826686</v>
      </c>
      <c r="BW24" s="7">
        <f>+Tabla145[[#This Row],[Asignación mes n+2]]-Tabla145[[#This Row],[Ponderación mes n+2]]</f>
        <v>104218.67581733143</v>
      </c>
      <c r="BX24" s="7">
        <f>IFERROR(VLOOKUP(Tabla145[[#This Row],[Llave]],'[21]RV n+2 y n+3'!$B:$F,5,FALSE),0)</f>
        <v>127710.26299999999</v>
      </c>
      <c r="BY24" s="7">
        <f>+Tabla145[[#This Row],[Asignación mes n+3]]*Tabla145[[#This Row],[% Uti. producción]]</f>
        <v>58388.416655504487</v>
      </c>
      <c r="BZ24" s="3">
        <f>+Tabla145[[#This Row],[Ponderación mes n+3]]+Tabla145[[#This Row],[Saldo mes n+2]]</f>
        <v>162607.09247283591</v>
      </c>
      <c r="CA24" s="3">
        <f>+Tabla145[[#This Row],[Asignación mes n+3]]-Tabla145[[#This Row],[Ponderación mes n+3]]</f>
        <v>69321.846344495512</v>
      </c>
      <c r="CB24" s="3">
        <f>+Tabla145[[#This Row],[Producción disponible mes n-1]]+Tabla145[[#This Row],[Producción disponible]]</f>
        <v>94744</v>
      </c>
      <c r="CC24" s="3">
        <f>+Tabla145[[#This Row],[Saldo mes n+4]]-Tabla145[[#This Row],[ RV Producción mes n+1]]</f>
        <v>0</v>
      </c>
    </row>
    <row r="25" spans="1:81" ht="16" x14ac:dyDescent="0.2">
      <c r="A25">
        <v>1</v>
      </c>
      <c r="B25" t="str">
        <f>Tabla145[[#This Row],[Oficina]]&amp;Tabla145[[#This Row],[Material]]</f>
        <v>Agro Sudamerica1021039</v>
      </c>
      <c r="C25" t="s">
        <v>6</v>
      </c>
      <c r="D25" t="s">
        <v>17</v>
      </c>
      <c r="E25">
        <v>1021039</v>
      </c>
      <c r="F25" t="s">
        <v>36</v>
      </c>
      <c r="G25" t="s">
        <v>8</v>
      </c>
      <c r="H25" t="s">
        <v>9</v>
      </c>
      <c r="I25" s="7">
        <f>IFERROR(VLOOKUP(Tabla145[[#This Row],[Llave]],'[7]RV Producción'!$C:$G,5,FALSE),0)</f>
        <v>54898</v>
      </c>
      <c r="J25" s="3">
        <f>IFERROR(IF(Tabla145[[#This Row],[Oficina]]=$I$7,VLOOKUP(Tabla145[[#This Row],[Llave]],'[7]Shangai (Tomas)'!$A:$F,6,FALSE),VLOOKUP(Tabla145[[#This Row],[Llave]],'[7]RV plan de ventas'!$A:$E,5,FALSE)),0)</f>
        <v>0</v>
      </c>
      <c r="K25" s="8">
        <f>IFERROR(VLOOKUP(Tabla145[[#This Row],[Oficina]],[15]Ponderación!$B$2:$E$9,4,FALSE),0)</f>
        <v>0.45719439678473212</v>
      </c>
      <c r="L25" s="7">
        <f>+Tabla145[[#This Row],[ RV Producción mes n+1]]*Tabla145[[#This Row],[% Uti. producción]]</f>
        <v>25099.057994688224</v>
      </c>
      <c r="M25" s="7">
        <f>IFERROR(VLOOKUP(Tabla145[[#This Row],[Material]],[16]Stock!$G:$K,5,FALSE),0)</f>
        <v>25307</v>
      </c>
      <c r="N25" s="7">
        <f>IFERROR(VLOOKUP(Tabla145[[#This Row],[Material]],[16]Produccion!$M:$N,2,FALSE),0)</f>
        <v>16726</v>
      </c>
      <c r="O25" s="7">
        <f>IFERROR(VLOOKUP(Tabla145[[#This Row],[Llave]],'[16]TD Conf-AP'!$I:$M,4,FALSE),0)</f>
        <v>0</v>
      </c>
      <c r="P25" s="14">
        <f>SUM(Tabla145[[#This Row],[Producción disponible]],Tabla145[[#This Row],[Stock al día]],(Tabla145[[#This Row],[Por producir mes N]]*0.9))-Tabla145[[#This Row],[Producción por despachar mes N]]</f>
        <v>65459.457994688222</v>
      </c>
      <c r="Q25" s="7">
        <f>IFERROR(VLOOKUP(Tabla145[[#This Row],[Llave]],[17]DELAY!$A:$D,4,FALSE),0)</f>
        <v>146039</v>
      </c>
      <c r="R25" s="9">
        <v>24000</v>
      </c>
      <c r="S25" s="5">
        <f t="shared" si="5"/>
        <v>48000</v>
      </c>
      <c r="T25" s="76">
        <v>0</v>
      </c>
      <c r="U25" s="5">
        <f>+Tabla145[[#This Row],[Atraso a facturar]]+Tabla145[[#This Row],[Ajuste atraso]]</f>
        <v>48000</v>
      </c>
      <c r="V25" s="3">
        <f>+Tabla145[[#This Row],[Total disponible]]-Tabla145[[#This Row],[Facturación atraso]]</f>
        <v>17459.457994688222</v>
      </c>
      <c r="W25" s="6">
        <f>IFERROR(IF(AND(V25&gt;R25,J25&gt;=R25),ROUNDDOWN((Tabla145[[#This Row],[Producción para venta nueva]])/R25,0)*R25,0),0)</f>
        <v>0</v>
      </c>
      <c r="X25" s="76">
        <v>0</v>
      </c>
      <c r="Y25" s="6">
        <f>IF(Tabla145[[#This Row],[Venta del mes]]&gt;0,Tabla145[[#This Row],[Venta del mes]]+Tabla145[[#This Row],[Ajuste venta nueva]],0)</f>
        <v>0</v>
      </c>
      <c r="Z25" s="6">
        <f>+Tabla145[[#This Row],[Producción para venta nueva]]-Tabla145[[#This Row],[Facturación Venta nueva]]</f>
        <v>17459.457994688222</v>
      </c>
      <c r="AA25" s="6">
        <f>IF(AND(A25=1,Tabla145[[#This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" s="6">
        <v>0</v>
      </c>
      <c r="AC25" s="6">
        <f>IF(Tabla145[[#This Row],[Disponible stock sin venta]]&gt;0,Tabla145[[#This Row],[Disponible stock sin venta]]+Tabla145[[#This Row],[Ajuste stock sin venta]],0)</f>
        <v>0</v>
      </c>
      <c r="AD25" s="3">
        <f>IFERROR(VLOOKUP(Tabla145[[#This Row],[Llave]],'[16]TD Puerto'!$A:$D,4,FALSE),0)</f>
        <v>2039</v>
      </c>
      <c r="AE25" s="3">
        <v>74039</v>
      </c>
      <c r="AF25" s="3">
        <f>+Tabla145[[#This Row],[Plan Irrestricto Inicial]]</f>
        <v>74039</v>
      </c>
      <c r="AG25" s="3">
        <f>+Tabla145[[#This Row],[En puerto a facturar]]</f>
        <v>2039</v>
      </c>
      <c r="AH25" s="3">
        <f>+Tabla145[[#This Row],[Facturación atraso]]</f>
        <v>48000</v>
      </c>
      <c r="AI25" s="3">
        <f>+Tabla145[[#This Row],[Plan Irrestricto]]-Tabla145[[#This Row],[Puerto ]]-Tabla145[[#This Row],[Atraso]]</f>
        <v>24000</v>
      </c>
      <c r="AJ25" s="3">
        <f>IF(Tabla145[[#This Row],[Plan Irrestricto]]&gt;0,SUM(Tabla145[[#This Row],[Facturación atraso]],Tabla145[[#This Row],[Facturación Venta nueva]],Tabla145[[#This Row],[Facturación stock]],Tabla145[[#This Row],[En puerto a facturar]]),0)</f>
        <v>50039</v>
      </c>
      <c r="AK25" s="3">
        <f>+Tabla145[[#This Row],[Facturación atraso]]</f>
        <v>48000</v>
      </c>
      <c r="AL25" s="3">
        <f>+Tabla145[[#This Row],[Plan Ajustado]]-Tabla145[[#This Row],[ Atraso ajustado]]-Tabla145[[#This Row],[Puerto ]]</f>
        <v>0</v>
      </c>
      <c r="AM25" s="6">
        <f>IFERROR(VLOOKUP(Tabla145[[#This Row],[Llave]],[18]!Tabla14[#All],34,FALSE),0)</f>
        <v>0</v>
      </c>
      <c r="AN25" s="6">
        <f>IFERROR(VLOOKUP(Tabla145[[#This Row],[Llave]],[18]!Tabla14[#All],35,FALSE),0)</f>
        <v>0</v>
      </c>
      <c r="AO25" s="3" t="str">
        <f>IF(Tabla145[[#This Row],[Plan Ajustado]]&gt;Tabla145[[#This Row],[En puerto a facturar]],"Si","No")</f>
        <v>Si</v>
      </c>
      <c r="AP25" s="3">
        <f>IF(AND(Tabla145[[#This Row],[Plan Ajustado]]&gt;0,Tabla145[[#This Row],[Plan Ajustado]]&gt;Tabla145[[#This Row],[En puerto a facturar]]),(Tabla145[[#This Row],[Plan Ajustado]]-Tabla145[[#This Row],[En puerto a facturar]]),0)</f>
        <v>48000</v>
      </c>
      <c r="AQ25" s="3">
        <f>IF(Tabla145[[#This Row],[Necesidad]]&gt;=Tabla145[[#This Row],[Stock al día]],Tabla145[[#This Row],[Stock al día]],Tabla145[[#This Row],[Necesidad]])</f>
        <v>25307</v>
      </c>
      <c r="AR25" s="3">
        <f>+Tabla145[[#This Row],[Necesidad]]-Tabla145[[#This Row],[Stock Plan]]</f>
        <v>22693</v>
      </c>
      <c r="AS25" s="155">
        <f>IFERROR(VLOOKUP(Tabla145[[#This Row],[Oficina]],[19]Ponderación!$B$14:$E$21,4,FALSE),"")</f>
        <v>44789</v>
      </c>
      <c r="AT2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0.59102965302721577</v>
      </c>
      <c r="AU25" s="83">
        <f>IFERROR(VLOOKUP(Tabla145[[#This Row],[Llave]],[17]DELAY!$H:$W,16,FALSE),0)</f>
        <v>0.66492269736166365</v>
      </c>
      <c r="AV2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0.66492269736166365</v>
      </c>
      <c r="AW25" s="5">
        <f>Tabla145[[#This Row],[Ajuste precio IC]]*Tabla145[[#This Row],[Plan Ajustado]]</f>
        <v>25353.093333333334</v>
      </c>
      <c r="AX25" s="30">
        <f>IFERROR(VLOOKUP(Tabla145[[#This Row],[Llave]],'[13]Ultimos precios facturados'!$A:$G,7,FALSE),0)</f>
        <v>0.59102965302721577</v>
      </c>
      <c r="AY2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0.12502425886073984</v>
      </c>
      <c r="AZ25" s="30">
        <f>IFERROR(VLOOKUP(Tabla145[[#This Row],[Llave]],Hoja2!B:K,10,FALSE),0)</f>
        <v>0.50666666666666671</v>
      </c>
      <c r="BA25" s="30">
        <f>IF(Tabla145[[#This Row],[Ajuste precio IC]]="",Tabla145[[#This Row],[Precio ponderado]],Tabla145[[#This Row],[Precio ponderado]])</f>
        <v>0.66492269736166365</v>
      </c>
      <c r="BB25" s="82"/>
      <c r="BC25" s="82" t="str">
        <f>IF(AND(Tabla145[[#This Row],[Atraso a facturar]]&gt;0,Tabla145[[#This Row],[Precio Atraso]]=0),"Revisar","OK")</f>
        <v>OK</v>
      </c>
      <c r="BD25" s="82" t="str">
        <f>IF(AND(Tabla145[[#This Row],[Venta del mes]]&gt;0,Tabla145[[#This Row],[Precio venta nueva]]=0),"Revisar","OK")</f>
        <v>OK</v>
      </c>
      <c r="BE25" s="20">
        <f>IFERROR(VLOOKUP(Tabla145[[#This Row],[Llave]],'[5]Consolidación planes'!$A:$M,9,FALSE),0)</f>
        <v>24000</v>
      </c>
      <c r="BF25" s="20">
        <f>IFERROR(VLOOKUP(Tabla145[[#This Row],[Llave]],'[5]Consolidación planes'!$A:$M,10,FALSE),0)</f>
        <v>24000</v>
      </c>
      <c r="BG25" s="20">
        <f>IFERROR(VLOOKUP(Tabla145[[#This Row],[Llave]],'[5]Consolidación planes'!$A:$M,11,FALSE),0)</f>
        <v>72000</v>
      </c>
      <c r="BH25" s="20">
        <f>IFERROR(VLOOKUP(Tabla145[[#This Row],[Llave]],'[5]Consolidación planes'!$A:$M,12,FALSE),0)</f>
        <v>0</v>
      </c>
      <c r="BI25" s="20">
        <f>IFERROR(VLOOKUP(Tabla145[[#This Row],[Llave]],'[5]Consolidación planes'!$A:$M,13,FALSE),0)</f>
        <v>48000</v>
      </c>
      <c r="BJ25" s="20">
        <f>IFERROR(VLOOKUP(Tabla145[[#This Row],[Llave]],'[13]Base ultimos planes'!$A:$M,13,FALSE),0)</f>
        <v>48000</v>
      </c>
      <c r="BK25" s="80">
        <f>IFERROR(VLOOKUP(Tabla145[[#This Row],[Llave]],'[13]Base ultimos planes'!$O:$AA,8,FALSE),0)</f>
        <v>12000</v>
      </c>
      <c r="BL25" s="20">
        <f>IFERROR(VLOOKUP(Tabla145[[#This Row],[Llave]],'[13]Base ultimos planes'!$O:$AA,9,FALSE),0)</f>
        <v>14400</v>
      </c>
      <c r="BM25" s="20">
        <f>IFERROR(VLOOKUP(Tabla145[[#This Row],[Llave]],'[13]Base ultimos planes'!$O:$AA,10,FALSE),0)</f>
        <v>38880</v>
      </c>
      <c r="BN25" s="20">
        <f>IFERROR(VLOOKUP(Tabla145[[#This Row],[Llave]],'[13]Base ultimos planes'!$O:$AA,11,FALSE),0)</f>
        <v>0</v>
      </c>
      <c r="BO25" s="20">
        <f>IFERROR(VLOOKUP(Tabla145[[#This Row],[Llave]],'[13]Base ultimos planes'!$O:$AA,12,FALSE),0)</f>
        <v>28787</v>
      </c>
      <c r="BP25" s="20">
        <f>IFERROR(VLOOKUP(Tabla145[[#This Row],[Llave]],'[13]Base ultimos planes'!$O:$AA,13,FALSE),0)</f>
        <v>30298</v>
      </c>
      <c r="BQ25" s="20"/>
      <c r="BR25" s="20">
        <f>Tabla145[[#This Row],[ RV Producción mes n+1]]*(1-Tabla145[[#This Row],[% Uti. producción]])</f>
        <v>29798.942005311779</v>
      </c>
      <c r="BS25" s="20">
        <f>+Tabla145[[#This Row],[Producción disponible mes n-1]]+Tabla145[[#This Row],[Saldo Volumen disponible]]</f>
        <v>47258.400000000001</v>
      </c>
      <c r="BT25" s="7">
        <f>IFERROR(VLOOKUP(Tabla145[[#This Row],[Llave]],'[21]RV n+2 y n+3'!$B:$F,4,FALSE),0)</f>
        <v>27448.616999999998</v>
      </c>
      <c r="BU25" s="7">
        <f>+Tabla145[[#This Row],[Asignación mes n+2]]*Tabla145[[#This Row],[% Uti. producción]]</f>
        <v>12549.353891890143</v>
      </c>
      <c r="BV25" s="7">
        <f>+Tabla145[[#This Row],[Ponderación mes n+2]]+Tabla145[[#This Row],[Saldo mes n-1]]</f>
        <v>59807.753891890141</v>
      </c>
      <c r="BW25" s="7">
        <f>+Tabla145[[#This Row],[Asignación mes n+2]]-Tabla145[[#This Row],[Ponderación mes n+2]]</f>
        <v>14899.263108109855</v>
      </c>
      <c r="BX25" s="7">
        <f>IFERROR(VLOOKUP(Tabla145[[#This Row],[Llave]],'[21]RV n+2 y n+3'!$B:$F,5,FALSE),0)</f>
        <v>0</v>
      </c>
      <c r="BY25" s="7">
        <f>+Tabla145[[#This Row],[Asignación mes n+3]]*Tabla145[[#This Row],[% Uti. producción]]</f>
        <v>0</v>
      </c>
      <c r="BZ25" s="3">
        <f>+Tabla145[[#This Row],[Ponderación mes n+3]]+Tabla145[[#This Row],[Saldo mes n+2]]</f>
        <v>14899.263108109855</v>
      </c>
      <c r="CA25" s="3">
        <f>+Tabla145[[#This Row],[Asignación mes n+3]]-Tabla145[[#This Row],[Ponderación mes n+3]]</f>
        <v>0</v>
      </c>
      <c r="CB25" s="3">
        <f>+Tabla145[[#This Row],[Producción disponible mes n-1]]+Tabla145[[#This Row],[Producción disponible]]</f>
        <v>54898</v>
      </c>
      <c r="CC25" s="3">
        <f>+Tabla145[[#This Row],[Saldo mes n+4]]-Tabla145[[#This Row],[ RV Producción mes n+1]]</f>
        <v>0</v>
      </c>
    </row>
    <row r="26" spans="1:81" ht="16" x14ac:dyDescent="0.2">
      <c r="A26">
        <v>1</v>
      </c>
      <c r="B26" t="str">
        <f>Tabla145[[#This Row],[Oficina]]&amp;Tabla145[[#This Row],[Material]]</f>
        <v>Agro Sudamerica1021077</v>
      </c>
      <c r="C26" t="s">
        <v>6</v>
      </c>
      <c r="D26" t="s">
        <v>17</v>
      </c>
      <c r="E26">
        <v>1021077</v>
      </c>
      <c r="F26" t="s">
        <v>45</v>
      </c>
      <c r="G26" t="s">
        <v>11</v>
      </c>
      <c r="H26" t="s">
        <v>41</v>
      </c>
      <c r="I26" s="7">
        <f>IFERROR(VLOOKUP(Tabla145[[#This Row],[Llave]],'[7]RV Producción'!$C:$G,5,FALSE),0)</f>
        <v>8004</v>
      </c>
      <c r="J26" s="3">
        <f>IFERROR(IF(Tabla145[[#This Row],[Oficina]]=$I$7,VLOOKUP(Tabla145[[#This Row],[Llave]],'[7]Shangai (Tomas)'!$A:$F,6,FALSE),VLOOKUP(Tabla145[[#This Row],[Llave]],'[7]RV plan de ventas'!$A:$E,5,FALSE)),0)</f>
        <v>0</v>
      </c>
      <c r="K26" s="8">
        <f>IFERROR(VLOOKUP(Tabla145[[#This Row],[Oficina]],[15]Ponderación!$B$2:$E$9,4,FALSE),0)</f>
        <v>0.45719439678473212</v>
      </c>
      <c r="L26" s="7">
        <f>+Tabla145[[#This Row],[ RV Producción mes n+1]]*Tabla145[[#This Row],[% Uti. producción]]</f>
        <v>3659.3839518649957</v>
      </c>
      <c r="M26" s="7">
        <f>IFERROR(VLOOKUP(Tabla145[[#This Row],[Material]],[16]Stock!$G:$K,5,FALSE),0)</f>
        <v>45894</v>
      </c>
      <c r="N26" s="7">
        <f>IFERROR(VLOOKUP(Tabla145[[#This Row],[Material]],[16]Produccion!$M:$N,2,FALSE),0)</f>
        <v>0</v>
      </c>
      <c r="O26" s="7">
        <f>IFERROR(VLOOKUP(Tabla145[[#This Row],[Llave]],'[16]TD Conf-AP'!$I:$M,4,FALSE),0)</f>
        <v>0</v>
      </c>
      <c r="P26" s="14">
        <f>SUM(Tabla145[[#This Row],[Producción disponible]],Tabla145[[#This Row],[Stock al día]],(Tabla145[[#This Row],[Por producir mes N]]*0.9))-Tabla145[[#This Row],[Producción por despachar mes N]]</f>
        <v>49553.383951864998</v>
      </c>
      <c r="Q26" s="7">
        <f>IFERROR(VLOOKUP(Tabla145[[#This Row],[Llave]],[17]DELAY!$A:$D,4,FALSE),0)</f>
        <v>53000</v>
      </c>
      <c r="R26" s="9">
        <v>24000</v>
      </c>
      <c r="S26" s="5">
        <f t="shared" si="5"/>
        <v>48000</v>
      </c>
      <c r="T26" s="76">
        <v>0</v>
      </c>
      <c r="U26" s="5">
        <f>+Tabla145[[#This Row],[Atraso a facturar]]+Tabla145[[#This Row],[Ajuste atraso]]</f>
        <v>48000</v>
      </c>
      <c r="V26" s="3">
        <f>+Tabla145[[#This Row],[Total disponible]]-Tabla145[[#This Row],[Facturación atraso]]</f>
        <v>1553.3839518649984</v>
      </c>
      <c r="W26" s="6">
        <f>IFERROR(IF(AND(V26&gt;R26,J26&gt;=R26),ROUNDDOWN((Tabla145[[#This Row],[Producción para venta nueva]])/R26,0)*R26,0),0)</f>
        <v>0</v>
      </c>
      <c r="X26" s="76">
        <v>0</v>
      </c>
      <c r="Y26" s="6">
        <f>IF(Tabla145[[#This Row],[Venta del mes]]&gt;0,Tabla145[[#This Row],[Venta del mes]]+Tabla145[[#This Row],[Ajuste venta nueva]],0)</f>
        <v>0</v>
      </c>
      <c r="Z26" s="6">
        <f>+Tabla145[[#This Row],[Producción para venta nueva]]-Tabla145[[#This Row],[Facturación Venta nueva]]</f>
        <v>1553.3839518649984</v>
      </c>
      <c r="AA26" s="6">
        <f>IF(AND(A26=1,Tabla145[[#This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" s="6">
        <v>0</v>
      </c>
      <c r="AC26" s="6">
        <f>IF(Tabla145[[#This Row],[Disponible stock sin venta]]&gt;0,Tabla145[[#This Row],[Disponible stock sin venta]]+Tabla145[[#This Row],[Ajuste stock sin venta]],0)</f>
        <v>0</v>
      </c>
      <c r="AD26" s="3">
        <f>IFERROR(VLOOKUP(Tabla145[[#This Row],[Llave]],'[16]TD Puerto'!$A:$D,4,FALSE),0)</f>
        <v>0</v>
      </c>
      <c r="AE26" s="3">
        <v>77000</v>
      </c>
      <c r="AF26" s="3">
        <f>+Tabla145[[#This Row],[Plan Irrestricto Inicial]]</f>
        <v>77000</v>
      </c>
      <c r="AG26" s="3">
        <f>+Tabla145[[#This Row],[En puerto a facturar]]</f>
        <v>0</v>
      </c>
      <c r="AH26" s="3">
        <f>+Tabla145[[#This Row],[Facturación atraso]]</f>
        <v>48000</v>
      </c>
      <c r="AI26" s="3">
        <f>+Tabla145[[#This Row],[Plan Irrestricto]]-Tabla145[[#This Row],[Puerto ]]-Tabla145[[#This Row],[Atraso]]</f>
        <v>29000</v>
      </c>
      <c r="AJ26" s="3">
        <f>IF(Tabla145[[#This Row],[Plan Irrestricto]]&gt;0,SUM(Tabla145[[#This Row],[Facturación atraso]],Tabla145[[#This Row],[Facturación Venta nueva]],Tabla145[[#This Row],[Facturación stock]],Tabla145[[#This Row],[En puerto a facturar]]),0)</f>
        <v>48000</v>
      </c>
      <c r="AK26" s="3">
        <f>+Tabla145[[#This Row],[Facturación atraso]]</f>
        <v>48000</v>
      </c>
      <c r="AL26" s="3">
        <f>+Tabla145[[#This Row],[Plan Ajustado]]-Tabla145[[#This Row],[ Atraso ajustado]]-Tabla145[[#This Row],[Puerto ]]</f>
        <v>0</v>
      </c>
      <c r="AM26" s="6">
        <f>IFERROR(VLOOKUP(Tabla145[[#This Row],[Llave]],[18]!Tabla14[#All],34,FALSE),0)</f>
        <v>0</v>
      </c>
      <c r="AN26" s="6">
        <f>IFERROR(VLOOKUP(Tabla145[[#This Row],[Llave]],[18]!Tabla14[#All],35,FALSE),0)</f>
        <v>0</v>
      </c>
      <c r="AO26" s="3" t="str">
        <f>IF(Tabla145[[#This Row],[Plan Ajustado]]&gt;Tabla145[[#This Row],[En puerto a facturar]],"Si","No")</f>
        <v>Si</v>
      </c>
      <c r="AP26" s="3">
        <f>IF(AND(Tabla145[[#This Row],[Plan Ajustado]]&gt;0,Tabla145[[#This Row],[Plan Ajustado]]&gt;Tabla145[[#This Row],[En puerto a facturar]]),(Tabla145[[#This Row],[Plan Ajustado]]-Tabla145[[#This Row],[En puerto a facturar]]),0)</f>
        <v>48000</v>
      </c>
      <c r="AQ26" s="3">
        <f>IF(Tabla145[[#This Row],[Necesidad]]&gt;=Tabla145[[#This Row],[Stock al día]],Tabla145[[#This Row],[Stock al día]],Tabla145[[#This Row],[Necesidad]])</f>
        <v>45894</v>
      </c>
      <c r="AR26" s="3">
        <f>+Tabla145[[#This Row],[Necesidad]]-Tabla145[[#This Row],[Stock Plan]]</f>
        <v>2106</v>
      </c>
      <c r="AS26" s="155">
        <f>IFERROR(VLOOKUP(Tabla145[[#This Row],[Oficina]],[19]Ponderación!$B$14:$E$21,4,FALSE),"")</f>
        <v>44789</v>
      </c>
      <c r="AT2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1.1064481911376645</v>
      </c>
      <c r="AU26" s="83">
        <f>IFERROR(VLOOKUP(Tabla145[[#This Row],[Llave]],[17]DELAY!$H:$W,16,FALSE),0)</f>
        <v>1.234489302576889</v>
      </c>
      <c r="AV2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1.234489302576889</v>
      </c>
      <c r="AW26" s="5">
        <f>Tabla145[[#This Row],[Ajuste precio IC]]*Tabla145[[#This Row],[Plan Ajustado]]</f>
        <v>57600</v>
      </c>
      <c r="AX26" s="30">
        <f>IFERROR(VLOOKUP(Tabla145[[#This Row],[Llave]],'[13]Ultimos precios facturados'!$A:$G,7,FALSE),0)</f>
        <v>1.1064481911376645</v>
      </c>
      <c r="AY2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0.11572264518555636</v>
      </c>
      <c r="AZ26" s="30">
        <f>IFERROR(VLOOKUP(Tabla145[[#This Row],[Llave]],Hoja2!B:K,10,FALSE),0)</f>
        <v>1.2</v>
      </c>
      <c r="BA26" s="30">
        <f>IF(Tabla145[[#This Row],[Ajuste precio IC]]="",Tabla145[[#This Row],[Precio ponderado]],Tabla145[[#This Row],[Precio ponderado]])</f>
        <v>1.234489302576889</v>
      </c>
      <c r="BB26" s="82"/>
      <c r="BC26" s="82" t="str">
        <f>IF(AND(Tabla145[[#This Row],[Atraso a facturar]]&gt;0,Tabla145[[#This Row],[Precio Atraso]]=0),"Revisar","OK")</f>
        <v>OK</v>
      </c>
      <c r="BD26" s="82" t="str">
        <f>IF(AND(Tabla145[[#This Row],[Venta del mes]]&gt;0,Tabla145[[#This Row],[Precio venta nueva]]=0),"Revisar","OK")</f>
        <v>OK</v>
      </c>
      <c r="BE26" s="20">
        <f>IFERROR(VLOOKUP(Tabla145[[#This Row],[Llave]],'[5]Consolidación planes'!$A:$M,9,FALSE),0)</f>
        <v>0</v>
      </c>
      <c r="BF26" s="20">
        <f>IFERROR(VLOOKUP(Tabla145[[#This Row],[Llave]],'[5]Consolidación planes'!$A:$M,10,FALSE),0)</f>
        <v>24000</v>
      </c>
      <c r="BG26" s="20">
        <f>IFERROR(VLOOKUP(Tabla145[[#This Row],[Llave]],'[5]Consolidación planes'!$A:$M,11,FALSE),0)</f>
        <v>0</v>
      </c>
      <c r="BH26" s="20">
        <f>IFERROR(VLOOKUP(Tabla145[[#This Row],[Llave]],'[5]Consolidación planes'!$A:$M,12,FALSE),0)</f>
        <v>48000</v>
      </c>
      <c r="BI26" s="20">
        <f>IFERROR(VLOOKUP(Tabla145[[#This Row],[Llave]],'[5]Consolidación planes'!$A:$M,13,FALSE),0)</f>
        <v>0</v>
      </c>
      <c r="BJ26" s="20">
        <f>IFERROR(VLOOKUP(Tabla145[[#This Row],[Llave]],'[13]Base ultimos planes'!$A:$M,13,FALSE),0)</f>
        <v>48000</v>
      </c>
      <c r="BK26" s="80">
        <f>IFERROR(VLOOKUP(Tabla145[[#This Row],[Llave]],'[13]Base ultimos planes'!$O:$AA,8,FALSE),0)</f>
        <v>0</v>
      </c>
      <c r="BL26" s="20">
        <f>IFERROR(VLOOKUP(Tabla145[[#This Row],[Llave]],'[13]Base ultimos planes'!$O:$AA,9,FALSE),0)</f>
        <v>29259</v>
      </c>
      <c r="BM26" s="20">
        <f>IFERROR(VLOOKUP(Tabla145[[#This Row],[Llave]],'[13]Base ultimos planes'!$O:$AA,10,FALSE),0)</f>
        <v>0</v>
      </c>
      <c r="BN26" s="20">
        <f>IFERROR(VLOOKUP(Tabla145[[#This Row],[Llave]],'[13]Base ultimos planes'!$O:$AA,11,FALSE),0)</f>
        <v>60720</v>
      </c>
      <c r="BO26" s="20">
        <f>IFERROR(VLOOKUP(Tabla145[[#This Row],[Llave]],'[13]Base ultimos planes'!$O:$AA,12,FALSE),0)</f>
        <v>0</v>
      </c>
      <c r="BP26" s="20">
        <f>IFERROR(VLOOKUP(Tabla145[[#This Row],[Llave]],'[13]Base ultimos planes'!$O:$AA,13,FALSE),0)</f>
        <v>69235</v>
      </c>
      <c r="BQ26" s="20"/>
      <c r="BR26" s="20">
        <f>Tabla145[[#This Row],[ RV Producción mes n+1]]*(1-Tabla145[[#This Row],[% Uti. producción]])</f>
        <v>4344.6160481350043</v>
      </c>
      <c r="BS26" s="20">
        <f>+Tabla145[[#This Row],[Producción disponible mes n-1]]+Tabla145[[#This Row],[Saldo Volumen disponible]]</f>
        <v>5898.0000000000027</v>
      </c>
      <c r="BT26" s="7">
        <f>IFERROR(VLOOKUP(Tabla145[[#This Row],[Llave]],'[21]RV n+2 y n+3'!$B:$F,4,FALSE),0)</f>
        <v>0</v>
      </c>
      <c r="BU26" s="7">
        <f>+Tabla145[[#This Row],[Asignación mes n+2]]*Tabla145[[#This Row],[% Uti. producción]]</f>
        <v>0</v>
      </c>
      <c r="BV26" s="7">
        <f>+Tabla145[[#This Row],[Ponderación mes n+2]]+Tabla145[[#This Row],[Saldo mes n-1]]</f>
        <v>5898.0000000000027</v>
      </c>
      <c r="BW26" s="7">
        <f>+Tabla145[[#This Row],[Asignación mes n+2]]-Tabla145[[#This Row],[Ponderación mes n+2]]</f>
        <v>0</v>
      </c>
      <c r="BX26" s="7">
        <f>IFERROR(VLOOKUP(Tabla145[[#This Row],[Llave]],'[21]RV n+2 y n+3'!$B:$F,5,FALSE),0)</f>
        <v>0</v>
      </c>
      <c r="BY26" s="7">
        <f>+Tabla145[[#This Row],[Asignación mes n+3]]*Tabla145[[#This Row],[% Uti. producción]]</f>
        <v>0</v>
      </c>
      <c r="BZ26" s="3">
        <f>+Tabla145[[#This Row],[Ponderación mes n+3]]+Tabla145[[#This Row],[Saldo mes n+2]]</f>
        <v>0</v>
      </c>
      <c r="CA26" s="3">
        <f>+Tabla145[[#This Row],[Asignación mes n+3]]-Tabla145[[#This Row],[Ponderación mes n+3]]</f>
        <v>0</v>
      </c>
      <c r="CB26" s="3">
        <f>+Tabla145[[#This Row],[Producción disponible mes n-1]]+Tabla145[[#This Row],[Producción disponible]]</f>
        <v>8004</v>
      </c>
      <c r="CC26" s="3">
        <f>+Tabla145[[#This Row],[Saldo mes n+4]]-Tabla145[[#This Row],[ RV Producción mes n+1]]</f>
        <v>0</v>
      </c>
    </row>
    <row r="27" spans="1:81" ht="16" x14ac:dyDescent="0.2">
      <c r="A27">
        <v>1</v>
      </c>
      <c r="B27" t="str">
        <f>Tabla145[[#This Row],[Oficina]]&amp;Tabla145[[#This Row],[Material]]</f>
        <v>Agro Sudamerica1021078</v>
      </c>
      <c r="C27" t="s">
        <v>6</v>
      </c>
      <c r="D27" t="s">
        <v>17</v>
      </c>
      <c r="E27">
        <v>1021078</v>
      </c>
      <c r="F27" t="s">
        <v>74</v>
      </c>
      <c r="G27" t="s">
        <v>71</v>
      </c>
      <c r="H27" t="s">
        <v>72</v>
      </c>
      <c r="I27" s="7">
        <f>IFERROR(VLOOKUP(Tabla145[[#This Row],[Llave]],'[7]RV Producción'!$C:$G,5,FALSE),0)</f>
        <v>80028</v>
      </c>
      <c r="J27" s="3">
        <f>IFERROR(IF(Tabla145[[#This Row],[Oficina]]=$I$7,VLOOKUP(Tabla145[[#This Row],[Llave]],'[7]Shangai (Tomas)'!$A:$F,6,FALSE),VLOOKUP(Tabla145[[#This Row],[Llave]],'[7]RV plan de ventas'!$A:$E,5,FALSE)),0)</f>
        <v>96176</v>
      </c>
      <c r="K27" s="8">
        <f>IFERROR(VLOOKUP(Tabla145[[#This Row],[Oficina]],[15]Ponderación!$B$2:$E$9,4,FALSE),0)</f>
        <v>0.45719439678473212</v>
      </c>
      <c r="L27" s="7">
        <f>+Tabla145[[#This Row],[ RV Producción mes n+1]]*Tabla145[[#This Row],[% Uti. producción]]</f>
        <v>36588.35318588854</v>
      </c>
      <c r="M27" s="7">
        <f>IFERROR(VLOOKUP(Tabla145[[#This Row],[Material]],[16]Stock!$G:$K,5,FALSE),0)</f>
        <v>84600</v>
      </c>
      <c r="N27" s="7">
        <f>IFERROR(VLOOKUP(Tabla145[[#This Row],[Material]],[16]Produccion!$M:$N,2,FALSE),0)</f>
        <v>33635</v>
      </c>
      <c r="O27" s="7">
        <f>IFERROR(VLOOKUP(Tabla145[[#This Row],[Llave]],'[16]TD Conf-AP'!$I:$M,4,FALSE),0)</f>
        <v>0</v>
      </c>
      <c r="P27" s="14">
        <f>SUM(Tabla145[[#This Row],[Producción disponible]],Tabla145[[#This Row],[Stock al día]],(Tabla145[[#This Row],[Por producir mes N]]*0.9))-Tabla145[[#This Row],[Producción por despachar mes N]]</f>
        <v>151459.85318588855</v>
      </c>
      <c r="Q27" s="7">
        <f>IFERROR(VLOOKUP(Tabla145[[#This Row],[Llave]],[17]DELAY!$A:$D,4,FALSE),0)</f>
        <v>144000</v>
      </c>
      <c r="R27" s="9">
        <v>24000</v>
      </c>
      <c r="S27" s="5">
        <f t="shared" si="5"/>
        <v>144000</v>
      </c>
      <c r="T27" s="76">
        <v>0</v>
      </c>
      <c r="U27" s="5">
        <f>+Tabla145[[#This Row],[Atraso a facturar]]+Tabla145[[#This Row],[Ajuste atraso]]</f>
        <v>144000</v>
      </c>
      <c r="V27" s="3">
        <f>+Tabla145[[#This Row],[Total disponible]]-Tabla145[[#This Row],[Facturación atraso]]</f>
        <v>7459.8531858885544</v>
      </c>
      <c r="W27" s="6">
        <f>IFERROR(IF(AND(V27&gt;R27,J27&gt;=R27),ROUNDDOWN((Tabla145[[#This Row],[Producción para venta nueva]])/R27,0)*R27,0),0)</f>
        <v>0</v>
      </c>
      <c r="X27" s="76">
        <v>0</v>
      </c>
      <c r="Y27" s="6">
        <f>IF(Tabla145[[#This Row],[Venta del mes]]&gt;0,Tabla145[[#This Row],[Venta del mes]]+Tabla145[[#This Row],[Ajuste venta nueva]],0)</f>
        <v>0</v>
      </c>
      <c r="Z27" s="6">
        <f>+Tabla145[[#This Row],[Producción para venta nueva]]-Tabla145[[#This Row],[Facturación Venta nueva]]</f>
        <v>7459.8531858885544</v>
      </c>
      <c r="AA27" s="6">
        <f>IF(AND(A27=1,Tabla145[[#This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" s="6">
        <v>0</v>
      </c>
      <c r="AC27" s="6">
        <f>IF(Tabla145[[#This Row],[Disponible stock sin venta]]&gt;0,Tabla145[[#This Row],[Disponible stock sin venta]]+Tabla145[[#This Row],[Ajuste stock sin venta]],0)</f>
        <v>0</v>
      </c>
      <c r="AD27" s="3">
        <f>IFERROR(VLOOKUP(Tabla145[[#This Row],[Llave]],'[16]TD Puerto'!$A:$D,4,FALSE),0)</f>
        <v>0</v>
      </c>
      <c r="AE27" s="3">
        <v>144000</v>
      </c>
      <c r="AF27" s="3">
        <f>+Tabla145[[#This Row],[Plan Irrestricto Inicial]]</f>
        <v>144000</v>
      </c>
      <c r="AG27" s="3">
        <f>+Tabla145[[#This Row],[En puerto a facturar]]</f>
        <v>0</v>
      </c>
      <c r="AH27" s="3">
        <f>+Tabla145[[#This Row],[Facturación atraso]]</f>
        <v>144000</v>
      </c>
      <c r="AI27" s="3">
        <f>+Tabla145[[#This Row],[Plan Irrestricto]]-Tabla145[[#This Row],[Puerto ]]-Tabla145[[#This Row],[Atraso]]</f>
        <v>0</v>
      </c>
      <c r="AJ27" s="3">
        <f>IF(Tabla145[[#This Row],[Plan Irrestricto]]&gt;0,SUM(Tabla145[[#This Row],[Facturación atraso]],Tabla145[[#This Row],[Facturación Venta nueva]],Tabla145[[#This Row],[Facturación stock]],Tabla145[[#This Row],[En puerto a facturar]]),0)</f>
        <v>144000</v>
      </c>
      <c r="AK27" s="3">
        <f>+Tabla145[[#This Row],[Facturación atraso]]</f>
        <v>144000</v>
      </c>
      <c r="AL27" s="3">
        <f>+Tabla145[[#This Row],[Plan Ajustado]]-Tabla145[[#This Row],[ Atraso ajustado]]-Tabla145[[#This Row],[Puerto ]]</f>
        <v>0</v>
      </c>
      <c r="AM27" s="6">
        <f>IFERROR(VLOOKUP(Tabla145[[#This Row],[Llave]],[18]!Tabla14[#All],34,FALSE),0)</f>
        <v>0</v>
      </c>
      <c r="AN27" s="6">
        <f>IFERROR(VLOOKUP(Tabla145[[#This Row],[Llave]],[18]!Tabla14[#All],35,FALSE),0)</f>
        <v>0</v>
      </c>
      <c r="AO27" s="3" t="str">
        <f>IF(Tabla145[[#This Row],[Plan Ajustado]]&gt;Tabla145[[#This Row],[En puerto a facturar]],"Si","No")</f>
        <v>Si</v>
      </c>
      <c r="AP27" s="3">
        <f>IF(AND(Tabla145[[#This Row],[Plan Ajustado]]&gt;0,Tabla145[[#This Row],[Plan Ajustado]]&gt;Tabla145[[#This Row],[En puerto a facturar]]),(Tabla145[[#This Row],[Plan Ajustado]]-Tabla145[[#This Row],[En puerto a facturar]]),0)</f>
        <v>144000</v>
      </c>
      <c r="AQ27" s="3">
        <f>IF(Tabla145[[#This Row],[Necesidad]]&gt;=Tabla145[[#This Row],[Stock al día]],Tabla145[[#This Row],[Stock al día]],Tabla145[[#This Row],[Necesidad]])</f>
        <v>84600</v>
      </c>
      <c r="AR27" s="3">
        <f>+Tabla145[[#This Row],[Necesidad]]-Tabla145[[#This Row],[Stock Plan]]</f>
        <v>59400</v>
      </c>
      <c r="AS27" s="155">
        <f>IFERROR(VLOOKUP(Tabla145[[#This Row],[Oficina]],[19]Ponderación!$B$14:$E$21,4,FALSE),"")</f>
        <v>44789</v>
      </c>
      <c r="AT2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2.2700049908501101</v>
      </c>
      <c r="AU27" s="83">
        <f>IFERROR(VLOOKUP(Tabla145[[#This Row],[Llave]],[17]DELAY!$H:$W,16,FALSE),0)</f>
        <v>2.266</v>
      </c>
      <c r="AV2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2.266</v>
      </c>
      <c r="AW27" s="5">
        <f>Tabla145[[#This Row],[Ajuste precio IC]]*Tabla145[[#This Row],[Plan Ajustado]]</f>
        <v>302881</v>
      </c>
      <c r="AX27" s="30">
        <f>IFERROR(VLOOKUP(Tabla145[[#This Row],[Llave]],'[13]Ultimos precios facturados'!$A:$G,7,FALSE),0)</f>
        <v>2.1677225776250446</v>
      </c>
      <c r="AY2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4.5336715772286727E-2</v>
      </c>
      <c r="AZ27" s="30">
        <f>IFERROR(VLOOKUP(Tabla145[[#This Row],[Llave]],Hoja2!B:K,10,FALSE),0)</f>
        <v>2.1033402777777779</v>
      </c>
      <c r="BA27" s="30">
        <f>IF(Tabla145[[#This Row],[Ajuste precio IC]]="",Tabla145[[#This Row],[Precio ponderado]],Tabla145[[#This Row],[Precio ponderado]])</f>
        <v>2.266</v>
      </c>
      <c r="BB27" s="82"/>
      <c r="BC27" s="82" t="str">
        <f>IF(AND(Tabla145[[#This Row],[Atraso a facturar]]&gt;0,Tabla145[[#This Row],[Precio Atraso]]=0),"Revisar","OK")</f>
        <v>OK</v>
      </c>
      <c r="BD27" s="82" t="str">
        <f>IF(AND(Tabla145[[#This Row],[Venta del mes]]&gt;0,Tabla145[[#This Row],[Precio venta nueva]]=0),"Revisar","OK")</f>
        <v>OK</v>
      </c>
      <c r="BE27" s="20">
        <f>IFERROR(VLOOKUP(Tabla145[[#This Row],[Llave]],'[5]Consolidación planes'!$A:$M,9,FALSE),0)</f>
        <v>48000</v>
      </c>
      <c r="BF27" s="20">
        <f>IFERROR(VLOOKUP(Tabla145[[#This Row],[Llave]],'[5]Consolidación planes'!$A:$M,10,FALSE),0)</f>
        <v>107000</v>
      </c>
      <c r="BG27" s="20">
        <f>IFERROR(VLOOKUP(Tabla145[[#This Row],[Llave]],'[5]Consolidación planes'!$A:$M,11,FALSE),0)</f>
        <v>143000</v>
      </c>
      <c r="BH27" s="20">
        <f>IFERROR(VLOOKUP(Tabla145[[#This Row],[Llave]],'[5]Consolidación planes'!$A:$M,12,FALSE),0)</f>
        <v>96000</v>
      </c>
      <c r="BI27" s="20">
        <f>IFERROR(VLOOKUP(Tabla145[[#This Row],[Llave]],'[5]Consolidación planes'!$A:$M,13,FALSE),0)</f>
        <v>96000</v>
      </c>
      <c r="BJ27" s="20">
        <f>IFERROR(VLOOKUP(Tabla145[[#This Row],[Llave]],'[13]Base ultimos planes'!$A:$M,13,FALSE),0)</f>
        <v>96000</v>
      </c>
      <c r="BK27" s="80">
        <f>IFERROR(VLOOKUP(Tabla145[[#This Row],[Llave]],'[13]Base ultimos planes'!$O:$AA,8,FALSE),0)</f>
        <v>97440</v>
      </c>
      <c r="BL27" s="20">
        <f>IFERROR(VLOOKUP(Tabla145[[#This Row],[Llave]],'[13]Base ultimos planes'!$O:$AA,9,FALSE),0)</f>
        <v>222108</v>
      </c>
      <c r="BM27" s="20">
        <f>IFERROR(VLOOKUP(Tabla145[[#This Row],[Llave]],'[13]Base ultimos planes'!$O:$AA,10,FALSE),0)</f>
        <v>309400</v>
      </c>
      <c r="BN27" s="20">
        <f>IFERROR(VLOOKUP(Tabla145[[#This Row],[Llave]],'[13]Base ultimos planes'!$O:$AA,11,FALSE),0)</f>
        <v>198480</v>
      </c>
      <c r="BO27" s="20">
        <f>IFERROR(VLOOKUP(Tabla145[[#This Row],[Llave]],'[13]Base ultimos planes'!$O:$AA,12,FALSE),0)</f>
        <v>209280</v>
      </c>
      <c r="BP27" s="20">
        <f>IFERROR(VLOOKUP(Tabla145[[#This Row],[Llave]],'[13]Base ultimos planes'!$O:$AA,13,FALSE),0)</f>
        <v>209605</v>
      </c>
      <c r="BQ27" s="20"/>
      <c r="BR27" s="20">
        <f>Tabla145[[#This Row],[ RV Producción mes n+1]]*(1-Tabla145[[#This Row],[% Uti. producción]])</f>
        <v>43439.64681411146</v>
      </c>
      <c r="BS27" s="20">
        <f>+Tabla145[[#This Row],[Producción disponible mes n-1]]+Tabla145[[#This Row],[Saldo Volumen disponible]]</f>
        <v>50899.500000000015</v>
      </c>
      <c r="BT27" s="7">
        <f>IFERROR(VLOOKUP(Tabla145[[#This Row],[Llave]],'[21]RV n+2 y n+3'!$B:$F,4,FALSE),0)</f>
        <v>64690.871999999996</v>
      </c>
      <c r="BU27" s="7">
        <f>+Tabla145[[#This Row],[Asignación mes n+2]]*Tabla145[[#This Row],[% Uti. producción]]</f>
        <v>29576.304201518316</v>
      </c>
      <c r="BV27" s="7">
        <f>+Tabla145[[#This Row],[Ponderación mes n+2]]+Tabla145[[#This Row],[Saldo mes n-1]]</f>
        <v>80475.804201518331</v>
      </c>
      <c r="BW27" s="7">
        <f>+Tabla145[[#This Row],[Asignación mes n+2]]-Tabla145[[#This Row],[Ponderación mes n+2]]</f>
        <v>35114.567798481679</v>
      </c>
      <c r="BX27" s="7">
        <f>IFERROR(VLOOKUP(Tabla145[[#This Row],[Llave]],'[21]RV n+2 y n+3'!$B:$F,5,FALSE),0)</f>
        <v>53744.320999999996</v>
      </c>
      <c r="BY27" s="7">
        <f>+Tabla145[[#This Row],[Asignación mes n+3]]*Tabla145[[#This Row],[% Uti. producción]]</f>
        <v>24571.602420200008</v>
      </c>
      <c r="BZ27" s="3">
        <f>+Tabla145[[#This Row],[Ponderación mes n+3]]+Tabla145[[#This Row],[Saldo mes n+2]]</f>
        <v>59686.170218681684</v>
      </c>
      <c r="CA27" s="3">
        <f>+Tabla145[[#This Row],[Asignación mes n+3]]-Tabla145[[#This Row],[Ponderación mes n+3]]</f>
        <v>29172.718579799988</v>
      </c>
      <c r="CB27" s="3">
        <f>+Tabla145[[#This Row],[Producción disponible mes n-1]]+Tabla145[[#This Row],[Producción disponible]]</f>
        <v>80028</v>
      </c>
      <c r="CC27" s="3">
        <f>+Tabla145[[#This Row],[Saldo mes n+4]]-Tabla145[[#This Row],[ RV Producción mes n+1]]</f>
        <v>0</v>
      </c>
    </row>
    <row r="28" spans="1:81" ht="16" x14ac:dyDescent="0.2">
      <c r="A28">
        <v>1</v>
      </c>
      <c r="B28" t="str">
        <f>Tabla145[[#This Row],[Oficina]]&amp;Tabla145[[#This Row],[Material]]</f>
        <v>Agro Sudamerica1021082</v>
      </c>
      <c r="C28" t="s">
        <v>6</v>
      </c>
      <c r="D28" t="s">
        <v>17</v>
      </c>
      <c r="E28">
        <v>1021082</v>
      </c>
      <c r="F28" t="s">
        <v>283</v>
      </c>
      <c r="G28" t="s">
        <v>71</v>
      </c>
      <c r="H28" t="s">
        <v>72</v>
      </c>
      <c r="I28" s="7">
        <f>IFERROR(VLOOKUP(Tabla145[[#This Row],[Llave]],'[7]RV Producción'!$C:$G,5,FALSE),0)</f>
        <v>117869</v>
      </c>
      <c r="J28" s="3">
        <f>IFERROR(IF(Tabla145[[#This Row],[Oficina]]=$I$7,VLOOKUP(Tabla145[[#This Row],[Llave]],'[7]Shangai (Tomas)'!$A:$F,6,FALSE),VLOOKUP(Tabla145[[#This Row],[Llave]],'[7]RV plan de ventas'!$A:$E,5,FALSE)),0)</f>
        <v>96000</v>
      </c>
      <c r="K28" s="8">
        <f>IFERROR(VLOOKUP(Tabla145[[#This Row],[Oficina]],[15]Ponderación!$B$2:$E$9,4,FALSE),0)</f>
        <v>0.45719439678473212</v>
      </c>
      <c r="L28" s="7">
        <f>+Tabla145[[#This Row],[ RV Producción mes n+1]]*Tabla145[[#This Row],[% Uti. producción]]</f>
        <v>53889.04635461959</v>
      </c>
      <c r="M28" s="7">
        <f>IFERROR(VLOOKUP(Tabla145[[#This Row],[Material]],[16]Stock!$G:$K,5,FALSE),0)</f>
        <v>27671</v>
      </c>
      <c r="N28" s="7">
        <f>IFERROR(VLOOKUP(Tabla145[[#This Row],[Material]],[16]Produccion!$M:$N,2,FALSE),0)</f>
        <v>0</v>
      </c>
      <c r="O28" s="7">
        <f>IFERROR(VLOOKUP(Tabla145[[#This Row],[Llave]],'[16]TD Conf-AP'!$I:$M,4,FALSE),0)</f>
        <v>0</v>
      </c>
      <c r="P28" s="14">
        <f>SUM(Tabla145[[#This Row],[Producción disponible]],Tabla145[[#This Row],[Stock al día]],(Tabla145[[#This Row],[Por producir mes N]]*0.9))-Tabla145[[#This Row],[Producción por despachar mes N]]</f>
        <v>81560.046354619582</v>
      </c>
      <c r="Q28" s="7">
        <f>IFERROR(VLOOKUP(Tabla145[[#This Row],[Llave]],[17]DELAY!$A:$D,4,FALSE),0)</f>
        <v>49500</v>
      </c>
      <c r="R28" s="9">
        <v>24000</v>
      </c>
      <c r="S28" s="5">
        <f t="shared" si="5"/>
        <v>49500</v>
      </c>
      <c r="T28" s="76">
        <v>0</v>
      </c>
      <c r="U28" s="5">
        <f>+Tabla145[[#This Row],[Atraso a facturar]]+Tabla145[[#This Row],[Ajuste atraso]]</f>
        <v>49500</v>
      </c>
      <c r="V28" s="3">
        <f>+Tabla145[[#This Row],[Total disponible]]-Tabla145[[#This Row],[Facturación atraso]]</f>
        <v>32060.046354619582</v>
      </c>
      <c r="W28" s="6">
        <f>IFERROR(IF(AND(V28&gt;R28,J28&gt;=R28),ROUNDDOWN((Tabla145[[#This Row],[Producción para venta nueva]])/R28,0)*R28,0),0)</f>
        <v>24000</v>
      </c>
      <c r="X28" s="76">
        <v>0</v>
      </c>
      <c r="Y28" s="6">
        <f>IF(Tabla145[[#This Row],[Venta del mes]]&gt;0,Tabla145[[#This Row],[Venta del mes]]+Tabla145[[#This Row],[Ajuste venta nueva]],0)</f>
        <v>24000</v>
      </c>
      <c r="Z28" s="6">
        <f>+Tabla145[[#This Row],[Producción para venta nueva]]-Tabla145[[#This Row],[Facturación Venta nueva]]</f>
        <v>8060.0463546195824</v>
      </c>
      <c r="AA28" s="6">
        <f>IF(AND(A28=1,Tabla145[[#This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" s="6">
        <v>0</v>
      </c>
      <c r="AC28" s="6">
        <f>IF(Tabla145[[#This Row],[Disponible stock sin venta]]&gt;0,Tabla145[[#This Row],[Disponible stock sin venta]]+Tabla145[[#This Row],[Ajuste stock sin venta]],0)</f>
        <v>0</v>
      </c>
      <c r="AD28" s="3">
        <f>IFERROR(VLOOKUP(Tabla145[[#This Row],[Llave]],'[16]TD Puerto'!$A:$D,4,FALSE),0)</f>
        <v>0</v>
      </c>
      <c r="AE28" s="3">
        <v>73500</v>
      </c>
      <c r="AF28" s="3">
        <f>+Tabla145[[#This Row],[Plan Irrestricto Inicial]]</f>
        <v>73500</v>
      </c>
      <c r="AG28" s="3">
        <f>+Tabla145[[#This Row],[En puerto a facturar]]</f>
        <v>0</v>
      </c>
      <c r="AH28" s="3">
        <f>+Tabla145[[#This Row],[Facturación atraso]]</f>
        <v>49500</v>
      </c>
      <c r="AI28" s="3">
        <f>+Tabla145[[#This Row],[Plan Irrestricto]]-Tabla145[[#This Row],[Puerto ]]-Tabla145[[#This Row],[Atraso]]</f>
        <v>24000</v>
      </c>
      <c r="AJ28" s="3">
        <f>IF(Tabla145[[#This Row],[Plan Irrestricto]]&gt;0,SUM(Tabla145[[#This Row],[Facturación atraso]],Tabla145[[#This Row],[Facturación Venta nueva]],Tabla145[[#This Row],[Facturación stock]],Tabla145[[#This Row],[En puerto a facturar]]),0)</f>
        <v>73500</v>
      </c>
      <c r="AK28" s="3">
        <f>+Tabla145[[#This Row],[Facturación atraso]]</f>
        <v>49500</v>
      </c>
      <c r="AL28" s="3">
        <f>+Tabla145[[#This Row],[Plan Ajustado]]-Tabla145[[#This Row],[ Atraso ajustado]]-Tabla145[[#This Row],[Puerto ]]</f>
        <v>24000</v>
      </c>
      <c r="AM28" s="6">
        <f>IFERROR(VLOOKUP(Tabla145[[#This Row],[Llave]],[18]!Tabla14[#All],34,FALSE),0)</f>
        <v>0</v>
      </c>
      <c r="AN28" s="6">
        <f>IFERROR(VLOOKUP(Tabla145[[#This Row],[Llave]],[18]!Tabla14[#All],35,FALSE),0)</f>
        <v>0</v>
      </c>
      <c r="AO28" s="3" t="str">
        <f>IF(Tabla145[[#This Row],[Plan Ajustado]]&gt;Tabla145[[#This Row],[En puerto a facturar]],"Si","No")</f>
        <v>Si</v>
      </c>
      <c r="AP28" s="3">
        <f>IF(AND(Tabla145[[#This Row],[Plan Ajustado]]&gt;0,Tabla145[[#This Row],[Plan Ajustado]]&gt;Tabla145[[#This Row],[En puerto a facturar]]),(Tabla145[[#This Row],[Plan Ajustado]]-Tabla145[[#This Row],[En puerto a facturar]]),0)</f>
        <v>73500</v>
      </c>
      <c r="AQ28" s="3">
        <f>IF(Tabla145[[#This Row],[Necesidad]]&gt;=Tabla145[[#This Row],[Stock al día]],Tabla145[[#This Row],[Stock al día]],Tabla145[[#This Row],[Necesidad]])</f>
        <v>27671</v>
      </c>
      <c r="AR28" s="3">
        <f>+Tabla145[[#This Row],[Necesidad]]-Tabla145[[#This Row],[Stock Plan]]</f>
        <v>45829</v>
      </c>
      <c r="AS28" s="155">
        <f>IFERROR(VLOOKUP(Tabla145[[#This Row],[Oficina]],[19]Ponderación!$B$14:$E$21,4,FALSE),"")</f>
        <v>44789</v>
      </c>
      <c r="AT2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1.6491770833333299</v>
      </c>
      <c r="AU28" s="83">
        <f>IFERROR(VLOOKUP(Tabla145[[#This Row],[Llave]],[17]DELAY!$H:$W,16,FALSE),0)</f>
        <v>1.571007181259402</v>
      </c>
      <c r="AV2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1.5965320472427253</v>
      </c>
      <c r="AW28" s="5">
        <f>Tabla145[[#This Row],[Ajuste precio IC]]*Tabla145[[#This Row],[Plan Ajustado]]</f>
        <v>110250</v>
      </c>
      <c r="AX28" s="30">
        <f>IFERROR(VLOOKUP(Tabla145[[#This Row],[Llave]],'[13]Ultimos precios facturados'!$A:$G,7,FALSE),0)</f>
        <v>1.7154057164580345</v>
      </c>
      <c r="AY2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6.9297699124355974E-2</v>
      </c>
      <c r="AZ28" s="30">
        <f>IFERROR(VLOOKUP(Tabla145[[#This Row],[Llave]],Hoja2!B:K,10,FALSE),0)</f>
        <v>1.5</v>
      </c>
      <c r="BA28" s="30">
        <f>IF(Tabla145[[#This Row],[Ajuste precio IC]]="",Tabla145[[#This Row],[Precio ponderado]],Tabla145[[#This Row],[Precio ponderado]])</f>
        <v>1.5965320472427253</v>
      </c>
      <c r="BB28" s="82"/>
      <c r="BC28" s="82" t="str">
        <f>IF(AND(Tabla145[[#This Row],[Atraso a facturar]]&gt;0,Tabla145[[#This Row],[Precio Atraso]]=0),"Revisar","OK")</f>
        <v>OK</v>
      </c>
      <c r="BD28" s="82" t="str">
        <f>IF(AND(Tabla145[[#This Row],[Venta del mes]]&gt;0,Tabla145[[#This Row],[Precio venta nueva]]=0),"Revisar","OK")</f>
        <v>OK</v>
      </c>
      <c r="BE28" s="20">
        <f>IFERROR(VLOOKUP(Tabla145[[#This Row],[Llave]],'[5]Consolidación planes'!$A:$M,9,FALSE),0)</f>
        <v>0</v>
      </c>
      <c r="BF28" s="20">
        <f>IFERROR(VLOOKUP(Tabla145[[#This Row],[Llave]],'[5]Consolidación planes'!$A:$M,10,FALSE),0)</f>
        <v>0</v>
      </c>
      <c r="BG28" s="20">
        <f>IFERROR(VLOOKUP(Tabla145[[#This Row],[Llave]],'[5]Consolidación planes'!$A:$M,11,FALSE),0)</f>
        <v>0</v>
      </c>
      <c r="BH28" s="20">
        <f>IFERROR(VLOOKUP(Tabla145[[#This Row],[Llave]],'[5]Consolidación planes'!$A:$M,12,FALSE),0)</f>
        <v>0</v>
      </c>
      <c r="BI28" s="20">
        <f>IFERROR(VLOOKUP(Tabla145[[#This Row],[Llave]],'[5]Consolidación planes'!$A:$M,13,FALSE),0)</f>
        <v>2500</v>
      </c>
      <c r="BJ28" s="20">
        <f>IFERROR(VLOOKUP(Tabla145[[#This Row],[Llave]],'[13]Base ultimos planes'!$A:$M,13,FALSE),0)</f>
        <v>48000</v>
      </c>
      <c r="BK28" s="80">
        <f>IFERROR(VLOOKUP(Tabla145[[#This Row],[Llave]],'[13]Base ultimos planes'!$O:$AA,8,FALSE),0)</f>
        <v>0</v>
      </c>
      <c r="BL28" s="20">
        <f>IFERROR(VLOOKUP(Tabla145[[#This Row],[Llave]],'[13]Base ultimos planes'!$O:$AA,9,FALSE),0)</f>
        <v>0</v>
      </c>
      <c r="BM28" s="20">
        <f>IFERROR(VLOOKUP(Tabla145[[#This Row],[Llave]],'[13]Base ultimos planes'!$O:$AA,10,FALSE),0)</f>
        <v>0</v>
      </c>
      <c r="BN28" s="20">
        <f>IFERROR(VLOOKUP(Tabla145[[#This Row],[Llave]],'[13]Base ultimos planes'!$O:$AA,11,FALSE),0)</f>
        <v>0</v>
      </c>
      <c r="BO28" s="20">
        <f>IFERROR(VLOOKUP(Tabla145[[#This Row],[Llave]],'[13]Base ultimos planes'!$O:$AA,12,FALSE),0)</f>
        <v>5125</v>
      </c>
      <c r="BP28" s="20">
        <f>IFERROR(VLOOKUP(Tabla145[[#This Row],[Llave]],'[13]Base ultimos planes'!$O:$AA,13,FALSE),0)</f>
        <v>86646</v>
      </c>
      <c r="BQ28" s="20"/>
      <c r="BR28" s="20">
        <f>Tabla145[[#This Row],[ RV Producción mes n+1]]*(1-Tabla145[[#This Row],[% Uti. producción]])</f>
        <v>63979.953645380418</v>
      </c>
      <c r="BS28" s="20">
        <f>+Tabla145[[#This Row],[Producción disponible mes n-1]]+Tabla145[[#This Row],[Saldo Volumen disponible]]</f>
        <v>72040</v>
      </c>
      <c r="BT28" s="7">
        <f>IFERROR(VLOOKUP(Tabla145[[#This Row],[Llave]],'[21]RV n+2 y n+3'!$B:$F,4,FALSE),0)</f>
        <v>144000</v>
      </c>
      <c r="BU28" s="7">
        <f>+Tabla145[[#This Row],[Asignación mes n+2]]*Tabla145[[#This Row],[% Uti. producción]]</f>
        <v>65835.993137001424</v>
      </c>
      <c r="BV28" s="7">
        <f>+Tabla145[[#This Row],[Ponderación mes n+2]]+Tabla145[[#This Row],[Saldo mes n-1]]</f>
        <v>137875.99313700141</v>
      </c>
      <c r="BW28" s="7">
        <f>+Tabla145[[#This Row],[Asignación mes n+2]]-Tabla145[[#This Row],[Ponderación mes n+2]]</f>
        <v>78164.006862998576</v>
      </c>
      <c r="BX28" s="7">
        <f>IFERROR(VLOOKUP(Tabla145[[#This Row],[Llave]],'[21]RV n+2 y n+3'!$B:$F,5,FALSE),0)</f>
        <v>67436.351999999999</v>
      </c>
      <c r="BY28" s="7">
        <f>+Tabla145[[#This Row],[Asignación mes n+3]]*Tabla145[[#This Row],[% Uti. producción]]</f>
        <v>30831.522274002862</v>
      </c>
      <c r="BZ28" s="3">
        <f>+Tabla145[[#This Row],[Ponderación mes n+3]]+Tabla145[[#This Row],[Saldo mes n+2]]</f>
        <v>108995.52913700143</v>
      </c>
      <c r="CA28" s="3">
        <f>+Tabla145[[#This Row],[Asignación mes n+3]]-Tabla145[[#This Row],[Ponderación mes n+3]]</f>
        <v>36604.829725997137</v>
      </c>
      <c r="CB28" s="3">
        <f>+Tabla145[[#This Row],[Producción disponible mes n-1]]+Tabla145[[#This Row],[Producción disponible]]</f>
        <v>117869</v>
      </c>
      <c r="CC28" s="3">
        <f>+Tabla145[[#This Row],[Saldo mes n+4]]-Tabla145[[#This Row],[ RV Producción mes n+1]]</f>
        <v>0</v>
      </c>
    </row>
    <row r="29" spans="1:81" ht="16" x14ac:dyDescent="0.2">
      <c r="A29">
        <v>1</v>
      </c>
      <c r="B29" t="str">
        <f>Tabla145[[#This Row],[Oficina]]&amp;Tabla145[[#This Row],[Material]]</f>
        <v>Agro Sudamerica1021085</v>
      </c>
      <c r="C29" t="s">
        <v>6</v>
      </c>
      <c r="D29" t="s">
        <v>17</v>
      </c>
      <c r="E29">
        <v>1021085</v>
      </c>
      <c r="F29" t="s">
        <v>44</v>
      </c>
      <c r="G29" t="s">
        <v>11</v>
      </c>
      <c r="H29" t="s">
        <v>41</v>
      </c>
      <c r="I29" s="7">
        <f>IFERROR(VLOOKUP(Tabla145[[#This Row],[Llave]],'[7]RV Producción'!$C:$G,5,FALSE),0)</f>
        <v>22880</v>
      </c>
      <c r="J29" s="3">
        <f>IFERROR(IF(Tabla145[[#This Row],[Oficina]]=$I$7,VLOOKUP(Tabla145[[#This Row],[Llave]],'[7]Shangai (Tomas)'!$A:$F,6,FALSE),VLOOKUP(Tabla145[[#This Row],[Llave]],'[7]RV plan de ventas'!$A:$E,5,FALSE)),0)</f>
        <v>24000</v>
      </c>
      <c r="K29" s="8">
        <f>IFERROR(VLOOKUP(Tabla145[[#This Row],[Oficina]],[15]Ponderación!$B$2:$E$9,4,FALSE),0)</f>
        <v>0.45719439678473212</v>
      </c>
      <c r="L29" s="7">
        <f>+Tabla145[[#This Row],[ RV Producción mes n+1]]*Tabla145[[#This Row],[% Uti. producción]]</f>
        <v>10460.60779843467</v>
      </c>
      <c r="M29" s="7">
        <f>IFERROR(VLOOKUP(Tabla145[[#This Row],[Material]],[16]Stock!$G:$K,5,FALSE),0)</f>
        <v>21312</v>
      </c>
      <c r="N29" s="7">
        <f>IFERROR(VLOOKUP(Tabla145[[#This Row],[Material]],[16]Produccion!$M:$N,2,FALSE),0)</f>
        <v>0</v>
      </c>
      <c r="O29" s="7">
        <f>IFERROR(VLOOKUP(Tabla145[[#This Row],[Llave]],'[16]TD Conf-AP'!$I:$M,4,FALSE),0)</f>
        <v>0</v>
      </c>
      <c r="P29" s="14">
        <f>SUM(Tabla145[[#This Row],[Producción disponible]],Tabla145[[#This Row],[Stock al día]],(Tabla145[[#This Row],[Por producir mes N]]*0.9))-Tabla145[[#This Row],[Producción por despachar mes N]]</f>
        <v>31772.60779843467</v>
      </c>
      <c r="Q29" s="7">
        <f>IFERROR(VLOOKUP(Tabla145[[#This Row],[Llave]],[17]DELAY!$A:$D,4,FALSE),0)</f>
        <v>21300</v>
      </c>
      <c r="R29" s="9">
        <v>24000</v>
      </c>
      <c r="S29" s="5">
        <f t="shared" si="5"/>
        <v>21300</v>
      </c>
      <c r="T29" s="76">
        <v>0</v>
      </c>
      <c r="U29" s="5">
        <f>+Tabla145[[#This Row],[Atraso a facturar]]+Tabla145[[#This Row],[Ajuste atraso]]</f>
        <v>21300</v>
      </c>
      <c r="V29" s="3">
        <f>+Tabla145[[#This Row],[Total disponible]]-Tabla145[[#This Row],[Facturación atraso]]</f>
        <v>10472.60779843467</v>
      </c>
      <c r="W29" s="6">
        <f>IFERROR(IF(AND(V29&gt;R29,J29&gt;=R29),ROUNDDOWN((Tabla145[[#This Row],[Producción para venta nueva]])/R29,0)*R29,0),0)</f>
        <v>0</v>
      </c>
      <c r="X29" s="76">
        <v>0</v>
      </c>
      <c r="Y29" s="6">
        <f>IF(Tabla145[[#This Row],[Venta del mes]]&gt;0,Tabla145[[#This Row],[Venta del mes]]+Tabla145[[#This Row],[Ajuste venta nueva]],0)</f>
        <v>0</v>
      </c>
      <c r="Z29" s="6">
        <f>+Tabla145[[#This Row],[Producción para venta nueva]]-Tabla145[[#This Row],[Facturación Venta nueva]]</f>
        <v>10472.60779843467</v>
      </c>
      <c r="AA29" s="6">
        <f>IF(AND(A29=1,Tabla145[[#This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" s="6">
        <v>0</v>
      </c>
      <c r="AC29" s="6">
        <f>IF(Tabla145[[#This Row],[Disponible stock sin venta]]&gt;0,Tabla145[[#This Row],[Disponible stock sin venta]]+Tabla145[[#This Row],[Ajuste stock sin venta]],0)</f>
        <v>0</v>
      </c>
      <c r="AD29" s="3">
        <f>IFERROR(VLOOKUP(Tabla145[[#This Row],[Llave]],'[16]TD Puerto'!$A:$D,4,FALSE),0)</f>
        <v>0</v>
      </c>
      <c r="AE29" s="3">
        <v>21300</v>
      </c>
      <c r="AF29" s="3">
        <f>+Tabla145[[#This Row],[Plan Irrestricto Inicial]]</f>
        <v>21300</v>
      </c>
      <c r="AG29" s="3">
        <f>+Tabla145[[#This Row],[En puerto a facturar]]</f>
        <v>0</v>
      </c>
      <c r="AH29" s="3">
        <f>+Tabla145[[#This Row],[Facturación atraso]]</f>
        <v>21300</v>
      </c>
      <c r="AI29" s="3">
        <f>+Tabla145[[#This Row],[Plan Irrestricto]]-Tabla145[[#This Row],[Puerto ]]-Tabla145[[#This Row],[Atraso]]</f>
        <v>0</v>
      </c>
      <c r="AJ29" s="3">
        <f>IF(Tabla145[[#This Row],[Plan Irrestricto]]&gt;0,SUM(Tabla145[[#This Row],[Facturación atraso]],Tabla145[[#This Row],[Facturación Venta nueva]],Tabla145[[#This Row],[Facturación stock]],Tabla145[[#This Row],[En puerto a facturar]]),0)</f>
        <v>21300</v>
      </c>
      <c r="AK29" s="3">
        <f>+Tabla145[[#This Row],[Facturación atraso]]</f>
        <v>21300</v>
      </c>
      <c r="AL29" s="3">
        <f>+Tabla145[[#This Row],[Plan Ajustado]]-Tabla145[[#This Row],[ Atraso ajustado]]-Tabla145[[#This Row],[Puerto ]]</f>
        <v>0</v>
      </c>
      <c r="AM29" s="6">
        <f>IFERROR(VLOOKUP(Tabla145[[#This Row],[Llave]],[18]!Tabla14[#All],34,FALSE),0)</f>
        <v>0</v>
      </c>
      <c r="AN29" s="6">
        <f>IFERROR(VLOOKUP(Tabla145[[#This Row],[Llave]],[18]!Tabla14[#All],35,FALSE),0)</f>
        <v>0</v>
      </c>
      <c r="AO29" s="3" t="str">
        <f>IF(Tabla145[[#This Row],[Plan Ajustado]]&gt;Tabla145[[#This Row],[En puerto a facturar]],"Si","No")</f>
        <v>Si</v>
      </c>
      <c r="AP29" s="3">
        <f>IF(AND(Tabla145[[#This Row],[Plan Ajustado]]&gt;0,Tabla145[[#This Row],[Plan Ajustado]]&gt;Tabla145[[#This Row],[En puerto a facturar]]),(Tabla145[[#This Row],[Plan Ajustado]]-Tabla145[[#This Row],[En puerto a facturar]]),0)</f>
        <v>21300</v>
      </c>
      <c r="AQ29" s="3">
        <f>IF(Tabla145[[#This Row],[Necesidad]]&gt;=Tabla145[[#This Row],[Stock al día]],Tabla145[[#This Row],[Stock al día]],Tabla145[[#This Row],[Necesidad]])</f>
        <v>21300</v>
      </c>
      <c r="AR29" s="3">
        <f>+Tabla145[[#This Row],[Necesidad]]-Tabla145[[#This Row],[Stock Plan]]</f>
        <v>0</v>
      </c>
      <c r="AS29" s="155">
        <f>IFERROR(VLOOKUP(Tabla145[[#This Row],[Oficina]],[19]Ponderación!$B$14:$E$21,4,FALSE),"")</f>
        <v>44789</v>
      </c>
      <c r="AT2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1.0900000000000001</v>
      </c>
      <c r="AU29" s="83">
        <f>IFERROR(VLOOKUP(Tabla145[[#This Row],[Llave]],[17]DELAY!$H:$W,16,FALSE),0)</f>
        <v>1</v>
      </c>
      <c r="AV2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</v>
      </c>
      <c r="AW29" s="5">
        <f>Tabla145[[#This Row],[Ajuste precio IC]]*Tabla145[[#This Row],[Plan Ajustado]]</f>
        <v>20235</v>
      </c>
      <c r="AX29" s="30">
        <f>IFERROR(VLOOKUP(Tabla145[[#This Row],[Llave]],'[13]Ultimos precios facturados'!$A:$G,7,FALSE),0)</f>
        <v>0.90077098827902713</v>
      </c>
      <c r="AY2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0.11016008842664371</v>
      </c>
      <c r="AZ29" s="30">
        <f>IFERROR(VLOOKUP(Tabla145[[#This Row],[Llave]],Hoja2!B:K,10,FALSE),0)</f>
        <v>0.95</v>
      </c>
      <c r="BA29" s="30">
        <f>IF(Tabla145[[#This Row],[Ajuste precio IC]]="",Tabla145[[#This Row],[Precio ponderado]],Tabla145[[#This Row],[Precio ponderado]])</f>
        <v>1</v>
      </c>
      <c r="BB29" s="82"/>
      <c r="BC29" s="82" t="str">
        <f>IF(AND(Tabla145[[#This Row],[Atraso a facturar]]&gt;0,Tabla145[[#This Row],[Precio Atraso]]=0),"Revisar","OK")</f>
        <v>OK</v>
      </c>
      <c r="BD29" s="82" t="str">
        <f>IF(AND(Tabla145[[#This Row],[Venta del mes]]&gt;0,Tabla145[[#This Row],[Precio venta nueva]]=0),"Revisar","OK")</f>
        <v>OK</v>
      </c>
      <c r="BE29" s="20">
        <f>IFERROR(VLOOKUP(Tabla145[[#This Row],[Llave]],'[5]Consolidación planes'!$A:$M,9,FALSE),0)</f>
        <v>24000</v>
      </c>
      <c r="BF29" s="20">
        <f>IFERROR(VLOOKUP(Tabla145[[#This Row],[Llave]],'[5]Consolidación planes'!$A:$M,10,FALSE),0)</f>
        <v>24000</v>
      </c>
      <c r="BG29" s="20">
        <f>IFERROR(VLOOKUP(Tabla145[[#This Row],[Llave]],'[5]Consolidación planes'!$A:$M,11,FALSE),0)</f>
        <v>0</v>
      </c>
      <c r="BH29" s="20">
        <f>IFERROR(VLOOKUP(Tabla145[[#This Row],[Llave]],'[5]Consolidación planes'!$A:$M,12,FALSE),0)</f>
        <v>0</v>
      </c>
      <c r="BI29" s="20">
        <f>IFERROR(VLOOKUP(Tabla145[[#This Row],[Llave]],'[5]Consolidación planes'!$A:$M,13,FALSE),0)</f>
        <v>24000</v>
      </c>
      <c r="BJ29" s="20">
        <f>IFERROR(VLOOKUP(Tabla145[[#This Row],[Llave]],'[13]Base ultimos planes'!$A:$M,13,FALSE),0)</f>
        <v>0</v>
      </c>
      <c r="BK29" s="80">
        <f>IFERROR(VLOOKUP(Tabla145[[#This Row],[Llave]],'[13]Base ultimos planes'!$O:$AA,8,FALSE),0)</f>
        <v>28800</v>
      </c>
      <c r="BL29" s="20">
        <f>IFERROR(VLOOKUP(Tabla145[[#This Row],[Llave]],'[13]Base ultimos planes'!$O:$AA,9,FALSE),0)</f>
        <v>21600</v>
      </c>
      <c r="BM29" s="20">
        <f>IFERROR(VLOOKUP(Tabla145[[#This Row],[Llave]],'[13]Base ultimos planes'!$O:$AA,10,FALSE),0)</f>
        <v>0</v>
      </c>
      <c r="BN29" s="20">
        <f>IFERROR(VLOOKUP(Tabla145[[#This Row],[Llave]],'[13]Base ultimos planes'!$O:$AA,11,FALSE),0)</f>
        <v>0</v>
      </c>
      <c r="BO29" s="20">
        <f>IFERROR(VLOOKUP(Tabla145[[#This Row],[Llave]],'[13]Base ultimos planes'!$O:$AA,12,FALSE),0)</f>
        <v>20400</v>
      </c>
      <c r="BP29" s="20">
        <f>IFERROR(VLOOKUP(Tabla145[[#This Row],[Llave]],'[13]Base ultimos planes'!$O:$AA,13,FALSE),0)</f>
        <v>0</v>
      </c>
      <c r="BQ29" s="20"/>
      <c r="BR29" s="20">
        <f>Tabla145[[#This Row],[ RV Producción mes n+1]]*(1-Tabla145[[#This Row],[% Uti. producción]])</f>
        <v>12419.39220156533</v>
      </c>
      <c r="BS29" s="20">
        <f>+Tabla145[[#This Row],[Producción disponible mes n-1]]+Tabla145[[#This Row],[Saldo Volumen disponible]]</f>
        <v>22892</v>
      </c>
      <c r="BT29" s="7">
        <f>IFERROR(VLOOKUP(Tabla145[[#This Row],[Llave]],'[21]RV n+2 y n+3'!$B:$F,4,FALSE),0)</f>
        <v>0</v>
      </c>
      <c r="BU29" s="7">
        <f>+Tabla145[[#This Row],[Asignación mes n+2]]*Tabla145[[#This Row],[% Uti. producción]]</f>
        <v>0</v>
      </c>
      <c r="BV29" s="7">
        <f>+Tabla145[[#This Row],[Ponderación mes n+2]]+Tabla145[[#This Row],[Saldo mes n-1]]</f>
        <v>22892</v>
      </c>
      <c r="BW29" s="7">
        <f>+Tabla145[[#This Row],[Asignación mes n+2]]-Tabla145[[#This Row],[Ponderación mes n+2]]</f>
        <v>0</v>
      </c>
      <c r="BX29" s="7">
        <f>IFERROR(VLOOKUP(Tabla145[[#This Row],[Llave]],'[21]RV n+2 y n+3'!$B:$F,5,FALSE),0)</f>
        <v>0</v>
      </c>
      <c r="BY29" s="7">
        <f>+Tabla145[[#This Row],[Asignación mes n+3]]*Tabla145[[#This Row],[% Uti. producción]]</f>
        <v>0</v>
      </c>
      <c r="BZ29" s="3">
        <f>+Tabla145[[#This Row],[Ponderación mes n+3]]+Tabla145[[#This Row],[Saldo mes n+2]]</f>
        <v>0</v>
      </c>
      <c r="CA29" s="3">
        <f>+Tabla145[[#This Row],[Asignación mes n+3]]-Tabla145[[#This Row],[Ponderación mes n+3]]</f>
        <v>0</v>
      </c>
      <c r="CB29" s="3">
        <f>+Tabla145[[#This Row],[Producción disponible mes n-1]]+Tabla145[[#This Row],[Producción disponible]]</f>
        <v>22880</v>
      </c>
      <c r="CC29" s="3">
        <f>+Tabla145[[#This Row],[Saldo mes n+4]]-Tabla145[[#This Row],[ RV Producción mes n+1]]</f>
        <v>0</v>
      </c>
    </row>
    <row r="30" spans="1:81" ht="16" x14ac:dyDescent="0.2">
      <c r="A30">
        <v>1</v>
      </c>
      <c r="B30" t="str">
        <f>Tabla145[[#This Row],[Oficina]]&amp;Tabla145[[#This Row],[Material]]</f>
        <v>Agro Sudamerica1021092</v>
      </c>
      <c r="C30" t="s">
        <v>6</v>
      </c>
      <c r="D30" t="s">
        <v>17</v>
      </c>
      <c r="E30">
        <v>1021092</v>
      </c>
      <c r="F30" t="s">
        <v>75</v>
      </c>
      <c r="G30" t="s">
        <v>71</v>
      </c>
      <c r="H30" t="s">
        <v>72</v>
      </c>
      <c r="I30" s="7">
        <f>IFERROR(VLOOKUP(Tabla145[[#This Row],[Llave]],'[7]RV Producción'!$C:$G,5,FALSE),0)</f>
        <v>157799</v>
      </c>
      <c r="J30" s="3">
        <f>IFERROR(IF(Tabla145[[#This Row],[Oficina]]=$I$7,VLOOKUP(Tabla145[[#This Row],[Llave]],'[7]Shangai (Tomas)'!$A:$F,6,FALSE),VLOOKUP(Tabla145[[#This Row],[Llave]],'[7]RV plan de ventas'!$A:$E,5,FALSE)),0)</f>
        <v>138989</v>
      </c>
      <c r="K30" s="8">
        <f>IFERROR(VLOOKUP(Tabla145[[#This Row],[Oficina]],[15]Ponderación!$B$2:$E$9,4,FALSE),0)</f>
        <v>0.45719439678473212</v>
      </c>
      <c r="L30" s="7">
        <f>+Tabla145[[#This Row],[ RV Producción mes n+1]]*Tabla145[[#This Row],[% Uti. producción]]</f>
        <v>72144.818618233941</v>
      </c>
      <c r="M30" s="7">
        <f>IFERROR(VLOOKUP(Tabla145[[#This Row],[Material]],[16]Stock!$G:$K,5,FALSE),0)</f>
        <v>55680</v>
      </c>
      <c r="N30" s="7">
        <f>IFERROR(VLOOKUP(Tabla145[[#This Row],[Material]],[16]Produccion!$M:$N,2,FALSE),0)</f>
        <v>34154</v>
      </c>
      <c r="O30" s="7">
        <f>IFERROR(VLOOKUP(Tabla145[[#This Row],[Llave]],'[16]TD Conf-AP'!$I:$M,4,FALSE),0)</f>
        <v>0</v>
      </c>
      <c r="P30" s="14">
        <f>SUM(Tabla145[[#This Row],[Producción disponible]],Tabla145[[#This Row],[Stock al día]],(Tabla145[[#This Row],[Por producir mes N]]*0.9))-Tabla145[[#This Row],[Producción por despachar mes N]]</f>
        <v>158563.41861823393</v>
      </c>
      <c r="Q30" s="7">
        <f>IFERROR(VLOOKUP(Tabla145[[#This Row],[Llave]],[17]DELAY!$A:$D,4,FALSE),0)</f>
        <v>122000</v>
      </c>
      <c r="R30" s="9">
        <v>24000</v>
      </c>
      <c r="S30" s="5">
        <f t="shared" si="5"/>
        <v>122000</v>
      </c>
      <c r="T30" s="76">
        <v>0</v>
      </c>
      <c r="U30" s="5">
        <f>+Tabla145[[#This Row],[Atraso a facturar]]+Tabla145[[#This Row],[Ajuste atraso]]</f>
        <v>122000</v>
      </c>
      <c r="V30" s="3">
        <f>+Tabla145[[#This Row],[Total disponible]]-Tabla145[[#This Row],[Facturación atraso]]</f>
        <v>36563.418618233933</v>
      </c>
      <c r="W30" s="6">
        <f>IFERROR(IF(AND(V30&gt;R30,J30&gt;=R30),ROUNDDOWN((Tabla145[[#This Row],[Producción para venta nueva]])/R30,0)*R30,0),0)</f>
        <v>24000</v>
      </c>
      <c r="X30" s="76">
        <v>0</v>
      </c>
      <c r="Y30" s="6">
        <f>IF(Tabla145[[#This Row],[Venta del mes]]&gt;0,Tabla145[[#This Row],[Venta del mes]]+Tabla145[[#This Row],[Ajuste venta nueva]],0)</f>
        <v>24000</v>
      </c>
      <c r="Z30" s="6">
        <f>+Tabla145[[#This Row],[Producción para venta nueva]]-Tabla145[[#This Row],[Facturación Venta nueva]]</f>
        <v>12563.418618233933</v>
      </c>
      <c r="AA30" s="6">
        <f>IF(AND(A30=1,Tabla145[[#This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" s="6">
        <v>0</v>
      </c>
      <c r="AC30" s="6">
        <f>IF(Tabla145[[#This Row],[Disponible stock sin venta]]&gt;0,Tabla145[[#This Row],[Disponible stock sin venta]]+Tabla145[[#This Row],[Ajuste stock sin venta]],0)</f>
        <v>0</v>
      </c>
      <c r="AD30" s="3">
        <f>IFERROR(VLOOKUP(Tabla145[[#This Row],[Llave]],'[16]TD Puerto'!$A:$D,4,FALSE),0)</f>
        <v>0</v>
      </c>
      <c r="AE30" s="3">
        <v>170000</v>
      </c>
      <c r="AF30" s="3">
        <f>+Tabla145[[#This Row],[Plan Irrestricto Inicial]]</f>
        <v>170000</v>
      </c>
      <c r="AG30" s="3">
        <f>+Tabla145[[#This Row],[En puerto a facturar]]</f>
        <v>0</v>
      </c>
      <c r="AH30" s="3">
        <f>+Tabla145[[#This Row],[Facturación atraso]]</f>
        <v>122000</v>
      </c>
      <c r="AI30" s="3">
        <f>+Tabla145[[#This Row],[Plan Irrestricto]]-Tabla145[[#This Row],[Puerto ]]-Tabla145[[#This Row],[Atraso]]</f>
        <v>48000</v>
      </c>
      <c r="AJ30" s="3">
        <f>IF(Tabla145[[#This Row],[Plan Irrestricto]]&gt;0,SUM(Tabla145[[#This Row],[Facturación atraso]],Tabla145[[#This Row],[Facturación Venta nueva]],Tabla145[[#This Row],[Facturación stock]],Tabla145[[#This Row],[En puerto a facturar]]),0)</f>
        <v>146000</v>
      </c>
      <c r="AK30" s="3">
        <f>+Tabla145[[#This Row],[Facturación atraso]]</f>
        <v>122000</v>
      </c>
      <c r="AL30" s="3">
        <f>+Tabla145[[#This Row],[Plan Ajustado]]-Tabla145[[#This Row],[ Atraso ajustado]]-Tabla145[[#This Row],[Puerto ]]</f>
        <v>24000</v>
      </c>
      <c r="AM30" s="6">
        <f>IFERROR(VLOOKUP(Tabla145[[#This Row],[Llave]],[18]!Tabla14[#All],34,FALSE),0)</f>
        <v>0</v>
      </c>
      <c r="AN30" s="6">
        <f>IFERROR(VLOOKUP(Tabla145[[#This Row],[Llave]],[18]!Tabla14[#All],35,FALSE),0)</f>
        <v>0</v>
      </c>
      <c r="AO30" s="3" t="str">
        <f>IF(Tabla145[[#This Row],[Plan Ajustado]]&gt;Tabla145[[#This Row],[En puerto a facturar]],"Si","No")</f>
        <v>Si</v>
      </c>
      <c r="AP30" s="3">
        <f>IF(AND(Tabla145[[#This Row],[Plan Ajustado]]&gt;0,Tabla145[[#This Row],[Plan Ajustado]]&gt;Tabla145[[#This Row],[En puerto a facturar]]),(Tabla145[[#This Row],[Plan Ajustado]]-Tabla145[[#This Row],[En puerto a facturar]]),0)</f>
        <v>146000</v>
      </c>
      <c r="AQ30" s="3">
        <f>IF(Tabla145[[#This Row],[Necesidad]]&gt;=Tabla145[[#This Row],[Stock al día]],Tabla145[[#This Row],[Stock al día]],Tabla145[[#This Row],[Necesidad]])</f>
        <v>55680</v>
      </c>
      <c r="AR30" s="3">
        <f>+Tabla145[[#This Row],[Necesidad]]-Tabla145[[#This Row],[Stock Plan]]</f>
        <v>90320</v>
      </c>
      <c r="AS30" s="155">
        <f>IFERROR(VLOOKUP(Tabla145[[#This Row],[Oficina]],[19]Ponderación!$B$14:$E$21,4,FALSE),"")</f>
        <v>44789</v>
      </c>
      <c r="AT3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2.4694040535582</v>
      </c>
      <c r="AU30" s="83">
        <f>IFERROR(VLOOKUP(Tabla145[[#This Row],[Llave]],[17]DELAY!$H:$W,16,FALSE),0)</f>
        <v>2.3902238715849329</v>
      </c>
      <c r="AV3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2.4032397919093058</v>
      </c>
      <c r="AW30" s="5">
        <f>Tabla145[[#This Row],[Ajuste precio IC]]*Tabla145[[#This Row],[Plan Ajustado]]</f>
        <v>339480.04728539666</v>
      </c>
      <c r="AX30" s="30">
        <f>IFERROR(VLOOKUP(Tabla145[[#This Row],[Llave]],'[13]Ultimos precios facturados'!$A:$G,7,FALSE),0)</f>
        <v>2.2749987627241022</v>
      </c>
      <c r="AY3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5.6369713815425014E-2</v>
      </c>
      <c r="AZ30" s="30">
        <f>IFERROR(VLOOKUP(Tabla145[[#This Row],[Llave]],Hoja2!B:K,10,FALSE),0)</f>
        <v>2.3252058033246348</v>
      </c>
      <c r="BA30" s="30">
        <f>IF(Tabla145[[#This Row],[Ajuste precio IC]]="",Tabla145[[#This Row],[Precio ponderado]],Tabla145[[#This Row],[Precio ponderado]])</f>
        <v>2.4032397919093058</v>
      </c>
      <c r="BB30" s="82"/>
      <c r="BC30" s="82" t="str">
        <f>IF(AND(Tabla145[[#This Row],[Atraso a facturar]]&gt;0,Tabla145[[#This Row],[Precio Atraso]]=0),"Revisar","OK")</f>
        <v>OK</v>
      </c>
      <c r="BD30" s="82" t="str">
        <f>IF(AND(Tabla145[[#This Row],[Venta del mes]]&gt;0,Tabla145[[#This Row],[Precio venta nueva]]=0),"Revisar","OK")</f>
        <v>OK</v>
      </c>
      <c r="BE30" s="20">
        <f>IFERROR(VLOOKUP(Tabla145[[#This Row],[Llave]],'[5]Consolidación planes'!$A:$M,9,FALSE),0)</f>
        <v>48000</v>
      </c>
      <c r="BF30" s="20">
        <f>IFERROR(VLOOKUP(Tabla145[[#This Row],[Llave]],'[5]Consolidación planes'!$A:$M,10,FALSE),0)</f>
        <v>79070</v>
      </c>
      <c r="BG30" s="20">
        <f>IFERROR(VLOOKUP(Tabla145[[#This Row],[Llave]],'[5]Consolidación planes'!$A:$M,11,FALSE),0)</f>
        <v>0</v>
      </c>
      <c r="BH30" s="20">
        <f>IFERROR(VLOOKUP(Tabla145[[#This Row],[Llave]],'[5]Consolidación planes'!$A:$M,12,FALSE),0)</f>
        <v>72000</v>
      </c>
      <c r="BI30" s="20">
        <f>IFERROR(VLOOKUP(Tabla145[[#This Row],[Llave]],'[5]Consolidación planes'!$A:$M,13,FALSE),0)</f>
        <v>144000</v>
      </c>
      <c r="BJ30" s="20">
        <f>IFERROR(VLOOKUP(Tabla145[[#This Row],[Llave]],'[13]Base ultimos planes'!$A:$M,13,FALSE),0)</f>
        <v>121000</v>
      </c>
      <c r="BK30" s="80">
        <f>IFERROR(VLOOKUP(Tabla145[[#This Row],[Llave]],'[13]Base ultimos planes'!$O:$AA,8,FALSE),0)</f>
        <v>120000</v>
      </c>
      <c r="BL30" s="20">
        <f>IFERROR(VLOOKUP(Tabla145[[#This Row],[Llave]],'[13]Base ultimos planes'!$O:$AA,9,FALSE),0)</f>
        <v>149977</v>
      </c>
      <c r="BM30" s="20">
        <f>IFERROR(VLOOKUP(Tabla145[[#This Row],[Llave]],'[13]Base ultimos planes'!$O:$AA,10,FALSE),0)</f>
        <v>0</v>
      </c>
      <c r="BN30" s="20">
        <f>IFERROR(VLOOKUP(Tabla145[[#This Row],[Llave]],'[13]Base ultimos planes'!$O:$AA,11,FALSE),0)</f>
        <v>130800</v>
      </c>
      <c r="BO30" s="20">
        <f>IFERROR(VLOOKUP(Tabla145[[#This Row],[Llave]],'[13]Base ultimos planes'!$O:$AA,12,FALSE),0)</f>
        <v>337200</v>
      </c>
      <c r="BP30" s="20">
        <f>IFERROR(VLOOKUP(Tabla145[[#This Row],[Llave]],'[13]Base ultimos planes'!$O:$AA,13,FALSE),0)</f>
        <v>290729</v>
      </c>
      <c r="BQ30" s="20"/>
      <c r="BR30" s="20">
        <f>Tabla145[[#This Row],[ RV Producción mes n+1]]*(1-Tabla145[[#This Row],[% Uti. producción]])</f>
        <v>85654.181381766059</v>
      </c>
      <c r="BS30" s="20">
        <f>+Tabla145[[#This Row],[Producción disponible mes n-1]]+Tabla145[[#This Row],[Saldo Volumen disponible]]</f>
        <v>98217.599999999991</v>
      </c>
      <c r="BT30" s="7">
        <f>IFERROR(VLOOKUP(Tabla145[[#This Row],[Llave]],'[21]RV n+2 y n+3'!$B:$F,4,FALSE),0)</f>
        <v>80958.201700000005</v>
      </c>
      <c r="BU30" s="7">
        <f>+Tabla145[[#This Row],[Asignación mes n+2]]*Tabla145[[#This Row],[% Uti. producción]]</f>
        <v>37013.636191008176</v>
      </c>
      <c r="BV30" s="7">
        <f>+Tabla145[[#This Row],[Ponderación mes n+2]]+Tabla145[[#This Row],[Saldo mes n-1]]</f>
        <v>135231.23619100818</v>
      </c>
      <c r="BW30" s="7">
        <f>+Tabla145[[#This Row],[Asignación mes n+2]]-Tabla145[[#This Row],[Ponderación mes n+2]]</f>
        <v>43944.565508991829</v>
      </c>
      <c r="BX30" s="7">
        <f>IFERROR(VLOOKUP(Tabla145[[#This Row],[Llave]],'[21]RV n+2 y n+3'!$B:$F,5,FALSE),0)</f>
        <v>74790.704400000002</v>
      </c>
      <c r="BY30" s="7">
        <f>+Tabla145[[#This Row],[Asignación mes n+3]]*Tabla145[[#This Row],[% Uti. producción]]</f>
        <v>34193.890983263213</v>
      </c>
      <c r="BZ30" s="3">
        <f>+Tabla145[[#This Row],[Ponderación mes n+3]]+Tabla145[[#This Row],[Saldo mes n+2]]</f>
        <v>78138.456492255034</v>
      </c>
      <c r="CA30" s="3">
        <f>+Tabla145[[#This Row],[Asignación mes n+3]]-Tabla145[[#This Row],[Ponderación mes n+3]]</f>
        <v>40596.81341673679</v>
      </c>
      <c r="CB30" s="3">
        <f>+Tabla145[[#This Row],[Producción disponible mes n-1]]+Tabla145[[#This Row],[Producción disponible]]</f>
        <v>157799</v>
      </c>
      <c r="CC30" s="3">
        <f>+Tabla145[[#This Row],[Saldo mes n+4]]-Tabla145[[#This Row],[ RV Producción mes n+1]]</f>
        <v>0</v>
      </c>
    </row>
    <row r="31" spans="1:81" ht="16" x14ac:dyDescent="0.2">
      <c r="A31">
        <v>1</v>
      </c>
      <c r="B31" t="str">
        <f>Tabla145[[#This Row],[Oficina]]&amp;Tabla145[[#This Row],[Material]]</f>
        <v>Agro Sudamerica1021101</v>
      </c>
      <c r="C31" t="s">
        <v>6</v>
      </c>
      <c r="D31" t="s">
        <v>17</v>
      </c>
      <c r="E31">
        <v>1021101</v>
      </c>
      <c r="F31" t="s">
        <v>85</v>
      </c>
      <c r="G31" t="s">
        <v>76</v>
      </c>
      <c r="H31" t="s">
        <v>84</v>
      </c>
      <c r="I31" s="7">
        <f>IFERROR(VLOOKUP(Tabla145[[#This Row],[Llave]],'[7]RV Producción'!$C:$G,5,FALSE),0)</f>
        <v>2189</v>
      </c>
      <c r="J31" s="3">
        <f>IFERROR(IF(Tabla145[[#This Row],[Oficina]]=$I$7,VLOOKUP(Tabla145[[#This Row],[Llave]],'[7]Shangai (Tomas)'!$A:$F,6,FALSE),VLOOKUP(Tabla145[[#This Row],[Llave]],'[7]RV plan de ventas'!$A:$E,5,FALSE)),0)</f>
        <v>3458</v>
      </c>
      <c r="K31" s="8">
        <f>IFERROR(VLOOKUP(Tabla145[[#This Row],[Oficina]],[15]Ponderación!$B$2:$E$9,4,FALSE),0)</f>
        <v>0.45719439678473212</v>
      </c>
      <c r="L31" s="7">
        <f>+Tabla145[[#This Row],[ RV Producción mes n+1]]*Tabla145[[#This Row],[% Uti. producción]]</f>
        <v>1000.7985345617786</v>
      </c>
      <c r="M31" s="7">
        <f>IFERROR(VLOOKUP(Tabla145[[#This Row],[Material]],[16]Stock!$G:$K,5,FALSE),0)</f>
        <v>23171</v>
      </c>
      <c r="N31" s="7">
        <f>IFERROR(VLOOKUP(Tabla145[[#This Row],[Material]],[16]Produccion!$M:$N,2,FALSE),0)</f>
        <v>0</v>
      </c>
      <c r="O31" s="7">
        <f>IFERROR(VLOOKUP(Tabla145[[#This Row],[Llave]],'[16]TD Conf-AP'!$I:$M,4,FALSE),0)</f>
        <v>0</v>
      </c>
      <c r="P31" s="14">
        <f>SUM(Tabla145[[#This Row],[Producción disponible]],Tabla145[[#This Row],[Stock al día]],(Tabla145[[#This Row],[Por producir mes N]]*0.9))-Tabla145[[#This Row],[Producción por despachar mes N]]</f>
        <v>24171.798534561778</v>
      </c>
      <c r="Q31" s="7">
        <f>IFERROR(VLOOKUP(Tabla145[[#This Row],[Llave]],[17]DELAY!$A:$D,4,FALSE),0)</f>
        <v>33000</v>
      </c>
      <c r="R31" s="9">
        <v>24000</v>
      </c>
      <c r="S31" s="5">
        <f t="shared" si="5"/>
        <v>24000</v>
      </c>
      <c r="T31" s="76">
        <v>0</v>
      </c>
      <c r="U31" s="5">
        <f>+Tabla145[[#This Row],[Atraso a facturar]]+Tabla145[[#This Row],[Ajuste atraso]]</f>
        <v>24000</v>
      </c>
      <c r="V31" s="3">
        <f>+Tabla145[[#This Row],[Total disponible]]-Tabla145[[#This Row],[Facturación atraso]]</f>
        <v>171.79853456177807</v>
      </c>
      <c r="W31" s="6">
        <f>IFERROR(IF(AND(V31&gt;R31,J31&gt;=R31),ROUNDDOWN((Tabla145[[#This Row],[Producción para venta nueva]])/R31,0)*R31,0),0)</f>
        <v>0</v>
      </c>
      <c r="X31" s="76">
        <v>0</v>
      </c>
      <c r="Y31" s="6">
        <f>IF(Tabla145[[#This Row],[Venta del mes]]&gt;0,Tabla145[[#This Row],[Venta del mes]]+Tabla145[[#This Row],[Ajuste venta nueva]],0)</f>
        <v>0</v>
      </c>
      <c r="Z31" s="6">
        <f>+Tabla145[[#This Row],[Producción para venta nueva]]-Tabla145[[#This Row],[Facturación Venta nueva]]</f>
        <v>171.79853456177807</v>
      </c>
      <c r="AA31" s="6">
        <f>IF(AND(A31=1,Tabla145[[#This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" s="6">
        <v>0</v>
      </c>
      <c r="AC31" s="6">
        <f>IF(Tabla145[[#This Row],[Disponible stock sin venta]]&gt;0,Tabla145[[#This Row],[Disponible stock sin venta]]+Tabla145[[#This Row],[Ajuste stock sin venta]],0)</f>
        <v>0</v>
      </c>
      <c r="AD31" s="3">
        <f>IFERROR(VLOOKUP(Tabla145[[#This Row],[Llave]],'[16]TD Puerto'!$A:$D,4,FALSE),0)</f>
        <v>0</v>
      </c>
      <c r="AE31" s="3">
        <v>0</v>
      </c>
      <c r="AF31" s="3">
        <f>+Tabla145[[#This Row],[Plan Irrestricto Inicial]]</f>
        <v>0</v>
      </c>
      <c r="AG31" s="3">
        <f>+Tabla145[[#This Row],[En puerto a facturar]]</f>
        <v>0</v>
      </c>
      <c r="AH31" s="3">
        <f>+Tabla145[[#This Row],[Facturación atraso]]</f>
        <v>24000</v>
      </c>
      <c r="AI31" s="3">
        <f>+Tabla145[[#This Row],[Plan Irrestricto]]-Tabla145[[#This Row],[Puerto ]]-Tabla145[[#This Row],[Atraso]]</f>
        <v>-24000</v>
      </c>
      <c r="AJ3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1" s="3">
        <f>+Tabla145[[#This Row],[Facturación atraso]]</f>
        <v>24000</v>
      </c>
      <c r="AL31" s="3">
        <f>+Tabla145[[#This Row],[Plan Ajustado]]-Tabla145[[#This Row],[ Atraso ajustado]]-Tabla145[[#This Row],[Puerto ]]</f>
        <v>-24000</v>
      </c>
      <c r="AM31" s="6">
        <f>IFERROR(VLOOKUP(Tabla145[[#This Row],[Llave]],[18]!Tabla14[#All],34,FALSE),0)</f>
        <v>0</v>
      </c>
      <c r="AN31" s="6">
        <f>IFERROR(VLOOKUP(Tabla145[[#This Row],[Llave]],[18]!Tabla14[#All],35,FALSE),0)</f>
        <v>0</v>
      </c>
      <c r="AO31" s="3" t="str">
        <f>IF(Tabla145[[#This Row],[Plan Ajustado]]&gt;Tabla145[[#This Row],[En puerto a facturar]],"Si","No")</f>
        <v>No</v>
      </c>
      <c r="AP3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1" s="3">
        <f>IF(Tabla145[[#This Row],[Necesidad]]&gt;=Tabla145[[#This Row],[Stock al día]],Tabla145[[#This Row],[Stock al día]],Tabla145[[#This Row],[Necesidad]])</f>
        <v>0</v>
      </c>
      <c r="AR31" s="3">
        <f>+Tabla145[[#This Row],[Necesidad]]-Tabla145[[#This Row],[Stock Plan]]</f>
        <v>0</v>
      </c>
      <c r="AS31" s="155">
        <f>IFERROR(VLOOKUP(Tabla145[[#This Row],[Oficina]],[19]Ponderación!$B$14:$E$21,4,FALSE),"")</f>
        <v>44789</v>
      </c>
      <c r="AT3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1.09022556390977</v>
      </c>
      <c r="AU31" s="83">
        <f>IFERROR(VLOOKUP(Tabla145[[#This Row],[Llave]],[17]DELAY!$H:$W,16,FALSE),0)</f>
        <v>1.23833333333333</v>
      </c>
      <c r="AV3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1" s="5">
        <f>Tabla145[[#This Row],[Ajuste precio IC]]*Tabla145[[#This Row],[Plan Ajustado]]</f>
        <v>0</v>
      </c>
      <c r="AX31" s="30">
        <f>IFERROR(VLOOKUP(Tabla145[[#This Row],[Llave]],'[13]Ultimos precios facturados'!$A:$G,7,FALSE),0)</f>
        <v>1.1504196393336146</v>
      </c>
      <c r="AY3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1" s="30">
        <f>IFERROR(VLOOKUP(Tabla145[[#This Row],[Llave]],Hoja2!B:K,10,FALSE),0)</f>
        <v>1.0866666666666667</v>
      </c>
      <c r="BA31" s="30">
        <f>IF(Tabla145[[#This Row],[Ajuste precio IC]]="",Tabla145[[#This Row],[Precio ponderado]],Tabla145[[#This Row],[Precio ponderado]])</f>
        <v>0</v>
      </c>
      <c r="BB31" s="82"/>
      <c r="BC31" s="82" t="str">
        <f>IF(AND(Tabla145[[#This Row],[Atraso a facturar]]&gt;0,Tabla145[[#This Row],[Precio Atraso]]=0),"Revisar","OK")</f>
        <v>OK</v>
      </c>
      <c r="BD31" s="82" t="str">
        <f>IF(AND(Tabla145[[#This Row],[Venta del mes]]&gt;0,Tabla145[[#This Row],[Precio venta nueva]]=0),"Revisar","OK")</f>
        <v>OK</v>
      </c>
      <c r="BE31" s="20">
        <f>IFERROR(VLOOKUP(Tabla145[[#This Row],[Llave]],'[5]Consolidación planes'!$A:$M,9,FALSE),0)</f>
        <v>12000</v>
      </c>
      <c r="BF31" s="20">
        <f>IFERROR(VLOOKUP(Tabla145[[#This Row],[Llave]],'[5]Consolidación planes'!$A:$M,10,FALSE),0)</f>
        <v>48000</v>
      </c>
      <c r="BG31" s="20">
        <f>IFERROR(VLOOKUP(Tabla145[[#This Row],[Llave]],'[5]Consolidación planes'!$A:$M,11,FALSE),0)</f>
        <v>24000</v>
      </c>
      <c r="BH31" s="20">
        <f>IFERROR(VLOOKUP(Tabla145[[#This Row],[Llave]],'[5]Consolidación planes'!$A:$M,12,FALSE),0)</f>
        <v>24000</v>
      </c>
      <c r="BI31" s="20">
        <f>IFERROR(VLOOKUP(Tabla145[[#This Row],[Llave]],'[5]Consolidación planes'!$A:$M,13,FALSE),0)</f>
        <v>28000</v>
      </c>
      <c r="BJ31" s="20">
        <f>IFERROR(VLOOKUP(Tabla145[[#This Row],[Llave]],'[13]Base ultimos planes'!$A:$M,13,FALSE),0)</f>
        <v>24000</v>
      </c>
      <c r="BK31" s="80">
        <f>IFERROR(VLOOKUP(Tabla145[[#This Row],[Llave]],'[13]Base ultimos planes'!$O:$AA,8,FALSE),0)</f>
        <v>14040</v>
      </c>
      <c r="BL31" s="20">
        <f>IFERROR(VLOOKUP(Tabla145[[#This Row],[Llave]],'[13]Base ultimos planes'!$O:$AA,9,FALSE),0)</f>
        <v>56000</v>
      </c>
      <c r="BM31" s="20">
        <f>IFERROR(VLOOKUP(Tabla145[[#This Row],[Llave]],'[13]Base ultimos planes'!$O:$AA,10,FALSE),0)</f>
        <v>26400</v>
      </c>
      <c r="BN31" s="20">
        <f>IFERROR(VLOOKUP(Tabla145[[#This Row],[Llave]],'[13]Base ultimos planes'!$O:$AA,11,FALSE),0)</f>
        <v>24720</v>
      </c>
      <c r="BO31" s="20">
        <f>IFERROR(VLOOKUP(Tabla145[[#This Row],[Llave]],'[13]Base ultimos planes'!$O:$AA,12,FALSE),0)</f>
        <v>32800</v>
      </c>
      <c r="BP31" s="20">
        <f>IFERROR(VLOOKUP(Tabla145[[#This Row],[Llave]],'[13]Base ultimos planes'!$O:$AA,13,FALSE),0)</f>
        <v>29445</v>
      </c>
      <c r="BQ31" s="20"/>
      <c r="BR31" s="20">
        <f>Tabla145[[#This Row],[ RV Producción mes n+1]]*(1-Tabla145[[#This Row],[% Uti. producción]])</f>
        <v>1188.2014654382215</v>
      </c>
      <c r="BS31" s="20">
        <f>+Tabla145[[#This Row],[Producción disponible mes n-1]]+Tabla145[[#This Row],[Saldo Volumen disponible]]</f>
        <v>1359.9999999999995</v>
      </c>
      <c r="BT31" s="7">
        <f>IFERROR(VLOOKUP(Tabla145[[#This Row],[Llave]],'[21]RV n+2 y n+3'!$B:$F,4,FALSE),0)</f>
        <v>0</v>
      </c>
      <c r="BU31" s="7">
        <f>+Tabla145[[#This Row],[Asignación mes n+2]]*Tabla145[[#This Row],[% Uti. producción]]</f>
        <v>0</v>
      </c>
      <c r="BV31" s="7">
        <f>+Tabla145[[#This Row],[Ponderación mes n+2]]+Tabla145[[#This Row],[Saldo mes n-1]]</f>
        <v>1359.9999999999995</v>
      </c>
      <c r="BW31" s="7">
        <f>+Tabla145[[#This Row],[Asignación mes n+2]]-Tabla145[[#This Row],[Ponderación mes n+2]]</f>
        <v>0</v>
      </c>
      <c r="BX31" s="7">
        <f>IFERROR(VLOOKUP(Tabla145[[#This Row],[Llave]],'[21]RV n+2 y n+3'!$B:$F,5,FALSE),0)</f>
        <v>25348.4156</v>
      </c>
      <c r="BY31" s="7">
        <f>+Tabla145[[#This Row],[Asignación mes n+3]]*Tabla145[[#This Row],[% Uti. producción]]</f>
        <v>11589.153579690694</v>
      </c>
      <c r="BZ31" s="3">
        <f>+Tabla145[[#This Row],[Ponderación mes n+3]]+Tabla145[[#This Row],[Saldo mes n+2]]</f>
        <v>11589.153579690694</v>
      </c>
      <c r="CA31" s="3">
        <f>+Tabla145[[#This Row],[Asignación mes n+3]]-Tabla145[[#This Row],[Ponderación mes n+3]]</f>
        <v>13759.262020309307</v>
      </c>
      <c r="CB31" s="3">
        <f>+Tabla145[[#This Row],[Producción disponible mes n-1]]+Tabla145[[#This Row],[Producción disponible]]</f>
        <v>2189</v>
      </c>
      <c r="CC31" s="3">
        <f>+Tabla145[[#This Row],[Saldo mes n+4]]-Tabla145[[#This Row],[ RV Producción mes n+1]]</f>
        <v>0</v>
      </c>
    </row>
    <row r="32" spans="1:81" ht="16" x14ac:dyDescent="0.2">
      <c r="A32">
        <v>1</v>
      </c>
      <c r="B32" t="str">
        <f>Tabla145[[#This Row],[Oficina]]&amp;Tabla145[[#This Row],[Material]]</f>
        <v>Agro Sudamerica1021105</v>
      </c>
      <c r="C32" t="s">
        <v>6</v>
      </c>
      <c r="D32" t="s">
        <v>17</v>
      </c>
      <c r="E32">
        <v>1021105</v>
      </c>
      <c r="F32" t="s">
        <v>86</v>
      </c>
      <c r="G32" t="s">
        <v>76</v>
      </c>
      <c r="H32" t="s">
        <v>84</v>
      </c>
      <c r="I32" s="7">
        <f>IFERROR(VLOOKUP(Tabla145[[#This Row],[Llave]],'[7]RV Producción'!$C:$G,5,FALSE),0)</f>
        <v>40510</v>
      </c>
      <c r="J32" s="3">
        <f>IFERROR(IF(Tabla145[[#This Row],[Oficina]]=$I$7,VLOOKUP(Tabla145[[#This Row],[Llave]],'[7]Shangai (Tomas)'!$A:$F,6,FALSE),VLOOKUP(Tabla145[[#This Row],[Llave]],'[7]RV plan de ventas'!$A:$E,5,FALSE)),0)</f>
        <v>32611</v>
      </c>
      <c r="K32" s="8">
        <f>IFERROR(VLOOKUP(Tabla145[[#This Row],[Oficina]],[15]Ponderación!$B$2:$E$9,4,FALSE),0)</f>
        <v>0.45719439678473212</v>
      </c>
      <c r="L32" s="7">
        <f>+Tabla145[[#This Row],[ RV Producción mes n+1]]*Tabla145[[#This Row],[% Uti. producción]]</f>
        <v>18520.945013749497</v>
      </c>
      <c r="M32" s="7">
        <f>IFERROR(VLOOKUP(Tabla145[[#This Row],[Material]],[16]Stock!$G:$K,5,FALSE),0)</f>
        <v>37087</v>
      </c>
      <c r="N32" s="7">
        <f>IFERROR(VLOOKUP(Tabla145[[#This Row],[Material]],[16]Produccion!$M:$N,2,FALSE),0)</f>
        <v>7500</v>
      </c>
      <c r="O32" s="7">
        <f>IFERROR(VLOOKUP(Tabla145[[#This Row],[Llave]],'[16]TD Conf-AP'!$I:$M,4,FALSE),0)</f>
        <v>0</v>
      </c>
      <c r="P32" s="14">
        <f>SUM(Tabla145[[#This Row],[Producción disponible]],Tabla145[[#This Row],[Stock al día]],(Tabla145[[#This Row],[Por producir mes N]]*0.9))-Tabla145[[#This Row],[Producción por despachar mes N]]</f>
        <v>62357.945013749501</v>
      </c>
      <c r="Q32" s="7">
        <f>IFERROR(VLOOKUP(Tabla145[[#This Row],[Llave]],[17]DELAY!$A:$D,4,FALSE),0)</f>
        <v>53211</v>
      </c>
      <c r="R32" s="9">
        <v>24000</v>
      </c>
      <c r="S32" s="5">
        <f t="shared" si="5"/>
        <v>53211</v>
      </c>
      <c r="T32" s="76">
        <v>0</v>
      </c>
      <c r="U32" s="5">
        <f>+Tabla145[[#This Row],[Atraso a facturar]]+Tabla145[[#This Row],[Ajuste atraso]]</f>
        <v>53211</v>
      </c>
      <c r="V32" s="3">
        <f>+Tabla145[[#This Row],[Total disponible]]-Tabla145[[#This Row],[Facturación atraso]]</f>
        <v>9146.9450137495005</v>
      </c>
      <c r="W32" s="6">
        <f>IFERROR(IF(AND(V32&gt;R32,J32&gt;=R32),ROUNDDOWN((Tabla145[[#This Row],[Producción para venta nueva]])/R32,0)*R32,0),0)</f>
        <v>0</v>
      </c>
      <c r="X32" s="76">
        <v>0</v>
      </c>
      <c r="Y32" s="6">
        <f>IF(Tabla145[[#This Row],[Venta del mes]]&gt;0,Tabla145[[#This Row],[Venta del mes]]+Tabla145[[#This Row],[Ajuste venta nueva]],0)</f>
        <v>0</v>
      </c>
      <c r="Z32" s="6">
        <f>+Tabla145[[#This Row],[Producción para venta nueva]]-Tabla145[[#This Row],[Facturación Venta nueva]]</f>
        <v>9146.9450137495005</v>
      </c>
      <c r="AA32" s="6">
        <f>IF(AND(A32=1,Tabla145[[#This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2" s="6">
        <v>0</v>
      </c>
      <c r="AC32" s="6">
        <f>IF(Tabla145[[#This Row],[Disponible stock sin venta]]&gt;0,Tabla145[[#This Row],[Disponible stock sin venta]]+Tabla145[[#This Row],[Ajuste stock sin venta]],0)</f>
        <v>0</v>
      </c>
      <c r="AD32" s="3">
        <f>IFERROR(VLOOKUP(Tabla145[[#This Row],[Llave]],'[16]TD Puerto'!$A:$D,4,FALSE),0)</f>
        <v>0</v>
      </c>
      <c r="AE32" s="3">
        <v>24000</v>
      </c>
      <c r="AF32" s="3">
        <f>+Tabla145[[#This Row],[Plan Irrestricto Inicial]]</f>
        <v>24000</v>
      </c>
      <c r="AG32" s="3">
        <f>+Tabla145[[#This Row],[En puerto a facturar]]</f>
        <v>0</v>
      </c>
      <c r="AH32" s="3">
        <f>+Tabla145[[#This Row],[Facturación atraso]]</f>
        <v>53211</v>
      </c>
      <c r="AI32" s="3">
        <f>+Tabla145[[#This Row],[Plan Irrestricto]]-Tabla145[[#This Row],[Puerto ]]-Tabla145[[#This Row],[Atraso]]</f>
        <v>-29211</v>
      </c>
      <c r="AJ32" s="3">
        <f>IF(Tabla145[[#This Row],[Plan Irrestricto]]&gt;0,SUM(Tabla145[[#This Row],[Facturación atraso]],Tabla145[[#This Row],[Facturación Venta nueva]],Tabla145[[#This Row],[Facturación stock]],Tabla145[[#This Row],[En puerto a facturar]]),0)</f>
        <v>53211</v>
      </c>
      <c r="AK32" s="3">
        <f>+Tabla145[[#This Row],[Facturación atraso]]</f>
        <v>53211</v>
      </c>
      <c r="AL32" s="3">
        <f>+Tabla145[[#This Row],[Plan Ajustado]]-Tabla145[[#This Row],[ Atraso ajustado]]-Tabla145[[#This Row],[Puerto ]]</f>
        <v>0</v>
      </c>
      <c r="AM32" s="6">
        <f>IFERROR(VLOOKUP(Tabla145[[#This Row],[Llave]],[18]!Tabla14[#All],34,FALSE),0)</f>
        <v>0</v>
      </c>
      <c r="AN32" s="6">
        <f>IFERROR(VLOOKUP(Tabla145[[#This Row],[Llave]],[18]!Tabla14[#All],35,FALSE),0)</f>
        <v>0</v>
      </c>
      <c r="AO32" s="3" t="str">
        <f>IF(Tabla145[[#This Row],[Plan Ajustado]]&gt;Tabla145[[#This Row],[En puerto a facturar]],"Si","No")</f>
        <v>Si</v>
      </c>
      <c r="AP32" s="3">
        <f>IF(AND(Tabla145[[#This Row],[Plan Ajustado]]&gt;0,Tabla145[[#This Row],[Plan Ajustado]]&gt;Tabla145[[#This Row],[En puerto a facturar]]),(Tabla145[[#This Row],[Plan Ajustado]]-Tabla145[[#This Row],[En puerto a facturar]]),0)</f>
        <v>53211</v>
      </c>
      <c r="AQ32" s="3">
        <f>IF(Tabla145[[#This Row],[Necesidad]]&gt;=Tabla145[[#This Row],[Stock al día]],Tabla145[[#This Row],[Stock al día]],Tabla145[[#This Row],[Necesidad]])</f>
        <v>37087</v>
      </c>
      <c r="AR32" s="3">
        <f>+Tabla145[[#This Row],[Necesidad]]-Tabla145[[#This Row],[Stock Plan]]</f>
        <v>16124</v>
      </c>
      <c r="AS32" s="155">
        <f>IFERROR(VLOOKUP(Tabla145[[#This Row],[Oficina]],[19]Ponderación!$B$14:$E$21,4,FALSE),"")</f>
        <v>44789</v>
      </c>
      <c r="AT3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0.73668394100150303</v>
      </c>
      <c r="AU32" s="83">
        <f>IFERROR(VLOOKUP(Tabla145[[#This Row],[Llave]],[17]DELAY!$H:$W,16,FALSE),0)</f>
        <v>0.75703384638514604</v>
      </c>
      <c r="AV3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0.75703384638514604</v>
      </c>
      <c r="AW32" s="5">
        <f>Tabla145[[#This Row],[Ajuste precio IC]]*Tabla145[[#This Row],[Plan Ajustado]]</f>
        <v>33877.670000000006</v>
      </c>
      <c r="AX32" s="30">
        <f>IFERROR(VLOOKUP(Tabla145[[#This Row],[Llave]],'[13]Ultimos precios facturados'!$A:$G,7,FALSE),0)</f>
        <v>0.55910825477008652</v>
      </c>
      <c r="AY3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0.35400227044841148</v>
      </c>
      <c r="AZ32" s="30">
        <f>IFERROR(VLOOKUP(Tabla145[[#This Row],[Llave]],Hoja2!B:K,10,FALSE),0)</f>
        <v>0.63666666666666683</v>
      </c>
      <c r="BA32" s="30">
        <f>IF(Tabla145[[#This Row],[Ajuste precio IC]]="",Tabla145[[#This Row],[Precio ponderado]],Tabla145[[#This Row],[Precio ponderado]])</f>
        <v>0.75703384638514604</v>
      </c>
      <c r="BB32" s="82"/>
      <c r="BC32" s="82" t="str">
        <f>IF(AND(Tabla145[[#This Row],[Atraso a facturar]]&gt;0,Tabla145[[#This Row],[Precio Atraso]]=0),"Revisar","OK")</f>
        <v>OK</v>
      </c>
      <c r="BD32" s="82" t="str">
        <f>IF(AND(Tabla145[[#This Row],[Venta del mes]]&gt;0,Tabla145[[#This Row],[Precio venta nueva]]=0),"Revisar","OK")</f>
        <v>OK</v>
      </c>
      <c r="BE32" s="20">
        <f>IFERROR(VLOOKUP(Tabla145[[#This Row],[Llave]],'[5]Consolidación planes'!$A:$M,9,FALSE),0)</f>
        <v>24000</v>
      </c>
      <c r="BF32" s="20">
        <f>IFERROR(VLOOKUP(Tabla145[[#This Row],[Llave]],'[5]Consolidación planes'!$A:$M,10,FALSE),0)</f>
        <v>24000</v>
      </c>
      <c r="BG32" s="20">
        <f>IFERROR(VLOOKUP(Tabla145[[#This Row],[Llave]],'[5]Consolidación planes'!$A:$M,11,FALSE),0)</f>
        <v>24000</v>
      </c>
      <c r="BH32" s="20">
        <f>IFERROR(VLOOKUP(Tabla145[[#This Row],[Llave]],'[5]Consolidación planes'!$A:$M,12,FALSE),0)</f>
        <v>24000</v>
      </c>
      <c r="BI32" s="20">
        <f>IFERROR(VLOOKUP(Tabla145[[#This Row],[Llave]],'[5]Consolidación planes'!$A:$M,13,FALSE),0)</f>
        <v>0</v>
      </c>
      <c r="BJ32" s="20">
        <f>IFERROR(VLOOKUP(Tabla145[[#This Row],[Llave]],'[13]Base ultimos planes'!$A:$M,13,FALSE),0)</f>
        <v>0</v>
      </c>
      <c r="BK32" s="80">
        <f>IFERROR(VLOOKUP(Tabla145[[#This Row],[Llave]],'[13]Base ultimos planes'!$O:$AA,8,FALSE),0)</f>
        <v>12960</v>
      </c>
      <c r="BL32" s="20">
        <f>IFERROR(VLOOKUP(Tabla145[[#This Row],[Llave]],'[13]Base ultimos planes'!$O:$AA,9,FALSE),0)</f>
        <v>12960</v>
      </c>
      <c r="BM32" s="20">
        <f>IFERROR(VLOOKUP(Tabla145[[#This Row],[Llave]],'[13]Base ultimos planes'!$O:$AA,10,FALSE),0)</f>
        <v>12000</v>
      </c>
      <c r="BN32" s="20">
        <f>IFERROR(VLOOKUP(Tabla145[[#This Row],[Llave]],'[13]Base ultimos planes'!$O:$AA,11,FALSE),0)</f>
        <v>11760</v>
      </c>
      <c r="BO32" s="20">
        <f>IFERROR(VLOOKUP(Tabla145[[#This Row],[Llave]],'[13]Base ultimos planes'!$O:$AA,12,FALSE),0)</f>
        <v>0</v>
      </c>
      <c r="BP32" s="20">
        <f>IFERROR(VLOOKUP(Tabla145[[#This Row],[Llave]],'[13]Base ultimos planes'!$O:$AA,13,FALSE),0)</f>
        <v>0</v>
      </c>
      <c r="BQ32" s="20"/>
      <c r="BR32" s="20">
        <f>Tabla145[[#This Row],[ RV Producción mes n+1]]*(1-Tabla145[[#This Row],[% Uti. producción]])</f>
        <v>21989.054986250503</v>
      </c>
      <c r="BS32" s="20">
        <f>+Tabla145[[#This Row],[Producción disponible mes n-1]]+Tabla145[[#This Row],[Saldo Volumen disponible]]</f>
        <v>31136.000000000004</v>
      </c>
      <c r="BT32" s="7">
        <f>IFERROR(VLOOKUP(Tabla145[[#This Row],[Llave]],'[21]RV n+2 y n+3'!$B:$F,4,FALSE),0)</f>
        <v>48000</v>
      </c>
      <c r="BU32" s="7">
        <f>+Tabla145[[#This Row],[Asignación mes n+2]]*Tabla145[[#This Row],[% Uti. producción]]</f>
        <v>21945.331045667142</v>
      </c>
      <c r="BV32" s="7">
        <f>+Tabla145[[#This Row],[Ponderación mes n+2]]+Tabla145[[#This Row],[Saldo mes n-1]]</f>
        <v>53081.331045667146</v>
      </c>
      <c r="BW32" s="7">
        <f>+Tabla145[[#This Row],[Asignación mes n+2]]-Tabla145[[#This Row],[Ponderación mes n+2]]</f>
        <v>26054.668954332858</v>
      </c>
      <c r="BX32" s="7">
        <f>IFERROR(VLOOKUP(Tabla145[[#This Row],[Llave]],'[21]RV n+2 y n+3'!$B:$F,5,FALSE),0)</f>
        <v>25348.416000000001</v>
      </c>
      <c r="BY32" s="7">
        <f>+Tabla145[[#This Row],[Asignación mes n+3]]*Tabla145[[#This Row],[% Uti. producción]]</f>
        <v>11589.153762568452</v>
      </c>
      <c r="BZ32" s="3">
        <f>+Tabla145[[#This Row],[Ponderación mes n+3]]+Tabla145[[#This Row],[Saldo mes n+2]]</f>
        <v>37643.822716901312</v>
      </c>
      <c r="CA32" s="3">
        <f>+Tabla145[[#This Row],[Asignación mes n+3]]-Tabla145[[#This Row],[Ponderación mes n+3]]</f>
        <v>13759.262237431549</v>
      </c>
      <c r="CB32" s="3">
        <f>+Tabla145[[#This Row],[Producción disponible mes n-1]]+Tabla145[[#This Row],[Producción disponible]]</f>
        <v>40510</v>
      </c>
      <c r="CC32" s="3">
        <f>+Tabla145[[#This Row],[Saldo mes n+4]]-Tabla145[[#This Row],[ RV Producción mes n+1]]</f>
        <v>0</v>
      </c>
    </row>
    <row r="33" spans="1:81" ht="16" x14ac:dyDescent="0.2">
      <c r="A33">
        <v>1</v>
      </c>
      <c r="B33" t="str">
        <f>Tabla145[[#This Row],[Oficina]]&amp;Tabla145[[#This Row],[Material]]</f>
        <v>Agro Sudamerica1021106</v>
      </c>
      <c r="C33" t="s">
        <v>6</v>
      </c>
      <c r="D33" t="s">
        <v>17</v>
      </c>
      <c r="E33">
        <v>1021106</v>
      </c>
      <c r="F33" t="s">
        <v>87</v>
      </c>
      <c r="G33" t="s">
        <v>76</v>
      </c>
      <c r="H33" t="s">
        <v>84</v>
      </c>
      <c r="I33" s="7">
        <f>IFERROR(VLOOKUP(Tabla145[[#This Row],[Llave]],'[7]RV Producción'!$C:$G,5,FALSE),0)</f>
        <v>0</v>
      </c>
      <c r="J33" s="3">
        <f>IFERROR(IF(Tabla145[[#This Row],[Oficina]]=$I$7,VLOOKUP(Tabla145[[#This Row],[Llave]],'[7]Shangai (Tomas)'!$A:$F,6,FALSE),VLOOKUP(Tabla145[[#This Row],[Llave]],'[7]RV plan de ventas'!$A:$E,5,FALSE)),0)</f>
        <v>0</v>
      </c>
      <c r="K33" s="8">
        <f>IFERROR(VLOOKUP(Tabla145[[#This Row],[Oficina]],[15]Ponderación!$B$2:$E$9,4,FALSE),0)</f>
        <v>0.45719439678473212</v>
      </c>
      <c r="L33" s="7">
        <f>+Tabla145[[#This Row],[ RV Producción mes n+1]]*Tabla145[[#This Row],[% Uti. producción]]</f>
        <v>0</v>
      </c>
      <c r="M33" s="7">
        <f>IFERROR(VLOOKUP(Tabla145[[#This Row],[Material]],[16]Stock!$G:$K,5,FALSE),0)</f>
        <v>24987</v>
      </c>
      <c r="N33" s="7">
        <f>IFERROR(VLOOKUP(Tabla145[[#This Row],[Material]],[16]Produccion!$M:$N,2,FALSE),0)</f>
        <v>0</v>
      </c>
      <c r="O33" s="7">
        <f>IFERROR(VLOOKUP(Tabla145[[#This Row],[Llave]],'[16]TD Conf-AP'!$I:$M,4,FALSE),0)</f>
        <v>0</v>
      </c>
      <c r="P33" s="14">
        <f>SUM(Tabla145[[#This Row],[Producción disponible]],Tabla145[[#This Row],[Stock al día]],(Tabla145[[#This Row],[Por producir mes N]]*0.9))-Tabla145[[#This Row],[Producción por despachar mes N]]</f>
        <v>24987</v>
      </c>
      <c r="Q33" s="7">
        <f>IFERROR(VLOOKUP(Tabla145[[#This Row],[Llave]],[17]DELAY!$A:$D,4,FALSE),0)</f>
        <v>0</v>
      </c>
      <c r="R33" s="9">
        <v>24000</v>
      </c>
      <c r="S33" s="5">
        <f t="shared" si="5"/>
        <v>0</v>
      </c>
      <c r="T33" s="76">
        <v>0</v>
      </c>
      <c r="U33" s="5">
        <f>+Tabla145[[#This Row],[Atraso a facturar]]+Tabla145[[#This Row],[Ajuste atraso]]</f>
        <v>0</v>
      </c>
      <c r="V33" s="3">
        <f>+Tabla145[[#This Row],[Total disponible]]-Tabla145[[#This Row],[Facturación atraso]]</f>
        <v>24987</v>
      </c>
      <c r="W33" s="6">
        <f>IFERROR(IF(AND(V33&gt;R33,J33&gt;=R33),ROUNDDOWN((Tabla145[[#This Row],[Producción para venta nueva]])/R33,0)*R33,0),0)</f>
        <v>0</v>
      </c>
      <c r="X33" s="76">
        <v>0</v>
      </c>
      <c r="Y33" s="6">
        <f>IF(Tabla145[[#This Row],[Venta del mes]]&gt;0,Tabla145[[#This Row],[Venta del mes]]+Tabla145[[#This Row],[Ajuste venta nueva]],0)</f>
        <v>0</v>
      </c>
      <c r="Z33" s="6">
        <f>+Tabla145[[#This Row],[Producción para venta nueva]]-Tabla145[[#This Row],[Facturación Venta nueva]]</f>
        <v>24987</v>
      </c>
      <c r="AA33" s="6">
        <f>IF(AND(A33=1,Tabla145[[#This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24000</v>
      </c>
      <c r="AB33" s="6">
        <v>-24000</v>
      </c>
      <c r="AC33" s="6">
        <f>IF(Tabla145[[#This Row],[Disponible stock sin venta]]&gt;0,Tabla145[[#This Row],[Disponible stock sin venta]]+Tabla145[[#This Row],[Ajuste stock sin venta]],0)</f>
        <v>0</v>
      </c>
      <c r="AD33" s="3">
        <f>IFERROR(VLOOKUP(Tabla145[[#This Row],[Llave]],'[16]TD Puerto'!$A:$D,4,FALSE),0)</f>
        <v>0</v>
      </c>
      <c r="AE33" s="3">
        <v>96000</v>
      </c>
      <c r="AF33" s="3">
        <f>+Tabla145[[#This Row],[Plan Irrestricto Inicial]]</f>
        <v>96000</v>
      </c>
      <c r="AG33" s="3">
        <f>+Tabla145[[#This Row],[En puerto a facturar]]</f>
        <v>0</v>
      </c>
      <c r="AH33" s="3">
        <f>+Tabla145[[#This Row],[Facturación atraso]]</f>
        <v>0</v>
      </c>
      <c r="AI33" s="3">
        <f>+Tabla145[[#This Row],[Plan Irrestricto]]-Tabla145[[#This Row],[Puerto ]]-Tabla145[[#This Row],[Atraso]]</f>
        <v>96000</v>
      </c>
      <c r="AJ3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3" s="3">
        <f>+Tabla145[[#This Row],[Facturación atraso]]</f>
        <v>0</v>
      </c>
      <c r="AL33" s="3">
        <f>+Tabla145[[#This Row],[Plan Ajustado]]-Tabla145[[#This Row],[ Atraso ajustado]]-Tabla145[[#This Row],[Puerto ]]</f>
        <v>0</v>
      </c>
      <c r="AM33" s="6">
        <f>IFERROR(VLOOKUP(Tabla145[[#This Row],[Llave]],[18]!Tabla14[#All],34,FALSE),0)</f>
        <v>0</v>
      </c>
      <c r="AN33" s="6">
        <f>IFERROR(VLOOKUP(Tabla145[[#This Row],[Llave]],[18]!Tabla14[#All],35,FALSE),0)</f>
        <v>0</v>
      </c>
      <c r="AO33" s="3" t="str">
        <f>IF(Tabla145[[#This Row],[Plan Ajustado]]&gt;Tabla145[[#This Row],[En puerto a facturar]],"Si","No")</f>
        <v>No</v>
      </c>
      <c r="AP3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3" s="3">
        <f>IF(Tabla145[[#This Row],[Necesidad]]&gt;=Tabla145[[#This Row],[Stock al día]],Tabla145[[#This Row],[Stock al día]],Tabla145[[#This Row],[Necesidad]])</f>
        <v>0</v>
      </c>
      <c r="AR33" s="3">
        <f>+Tabla145[[#This Row],[Necesidad]]-Tabla145[[#This Row],[Stock Plan]]</f>
        <v>0</v>
      </c>
      <c r="AS33" s="155">
        <f>IFERROR(VLOOKUP(Tabla145[[#This Row],[Oficina]],[19]Ponderación!$B$14:$E$21,4,FALSE),"")</f>
        <v>44789</v>
      </c>
      <c r="AT3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0.69633615561945283</v>
      </c>
      <c r="AU33" s="84">
        <f>+Tabla145[[#This Row],[Precio venta nueva]]</f>
        <v>0.69633615561945283</v>
      </c>
      <c r="AV3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3" s="5">
        <f>Tabla145[[#This Row],[Ajuste precio IC]]*Tabla145[[#This Row],[Plan Ajustado]]</f>
        <v>0</v>
      </c>
      <c r="AX33" s="30">
        <f>IFERROR(VLOOKUP(Tabla145[[#This Row],[Llave]],'[13]Ultimos precios facturados'!$A:$G,7,FALSE),0)</f>
        <v>0.69633615561945283</v>
      </c>
      <c r="AY3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3" s="30">
        <f>IFERROR(VLOOKUP(Tabla145[[#This Row],[Llave]],Hoja2!B:K,10,FALSE),0)</f>
        <v>0</v>
      </c>
      <c r="BA33" s="30">
        <f>IF(Tabla145[[#This Row],[Ajuste precio IC]]="",Tabla145[[#This Row],[Precio ponderado]],Tabla145[[#This Row],[Precio ponderado]])</f>
        <v>0</v>
      </c>
      <c r="BB33" s="82"/>
      <c r="BC33" s="82" t="str">
        <f>IF(AND(Tabla145[[#This Row],[Atraso a facturar]]&gt;0,Tabla145[[#This Row],[Precio Atraso]]=0),"Revisar","OK")</f>
        <v>OK</v>
      </c>
      <c r="BD33" s="82" t="str">
        <f>IF(AND(Tabla145[[#This Row],[Venta del mes]]&gt;0,Tabla145[[#This Row],[Precio venta nueva]]=0),"Revisar","OK")</f>
        <v>OK</v>
      </c>
      <c r="BE33" s="20">
        <f>IFERROR(VLOOKUP(Tabla145[[#This Row],[Llave]],'[5]Consolidación planes'!$A:$M,9,FALSE),0)</f>
        <v>96000</v>
      </c>
      <c r="BF33" s="20">
        <f>IFERROR(VLOOKUP(Tabla145[[#This Row],[Llave]],'[5]Consolidación planes'!$A:$M,10,FALSE),0)</f>
        <v>144000</v>
      </c>
      <c r="BG33" s="20">
        <f>IFERROR(VLOOKUP(Tabla145[[#This Row],[Llave]],'[5]Consolidación planes'!$A:$M,11,FALSE),0)</f>
        <v>96000</v>
      </c>
      <c r="BH33" s="20">
        <f>IFERROR(VLOOKUP(Tabla145[[#This Row],[Llave]],'[5]Consolidación planes'!$A:$M,12,FALSE),0)</f>
        <v>120000</v>
      </c>
      <c r="BI33" s="20">
        <f>IFERROR(VLOOKUP(Tabla145[[#This Row],[Llave]],'[5]Consolidación planes'!$A:$M,13,FALSE),0)</f>
        <v>48000</v>
      </c>
      <c r="BJ33" s="20">
        <f>IFERROR(VLOOKUP(Tabla145[[#This Row],[Llave]],'[13]Base ultimos planes'!$A:$M,13,FALSE),0)</f>
        <v>120000</v>
      </c>
      <c r="BK33" s="80">
        <f>IFERROR(VLOOKUP(Tabla145[[#This Row],[Llave]],'[13]Base ultimos planes'!$O:$AA,8,FALSE),0)</f>
        <v>67008</v>
      </c>
      <c r="BL33" s="20">
        <f>IFERROR(VLOOKUP(Tabla145[[#This Row],[Llave]],'[13]Base ultimos planes'!$O:$AA,9,FALSE),0)</f>
        <v>102640</v>
      </c>
      <c r="BM33" s="20">
        <f>IFERROR(VLOOKUP(Tabla145[[#This Row],[Llave]],'[13]Base ultimos planes'!$O:$AA,10,FALSE),0)</f>
        <v>67579</v>
      </c>
      <c r="BN33" s="20">
        <f>IFERROR(VLOOKUP(Tabla145[[#This Row],[Llave]],'[13]Base ultimos planes'!$O:$AA,11,FALSE),0)</f>
        <v>84720</v>
      </c>
      <c r="BO33" s="20">
        <f>IFERROR(VLOOKUP(Tabla145[[#This Row],[Llave]],'[13]Base ultimos planes'!$O:$AA,12,FALSE),0)</f>
        <v>30827</v>
      </c>
      <c r="BP33" s="20">
        <f>IFERROR(VLOOKUP(Tabla145[[#This Row],[Llave]],'[13]Base ultimos planes'!$O:$AA,13,FALSE),0)</f>
        <v>80334</v>
      </c>
      <c r="BQ33" s="20"/>
      <c r="BR33" s="20">
        <f>Tabla145[[#This Row],[ RV Producción mes n+1]]*(1-Tabla145[[#This Row],[% Uti. producción]])</f>
        <v>0</v>
      </c>
      <c r="BS33" s="20">
        <f>+Tabla145[[#This Row],[Producción disponible mes n-1]]+Tabla145[[#This Row],[Saldo Volumen disponible]]</f>
        <v>24987</v>
      </c>
      <c r="BT33" s="7">
        <f>IFERROR(VLOOKUP(Tabla145[[#This Row],[Llave]],'[21]RV n+2 y n+3'!$B:$F,4,FALSE),0)</f>
        <v>96000</v>
      </c>
      <c r="BU33" s="7">
        <f>+Tabla145[[#This Row],[Asignación mes n+2]]*Tabla145[[#This Row],[% Uti. producción]]</f>
        <v>43890.662091334285</v>
      </c>
      <c r="BV33" s="7">
        <f>+Tabla145[[#This Row],[Ponderación mes n+2]]+Tabla145[[#This Row],[Saldo mes n-1]]</f>
        <v>68877.662091334292</v>
      </c>
      <c r="BW33" s="7">
        <f>+Tabla145[[#This Row],[Asignación mes n+2]]-Tabla145[[#This Row],[Ponderación mes n+2]]</f>
        <v>52109.337908665715</v>
      </c>
      <c r="BX33" s="7">
        <f>IFERROR(VLOOKUP(Tabla145[[#This Row],[Llave]],'[21]RV n+2 y n+3'!$B:$F,5,FALSE),0)</f>
        <v>8384.7880000000005</v>
      </c>
      <c r="BY33" s="7">
        <f>+Tabla145[[#This Row],[Asignación mes n+3]]*Tabla145[[#This Row],[% Uti. producción]]</f>
        <v>3833.4780918278607</v>
      </c>
      <c r="BZ33" s="3">
        <f>+Tabla145[[#This Row],[Ponderación mes n+3]]+Tabla145[[#This Row],[Saldo mes n+2]]</f>
        <v>55942.816000493578</v>
      </c>
      <c r="CA33" s="3">
        <f>+Tabla145[[#This Row],[Asignación mes n+3]]-Tabla145[[#This Row],[Ponderación mes n+3]]</f>
        <v>4551.3099081721393</v>
      </c>
      <c r="CB33" s="3">
        <f>+Tabla145[[#This Row],[Producción disponible mes n-1]]+Tabla145[[#This Row],[Producción disponible]]</f>
        <v>0</v>
      </c>
      <c r="CC33" s="3">
        <f>+Tabla145[[#This Row],[Saldo mes n+4]]-Tabla145[[#This Row],[ RV Producción mes n+1]]</f>
        <v>0</v>
      </c>
    </row>
    <row r="34" spans="1:81" ht="16" x14ac:dyDescent="0.2">
      <c r="A34">
        <v>1</v>
      </c>
      <c r="B34" t="str">
        <f>Tabla145[[#This Row],[Oficina]]&amp;Tabla145[[#This Row],[Material]]</f>
        <v>Agro Sudamerica1021111</v>
      </c>
      <c r="C34" t="s">
        <v>6</v>
      </c>
      <c r="D34" t="s">
        <v>17</v>
      </c>
      <c r="E34">
        <v>1021111</v>
      </c>
      <c r="F34" t="s">
        <v>48</v>
      </c>
      <c r="G34" t="s">
        <v>11</v>
      </c>
      <c r="H34" t="s">
        <v>47</v>
      </c>
      <c r="I34" s="7">
        <f>IFERROR(VLOOKUP(Tabla145[[#This Row],[Llave]],'[7]RV Producción'!$C:$G,5,FALSE),0)</f>
        <v>4543</v>
      </c>
      <c r="J34" s="3">
        <f>IFERROR(IF(Tabla145[[#This Row],[Oficina]]=$I$7,VLOOKUP(Tabla145[[#This Row],[Llave]],'[7]Shangai (Tomas)'!$A:$F,6,FALSE),VLOOKUP(Tabla145[[#This Row],[Llave]],'[7]RV plan de ventas'!$A:$E,5,FALSE)),0)</f>
        <v>3000</v>
      </c>
      <c r="K34" s="8">
        <f>IFERROR(VLOOKUP(Tabla145[[#This Row],[Oficina]],[15]Ponderación!$B$2:$E$9,4,FALSE),0)</f>
        <v>0.45719439678473212</v>
      </c>
      <c r="L34" s="7">
        <f>+Tabla145[[#This Row],[ RV Producción mes n+1]]*Tabla145[[#This Row],[% Uti. producción]]</f>
        <v>2077.034144593038</v>
      </c>
      <c r="M34" s="7">
        <f>IFERROR(VLOOKUP(Tabla145[[#This Row],[Material]],[16]Stock!$G:$K,5,FALSE),0)</f>
        <v>7074</v>
      </c>
      <c r="N34" s="7">
        <f>IFERROR(VLOOKUP(Tabla145[[#This Row],[Material]],[16]Produccion!$M:$N,2,FALSE),0)</f>
        <v>1057</v>
      </c>
      <c r="O34" s="7">
        <f>IFERROR(VLOOKUP(Tabla145[[#This Row],[Llave]],'[16]TD Conf-AP'!$I:$M,4,FALSE),0)</f>
        <v>0</v>
      </c>
      <c r="P34" s="14">
        <f>SUM(Tabla145[[#This Row],[Producción disponible]],Tabla145[[#This Row],[Stock al día]],(Tabla145[[#This Row],[Por producir mes N]]*0.9))-Tabla145[[#This Row],[Producción por despachar mes N]]</f>
        <v>10102.334144593038</v>
      </c>
      <c r="Q34" s="7">
        <f>IFERROR(VLOOKUP(Tabla145[[#This Row],[Llave]],[17]DELAY!$A:$D,4,FALSE),0)</f>
        <v>9262</v>
      </c>
      <c r="R34" s="9">
        <v>24000</v>
      </c>
      <c r="S34" s="5">
        <f t="shared" si="5"/>
        <v>9262</v>
      </c>
      <c r="T34" s="76">
        <v>0</v>
      </c>
      <c r="U34" s="5">
        <f>+Tabla145[[#This Row],[Atraso a facturar]]+Tabla145[[#This Row],[Ajuste atraso]]</f>
        <v>9262</v>
      </c>
      <c r="V34" s="3">
        <f>+Tabla145[[#This Row],[Total disponible]]-Tabla145[[#This Row],[Facturación atraso]]</f>
        <v>840.33414459303822</v>
      </c>
      <c r="W34" s="6">
        <f>IFERROR(IF(AND(V34&gt;R34,J34&gt;=R34),ROUNDDOWN((Tabla145[[#This Row],[Producción para venta nueva]])/R34,0)*R34,0),0)</f>
        <v>0</v>
      </c>
      <c r="X34" s="76">
        <v>0</v>
      </c>
      <c r="Y34" s="6">
        <f>IF(Tabla145[[#This Row],[Venta del mes]]&gt;0,Tabla145[[#This Row],[Venta del mes]]+Tabla145[[#This Row],[Ajuste venta nueva]],0)</f>
        <v>0</v>
      </c>
      <c r="Z34" s="6">
        <f>+Tabla145[[#This Row],[Producción para venta nueva]]-Tabla145[[#This Row],[Facturación Venta nueva]]</f>
        <v>840.33414459303822</v>
      </c>
      <c r="AA34" s="6">
        <f>IF(AND(A34=1,Tabla145[[#This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4" s="6">
        <v>0</v>
      </c>
      <c r="AC34" s="6">
        <f>IF(Tabla145[[#This Row],[Disponible stock sin venta]]&gt;0,Tabla145[[#This Row],[Disponible stock sin venta]]+Tabla145[[#This Row],[Ajuste stock sin venta]],0)</f>
        <v>0</v>
      </c>
      <c r="AD34" s="3">
        <f>IFERROR(VLOOKUP(Tabla145[[#This Row],[Llave]],'[16]TD Puerto'!$A:$D,4,FALSE),0)</f>
        <v>0</v>
      </c>
      <c r="AE34" s="3">
        <v>0</v>
      </c>
      <c r="AF34" s="3">
        <f>+Tabla145[[#This Row],[Plan Irrestricto Inicial]]</f>
        <v>0</v>
      </c>
      <c r="AG34" s="3">
        <f>+Tabla145[[#This Row],[En puerto a facturar]]</f>
        <v>0</v>
      </c>
      <c r="AH34" s="3">
        <f>+Tabla145[[#This Row],[Facturación atraso]]</f>
        <v>9262</v>
      </c>
      <c r="AI34" s="3">
        <f>+Tabla145[[#This Row],[Plan Irrestricto]]-Tabla145[[#This Row],[Puerto ]]-Tabla145[[#This Row],[Atraso]]</f>
        <v>-9262</v>
      </c>
      <c r="AJ3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4" s="3">
        <f>+Tabla145[[#This Row],[Facturación atraso]]</f>
        <v>9262</v>
      </c>
      <c r="AL34" s="3">
        <f>+Tabla145[[#This Row],[Plan Ajustado]]-Tabla145[[#This Row],[ Atraso ajustado]]-Tabla145[[#This Row],[Puerto ]]</f>
        <v>-9262</v>
      </c>
      <c r="AM34" s="6">
        <f>IFERROR(VLOOKUP(Tabla145[[#This Row],[Llave]],[18]!Tabla14[#All],34,FALSE),0)</f>
        <v>0</v>
      </c>
      <c r="AN34" s="6">
        <f>IFERROR(VLOOKUP(Tabla145[[#This Row],[Llave]],[18]!Tabla14[#All],35,FALSE),0)</f>
        <v>0</v>
      </c>
      <c r="AO34" s="3" t="str">
        <f>IF(Tabla145[[#This Row],[Plan Ajustado]]&gt;Tabla145[[#This Row],[En puerto a facturar]],"Si","No")</f>
        <v>No</v>
      </c>
      <c r="AP3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4" s="3">
        <f>IF(Tabla145[[#This Row],[Necesidad]]&gt;=Tabla145[[#This Row],[Stock al día]],Tabla145[[#This Row],[Stock al día]],Tabla145[[#This Row],[Necesidad]])</f>
        <v>0</v>
      </c>
      <c r="AR34" s="3">
        <f>+Tabla145[[#This Row],[Necesidad]]-Tabla145[[#This Row],[Stock Plan]]</f>
        <v>0</v>
      </c>
      <c r="AS34" s="155">
        <f>IFERROR(VLOOKUP(Tabla145[[#This Row],[Oficina]],[19]Ponderación!$B$14:$E$21,4,FALSE),"")</f>
        <v>44789</v>
      </c>
      <c r="AT3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1.28666666666667</v>
      </c>
      <c r="AU34" s="83">
        <f>IFERROR(VLOOKUP(Tabla145[[#This Row],[Llave]],[17]DELAY!$H:$W,16,FALSE),0)</f>
        <v>1.3176095875620817</v>
      </c>
      <c r="AV3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4" s="5">
        <f>Tabla145[[#This Row],[Ajuste precio IC]]*Tabla145[[#This Row],[Plan Ajustado]]</f>
        <v>0</v>
      </c>
      <c r="AX34" s="30">
        <f>IFERROR(VLOOKUP(Tabla145[[#This Row],[Llave]],'[13]Ultimos precios facturados'!$A:$G,7,FALSE),0)</f>
        <v>1.3914103930129227</v>
      </c>
      <c r="AY3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4" s="30">
        <f>IFERROR(VLOOKUP(Tabla145[[#This Row],[Llave]],Hoja2!B:K,10,FALSE),0)</f>
        <v>1.1866666666666665</v>
      </c>
      <c r="BA34" s="30">
        <f>IF(Tabla145[[#This Row],[Ajuste precio IC]]="",Tabla145[[#This Row],[Precio ponderado]],Tabla145[[#This Row],[Precio ponderado]])</f>
        <v>0</v>
      </c>
      <c r="BB34" s="82"/>
      <c r="BC34" s="82" t="str">
        <f>IF(AND(Tabla145[[#This Row],[Atraso a facturar]]&gt;0,Tabla145[[#This Row],[Precio Atraso]]=0),"Revisar","OK")</f>
        <v>OK</v>
      </c>
      <c r="BD34" s="82" t="str">
        <f>IF(AND(Tabla145[[#This Row],[Venta del mes]]&gt;0,Tabla145[[#This Row],[Precio venta nueva]]=0),"Revisar","OK")</f>
        <v>OK</v>
      </c>
      <c r="BE34" s="20">
        <f>IFERROR(VLOOKUP(Tabla145[[#This Row],[Llave]],'[5]Consolidación planes'!$A:$M,9,FALSE),0)</f>
        <v>3000</v>
      </c>
      <c r="BF34" s="20">
        <f>IFERROR(VLOOKUP(Tabla145[[#This Row],[Llave]],'[5]Consolidación planes'!$A:$M,10,FALSE),0)</f>
        <v>2500</v>
      </c>
      <c r="BG34" s="20">
        <f>IFERROR(VLOOKUP(Tabla145[[#This Row],[Llave]],'[5]Consolidación planes'!$A:$M,11,FALSE),0)</f>
        <v>0</v>
      </c>
      <c r="BH34" s="20">
        <f>IFERROR(VLOOKUP(Tabla145[[#This Row],[Llave]],'[5]Consolidación planes'!$A:$M,12,FALSE),0)</f>
        <v>0</v>
      </c>
      <c r="BI34" s="20">
        <f>IFERROR(VLOOKUP(Tabla145[[#This Row],[Llave]],'[5]Consolidación planes'!$A:$M,13,FALSE),0)</f>
        <v>0</v>
      </c>
      <c r="BJ34" s="20">
        <f>IFERROR(VLOOKUP(Tabla145[[#This Row],[Llave]],'[13]Base ultimos planes'!$A:$M,13,FALSE),0)</f>
        <v>0</v>
      </c>
      <c r="BK34" s="80">
        <f>IFERROR(VLOOKUP(Tabla145[[#This Row],[Llave]],'[13]Base ultimos planes'!$O:$AA,8,FALSE),0)</f>
        <v>3900</v>
      </c>
      <c r="BL34" s="20">
        <f>IFERROR(VLOOKUP(Tabla145[[#This Row],[Llave]],'[13]Base ultimos planes'!$O:$AA,9,FALSE),0)</f>
        <v>3220</v>
      </c>
      <c r="BM34" s="20">
        <f>IFERROR(VLOOKUP(Tabla145[[#This Row],[Llave]],'[13]Base ultimos planes'!$O:$AA,10,FALSE),0)</f>
        <v>0</v>
      </c>
      <c r="BN34" s="20">
        <f>IFERROR(VLOOKUP(Tabla145[[#This Row],[Llave]],'[13]Base ultimos planes'!$O:$AA,11,FALSE),0)</f>
        <v>0</v>
      </c>
      <c r="BO34" s="20">
        <f>IFERROR(VLOOKUP(Tabla145[[#This Row],[Llave]],'[13]Base ultimos planes'!$O:$AA,12,FALSE),0)</f>
        <v>0</v>
      </c>
      <c r="BP34" s="20">
        <f>IFERROR(VLOOKUP(Tabla145[[#This Row],[Llave]],'[13]Base ultimos planes'!$O:$AA,13,FALSE),0)</f>
        <v>0</v>
      </c>
      <c r="BQ34" s="20"/>
      <c r="BR34" s="20">
        <f>Tabla145[[#This Row],[ RV Producción mes n+1]]*(1-Tabla145[[#This Row],[% Uti. producción]])</f>
        <v>2465.9658554069624</v>
      </c>
      <c r="BS34" s="20">
        <f>+Tabla145[[#This Row],[Producción disponible mes n-1]]+Tabla145[[#This Row],[Saldo Volumen disponible]]</f>
        <v>3306.3000000000006</v>
      </c>
      <c r="BT34" s="7">
        <f>IFERROR(VLOOKUP(Tabla145[[#This Row],[Llave]],'[21]RV n+2 y n+3'!$B:$F,4,FALSE),0)</f>
        <v>0</v>
      </c>
      <c r="BU34" s="7">
        <f>+Tabla145[[#This Row],[Asignación mes n+2]]*Tabla145[[#This Row],[% Uti. producción]]</f>
        <v>0</v>
      </c>
      <c r="BV34" s="7">
        <f>+Tabla145[[#This Row],[Ponderación mes n+2]]+Tabla145[[#This Row],[Saldo mes n-1]]</f>
        <v>3306.3000000000006</v>
      </c>
      <c r="BW34" s="7">
        <f>+Tabla145[[#This Row],[Asignación mes n+2]]-Tabla145[[#This Row],[Ponderación mes n+2]]</f>
        <v>0</v>
      </c>
      <c r="BX34" s="7">
        <f>IFERROR(VLOOKUP(Tabla145[[#This Row],[Llave]],'[21]RV n+2 y n+3'!$B:$F,5,FALSE),0)</f>
        <v>0</v>
      </c>
      <c r="BY34" s="7">
        <f>+Tabla145[[#This Row],[Asignación mes n+3]]*Tabla145[[#This Row],[% Uti. producción]]</f>
        <v>0</v>
      </c>
      <c r="BZ34" s="3">
        <f>+Tabla145[[#This Row],[Ponderación mes n+3]]+Tabla145[[#This Row],[Saldo mes n+2]]</f>
        <v>0</v>
      </c>
      <c r="CA34" s="3">
        <f>+Tabla145[[#This Row],[Asignación mes n+3]]-Tabla145[[#This Row],[Ponderación mes n+3]]</f>
        <v>0</v>
      </c>
      <c r="CB34" s="3">
        <f>+Tabla145[[#This Row],[Producción disponible mes n-1]]+Tabla145[[#This Row],[Producción disponible]]</f>
        <v>4543</v>
      </c>
      <c r="CC34" s="3">
        <f>+Tabla145[[#This Row],[Saldo mes n+4]]-Tabla145[[#This Row],[ RV Producción mes n+1]]</f>
        <v>0</v>
      </c>
    </row>
    <row r="35" spans="1:81" ht="16" x14ac:dyDescent="0.2">
      <c r="A35">
        <v>1</v>
      </c>
      <c r="B35" t="str">
        <f>Tabla145[[#This Row],[Oficina]]&amp;Tabla145[[#This Row],[Material]]</f>
        <v>Agro Sudamerica1021187</v>
      </c>
      <c r="C35" t="s">
        <v>6</v>
      </c>
      <c r="D35" t="s">
        <v>17</v>
      </c>
      <c r="E35">
        <v>1021187</v>
      </c>
      <c r="F35" t="s">
        <v>29</v>
      </c>
      <c r="G35" t="s">
        <v>8</v>
      </c>
      <c r="H35" t="s">
        <v>28</v>
      </c>
      <c r="I35" s="7">
        <f>IFERROR(VLOOKUP(Tabla145[[#This Row],[Llave]],'[7]RV Producción'!$C:$G,5,FALSE),0)</f>
        <v>56914</v>
      </c>
      <c r="J35" s="3">
        <f>IFERROR(IF(Tabla145[[#This Row],[Oficina]]=$I$7,VLOOKUP(Tabla145[[#This Row],[Llave]],'[7]Shangai (Tomas)'!$A:$F,6,FALSE),VLOOKUP(Tabla145[[#This Row],[Llave]],'[7]RV plan de ventas'!$A:$E,5,FALSE)),0)</f>
        <v>48000</v>
      </c>
      <c r="K35" s="8">
        <f>IFERROR(VLOOKUP(Tabla145[[#This Row],[Oficina]],[15]Ponderación!$B$2:$E$9,4,FALSE),0)</f>
        <v>0.45719439678473212</v>
      </c>
      <c r="L35" s="7">
        <f>+Tabla145[[#This Row],[ RV Producción mes n+1]]*Tabla145[[#This Row],[% Uti. producción]]</f>
        <v>26020.761898606244</v>
      </c>
      <c r="M35" s="7">
        <f>IFERROR(VLOOKUP(Tabla145[[#This Row],[Material]],[16]Stock!$G:$K,5,FALSE),0)</f>
        <v>38409</v>
      </c>
      <c r="N35" s="7">
        <f>IFERROR(VLOOKUP(Tabla145[[#This Row],[Material]],[16]Produccion!$M:$N,2,FALSE),0)</f>
        <v>12759</v>
      </c>
      <c r="O35" s="7">
        <f>IFERROR(VLOOKUP(Tabla145[[#This Row],[Llave]],'[16]TD Conf-AP'!$I:$M,4,FALSE),0)</f>
        <v>0</v>
      </c>
      <c r="P35" s="14">
        <f>SUM(Tabla145[[#This Row],[Producción disponible]],Tabla145[[#This Row],[Stock al día]],(Tabla145[[#This Row],[Por producir mes N]]*0.9))-Tabla145[[#This Row],[Producción por despachar mes N]]</f>
        <v>75912.86189860625</v>
      </c>
      <c r="Q35" s="7">
        <f>IFERROR(VLOOKUP(Tabla145[[#This Row],[Llave]],[17]DELAY!$A:$D,4,FALSE),0)</f>
        <v>72000</v>
      </c>
      <c r="R35" s="9">
        <v>24000</v>
      </c>
      <c r="S35" s="5">
        <f t="shared" si="5"/>
        <v>72000</v>
      </c>
      <c r="T35" s="76">
        <v>0</v>
      </c>
      <c r="U35" s="5">
        <f>+Tabla145[[#This Row],[Atraso a facturar]]+Tabla145[[#This Row],[Ajuste atraso]]</f>
        <v>72000</v>
      </c>
      <c r="V35" s="3">
        <f>+Tabla145[[#This Row],[Total disponible]]-Tabla145[[#This Row],[Facturación atraso]]</f>
        <v>3912.8618986062502</v>
      </c>
      <c r="W35" s="6">
        <f>IFERROR(IF(AND(V35&gt;R35,J35&gt;=R35),ROUNDDOWN((Tabla145[[#This Row],[Producción para venta nueva]])/R35,0)*R35,0),0)</f>
        <v>0</v>
      </c>
      <c r="X35" s="76">
        <v>0</v>
      </c>
      <c r="Y35" s="6">
        <f>IF(Tabla145[[#This Row],[Venta del mes]]&gt;0,Tabla145[[#This Row],[Venta del mes]]+Tabla145[[#This Row],[Ajuste venta nueva]],0)</f>
        <v>0</v>
      </c>
      <c r="Z35" s="6">
        <f>+Tabla145[[#This Row],[Producción para venta nueva]]-Tabla145[[#This Row],[Facturación Venta nueva]]</f>
        <v>3912.8618986062502</v>
      </c>
      <c r="AA35" s="6">
        <f>IF(AND(A35=1,Tabla145[[#This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5" s="6">
        <v>0</v>
      </c>
      <c r="AC35" s="6">
        <f>IF(Tabla145[[#This Row],[Disponible stock sin venta]]&gt;0,Tabla145[[#This Row],[Disponible stock sin venta]]+Tabla145[[#This Row],[Ajuste stock sin venta]],0)</f>
        <v>0</v>
      </c>
      <c r="AD35" s="3">
        <f>IFERROR(VLOOKUP(Tabla145[[#This Row],[Llave]],'[16]TD Puerto'!$A:$D,4,FALSE),0)</f>
        <v>0</v>
      </c>
      <c r="AE35" s="3">
        <v>72000</v>
      </c>
      <c r="AF35" s="3">
        <f>+Tabla145[[#This Row],[Plan Irrestricto Inicial]]</f>
        <v>72000</v>
      </c>
      <c r="AG35" s="3">
        <f>+Tabla145[[#This Row],[En puerto a facturar]]</f>
        <v>0</v>
      </c>
      <c r="AH35" s="3">
        <f>+Tabla145[[#This Row],[Facturación atraso]]</f>
        <v>72000</v>
      </c>
      <c r="AI35" s="3">
        <f>+Tabla145[[#This Row],[Plan Irrestricto]]-Tabla145[[#This Row],[Puerto ]]-Tabla145[[#This Row],[Atraso]]</f>
        <v>0</v>
      </c>
      <c r="AJ35" s="3">
        <f>IF(Tabla145[[#This Row],[Plan Irrestricto]]&gt;0,SUM(Tabla145[[#This Row],[Facturación atraso]],Tabla145[[#This Row],[Facturación Venta nueva]],Tabla145[[#This Row],[Facturación stock]],Tabla145[[#This Row],[En puerto a facturar]]),0)</f>
        <v>72000</v>
      </c>
      <c r="AK35" s="3">
        <f>+Tabla145[[#This Row],[Facturación atraso]]</f>
        <v>72000</v>
      </c>
      <c r="AL35" s="3">
        <f>+Tabla145[[#This Row],[Plan Ajustado]]-Tabla145[[#This Row],[ Atraso ajustado]]-Tabla145[[#This Row],[Puerto ]]</f>
        <v>0</v>
      </c>
      <c r="AM35" s="6">
        <f>IFERROR(VLOOKUP(Tabla145[[#This Row],[Llave]],[18]!Tabla14[#All],34,FALSE),0)</f>
        <v>0</v>
      </c>
      <c r="AN35" s="6">
        <f>IFERROR(VLOOKUP(Tabla145[[#This Row],[Llave]],[18]!Tabla14[#All],35,FALSE),0)</f>
        <v>0</v>
      </c>
      <c r="AO35" s="3" t="str">
        <f>IF(Tabla145[[#This Row],[Plan Ajustado]]&gt;Tabla145[[#This Row],[En puerto a facturar]],"Si","No")</f>
        <v>Si</v>
      </c>
      <c r="AP35" s="3">
        <f>IF(AND(Tabla145[[#This Row],[Plan Ajustado]]&gt;0,Tabla145[[#This Row],[Plan Ajustado]]&gt;Tabla145[[#This Row],[En puerto a facturar]]),(Tabla145[[#This Row],[Plan Ajustado]]-Tabla145[[#This Row],[En puerto a facturar]]),0)</f>
        <v>72000</v>
      </c>
      <c r="AQ35" s="3">
        <f>IF(Tabla145[[#This Row],[Necesidad]]&gt;=Tabla145[[#This Row],[Stock al día]],Tabla145[[#This Row],[Stock al día]],Tabla145[[#This Row],[Necesidad]])</f>
        <v>38409</v>
      </c>
      <c r="AR35" s="3">
        <f>+Tabla145[[#This Row],[Necesidad]]-Tabla145[[#This Row],[Stock Plan]]</f>
        <v>33591</v>
      </c>
      <c r="AS35" s="155">
        <f>IFERROR(VLOOKUP(Tabla145[[#This Row],[Oficina]],[19]Ponderación!$B$14:$E$21,4,FALSE),"")</f>
        <v>44789</v>
      </c>
      <c r="AT3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2.08666666666667</v>
      </c>
      <c r="AU35" s="83">
        <f>IFERROR(VLOOKUP(Tabla145[[#This Row],[Llave]],[17]DELAY!$H:$W,16,FALSE),0)</f>
        <v>2.098888888888887</v>
      </c>
      <c r="AV3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2.098888888888887</v>
      </c>
      <c r="AW35" s="5">
        <f>Tabla145[[#This Row],[Ajuste precio IC]]*Tabla145[[#This Row],[Plan Ajustado]]</f>
        <v>143039.99999999997</v>
      </c>
      <c r="AX35" s="30">
        <f>IFERROR(VLOOKUP(Tabla145[[#This Row],[Llave]],'[13]Ultimos precios facturados'!$A:$G,7,FALSE),0)</f>
        <v>1.965779500954816</v>
      </c>
      <c r="AY3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6.7713285172328469E-2</v>
      </c>
      <c r="AZ35" s="30">
        <f>IFERROR(VLOOKUP(Tabla145[[#This Row],[Llave]],Hoja2!B:K,10,FALSE),0)</f>
        <v>1.9866666666666664</v>
      </c>
      <c r="BA35" s="30">
        <f>IF(Tabla145[[#This Row],[Ajuste precio IC]]="",Tabla145[[#This Row],[Precio ponderado]],Tabla145[[#This Row],[Precio ponderado]])</f>
        <v>2.098888888888887</v>
      </c>
      <c r="BB35" s="82"/>
      <c r="BC35" s="82" t="str">
        <f>IF(AND(Tabla145[[#This Row],[Atraso a facturar]]&gt;0,Tabla145[[#This Row],[Precio Atraso]]=0),"Revisar","OK")</f>
        <v>OK</v>
      </c>
      <c r="BD35" s="82" t="str">
        <f>IF(AND(Tabla145[[#This Row],[Venta del mes]]&gt;0,Tabla145[[#This Row],[Precio venta nueva]]=0),"Revisar","OK")</f>
        <v>OK</v>
      </c>
      <c r="BE35" s="20">
        <f>IFERROR(VLOOKUP(Tabla145[[#This Row],[Llave]],'[5]Consolidación planes'!$A:$M,9,FALSE),0)</f>
        <v>72000</v>
      </c>
      <c r="BF35" s="20">
        <f>IFERROR(VLOOKUP(Tabla145[[#This Row],[Llave]],'[5]Consolidación planes'!$A:$M,10,FALSE),0)</f>
        <v>24000</v>
      </c>
      <c r="BG35" s="20">
        <f>IFERROR(VLOOKUP(Tabla145[[#This Row],[Llave]],'[5]Consolidación planes'!$A:$M,11,FALSE),0)</f>
        <v>48000</v>
      </c>
      <c r="BH35" s="20">
        <f>IFERROR(VLOOKUP(Tabla145[[#This Row],[Llave]],'[5]Consolidación planes'!$A:$M,12,FALSE),0)</f>
        <v>24000</v>
      </c>
      <c r="BI35" s="20">
        <f>IFERROR(VLOOKUP(Tabla145[[#This Row],[Llave]],'[5]Consolidación planes'!$A:$M,13,FALSE),0)</f>
        <v>88000</v>
      </c>
      <c r="BJ35" s="20">
        <f>IFERROR(VLOOKUP(Tabla145[[#This Row],[Llave]],'[13]Base ultimos planes'!$A:$M,13,FALSE),0)</f>
        <v>69000</v>
      </c>
      <c r="BK35" s="80">
        <f>IFERROR(VLOOKUP(Tabla145[[#This Row],[Llave]],'[13]Base ultimos planes'!$O:$AA,8,FALSE),0)</f>
        <v>147600</v>
      </c>
      <c r="BL35" s="20">
        <f>IFERROR(VLOOKUP(Tabla145[[#This Row],[Llave]],'[13]Base ultimos planes'!$O:$AA,9,FALSE),0)</f>
        <v>50100</v>
      </c>
      <c r="BM35" s="20">
        <f>IFERROR(VLOOKUP(Tabla145[[#This Row],[Llave]],'[13]Base ultimos planes'!$O:$AA,10,FALSE),0)</f>
        <v>90190</v>
      </c>
      <c r="BN35" s="20">
        <f>IFERROR(VLOOKUP(Tabla145[[#This Row],[Llave]],'[13]Base ultimos planes'!$O:$AA,11,FALSE),0)</f>
        <v>48240</v>
      </c>
      <c r="BO35" s="20">
        <f>IFERROR(VLOOKUP(Tabla145[[#This Row],[Llave]],'[13]Base ultimos planes'!$O:$AA,12,FALSE),0)</f>
        <v>173280</v>
      </c>
      <c r="BP35" s="20">
        <f>IFERROR(VLOOKUP(Tabla145[[#This Row],[Llave]],'[13]Base ultimos planes'!$O:$AA,13,FALSE),0)</f>
        <v>143717</v>
      </c>
      <c r="BQ35" s="20"/>
      <c r="BR35" s="20">
        <f>Tabla145[[#This Row],[ RV Producción mes n+1]]*(1-Tabla145[[#This Row],[% Uti. producción]])</f>
        <v>30893.238101393759</v>
      </c>
      <c r="BS35" s="20">
        <f>+Tabla145[[#This Row],[Producción disponible mes n-1]]+Tabla145[[#This Row],[Saldo Volumen disponible]]</f>
        <v>34806.100000000006</v>
      </c>
      <c r="BT35" s="7">
        <f>IFERROR(VLOOKUP(Tabla145[[#This Row],[Llave]],'[21]RV n+2 y n+3'!$B:$F,4,FALSE),0)</f>
        <v>96000</v>
      </c>
      <c r="BU35" s="7">
        <f>+Tabla145[[#This Row],[Asignación mes n+2]]*Tabla145[[#This Row],[% Uti. producción]]</f>
        <v>43890.662091334285</v>
      </c>
      <c r="BV35" s="7">
        <f>+Tabla145[[#This Row],[Ponderación mes n+2]]+Tabla145[[#This Row],[Saldo mes n-1]]</f>
        <v>78696.762091334298</v>
      </c>
      <c r="BW35" s="7">
        <f>+Tabla145[[#This Row],[Asignación mes n+2]]-Tabla145[[#This Row],[Ponderación mes n+2]]</f>
        <v>52109.337908665715</v>
      </c>
      <c r="BX35" s="7">
        <f>IFERROR(VLOOKUP(Tabla145[[#This Row],[Llave]],'[21]RV n+2 y n+3'!$B:$F,5,FALSE),0)</f>
        <v>106776.6</v>
      </c>
      <c r="BY35" s="7">
        <f>+Tabla145[[#This Row],[Asignación mes n+3]]*Tabla145[[#This Row],[% Uti. producción]]</f>
        <v>48817.663227724632</v>
      </c>
      <c r="BZ35" s="3">
        <f>+Tabla145[[#This Row],[Ponderación mes n+3]]+Tabla145[[#This Row],[Saldo mes n+2]]</f>
        <v>100927.00113639035</v>
      </c>
      <c r="CA35" s="3">
        <f>+Tabla145[[#This Row],[Asignación mes n+3]]-Tabla145[[#This Row],[Ponderación mes n+3]]</f>
        <v>57958.936772275374</v>
      </c>
      <c r="CB35" s="3">
        <f>+Tabla145[[#This Row],[Producción disponible mes n-1]]+Tabla145[[#This Row],[Producción disponible]]</f>
        <v>56914</v>
      </c>
      <c r="CC35" s="3">
        <f>+Tabla145[[#This Row],[Saldo mes n+4]]-Tabla145[[#This Row],[ RV Producción mes n+1]]</f>
        <v>0</v>
      </c>
    </row>
    <row r="36" spans="1:81" ht="16" x14ac:dyDescent="0.2">
      <c r="A36">
        <v>1</v>
      </c>
      <c r="B36" t="str">
        <f>Tabla145[[#This Row],[Oficina]]&amp;Tabla145[[#This Row],[Material]]</f>
        <v>Agro Sudamerica1021237</v>
      </c>
      <c r="C36" t="s">
        <v>6</v>
      </c>
      <c r="D36" t="s">
        <v>17</v>
      </c>
      <c r="E36">
        <v>1021237</v>
      </c>
      <c r="F36" t="s">
        <v>313</v>
      </c>
      <c r="G36" t="s">
        <v>71</v>
      </c>
      <c r="H36" t="s">
        <v>72</v>
      </c>
      <c r="I36" s="7">
        <f>IFERROR(VLOOKUP(Tabla145[[#This Row],[Llave]],'[7]RV Producción'!$C:$G,5,FALSE),0)</f>
        <v>0</v>
      </c>
      <c r="J36" s="3">
        <f>IFERROR(IF(Tabla145[[#This Row],[Oficina]]=$I$7,VLOOKUP(Tabla145[[#This Row],[Llave]],'[7]Shangai (Tomas)'!$A:$F,6,FALSE),VLOOKUP(Tabla145[[#This Row],[Llave]],'[7]RV plan de ventas'!$A:$E,5,FALSE)),0)</f>
        <v>0</v>
      </c>
      <c r="K36" s="8">
        <f>IFERROR(VLOOKUP(Tabla145[[#This Row],[Oficina]],[15]Ponderación!$B$2:$E$9,4,FALSE),0)</f>
        <v>0.45719439678473212</v>
      </c>
      <c r="L36" s="7">
        <f>+Tabla145[[#This Row],[ RV Producción mes n+1]]*Tabla145[[#This Row],[% Uti. producción]]</f>
        <v>0</v>
      </c>
      <c r="M36" s="7">
        <f>IFERROR(VLOOKUP(Tabla145[[#This Row],[Material]],[16]Stock!$G:$K,5,FALSE),0)</f>
        <v>0</v>
      </c>
      <c r="N36" s="7">
        <f>IFERROR(VLOOKUP(Tabla145[[#This Row],[Material]],[16]Produccion!$M:$N,2,FALSE),0)</f>
        <v>0</v>
      </c>
      <c r="O36" s="7">
        <f>IFERROR(VLOOKUP(Tabla145[[#This Row],[Llave]],'[16]TD Conf-AP'!$I:$M,4,FALSE),0)</f>
        <v>0</v>
      </c>
      <c r="P36" s="14">
        <f>SUM(Tabla145[[#This Row],[Producción disponible]],Tabla145[[#This Row],[Stock al día]],(Tabla145[[#This Row],[Por producir mes N]]*0.9))-Tabla145[[#This Row],[Producción por despachar mes N]]</f>
        <v>0</v>
      </c>
      <c r="Q36" s="7">
        <f>IFERROR(VLOOKUP(Tabla145[[#This Row],[Llave]],[17]DELAY!$A:$D,4,FALSE),0)</f>
        <v>0</v>
      </c>
      <c r="R36" s="9">
        <v>24000</v>
      </c>
      <c r="S36" s="5">
        <f t="shared" si="5"/>
        <v>0</v>
      </c>
      <c r="T36" s="76">
        <v>0</v>
      </c>
      <c r="U36" s="5">
        <f>+Tabla145[[#This Row],[Atraso a facturar]]+Tabla145[[#This Row],[Ajuste atraso]]</f>
        <v>0</v>
      </c>
      <c r="V36" s="3">
        <f>+Tabla145[[#This Row],[Total disponible]]-Tabla145[[#This Row],[Facturación atraso]]</f>
        <v>0</v>
      </c>
      <c r="W36" s="6">
        <f>IFERROR(IF(AND(V36&gt;R36,J36&gt;=R36),ROUNDDOWN((Tabla145[[#This Row],[Producción para venta nueva]])/R36,0)*R36,0),0)</f>
        <v>0</v>
      </c>
      <c r="X36" s="76">
        <v>0</v>
      </c>
      <c r="Y36" s="6">
        <f>IF(Tabla145[[#This Row],[Venta del mes]]&gt;0,Tabla145[[#This Row],[Venta del mes]]+Tabla145[[#This Row],[Ajuste venta nueva]],0)</f>
        <v>0</v>
      </c>
      <c r="Z36" s="6">
        <f>+Tabla145[[#This Row],[Producción para venta nueva]]-Tabla145[[#This Row],[Facturación Venta nueva]]</f>
        <v>0</v>
      </c>
      <c r="AA36" s="6">
        <f>IF(AND(A36=1,Tabla145[[#This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6" s="6">
        <v>0</v>
      </c>
      <c r="AC36" s="6">
        <f>IF(Tabla145[[#This Row],[Disponible stock sin venta]]&gt;0,Tabla145[[#This Row],[Disponible stock sin venta]]+Tabla145[[#This Row],[Ajuste stock sin venta]],0)</f>
        <v>0</v>
      </c>
      <c r="AD36" s="3">
        <f>IFERROR(VLOOKUP(Tabla145[[#This Row],[Llave]],'[16]TD Puerto'!$A:$D,4,FALSE),0)</f>
        <v>0</v>
      </c>
      <c r="AE36" s="3">
        <v>0</v>
      </c>
      <c r="AF36" s="3">
        <f>+Tabla145[[#This Row],[Plan Irrestricto Inicial]]</f>
        <v>0</v>
      </c>
      <c r="AG36" s="3">
        <f>+Tabla145[[#This Row],[En puerto a facturar]]</f>
        <v>0</v>
      </c>
      <c r="AH36" s="3">
        <f>+Tabla145[[#This Row],[Facturación atraso]]</f>
        <v>0</v>
      </c>
      <c r="AI36" s="3">
        <f>+Tabla145[[#This Row],[Plan Irrestricto]]-Tabla145[[#This Row],[Puerto ]]-Tabla145[[#This Row],[Atraso]]</f>
        <v>0</v>
      </c>
      <c r="AJ3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6" s="3">
        <f>+Tabla145[[#This Row],[Facturación atraso]]</f>
        <v>0</v>
      </c>
      <c r="AL36" s="3">
        <f>+Tabla145[[#This Row],[Plan Ajustado]]-Tabla145[[#This Row],[ Atraso ajustado]]-Tabla145[[#This Row],[Puerto ]]</f>
        <v>0</v>
      </c>
      <c r="AM36" s="6">
        <f>IFERROR(VLOOKUP(Tabla145[[#This Row],[Llave]],[18]!Tabla14[#All],34,FALSE),0)</f>
        <v>0</v>
      </c>
      <c r="AN36" s="6">
        <f>IFERROR(VLOOKUP(Tabla145[[#This Row],[Llave]],[18]!Tabla14[#All],35,FALSE),0)</f>
        <v>0</v>
      </c>
      <c r="AO36" s="3" t="str">
        <f>IF(Tabla145[[#This Row],[Plan Ajustado]]&gt;Tabla145[[#This Row],[En puerto a facturar]],"Si","No")</f>
        <v>No</v>
      </c>
      <c r="AP3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6" s="3">
        <f>IF(Tabla145[[#This Row],[Necesidad]]&gt;=Tabla145[[#This Row],[Stock al día]],Tabla145[[#This Row],[Stock al día]],Tabla145[[#This Row],[Necesidad]])</f>
        <v>0</v>
      </c>
      <c r="AR36" s="3">
        <f>+Tabla145[[#This Row],[Necesidad]]-Tabla145[[#This Row],[Stock Plan]]</f>
        <v>0</v>
      </c>
      <c r="AS36" s="155">
        <f>IFERROR(VLOOKUP(Tabla145[[#This Row],[Oficina]],[19]Ponderación!$B$14:$E$21,4,FALSE),"")</f>
        <v>44789</v>
      </c>
      <c r="AT3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1.8243151654160983</v>
      </c>
      <c r="AU36" s="83">
        <f>IFERROR(VLOOKUP(Tabla145[[#This Row],[Llave]],[17]DELAY!$H:$W,16,FALSE),0)</f>
        <v>0</v>
      </c>
      <c r="AV3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6" s="5">
        <f>Tabla145[[#This Row],[Ajuste precio IC]]*Tabla145[[#This Row],[Plan Ajustado]]</f>
        <v>0</v>
      </c>
      <c r="AX36" s="30">
        <f>IFERROR(VLOOKUP(Tabla145[[#This Row],[Llave]],'[13]Ultimos precios facturados'!$A:$G,7,FALSE),0)</f>
        <v>1.8243151654160983</v>
      </c>
      <c r="AY3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6" s="30">
        <f>IFERROR(VLOOKUP(Tabla145[[#This Row],[Llave]],Hoja2!B:K,10,FALSE),0)</f>
        <v>0</v>
      </c>
      <c r="BA36" s="30">
        <f>IF(Tabla145[[#This Row],[Ajuste precio IC]]="",Tabla145[[#This Row],[Precio ponderado]],Tabla145[[#This Row],[Precio ponderado]])</f>
        <v>0</v>
      </c>
      <c r="BB36" s="82"/>
      <c r="BC36" s="82" t="str">
        <f>IF(AND(Tabla145[[#This Row],[Atraso a facturar]]&gt;0,Tabla145[[#This Row],[Precio Atraso]]=0),"Revisar","OK")</f>
        <v>OK</v>
      </c>
      <c r="BD36" s="82" t="str">
        <f>IF(AND(Tabla145[[#This Row],[Venta del mes]]&gt;0,Tabla145[[#This Row],[Precio venta nueva]]=0),"Revisar","OK")</f>
        <v>OK</v>
      </c>
      <c r="BE36" s="20">
        <f>IFERROR(VLOOKUP(Tabla145[[#This Row],[Llave]],'[5]Consolidación planes'!$A:$M,9,FALSE),0)</f>
        <v>0</v>
      </c>
      <c r="BF36" s="20">
        <f>IFERROR(VLOOKUP(Tabla145[[#This Row],[Llave]],'[5]Consolidación planes'!$A:$M,10,FALSE),0)</f>
        <v>0</v>
      </c>
      <c r="BG36" s="20">
        <f>IFERROR(VLOOKUP(Tabla145[[#This Row],[Llave]],'[5]Consolidación planes'!$A:$M,11,FALSE),0)</f>
        <v>0</v>
      </c>
      <c r="BH36" s="20">
        <f>IFERROR(VLOOKUP(Tabla145[[#This Row],[Llave]],'[5]Consolidación planes'!$A:$M,12,FALSE),0)</f>
        <v>61042</v>
      </c>
      <c r="BI36" s="20">
        <f>IFERROR(VLOOKUP(Tabla145[[#This Row],[Llave]],'[5]Consolidación planes'!$A:$M,13,FALSE),0)</f>
        <v>13042</v>
      </c>
      <c r="BJ36" s="20">
        <f>IFERROR(VLOOKUP(Tabla145[[#This Row],[Llave]],'[13]Base ultimos planes'!$A:$M,13,FALSE),0)</f>
        <v>0</v>
      </c>
      <c r="BK36" s="80">
        <f>IFERROR(VLOOKUP(Tabla145[[#This Row],[Llave]],'[13]Base ultimos planes'!$O:$AA,8,FALSE),0)</f>
        <v>0</v>
      </c>
      <c r="BL36" s="20">
        <f>IFERROR(VLOOKUP(Tabla145[[#This Row],[Llave]],'[13]Base ultimos planes'!$O:$AA,9,FALSE),0)</f>
        <v>0</v>
      </c>
      <c r="BM36" s="20">
        <f>IFERROR(VLOOKUP(Tabla145[[#This Row],[Llave]],'[13]Base ultimos planes'!$O:$AA,10,FALSE),0)</f>
        <v>0</v>
      </c>
      <c r="BN36" s="20">
        <f>IFERROR(VLOOKUP(Tabla145[[#This Row],[Llave]],'[13]Base ultimos planes'!$O:$AA,11,FALSE),0)</f>
        <v>112844</v>
      </c>
      <c r="BO36" s="20">
        <f>IFERROR(VLOOKUP(Tabla145[[#This Row],[Llave]],'[13]Base ultimos planes'!$O:$AA,12,FALSE),0)</f>
        <v>25041</v>
      </c>
      <c r="BP36" s="20">
        <f>IFERROR(VLOOKUP(Tabla145[[#This Row],[Llave]],'[13]Base ultimos planes'!$O:$AA,13,FALSE),0)</f>
        <v>0</v>
      </c>
      <c r="BQ36" s="20"/>
      <c r="BR36" s="20">
        <f>Tabla145[[#This Row],[ RV Producción mes n+1]]*(1-Tabla145[[#This Row],[% Uti. producción]])</f>
        <v>0</v>
      </c>
      <c r="BS36" s="20">
        <f>+Tabla145[[#This Row],[Producción disponible mes n-1]]+Tabla145[[#This Row],[Saldo Volumen disponible]]</f>
        <v>0</v>
      </c>
      <c r="BT36" s="7">
        <f>IFERROR(VLOOKUP(Tabla145[[#This Row],[Llave]],'[21]RV n+2 y n+3'!$B:$F,4,FALSE),0)</f>
        <v>0</v>
      </c>
      <c r="BU36" s="7">
        <f>+Tabla145[[#This Row],[Asignación mes n+2]]*Tabla145[[#This Row],[% Uti. producción]]</f>
        <v>0</v>
      </c>
      <c r="BV36" s="7">
        <f>+Tabla145[[#This Row],[Ponderación mes n+2]]+Tabla145[[#This Row],[Saldo mes n-1]]</f>
        <v>0</v>
      </c>
      <c r="BW36" s="7">
        <f>+Tabla145[[#This Row],[Asignación mes n+2]]-Tabla145[[#This Row],[Ponderación mes n+2]]</f>
        <v>0</v>
      </c>
      <c r="BX36" s="7">
        <f>IFERROR(VLOOKUP(Tabla145[[#This Row],[Llave]],'[21]RV n+2 y n+3'!$B:$F,5,FALSE),0)</f>
        <v>0</v>
      </c>
      <c r="BY36" s="7">
        <f>+Tabla145[[#This Row],[Asignación mes n+3]]*Tabla145[[#This Row],[% Uti. producción]]</f>
        <v>0</v>
      </c>
      <c r="BZ36" s="3">
        <f>+Tabla145[[#This Row],[Ponderación mes n+3]]+Tabla145[[#This Row],[Saldo mes n+2]]</f>
        <v>0</v>
      </c>
      <c r="CA36" s="3">
        <f>+Tabla145[[#This Row],[Asignación mes n+3]]-Tabla145[[#This Row],[Ponderación mes n+3]]</f>
        <v>0</v>
      </c>
      <c r="CB36" s="3">
        <f>+Tabla145[[#This Row],[Producción disponible mes n-1]]+Tabla145[[#This Row],[Producción disponible]]</f>
        <v>0</v>
      </c>
      <c r="CC36" s="3">
        <f>+Tabla145[[#This Row],[Saldo mes n+4]]-Tabla145[[#This Row],[ RV Producción mes n+1]]</f>
        <v>0</v>
      </c>
    </row>
    <row r="37" spans="1:81" ht="16" x14ac:dyDescent="0.2">
      <c r="A37">
        <v>1</v>
      </c>
      <c r="B37" t="str">
        <f>Tabla145[[#This Row],[Oficina]]&amp;Tabla145[[#This Row],[Material]]</f>
        <v>Agro Sudamerica1021263</v>
      </c>
      <c r="C37" t="s">
        <v>6</v>
      </c>
      <c r="D37" t="s">
        <v>17</v>
      </c>
      <c r="E37">
        <v>1021263</v>
      </c>
      <c r="F37" t="s">
        <v>63</v>
      </c>
      <c r="G37" t="s">
        <v>59</v>
      </c>
      <c r="H37" t="s">
        <v>62</v>
      </c>
      <c r="I37" s="7">
        <f>IFERROR(VLOOKUP(Tabla145[[#This Row],[Llave]],'[7]RV Producción'!$C:$G,5,FALSE),0)</f>
        <v>0</v>
      </c>
      <c r="J37" s="3">
        <f>IFERROR(IF(Tabla145[[#This Row],[Oficina]]=$I$7,VLOOKUP(Tabla145[[#This Row],[Llave]],'[7]Shangai (Tomas)'!$A:$F,6,FALSE),VLOOKUP(Tabla145[[#This Row],[Llave]],'[7]RV plan de ventas'!$A:$E,5,FALSE)),0)</f>
        <v>0</v>
      </c>
      <c r="K37" s="8">
        <f>IFERROR(VLOOKUP(Tabla145[[#This Row],[Oficina]],[15]Ponderación!$B$2:$E$9,4,FALSE),0)</f>
        <v>0.45719439678473212</v>
      </c>
      <c r="L37" s="7">
        <f>+Tabla145[[#This Row],[ RV Producción mes n+1]]*Tabla145[[#This Row],[% Uti. producción]]</f>
        <v>0</v>
      </c>
      <c r="M37" s="7">
        <f>IFERROR(VLOOKUP(Tabla145[[#This Row],[Material]],[16]Stock!$G:$K,5,FALSE),0)</f>
        <v>0</v>
      </c>
      <c r="N37" s="7">
        <f>IFERROR(VLOOKUP(Tabla145[[#This Row],[Material]],[16]Produccion!$M:$N,2,FALSE),0)</f>
        <v>0</v>
      </c>
      <c r="O37" s="7">
        <f>IFERROR(VLOOKUP(Tabla145[[#This Row],[Llave]],'[16]TD Conf-AP'!$I:$M,4,FALSE),0)</f>
        <v>0</v>
      </c>
      <c r="P37" s="14">
        <f>SUM(Tabla145[[#This Row],[Producción disponible]],Tabla145[[#This Row],[Stock al día]],(Tabla145[[#This Row],[Por producir mes N]]*0.9))-Tabla145[[#This Row],[Producción por despachar mes N]]</f>
        <v>0</v>
      </c>
      <c r="Q37" s="7">
        <f>IFERROR(VLOOKUP(Tabla145[[#This Row],[Llave]],[17]DELAY!$A:$D,4,FALSE),0)</f>
        <v>0</v>
      </c>
      <c r="R37" s="9">
        <v>24000</v>
      </c>
      <c r="S37" s="5">
        <f t="shared" si="5"/>
        <v>0</v>
      </c>
      <c r="T37" s="76">
        <v>0</v>
      </c>
      <c r="U37" s="5">
        <f>+Tabla145[[#This Row],[Atraso a facturar]]+Tabla145[[#This Row],[Ajuste atraso]]</f>
        <v>0</v>
      </c>
      <c r="V37" s="3">
        <f>+Tabla145[[#This Row],[Total disponible]]-Tabla145[[#This Row],[Facturación atraso]]</f>
        <v>0</v>
      </c>
      <c r="W37" s="6">
        <f>IFERROR(IF(AND(V37&gt;R37,J37&gt;=R37),ROUNDDOWN((Tabla145[[#This Row],[Producción para venta nueva]])/R37,0)*R37,0),0)</f>
        <v>0</v>
      </c>
      <c r="X37" s="76">
        <v>0</v>
      </c>
      <c r="Y37" s="6">
        <f>IF(Tabla145[[#This Row],[Venta del mes]]&gt;0,Tabla145[[#This Row],[Venta del mes]]+Tabla145[[#This Row],[Ajuste venta nueva]],0)</f>
        <v>0</v>
      </c>
      <c r="Z37" s="6">
        <f>+Tabla145[[#This Row],[Producción para venta nueva]]-Tabla145[[#This Row],[Facturación Venta nueva]]</f>
        <v>0</v>
      </c>
      <c r="AA37" s="6">
        <f>IF(AND(A37=1,Tabla145[[#This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7" s="6">
        <v>0</v>
      </c>
      <c r="AC37" s="6">
        <f>IF(Tabla145[[#This Row],[Disponible stock sin venta]]&gt;0,Tabla145[[#This Row],[Disponible stock sin venta]]+Tabla145[[#This Row],[Ajuste stock sin venta]],0)</f>
        <v>0</v>
      </c>
      <c r="AD37" s="3">
        <f>IFERROR(VLOOKUP(Tabla145[[#This Row],[Llave]],'[16]TD Puerto'!$A:$D,4,FALSE),0)</f>
        <v>0</v>
      </c>
      <c r="AE37" s="3">
        <v>0</v>
      </c>
      <c r="AF37" s="3">
        <f>+Tabla145[[#This Row],[Plan Irrestricto Inicial]]</f>
        <v>0</v>
      </c>
      <c r="AG37" s="3">
        <f>+Tabla145[[#This Row],[En puerto a facturar]]</f>
        <v>0</v>
      </c>
      <c r="AH37" s="3">
        <f>+Tabla145[[#This Row],[Facturación atraso]]</f>
        <v>0</v>
      </c>
      <c r="AI37" s="3">
        <f>+Tabla145[[#This Row],[Plan Irrestricto]]-Tabla145[[#This Row],[Puerto ]]-Tabla145[[#This Row],[Atraso]]</f>
        <v>0</v>
      </c>
      <c r="AJ3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7" s="3">
        <f>+Tabla145[[#This Row],[Facturación atraso]]</f>
        <v>0</v>
      </c>
      <c r="AL37" s="3">
        <f>+Tabla145[[#This Row],[Plan Ajustado]]-Tabla145[[#This Row],[ Atraso ajustado]]-Tabla145[[#This Row],[Puerto ]]</f>
        <v>0</v>
      </c>
      <c r="AM37" s="6">
        <f>IFERROR(VLOOKUP(Tabla145[[#This Row],[Llave]],[18]!Tabla14[#All],34,FALSE),0)</f>
        <v>0</v>
      </c>
      <c r="AN37" s="6">
        <f>IFERROR(VLOOKUP(Tabla145[[#This Row],[Llave]],[18]!Tabla14[#All],35,FALSE),0)</f>
        <v>0</v>
      </c>
      <c r="AO37" s="3" t="str">
        <f>IF(Tabla145[[#This Row],[Plan Ajustado]]&gt;Tabla145[[#This Row],[En puerto a facturar]],"Si","No")</f>
        <v>No</v>
      </c>
      <c r="AP3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7" s="3">
        <f>IF(Tabla145[[#This Row],[Necesidad]]&gt;=Tabla145[[#This Row],[Stock al día]],Tabla145[[#This Row],[Stock al día]],Tabla145[[#This Row],[Necesidad]])</f>
        <v>0</v>
      </c>
      <c r="AR37" s="3">
        <f>+Tabla145[[#This Row],[Necesidad]]-Tabla145[[#This Row],[Stock Plan]]</f>
        <v>0</v>
      </c>
      <c r="AS37" s="155">
        <f>IFERROR(VLOOKUP(Tabla145[[#This Row],[Oficina]],[19]Ponderación!$B$14:$E$21,4,FALSE),"")</f>
        <v>44789</v>
      </c>
      <c r="AT3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1.8072700223872662</v>
      </c>
      <c r="AU37" s="83">
        <f>IFERROR(VLOOKUP(Tabla145[[#This Row],[Llave]],[17]DELAY!$H:$W,16,FALSE),0)</f>
        <v>0</v>
      </c>
      <c r="AV3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7" s="5">
        <f>Tabla145[[#This Row],[Ajuste precio IC]]*Tabla145[[#This Row],[Plan Ajustado]]</f>
        <v>0</v>
      </c>
      <c r="AX37" s="30">
        <f>IFERROR(VLOOKUP(Tabla145[[#This Row],[Llave]],'[13]Ultimos precios facturados'!$A:$G,7,FALSE),0)</f>
        <v>1.8072700223872662</v>
      </c>
      <c r="AY3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7" s="30">
        <f>IFERROR(VLOOKUP(Tabla145[[#This Row],[Llave]],Hoja2!B:K,10,FALSE),0)</f>
        <v>0</v>
      </c>
      <c r="BA37" s="30">
        <f>IF(Tabla145[[#This Row],[Ajuste precio IC]]="",Tabla145[[#This Row],[Precio ponderado]],Tabla145[[#This Row],[Precio ponderado]])</f>
        <v>0</v>
      </c>
      <c r="BB37" s="82"/>
      <c r="BC37" s="82" t="str">
        <f>IF(AND(Tabla145[[#This Row],[Atraso a facturar]]&gt;0,Tabla145[[#This Row],[Precio Atraso]]=0),"Revisar","OK")</f>
        <v>OK</v>
      </c>
      <c r="BD37" s="82" t="str">
        <f>IF(AND(Tabla145[[#This Row],[Venta del mes]]&gt;0,Tabla145[[#This Row],[Precio venta nueva]]=0),"Revisar","OK")</f>
        <v>OK</v>
      </c>
      <c r="BE37" s="20">
        <f>IFERROR(VLOOKUP(Tabla145[[#This Row],[Llave]],'[5]Consolidación planes'!$A:$M,9,FALSE),0)</f>
        <v>0</v>
      </c>
      <c r="BF37" s="20">
        <f>IFERROR(VLOOKUP(Tabla145[[#This Row],[Llave]],'[5]Consolidación planes'!$A:$M,10,FALSE),0)</f>
        <v>0</v>
      </c>
      <c r="BG37" s="20">
        <f>IFERROR(VLOOKUP(Tabla145[[#This Row],[Llave]],'[5]Consolidación planes'!$A:$M,11,FALSE),0)</f>
        <v>0</v>
      </c>
      <c r="BH37" s="20">
        <f>IFERROR(VLOOKUP(Tabla145[[#This Row],[Llave]],'[5]Consolidación planes'!$A:$M,12,FALSE),0)</f>
        <v>72000</v>
      </c>
      <c r="BI37" s="20">
        <f>IFERROR(VLOOKUP(Tabla145[[#This Row],[Llave]],'[5]Consolidación planes'!$A:$M,13,FALSE),0)</f>
        <v>48000</v>
      </c>
      <c r="BJ37" s="20">
        <f>IFERROR(VLOOKUP(Tabla145[[#This Row],[Llave]],'[13]Base ultimos planes'!$A:$M,13,FALSE),0)</f>
        <v>0</v>
      </c>
      <c r="BK37" s="80">
        <f>IFERROR(VLOOKUP(Tabla145[[#This Row],[Llave]],'[13]Base ultimos planes'!$O:$AA,8,FALSE),0)</f>
        <v>0</v>
      </c>
      <c r="BL37" s="20">
        <f>IFERROR(VLOOKUP(Tabla145[[#This Row],[Llave]],'[13]Base ultimos planes'!$O:$AA,9,FALSE),0)</f>
        <v>0</v>
      </c>
      <c r="BM37" s="20">
        <f>IFERROR(VLOOKUP(Tabla145[[#This Row],[Llave]],'[13]Base ultimos planes'!$O:$AA,10,FALSE),0)</f>
        <v>0</v>
      </c>
      <c r="BN37" s="20">
        <f>IFERROR(VLOOKUP(Tabla145[[#This Row],[Llave]],'[13]Base ultimos planes'!$O:$AA,11,FALSE),0)</f>
        <v>132240</v>
      </c>
      <c r="BO37" s="20">
        <f>IFERROR(VLOOKUP(Tabla145[[#This Row],[Llave]],'[13]Base ultimos planes'!$O:$AA,12,FALSE),0)</f>
        <v>92880</v>
      </c>
      <c r="BP37" s="20">
        <f>IFERROR(VLOOKUP(Tabla145[[#This Row],[Llave]],'[13]Base ultimos planes'!$O:$AA,13,FALSE),0)</f>
        <v>0</v>
      </c>
      <c r="BQ37" s="20"/>
      <c r="BR37" s="20">
        <f>Tabla145[[#This Row],[ RV Producción mes n+1]]*(1-Tabla145[[#This Row],[% Uti. producción]])</f>
        <v>0</v>
      </c>
      <c r="BS37" s="20">
        <f>+Tabla145[[#This Row],[Producción disponible mes n-1]]+Tabla145[[#This Row],[Saldo Volumen disponible]]</f>
        <v>0</v>
      </c>
      <c r="BT37" s="7">
        <f>IFERROR(VLOOKUP(Tabla145[[#This Row],[Llave]],'[21]RV n+2 y n+3'!$B:$F,4,FALSE),0)</f>
        <v>0</v>
      </c>
      <c r="BU37" s="7">
        <f>+Tabla145[[#This Row],[Asignación mes n+2]]*Tabla145[[#This Row],[% Uti. producción]]</f>
        <v>0</v>
      </c>
      <c r="BV37" s="7">
        <f>+Tabla145[[#This Row],[Ponderación mes n+2]]+Tabla145[[#This Row],[Saldo mes n-1]]</f>
        <v>0</v>
      </c>
      <c r="BW37" s="7">
        <f>+Tabla145[[#This Row],[Asignación mes n+2]]-Tabla145[[#This Row],[Ponderación mes n+2]]</f>
        <v>0</v>
      </c>
      <c r="BX37" s="7">
        <f>IFERROR(VLOOKUP(Tabla145[[#This Row],[Llave]],'[21]RV n+2 y n+3'!$B:$F,5,FALSE),0)</f>
        <v>0</v>
      </c>
      <c r="BY37" s="7">
        <f>+Tabla145[[#This Row],[Asignación mes n+3]]*Tabla145[[#This Row],[% Uti. producción]]</f>
        <v>0</v>
      </c>
      <c r="BZ37" s="3">
        <f>+Tabla145[[#This Row],[Ponderación mes n+3]]+Tabla145[[#This Row],[Saldo mes n+2]]</f>
        <v>0</v>
      </c>
      <c r="CA37" s="3">
        <f>+Tabla145[[#This Row],[Asignación mes n+3]]-Tabla145[[#This Row],[Ponderación mes n+3]]</f>
        <v>0</v>
      </c>
      <c r="CB37" s="3">
        <f>+Tabla145[[#This Row],[Producción disponible mes n-1]]+Tabla145[[#This Row],[Producción disponible]]</f>
        <v>0</v>
      </c>
      <c r="CC37" s="3">
        <f>+Tabla145[[#This Row],[Saldo mes n+4]]-Tabla145[[#This Row],[ RV Producción mes n+1]]</f>
        <v>0</v>
      </c>
    </row>
    <row r="38" spans="1:81" ht="16" x14ac:dyDescent="0.2">
      <c r="A38">
        <v>1</v>
      </c>
      <c r="B38" t="str">
        <f>Tabla145[[#This Row],[Oficina]]&amp;Tabla145[[#This Row],[Material]]</f>
        <v>Agro Sudamerica1021287</v>
      </c>
      <c r="C38" t="s">
        <v>6</v>
      </c>
      <c r="D38" t="s">
        <v>17</v>
      </c>
      <c r="E38">
        <v>1021287</v>
      </c>
      <c r="F38" t="s">
        <v>280</v>
      </c>
      <c r="G38" t="s">
        <v>11</v>
      </c>
      <c r="H38" t="s">
        <v>15</v>
      </c>
      <c r="I38" s="7">
        <f>IFERROR(VLOOKUP(Tabla145[[#This Row],[Llave]],'[7]RV Producción'!$C:$G,5,FALSE),0)</f>
        <v>0</v>
      </c>
      <c r="J38" s="3">
        <f>IFERROR(IF(Tabla145[[#This Row],[Oficina]]=$I$7,VLOOKUP(Tabla145[[#This Row],[Llave]],'[7]Shangai (Tomas)'!$A:$F,6,FALSE),VLOOKUP(Tabla145[[#This Row],[Llave]],'[7]RV plan de ventas'!$A:$E,5,FALSE)),0)</f>
        <v>0</v>
      </c>
      <c r="K38" s="8">
        <f>IFERROR(VLOOKUP(Tabla145[[#This Row],[Oficina]],[15]Ponderación!$B$2:$E$9,4,FALSE),0)</f>
        <v>0.45719439678473212</v>
      </c>
      <c r="L38" s="7">
        <f>+Tabla145[[#This Row],[ RV Producción mes n+1]]*Tabla145[[#This Row],[% Uti. producción]]</f>
        <v>0</v>
      </c>
      <c r="M38" s="7">
        <f>IFERROR(VLOOKUP(Tabla145[[#This Row],[Material]],[16]Stock!$G:$K,5,FALSE),0)</f>
        <v>0</v>
      </c>
      <c r="N38" s="7">
        <f>IFERROR(VLOOKUP(Tabla145[[#This Row],[Material]],[16]Produccion!$M:$N,2,FALSE),0)</f>
        <v>0</v>
      </c>
      <c r="O38" s="7">
        <f>IFERROR(VLOOKUP(Tabla145[[#This Row],[Llave]],'[16]TD Conf-AP'!$I:$M,4,FALSE),0)</f>
        <v>0</v>
      </c>
      <c r="P38" s="14">
        <f>SUM(Tabla145[[#This Row],[Producción disponible]],Tabla145[[#This Row],[Stock al día]],(Tabla145[[#This Row],[Por producir mes N]]*0.9))-Tabla145[[#This Row],[Producción por despachar mes N]]</f>
        <v>0</v>
      </c>
      <c r="Q38" s="7">
        <f>IFERROR(VLOOKUP(Tabla145[[#This Row],[Llave]],[17]DELAY!$A:$D,4,FALSE),0)</f>
        <v>0</v>
      </c>
      <c r="R38" s="9">
        <v>24000</v>
      </c>
      <c r="S38" s="5">
        <f t="shared" si="5"/>
        <v>0</v>
      </c>
      <c r="T38" s="76">
        <v>0</v>
      </c>
      <c r="U38" s="5">
        <f>+Tabla145[[#This Row],[Atraso a facturar]]+Tabla145[[#This Row],[Ajuste atraso]]</f>
        <v>0</v>
      </c>
      <c r="V38" s="3">
        <f>+Tabla145[[#This Row],[Total disponible]]-Tabla145[[#This Row],[Facturación atraso]]</f>
        <v>0</v>
      </c>
      <c r="W38" s="6">
        <f>IFERROR(IF(AND(V38&gt;R38,J38&gt;=R38),ROUNDDOWN((Tabla145[[#This Row],[Producción para venta nueva]])/R38,0)*R38,0),0)</f>
        <v>0</v>
      </c>
      <c r="X38" s="76">
        <v>0</v>
      </c>
      <c r="Y38" s="6">
        <f>IF(Tabla145[[#This Row],[Venta del mes]]&gt;0,Tabla145[[#This Row],[Venta del mes]]+Tabla145[[#This Row],[Ajuste venta nueva]],0)</f>
        <v>0</v>
      </c>
      <c r="Z38" s="6">
        <f>+Tabla145[[#This Row],[Producción para venta nueva]]-Tabla145[[#This Row],[Facturación Venta nueva]]</f>
        <v>0</v>
      </c>
      <c r="AA38" s="6">
        <f>IF(AND(A38=1,Tabla145[[#This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8" s="6">
        <v>0</v>
      </c>
      <c r="AC38" s="6">
        <f>IF(Tabla145[[#This Row],[Disponible stock sin venta]]&gt;0,Tabla145[[#This Row],[Disponible stock sin venta]]+Tabla145[[#This Row],[Ajuste stock sin venta]],0)</f>
        <v>0</v>
      </c>
      <c r="AD38" s="3">
        <f>IFERROR(VLOOKUP(Tabla145[[#This Row],[Llave]],'[16]TD Puerto'!$A:$D,4,FALSE),0)</f>
        <v>0</v>
      </c>
      <c r="AE38" s="3">
        <v>0</v>
      </c>
      <c r="AF38" s="3">
        <f>+Tabla145[[#This Row],[Plan Irrestricto Inicial]]</f>
        <v>0</v>
      </c>
      <c r="AG38" s="3">
        <f>+Tabla145[[#This Row],[En puerto a facturar]]</f>
        <v>0</v>
      </c>
      <c r="AH38" s="3">
        <f>+Tabla145[[#This Row],[Facturación atraso]]</f>
        <v>0</v>
      </c>
      <c r="AI38" s="3">
        <f>+Tabla145[[#This Row],[Plan Irrestricto]]-Tabla145[[#This Row],[Puerto ]]-Tabla145[[#This Row],[Atraso]]</f>
        <v>0</v>
      </c>
      <c r="AJ3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8" s="3">
        <f>+Tabla145[[#This Row],[Facturación atraso]]</f>
        <v>0</v>
      </c>
      <c r="AL38" s="3">
        <f>+Tabla145[[#This Row],[Plan Ajustado]]-Tabla145[[#This Row],[ Atraso ajustado]]-Tabla145[[#This Row],[Puerto ]]</f>
        <v>0</v>
      </c>
      <c r="AM38" s="6">
        <f>IFERROR(VLOOKUP(Tabla145[[#This Row],[Llave]],[18]!Tabla14[#All],34,FALSE),0)</f>
        <v>0</v>
      </c>
      <c r="AN38" s="6">
        <f>IFERROR(VLOOKUP(Tabla145[[#This Row],[Llave]],[18]!Tabla14[#All],35,FALSE),0)</f>
        <v>0</v>
      </c>
      <c r="AO38" s="3" t="str">
        <f>IF(Tabla145[[#This Row],[Plan Ajustado]]&gt;Tabla145[[#This Row],[En puerto a facturar]],"Si","No")</f>
        <v>No</v>
      </c>
      <c r="AP3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8" s="3">
        <f>IF(Tabla145[[#This Row],[Necesidad]]&gt;=Tabla145[[#This Row],[Stock al día]],Tabla145[[#This Row],[Stock al día]],Tabla145[[#This Row],[Necesidad]])</f>
        <v>0</v>
      </c>
      <c r="AR38" s="3">
        <f>+Tabla145[[#This Row],[Necesidad]]-Tabla145[[#This Row],[Stock Plan]]</f>
        <v>0</v>
      </c>
      <c r="AS38" s="155">
        <f>IFERROR(VLOOKUP(Tabla145[[#This Row],[Oficina]],[19]Ponderación!$B$14:$E$21,4,FALSE),"")</f>
        <v>44789</v>
      </c>
      <c r="AT3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38" s="83">
        <f>IFERROR(VLOOKUP(Tabla145[[#This Row],[Llave]],[17]DELAY!$H:$W,16,FALSE),0)</f>
        <v>0</v>
      </c>
      <c r="AV3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8" s="5">
        <f>Tabla145[[#This Row],[Ajuste precio IC]]*Tabla145[[#This Row],[Plan Ajustado]]</f>
        <v>0</v>
      </c>
      <c r="AX38" s="30">
        <f>IFERROR(VLOOKUP(Tabla145[[#This Row],[Llave]],'[13]Ultimos precios facturados'!$A:$G,7,FALSE),0)</f>
        <v>0</v>
      </c>
      <c r="AY3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8" s="30">
        <f>IFERROR(VLOOKUP(Tabla145[[#This Row],[Llave]],Hoja2!B:K,10,FALSE),0)</f>
        <v>0</v>
      </c>
      <c r="BA38" s="30">
        <f>IF(Tabla145[[#This Row],[Ajuste precio IC]]="",Tabla145[[#This Row],[Precio ponderado]],Tabla145[[#This Row],[Precio ponderado]])</f>
        <v>0</v>
      </c>
      <c r="BB38" s="82"/>
      <c r="BC38" s="82" t="str">
        <f>IF(AND(Tabla145[[#This Row],[Atraso a facturar]]&gt;0,Tabla145[[#This Row],[Precio Atraso]]=0),"Revisar","OK")</f>
        <v>OK</v>
      </c>
      <c r="BD38" s="82" t="str">
        <f>IF(AND(Tabla145[[#This Row],[Venta del mes]]&gt;0,Tabla145[[#This Row],[Precio venta nueva]]=0),"Revisar","OK")</f>
        <v>OK</v>
      </c>
      <c r="BE38" s="20">
        <f>IFERROR(VLOOKUP(Tabla145[[#This Row],[Llave]],'[5]Consolidación planes'!$A:$M,9,FALSE),0)</f>
        <v>0</v>
      </c>
      <c r="BF38" s="20">
        <f>IFERROR(VLOOKUP(Tabla145[[#This Row],[Llave]],'[5]Consolidación planes'!$A:$M,10,FALSE),0)</f>
        <v>5000</v>
      </c>
      <c r="BG38" s="20">
        <f>IFERROR(VLOOKUP(Tabla145[[#This Row],[Llave]],'[5]Consolidación planes'!$A:$M,11,FALSE),0)</f>
        <v>0</v>
      </c>
      <c r="BH38" s="20">
        <f>IFERROR(VLOOKUP(Tabla145[[#This Row],[Llave]],'[5]Consolidación planes'!$A:$M,12,FALSE),0)</f>
        <v>0</v>
      </c>
      <c r="BI38" s="20">
        <f>IFERROR(VLOOKUP(Tabla145[[#This Row],[Llave]],'[5]Consolidación planes'!$A:$M,13,FALSE),0)</f>
        <v>0</v>
      </c>
      <c r="BJ38" s="20">
        <f>IFERROR(VLOOKUP(Tabla145[[#This Row],[Llave]],'[13]Base ultimos planes'!$A:$M,13,FALSE),0)</f>
        <v>0</v>
      </c>
      <c r="BK38" s="80">
        <f>IFERROR(VLOOKUP(Tabla145[[#This Row],[Llave]],'[13]Base ultimos planes'!$O:$AA,8,FALSE),0)</f>
        <v>0</v>
      </c>
      <c r="BL38" s="20">
        <f>IFERROR(VLOOKUP(Tabla145[[#This Row],[Llave]],'[13]Base ultimos planes'!$O:$AA,9,FALSE),0)</f>
        <v>6833</v>
      </c>
      <c r="BM38" s="20">
        <f>IFERROR(VLOOKUP(Tabla145[[#This Row],[Llave]],'[13]Base ultimos planes'!$O:$AA,10,FALSE),0)</f>
        <v>0</v>
      </c>
      <c r="BN38" s="20">
        <f>IFERROR(VLOOKUP(Tabla145[[#This Row],[Llave]],'[13]Base ultimos planes'!$O:$AA,11,FALSE),0)</f>
        <v>0</v>
      </c>
      <c r="BO38" s="20">
        <f>IFERROR(VLOOKUP(Tabla145[[#This Row],[Llave]],'[13]Base ultimos planes'!$O:$AA,12,FALSE),0)</f>
        <v>0</v>
      </c>
      <c r="BP38" s="20">
        <f>IFERROR(VLOOKUP(Tabla145[[#This Row],[Llave]],'[13]Base ultimos planes'!$O:$AA,13,FALSE),0)</f>
        <v>0</v>
      </c>
      <c r="BQ38" s="20"/>
      <c r="BR38" s="20">
        <f>Tabla145[[#This Row],[ RV Producción mes n+1]]*(1-Tabla145[[#This Row],[% Uti. producción]])</f>
        <v>0</v>
      </c>
      <c r="BS38" s="20">
        <f>+Tabla145[[#This Row],[Producción disponible mes n-1]]+Tabla145[[#This Row],[Saldo Volumen disponible]]</f>
        <v>0</v>
      </c>
      <c r="BT38" s="7">
        <f>IFERROR(VLOOKUP(Tabla145[[#This Row],[Llave]],'[21]RV n+2 y n+3'!$B:$F,4,FALSE),0)</f>
        <v>0</v>
      </c>
      <c r="BU38" s="7">
        <f>+Tabla145[[#This Row],[Asignación mes n+2]]*Tabla145[[#This Row],[% Uti. producción]]</f>
        <v>0</v>
      </c>
      <c r="BV38" s="7">
        <f>+Tabla145[[#This Row],[Ponderación mes n+2]]+Tabla145[[#This Row],[Saldo mes n-1]]</f>
        <v>0</v>
      </c>
      <c r="BW38" s="7">
        <f>+Tabla145[[#This Row],[Asignación mes n+2]]-Tabla145[[#This Row],[Ponderación mes n+2]]</f>
        <v>0</v>
      </c>
      <c r="BX38" s="7">
        <f>IFERROR(VLOOKUP(Tabla145[[#This Row],[Llave]],'[21]RV n+2 y n+3'!$B:$F,5,FALSE),0)</f>
        <v>0</v>
      </c>
      <c r="BY38" s="7">
        <f>+Tabla145[[#This Row],[Asignación mes n+3]]*Tabla145[[#This Row],[% Uti. producción]]</f>
        <v>0</v>
      </c>
      <c r="BZ38" s="3">
        <f>+Tabla145[[#This Row],[Ponderación mes n+3]]+Tabla145[[#This Row],[Saldo mes n+2]]</f>
        <v>0</v>
      </c>
      <c r="CA38" s="3">
        <f>+Tabla145[[#This Row],[Asignación mes n+3]]-Tabla145[[#This Row],[Ponderación mes n+3]]</f>
        <v>0</v>
      </c>
      <c r="CB38" s="3">
        <f>+Tabla145[[#This Row],[Producción disponible mes n-1]]+Tabla145[[#This Row],[Producción disponible]]</f>
        <v>0</v>
      </c>
      <c r="CC38" s="3">
        <f>+Tabla145[[#This Row],[Saldo mes n+4]]-Tabla145[[#This Row],[ RV Producción mes n+1]]</f>
        <v>0</v>
      </c>
    </row>
    <row r="39" spans="1:81" ht="16" x14ac:dyDescent="0.2">
      <c r="A39">
        <v>1</v>
      </c>
      <c r="B39" t="str">
        <f>Tabla145[[#This Row],[Oficina]]&amp;Tabla145[[#This Row],[Material]]</f>
        <v>Agro Sudamerica1021385</v>
      </c>
      <c r="C39" t="s">
        <v>6</v>
      </c>
      <c r="D39" t="s">
        <v>17</v>
      </c>
      <c r="E39">
        <v>1021385</v>
      </c>
      <c r="F39" t="s">
        <v>33</v>
      </c>
      <c r="G39" t="s">
        <v>8</v>
      </c>
      <c r="H39" t="s">
        <v>32</v>
      </c>
      <c r="I39" s="7">
        <f>IFERROR(VLOOKUP(Tabla145[[#This Row],[Llave]],'[7]RV Producción'!$C:$G,5,FALSE),0)</f>
        <v>113824</v>
      </c>
      <c r="J39" s="3">
        <f>IFERROR(IF(Tabla145[[#This Row],[Oficina]]=$I$7,VLOOKUP(Tabla145[[#This Row],[Llave]],'[7]Shangai (Tomas)'!$A:$F,6,FALSE),VLOOKUP(Tabla145[[#This Row],[Llave]],'[7]RV plan de ventas'!$A:$E,5,FALSE)),0)</f>
        <v>120000</v>
      </c>
      <c r="K39" s="8">
        <f>IFERROR(VLOOKUP(Tabla145[[#This Row],[Oficina]],[15]Ponderación!$B$2:$E$9,4,FALSE),0)</f>
        <v>0.45719439678473212</v>
      </c>
      <c r="L39" s="7">
        <f>+Tabla145[[#This Row],[ RV Producción mes n+1]]*Tabla145[[#This Row],[% Uti. producción]]</f>
        <v>52039.695019625346</v>
      </c>
      <c r="M39" s="7">
        <f>IFERROR(VLOOKUP(Tabla145[[#This Row],[Material]],[16]Stock!$G:$K,5,FALSE),0)</f>
        <v>130103</v>
      </c>
      <c r="N39" s="7">
        <f>IFERROR(VLOOKUP(Tabla145[[#This Row],[Material]],[16]Produccion!$M:$N,2,FALSE),0)</f>
        <v>0</v>
      </c>
      <c r="O39" s="7">
        <f>IFERROR(VLOOKUP(Tabla145[[#This Row],[Llave]],'[16]TD Conf-AP'!$I:$M,4,FALSE),0)</f>
        <v>0</v>
      </c>
      <c r="P39" s="14">
        <f>SUM(Tabla145[[#This Row],[Producción disponible]],Tabla145[[#This Row],[Stock al día]],(Tabla145[[#This Row],[Por producir mes N]]*0.9))-Tabla145[[#This Row],[Producción por despachar mes N]]</f>
        <v>182142.69501962536</v>
      </c>
      <c r="Q39" s="7">
        <f>IFERROR(VLOOKUP(Tabla145[[#This Row],[Llave]],[17]DELAY!$A:$D,4,FALSE),0)</f>
        <v>150400</v>
      </c>
      <c r="R39" s="9">
        <v>24000</v>
      </c>
      <c r="S39" s="5">
        <f t="shared" si="5"/>
        <v>150400</v>
      </c>
      <c r="T39" s="76">
        <v>-24000</v>
      </c>
      <c r="U39" s="5">
        <f>+Tabla145[[#This Row],[Atraso a facturar]]+Tabla145[[#This Row],[Ajuste atraso]]</f>
        <v>126400</v>
      </c>
      <c r="V39" s="3">
        <f>+Tabla145[[#This Row],[Total disponible]]-Tabla145[[#This Row],[Facturación atraso]]</f>
        <v>55742.69501962536</v>
      </c>
      <c r="W39" s="6">
        <f>IFERROR(IF(AND(V39&gt;R39,J39&gt;=R39),ROUNDDOWN((Tabla145[[#This Row],[Producción para venta nueva]])/R39,0)*R39,0),0)</f>
        <v>48000</v>
      </c>
      <c r="X39" s="76">
        <v>0</v>
      </c>
      <c r="Y39" s="6">
        <f>IF(Tabla145[[#This Row],[Venta del mes]]&gt;0,Tabla145[[#This Row],[Venta del mes]]+Tabla145[[#This Row],[Ajuste venta nueva]],0)</f>
        <v>48000</v>
      </c>
      <c r="Z39" s="6">
        <f>+Tabla145[[#This Row],[Producción para venta nueva]]-Tabla145[[#This Row],[Facturación Venta nueva]]</f>
        <v>7742.6950196253601</v>
      </c>
      <c r="AA39" s="6">
        <f>IF(AND(A39=1,Tabla145[[#This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9" s="6">
        <v>0</v>
      </c>
      <c r="AC39" s="6">
        <f>IF(Tabla145[[#This Row],[Disponible stock sin venta]]&gt;0,Tabla145[[#This Row],[Disponible stock sin venta]]+Tabla145[[#This Row],[Ajuste stock sin venta]],0)</f>
        <v>0</v>
      </c>
      <c r="AD39" s="3">
        <f>IFERROR(VLOOKUP(Tabla145[[#This Row],[Llave]],'[16]TD Puerto'!$A:$D,4,FALSE),0)</f>
        <v>0</v>
      </c>
      <c r="AE39" s="3">
        <v>342400</v>
      </c>
      <c r="AF39" s="3">
        <f>+Tabla145[[#This Row],[Plan Irrestricto Inicial]]</f>
        <v>342400</v>
      </c>
      <c r="AG39" s="3">
        <f>+Tabla145[[#This Row],[En puerto a facturar]]</f>
        <v>0</v>
      </c>
      <c r="AH39" s="3">
        <f>+Tabla145[[#This Row],[Facturación atraso]]</f>
        <v>126400</v>
      </c>
      <c r="AI39" s="3">
        <f>+Tabla145[[#This Row],[Plan Irrestricto]]-Tabla145[[#This Row],[Puerto ]]-Tabla145[[#This Row],[Atraso]]</f>
        <v>216000</v>
      </c>
      <c r="AJ39" s="3">
        <f>IF(Tabla145[[#This Row],[Plan Irrestricto]]&gt;0,SUM(Tabla145[[#This Row],[Facturación atraso]],Tabla145[[#This Row],[Facturación Venta nueva]],Tabla145[[#This Row],[Facturación stock]],Tabla145[[#This Row],[En puerto a facturar]]),0)</f>
        <v>174400</v>
      </c>
      <c r="AK39" s="3">
        <f>+Tabla145[[#This Row],[Facturación atraso]]</f>
        <v>126400</v>
      </c>
      <c r="AL39" s="3">
        <f>+Tabla145[[#This Row],[Plan Ajustado]]-Tabla145[[#This Row],[ Atraso ajustado]]-Tabla145[[#This Row],[Puerto ]]</f>
        <v>48000</v>
      </c>
      <c r="AM39" s="6">
        <f>IFERROR(VLOOKUP(Tabla145[[#This Row],[Llave]],[18]!Tabla14[#All],34,FALSE),0)</f>
        <v>0</v>
      </c>
      <c r="AN39" s="6">
        <f>IFERROR(VLOOKUP(Tabla145[[#This Row],[Llave]],[18]!Tabla14[#All],35,FALSE),0)</f>
        <v>0</v>
      </c>
      <c r="AO39" s="3" t="str">
        <f>IF(Tabla145[[#This Row],[Plan Ajustado]]&gt;Tabla145[[#This Row],[En puerto a facturar]],"Si","No")</f>
        <v>Si</v>
      </c>
      <c r="AP39" s="3">
        <f>IF(AND(Tabla145[[#This Row],[Plan Ajustado]]&gt;0,Tabla145[[#This Row],[Plan Ajustado]]&gt;Tabla145[[#This Row],[En puerto a facturar]]),(Tabla145[[#This Row],[Plan Ajustado]]-Tabla145[[#This Row],[En puerto a facturar]]),0)</f>
        <v>174400</v>
      </c>
      <c r="AQ39" s="3">
        <f>IF(Tabla145[[#This Row],[Necesidad]]&gt;=Tabla145[[#This Row],[Stock al día]],Tabla145[[#This Row],[Stock al día]],Tabla145[[#This Row],[Necesidad]])</f>
        <v>130103</v>
      </c>
      <c r="AR39" s="3">
        <f>+Tabla145[[#This Row],[Necesidad]]-Tabla145[[#This Row],[Stock Plan]]</f>
        <v>44297</v>
      </c>
      <c r="AS39" s="155">
        <f>IFERROR(VLOOKUP(Tabla145[[#This Row],[Oficina]],[19]Ponderación!$B$14:$E$21,4,FALSE),"")</f>
        <v>44789</v>
      </c>
      <c r="AT3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1.0716749999999999</v>
      </c>
      <c r="AU39" s="83">
        <f>IFERROR(VLOOKUP(Tabla145[[#This Row],[Llave]],[17]DELAY!$H:$W,16,FALSE),0)</f>
        <v>0.99227921371780503</v>
      </c>
      <c r="AV3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1.0141312649881338</v>
      </c>
      <c r="AW39" s="5">
        <f>Tabla145[[#This Row],[Ajuste precio IC]]*Tabla145[[#This Row],[Plan Ajustado]]</f>
        <v>172808.38333333333</v>
      </c>
      <c r="AX39" s="30">
        <f>IFERROR(VLOOKUP(Tabla145[[#This Row],[Llave]],'[13]Ultimos precios facturados'!$A:$G,7,FALSE),0)</f>
        <v>0.92736124842586087</v>
      </c>
      <c r="AY3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9.3566575818818942E-2</v>
      </c>
      <c r="AZ39" s="30">
        <f>IFERROR(VLOOKUP(Tabla145[[#This Row],[Llave]],Hoja2!B:K,10,FALSE),0)</f>
        <v>0.99087375764525998</v>
      </c>
      <c r="BA39" s="30">
        <f>IF(Tabla145[[#This Row],[Ajuste precio IC]]="",Tabla145[[#This Row],[Precio ponderado]],Tabla145[[#This Row],[Precio ponderado]])</f>
        <v>1.0141312649881338</v>
      </c>
      <c r="BB39" s="82"/>
      <c r="BC39" s="82" t="str">
        <f>IF(AND(Tabla145[[#This Row],[Atraso a facturar]]&gt;0,Tabla145[[#This Row],[Precio Atraso]]=0),"Revisar","OK")</f>
        <v>OK</v>
      </c>
      <c r="BD39" s="82" t="str">
        <f>IF(AND(Tabla145[[#This Row],[Venta del mes]]&gt;0,Tabla145[[#This Row],[Precio venta nueva]]=0),"Revisar","OK")</f>
        <v>OK</v>
      </c>
      <c r="BE39" s="20">
        <f>IFERROR(VLOOKUP(Tabla145[[#This Row],[Llave]],'[5]Consolidación planes'!$A:$M,9,FALSE),0)</f>
        <v>120000</v>
      </c>
      <c r="BF39" s="20">
        <f>IFERROR(VLOOKUP(Tabla145[[#This Row],[Llave]],'[5]Consolidación planes'!$A:$M,10,FALSE),0)</f>
        <v>96000</v>
      </c>
      <c r="BG39" s="20">
        <f>IFERROR(VLOOKUP(Tabla145[[#This Row],[Llave]],'[5]Consolidación planes'!$A:$M,11,FALSE),0)</f>
        <v>144000</v>
      </c>
      <c r="BH39" s="20">
        <f>IFERROR(VLOOKUP(Tabla145[[#This Row],[Llave]],'[5]Consolidación planes'!$A:$M,12,FALSE),0)</f>
        <v>24000</v>
      </c>
      <c r="BI39" s="20">
        <f>IFERROR(VLOOKUP(Tabla145[[#This Row],[Llave]],'[5]Consolidación planes'!$A:$M,13,FALSE),0)</f>
        <v>144000</v>
      </c>
      <c r="BJ39" s="20">
        <f>IFERROR(VLOOKUP(Tabla145[[#This Row],[Llave]],'[13]Base ultimos planes'!$A:$M,13,FALSE),0)</f>
        <v>250000</v>
      </c>
      <c r="BK39" s="80">
        <f>IFERROR(VLOOKUP(Tabla145[[#This Row],[Llave]],'[13]Base ultimos planes'!$O:$AA,8,FALSE),0)</f>
        <v>114138.1036</v>
      </c>
      <c r="BL39" s="20">
        <f>IFERROR(VLOOKUP(Tabla145[[#This Row],[Llave]],'[13]Base ultimos planes'!$O:$AA,9,FALSE),0)</f>
        <v>93960</v>
      </c>
      <c r="BM39" s="20">
        <f>IFERROR(VLOOKUP(Tabla145[[#This Row],[Llave]],'[13]Base ultimos planes'!$O:$AA,10,FALSE),0)</f>
        <v>139920</v>
      </c>
      <c r="BN39" s="20">
        <f>IFERROR(VLOOKUP(Tabla145[[#This Row],[Llave]],'[13]Base ultimos planes'!$O:$AA,11,FALSE),0)</f>
        <v>21600</v>
      </c>
      <c r="BO39" s="20">
        <f>IFERROR(VLOOKUP(Tabla145[[#This Row],[Llave]],'[13]Base ultimos planes'!$O:$AA,12,FALSE),0)</f>
        <v>140160</v>
      </c>
      <c r="BP39" s="20">
        <f>IFERROR(VLOOKUP(Tabla145[[#This Row],[Llave]],'[13]Base ultimos planes'!$O:$AA,13,FALSE),0)</f>
        <v>257478</v>
      </c>
      <c r="BQ39" s="20"/>
      <c r="BR39" s="20">
        <f>Tabla145[[#This Row],[ RV Producción mes n+1]]*(1-Tabla145[[#This Row],[% Uti. producción]])</f>
        <v>61784.304980374654</v>
      </c>
      <c r="BS39" s="20">
        <f>+Tabla145[[#This Row],[Producción disponible mes n-1]]+Tabla145[[#This Row],[Saldo Volumen disponible]]</f>
        <v>69527.000000000015</v>
      </c>
      <c r="BT39" s="7">
        <f>IFERROR(VLOOKUP(Tabla145[[#This Row],[Llave]],'[21]RV n+2 y n+3'!$B:$F,4,FALSE),0)</f>
        <v>48000</v>
      </c>
      <c r="BU39" s="7">
        <f>+Tabla145[[#This Row],[Asignación mes n+2]]*Tabla145[[#This Row],[% Uti. producción]]</f>
        <v>21945.331045667142</v>
      </c>
      <c r="BV39" s="7">
        <f>+Tabla145[[#This Row],[Ponderación mes n+2]]+Tabla145[[#This Row],[Saldo mes n-1]]</f>
        <v>91472.331045667161</v>
      </c>
      <c r="BW39" s="7">
        <f>+Tabla145[[#This Row],[Asignación mes n+2]]-Tabla145[[#This Row],[Ponderación mes n+2]]</f>
        <v>26054.668954332858</v>
      </c>
      <c r="BX39" s="7">
        <f>IFERROR(VLOOKUP(Tabla145[[#This Row],[Llave]],'[21]RV n+2 y n+3'!$B:$F,5,FALSE),0)</f>
        <v>67436.351999999999</v>
      </c>
      <c r="BY39" s="7">
        <f>+Tabla145[[#This Row],[Asignación mes n+3]]*Tabla145[[#This Row],[% Uti. producción]]</f>
        <v>30831.522274002862</v>
      </c>
      <c r="BZ39" s="3">
        <f>+Tabla145[[#This Row],[Ponderación mes n+3]]+Tabla145[[#This Row],[Saldo mes n+2]]</f>
        <v>56886.191228335723</v>
      </c>
      <c r="CA39" s="3">
        <f>+Tabla145[[#This Row],[Asignación mes n+3]]-Tabla145[[#This Row],[Ponderación mes n+3]]</f>
        <v>36604.829725997137</v>
      </c>
      <c r="CB39" s="3">
        <f>+Tabla145[[#This Row],[Producción disponible mes n-1]]+Tabla145[[#This Row],[Producción disponible]]</f>
        <v>113824</v>
      </c>
      <c r="CC39" s="3">
        <f>+Tabla145[[#This Row],[Saldo mes n+4]]-Tabla145[[#This Row],[ RV Producción mes n+1]]</f>
        <v>0</v>
      </c>
    </row>
    <row r="40" spans="1:81" ht="16" x14ac:dyDescent="0.2">
      <c r="A40">
        <v>1</v>
      </c>
      <c r="B40" t="str">
        <f>Tabla145[[#This Row],[Oficina]]&amp;Tabla145[[#This Row],[Material]]</f>
        <v>Agro Sudamerica1021435</v>
      </c>
      <c r="C40" t="s">
        <v>6</v>
      </c>
      <c r="D40" t="s">
        <v>17</v>
      </c>
      <c r="E40">
        <v>1021435</v>
      </c>
      <c r="F40" t="s">
        <v>279</v>
      </c>
      <c r="G40" t="s">
        <v>11</v>
      </c>
      <c r="H40" t="s">
        <v>41</v>
      </c>
      <c r="I40" s="7">
        <f>IFERROR(VLOOKUP(Tabla145[[#This Row],[Llave]],'[7]RV Producción'!$C:$G,5,FALSE),0)</f>
        <v>0</v>
      </c>
      <c r="J40" s="3">
        <f>IFERROR(IF(Tabla145[[#This Row],[Oficina]]=$I$7,VLOOKUP(Tabla145[[#This Row],[Llave]],'[7]Shangai (Tomas)'!$A:$F,6,FALSE),VLOOKUP(Tabla145[[#This Row],[Llave]],'[7]RV plan de ventas'!$A:$E,5,FALSE)),0)</f>
        <v>0</v>
      </c>
      <c r="K40" s="8">
        <f>IFERROR(VLOOKUP(Tabla145[[#This Row],[Oficina]],[15]Ponderación!$B$2:$E$9,4,FALSE),0)</f>
        <v>0.45719439678473212</v>
      </c>
      <c r="L40" s="7">
        <f>+Tabla145[[#This Row],[ RV Producción mes n+1]]*Tabla145[[#This Row],[% Uti. producción]]</f>
        <v>0</v>
      </c>
      <c r="M40" s="7">
        <f>IFERROR(VLOOKUP(Tabla145[[#This Row],[Material]],[16]Stock!$G:$K,5,FALSE),0)</f>
        <v>0</v>
      </c>
      <c r="N40" s="7">
        <f>IFERROR(VLOOKUP(Tabla145[[#This Row],[Material]],[16]Produccion!$M:$N,2,FALSE),0)</f>
        <v>0</v>
      </c>
      <c r="O40" s="7">
        <f>IFERROR(VLOOKUP(Tabla145[[#This Row],[Llave]],'[16]TD Conf-AP'!$I:$M,4,FALSE),0)</f>
        <v>0</v>
      </c>
      <c r="P40" s="14">
        <f>SUM(Tabla145[[#This Row],[Producción disponible]],Tabla145[[#This Row],[Stock al día]],(Tabla145[[#This Row],[Por producir mes N]]*0.9))-Tabla145[[#This Row],[Producción por despachar mes N]]</f>
        <v>0</v>
      </c>
      <c r="Q40" s="7">
        <f>IFERROR(VLOOKUP(Tabla145[[#This Row],[Llave]],[17]DELAY!$A:$D,4,FALSE),0)</f>
        <v>0</v>
      </c>
      <c r="R40" s="9">
        <v>24000</v>
      </c>
      <c r="S40" s="5">
        <f t="shared" si="5"/>
        <v>0</v>
      </c>
      <c r="T40" s="76">
        <v>0</v>
      </c>
      <c r="U40" s="5">
        <f>+Tabla145[[#This Row],[Atraso a facturar]]+Tabla145[[#This Row],[Ajuste atraso]]</f>
        <v>0</v>
      </c>
      <c r="V40" s="3">
        <f>+Tabla145[[#This Row],[Total disponible]]-Tabla145[[#This Row],[Facturación atraso]]</f>
        <v>0</v>
      </c>
      <c r="W40" s="6">
        <f>IFERROR(IF(AND(V40&gt;R40,J40&gt;=R40),ROUNDDOWN((Tabla145[[#This Row],[Producción para venta nueva]])/R40,0)*R40,0),0)</f>
        <v>0</v>
      </c>
      <c r="X40" s="76">
        <v>0</v>
      </c>
      <c r="Y40" s="6">
        <f>IF(Tabla145[[#This Row],[Venta del mes]]&gt;0,Tabla145[[#This Row],[Venta del mes]]+Tabla145[[#This Row],[Ajuste venta nueva]],0)</f>
        <v>0</v>
      </c>
      <c r="Z40" s="6">
        <f>+Tabla145[[#This Row],[Producción para venta nueva]]-Tabla145[[#This Row],[Facturación Venta nueva]]</f>
        <v>0</v>
      </c>
      <c r="AA40" s="6">
        <f>IF(AND(A40=1,Tabla145[[#This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0" s="6">
        <v>0</v>
      </c>
      <c r="AC40" s="6">
        <f>IF(Tabla145[[#This Row],[Disponible stock sin venta]]&gt;0,Tabla145[[#This Row],[Disponible stock sin venta]]+Tabla145[[#This Row],[Ajuste stock sin venta]],0)</f>
        <v>0</v>
      </c>
      <c r="AD40" s="3">
        <f>IFERROR(VLOOKUP(Tabla145[[#This Row],[Llave]],'[16]TD Puerto'!$A:$D,4,FALSE),0)</f>
        <v>0</v>
      </c>
      <c r="AE40" s="3">
        <v>0</v>
      </c>
      <c r="AF40" s="3">
        <f>+Tabla145[[#This Row],[Plan Irrestricto Inicial]]</f>
        <v>0</v>
      </c>
      <c r="AG40" s="3">
        <f>+Tabla145[[#This Row],[En puerto a facturar]]</f>
        <v>0</v>
      </c>
      <c r="AH40" s="3">
        <f>+Tabla145[[#This Row],[Facturación atraso]]</f>
        <v>0</v>
      </c>
      <c r="AI40" s="3">
        <f>+Tabla145[[#This Row],[Plan Irrestricto]]-Tabla145[[#This Row],[Puerto ]]-Tabla145[[#This Row],[Atraso]]</f>
        <v>0</v>
      </c>
      <c r="AJ4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40" s="3">
        <f>+Tabla145[[#This Row],[Facturación atraso]]</f>
        <v>0</v>
      </c>
      <c r="AL40" s="3">
        <f>+Tabla145[[#This Row],[Plan Ajustado]]-Tabla145[[#This Row],[ Atraso ajustado]]-Tabla145[[#This Row],[Puerto ]]</f>
        <v>0</v>
      </c>
      <c r="AM40" s="6">
        <f>IFERROR(VLOOKUP(Tabla145[[#This Row],[Llave]],[18]!Tabla14[#All],34,FALSE),0)</f>
        <v>0</v>
      </c>
      <c r="AN40" s="6">
        <f>IFERROR(VLOOKUP(Tabla145[[#This Row],[Llave]],[18]!Tabla14[#All],35,FALSE),0)</f>
        <v>0</v>
      </c>
      <c r="AO40" s="3" t="str">
        <f>IF(Tabla145[[#This Row],[Plan Ajustado]]&gt;Tabla145[[#This Row],[En puerto a facturar]],"Si","No")</f>
        <v>No</v>
      </c>
      <c r="AP4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40" s="3">
        <f>IF(Tabla145[[#This Row],[Necesidad]]&gt;=Tabla145[[#This Row],[Stock al día]],Tabla145[[#This Row],[Stock al día]],Tabla145[[#This Row],[Necesidad]])</f>
        <v>0</v>
      </c>
      <c r="AR40" s="3">
        <f>+Tabla145[[#This Row],[Necesidad]]-Tabla145[[#This Row],[Stock Plan]]</f>
        <v>0</v>
      </c>
      <c r="AS40" s="155">
        <f>IFERROR(VLOOKUP(Tabla145[[#This Row],[Oficina]],[19]Ponderación!$B$14:$E$21,4,FALSE),"")</f>
        <v>44789</v>
      </c>
      <c r="AT4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1.0082721879869079</v>
      </c>
      <c r="AU40" s="83">
        <f>IFERROR(VLOOKUP(Tabla145[[#This Row],[Llave]],[17]DELAY!$H:$W,16,FALSE),0)</f>
        <v>0</v>
      </c>
      <c r="AV4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40" s="5">
        <f>Tabla145[[#This Row],[Ajuste precio IC]]*Tabla145[[#This Row],[Plan Ajustado]]</f>
        <v>0</v>
      </c>
      <c r="AX40" s="30">
        <f>IFERROR(VLOOKUP(Tabla145[[#This Row],[Llave]],'[13]Ultimos precios facturados'!$A:$G,7,FALSE),0)</f>
        <v>1.0082721879869079</v>
      </c>
      <c r="AY4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40" s="30">
        <f>IFERROR(VLOOKUP(Tabla145[[#This Row],[Llave]],Hoja2!B:K,10,FALSE),0)</f>
        <v>0</v>
      </c>
      <c r="BA40" s="30">
        <f>IF(Tabla145[[#This Row],[Ajuste precio IC]]="",Tabla145[[#This Row],[Precio ponderado]],Tabla145[[#This Row],[Precio ponderado]])</f>
        <v>0</v>
      </c>
      <c r="BB40" s="82"/>
      <c r="BC40" s="82" t="str">
        <f>IF(AND(Tabla145[[#This Row],[Atraso a facturar]]&gt;0,Tabla145[[#This Row],[Precio Atraso]]=0),"Revisar","OK")</f>
        <v>OK</v>
      </c>
      <c r="BD40" s="82" t="str">
        <f>IF(AND(Tabla145[[#This Row],[Venta del mes]]&gt;0,Tabla145[[#This Row],[Precio venta nueva]]=0),"Revisar","OK")</f>
        <v>OK</v>
      </c>
      <c r="BE40" s="20">
        <f>IFERROR(VLOOKUP(Tabla145[[#This Row],[Llave]],'[5]Consolidación planes'!$A:$M,9,FALSE),0)</f>
        <v>0</v>
      </c>
      <c r="BF40" s="20">
        <f>IFERROR(VLOOKUP(Tabla145[[#This Row],[Llave]],'[5]Consolidación planes'!$A:$M,10,FALSE),0)</f>
        <v>24000</v>
      </c>
      <c r="BG40" s="20">
        <f>IFERROR(VLOOKUP(Tabla145[[#This Row],[Llave]],'[5]Consolidación planes'!$A:$M,11,FALSE),0)</f>
        <v>0</v>
      </c>
      <c r="BH40" s="20">
        <f>IFERROR(VLOOKUP(Tabla145[[#This Row],[Llave]],'[5]Consolidación planes'!$A:$M,12,FALSE),0)</f>
        <v>12000</v>
      </c>
      <c r="BI40" s="20">
        <f>IFERROR(VLOOKUP(Tabla145[[#This Row],[Llave]],'[5]Consolidación planes'!$A:$M,13,FALSE),0)</f>
        <v>0</v>
      </c>
      <c r="BJ40" s="20">
        <f>IFERROR(VLOOKUP(Tabla145[[#This Row],[Llave]],'[13]Base ultimos planes'!$A:$M,13,FALSE),0)</f>
        <v>0</v>
      </c>
      <c r="BK40" s="80">
        <f>IFERROR(VLOOKUP(Tabla145[[#This Row],[Llave]],'[13]Base ultimos planes'!$O:$AA,8,FALSE),0)</f>
        <v>0</v>
      </c>
      <c r="BL40" s="20">
        <f>IFERROR(VLOOKUP(Tabla145[[#This Row],[Llave]],'[13]Base ultimos planes'!$O:$AA,9,FALSE),0)</f>
        <v>26800</v>
      </c>
      <c r="BM40" s="20">
        <f>IFERROR(VLOOKUP(Tabla145[[#This Row],[Llave]],'[13]Base ultimos planes'!$O:$AA,10,FALSE),0)</f>
        <v>0</v>
      </c>
      <c r="BN40" s="20">
        <f>IFERROR(VLOOKUP(Tabla145[[#This Row],[Llave]],'[13]Base ultimos planes'!$O:$AA,11,FALSE),0)</f>
        <v>10440</v>
      </c>
      <c r="BO40" s="20">
        <f>IFERROR(VLOOKUP(Tabla145[[#This Row],[Llave]],'[13]Base ultimos planes'!$O:$AA,12,FALSE),0)</f>
        <v>0</v>
      </c>
      <c r="BP40" s="20">
        <f>IFERROR(VLOOKUP(Tabla145[[#This Row],[Llave]],'[13]Base ultimos planes'!$O:$AA,13,FALSE),0)</f>
        <v>0</v>
      </c>
      <c r="BQ40" s="20"/>
      <c r="BR40" s="20">
        <f>Tabla145[[#This Row],[ RV Producción mes n+1]]*(1-Tabla145[[#This Row],[% Uti. producción]])</f>
        <v>0</v>
      </c>
      <c r="BS40" s="20">
        <f>+Tabla145[[#This Row],[Producción disponible mes n-1]]+Tabla145[[#This Row],[Saldo Volumen disponible]]</f>
        <v>0</v>
      </c>
      <c r="BT40" s="7">
        <f>IFERROR(VLOOKUP(Tabla145[[#This Row],[Llave]],'[21]RV n+2 y n+3'!$B:$F,4,FALSE),0)</f>
        <v>0</v>
      </c>
      <c r="BU40" s="7">
        <f>+Tabla145[[#This Row],[Asignación mes n+2]]*Tabla145[[#This Row],[% Uti. producción]]</f>
        <v>0</v>
      </c>
      <c r="BV40" s="7">
        <f>+Tabla145[[#This Row],[Ponderación mes n+2]]+Tabla145[[#This Row],[Saldo mes n-1]]</f>
        <v>0</v>
      </c>
      <c r="BW40" s="7">
        <f>+Tabla145[[#This Row],[Asignación mes n+2]]-Tabla145[[#This Row],[Ponderación mes n+2]]</f>
        <v>0</v>
      </c>
      <c r="BX40" s="7">
        <f>IFERROR(VLOOKUP(Tabla145[[#This Row],[Llave]],'[21]RV n+2 y n+3'!$B:$F,5,FALSE),0)</f>
        <v>0</v>
      </c>
      <c r="BY40" s="7">
        <f>+Tabla145[[#This Row],[Asignación mes n+3]]*Tabla145[[#This Row],[% Uti. producción]]</f>
        <v>0</v>
      </c>
      <c r="BZ40" s="3">
        <f>+Tabla145[[#This Row],[Ponderación mes n+3]]+Tabla145[[#This Row],[Saldo mes n+2]]</f>
        <v>0</v>
      </c>
      <c r="CA40" s="3">
        <f>+Tabla145[[#This Row],[Asignación mes n+3]]-Tabla145[[#This Row],[Ponderación mes n+3]]</f>
        <v>0</v>
      </c>
      <c r="CB40" s="3">
        <f>+Tabla145[[#This Row],[Producción disponible mes n-1]]+Tabla145[[#This Row],[Producción disponible]]</f>
        <v>0</v>
      </c>
      <c r="CC40" s="3">
        <f>+Tabla145[[#This Row],[Saldo mes n+4]]-Tabla145[[#This Row],[ RV Producción mes n+1]]</f>
        <v>0</v>
      </c>
    </row>
    <row r="41" spans="1:81" ht="16" x14ac:dyDescent="0.2">
      <c r="A41">
        <v>1</v>
      </c>
      <c r="B41" t="str">
        <f>Tabla145[[#This Row],[Oficina]]&amp;Tabla145[[#This Row],[Material]]</f>
        <v>Agro Sudamerica1021550</v>
      </c>
      <c r="C41" t="s">
        <v>6</v>
      </c>
      <c r="D41" t="s">
        <v>17</v>
      </c>
      <c r="E41">
        <v>1021550</v>
      </c>
      <c r="F41" t="s">
        <v>284</v>
      </c>
      <c r="G41" t="s">
        <v>71</v>
      </c>
      <c r="H41" t="s">
        <v>72</v>
      </c>
      <c r="I41" s="7">
        <f>IFERROR(VLOOKUP(Tabla145[[#This Row],[Llave]],'[7]RV Producción'!$C:$G,5,FALSE),0)</f>
        <v>0</v>
      </c>
      <c r="J41" s="3">
        <f>IFERROR(IF(Tabla145[[#This Row],[Oficina]]=$I$7,VLOOKUP(Tabla145[[#This Row],[Llave]],'[7]Shangai (Tomas)'!$A:$F,6,FALSE),VLOOKUP(Tabla145[[#This Row],[Llave]],'[7]RV plan de ventas'!$A:$E,5,FALSE)),0)</f>
        <v>0</v>
      </c>
      <c r="K41" s="8">
        <f>IFERROR(VLOOKUP(Tabla145[[#This Row],[Oficina]],[15]Ponderación!$B$2:$E$9,4,FALSE),0)</f>
        <v>0.45719439678473212</v>
      </c>
      <c r="L41" s="7">
        <f>+Tabla145[[#This Row],[ RV Producción mes n+1]]*Tabla145[[#This Row],[% Uti. producción]]</f>
        <v>0</v>
      </c>
      <c r="M41" s="7">
        <f>IFERROR(VLOOKUP(Tabla145[[#This Row],[Material]],[16]Stock!$G:$K,5,FALSE),0)</f>
        <v>0</v>
      </c>
      <c r="N41" s="7">
        <f>IFERROR(VLOOKUP(Tabla145[[#This Row],[Material]],[16]Produccion!$M:$N,2,FALSE),0)</f>
        <v>0</v>
      </c>
      <c r="O41" s="7">
        <f>IFERROR(VLOOKUP(Tabla145[[#This Row],[Llave]],'[16]TD Conf-AP'!$I:$M,4,FALSE),0)</f>
        <v>0</v>
      </c>
      <c r="P41" s="14">
        <f>SUM(Tabla145[[#This Row],[Producción disponible]],Tabla145[[#This Row],[Stock al día]],(Tabla145[[#This Row],[Por producir mes N]]*0.9))-Tabla145[[#This Row],[Producción por despachar mes N]]</f>
        <v>0</v>
      </c>
      <c r="Q41" s="7">
        <f>IFERROR(VLOOKUP(Tabla145[[#This Row],[Llave]],[17]DELAY!$A:$D,4,FALSE),0)</f>
        <v>1160</v>
      </c>
      <c r="R41" s="9">
        <v>24000</v>
      </c>
      <c r="S41" s="5">
        <f t="shared" si="5"/>
        <v>0</v>
      </c>
      <c r="T41" s="76">
        <v>0</v>
      </c>
      <c r="U41" s="5">
        <f>+Tabla145[[#This Row],[Atraso a facturar]]+Tabla145[[#This Row],[Ajuste atraso]]</f>
        <v>0</v>
      </c>
      <c r="V41" s="3">
        <f>+Tabla145[[#This Row],[Total disponible]]-Tabla145[[#This Row],[Facturación atraso]]</f>
        <v>0</v>
      </c>
      <c r="W41" s="6">
        <f>IFERROR(IF(AND(V41&gt;R41,J41&gt;=R41),ROUNDDOWN((Tabla145[[#This Row],[Producción para venta nueva]])/R41,0)*R41,0),0)</f>
        <v>0</v>
      </c>
      <c r="X41" s="76">
        <v>0</v>
      </c>
      <c r="Y41" s="6">
        <f>IF(Tabla145[[#This Row],[Venta del mes]]&gt;0,Tabla145[[#This Row],[Venta del mes]]+Tabla145[[#This Row],[Ajuste venta nueva]],0)</f>
        <v>0</v>
      </c>
      <c r="Z41" s="6">
        <f>+Tabla145[[#This Row],[Producción para venta nueva]]-Tabla145[[#This Row],[Facturación Venta nueva]]</f>
        <v>0</v>
      </c>
      <c r="AA41" s="6">
        <f>IF(AND(A41=1,Tabla145[[#This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1" s="6">
        <v>0</v>
      </c>
      <c r="AC41" s="6">
        <f>IF(Tabla145[[#This Row],[Disponible stock sin venta]]&gt;0,Tabla145[[#This Row],[Disponible stock sin venta]]+Tabla145[[#This Row],[Ajuste stock sin venta]],0)</f>
        <v>0</v>
      </c>
      <c r="AD41" s="3">
        <f>IFERROR(VLOOKUP(Tabla145[[#This Row],[Llave]],'[16]TD Puerto'!$A:$D,4,FALSE),0)</f>
        <v>0</v>
      </c>
      <c r="AE41" s="3">
        <v>0</v>
      </c>
      <c r="AF41" s="3">
        <f>+Tabla145[[#This Row],[Plan Irrestricto Inicial]]</f>
        <v>0</v>
      </c>
      <c r="AG41" s="3">
        <f>+Tabla145[[#This Row],[En puerto a facturar]]</f>
        <v>0</v>
      </c>
      <c r="AH41" s="3">
        <f>+Tabla145[[#This Row],[Facturación atraso]]</f>
        <v>0</v>
      </c>
      <c r="AI41" s="3">
        <f>+Tabla145[[#This Row],[Plan Irrestricto]]-Tabla145[[#This Row],[Puerto ]]-Tabla145[[#This Row],[Atraso]]</f>
        <v>0</v>
      </c>
      <c r="AJ4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41" s="3">
        <f>+Tabla145[[#This Row],[Facturación atraso]]</f>
        <v>0</v>
      </c>
      <c r="AL41" s="3">
        <f>+Tabla145[[#This Row],[Plan Ajustado]]-Tabla145[[#This Row],[ Atraso ajustado]]-Tabla145[[#This Row],[Puerto ]]</f>
        <v>0</v>
      </c>
      <c r="AM41" s="6">
        <f>IFERROR(VLOOKUP(Tabla145[[#This Row],[Llave]],[18]!Tabla14[#All],34,FALSE),0)</f>
        <v>0</v>
      </c>
      <c r="AN41" s="6">
        <f>IFERROR(VLOOKUP(Tabla145[[#This Row],[Llave]],[18]!Tabla14[#All],35,FALSE),0)</f>
        <v>0</v>
      </c>
      <c r="AO41" s="3" t="str">
        <f>IF(Tabla145[[#This Row],[Plan Ajustado]]&gt;Tabla145[[#This Row],[En puerto a facturar]],"Si","No")</f>
        <v>No</v>
      </c>
      <c r="AP4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41" s="3">
        <f>IF(Tabla145[[#This Row],[Necesidad]]&gt;=Tabla145[[#This Row],[Stock al día]],Tabla145[[#This Row],[Stock al día]],Tabla145[[#This Row],[Necesidad]])</f>
        <v>0</v>
      </c>
      <c r="AR41" s="3">
        <f>+Tabla145[[#This Row],[Necesidad]]-Tabla145[[#This Row],[Stock Plan]]</f>
        <v>0</v>
      </c>
      <c r="AS41" s="155">
        <f>IFERROR(VLOOKUP(Tabla145[[#This Row],[Oficina]],[19]Ponderación!$B$14:$E$21,4,FALSE),"")</f>
        <v>44789</v>
      </c>
      <c r="AT4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1.8473233587468809</v>
      </c>
      <c r="AU41" s="83">
        <f>IFERROR(VLOOKUP(Tabla145[[#This Row],[Llave]],[17]DELAY!$H:$W,16,FALSE),0)</f>
        <v>1.8470828974735802</v>
      </c>
      <c r="AV4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41" s="5">
        <f>Tabla145[[#This Row],[Ajuste precio IC]]*Tabla145[[#This Row],[Plan Ajustado]]</f>
        <v>0</v>
      </c>
      <c r="AX41" s="30">
        <f>IFERROR(VLOOKUP(Tabla145[[#This Row],[Llave]],'[13]Ultimos precios facturados'!$A:$G,7,FALSE),0)</f>
        <v>1.8473233587468809</v>
      </c>
      <c r="AY4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41" s="30">
        <f>IFERROR(VLOOKUP(Tabla145[[#This Row],[Llave]],Hoja2!B:K,10,FALSE),0)</f>
        <v>0</v>
      </c>
      <c r="BA41" s="30">
        <f>IF(Tabla145[[#This Row],[Ajuste precio IC]]="",Tabla145[[#This Row],[Precio ponderado]],Tabla145[[#This Row],[Precio ponderado]])</f>
        <v>0</v>
      </c>
      <c r="BB41" s="82"/>
      <c r="BC41" s="82" t="str">
        <f>IF(AND(Tabla145[[#This Row],[Atraso a facturar]]&gt;0,Tabla145[[#This Row],[Precio Atraso]]=0),"Revisar","OK")</f>
        <v>OK</v>
      </c>
      <c r="BD41" s="82" t="str">
        <f>IF(AND(Tabla145[[#This Row],[Venta del mes]]&gt;0,Tabla145[[#This Row],[Precio venta nueva]]=0),"Revisar","OK")</f>
        <v>OK</v>
      </c>
      <c r="BE41" s="20">
        <f>IFERROR(VLOOKUP(Tabla145[[#This Row],[Llave]],'[5]Consolidación planes'!$A:$M,9,FALSE),0)</f>
        <v>0</v>
      </c>
      <c r="BF41" s="20">
        <f>IFERROR(VLOOKUP(Tabla145[[#This Row],[Llave]],'[5]Consolidación planes'!$A:$M,10,FALSE),0)</f>
        <v>5780</v>
      </c>
      <c r="BG41" s="20">
        <f>IFERROR(VLOOKUP(Tabla145[[#This Row],[Llave]],'[5]Consolidación planes'!$A:$M,11,FALSE),0)</f>
        <v>0</v>
      </c>
      <c r="BH41" s="20">
        <f>IFERROR(VLOOKUP(Tabla145[[#This Row],[Llave]],'[5]Consolidación planes'!$A:$M,12,FALSE),0)</f>
        <v>70958</v>
      </c>
      <c r="BI41" s="20">
        <f>IFERROR(VLOOKUP(Tabla145[[#This Row],[Llave]],'[5]Consolidación planes'!$A:$M,13,FALSE),0)</f>
        <v>34958</v>
      </c>
      <c r="BJ41" s="20">
        <f>IFERROR(VLOOKUP(Tabla145[[#This Row],[Llave]],'[13]Base ultimos planes'!$A:$M,13,FALSE),0)</f>
        <v>0</v>
      </c>
      <c r="BK41" s="80">
        <f>IFERROR(VLOOKUP(Tabla145[[#This Row],[Llave]],'[13]Base ultimos planes'!$O:$AA,8,FALSE),0)</f>
        <v>0</v>
      </c>
      <c r="BL41" s="20">
        <f>IFERROR(VLOOKUP(Tabla145[[#This Row],[Llave]],'[13]Base ultimos planes'!$O:$AA,9,FALSE),0)</f>
        <v>10500</v>
      </c>
      <c r="BM41" s="20">
        <f>IFERROR(VLOOKUP(Tabla145[[#This Row],[Llave]],'[13]Base ultimos planes'!$O:$AA,10,FALSE),0)</f>
        <v>0</v>
      </c>
      <c r="BN41" s="20">
        <f>IFERROR(VLOOKUP(Tabla145[[#This Row],[Llave]],'[13]Base ultimos planes'!$O:$AA,11,FALSE),0)</f>
        <v>130996</v>
      </c>
      <c r="BO41" s="20">
        <f>IFERROR(VLOOKUP(Tabla145[[#This Row],[Llave]],'[13]Base ultimos planes'!$O:$AA,12,FALSE),0)</f>
        <v>67119</v>
      </c>
      <c r="BP41" s="20">
        <f>IFERROR(VLOOKUP(Tabla145[[#This Row],[Llave]],'[13]Base ultimos planes'!$O:$AA,13,FALSE),0)</f>
        <v>0</v>
      </c>
      <c r="BQ41" s="20"/>
      <c r="BR41" s="20">
        <f>Tabla145[[#This Row],[ RV Producción mes n+1]]*(1-Tabla145[[#This Row],[% Uti. producción]])</f>
        <v>0</v>
      </c>
      <c r="BS41" s="20">
        <f>+Tabla145[[#This Row],[Producción disponible mes n-1]]+Tabla145[[#This Row],[Saldo Volumen disponible]]</f>
        <v>0</v>
      </c>
      <c r="BT41" s="7">
        <f>IFERROR(VLOOKUP(Tabla145[[#This Row],[Llave]],'[21]RV n+2 y n+3'!$B:$F,4,FALSE),0)</f>
        <v>0</v>
      </c>
      <c r="BU41" s="7">
        <f>+Tabla145[[#This Row],[Asignación mes n+2]]*Tabla145[[#This Row],[% Uti. producción]]</f>
        <v>0</v>
      </c>
      <c r="BV41" s="7">
        <f>+Tabla145[[#This Row],[Ponderación mes n+2]]+Tabla145[[#This Row],[Saldo mes n-1]]</f>
        <v>0</v>
      </c>
      <c r="BW41" s="7">
        <f>+Tabla145[[#This Row],[Asignación mes n+2]]-Tabla145[[#This Row],[Ponderación mes n+2]]</f>
        <v>0</v>
      </c>
      <c r="BX41" s="7">
        <f>IFERROR(VLOOKUP(Tabla145[[#This Row],[Llave]],'[21]RV n+2 y n+3'!$B:$F,5,FALSE),0)</f>
        <v>0</v>
      </c>
      <c r="BY41" s="7">
        <f>+Tabla145[[#This Row],[Asignación mes n+3]]*Tabla145[[#This Row],[% Uti. producción]]</f>
        <v>0</v>
      </c>
      <c r="BZ41" s="3">
        <f>+Tabla145[[#This Row],[Ponderación mes n+3]]+Tabla145[[#This Row],[Saldo mes n+2]]</f>
        <v>0</v>
      </c>
      <c r="CA41" s="3">
        <f>+Tabla145[[#This Row],[Asignación mes n+3]]-Tabla145[[#This Row],[Ponderación mes n+3]]</f>
        <v>0</v>
      </c>
      <c r="CB41" s="3">
        <f>+Tabla145[[#This Row],[Producción disponible mes n-1]]+Tabla145[[#This Row],[Producción disponible]]</f>
        <v>0</v>
      </c>
      <c r="CC41" s="3">
        <f>+Tabla145[[#This Row],[Saldo mes n+4]]-Tabla145[[#This Row],[ RV Producción mes n+1]]</f>
        <v>0</v>
      </c>
    </row>
    <row r="42" spans="1:81" ht="16" x14ac:dyDescent="0.2">
      <c r="A42">
        <v>1</v>
      </c>
      <c r="B42" t="str">
        <f>Tabla145[[#This Row],[Oficina]]&amp;Tabla145[[#This Row],[Material]]</f>
        <v>Agro Sudamerica1021622</v>
      </c>
      <c r="C42" t="s">
        <v>6</v>
      </c>
      <c r="D42" t="s">
        <v>17</v>
      </c>
      <c r="E42">
        <v>1021622</v>
      </c>
      <c r="F42" t="s">
        <v>22</v>
      </c>
      <c r="G42" t="s">
        <v>18</v>
      </c>
      <c r="H42" t="s">
        <v>21</v>
      </c>
      <c r="I42" s="7">
        <f>IFERROR(VLOOKUP(Tabla145[[#This Row],[Llave]],'[7]RV Producción'!$C:$G,5,FALSE),0)</f>
        <v>2826</v>
      </c>
      <c r="J42" s="3">
        <f>IFERROR(IF(Tabla145[[#This Row],[Oficina]]=$I$7,VLOOKUP(Tabla145[[#This Row],[Llave]],'[7]Shangai (Tomas)'!$A:$F,6,FALSE),VLOOKUP(Tabla145[[#This Row],[Llave]],'[7]RV plan de ventas'!$A:$E,5,FALSE)),0)</f>
        <v>2826</v>
      </c>
      <c r="K42" s="8">
        <f>IFERROR(VLOOKUP(Tabla145[[#This Row],[Oficina]],[15]Ponderación!$B$2:$E$9,4,FALSE),0)</f>
        <v>0.45719439678473212</v>
      </c>
      <c r="L42" s="7">
        <f>+Tabla145[[#This Row],[ RV Producción mes n+1]]*Tabla145[[#This Row],[% Uti. producción]]</f>
        <v>1292.0313653136529</v>
      </c>
      <c r="M42" s="7">
        <f>IFERROR(VLOOKUP(Tabla145[[#This Row],[Material]],[16]Stock!$G:$K,5,FALSE),0)</f>
        <v>15732</v>
      </c>
      <c r="N42" s="7">
        <f>IFERROR(VLOOKUP(Tabla145[[#This Row],[Material]],[16]Produccion!$M:$N,2,FALSE),0)</f>
        <v>15961</v>
      </c>
      <c r="O42" s="7">
        <f>IFERROR(VLOOKUP(Tabla145[[#This Row],[Llave]],'[16]TD Conf-AP'!$I:$M,4,FALSE),0)</f>
        <v>0</v>
      </c>
      <c r="P42" s="14">
        <f>SUM(Tabla145[[#This Row],[Producción disponible]],Tabla145[[#This Row],[Stock al día]],(Tabla145[[#This Row],[Por producir mes N]]*0.9))-Tabla145[[#This Row],[Producción por despachar mes N]]</f>
        <v>31388.931365313656</v>
      </c>
      <c r="Q42" s="7">
        <f>IFERROR(VLOOKUP(Tabla145[[#This Row],[Llave]],[17]DELAY!$A:$D,4,FALSE),0)</f>
        <v>36000</v>
      </c>
      <c r="R42" s="9">
        <v>24000</v>
      </c>
      <c r="S42" s="5">
        <f t="shared" si="5"/>
        <v>24000</v>
      </c>
      <c r="T42" s="76">
        <v>0</v>
      </c>
      <c r="U42" s="5">
        <f>+Tabla145[[#This Row],[Atraso a facturar]]+Tabla145[[#This Row],[Ajuste atraso]]</f>
        <v>24000</v>
      </c>
      <c r="V42" s="3">
        <f>+Tabla145[[#This Row],[Total disponible]]-Tabla145[[#This Row],[Facturación atraso]]</f>
        <v>7388.931365313656</v>
      </c>
      <c r="W42" s="6">
        <f>IFERROR(IF(AND(V42&gt;R42,J42&gt;=R42),ROUNDDOWN((Tabla145[[#This Row],[Producción para venta nueva]])/R42,0)*R42,0),0)</f>
        <v>0</v>
      </c>
      <c r="X42" s="76">
        <v>0</v>
      </c>
      <c r="Y42" s="6">
        <f>IF(Tabla145[[#This Row],[Venta del mes]]&gt;0,Tabla145[[#This Row],[Venta del mes]]+Tabla145[[#This Row],[Ajuste venta nueva]],0)</f>
        <v>0</v>
      </c>
      <c r="Z42" s="6">
        <f>+Tabla145[[#This Row],[Producción para venta nueva]]-Tabla145[[#This Row],[Facturación Venta nueva]]</f>
        <v>7388.931365313656</v>
      </c>
      <c r="AA42" s="6">
        <f>IF(AND(A42=1,Tabla145[[#This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2" s="6">
        <v>0</v>
      </c>
      <c r="AC42" s="6">
        <f>IF(Tabla145[[#This Row],[Disponible stock sin venta]]&gt;0,Tabla145[[#This Row],[Disponible stock sin venta]]+Tabla145[[#This Row],[Ajuste stock sin venta]],0)</f>
        <v>0</v>
      </c>
      <c r="AD42" s="3">
        <f>IFERROR(VLOOKUP(Tabla145[[#This Row],[Llave]],'[16]TD Puerto'!$A:$D,4,FALSE),0)</f>
        <v>0</v>
      </c>
      <c r="AE42" s="3">
        <v>24000</v>
      </c>
      <c r="AF42" s="3">
        <f>+Tabla145[[#This Row],[Plan Irrestricto Inicial]]</f>
        <v>24000</v>
      </c>
      <c r="AG42" s="3">
        <f>+Tabla145[[#This Row],[En puerto a facturar]]</f>
        <v>0</v>
      </c>
      <c r="AH42" s="3">
        <f>+Tabla145[[#This Row],[Facturación atraso]]</f>
        <v>24000</v>
      </c>
      <c r="AI42" s="3">
        <f>+Tabla145[[#This Row],[Plan Irrestricto]]-Tabla145[[#This Row],[Puerto ]]-Tabla145[[#This Row],[Atraso]]</f>
        <v>0</v>
      </c>
      <c r="AJ42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42" s="3">
        <f>+Tabla145[[#This Row],[Facturación atraso]]</f>
        <v>24000</v>
      </c>
      <c r="AL42" s="3">
        <f>+Tabla145[[#This Row],[Plan Ajustado]]-Tabla145[[#This Row],[ Atraso ajustado]]-Tabla145[[#This Row],[Puerto ]]</f>
        <v>0</v>
      </c>
      <c r="AM42" s="6">
        <f>IFERROR(VLOOKUP(Tabla145[[#This Row],[Llave]],[18]!Tabla14[#All],34,FALSE),0)</f>
        <v>0</v>
      </c>
      <c r="AN42" s="6">
        <f>IFERROR(VLOOKUP(Tabla145[[#This Row],[Llave]],[18]!Tabla14[#All],35,FALSE),0)</f>
        <v>0</v>
      </c>
      <c r="AO42" s="3" t="str">
        <f>IF(Tabla145[[#This Row],[Plan Ajustado]]&gt;Tabla145[[#This Row],[En puerto a facturar]],"Si","No")</f>
        <v>Si</v>
      </c>
      <c r="AP42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42" s="3">
        <f>IF(Tabla145[[#This Row],[Necesidad]]&gt;=Tabla145[[#This Row],[Stock al día]],Tabla145[[#This Row],[Stock al día]],Tabla145[[#This Row],[Necesidad]])</f>
        <v>15732</v>
      </c>
      <c r="AR42" s="3">
        <f>+Tabla145[[#This Row],[Necesidad]]-Tabla145[[#This Row],[Stock Plan]]</f>
        <v>8268</v>
      </c>
      <c r="AS42" s="155">
        <f>IFERROR(VLOOKUP(Tabla145[[#This Row],[Oficina]],[19]Ponderación!$B$14:$E$21,4,FALSE),"")</f>
        <v>44789</v>
      </c>
      <c r="AT4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6.4865534324132996</v>
      </c>
      <c r="AU42" s="83">
        <f>IFERROR(VLOOKUP(Tabla145[[#This Row],[Llave]],[17]DELAY!$H:$W,16,FALSE),0)</f>
        <v>6.4045555555555573</v>
      </c>
      <c r="AV4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6.4045555555555573</v>
      </c>
      <c r="AW42" s="5">
        <f>Tabla145[[#This Row],[Ajuste precio IC]]*Tabla145[[#This Row],[Plan Ajustado]]</f>
        <v>153280</v>
      </c>
      <c r="AX42" s="30">
        <f>IFERROR(VLOOKUP(Tabla145[[#This Row],[Llave]],'[13]Ultimos precios facturados'!$A:$G,7,FALSE),0)</f>
        <v>6.8628427781523937</v>
      </c>
      <c r="AY4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6.6778044814865475E-2</v>
      </c>
      <c r="AZ42" s="30">
        <f>IFERROR(VLOOKUP(Tabla145[[#This Row],[Llave]],Hoja2!B:K,10,FALSE),0)</f>
        <v>6.3866666666666667</v>
      </c>
      <c r="BA42" s="30">
        <f>IF(Tabla145[[#This Row],[Ajuste precio IC]]="",Tabla145[[#This Row],[Precio ponderado]],Tabla145[[#This Row],[Precio ponderado]])</f>
        <v>6.4045555555555573</v>
      </c>
      <c r="BB42" s="82"/>
      <c r="BC42" s="82" t="str">
        <f>IF(AND(Tabla145[[#This Row],[Atraso a facturar]]&gt;0,Tabla145[[#This Row],[Precio Atraso]]=0),"Revisar","OK")</f>
        <v>OK</v>
      </c>
      <c r="BD42" s="82" t="str">
        <f>IF(AND(Tabla145[[#This Row],[Venta del mes]]&gt;0,Tabla145[[#This Row],[Precio venta nueva]]=0),"Revisar","OK")</f>
        <v>OK</v>
      </c>
      <c r="BE42" s="20">
        <f>IFERROR(VLOOKUP(Tabla145[[#This Row],[Llave]],'[5]Consolidación planes'!$A:$M,9,FALSE),0)</f>
        <v>0</v>
      </c>
      <c r="BF42" s="20">
        <f>IFERROR(VLOOKUP(Tabla145[[#This Row],[Llave]],'[5]Consolidación planes'!$A:$M,10,FALSE),0)</f>
        <v>6790</v>
      </c>
      <c r="BG42" s="20">
        <f>IFERROR(VLOOKUP(Tabla145[[#This Row],[Llave]],'[5]Consolidación planes'!$A:$M,11,FALSE),0)</f>
        <v>0</v>
      </c>
      <c r="BH42" s="20">
        <f>IFERROR(VLOOKUP(Tabla145[[#This Row],[Llave]],'[5]Consolidación planes'!$A:$M,12,FALSE),0)</f>
        <v>18000</v>
      </c>
      <c r="BI42" s="20">
        <f>IFERROR(VLOOKUP(Tabla145[[#This Row],[Llave]],'[5]Consolidación planes'!$A:$M,13,FALSE),0)</f>
        <v>110</v>
      </c>
      <c r="BJ42" s="20">
        <f>IFERROR(VLOOKUP(Tabla145[[#This Row],[Llave]],'[13]Base ultimos planes'!$A:$M,13,FALSE),0)</f>
        <v>0</v>
      </c>
      <c r="BK42" s="80">
        <f>IFERROR(VLOOKUP(Tabla145[[#This Row],[Llave]],'[13]Base ultimos planes'!$O:$AA,8,FALSE),0)</f>
        <v>0</v>
      </c>
      <c r="BL42" s="20">
        <f>IFERROR(VLOOKUP(Tabla145[[#This Row],[Llave]],'[13]Base ultimos planes'!$O:$AA,9,FALSE),0)</f>
        <v>53075</v>
      </c>
      <c r="BM42" s="20">
        <f>IFERROR(VLOOKUP(Tabla145[[#This Row],[Llave]],'[13]Base ultimos planes'!$O:$AA,10,FALSE),0)</f>
        <v>0</v>
      </c>
      <c r="BN42" s="20">
        <f>IFERROR(VLOOKUP(Tabla145[[#This Row],[Llave]],'[13]Base ultimos planes'!$O:$AA,11,FALSE),0)</f>
        <v>131760</v>
      </c>
      <c r="BO42" s="20">
        <f>IFERROR(VLOOKUP(Tabla145[[#This Row],[Llave]],'[13]Base ultimos planes'!$O:$AA,12,FALSE),0)</f>
        <v>374</v>
      </c>
      <c r="BP42" s="20">
        <f>IFERROR(VLOOKUP(Tabla145[[#This Row],[Llave]],'[13]Base ultimos planes'!$O:$AA,13,FALSE),0)</f>
        <v>0</v>
      </c>
      <c r="BQ42" s="20"/>
      <c r="BR42" s="20">
        <f>Tabla145[[#This Row],[ RV Producción mes n+1]]*(1-Tabla145[[#This Row],[% Uti. producción]])</f>
        <v>1533.9686346863473</v>
      </c>
      <c r="BS42" s="20">
        <f>+Tabla145[[#This Row],[Producción disponible mes n-1]]+Tabla145[[#This Row],[Saldo Volumen disponible]]</f>
        <v>8922.9000000000033</v>
      </c>
      <c r="BT42" s="7">
        <f>IFERROR(VLOOKUP(Tabla145[[#This Row],[Llave]],'[21]RV n+2 y n+3'!$B:$F,4,FALSE),0)</f>
        <v>0</v>
      </c>
      <c r="BU42" s="7">
        <f>+Tabla145[[#This Row],[Asignación mes n+2]]*Tabla145[[#This Row],[% Uti. producción]]</f>
        <v>0</v>
      </c>
      <c r="BV42" s="7">
        <f>+Tabla145[[#This Row],[Ponderación mes n+2]]+Tabla145[[#This Row],[Saldo mes n-1]]</f>
        <v>8922.9000000000033</v>
      </c>
      <c r="BW42" s="7">
        <f>+Tabla145[[#This Row],[Asignación mes n+2]]-Tabla145[[#This Row],[Ponderación mes n+2]]</f>
        <v>0</v>
      </c>
      <c r="BX42" s="7">
        <f>IFERROR(VLOOKUP(Tabla145[[#This Row],[Llave]],'[21]RV n+2 y n+3'!$B:$F,5,FALSE),0)</f>
        <v>0</v>
      </c>
      <c r="BY42" s="7">
        <f>+Tabla145[[#This Row],[Asignación mes n+3]]*Tabla145[[#This Row],[% Uti. producción]]</f>
        <v>0</v>
      </c>
      <c r="BZ42" s="3">
        <f>+Tabla145[[#This Row],[Ponderación mes n+3]]+Tabla145[[#This Row],[Saldo mes n+2]]</f>
        <v>0</v>
      </c>
      <c r="CA42" s="3">
        <f>+Tabla145[[#This Row],[Asignación mes n+3]]-Tabla145[[#This Row],[Ponderación mes n+3]]</f>
        <v>0</v>
      </c>
      <c r="CB42" s="3">
        <f>+Tabla145[[#This Row],[Producción disponible mes n-1]]+Tabla145[[#This Row],[Producción disponible]]</f>
        <v>2826</v>
      </c>
      <c r="CC42" s="3">
        <f>+Tabla145[[#This Row],[Saldo mes n+4]]-Tabla145[[#This Row],[ RV Producción mes n+1]]</f>
        <v>0</v>
      </c>
    </row>
    <row r="43" spans="1:81" ht="16" x14ac:dyDescent="0.2">
      <c r="A43">
        <v>1</v>
      </c>
      <c r="B43" t="str">
        <f>Tabla145[[#This Row],[Oficina]]&amp;Tabla145[[#This Row],[Material]]</f>
        <v>Agro Sudamerica1021623</v>
      </c>
      <c r="C43" t="s">
        <v>6</v>
      </c>
      <c r="D43" t="s">
        <v>17</v>
      </c>
      <c r="E43">
        <v>1021623</v>
      </c>
      <c r="F43" t="s">
        <v>23</v>
      </c>
      <c r="G43" t="s">
        <v>18</v>
      </c>
      <c r="H43" t="s">
        <v>21</v>
      </c>
      <c r="I43" s="7">
        <f>IFERROR(VLOOKUP(Tabla145[[#This Row],[Llave]],'[7]RV Producción'!$C:$G,5,FALSE),0)</f>
        <v>0</v>
      </c>
      <c r="J43" s="3">
        <f>IFERROR(IF(Tabla145[[#This Row],[Oficina]]=$I$7,VLOOKUP(Tabla145[[#This Row],[Llave]],'[7]Shangai (Tomas)'!$A:$F,6,FALSE),VLOOKUP(Tabla145[[#This Row],[Llave]],'[7]RV plan de ventas'!$A:$E,5,FALSE)),0)</f>
        <v>0</v>
      </c>
      <c r="K43" s="8">
        <f>IFERROR(VLOOKUP(Tabla145[[#This Row],[Oficina]],[15]Ponderación!$B$2:$E$9,4,FALSE),0)</f>
        <v>0.45719439678473212</v>
      </c>
      <c r="L43" s="7">
        <f>+Tabla145[[#This Row],[ RV Producción mes n+1]]*Tabla145[[#This Row],[% Uti. producción]]</f>
        <v>0</v>
      </c>
      <c r="M43" s="7">
        <f>IFERROR(VLOOKUP(Tabla145[[#This Row],[Material]],[16]Stock!$G:$K,5,FALSE),0)</f>
        <v>0</v>
      </c>
      <c r="N43" s="7">
        <f>IFERROR(VLOOKUP(Tabla145[[#This Row],[Material]],[16]Produccion!$M:$N,2,FALSE),0)</f>
        <v>0</v>
      </c>
      <c r="O43" s="7">
        <f>IFERROR(VLOOKUP(Tabla145[[#This Row],[Llave]],'[16]TD Conf-AP'!$I:$M,4,FALSE),0)</f>
        <v>0</v>
      </c>
      <c r="P43" s="14">
        <f>SUM(Tabla145[[#This Row],[Producción disponible]],Tabla145[[#This Row],[Stock al día]],(Tabla145[[#This Row],[Por producir mes N]]*0.9))-Tabla145[[#This Row],[Producción por despachar mes N]]</f>
        <v>0</v>
      </c>
      <c r="Q43" s="7">
        <f>IFERROR(VLOOKUP(Tabla145[[#This Row],[Llave]],[17]DELAY!$A:$D,4,FALSE),0)</f>
        <v>0</v>
      </c>
      <c r="R43" s="9">
        <v>24000</v>
      </c>
      <c r="S43" s="5">
        <f t="shared" si="5"/>
        <v>0</v>
      </c>
      <c r="T43" s="76">
        <v>0</v>
      </c>
      <c r="U43" s="5">
        <f>+Tabla145[[#This Row],[Atraso a facturar]]+Tabla145[[#This Row],[Ajuste atraso]]</f>
        <v>0</v>
      </c>
      <c r="V43" s="3">
        <f>+Tabla145[[#This Row],[Total disponible]]-Tabla145[[#This Row],[Facturación atraso]]</f>
        <v>0</v>
      </c>
      <c r="W43" s="6">
        <f>IFERROR(IF(AND(V43&gt;R43,J43&gt;=R43),ROUNDDOWN((Tabla145[[#This Row],[Producción para venta nueva]])/R43,0)*R43,0),0)</f>
        <v>0</v>
      </c>
      <c r="X43" s="76">
        <v>0</v>
      </c>
      <c r="Y43" s="6">
        <f>IF(Tabla145[[#This Row],[Venta del mes]]&gt;0,Tabla145[[#This Row],[Venta del mes]]+Tabla145[[#This Row],[Ajuste venta nueva]],0)</f>
        <v>0</v>
      </c>
      <c r="Z43" s="6">
        <f>+Tabla145[[#This Row],[Producción para venta nueva]]-Tabla145[[#This Row],[Facturación Venta nueva]]</f>
        <v>0</v>
      </c>
      <c r="AA43" s="6">
        <f>IF(AND(A43=1,Tabla145[[#This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3" s="6">
        <v>0</v>
      </c>
      <c r="AC43" s="6">
        <f>IF(Tabla145[[#This Row],[Disponible stock sin venta]]&gt;0,Tabla145[[#This Row],[Disponible stock sin venta]]+Tabla145[[#This Row],[Ajuste stock sin venta]],0)</f>
        <v>0</v>
      </c>
      <c r="AD43" s="3">
        <f>IFERROR(VLOOKUP(Tabla145[[#This Row],[Llave]],'[16]TD Puerto'!$A:$D,4,FALSE),0)</f>
        <v>0</v>
      </c>
      <c r="AE43" s="3">
        <v>0</v>
      </c>
      <c r="AF43" s="3">
        <f>+Tabla145[[#This Row],[Plan Irrestricto Inicial]]</f>
        <v>0</v>
      </c>
      <c r="AG43" s="3">
        <f>+Tabla145[[#This Row],[En puerto a facturar]]</f>
        <v>0</v>
      </c>
      <c r="AH43" s="3">
        <f>+Tabla145[[#This Row],[Facturación atraso]]</f>
        <v>0</v>
      </c>
      <c r="AI43" s="3">
        <f>+Tabla145[[#This Row],[Plan Irrestricto]]-Tabla145[[#This Row],[Puerto ]]-Tabla145[[#This Row],[Atraso]]</f>
        <v>0</v>
      </c>
      <c r="AJ4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43" s="3">
        <f>+Tabla145[[#This Row],[Facturación atraso]]</f>
        <v>0</v>
      </c>
      <c r="AL43" s="3">
        <f>+Tabla145[[#This Row],[Plan Ajustado]]-Tabla145[[#This Row],[ Atraso ajustado]]-Tabla145[[#This Row],[Puerto ]]</f>
        <v>0</v>
      </c>
      <c r="AM43" s="6">
        <f>IFERROR(VLOOKUP(Tabla145[[#This Row],[Llave]],[18]!Tabla14[#All],34,FALSE),0)</f>
        <v>0</v>
      </c>
      <c r="AN43" s="6">
        <f>IFERROR(VLOOKUP(Tabla145[[#This Row],[Llave]],[18]!Tabla14[#All],35,FALSE),0)</f>
        <v>0</v>
      </c>
      <c r="AO43" s="3" t="str">
        <f>IF(Tabla145[[#This Row],[Plan Ajustado]]&gt;Tabla145[[#This Row],[En puerto a facturar]],"Si","No")</f>
        <v>No</v>
      </c>
      <c r="AP4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43" s="3">
        <f>IF(Tabla145[[#This Row],[Necesidad]]&gt;=Tabla145[[#This Row],[Stock al día]],Tabla145[[#This Row],[Stock al día]],Tabla145[[#This Row],[Necesidad]])</f>
        <v>0</v>
      </c>
      <c r="AR43" s="3">
        <f>+Tabla145[[#This Row],[Necesidad]]-Tabla145[[#This Row],[Stock Plan]]</f>
        <v>0</v>
      </c>
      <c r="AS43" s="155">
        <f>IFERROR(VLOOKUP(Tabla145[[#This Row],[Oficina]],[19]Ponderación!$B$14:$E$21,4,FALSE),"")</f>
        <v>44789</v>
      </c>
      <c r="AT4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3.4203349056603773</v>
      </c>
      <c r="AU43" s="83">
        <f>IFERROR(VLOOKUP(Tabla145[[#This Row],[Llave]],[17]DELAY!$H:$W,16,FALSE),0)</f>
        <v>0</v>
      </c>
      <c r="AV4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43" s="5">
        <f>Tabla145[[#This Row],[Ajuste precio IC]]*Tabla145[[#This Row],[Plan Ajustado]]</f>
        <v>0</v>
      </c>
      <c r="AX43" s="30">
        <f>IFERROR(VLOOKUP(Tabla145[[#This Row],[Llave]],'[13]Ultimos precios facturados'!$A:$G,7,FALSE),0)</f>
        <v>3.4203349056603773</v>
      </c>
      <c r="AY4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43" s="30">
        <f>IFERROR(VLOOKUP(Tabla145[[#This Row],[Llave]],Hoja2!B:K,10,FALSE),0)</f>
        <v>0</v>
      </c>
      <c r="BA43" s="30">
        <f>IF(Tabla145[[#This Row],[Ajuste precio IC]]="",Tabla145[[#This Row],[Precio ponderado]],Tabla145[[#This Row],[Precio ponderado]])</f>
        <v>0</v>
      </c>
      <c r="BB43" s="82"/>
      <c r="BC43" s="82" t="str">
        <f>IF(AND(Tabla145[[#This Row],[Atraso a facturar]]&gt;0,Tabla145[[#This Row],[Precio Atraso]]=0),"Revisar","OK")</f>
        <v>OK</v>
      </c>
      <c r="BD43" s="82" t="str">
        <f>IF(AND(Tabla145[[#This Row],[Venta del mes]]&gt;0,Tabla145[[#This Row],[Precio venta nueva]]=0),"Revisar","OK")</f>
        <v>OK</v>
      </c>
      <c r="BE43" s="20">
        <f>IFERROR(VLOOKUP(Tabla145[[#This Row],[Llave]],'[5]Consolidación planes'!$A:$M,9,FALSE),0)</f>
        <v>2000</v>
      </c>
      <c r="BF43" s="20">
        <f>IFERROR(VLOOKUP(Tabla145[[#This Row],[Llave]],'[5]Consolidación planes'!$A:$M,10,FALSE),0)</f>
        <v>0</v>
      </c>
      <c r="BG43" s="20">
        <f>IFERROR(VLOOKUP(Tabla145[[#This Row],[Llave]],'[5]Consolidación planes'!$A:$M,11,FALSE),0)</f>
        <v>0</v>
      </c>
      <c r="BH43" s="20">
        <f>IFERROR(VLOOKUP(Tabla145[[#This Row],[Llave]],'[5]Consolidación planes'!$A:$M,12,FALSE),0)</f>
        <v>0</v>
      </c>
      <c r="BI43" s="20">
        <f>IFERROR(VLOOKUP(Tabla145[[#This Row],[Llave]],'[5]Consolidación planes'!$A:$M,13,FALSE),0)</f>
        <v>530</v>
      </c>
      <c r="BJ43" s="20">
        <f>IFERROR(VLOOKUP(Tabla145[[#This Row],[Llave]],'[13]Base ultimos planes'!$A:$M,13,FALSE),0)</f>
        <v>0</v>
      </c>
      <c r="BK43" s="80">
        <f>IFERROR(VLOOKUP(Tabla145[[#This Row],[Llave]],'[13]Base ultimos planes'!$O:$AA,8,FALSE),0)</f>
        <v>10600</v>
      </c>
      <c r="BL43" s="20">
        <f>IFERROR(VLOOKUP(Tabla145[[#This Row],[Llave]],'[13]Base ultimos planes'!$O:$AA,9,FALSE),0)</f>
        <v>0</v>
      </c>
      <c r="BM43" s="20">
        <f>IFERROR(VLOOKUP(Tabla145[[#This Row],[Llave]],'[13]Base ultimos planes'!$O:$AA,10,FALSE),0)</f>
        <v>0</v>
      </c>
      <c r="BN43" s="20">
        <f>IFERROR(VLOOKUP(Tabla145[[#This Row],[Llave]],'[13]Base ultimos planes'!$O:$AA,11,FALSE),0)</f>
        <v>0</v>
      </c>
      <c r="BO43" s="20">
        <f>IFERROR(VLOOKUP(Tabla145[[#This Row],[Llave]],'[13]Base ultimos planes'!$O:$AA,12,FALSE),0)</f>
        <v>1802</v>
      </c>
      <c r="BP43" s="20">
        <f>IFERROR(VLOOKUP(Tabla145[[#This Row],[Llave]],'[13]Base ultimos planes'!$O:$AA,13,FALSE),0)</f>
        <v>0</v>
      </c>
      <c r="BQ43" s="20"/>
      <c r="BR43" s="20">
        <f>Tabla145[[#This Row],[ RV Producción mes n+1]]*(1-Tabla145[[#This Row],[% Uti. producción]])</f>
        <v>0</v>
      </c>
      <c r="BS43" s="20">
        <f>+Tabla145[[#This Row],[Producción disponible mes n-1]]+Tabla145[[#This Row],[Saldo Volumen disponible]]</f>
        <v>0</v>
      </c>
      <c r="BT43" s="7">
        <f>IFERROR(VLOOKUP(Tabla145[[#This Row],[Llave]],'[21]RV n+2 y n+3'!$B:$F,4,FALSE),0)</f>
        <v>0</v>
      </c>
      <c r="BU43" s="7">
        <f>+Tabla145[[#This Row],[Asignación mes n+2]]*Tabla145[[#This Row],[% Uti. producción]]</f>
        <v>0</v>
      </c>
      <c r="BV43" s="7">
        <f>+Tabla145[[#This Row],[Ponderación mes n+2]]+Tabla145[[#This Row],[Saldo mes n-1]]</f>
        <v>0</v>
      </c>
      <c r="BW43" s="7">
        <f>+Tabla145[[#This Row],[Asignación mes n+2]]-Tabla145[[#This Row],[Ponderación mes n+2]]</f>
        <v>0</v>
      </c>
      <c r="BX43" s="7">
        <f>IFERROR(VLOOKUP(Tabla145[[#This Row],[Llave]],'[21]RV n+2 y n+3'!$B:$F,5,FALSE),0)</f>
        <v>0</v>
      </c>
      <c r="BY43" s="7">
        <f>+Tabla145[[#This Row],[Asignación mes n+3]]*Tabla145[[#This Row],[% Uti. producción]]</f>
        <v>0</v>
      </c>
      <c r="BZ43" s="3">
        <f>+Tabla145[[#This Row],[Ponderación mes n+3]]+Tabla145[[#This Row],[Saldo mes n+2]]</f>
        <v>0</v>
      </c>
      <c r="CA43" s="3">
        <f>+Tabla145[[#This Row],[Asignación mes n+3]]-Tabla145[[#This Row],[Ponderación mes n+3]]</f>
        <v>0</v>
      </c>
      <c r="CB43" s="3">
        <f>+Tabla145[[#This Row],[Producción disponible mes n-1]]+Tabla145[[#This Row],[Producción disponible]]</f>
        <v>0</v>
      </c>
      <c r="CC43" s="3">
        <f>+Tabla145[[#This Row],[Saldo mes n+4]]-Tabla145[[#This Row],[ RV Producción mes n+1]]</f>
        <v>0</v>
      </c>
    </row>
    <row r="44" spans="1:81" ht="16" x14ac:dyDescent="0.2">
      <c r="A44">
        <v>1</v>
      </c>
      <c r="B44" t="str">
        <f>Tabla145[[#This Row],[Oficina]]&amp;Tabla145[[#This Row],[Material]]</f>
        <v>Agro Sudamerica1021639</v>
      </c>
      <c r="C44" t="s">
        <v>6</v>
      </c>
      <c r="D44" t="s">
        <v>17</v>
      </c>
      <c r="E44">
        <v>1021639</v>
      </c>
      <c r="F44" t="s">
        <v>278</v>
      </c>
      <c r="G44" t="s">
        <v>37</v>
      </c>
      <c r="H44" t="s">
        <v>38</v>
      </c>
      <c r="I44" s="7">
        <f>IFERROR(VLOOKUP(Tabla145[[#This Row],[Llave]],'[7]RV Producción'!$C:$G,5,FALSE),0)</f>
        <v>0</v>
      </c>
      <c r="J44" s="3">
        <f>IFERROR(IF(Tabla145[[#This Row],[Oficina]]=$I$7,VLOOKUP(Tabla145[[#This Row],[Llave]],'[7]Shangai (Tomas)'!$A:$F,6,FALSE),VLOOKUP(Tabla145[[#This Row],[Llave]],'[7]RV plan de ventas'!$A:$E,5,FALSE)),0)</f>
        <v>0</v>
      </c>
      <c r="K44" s="8">
        <f>IFERROR(VLOOKUP(Tabla145[[#This Row],[Oficina]],[15]Ponderación!$B$2:$E$9,4,FALSE),0)</f>
        <v>0.45719439678473212</v>
      </c>
      <c r="L44" s="7">
        <f>+Tabla145[[#This Row],[ RV Producción mes n+1]]*Tabla145[[#This Row],[% Uti. producción]]</f>
        <v>0</v>
      </c>
      <c r="M44" s="7">
        <f>IFERROR(VLOOKUP(Tabla145[[#This Row],[Material]],[16]Stock!$G:$K,5,FALSE),0)</f>
        <v>320</v>
      </c>
      <c r="N44" s="7">
        <f>IFERROR(VLOOKUP(Tabla145[[#This Row],[Material]],[16]Produccion!$M:$N,2,FALSE),0)</f>
        <v>0</v>
      </c>
      <c r="O44" s="7">
        <f>IFERROR(VLOOKUP(Tabla145[[#This Row],[Llave]],'[16]TD Conf-AP'!$I:$M,4,FALSE),0)</f>
        <v>0</v>
      </c>
      <c r="P44" s="14">
        <f>SUM(Tabla145[[#This Row],[Producción disponible]],Tabla145[[#This Row],[Stock al día]],(Tabla145[[#This Row],[Por producir mes N]]*0.9))-Tabla145[[#This Row],[Producción por despachar mes N]]</f>
        <v>320</v>
      </c>
      <c r="Q44" s="7">
        <f>IFERROR(VLOOKUP(Tabla145[[#This Row],[Llave]],[17]DELAY!$A:$D,4,FALSE),0)</f>
        <v>1000</v>
      </c>
      <c r="R44" s="9">
        <v>24000</v>
      </c>
      <c r="S44" s="5">
        <f t="shared" si="5"/>
        <v>0</v>
      </c>
      <c r="T44" s="76">
        <v>0</v>
      </c>
      <c r="U44" s="5">
        <f>+Tabla145[[#This Row],[Atraso a facturar]]+Tabla145[[#This Row],[Ajuste atraso]]</f>
        <v>0</v>
      </c>
      <c r="V44" s="3">
        <f>+Tabla145[[#This Row],[Total disponible]]-Tabla145[[#This Row],[Facturación atraso]]</f>
        <v>320</v>
      </c>
      <c r="W44" s="6">
        <f>IFERROR(IF(AND(V44&gt;R44,J44&gt;=R44),ROUNDDOWN((Tabla145[[#This Row],[Producción para venta nueva]])/R44,0)*R44,0),0)</f>
        <v>0</v>
      </c>
      <c r="X44" s="76">
        <v>0</v>
      </c>
      <c r="Y44" s="6">
        <f>IF(Tabla145[[#This Row],[Venta del mes]]&gt;0,Tabla145[[#This Row],[Venta del mes]]+Tabla145[[#This Row],[Ajuste venta nueva]],0)</f>
        <v>0</v>
      </c>
      <c r="Z44" s="6">
        <f>+Tabla145[[#This Row],[Producción para venta nueva]]-Tabla145[[#This Row],[Facturación Venta nueva]]</f>
        <v>320</v>
      </c>
      <c r="AA44" s="6">
        <f>IF(AND(A44=1,Tabla145[[#This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4" s="6">
        <v>0</v>
      </c>
      <c r="AC44" s="6">
        <f>IF(Tabla145[[#This Row],[Disponible stock sin venta]]&gt;0,Tabla145[[#This Row],[Disponible stock sin venta]]+Tabla145[[#This Row],[Ajuste stock sin venta]],0)</f>
        <v>0</v>
      </c>
      <c r="AD44" s="3">
        <f>IFERROR(VLOOKUP(Tabla145[[#This Row],[Llave]],'[16]TD Puerto'!$A:$D,4,FALSE),0)</f>
        <v>0</v>
      </c>
      <c r="AE44" s="3">
        <v>1000</v>
      </c>
      <c r="AF44" s="3">
        <f>+Tabla145[[#This Row],[Plan Irrestricto Inicial]]</f>
        <v>1000</v>
      </c>
      <c r="AG44" s="3">
        <f>+Tabla145[[#This Row],[En puerto a facturar]]</f>
        <v>0</v>
      </c>
      <c r="AH44" s="3">
        <f>+Tabla145[[#This Row],[Facturación atraso]]</f>
        <v>0</v>
      </c>
      <c r="AI44" s="3">
        <f>+Tabla145[[#This Row],[Plan Irrestricto]]-Tabla145[[#This Row],[Puerto ]]-Tabla145[[#This Row],[Atraso]]</f>
        <v>1000</v>
      </c>
      <c r="AJ4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44" s="3">
        <f>+Tabla145[[#This Row],[Facturación atraso]]</f>
        <v>0</v>
      </c>
      <c r="AL44" s="3">
        <f>+Tabla145[[#This Row],[Plan Ajustado]]-Tabla145[[#This Row],[ Atraso ajustado]]-Tabla145[[#This Row],[Puerto ]]</f>
        <v>0</v>
      </c>
      <c r="AM44" s="6">
        <f>IFERROR(VLOOKUP(Tabla145[[#This Row],[Llave]],[18]!Tabla14[#All],34,FALSE),0)</f>
        <v>0</v>
      </c>
      <c r="AN44" s="6">
        <f>IFERROR(VLOOKUP(Tabla145[[#This Row],[Llave]],[18]!Tabla14[#All],35,FALSE),0)</f>
        <v>0</v>
      </c>
      <c r="AO44" s="3" t="str">
        <f>IF(Tabla145[[#This Row],[Plan Ajustado]]&gt;Tabla145[[#This Row],[En puerto a facturar]],"Si","No")</f>
        <v>No</v>
      </c>
      <c r="AP4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44" s="3">
        <f>IF(Tabla145[[#This Row],[Necesidad]]&gt;=Tabla145[[#This Row],[Stock al día]],Tabla145[[#This Row],[Stock al día]],Tabla145[[#This Row],[Necesidad]])</f>
        <v>0</v>
      </c>
      <c r="AR44" s="3">
        <f>+Tabla145[[#This Row],[Necesidad]]-Tabla145[[#This Row],[Stock Plan]]</f>
        <v>0</v>
      </c>
      <c r="AS44" s="155">
        <f>IFERROR(VLOOKUP(Tabla145[[#This Row],[Oficina]],[19]Ponderación!$B$14:$E$21,4,FALSE),"")</f>
        <v>44789</v>
      </c>
      <c r="AT4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3.0789500139178845</v>
      </c>
      <c r="AU44" s="83">
        <f>IFERROR(VLOOKUP(Tabla145[[#This Row],[Llave]],[17]DELAY!$H:$W,16,FALSE),0)</f>
        <v>2.8</v>
      </c>
      <c r="AV4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44" s="5">
        <f>Tabla145[[#This Row],[Ajuste precio IC]]*Tabla145[[#This Row],[Plan Ajustado]]</f>
        <v>0</v>
      </c>
      <c r="AX44" s="30">
        <f>IFERROR(VLOOKUP(Tabla145[[#This Row],[Llave]],'[13]Ultimos precios facturados'!$A:$G,7,FALSE),0)</f>
        <v>3.0789500139178845</v>
      </c>
      <c r="AY4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44" s="30">
        <f>IFERROR(VLOOKUP(Tabla145[[#This Row],[Llave]],Hoja2!B:K,10,FALSE),0)</f>
        <v>0</v>
      </c>
      <c r="BA44" s="30">
        <f>IF(Tabla145[[#This Row],[Ajuste precio IC]]="",Tabla145[[#This Row],[Precio ponderado]],Tabla145[[#This Row],[Precio ponderado]])</f>
        <v>0</v>
      </c>
      <c r="BB44" s="82"/>
      <c r="BC44" s="82" t="str">
        <f>IF(AND(Tabla145[[#This Row],[Atraso a facturar]]&gt;0,Tabla145[[#This Row],[Precio Atraso]]=0),"Revisar","OK")</f>
        <v>OK</v>
      </c>
      <c r="BD44" s="82" t="str">
        <f>IF(AND(Tabla145[[#This Row],[Venta del mes]]&gt;0,Tabla145[[#This Row],[Precio venta nueva]]=0),"Revisar","OK")</f>
        <v>OK</v>
      </c>
      <c r="BE44" s="20">
        <f>IFERROR(VLOOKUP(Tabla145[[#This Row],[Llave]],'[5]Consolidación planes'!$A:$M,9,FALSE),0)</f>
        <v>0</v>
      </c>
      <c r="BF44" s="20">
        <f>IFERROR(VLOOKUP(Tabla145[[#This Row],[Llave]],'[5]Consolidación planes'!$A:$M,10,FALSE),0)</f>
        <v>48000</v>
      </c>
      <c r="BG44" s="20">
        <f>IFERROR(VLOOKUP(Tabla145[[#This Row],[Llave]],'[5]Consolidación planes'!$A:$M,11,FALSE),0)</f>
        <v>24000</v>
      </c>
      <c r="BH44" s="20">
        <f>IFERROR(VLOOKUP(Tabla145[[#This Row],[Llave]],'[5]Consolidación planes'!$A:$M,12,FALSE),0)</f>
        <v>24000</v>
      </c>
      <c r="BI44" s="20">
        <f>IFERROR(VLOOKUP(Tabla145[[#This Row],[Llave]],'[5]Consolidación planes'!$A:$M,13,FALSE),0)</f>
        <v>24000</v>
      </c>
      <c r="BJ44" s="20">
        <f>IFERROR(VLOOKUP(Tabla145[[#This Row],[Llave]],'[13]Base ultimos planes'!$A:$M,13,FALSE),0)</f>
        <v>25000</v>
      </c>
      <c r="BK44" s="80">
        <f>IFERROR(VLOOKUP(Tabla145[[#This Row],[Llave]],'[13]Base ultimos planes'!$O:$AA,8,FALSE),0)</f>
        <v>0</v>
      </c>
      <c r="BL44" s="20">
        <f>IFERROR(VLOOKUP(Tabla145[[#This Row],[Llave]],'[13]Base ultimos planes'!$O:$AA,9,FALSE),0)</f>
        <v>147200</v>
      </c>
      <c r="BM44" s="20">
        <f>IFERROR(VLOOKUP(Tabla145[[#This Row],[Llave]],'[13]Base ultimos planes'!$O:$AA,10,FALSE),0)</f>
        <v>72000</v>
      </c>
      <c r="BN44" s="20">
        <f>IFERROR(VLOOKUP(Tabla145[[#This Row],[Llave]],'[13]Base ultimos planes'!$O:$AA,11,FALSE),0)</f>
        <v>69600</v>
      </c>
      <c r="BO44" s="20">
        <f>IFERROR(VLOOKUP(Tabla145[[#This Row],[Llave]],'[13]Base ultimos planes'!$O:$AA,12,FALSE),0)</f>
        <v>73200</v>
      </c>
      <c r="BP44" s="20">
        <f>IFERROR(VLOOKUP(Tabla145[[#This Row],[Llave]],'[13]Base ultimos planes'!$O:$AA,13,FALSE),0)</f>
        <v>76334</v>
      </c>
      <c r="BQ44" s="20"/>
      <c r="BR44" s="20">
        <f>Tabla145[[#This Row],[ RV Producción mes n+1]]*(1-Tabla145[[#This Row],[% Uti. producción]])</f>
        <v>0</v>
      </c>
      <c r="BS44" s="20">
        <f>+Tabla145[[#This Row],[Producción disponible mes n-1]]+Tabla145[[#This Row],[Saldo Volumen disponible]]</f>
        <v>320</v>
      </c>
      <c r="BT44" s="7">
        <f>IFERROR(VLOOKUP(Tabla145[[#This Row],[Llave]],'[21]RV n+2 y n+3'!$B:$F,4,FALSE),0)</f>
        <v>0</v>
      </c>
      <c r="BU44" s="7">
        <f>+Tabla145[[#This Row],[Asignación mes n+2]]*Tabla145[[#This Row],[% Uti. producción]]</f>
        <v>0</v>
      </c>
      <c r="BV44" s="7">
        <f>+Tabla145[[#This Row],[Ponderación mes n+2]]+Tabla145[[#This Row],[Saldo mes n-1]]</f>
        <v>320</v>
      </c>
      <c r="BW44" s="7">
        <f>+Tabla145[[#This Row],[Asignación mes n+2]]-Tabla145[[#This Row],[Ponderación mes n+2]]</f>
        <v>0</v>
      </c>
      <c r="BX44" s="7">
        <f>IFERROR(VLOOKUP(Tabla145[[#This Row],[Llave]],'[21]RV n+2 y n+3'!$B:$F,5,FALSE),0)</f>
        <v>0</v>
      </c>
      <c r="BY44" s="7">
        <f>+Tabla145[[#This Row],[Asignación mes n+3]]*Tabla145[[#This Row],[% Uti. producción]]</f>
        <v>0</v>
      </c>
      <c r="BZ44" s="3">
        <f>+Tabla145[[#This Row],[Ponderación mes n+3]]+Tabla145[[#This Row],[Saldo mes n+2]]</f>
        <v>0</v>
      </c>
      <c r="CA44" s="3">
        <f>+Tabla145[[#This Row],[Asignación mes n+3]]-Tabla145[[#This Row],[Ponderación mes n+3]]</f>
        <v>0</v>
      </c>
      <c r="CB44" s="3">
        <f>+Tabla145[[#This Row],[Producción disponible mes n-1]]+Tabla145[[#This Row],[Producción disponible]]</f>
        <v>0</v>
      </c>
      <c r="CC44" s="3">
        <f>+Tabla145[[#This Row],[Saldo mes n+4]]-Tabla145[[#This Row],[ RV Producción mes n+1]]</f>
        <v>0</v>
      </c>
    </row>
    <row r="45" spans="1:81" ht="16" x14ac:dyDescent="0.2">
      <c r="A45">
        <v>1</v>
      </c>
      <c r="B45" t="str">
        <f>Tabla145[[#This Row],[Oficina]]&amp;Tabla145[[#This Row],[Material]]</f>
        <v>Agro Sudamerica1021819</v>
      </c>
      <c r="C45" t="s">
        <v>6</v>
      </c>
      <c r="D45" t="s">
        <v>17</v>
      </c>
      <c r="E45">
        <v>1021819</v>
      </c>
      <c r="F45" t="s">
        <v>311</v>
      </c>
      <c r="G45" t="s">
        <v>50</v>
      </c>
      <c r="H45" t="s">
        <v>51</v>
      </c>
      <c r="I45" s="7">
        <f>IFERROR(VLOOKUP(Tabla145[[#This Row],[Llave]],'[7]RV Producción'!$C:$G,5,FALSE),0)</f>
        <v>0</v>
      </c>
      <c r="J45" s="3">
        <f>IFERROR(IF(Tabla145[[#This Row],[Oficina]]=$I$7,VLOOKUP(Tabla145[[#This Row],[Llave]],'[7]Shangai (Tomas)'!$A:$F,6,FALSE),VLOOKUP(Tabla145[[#This Row],[Llave]],'[7]RV plan de ventas'!$A:$E,5,FALSE)),0)</f>
        <v>0</v>
      </c>
      <c r="K45" s="8">
        <f>IFERROR(VLOOKUP(Tabla145[[#This Row],[Oficina]],[15]Ponderación!$B$2:$E$9,4,FALSE),0)</f>
        <v>0.45719439678473212</v>
      </c>
      <c r="L45" s="7">
        <f>+Tabla145[[#This Row],[ RV Producción mes n+1]]*Tabla145[[#This Row],[% Uti. producción]]</f>
        <v>0</v>
      </c>
      <c r="M45" s="7">
        <f>IFERROR(VLOOKUP(Tabla145[[#This Row],[Material]],[16]Stock!$G:$K,5,FALSE),0)</f>
        <v>0</v>
      </c>
      <c r="N45" s="7">
        <f>IFERROR(VLOOKUP(Tabla145[[#This Row],[Material]],[16]Produccion!$M:$N,2,FALSE),0)</f>
        <v>0</v>
      </c>
      <c r="O45" s="7">
        <f>IFERROR(VLOOKUP(Tabla145[[#This Row],[Llave]],'[16]TD Conf-AP'!$I:$M,4,FALSE),0)</f>
        <v>0</v>
      </c>
      <c r="P45" s="14">
        <f>SUM(Tabla145[[#This Row],[Producción disponible]],Tabla145[[#This Row],[Stock al día]],(Tabla145[[#This Row],[Por producir mes N]]*0.9))-Tabla145[[#This Row],[Producción por despachar mes N]]</f>
        <v>0</v>
      </c>
      <c r="Q45" s="7">
        <f>IFERROR(VLOOKUP(Tabla145[[#This Row],[Llave]],[17]DELAY!$A:$D,4,FALSE),0)</f>
        <v>72000</v>
      </c>
      <c r="R45" s="9">
        <v>24000</v>
      </c>
      <c r="S45" s="5">
        <f t="shared" si="5"/>
        <v>0</v>
      </c>
      <c r="T45" s="76">
        <v>0</v>
      </c>
      <c r="U45" s="5">
        <f>+Tabla145[[#This Row],[Atraso a facturar]]+Tabla145[[#This Row],[Ajuste atraso]]</f>
        <v>0</v>
      </c>
      <c r="V45" s="3">
        <f>+Tabla145[[#This Row],[Total disponible]]-Tabla145[[#This Row],[Facturación atraso]]</f>
        <v>0</v>
      </c>
      <c r="W45" s="6">
        <f>IFERROR(IF(AND(V45&gt;R45,J45&gt;=R45),ROUNDDOWN((Tabla145[[#This Row],[Producción para venta nueva]])/R45,0)*R45,0),0)</f>
        <v>0</v>
      </c>
      <c r="X45" s="76">
        <v>0</v>
      </c>
      <c r="Y45" s="6">
        <f>IF(Tabla145[[#This Row],[Venta del mes]]&gt;0,Tabla145[[#This Row],[Venta del mes]]+Tabla145[[#This Row],[Ajuste venta nueva]],0)</f>
        <v>0</v>
      </c>
      <c r="Z45" s="6">
        <f>+Tabla145[[#This Row],[Producción para venta nueva]]-Tabla145[[#This Row],[Facturación Venta nueva]]</f>
        <v>0</v>
      </c>
      <c r="AA45" s="6">
        <f>IF(AND(A45=1,Tabla145[[#This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5" s="6">
        <v>0</v>
      </c>
      <c r="AC45" s="6">
        <f>IF(Tabla145[[#This Row],[Disponible stock sin venta]]&gt;0,Tabla145[[#This Row],[Disponible stock sin venta]]+Tabla145[[#This Row],[Ajuste stock sin venta]],0)</f>
        <v>0</v>
      </c>
      <c r="AD45" s="3">
        <f>IFERROR(VLOOKUP(Tabla145[[#This Row],[Llave]],'[16]TD Puerto'!$A:$D,4,FALSE),0)</f>
        <v>0</v>
      </c>
      <c r="AE45" s="3">
        <v>0</v>
      </c>
      <c r="AF45" s="3">
        <f>+Tabla145[[#This Row],[Plan Irrestricto Inicial]]</f>
        <v>0</v>
      </c>
      <c r="AG45" s="3">
        <f>+Tabla145[[#This Row],[En puerto a facturar]]</f>
        <v>0</v>
      </c>
      <c r="AH45" s="3">
        <f>+Tabla145[[#This Row],[Facturación atraso]]</f>
        <v>0</v>
      </c>
      <c r="AI45" s="3">
        <f>+Tabla145[[#This Row],[Plan Irrestricto]]-Tabla145[[#This Row],[Puerto ]]-Tabla145[[#This Row],[Atraso]]</f>
        <v>0</v>
      </c>
      <c r="AJ4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45" s="3">
        <f>+Tabla145[[#This Row],[Facturación atraso]]</f>
        <v>0</v>
      </c>
      <c r="AL45" s="3">
        <f>+Tabla145[[#This Row],[Plan Ajustado]]-Tabla145[[#This Row],[ Atraso ajustado]]-Tabla145[[#This Row],[Puerto ]]</f>
        <v>0</v>
      </c>
      <c r="AM45" s="6">
        <f>IFERROR(VLOOKUP(Tabla145[[#This Row],[Llave]],[18]!Tabla14[#All],34,FALSE),0)</f>
        <v>0</v>
      </c>
      <c r="AN45" s="6">
        <f>IFERROR(VLOOKUP(Tabla145[[#This Row],[Llave]],[18]!Tabla14[#All],35,FALSE),0)</f>
        <v>0</v>
      </c>
      <c r="AO45" s="3" t="str">
        <f>IF(Tabla145[[#This Row],[Plan Ajustado]]&gt;Tabla145[[#This Row],[En puerto a facturar]],"Si","No")</f>
        <v>No</v>
      </c>
      <c r="AP4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45" s="3">
        <f>IF(Tabla145[[#This Row],[Necesidad]]&gt;=Tabla145[[#This Row],[Stock al día]],Tabla145[[#This Row],[Stock al día]],Tabla145[[#This Row],[Necesidad]])</f>
        <v>0</v>
      </c>
      <c r="AR45" s="3">
        <f>+Tabla145[[#This Row],[Necesidad]]-Tabla145[[#This Row],[Stock Plan]]</f>
        <v>0</v>
      </c>
      <c r="AS45" s="155">
        <f>IFERROR(VLOOKUP(Tabla145[[#This Row],[Oficina]],[19]Ponderación!$B$14:$E$21,4,FALSE),"")</f>
        <v>44789</v>
      </c>
      <c r="AT4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1.8496507215087774</v>
      </c>
      <c r="AU45" s="83">
        <f>IFERROR(VLOOKUP(Tabla145[[#This Row],[Llave]],[17]DELAY!$H:$W,16,FALSE),0)</f>
        <v>1.8496250000000001</v>
      </c>
      <c r="AV4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45" s="5">
        <f>Tabla145[[#This Row],[Ajuste precio IC]]*Tabla145[[#This Row],[Plan Ajustado]]</f>
        <v>0</v>
      </c>
      <c r="AX45" s="30">
        <f>IFERROR(VLOOKUP(Tabla145[[#This Row],[Llave]],'[13]Ultimos precios facturados'!$A:$G,7,FALSE),0)</f>
        <v>1.8496507215087774</v>
      </c>
      <c r="AY4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45" s="30">
        <f>IFERROR(VLOOKUP(Tabla145[[#This Row],[Llave]],Hoja2!B:K,10,FALSE),0)</f>
        <v>0</v>
      </c>
      <c r="BA45" s="30">
        <f>IF(Tabla145[[#This Row],[Ajuste precio IC]]="",Tabla145[[#This Row],[Precio ponderado]],Tabla145[[#This Row],[Precio ponderado]])</f>
        <v>0</v>
      </c>
      <c r="BB45" s="82"/>
      <c r="BC45" s="82" t="str">
        <f>IF(AND(Tabla145[[#This Row],[Atraso a facturar]]&gt;0,Tabla145[[#This Row],[Precio Atraso]]=0),"Revisar","OK")</f>
        <v>OK</v>
      </c>
      <c r="BD45" s="82" t="str">
        <f>IF(AND(Tabla145[[#This Row],[Venta del mes]]&gt;0,Tabla145[[#This Row],[Precio venta nueva]]=0),"Revisar","OK")</f>
        <v>OK</v>
      </c>
      <c r="BE45" s="20">
        <f>IFERROR(VLOOKUP(Tabla145[[#This Row],[Llave]],'[5]Consolidación planes'!$A:$M,9,FALSE),0)</f>
        <v>0</v>
      </c>
      <c r="BF45" s="20">
        <f>IFERROR(VLOOKUP(Tabla145[[#This Row],[Llave]],'[5]Consolidación planes'!$A:$M,10,FALSE),0)</f>
        <v>0</v>
      </c>
      <c r="BG45" s="20">
        <f>IFERROR(VLOOKUP(Tabla145[[#This Row],[Llave]],'[5]Consolidación planes'!$A:$M,11,FALSE),0)</f>
        <v>0</v>
      </c>
      <c r="BH45" s="20">
        <f>IFERROR(VLOOKUP(Tabla145[[#This Row],[Llave]],'[5]Consolidación planes'!$A:$M,12,FALSE),0)</f>
        <v>0</v>
      </c>
      <c r="BI45" s="20">
        <f>IFERROR(VLOOKUP(Tabla145[[#This Row],[Llave]],'[5]Consolidación planes'!$A:$M,13,FALSE),0)</f>
        <v>48000</v>
      </c>
      <c r="BJ45" s="20">
        <f>IFERROR(VLOOKUP(Tabla145[[#This Row],[Llave]],'[13]Base ultimos planes'!$A:$M,13,FALSE),0)</f>
        <v>0</v>
      </c>
      <c r="BK45" s="80">
        <f>IFERROR(VLOOKUP(Tabla145[[#This Row],[Llave]],'[13]Base ultimos planes'!$O:$AA,8,FALSE),0)</f>
        <v>0</v>
      </c>
      <c r="BL45" s="20">
        <f>IFERROR(VLOOKUP(Tabla145[[#This Row],[Llave]],'[13]Base ultimos planes'!$O:$AA,9,FALSE),0)</f>
        <v>0</v>
      </c>
      <c r="BM45" s="20">
        <f>IFERROR(VLOOKUP(Tabla145[[#This Row],[Llave]],'[13]Base ultimos planes'!$O:$AA,10,FALSE),0)</f>
        <v>0</v>
      </c>
      <c r="BN45" s="20">
        <f>IFERROR(VLOOKUP(Tabla145[[#This Row],[Llave]],'[13]Base ultimos planes'!$O:$AA,11,FALSE),0)</f>
        <v>0</v>
      </c>
      <c r="BO45" s="20">
        <f>IFERROR(VLOOKUP(Tabla145[[#This Row],[Llave]],'[13]Base ultimos planes'!$O:$AA,12,FALSE),0)</f>
        <v>96000</v>
      </c>
      <c r="BP45" s="20">
        <f>IFERROR(VLOOKUP(Tabla145[[#This Row],[Llave]],'[13]Base ultimos planes'!$O:$AA,13,FALSE),0)</f>
        <v>0</v>
      </c>
      <c r="BQ45" s="20"/>
      <c r="BR45" s="20">
        <f>Tabla145[[#This Row],[ RV Producción mes n+1]]*(1-Tabla145[[#This Row],[% Uti. producción]])</f>
        <v>0</v>
      </c>
      <c r="BS45" s="20">
        <f>+Tabla145[[#This Row],[Producción disponible mes n-1]]+Tabla145[[#This Row],[Saldo Volumen disponible]]</f>
        <v>0</v>
      </c>
      <c r="BT45" s="7">
        <f>IFERROR(VLOOKUP(Tabla145[[#This Row],[Llave]],'[21]RV n+2 y n+3'!$B:$F,4,FALSE),0)</f>
        <v>0</v>
      </c>
      <c r="BU45" s="7">
        <f>+Tabla145[[#This Row],[Asignación mes n+2]]*Tabla145[[#This Row],[% Uti. producción]]</f>
        <v>0</v>
      </c>
      <c r="BV45" s="7">
        <f>+Tabla145[[#This Row],[Ponderación mes n+2]]+Tabla145[[#This Row],[Saldo mes n-1]]</f>
        <v>0</v>
      </c>
      <c r="BW45" s="7">
        <f>+Tabla145[[#This Row],[Asignación mes n+2]]-Tabla145[[#This Row],[Ponderación mes n+2]]</f>
        <v>0</v>
      </c>
      <c r="BX45" s="7">
        <f>IFERROR(VLOOKUP(Tabla145[[#This Row],[Llave]],'[21]RV n+2 y n+3'!$B:$F,5,FALSE),0)</f>
        <v>0</v>
      </c>
      <c r="BY45" s="7">
        <f>+Tabla145[[#This Row],[Asignación mes n+3]]*Tabla145[[#This Row],[% Uti. producción]]</f>
        <v>0</v>
      </c>
      <c r="BZ45" s="3">
        <f>+Tabla145[[#This Row],[Ponderación mes n+3]]+Tabla145[[#This Row],[Saldo mes n+2]]</f>
        <v>0</v>
      </c>
      <c r="CA45" s="3">
        <f>+Tabla145[[#This Row],[Asignación mes n+3]]-Tabla145[[#This Row],[Ponderación mes n+3]]</f>
        <v>0</v>
      </c>
      <c r="CB45" s="3">
        <f>+Tabla145[[#This Row],[Producción disponible mes n-1]]+Tabla145[[#This Row],[Producción disponible]]</f>
        <v>0</v>
      </c>
      <c r="CC45" s="3">
        <f>+Tabla145[[#This Row],[Saldo mes n+4]]-Tabla145[[#This Row],[ RV Producción mes n+1]]</f>
        <v>0</v>
      </c>
    </row>
    <row r="46" spans="1:81" ht="16" x14ac:dyDescent="0.2">
      <c r="A46">
        <v>1</v>
      </c>
      <c r="B46" t="str">
        <f>Tabla145[[#This Row],[Oficina]]&amp;Tabla145[[#This Row],[Material]]</f>
        <v>Agro Sudamerica1021820</v>
      </c>
      <c r="C46" t="s">
        <v>6</v>
      </c>
      <c r="D46" t="s">
        <v>17</v>
      </c>
      <c r="E46">
        <v>1021820</v>
      </c>
      <c r="F46" t="s">
        <v>312</v>
      </c>
      <c r="G46" t="s">
        <v>50</v>
      </c>
      <c r="H46" t="s">
        <v>110</v>
      </c>
      <c r="I46" s="7">
        <f>IFERROR(VLOOKUP(Tabla145[[#This Row],[Llave]],'[7]RV Producción'!$C:$G,5,FALSE),0)</f>
        <v>0</v>
      </c>
      <c r="J46" s="3">
        <f>IFERROR(IF(Tabla145[[#This Row],[Oficina]]=$I$7,VLOOKUP(Tabla145[[#This Row],[Llave]],'[7]Shangai (Tomas)'!$A:$F,6,FALSE),VLOOKUP(Tabla145[[#This Row],[Llave]],'[7]RV plan de ventas'!$A:$E,5,FALSE)),0)</f>
        <v>0</v>
      </c>
      <c r="K46" s="8">
        <f>IFERROR(VLOOKUP(Tabla145[[#This Row],[Oficina]],[15]Ponderación!$B$2:$E$9,4,FALSE),0)</f>
        <v>0.45719439678473212</v>
      </c>
      <c r="L46" s="7">
        <f>+Tabla145[[#This Row],[ RV Producción mes n+1]]*Tabla145[[#This Row],[% Uti. producción]]</f>
        <v>0</v>
      </c>
      <c r="M46" s="7">
        <f>IFERROR(VLOOKUP(Tabla145[[#This Row],[Material]],[16]Stock!$G:$K,5,FALSE),0)</f>
        <v>0</v>
      </c>
      <c r="N46" s="7">
        <f>IFERROR(VLOOKUP(Tabla145[[#This Row],[Material]],[16]Produccion!$M:$N,2,FALSE),0)</f>
        <v>0</v>
      </c>
      <c r="O46" s="7">
        <f>IFERROR(VLOOKUP(Tabla145[[#This Row],[Llave]],'[16]TD Conf-AP'!$I:$M,4,FALSE),0)</f>
        <v>0</v>
      </c>
      <c r="P46" s="14">
        <f>SUM(Tabla145[[#This Row],[Producción disponible]],Tabla145[[#This Row],[Stock al día]],(Tabla145[[#This Row],[Por producir mes N]]*0.9))-Tabla145[[#This Row],[Producción por despachar mes N]]</f>
        <v>0</v>
      </c>
      <c r="Q46" s="7">
        <f>IFERROR(VLOOKUP(Tabla145[[#This Row],[Llave]],[17]DELAY!$A:$D,4,FALSE),0)</f>
        <v>14000</v>
      </c>
      <c r="R46" s="9">
        <v>24000</v>
      </c>
      <c r="S46" s="5">
        <f t="shared" si="5"/>
        <v>0</v>
      </c>
      <c r="T46" s="76">
        <v>0</v>
      </c>
      <c r="U46" s="5">
        <f>+Tabla145[[#This Row],[Atraso a facturar]]+Tabla145[[#This Row],[Ajuste atraso]]</f>
        <v>0</v>
      </c>
      <c r="V46" s="3">
        <f>+Tabla145[[#This Row],[Total disponible]]-Tabla145[[#This Row],[Facturación atraso]]</f>
        <v>0</v>
      </c>
      <c r="W46" s="6">
        <f>IFERROR(IF(AND(V46&gt;R46,J46&gt;=R46),ROUNDDOWN((Tabla145[[#This Row],[Producción para venta nueva]])/R46,0)*R46,0),0)</f>
        <v>0</v>
      </c>
      <c r="X46" s="76">
        <v>0</v>
      </c>
      <c r="Y46" s="6">
        <f>IF(Tabla145[[#This Row],[Venta del mes]]&gt;0,Tabla145[[#This Row],[Venta del mes]]+Tabla145[[#This Row],[Ajuste venta nueva]],0)</f>
        <v>0</v>
      </c>
      <c r="Z46" s="6">
        <f>+Tabla145[[#This Row],[Producción para venta nueva]]-Tabla145[[#This Row],[Facturación Venta nueva]]</f>
        <v>0</v>
      </c>
      <c r="AA46" s="6">
        <f>IF(AND(A46=1,Tabla145[[#This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6" s="6">
        <v>0</v>
      </c>
      <c r="AC46" s="6">
        <f>IF(Tabla145[[#This Row],[Disponible stock sin venta]]&gt;0,Tabla145[[#This Row],[Disponible stock sin venta]]+Tabla145[[#This Row],[Ajuste stock sin venta]],0)</f>
        <v>0</v>
      </c>
      <c r="AD46" s="3">
        <f>IFERROR(VLOOKUP(Tabla145[[#This Row],[Llave]],'[16]TD Puerto'!$A:$D,4,FALSE),0)</f>
        <v>0</v>
      </c>
      <c r="AE46" s="3">
        <v>0</v>
      </c>
      <c r="AF46" s="3">
        <f>+Tabla145[[#This Row],[Plan Irrestricto Inicial]]</f>
        <v>0</v>
      </c>
      <c r="AG46" s="3">
        <f>+Tabla145[[#This Row],[En puerto a facturar]]</f>
        <v>0</v>
      </c>
      <c r="AH46" s="3">
        <f>+Tabla145[[#This Row],[Facturación atraso]]</f>
        <v>0</v>
      </c>
      <c r="AI46" s="3">
        <f>+Tabla145[[#This Row],[Plan Irrestricto]]-Tabla145[[#This Row],[Puerto ]]-Tabla145[[#This Row],[Atraso]]</f>
        <v>0</v>
      </c>
      <c r="AJ4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46" s="3">
        <f>+Tabla145[[#This Row],[Facturación atraso]]</f>
        <v>0</v>
      </c>
      <c r="AL46" s="3">
        <f>+Tabla145[[#This Row],[Plan Ajustado]]-Tabla145[[#This Row],[ Atraso ajustado]]-Tabla145[[#This Row],[Puerto ]]</f>
        <v>0</v>
      </c>
      <c r="AM46" s="6">
        <f>IFERROR(VLOOKUP(Tabla145[[#This Row],[Llave]],[18]!Tabla14[#All],34,FALSE),0)</f>
        <v>0</v>
      </c>
      <c r="AN46" s="6">
        <f>IFERROR(VLOOKUP(Tabla145[[#This Row],[Llave]],[18]!Tabla14[#All],35,FALSE),0)</f>
        <v>0</v>
      </c>
      <c r="AO46" s="3" t="str">
        <f>IF(Tabla145[[#This Row],[Plan Ajustado]]&gt;Tabla145[[#This Row],[En puerto a facturar]],"Si","No")</f>
        <v>No</v>
      </c>
      <c r="AP4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46" s="3">
        <f>IF(Tabla145[[#This Row],[Necesidad]]&gt;=Tabla145[[#This Row],[Stock al día]],Tabla145[[#This Row],[Stock al día]],Tabla145[[#This Row],[Necesidad]])</f>
        <v>0</v>
      </c>
      <c r="AR46" s="3">
        <f>+Tabla145[[#This Row],[Necesidad]]-Tabla145[[#This Row],[Stock Plan]]</f>
        <v>0</v>
      </c>
      <c r="AS46" s="155">
        <f>IFERROR(VLOOKUP(Tabla145[[#This Row],[Oficina]],[19]Ponderación!$B$14:$E$21,4,FALSE),"")</f>
        <v>44789</v>
      </c>
      <c r="AT4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2.1166914882926338</v>
      </c>
      <c r="AU46" s="83">
        <f>IFERROR(VLOOKUP(Tabla145[[#This Row],[Llave]],[17]DELAY!$H:$W,16,FALSE),0)</f>
        <v>2.1654552374999998</v>
      </c>
      <c r="AV4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46" s="5">
        <f>Tabla145[[#This Row],[Ajuste precio IC]]*Tabla145[[#This Row],[Plan Ajustado]]</f>
        <v>0</v>
      </c>
      <c r="AX46" s="30">
        <f>IFERROR(VLOOKUP(Tabla145[[#This Row],[Llave]],'[13]Ultimos precios facturados'!$A:$G,7,FALSE),0)</f>
        <v>2.1166914882926338</v>
      </c>
      <c r="AY4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46" s="30">
        <f>IFERROR(VLOOKUP(Tabla145[[#This Row],[Llave]],Hoja2!B:K,10,FALSE),0)</f>
        <v>0</v>
      </c>
      <c r="BA46" s="30">
        <f>IF(Tabla145[[#This Row],[Ajuste precio IC]]="",Tabla145[[#This Row],[Precio ponderado]],Tabla145[[#This Row],[Precio ponderado]])</f>
        <v>0</v>
      </c>
      <c r="BB46" s="82"/>
      <c r="BC46" s="82" t="str">
        <f>IF(AND(Tabla145[[#This Row],[Atraso a facturar]]&gt;0,Tabla145[[#This Row],[Precio Atraso]]=0),"Revisar","OK")</f>
        <v>OK</v>
      </c>
      <c r="BD46" s="82" t="str">
        <f>IF(AND(Tabla145[[#This Row],[Venta del mes]]&gt;0,Tabla145[[#This Row],[Precio venta nueva]]=0),"Revisar","OK")</f>
        <v>OK</v>
      </c>
      <c r="BE46" s="20">
        <f>IFERROR(VLOOKUP(Tabla145[[#This Row],[Llave]],'[5]Consolidación planes'!$A:$M,9,FALSE),0)</f>
        <v>0</v>
      </c>
      <c r="BF46" s="20">
        <f>IFERROR(VLOOKUP(Tabla145[[#This Row],[Llave]],'[5]Consolidación planes'!$A:$M,10,FALSE),0)</f>
        <v>0</v>
      </c>
      <c r="BG46" s="20">
        <f>IFERROR(VLOOKUP(Tabla145[[#This Row],[Llave]],'[5]Consolidación planes'!$A:$M,11,FALSE),0)</f>
        <v>0</v>
      </c>
      <c r="BH46" s="20">
        <f>IFERROR(VLOOKUP(Tabla145[[#This Row],[Llave]],'[5]Consolidación planes'!$A:$M,12,FALSE),0)</f>
        <v>0</v>
      </c>
      <c r="BI46" s="20">
        <f>IFERROR(VLOOKUP(Tabla145[[#This Row],[Llave]],'[5]Consolidación planes'!$A:$M,13,FALSE),0)</f>
        <v>0</v>
      </c>
      <c r="BJ46" s="20">
        <f>IFERROR(VLOOKUP(Tabla145[[#This Row],[Llave]],'[13]Base ultimos planes'!$A:$M,13,FALSE),0)</f>
        <v>0</v>
      </c>
      <c r="BK46" s="80">
        <f>IFERROR(VLOOKUP(Tabla145[[#This Row],[Llave]],'[13]Base ultimos planes'!$O:$AA,8,FALSE),0)</f>
        <v>0</v>
      </c>
      <c r="BL46" s="20">
        <f>IFERROR(VLOOKUP(Tabla145[[#This Row],[Llave]],'[13]Base ultimos planes'!$O:$AA,9,FALSE),0)</f>
        <v>0</v>
      </c>
      <c r="BM46" s="20">
        <f>IFERROR(VLOOKUP(Tabla145[[#This Row],[Llave]],'[13]Base ultimos planes'!$O:$AA,10,FALSE),0)</f>
        <v>0</v>
      </c>
      <c r="BN46" s="20">
        <f>IFERROR(VLOOKUP(Tabla145[[#This Row],[Llave]],'[13]Base ultimos planes'!$O:$AA,11,FALSE),0)</f>
        <v>0</v>
      </c>
      <c r="BO46" s="20">
        <f>IFERROR(VLOOKUP(Tabla145[[#This Row],[Llave]],'[13]Base ultimos planes'!$O:$AA,12,FALSE),0)</f>
        <v>0</v>
      </c>
      <c r="BP46" s="20">
        <f>IFERROR(VLOOKUP(Tabla145[[#This Row],[Llave]],'[13]Base ultimos planes'!$O:$AA,13,FALSE),0)</f>
        <v>0</v>
      </c>
      <c r="BQ46" s="20"/>
      <c r="BR46" s="20">
        <f>Tabla145[[#This Row],[ RV Producción mes n+1]]*(1-Tabla145[[#This Row],[% Uti. producción]])</f>
        <v>0</v>
      </c>
      <c r="BS46" s="20">
        <f>+Tabla145[[#This Row],[Producción disponible mes n-1]]+Tabla145[[#This Row],[Saldo Volumen disponible]]</f>
        <v>0</v>
      </c>
      <c r="BT46" s="7">
        <f>IFERROR(VLOOKUP(Tabla145[[#This Row],[Llave]],'[21]RV n+2 y n+3'!$B:$F,4,FALSE),0)</f>
        <v>0</v>
      </c>
      <c r="BU46" s="7">
        <f>+Tabla145[[#This Row],[Asignación mes n+2]]*Tabla145[[#This Row],[% Uti. producción]]</f>
        <v>0</v>
      </c>
      <c r="BV46" s="7">
        <f>+Tabla145[[#This Row],[Ponderación mes n+2]]+Tabla145[[#This Row],[Saldo mes n-1]]</f>
        <v>0</v>
      </c>
      <c r="BW46" s="7">
        <f>+Tabla145[[#This Row],[Asignación mes n+2]]-Tabla145[[#This Row],[Ponderación mes n+2]]</f>
        <v>0</v>
      </c>
      <c r="BX46" s="7">
        <f>IFERROR(VLOOKUP(Tabla145[[#This Row],[Llave]],'[21]RV n+2 y n+3'!$B:$F,5,FALSE),0)</f>
        <v>0</v>
      </c>
      <c r="BY46" s="7">
        <f>+Tabla145[[#This Row],[Asignación mes n+3]]*Tabla145[[#This Row],[% Uti. producción]]</f>
        <v>0</v>
      </c>
      <c r="BZ46" s="3">
        <f>+Tabla145[[#This Row],[Ponderación mes n+3]]+Tabla145[[#This Row],[Saldo mes n+2]]</f>
        <v>0</v>
      </c>
      <c r="CA46" s="3">
        <f>+Tabla145[[#This Row],[Asignación mes n+3]]-Tabla145[[#This Row],[Ponderación mes n+3]]</f>
        <v>0</v>
      </c>
      <c r="CB46" s="3">
        <f>+Tabla145[[#This Row],[Producción disponible mes n-1]]+Tabla145[[#This Row],[Producción disponible]]</f>
        <v>0</v>
      </c>
      <c r="CC46" s="3">
        <f>+Tabla145[[#This Row],[Saldo mes n+4]]-Tabla145[[#This Row],[ RV Producción mes n+1]]</f>
        <v>0</v>
      </c>
    </row>
    <row r="47" spans="1:81" ht="16" x14ac:dyDescent="0.2">
      <c r="A47">
        <v>1</v>
      </c>
      <c r="B47" t="str">
        <f>Tabla145[[#This Row],[Oficina]]&amp;Tabla145[[#This Row],[Material]]</f>
        <v>Agro Sudamerica1021868</v>
      </c>
      <c r="C47" t="s">
        <v>6</v>
      </c>
      <c r="D47" t="s">
        <v>17</v>
      </c>
      <c r="E47">
        <v>1021868</v>
      </c>
      <c r="F47" t="s">
        <v>66</v>
      </c>
      <c r="G47" t="s">
        <v>59</v>
      </c>
      <c r="H47" t="s">
        <v>65</v>
      </c>
      <c r="I47" s="7">
        <f>IFERROR(VLOOKUP(Tabla145[[#This Row],[Llave]],'[7]RV Producción'!$C:$G,5,FALSE),0)</f>
        <v>28483</v>
      </c>
      <c r="J47" s="3">
        <f>IFERROR(IF(Tabla145[[#This Row],[Oficina]]=$I$7,VLOOKUP(Tabla145[[#This Row],[Llave]],'[7]Shangai (Tomas)'!$A:$F,6,FALSE),VLOOKUP(Tabla145[[#This Row],[Llave]],'[7]RV plan de ventas'!$A:$E,5,FALSE)),0)</f>
        <v>31422</v>
      </c>
      <c r="K47" s="8">
        <f>IFERROR(VLOOKUP(Tabla145[[#This Row],[Oficina]],[15]Ponderación!$B$2:$E$9,4,FALSE),0)</f>
        <v>0.45719439678473212</v>
      </c>
      <c r="L47" s="7">
        <f>+Tabla145[[#This Row],[ RV Producción mes n+1]]*Tabla145[[#This Row],[% Uti. producción]]</f>
        <v>13022.268003619525</v>
      </c>
      <c r="M47" s="7">
        <f>IFERROR(VLOOKUP(Tabla145[[#This Row],[Material]],[16]Stock!$G:$K,5,FALSE),0)</f>
        <v>51249</v>
      </c>
      <c r="N47" s="7">
        <f>IFERROR(VLOOKUP(Tabla145[[#This Row],[Material]],[16]Produccion!$M:$N,2,FALSE),0)</f>
        <v>0</v>
      </c>
      <c r="O47" s="7">
        <f>IFERROR(VLOOKUP(Tabla145[[#This Row],[Llave]],'[16]TD Conf-AP'!$I:$M,4,FALSE),0)</f>
        <v>0</v>
      </c>
      <c r="P47" s="14">
        <f>SUM(Tabla145[[#This Row],[Producción disponible]],Tabla145[[#This Row],[Stock al día]],(Tabla145[[#This Row],[Por producir mes N]]*0.9))-Tabla145[[#This Row],[Producción por despachar mes N]]</f>
        <v>64271.268003619523</v>
      </c>
      <c r="Q47" s="7">
        <f>IFERROR(VLOOKUP(Tabla145[[#This Row],[Llave]],[17]DELAY!$A:$D,4,FALSE),0)</f>
        <v>49000</v>
      </c>
      <c r="R47" s="9">
        <v>24000</v>
      </c>
      <c r="S47" s="5">
        <f t="shared" si="5"/>
        <v>49000</v>
      </c>
      <c r="T47" s="76">
        <v>0</v>
      </c>
      <c r="U47" s="5">
        <f>+Tabla145[[#This Row],[Atraso a facturar]]+Tabla145[[#This Row],[Ajuste atraso]]</f>
        <v>49000</v>
      </c>
      <c r="V47" s="3">
        <f>+Tabla145[[#This Row],[Total disponible]]-Tabla145[[#This Row],[Facturación atraso]]</f>
        <v>15271.268003619523</v>
      </c>
      <c r="W47" s="6">
        <f>IFERROR(IF(AND(V47&gt;R47,J47&gt;=R47),ROUNDDOWN((Tabla145[[#This Row],[Producción para venta nueva]])/R47,0)*R47,0),0)</f>
        <v>0</v>
      </c>
      <c r="X47" s="76">
        <v>0</v>
      </c>
      <c r="Y47" s="6">
        <f>IF(Tabla145[[#This Row],[Venta del mes]]&gt;0,Tabla145[[#This Row],[Venta del mes]]+Tabla145[[#This Row],[Ajuste venta nueva]],0)</f>
        <v>0</v>
      </c>
      <c r="Z47" s="6">
        <f>+Tabla145[[#This Row],[Producción para venta nueva]]-Tabla145[[#This Row],[Facturación Venta nueva]]</f>
        <v>15271.268003619523</v>
      </c>
      <c r="AA47" s="6">
        <f>IF(AND(A47=1,Tabla145[[#This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7" s="6">
        <v>0</v>
      </c>
      <c r="AC47" s="6">
        <f>IF(Tabla145[[#This Row],[Disponible stock sin venta]]&gt;0,Tabla145[[#This Row],[Disponible stock sin venta]]+Tabla145[[#This Row],[Ajuste stock sin venta]],0)</f>
        <v>0</v>
      </c>
      <c r="AD47" s="3">
        <f>IFERROR(VLOOKUP(Tabla145[[#This Row],[Llave]],'[16]TD Puerto'!$A:$D,4,FALSE),0)</f>
        <v>0</v>
      </c>
      <c r="AE47" s="3">
        <v>121000</v>
      </c>
      <c r="AF47" s="3">
        <f>+Tabla145[[#This Row],[Plan Irrestricto Inicial]]</f>
        <v>121000</v>
      </c>
      <c r="AG47" s="3">
        <f>+Tabla145[[#This Row],[En puerto a facturar]]</f>
        <v>0</v>
      </c>
      <c r="AH47" s="3">
        <f>+Tabla145[[#This Row],[Facturación atraso]]</f>
        <v>49000</v>
      </c>
      <c r="AI47" s="3">
        <f>+Tabla145[[#This Row],[Plan Irrestricto]]-Tabla145[[#This Row],[Puerto ]]-Tabla145[[#This Row],[Atraso]]</f>
        <v>72000</v>
      </c>
      <c r="AJ47" s="3">
        <f>IF(Tabla145[[#This Row],[Plan Irrestricto]]&gt;0,SUM(Tabla145[[#This Row],[Facturación atraso]],Tabla145[[#This Row],[Facturación Venta nueva]],Tabla145[[#This Row],[Facturación stock]],Tabla145[[#This Row],[En puerto a facturar]]),0)</f>
        <v>49000</v>
      </c>
      <c r="AK47" s="3">
        <f>+Tabla145[[#This Row],[Facturación atraso]]</f>
        <v>49000</v>
      </c>
      <c r="AL47" s="3">
        <f>+Tabla145[[#This Row],[Plan Ajustado]]-Tabla145[[#This Row],[ Atraso ajustado]]-Tabla145[[#This Row],[Puerto ]]</f>
        <v>0</v>
      </c>
      <c r="AM47" s="6">
        <f>IFERROR(VLOOKUP(Tabla145[[#This Row],[Llave]],[18]!Tabla14[#All],34,FALSE),0)</f>
        <v>0</v>
      </c>
      <c r="AN47" s="6">
        <f>IFERROR(VLOOKUP(Tabla145[[#This Row],[Llave]],[18]!Tabla14[#All],35,FALSE),0)</f>
        <v>0</v>
      </c>
      <c r="AO47" s="3" t="str">
        <f>IF(Tabla145[[#This Row],[Plan Ajustado]]&gt;Tabla145[[#This Row],[En puerto a facturar]],"Si","No")</f>
        <v>Si</v>
      </c>
      <c r="AP47" s="3">
        <f>IF(AND(Tabla145[[#This Row],[Plan Ajustado]]&gt;0,Tabla145[[#This Row],[Plan Ajustado]]&gt;Tabla145[[#This Row],[En puerto a facturar]]),(Tabla145[[#This Row],[Plan Ajustado]]-Tabla145[[#This Row],[En puerto a facturar]]),0)</f>
        <v>49000</v>
      </c>
      <c r="AQ47" s="3">
        <f>IF(Tabla145[[#This Row],[Necesidad]]&gt;=Tabla145[[#This Row],[Stock al día]],Tabla145[[#This Row],[Stock al día]],Tabla145[[#This Row],[Necesidad]])</f>
        <v>49000</v>
      </c>
      <c r="AR47" s="3">
        <f>+Tabla145[[#This Row],[Necesidad]]-Tabla145[[#This Row],[Stock Plan]]</f>
        <v>0</v>
      </c>
      <c r="AS47" s="155">
        <f>IFERROR(VLOOKUP(Tabla145[[#This Row],[Oficina]],[19]Ponderación!$B$14:$E$21,4,FALSE),"")</f>
        <v>44789</v>
      </c>
      <c r="AT4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2.8900133664311598</v>
      </c>
      <c r="AU47" s="83">
        <f>IFERROR(VLOOKUP(Tabla145[[#This Row],[Llave]],[17]DELAY!$H:$W,16,FALSE),0)</f>
        <v>2.9712448979591799</v>
      </c>
      <c r="AV4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2.9712448979591799</v>
      </c>
      <c r="AW47" s="5">
        <f>Tabla145[[#This Row],[Ajuste precio IC]]*Tabla145[[#This Row],[Plan Ajustado]]</f>
        <v>142426.66666666666</v>
      </c>
      <c r="AX47" s="30">
        <f>IFERROR(VLOOKUP(Tabla145[[#This Row],[Llave]],'[13]Ultimos precios facturados'!$A:$G,7,FALSE),0)</f>
        <v>2.7651993616343189</v>
      </c>
      <c r="AY4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7.4513808727006817E-2</v>
      </c>
      <c r="AZ47" s="30">
        <f>IFERROR(VLOOKUP(Tabla145[[#This Row],[Llave]],Hoja2!B:K,10,FALSE),0)</f>
        <v>2.9066666666666663</v>
      </c>
      <c r="BA47" s="30">
        <f>IF(Tabla145[[#This Row],[Ajuste precio IC]]="",Tabla145[[#This Row],[Precio ponderado]],Tabla145[[#This Row],[Precio ponderado]])</f>
        <v>2.9712448979591799</v>
      </c>
      <c r="BB47" s="82"/>
      <c r="BC47" s="82" t="str">
        <f>IF(AND(Tabla145[[#This Row],[Atraso a facturar]]&gt;0,Tabla145[[#This Row],[Precio Atraso]]=0),"Revisar","OK")</f>
        <v>OK</v>
      </c>
      <c r="BD47" s="82" t="str">
        <f>IF(AND(Tabla145[[#This Row],[Venta del mes]]&gt;0,Tabla145[[#This Row],[Precio venta nueva]]=0),"Revisar","OK")</f>
        <v>OK</v>
      </c>
      <c r="BE47" s="20">
        <f>IFERROR(VLOOKUP(Tabla145[[#This Row],[Llave]],'[5]Consolidación planes'!$A:$M,9,FALSE),0)</f>
        <v>24000</v>
      </c>
      <c r="BF47" s="20">
        <f>IFERROR(VLOOKUP(Tabla145[[#This Row],[Llave]],'[5]Consolidación planes'!$A:$M,10,FALSE),0)</f>
        <v>48000</v>
      </c>
      <c r="BG47" s="20">
        <f>IFERROR(VLOOKUP(Tabla145[[#This Row],[Llave]],'[5]Consolidación planes'!$A:$M,11,FALSE),0)</f>
        <v>48000</v>
      </c>
      <c r="BH47" s="20">
        <f>IFERROR(VLOOKUP(Tabla145[[#This Row],[Llave]],'[5]Consolidación planes'!$A:$M,12,FALSE),0)</f>
        <v>34000</v>
      </c>
      <c r="BI47" s="20">
        <f>IFERROR(VLOOKUP(Tabla145[[#This Row],[Llave]],'[5]Consolidación planes'!$A:$M,13,FALSE),0)</f>
        <v>24000</v>
      </c>
      <c r="BJ47" s="20">
        <f>IFERROR(VLOOKUP(Tabla145[[#This Row],[Llave]],'[13]Base ultimos planes'!$A:$M,13,FALSE),0)</f>
        <v>24000</v>
      </c>
      <c r="BK47" s="80">
        <f>IFERROR(VLOOKUP(Tabla145[[#This Row],[Llave]],'[13]Base ultimos planes'!$O:$AA,8,FALSE),0)</f>
        <v>66000</v>
      </c>
      <c r="BL47" s="20">
        <f>IFERROR(VLOOKUP(Tabla145[[#This Row],[Llave]],'[13]Base ultimos planes'!$O:$AA,9,FALSE),0)</f>
        <v>134400</v>
      </c>
      <c r="BM47" s="20">
        <f>IFERROR(VLOOKUP(Tabla145[[#This Row],[Llave]],'[13]Base ultimos planes'!$O:$AA,10,FALSE),0)</f>
        <v>119520</v>
      </c>
      <c r="BN47" s="20">
        <f>IFERROR(VLOOKUP(Tabla145[[#This Row],[Llave]],'[13]Base ultimos planes'!$O:$AA,11,FALSE),0)</f>
        <v>86500</v>
      </c>
      <c r="BO47" s="20">
        <f>IFERROR(VLOOKUP(Tabla145[[#This Row],[Llave]],'[13]Base ultimos planes'!$O:$AA,12,FALSE),0)</f>
        <v>60000</v>
      </c>
      <c r="BP47" s="20">
        <f>IFERROR(VLOOKUP(Tabla145[[#This Row],[Llave]],'[13]Base ultimos planes'!$O:$AA,13,FALSE),0)</f>
        <v>73172</v>
      </c>
      <c r="BQ47" s="20"/>
      <c r="BR47" s="20">
        <f>Tabla145[[#This Row],[ RV Producción mes n+1]]*(1-Tabla145[[#This Row],[% Uti. producción]])</f>
        <v>15460.731996380477</v>
      </c>
      <c r="BS47" s="20">
        <f>+Tabla145[[#This Row],[Producción disponible mes n-1]]+Tabla145[[#This Row],[Saldo Volumen disponible]]</f>
        <v>30732</v>
      </c>
      <c r="BT47" s="7">
        <f>IFERROR(VLOOKUP(Tabla145[[#This Row],[Llave]],'[21]RV n+2 y n+3'!$B:$F,4,FALSE),0)</f>
        <v>24000</v>
      </c>
      <c r="BU47" s="7">
        <f>+Tabla145[[#This Row],[Asignación mes n+2]]*Tabla145[[#This Row],[% Uti. producción]]</f>
        <v>10972.665522833571</v>
      </c>
      <c r="BV47" s="7">
        <f>+Tabla145[[#This Row],[Ponderación mes n+2]]+Tabla145[[#This Row],[Saldo mes n-1]]</f>
        <v>41704.665522833573</v>
      </c>
      <c r="BW47" s="7">
        <f>+Tabla145[[#This Row],[Asignación mes n+2]]-Tabla145[[#This Row],[Ponderación mes n+2]]</f>
        <v>13027.334477166429</v>
      </c>
      <c r="BX47" s="7">
        <f>IFERROR(VLOOKUP(Tabla145[[#This Row],[Llave]],'[21]RV n+2 y n+3'!$B:$F,5,FALSE),0)</f>
        <v>0</v>
      </c>
      <c r="BY47" s="7">
        <f>+Tabla145[[#This Row],[Asignación mes n+3]]*Tabla145[[#This Row],[% Uti. producción]]</f>
        <v>0</v>
      </c>
      <c r="BZ47" s="3">
        <f>+Tabla145[[#This Row],[Ponderación mes n+3]]+Tabla145[[#This Row],[Saldo mes n+2]]</f>
        <v>13027.334477166429</v>
      </c>
      <c r="CA47" s="3">
        <f>+Tabla145[[#This Row],[Asignación mes n+3]]-Tabla145[[#This Row],[Ponderación mes n+3]]</f>
        <v>0</v>
      </c>
      <c r="CB47" s="3">
        <f>+Tabla145[[#This Row],[Producción disponible mes n-1]]+Tabla145[[#This Row],[Producción disponible]]</f>
        <v>28483</v>
      </c>
      <c r="CC47" s="3">
        <f>+Tabla145[[#This Row],[Saldo mes n+4]]-Tabla145[[#This Row],[ RV Producción mes n+1]]</f>
        <v>0</v>
      </c>
    </row>
    <row r="48" spans="1:81" ht="16" x14ac:dyDescent="0.2">
      <c r="A48">
        <v>1</v>
      </c>
      <c r="B48" t="str">
        <f>Tabla145[[#This Row],[Oficina]]&amp;Tabla145[[#This Row],[Material]]</f>
        <v>Agro Sudamerica1021903</v>
      </c>
      <c r="C48" t="s">
        <v>6</v>
      </c>
      <c r="D48" t="s">
        <v>17</v>
      </c>
      <c r="E48">
        <v>1021903</v>
      </c>
      <c r="F48" t="s">
        <v>298</v>
      </c>
      <c r="G48" t="s">
        <v>76</v>
      </c>
      <c r="H48" t="s">
        <v>84</v>
      </c>
      <c r="I48" s="7">
        <f>IFERROR(VLOOKUP(Tabla145[[#This Row],[Llave]],'[7]RV Producción'!$C:$G,5,FALSE),0)</f>
        <v>0</v>
      </c>
      <c r="J48" s="3">
        <f>IFERROR(IF(Tabla145[[#This Row],[Oficina]]=$I$7,VLOOKUP(Tabla145[[#This Row],[Llave]],'[7]Shangai (Tomas)'!$A:$F,6,FALSE),VLOOKUP(Tabla145[[#This Row],[Llave]],'[7]RV plan de ventas'!$A:$E,5,FALSE)),0)</f>
        <v>0</v>
      </c>
      <c r="K48" s="8">
        <f>IFERROR(VLOOKUP(Tabla145[[#This Row],[Oficina]],[15]Ponderación!$B$2:$E$9,4,FALSE),0)</f>
        <v>0.45719439678473212</v>
      </c>
      <c r="L48" s="7">
        <f>+Tabla145[[#This Row],[ RV Producción mes n+1]]*Tabla145[[#This Row],[% Uti. producción]]</f>
        <v>0</v>
      </c>
      <c r="M48" s="7">
        <f>IFERROR(VLOOKUP(Tabla145[[#This Row],[Material]],[16]Stock!$G:$K,5,FALSE),0)</f>
        <v>0</v>
      </c>
      <c r="N48" s="7">
        <f>IFERROR(VLOOKUP(Tabla145[[#This Row],[Material]],[16]Produccion!$M:$N,2,FALSE),0)</f>
        <v>0</v>
      </c>
      <c r="O48" s="7">
        <f>IFERROR(VLOOKUP(Tabla145[[#This Row],[Llave]],'[16]TD Conf-AP'!$I:$M,4,FALSE),0)</f>
        <v>0</v>
      </c>
      <c r="P48" s="14">
        <f>SUM(Tabla145[[#This Row],[Producción disponible]],Tabla145[[#This Row],[Stock al día]],(Tabla145[[#This Row],[Por producir mes N]]*0.9))-Tabla145[[#This Row],[Producción por despachar mes N]]</f>
        <v>0</v>
      </c>
      <c r="Q48" s="7">
        <f>IFERROR(VLOOKUP(Tabla145[[#This Row],[Llave]],[17]DELAY!$A:$D,4,FALSE),0)</f>
        <v>0</v>
      </c>
      <c r="R48" s="9">
        <v>24000</v>
      </c>
      <c r="S48" s="5">
        <f t="shared" si="5"/>
        <v>0</v>
      </c>
      <c r="T48" s="76">
        <v>0</v>
      </c>
      <c r="U48" s="5">
        <f>+Tabla145[[#This Row],[Atraso a facturar]]+Tabla145[[#This Row],[Ajuste atraso]]</f>
        <v>0</v>
      </c>
      <c r="V48" s="3">
        <f>+Tabla145[[#This Row],[Total disponible]]-Tabla145[[#This Row],[Facturación atraso]]</f>
        <v>0</v>
      </c>
      <c r="W48" s="6">
        <f>IFERROR(IF(AND(V48&gt;R48,J48&gt;=R48),ROUNDDOWN((Tabla145[[#This Row],[Producción para venta nueva]])/R48,0)*R48,0),0)</f>
        <v>0</v>
      </c>
      <c r="X48" s="76">
        <v>0</v>
      </c>
      <c r="Y48" s="6">
        <f>IF(Tabla145[[#This Row],[Venta del mes]]&gt;0,Tabla145[[#This Row],[Venta del mes]]+Tabla145[[#This Row],[Ajuste venta nueva]],0)</f>
        <v>0</v>
      </c>
      <c r="Z48" s="6">
        <f>+Tabla145[[#This Row],[Producción para venta nueva]]-Tabla145[[#This Row],[Facturación Venta nueva]]</f>
        <v>0</v>
      </c>
      <c r="AA48" s="6">
        <f>IF(AND(A48=1,Tabla145[[#This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8" s="6">
        <v>0</v>
      </c>
      <c r="AC48" s="6">
        <f>IF(Tabla145[[#This Row],[Disponible stock sin venta]]&gt;0,Tabla145[[#This Row],[Disponible stock sin venta]]+Tabla145[[#This Row],[Ajuste stock sin venta]],0)</f>
        <v>0</v>
      </c>
      <c r="AD48" s="3">
        <f>IFERROR(VLOOKUP(Tabla145[[#This Row],[Llave]],'[16]TD Puerto'!$A:$D,4,FALSE),0)</f>
        <v>0</v>
      </c>
      <c r="AE48" s="3">
        <v>0</v>
      </c>
      <c r="AF48" s="3">
        <f>+Tabla145[[#This Row],[Plan Irrestricto Inicial]]</f>
        <v>0</v>
      </c>
      <c r="AG48" s="3">
        <f>+Tabla145[[#This Row],[En puerto a facturar]]</f>
        <v>0</v>
      </c>
      <c r="AH48" s="3">
        <f>+Tabla145[[#This Row],[Facturación atraso]]</f>
        <v>0</v>
      </c>
      <c r="AI48" s="3">
        <f>+Tabla145[[#This Row],[Plan Irrestricto]]-Tabla145[[#This Row],[Puerto ]]-Tabla145[[#This Row],[Atraso]]</f>
        <v>0</v>
      </c>
      <c r="AJ4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48" s="3">
        <f>+Tabla145[[#This Row],[Facturación atraso]]</f>
        <v>0</v>
      </c>
      <c r="AL48" s="3">
        <f>+Tabla145[[#This Row],[Plan Ajustado]]-Tabla145[[#This Row],[ Atraso ajustado]]-Tabla145[[#This Row],[Puerto ]]</f>
        <v>0</v>
      </c>
      <c r="AM48" s="6">
        <f>IFERROR(VLOOKUP(Tabla145[[#This Row],[Llave]],[18]!Tabla14[#All],34,FALSE),0)</f>
        <v>0</v>
      </c>
      <c r="AN48" s="6">
        <f>IFERROR(VLOOKUP(Tabla145[[#This Row],[Llave]],[18]!Tabla14[#All],35,FALSE),0)</f>
        <v>0</v>
      </c>
      <c r="AO48" s="3" t="str">
        <f>IF(Tabla145[[#This Row],[Plan Ajustado]]&gt;Tabla145[[#This Row],[En puerto a facturar]],"Si","No")</f>
        <v>No</v>
      </c>
      <c r="AP4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48" s="3">
        <f>IF(Tabla145[[#This Row],[Necesidad]]&gt;=Tabla145[[#This Row],[Stock al día]],Tabla145[[#This Row],[Stock al día]],Tabla145[[#This Row],[Necesidad]])</f>
        <v>0</v>
      </c>
      <c r="AR48" s="3">
        <f>+Tabla145[[#This Row],[Necesidad]]-Tabla145[[#This Row],[Stock Plan]]</f>
        <v>0</v>
      </c>
      <c r="AS48" s="155">
        <f>IFERROR(VLOOKUP(Tabla145[[#This Row],[Oficina]],[19]Ponderación!$B$14:$E$21,4,FALSE),"")</f>
        <v>44789</v>
      </c>
      <c r="AT4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1.2161043669806706</v>
      </c>
      <c r="AU48" s="83">
        <f>IFERROR(VLOOKUP(Tabla145[[#This Row],[Llave]],[17]DELAY!$H:$W,16,FALSE),0)</f>
        <v>0</v>
      </c>
      <c r="AV4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48" s="5">
        <f>Tabla145[[#This Row],[Ajuste precio IC]]*Tabla145[[#This Row],[Plan Ajustado]]</f>
        <v>0</v>
      </c>
      <c r="AX48" s="30">
        <f>IFERROR(VLOOKUP(Tabla145[[#This Row],[Llave]],'[13]Ultimos precios facturados'!$A:$G,7,FALSE),0)</f>
        <v>1.2161043669806706</v>
      </c>
      <c r="AY4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48" s="30">
        <f>IFERROR(VLOOKUP(Tabla145[[#This Row],[Llave]],Hoja2!B:K,10,FALSE),0)</f>
        <v>0</v>
      </c>
      <c r="BA48" s="30">
        <f>IF(Tabla145[[#This Row],[Ajuste precio IC]]="",Tabla145[[#This Row],[Precio ponderado]],Tabla145[[#This Row],[Precio ponderado]])</f>
        <v>0</v>
      </c>
      <c r="BB48" s="82"/>
      <c r="BC48" s="82" t="str">
        <f>IF(AND(Tabla145[[#This Row],[Atraso a facturar]]&gt;0,Tabla145[[#This Row],[Precio Atraso]]=0),"Revisar","OK")</f>
        <v>OK</v>
      </c>
      <c r="BD48" s="82" t="str">
        <f>IF(AND(Tabla145[[#This Row],[Venta del mes]]&gt;0,Tabla145[[#This Row],[Precio venta nueva]]=0),"Revisar","OK")</f>
        <v>OK</v>
      </c>
      <c r="BE48" s="20">
        <f>IFERROR(VLOOKUP(Tabla145[[#This Row],[Llave]],'[5]Consolidación planes'!$A:$M,9,FALSE),0)</f>
        <v>0</v>
      </c>
      <c r="BF48" s="20">
        <f>IFERROR(VLOOKUP(Tabla145[[#This Row],[Llave]],'[5]Consolidación planes'!$A:$M,10,FALSE),0)</f>
        <v>0</v>
      </c>
      <c r="BG48" s="20">
        <f>IFERROR(VLOOKUP(Tabla145[[#This Row],[Llave]],'[5]Consolidación planes'!$A:$M,11,FALSE),0)</f>
        <v>0</v>
      </c>
      <c r="BH48" s="20">
        <f>IFERROR(VLOOKUP(Tabla145[[#This Row],[Llave]],'[5]Consolidación planes'!$A:$M,12,FALSE),0)</f>
        <v>0</v>
      </c>
      <c r="BI48" s="20">
        <f>IFERROR(VLOOKUP(Tabla145[[#This Row],[Llave]],'[5]Consolidación planes'!$A:$M,13,FALSE),0)</f>
        <v>24000</v>
      </c>
      <c r="BJ48" s="20">
        <f>IFERROR(VLOOKUP(Tabla145[[#This Row],[Llave]],'[13]Base ultimos planes'!$A:$M,13,FALSE),0)</f>
        <v>0</v>
      </c>
      <c r="BK48" s="80">
        <f>IFERROR(VLOOKUP(Tabla145[[#This Row],[Llave]],'[13]Base ultimos planes'!$O:$AA,8,FALSE),0)</f>
        <v>0</v>
      </c>
      <c r="BL48" s="20">
        <f>IFERROR(VLOOKUP(Tabla145[[#This Row],[Llave]],'[13]Base ultimos planes'!$O:$AA,9,FALSE),0)</f>
        <v>0</v>
      </c>
      <c r="BM48" s="20">
        <f>IFERROR(VLOOKUP(Tabla145[[#This Row],[Llave]],'[13]Base ultimos planes'!$O:$AA,10,FALSE),0)</f>
        <v>0</v>
      </c>
      <c r="BN48" s="20">
        <f>IFERROR(VLOOKUP(Tabla145[[#This Row],[Llave]],'[13]Base ultimos planes'!$O:$AA,11,FALSE),0)</f>
        <v>0</v>
      </c>
      <c r="BO48" s="20">
        <f>IFERROR(VLOOKUP(Tabla145[[#This Row],[Llave]],'[13]Base ultimos planes'!$O:$AA,12,FALSE),0)</f>
        <v>29280</v>
      </c>
      <c r="BP48" s="20">
        <f>IFERROR(VLOOKUP(Tabla145[[#This Row],[Llave]],'[13]Base ultimos planes'!$O:$AA,13,FALSE),0)</f>
        <v>0</v>
      </c>
      <c r="BQ48" s="20"/>
      <c r="BR48" s="20">
        <f>Tabla145[[#This Row],[ RV Producción mes n+1]]*(1-Tabla145[[#This Row],[% Uti. producción]])</f>
        <v>0</v>
      </c>
      <c r="BS48" s="20">
        <f>+Tabla145[[#This Row],[Producción disponible mes n-1]]+Tabla145[[#This Row],[Saldo Volumen disponible]]</f>
        <v>0</v>
      </c>
      <c r="BT48" s="7">
        <f>IFERROR(VLOOKUP(Tabla145[[#This Row],[Llave]],'[21]RV n+2 y n+3'!$B:$F,4,FALSE),0)</f>
        <v>0</v>
      </c>
      <c r="BU48" s="7">
        <f>+Tabla145[[#This Row],[Asignación mes n+2]]*Tabla145[[#This Row],[% Uti. producción]]</f>
        <v>0</v>
      </c>
      <c r="BV48" s="7">
        <f>+Tabla145[[#This Row],[Ponderación mes n+2]]+Tabla145[[#This Row],[Saldo mes n-1]]</f>
        <v>0</v>
      </c>
      <c r="BW48" s="7">
        <f>+Tabla145[[#This Row],[Asignación mes n+2]]-Tabla145[[#This Row],[Ponderación mes n+2]]</f>
        <v>0</v>
      </c>
      <c r="BX48" s="7">
        <f>IFERROR(VLOOKUP(Tabla145[[#This Row],[Llave]],'[21]RV n+2 y n+3'!$B:$F,5,FALSE),0)</f>
        <v>0</v>
      </c>
      <c r="BY48" s="7">
        <f>+Tabla145[[#This Row],[Asignación mes n+3]]*Tabla145[[#This Row],[% Uti. producción]]</f>
        <v>0</v>
      </c>
      <c r="BZ48" s="3">
        <f>+Tabla145[[#This Row],[Ponderación mes n+3]]+Tabla145[[#This Row],[Saldo mes n+2]]</f>
        <v>0</v>
      </c>
      <c r="CA48" s="3">
        <f>+Tabla145[[#This Row],[Asignación mes n+3]]-Tabla145[[#This Row],[Ponderación mes n+3]]</f>
        <v>0</v>
      </c>
      <c r="CB48" s="3">
        <f>+Tabla145[[#This Row],[Producción disponible mes n-1]]+Tabla145[[#This Row],[Producción disponible]]</f>
        <v>0</v>
      </c>
      <c r="CC48" s="3">
        <f>+Tabla145[[#This Row],[Saldo mes n+4]]-Tabla145[[#This Row],[ RV Producción mes n+1]]</f>
        <v>0</v>
      </c>
    </row>
    <row r="49" spans="1:81" ht="16" x14ac:dyDescent="0.2">
      <c r="A49">
        <v>1</v>
      </c>
      <c r="B49" t="str">
        <f>Tabla145[[#This Row],[Oficina]]&amp;Tabla145[[#This Row],[Material]]</f>
        <v>Agro Sudamerica1021976</v>
      </c>
      <c r="C49" t="s">
        <v>6</v>
      </c>
      <c r="D49" t="s">
        <v>17</v>
      </c>
      <c r="E49">
        <v>1021976</v>
      </c>
      <c r="F49" t="s">
        <v>55</v>
      </c>
      <c r="G49" t="s">
        <v>53</v>
      </c>
      <c r="H49" t="s">
        <v>54</v>
      </c>
      <c r="I49" s="7">
        <f>IFERROR(VLOOKUP(Tabla145[[#This Row],[Llave]],'[7]RV Producción'!$C:$G,5,FALSE),0)</f>
        <v>96000</v>
      </c>
      <c r="J49" s="3">
        <f>IFERROR(IF(Tabla145[[#This Row],[Oficina]]=$I$7,VLOOKUP(Tabla145[[#This Row],[Llave]],'[7]Shangai (Tomas)'!$A:$F,6,FALSE),VLOOKUP(Tabla145[[#This Row],[Llave]],'[7]RV plan de ventas'!$A:$E,5,FALSE)),0)</f>
        <v>96000</v>
      </c>
      <c r="K49" s="8">
        <f>IFERROR(VLOOKUP(Tabla145[[#This Row],[Oficina]],[15]Ponderación!$B$2:$E$9,4,FALSE),0)</f>
        <v>0.45719439678473212</v>
      </c>
      <c r="L49" s="7">
        <f>+Tabla145[[#This Row],[ RV Producción mes n+1]]*Tabla145[[#This Row],[% Uti. producción]]</f>
        <v>43890.662091334285</v>
      </c>
      <c r="M49" s="7">
        <f>IFERROR(VLOOKUP(Tabla145[[#This Row],[Material]],[16]Stock!$G:$K,5,FALSE),0)</f>
        <v>114041</v>
      </c>
      <c r="N49" s="7">
        <f>IFERROR(VLOOKUP(Tabla145[[#This Row],[Material]],[16]Produccion!$M:$N,2,FALSE),0)</f>
        <v>22217.200131800517</v>
      </c>
      <c r="O49" s="7">
        <f>IFERROR(VLOOKUP(Tabla145[[#This Row],[Llave]],'[16]TD Conf-AP'!$I:$M,4,FALSE),0)</f>
        <v>0</v>
      </c>
      <c r="P49" s="14">
        <f>SUM(Tabla145[[#This Row],[Producción disponible]],Tabla145[[#This Row],[Stock al día]],(Tabla145[[#This Row],[Por producir mes N]]*0.9))-Tabla145[[#This Row],[Producción por despachar mes N]]</f>
        <v>177927.14220995476</v>
      </c>
      <c r="Q49" s="7">
        <f>IFERROR(VLOOKUP(Tabla145[[#This Row],[Llave]],[17]DELAY!$A:$D,4,FALSE),0)</f>
        <v>219000</v>
      </c>
      <c r="R49" s="9">
        <v>24000</v>
      </c>
      <c r="S49" s="5">
        <f t="shared" si="5"/>
        <v>168000</v>
      </c>
      <c r="T49" s="76">
        <v>-48000</v>
      </c>
      <c r="U49" s="5">
        <f>+Tabla145[[#This Row],[Atraso a facturar]]+Tabla145[[#This Row],[Ajuste atraso]]</f>
        <v>120000</v>
      </c>
      <c r="V49" s="3">
        <f>+Tabla145[[#This Row],[Total disponible]]-Tabla145[[#This Row],[Facturación atraso]]</f>
        <v>57927.142209954764</v>
      </c>
      <c r="W49" s="6">
        <f>IFERROR(IF(AND(V49&gt;R49,J49&gt;=R49),ROUNDDOWN((Tabla145[[#This Row],[Producción para venta nueva]])/R49,0)*R49,0),0)</f>
        <v>48000</v>
      </c>
      <c r="X49" s="76">
        <v>0</v>
      </c>
      <c r="Y49" s="6">
        <f>IF(Tabla145[[#This Row],[Venta del mes]]&gt;0,Tabla145[[#This Row],[Venta del mes]]+Tabla145[[#This Row],[Ajuste venta nueva]],0)</f>
        <v>48000</v>
      </c>
      <c r="Z49" s="6">
        <f>+Tabla145[[#This Row],[Producción para venta nueva]]-Tabla145[[#This Row],[Facturación Venta nueva]]</f>
        <v>9927.1422099547635</v>
      </c>
      <c r="AA49" s="6">
        <f>IF(AND(A49=1,Tabla145[[#This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49" s="6">
        <v>0</v>
      </c>
      <c r="AC49" s="6">
        <f>IF(Tabla145[[#This Row],[Disponible stock sin venta]]&gt;0,Tabla145[[#This Row],[Disponible stock sin venta]]+Tabla145[[#This Row],[Ajuste stock sin venta]],0)</f>
        <v>0</v>
      </c>
      <c r="AD49" s="3">
        <f>IFERROR(VLOOKUP(Tabla145[[#This Row],[Llave]],'[16]TD Puerto'!$A:$D,4,FALSE),0)</f>
        <v>0</v>
      </c>
      <c r="AE49" s="3">
        <v>243000</v>
      </c>
      <c r="AF49" s="3">
        <f>+Tabla145[[#This Row],[Plan Irrestricto Inicial]]</f>
        <v>243000</v>
      </c>
      <c r="AG49" s="3">
        <f>+Tabla145[[#This Row],[En puerto a facturar]]</f>
        <v>0</v>
      </c>
      <c r="AH49" s="3">
        <f>+Tabla145[[#This Row],[Facturación atraso]]</f>
        <v>120000</v>
      </c>
      <c r="AI49" s="3">
        <f>+Tabla145[[#This Row],[Plan Irrestricto]]-Tabla145[[#This Row],[Puerto ]]-Tabla145[[#This Row],[Atraso]]</f>
        <v>123000</v>
      </c>
      <c r="AJ49" s="3">
        <f>IF(Tabla145[[#This Row],[Plan Irrestricto]]&gt;0,SUM(Tabla145[[#This Row],[Facturación atraso]],Tabla145[[#This Row],[Facturación Venta nueva]],Tabla145[[#This Row],[Facturación stock]],Tabla145[[#This Row],[En puerto a facturar]]),0)</f>
        <v>168000</v>
      </c>
      <c r="AK49" s="3">
        <f>+Tabla145[[#This Row],[Facturación atraso]]</f>
        <v>120000</v>
      </c>
      <c r="AL49" s="3">
        <f>+Tabla145[[#This Row],[Plan Ajustado]]-Tabla145[[#This Row],[ Atraso ajustado]]-Tabla145[[#This Row],[Puerto ]]</f>
        <v>48000</v>
      </c>
      <c r="AM49" s="6">
        <f>IFERROR(VLOOKUP(Tabla145[[#This Row],[Llave]],[18]!Tabla14[#All],34,FALSE),0)</f>
        <v>0</v>
      </c>
      <c r="AN49" s="6">
        <f>IFERROR(VLOOKUP(Tabla145[[#This Row],[Llave]],[18]!Tabla14[#All],35,FALSE),0)</f>
        <v>0</v>
      </c>
      <c r="AO49" s="3" t="str">
        <f>IF(Tabla145[[#This Row],[Plan Ajustado]]&gt;Tabla145[[#This Row],[En puerto a facturar]],"Si","No")</f>
        <v>Si</v>
      </c>
      <c r="AP49" s="3">
        <f>IF(AND(Tabla145[[#This Row],[Plan Ajustado]]&gt;0,Tabla145[[#This Row],[Plan Ajustado]]&gt;Tabla145[[#This Row],[En puerto a facturar]]),(Tabla145[[#This Row],[Plan Ajustado]]-Tabla145[[#This Row],[En puerto a facturar]]),0)</f>
        <v>168000</v>
      </c>
      <c r="AQ49" s="3">
        <f>IF(Tabla145[[#This Row],[Necesidad]]&gt;=Tabla145[[#This Row],[Stock al día]],Tabla145[[#This Row],[Stock al día]],Tabla145[[#This Row],[Necesidad]])</f>
        <v>114041</v>
      </c>
      <c r="AR49" s="3">
        <f>+Tabla145[[#This Row],[Necesidad]]-Tabla145[[#This Row],[Stock Plan]]</f>
        <v>53959</v>
      </c>
      <c r="AS49" s="155">
        <f>IFERROR(VLOOKUP(Tabla145[[#This Row],[Oficina]],[19]Ponderación!$B$14:$E$21,4,FALSE),"")</f>
        <v>44789</v>
      </c>
      <c r="AT4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2.6</v>
      </c>
      <c r="AU49" s="83">
        <f>IFERROR(VLOOKUP(Tabla145[[#This Row],[Llave]],[17]DELAY!$H:$W,16,FALSE),0)</f>
        <v>2.4901004123221568</v>
      </c>
      <c r="AV4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2.5215002945158265</v>
      </c>
      <c r="AW49" s="5">
        <f>Tabla145[[#This Row],[Ajuste precio IC]]*Tabla145[[#This Row],[Plan Ajustado]]</f>
        <v>408800.625</v>
      </c>
      <c r="AX49" s="30">
        <f>IFERROR(VLOOKUP(Tabla145[[#This Row],[Llave]],'[13]Ultimos precios facturados'!$A:$G,7,FALSE),0)</f>
        <v>2.2858013679076996</v>
      </c>
      <c r="AY4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0.10311435189308381</v>
      </c>
      <c r="AZ49" s="30">
        <f>IFERROR(VLOOKUP(Tabla145[[#This Row],[Llave]],Hoja2!B:K,10,FALSE),0)</f>
        <v>2.4333370535714285</v>
      </c>
      <c r="BA49" s="30">
        <f>IF(Tabla145[[#This Row],[Ajuste precio IC]]="",Tabla145[[#This Row],[Precio ponderado]],Tabla145[[#This Row],[Precio ponderado]])</f>
        <v>2.5215002945158265</v>
      </c>
      <c r="BB49" s="82"/>
      <c r="BC49" s="82" t="str">
        <f>IF(AND(Tabla145[[#This Row],[Atraso a facturar]]&gt;0,Tabla145[[#This Row],[Precio Atraso]]=0),"Revisar","OK")</f>
        <v>OK</v>
      </c>
      <c r="BD49" s="82" t="str">
        <f>IF(AND(Tabla145[[#This Row],[Venta del mes]]&gt;0,Tabla145[[#This Row],[Precio venta nueva]]=0),"Revisar","OK")</f>
        <v>OK</v>
      </c>
      <c r="BE49" s="20">
        <f>IFERROR(VLOOKUP(Tabla145[[#This Row],[Llave]],'[5]Consolidación planes'!$A:$M,9,FALSE),0)</f>
        <v>80000</v>
      </c>
      <c r="BF49" s="20">
        <f>IFERROR(VLOOKUP(Tabla145[[#This Row],[Llave]],'[5]Consolidación planes'!$A:$M,10,FALSE),0)</f>
        <v>187000</v>
      </c>
      <c r="BG49" s="20">
        <f>IFERROR(VLOOKUP(Tabla145[[#This Row],[Llave]],'[5]Consolidación planes'!$A:$M,11,FALSE),0)</f>
        <v>312000</v>
      </c>
      <c r="BH49" s="20">
        <f>IFERROR(VLOOKUP(Tabla145[[#This Row],[Llave]],'[5]Consolidación planes'!$A:$M,12,FALSE),0)</f>
        <v>168000</v>
      </c>
      <c r="BI49" s="20">
        <f>IFERROR(VLOOKUP(Tabla145[[#This Row],[Llave]],'[5]Consolidación planes'!$A:$M,13,FALSE),0)</f>
        <v>340000</v>
      </c>
      <c r="BJ49" s="20">
        <f>IFERROR(VLOOKUP(Tabla145[[#This Row],[Llave]],'[13]Base ultimos planes'!$A:$M,13,FALSE),0)</f>
        <v>254000</v>
      </c>
      <c r="BK49" s="80">
        <f>IFERROR(VLOOKUP(Tabla145[[#This Row],[Llave]],'[13]Base ultimos planes'!$O:$AA,8,FALSE),0)</f>
        <v>179200</v>
      </c>
      <c r="BL49" s="20">
        <f>IFERROR(VLOOKUP(Tabla145[[#This Row],[Llave]],'[13]Base ultimos planes'!$O:$AA,9,FALSE),0)</f>
        <v>405233</v>
      </c>
      <c r="BM49" s="20">
        <f>IFERROR(VLOOKUP(Tabla145[[#This Row],[Llave]],'[13]Base ultimos planes'!$O:$AA,10,FALSE),0)</f>
        <v>682914</v>
      </c>
      <c r="BN49" s="20">
        <f>IFERROR(VLOOKUP(Tabla145[[#This Row],[Llave]],'[13]Base ultimos planes'!$O:$AA,11,FALSE),0)</f>
        <v>369600</v>
      </c>
      <c r="BO49" s="20">
        <f>IFERROR(VLOOKUP(Tabla145[[#This Row],[Llave]],'[13]Base ultimos planes'!$O:$AA,12,FALSE),0)</f>
        <v>769345</v>
      </c>
      <c r="BP49" s="20">
        <f>IFERROR(VLOOKUP(Tabla145[[#This Row],[Llave]],'[13]Base ultimos planes'!$O:$AA,13,FALSE),0)</f>
        <v>595202</v>
      </c>
      <c r="BQ49" s="20"/>
      <c r="BR49" s="20">
        <f>Tabla145[[#This Row],[ RV Producción mes n+1]]*(1-Tabla145[[#This Row],[% Uti. producción]])</f>
        <v>52109.337908665722</v>
      </c>
      <c r="BS49" s="20">
        <f>+Tabla145[[#This Row],[Producción disponible mes n-1]]+Tabla145[[#This Row],[Saldo Volumen disponible]]</f>
        <v>62036.480118620486</v>
      </c>
      <c r="BT49" s="7">
        <f>IFERROR(VLOOKUP(Tabla145[[#This Row],[Llave]],'[21]RV n+2 y n+3'!$B:$F,4,FALSE),0)</f>
        <v>252686.13</v>
      </c>
      <c r="BU49" s="7">
        <f>+Tabla145[[#This Row],[Asignación mes n+2]]*Tabla145[[#This Row],[% Uti. producción]]</f>
        <v>115526.68278121841</v>
      </c>
      <c r="BV49" s="7">
        <f>+Tabla145[[#This Row],[Ponderación mes n+2]]+Tabla145[[#This Row],[Saldo mes n-1]]</f>
        <v>177563.16289983888</v>
      </c>
      <c r="BW49" s="7">
        <f>+Tabla145[[#This Row],[Asignación mes n+2]]-Tabla145[[#This Row],[Ponderación mes n+2]]</f>
        <v>137159.4472187816</v>
      </c>
      <c r="BX49" s="7">
        <f>IFERROR(VLOOKUP(Tabla145[[#This Row],[Llave]],'[21]RV n+2 y n+3'!$B:$F,5,FALSE),0)</f>
        <v>251101.22699999998</v>
      </c>
      <c r="BY49" s="7">
        <f>+Tabla145[[#This Row],[Asignación mes n+3]]*Tabla145[[#This Row],[% Uti. producción]]</f>
        <v>114802.07401017108</v>
      </c>
      <c r="BZ49" s="3">
        <f>+Tabla145[[#This Row],[Ponderación mes n+3]]+Tabla145[[#This Row],[Saldo mes n+2]]</f>
        <v>251961.52122895268</v>
      </c>
      <c r="CA49" s="3">
        <f>+Tabla145[[#This Row],[Asignación mes n+3]]-Tabla145[[#This Row],[Ponderación mes n+3]]</f>
        <v>136299.1529898289</v>
      </c>
      <c r="CB49" s="3">
        <f>+Tabla145[[#This Row],[Producción disponible mes n-1]]+Tabla145[[#This Row],[Producción disponible]]</f>
        <v>96000</v>
      </c>
      <c r="CC49" s="3">
        <f>+Tabla145[[#This Row],[Saldo mes n+4]]-Tabla145[[#This Row],[ RV Producción mes n+1]]</f>
        <v>0</v>
      </c>
    </row>
    <row r="50" spans="1:81" ht="16" x14ac:dyDescent="0.2">
      <c r="A50">
        <v>1</v>
      </c>
      <c r="B50" t="str">
        <f>Tabla145[[#This Row],[Oficina]]&amp;Tabla145[[#This Row],[Material]]</f>
        <v>Agro Sudamerica1022047</v>
      </c>
      <c r="C50" t="s">
        <v>6</v>
      </c>
      <c r="D50" t="s">
        <v>17</v>
      </c>
      <c r="E50">
        <v>1022047</v>
      </c>
      <c r="F50" t="s">
        <v>314</v>
      </c>
      <c r="G50" t="s">
        <v>71</v>
      </c>
      <c r="H50" t="s">
        <v>72</v>
      </c>
      <c r="I50" s="7">
        <f>IFERROR(VLOOKUP(Tabla145[[#This Row],[Llave]],'[7]RV Producción'!$C:$G,5,FALSE),0)</f>
        <v>0</v>
      </c>
      <c r="J50" s="3">
        <f>IFERROR(IF(Tabla145[[#This Row],[Oficina]]=$I$7,VLOOKUP(Tabla145[[#This Row],[Llave]],'[7]Shangai (Tomas)'!$A:$F,6,FALSE),VLOOKUP(Tabla145[[#This Row],[Llave]],'[7]RV plan de ventas'!$A:$E,5,FALSE)),0)</f>
        <v>1807</v>
      </c>
      <c r="K50" s="8">
        <f>IFERROR(VLOOKUP(Tabla145[[#This Row],[Oficina]],[15]Ponderación!$B$2:$E$9,4,FALSE),0)</f>
        <v>0.45719439678473212</v>
      </c>
      <c r="L50" s="7">
        <f>+Tabla145[[#This Row],[ RV Producción mes n+1]]*Tabla145[[#This Row],[% Uti. producción]]</f>
        <v>0</v>
      </c>
      <c r="M50" s="7">
        <f>IFERROR(VLOOKUP(Tabla145[[#This Row],[Material]],[16]Stock!$G:$K,5,FALSE),0)</f>
        <v>1626</v>
      </c>
      <c r="N50" s="7">
        <f>IFERROR(VLOOKUP(Tabla145[[#This Row],[Material]],[16]Produccion!$M:$N,2,FALSE),0)</f>
        <v>0</v>
      </c>
      <c r="O50" s="7">
        <f>IFERROR(VLOOKUP(Tabla145[[#This Row],[Llave]],'[16]TD Conf-AP'!$I:$M,4,FALSE),0)</f>
        <v>0</v>
      </c>
      <c r="P50" s="14">
        <f>SUM(Tabla145[[#This Row],[Producción disponible]],Tabla145[[#This Row],[Stock al día]],(Tabla145[[#This Row],[Por producir mes N]]*0.9))-Tabla145[[#This Row],[Producción por despachar mes N]]</f>
        <v>1626</v>
      </c>
      <c r="Q50" s="7">
        <f>IFERROR(VLOOKUP(Tabla145[[#This Row],[Llave]],[17]DELAY!$A:$D,4,FALSE),0)</f>
        <v>0</v>
      </c>
      <c r="R50" s="9">
        <v>24000</v>
      </c>
      <c r="S50" s="5">
        <f t="shared" si="5"/>
        <v>0</v>
      </c>
      <c r="T50" s="76">
        <v>0</v>
      </c>
      <c r="U50" s="5">
        <f>+Tabla145[[#This Row],[Atraso a facturar]]+Tabla145[[#This Row],[Ajuste atraso]]</f>
        <v>0</v>
      </c>
      <c r="V50" s="3">
        <f>+Tabla145[[#This Row],[Total disponible]]-Tabla145[[#This Row],[Facturación atraso]]</f>
        <v>1626</v>
      </c>
      <c r="W50" s="6">
        <f>IFERROR(IF(AND(V50&gt;R50,J50&gt;=R50),ROUNDDOWN((Tabla145[[#This Row],[Producción para venta nueva]])/R50,0)*R50,0),0)</f>
        <v>0</v>
      </c>
      <c r="X50" s="76">
        <v>0</v>
      </c>
      <c r="Y50" s="6">
        <f>IF(Tabla145[[#This Row],[Venta del mes]]&gt;0,Tabla145[[#This Row],[Venta del mes]]+Tabla145[[#This Row],[Ajuste venta nueva]],0)</f>
        <v>0</v>
      </c>
      <c r="Z50" s="6">
        <f>+Tabla145[[#This Row],[Producción para venta nueva]]-Tabla145[[#This Row],[Facturación Venta nueva]]</f>
        <v>1626</v>
      </c>
      <c r="AA50" s="6">
        <f>IF(AND(A50=1,Tabla145[[#This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0" s="6">
        <v>0</v>
      </c>
      <c r="AC50" s="6">
        <f>IF(Tabla145[[#This Row],[Disponible stock sin venta]]&gt;0,Tabla145[[#This Row],[Disponible stock sin venta]]+Tabla145[[#This Row],[Ajuste stock sin venta]],0)</f>
        <v>0</v>
      </c>
      <c r="AD50" s="3">
        <f>IFERROR(VLOOKUP(Tabla145[[#This Row],[Llave]],'[16]TD Puerto'!$A:$D,4,FALSE),0)</f>
        <v>0</v>
      </c>
      <c r="AE50" s="3">
        <v>0</v>
      </c>
      <c r="AF50" s="3">
        <f>+Tabla145[[#This Row],[Plan Irrestricto Inicial]]</f>
        <v>0</v>
      </c>
      <c r="AG50" s="3">
        <f>+Tabla145[[#This Row],[En puerto a facturar]]</f>
        <v>0</v>
      </c>
      <c r="AH50" s="3">
        <f>+Tabla145[[#This Row],[Facturación atraso]]</f>
        <v>0</v>
      </c>
      <c r="AI50" s="3">
        <f>+Tabla145[[#This Row],[Plan Irrestricto]]-Tabla145[[#This Row],[Puerto ]]-Tabla145[[#This Row],[Atraso]]</f>
        <v>0</v>
      </c>
      <c r="AJ5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50" s="3">
        <f>+Tabla145[[#This Row],[Facturación atraso]]</f>
        <v>0</v>
      </c>
      <c r="AL50" s="3">
        <f>+Tabla145[[#This Row],[Plan Ajustado]]-Tabla145[[#This Row],[ Atraso ajustado]]-Tabla145[[#This Row],[Puerto ]]</f>
        <v>0</v>
      </c>
      <c r="AM50" s="6">
        <f>IFERROR(VLOOKUP(Tabla145[[#This Row],[Llave]],[18]!Tabla14[#All],34,FALSE),0)</f>
        <v>0</v>
      </c>
      <c r="AN50" s="6">
        <f>IFERROR(VLOOKUP(Tabla145[[#This Row],[Llave]],[18]!Tabla14[#All],35,FALSE),0)</f>
        <v>0</v>
      </c>
      <c r="AO50" s="3" t="str">
        <f>IF(Tabla145[[#This Row],[Plan Ajustado]]&gt;Tabla145[[#This Row],[En puerto a facturar]],"Si","No")</f>
        <v>No</v>
      </c>
      <c r="AP5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50" s="3">
        <f>IF(Tabla145[[#This Row],[Necesidad]]&gt;=Tabla145[[#This Row],[Stock al día]],Tabla145[[#This Row],[Stock al día]],Tabla145[[#This Row],[Necesidad]])</f>
        <v>0</v>
      </c>
      <c r="AR50" s="3">
        <f>+Tabla145[[#This Row],[Necesidad]]-Tabla145[[#This Row],[Stock Plan]]</f>
        <v>0</v>
      </c>
      <c r="AS50" s="155">
        <f>IFERROR(VLOOKUP(Tabla145[[#This Row],[Oficina]],[19]Ponderación!$B$14:$E$21,4,FALSE),"")</f>
        <v>44789</v>
      </c>
      <c r="AT5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1.64028776978417</v>
      </c>
      <c r="AU50" s="83">
        <f>IFERROR(VLOOKUP(Tabla145[[#This Row],[Llave]],[17]DELAY!$H:$W,16,FALSE),0)</f>
        <v>0</v>
      </c>
      <c r="AV5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50" s="5">
        <f>Tabla145[[#This Row],[Ajuste precio IC]]*Tabla145[[#This Row],[Plan Ajustado]]</f>
        <v>0</v>
      </c>
      <c r="AX50" s="30">
        <f>IFERROR(VLOOKUP(Tabla145[[#This Row],[Llave]],'[13]Ultimos precios facturados'!$A:$G,7,FALSE),0)</f>
        <v>1.3361597521241988</v>
      </c>
      <c r="AY5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50" s="30">
        <f>IFERROR(VLOOKUP(Tabla145[[#This Row],[Llave]],Hoja2!B:K,10,FALSE),0)</f>
        <v>0</v>
      </c>
      <c r="BA50" s="30">
        <f>IF(Tabla145[[#This Row],[Ajuste precio IC]]="",Tabla145[[#This Row],[Precio ponderado]],Tabla145[[#This Row],[Precio ponderado]])</f>
        <v>0</v>
      </c>
      <c r="BB50" s="82"/>
      <c r="BC50" s="82" t="str">
        <f>IF(AND(Tabla145[[#This Row],[Atraso a facturar]]&gt;0,Tabla145[[#This Row],[Precio Atraso]]=0),"Revisar","OK")</f>
        <v>OK</v>
      </c>
      <c r="BD50" s="82" t="str">
        <f>IF(AND(Tabla145[[#This Row],[Venta del mes]]&gt;0,Tabla145[[#This Row],[Precio venta nueva]]=0),"Revisar","OK")</f>
        <v>OK</v>
      </c>
      <c r="BE50" s="20">
        <f>IFERROR(VLOOKUP(Tabla145[[#This Row],[Llave]],'[5]Consolidación planes'!$A:$M,9,FALSE),0)</f>
        <v>0</v>
      </c>
      <c r="BF50" s="20">
        <f>IFERROR(VLOOKUP(Tabla145[[#This Row],[Llave]],'[5]Consolidación planes'!$A:$M,10,FALSE),0)</f>
        <v>0</v>
      </c>
      <c r="BG50" s="20">
        <f>IFERROR(VLOOKUP(Tabla145[[#This Row],[Llave]],'[5]Consolidación planes'!$A:$M,11,FALSE),0)</f>
        <v>0</v>
      </c>
      <c r="BH50" s="20">
        <f>IFERROR(VLOOKUP(Tabla145[[#This Row],[Llave]],'[5]Consolidación planes'!$A:$M,12,FALSE),0)</f>
        <v>48000</v>
      </c>
      <c r="BI50" s="20">
        <f>IFERROR(VLOOKUP(Tabla145[[#This Row],[Llave]],'[5]Consolidación planes'!$A:$M,13,FALSE),0)</f>
        <v>0</v>
      </c>
      <c r="BJ50" s="20">
        <f>IFERROR(VLOOKUP(Tabla145[[#This Row],[Llave]],'[13]Base ultimos planes'!$A:$M,13,FALSE),0)</f>
        <v>0</v>
      </c>
      <c r="BK50" s="80">
        <f>IFERROR(VLOOKUP(Tabla145[[#This Row],[Llave]],'[13]Base ultimos planes'!$O:$AA,8,FALSE),0)</f>
        <v>0</v>
      </c>
      <c r="BL50" s="20">
        <f>IFERROR(VLOOKUP(Tabla145[[#This Row],[Llave]],'[13]Base ultimos planes'!$O:$AA,9,FALSE),0)</f>
        <v>0</v>
      </c>
      <c r="BM50" s="20">
        <f>IFERROR(VLOOKUP(Tabla145[[#This Row],[Llave]],'[13]Base ultimos planes'!$O:$AA,10,FALSE),0)</f>
        <v>0</v>
      </c>
      <c r="BN50" s="20">
        <f>IFERROR(VLOOKUP(Tabla145[[#This Row],[Llave]],'[13]Base ultimos planes'!$O:$AA,11,FALSE),0)</f>
        <v>63600</v>
      </c>
      <c r="BO50" s="20">
        <f>IFERROR(VLOOKUP(Tabla145[[#This Row],[Llave]],'[13]Base ultimos planes'!$O:$AA,12,FALSE),0)</f>
        <v>0</v>
      </c>
      <c r="BP50" s="20">
        <f>IFERROR(VLOOKUP(Tabla145[[#This Row],[Llave]],'[13]Base ultimos planes'!$O:$AA,13,FALSE),0)</f>
        <v>0</v>
      </c>
      <c r="BQ50" s="20"/>
      <c r="BR50" s="20">
        <f>Tabla145[[#This Row],[ RV Producción mes n+1]]*(1-Tabla145[[#This Row],[% Uti. producción]])</f>
        <v>0</v>
      </c>
      <c r="BS50" s="20">
        <f>+Tabla145[[#This Row],[Producción disponible mes n-1]]+Tabla145[[#This Row],[Saldo Volumen disponible]]</f>
        <v>1626</v>
      </c>
      <c r="BT50" s="7">
        <f>IFERROR(VLOOKUP(Tabla145[[#This Row],[Llave]],'[21]RV n+2 y n+3'!$B:$F,4,FALSE),0)</f>
        <v>0</v>
      </c>
      <c r="BU50" s="7">
        <f>+Tabla145[[#This Row],[Asignación mes n+2]]*Tabla145[[#This Row],[% Uti. producción]]</f>
        <v>0</v>
      </c>
      <c r="BV50" s="7">
        <f>+Tabla145[[#This Row],[Ponderación mes n+2]]+Tabla145[[#This Row],[Saldo mes n-1]]</f>
        <v>1626</v>
      </c>
      <c r="BW50" s="7">
        <f>+Tabla145[[#This Row],[Asignación mes n+2]]-Tabla145[[#This Row],[Ponderación mes n+2]]</f>
        <v>0</v>
      </c>
      <c r="BX50" s="7">
        <f>IFERROR(VLOOKUP(Tabla145[[#This Row],[Llave]],'[21]RV n+2 y n+3'!$B:$F,5,FALSE),0)</f>
        <v>0</v>
      </c>
      <c r="BY50" s="7">
        <f>+Tabla145[[#This Row],[Asignación mes n+3]]*Tabla145[[#This Row],[% Uti. producción]]</f>
        <v>0</v>
      </c>
      <c r="BZ50" s="3">
        <f>+Tabla145[[#This Row],[Ponderación mes n+3]]+Tabla145[[#This Row],[Saldo mes n+2]]</f>
        <v>0</v>
      </c>
      <c r="CA50" s="3">
        <f>+Tabla145[[#This Row],[Asignación mes n+3]]-Tabla145[[#This Row],[Ponderación mes n+3]]</f>
        <v>0</v>
      </c>
      <c r="CB50" s="3">
        <f>+Tabla145[[#This Row],[Producción disponible mes n-1]]+Tabla145[[#This Row],[Producción disponible]]</f>
        <v>0</v>
      </c>
      <c r="CC50" s="3">
        <f>+Tabla145[[#This Row],[Saldo mes n+4]]-Tabla145[[#This Row],[ RV Producción mes n+1]]</f>
        <v>0</v>
      </c>
    </row>
    <row r="51" spans="1:81" ht="16" x14ac:dyDescent="0.2">
      <c r="A51">
        <v>1</v>
      </c>
      <c r="B51" t="str">
        <f>Tabla145[[#This Row],[Oficina]]&amp;Tabla145[[#This Row],[Material]]</f>
        <v>Agro Sudamerica1022149</v>
      </c>
      <c r="C51" t="s">
        <v>6</v>
      </c>
      <c r="D51" t="s">
        <v>17</v>
      </c>
      <c r="E51">
        <v>1022149</v>
      </c>
      <c r="F51" t="s">
        <v>70</v>
      </c>
      <c r="G51" t="s">
        <v>67</v>
      </c>
      <c r="H51" t="s">
        <v>68</v>
      </c>
      <c r="I51" s="7">
        <f>IFERROR(VLOOKUP(Tabla145[[#This Row],[Llave]],'[7]RV Producción'!$C:$G,5,FALSE),0)</f>
        <v>24206</v>
      </c>
      <c r="J51" s="3">
        <f>IFERROR(IF(Tabla145[[#This Row],[Oficina]]=$I$7,VLOOKUP(Tabla145[[#This Row],[Llave]],'[7]Shangai (Tomas)'!$A:$F,6,FALSE),VLOOKUP(Tabla145[[#This Row],[Llave]],'[7]RV plan de ventas'!$A:$E,5,FALSE)),0)</f>
        <v>36000</v>
      </c>
      <c r="K51" s="8">
        <f>IFERROR(VLOOKUP(Tabla145[[#This Row],[Oficina]],[15]Ponderación!$B$2:$E$9,4,FALSE),0)</f>
        <v>0.45719439678473212</v>
      </c>
      <c r="L51" s="7">
        <f>+Tabla145[[#This Row],[ RV Producción mes n+1]]*Tabla145[[#This Row],[% Uti. producción]]</f>
        <v>11066.847568571226</v>
      </c>
      <c r="M51" s="7">
        <f>IFERROR(VLOOKUP(Tabla145[[#This Row],[Material]],[16]Stock!$G:$K,5,FALSE),0)</f>
        <v>6915</v>
      </c>
      <c r="N51" s="7">
        <f>IFERROR(VLOOKUP(Tabla145[[#This Row],[Material]],[16]Produccion!$M:$N,2,FALSE),0)</f>
        <v>1339</v>
      </c>
      <c r="O51" s="7">
        <f>IFERROR(VLOOKUP(Tabla145[[#This Row],[Llave]],'[16]TD Conf-AP'!$I:$M,4,FALSE),0)</f>
        <v>0</v>
      </c>
      <c r="P51" s="14">
        <f>SUM(Tabla145[[#This Row],[Producción disponible]],Tabla145[[#This Row],[Stock al día]],(Tabla145[[#This Row],[Por producir mes N]]*0.9))-Tabla145[[#This Row],[Producción por despachar mes N]]</f>
        <v>19186.947568571224</v>
      </c>
      <c r="Q51" s="7">
        <f>IFERROR(VLOOKUP(Tabla145[[#This Row],[Llave]],[17]DELAY!$A:$D,4,FALSE),0)</f>
        <v>24000</v>
      </c>
      <c r="R51" s="9">
        <v>24000</v>
      </c>
      <c r="S51" s="5">
        <f t="shared" si="5"/>
        <v>0</v>
      </c>
      <c r="T51" s="76">
        <v>0</v>
      </c>
      <c r="U51" s="5">
        <f>+Tabla145[[#This Row],[Atraso a facturar]]+Tabla145[[#This Row],[Ajuste atraso]]</f>
        <v>0</v>
      </c>
      <c r="V51" s="3">
        <f>+Tabla145[[#This Row],[Total disponible]]-Tabla145[[#This Row],[Facturación atraso]]</f>
        <v>19186.947568571224</v>
      </c>
      <c r="W51" s="6">
        <f>IFERROR(IF(AND(V51&gt;R51,J51&gt;=R51),ROUNDDOWN((Tabla145[[#This Row],[Producción para venta nueva]])/R51,0)*R51,0),0)</f>
        <v>0</v>
      </c>
      <c r="X51" s="76">
        <v>0</v>
      </c>
      <c r="Y51" s="6">
        <f>IF(Tabla145[[#This Row],[Venta del mes]]&gt;0,Tabla145[[#This Row],[Venta del mes]]+Tabla145[[#This Row],[Ajuste venta nueva]],0)</f>
        <v>0</v>
      </c>
      <c r="Z51" s="6">
        <f>+Tabla145[[#This Row],[Producción para venta nueva]]-Tabla145[[#This Row],[Facturación Venta nueva]]</f>
        <v>19186.947568571224</v>
      </c>
      <c r="AA51" s="6">
        <f>IF(AND(A51=1,Tabla145[[#This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1" s="6">
        <v>0</v>
      </c>
      <c r="AC51" s="6">
        <f>IF(Tabla145[[#This Row],[Disponible stock sin venta]]&gt;0,Tabla145[[#This Row],[Disponible stock sin venta]]+Tabla145[[#This Row],[Ajuste stock sin venta]],0)</f>
        <v>0</v>
      </c>
      <c r="AD51" s="3">
        <f>IFERROR(VLOOKUP(Tabla145[[#This Row],[Llave]],'[16]TD Puerto'!$A:$D,4,FALSE),0)</f>
        <v>0</v>
      </c>
      <c r="AE51" s="3">
        <v>0</v>
      </c>
      <c r="AF51" s="3">
        <f>+Tabla145[[#This Row],[Plan Irrestricto Inicial]]</f>
        <v>0</v>
      </c>
      <c r="AG51" s="3">
        <f>+Tabla145[[#This Row],[En puerto a facturar]]</f>
        <v>0</v>
      </c>
      <c r="AH51" s="3">
        <f>+Tabla145[[#This Row],[Facturación atraso]]</f>
        <v>0</v>
      </c>
      <c r="AI51" s="3">
        <f>+Tabla145[[#This Row],[Plan Irrestricto]]-Tabla145[[#This Row],[Puerto ]]-Tabla145[[#This Row],[Atraso]]</f>
        <v>0</v>
      </c>
      <c r="AJ5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51" s="3">
        <f>+Tabla145[[#This Row],[Facturación atraso]]</f>
        <v>0</v>
      </c>
      <c r="AL51" s="3">
        <f>+Tabla145[[#This Row],[Plan Ajustado]]-Tabla145[[#This Row],[ Atraso ajustado]]-Tabla145[[#This Row],[Puerto ]]</f>
        <v>0</v>
      </c>
      <c r="AM51" s="6">
        <f>IFERROR(VLOOKUP(Tabla145[[#This Row],[Llave]],[18]!Tabla14[#All],34,FALSE),0)</f>
        <v>0</v>
      </c>
      <c r="AN51" s="6">
        <f>IFERROR(VLOOKUP(Tabla145[[#This Row],[Llave]],[18]!Tabla14[#All],35,FALSE),0)</f>
        <v>0</v>
      </c>
      <c r="AO51" s="3" t="str">
        <f>IF(Tabla145[[#This Row],[Plan Ajustado]]&gt;Tabla145[[#This Row],[En puerto a facturar]],"Si","No")</f>
        <v>No</v>
      </c>
      <c r="AP5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51" s="3">
        <f>IF(Tabla145[[#This Row],[Necesidad]]&gt;=Tabla145[[#This Row],[Stock al día]],Tabla145[[#This Row],[Stock al día]],Tabla145[[#This Row],[Necesidad]])</f>
        <v>0</v>
      </c>
      <c r="AR51" s="3">
        <f>+Tabla145[[#This Row],[Necesidad]]-Tabla145[[#This Row],[Stock Plan]]</f>
        <v>0</v>
      </c>
      <c r="AS51" s="155">
        <f>IFERROR(VLOOKUP(Tabla145[[#This Row],[Oficina]],[19]Ponderación!$B$14:$E$21,4,FALSE),"")</f>
        <v>44789</v>
      </c>
      <c r="AT5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2.0099999999999998</v>
      </c>
      <c r="AU51" s="83">
        <f>IFERROR(VLOOKUP(Tabla145[[#This Row],[Llave]],[17]DELAY!$H:$W,16,FALSE),0)</f>
        <v>2.4</v>
      </c>
      <c r="AV5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51" s="5">
        <f>Tabla145[[#This Row],[Ajuste precio IC]]*Tabla145[[#This Row],[Plan Ajustado]]</f>
        <v>0</v>
      </c>
      <c r="AX51" s="30">
        <f>IFERROR(VLOOKUP(Tabla145[[#This Row],[Llave]],'[13]Ultimos precios facturados'!$A:$G,7,FALSE),0)</f>
        <v>1.9971284910800347</v>
      </c>
      <c r="AY5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51" s="30">
        <f>IFERROR(VLOOKUP(Tabla145[[#This Row],[Llave]],Hoja2!B:K,10,FALSE),0)</f>
        <v>0</v>
      </c>
      <c r="BA51" s="30">
        <f>IF(Tabla145[[#This Row],[Ajuste precio IC]]="",Tabla145[[#This Row],[Precio ponderado]],Tabla145[[#This Row],[Precio ponderado]])</f>
        <v>0</v>
      </c>
      <c r="BB51" s="82"/>
      <c r="BC51" s="82" t="str">
        <f>IF(AND(Tabla145[[#This Row],[Atraso a facturar]]&gt;0,Tabla145[[#This Row],[Precio Atraso]]=0),"Revisar","OK")</f>
        <v>OK</v>
      </c>
      <c r="BD51" s="82" t="str">
        <f>IF(AND(Tabla145[[#This Row],[Venta del mes]]&gt;0,Tabla145[[#This Row],[Precio venta nueva]]=0),"Revisar","OK")</f>
        <v>OK</v>
      </c>
      <c r="BE51" s="20">
        <f>IFERROR(VLOOKUP(Tabla145[[#This Row],[Llave]],'[5]Consolidación planes'!$A:$M,9,FALSE),0)</f>
        <v>72000</v>
      </c>
      <c r="BF51" s="20">
        <f>IFERROR(VLOOKUP(Tabla145[[#This Row],[Llave]],'[5]Consolidación planes'!$A:$M,10,FALSE),0)</f>
        <v>36000</v>
      </c>
      <c r="BG51" s="20">
        <f>IFERROR(VLOOKUP(Tabla145[[#This Row],[Llave]],'[5]Consolidación planes'!$A:$M,11,FALSE),0)</f>
        <v>48000</v>
      </c>
      <c r="BH51" s="20">
        <f>IFERROR(VLOOKUP(Tabla145[[#This Row],[Llave]],'[5]Consolidación planes'!$A:$M,12,FALSE),0)</f>
        <v>24000</v>
      </c>
      <c r="BI51" s="20">
        <f>IFERROR(VLOOKUP(Tabla145[[#This Row],[Llave]],'[5]Consolidación planes'!$A:$M,13,FALSE),0)</f>
        <v>24000</v>
      </c>
      <c r="BJ51" s="20">
        <f>IFERROR(VLOOKUP(Tabla145[[#This Row],[Llave]],'[13]Base ultimos planes'!$A:$M,13,FALSE),0)</f>
        <v>24000</v>
      </c>
      <c r="BK51" s="80">
        <f>IFERROR(VLOOKUP(Tabla145[[#This Row],[Llave]],'[13]Base ultimos planes'!$O:$AA,8,FALSE),0)</f>
        <v>149040</v>
      </c>
      <c r="BL51" s="20">
        <f>IFERROR(VLOOKUP(Tabla145[[#This Row],[Llave]],'[13]Base ultimos planes'!$O:$AA,9,FALSE),0)</f>
        <v>81300</v>
      </c>
      <c r="BM51" s="20">
        <f>IFERROR(VLOOKUP(Tabla145[[#This Row],[Llave]],'[13]Base ultimos planes'!$O:$AA,10,FALSE),0)</f>
        <v>86400</v>
      </c>
      <c r="BN51" s="20">
        <f>IFERROR(VLOOKUP(Tabla145[[#This Row],[Llave]],'[13]Base ultimos planes'!$O:$AA,11,FALSE),0)</f>
        <v>41040</v>
      </c>
      <c r="BO51" s="20">
        <f>IFERROR(VLOOKUP(Tabla145[[#This Row],[Llave]],'[13]Base ultimos planes'!$O:$AA,12,FALSE),0)</f>
        <v>44640</v>
      </c>
      <c r="BP51" s="20">
        <f>IFERROR(VLOOKUP(Tabla145[[#This Row],[Llave]],'[13]Base ultimos planes'!$O:$AA,13,FALSE),0)</f>
        <v>44765</v>
      </c>
      <c r="BQ51" s="20"/>
      <c r="BR51" s="20">
        <f>Tabla145[[#This Row],[ RV Producción mes n+1]]*(1-Tabla145[[#This Row],[% Uti. producción]])</f>
        <v>13139.152431428776</v>
      </c>
      <c r="BS51" s="20">
        <f>+Tabla145[[#This Row],[Producción disponible mes n-1]]+Tabla145[[#This Row],[Saldo Volumen disponible]]</f>
        <v>32326.1</v>
      </c>
      <c r="BT51" s="7">
        <f>IFERROR(VLOOKUP(Tabla145[[#This Row],[Llave]],'[21]RV n+2 y n+3'!$B:$F,4,FALSE),0)</f>
        <v>103647.39599999999</v>
      </c>
      <c r="BU51" s="7">
        <f>+Tabla145[[#This Row],[Asignación mes n+2]]*Tabla145[[#This Row],[% Uti. producción]]</f>
        <v>47387.008692528252</v>
      </c>
      <c r="BV51" s="7">
        <f>+Tabla145[[#This Row],[Ponderación mes n+2]]+Tabla145[[#This Row],[Saldo mes n-1]]</f>
        <v>79713.108692528243</v>
      </c>
      <c r="BW51" s="7">
        <f>+Tabla145[[#This Row],[Asignación mes n+2]]-Tabla145[[#This Row],[Ponderación mes n+2]]</f>
        <v>56260.387307471741</v>
      </c>
      <c r="BX51" s="7">
        <f>IFERROR(VLOOKUP(Tabla145[[#This Row],[Llave]],'[21]RV n+2 y n+3'!$B:$F,5,FALSE),0)</f>
        <v>64482.563000000002</v>
      </c>
      <c r="BY51" s="7">
        <f>+Tabla145[[#This Row],[Asignación mes n+3]]*Tabla145[[#This Row],[% Uti. producción]]</f>
        <v>29481.066493918486</v>
      </c>
      <c r="BZ51" s="3">
        <f>+Tabla145[[#This Row],[Ponderación mes n+3]]+Tabla145[[#This Row],[Saldo mes n+2]]</f>
        <v>85741.45380139022</v>
      </c>
      <c r="CA51" s="3">
        <f>+Tabla145[[#This Row],[Asignación mes n+3]]-Tabla145[[#This Row],[Ponderación mes n+3]]</f>
        <v>35001.496506081516</v>
      </c>
      <c r="CB51" s="3">
        <f>+Tabla145[[#This Row],[Producción disponible mes n-1]]+Tabla145[[#This Row],[Producción disponible]]</f>
        <v>24206</v>
      </c>
      <c r="CC51" s="3">
        <f>+Tabla145[[#This Row],[Saldo mes n+4]]-Tabla145[[#This Row],[ RV Producción mes n+1]]</f>
        <v>0</v>
      </c>
    </row>
    <row r="52" spans="1:81" ht="16" x14ac:dyDescent="0.2">
      <c r="A52">
        <v>1</v>
      </c>
      <c r="B52" t="str">
        <f>Tabla145[[#This Row],[Oficina]]&amp;Tabla145[[#This Row],[Material]]</f>
        <v>Agro Sudamerica1022150</v>
      </c>
      <c r="C52" t="s">
        <v>6</v>
      </c>
      <c r="D52" t="s">
        <v>17</v>
      </c>
      <c r="E52">
        <v>1022150</v>
      </c>
      <c r="F52" t="s">
        <v>45</v>
      </c>
      <c r="G52" t="s">
        <v>11</v>
      </c>
      <c r="H52" t="s">
        <v>41</v>
      </c>
      <c r="I52" s="7">
        <f>IFERROR(VLOOKUP(Tabla145[[#This Row],[Llave]],'[7]RV Producción'!$C:$G,5,FALSE),0)</f>
        <v>164294</v>
      </c>
      <c r="J52" s="3">
        <f>IFERROR(IF(Tabla145[[#This Row],[Oficina]]=$I$7,VLOOKUP(Tabla145[[#This Row],[Llave]],'[7]Shangai (Tomas)'!$A:$F,6,FALSE),VLOOKUP(Tabla145[[#This Row],[Llave]],'[7]RV plan de ventas'!$A:$E,5,FALSE)),0)</f>
        <v>95219</v>
      </c>
      <c r="K52" s="8">
        <f>IFERROR(VLOOKUP(Tabla145[[#This Row],[Oficina]],[15]Ponderación!$B$2:$E$9,4,FALSE),0)</f>
        <v>0.45719439678473212</v>
      </c>
      <c r="L52" s="7">
        <f>+Tabla145[[#This Row],[ RV Producción mes n+1]]*Tabla145[[#This Row],[% Uti. producción]]</f>
        <v>75114.296225350772</v>
      </c>
      <c r="M52" s="7">
        <f>IFERROR(VLOOKUP(Tabla145[[#This Row],[Material]],[16]Stock!$G:$K,5,FALSE),0)</f>
        <v>87128</v>
      </c>
      <c r="N52" s="7">
        <f>IFERROR(VLOOKUP(Tabla145[[#This Row],[Material]],[16]Produccion!$M:$N,2,FALSE),0)</f>
        <v>11644</v>
      </c>
      <c r="O52" s="7">
        <f>IFERROR(VLOOKUP(Tabla145[[#This Row],[Llave]],'[16]TD Conf-AP'!$I:$M,4,FALSE),0)</f>
        <v>0</v>
      </c>
      <c r="P52" s="14">
        <f>SUM(Tabla145[[#This Row],[Producción disponible]],Tabla145[[#This Row],[Stock al día]],(Tabla145[[#This Row],[Por producir mes N]]*0.9))-Tabla145[[#This Row],[Producción por despachar mes N]]</f>
        <v>172721.89622535076</v>
      </c>
      <c r="Q52" s="7">
        <f>IFERROR(VLOOKUP(Tabla145[[#This Row],[Llave]],[17]DELAY!$A:$D,4,FALSE),0)</f>
        <v>168000</v>
      </c>
      <c r="R52" s="9">
        <v>24000</v>
      </c>
      <c r="S52" s="5">
        <f t="shared" si="5"/>
        <v>168000</v>
      </c>
      <c r="T52" s="76">
        <v>-48000</v>
      </c>
      <c r="U52" s="5">
        <f>+Tabla145[[#This Row],[Atraso a facturar]]+Tabla145[[#This Row],[Ajuste atraso]]</f>
        <v>120000</v>
      </c>
      <c r="V52" s="3">
        <f>+Tabla145[[#This Row],[Total disponible]]-Tabla145[[#This Row],[Facturación atraso]]</f>
        <v>52721.896225350763</v>
      </c>
      <c r="W52" s="6">
        <f>IFERROR(IF(AND(V52&gt;R52,J52&gt;=R52),ROUNDDOWN((Tabla145[[#This Row],[Producción para venta nueva]])/R52,0)*R52,0),0)</f>
        <v>48000</v>
      </c>
      <c r="X52" s="76">
        <v>0</v>
      </c>
      <c r="Y52" s="6">
        <f>IF(Tabla145[[#This Row],[Venta del mes]]&gt;0,Tabla145[[#This Row],[Venta del mes]]+Tabla145[[#This Row],[Ajuste venta nueva]],0)</f>
        <v>48000</v>
      </c>
      <c r="Z52" s="6">
        <f>+Tabla145[[#This Row],[Producción para venta nueva]]-Tabla145[[#This Row],[Facturación Venta nueva]]</f>
        <v>4721.8962253507634</v>
      </c>
      <c r="AA52" s="6">
        <f>IF(AND(A52=1,Tabla145[[#This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2" s="6">
        <v>0</v>
      </c>
      <c r="AC52" s="6">
        <f>IF(Tabla145[[#This Row],[Disponible stock sin venta]]&gt;0,Tabla145[[#This Row],[Disponible stock sin venta]]+Tabla145[[#This Row],[Ajuste stock sin venta]],0)</f>
        <v>0</v>
      </c>
      <c r="AD52" s="3">
        <f>IFERROR(VLOOKUP(Tabla145[[#This Row],[Llave]],'[16]TD Puerto'!$A:$D,4,FALSE),0)</f>
        <v>23989.89</v>
      </c>
      <c r="AE52" s="3">
        <v>143989.89000000001</v>
      </c>
      <c r="AF52" s="3">
        <f>+Tabla145[[#This Row],[Plan Irrestricto Inicial]]</f>
        <v>143989.89000000001</v>
      </c>
      <c r="AG52" s="3">
        <f>+Tabla145[[#This Row],[En puerto a facturar]]</f>
        <v>23989.89</v>
      </c>
      <c r="AH52" s="3">
        <f>+Tabla145[[#This Row],[Facturación atraso]]</f>
        <v>120000</v>
      </c>
      <c r="AI52" s="3">
        <f>+Tabla145[[#This Row],[Plan Irrestricto]]-Tabla145[[#This Row],[Puerto ]]-Tabla145[[#This Row],[Atraso]]</f>
        <v>0</v>
      </c>
      <c r="AJ52" s="3">
        <f>IF(Tabla145[[#This Row],[Plan Irrestricto]]&gt;0,SUM(Tabla145[[#This Row],[Facturación atraso]],Tabla145[[#This Row],[Facturación Venta nueva]],Tabla145[[#This Row],[Facturación stock]],Tabla145[[#This Row],[En puerto a facturar]]),0)</f>
        <v>191989.89</v>
      </c>
      <c r="AK52" s="3">
        <f>+Tabla145[[#This Row],[Facturación atraso]]</f>
        <v>120000</v>
      </c>
      <c r="AL52" s="3">
        <f>+Tabla145[[#This Row],[Plan Ajustado]]-Tabla145[[#This Row],[ Atraso ajustado]]-Tabla145[[#This Row],[Puerto ]]</f>
        <v>48000.000000000015</v>
      </c>
      <c r="AM52" s="6">
        <f>IFERROR(VLOOKUP(Tabla145[[#This Row],[Llave]],[18]!Tabla14[#All],34,FALSE),0)</f>
        <v>0</v>
      </c>
      <c r="AN52" s="6">
        <f>IFERROR(VLOOKUP(Tabla145[[#This Row],[Llave]],[18]!Tabla14[#All],35,FALSE),0)</f>
        <v>0</v>
      </c>
      <c r="AO52" s="3" t="str">
        <f>IF(Tabla145[[#This Row],[Plan Ajustado]]&gt;Tabla145[[#This Row],[En puerto a facturar]],"Si","No")</f>
        <v>Si</v>
      </c>
      <c r="AP52" s="3">
        <f>IF(AND(Tabla145[[#This Row],[Plan Ajustado]]&gt;0,Tabla145[[#This Row],[Plan Ajustado]]&gt;Tabla145[[#This Row],[En puerto a facturar]]),(Tabla145[[#This Row],[Plan Ajustado]]-Tabla145[[#This Row],[En puerto a facturar]]),0)</f>
        <v>168000</v>
      </c>
      <c r="AQ52" s="3">
        <f>IF(Tabla145[[#This Row],[Necesidad]]&gt;=Tabla145[[#This Row],[Stock al día]],Tabla145[[#This Row],[Stock al día]],Tabla145[[#This Row],[Necesidad]])</f>
        <v>87128</v>
      </c>
      <c r="AR52" s="3">
        <f>+Tabla145[[#This Row],[Necesidad]]-Tabla145[[#This Row],[Stock Plan]]</f>
        <v>80872</v>
      </c>
      <c r="AS52" s="155">
        <f>IFERROR(VLOOKUP(Tabla145[[#This Row],[Oficina]],[19]Ponderación!$B$14:$E$21,4,FALSE),"")</f>
        <v>44789</v>
      </c>
      <c r="AT5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1.2866759785337001</v>
      </c>
      <c r="AU52" s="83">
        <f>IFERROR(VLOOKUP(Tabla145[[#This Row],[Llave]],[17]DELAY!$H:$W,16,FALSE),0)</f>
        <v>1.3466275797940799</v>
      </c>
      <c r="AV5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1.3316388902307998</v>
      </c>
      <c r="AW52" s="5">
        <f>Tabla145[[#This Row],[Ajuste precio IC]]*Tabla145[[#This Row],[Plan Ajustado]]</f>
        <v>230949.89911430492</v>
      </c>
      <c r="AX52" s="30">
        <f>IFERROR(VLOOKUP(Tabla145[[#This Row],[Llave]],'[13]Ultimos precios facturados'!$A:$G,7,FALSE),0)</f>
        <v>1.1398270374000383</v>
      </c>
      <c r="AY5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0.16828154319648977</v>
      </c>
      <c r="AZ52" s="30">
        <f>IFERROR(VLOOKUP(Tabla145[[#This Row],[Llave]],Hoja2!B:K,10,FALSE),0)</f>
        <v>1.2029273995328864</v>
      </c>
      <c r="BA52" s="30">
        <f>IF(Tabla145[[#This Row],[Ajuste precio IC]]="",Tabla145[[#This Row],[Precio ponderado]],Tabla145[[#This Row],[Precio ponderado]])</f>
        <v>1.3316388902307998</v>
      </c>
      <c r="BB52" s="82"/>
      <c r="BC52" s="82" t="str">
        <f>IF(AND(Tabla145[[#This Row],[Atraso a facturar]]&gt;0,Tabla145[[#This Row],[Precio Atraso]]=0),"Revisar","OK")</f>
        <v>OK</v>
      </c>
      <c r="BD52" s="82" t="str">
        <f>IF(AND(Tabla145[[#This Row],[Venta del mes]]&gt;0,Tabla145[[#This Row],[Precio venta nueva]]=0),"Revisar","OK")</f>
        <v>OK</v>
      </c>
      <c r="BE52" s="20">
        <f>IFERROR(VLOOKUP(Tabla145[[#This Row],[Llave]],'[5]Consolidación planes'!$A:$M,9,FALSE),0)</f>
        <v>120000</v>
      </c>
      <c r="BF52" s="20">
        <f>IFERROR(VLOOKUP(Tabla145[[#This Row],[Llave]],'[5]Consolidación planes'!$A:$M,10,FALSE),0)</f>
        <v>174000</v>
      </c>
      <c r="BG52" s="20">
        <f>IFERROR(VLOOKUP(Tabla145[[#This Row],[Llave]],'[5]Consolidación planes'!$A:$M,11,FALSE),0)</f>
        <v>132000</v>
      </c>
      <c r="BH52" s="20">
        <f>IFERROR(VLOOKUP(Tabla145[[#This Row],[Llave]],'[5]Consolidación planes'!$A:$M,12,FALSE),0)</f>
        <v>96000</v>
      </c>
      <c r="BI52" s="20">
        <f>IFERROR(VLOOKUP(Tabla145[[#This Row],[Llave]],'[5]Consolidación planes'!$A:$M,13,FALSE),0)</f>
        <v>168000</v>
      </c>
      <c r="BJ52" s="20">
        <f>IFERROR(VLOOKUP(Tabla145[[#This Row],[Llave]],'[13]Base ultimos planes'!$A:$M,13,FALSE),0)</f>
        <v>168000</v>
      </c>
      <c r="BK52" s="80">
        <f>IFERROR(VLOOKUP(Tabla145[[#This Row],[Llave]],'[13]Base ultimos planes'!$O:$AA,8,FALSE),0)</f>
        <v>124800</v>
      </c>
      <c r="BL52" s="20">
        <f>IFERROR(VLOOKUP(Tabla145[[#This Row],[Llave]],'[13]Base ultimos planes'!$O:$AA,9,FALSE),0)</f>
        <v>183900</v>
      </c>
      <c r="BM52" s="20">
        <f>IFERROR(VLOOKUP(Tabla145[[#This Row],[Llave]],'[13]Base ultimos planes'!$O:$AA,10,FALSE),0)</f>
        <v>127200</v>
      </c>
      <c r="BN52" s="20">
        <f>IFERROR(VLOOKUP(Tabla145[[#This Row],[Llave]],'[13]Base ultimos planes'!$O:$AA,11,FALSE),0)</f>
        <v>88560</v>
      </c>
      <c r="BO52" s="20">
        <f>IFERROR(VLOOKUP(Tabla145[[#This Row],[Llave]],'[13]Base ultimos planes'!$O:$AA,12,FALSE),0)</f>
        <v>187440</v>
      </c>
      <c r="BP52" s="20">
        <f>IFERROR(VLOOKUP(Tabla145[[#This Row],[Llave]],'[13]Base ultimos planes'!$O:$AA,13,FALSE),0)</f>
        <v>218215</v>
      </c>
      <c r="BQ52" s="20"/>
      <c r="BR52" s="20">
        <f>Tabla145[[#This Row],[ RV Producción mes n+1]]*(1-Tabla145[[#This Row],[% Uti. producción]])</f>
        <v>89179.703774649228</v>
      </c>
      <c r="BS52" s="20">
        <f>+Tabla145[[#This Row],[Producción disponible mes n-1]]+Tabla145[[#This Row],[Saldo Volumen disponible]]</f>
        <v>93901.599999999991</v>
      </c>
      <c r="BT52" s="7">
        <f>IFERROR(VLOOKUP(Tabla145[[#This Row],[Llave]],'[21]RV n+2 y n+3'!$B:$F,4,FALSE),0)</f>
        <v>119999.9996</v>
      </c>
      <c r="BU52" s="7">
        <f>+Tabla145[[#This Row],[Asignación mes n+2]]*Tabla145[[#This Row],[% Uti. producción]]</f>
        <v>54863.32743129009</v>
      </c>
      <c r="BV52" s="7">
        <f>+Tabla145[[#This Row],[Ponderación mes n+2]]+Tabla145[[#This Row],[Saldo mes n-1]]</f>
        <v>148764.9274312901</v>
      </c>
      <c r="BW52" s="7">
        <f>+Tabla145[[#This Row],[Asignación mes n+2]]-Tabla145[[#This Row],[Ponderación mes n+2]]</f>
        <v>65136.672168709905</v>
      </c>
      <c r="BX52" s="7">
        <f>IFERROR(VLOOKUP(Tabla145[[#This Row],[Llave]],'[21]RV n+2 y n+3'!$B:$F,5,FALSE),0)</f>
        <v>51084.105000000003</v>
      </c>
      <c r="BY52" s="7">
        <f>+Tabla145[[#This Row],[Asignación mes n+3]]*Tabla145[[#This Row],[% Uti. producción]]</f>
        <v>23355.366570762919</v>
      </c>
      <c r="BZ52" s="3">
        <f>+Tabla145[[#This Row],[Ponderación mes n+3]]+Tabla145[[#This Row],[Saldo mes n+2]]</f>
        <v>88492.038739472831</v>
      </c>
      <c r="CA52" s="3">
        <f>+Tabla145[[#This Row],[Asignación mes n+3]]-Tabla145[[#This Row],[Ponderación mes n+3]]</f>
        <v>27728.738429237084</v>
      </c>
      <c r="CB52" s="3">
        <f>+Tabla145[[#This Row],[Producción disponible mes n-1]]+Tabla145[[#This Row],[Producción disponible]]</f>
        <v>164294</v>
      </c>
      <c r="CC52" s="3">
        <f>+Tabla145[[#This Row],[Saldo mes n+4]]-Tabla145[[#This Row],[ RV Producción mes n+1]]</f>
        <v>0</v>
      </c>
    </row>
    <row r="53" spans="1:81" ht="16" x14ac:dyDescent="0.2">
      <c r="A53">
        <v>1</v>
      </c>
      <c r="B53" t="str">
        <f>Tabla145[[#This Row],[Oficina]]&amp;Tabla145[[#This Row],[Material]]</f>
        <v>Agro Sudamerica1022196</v>
      </c>
      <c r="C53" t="s">
        <v>6</v>
      </c>
      <c r="D53" t="s">
        <v>17</v>
      </c>
      <c r="E53">
        <v>1022196</v>
      </c>
      <c r="F53" t="s">
        <v>31</v>
      </c>
      <c r="G53" t="s">
        <v>8</v>
      </c>
      <c r="H53" t="s">
        <v>30</v>
      </c>
      <c r="I53" s="7">
        <f>IFERROR(VLOOKUP(Tabla145[[#This Row],[Llave]],'[7]RV Producción'!$C:$G,5,FALSE),0)</f>
        <v>48306</v>
      </c>
      <c r="J53" s="3">
        <f>IFERROR(IF(Tabla145[[#This Row],[Oficina]]=$I$7,VLOOKUP(Tabla145[[#This Row],[Llave]],'[7]Shangai (Tomas)'!$A:$F,6,FALSE),VLOOKUP(Tabla145[[#This Row],[Llave]],'[7]RV plan de ventas'!$A:$E,5,FALSE)),0)</f>
        <v>48000</v>
      </c>
      <c r="K53" s="8">
        <f>IFERROR(VLOOKUP(Tabla145[[#This Row],[Oficina]],[15]Ponderación!$B$2:$E$9,4,FALSE),0)</f>
        <v>0.45719439678473212</v>
      </c>
      <c r="L53" s="7">
        <f>+Tabla145[[#This Row],[ RV Producción mes n+1]]*Tabla145[[#This Row],[% Uti. producción]]</f>
        <v>22085.232531083271</v>
      </c>
      <c r="M53" s="7">
        <f>IFERROR(VLOOKUP(Tabla145[[#This Row],[Material]],[16]Stock!$G:$K,5,FALSE),0)</f>
        <v>42169</v>
      </c>
      <c r="N53" s="7">
        <f>IFERROR(VLOOKUP(Tabla145[[#This Row],[Material]],[16]Produccion!$M:$N,2,FALSE),0)</f>
        <v>59009</v>
      </c>
      <c r="O53" s="7">
        <f>IFERROR(VLOOKUP(Tabla145[[#This Row],[Llave]],'[16]TD Conf-AP'!$I:$M,4,FALSE),0)</f>
        <v>0</v>
      </c>
      <c r="P53" s="14">
        <f>SUM(Tabla145[[#This Row],[Producción disponible]],Tabla145[[#This Row],[Stock al día]],(Tabla145[[#This Row],[Por producir mes N]]*0.9))-Tabla145[[#This Row],[Producción por despachar mes N]]</f>
        <v>117362.33253108326</v>
      </c>
      <c r="Q53" s="7">
        <f>IFERROR(VLOOKUP(Tabla145[[#This Row],[Llave]],[17]DELAY!$A:$D,4,FALSE),0)</f>
        <v>143800</v>
      </c>
      <c r="R53" s="9">
        <v>24000</v>
      </c>
      <c r="S53" s="5">
        <f t="shared" si="5"/>
        <v>96000</v>
      </c>
      <c r="T53" s="76">
        <v>0</v>
      </c>
      <c r="U53" s="5">
        <f>+Tabla145[[#This Row],[Atraso a facturar]]+Tabla145[[#This Row],[Ajuste atraso]]</f>
        <v>96000</v>
      </c>
      <c r="V53" s="3">
        <f>+Tabla145[[#This Row],[Total disponible]]-Tabla145[[#This Row],[Facturación atraso]]</f>
        <v>21362.332531083259</v>
      </c>
      <c r="W53" s="6">
        <f>IFERROR(IF(AND(V53&gt;R53,J53&gt;=R53),ROUNDDOWN((Tabla145[[#This Row],[Producción para venta nueva]])/R53,0)*R53,0),0)</f>
        <v>0</v>
      </c>
      <c r="X53" s="76">
        <v>0</v>
      </c>
      <c r="Y53" s="6">
        <f>IF(Tabla145[[#This Row],[Venta del mes]]&gt;0,Tabla145[[#This Row],[Venta del mes]]+Tabla145[[#This Row],[Ajuste venta nueva]],0)</f>
        <v>0</v>
      </c>
      <c r="Z53" s="6">
        <f>+Tabla145[[#This Row],[Producción para venta nueva]]-Tabla145[[#This Row],[Facturación Venta nueva]]</f>
        <v>21362.332531083259</v>
      </c>
      <c r="AA53" s="6">
        <f>IF(AND(A53=1,Tabla145[[#This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3" s="6">
        <v>0</v>
      </c>
      <c r="AC53" s="6">
        <f>IF(Tabla145[[#This Row],[Disponible stock sin venta]]&gt;0,Tabla145[[#This Row],[Disponible stock sin venta]]+Tabla145[[#This Row],[Ajuste stock sin venta]],0)</f>
        <v>0</v>
      </c>
      <c r="AD53" s="3">
        <f>IFERROR(VLOOKUP(Tabla145[[#This Row],[Llave]],'[16]TD Puerto'!$A:$D,4,FALSE),0)</f>
        <v>0</v>
      </c>
      <c r="AE53" s="3">
        <v>96000</v>
      </c>
      <c r="AF53" s="3">
        <f>+Tabla145[[#This Row],[Plan Irrestricto Inicial]]</f>
        <v>96000</v>
      </c>
      <c r="AG53" s="3">
        <f>+Tabla145[[#This Row],[En puerto a facturar]]</f>
        <v>0</v>
      </c>
      <c r="AH53" s="3">
        <f>+Tabla145[[#This Row],[Facturación atraso]]</f>
        <v>96000</v>
      </c>
      <c r="AI53" s="3">
        <f>+Tabla145[[#This Row],[Plan Irrestricto]]-Tabla145[[#This Row],[Puerto ]]-Tabla145[[#This Row],[Atraso]]</f>
        <v>0</v>
      </c>
      <c r="AJ53" s="3">
        <f>IF(Tabla145[[#This Row],[Plan Irrestricto]]&gt;0,SUM(Tabla145[[#This Row],[Facturación atraso]],Tabla145[[#This Row],[Facturación Venta nueva]],Tabla145[[#This Row],[Facturación stock]],Tabla145[[#This Row],[En puerto a facturar]]),0)</f>
        <v>96000</v>
      </c>
      <c r="AK53" s="3">
        <f>+Tabla145[[#This Row],[Facturación atraso]]</f>
        <v>96000</v>
      </c>
      <c r="AL53" s="3">
        <f>+Tabla145[[#This Row],[Plan Ajustado]]-Tabla145[[#This Row],[ Atraso ajustado]]-Tabla145[[#This Row],[Puerto ]]</f>
        <v>0</v>
      </c>
      <c r="AM53" s="6">
        <f>IFERROR(VLOOKUP(Tabla145[[#This Row],[Llave]],[18]!Tabla14[#All],34,FALSE),0)</f>
        <v>0</v>
      </c>
      <c r="AN53" s="6">
        <f>IFERROR(VLOOKUP(Tabla145[[#This Row],[Llave]],[18]!Tabla14[#All],35,FALSE),0)</f>
        <v>0</v>
      </c>
      <c r="AO53" s="3" t="str">
        <f>IF(Tabla145[[#This Row],[Plan Ajustado]]&gt;Tabla145[[#This Row],[En puerto a facturar]],"Si","No")</f>
        <v>Si</v>
      </c>
      <c r="AP53" s="3">
        <f>IF(AND(Tabla145[[#This Row],[Plan Ajustado]]&gt;0,Tabla145[[#This Row],[Plan Ajustado]]&gt;Tabla145[[#This Row],[En puerto a facturar]]),(Tabla145[[#This Row],[Plan Ajustado]]-Tabla145[[#This Row],[En puerto a facturar]]),0)</f>
        <v>96000</v>
      </c>
      <c r="AQ53" s="3">
        <f>IF(Tabla145[[#This Row],[Necesidad]]&gt;=Tabla145[[#This Row],[Stock al día]],Tabla145[[#This Row],[Stock al día]],Tabla145[[#This Row],[Necesidad]])</f>
        <v>42169</v>
      </c>
      <c r="AR53" s="3">
        <f>+Tabla145[[#This Row],[Necesidad]]-Tabla145[[#This Row],[Stock Plan]]</f>
        <v>53831</v>
      </c>
      <c r="AS53" s="155">
        <f>IFERROR(VLOOKUP(Tabla145[[#This Row],[Oficina]],[19]Ponderación!$B$14:$E$21,4,FALSE),"")</f>
        <v>44789</v>
      </c>
      <c r="AT5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1.1866666666666701</v>
      </c>
      <c r="AU53" s="83">
        <f>IFERROR(VLOOKUP(Tabla145[[#This Row],[Llave]],[17]DELAY!$H:$W,16,FALSE),0)</f>
        <v>1.0811543810848436</v>
      </c>
      <c r="AV5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1.0811543810848436</v>
      </c>
      <c r="AW53" s="5">
        <f>Tabla145[[#This Row],[Ajuste precio IC]]*Tabla145[[#This Row],[Plan Ajustado]]</f>
        <v>77920</v>
      </c>
      <c r="AX53" s="30">
        <f>IFERROR(VLOOKUP(Tabla145[[#This Row],[Llave]],'[13]Ultimos precios facturados'!$A:$G,7,FALSE),0)</f>
        <v>0.71656003675645841</v>
      </c>
      <c r="AY5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0.50881199847362146</v>
      </c>
      <c r="AZ53" s="30">
        <f>IFERROR(VLOOKUP(Tabla145[[#This Row],[Llave]],Hoja2!B:K,10,FALSE),0)</f>
        <v>0.81166666666666665</v>
      </c>
      <c r="BA53" s="30">
        <f>IF(Tabla145[[#This Row],[Ajuste precio IC]]="",Tabla145[[#This Row],[Precio ponderado]],Tabla145[[#This Row],[Precio ponderado]])</f>
        <v>1.0811543810848436</v>
      </c>
      <c r="BB53" s="82"/>
      <c r="BC53" s="82" t="str">
        <f>IF(AND(Tabla145[[#This Row],[Atraso a facturar]]&gt;0,Tabla145[[#This Row],[Precio Atraso]]=0),"Revisar","OK")</f>
        <v>OK</v>
      </c>
      <c r="BD53" s="82" t="str">
        <f>IF(AND(Tabla145[[#This Row],[Venta del mes]]&gt;0,Tabla145[[#This Row],[Precio venta nueva]]=0),"Revisar","OK")</f>
        <v>OK</v>
      </c>
      <c r="BE53" s="20">
        <f>IFERROR(VLOOKUP(Tabla145[[#This Row],[Llave]],'[5]Consolidación planes'!$A:$M,9,FALSE),0)</f>
        <v>0</v>
      </c>
      <c r="BF53" s="20">
        <f>IFERROR(VLOOKUP(Tabla145[[#This Row],[Llave]],'[5]Consolidación planes'!$A:$M,10,FALSE),0)</f>
        <v>24000</v>
      </c>
      <c r="BG53" s="20">
        <f>IFERROR(VLOOKUP(Tabla145[[#This Row],[Llave]],'[5]Consolidación planes'!$A:$M,11,FALSE),0)</f>
        <v>48000</v>
      </c>
      <c r="BH53" s="20">
        <f>IFERROR(VLOOKUP(Tabla145[[#This Row],[Llave]],'[5]Consolidación planes'!$A:$M,12,FALSE),0)</f>
        <v>0</v>
      </c>
      <c r="BI53" s="20">
        <f>IFERROR(VLOOKUP(Tabla145[[#This Row],[Llave]],'[5]Consolidación planes'!$A:$M,13,FALSE),0)</f>
        <v>24000</v>
      </c>
      <c r="BJ53" s="20">
        <f>IFERROR(VLOOKUP(Tabla145[[#This Row],[Llave]],'[13]Base ultimos planes'!$A:$M,13,FALSE),0)</f>
        <v>24000</v>
      </c>
      <c r="BK53" s="80">
        <f>IFERROR(VLOOKUP(Tabla145[[#This Row],[Llave]],'[13]Base ultimos planes'!$O:$AA,8,FALSE),0)</f>
        <v>0</v>
      </c>
      <c r="BL53" s="20">
        <f>IFERROR(VLOOKUP(Tabla145[[#This Row],[Llave]],'[13]Base ultimos planes'!$O:$AA,9,FALSE),0)</f>
        <v>15600</v>
      </c>
      <c r="BM53" s="20">
        <f>IFERROR(VLOOKUP(Tabla145[[#This Row],[Llave]],'[13]Base ultimos planes'!$O:$AA,10,FALSE),0)</f>
        <v>31200</v>
      </c>
      <c r="BN53" s="20">
        <f>IFERROR(VLOOKUP(Tabla145[[#This Row],[Llave]],'[13]Base ultimos planes'!$O:$AA,11,FALSE),0)</f>
        <v>0</v>
      </c>
      <c r="BO53" s="20">
        <f>IFERROR(VLOOKUP(Tabla145[[#This Row],[Llave]],'[13]Base ultimos planes'!$O:$AA,12,FALSE),0)</f>
        <v>10800</v>
      </c>
      <c r="BP53" s="20">
        <f>IFERROR(VLOOKUP(Tabla145[[#This Row],[Llave]],'[13]Base ultimos planes'!$O:$AA,13,FALSE),0)</f>
        <v>16440</v>
      </c>
      <c r="BQ53" s="20"/>
      <c r="BR53" s="20">
        <f>Tabla145[[#This Row],[ RV Producción mes n+1]]*(1-Tabla145[[#This Row],[% Uti. producción]])</f>
        <v>26220.767468916732</v>
      </c>
      <c r="BS53" s="20">
        <f>+Tabla145[[#This Row],[Producción disponible mes n-1]]+Tabla145[[#This Row],[Saldo Volumen disponible]]</f>
        <v>47583.099999999991</v>
      </c>
      <c r="BT53" s="7">
        <f>IFERROR(VLOOKUP(Tabla145[[#This Row],[Llave]],'[21]RV n+2 y n+3'!$B:$F,4,FALSE),0)</f>
        <v>96000</v>
      </c>
      <c r="BU53" s="7">
        <f>+Tabla145[[#This Row],[Asignación mes n+2]]*Tabla145[[#This Row],[% Uti. producción]]</f>
        <v>43890.662091334285</v>
      </c>
      <c r="BV53" s="7">
        <f>+Tabla145[[#This Row],[Ponderación mes n+2]]+Tabla145[[#This Row],[Saldo mes n-1]]</f>
        <v>91473.762091334269</v>
      </c>
      <c r="BW53" s="7">
        <f>+Tabla145[[#This Row],[Asignación mes n+2]]-Tabla145[[#This Row],[Ponderación mes n+2]]</f>
        <v>52109.337908665715</v>
      </c>
      <c r="BX53" s="7">
        <f>IFERROR(VLOOKUP(Tabla145[[#This Row],[Llave]],'[21]RV n+2 y n+3'!$B:$F,5,FALSE),0)</f>
        <v>25348.416000000001</v>
      </c>
      <c r="BY53" s="7">
        <f>+Tabla145[[#This Row],[Asignación mes n+3]]*Tabla145[[#This Row],[% Uti. producción]]</f>
        <v>11589.153762568452</v>
      </c>
      <c r="BZ53" s="3">
        <f>+Tabla145[[#This Row],[Ponderación mes n+3]]+Tabla145[[#This Row],[Saldo mes n+2]]</f>
        <v>63698.491671234166</v>
      </c>
      <c r="CA53" s="3">
        <f>+Tabla145[[#This Row],[Asignación mes n+3]]-Tabla145[[#This Row],[Ponderación mes n+3]]</f>
        <v>13759.262237431549</v>
      </c>
      <c r="CB53" s="3">
        <f>+Tabla145[[#This Row],[Producción disponible mes n-1]]+Tabla145[[#This Row],[Producción disponible]]</f>
        <v>48306</v>
      </c>
      <c r="CC53" s="3">
        <f>+Tabla145[[#This Row],[Saldo mes n+4]]-Tabla145[[#This Row],[ RV Producción mes n+1]]</f>
        <v>0</v>
      </c>
    </row>
    <row r="54" spans="1:81" ht="16" x14ac:dyDescent="0.2">
      <c r="A54">
        <v>1</v>
      </c>
      <c r="B54" t="str">
        <f>Tabla145[[#This Row],[Oficina]]&amp;Tabla145[[#This Row],[Material]]</f>
        <v>Agro Sudamerica1022197</v>
      </c>
      <c r="C54" t="s">
        <v>6</v>
      </c>
      <c r="D54" t="s">
        <v>17</v>
      </c>
      <c r="E54">
        <v>1022197</v>
      </c>
      <c r="F54" t="s">
        <v>300</v>
      </c>
      <c r="G54" t="s">
        <v>8</v>
      </c>
      <c r="H54" t="s">
        <v>30</v>
      </c>
      <c r="I54" s="7">
        <f>IFERROR(VLOOKUP(Tabla145[[#This Row],[Llave]],'[7]RV Producción'!$C:$G,5,FALSE),0)</f>
        <v>0</v>
      </c>
      <c r="J54" s="3">
        <f>IFERROR(IF(Tabla145[[#This Row],[Oficina]]=$I$7,VLOOKUP(Tabla145[[#This Row],[Llave]],'[7]Shangai (Tomas)'!$A:$F,6,FALSE),VLOOKUP(Tabla145[[#This Row],[Llave]],'[7]RV plan de ventas'!$A:$E,5,FALSE)),0)</f>
        <v>0</v>
      </c>
      <c r="K54" s="8">
        <f>IFERROR(VLOOKUP(Tabla145[[#This Row],[Oficina]],[15]Ponderación!$B$2:$E$9,4,FALSE),0)</f>
        <v>0.45719439678473212</v>
      </c>
      <c r="L54" s="7">
        <f>+Tabla145[[#This Row],[ RV Producción mes n+1]]*Tabla145[[#This Row],[% Uti. producción]]</f>
        <v>0</v>
      </c>
      <c r="M54" s="7">
        <f>IFERROR(VLOOKUP(Tabla145[[#This Row],[Material]],[16]Stock!$G:$K,5,FALSE),0)</f>
        <v>14151</v>
      </c>
      <c r="N54" s="7">
        <f>IFERROR(VLOOKUP(Tabla145[[#This Row],[Material]],[16]Produccion!$M:$N,2,FALSE),0)</f>
        <v>0</v>
      </c>
      <c r="O54" s="7">
        <f>IFERROR(VLOOKUP(Tabla145[[#This Row],[Llave]],'[16]TD Conf-AP'!$I:$M,4,FALSE),0)</f>
        <v>0</v>
      </c>
      <c r="P54" s="14">
        <f>SUM(Tabla145[[#This Row],[Producción disponible]],Tabla145[[#This Row],[Stock al día]],(Tabla145[[#This Row],[Por producir mes N]]*0.9))-Tabla145[[#This Row],[Producción por despachar mes N]]</f>
        <v>14151</v>
      </c>
      <c r="Q54" s="7">
        <f>IFERROR(VLOOKUP(Tabla145[[#This Row],[Llave]],[17]DELAY!$A:$D,4,FALSE),0)</f>
        <v>4698</v>
      </c>
      <c r="R54" s="9">
        <v>24000</v>
      </c>
      <c r="S54" s="5">
        <f t="shared" si="5"/>
        <v>4698</v>
      </c>
      <c r="T54" s="76">
        <v>0</v>
      </c>
      <c r="U54" s="5">
        <f>+Tabla145[[#This Row],[Atraso a facturar]]+Tabla145[[#This Row],[Ajuste atraso]]</f>
        <v>4698</v>
      </c>
      <c r="V54" s="3">
        <f>+Tabla145[[#This Row],[Total disponible]]-Tabla145[[#This Row],[Facturación atraso]]</f>
        <v>9453</v>
      </c>
      <c r="W54" s="6">
        <f>IFERROR(IF(AND(V54&gt;R54,J54&gt;=R54),ROUNDDOWN((Tabla145[[#This Row],[Producción para venta nueva]])/R54,0)*R54,0),0)</f>
        <v>0</v>
      </c>
      <c r="X54" s="76">
        <v>0</v>
      </c>
      <c r="Y54" s="6">
        <f>IF(Tabla145[[#This Row],[Venta del mes]]&gt;0,Tabla145[[#This Row],[Venta del mes]]+Tabla145[[#This Row],[Ajuste venta nueva]],0)</f>
        <v>0</v>
      </c>
      <c r="Z54" s="6">
        <f>+Tabla145[[#This Row],[Producción para venta nueva]]-Tabla145[[#This Row],[Facturación Venta nueva]]</f>
        <v>9453</v>
      </c>
      <c r="AA54" s="33">
        <f>IF(AND(A54=1,Tabla145[[#This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4" s="33">
        <v>0</v>
      </c>
      <c r="AC54" s="33">
        <f>IF(Tabla145[[#This Row],[Disponible stock sin venta]]&gt;0,Tabla145[[#This Row],[Disponible stock sin venta]]+Tabla145[[#This Row],[Ajuste stock sin venta]],0)</f>
        <v>0</v>
      </c>
      <c r="AD54" s="3">
        <f>IFERROR(VLOOKUP(Tabla145[[#This Row],[Llave]],'[16]TD Puerto'!$A:$D,4,FALSE),0)</f>
        <v>0</v>
      </c>
      <c r="AE54" s="3">
        <v>4698</v>
      </c>
      <c r="AF54" s="3">
        <f>+Tabla145[[#This Row],[Plan Irrestricto Inicial]]</f>
        <v>4698</v>
      </c>
      <c r="AG54" s="3">
        <f>+Tabla145[[#This Row],[En puerto a facturar]]</f>
        <v>0</v>
      </c>
      <c r="AH54" s="3">
        <f>+Tabla145[[#This Row],[Facturación atraso]]</f>
        <v>4698</v>
      </c>
      <c r="AI54" s="3">
        <f>+Tabla145[[#This Row],[Plan Irrestricto]]-Tabla145[[#This Row],[Puerto ]]-Tabla145[[#This Row],[Atraso]]</f>
        <v>0</v>
      </c>
      <c r="AJ54" s="3">
        <f>IF(Tabla145[[#This Row],[Plan Irrestricto]]&gt;0,SUM(Tabla145[[#This Row],[Facturación atraso]],Tabla145[[#This Row],[Facturación Venta nueva]],Tabla145[[#This Row],[Facturación stock]],Tabla145[[#This Row],[En puerto a facturar]]),0)</f>
        <v>4698</v>
      </c>
      <c r="AK54" s="3">
        <f>+Tabla145[[#This Row],[Facturación atraso]]</f>
        <v>4698</v>
      </c>
      <c r="AL54" s="3">
        <f>+Tabla145[[#This Row],[Plan Ajustado]]-Tabla145[[#This Row],[ Atraso ajustado]]-Tabla145[[#This Row],[Puerto ]]</f>
        <v>0</v>
      </c>
      <c r="AM54" s="6">
        <f>IFERROR(VLOOKUP(Tabla145[[#This Row],[Llave]],[18]!Tabla14[#All],34,FALSE),0)</f>
        <v>0</v>
      </c>
      <c r="AN54" s="6">
        <f>IFERROR(VLOOKUP(Tabla145[[#This Row],[Llave]],[18]!Tabla14[#All],35,FALSE),0)</f>
        <v>0</v>
      </c>
      <c r="AO54" s="3" t="str">
        <f>IF(Tabla145[[#This Row],[Plan Ajustado]]&gt;Tabla145[[#This Row],[En puerto a facturar]],"Si","No")</f>
        <v>Si</v>
      </c>
      <c r="AP54" s="3">
        <f>IF(AND(Tabla145[[#This Row],[Plan Ajustado]]&gt;0,Tabla145[[#This Row],[Plan Ajustado]]&gt;Tabla145[[#This Row],[En puerto a facturar]]),(Tabla145[[#This Row],[Plan Ajustado]]-Tabla145[[#This Row],[En puerto a facturar]]),0)</f>
        <v>4698</v>
      </c>
      <c r="AQ54" s="3">
        <f>IF(Tabla145[[#This Row],[Necesidad]]&gt;=Tabla145[[#This Row],[Stock al día]],Tabla145[[#This Row],[Stock al día]],Tabla145[[#This Row],[Necesidad]])</f>
        <v>4698</v>
      </c>
      <c r="AR54" s="3">
        <f>+Tabla145[[#This Row],[Necesidad]]-Tabla145[[#This Row],[Stock Plan]]</f>
        <v>0</v>
      </c>
      <c r="AS54" s="155">
        <f>IFERROR(VLOOKUP(Tabla145[[#This Row],[Oficina]],[19]Ponderación!$B$14:$E$21,4,FALSE),"")</f>
        <v>44789</v>
      </c>
      <c r="AT5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0.8368374268383223</v>
      </c>
      <c r="AU54" s="83">
        <f>IFERROR(VLOOKUP(Tabla145[[#This Row],[Llave]],[17]DELAY!$H:$W,16,FALSE),0)</f>
        <v>0.52987190293742004</v>
      </c>
      <c r="AV5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0.52987190293742004</v>
      </c>
      <c r="AW54" s="5">
        <f>Tabla145[[#This Row],[Ajuste precio IC]]*Tabla145[[#This Row],[Plan Ajustado]]</f>
        <v>2349</v>
      </c>
      <c r="AX54" s="30">
        <f>IFERROR(VLOOKUP(Tabla145[[#This Row],[Llave]],'[13]Ultimos precios facturados'!$A:$G,7,FALSE),0)</f>
        <v>0.8368374268383223</v>
      </c>
      <c r="AY5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0.36681619876952309</v>
      </c>
      <c r="AZ54" s="30">
        <f>IFERROR(VLOOKUP(Tabla145[[#This Row],[Llave]],Hoja2!B:K,10,FALSE),0)</f>
        <v>0.5</v>
      </c>
      <c r="BA54" s="30">
        <f>IF(Tabla145[[#This Row],[Ajuste precio IC]]="",Tabla145[[#This Row],[Precio ponderado]],Tabla145[[#This Row],[Precio ponderado]])</f>
        <v>0.52987190293742004</v>
      </c>
      <c r="BB54" s="82"/>
      <c r="BC54" s="82" t="str">
        <f>IF(AND(Tabla145[[#This Row],[Atraso a facturar]]&gt;0,Tabla145[[#This Row],[Precio Atraso]]=0),"Revisar","OK")</f>
        <v>OK</v>
      </c>
      <c r="BD54" s="82" t="str">
        <f>IF(AND(Tabla145[[#This Row],[Venta del mes]]&gt;0,Tabla145[[#This Row],[Precio venta nueva]]=0),"Revisar","OK")</f>
        <v>OK</v>
      </c>
      <c r="BE54" s="20">
        <f>IFERROR(VLOOKUP(Tabla145[[#This Row],[Llave]],'[5]Consolidación planes'!$A:$M,9,FALSE),0)</f>
        <v>0</v>
      </c>
      <c r="BF54" s="20">
        <f>IFERROR(VLOOKUP(Tabla145[[#This Row],[Llave]],'[5]Consolidación planes'!$A:$M,10,FALSE),0)</f>
        <v>0</v>
      </c>
      <c r="BG54" s="20">
        <f>IFERROR(VLOOKUP(Tabla145[[#This Row],[Llave]],'[5]Consolidación planes'!$A:$M,11,FALSE),0)</f>
        <v>24000</v>
      </c>
      <c r="BH54" s="20">
        <f>IFERROR(VLOOKUP(Tabla145[[#This Row],[Llave]],'[5]Consolidación planes'!$A:$M,12,FALSE),0)</f>
        <v>24000</v>
      </c>
      <c r="BI54" s="20">
        <f>IFERROR(VLOOKUP(Tabla145[[#This Row],[Llave]],'[5]Consolidación planes'!$A:$M,13,FALSE),0)</f>
        <v>0</v>
      </c>
      <c r="BJ54" s="20">
        <f>IFERROR(VLOOKUP(Tabla145[[#This Row],[Llave]],'[13]Base ultimos planes'!$A:$M,13,FALSE),0)</f>
        <v>0</v>
      </c>
      <c r="BK54" s="80">
        <f>IFERROR(VLOOKUP(Tabla145[[#This Row],[Llave]],'[13]Base ultimos planes'!$O:$AA,8,FALSE),0)</f>
        <v>0</v>
      </c>
      <c r="BL54" s="20">
        <f>IFERROR(VLOOKUP(Tabla145[[#This Row],[Llave]],'[13]Base ultimos planes'!$O:$AA,9,FALSE),0)</f>
        <v>0</v>
      </c>
      <c r="BM54" s="20">
        <f>IFERROR(VLOOKUP(Tabla145[[#This Row],[Llave]],'[13]Base ultimos planes'!$O:$AA,10,FALSE),0)</f>
        <v>21600</v>
      </c>
      <c r="BN54" s="20">
        <f>IFERROR(VLOOKUP(Tabla145[[#This Row],[Llave]],'[13]Base ultimos planes'!$O:$AA,11,FALSE),0)</f>
        <v>18240</v>
      </c>
      <c r="BO54" s="20">
        <f>IFERROR(VLOOKUP(Tabla145[[#This Row],[Llave]],'[13]Base ultimos planes'!$O:$AA,12,FALSE),0)</f>
        <v>0</v>
      </c>
      <c r="BP54" s="20">
        <f>IFERROR(VLOOKUP(Tabla145[[#This Row],[Llave]],'[13]Base ultimos planes'!$O:$AA,13,FALSE),0)</f>
        <v>0</v>
      </c>
      <c r="BQ54" s="20"/>
      <c r="BR54" s="20">
        <f>Tabla145[[#This Row],[ RV Producción mes n+1]]*(1-Tabla145[[#This Row],[% Uti. producción]])</f>
        <v>0</v>
      </c>
      <c r="BS54" s="20">
        <f>+Tabla145[[#This Row],[Producción disponible mes n-1]]+Tabla145[[#This Row],[Saldo Volumen disponible]]</f>
        <v>9453</v>
      </c>
      <c r="BT54" s="7">
        <f>IFERROR(VLOOKUP(Tabla145[[#This Row],[Llave]],'[21]RV n+2 y n+3'!$B:$F,4,FALSE),0)</f>
        <v>0</v>
      </c>
      <c r="BU54" s="7">
        <f>+Tabla145[[#This Row],[Asignación mes n+2]]*Tabla145[[#This Row],[% Uti. producción]]</f>
        <v>0</v>
      </c>
      <c r="BV54" s="7">
        <f>+Tabla145[[#This Row],[Ponderación mes n+2]]+Tabla145[[#This Row],[Saldo mes n-1]]</f>
        <v>9453</v>
      </c>
      <c r="BW54" s="7">
        <f>+Tabla145[[#This Row],[Asignación mes n+2]]-Tabla145[[#This Row],[Ponderación mes n+2]]</f>
        <v>0</v>
      </c>
      <c r="BX54" s="7">
        <f>IFERROR(VLOOKUP(Tabla145[[#This Row],[Llave]],'[21]RV n+2 y n+3'!$B:$F,5,FALSE),0)</f>
        <v>0</v>
      </c>
      <c r="BY54" s="7">
        <f>+Tabla145[[#This Row],[Asignación mes n+3]]*Tabla145[[#This Row],[% Uti. producción]]</f>
        <v>0</v>
      </c>
      <c r="BZ54" s="3">
        <f>+Tabla145[[#This Row],[Ponderación mes n+3]]+Tabla145[[#This Row],[Saldo mes n+2]]</f>
        <v>0</v>
      </c>
      <c r="CA54" s="3">
        <f>+Tabla145[[#This Row],[Asignación mes n+3]]-Tabla145[[#This Row],[Ponderación mes n+3]]</f>
        <v>0</v>
      </c>
      <c r="CB54" s="3">
        <f>+Tabla145[[#This Row],[Producción disponible mes n-1]]+Tabla145[[#This Row],[Producción disponible]]</f>
        <v>0</v>
      </c>
      <c r="CC54" s="3">
        <f>+Tabla145[[#This Row],[Saldo mes n+4]]-Tabla145[[#This Row],[ RV Producción mes n+1]]</f>
        <v>0</v>
      </c>
    </row>
    <row r="55" spans="1:81" ht="16" x14ac:dyDescent="0.2">
      <c r="A55">
        <v>1</v>
      </c>
      <c r="B55" t="str">
        <f>Tabla145[[#This Row],[Oficina]]&amp;Tabla145[[#This Row],[Material]]</f>
        <v>Agro Sudamerica1022247</v>
      </c>
      <c r="C55" t="s">
        <v>6</v>
      </c>
      <c r="D55" t="s">
        <v>17</v>
      </c>
      <c r="E55">
        <v>1022247</v>
      </c>
      <c r="F55" t="s">
        <v>315</v>
      </c>
      <c r="G55" t="s">
        <v>71</v>
      </c>
      <c r="H55" t="s">
        <v>72</v>
      </c>
      <c r="I55" s="7">
        <f>IFERROR(VLOOKUP(Tabla145[[#This Row],[Llave]],'[7]RV Producción'!$C:$G,5,FALSE),0)</f>
        <v>0</v>
      </c>
      <c r="J55" s="3">
        <f>IFERROR(IF(Tabla145[[#This Row],[Oficina]]=$I$7,VLOOKUP(Tabla145[[#This Row],[Llave]],'[7]Shangai (Tomas)'!$A:$F,6,FALSE),VLOOKUP(Tabla145[[#This Row],[Llave]],'[7]RV plan de ventas'!$A:$E,5,FALSE)),0)</f>
        <v>0</v>
      </c>
      <c r="K55" s="8">
        <f>IFERROR(VLOOKUP(Tabla145[[#This Row],[Oficina]],[15]Ponderación!$B$2:$E$9,4,FALSE),0)</f>
        <v>0.45719439678473212</v>
      </c>
      <c r="L55" s="7">
        <f>+Tabla145[[#This Row],[ RV Producción mes n+1]]*Tabla145[[#This Row],[% Uti. producción]]</f>
        <v>0</v>
      </c>
      <c r="M55" s="7">
        <f>IFERROR(VLOOKUP(Tabla145[[#This Row],[Material]],[16]Stock!$G:$K,5,FALSE),0)</f>
        <v>0</v>
      </c>
      <c r="N55" s="7">
        <f>IFERROR(VLOOKUP(Tabla145[[#This Row],[Material]],[16]Produccion!$M:$N,2,FALSE),0)</f>
        <v>0</v>
      </c>
      <c r="O55" s="7">
        <f>IFERROR(VLOOKUP(Tabla145[[#This Row],[Llave]],'[16]TD Conf-AP'!$I:$M,4,FALSE),0)</f>
        <v>0</v>
      </c>
      <c r="P55" s="14">
        <f>SUM(Tabla145[[#This Row],[Producción disponible]],Tabla145[[#This Row],[Stock al día]],(Tabla145[[#This Row],[Por producir mes N]]*0.9))-Tabla145[[#This Row],[Producción por despachar mes N]]</f>
        <v>0</v>
      </c>
      <c r="Q55" s="7">
        <f>IFERROR(VLOOKUP(Tabla145[[#This Row],[Llave]],[17]DELAY!$A:$D,4,FALSE),0)</f>
        <v>0</v>
      </c>
      <c r="R55" s="9">
        <v>24000</v>
      </c>
      <c r="S55" s="5">
        <f t="shared" si="5"/>
        <v>0</v>
      </c>
      <c r="T55" s="76">
        <v>0</v>
      </c>
      <c r="U55" s="5">
        <f>+Tabla145[[#This Row],[Atraso a facturar]]+Tabla145[[#This Row],[Ajuste atraso]]</f>
        <v>0</v>
      </c>
      <c r="V55" s="3">
        <f>+Tabla145[[#This Row],[Total disponible]]-Tabla145[[#This Row],[Facturación atraso]]</f>
        <v>0</v>
      </c>
      <c r="W55" s="6">
        <f>IFERROR(IF(AND(V55&gt;R55,J55&gt;=R55),ROUNDDOWN((Tabla145[[#This Row],[Producción para venta nueva]])/R55,0)*R55,0),0)</f>
        <v>0</v>
      </c>
      <c r="X55" s="76">
        <v>0</v>
      </c>
      <c r="Y55" s="6">
        <f>IF(Tabla145[[#This Row],[Venta del mes]]&gt;0,Tabla145[[#This Row],[Venta del mes]]+Tabla145[[#This Row],[Ajuste venta nueva]],0)</f>
        <v>0</v>
      </c>
      <c r="Z55" s="6">
        <f>+Tabla145[[#This Row],[Producción para venta nueva]]-Tabla145[[#This Row],[Facturación Venta nueva]]</f>
        <v>0</v>
      </c>
      <c r="AA55" s="6">
        <f>IF(AND(A55=1,Tabla145[[#This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5" s="6">
        <v>0</v>
      </c>
      <c r="AC55" s="6">
        <f>IF(Tabla145[[#This Row],[Disponible stock sin venta]]&gt;0,Tabla145[[#This Row],[Disponible stock sin venta]]+Tabla145[[#This Row],[Ajuste stock sin venta]],0)</f>
        <v>0</v>
      </c>
      <c r="AD55" s="3">
        <f>IFERROR(VLOOKUP(Tabla145[[#This Row],[Llave]],'[16]TD Puerto'!$A:$D,4,FALSE),0)</f>
        <v>0</v>
      </c>
      <c r="AE55" s="3">
        <v>0</v>
      </c>
      <c r="AF55" s="3">
        <f>+Tabla145[[#This Row],[Plan Irrestricto Inicial]]</f>
        <v>0</v>
      </c>
      <c r="AG55" s="3">
        <f>+Tabla145[[#This Row],[En puerto a facturar]]</f>
        <v>0</v>
      </c>
      <c r="AH55" s="3">
        <f>+Tabla145[[#This Row],[Facturación atraso]]</f>
        <v>0</v>
      </c>
      <c r="AI55" s="3">
        <f>+Tabla145[[#This Row],[Plan Irrestricto]]-Tabla145[[#This Row],[Puerto ]]-Tabla145[[#This Row],[Atraso]]</f>
        <v>0</v>
      </c>
      <c r="AJ5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55" s="3">
        <f>+Tabla145[[#This Row],[Facturación atraso]]</f>
        <v>0</v>
      </c>
      <c r="AL55" s="3">
        <f>+Tabla145[[#This Row],[Plan Ajustado]]-Tabla145[[#This Row],[ Atraso ajustado]]-Tabla145[[#This Row],[Puerto ]]</f>
        <v>0</v>
      </c>
      <c r="AM55" s="6">
        <f>IFERROR(VLOOKUP(Tabla145[[#This Row],[Llave]],[18]!Tabla14[#All],34,FALSE),0)</f>
        <v>0</v>
      </c>
      <c r="AN55" s="6">
        <f>IFERROR(VLOOKUP(Tabla145[[#This Row],[Llave]],[18]!Tabla14[#All],35,FALSE),0)</f>
        <v>0</v>
      </c>
      <c r="AO55" s="3" t="str">
        <f>IF(Tabla145[[#This Row],[Plan Ajustado]]&gt;Tabla145[[#This Row],[En puerto a facturar]],"Si","No")</f>
        <v>No</v>
      </c>
      <c r="AP5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55" s="3">
        <f>IF(Tabla145[[#This Row],[Necesidad]]&gt;=Tabla145[[#This Row],[Stock al día]],Tabla145[[#This Row],[Stock al día]],Tabla145[[#This Row],[Necesidad]])</f>
        <v>0</v>
      </c>
      <c r="AR55" s="3">
        <f>+Tabla145[[#This Row],[Necesidad]]-Tabla145[[#This Row],[Stock Plan]]</f>
        <v>0</v>
      </c>
      <c r="AS55" s="155">
        <f>IFERROR(VLOOKUP(Tabla145[[#This Row],[Oficina]],[19]Ponderación!$B$14:$E$21,4,FALSE),"")</f>
        <v>44789</v>
      </c>
      <c r="AT5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55" s="83">
        <f>IFERROR(VLOOKUP(Tabla145[[#This Row],[Llave]],[17]DELAY!$H:$W,16,FALSE),0)</f>
        <v>0</v>
      </c>
      <c r="AV5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55" s="5">
        <f>Tabla145[[#This Row],[Ajuste precio IC]]*Tabla145[[#This Row],[Plan Ajustado]]</f>
        <v>0</v>
      </c>
      <c r="AX55" s="30">
        <f>IFERROR(VLOOKUP(Tabla145[[#This Row],[Llave]],'[13]Ultimos precios facturados'!$A:$G,7,FALSE),0)</f>
        <v>0</v>
      </c>
      <c r="AY5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55" s="30">
        <f>IFERROR(VLOOKUP(Tabla145[[#This Row],[Llave]],Hoja2!B:K,10,FALSE),0)</f>
        <v>0</v>
      </c>
      <c r="BA55" s="30">
        <f>IF(Tabla145[[#This Row],[Ajuste precio IC]]="",Tabla145[[#This Row],[Precio ponderado]],Tabla145[[#This Row],[Precio ponderado]])</f>
        <v>0</v>
      </c>
      <c r="BB55" s="82"/>
      <c r="BC55" s="82" t="str">
        <f>IF(AND(Tabla145[[#This Row],[Atraso a facturar]]&gt;0,Tabla145[[#This Row],[Precio Atraso]]=0),"Revisar","OK")</f>
        <v>OK</v>
      </c>
      <c r="BD55" s="82" t="str">
        <f>IF(AND(Tabla145[[#This Row],[Venta del mes]]&gt;0,Tabla145[[#This Row],[Precio venta nueva]]=0),"Revisar","OK")</f>
        <v>OK</v>
      </c>
      <c r="BE55" s="20">
        <f>IFERROR(VLOOKUP(Tabla145[[#This Row],[Llave]],'[5]Consolidación planes'!$A:$M,9,FALSE),0)</f>
        <v>0</v>
      </c>
      <c r="BF55" s="20">
        <f>IFERROR(VLOOKUP(Tabla145[[#This Row],[Llave]],'[5]Consolidación planes'!$A:$M,10,FALSE),0)</f>
        <v>0</v>
      </c>
      <c r="BG55" s="20">
        <f>IFERROR(VLOOKUP(Tabla145[[#This Row],[Llave]],'[5]Consolidación planes'!$A:$M,11,FALSE),0)</f>
        <v>0</v>
      </c>
      <c r="BH55" s="20">
        <f>IFERROR(VLOOKUP(Tabla145[[#This Row],[Llave]],'[5]Consolidación planes'!$A:$M,12,FALSE),0)</f>
        <v>48000</v>
      </c>
      <c r="BI55" s="20">
        <f>IFERROR(VLOOKUP(Tabla145[[#This Row],[Llave]],'[5]Consolidación planes'!$A:$M,13,FALSE),0)</f>
        <v>0</v>
      </c>
      <c r="BJ55" s="20">
        <f>IFERROR(VLOOKUP(Tabla145[[#This Row],[Llave]],'[13]Base ultimos planes'!$A:$M,13,FALSE),0)</f>
        <v>0</v>
      </c>
      <c r="BK55" s="80">
        <f>IFERROR(VLOOKUP(Tabla145[[#This Row],[Llave]],'[13]Base ultimos planes'!$O:$AA,8,FALSE),0)</f>
        <v>0</v>
      </c>
      <c r="BL55" s="20">
        <f>IFERROR(VLOOKUP(Tabla145[[#This Row],[Llave]],'[13]Base ultimos planes'!$O:$AA,9,FALSE),0)</f>
        <v>0</v>
      </c>
      <c r="BM55" s="20">
        <f>IFERROR(VLOOKUP(Tabla145[[#This Row],[Llave]],'[13]Base ultimos planes'!$O:$AA,10,FALSE),0)</f>
        <v>0</v>
      </c>
      <c r="BN55" s="20">
        <f>IFERROR(VLOOKUP(Tabla145[[#This Row],[Llave]],'[13]Base ultimos planes'!$O:$AA,11,FALSE),0)</f>
        <v>64560</v>
      </c>
      <c r="BO55" s="20">
        <f>IFERROR(VLOOKUP(Tabla145[[#This Row],[Llave]],'[13]Base ultimos planes'!$O:$AA,12,FALSE),0)</f>
        <v>0</v>
      </c>
      <c r="BP55" s="20">
        <f>IFERROR(VLOOKUP(Tabla145[[#This Row],[Llave]],'[13]Base ultimos planes'!$O:$AA,13,FALSE),0)</f>
        <v>0</v>
      </c>
      <c r="BQ55" s="20"/>
      <c r="BR55" s="20">
        <f>Tabla145[[#This Row],[ RV Producción mes n+1]]*(1-Tabla145[[#This Row],[% Uti. producción]])</f>
        <v>0</v>
      </c>
      <c r="BS55" s="20">
        <f>+Tabla145[[#This Row],[Producción disponible mes n-1]]+Tabla145[[#This Row],[Saldo Volumen disponible]]</f>
        <v>0</v>
      </c>
      <c r="BT55" s="7">
        <f>IFERROR(VLOOKUP(Tabla145[[#This Row],[Llave]],'[21]RV n+2 y n+3'!$B:$F,4,FALSE),0)</f>
        <v>0</v>
      </c>
      <c r="BU55" s="7">
        <f>+Tabla145[[#This Row],[Asignación mes n+2]]*Tabla145[[#This Row],[% Uti. producción]]</f>
        <v>0</v>
      </c>
      <c r="BV55" s="7">
        <f>+Tabla145[[#This Row],[Ponderación mes n+2]]+Tabla145[[#This Row],[Saldo mes n-1]]</f>
        <v>0</v>
      </c>
      <c r="BW55" s="7">
        <f>+Tabla145[[#This Row],[Asignación mes n+2]]-Tabla145[[#This Row],[Ponderación mes n+2]]</f>
        <v>0</v>
      </c>
      <c r="BX55" s="7">
        <f>IFERROR(VLOOKUP(Tabla145[[#This Row],[Llave]],'[21]RV n+2 y n+3'!$B:$F,5,FALSE),0)</f>
        <v>0</v>
      </c>
      <c r="BY55" s="7">
        <f>+Tabla145[[#This Row],[Asignación mes n+3]]*Tabla145[[#This Row],[% Uti. producción]]</f>
        <v>0</v>
      </c>
      <c r="BZ55" s="3">
        <f>+Tabla145[[#This Row],[Ponderación mes n+3]]+Tabla145[[#This Row],[Saldo mes n+2]]</f>
        <v>0</v>
      </c>
      <c r="CA55" s="3">
        <f>+Tabla145[[#This Row],[Asignación mes n+3]]-Tabla145[[#This Row],[Ponderación mes n+3]]</f>
        <v>0</v>
      </c>
      <c r="CB55" s="3">
        <f>+Tabla145[[#This Row],[Producción disponible mes n-1]]+Tabla145[[#This Row],[Producción disponible]]</f>
        <v>0</v>
      </c>
      <c r="CC55" s="3">
        <f>+Tabla145[[#This Row],[Saldo mes n+4]]-Tabla145[[#This Row],[ RV Producción mes n+1]]</f>
        <v>0</v>
      </c>
    </row>
    <row r="56" spans="1:81" ht="16" x14ac:dyDescent="0.2">
      <c r="A56">
        <v>1</v>
      </c>
      <c r="B56" t="str">
        <f>Tabla145[[#This Row],[Oficina]]&amp;Tabla145[[#This Row],[Material]]</f>
        <v>Agro Sudamerica1022384</v>
      </c>
      <c r="C56" t="s">
        <v>6</v>
      </c>
      <c r="D56" t="s">
        <v>17</v>
      </c>
      <c r="E56">
        <v>1022384</v>
      </c>
      <c r="F56" t="s">
        <v>24</v>
      </c>
      <c r="G56" t="s">
        <v>18</v>
      </c>
      <c r="H56" t="s">
        <v>21</v>
      </c>
      <c r="I56" s="7">
        <f>IFERROR(VLOOKUP(Tabla145[[#This Row],[Llave]],'[7]RV Producción'!$C:$G,5,FALSE),0)</f>
        <v>0</v>
      </c>
      <c r="J56" s="3">
        <f>IFERROR(IF(Tabla145[[#This Row],[Oficina]]=$I$7,VLOOKUP(Tabla145[[#This Row],[Llave]],'[7]Shangai (Tomas)'!$A:$F,6,FALSE),VLOOKUP(Tabla145[[#This Row],[Llave]],'[7]RV plan de ventas'!$A:$E,5,FALSE)),0)</f>
        <v>0</v>
      </c>
      <c r="K56" s="8">
        <f>IFERROR(VLOOKUP(Tabla145[[#This Row],[Oficina]],[15]Ponderación!$B$2:$E$9,4,FALSE),0)</f>
        <v>0.45719439678473212</v>
      </c>
      <c r="L56" s="7">
        <f>+Tabla145[[#This Row],[ RV Producción mes n+1]]*Tabla145[[#This Row],[% Uti. producción]]</f>
        <v>0</v>
      </c>
      <c r="M56" s="7">
        <f>IFERROR(VLOOKUP(Tabla145[[#This Row],[Material]],[16]Stock!$G:$K,5,FALSE),0)</f>
        <v>0</v>
      </c>
      <c r="N56" s="7">
        <f>IFERROR(VLOOKUP(Tabla145[[#This Row],[Material]],[16]Produccion!$M:$N,2,FALSE),0)</f>
        <v>0</v>
      </c>
      <c r="O56" s="7">
        <f>IFERROR(VLOOKUP(Tabla145[[#This Row],[Llave]],'[16]TD Conf-AP'!$I:$M,4,FALSE),0)</f>
        <v>0</v>
      </c>
      <c r="P56" s="14">
        <f>SUM(Tabla145[[#This Row],[Producción disponible]],Tabla145[[#This Row],[Stock al día]],(Tabla145[[#This Row],[Por producir mes N]]*0.9))-Tabla145[[#This Row],[Producción por despachar mes N]]</f>
        <v>0</v>
      </c>
      <c r="Q56" s="7">
        <f>IFERROR(VLOOKUP(Tabla145[[#This Row],[Llave]],[17]DELAY!$A:$D,4,FALSE),0)</f>
        <v>0</v>
      </c>
      <c r="R56" s="9">
        <v>24000</v>
      </c>
      <c r="S56" s="5">
        <f t="shared" si="5"/>
        <v>0</v>
      </c>
      <c r="T56" s="76">
        <v>0</v>
      </c>
      <c r="U56" s="5">
        <f>+Tabla145[[#This Row],[Atraso a facturar]]+Tabla145[[#This Row],[Ajuste atraso]]</f>
        <v>0</v>
      </c>
      <c r="V56" s="3">
        <f>+Tabla145[[#This Row],[Total disponible]]-Tabla145[[#This Row],[Facturación atraso]]</f>
        <v>0</v>
      </c>
      <c r="W56" s="6">
        <f>IFERROR(IF(AND(V56&gt;R56,J56&gt;=R56),ROUNDDOWN((Tabla145[[#This Row],[Producción para venta nueva]])/R56,0)*R56,0),0)</f>
        <v>0</v>
      </c>
      <c r="X56" s="76">
        <v>0</v>
      </c>
      <c r="Y56" s="6">
        <f>IF(Tabla145[[#This Row],[Venta del mes]]&gt;0,Tabla145[[#This Row],[Venta del mes]]+Tabla145[[#This Row],[Ajuste venta nueva]],0)</f>
        <v>0</v>
      </c>
      <c r="Z56" s="6">
        <f>+Tabla145[[#This Row],[Producción para venta nueva]]-Tabla145[[#This Row],[Facturación Venta nueva]]</f>
        <v>0</v>
      </c>
      <c r="AA56" s="6">
        <f>IF(AND(A56=1,Tabla145[[#This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6" s="6">
        <v>0</v>
      </c>
      <c r="AC56" s="6">
        <f>IF(Tabla145[[#This Row],[Disponible stock sin venta]]&gt;0,Tabla145[[#This Row],[Disponible stock sin venta]]+Tabla145[[#This Row],[Ajuste stock sin venta]],0)</f>
        <v>0</v>
      </c>
      <c r="AD56" s="3">
        <f>IFERROR(VLOOKUP(Tabla145[[#This Row],[Llave]],'[16]TD Puerto'!$A:$D,4,FALSE),0)</f>
        <v>0</v>
      </c>
      <c r="AE56" s="3">
        <v>0</v>
      </c>
      <c r="AF56" s="3">
        <f>+Tabla145[[#This Row],[Plan Irrestricto Inicial]]</f>
        <v>0</v>
      </c>
      <c r="AG56" s="3">
        <f>+Tabla145[[#This Row],[En puerto a facturar]]</f>
        <v>0</v>
      </c>
      <c r="AH56" s="3">
        <f>+Tabla145[[#This Row],[Facturación atraso]]</f>
        <v>0</v>
      </c>
      <c r="AI56" s="3">
        <f>+Tabla145[[#This Row],[Plan Irrestricto]]-Tabla145[[#This Row],[Puerto ]]-Tabla145[[#This Row],[Atraso]]</f>
        <v>0</v>
      </c>
      <c r="AJ5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56" s="3">
        <f>+Tabla145[[#This Row],[Facturación atraso]]</f>
        <v>0</v>
      </c>
      <c r="AL56" s="3">
        <f>+Tabla145[[#This Row],[Plan Ajustado]]-Tabla145[[#This Row],[ Atraso ajustado]]-Tabla145[[#This Row],[Puerto ]]</f>
        <v>0</v>
      </c>
      <c r="AM56" s="6">
        <f>IFERROR(VLOOKUP(Tabla145[[#This Row],[Llave]],[18]!Tabla14[#All],34,FALSE),0)</f>
        <v>0</v>
      </c>
      <c r="AN56" s="6">
        <f>IFERROR(VLOOKUP(Tabla145[[#This Row],[Llave]],[18]!Tabla14[#All],35,FALSE),0)</f>
        <v>0</v>
      </c>
      <c r="AO56" s="3" t="str">
        <f>IF(Tabla145[[#This Row],[Plan Ajustado]]&gt;Tabla145[[#This Row],[En puerto a facturar]],"Si","No")</f>
        <v>No</v>
      </c>
      <c r="AP5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56" s="3">
        <f>IF(Tabla145[[#This Row],[Necesidad]]&gt;=Tabla145[[#This Row],[Stock al día]],Tabla145[[#This Row],[Stock al día]],Tabla145[[#This Row],[Necesidad]])</f>
        <v>0</v>
      </c>
      <c r="AR56" s="3">
        <f>+Tabla145[[#This Row],[Necesidad]]-Tabla145[[#This Row],[Stock Plan]]</f>
        <v>0</v>
      </c>
      <c r="AS56" s="155">
        <f>IFERROR(VLOOKUP(Tabla145[[#This Row],[Oficina]],[19]Ponderación!$B$14:$E$21,4,FALSE),"")</f>
        <v>44789</v>
      </c>
      <c r="AT5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4.5641475029685861</v>
      </c>
      <c r="AU56" s="83">
        <f>IFERROR(VLOOKUP(Tabla145[[#This Row],[Llave]],[17]DELAY!$H:$W,16,FALSE),0)</f>
        <v>0</v>
      </c>
      <c r="AV5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56" s="5">
        <f>Tabla145[[#This Row],[Ajuste precio IC]]*Tabla145[[#This Row],[Plan Ajustado]]</f>
        <v>0</v>
      </c>
      <c r="AX56" s="30">
        <f>IFERROR(VLOOKUP(Tabla145[[#This Row],[Llave]],'[13]Ultimos precios facturados'!$A:$G,7,FALSE),0)</f>
        <v>4.5641475029685861</v>
      </c>
      <c r="AY5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56" s="30">
        <f>IFERROR(VLOOKUP(Tabla145[[#This Row],[Llave]],Hoja2!B:K,10,FALSE),0)</f>
        <v>0</v>
      </c>
      <c r="BA56" s="30">
        <f>IF(Tabla145[[#This Row],[Ajuste precio IC]]="",Tabla145[[#This Row],[Precio ponderado]],Tabla145[[#This Row],[Precio ponderado]])</f>
        <v>0</v>
      </c>
      <c r="BB56" s="82"/>
      <c r="BC56" s="82" t="str">
        <f>IF(AND(Tabla145[[#This Row],[Atraso a facturar]]&gt;0,Tabla145[[#This Row],[Precio Atraso]]=0),"Revisar","OK")</f>
        <v>OK</v>
      </c>
      <c r="BD56" s="82" t="str">
        <f>IF(AND(Tabla145[[#This Row],[Venta del mes]]&gt;0,Tabla145[[#This Row],[Precio venta nueva]]=0),"Revisar","OK")</f>
        <v>OK</v>
      </c>
      <c r="BE56" s="20">
        <f>IFERROR(VLOOKUP(Tabla145[[#This Row],[Llave]],'[5]Consolidación planes'!$A:$M,9,FALSE),0)</f>
        <v>2947</v>
      </c>
      <c r="BF56" s="20">
        <f>IFERROR(VLOOKUP(Tabla145[[#This Row],[Llave]],'[5]Consolidación planes'!$A:$M,10,FALSE),0)</f>
        <v>0</v>
      </c>
      <c r="BG56" s="20">
        <f>IFERROR(VLOOKUP(Tabla145[[#This Row],[Llave]],'[5]Consolidación planes'!$A:$M,11,FALSE),0)</f>
        <v>0</v>
      </c>
      <c r="BH56" s="20">
        <f>IFERROR(VLOOKUP(Tabla145[[#This Row],[Llave]],'[5]Consolidación planes'!$A:$M,12,FALSE),0)</f>
        <v>0</v>
      </c>
      <c r="BI56" s="20">
        <f>IFERROR(VLOOKUP(Tabla145[[#This Row],[Llave]],'[5]Consolidación planes'!$A:$M,13,FALSE),0)</f>
        <v>619</v>
      </c>
      <c r="BJ56" s="20">
        <f>IFERROR(VLOOKUP(Tabla145[[#This Row],[Llave]],'[13]Base ultimos planes'!$A:$M,13,FALSE),0)</f>
        <v>0</v>
      </c>
      <c r="BK56" s="80">
        <f>IFERROR(VLOOKUP(Tabla145[[#This Row],[Llave]],'[13]Base ultimos planes'!$O:$AA,8,FALSE),0)</f>
        <v>15619.1</v>
      </c>
      <c r="BL56" s="20">
        <f>IFERROR(VLOOKUP(Tabla145[[#This Row],[Llave]],'[13]Base ultimos planes'!$O:$AA,9,FALSE),0)</f>
        <v>0</v>
      </c>
      <c r="BM56" s="20">
        <f>IFERROR(VLOOKUP(Tabla145[[#This Row],[Llave]],'[13]Base ultimos planes'!$O:$AA,10,FALSE),0)</f>
        <v>0</v>
      </c>
      <c r="BN56" s="20">
        <f>IFERROR(VLOOKUP(Tabla145[[#This Row],[Llave]],'[13]Base ultimos planes'!$O:$AA,11,FALSE),0)</f>
        <v>0</v>
      </c>
      <c r="BO56" s="20">
        <f>IFERROR(VLOOKUP(Tabla145[[#This Row],[Llave]],'[13]Base ultimos planes'!$O:$AA,12,FALSE),0)</f>
        <v>2105</v>
      </c>
      <c r="BP56" s="20">
        <f>IFERROR(VLOOKUP(Tabla145[[#This Row],[Llave]],'[13]Base ultimos planes'!$O:$AA,13,FALSE),0)</f>
        <v>0</v>
      </c>
      <c r="BQ56" s="20"/>
      <c r="BR56" s="20">
        <f>Tabla145[[#This Row],[ RV Producción mes n+1]]*(1-Tabla145[[#This Row],[% Uti. producción]])</f>
        <v>0</v>
      </c>
      <c r="BS56" s="20">
        <f>+Tabla145[[#This Row],[Producción disponible mes n-1]]+Tabla145[[#This Row],[Saldo Volumen disponible]]</f>
        <v>0</v>
      </c>
      <c r="BT56" s="7">
        <f>IFERROR(VLOOKUP(Tabla145[[#This Row],[Llave]],'[21]RV n+2 y n+3'!$B:$F,4,FALSE),0)</f>
        <v>0</v>
      </c>
      <c r="BU56" s="7">
        <f>+Tabla145[[#This Row],[Asignación mes n+2]]*Tabla145[[#This Row],[% Uti. producción]]</f>
        <v>0</v>
      </c>
      <c r="BV56" s="7">
        <f>+Tabla145[[#This Row],[Ponderación mes n+2]]+Tabla145[[#This Row],[Saldo mes n-1]]</f>
        <v>0</v>
      </c>
      <c r="BW56" s="7">
        <f>+Tabla145[[#This Row],[Asignación mes n+2]]-Tabla145[[#This Row],[Ponderación mes n+2]]</f>
        <v>0</v>
      </c>
      <c r="BX56" s="7">
        <f>IFERROR(VLOOKUP(Tabla145[[#This Row],[Llave]],'[21]RV n+2 y n+3'!$B:$F,5,FALSE),0)</f>
        <v>0</v>
      </c>
      <c r="BY56" s="7">
        <f>+Tabla145[[#This Row],[Asignación mes n+3]]*Tabla145[[#This Row],[% Uti. producción]]</f>
        <v>0</v>
      </c>
      <c r="BZ56" s="3">
        <f>+Tabla145[[#This Row],[Ponderación mes n+3]]+Tabla145[[#This Row],[Saldo mes n+2]]</f>
        <v>0</v>
      </c>
      <c r="CA56" s="3">
        <f>+Tabla145[[#This Row],[Asignación mes n+3]]-Tabla145[[#This Row],[Ponderación mes n+3]]</f>
        <v>0</v>
      </c>
      <c r="CB56" s="3">
        <f>+Tabla145[[#This Row],[Producción disponible mes n-1]]+Tabla145[[#This Row],[Producción disponible]]</f>
        <v>0</v>
      </c>
      <c r="CC56" s="3">
        <f>+Tabla145[[#This Row],[Saldo mes n+4]]-Tabla145[[#This Row],[ RV Producción mes n+1]]</f>
        <v>0</v>
      </c>
    </row>
    <row r="57" spans="1:81" ht="16" x14ac:dyDescent="0.2">
      <c r="A57">
        <v>1</v>
      </c>
      <c r="B57" t="str">
        <f>Tabla145[[#This Row],[Oficina]]&amp;Tabla145[[#This Row],[Material]]</f>
        <v>Agro Sudamerica1022406</v>
      </c>
      <c r="C57" t="s">
        <v>6</v>
      </c>
      <c r="D57" t="s">
        <v>17</v>
      </c>
      <c r="E57">
        <v>1022406</v>
      </c>
      <c r="F57" t="s">
        <v>78</v>
      </c>
      <c r="G57" t="s">
        <v>76</v>
      </c>
      <c r="H57" t="s">
        <v>77</v>
      </c>
      <c r="I57" s="7">
        <f>IFERROR(VLOOKUP(Tabla145[[#This Row],[Llave]],'[7]RV Producción'!$C:$G,5,FALSE),0)</f>
        <v>0</v>
      </c>
      <c r="J57" s="3">
        <f>IFERROR(IF(Tabla145[[#This Row],[Oficina]]=$I$7,VLOOKUP(Tabla145[[#This Row],[Llave]],'[7]Shangai (Tomas)'!$A:$F,6,FALSE),VLOOKUP(Tabla145[[#This Row],[Llave]],'[7]RV plan de ventas'!$A:$E,5,FALSE)),0)</f>
        <v>0</v>
      </c>
      <c r="K57" s="8">
        <f>IFERROR(VLOOKUP(Tabla145[[#This Row],[Oficina]],[15]Ponderación!$B$2:$E$9,4,FALSE),0)</f>
        <v>0.45719439678473212</v>
      </c>
      <c r="L57" s="7">
        <f>+Tabla145[[#This Row],[ RV Producción mes n+1]]*Tabla145[[#This Row],[% Uti. producción]]</f>
        <v>0</v>
      </c>
      <c r="M57" s="7">
        <f>IFERROR(VLOOKUP(Tabla145[[#This Row],[Material]],[16]Stock!$G:$K,5,FALSE),0)</f>
        <v>8776</v>
      </c>
      <c r="N57" s="7">
        <f>IFERROR(VLOOKUP(Tabla145[[#This Row],[Material]],[16]Produccion!$M:$N,2,FALSE),0)</f>
        <v>0</v>
      </c>
      <c r="O57" s="7">
        <f>IFERROR(VLOOKUP(Tabla145[[#This Row],[Llave]],'[16]TD Conf-AP'!$I:$M,4,FALSE),0)</f>
        <v>0</v>
      </c>
      <c r="P57" s="14">
        <f>SUM(Tabla145[[#This Row],[Producción disponible]],Tabla145[[#This Row],[Stock al día]],(Tabla145[[#This Row],[Por producir mes N]]*0.9))-Tabla145[[#This Row],[Producción por despachar mes N]]</f>
        <v>8776</v>
      </c>
      <c r="Q57" s="7">
        <f>IFERROR(VLOOKUP(Tabla145[[#This Row],[Llave]],[17]DELAY!$A:$D,4,FALSE),0)</f>
        <v>8000</v>
      </c>
      <c r="R57" s="9">
        <v>24000</v>
      </c>
      <c r="S57" s="5">
        <f t="shared" si="5"/>
        <v>8000</v>
      </c>
      <c r="T57" s="76">
        <v>-8000</v>
      </c>
      <c r="U57" s="5">
        <f>+Tabla145[[#This Row],[Atraso a facturar]]+Tabla145[[#This Row],[Ajuste atraso]]</f>
        <v>0</v>
      </c>
      <c r="V57" s="3">
        <f>+Tabla145[[#This Row],[Total disponible]]-Tabla145[[#This Row],[Facturación atraso]]</f>
        <v>8776</v>
      </c>
      <c r="W57" s="6">
        <f>IFERROR(IF(AND(V57&gt;R57,J57&gt;=R57),ROUNDDOWN((Tabla145[[#This Row],[Producción para venta nueva]])/R57,0)*R57,0),0)</f>
        <v>0</v>
      </c>
      <c r="X57" s="76">
        <v>0</v>
      </c>
      <c r="Y57" s="6">
        <f>IF(Tabla145[[#This Row],[Venta del mes]]&gt;0,Tabla145[[#This Row],[Venta del mes]]+Tabla145[[#This Row],[Ajuste venta nueva]],0)</f>
        <v>0</v>
      </c>
      <c r="Z57" s="6">
        <f>+Tabla145[[#This Row],[Producción para venta nueva]]-Tabla145[[#This Row],[Facturación Venta nueva]]</f>
        <v>8776</v>
      </c>
      <c r="AA57" s="6">
        <f>IF(AND(A57=1,Tabla145[[#This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7" s="6">
        <v>0</v>
      </c>
      <c r="AC57" s="6">
        <f>IF(Tabla145[[#This Row],[Disponible stock sin venta]]&gt;0,Tabla145[[#This Row],[Disponible stock sin venta]]+Tabla145[[#This Row],[Ajuste stock sin venta]],0)</f>
        <v>0</v>
      </c>
      <c r="AD57" s="3">
        <f>IFERROR(VLOOKUP(Tabla145[[#This Row],[Llave]],'[16]TD Puerto'!$A:$D,4,FALSE),0)</f>
        <v>0</v>
      </c>
      <c r="AE57" s="3">
        <v>0</v>
      </c>
      <c r="AF57" s="3">
        <f>+Tabla145[[#This Row],[Plan Irrestricto Inicial]]</f>
        <v>0</v>
      </c>
      <c r="AG57" s="3">
        <f>+Tabla145[[#This Row],[En puerto a facturar]]</f>
        <v>0</v>
      </c>
      <c r="AH57" s="3">
        <f>+Tabla145[[#This Row],[Facturación atraso]]</f>
        <v>0</v>
      </c>
      <c r="AI57" s="3">
        <f>+Tabla145[[#This Row],[Plan Irrestricto]]-Tabla145[[#This Row],[Puerto ]]-Tabla145[[#This Row],[Atraso]]</f>
        <v>0</v>
      </c>
      <c r="AJ5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57" s="3">
        <f>+Tabla145[[#This Row],[Facturación atraso]]</f>
        <v>0</v>
      </c>
      <c r="AL57" s="3">
        <f>+Tabla145[[#This Row],[Plan Ajustado]]-Tabla145[[#This Row],[ Atraso ajustado]]-Tabla145[[#This Row],[Puerto ]]</f>
        <v>0</v>
      </c>
      <c r="AM57" s="6">
        <f>IFERROR(VLOOKUP(Tabla145[[#This Row],[Llave]],[18]!Tabla14[#All],34,FALSE),0)</f>
        <v>0</v>
      </c>
      <c r="AN57" s="6">
        <f>IFERROR(VLOOKUP(Tabla145[[#This Row],[Llave]],[18]!Tabla14[#All],35,FALSE),0)</f>
        <v>0</v>
      </c>
      <c r="AO57" s="3" t="str">
        <f>IF(Tabla145[[#This Row],[Plan Ajustado]]&gt;Tabla145[[#This Row],[En puerto a facturar]],"Si","No")</f>
        <v>No</v>
      </c>
      <c r="AP5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57" s="3">
        <f>IF(Tabla145[[#This Row],[Necesidad]]&gt;=Tabla145[[#This Row],[Stock al día]],Tabla145[[#This Row],[Stock al día]],Tabla145[[#This Row],[Necesidad]])</f>
        <v>0</v>
      </c>
      <c r="AR57" s="3">
        <f>+Tabla145[[#This Row],[Necesidad]]-Tabla145[[#This Row],[Stock Plan]]</f>
        <v>0</v>
      </c>
      <c r="AS57" s="155">
        <f>IFERROR(VLOOKUP(Tabla145[[#This Row],[Oficina]],[19]Ponderación!$B$14:$E$21,4,FALSE),"")</f>
        <v>44789</v>
      </c>
      <c r="AT5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2.1843070367596704</v>
      </c>
      <c r="AU57" s="83">
        <f>IFERROR(VLOOKUP(Tabla145[[#This Row],[Llave]],[17]DELAY!$H:$W,16,FALSE),0)</f>
        <v>3.85</v>
      </c>
      <c r="AV5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57" s="5">
        <f>Tabla145[[#This Row],[Ajuste precio IC]]*Tabla145[[#This Row],[Plan Ajustado]]</f>
        <v>0</v>
      </c>
      <c r="AX57" s="30">
        <f>IFERROR(VLOOKUP(Tabla145[[#This Row],[Llave]],'[13]Ultimos precios facturados'!$A:$G,7,FALSE),0)</f>
        <v>2.1843070367596704</v>
      </c>
      <c r="AY5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57" s="30">
        <f>IFERROR(VLOOKUP(Tabla145[[#This Row],[Llave]],Hoja2!B:K,10,FALSE),0)</f>
        <v>0</v>
      </c>
      <c r="BA57" s="30">
        <f>IF(Tabla145[[#This Row],[Ajuste precio IC]]="",Tabla145[[#This Row],[Precio ponderado]],Tabla145[[#This Row],[Precio ponderado]])</f>
        <v>0</v>
      </c>
      <c r="BB57" s="82"/>
      <c r="BC57" s="82" t="str">
        <f>IF(AND(Tabla145[[#This Row],[Atraso a facturar]]&gt;0,Tabla145[[#This Row],[Precio Atraso]]=0),"Revisar","OK")</f>
        <v>OK</v>
      </c>
      <c r="BD57" s="82" t="str">
        <f>IF(AND(Tabla145[[#This Row],[Venta del mes]]&gt;0,Tabla145[[#This Row],[Precio venta nueva]]=0),"Revisar","OK")</f>
        <v>OK</v>
      </c>
      <c r="BE57" s="20">
        <f>IFERROR(VLOOKUP(Tabla145[[#This Row],[Llave]],'[5]Consolidación planes'!$A:$M,9,FALSE),0)</f>
        <v>0</v>
      </c>
      <c r="BF57" s="20">
        <f>IFERROR(VLOOKUP(Tabla145[[#This Row],[Llave]],'[5]Consolidación planes'!$A:$M,10,FALSE),0)</f>
        <v>0</v>
      </c>
      <c r="BG57" s="20">
        <f>IFERROR(VLOOKUP(Tabla145[[#This Row],[Llave]],'[5]Consolidación planes'!$A:$M,11,FALSE),0)</f>
        <v>0</v>
      </c>
      <c r="BH57" s="20">
        <f>IFERROR(VLOOKUP(Tabla145[[#This Row],[Llave]],'[5]Consolidación planes'!$A:$M,12,FALSE),0)</f>
        <v>0</v>
      </c>
      <c r="BI57" s="20">
        <f>IFERROR(VLOOKUP(Tabla145[[#This Row],[Llave]],'[5]Consolidación planes'!$A:$M,13,FALSE),0)</f>
        <v>0</v>
      </c>
      <c r="BJ57" s="20">
        <f>IFERROR(VLOOKUP(Tabla145[[#This Row],[Llave]],'[13]Base ultimos planes'!$A:$M,13,FALSE),0)</f>
        <v>0</v>
      </c>
      <c r="BK57" s="80">
        <f>IFERROR(VLOOKUP(Tabla145[[#This Row],[Llave]],'[13]Base ultimos planes'!$O:$AA,8,FALSE),0)</f>
        <v>0</v>
      </c>
      <c r="BL57" s="20">
        <f>IFERROR(VLOOKUP(Tabla145[[#This Row],[Llave]],'[13]Base ultimos planes'!$O:$AA,9,FALSE),0)</f>
        <v>0</v>
      </c>
      <c r="BM57" s="20">
        <f>IFERROR(VLOOKUP(Tabla145[[#This Row],[Llave]],'[13]Base ultimos planes'!$O:$AA,10,FALSE),0)</f>
        <v>0</v>
      </c>
      <c r="BN57" s="20">
        <f>IFERROR(VLOOKUP(Tabla145[[#This Row],[Llave]],'[13]Base ultimos planes'!$O:$AA,11,FALSE),0)</f>
        <v>0</v>
      </c>
      <c r="BO57" s="20">
        <f>IFERROR(VLOOKUP(Tabla145[[#This Row],[Llave]],'[13]Base ultimos planes'!$O:$AA,12,FALSE),0)</f>
        <v>0</v>
      </c>
      <c r="BP57" s="20">
        <f>IFERROR(VLOOKUP(Tabla145[[#This Row],[Llave]],'[13]Base ultimos planes'!$O:$AA,13,FALSE),0)</f>
        <v>0</v>
      </c>
      <c r="BQ57" s="20"/>
      <c r="BR57" s="20">
        <f>Tabla145[[#This Row],[ RV Producción mes n+1]]*(1-Tabla145[[#This Row],[% Uti. producción]])</f>
        <v>0</v>
      </c>
      <c r="BS57" s="20">
        <f>+Tabla145[[#This Row],[Producción disponible mes n-1]]+Tabla145[[#This Row],[Saldo Volumen disponible]]</f>
        <v>8776</v>
      </c>
      <c r="BT57" s="7">
        <f>IFERROR(VLOOKUP(Tabla145[[#This Row],[Llave]],'[21]RV n+2 y n+3'!$B:$F,4,FALSE),0)</f>
        <v>0</v>
      </c>
      <c r="BU57" s="7">
        <f>+Tabla145[[#This Row],[Asignación mes n+2]]*Tabla145[[#This Row],[% Uti. producción]]</f>
        <v>0</v>
      </c>
      <c r="BV57" s="7">
        <f>+Tabla145[[#This Row],[Ponderación mes n+2]]+Tabla145[[#This Row],[Saldo mes n-1]]</f>
        <v>8776</v>
      </c>
      <c r="BW57" s="7">
        <f>+Tabla145[[#This Row],[Asignación mes n+2]]-Tabla145[[#This Row],[Ponderación mes n+2]]</f>
        <v>0</v>
      </c>
      <c r="BX57" s="7">
        <f>IFERROR(VLOOKUP(Tabla145[[#This Row],[Llave]],'[21]RV n+2 y n+3'!$B:$F,5,FALSE),0)</f>
        <v>0</v>
      </c>
      <c r="BY57" s="7">
        <f>+Tabla145[[#This Row],[Asignación mes n+3]]*Tabla145[[#This Row],[% Uti. producción]]</f>
        <v>0</v>
      </c>
      <c r="BZ57" s="3">
        <f>+Tabla145[[#This Row],[Ponderación mes n+3]]+Tabla145[[#This Row],[Saldo mes n+2]]</f>
        <v>0</v>
      </c>
      <c r="CA57" s="3">
        <f>+Tabla145[[#This Row],[Asignación mes n+3]]-Tabla145[[#This Row],[Ponderación mes n+3]]</f>
        <v>0</v>
      </c>
      <c r="CB57" s="3">
        <f>+Tabla145[[#This Row],[Producción disponible mes n-1]]+Tabla145[[#This Row],[Producción disponible]]</f>
        <v>0</v>
      </c>
      <c r="CC57" s="3">
        <f>+Tabla145[[#This Row],[Saldo mes n+4]]-Tabla145[[#This Row],[ RV Producción mes n+1]]</f>
        <v>0</v>
      </c>
    </row>
    <row r="58" spans="1:81" ht="16" x14ac:dyDescent="0.2">
      <c r="A58">
        <v>1</v>
      </c>
      <c r="B58" t="str">
        <f>Tabla145[[#This Row],[Oficina]]&amp;Tabla145[[#This Row],[Material]]</f>
        <v>Agro Sudamerica1022409</v>
      </c>
      <c r="C58" t="s">
        <v>6</v>
      </c>
      <c r="D58" t="s">
        <v>17</v>
      </c>
      <c r="E58">
        <v>1022409</v>
      </c>
      <c r="F58" t="s">
        <v>80</v>
      </c>
      <c r="G58" t="s">
        <v>76</v>
      </c>
      <c r="H58" t="s">
        <v>79</v>
      </c>
      <c r="I58" s="7">
        <f>IFERROR(VLOOKUP(Tabla145[[#This Row],[Llave]],'[7]RV Producción'!$C:$G,5,FALSE),0)</f>
        <v>0</v>
      </c>
      <c r="J58" s="3">
        <f>IFERROR(IF(Tabla145[[#This Row],[Oficina]]=$I$7,VLOOKUP(Tabla145[[#This Row],[Llave]],'[7]Shangai (Tomas)'!$A:$F,6,FALSE),VLOOKUP(Tabla145[[#This Row],[Llave]],'[7]RV plan de ventas'!$A:$E,5,FALSE)),0)</f>
        <v>0</v>
      </c>
      <c r="K58" s="8">
        <f>IFERROR(VLOOKUP(Tabla145[[#This Row],[Oficina]],[15]Ponderación!$B$2:$E$9,4,FALSE),0)</f>
        <v>0.45719439678473212</v>
      </c>
      <c r="L58" s="7">
        <f>+Tabla145[[#This Row],[ RV Producción mes n+1]]*Tabla145[[#This Row],[% Uti. producción]]</f>
        <v>0</v>
      </c>
      <c r="M58" s="7">
        <f>IFERROR(VLOOKUP(Tabla145[[#This Row],[Material]],[16]Stock!$G:$K,5,FALSE),0)</f>
        <v>18585</v>
      </c>
      <c r="N58" s="7">
        <f>IFERROR(VLOOKUP(Tabla145[[#This Row],[Material]],[16]Produccion!$M:$N,2,FALSE),0)</f>
        <v>0</v>
      </c>
      <c r="O58" s="7">
        <f>IFERROR(VLOOKUP(Tabla145[[#This Row],[Llave]],'[16]TD Conf-AP'!$I:$M,4,FALSE),0)</f>
        <v>0</v>
      </c>
      <c r="P58" s="14">
        <f>SUM(Tabla145[[#This Row],[Producción disponible]],Tabla145[[#This Row],[Stock al día]],(Tabla145[[#This Row],[Por producir mes N]]*0.9))-Tabla145[[#This Row],[Producción por despachar mes N]]</f>
        <v>18585</v>
      </c>
      <c r="Q58" s="7">
        <f>IFERROR(VLOOKUP(Tabla145[[#This Row],[Llave]],[17]DELAY!$A:$D,4,FALSE),0)</f>
        <v>27360</v>
      </c>
      <c r="R58" s="9">
        <v>24000</v>
      </c>
      <c r="S58" s="5">
        <f t="shared" si="5"/>
        <v>0</v>
      </c>
      <c r="T58" s="76">
        <v>0</v>
      </c>
      <c r="U58" s="5">
        <f>+Tabla145[[#This Row],[Atraso a facturar]]+Tabla145[[#This Row],[Ajuste atraso]]</f>
        <v>0</v>
      </c>
      <c r="V58" s="3">
        <f>+Tabla145[[#This Row],[Total disponible]]-Tabla145[[#This Row],[Facturación atraso]]</f>
        <v>18585</v>
      </c>
      <c r="W58" s="6">
        <f>IFERROR(IF(AND(V58&gt;R58,J58&gt;=R58),ROUNDDOWN((Tabla145[[#This Row],[Producción para venta nueva]])/R58,0)*R58,0),0)</f>
        <v>0</v>
      </c>
      <c r="X58" s="76">
        <v>0</v>
      </c>
      <c r="Y58" s="6">
        <f>IF(Tabla145[[#This Row],[Venta del mes]]&gt;0,Tabla145[[#This Row],[Venta del mes]]+Tabla145[[#This Row],[Ajuste venta nueva]],0)</f>
        <v>0</v>
      </c>
      <c r="Z58" s="6">
        <f>+Tabla145[[#This Row],[Producción para venta nueva]]-Tabla145[[#This Row],[Facturación Venta nueva]]</f>
        <v>18585</v>
      </c>
      <c r="AA58" s="6">
        <f>IF(AND(A58=1,Tabla145[[#This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8" s="6">
        <v>0</v>
      </c>
      <c r="AC58" s="6">
        <f>IF(Tabla145[[#This Row],[Disponible stock sin venta]]&gt;0,Tabla145[[#This Row],[Disponible stock sin venta]]+Tabla145[[#This Row],[Ajuste stock sin venta]],0)</f>
        <v>0</v>
      </c>
      <c r="AD58" s="3">
        <f>IFERROR(VLOOKUP(Tabla145[[#This Row],[Llave]],'[16]TD Puerto'!$A:$D,4,FALSE),0)</f>
        <v>0</v>
      </c>
      <c r="AE58" s="3">
        <v>0</v>
      </c>
      <c r="AF58" s="3">
        <f>+Tabla145[[#This Row],[Plan Irrestricto Inicial]]</f>
        <v>0</v>
      </c>
      <c r="AG58" s="3">
        <f>+Tabla145[[#This Row],[En puerto a facturar]]</f>
        <v>0</v>
      </c>
      <c r="AH58" s="3">
        <f>+Tabla145[[#This Row],[Facturación atraso]]</f>
        <v>0</v>
      </c>
      <c r="AI58" s="3">
        <f>+Tabla145[[#This Row],[Plan Irrestricto]]-Tabla145[[#This Row],[Puerto ]]-Tabla145[[#This Row],[Atraso]]</f>
        <v>0</v>
      </c>
      <c r="AJ5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58" s="3">
        <f>+Tabla145[[#This Row],[Facturación atraso]]</f>
        <v>0</v>
      </c>
      <c r="AL58" s="3">
        <f>+Tabla145[[#This Row],[Plan Ajustado]]-Tabla145[[#This Row],[ Atraso ajustado]]-Tabla145[[#This Row],[Puerto ]]</f>
        <v>0</v>
      </c>
      <c r="AM58" s="6">
        <f>IFERROR(VLOOKUP(Tabla145[[#This Row],[Llave]],[18]!Tabla14[#All],34,FALSE),0)</f>
        <v>0</v>
      </c>
      <c r="AN58" s="6">
        <f>IFERROR(VLOOKUP(Tabla145[[#This Row],[Llave]],[18]!Tabla14[#All],35,FALSE),0)</f>
        <v>0</v>
      </c>
      <c r="AO58" s="3" t="str">
        <f>IF(Tabla145[[#This Row],[Plan Ajustado]]&gt;Tabla145[[#This Row],[En puerto a facturar]],"Si","No")</f>
        <v>No</v>
      </c>
      <c r="AP5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58" s="3">
        <f>IF(Tabla145[[#This Row],[Necesidad]]&gt;=Tabla145[[#This Row],[Stock al día]],Tabla145[[#This Row],[Stock al día]],Tabla145[[#This Row],[Necesidad]])</f>
        <v>0</v>
      </c>
      <c r="AR58" s="3">
        <f>+Tabla145[[#This Row],[Necesidad]]-Tabla145[[#This Row],[Stock Plan]]</f>
        <v>0</v>
      </c>
      <c r="AS58" s="155">
        <f>IFERROR(VLOOKUP(Tabla145[[#This Row],[Oficina]],[19]Ponderación!$B$14:$E$21,4,FALSE),"")</f>
        <v>44789</v>
      </c>
      <c r="AT5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4.767687552213868</v>
      </c>
      <c r="AU58" s="83">
        <f>IFERROR(VLOOKUP(Tabla145[[#This Row],[Llave]],[17]DELAY!$H:$W,16,FALSE),0)</f>
        <v>4.8652203425229699</v>
      </c>
      <c r="AV5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58" s="5">
        <f>Tabla145[[#This Row],[Ajuste precio IC]]*Tabla145[[#This Row],[Plan Ajustado]]</f>
        <v>0</v>
      </c>
      <c r="AX58" s="30">
        <f>IFERROR(VLOOKUP(Tabla145[[#This Row],[Llave]],'[13]Ultimos precios facturados'!$A:$G,7,FALSE),0)</f>
        <v>4.767687552213868</v>
      </c>
      <c r="AY5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58" s="30">
        <f>IFERROR(VLOOKUP(Tabla145[[#This Row],[Llave]],Hoja2!B:K,10,FALSE),0)</f>
        <v>0</v>
      </c>
      <c r="BA58" s="30">
        <f>IF(Tabla145[[#This Row],[Ajuste precio IC]]="",Tabla145[[#This Row],[Precio ponderado]],Tabla145[[#This Row],[Precio ponderado]])</f>
        <v>0</v>
      </c>
      <c r="BB58" s="82"/>
      <c r="BC58" s="82" t="str">
        <f>IF(AND(Tabla145[[#This Row],[Atraso a facturar]]&gt;0,Tabla145[[#This Row],[Precio Atraso]]=0),"Revisar","OK")</f>
        <v>OK</v>
      </c>
      <c r="BD58" s="82" t="str">
        <f>IF(AND(Tabla145[[#This Row],[Venta del mes]]&gt;0,Tabla145[[#This Row],[Precio venta nueva]]=0),"Revisar","OK")</f>
        <v>OK</v>
      </c>
      <c r="BE58" s="20">
        <f>IFERROR(VLOOKUP(Tabla145[[#This Row],[Llave]],'[5]Consolidación planes'!$A:$M,9,FALSE),0)</f>
        <v>23940</v>
      </c>
      <c r="BF58" s="20">
        <f>IFERROR(VLOOKUP(Tabla145[[#This Row],[Llave]],'[5]Consolidación planes'!$A:$M,10,FALSE),0)</f>
        <v>13680</v>
      </c>
      <c r="BG58" s="20">
        <f>IFERROR(VLOOKUP(Tabla145[[#This Row],[Llave]],'[5]Consolidación planes'!$A:$M,11,FALSE),0)</f>
        <v>23940</v>
      </c>
      <c r="BH58" s="20">
        <f>IFERROR(VLOOKUP(Tabla145[[#This Row],[Llave]],'[5]Consolidación planes'!$A:$M,12,FALSE),0)</f>
        <v>13680</v>
      </c>
      <c r="BI58" s="20">
        <f>IFERROR(VLOOKUP(Tabla145[[#This Row],[Llave]],'[5]Consolidación planes'!$A:$M,13,FALSE),0)</f>
        <v>0</v>
      </c>
      <c r="BJ58" s="20">
        <f>IFERROR(VLOOKUP(Tabla145[[#This Row],[Llave]],'[13]Base ultimos planes'!$A:$M,13,FALSE),0)</f>
        <v>13680</v>
      </c>
      <c r="BK58" s="80">
        <f>IFERROR(VLOOKUP(Tabla145[[#This Row],[Llave]],'[13]Base ultimos planes'!$O:$AA,8,FALSE),0)</f>
        <v>113715</v>
      </c>
      <c r="BL58" s="20">
        <f>IFERROR(VLOOKUP(Tabla145[[#This Row],[Llave]],'[13]Base ultimos planes'!$O:$AA,9,FALSE),0)</f>
        <v>114912</v>
      </c>
      <c r="BM58" s="20">
        <f>IFERROR(VLOOKUP(Tabla145[[#This Row],[Llave]],'[13]Base ultimos planes'!$O:$AA,10,FALSE),0)</f>
        <v>116348</v>
      </c>
      <c r="BN58" s="20">
        <f>IFERROR(VLOOKUP(Tabla145[[#This Row],[Llave]],'[13]Base ultimos planes'!$O:$AA,11,FALSE),0)</f>
        <v>114228</v>
      </c>
      <c r="BO58" s="20">
        <f>IFERROR(VLOOKUP(Tabla145[[#This Row],[Llave]],'[13]Base ultimos planes'!$O:$AA,12,FALSE),0)</f>
        <v>0</v>
      </c>
      <c r="BP58" s="20">
        <f>IFERROR(VLOOKUP(Tabla145[[#This Row],[Llave]],'[13]Base ultimos planes'!$O:$AA,13,FALSE),0)</f>
        <v>115520</v>
      </c>
      <c r="BQ58" s="20"/>
      <c r="BR58" s="20">
        <f>Tabla145[[#This Row],[ RV Producción mes n+1]]*(1-Tabla145[[#This Row],[% Uti. producción]])</f>
        <v>0</v>
      </c>
      <c r="BS58" s="20">
        <f>+Tabla145[[#This Row],[Producción disponible mes n-1]]+Tabla145[[#This Row],[Saldo Volumen disponible]]</f>
        <v>18585</v>
      </c>
      <c r="BT58" s="7">
        <f>IFERROR(VLOOKUP(Tabla145[[#This Row],[Llave]],'[21]RV n+2 y n+3'!$B:$F,4,FALSE),0)</f>
        <v>0</v>
      </c>
      <c r="BU58" s="7">
        <f>+Tabla145[[#This Row],[Asignación mes n+2]]*Tabla145[[#This Row],[% Uti. producción]]</f>
        <v>0</v>
      </c>
      <c r="BV58" s="7">
        <f>+Tabla145[[#This Row],[Ponderación mes n+2]]+Tabla145[[#This Row],[Saldo mes n-1]]</f>
        <v>18585</v>
      </c>
      <c r="BW58" s="7">
        <f>+Tabla145[[#This Row],[Asignación mes n+2]]-Tabla145[[#This Row],[Ponderación mes n+2]]</f>
        <v>0</v>
      </c>
      <c r="BX58" s="7">
        <f>IFERROR(VLOOKUP(Tabla145[[#This Row],[Llave]],'[21]RV n+2 y n+3'!$B:$F,5,FALSE),0)</f>
        <v>0</v>
      </c>
      <c r="BY58" s="7">
        <f>+Tabla145[[#This Row],[Asignación mes n+3]]*Tabla145[[#This Row],[% Uti. producción]]</f>
        <v>0</v>
      </c>
      <c r="BZ58" s="3">
        <f>+Tabla145[[#This Row],[Ponderación mes n+3]]+Tabla145[[#This Row],[Saldo mes n+2]]</f>
        <v>0</v>
      </c>
      <c r="CA58" s="3">
        <f>+Tabla145[[#This Row],[Asignación mes n+3]]-Tabla145[[#This Row],[Ponderación mes n+3]]</f>
        <v>0</v>
      </c>
      <c r="CB58" s="3">
        <f>+Tabla145[[#This Row],[Producción disponible mes n-1]]+Tabla145[[#This Row],[Producción disponible]]</f>
        <v>0</v>
      </c>
      <c r="CC58" s="3">
        <f>+Tabla145[[#This Row],[Saldo mes n+4]]-Tabla145[[#This Row],[ RV Producción mes n+1]]</f>
        <v>0</v>
      </c>
    </row>
    <row r="59" spans="1:81" ht="16" x14ac:dyDescent="0.2">
      <c r="A59">
        <v>1</v>
      </c>
      <c r="B59" t="str">
        <f>Tabla145[[#This Row],[Oficina]]&amp;Tabla145[[#This Row],[Material]]</f>
        <v>Agro Sudamerica1022569</v>
      </c>
      <c r="C59" t="s">
        <v>6</v>
      </c>
      <c r="D59" t="s">
        <v>17</v>
      </c>
      <c r="E59">
        <v>1022569</v>
      </c>
      <c r="F59" t="s">
        <v>277</v>
      </c>
      <c r="G59" t="s">
        <v>18</v>
      </c>
      <c r="H59" t="s">
        <v>21</v>
      </c>
      <c r="I59" s="7">
        <f>IFERROR(VLOOKUP(Tabla145[[#This Row],[Llave]],'[7]RV Producción'!$C:$G,5,FALSE),0)</f>
        <v>0</v>
      </c>
      <c r="J59" s="3">
        <f>IFERROR(IF(Tabla145[[#This Row],[Oficina]]=$I$7,VLOOKUP(Tabla145[[#This Row],[Llave]],'[7]Shangai (Tomas)'!$A:$F,6,FALSE),VLOOKUP(Tabla145[[#This Row],[Llave]],'[7]RV plan de ventas'!$A:$E,5,FALSE)),0)</f>
        <v>0</v>
      </c>
      <c r="K59" s="8">
        <f>IFERROR(VLOOKUP(Tabla145[[#This Row],[Oficina]],[15]Ponderación!$B$2:$E$9,4,FALSE),0)</f>
        <v>0.45719439678473212</v>
      </c>
      <c r="L59" s="7">
        <f>+Tabla145[[#This Row],[ RV Producción mes n+1]]*Tabla145[[#This Row],[% Uti. producción]]</f>
        <v>0</v>
      </c>
      <c r="M59" s="7">
        <f>IFERROR(VLOOKUP(Tabla145[[#This Row],[Material]],[16]Stock!$G:$K,5,FALSE),0)</f>
        <v>90</v>
      </c>
      <c r="N59" s="7">
        <f>IFERROR(VLOOKUP(Tabla145[[#This Row],[Material]],[16]Produccion!$M:$N,2,FALSE),0)</f>
        <v>0</v>
      </c>
      <c r="O59" s="7">
        <f>IFERROR(VLOOKUP(Tabla145[[#This Row],[Llave]],'[16]TD Conf-AP'!$I:$M,4,FALSE),0)</f>
        <v>0</v>
      </c>
      <c r="P59" s="14">
        <f>SUM(Tabla145[[#This Row],[Producción disponible]],Tabla145[[#This Row],[Stock al día]],(Tabla145[[#This Row],[Por producir mes N]]*0.9))-Tabla145[[#This Row],[Producción por despachar mes N]]</f>
        <v>90</v>
      </c>
      <c r="Q59" s="7">
        <f>IFERROR(VLOOKUP(Tabla145[[#This Row],[Llave]],[17]DELAY!$A:$D,4,FALSE),0)</f>
        <v>0</v>
      </c>
      <c r="R59" s="9">
        <v>24000</v>
      </c>
      <c r="S59" s="5">
        <f t="shared" si="5"/>
        <v>0</v>
      </c>
      <c r="T59" s="76">
        <v>0</v>
      </c>
      <c r="U59" s="5">
        <f>+Tabla145[[#This Row],[Atraso a facturar]]+Tabla145[[#This Row],[Ajuste atraso]]</f>
        <v>0</v>
      </c>
      <c r="V59" s="3">
        <f>+Tabla145[[#This Row],[Total disponible]]-Tabla145[[#This Row],[Facturación atraso]]</f>
        <v>90</v>
      </c>
      <c r="W59" s="6">
        <f>IFERROR(IF(AND(V59&gt;R59,J59&gt;=R59),ROUNDDOWN((Tabla145[[#This Row],[Producción para venta nueva]])/R59,0)*R59,0),0)</f>
        <v>0</v>
      </c>
      <c r="X59" s="76">
        <v>0</v>
      </c>
      <c r="Y59" s="6">
        <f>IF(Tabla145[[#This Row],[Venta del mes]]&gt;0,Tabla145[[#This Row],[Venta del mes]]+Tabla145[[#This Row],[Ajuste venta nueva]],0)</f>
        <v>0</v>
      </c>
      <c r="Z59" s="6">
        <f>+Tabla145[[#This Row],[Producción para venta nueva]]-Tabla145[[#This Row],[Facturación Venta nueva]]</f>
        <v>90</v>
      </c>
      <c r="AA59" s="6">
        <f>IF(AND(A59=1,Tabla145[[#This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59" s="6">
        <v>0</v>
      </c>
      <c r="AC59" s="6">
        <f>IF(Tabla145[[#This Row],[Disponible stock sin venta]]&gt;0,Tabla145[[#This Row],[Disponible stock sin venta]]+Tabla145[[#This Row],[Ajuste stock sin venta]],0)</f>
        <v>0</v>
      </c>
      <c r="AD59" s="3">
        <f>IFERROR(VLOOKUP(Tabla145[[#This Row],[Llave]],'[16]TD Puerto'!$A:$D,4,FALSE),0)</f>
        <v>0</v>
      </c>
      <c r="AE59" s="3">
        <v>0</v>
      </c>
      <c r="AF59" s="3">
        <f>+Tabla145[[#This Row],[Plan Irrestricto Inicial]]</f>
        <v>0</v>
      </c>
      <c r="AG59" s="3">
        <f>+Tabla145[[#This Row],[En puerto a facturar]]</f>
        <v>0</v>
      </c>
      <c r="AH59" s="3">
        <f>+Tabla145[[#This Row],[Facturación atraso]]</f>
        <v>0</v>
      </c>
      <c r="AI59" s="3">
        <f>+Tabla145[[#This Row],[Plan Irrestricto]]-Tabla145[[#This Row],[Puerto ]]-Tabla145[[#This Row],[Atraso]]</f>
        <v>0</v>
      </c>
      <c r="AJ5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59" s="3">
        <f>+Tabla145[[#This Row],[Facturación atraso]]</f>
        <v>0</v>
      </c>
      <c r="AL59" s="3">
        <f>+Tabla145[[#This Row],[Plan Ajustado]]-Tabla145[[#This Row],[ Atraso ajustado]]-Tabla145[[#This Row],[Puerto ]]</f>
        <v>0</v>
      </c>
      <c r="AM59" s="6">
        <f>IFERROR(VLOOKUP(Tabla145[[#This Row],[Llave]],[18]!Tabla14[#All],34,FALSE),0)</f>
        <v>0</v>
      </c>
      <c r="AN59" s="6">
        <f>IFERROR(VLOOKUP(Tabla145[[#This Row],[Llave]],[18]!Tabla14[#All],35,FALSE),0)</f>
        <v>0</v>
      </c>
      <c r="AO59" s="3" t="str">
        <f>IF(Tabla145[[#This Row],[Plan Ajustado]]&gt;Tabla145[[#This Row],[En puerto a facturar]],"Si","No")</f>
        <v>No</v>
      </c>
      <c r="AP5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59" s="3">
        <f>IF(Tabla145[[#This Row],[Necesidad]]&gt;=Tabla145[[#This Row],[Stock al día]],Tabla145[[#This Row],[Stock al día]],Tabla145[[#This Row],[Necesidad]])</f>
        <v>0</v>
      </c>
      <c r="AR59" s="3">
        <f>+Tabla145[[#This Row],[Necesidad]]-Tabla145[[#This Row],[Stock Plan]]</f>
        <v>0</v>
      </c>
      <c r="AS59" s="155">
        <f>IFERROR(VLOOKUP(Tabla145[[#This Row],[Oficina]],[19]Ponderación!$B$14:$E$21,4,FALSE),"")</f>
        <v>44789</v>
      </c>
      <c r="AT5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7.0788385399999996</v>
      </c>
      <c r="AU59" s="83">
        <f>IFERROR(VLOOKUP(Tabla145[[#This Row],[Llave]],[17]DELAY!$H:$W,16,FALSE),0)</f>
        <v>0</v>
      </c>
      <c r="AV5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59" s="5">
        <f>Tabla145[[#This Row],[Ajuste precio IC]]*Tabla145[[#This Row],[Plan Ajustado]]</f>
        <v>0</v>
      </c>
      <c r="AX59" s="30">
        <f>IFERROR(VLOOKUP(Tabla145[[#This Row],[Llave]],'[13]Ultimos precios facturados'!$A:$G,7,FALSE),0)</f>
        <v>7.0788385399999996</v>
      </c>
      <c r="AY5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59" s="30">
        <f>IFERROR(VLOOKUP(Tabla145[[#This Row],[Llave]],Hoja2!B:K,10,FALSE),0)</f>
        <v>0</v>
      </c>
      <c r="BA59" s="30">
        <f>IF(Tabla145[[#This Row],[Ajuste precio IC]]="",Tabla145[[#This Row],[Precio ponderado]],Tabla145[[#This Row],[Precio ponderado]])</f>
        <v>0</v>
      </c>
      <c r="BB59" s="82"/>
      <c r="BC59" s="82" t="str">
        <f>IF(AND(Tabla145[[#This Row],[Atraso a facturar]]&gt;0,Tabla145[[#This Row],[Precio Atraso]]=0),"Revisar","OK")</f>
        <v>OK</v>
      </c>
      <c r="BD59" s="82" t="str">
        <f>IF(AND(Tabla145[[#This Row],[Venta del mes]]&gt;0,Tabla145[[#This Row],[Precio venta nueva]]=0),"Revisar","OK")</f>
        <v>OK</v>
      </c>
      <c r="BE59" s="20">
        <f>IFERROR(VLOOKUP(Tabla145[[#This Row],[Llave]],'[5]Consolidación planes'!$A:$M,9,FALSE),0)</f>
        <v>0</v>
      </c>
      <c r="BF59" s="20">
        <f>IFERROR(VLOOKUP(Tabla145[[#This Row],[Llave]],'[5]Consolidación planes'!$A:$M,10,FALSE),0)</f>
        <v>5000</v>
      </c>
      <c r="BG59" s="20">
        <f>IFERROR(VLOOKUP(Tabla145[[#This Row],[Llave]],'[5]Consolidación planes'!$A:$M,11,FALSE),0)</f>
        <v>0</v>
      </c>
      <c r="BH59" s="20">
        <f>IFERROR(VLOOKUP(Tabla145[[#This Row],[Llave]],'[5]Consolidación planes'!$A:$M,12,FALSE),0)</f>
        <v>0</v>
      </c>
      <c r="BI59" s="20">
        <f>IFERROR(VLOOKUP(Tabla145[[#This Row],[Llave]],'[5]Consolidación planes'!$A:$M,13,FALSE),0)</f>
        <v>5000</v>
      </c>
      <c r="BJ59" s="20">
        <f>IFERROR(VLOOKUP(Tabla145[[#This Row],[Llave]],'[13]Base ultimos planes'!$A:$M,13,FALSE),0)</f>
        <v>5000</v>
      </c>
      <c r="BK59" s="80">
        <f>IFERROR(VLOOKUP(Tabla145[[#This Row],[Llave]],'[13]Base ultimos planes'!$O:$AA,8,FALSE),0)</f>
        <v>0</v>
      </c>
      <c r="BL59" s="20">
        <f>IFERROR(VLOOKUP(Tabla145[[#This Row],[Llave]],'[13]Base ultimos planes'!$O:$AA,9,FALSE),0)</f>
        <v>35667</v>
      </c>
      <c r="BM59" s="20">
        <f>IFERROR(VLOOKUP(Tabla145[[#This Row],[Llave]],'[13]Base ultimos planes'!$O:$AA,10,FALSE),0)</f>
        <v>0</v>
      </c>
      <c r="BN59" s="20">
        <f>IFERROR(VLOOKUP(Tabla145[[#This Row],[Llave]],'[13]Base ultimos planes'!$O:$AA,11,FALSE),0)</f>
        <v>0</v>
      </c>
      <c r="BO59" s="20">
        <f>IFERROR(VLOOKUP(Tabla145[[#This Row],[Llave]],'[13]Base ultimos planes'!$O:$AA,12,FALSE),0)</f>
        <v>35400</v>
      </c>
      <c r="BP59" s="20">
        <f>IFERROR(VLOOKUP(Tabla145[[#This Row],[Llave]],'[13]Base ultimos planes'!$O:$AA,13,FALSE),0)</f>
        <v>35437</v>
      </c>
      <c r="BQ59" s="20"/>
      <c r="BR59" s="20">
        <f>Tabla145[[#This Row],[ RV Producción mes n+1]]*(1-Tabla145[[#This Row],[% Uti. producción]])</f>
        <v>0</v>
      </c>
      <c r="BS59" s="20">
        <f>+Tabla145[[#This Row],[Producción disponible mes n-1]]+Tabla145[[#This Row],[Saldo Volumen disponible]]</f>
        <v>90</v>
      </c>
      <c r="BT59" s="7">
        <f>IFERROR(VLOOKUP(Tabla145[[#This Row],[Llave]],'[21]RV n+2 y n+3'!$B:$F,4,FALSE),0)</f>
        <v>0</v>
      </c>
      <c r="BU59" s="7">
        <f>+Tabla145[[#This Row],[Asignación mes n+2]]*Tabla145[[#This Row],[% Uti. producción]]</f>
        <v>0</v>
      </c>
      <c r="BV59" s="7">
        <f>+Tabla145[[#This Row],[Ponderación mes n+2]]+Tabla145[[#This Row],[Saldo mes n-1]]</f>
        <v>90</v>
      </c>
      <c r="BW59" s="7">
        <f>+Tabla145[[#This Row],[Asignación mes n+2]]-Tabla145[[#This Row],[Ponderación mes n+2]]</f>
        <v>0</v>
      </c>
      <c r="BX59" s="7">
        <f>IFERROR(VLOOKUP(Tabla145[[#This Row],[Llave]],'[21]RV n+2 y n+3'!$B:$F,5,FALSE),0)</f>
        <v>110</v>
      </c>
      <c r="BY59" s="7">
        <f>+Tabla145[[#This Row],[Asignación mes n+3]]*Tabla145[[#This Row],[% Uti. producción]]</f>
        <v>50.291383646320533</v>
      </c>
      <c r="BZ59" s="3">
        <f>+Tabla145[[#This Row],[Ponderación mes n+3]]+Tabla145[[#This Row],[Saldo mes n+2]]</f>
        <v>50.291383646320533</v>
      </c>
      <c r="CA59" s="3">
        <f>+Tabla145[[#This Row],[Asignación mes n+3]]-Tabla145[[#This Row],[Ponderación mes n+3]]</f>
        <v>59.708616353679467</v>
      </c>
      <c r="CB59" s="3">
        <f>+Tabla145[[#This Row],[Producción disponible mes n-1]]+Tabla145[[#This Row],[Producción disponible]]</f>
        <v>0</v>
      </c>
      <c r="CC59" s="3">
        <f>+Tabla145[[#This Row],[Saldo mes n+4]]-Tabla145[[#This Row],[ RV Producción mes n+1]]</f>
        <v>0</v>
      </c>
    </row>
    <row r="60" spans="1:81" ht="16" x14ac:dyDescent="0.2">
      <c r="A60">
        <v>1</v>
      </c>
      <c r="B60" t="str">
        <f>Tabla145[[#This Row],[Oficina]]&amp;Tabla145[[#This Row],[Material]]</f>
        <v>Agro Sudamerica1022654</v>
      </c>
      <c r="C60" t="s">
        <v>6</v>
      </c>
      <c r="D60" t="s">
        <v>17</v>
      </c>
      <c r="E60">
        <v>1022654</v>
      </c>
      <c r="F60" t="s">
        <v>286</v>
      </c>
      <c r="G60" t="s">
        <v>71</v>
      </c>
      <c r="H60" t="s">
        <v>72</v>
      </c>
      <c r="I60" s="7">
        <f>IFERROR(VLOOKUP(Tabla145[[#This Row],[Llave]],'[7]RV Producción'!$C:$G,5,FALSE),0)</f>
        <v>0</v>
      </c>
      <c r="J60" s="3">
        <f>IFERROR(IF(Tabla145[[#This Row],[Oficina]]=$I$7,VLOOKUP(Tabla145[[#This Row],[Llave]],'[7]Shangai (Tomas)'!$A:$F,6,FALSE),VLOOKUP(Tabla145[[#This Row],[Llave]],'[7]RV plan de ventas'!$A:$E,5,FALSE)),0)</f>
        <v>0</v>
      </c>
      <c r="K60" s="8">
        <f>IFERROR(VLOOKUP(Tabla145[[#This Row],[Oficina]],[15]Ponderación!$B$2:$E$9,4,FALSE),0)</f>
        <v>0.45719439678473212</v>
      </c>
      <c r="L60" s="7">
        <f>+Tabla145[[#This Row],[ RV Producción mes n+1]]*Tabla145[[#This Row],[% Uti. producción]]</f>
        <v>0</v>
      </c>
      <c r="M60" s="7">
        <f>IFERROR(VLOOKUP(Tabla145[[#This Row],[Material]],[16]Stock!$G:$K,5,FALSE),0)</f>
        <v>0</v>
      </c>
      <c r="N60" s="7">
        <f>IFERROR(VLOOKUP(Tabla145[[#This Row],[Material]],[16]Produccion!$M:$N,2,FALSE),0)</f>
        <v>4</v>
      </c>
      <c r="O60" s="7">
        <f>IFERROR(VLOOKUP(Tabla145[[#This Row],[Llave]],'[16]TD Conf-AP'!$I:$M,4,FALSE),0)</f>
        <v>0</v>
      </c>
      <c r="P60" s="14">
        <f>SUM(Tabla145[[#This Row],[Producción disponible]],Tabla145[[#This Row],[Stock al día]],(Tabla145[[#This Row],[Por producir mes N]]*0.9))-Tabla145[[#This Row],[Producción por despachar mes N]]</f>
        <v>3.6</v>
      </c>
      <c r="Q60" s="7">
        <f>IFERROR(VLOOKUP(Tabla145[[#This Row],[Llave]],[17]DELAY!$A:$D,4,FALSE),0)</f>
        <v>46840</v>
      </c>
      <c r="R60" s="9">
        <v>24000</v>
      </c>
      <c r="S60" s="5">
        <f t="shared" si="5"/>
        <v>0</v>
      </c>
      <c r="T60" s="76">
        <v>0</v>
      </c>
      <c r="U60" s="5">
        <f>+Tabla145[[#This Row],[Atraso a facturar]]+Tabla145[[#This Row],[Ajuste atraso]]</f>
        <v>0</v>
      </c>
      <c r="V60" s="3">
        <f>+Tabla145[[#This Row],[Total disponible]]-Tabla145[[#This Row],[Facturación atraso]]</f>
        <v>3.6</v>
      </c>
      <c r="W60" s="6">
        <f>IFERROR(IF(AND(V60&gt;R60,J60&gt;=R60),ROUNDDOWN((Tabla145[[#This Row],[Producción para venta nueva]])/R60,0)*R60,0),0)</f>
        <v>0</v>
      </c>
      <c r="X60" s="76">
        <v>0</v>
      </c>
      <c r="Y60" s="6">
        <f>IF(Tabla145[[#This Row],[Venta del mes]]&gt;0,Tabla145[[#This Row],[Venta del mes]]+Tabla145[[#This Row],[Ajuste venta nueva]],0)</f>
        <v>0</v>
      </c>
      <c r="Z60" s="6">
        <f>+Tabla145[[#This Row],[Producción para venta nueva]]-Tabla145[[#This Row],[Facturación Venta nueva]]</f>
        <v>3.6</v>
      </c>
      <c r="AA60" s="6">
        <f>IF(AND(A60=1,Tabla145[[#This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60" s="6">
        <v>0</v>
      </c>
      <c r="AC60" s="6">
        <f>IF(Tabla145[[#This Row],[Disponible stock sin venta]]&gt;0,Tabla145[[#This Row],[Disponible stock sin venta]]+Tabla145[[#This Row],[Ajuste stock sin venta]],0)</f>
        <v>0</v>
      </c>
      <c r="AD60" s="3">
        <f>IFERROR(VLOOKUP(Tabla145[[#This Row],[Llave]],'[16]TD Puerto'!$A:$D,4,FALSE),0)</f>
        <v>0</v>
      </c>
      <c r="AE60" s="3">
        <v>0</v>
      </c>
      <c r="AF60" s="3">
        <f>+Tabla145[[#This Row],[Plan Irrestricto Inicial]]</f>
        <v>0</v>
      </c>
      <c r="AG60" s="3">
        <f>+Tabla145[[#This Row],[En puerto a facturar]]</f>
        <v>0</v>
      </c>
      <c r="AH60" s="3">
        <f>+Tabla145[[#This Row],[Facturación atraso]]</f>
        <v>0</v>
      </c>
      <c r="AI60" s="3">
        <f>+Tabla145[[#This Row],[Plan Irrestricto]]-Tabla145[[#This Row],[Puerto ]]-Tabla145[[#This Row],[Atraso]]</f>
        <v>0</v>
      </c>
      <c r="AJ6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60" s="3">
        <f>+Tabla145[[#This Row],[Facturación atraso]]</f>
        <v>0</v>
      </c>
      <c r="AL60" s="3">
        <f>+Tabla145[[#This Row],[Plan Ajustado]]-Tabla145[[#This Row],[ Atraso ajustado]]-Tabla145[[#This Row],[Puerto ]]</f>
        <v>0</v>
      </c>
      <c r="AM60" s="6">
        <f>IFERROR(VLOOKUP(Tabla145[[#This Row],[Llave]],[18]!Tabla14[#All],34,FALSE),0)</f>
        <v>0</v>
      </c>
      <c r="AN60" s="6">
        <f>IFERROR(VLOOKUP(Tabla145[[#This Row],[Llave]],[18]!Tabla14[#All],35,FALSE),0)</f>
        <v>0</v>
      </c>
      <c r="AO60" s="3" t="str">
        <f>IF(Tabla145[[#This Row],[Plan Ajustado]]&gt;Tabla145[[#This Row],[En puerto a facturar]],"Si","No")</f>
        <v>No</v>
      </c>
      <c r="AP6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60" s="3">
        <f>IF(Tabla145[[#This Row],[Necesidad]]&gt;=Tabla145[[#This Row],[Stock al día]],Tabla145[[#This Row],[Stock al día]],Tabla145[[#This Row],[Necesidad]])</f>
        <v>0</v>
      </c>
      <c r="AR60" s="3">
        <f>+Tabla145[[#This Row],[Necesidad]]-Tabla145[[#This Row],[Stock Plan]]</f>
        <v>0</v>
      </c>
      <c r="AS60" s="155">
        <f>IFERROR(VLOOKUP(Tabla145[[#This Row],[Oficina]],[19]Ponderación!$B$14:$E$21,4,FALSE),"")</f>
        <v>44789</v>
      </c>
      <c r="AT6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60" s="83">
        <f>IFERROR(VLOOKUP(Tabla145[[#This Row],[Llave]],[17]DELAY!$H:$W,16,FALSE),0)</f>
        <v>1.81078633005978</v>
      </c>
      <c r="AV6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60" s="5">
        <f>Tabla145[[#This Row],[Ajuste precio IC]]*Tabla145[[#This Row],[Plan Ajustado]]</f>
        <v>0</v>
      </c>
      <c r="AX60" s="30">
        <f>IFERROR(VLOOKUP(Tabla145[[#This Row],[Llave]],'[13]Ultimos precios facturados'!$A:$G,7,FALSE),0)</f>
        <v>0</v>
      </c>
      <c r="AY6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60" s="30">
        <f>IFERROR(VLOOKUP(Tabla145[[#This Row],[Llave]],Hoja2!B:K,10,FALSE),0)</f>
        <v>0</v>
      </c>
      <c r="BA60" s="30">
        <f>IF(Tabla145[[#This Row],[Ajuste precio IC]]="",Tabla145[[#This Row],[Precio ponderado]],Tabla145[[#This Row],[Precio ponderado]])</f>
        <v>0</v>
      </c>
      <c r="BB60" s="82"/>
      <c r="BC60" s="82" t="str">
        <f>IF(AND(Tabla145[[#This Row],[Atraso a facturar]]&gt;0,Tabla145[[#This Row],[Precio Atraso]]=0),"Revisar","OK")</f>
        <v>OK</v>
      </c>
      <c r="BD60" s="82" t="str">
        <f>IF(AND(Tabla145[[#This Row],[Venta del mes]]&gt;0,Tabla145[[#This Row],[Precio venta nueva]]=0),"Revisar","OK")</f>
        <v>OK</v>
      </c>
      <c r="BE60" s="20">
        <f>IFERROR(VLOOKUP(Tabla145[[#This Row],[Llave]],'[5]Consolidación planes'!$A:$M,9,FALSE),0)</f>
        <v>0</v>
      </c>
      <c r="BF60" s="20">
        <f>IFERROR(VLOOKUP(Tabla145[[#This Row],[Llave]],'[5]Consolidación planes'!$A:$M,10,FALSE),0)</f>
        <v>3360</v>
      </c>
      <c r="BG60" s="20">
        <f>IFERROR(VLOOKUP(Tabla145[[#This Row],[Llave]],'[5]Consolidación planes'!$A:$M,11,FALSE),0)</f>
        <v>0</v>
      </c>
      <c r="BH60" s="20">
        <f>IFERROR(VLOOKUP(Tabla145[[#This Row],[Llave]],'[5]Consolidación planes'!$A:$M,12,FALSE),0)</f>
        <v>0</v>
      </c>
      <c r="BI60" s="20">
        <f>IFERROR(VLOOKUP(Tabla145[[#This Row],[Llave]],'[5]Consolidación planes'!$A:$M,13,FALSE),0)</f>
        <v>0</v>
      </c>
      <c r="BJ60" s="20">
        <f>IFERROR(VLOOKUP(Tabla145[[#This Row],[Llave]],'[13]Base ultimos planes'!$A:$M,13,FALSE),0)</f>
        <v>0</v>
      </c>
      <c r="BK60" s="80">
        <f>IFERROR(VLOOKUP(Tabla145[[#This Row],[Llave]],'[13]Base ultimos planes'!$O:$AA,8,FALSE),0)</f>
        <v>0</v>
      </c>
      <c r="BL60" s="20">
        <f>IFERROR(VLOOKUP(Tabla145[[#This Row],[Llave]],'[13]Base ultimos planes'!$O:$AA,9,FALSE),0)</f>
        <v>6104</v>
      </c>
      <c r="BM60" s="20">
        <f>IFERROR(VLOOKUP(Tabla145[[#This Row],[Llave]],'[13]Base ultimos planes'!$O:$AA,10,FALSE),0)</f>
        <v>0</v>
      </c>
      <c r="BN60" s="20">
        <f>IFERROR(VLOOKUP(Tabla145[[#This Row],[Llave]],'[13]Base ultimos planes'!$O:$AA,11,FALSE),0)</f>
        <v>0</v>
      </c>
      <c r="BO60" s="20">
        <f>IFERROR(VLOOKUP(Tabla145[[#This Row],[Llave]],'[13]Base ultimos planes'!$O:$AA,12,FALSE),0)</f>
        <v>0</v>
      </c>
      <c r="BP60" s="20">
        <f>IFERROR(VLOOKUP(Tabla145[[#This Row],[Llave]],'[13]Base ultimos planes'!$O:$AA,13,FALSE),0)</f>
        <v>0</v>
      </c>
      <c r="BQ60" s="20"/>
      <c r="BR60" s="20">
        <f>Tabla145[[#This Row],[ RV Producción mes n+1]]*(1-Tabla145[[#This Row],[% Uti. producción]])</f>
        <v>0</v>
      </c>
      <c r="BS60" s="20">
        <f>+Tabla145[[#This Row],[Producción disponible mes n-1]]+Tabla145[[#This Row],[Saldo Volumen disponible]]</f>
        <v>3.6</v>
      </c>
      <c r="BT60" s="7">
        <f>IFERROR(VLOOKUP(Tabla145[[#This Row],[Llave]],'[21]RV n+2 y n+3'!$B:$F,4,FALSE),0)</f>
        <v>0</v>
      </c>
      <c r="BU60" s="7">
        <f>+Tabla145[[#This Row],[Asignación mes n+2]]*Tabla145[[#This Row],[% Uti. producción]]</f>
        <v>0</v>
      </c>
      <c r="BV60" s="7">
        <f>+Tabla145[[#This Row],[Ponderación mes n+2]]+Tabla145[[#This Row],[Saldo mes n-1]]</f>
        <v>3.6</v>
      </c>
      <c r="BW60" s="7">
        <f>+Tabla145[[#This Row],[Asignación mes n+2]]-Tabla145[[#This Row],[Ponderación mes n+2]]</f>
        <v>0</v>
      </c>
      <c r="BX60" s="7">
        <f>IFERROR(VLOOKUP(Tabla145[[#This Row],[Llave]],'[21]RV n+2 y n+3'!$B:$F,5,FALSE),0)</f>
        <v>0</v>
      </c>
      <c r="BY60" s="7">
        <f>+Tabla145[[#This Row],[Asignación mes n+3]]*Tabla145[[#This Row],[% Uti. producción]]</f>
        <v>0</v>
      </c>
      <c r="BZ60" s="3">
        <f>+Tabla145[[#This Row],[Ponderación mes n+3]]+Tabla145[[#This Row],[Saldo mes n+2]]</f>
        <v>0</v>
      </c>
      <c r="CA60" s="3">
        <f>+Tabla145[[#This Row],[Asignación mes n+3]]-Tabla145[[#This Row],[Ponderación mes n+3]]</f>
        <v>0</v>
      </c>
      <c r="CB60" s="3">
        <f>+Tabla145[[#This Row],[Producción disponible mes n-1]]+Tabla145[[#This Row],[Producción disponible]]</f>
        <v>0</v>
      </c>
      <c r="CC60" s="3">
        <f>+Tabla145[[#This Row],[Saldo mes n+4]]-Tabla145[[#This Row],[ RV Producción mes n+1]]</f>
        <v>0</v>
      </c>
    </row>
    <row r="61" spans="1:81" ht="16" x14ac:dyDescent="0.2">
      <c r="A61">
        <v>1</v>
      </c>
      <c r="B61" t="str">
        <f>Tabla145[[#This Row],[Oficina]]&amp;Tabla145[[#This Row],[Material]]</f>
        <v>Agro Sudamerica1022705</v>
      </c>
      <c r="C61" t="s">
        <v>6</v>
      </c>
      <c r="D61" t="s">
        <v>17</v>
      </c>
      <c r="E61">
        <v>1022705</v>
      </c>
      <c r="F61" t="s">
        <v>150</v>
      </c>
      <c r="G61" t="s">
        <v>11</v>
      </c>
      <c r="H61" t="s">
        <v>47</v>
      </c>
      <c r="I61" s="7">
        <f>IFERROR(VLOOKUP(Tabla145[[#This Row],[Llave]],'[7]RV Producción'!$C:$G,5,FALSE),0)</f>
        <v>0</v>
      </c>
      <c r="J61" s="3">
        <f>IFERROR(IF(Tabla145[[#This Row],[Oficina]]=$I$7,VLOOKUP(Tabla145[[#This Row],[Llave]],'[7]Shangai (Tomas)'!$A:$F,6,FALSE),VLOOKUP(Tabla145[[#This Row],[Llave]],'[7]RV plan de ventas'!$A:$E,5,FALSE)),0)</f>
        <v>0</v>
      </c>
      <c r="K61" s="8">
        <f>IFERROR(VLOOKUP(Tabla145[[#This Row],[Oficina]],[15]Ponderación!$B$2:$E$9,4,FALSE),0)</f>
        <v>0.45719439678473212</v>
      </c>
      <c r="L61" s="7">
        <f>+Tabla145[[#This Row],[ RV Producción mes n+1]]*Tabla145[[#This Row],[% Uti. producción]]</f>
        <v>0</v>
      </c>
      <c r="M61" s="7">
        <f>IFERROR(VLOOKUP(Tabla145[[#This Row],[Material]],[16]Stock!$G:$K,5,FALSE),0)</f>
        <v>0</v>
      </c>
      <c r="N61" s="7">
        <f>IFERROR(VLOOKUP(Tabla145[[#This Row],[Material]],[16]Produccion!$M:$N,2,FALSE),0)</f>
        <v>0</v>
      </c>
      <c r="O61" s="7">
        <f>IFERROR(VLOOKUP(Tabla145[[#This Row],[Llave]],'[16]TD Conf-AP'!$I:$M,4,FALSE),0)</f>
        <v>0</v>
      </c>
      <c r="P61" s="14">
        <f>SUM(Tabla145[[#This Row],[Producción disponible]],Tabla145[[#This Row],[Stock al día]],(Tabla145[[#This Row],[Por producir mes N]]*0.9))-Tabla145[[#This Row],[Producción por despachar mes N]]</f>
        <v>0</v>
      </c>
      <c r="Q61" s="7">
        <f>IFERROR(VLOOKUP(Tabla145[[#This Row],[Llave]],[17]DELAY!$A:$D,4,FALSE),0)</f>
        <v>0</v>
      </c>
      <c r="R61" s="9">
        <v>24000</v>
      </c>
      <c r="S61" s="5">
        <f t="shared" si="5"/>
        <v>0</v>
      </c>
      <c r="T61" s="76">
        <v>0</v>
      </c>
      <c r="U61" s="5">
        <f>+Tabla145[[#This Row],[Atraso a facturar]]+Tabla145[[#This Row],[Ajuste atraso]]</f>
        <v>0</v>
      </c>
      <c r="V61" s="3">
        <f>+Tabla145[[#This Row],[Total disponible]]-Tabla145[[#This Row],[Facturación atraso]]</f>
        <v>0</v>
      </c>
      <c r="W61" s="6">
        <f>IFERROR(IF(AND(V61&gt;R61,J61&gt;=R61),ROUNDDOWN((Tabla145[[#This Row],[Producción para venta nueva]])/R61,0)*R61,0),0)</f>
        <v>0</v>
      </c>
      <c r="X61" s="76">
        <v>0</v>
      </c>
      <c r="Y61" s="6">
        <f>IF(Tabla145[[#This Row],[Venta del mes]]&gt;0,Tabla145[[#This Row],[Venta del mes]]+Tabla145[[#This Row],[Ajuste venta nueva]],0)</f>
        <v>0</v>
      </c>
      <c r="Z61" s="6">
        <f>+Tabla145[[#This Row],[Producción para venta nueva]]-Tabla145[[#This Row],[Facturación Venta nueva]]</f>
        <v>0</v>
      </c>
      <c r="AA61" s="6">
        <f>IF(AND(A61=1,Tabla145[[#This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61" s="6">
        <v>0</v>
      </c>
      <c r="AC61" s="6">
        <f>IF(Tabla145[[#This Row],[Disponible stock sin venta]]&gt;0,Tabla145[[#This Row],[Disponible stock sin venta]]+Tabla145[[#This Row],[Ajuste stock sin venta]],0)</f>
        <v>0</v>
      </c>
      <c r="AD61" s="3">
        <f>IFERROR(VLOOKUP(Tabla145[[#This Row],[Llave]],'[16]TD Puerto'!$A:$D,4,FALSE),0)</f>
        <v>0</v>
      </c>
      <c r="AE61" s="3">
        <v>0</v>
      </c>
      <c r="AF61" s="3">
        <f>+Tabla145[[#This Row],[Plan Irrestricto Inicial]]</f>
        <v>0</v>
      </c>
      <c r="AG61" s="3">
        <f>+Tabla145[[#This Row],[En puerto a facturar]]</f>
        <v>0</v>
      </c>
      <c r="AH61" s="3">
        <f>+Tabla145[[#This Row],[Facturación atraso]]</f>
        <v>0</v>
      </c>
      <c r="AI61" s="3">
        <f>+Tabla145[[#This Row],[Plan Irrestricto]]-Tabla145[[#This Row],[Puerto ]]-Tabla145[[#This Row],[Atraso]]</f>
        <v>0</v>
      </c>
      <c r="AJ6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61" s="3">
        <f>+Tabla145[[#This Row],[Facturación atraso]]</f>
        <v>0</v>
      </c>
      <c r="AL61" s="3">
        <f>+Tabla145[[#This Row],[Plan Ajustado]]-Tabla145[[#This Row],[ Atraso ajustado]]-Tabla145[[#This Row],[Puerto ]]</f>
        <v>0</v>
      </c>
      <c r="AM61" s="6">
        <f>IFERROR(VLOOKUP(Tabla145[[#This Row],[Llave]],[18]!Tabla14[#All],34,FALSE),0)</f>
        <v>0</v>
      </c>
      <c r="AN61" s="6">
        <f>IFERROR(VLOOKUP(Tabla145[[#This Row],[Llave]],[18]!Tabla14[#All],35,FALSE),0)</f>
        <v>0</v>
      </c>
      <c r="AO61" s="3" t="str">
        <f>IF(Tabla145[[#This Row],[Plan Ajustado]]&gt;Tabla145[[#This Row],[En puerto a facturar]],"Si","No")</f>
        <v>No</v>
      </c>
      <c r="AP6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61" s="3">
        <f>IF(Tabla145[[#This Row],[Necesidad]]&gt;=Tabla145[[#This Row],[Stock al día]],Tabla145[[#This Row],[Stock al día]],Tabla145[[#This Row],[Necesidad]])</f>
        <v>0</v>
      </c>
      <c r="AR61" s="3">
        <f>+Tabla145[[#This Row],[Necesidad]]-Tabla145[[#This Row],[Stock Plan]]</f>
        <v>0</v>
      </c>
      <c r="AS61" s="155">
        <f>IFERROR(VLOOKUP(Tabla145[[#This Row],[Oficina]],[19]Ponderación!$B$14:$E$21,4,FALSE),"")</f>
        <v>44789</v>
      </c>
      <c r="AT6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61" s="83">
        <f>IFERROR(VLOOKUP(Tabla145[[#This Row],[Llave]],[17]DELAY!$H:$W,16,FALSE),0)</f>
        <v>0</v>
      </c>
      <c r="AV6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61" s="5">
        <f>Tabla145[[#This Row],[Ajuste precio IC]]*Tabla145[[#This Row],[Plan Ajustado]]</f>
        <v>0</v>
      </c>
      <c r="AX61" s="30">
        <f>IFERROR(VLOOKUP(Tabla145[[#This Row],[Llave]],'[13]Ultimos precios facturados'!$A:$G,7,FALSE),0)</f>
        <v>0</v>
      </c>
      <c r="AY6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61" s="30">
        <f>IFERROR(VLOOKUP(Tabla145[[#This Row],[Llave]],Hoja2!B:K,10,FALSE),0)</f>
        <v>0</v>
      </c>
      <c r="BA61" s="30">
        <f>IF(Tabla145[[#This Row],[Ajuste precio IC]]="",Tabla145[[#This Row],[Precio ponderado]],Tabla145[[#This Row],[Precio ponderado]])</f>
        <v>0</v>
      </c>
      <c r="BB61" s="82"/>
      <c r="BC61" s="82" t="str">
        <f>IF(AND(Tabla145[[#This Row],[Atraso a facturar]]&gt;0,Tabla145[[#This Row],[Precio Atraso]]=0),"Revisar","OK")</f>
        <v>OK</v>
      </c>
      <c r="BD61" s="82" t="str">
        <f>IF(AND(Tabla145[[#This Row],[Venta del mes]]&gt;0,Tabla145[[#This Row],[Precio venta nueva]]=0),"Revisar","OK")</f>
        <v>OK</v>
      </c>
      <c r="BE61" s="20">
        <f>IFERROR(VLOOKUP(Tabla145[[#This Row],[Llave]],'[5]Consolidación planes'!$A:$M,9,FALSE),0)</f>
        <v>0</v>
      </c>
      <c r="BF61" s="20">
        <f>IFERROR(VLOOKUP(Tabla145[[#This Row],[Llave]],'[5]Consolidación planes'!$A:$M,10,FALSE),0)</f>
        <v>0</v>
      </c>
      <c r="BG61" s="20">
        <f>IFERROR(VLOOKUP(Tabla145[[#This Row],[Llave]],'[5]Consolidación planes'!$A:$M,11,FALSE),0)</f>
        <v>0</v>
      </c>
      <c r="BH61" s="20">
        <f>IFERROR(VLOOKUP(Tabla145[[#This Row],[Llave]],'[5]Consolidación planes'!$A:$M,12,FALSE),0)</f>
        <v>0</v>
      </c>
      <c r="BI61" s="20">
        <f>IFERROR(VLOOKUP(Tabla145[[#This Row],[Llave]],'[5]Consolidación planes'!$A:$M,13,FALSE),0)</f>
        <v>0</v>
      </c>
      <c r="BJ61" s="20">
        <f>IFERROR(VLOOKUP(Tabla145[[#This Row],[Llave]],'[13]Base ultimos planes'!$A:$M,13,FALSE),0)</f>
        <v>0</v>
      </c>
      <c r="BK61" s="80">
        <f>IFERROR(VLOOKUP(Tabla145[[#This Row],[Llave]],'[13]Base ultimos planes'!$O:$AA,8,FALSE),0)</f>
        <v>0</v>
      </c>
      <c r="BL61" s="20">
        <f>IFERROR(VLOOKUP(Tabla145[[#This Row],[Llave]],'[13]Base ultimos planes'!$O:$AA,9,FALSE),0)</f>
        <v>0</v>
      </c>
      <c r="BM61" s="20">
        <f>IFERROR(VLOOKUP(Tabla145[[#This Row],[Llave]],'[13]Base ultimos planes'!$O:$AA,10,FALSE),0)</f>
        <v>0</v>
      </c>
      <c r="BN61" s="20">
        <f>IFERROR(VLOOKUP(Tabla145[[#This Row],[Llave]],'[13]Base ultimos planes'!$O:$AA,11,FALSE),0)</f>
        <v>0</v>
      </c>
      <c r="BO61" s="20">
        <f>IFERROR(VLOOKUP(Tabla145[[#This Row],[Llave]],'[13]Base ultimos planes'!$O:$AA,12,FALSE),0)</f>
        <v>0</v>
      </c>
      <c r="BP61" s="20">
        <f>IFERROR(VLOOKUP(Tabla145[[#This Row],[Llave]],'[13]Base ultimos planes'!$O:$AA,13,FALSE),0)</f>
        <v>0</v>
      </c>
      <c r="BQ61" s="20"/>
      <c r="BR61" s="20">
        <f>Tabla145[[#This Row],[ RV Producción mes n+1]]*(1-Tabla145[[#This Row],[% Uti. producción]])</f>
        <v>0</v>
      </c>
      <c r="BS61" s="20">
        <f>+Tabla145[[#This Row],[Producción disponible mes n-1]]+Tabla145[[#This Row],[Saldo Volumen disponible]]</f>
        <v>0</v>
      </c>
      <c r="BT61" s="7">
        <f>IFERROR(VLOOKUP(Tabla145[[#This Row],[Llave]],'[21]RV n+2 y n+3'!$B:$F,4,FALSE),0)</f>
        <v>0</v>
      </c>
      <c r="BU61" s="7">
        <f>+Tabla145[[#This Row],[Asignación mes n+2]]*Tabla145[[#This Row],[% Uti. producción]]</f>
        <v>0</v>
      </c>
      <c r="BV61" s="7">
        <f>+Tabla145[[#This Row],[Ponderación mes n+2]]+Tabla145[[#This Row],[Saldo mes n-1]]</f>
        <v>0</v>
      </c>
      <c r="BW61" s="7">
        <f>+Tabla145[[#This Row],[Asignación mes n+2]]-Tabla145[[#This Row],[Ponderación mes n+2]]</f>
        <v>0</v>
      </c>
      <c r="BX61" s="7">
        <f>IFERROR(VLOOKUP(Tabla145[[#This Row],[Llave]],'[21]RV n+2 y n+3'!$B:$F,5,FALSE),0)</f>
        <v>0</v>
      </c>
      <c r="BY61" s="7">
        <f>+Tabla145[[#This Row],[Asignación mes n+3]]*Tabla145[[#This Row],[% Uti. producción]]</f>
        <v>0</v>
      </c>
      <c r="BZ61" s="3">
        <f>+Tabla145[[#This Row],[Ponderación mes n+3]]+Tabla145[[#This Row],[Saldo mes n+2]]</f>
        <v>0</v>
      </c>
      <c r="CA61" s="3">
        <f>+Tabla145[[#This Row],[Asignación mes n+3]]-Tabla145[[#This Row],[Ponderación mes n+3]]</f>
        <v>0</v>
      </c>
      <c r="CB61" s="3">
        <f>+Tabla145[[#This Row],[Producción disponible mes n-1]]+Tabla145[[#This Row],[Producción disponible]]</f>
        <v>0</v>
      </c>
      <c r="CC61" s="3">
        <f>+Tabla145[[#This Row],[Saldo mes n+4]]-Tabla145[[#This Row],[ RV Producción mes n+1]]</f>
        <v>0</v>
      </c>
    </row>
    <row r="62" spans="1:81" ht="16" x14ac:dyDescent="0.2">
      <c r="A62">
        <v>1</v>
      </c>
      <c r="B62" t="str">
        <f>Tabla145[[#This Row],[Oficina]]&amp;Tabla145[[#This Row],[Material]]</f>
        <v>Agro Sudamerica1022709</v>
      </c>
      <c r="C62" t="s">
        <v>6</v>
      </c>
      <c r="D62" t="s">
        <v>17</v>
      </c>
      <c r="E62">
        <v>1022709</v>
      </c>
      <c r="F62" t="s">
        <v>64</v>
      </c>
      <c r="G62" t="s">
        <v>59</v>
      </c>
      <c r="H62" t="s">
        <v>62</v>
      </c>
      <c r="I62" s="7">
        <f>IFERROR(VLOOKUP(Tabla145[[#This Row],[Llave]],'[7]RV Producción'!$C:$G,5,FALSE),0)</f>
        <v>145034</v>
      </c>
      <c r="J62" s="3">
        <f>IFERROR(IF(Tabla145[[#This Row],[Oficina]]=$I$7,VLOOKUP(Tabla145[[#This Row],[Llave]],'[7]Shangai (Tomas)'!$A:$F,6,FALSE),VLOOKUP(Tabla145[[#This Row],[Llave]],'[7]RV plan de ventas'!$A:$E,5,FALSE)),0)</f>
        <v>144000</v>
      </c>
      <c r="K62" s="8">
        <f>IFERROR(VLOOKUP(Tabla145[[#This Row],[Oficina]],[15]Ponderación!$B$2:$E$9,4,FALSE),0)</f>
        <v>0.45719439678473212</v>
      </c>
      <c r="L62" s="7">
        <f>+Tabla145[[#This Row],[ RV Producción mes n+1]]*Tabla145[[#This Row],[% Uti. producción]]</f>
        <v>66308.732143276837</v>
      </c>
      <c r="M62" s="7">
        <f>IFERROR(VLOOKUP(Tabla145[[#This Row],[Material]],[16]Stock!$G:$K,5,FALSE),0)</f>
        <v>72578</v>
      </c>
      <c r="N62" s="7">
        <f>IFERROR(VLOOKUP(Tabla145[[#This Row],[Material]],[16]Produccion!$M:$N,2,FALSE),0)</f>
        <v>21643.382856457469</v>
      </c>
      <c r="O62" s="7">
        <f>IFERROR(VLOOKUP(Tabla145[[#This Row],[Llave]],'[16]TD Conf-AP'!$I:$M,4,FALSE),0)</f>
        <v>0</v>
      </c>
      <c r="P62" s="14">
        <f>SUM(Tabla145[[#This Row],[Producción disponible]],Tabla145[[#This Row],[Stock al día]],(Tabla145[[#This Row],[Por producir mes N]]*0.9))-Tabla145[[#This Row],[Producción por despachar mes N]]</f>
        <v>158365.77671408857</v>
      </c>
      <c r="Q62" s="7">
        <f>IFERROR(VLOOKUP(Tabla145[[#This Row],[Llave]],[17]DELAY!$A:$D,4,FALSE),0)</f>
        <v>60000</v>
      </c>
      <c r="R62" s="9">
        <v>24000</v>
      </c>
      <c r="S62" s="5">
        <f t="shared" si="5"/>
        <v>60000</v>
      </c>
      <c r="T62" s="76">
        <v>0</v>
      </c>
      <c r="U62" s="5">
        <f>+Tabla145[[#This Row],[Atraso a facturar]]+Tabla145[[#This Row],[Ajuste atraso]]</f>
        <v>60000</v>
      </c>
      <c r="V62" s="3">
        <f>+Tabla145[[#This Row],[Total disponible]]-Tabla145[[#This Row],[Facturación atraso]]</f>
        <v>98365.77671408857</v>
      </c>
      <c r="W62" s="6">
        <f>IFERROR(IF(AND(V62&gt;R62,J62&gt;=R62),ROUNDDOWN((Tabla145[[#This Row],[Producción para venta nueva]])/R62,0)*R62,0),0)</f>
        <v>96000</v>
      </c>
      <c r="X62" s="76">
        <v>0</v>
      </c>
      <c r="Y62" s="6">
        <f>IF(Tabla145[[#This Row],[Venta del mes]]&gt;0,Tabla145[[#This Row],[Venta del mes]]+Tabla145[[#This Row],[Ajuste venta nueva]],0)</f>
        <v>96000</v>
      </c>
      <c r="Z62" s="6">
        <f>+Tabla145[[#This Row],[Producción para venta nueva]]-Tabla145[[#This Row],[Facturación Venta nueva]]</f>
        <v>2365.7767140885699</v>
      </c>
      <c r="AA62" s="6">
        <f>IF(AND(A62=1,Tabla145[[#This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62" s="6">
        <v>0</v>
      </c>
      <c r="AC62" s="6">
        <f>IF(Tabla145[[#This Row],[Disponible stock sin venta]]&gt;0,Tabla145[[#This Row],[Disponible stock sin venta]]+Tabla145[[#This Row],[Ajuste stock sin venta]],0)</f>
        <v>0</v>
      </c>
      <c r="AD62" s="3">
        <f>IFERROR(VLOOKUP(Tabla145[[#This Row],[Llave]],'[16]TD Puerto'!$A:$D,4,FALSE),0)</f>
        <v>23991.64</v>
      </c>
      <c r="AE62" s="3">
        <v>251991.64</v>
      </c>
      <c r="AF62" s="3">
        <f>+Tabla145[[#This Row],[Plan Irrestricto Inicial]]</f>
        <v>251991.64</v>
      </c>
      <c r="AG62" s="3">
        <f>+Tabla145[[#This Row],[En puerto a facturar]]</f>
        <v>23991.64</v>
      </c>
      <c r="AH62" s="3">
        <f>+Tabla145[[#This Row],[Facturación atraso]]</f>
        <v>60000</v>
      </c>
      <c r="AI62" s="3">
        <f>+Tabla145[[#This Row],[Plan Irrestricto]]-Tabla145[[#This Row],[Puerto ]]-Tabla145[[#This Row],[Atraso]]</f>
        <v>168000</v>
      </c>
      <c r="AJ62" s="3">
        <f>IF(Tabla145[[#This Row],[Plan Irrestricto]]&gt;0,SUM(Tabla145[[#This Row],[Facturación atraso]],Tabla145[[#This Row],[Facturación Venta nueva]],Tabla145[[#This Row],[Facturación stock]],Tabla145[[#This Row],[En puerto a facturar]]),0)</f>
        <v>179991.64</v>
      </c>
      <c r="AK62" s="3">
        <f>+Tabla145[[#This Row],[Facturación atraso]]</f>
        <v>60000</v>
      </c>
      <c r="AL62" s="3">
        <f>+Tabla145[[#This Row],[Plan Ajustado]]-Tabla145[[#This Row],[ Atraso ajustado]]-Tabla145[[#This Row],[Puerto ]]</f>
        <v>96000.000000000015</v>
      </c>
      <c r="AM62" s="6">
        <f>IFERROR(VLOOKUP(Tabla145[[#This Row],[Llave]],[18]!Tabla14[#All],34,FALSE),0)</f>
        <v>0</v>
      </c>
      <c r="AN62" s="6">
        <f>IFERROR(VLOOKUP(Tabla145[[#This Row],[Llave]],[18]!Tabla14[#All],35,FALSE),0)</f>
        <v>0</v>
      </c>
      <c r="AO62" s="3" t="str">
        <f>IF(Tabla145[[#This Row],[Plan Ajustado]]&gt;Tabla145[[#This Row],[En puerto a facturar]],"Si","No")</f>
        <v>Si</v>
      </c>
      <c r="AP62" s="3">
        <f>IF(AND(Tabla145[[#This Row],[Plan Ajustado]]&gt;0,Tabla145[[#This Row],[Plan Ajustado]]&gt;Tabla145[[#This Row],[En puerto a facturar]]),(Tabla145[[#This Row],[Plan Ajustado]]-Tabla145[[#This Row],[En puerto a facturar]]),0)</f>
        <v>156000</v>
      </c>
      <c r="AQ62" s="3">
        <f>IF(Tabla145[[#This Row],[Necesidad]]&gt;=Tabla145[[#This Row],[Stock al día]],Tabla145[[#This Row],[Stock al día]],Tabla145[[#This Row],[Necesidad]])</f>
        <v>72578</v>
      </c>
      <c r="AR62" s="3">
        <f>+Tabla145[[#This Row],[Necesidad]]-Tabla145[[#This Row],[Stock Plan]]</f>
        <v>83422</v>
      </c>
      <c r="AS62" s="155">
        <f>IFERROR(VLOOKUP(Tabla145[[#This Row],[Oficina]],[19]Ponderación!$B$14:$E$21,4,FALSE),"")</f>
        <v>44789</v>
      </c>
      <c r="AT6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2.8833402777777799</v>
      </c>
      <c r="AU62" s="83">
        <f>IFERROR(VLOOKUP(Tabla145[[#This Row],[Llave]],[17]DELAY!$H:$W,16,FALSE),0)</f>
        <v>2.8165400962264062</v>
      </c>
      <c r="AV6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2.852168514462563</v>
      </c>
      <c r="AW62" s="5">
        <f>Tabla145[[#This Row],[Ajuste precio IC]]*Tabla145[[#This Row],[Plan Ajustado]]</f>
        <v>507737.78620861121</v>
      </c>
      <c r="AX62" s="30">
        <f>IFERROR(VLOOKUP(Tabla145[[#This Row],[Llave]],'[13]Ultimos precios facturados'!$A:$G,7,FALSE),0)</f>
        <v>2.7396977497390669</v>
      </c>
      <c r="AY6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4.1052252838550546E-2</v>
      </c>
      <c r="AZ62" s="30">
        <f>IFERROR(VLOOKUP(Tabla145[[#This Row],[Llave]],Hoja2!B:K,10,FALSE),0)</f>
        <v>2.8208964939072234</v>
      </c>
      <c r="BA62" s="30">
        <f>IF(Tabla145[[#This Row],[Ajuste precio IC]]="",Tabla145[[#This Row],[Precio ponderado]],Tabla145[[#This Row],[Precio ponderado]])</f>
        <v>2.852168514462563</v>
      </c>
      <c r="BB62" s="82"/>
      <c r="BC62" s="82" t="str">
        <f>IF(AND(Tabla145[[#This Row],[Atraso a facturar]]&gt;0,Tabla145[[#This Row],[Precio Atraso]]=0),"Revisar","OK")</f>
        <v>OK</v>
      </c>
      <c r="BD62" s="82" t="str">
        <f>IF(AND(Tabla145[[#This Row],[Venta del mes]]&gt;0,Tabla145[[#This Row],[Precio venta nueva]]=0),"Revisar","OK")</f>
        <v>OK</v>
      </c>
      <c r="BE62" s="20">
        <f>IFERROR(VLOOKUP(Tabla145[[#This Row],[Llave]],'[5]Consolidación planes'!$A:$M,9,FALSE),0)</f>
        <v>0</v>
      </c>
      <c r="BF62" s="20">
        <f>IFERROR(VLOOKUP(Tabla145[[#This Row],[Llave]],'[5]Consolidación planes'!$A:$M,10,FALSE),0)</f>
        <v>65000</v>
      </c>
      <c r="BG62" s="20">
        <f>IFERROR(VLOOKUP(Tabla145[[#This Row],[Llave]],'[5]Consolidación planes'!$A:$M,11,FALSE),0)</f>
        <v>48000</v>
      </c>
      <c r="BH62" s="20">
        <f>IFERROR(VLOOKUP(Tabla145[[#This Row],[Llave]],'[5]Consolidación planes'!$A:$M,12,FALSE),0)</f>
        <v>120000</v>
      </c>
      <c r="BI62" s="20">
        <f>IFERROR(VLOOKUP(Tabla145[[#This Row],[Llave]],'[5]Consolidación planes'!$A:$M,13,FALSE),0)</f>
        <v>83000</v>
      </c>
      <c r="BJ62" s="20">
        <f>IFERROR(VLOOKUP(Tabla145[[#This Row],[Llave]],'[13]Base ultimos planes'!$A:$M,13,FALSE),0)</f>
        <v>419000</v>
      </c>
      <c r="BK62" s="80">
        <f>IFERROR(VLOOKUP(Tabla145[[#This Row],[Llave]],'[13]Base ultimos planes'!$O:$AA,8,FALSE),0)</f>
        <v>0</v>
      </c>
      <c r="BL62" s="20">
        <f>IFERROR(VLOOKUP(Tabla145[[#This Row],[Llave]],'[13]Base ultimos planes'!$O:$AA,9,FALSE),0)</f>
        <v>171870</v>
      </c>
      <c r="BM62" s="20">
        <f>IFERROR(VLOOKUP(Tabla145[[#This Row],[Llave]],'[13]Base ultimos planes'!$O:$AA,10,FALSE),0)</f>
        <v>122400</v>
      </c>
      <c r="BN62" s="20">
        <f>IFERROR(VLOOKUP(Tabla145[[#This Row],[Llave]],'[13]Base ultimos planes'!$O:$AA,11,FALSE),0)</f>
        <v>301920</v>
      </c>
      <c r="BO62" s="20">
        <f>IFERROR(VLOOKUP(Tabla145[[#This Row],[Llave]],'[13]Base ultimos planes'!$O:$AA,12,FALSE),0)</f>
        <v>224037</v>
      </c>
      <c r="BP62" s="20">
        <f>IFERROR(VLOOKUP(Tabla145[[#This Row],[Llave]],'[13]Base ultimos planes'!$O:$AA,13,FALSE),0)</f>
        <v>1168954</v>
      </c>
      <c r="BQ62" s="20"/>
      <c r="BR62" s="20">
        <f>Tabla145[[#This Row],[ RV Producción mes n+1]]*(1-Tabla145[[#This Row],[% Uti. producción]])</f>
        <v>78725.267856723163</v>
      </c>
      <c r="BS62" s="20">
        <f>+Tabla145[[#This Row],[Producción disponible mes n-1]]+Tabla145[[#This Row],[Saldo Volumen disponible]]</f>
        <v>81091.044570811733</v>
      </c>
      <c r="BT62" s="7">
        <f>IFERROR(VLOOKUP(Tabla145[[#This Row],[Llave]],'[21]RV n+2 y n+3'!$B:$F,4,FALSE),0)</f>
        <v>284151.45189999999</v>
      </c>
      <c r="BU62" s="7">
        <f>+Tabla145[[#This Row],[Asignación mes n+2]]*Tabla145[[#This Row],[% Uti. producción]]</f>
        <v>129912.45164692632</v>
      </c>
      <c r="BV62" s="7">
        <f>+Tabla145[[#This Row],[Ponderación mes n+2]]+Tabla145[[#This Row],[Saldo mes n-1]]</f>
        <v>211003.49621773805</v>
      </c>
      <c r="BW62" s="7">
        <f>+Tabla145[[#This Row],[Asignación mes n+2]]-Tabla145[[#This Row],[Ponderación mes n+2]]</f>
        <v>154239.00025307367</v>
      </c>
      <c r="BX62" s="7">
        <f>IFERROR(VLOOKUP(Tabla145[[#This Row],[Llave]],'[21]RV n+2 y n+3'!$B:$F,5,FALSE),0)</f>
        <v>0</v>
      </c>
      <c r="BY62" s="7">
        <f>+Tabla145[[#This Row],[Asignación mes n+3]]*Tabla145[[#This Row],[% Uti. producción]]</f>
        <v>0</v>
      </c>
      <c r="BZ62" s="3">
        <f>+Tabla145[[#This Row],[Ponderación mes n+3]]+Tabla145[[#This Row],[Saldo mes n+2]]</f>
        <v>154239.00025307367</v>
      </c>
      <c r="CA62" s="3">
        <f>+Tabla145[[#This Row],[Asignación mes n+3]]-Tabla145[[#This Row],[Ponderación mes n+3]]</f>
        <v>0</v>
      </c>
      <c r="CB62" s="3">
        <f>+Tabla145[[#This Row],[Producción disponible mes n-1]]+Tabla145[[#This Row],[Producción disponible]]</f>
        <v>145034</v>
      </c>
      <c r="CC62" s="3">
        <f>+Tabla145[[#This Row],[Saldo mes n+4]]-Tabla145[[#This Row],[ RV Producción mes n+1]]</f>
        <v>0</v>
      </c>
    </row>
    <row r="63" spans="1:81" ht="16" x14ac:dyDescent="0.2">
      <c r="A63">
        <v>1</v>
      </c>
      <c r="B63" t="str">
        <f>Tabla145[[#This Row],[Oficina]]&amp;Tabla145[[#This Row],[Material]]</f>
        <v>Agro Sudamerica1022847</v>
      </c>
      <c r="C63" t="s">
        <v>6</v>
      </c>
      <c r="D63" t="s">
        <v>17</v>
      </c>
      <c r="E63">
        <v>1022847</v>
      </c>
      <c r="F63" t="s">
        <v>58</v>
      </c>
      <c r="G63" t="s">
        <v>56</v>
      </c>
      <c r="H63" t="s">
        <v>57</v>
      </c>
      <c r="I63" s="7">
        <f>IFERROR(VLOOKUP(Tabla145[[#This Row],[Llave]],'[7]RV Producción'!$C:$G,5,FALSE),0)</f>
        <v>18180</v>
      </c>
      <c r="J63" s="3">
        <f>IFERROR(IF(Tabla145[[#This Row],[Oficina]]=$I$7,VLOOKUP(Tabla145[[#This Row],[Llave]],'[7]Shangai (Tomas)'!$A:$F,6,FALSE),VLOOKUP(Tabla145[[#This Row],[Llave]],'[7]RV plan de ventas'!$A:$E,5,FALSE)),0)</f>
        <v>0</v>
      </c>
      <c r="K63" s="8">
        <f>IFERROR(VLOOKUP(Tabla145[[#This Row],[Oficina]],[15]Ponderación!$B$2:$E$9,4,FALSE),0)</f>
        <v>0.45719439678473212</v>
      </c>
      <c r="L63" s="7">
        <f>+Tabla145[[#This Row],[ RV Producción mes n+1]]*Tabla145[[#This Row],[% Uti. producción]]</f>
        <v>8311.7941335464293</v>
      </c>
      <c r="M63" s="7">
        <f>IFERROR(VLOOKUP(Tabla145[[#This Row],[Material]],[16]Stock!$G:$K,5,FALSE),0)</f>
        <v>31633</v>
      </c>
      <c r="N63" s="7">
        <f>IFERROR(VLOOKUP(Tabla145[[#This Row],[Material]],[16]Produccion!$M:$N,2,FALSE),0)</f>
        <v>0</v>
      </c>
      <c r="O63" s="7">
        <f>IFERROR(VLOOKUP(Tabla145[[#This Row],[Llave]],'[16]TD Conf-AP'!$I:$M,4,FALSE),0)</f>
        <v>0</v>
      </c>
      <c r="P63" s="14">
        <f>SUM(Tabla145[[#This Row],[Producción disponible]],Tabla145[[#This Row],[Stock al día]],(Tabla145[[#This Row],[Por producir mes N]]*0.9))-Tabla145[[#This Row],[Producción por despachar mes N]]</f>
        <v>39944.794133546427</v>
      </c>
      <c r="Q63" s="7">
        <f>IFERROR(VLOOKUP(Tabla145[[#This Row],[Llave]],[17]DELAY!$A:$D,4,FALSE),0)</f>
        <v>48000</v>
      </c>
      <c r="R63" s="9">
        <v>24000</v>
      </c>
      <c r="S63" s="5">
        <f t="shared" si="5"/>
        <v>24000</v>
      </c>
      <c r="T63" s="76">
        <v>0</v>
      </c>
      <c r="U63" s="5">
        <f>+Tabla145[[#This Row],[Atraso a facturar]]+Tabla145[[#This Row],[Ajuste atraso]]</f>
        <v>24000</v>
      </c>
      <c r="V63" s="3">
        <f>+Tabla145[[#This Row],[Total disponible]]-Tabla145[[#This Row],[Facturación atraso]]</f>
        <v>15944.794133546427</v>
      </c>
      <c r="W63" s="6">
        <f>IFERROR(IF(AND(V63&gt;R63,J63&gt;=R63),ROUNDDOWN((Tabla145[[#This Row],[Producción para venta nueva]])/R63,0)*R63,0),0)</f>
        <v>0</v>
      </c>
      <c r="X63" s="76">
        <v>0</v>
      </c>
      <c r="Y63" s="6">
        <f>IF(Tabla145[[#This Row],[Venta del mes]]&gt;0,Tabla145[[#This Row],[Venta del mes]]+Tabla145[[#This Row],[Ajuste venta nueva]],0)</f>
        <v>0</v>
      </c>
      <c r="Z63" s="6">
        <f>+Tabla145[[#This Row],[Producción para venta nueva]]-Tabla145[[#This Row],[Facturación Venta nueva]]</f>
        <v>15944.794133546427</v>
      </c>
      <c r="AA63" s="6">
        <f>IF(AND(A63=1,Tabla145[[#This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63" s="6">
        <v>0</v>
      </c>
      <c r="AC63" s="6">
        <f>IF(Tabla145[[#This Row],[Disponible stock sin venta]]&gt;0,Tabla145[[#This Row],[Disponible stock sin venta]]+Tabla145[[#This Row],[Ajuste stock sin venta]],0)</f>
        <v>0</v>
      </c>
      <c r="AD63" s="3">
        <f>IFERROR(VLOOKUP(Tabla145[[#This Row],[Llave]],'[16]TD Puerto'!$A:$D,4,FALSE),0)</f>
        <v>0</v>
      </c>
      <c r="AE63" s="3">
        <v>24000</v>
      </c>
      <c r="AF63" s="3">
        <f>+Tabla145[[#This Row],[Plan Irrestricto Inicial]]</f>
        <v>24000</v>
      </c>
      <c r="AG63" s="3">
        <f>+Tabla145[[#This Row],[En puerto a facturar]]</f>
        <v>0</v>
      </c>
      <c r="AH63" s="3">
        <f>+Tabla145[[#This Row],[Facturación atraso]]</f>
        <v>24000</v>
      </c>
      <c r="AI63" s="3">
        <f>+Tabla145[[#This Row],[Plan Irrestricto]]-Tabla145[[#This Row],[Puerto ]]-Tabla145[[#This Row],[Atraso]]</f>
        <v>0</v>
      </c>
      <c r="AJ63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63" s="3">
        <f>+Tabla145[[#This Row],[Facturación atraso]]</f>
        <v>24000</v>
      </c>
      <c r="AL63" s="3">
        <f>+Tabla145[[#This Row],[Plan Ajustado]]-Tabla145[[#This Row],[ Atraso ajustado]]-Tabla145[[#This Row],[Puerto ]]</f>
        <v>0</v>
      </c>
      <c r="AM63" s="6">
        <f>IFERROR(VLOOKUP(Tabla145[[#This Row],[Llave]],[18]!Tabla14[#All],34,FALSE),0)</f>
        <v>0</v>
      </c>
      <c r="AN63" s="6">
        <f>IFERROR(VLOOKUP(Tabla145[[#This Row],[Llave]],[18]!Tabla14[#All],35,FALSE),0)</f>
        <v>0</v>
      </c>
      <c r="AO63" s="3" t="str">
        <f>IF(Tabla145[[#This Row],[Plan Ajustado]]&gt;Tabla145[[#This Row],[En puerto a facturar]],"Si","No")</f>
        <v>Si</v>
      </c>
      <c r="AP63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63" s="3">
        <f>IF(Tabla145[[#This Row],[Necesidad]]&gt;=Tabla145[[#This Row],[Stock al día]],Tabla145[[#This Row],[Stock al día]],Tabla145[[#This Row],[Necesidad]])</f>
        <v>24000</v>
      </c>
      <c r="AR63" s="3">
        <f>+Tabla145[[#This Row],[Necesidad]]-Tabla145[[#This Row],[Stock Plan]]</f>
        <v>0</v>
      </c>
      <c r="AS63" s="155">
        <f>IFERROR(VLOOKUP(Tabla145[[#This Row],[Oficina]],[19]Ponderación!$B$14:$E$21,4,FALSE),"")</f>
        <v>44789</v>
      </c>
      <c r="AT6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1.3661233038687408</v>
      </c>
      <c r="AU63" s="83">
        <f>IFERROR(VLOOKUP(Tabla145[[#This Row],[Llave]],[17]DELAY!$H:$W,16,FALSE),0)</f>
        <v>1.58960416666667</v>
      </c>
      <c r="AV6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1.58960416666667</v>
      </c>
      <c r="AW63" s="5">
        <f>Tabla145[[#This Row],[Ajuste precio IC]]*Tabla145[[#This Row],[Plan Ajustado]]</f>
        <v>34000</v>
      </c>
      <c r="AX63" s="30">
        <f>IFERROR(VLOOKUP(Tabla145[[#This Row],[Llave]],'[13]Ultimos precios facturados'!$A:$G,7,FALSE),0)</f>
        <v>1.3661233038687408</v>
      </c>
      <c r="AY6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0.16358762211657696</v>
      </c>
      <c r="AZ63" s="30">
        <f>IFERROR(VLOOKUP(Tabla145[[#This Row],[Llave]],Hoja2!B:K,10,FALSE),0)</f>
        <v>1.4166666666666667</v>
      </c>
      <c r="BA63" s="30">
        <f>IF(Tabla145[[#This Row],[Ajuste precio IC]]="",Tabla145[[#This Row],[Precio ponderado]],Tabla145[[#This Row],[Precio ponderado]])</f>
        <v>1.58960416666667</v>
      </c>
      <c r="BB63" s="82"/>
      <c r="BC63" s="82" t="str">
        <f>IF(AND(Tabla145[[#This Row],[Atraso a facturar]]&gt;0,Tabla145[[#This Row],[Precio Atraso]]=0),"Revisar","OK")</f>
        <v>OK</v>
      </c>
      <c r="BD63" s="82" t="str">
        <f>IF(AND(Tabla145[[#This Row],[Venta del mes]]&gt;0,Tabla145[[#This Row],[Precio venta nueva]]=0),"Revisar","OK")</f>
        <v>OK</v>
      </c>
      <c r="BE63" s="20">
        <f>IFERROR(VLOOKUP(Tabla145[[#This Row],[Llave]],'[5]Consolidación planes'!$A:$M,9,FALSE),0)</f>
        <v>28000</v>
      </c>
      <c r="BF63" s="20">
        <f>IFERROR(VLOOKUP(Tabla145[[#This Row],[Llave]],'[5]Consolidación planes'!$A:$M,10,FALSE),0)</f>
        <v>72000</v>
      </c>
      <c r="BG63" s="20">
        <f>IFERROR(VLOOKUP(Tabla145[[#This Row],[Llave]],'[5]Consolidación planes'!$A:$M,11,FALSE),0)</f>
        <v>60000</v>
      </c>
      <c r="BH63" s="20">
        <f>IFERROR(VLOOKUP(Tabla145[[#This Row],[Llave]],'[5]Consolidación planes'!$A:$M,12,FALSE),0)</f>
        <v>24000</v>
      </c>
      <c r="BI63" s="20">
        <f>IFERROR(VLOOKUP(Tabla145[[#This Row],[Llave]],'[5]Consolidación planes'!$A:$M,13,FALSE),0)</f>
        <v>24000</v>
      </c>
      <c r="BJ63" s="20">
        <f>IFERROR(VLOOKUP(Tabla145[[#This Row],[Llave]],'[13]Base ultimos planes'!$A:$M,13,FALSE),0)</f>
        <v>48000</v>
      </c>
      <c r="BK63" s="80">
        <f>IFERROR(VLOOKUP(Tabla145[[#This Row],[Llave]],'[13]Base ultimos planes'!$O:$AA,8,FALSE),0)</f>
        <v>36776.119400000003</v>
      </c>
      <c r="BL63" s="20">
        <f>IFERROR(VLOOKUP(Tabla145[[#This Row],[Llave]],'[13]Base ultimos planes'!$O:$AA,9,FALSE),0)</f>
        <v>95110</v>
      </c>
      <c r="BM63" s="20">
        <f>IFERROR(VLOOKUP(Tabla145[[#This Row],[Llave]],'[13]Base ultimos planes'!$O:$AA,10,FALSE),0)</f>
        <v>77274</v>
      </c>
      <c r="BN63" s="20">
        <f>IFERROR(VLOOKUP(Tabla145[[#This Row],[Llave]],'[13]Base ultimos planes'!$O:$AA,11,FALSE),0)</f>
        <v>28800</v>
      </c>
      <c r="BO63" s="20">
        <f>IFERROR(VLOOKUP(Tabla145[[#This Row],[Llave]],'[13]Base ultimos planes'!$O:$AA,12,FALSE),0)</f>
        <v>31440</v>
      </c>
      <c r="BP63" s="20">
        <f>IFERROR(VLOOKUP(Tabla145[[#This Row],[Llave]],'[13]Base ultimos planes'!$O:$AA,13,FALSE),0)</f>
        <v>67857</v>
      </c>
      <c r="BQ63" s="20"/>
      <c r="BR63" s="20">
        <f>Tabla145[[#This Row],[ RV Producción mes n+1]]*(1-Tabla145[[#This Row],[% Uti. producción]])</f>
        <v>9868.2058664535707</v>
      </c>
      <c r="BS63" s="20">
        <f>+Tabla145[[#This Row],[Producción disponible mes n-1]]+Tabla145[[#This Row],[Saldo Volumen disponible]]</f>
        <v>25813</v>
      </c>
      <c r="BT63" s="7">
        <f>IFERROR(VLOOKUP(Tabla145[[#This Row],[Llave]],'[21]RV n+2 y n+3'!$B:$F,4,FALSE),0)</f>
        <v>44086.894599999992</v>
      </c>
      <c r="BU63" s="7">
        <f>+Tabla145[[#This Row],[Asignación mes n+2]]*Tabla145[[#This Row],[% Uti. producción]]</f>
        <v>20156.281182759059</v>
      </c>
      <c r="BV63" s="7">
        <f>+Tabla145[[#This Row],[Ponderación mes n+2]]+Tabla145[[#This Row],[Saldo mes n-1]]</f>
        <v>45969.281182759063</v>
      </c>
      <c r="BW63" s="7">
        <f>+Tabla145[[#This Row],[Asignación mes n+2]]-Tabla145[[#This Row],[Ponderación mes n+2]]</f>
        <v>23930.613417240933</v>
      </c>
      <c r="BX63" s="7">
        <f>IFERROR(VLOOKUP(Tabla145[[#This Row],[Llave]],'[21]RV n+2 y n+3'!$B:$F,5,FALSE),0)</f>
        <v>40728.299899999998</v>
      </c>
      <c r="BY63" s="7">
        <f>+Tabla145[[#This Row],[Asignación mes n+3]]*Tabla145[[#This Row],[% Uti. producción]]</f>
        <v>18620.750504848165</v>
      </c>
      <c r="BZ63" s="3">
        <f>+Tabla145[[#This Row],[Ponderación mes n+3]]+Tabla145[[#This Row],[Saldo mes n+2]]</f>
        <v>42551.363922089098</v>
      </c>
      <c r="CA63" s="3">
        <f>+Tabla145[[#This Row],[Asignación mes n+3]]-Tabla145[[#This Row],[Ponderación mes n+3]]</f>
        <v>22107.549395151833</v>
      </c>
      <c r="CB63" s="3">
        <f>+Tabla145[[#This Row],[Producción disponible mes n-1]]+Tabla145[[#This Row],[Producción disponible]]</f>
        <v>18180</v>
      </c>
      <c r="CC63" s="3">
        <f>+Tabla145[[#This Row],[Saldo mes n+4]]-Tabla145[[#This Row],[ RV Producción mes n+1]]</f>
        <v>0</v>
      </c>
    </row>
    <row r="64" spans="1:81" ht="16" x14ac:dyDescent="0.2">
      <c r="A64">
        <v>1</v>
      </c>
      <c r="B64" t="str">
        <f>Tabla145[[#This Row],[Oficina]]&amp;Tabla145[[#This Row],[Material]]</f>
        <v>Agro Sudamerica1022855</v>
      </c>
      <c r="C64" t="s">
        <v>6</v>
      </c>
      <c r="D64" t="s">
        <v>17</v>
      </c>
      <c r="E64">
        <v>1022855</v>
      </c>
      <c r="F64" t="s">
        <v>40</v>
      </c>
      <c r="G64" t="s">
        <v>11</v>
      </c>
      <c r="H64" t="s">
        <v>12</v>
      </c>
      <c r="I64" s="7">
        <f>IFERROR(VLOOKUP(Tabla145[[#This Row],[Llave]],'[7]RV Producción'!$C:$G,5,FALSE),0)</f>
        <v>143355</v>
      </c>
      <c r="J64" s="3">
        <f>IFERROR(IF(Tabla145[[#This Row],[Oficina]]=$I$7,VLOOKUP(Tabla145[[#This Row],[Llave]],'[7]Shangai (Tomas)'!$A:$F,6,FALSE),VLOOKUP(Tabla145[[#This Row],[Llave]],'[7]RV plan de ventas'!$A:$E,5,FALSE)),0)</f>
        <v>24000</v>
      </c>
      <c r="K64" s="8">
        <f>IFERROR(VLOOKUP(Tabla145[[#This Row],[Oficina]],[15]Ponderación!$B$2:$E$9,4,FALSE),0)</f>
        <v>0.45719439678473212</v>
      </c>
      <c r="L64" s="7">
        <f>+Tabla145[[#This Row],[ RV Producción mes n+1]]*Tabla145[[#This Row],[% Uti. producción]]</f>
        <v>65541.102751075276</v>
      </c>
      <c r="M64" s="7">
        <f>IFERROR(VLOOKUP(Tabla145[[#This Row],[Material]],[16]Stock!$G:$K,5,FALSE),0)</f>
        <v>18188</v>
      </c>
      <c r="N64" s="7">
        <f>IFERROR(VLOOKUP(Tabla145[[#This Row],[Material]],[16]Produccion!$M:$N,2,FALSE),0)</f>
        <v>5709</v>
      </c>
      <c r="O64" s="7">
        <f>IFERROR(VLOOKUP(Tabla145[[#This Row],[Llave]],'[16]TD Conf-AP'!$I:$M,4,FALSE),0)</f>
        <v>0</v>
      </c>
      <c r="P64" s="14">
        <f>SUM(Tabla145[[#This Row],[Producción disponible]],Tabla145[[#This Row],[Stock al día]],(Tabla145[[#This Row],[Por producir mes N]]*0.9))-Tabla145[[#This Row],[Producción por despachar mes N]]</f>
        <v>88867.202751075281</v>
      </c>
      <c r="Q64" s="7">
        <f>IFERROR(VLOOKUP(Tabla145[[#This Row],[Llave]],[17]DELAY!$A:$D,4,FALSE),0)</f>
        <v>24000</v>
      </c>
      <c r="R64" s="9">
        <v>24000</v>
      </c>
      <c r="S64" s="5">
        <f t="shared" si="5"/>
        <v>24000</v>
      </c>
      <c r="T64" s="76">
        <v>-24000</v>
      </c>
      <c r="U64" s="5">
        <f>+Tabla145[[#This Row],[Atraso a facturar]]+Tabla145[[#This Row],[Ajuste atraso]]</f>
        <v>0</v>
      </c>
      <c r="V64" s="3">
        <f>+Tabla145[[#This Row],[Total disponible]]-Tabla145[[#This Row],[Facturación atraso]]</f>
        <v>88867.202751075281</v>
      </c>
      <c r="W64" s="6">
        <f>IFERROR(IF(AND(V64&gt;R64,J64&gt;=R64),ROUNDDOWN((Tabla145[[#This Row],[Producción para venta nueva]])/R64,0)*R64,0),0)</f>
        <v>72000</v>
      </c>
      <c r="X64" s="76">
        <v>0</v>
      </c>
      <c r="Y64" s="6">
        <f>IF(Tabla145[[#This Row],[Venta del mes]]&gt;0,Tabla145[[#This Row],[Venta del mes]]+Tabla145[[#This Row],[Ajuste venta nueva]],0)</f>
        <v>72000</v>
      </c>
      <c r="Z64" s="6">
        <f>+Tabla145[[#This Row],[Producción para venta nueva]]-Tabla145[[#This Row],[Facturación Venta nueva]]</f>
        <v>16867.202751075281</v>
      </c>
      <c r="AA64" s="6">
        <f>IF(AND(A64=1,Tabla145[[#This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64" s="6">
        <v>0</v>
      </c>
      <c r="AC64" s="6">
        <f>IF(Tabla145[[#This Row],[Disponible stock sin venta]]&gt;0,Tabla145[[#This Row],[Disponible stock sin venta]]+Tabla145[[#This Row],[Ajuste stock sin venta]],0)</f>
        <v>0</v>
      </c>
      <c r="AD64" s="3">
        <f>IFERROR(VLOOKUP(Tabla145[[#This Row],[Llave]],'[16]TD Puerto'!$A:$D,4,FALSE),0)</f>
        <v>0</v>
      </c>
      <c r="AE64" s="3">
        <v>72000</v>
      </c>
      <c r="AF64" s="3">
        <f>+Tabla145[[#This Row],[Plan Irrestricto Inicial]]</f>
        <v>72000</v>
      </c>
      <c r="AG64" s="3">
        <f>+Tabla145[[#This Row],[En puerto a facturar]]</f>
        <v>0</v>
      </c>
      <c r="AH64" s="3">
        <f>+Tabla145[[#This Row],[Facturación atraso]]</f>
        <v>0</v>
      </c>
      <c r="AI64" s="3">
        <f>+Tabla145[[#This Row],[Plan Irrestricto]]-Tabla145[[#This Row],[Puerto ]]-Tabla145[[#This Row],[Atraso]]</f>
        <v>72000</v>
      </c>
      <c r="AJ64" s="3">
        <f>IF(Tabla145[[#This Row],[Plan Irrestricto]]&gt;0,SUM(Tabla145[[#This Row],[Facturación atraso]],Tabla145[[#This Row],[Facturación Venta nueva]],Tabla145[[#This Row],[Facturación stock]],Tabla145[[#This Row],[En puerto a facturar]]),0)</f>
        <v>72000</v>
      </c>
      <c r="AK64" s="3">
        <f>+Tabla145[[#This Row],[Facturación atraso]]</f>
        <v>0</v>
      </c>
      <c r="AL64" s="3">
        <f>+Tabla145[[#This Row],[Plan Ajustado]]-Tabla145[[#This Row],[ Atraso ajustado]]-Tabla145[[#This Row],[Puerto ]]</f>
        <v>72000</v>
      </c>
      <c r="AM64" s="6">
        <f>IFERROR(VLOOKUP(Tabla145[[#This Row],[Llave]],[18]!Tabla14[#All],34,FALSE),0)</f>
        <v>0</v>
      </c>
      <c r="AN64" s="6">
        <f>IFERROR(VLOOKUP(Tabla145[[#This Row],[Llave]],[18]!Tabla14[#All],35,FALSE),0)</f>
        <v>0</v>
      </c>
      <c r="AO64" s="3" t="str">
        <f>IF(Tabla145[[#This Row],[Plan Ajustado]]&gt;Tabla145[[#This Row],[En puerto a facturar]],"Si","No")</f>
        <v>Si</v>
      </c>
      <c r="AP64" s="3">
        <f>IF(AND(Tabla145[[#This Row],[Plan Ajustado]]&gt;0,Tabla145[[#This Row],[Plan Ajustado]]&gt;Tabla145[[#This Row],[En puerto a facturar]]),(Tabla145[[#This Row],[Plan Ajustado]]-Tabla145[[#This Row],[En puerto a facturar]]),0)</f>
        <v>72000</v>
      </c>
      <c r="AQ64" s="3">
        <f>IF(Tabla145[[#This Row],[Necesidad]]&gt;=Tabla145[[#This Row],[Stock al día]],Tabla145[[#This Row],[Stock al día]],Tabla145[[#This Row],[Necesidad]])</f>
        <v>18188</v>
      </c>
      <c r="AR64" s="3">
        <f>+Tabla145[[#This Row],[Necesidad]]-Tabla145[[#This Row],[Stock Plan]]</f>
        <v>53812</v>
      </c>
      <c r="AS64" s="155">
        <f>IFERROR(VLOOKUP(Tabla145[[#This Row],[Oficina]],[19]Ponderación!$B$14:$E$21,4,FALSE),"")</f>
        <v>44789</v>
      </c>
      <c r="AT6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1.0900000000000001</v>
      </c>
      <c r="AU64" s="83">
        <f>IFERROR(VLOOKUP(Tabla145[[#This Row],[Llave]],[17]DELAY!$H:$W,16,FALSE),0)</f>
        <v>1.57</v>
      </c>
      <c r="AV6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1.0900000000000001</v>
      </c>
      <c r="AW64" s="5">
        <f>Tabla145[[#This Row],[Ajuste precio IC]]*Tabla145[[#This Row],[Plan Ajustado]]</f>
        <v>74880</v>
      </c>
      <c r="AX64" s="30">
        <f>IFERROR(VLOOKUP(Tabla145[[#This Row],[Llave]],'[13]Ultimos precios facturados'!$A:$G,7,FALSE),0)</f>
        <v>1.4075576951496656</v>
      </c>
      <c r="AY6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0.22560900788929975</v>
      </c>
      <c r="AZ64" s="30">
        <f>IFERROR(VLOOKUP(Tabla145[[#This Row],[Llave]],Hoja2!B:K,10,FALSE),0)</f>
        <v>1.04</v>
      </c>
      <c r="BA64" s="30">
        <f>IF(Tabla145[[#This Row],[Ajuste precio IC]]="",Tabla145[[#This Row],[Precio ponderado]],Tabla145[[#This Row],[Precio ponderado]])</f>
        <v>1.0900000000000001</v>
      </c>
      <c r="BB64" s="82"/>
      <c r="BC64" s="82" t="str">
        <f>IF(AND(Tabla145[[#This Row],[Atraso a facturar]]&gt;0,Tabla145[[#This Row],[Precio Atraso]]=0),"Revisar","OK")</f>
        <v>OK</v>
      </c>
      <c r="BD64" s="82" t="str">
        <f>IF(AND(Tabla145[[#This Row],[Venta del mes]]&gt;0,Tabla145[[#This Row],[Precio venta nueva]]=0),"Revisar","OK")</f>
        <v>OK</v>
      </c>
      <c r="BE64" s="20">
        <f>IFERROR(VLOOKUP(Tabla145[[#This Row],[Llave]],'[5]Consolidación planes'!$A:$M,9,FALSE),0)</f>
        <v>16600</v>
      </c>
      <c r="BF64" s="20">
        <f>IFERROR(VLOOKUP(Tabla145[[#This Row],[Llave]],'[5]Consolidación planes'!$A:$M,10,FALSE),0)</f>
        <v>24000</v>
      </c>
      <c r="BG64" s="20">
        <f>IFERROR(VLOOKUP(Tabla145[[#This Row],[Llave]],'[5]Consolidación planes'!$A:$M,11,FALSE),0)</f>
        <v>0</v>
      </c>
      <c r="BH64" s="20">
        <f>IFERROR(VLOOKUP(Tabla145[[#This Row],[Llave]],'[5]Consolidación planes'!$A:$M,12,FALSE),0)</f>
        <v>24000</v>
      </c>
      <c r="BI64" s="20">
        <f>IFERROR(VLOOKUP(Tabla145[[#This Row],[Llave]],'[5]Consolidación planes'!$A:$M,13,FALSE),0)</f>
        <v>24000</v>
      </c>
      <c r="BJ64" s="20">
        <f>IFERROR(VLOOKUP(Tabla145[[#This Row],[Llave]],'[13]Base ultimos planes'!$A:$M,13,FALSE),0)</f>
        <v>48000</v>
      </c>
      <c r="BK64" s="80">
        <f>IFERROR(VLOOKUP(Tabla145[[#This Row],[Llave]],'[13]Base ultimos planes'!$O:$AA,8,FALSE),0)</f>
        <v>25937.5</v>
      </c>
      <c r="BL64" s="20">
        <f>IFERROR(VLOOKUP(Tabla145[[#This Row],[Llave]],'[13]Base ultimos planes'!$O:$AA,9,FALSE),0)</f>
        <v>33060</v>
      </c>
      <c r="BM64" s="20">
        <f>IFERROR(VLOOKUP(Tabla145[[#This Row],[Llave]],'[13]Base ultimos planes'!$O:$AA,10,FALSE),0)</f>
        <v>0</v>
      </c>
      <c r="BN64" s="20">
        <f>IFERROR(VLOOKUP(Tabla145[[#This Row],[Llave]],'[13]Base ultimos planes'!$O:$AA,11,FALSE),0)</f>
        <v>30240</v>
      </c>
      <c r="BO64" s="20">
        <f>IFERROR(VLOOKUP(Tabla145[[#This Row],[Llave]],'[13]Base ultimos planes'!$O:$AA,12,FALSE),0)</f>
        <v>33840</v>
      </c>
      <c r="BP64" s="20">
        <f>IFERROR(VLOOKUP(Tabla145[[#This Row],[Llave]],'[13]Base ultimos planes'!$O:$AA,13,FALSE),0)</f>
        <v>67900</v>
      </c>
      <c r="BQ64" s="20"/>
      <c r="BR64" s="20">
        <f>Tabla145[[#This Row],[ RV Producción mes n+1]]*(1-Tabla145[[#This Row],[% Uti. producción]])</f>
        <v>77813.897248924739</v>
      </c>
      <c r="BS64" s="20">
        <f>+Tabla145[[#This Row],[Producción disponible mes n-1]]+Tabla145[[#This Row],[Saldo Volumen disponible]]</f>
        <v>94681.10000000002</v>
      </c>
      <c r="BT64" s="7">
        <f>IFERROR(VLOOKUP(Tabla145[[#This Row],[Llave]],'[21]RV n+2 y n+3'!$B:$F,4,FALSE),0)</f>
        <v>18316.026099999999</v>
      </c>
      <c r="BU64" s="7">
        <f>+Tabla145[[#This Row],[Asignación mes n+2]]*Tabla145[[#This Row],[% Uti. producción]]</f>
        <v>8373.9845042829093</v>
      </c>
      <c r="BV64" s="7">
        <f>+Tabla145[[#This Row],[Ponderación mes n+2]]+Tabla145[[#This Row],[Saldo mes n-1]]</f>
        <v>103055.08450428293</v>
      </c>
      <c r="BW64" s="7">
        <f>+Tabla145[[#This Row],[Asignación mes n+2]]-Tabla145[[#This Row],[Ponderación mes n+2]]</f>
        <v>9942.0415957170899</v>
      </c>
      <c r="BX64" s="7">
        <f>IFERROR(VLOOKUP(Tabla145[[#This Row],[Llave]],'[21]RV n+2 y n+3'!$B:$F,5,FALSE),0)</f>
        <v>16920.688300000002</v>
      </c>
      <c r="BY64" s="7">
        <f>+Tabla145[[#This Row],[Asignación mes n+3]]*Tabla145[[#This Row],[% Uti. producción]]</f>
        <v>7736.0438805009753</v>
      </c>
      <c r="BZ64" s="3">
        <f>+Tabla145[[#This Row],[Ponderación mes n+3]]+Tabla145[[#This Row],[Saldo mes n+2]]</f>
        <v>17678.085476218064</v>
      </c>
      <c r="CA64" s="3">
        <f>+Tabla145[[#This Row],[Asignación mes n+3]]-Tabla145[[#This Row],[Ponderación mes n+3]]</f>
        <v>9184.6444194990254</v>
      </c>
      <c r="CB64" s="3">
        <f>+Tabla145[[#This Row],[Producción disponible mes n-1]]+Tabla145[[#This Row],[Producción disponible]]</f>
        <v>143355</v>
      </c>
      <c r="CC64" s="3">
        <f>+Tabla145[[#This Row],[Saldo mes n+4]]-Tabla145[[#This Row],[ RV Producción mes n+1]]</f>
        <v>0</v>
      </c>
    </row>
    <row r="65" spans="1:81" ht="16" x14ac:dyDescent="0.2">
      <c r="A65">
        <v>1</v>
      </c>
      <c r="B65" t="str">
        <f>Tabla145[[#This Row],[Oficina]]&amp;Tabla145[[#This Row],[Material]]</f>
        <v>Agro Sudamerica1022920</v>
      </c>
      <c r="C65" t="s">
        <v>6</v>
      </c>
      <c r="D65" t="s">
        <v>17</v>
      </c>
      <c r="E65">
        <v>1022920</v>
      </c>
      <c r="F65" t="s">
        <v>329</v>
      </c>
      <c r="G65" t="s">
        <v>11</v>
      </c>
      <c r="H65" t="s">
        <v>41</v>
      </c>
      <c r="I65" s="7">
        <f>IFERROR(VLOOKUP(Tabla145[[#This Row],[Llave]],'[7]RV Producción'!$C:$G,5,FALSE),0)</f>
        <v>0</v>
      </c>
      <c r="J65" s="3">
        <f>IFERROR(IF(Tabla145[[#This Row],[Oficina]]=$I$7,VLOOKUP(Tabla145[[#This Row],[Llave]],'[7]Shangai (Tomas)'!$A:$F,6,FALSE),VLOOKUP(Tabla145[[#This Row],[Llave]],'[7]RV plan de ventas'!$A:$E,5,FALSE)),0)</f>
        <v>6425</v>
      </c>
      <c r="K65" s="8">
        <f>IFERROR(VLOOKUP(Tabla145[[#This Row],[Oficina]],[15]Ponderación!$B$2:$E$9,4,FALSE),0)</f>
        <v>0.45719439678473212</v>
      </c>
      <c r="L65" s="7">
        <f>+Tabla145[[#This Row],[ RV Producción mes n+1]]*Tabla145[[#This Row],[% Uti. producción]]</f>
        <v>0</v>
      </c>
      <c r="M65" s="7">
        <f>IFERROR(VLOOKUP(Tabla145[[#This Row],[Material]],[16]Stock!$G:$K,5,FALSE),0)</f>
        <v>24678</v>
      </c>
      <c r="N65" s="7">
        <f>IFERROR(VLOOKUP(Tabla145[[#This Row],[Material]],[16]Produccion!$M:$N,2,FALSE),0)</f>
        <v>5345</v>
      </c>
      <c r="O65" s="7">
        <f>IFERROR(VLOOKUP(Tabla145[[#This Row],[Llave]],'[16]TD Conf-AP'!$I:$M,4,FALSE),0)</f>
        <v>0</v>
      </c>
      <c r="P65" s="14">
        <f>SUM(Tabla145[[#This Row],[Producción disponible]],Tabla145[[#This Row],[Stock al día]],(Tabla145[[#This Row],[Por producir mes N]]*0.9))-Tabla145[[#This Row],[Producción por despachar mes N]]</f>
        <v>29488.5</v>
      </c>
      <c r="Q65" s="7">
        <f>IFERROR(VLOOKUP(Tabla145[[#This Row],[Llave]],[17]DELAY!$A:$D,4,FALSE),0)</f>
        <v>24000</v>
      </c>
      <c r="R65" s="9">
        <v>24000</v>
      </c>
      <c r="S65" s="5">
        <f t="shared" si="5"/>
        <v>24000</v>
      </c>
      <c r="T65" s="76">
        <v>-24000</v>
      </c>
      <c r="U65" s="5">
        <f>+Tabla145[[#This Row],[Atraso a facturar]]+Tabla145[[#This Row],[Ajuste atraso]]</f>
        <v>0</v>
      </c>
      <c r="V65" s="3">
        <f>+Tabla145[[#This Row],[Total disponible]]-Tabla145[[#This Row],[Facturación atraso]]</f>
        <v>29488.5</v>
      </c>
      <c r="W65" s="6">
        <f>IFERROR(IF(AND(V65&gt;R65,J65&gt;=R65),ROUNDDOWN((Tabla145[[#This Row],[Producción para venta nueva]])/R65,0)*R65,0),0)</f>
        <v>0</v>
      </c>
      <c r="X65" s="76">
        <v>0</v>
      </c>
      <c r="Y65" s="6">
        <f>IF(Tabla145[[#This Row],[Venta del mes]]&gt;0,Tabla145[[#This Row],[Venta del mes]]+Tabla145[[#This Row],[Ajuste venta nueva]],0)</f>
        <v>0</v>
      </c>
      <c r="Z65" s="6">
        <f>+Tabla145[[#This Row],[Producción para venta nueva]]-Tabla145[[#This Row],[Facturación Venta nueva]]</f>
        <v>29488.5</v>
      </c>
      <c r="AA65" s="6">
        <f>IF(AND(A65=1,Tabla145[[#This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24000</v>
      </c>
      <c r="AB65" s="6">
        <v>0</v>
      </c>
      <c r="AC65" s="6">
        <f>IF(Tabla145[[#This Row],[Disponible stock sin venta]]&gt;0,Tabla145[[#This Row],[Disponible stock sin venta]]+Tabla145[[#This Row],[Ajuste stock sin venta]],0)</f>
        <v>24000</v>
      </c>
      <c r="AD65" s="3">
        <f>IFERROR(VLOOKUP(Tabla145[[#This Row],[Llave]],'[16]TD Puerto'!$A:$D,4,FALSE),0)</f>
        <v>0</v>
      </c>
      <c r="AE65" s="3">
        <v>0</v>
      </c>
      <c r="AF65" s="3">
        <f>+Tabla145[[#This Row],[Plan Irrestricto Inicial]]</f>
        <v>0</v>
      </c>
      <c r="AG65" s="3">
        <f>+Tabla145[[#This Row],[En puerto a facturar]]</f>
        <v>0</v>
      </c>
      <c r="AH65" s="3">
        <f>+Tabla145[[#This Row],[Facturación atraso]]</f>
        <v>0</v>
      </c>
      <c r="AI65" s="3">
        <f>+Tabla145[[#This Row],[Plan Irrestricto]]-Tabla145[[#This Row],[Puerto ]]-Tabla145[[#This Row],[Atraso]]</f>
        <v>0</v>
      </c>
      <c r="AJ6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65" s="3">
        <f>+Tabla145[[#This Row],[Facturación atraso]]</f>
        <v>0</v>
      </c>
      <c r="AL65" s="3">
        <f>+Tabla145[[#This Row],[Plan Ajustado]]-Tabla145[[#This Row],[ Atraso ajustado]]-Tabla145[[#This Row],[Puerto ]]</f>
        <v>0</v>
      </c>
      <c r="AM65" s="6">
        <f>IFERROR(VLOOKUP(Tabla145[[#This Row],[Llave]],[18]!Tabla14[#All],34,FALSE),0)</f>
        <v>0</v>
      </c>
      <c r="AN65" s="6">
        <f>IFERROR(VLOOKUP(Tabla145[[#This Row],[Llave]],[18]!Tabla14[#All],35,FALSE),0)</f>
        <v>0</v>
      </c>
      <c r="AO65" s="3" t="str">
        <f>IF(Tabla145[[#This Row],[Plan Ajustado]]&gt;Tabla145[[#This Row],[En puerto a facturar]],"Si","No")</f>
        <v>No</v>
      </c>
      <c r="AP6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65" s="3">
        <f>IF(Tabla145[[#This Row],[Necesidad]]&gt;=Tabla145[[#This Row],[Stock al día]],Tabla145[[#This Row],[Stock al día]],Tabla145[[#This Row],[Necesidad]])</f>
        <v>0</v>
      </c>
      <c r="AR65" s="3">
        <f>+Tabla145[[#This Row],[Necesidad]]-Tabla145[[#This Row],[Stock Plan]]</f>
        <v>0</v>
      </c>
      <c r="AS65" s="155">
        <f>IFERROR(VLOOKUP(Tabla145[[#This Row],[Oficina]],[19]Ponderación!$B$14:$E$21,4,FALSE),"")</f>
        <v>44789</v>
      </c>
      <c r="AT6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1.13665369649805</v>
      </c>
      <c r="AU65" s="83">
        <f>IFERROR(VLOOKUP(Tabla145[[#This Row],[Llave]],[17]DELAY!$H:$W,16,FALSE),0)</f>
        <v>0.97040708333333392</v>
      </c>
      <c r="AV6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65" s="5">
        <f>Tabla145[[#This Row],[Ajuste precio IC]]*Tabla145[[#This Row],[Plan Ajustado]]</f>
        <v>0</v>
      </c>
      <c r="AX65" s="30">
        <f>IFERROR(VLOOKUP(Tabla145[[#This Row],[Llave]],'[13]Ultimos precios facturados'!$A:$G,7,FALSE),0)</f>
        <v>0.92024489751700844</v>
      </c>
      <c r="AY6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65" s="30">
        <f>IFERROR(VLOOKUP(Tabla145[[#This Row],[Llave]],Hoja2!B:K,10,FALSE),0)</f>
        <v>1.0866536964980544</v>
      </c>
      <c r="BA65" s="30">
        <f>IF(Tabla145[[#This Row],[Ajuste precio IC]]="",Tabla145[[#This Row],[Precio ponderado]],Tabla145[[#This Row],[Precio ponderado]])</f>
        <v>0</v>
      </c>
      <c r="BB65" s="82"/>
      <c r="BC65" s="82" t="str">
        <f>IF(AND(Tabla145[[#This Row],[Atraso a facturar]]&gt;0,Tabla145[[#This Row],[Precio Atraso]]=0),"Revisar","OK")</f>
        <v>OK</v>
      </c>
      <c r="BD65" s="82" t="str">
        <f>IF(AND(Tabla145[[#This Row],[Venta del mes]]&gt;0,Tabla145[[#This Row],[Precio venta nueva]]=0),"Revisar","OK")</f>
        <v>OK</v>
      </c>
      <c r="BE65" s="20">
        <f>IFERROR(VLOOKUP(Tabla145[[#This Row],[Llave]],'[5]Consolidación planes'!$A:$M,9,FALSE),0)</f>
        <v>0</v>
      </c>
      <c r="BF65" s="20">
        <f>IFERROR(VLOOKUP(Tabla145[[#This Row],[Llave]],'[5]Consolidación planes'!$A:$M,10,FALSE),0)</f>
        <v>0</v>
      </c>
      <c r="BG65" s="20">
        <f>IFERROR(VLOOKUP(Tabla145[[#This Row],[Llave]],'[5]Consolidación planes'!$A:$M,11,FALSE),0)</f>
        <v>0</v>
      </c>
      <c r="BH65" s="20">
        <f>IFERROR(VLOOKUP(Tabla145[[#This Row],[Llave]],'[5]Consolidación planes'!$A:$M,12,FALSE),0)</f>
        <v>0</v>
      </c>
      <c r="BI65" s="20">
        <f>IFERROR(VLOOKUP(Tabla145[[#This Row],[Llave]],'[5]Consolidación planes'!$A:$M,13,FALSE),0)</f>
        <v>4619</v>
      </c>
      <c r="BJ65" s="20">
        <f>IFERROR(VLOOKUP(Tabla145[[#This Row],[Llave]],'[13]Base ultimos planes'!$A:$M,13,FALSE),0)</f>
        <v>0</v>
      </c>
      <c r="BK65" s="80">
        <f>IFERROR(VLOOKUP(Tabla145[[#This Row],[Llave]],'[13]Base ultimos planes'!$O:$AA,8,FALSE),0)</f>
        <v>0</v>
      </c>
      <c r="BL65" s="20">
        <f>IFERROR(VLOOKUP(Tabla145[[#This Row],[Llave]],'[13]Base ultimos planes'!$O:$AA,9,FALSE),0)</f>
        <v>0</v>
      </c>
      <c r="BM65" s="20">
        <f>IFERROR(VLOOKUP(Tabla145[[#This Row],[Llave]],'[13]Base ultimos planes'!$O:$AA,10,FALSE),0)</f>
        <v>0</v>
      </c>
      <c r="BN65" s="20">
        <f>IFERROR(VLOOKUP(Tabla145[[#This Row],[Llave]],'[13]Base ultimos planes'!$O:$AA,11,FALSE),0)</f>
        <v>0</v>
      </c>
      <c r="BO65" s="20">
        <f>IFERROR(VLOOKUP(Tabla145[[#This Row],[Llave]],'[13]Base ultimos planes'!$O:$AA,12,FALSE),0)</f>
        <v>4249</v>
      </c>
      <c r="BP65" s="20">
        <f>IFERROR(VLOOKUP(Tabla145[[#This Row],[Llave]],'[13]Base ultimos planes'!$O:$AA,13,FALSE),0)</f>
        <v>0</v>
      </c>
      <c r="BQ65" s="20"/>
      <c r="BR65" s="20">
        <f>Tabla145[[#This Row],[ RV Producción mes n+1]]*(1-Tabla145[[#This Row],[% Uti. producción]])</f>
        <v>0</v>
      </c>
      <c r="BS65" s="20">
        <f>+Tabla145[[#This Row],[Producción disponible mes n-1]]+Tabla145[[#This Row],[Saldo Volumen disponible]]</f>
        <v>29488.5</v>
      </c>
      <c r="BT65" s="7">
        <f>IFERROR(VLOOKUP(Tabla145[[#This Row],[Llave]],'[21]RV n+2 y n+3'!$B:$F,4,FALSE),0)</f>
        <v>22043.447999999997</v>
      </c>
      <c r="BU65" s="7">
        <f>+Tabla145[[#This Row],[Asignación mes n+2]]*Tabla145[[#This Row],[% Uti. producción]]</f>
        <v>10078.140911415609</v>
      </c>
      <c r="BV65" s="7">
        <f>+Tabla145[[#This Row],[Ponderación mes n+2]]+Tabla145[[#This Row],[Saldo mes n-1]]</f>
        <v>39566.640911415612</v>
      </c>
      <c r="BW65" s="7">
        <f>+Tabla145[[#This Row],[Asignación mes n+2]]-Tabla145[[#This Row],[Ponderación mes n+2]]</f>
        <v>11965.307088584388</v>
      </c>
      <c r="BX65" s="7">
        <f>IFERROR(VLOOKUP(Tabla145[[#This Row],[Llave]],'[21]RV n+2 y n+3'!$B:$F,5,FALSE),0)</f>
        <v>0</v>
      </c>
      <c r="BY65" s="7">
        <f>+Tabla145[[#This Row],[Asignación mes n+3]]*Tabla145[[#This Row],[% Uti. producción]]</f>
        <v>0</v>
      </c>
      <c r="BZ65" s="3">
        <f>+Tabla145[[#This Row],[Ponderación mes n+3]]+Tabla145[[#This Row],[Saldo mes n+2]]</f>
        <v>11965.307088584388</v>
      </c>
      <c r="CA65" s="3">
        <f>+Tabla145[[#This Row],[Asignación mes n+3]]-Tabla145[[#This Row],[Ponderación mes n+3]]</f>
        <v>0</v>
      </c>
      <c r="CB65" s="3">
        <f>+Tabla145[[#This Row],[Producción disponible mes n-1]]+Tabla145[[#This Row],[Producción disponible]]</f>
        <v>0</v>
      </c>
      <c r="CC65" s="3">
        <f>+Tabla145[[#This Row],[Saldo mes n+4]]-Tabla145[[#This Row],[ RV Producción mes n+1]]</f>
        <v>0</v>
      </c>
    </row>
    <row r="66" spans="1:81" ht="16" x14ac:dyDescent="0.2">
      <c r="A66">
        <v>1</v>
      </c>
      <c r="B66" t="str">
        <f>Tabla145[[#This Row],[Oficina]]&amp;Tabla145[[#This Row],[Material]]</f>
        <v>Agro Sudamerica1022921</v>
      </c>
      <c r="C66" t="s">
        <v>6</v>
      </c>
      <c r="D66" t="s">
        <v>17</v>
      </c>
      <c r="E66">
        <v>1022921</v>
      </c>
      <c r="F66" t="s">
        <v>45</v>
      </c>
      <c r="G66" t="s">
        <v>11</v>
      </c>
      <c r="H66" t="s">
        <v>41</v>
      </c>
      <c r="I66" s="7">
        <f>IFERROR(VLOOKUP(Tabla145[[#This Row],[Llave]],'[7]RV Producción'!$C:$G,5,FALSE),0)</f>
        <v>46202</v>
      </c>
      <c r="J66" s="3">
        <f>IFERROR(IF(Tabla145[[#This Row],[Oficina]]=$I$7,VLOOKUP(Tabla145[[#This Row],[Llave]],'[7]Shangai (Tomas)'!$A:$F,6,FALSE),VLOOKUP(Tabla145[[#This Row],[Llave]],'[7]RV plan de ventas'!$A:$E,5,FALSE)),0)</f>
        <v>23000</v>
      </c>
      <c r="K66" s="8">
        <f>IFERROR(VLOOKUP(Tabla145[[#This Row],[Oficina]],[15]Ponderación!$B$2:$E$9,4,FALSE),0)</f>
        <v>0.45719439678473212</v>
      </c>
      <c r="L66" s="7">
        <f>+Tabla145[[#This Row],[ RV Producción mes n+1]]*Tabla145[[#This Row],[% Uti. producción]]</f>
        <v>21123.295520248193</v>
      </c>
      <c r="M66" s="7">
        <f>IFERROR(VLOOKUP(Tabla145[[#This Row],[Material]],[16]Stock!$G:$K,5,FALSE),0)</f>
        <v>4298</v>
      </c>
      <c r="N66" s="7">
        <f>IFERROR(VLOOKUP(Tabla145[[#This Row],[Material]],[16]Produccion!$M:$N,2,FALSE),0)</f>
        <v>0</v>
      </c>
      <c r="O66" s="7">
        <f>IFERROR(VLOOKUP(Tabla145[[#This Row],[Llave]],'[16]TD Conf-AP'!$I:$M,4,FALSE),0)</f>
        <v>0</v>
      </c>
      <c r="P66" s="14">
        <f>SUM(Tabla145[[#This Row],[Producción disponible]],Tabla145[[#This Row],[Stock al día]],(Tabla145[[#This Row],[Por producir mes N]]*0.9))-Tabla145[[#This Row],[Producción por despachar mes N]]</f>
        <v>25421.295520248193</v>
      </c>
      <c r="Q66" s="7">
        <f>IFERROR(VLOOKUP(Tabla145[[#This Row],[Llave]],[17]DELAY!$A:$D,4,FALSE),0)</f>
        <v>27500</v>
      </c>
      <c r="R66" s="9">
        <v>24000</v>
      </c>
      <c r="S66" s="5">
        <f t="shared" si="5"/>
        <v>24000</v>
      </c>
      <c r="T66" s="76">
        <v>0</v>
      </c>
      <c r="U66" s="5">
        <f>+Tabla145[[#This Row],[Atraso a facturar]]+Tabla145[[#This Row],[Ajuste atraso]]</f>
        <v>24000</v>
      </c>
      <c r="V66" s="3">
        <f>+Tabla145[[#This Row],[Total disponible]]-Tabla145[[#This Row],[Facturación atraso]]</f>
        <v>1421.2955202481935</v>
      </c>
      <c r="W66" s="6">
        <f>IFERROR(IF(AND(V66&gt;R66,J66&gt;=R66),ROUNDDOWN((Tabla145[[#This Row],[Producción para venta nueva]])/R66,0)*R66,0),0)</f>
        <v>0</v>
      </c>
      <c r="X66" s="76">
        <v>0</v>
      </c>
      <c r="Y66" s="6">
        <f>IF(Tabla145[[#This Row],[Venta del mes]]&gt;0,Tabla145[[#This Row],[Venta del mes]]+Tabla145[[#This Row],[Ajuste venta nueva]],0)</f>
        <v>0</v>
      </c>
      <c r="Z66" s="6">
        <f>+Tabla145[[#This Row],[Producción para venta nueva]]-Tabla145[[#This Row],[Facturación Venta nueva]]</f>
        <v>1421.2955202481935</v>
      </c>
      <c r="AA66" s="6">
        <f>IF(AND(A66=1,Tabla145[[#This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66" s="6">
        <v>0</v>
      </c>
      <c r="AC66" s="6">
        <f>IF(Tabla145[[#This Row],[Disponible stock sin venta]]&gt;0,Tabla145[[#This Row],[Disponible stock sin venta]]+Tabla145[[#This Row],[Ajuste stock sin venta]],0)</f>
        <v>0</v>
      </c>
      <c r="AD66" s="3">
        <f>IFERROR(VLOOKUP(Tabla145[[#This Row],[Llave]],'[16]TD Puerto'!$A:$D,4,FALSE),0)</f>
        <v>0</v>
      </c>
      <c r="AE66" s="3">
        <v>24000</v>
      </c>
      <c r="AF66" s="3">
        <f>+Tabla145[[#This Row],[Plan Irrestricto Inicial]]</f>
        <v>24000</v>
      </c>
      <c r="AG66" s="3">
        <f>+Tabla145[[#This Row],[En puerto a facturar]]</f>
        <v>0</v>
      </c>
      <c r="AH66" s="3">
        <f>+Tabla145[[#This Row],[Facturación atraso]]</f>
        <v>24000</v>
      </c>
      <c r="AI66" s="3">
        <f>+Tabla145[[#This Row],[Plan Irrestricto]]-Tabla145[[#This Row],[Puerto ]]-Tabla145[[#This Row],[Atraso]]</f>
        <v>0</v>
      </c>
      <c r="AJ66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66" s="3">
        <f>+Tabla145[[#This Row],[Facturación atraso]]</f>
        <v>24000</v>
      </c>
      <c r="AL66" s="3">
        <f>+Tabla145[[#This Row],[Plan Ajustado]]-Tabla145[[#This Row],[ Atraso ajustado]]-Tabla145[[#This Row],[Puerto ]]</f>
        <v>0</v>
      </c>
      <c r="AM66" s="6">
        <f>IFERROR(VLOOKUP(Tabla145[[#This Row],[Llave]],[18]!Tabla14[#All],34,FALSE),0)</f>
        <v>0</v>
      </c>
      <c r="AN66" s="6">
        <f>IFERROR(VLOOKUP(Tabla145[[#This Row],[Llave]],[18]!Tabla14[#All],35,FALSE),0)</f>
        <v>0</v>
      </c>
      <c r="AO66" s="3" t="str">
        <f>IF(Tabla145[[#This Row],[Plan Ajustado]]&gt;Tabla145[[#This Row],[En puerto a facturar]],"Si","No")</f>
        <v>Si</v>
      </c>
      <c r="AP66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66" s="3">
        <f>IF(Tabla145[[#This Row],[Necesidad]]&gt;=Tabla145[[#This Row],[Stock al día]],Tabla145[[#This Row],[Stock al día]],Tabla145[[#This Row],[Necesidad]])</f>
        <v>4298</v>
      </c>
      <c r="AR66" s="3">
        <f>+Tabla145[[#This Row],[Necesidad]]-Tabla145[[#This Row],[Stock Plan]]</f>
        <v>19702</v>
      </c>
      <c r="AS66" s="155">
        <f>IFERROR(VLOOKUP(Tabla145[[#This Row],[Oficina]],[19]Ponderación!$B$14:$E$21,4,FALSE),"")</f>
        <v>44789</v>
      </c>
      <c r="AT6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1.39</v>
      </c>
      <c r="AU66" s="83">
        <f>IFERROR(VLOOKUP(Tabla145[[#This Row],[Llave]],[17]DELAY!$H:$W,16,FALSE),0)</f>
        <v>1.3263933884297519</v>
      </c>
      <c r="AV6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1.3263933884297519</v>
      </c>
      <c r="AW66" s="5">
        <f>Tabla145[[#This Row],[Ajuste precio IC]]*Tabla145[[#This Row],[Plan Ajustado]]</f>
        <v>31199.999999999996</v>
      </c>
      <c r="AX66" s="30">
        <f>IFERROR(VLOOKUP(Tabla145[[#This Row],[Llave]],'[13]Ultimos precios facturados'!$A:$G,7,FALSE),0)</f>
        <v>1.0165138595666714</v>
      </c>
      <c r="AY6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0.30484535547324332</v>
      </c>
      <c r="AZ66" s="30">
        <f>IFERROR(VLOOKUP(Tabla145[[#This Row],[Llave]],Hoja2!B:K,10,FALSE),0)</f>
        <v>1.2999999999999998</v>
      </c>
      <c r="BA66" s="30">
        <f>IF(Tabla145[[#This Row],[Ajuste precio IC]]="",Tabla145[[#This Row],[Precio ponderado]],Tabla145[[#This Row],[Precio ponderado]])</f>
        <v>1.3263933884297519</v>
      </c>
      <c r="BB66" s="82"/>
      <c r="BC66" s="82" t="str">
        <f>IF(AND(Tabla145[[#This Row],[Atraso a facturar]]&gt;0,Tabla145[[#This Row],[Precio Atraso]]=0),"Revisar","OK")</f>
        <v>OK</v>
      </c>
      <c r="BD66" s="82" t="str">
        <f>IF(AND(Tabla145[[#This Row],[Venta del mes]]&gt;0,Tabla145[[#This Row],[Precio venta nueva]]=0),"Revisar","OK")</f>
        <v>OK</v>
      </c>
      <c r="BE66" s="20">
        <f>IFERROR(VLOOKUP(Tabla145[[#This Row],[Llave]],'[5]Consolidación planes'!$A:$M,9,FALSE),0)</f>
        <v>10000</v>
      </c>
      <c r="BF66" s="20">
        <f>IFERROR(VLOOKUP(Tabla145[[#This Row],[Llave]],'[5]Consolidación planes'!$A:$M,10,FALSE),0)</f>
        <v>48000</v>
      </c>
      <c r="BG66" s="20">
        <f>IFERROR(VLOOKUP(Tabla145[[#This Row],[Llave]],'[5]Consolidación planes'!$A:$M,11,FALSE),0)</f>
        <v>10000</v>
      </c>
      <c r="BH66" s="20">
        <f>IFERROR(VLOOKUP(Tabla145[[#This Row],[Llave]],'[5]Consolidación planes'!$A:$M,12,FALSE),0)</f>
        <v>12000</v>
      </c>
      <c r="BI66" s="20">
        <f>IFERROR(VLOOKUP(Tabla145[[#This Row],[Llave]],'[5]Consolidación planes'!$A:$M,13,FALSE),0)</f>
        <v>47000</v>
      </c>
      <c r="BJ66" s="20">
        <f>IFERROR(VLOOKUP(Tabla145[[#This Row],[Llave]],'[13]Base ultimos planes'!$A:$M,13,FALSE),0)</f>
        <v>0</v>
      </c>
      <c r="BK66" s="80">
        <f>IFERROR(VLOOKUP(Tabla145[[#This Row],[Llave]],'[13]Base ultimos planes'!$O:$AA,8,FALSE),0)</f>
        <v>10000</v>
      </c>
      <c r="BL66" s="20">
        <f>IFERROR(VLOOKUP(Tabla145[[#This Row],[Llave]],'[13]Base ultimos planes'!$O:$AA,9,FALSE),0)</f>
        <v>45600</v>
      </c>
      <c r="BM66" s="20">
        <f>IFERROR(VLOOKUP(Tabla145[[#This Row],[Llave]],'[13]Base ultimos planes'!$O:$AA,10,FALSE),0)</f>
        <v>10500</v>
      </c>
      <c r="BN66" s="20">
        <f>IFERROR(VLOOKUP(Tabla145[[#This Row],[Llave]],'[13]Base ultimos planes'!$O:$AA,11,FALSE),0)</f>
        <v>8040</v>
      </c>
      <c r="BO66" s="20">
        <f>IFERROR(VLOOKUP(Tabla145[[#This Row],[Llave]],'[13]Base ultimos planes'!$O:$AA,12,FALSE),0)</f>
        <v>46740</v>
      </c>
      <c r="BP66" s="20">
        <f>IFERROR(VLOOKUP(Tabla145[[#This Row],[Llave]],'[13]Base ultimos planes'!$O:$AA,13,FALSE),0)</f>
        <v>0</v>
      </c>
      <c r="BQ66" s="20"/>
      <c r="BR66" s="20">
        <f>Tabla145[[#This Row],[ RV Producción mes n+1]]*(1-Tabla145[[#This Row],[% Uti. producción]])</f>
        <v>25078.70447975181</v>
      </c>
      <c r="BS66" s="20">
        <f>+Tabla145[[#This Row],[Producción disponible mes n-1]]+Tabla145[[#This Row],[Saldo Volumen disponible]]</f>
        <v>26500.000000000004</v>
      </c>
      <c r="BT66" s="7">
        <f>IFERROR(VLOOKUP(Tabla145[[#This Row],[Llave]],'[21]RV n+2 y n+3'!$B:$F,4,FALSE),0)</f>
        <v>44086.894999999997</v>
      </c>
      <c r="BU66" s="7">
        <f>+Tabla145[[#This Row],[Asignación mes n+2]]*Tabla145[[#This Row],[% Uti. producción]]</f>
        <v>20156.28136563682</v>
      </c>
      <c r="BV66" s="7">
        <f>+Tabla145[[#This Row],[Ponderación mes n+2]]+Tabla145[[#This Row],[Saldo mes n-1]]</f>
        <v>46656.281365636823</v>
      </c>
      <c r="BW66" s="7">
        <f>+Tabla145[[#This Row],[Asignación mes n+2]]-Tabla145[[#This Row],[Ponderación mes n+2]]</f>
        <v>23930.613634363177</v>
      </c>
      <c r="BX66" s="7">
        <f>IFERROR(VLOOKUP(Tabla145[[#This Row],[Llave]],'[21]RV n+2 y n+3'!$B:$F,5,FALSE),0)</f>
        <v>0</v>
      </c>
      <c r="BY66" s="7">
        <f>+Tabla145[[#This Row],[Asignación mes n+3]]*Tabla145[[#This Row],[% Uti. producción]]</f>
        <v>0</v>
      </c>
      <c r="BZ66" s="3">
        <f>+Tabla145[[#This Row],[Ponderación mes n+3]]+Tabla145[[#This Row],[Saldo mes n+2]]</f>
        <v>23930.613634363177</v>
      </c>
      <c r="CA66" s="3">
        <f>+Tabla145[[#This Row],[Asignación mes n+3]]-Tabla145[[#This Row],[Ponderación mes n+3]]</f>
        <v>0</v>
      </c>
      <c r="CB66" s="3">
        <f>+Tabla145[[#This Row],[Producción disponible mes n-1]]+Tabla145[[#This Row],[Producción disponible]]</f>
        <v>46202</v>
      </c>
      <c r="CC66" s="3">
        <f>+Tabla145[[#This Row],[Saldo mes n+4]]-Tabla145[[#This Row],[ RV Producción mes n+1]]</f>
        <v>0</v>
      </c>
    </row>
    <row r="67" spans="1:81" ht="16" x14ac:dyDescent="0.2">
      <c r="A67">
        <v>1</v>
      </c>
      <c r="B67" t="str">
        <f>Tabla145[[#This Row],[Oficina]]&amp;Tabla145[[#This Row],[Material]]</f>
        <v>Agro Sudamerica1022922</v>
      </c>
      <c r="C67" t="s">
        <v>6</v>
      </c>
      <c r="D67" t="s">
        <v>17</v>
      </c>
      <c r="E67">
        <v>1022922</v>
      </c>
      <c r="F67" t="s">
        <v>314</v>
      </c>
      <c r="G67" t="s">
        <v>71</v>
      </c>
      <c r="H67" t="s">
        <v>72</v>
      </c>
      <c r="I67" s="7">
        <f>IFERROR(VLOOKUP(Tabla145[[#This Row],[Llave]],'[7]RV Producción'!$C:$G,5,FALSE),0)</f>
        <v>0</v>
      </c>
      <c r="J67" s="3">
        <f>IFERROR(IF(Tabla145[[#This Row],[Oficina]]=$I$7,VLOOKUP(Tabla145[[#This Row],[Llave]],'[7]Shangai (Tomas)'!$A:$F,6,FALSE),VLOOKUP(Tabla145[[#This Row],[Llave]],'[7]RV plan de ventas'!$A:$E,5,FALSE)),0)</f>
        <v>0</v>
      </c>
      <c r="K67" s="8">
        <f>IFERROR(VLOOKUP(Tabla145[[#This Row],[Oficina]],[15]Ponderación!$B$2:$E$9,4,FALSE),0)</f>
        <v>0.45719439678473212</v>
      </c>
      <c r="L67" s="7">
        <f>+Tabla145[[#This Row],[ RV Producción mes n+1]]*Tabla145[[#This Row],[% Uti. producción]]</f>
        <v>0</v>
      </c>
      <c r="M67" s="7">
        <f>IFERROR(VLOOKUP(Tabla145[[#This Row],[Material]],[16]Stock!$G:$K,5,FALSE),0)</f>
        <v>684</v>
      </c>
      <c r="N67" s="7">
        <f>IFERROR(VLOOKUP(Tabla145[[#This Row],[Material]],[16]Produccion!$M:$N,2,FALSE),0)</f>
        <v>0</v>
      </c>
      <c r="O67" s="7">
        <f>IFERROR(VLOOKUP(Tabla145[[#This Row],[Llave]],'[16]TD Conf-AP'!$I:$M,4,FALSE),0)</f>
        <v>0</v>
      </c>
      <c r="P67" s="14">
        <f>SUM(Tabla145[[#This Row],[Producción disponible]],Tabla145[[#This Row],[Stock al día]],(Tabla145[[#This Row],[Por producir mes N]]*0.9))-Tabla145[[#This Row],[Producción por despachar mes N]]</f>
        <v>684</v>
      </c>
      <c r="Q67" s="7">
        <f>IFERROR(VLOOKUP(Tabla145[[#This Row],[Llave]],[17]DELAY!$A:$D,4,FALSE),0)</f>
        <v>684</v>
      </c>
      <c r="R67" s="9">
        <v>24000</v>
      </c>
      <c r="S67" s="5">
        <f t="shared" si="5"/>
        <v>0</v>
      </c>
      <c r="T67" s="76">
        <v>0</v>
      </c>
      <c r="U67" s="5">
        <f>+Tabla145[[#This Row],[Atraso a facturar]]+Tabla145[[#This Row],[Ajuste atraso]]</f>
        <v>0</v>
      </c>
      <c r="V67" s="3">
        <f>+Tabla145[[#This Row],[Total disponible]]-Tabla145[[#This Row],[Facturación atraso]]</f>
        <v>684</v>
      </c>
      <c r="W67" s="6">
        <f>IFERROR(IF(AND(V67&gt;R67,J67&gt;=R67),ROUNDDOWN((Tabla145[[#This Row],[Producción para venta nueva]])/R67,0)*R67,0),0)</f>
        <v>0</v>
      </c>
      <c r="X67" s="76">
        <v>0</v>
      </c>
      <c r="Y67" s="6">
        <f>IF(Tabla145[[#This Row],[Venta del mes]]&gt;0,Tabla145[[#This Row],[Venta del mes]]+Tabla145[[#This Row],[Ajuste venta nueva]],0)</f>
        <v>0</v>
      </c>
      <c r="Z67" s="6">
        <f>+Tabla145[[#This Row],[Producción para venta nueva]]-Tabla145[[#This Row],[Facturación Venta nueva]]</f>
        <v>684</v>
      </c>
      <c r="AA67" s="6">
        <f>IF(AND(A67=1,Tabla145[[#This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67" s="6">
        <v>0</v>
      </c>
      <c r="AC67" s="6">
        <f>IF(Tabla145[[#This Row],[Disponible stock sin venta]]&gt;0,Tabla145[[#This Row],[Disponible stock sin venta]]+Tabla145[[#This Row],[Ajuste stock sin venta]],0)</f>
        <v>0</v>
      </c>
      <c r="AD67" s="3">
        <f>IFERROR(VLOOKUP(Tabla145[[#This Row],[Llave]],'[16]TD Puerto'!$A:$D,4,FALSE),0)</f>
        <v>0</v>
      </c>
      <c r="AE67" s="3">
        <v>0</v>
      </c>
      <c r="AF67" s="3">
        <f>+Tabla145[[#This Row],[Plan Irrestricto Inicial]]</f>
        <v>0</v>
      </c>
      <c r="AG67" s="3">
        <f>+Tabla145[[#This Row],[En puerto a facturar]]</f>
        <v>0</v>
      </c>
      <c r="AH67" s="3">
        <f>+Tabla145[[#This Row],[Facturación atraso]]</f>
        <v>0</v>
      </c>
      <c r="AI67" s="3">
        <f>+Tabla145[[#This Row],[Plan Irrestricto]]-Tabla145[[#This Row],[Puerto ]]-Tabla145[[#This Row],[Atraso]]</f>
        <v>0</v>
      </c>
      <c r="AJ6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67" s="3">
        <f>+Tabla145[[#This Row],[Facturación atraso]]</f>
        <v>0</v>
      </c>
      <c r="AL67" s="3">
        <f>+Tabla145[[#This Row],[Plan Ajustado]]-Tabla145[[#This Row],[ Atraso ajustado]]-Tabla145[[#This Row],[Puerto ]]</f>
        <v>0</v>
      </c>
      <c r="AM67" s="6">
        <f>IFERROR(VLOOKUP(Tabla145[[#This Row],[Llave]],[18]!Tabla14[#All],34,FALSE),0)</f>
        <v>0</v>
      </c>
      <c r="AN67" s="6">
        <f>IFERROR(VLOOKUP(Tabla145[[#This Row],[Llave]],[18]!Tabla14[#All],35,FALSE),0)</f>
        <v>0</v>
      </c>
      <c r="AO67" s="3" t="str">
        <f>IF(Tabla145[[#This Row],[Plan Ajustado]]&gt;Tabla145[[#This Row],[En puerto a facturar]],"Si","No")</f>
        <v>No</v>
      </c>
      <c r="AP6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67" s="3">
        <f>IF(Tabla145[[#This Row],[Necesidad]]&gt;=Tabla145[[#This Row],[Stock al día]],Tabla145[[#This Row],[Stock al día]],Tabla145[[#This Row],[Necesidad]])</f>
        <v>0</v>
      </c>
      <c r="AR67" s="3">
        <f>+Tabla145[[#This Row],[Necesidad]]-Tabla145[[#This Row],[Stock Plan]]</f>
        <v>0</v>
      </c>
      <c r="AS67" s="155">
        <f>IFERROR(VLOOKUP(Tabla145[[#This Row],[Oficina]],[19]Ponderación!$B$14:$E$21,4,FALSE),"")</f>
        <v>44789</v>
      </c>
      <c r="AT6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1.4005937318696935</v>
      </c>
      <c r="AU67" s="83">
        <f>IFERROR(VLOOKUP(Tabla145[[#This Row],[Llave]],[17]DELAY!$H:$W,16,FALSE),0)</f>
        <v>1.4791994152046799</v>
      </c>
      <c r="AV6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67" s="5">
        <f>Tabla145[[#This Row],[Ajuste precio IC]]*Tabla145[[#This Row],[Plan Ajustado]]</f>
        <v>0</v>
      </c>
      <c r="AX67" s="30">
        <f>IFERROR(VLOOKUP(Tabla145[[#This Row],[Llave]],'[13]Ultimos precios facturados'!$A:$G,7,FALSE),0)</f>
        <v>1.4005937318696935</v>
      </c>
      <c r="AY6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67" s="30">
        <f>IFERROR(VLOOKUP(Tabla145[[#This Row],[Llave]],Hoja2!B:K,10,FALSE),0)</f>
        <v>0</v>
      </c>
      <c r="BA67" s="30">
        <f>IF(Tabla145[[#This Row],[Ajuste precio IC]]="",Tabla145[[#This Row],[Precio ponderado]],Tabla145[[#This Row],[Precio ponderado]])</f>
        <v>0</v>
      </c>
      <c r="BB67" s="82"/>
      <c r="BC67" s="82" t="str">
        <f>IF(AND(Tabla145[[#This Row],[Atraso a facturar]]&gt;0,Tabla145[[#This Row],[Precio Atraso]]=0),"Revisar","OK")</f>
        <v>OK</v>
      </c>
      <c r="BD67" s="82" t="str">
        <f>IF(AND(Tabla145[[#This Row],[Venta del mes]]&gt;0,Tabla145[[#This Row],[Precio venta nueva]]=0),"Revisar","OK")</f>
        <v>OK</v>
      </c>
      <c r="BE67" s="20">
        <f>IFERROR(VLOOKUP(Tabla145[[#This Row],[Llave]],'[5]Consolidación planes'!$A:$M,9,FALSE),0)</f>
        <v>0</v>
      </c>
      <c r="BF67" s="20">
        <f>IFERROR(VLOOKUP(Tabla145[[#This Row],[Llave]],'[5]Consolidación planes'!$A:$M,10,FALSE),0)</f>
        <v>0</v>
      </c>
      <c r="BG67" s="20">
        <f>IFERROR(VLOOKUP(Tabla145[[#This Row],[Llave]],'[5]Consolidación planes'!$A:$M,11,FALSE),0)</f>
        <v>0</v>
      </c>
      <c r="BH67" s="20">
        <f>IFERROR(VLOOKUP(Tabla145[[#This Row],[Llave]],'[5]Consolidación planes'!$A:$M,12,FALSE),0)</f>
        <v>17000</v>
      </c>
      <c r="BI67" s="20">
        <f>IFERROR(VLOOKUP(Tabla145[[#This Row],[Llave]],'[5]Consolidación planes'!$A:$M,13,FALSE),0)</f>
        <v>6000</v>
      </c>
      <c r="BJ67" s="20">
        <f>IFERROR(VLOOKUP(Tabla145[[#This Row],[Llave]],'[13]Base ultimos planes'!$A:$M,13,FALSE),0)</f>
        <v>0</v>
      </c>
      <c r="BK67" s="80">
        <f>IFERROR(VLOOKUP(Tabla145[[#This Row],[Llave]],'[13]Base ultimos planes'!$O:$AA,8,FALSE),0)</f>
        <v>0</v>
      </c>
      <c r="BL67" s="20">
        <f>IFERROR(VLOOKUP(Tabla145[[#This Row],[Llave]],'[13]Base ultimos planes'!$O:$AA,9,FALSE),0)</f>
        <v>0</v>
      </c>
      <c r="BM67" s="20">
        <f>IFERROR(VLOOKUP(Tabla145[[#This Row],[Llave]],'[13]Base ultimos planes'!$O:$AA,10,FALSE),0)</f>
        <v>0</v>
      </c>
      <c r="BN67" s="20">
        <f>IFERROR(VLOOKUP(Tabla145[[#This Row],[Llave]],'[13]Base ultimos planes'!$O:$AA,11,FALSE),0)</f>
        <v>20740</v>
      </c>
      <c r="BO67" s="20">
        <f>IFERROR(VLOOKUP(Tabla145[[#This Row],[Llave]],'[13]Base ultimos planes'!$O:$AA,12,FALSE),0)</f>
        <v>7320</v>
      </c>
      <c r="BP67" s="20">
        <f>IFERROR(VLOOKUP(Tabla145[[#This Row],[Llave]],'[13]Base ultimos planes'!$O:$AA,13,FALSE),0)</f>
        <v>0</v>
      </c>
      <c r="BQ67" s="20"/>
      <c r="BR67" s="20">
        <f>Tabla145[[#This Row],[ RV Producción mes n+1]]*(1-Tabla145[[#This Row],[% Uti. producción]])</f>
        <v>0</v>
      </c>
      <c r="BS67" s="20">
        <f>+Tabla145[[#This Row],[Producción disponible mes n-1]]+Tabla145[[#This Row],[Saldo Volumen disponible]]</f>
        <v>684</v>
      </c>
      <c r="BT67" s="7">
        <f>IFERROR(VLOOKUP(Tabla145[[#This Row],[Llave]],'[21]RV n+2 y n+3'!$B:$F,4,FALSE),0)</f>
        <v>0</v>
      </c>
      <c r="BU67" s="7">
        <f>+Tabla145[[#This Row],[Asignación mes n+2]]*Tabla145[[#This Row],[% Uti. producción]]</f>
        <v>0</v>
      </c>
      <c r="BV67" s="7">
        <f>+Tabla145[[#This Row],[Ponderación mes n+2]]+Tabla145[[#This Row],[Saldo mes n-1]]</f>
        <v>684</v>
      </c>
      <c r="BW67" s="7">
        <f>+Tabla145[[#This Row],[Asignación mes n+2]]-Tabla145[[#This Row],[Ponderación mes n+2]]</f>
        <v>0</v>
      </c>
      <c r="BX67" s="7">
        <f>IFERROR(VLOOKUP(Tabla145[[#This Row],[Llave]],'[21]RV n+2 y n+3'!$B:$F,5,FALSE),0)</f>
        <v>0</v>
      </c>
      <c r="BY67" s="7">
        <f>+Tabla145[[#This Row],[Asignación mes n+3]]*Tabla145[[#This Row],[% Uti. producción]]</f>
        <v>0</v>
      </c>
      <c r="BZ67" s="3">
        <f>+Tabla145[[#This Row],[Ponderación mes n+3]]+Tabla145[[#This Row],[Saldo mes n+2]]</f>
        <v>0</v>
      </c>
      <c r="CA67" s="3">
        <f>+Tabla145[[#This Row],[Asignación mes n+3]]-Tabla145[[#This Row],[Ponderación mes n+3]]</f>
        <v>0</v>
      </c>
      <c r="CB67" s="3">
        <f>+Tabla145[[#This Row],[Producción disponible mes n-1]]+Tabla145[[#This Row],[Producción disponible]]</f>
        <v>0</v>
      </c>
      <c r="CC67" s="3">
        <f>+Tabla145[[#This Row],[Saldo mes n+4]]-Tabla145[[#This Row],[ RV Producción mes n+1]]</f>
        <v>0</v>
      </c>
    </row>
    <row r="68" spans="1:81" ht="16" x14ac:dyDescent="0.2">
      <c r="A68">
        <v>1</v>
      </c>
      <c r="B68" t="str">
        <f>Tabla145[[#This Row],[Oficina]]&amp;Tabla145[[#This Row],[Material]]</f>
        <v>Agro Sudamerica1022928</v>
      </c>
      <c r="C68" t="s">
        <v>6</v>
      </c>
      <c r="D68" t="s">
        <v>17</v>
      </c>
      <c r="E68">
        <v>1022928</v>
      </c>
      <c r="F68" t="s">
        <v>310</v>
      </c>
      <c r="G68" t="s">
        <v>8</v>
      </c>
      <c r="H68" t="s">
        <v>32</v>
      </c>
      <c r="I68" s="7">
        <f>IFERROR(VLOOKUP(Tabla145[[#This Row],[Llave]],'[7]RV Producción'!$C:$G,5,FALSE),0)</f>
        <v>0</v>
      </c>
      <c r="J68" s="3">
        <f>IFERROR(IF(Tabla145[[#This Row],[Oficina]]=$I$7,VLOOKUP(Tabla145[[#This Row],[Llave]],'[7]Shangai (Tomas)'!$A:$F,6,FALSE),VLOOKUP(Tabla145[[#This Row],[Llave]],'[7]RV plan de ventas'!$A:$E,5,FALSE)),0)</f>
        <v>0</v>
      </c>
      <c r="K68" s="8">
        <f>IFERROR(VLOOKUP(Tabla145[[#This Row],[Oficina]],[15]Ponderación!$B$2:$E$9,4,FALSE),0)</f>
        <v>0.45719439678473212</v>
      </c>
      <c r="L68" s="7">
        <f>+Tabla145[[#This Row],[ RV Producción mes n+1]]*Tabla145[[#This Row],[% Uti. producción]]</f>
        <v>0</v>
      </c>
      <c r="M68" s="7">
        <f>IFERROR(VLOOKUP(Tabla145[[#This Row],[Material]],[16]Stock!$G:$K,5,FALSE),0)</f>
        <v>5804</v>
      </c>
      <c r="N68" s="7">
        <f>IFERROR(VLOOKUP(Tabla145[[#This Row],[Material]],[16]Produccion!$M:$N,2,FALSE),0)</f>
        <v>0</v>
      </c>
      <c r="O68" s="7">
        <f>IFERROR(VLOOKUP(Tabla145[[#This Row],[Llave]],'[16]TD Conf-AP'!$I:$M,4,FALSE),0)</f>
        <v>0</v>
      </c>
      <c r="P68" s="14">
        <f>SUM(Tabla145[[#This Row],[Producción disponible]],Tabla145[[#This Row],[Stock al día]],(Tabla145[[#This Row],[Por producir mes N]]*0.9))-Tabla145[[#This Row],[Producción por despachar mes N]]</f>
        <v>5804</v>
      </c>
      <c r="Q68" s="7">
        <f>IFERROR(VLOOKUP(Tabla145[[#This Row],[Llave]],[17]DELAY!$A:$D,4,FALSE),0)</f>
        <v>0</v>
      </c>
      <c r="R68" s="9">
        <v>24000</v>
      </c>
      <c r="S68" s="5">
        <f t="shared" si="5"/>
        <v>0</v>
      </c>
      <c r="T68" s="76">
        <v>0</v>
      </c>
      <c r="U68" s="5">
        <f>+Tabla145[[#This Row],[Atraso a facturar]]+Tabla145[[#This Row],[Ajuste atraso]]</f>
        <v>0</v>
      </c>
      <c r="V68" s="3">
        <f>+Tabla145[[#This Row],[Total disponible]]-Tabla145[[#This Row],[Facturación atraso]]</f>
        <v>5804</v>
      </c>
      <c r="W68" s="6">
        <f>IFERROR(IF(AND(V68&gt;R68,J68&gt;=R68),ROUNDDOWN((Tabla145[[#This Row],[Producción para venta nueva]])/R68,0)*R68,0),0)</f>
        <v>0</v>
      </c>
      <c r="X68" s="76">
        <v>0</v>
      </c>
      <c r="Y68" s="6">
        <f>IF(Tabla145[[#This Row],[Venta del mes]]&gt;0,Tabla145[[#This Row],[Venta del mes]]+Tabla145[[#This Row],[Ajuste venta nueva]],0)</f>
        <v>0</v>
      </c>
      <c r="Z68" s="6">
        <f>+Tabla145[[#This Row],[Producción para venta nueva]]-Tabla145[[#This Row],[Facturación Venta nueva]]</f>
        <v>5804</v>
      </c>
      <c r="AA68" s="6">
        <f>IF(AND(A68=1,Tabla145[[#This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68" s="6">
        <v>0</v>
      </c>
      <c r="AC68" s="6">
        <f>IF(Tabla145[[#This Row],[Disponible stock sin venta]]&gt;0,Tabla145[[#This Row],[Disponible stock sin venta]]+Tabla145[[#This Row],[Ajuste stock sin venta]],0)</f>
        <v>0</v>
      </c>
      <c r="AD68" s="3">
        <f>IFERROR(VLOOKUP(Tabla145[[#This Row],[Llave]],'[16]TD Puerto'!$A:$D,4,FALSE),0)</f>
        <v>0</v>
      </c>
      <c r="AE68" s="3">
        <v>0</v>
      </c>
      <c r="AF68" s="3">
        <f>+Tabla145[[#This Row],[Plan Irrestricto Inicial]]</f>
        <v>0</v>
      </c>
      <c r="AG68" s="3">
        <f>+Tabla145[[#This Row],[En puerto a facturar]]</f>
        <v>0</v>
      </c>
      <c r="AH68" s="3">
        <f>+Tabla145[[#This Row],[Facturación atraso]]</f>
        <v>0</v>
      </c>
      <c r="AI68" s="3">
        <f>+Tabla145[[#This Row],[Plan Irrestricto]]-Tabla145[[#This Row],[Puerto ]]-Tabla145[[#This Row],[Atraso]]</f>
        <v>0</v>
      </c>
      <c r="AJ6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68" s="3">
        <f>+Tabla145[[#This Row],[Facturación atraso]]</f>
        <v>0</v>
      </c>
      <c r="AL68" s="3">
        <f>+Tabla145[[#This Row],[Plan Ajustado]]-Tabla145[[#This Row],[ Atraso ajustado]]-Tabla145[[#This Row],[Puerto ]]</f>
        <v>0</v>
      </c>
      <c r="AM68" s="6">
        <f>IFERROR(VLOOKUP(Tabla145[[#This Row],[Llave]],[18]!Tabla14[#All],34,FALSE),0)</f>
        <v>0</v>
      </c>
      <c r="AN68" s="6">
        <f>IFERROR(VLOOKUP(Tabla145[[#This Row],[Llave]],[18]!Tabla14[#All],35,FALSE),0)</f>
        <v>0</v>
      </c>
      <c r="AO68" s="3" t="str">
        <f>IF(Tabla145[[#This Row],[Plan Ajustado]]&gt;Tabla145[[#This Row],[En puerto a facturar]],"Si","No")</f>
        <v>No</v>
      </c>
      <c r="AP6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68" s="3">
        <f>IF(Tabla145[[#This Row],[Necesidad]]&gt;=Tabla145[[#This Row],[Stock al día]],Tabla145[[#This Row],[Stock al día]],Tabla145[[#This Row],[Necesidad]])</f>
        <v>0</v>
      </c>
      <c r="AR68" s="3">
        <f>+Tabla145[[#This Row],[Necesidad]]-Tabla145[[#This Row],[Stock Plan]]</f>
        <v>0</v>
      </c>
      <c r="AS68" s="155">
        <f>IFERROR(VLOOKUP(Tabla145[[#This Row],[Oficina]],[19]Ponderación!$B$14:$E$21,4,FALSE),"")</f>
        <v>44789</v>
      </c>
      <c r="AT6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</v>
      </c>
      <c r="AU68" s="83">
        <f>IFERROR(VLOOKUP(Tabla145[[#This Row],[Llave]],[17]DELAY!$H:$W,16,FALSE),0)</f>
        <v>0</v>
      </c>
      <c r="AV6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68" s="5">
        <f>Tabla145[[#This Row],[Ajuste precio IC]]*Tabla145[[#This Row],[Plan Ajustado]]</f>
        <v>0</v>
      </c>
      <c r="AX68" s="30">
        <f>IFERROR(VLOOKUP(Tabla145[[#This Row],[Llave]],'[13]Ultimos precios facturados'!$A:$G,7,FALSE),0)</f>
        <v>0.9</v>
      </c>
      <c r="AY6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68" s="30">
        <f>IFERROR(VLOOKUP(Tabla145[[#This Row],[Llave]],Hoja2!B:K,10,FALSE),0)</f>
        <v>0</v>
      </c>
      <c r="BA68" s="30">
        <f>IF(Tabla145[[#This Row],[Ajuste precio IC]]="",Tabla145[[#This Row],[Precio ponderado]],Tabla145[[#This Row],[Precio ponderado]])</f>
        <v>0</v>
      </c>
      <c r="BB68" s="82"/>
      <c r="BC68" s="82" t="str">
        <f>IF(AND(Tabla145[[#This Row],[Atraso a facturar]]&gt;0,Tabla145[[#This Row],[Precio Atraso]]=0),"Revisar","OK")</f>
        <v>OK</v>
      </c>
      <c r="BD68" s="82" t="str">
        <f>IF(AND(Tabla145[[#This Row],[Venta del mes]]&gt;0,Tabla145[[#This Row],[Precio venta nueva]]=0),"Revisar","OK")</f>
        <v>OK</v>
      </c>
      <c r="BE68" s="20">
        <f>IFERROR(VLOOKUP(Tabla145[[#This Row],[Llave]],'[5]Consolidación planes'!$A:$M,9,FALSE),0)</f>
        <v>0</v>
      </c>
      <c r="BF68" s="20">
        <f>IFERROR(VLOOKUP(Tabla145[[#This Row],[Llave]],'[5]Consolidación planes'!$A:$M,10,FALSE),0)</f>
        <v>0</v>
      </c>
      <c r="BG68" s="20">
        <f>IFERROR(VLOOKUP(Tabla145[[#This Row],[Llave]],'[5]Consolidación planes'!$A:$M,11,FALSE),0)</f>
        <v>0</v>
      </c>
      <c r="BH68" s="20">
        <f>IFERROR(VLOOKUP(Tabla145[[#This Row],[Llave]],'[5]Consolidación planes'!$A:$M,12,FALSE),0)</f>
        <v>16000</v>
      </c>
      <c r="BI68" s="20">
        <f>IFERROR(VLOOKUP(Tabla145[[#This Row],[Llave]],'[5]Consolidación planes'!$A:$M,13,FALSE),0)</f>
        <v>5000</v>
      </c>
      <c r="BJ68" s="20">
        <f>IFERROR(VLOOKUP(Tabla145[[#This Row],[Llave]],'[13]Base ultimos planes'!$A:$M,13,FALSE),0)</f>
        <v>0</v>
      </c>
      <c r="BK68" s="80">
        <f>IFERROR(VLOOKUP(Tabla145[[#This Row],[Llave]],'[13]Base ultimos planes'!$O:$AA,8,FALSE),0)</f>
        <v>0</v>
      </c>
      <c r="BL68" s="20">
        <f>IFERROR(VLOOKUP(Tabla145[[#This Row],[Llave]],'[13]Base ultimos planes'!$O:$AA,9,FALSE),0)</f>
        <v>0</v>
      </c>
      <c r="BM68" s="20">
        <f>IFERROR(VLOOKUP(Tabla145[[#This Row],[Llave]],'[13]Base ultimos planes'!$O:$AA,10,FALSE),0)</f>
        <v>0</v>
      </c>
      <c r="BN68" s="20">
        <f>IFERROR(VLOOKUP(Tabla145[[#This Row],[Llave]],'[13]Base ultimos planes'!$O:$AA,11,FALSE),0)</f>
        <v>9870</v>
      </c>
      <c r="BO68" s="20">
        <f>IFERROR(VLOOKUP(Tabla145[[#This Row],[Llave]],'[13]Base ultimos planes'!$O:$AA,12,FALSE),0)</f>
        <v>3600</v>
      </c>
      <c r="BP68" s="20">
        <f>IFERROR(VLOOKUP(Tabla145[[#This Row],[Llave]],'[13]Base ultimos planes'!$O:$AA,13,FALSE),0)</f>
        <v>0</v>
      </c>
      <c r="BQ68" s="20"/>
      <c r="BR68" s="20">
        <f>Tabla145[[#This Row],[ RV Producción mes n+1]]*(1-Tabla145[[#This Row],[% Uti. producción]])</f>
        <v>0</v>
      </c>
      <c r="BS68" s="20">
        <f>+Tabla145[[#This Row],[Producción disponible mes n-1]]+Tabla145[[#This Row],[Saldo Volumen disponible]]</f>
        <v>5804</v>
      </c>
      <c r="BT68" s="7">
        <f>IFERROR(VLOOKUP(Tabla145[[#This Row],[Llave]],'[21]RV n+2 y n+3'!$B:$F,4,FALSE),0)</f>
        <v>0</v>
      </c>
      <c r="BU68" s="7">
        <f>+Tabla145[[#This Row],[Asignación mes n+2]]*Tabla145[[#This Row],[% Uti. producción]]</f>
        <v>0</v>
      </c>
      <c r="BV68" s="7">
        <f>+Tabla145[[#This Row],[Ponderación mes n+2]]+Tabla145[[#This Row],[Saldo mes n-1]]</f>
        <v>5804</v>
      </c>
      <c r="BW68" s="7">
        <f>+Tabla145[[#This Row],[Asignación mes n+2]]-Tabla145[[#This Row],[Ponderación mes n+2]]</f>
        <v>0</v>
      </c>
      <c r="BX68" s="7">
        <f>IFERROR(VLOOKUP(Tabla145[[#This Row],[Llave]],'[21]RV n+2 y n+3'!$B:$F,5,FALSE),0)</f>
        <v>9366.16</v>
      </c>
      <c r="BY68" s="7">
        <f>+Tabla145[[#This Row],[Asignación mes n+3]]*Tabla145[[#This Row],[% Uti. producción]]</f>
        <v>4282.1558713892864</v>
      </c>
      <c r="BZ68" s="3">
        <f>+Tabla145[[#This Row],[Ponderación mes n+3]]+Tabla145[[#This Row],[Saldo mes n+2]]</f>
        <v>4282.1558713892864</v>
      </c>
      <c r="CA68" s="3">
        <f>+Tabla145[[#This Row],[Asignación mes n+3]]-Tabla145[[#This Row],[Ponderación mes n+3]]</f>
        <v>5084.0041286107135</v>
      </c>
      <c r="CB68" s="3">
        <f>+Tabla145[[#This Row],[Producción disponible mes n-1]]+Tabla145[[#This Row],[Producción disponible]]</f>
        <v>0</v>
      </c>
      <c r="CC68" s="3">
        <f>+Tabla145[[#This Row],[Saldo mes n+4]]-Tabla145[[#This Row],[ RV Producción mes n+1]]</f>
        <v>0</v>
      </c>
    </row>
    <row r="69" spans="1:81" ht="16" x14ac:dyDescent="0.2">
      <c r="A69">
        <v>1</v>
      </c>
      <c r="B69" t="str">
        <f>Tabla145[[#This Row],[Oficina]]&amp;Tabla145[[#This Row],[Material]]</f>
        <v>Agro Sudamerica1022996</v>
      </c>
      <c r="C69" t="s">
        <v>6</v>
      </c>
      <c r="D69" t="s">
        <v>17</v>
      </c>
      <c r="E69">
        <v>1022996</v>
      </c>
      <c r="F69" t="s">
        <v>46</v>
      </c>
      <c r="G69" t="s">
        <v>11</v>
      </c>
      <c r="H69" t="s">
        <v>41</v>
      </c>
      <c r="I69" s="7">
        <f>IFERROR(VLOOKUP(Tabla145[[#This Row],[Llave]],'[7]RV Producción'!$C:$G,5,FALSE),0)</f>
        <v>6307</v>
      </c>
      <c r="J69" s="3">
        <f>IFERROR(IF(Tabla145[[#This Row],[Oficina]]=$I$7,VLOOKUP(Tabla145[[#This Row],[Llave]],'[7]Shangai (Tomas)'!$A:$F,6,FALSE),VLOOKUP(Tabla145[[#This Row],[Llave]],'[7]RV plan de ventas'!$A:$E,5,FALSE)),0)</f>
        <v>0</v>
      </c>
      <c r="K69" s="8">
        <f>IFERROR(VLOOKUP(Tabla145[[#This Row],[Oficina]],[15]Ponderación!$B$2:$E$9,4,FALSE),0)</f>
        <v>0.45719439678473212</v>
      </c>
      <c r="L69" s="7">
        <f>+Tabla145[[#This Row],[ RV Producción mes n+1]]*Tabla145[[#This Row],[% Uti. producción]]</f>
        <v>2883.5250605213055</v>
      </c>
      <c r="M69" s="7">
        <f>IFERROR(VLOOKUP(Tabla145[[#This Row],[Material]],[16]Stock!$G:$K,5,FALSE),0)</f>
        <v>0</v>
      </c>
      <c r="N69" s="7">
        <f>IFERROR(VLOOKUP(Tabla145[[#This Row],[Material]],[16]Produccion!$M:$N,2,FALSE),0)</f>
        <v>0</v>
      </c>
      <c r="O69" s="7">
        <f>IFERROR(VLOOKUP(Tabla145[[#This Row],[Llave]],'[16]TD Conf-AP'!$I:$M,4,FALSE),0)</f>
        <v>0</v>
      </c>
      <c r="P69" s="14">
        <f>SUM(Tabla145[[#This Row],[Producción disponible]],Tabla145[[#This Row],[Stock al día]],(Tabla145[[#This Row],[Por producir mes N]]*0.9))-Tabla145[[#This Row],[Producción por despachar mes N]]</f>
        <v>2883.5250605213055</v>
      </c>
      <c r="Q69" s="7">
        <f>IFERROR(VLOOKUP(Tabla145[[#This Row],[Llave]],[17]DELAY!$A:$D,4,FALSE),0)</f>
        <v>6307</v>
      </c>
      <c r="R69" s="9">
        <v>24000</v>
      </c>
      <c r="S69" s="5">
        <f t="shared" si="5"/>
        <v>0</v>
      </c>
      <c r="T69" s="76">
        <v>0</v>
      </c>
      <c r="U69" s="5">
        <f>+Tabla145[[#This Row],[Atraso a facturar]]+Tabla145[[#This Row],[Ajuste atraso]]</f>
        <v>0</v>
      </c>
      <c r="V69" s="3">
        <f>+Tabla145[[#This Row],[Total disponible]]-Tabla145[[#This Row],[Facturación atraso]]</f>
        <v>2883.5250605213055</v>
      </c>
      <c r="W69" s="6">
        <f>IFERROR(IF(AND(V69&gt;R69,J69&gt;=R69),ROUNDDOWN((Tabla145[[#This Row],[Producción para venta nueva]])/R69,0)*R69,0),0)</f>
        <v>0</v>
      </c>
      <c r="X69" s="76">
        <v>0</v>
      </c>
      <c r="Y69" s="6">
        <f>IF(Tabla145[[#This Row],[Venta del mes]]&gt;0,Tabla145[[#This Row],[Venta del mes]]+Tabla145[[#This Row],[Ajuste venta nueva]],0)</f>
        <v>0</v>
      </c>
      <c r="Z69" s="6">
        <f>+Tabla145[[#This Row],[Producción para venta nueva]]-Tabla145[[#This Row],[Facturación Venta nueva]]</f>
        <v>2883.5250605213055</v>
      </c>
      <c r="AA69" s="6">
        <f>IF(AND(A69=1,Tabla145[[#This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69" s="6">
        <v>0</v>
      </c>
      <c r="AC69" s="6">
        <f>IF(Tabla145[[#This Row],[Disponible stock sin venta]]&gt;0,Tabla145[[#This Row],[Disponible stock sin venta]]+Tabla145[[#This Row],[Ajuste stock sin venta]],0)</f>
        <v>0</v>
      </c>
      <c r="AD69" s="3">
        <f>IFERROR(VLOOKUP(Tabla145[[#This Row],[Llave]],'[16]TD Puerto'!$A:$D,4,FALSE),0)</f>
        <v>0</v>
      </c>
      <c r="AE69" s="3">
        <v>6307</v>
      </c>
      <c r="AF69" s="3">
        <f>+Tabla145[[#This Row],[Plan Irrestricto Inicial]]</f>
        <v>6307</v>
      </c>
      <c r="AG69" s="3">
        <f>+Tabla145[[#This Row],[En puerto a facturar]]</f>
        <v>0</v>
      </c>
      <c r="AH69" s="3">
        <f>+Tabla145[[#This Row],[Facturación atraso]]</f>
        <v>0</v>
      </c>
      <c r="AI69" s="3">
        <f>+Tabla145[[#This Row],[Plan Irrestricto]]-Tabla145[[#This Row],[Puerto ]]-Tabla145[[#This Row],[Atraso]]</f>
        <v>6307</v>
      </c>
      <c r="AJ6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69" s="3">
        <f>+Tabla145[[#This Row],[Facturación atraso]]</f>
        <v>0</v>
      </c>
      <c r="AL69" s="3">
        <f>+Tabla145[[#This Row],[Plan Ajustado]]-Tabla145[[#This Row],[ Atraso ajustado]]-Tabla145[[#This Row],[Puerto ]]</f>
        <v>0</v>
      </c>
      <c r="AM69" s="6">
        <f>IFERROR(VLOOKUP(Tabla145[[#This Row],[Llave]],[18]!Tabla14[#All],34,FALSE),0)</f>
        <v>0</v>
      </c>
      <c r="AN69" s="6">
        <f>IFERROR(VLOOKUP(Tabla145[[#This Row],[Llave]],[18]!Tabla14[#All],35,FALSE),0)</f>
        <v>0</v>
      </c>
      <c r="AO69" s="3" t="str">
        <f>IF(Tabla145[[#This Row],[Plan Ajustado]]&gt;Tabla145[[#This Row],[En puerto a facturar]],"Si","No")</f>
        <v>No</v>
      </c>
      <c r="AP6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69" s="3">
        <f>IF(Tabla145[[#This Row],[Necesidad]]&gt;=Tabla145[[#This Row],[Stock al día]],Tabla145[[#This Row],[Stock al día]],Tabla145[[#This Row],[Necesidad]])</f>
        <v>0</v>
      </c>
      <c r="AR69" s="3">
        <f>+Tabla145[[#This Row],[Necesidad]]-Tabla145[[#This Row],[Stock Plan]]</f>
        <v>0</v>
      </c>
      <c r="AS69" s="155">
        <f>IFERROR(VLOOKUP(Tabla145[[#This Row],[Oficina]],[19]Ponderación!$B$14:$E$21,4,FALSE),"")</f>
        <v>44789</v>
      </c>
      <c r="AT6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1.0351744554482312</v>
      </c>
      <c r="AU69" s="83">
        <f>IFERROR(VLOOKUP(Tabla145[[#This Row],[Llave]],[17]DELAY!$H:$W,16,FALSE),0)</f>
        <v>0.97955335341683814</v>
      </c>
      <c r="AV6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69" s="5">
        <f>Tabla145[[#This Row],[Ajuste precio IC]]*Tabla145[[#This Row],[Plan Ajustado]]</f>
        <v>0</v>
      </c>
      <c r="AX69" s="30">
        <f>IFERROR(VLOOKUP(Tabla145[[#This Row],[Llave]],'[13]Ultimos precios facturados'!$A:$G,7,FALSE),0)</f>
        <v>1.0351744554482312</v>
      </c>
      <c r="AY6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69" s="30">
        <f>IFERROR(VLOOKUP(Tabla145[[#This Row],[Llave]],Hoja2!B:K,10,FALSE),0)</f>
        <v>0</v>
      </c>
      <c r="BA69" s="30">
        <f>IF(Tabla145[[#This Row],[Ajuste precio IC]]="",Tabla145[[#This Row],[Precio ponderado]],Tabla145[[#This Row],[Precio ponderado]])</f>
        <v>0</v>
      </c>
      <c r="BB69" s="82"/>
      <c r="BC69" s="82" t="str">
        <f>IF(AND(Tabla145[[#This Row],[Atraso a facturar]]&gt;0,Tabla145[[#This Row],[Precio Atraso]]=0),"Revisar","OK")</f>
        <v>OK</v>
      </c>
      <c r="BD69" s="82" t="str">
        <f>IF(AND(Tabla145[[#This Row],[Venta del mes]]&gt;0,Tabla145[[#This Row],[Precio venta nueva]]=0),"Revisar","OK")</f>
        <v>OK</v>
      </c>
      <c r="BE69" s="20">
        <f>IFERROR(VLOOKUP(Tabla145[[#This Row],[Llave]],'[5]Consolidación planes'!$A:$M,9,FALSE),0)</f>
        <v>36000</v>
      </c>
      <c r="BF69" s="20">
        <f>IFERROR(VLOOKUP(Tabla145[[#This Row],[Llave]],'[5]Consolidación planes'!$A:$M,10,FALSE),0)</f>
        <v>24000</v>
      </c>
      <c r="BG69" s="20">
        <f>IFERROR(VLOOKUP(Tabla145[[#This Row],[Llave]],'[5]Consolidación planes'!$A:$M,11,FALSE),0)</f>
        <v>24000</v>
      </c>
      <c r="BH69" s="20">
        <f>IFERROR(VLOOKUP(Tabla145[[#This Row],[Llave]],'[5]Consolidación planes'!$A:$M,12,FALSE),0)</f>
        <v>0</v>
      </c>
      <c r="BI69" s="20">
        <f>IFERROR(VLOOKUP(Tabla145[[#This Row],[Llave]],'[5]Consolidación planes'!$A:$M,13,FALSE),0)</f>
        <v>0</v>
      </c>
      <c r="BJ69" s="20">
        <f>IFERROR(VLOOKUP(Tabla145[[#This Row],[Llave]],'[13]Base ultimos planes'!$A:$M,13,FALSE),0)</f>
        <v>0</v>
      </c>
      <c r="BK69" s="80">
        <f>IFERROR(VLOOKUP(Tabla145[[#This Row],[Llave]],'[13]Base ultimos planes'!$O:$AA,8,FALSE),0)</f>
        <v>44712</v>
      </c>
      <c r="BL69" s="20">
        <f>IFERROR(VLOOKUP(Tabla145[[#This Row],[Llave]],'[13]Base ultimos planes'!$O:$AA,9,FALSE),0)</f>
        <v>26640</v>
      </c>
      <c r="BM69" s="20">
        <f>IFERROR(VLOOKUP(Tabla145[[#This Row],[Llave]],'[13]Base ultimos planes'!$O:$AA,10,FALSE),0)</f>
        <v>25200</v>
      </c>
      <c r="BN69" s="20">
        <f>IFERROR(VLOOKUP(Tabla145[[#This Row],[Llave]],'[13]Base ultimos planes'!$O:$AA,11,FALSE),0)</f>
        <v>0</v>
      </c>
      <c r="BO69" s="20">
        <f>IFERROR(VLOOKUP(Tabla145[[#This Row],[Llave]],'[13]Base ultimos planes'!$O:$AA,12,FALSE),0)</f>
        <v>0</v>
      </c>
      <c r="BP69" s="20">
        <f>IFERROR(VLOOKUP(Tabla145[[#This Row],[Llave]],'[13]Base ultimos planes'!$O:$AA,13,FALSE),0)</f>
        <v>0</v>
      </c>
      <c r="BQ69" s="20"/>
      <c r="BR69" s="20">
        <f>Tabla145[[#This Row],[ RV Producción mes n+1]]*(1-Tabla145[[#This Row],[% Uti. producción]])</f>
        <v>3423.474939478695</v>
      </c>
      <c r="BS69" s="20">
        <f>+Tabla145[[#This Row],[Producción disponible mes n-1]]+Tabla145[[#This Row],[Saldo Volumen disponible]]</f>
        <v>6307</v>
      </c>
      <c r="BT69" s="7">
        <f>IFERROR(VLOOKUP(Tabla145[[#This Row],[Llave]],'[21]RV n+2 y n+3'!$B:$F,4,FALSE),0)</f>
        <v>0</v>
      </c>
      <c r="BU69" s="7">
        <f>+Tabla145[[#This Row],[Asignación mes n+2]]*Tabla145[[#This Row],[% Uti. producción]]</f>
        <v>0</v>
      </c>
      <c r="BV69" s="7">
        <f>+Tabla145[[#This Row],[Ponderación mes n+2]]+Tabla145[[#This Row],[Saldo mes n-1]]</f>
        <v>6307</v>
      </c>
      <c r="BW69" s="7">
        <f>+Tabla145[[#This Row],[Asignación mes n+2]]-Tabla145[[#This Row],[Ponderación mes n+2]]</f>
        <v>0</v>
      </c>
      <c r="BX69" s="7">
        <f>IFERROR(VLOOKUP(Tabla145[[#This Row],[Llave]],'[21]RV n+2 y n+3'!$B:$F,5,FALSE),0)</f>
        <v>0</v>
      </c>
      <c r="BY69" s="7">
        <f>+Tabla145[[#This Row],[Asignación mes n+3]]*Tabla145[[#This Row],[% Uti. producción]]</f>
        <v>0</v>
      </c>
      <c r="BZ69" s="3">
        <f>+Tabla145[[#This Row],[Ponderación mes n+3]]+Tabla145[[#This Row],[Saldo mes n+2]]</f>
        <v>0</v>
      </c>
      <c r="CA69" s="3">
        <f>+Tabla145[[#This Row],[Asignación mes n+3]]-Tabla145[[#This Row],[Ponderación mes n+3]]</f>
        <v>0</v>
      </c>
      <c r="CB69" s="3">
        <f>+Tabla145[[#This Row],[Producción disponible mes n-1]]+Tabla145[[#This Row],[Producción disponible]]</f>
        <v>6307</v>
      </c>
      <c r="CC69" s="3">
        <f>+Tabla145[[#This Row],[Saldo mes n+4]]-Tabla145[[#This Row],[ RV Producción mes n+1]]</f>
        <v>0</v>
      </c>
    </row>
    <row r="70" spans="1:81" ht="16" x14ac:dyDescent="0.2">
      <c r="A70">
        <v>1</v>
      </c>
      <c r="B70" t="str">
        <f>Tabla145[[#This Row],[Oficina]]&amp;Tabla145[[#This Row],[Material]]</f>
        <v>Agro Sudamerica1023312</v>
      </c>
      <c r="C70" t="s">
        <v>6</v>
      </c>
      <c r="D70" t="s">
        <v>17</v>
      </c>
      <c r="E70">
        <v>1023312</v>
      </c>
      <c r="F70" t="s">
        <v>39</v>
      </c>
      <c r="G70" t="s">
        <v>37</v>
      </c>
      <c r="H70" t="s">
        <v>38</v>
      </c>
      <c r="I70" s="7">
        <f>IFERROR(VLOOKUP(Tabla145[[#This Row],[Llave]],'[7]RV Producción'!$C:$G,5,FALSE),0)</f>
        <v>0</v>
      </c>
      <c r="J70" s="3">
        <f>IFERROR(IF(Tabla145[[#This Row],[Oficina]]=$I$7,VLOOKUP(Tabla145[[#This Row],[Llave]],'[7]Shangai (Tomas)'!$A:$F,6,FALSE),VLOOKUP(Tabla145[[#This Row],[Llave]],'[7]RV plan de ventas'!$A:$E,5,FALSE)),0)</f>
        <v>0</v>
      </c>
      <c r="K70" s="8">
        <f>IFERROR(VLOOKUP(Tabla145[[#This Row],[Oficina]],[15]Ponderación!$B$2:$E$9,4,FALSE),0)</f>
        <v>0.45719439678473212</v>
      </c>
      <c r="L70" s="7">
        <f>+Tabla145[[#This Row],[ RV Producción mes n+1]]*Tabla145[[#This Row],[% Uti. producción]]</f>
        <v>0</v>
      </c>
      <c r="M70" s="7">
        <f>IFERROR(VLOOKUP(Tabla145[[#This Row],[Material]],[16]Stock!$G:$K,5,FALSE),0)</f>
        <v>0</v>
      </c>
      <c r="N70" s="7">
        <f>IFERROR(VLOOKUP(Tabla145[[#This Row],[Material]],[16]Produccion!$M:$N,2,FALSE),0)</f>
        <v>0</v>
      </c>
      <c r="O70" s="7">
        <f>IFERROR(VLOOKUP(Tabla145[[#This Row],[Llave]],'[16]TD Conf-AP'!$I:$M,4,FALSE),0)</f>
        <v>0</v>
      </c>
      <c r="P70" s="14">
        <f>SUM(Tabla145[[#This Row],[Producción disponible]],Tabla145[[#This Row],[Stock al día]],(Tabla145[[#This Row],[Por producir mes N]]*0.9))-Tabla145[[#This Row],[Producción por despachar mes N]]</f>
        <v>0</v>
      </c>
      <c r="Q70" s="7">
        <f>IFERROR(VLOOKUP(Tabla145[[#This Row],[Llave]],[17]DELAY!$A:$D,4,FALSE),0)</f>
        <v>0</v>
      </c>
      <c r="R70" s="9">
        <v>24000</v>
      </c>
      <c r="S70" s="5">
        <f t="shared" si="5"/>
        <v>0</v>
      </c>
      <c r="T70" s="76">
        <v>0</v>
      </c>
      <c r="U70" s="5">
        <f>+Tabla145[[#This Row],[Atraso a facturar]]+Tabla145[[#This Row],[Ajuste atraso]]</f>
        <v>0</v>
      </c>
      <c r="V70" s="3">
        <f>+Tabla145[[#This Row],[Total disponible]]-Tabla145[[#This Row],[Facturación atraso]]</f>
        <v>0</v>
      </c>
      <c r="W70" s="6">
        <f>IFERROR(IF(AND(V70&gt;R70,J70&gt;=R70),ROUNDDOWN((Tabla145[[#This Row],[Producción para venta nueva]])/R70,0)*R70,0),0)</f>
        <v>0</v>
      </c>
      <c r="X70" s="76">
        <v>0</v>
      </c>
      <c r="Y70" s="6">
        <f>IF(Tabla145[[#This Row],[Venta del mes]]&gt;0,Tabla145[[#This Row],[Venta del mes]]+Tabla145[[#This Row],[Ajuste venta nueva]],0)</f>
        <v>0</v>
      </c>
      <c r="Z70" s="6">
        <f>+Tabla145[[#This Row],[Producción para venta nueva]]-Tabla145[[#This Row],[Facturación Venta nueva]]</f>
        <v>0</v>
      </c>
      <c r="AA70" s="6">
        <f>IF(AND(A70=1,Tabla145[[#This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0" s="6">
        <v>0</v>
      </c>
      <c r="AC70" s="6">
        <f>IF(Tabla145[[#This Row],[Disponible stock sin venta]]&gt;0,Tabla145[[#This Row],[Disponible stock sin venta]]+Tabla145[[#This Row],[Ajuste stock sin venta]],0)</f>
        <v>0</v>
      </c>
      <c r="AD70" s="3">
        <f>IFERROR(VLOOKUP(Tabla145[[#This Row],[Llave]],'[16]TD Puerto'!$A:$D,4,FALSE),0)</f>
        <v>0</v>
      </c>
      <c r="AE70" s="3">
        <v>0</v>
      </c>
      <c r="AF70" s="3">
        <f>+Tabla145[[#This Row],[Plan Irrestricto Inicial]]</f>
        <v>0</v>
      </c>
      <c r="AG70" s="3">
        <f>+Tabla145[[#This Row],[En puerto a facturar]]</f>
        <v>0</v>
      </c>
      <c r="AH70" s="3">
        <f>+Tabla145[[#This Row],[Facturación atraso]]</f>
        <v>0</v>
      </c>
      <c r="AI70" s="3">
        <f>+Tabla145[[#This Row],[Plan Irrestricto]]-Tabla145[[#This Row],[Puerto ]]-Tabla145[[#This Row],[Atraso]]</f>
        <v>0</v>
      </c>
      <c r="AJ7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70" s="3">
        <f>+Tabla145[[#This Row],[Facturación atraso]]</f>
        <v>0</v>
      </c>
      <c r="AL70" s="3">
        <f>+Tabla145[[#This Row],[Plan Ajustado]]-Tabla145[[#This Row],[ Atraso ajustado]]-Tabla145[[#This Row],[Puerto ]]</f>
        <v>0</v>
      </c>
      <c r="AM70" s="6">
        <f>IFERROR(VLOOKUP(Tabla145[[#This Row],[Llave]],[18]!Tabla14[#All],34,FALSE),0)</f>
        <v>0</v>
      </c>
      <c r="AN70" s="6">
        <f>IFERROR(VLOOKUP(Tabla145[[#This Row],[Llave]],[18]!Tabla14[#All],35,FALSE),0)</f>
        <v>0</v>
      </c>
      <c r="AO70" s="3" t="str">
        <f>IF(Tabla145[[#This Row],[Plan Ajustado]]&gt;Tabla145[[#This Row],[En puerto a facturar]],"Si","No")</f>
        <v>No</v>
      </c>
      <c r="AP7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70" s="3">
        <f>IF(Tabla145[[#This Row],[Necesidad]]&gt;=Tabla145[[#This Row],[Stock al día]],Tabla145[[#This Row],[Stock al día]],Tabla145[[#This Row],[Necesidad]])</f>
        <v>0</v>
      </c>
      <c r="AR70" s="3">
        <f>+Tabla145[[#This Row],[Necesidad]]-Tabla145[[#This Row],[Stock Plan]]</f>
        <v>0</v>
      </c>
      <c r="AS70" s="155">
        <f>IFERROR(VLOOKUP(Tabla145[[#This Row],[Oficina]],[19]Ponderación!$B$14:$E$21,4,FALSE),"")</f>
        <v>44789</v>
      </c>
      <c r="AT7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70" s="83">
        <f>IFERROR(VLOOKUP(Tabla145[[#This Row],[Llave]],[17]DELAY!$H:$W,16,FALSE),0)</f>
        <v>0</v>
      </c>
      <c r="AV7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70" s="5">
        <f>Tabla145[[#This Row],[Ajuste precio IC]]*Tabla145[[#This Row],[Plan Ajustado]]</f>
        <v>0</v>
      </c>
      <c r="AX70" s="30">
        <f>IFERROR(VLOOKUP(Tabla145[[#This Row],[Llave]],'[13]Ultimos precios facturados'!$A:$G,7,FALSE),0)</f>
        <v>0</v>
      </c>
      <c r="AY7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70" s="30">
        <f>IFERROR(VLOOKUP(Tabla145[[#This Row],[Llave]],Hoja2!B:K,10,FALSE),0)</f>
        <v>0</v>
      </c>
      <c r="BA70" s="30">
        <f>IF(Tabla145[[#This Row],[Ajuste precio IC]]="",Tabla145[[#This Row],[Precio ponderado]],Tabla145[[#This Row],[Precio ponderado]])</f>
        <v>0</v>
      </c>
      <c r="BB70" s="82"/>
      <c r="BC70" s="82" t="str">
        <f>IF(AND(Tabla145[[#This Row],[Atraso a facturar]]&gt;0,Tabla145[[#This Row],[Precio Atraso]]=0),"Revisar","OK")</f>
        <v>OK</v>
      </c>
      <c r="BD70" s="82" t="str">
        <f>IF(AND(Tabla145[[#This Row],[Venta del mes]]&gt;0,Tabla145[[#This Row],[Precio venta nueva]]=0),"Revisar","OK")</f>
        <v>OK</v>
      </c>
      <c r="BE70" s="20">
        <f>IFERROR(VLOOKUP(Tabla145[[#This Row],[Llave]],'[5]Consolidación planes'!$A:$M,9,FALSE),0)</f>
        <v>0</v>
      </c>
      <c r="BF70" s="20">
        <f>IFERROR(VLOOKUP(Tabla145[[#This Row],[Llave]],'[5]Consolidación planes'!$A:$M,10,FALSE),0)</f>
        <v>0</v>
      </c>
      <c r="BG70" s="20">
        <f>IFERROR(VLOOKUP(Tabla145[[#This Row],[Llave]],'[5]Consolidación planes'!$A:$M,11,FALSE),0)</f>
        <v>10221</v>
      </c>
      <c r="BH70" s="20">
        <f>IFERROR(VLOOKUP(Tabla145[[#This Row],[Llave]],'[5]Consolidación planes'!$A:$M,12,FALSE),0)</f>
        <v>0</v>
      </c>
      <c r="BI70" s="20">
        <f>IFERROR(VLOOKUP(Tabla145[[#This Row],[Llave]],'[5]Consolidación planes'!$A:$M,13,FALSE),0)</f>
        <v>0</v>
      </c>
      <c r="BJ70" s="20">
        <f>IFERROR(VLOOKUP(Tabla145[[#This Row],[Llave]],'[13]Base ultimos planes'!$A:$M,13,FALSE),0)</f>
        <v>0</v>
      </c>
      <c r="BK70" s="80">
        <f>IFERROR(VLOOKUP(Tabla145[[#This Row],[Llave]],'[13]Base ultimos planes'!$O:$AA,8,FALSE),0)</f>
        <v>0</v>
      </c>
      <c r="BL70" s="20">
        <f>IFERROR(VLOOKUP(Tabla145[[#This Row],[Llave]],'[13]Base ultimos planes'!$O:$AA,9,FALSE),0)</f>
        <v>0</v>
      </c>
      <c r="BM70" s="20">
        <f>IFERROR(VLOOKUP(Tabla145[[#This Row],[Llave]],'[13]Base ultimos planes'!$O:$AA,10,FALSE),0)</f>
        <v>28823</v>
      </c>
      <c r="BN70" s="20">
        <f>IFERROR(VLOOKUP(Tabla145[[#This Row],[Llave]],'[13]Base ultimos planes'!$O:$AA,11,FALSE),0)</f>
        <v>0</v>
      </c>
      <c r="BO70" s="20">
        <f>IFERROR(VLOOKUP(Tabla145[[#This Row],[Llave]],'[13]Base ultimos planes'!$O:$AA,12,FALSE),0)</f>
        <v>0</v>
      </c>
      <c r="BP70" s="20">
        <f>IFERROR(VLOOKUP(Tabla145[[#This Row],[Llave]],'[13]Base ultimos planes'!$O:$AA,13,FALSE),0)</f>
        <v>0</v>
      </c>
      <c r="BQ70" s="20"/>
      <c r="BR70" s="20">
        <f>Tabla145[[#This Row],[ RV Producción mes n+1]]*(1-Tabla145[[#This Row],[% Uti. producción]])</f>
        <v>0</v>
      </c>
      <c r="BS70" s="20">
        <f>+Tabla145[[#This Row],[Producción disponible mes n-1]]+Tabla145[[#This Row],[Saldo Volumen disponible]]</f>
        <v>0</v>
      </c>
      <c r="BT70" s="7">
        <f>IFERROR(VLOOKUP(Tabla145[[#This Row],[Llave]],'[21]RV n+2 y n+3'!$B:$F,4,FALSE),0)</f>
        <v>0</v>
      </c>
      <c r="BU70" s="7">
        <f>+Tabla145[[#This Row],[Asignación mes n+2]]*Tabla145[[#This Row],[% Uti. producción]]</f>
        <v>0</v>
      </c>
      <c r="BV70" s="7">
        <f>+Tabla145[[#This Row],[Ponderación mes n+2]]+Tabla145[[#This Row],[Saldo mes n-1]]</f>
        <v>0</v>
      </c>
      <c r="BW70" s="7">
        <f>+Tabla145[[#This Row],[Asignación mes n+2]]-Tabla145[[#This Row],[Ponderación mes n+2]]</f>
        <v>0</v>
      </c>
      <c r="BX70" s="7">
        <f>IFERROR(VLOOKUP(Tabla145[[#This Row],[Llave]],'[21]RV n+2 y n+3'!$B:$F,5,FALSE),0)</f>
        <v>0</v>
      </c>
      <c r="BY70" s="7">
        <f>+Tabla145[[#This Row],[Asignación mes n+3]]*Tabla145[[#This Row],[% Uti. producción]]</f>
        <v>0</v>
      </c>
      <c r="BZ70" s="3">
        <f>+Tabla145[[#This Row],[Ponderación mes n+3]]+Tabla145[[#This Row],[Saldo mes n+2]]</f>
        <v>0</v>
      </c>
      <c r="CA70" s="3">
        <f>+Tabla145[[#This Row],[Asignación mes n+3]]-Tabla145[[#This Row],[Ponderación mes n+3]]</f>
        <v>0</v>
      </c>
      <c r="CB70" s="3">
        <f>+Tabla145[[#This Row],[Producción disponible mes n-1]]+Tabla145[[#This Row],[Producción disponible]]</f>
        <v>0</v>
      </c>
      <c r="CC70" s="3">
        <f>+Tabla145[[#This Row],[Saldo mes n+4]]-Tabla145[[#This Row],[ RV Producción mes n+1]]</f>
        <v>0</v>
      </c>
    </row>
    <row r="71" spans="1:81" ht="16" x14ac:dyDescent="0.2">
      <c r="A71">
        <v>1</v>
      </c>
      <c r="B71" t="str">
        <f>Tabla145[[#This Row],[Oficina]]&amp;Tabla145[[#This Row],[Material]]</f>
        <v>Agro Sudamerica1023331</v>
      </c>
      <c r="C71" t="s">
        <v>6</v>
      </c>
      <c r="D71" t="s">
        <v>17</v>
      </c>
      <c r="E71">
        <v>1023331</v>
      </c>
      <c r="F71" t="s">
        <v>281</v>
      </c>
      <c r="G71" t="s">
        <v>50</v>
      </c>
      <c r="H71" t="s">
        <v>110</v>
      </c>
      <c r="I71" s="7">
        <f>IFERROR(VLOOKUP(Tabla145[[#This Row],[Llave]],'[7]RV Producción'!$C:$G,5,FALSE),0)</f>
        <v>0</v>
      </c>
      <c r="J71" s="3">
        <f>IFERROR(IF(Tabla145[[#This Row],[Oficina]]=$I$7,VLOOKUP(Tabla145[[#This Row],[Llave]],'[7]Shangai (Tomas)'!$A:$F,6,FALSE),VLOOKUP(Tabla145[[#This Row],[Llave]],'[7]RV plan de ventas'!$A:$E,5,FALSE)),0)</f>
        <v>94</v>
      </c>
      <c r="K71" s="8">
        <f>IFERROR(VLOOKUP(Tabla145[[#This Row],[Oficina]],[15]Ponderación!$B$2:$E$9,4,FALSE),0)</f>
        <v>0.45719439678473212</v>
      </c>
      <c r="L71" s="7">
        <f>+Tabla145[[#This Row],[ RV Producción mes n+1]]*Tabla145[[#This Row],[% Uti. producción]]</f>
        <v>0</v>
      </c>
      <c r="M71" s="7">
        <f>IFERROR(VLOOKUP(Tabla145[[#This Row],[Material]],[16]Stock!$G:$K,5,FALSE),0)</f>
        <v>17815</v>
      </c>
      <c r="N71" s="7">
        <f>IFERROR(VLOOKUP(Tabla145[[#This Row],[Material]],[16]Produccion!$M:$N,2,FALSE),0)</f>
        <v>0</v>
      </c>
      <c r="O71" s="7">
        <f>IFERROR(VLOOKUP(Tabla145[[#This Row],[Llave]],'[16]TD Conf-AP'!$I:$M,4,FALSE),0)</f>
        <v>0</v>
      </c>
      <c r="P71" s="14">
        <f>SUM(Tabla145[[#This Row],[Producción disponible]],Tabla145[[#This Row],[Stock al día]],(Tabla145[[#This Row],[Por producir mes N]]*0.9))-Tabla145[[#This Row],[Producción por despachar mes N]]</f>
        <v>17815</v>
      </c>
      <c r="Q71" s="7">
        <f>IFERROR(VLOOKUP(Tabla145[[#This Row],[Llave]],[17]DELAY!$A:$D,4,FALSE),0)</f>
        <v>6000</v>
      </c>
      <c r="R71" s="9">
        <v>24000</v>
      </c>
      <c r="S71" s="5">
        <f t="shared" si="5"/>
        <v>6000</v>
      </c>
      <c r="T71" s="76">
        <v>-6000</v>
      </c>
      <c r="U71" s="5">
        <f>+Tabla145[[#This Row],[Atraso a facturar]]+Tabla145[[#This Row],[Ajuste atraso]]</f>
        <v>0</v>
      </c>
      <c r="V71" s="3">
        <f>+Tabla145[[#This Row],[Total disponible]]-Tabla145[[#This Row],[Facturación atraso]]</f>
        <v>17815</v>
      </c>
      <c r="W71" s="6">
        <f>IFERROR(IF(AND(V71&gt;R71,J71&gt;=R71),ROUNDDOWN((Tabla145[[#This Row],[Producción para venta nueva]])/R71,0)*R71,0),0)</f>
        <v>0</v>
      </c>
      <c r="X71" s="76">
        <v>0</v>
      </c>
      <c r="Y71" s="6">
        <f>IF(Tabla145[[#This Row],[Venta del mes]]&gt;0,Tabla145[[#This Row],[Venta del mes]]+Tabla145[[#This Row],[Ajuste venta nueva]],0)</f>
        <v>0</v>
      </c>
      <c r="Z71" s="6">
        <f>+Tabla145[[#This Row],[Producción para venta nueva]]-Tabla145[[#This Row],[Facturación Venta nueva]]</f>
        <v>17815</v>
      </c>
      <c r="AA71" s="6">
        <f>IF(AND(A71=1,Tabla145[[#This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1" s="6">
        <v>0</v>
      </c>
      <c r="AC71" s="6">
        <f>IF(Tabla145[[#This Row],[Disponible stock sin venta]]&gt;0,Tabla145[[#This Row],[Disponible stock sin venta]]+Tabla145[[#This Row],[Ajuste stock sin venta]],0)</f>
        <v>0</v>
      </c>
      <c r="AD71" s="3">
        <f>IFERROR(VLOOKUP(Tabla145[[#This Row],[Llave]],'[16]TD Puerto'!$A:$D,4,FALSE),0)</f>
        <v>0</v>
      </c>
      <c r="AE71" s="3">
        <v>6000</v>
      </c>
      <c r="AF71" s="3">
        <f>+Tabla145[[#This Row],[Plan Irrestricto Inicial]]</f>
        <v>6000</v>
      </c>
      <c r="AG71" s="3">
        <f>+Tabla145[[#This Row],[En puerto a facturar]]</f>
        <v>0</v>
      </c>
      <c r="AH71" s="3">
        <f>+Tabla145[[#This Row],[Facturación atraso]]</f>
        <v>0</v>
      </c>
      <c r="AI71" s="3">
        <f>+Tabla145[[#This Row],[Plan Irrestricto]]-Tabla145[[#This Row],[Puerto ]]-Tabla145[[#This Row],[Atraso]]</f>
        <v>6000</v>
      </c>
      <c r="AJ7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71" s="3">
        <f>+Tabla145[[#This Row],[Facturación atraso]]</f>
        <v>0</v>
      </c>
      <c r="AL71" s="3">
        <f>+Tabla145[[#This Row],[Plan Ajustado]]-Tabla145[[#This Row],[ Atraso ajustado]]-Tabla145[[#This Row],[Puerto ]]</f>
        <v>0</v>
      </c>
      <c r="AM71" s="6">
        <f>IFERROR(VLOOKUP(Tabla145[[#This Row],[Llave]],[18]!Tabla14[#All],34,FALSE),0)</f>
        <v>0</v>
      </c>
      <c r="AN71" s="6">
        <f>IFERROR(VLOOKUP(Tabla145[[#This Row],[Llave]],[18]!Tabla14[#All],35,FALSE),0)</f>
        <v>0</v>
      </c>
      <c r="AO71" s="3" t="str">
        <f>IF(Tabla145[[#This Row],[Plan Ajustado]]&gt;Tabla145[[#This Row],[En puerto a facturar]],"Si","No")</f>
        <v>No</v>
      </c>
      <c r="AP7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71" s="3">
        <f>IF(Tabla145[[#This Row],[Necesidad]]&gt;=Tabla145[[#This Row],[Stock al día]],Tabla145[[#This Row],[Stock al día]],Tabla145[[#This Row],[Necesidad]])</f>
        <v>0</v>
      </c>
      <c r="AR71" s="3">
        <f>+Tabla145[[#This Row],[Necesidad]]-Tabla145[[#This Row],[Stock Plan]]</f>
        <v>0</v>
      </c>
      <c r="AS71" s="155">
        <f>IFERROR(VLOOKUP(Tabla145[[#This Row],[Oficina]],[19]Ponderación!$B$14:$E$21,4,FALSE),"")</f>
        <v>44789</v>
      </c>
      <c r="AT7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2.3829787234042601</v>
      </c>
      <c r="AU71" s="83">
        <f>IFERROR(VLOOKUP(Tabla145[[#This Row],[Llave]],[17]DELAY!$H:$W,16,FALSE),0)</f>
        <v>2.8</v>
      </c>
      <c r="AV7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71" s="5">
        <f>Tabla145[[#This Row],[Ajuste precio IC]]*Tabla145[[#This Row],[Plan Ajustado]]</f>
        <v>0</v>
      </c>
      <c r="AX71" s="30">
        <f>IFERROR(VLOOKUP(Tabla145[[#This Row],[Llave]],'[13]Ultimos precios facturados'!$A:$G,7,FALSE),0)</f>
        <v>2.5677309441596563</v>
      </c>
      <c r="AY7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71" s="30">
        <f>IFERROR(VLOOKUP(Tabla145[[#This Row],[Llave]],Hoja2!B:K,10,FALSE),0)</f>
        <v>0</v>
      </c>
      <c r="BA71" s="30">
        <f>IF(Tabla145[[#This Row],[Ajuste precio IC]]="",Tabla145[[#This Row],[Precio ponderado]],Tabla145[[#This Row],[Precio ponderado]])</f>
        <v>0</v>
      </c>
      <c r="BB71" s="82"/>
      <c r="BC71" s="82" t="str">
        <f>IF(AND(Tabla145[[#This Row],[Atraso a facturar]]&gt;0,Tabla145[[#This Row],[Precio Atraso]]=0),"Revisar","OK")</f>
        <v>OK</v>
      </c>
      <c r="BD71" s="82" t="str">
        <f>IF(AND(Tabla145[[#This Row],[Venta del mes]]&gt;0,Tabla145[[#This Row],[Precio venta nueva]]=0),"Revisar","OK")</f>
        <v>OK</v>
      </c>
      <c r="BE71" s="20">
        <f>IFERROR(VLOOKUP(Tabla145[[#This Row],[Llave]],'[5]Consolidación planes'!$A:$M,9,FALSE),0)</f>
        <v>0</v>
      </c>
      <c r="BF71" s="20">
        <f>IFERROR(VLOOKUP(Tabla145[[#This Row],[Llave]],'[5]Consolidación planes'!$A:$M,10,FALSE),0)</f>
        <v>23000</v>
      </c>
      <c r="BG71" s="20">
        <f>IFERROR(VLOOKUP(Tabla145[[#This Row],[Llave]],'[5]Consolidación planes'!$A:$M,11,FALSE),0)</f>
        <v>0</v>
      </c>
      <c r="BH71" s="20">
        <f>IFERROR(VLOOKUP(Tabla145[[#This Row],[Llave]],'[5]Consolidación planes'!$A:$M,12,FALSE),0)</f>
        <v>23000</v>
      </c>
      <c r="BI71" s="20">
        <f>IFERROR(VLOOKUP(Tabla145[[#This Row],[Llave]],'[5]Consolidación planes'!$A:$M,13,FALSE),0)</f>
        <v>0</v>
      </c>
      <c r="BJ71" s="20">
        <f>IFERROR(VLOOKUP(Tabla145[[#This Row],[Llave]],'[13]Base ultimos planes'!$A:$M,13,FALSE),0)</f>
        <v>0</v>
      </c>
      <c r="BK71" s="80">
        <f>IFERROR(VLOOKUP(Tabla145[[#This Row],[Llave]],'[13]Base ultimos planes'!$O:$AA,8,FALSE),0)</f>
        <v>0</v>
      </c>
      <c r="BL71" s="20">
        <f>IFERROR(VLOOKUP(Tabla145[[#This Row],[Llave]],'[13]Base ultimos planes'!$O:$AA,9,FALSE),0)</f>
        <v>59608</v>
      </c>
      <c r="BM71" s="20">
        <f>IFERROR(VLOOKUP(Tabla145[[#This Row],[Llave]],'[13]Base ultimos planes'!$O:$AA,10,FALSE),0)</f>
        <v>0</v>
      </c>
      <c r="BN71" s="20">
        <f>IFERROR(VLOOKUP(Tabla145[[#This Row],[Llave]],'[13]Base ultimos planes'!$O:$AA,11,FALSE),0)</f>
        <v>57730</v>
      </c>
      <c r="BO71" s="20">
        <f>IFERROR(VLOOKUP(Tabla145[[#This Row],[Llave]],'[13]Base ultimos planes'!$O:$AA,12,FALSE),0)</f>
        <v>0</v>
      </c>
      <c r="BP71" s="20">
        <f>IFERROR(VLOOKUP(Tabla145[[#This Row],[Llave]],'[13]Base ultimos planes'!$O:$AA,13,FALSE),0)</f>
        <v>0</v>
      </c>
      <c r="BQ71" s="20"/>
      <c r="BR71" s="20">
        <f>Tabla145[[#This Row],[ RV Producción mes n+1]]*(1-Tabla145[[#This Row],[% Uti. producción]])</f>
        <v>0</v>
      </c>
      <c r="BS71" s="20">
        <f>+Tabla145[[#This Row],[Producción disponible mes n-1]]+Tabla145[[#This Row],[Saldo Volumen disponible]]</f>
        <v>17815</v>
      </c>
      <c r="BT71" s="7">
        <f>IFERROR(VLOOKUP(Tabla145[[#This Row],[Llave]],'[21]RV n+2 y n+3'!$B:$F,4,FALSE),0)</f>
        <v>0</v>
      </c>
      <c r="BU71" s="7">
        <f>+Tabla145[[#This Row],[Asignación mes n+2]]*Tabla145[[#This Row],[% Uti. producción]]</f>
        <v>0</v>
      </c>
      <c r="BV71" s="7">
        <f>+Tabla145[[#This Row],[Ponderación mes n+2]]+Tabla145[[#This Row],[Saldo mes n-1]]</f>
        <v>17815</v>
      </c>
      <c r="BW71" s="7">
        <f>+Tabla145[[#This Row],[Asignación mes n+2]]-Tabla145[[#This Row],[Ponderación mes n+2]]</f>
        <v>0</v>
      </c>
      <c r="BX71" s="7">
        <f>IFERROR(VLOOKUP(Tabla145[[#This Row],[Llave]],'[21]RV n+2 y n+3'!$B:$F,5,FALSE),0)</f>
        <v>0</v>
      </c>
      <c r="BY71" s="7">
        <f>+Tabla145[[#This Row],[Asignación mes n+3]]*Tabla145[[#This Row],[% Uti. producción]]</f>
        <v>0</v>
      </c>
      <c r="BZ71" s="3">
        <f>+Tabla145[[#This Row],[Ponderación mes n+3]]+Tabla145[[#This Row],[Saldo mes n+2]]</f>
        <v>0</v>
      </c>
      <c r="CA71" s="3">
        <f>+Tabla145[[#This Row],[Asignación mes n+3]]-Tabla145[[#This Row],[Ponderación mes n+3]]</f>
        <v>0</v>
      </c>
      <c r="CB71" s="3">
        <f>+Tabla145[[#This Row],[Producción disponible mes n-1]]+Tabla145[[#This Row],[Producción disponible]]</f>
        <v>0</v>
      </c>
      <c r="CC71" s="3">
        <f>+Tabla145[[#This Row],[Saldo mes n+4]]-Tabla145[[#This Row],[ RV Producción mes n+1]]</f>
        <v>0</v>
      </c>
    </row>
    <row r="72" spans="1:81" ht="16" x14ac:dyDescent="0.2">
      <c r="A72">
        <v>1</v>
      </c>
      <c r="B72" t="str">
        <f>Tabla145[[#This Row],[Oficina]]&amp;Tabla145[[#This Row],[Material]]</f>
        <v>Agro Sudamerica1023355</v>
      </c>
      <c r="C72" t="s">
        <v>6</v>
      </c>
      <c r="D72" t="s">
        <v>17</v>
      </c>
      <c r="E72">
        <v>1023355</v>
      </c>
      <c r="F72" t="s">
        <v>203</v>
      </c>
      <c r="G72" t="s">
        <v>76</v>
      </c>
      <c r="H72" t="s">
        <v>84</v>
      </c>
      <c r="I72" s="7">
        <f>IFERROR(VLOOKUP(Tabla145[[#This Row],[Llave]],'[7]RV Producción'!$C:$G,5,FALSE),0)</f>
        <v>30736</v>
      </c>
      <c r="J72" s="3">
        <f>IFERROR(IF(Tabla145[[#This Row],[Oficina]]=$I$7,VLOOKUP(Tabla145[[#This Row],[Llave]],'[7]Shangai (Tomas)'!$A:$F,6,FALSE),VLOOKUP(Tabla145[[#This Row],[Llave]],'[7]RV plan de ventas'!$A:$E,5,FALSE)),0)</f>
        <v>51378</v>
      </c>
      <c r="K72" s="8">
        <f>IFERROR(VLOOKUP(Tabla145[[#This Row],[Oficina]],[15]Ponderación!$B$2:$E$9,4,FALSE),0)</f>
        <v>0.45719439678473212</v>
      </c>
      <c r="L72" s="7">
        <f>+Tabla145[[#This Row],[ RV Producción mes n+1]]*Tabla145[[#This Row],[% Uti. producción]]</f>
        <v>14052.326979575526</v>
      </c>
      <c r="M72" s="7">
        <f>IFERROR(VLOOKUP(Tabla145[[#This Row],[Material]],[16]Stock!$G:$K,5,FALSE),0)</f>
        <v>34887</v>
      </c>
      <c r="N72" s="7">
        <f>IFERROR(VLOOKUP(Tabla145[[#This Row],[Material]],[16]Produccion!$M:$N,2,FALSE),0)</f>
        <v>8160</v>
      </c>
      <c r="O72" s="7">
        <f>IFERROR(VLOOKUP(Tabla145[[#This Row],[Llave]],'[16]TD Conf-AP'!$I:$M,4,FALSE),0)</f>
        <v>0</v>
      </c>
      <c r="P72" s="14">
        <f>SUM(Tabla145[[#This Row],[Producción disponible]],Tabla145[[#This Row],[Stock al día]],(Tabla145[[#This Row],[Por producir mes N]]*0.9))-Tabla145[[#This Row],[Producción por despachar mes N]]</f>
        <v>56283.326979575526</v>
      </c>
      <c r="Q72" s="7">
        <f>IFERROR(VLOOKUP(Tabla145[[#This Row],[Llave]],[17]DELAY!$A:$D,4,FALSE),0)</f>
        <v>22500</v>
      </c>
      <c r="R72" s="9">
        <v>24000</v>
      </c>
      <c r="S72" s="5">
        <f t="shared" si="5"/>
        <v>22500</v>
      </c>
      <c r="T72" s="76">
        <v>0</v>
      </c>
      <c r="U72" s="5">
        <f>+Tabla145[[#This Row],[Atraso a facturar]]+Tabla145[[#This Row],[Ajuste atraso]]</f>
        <v>22500</v>
      </c>
      <c r="V72" s="3">
        <f>+Tabla145[[#This Row],[Total disponible]]-Tabla145[[#This Row],[Facturación atraso]]</f>
        <v>33783.326979575526</v>
      </c>
      <c r="W72" s="6">
        <f>IFERROR(IF(AND(V72&gt;R72,J72&gt;=R72),ROUNDDOWN((Tabla145[[#This Row],[Producción para venta nueva]])/R72,0)*R72,0),0)</f>
        <v>24000</v>
      </c>
      <c r="X72" s="76">
        <v>0</v>
      </c>
      <c r="Y72" s="6">
        <f>IF(Tabla145[[#This Row],[Venta del mes]]&gt;0,Tabla145[[#This Row],[Venta del mes]]+Tabla145[[#This Row],[Ajuste venta nueva]],0)</f>
        <v>24000</v>
      </c>
      <c r="Z72" s="6">
        <f>+Tabla145[[#This Row],[Producción para venta nueva]]-Tabla145[[#This Row],[Facturación Venta nueva]]</f>
        <v>9783.3269795755259</v>
      </c>
      <c r="AA72" s="6">
        <f>IF(AND(A72=1,Tabla145[[#This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2" s="6">
        <v>0</v>
      </c>
      <c r="AC72" s="6">
        <f>IF(Tabla145[[#This Row],[Disponible stock sin venta]]&gt;0,Tabla145[[#This Row],[Disponible stock sin venta]]+Tabla145[[#This Row],[Ajuste stock sin venta]],0)</f>
        <v>0</v>
      </c>
      <c r="AD72" s="3">
        <f>IFERROR(VLOOKUP(Tabla145[[#This Row],[Llave]],'[16]TD Puerto'!$A:$D,4,FALSE),0)</f>
        <v>0</v>
      </c>
      <c r="AE72" s="3">
        <v>22500</v>
      </c>
      <c r="AF72" s="3">
        <f>+Tabla145[[#This Row],[Plan Irrestricto Inicial]]</f>
        <v>22500</v>
      </c>
      <c r="AG72" s="3">
        <f>+Tabla145[[#This Row],[En puerto a facturar]]</f>
        <v>0</v>
      </c>
      <c r="AH72" s="3">
        <f>+Tabla145[[#This Row],[Facturación atraso]]</f>
        <v>22500</v>
      </c>
      <c r="AI72" s="3">
        <f>+Tabla145[[#This Row],[Plan Irrestricto]]-Tabla145[[#This Row],[Puerto ]]-Tabla145[[#This Row],[Atraso]]</f>
        <v>0</v>
      </c>
      <c r="AJ72" s="3">
        <f>IF(Tabla145[[#This Row],[Plan Irrestricto]]&gt;0,SUM(Tabla145[[#This Row],[Facturación atraso]],Tabla145[[#This Row],[Facturación Venta nueva]],Tabla145[[#This Row],[Facturación stock]],Tabla145[[#This Row],[En puerto a facturar]]),0)</f>
        <v>46500</v>
      </c>
      <c r="AK72" s="3">
        <f>+Tabla145[[#This Row],[Facturación atraso]]</f>
        <v>22500</v>
      </c>
      <c r="AL72" s="3">
        <f>+Tabla145[[#This Row],[Plan Ajustado]]-Tabla145[[#This Row],[ Atraso ajustado]]-Tabla145[[#This Row],[Puerto ]]</f>
        <v>24000</v>
      </c>
      <c r="AM72" s="6">
        <f>IFERROR(VLOOKUP(Tabla145[[#This Row],[Llave]],[18]!Tabla14[#All],34,FALSE),0)</f>
        <v>0</v>
      </c>
      <c r="AN72" s="6">
        <f>IFERROR(VLOOKUP(Tabla145[[#This Row],[Llave]],[18]!Tabla14[#All],35,FALSE),0)</f>
        <v>0</v>
      </c>
      <c r="AO72" s="3" t="str">
        <f>IF(Tabla145[[#This Row],[Plan Ajustado]]&gt;Tabla145[[#This Row],[En puerto a facturar]],"Si","No")</f>
        <v>Si</v>
      </c>
      <c r="AP72" s="3">
        <f>IF(AND(Tabla145[[#This Row],[Plan Ajustado]]&gt;0,Tabla145[[#This Row],[Plan Ajustado]]&gt;Tabla145[[#This Row],[En puerto a facturar]]),(Tabla145[[#This Row],[Plan Ajustado]]-Tabla145[[#This Row],[En puerto a facturar]]),0)</f>
        <v>46500</v>
      </c>
      <c r="AQ72" s="3">
        <f>IF(Tabla145[[#This Row],[Necesidad]]&gt;=Tabla145[[#This Row],[Stock al día]],Tabla145[[#This Row],[Stock al día]],Tabla145[[#This Row],[Necesidad]])</f>
        <v>34887</v>
      </c>
      <c r="AR72" s="3">
        <f>+Tabla145[[#This Row],[Necesidad]]-Tabla145[[#This Row],[Stock Plan]]</f>
        <v>11613</v>
      </c>
      <c r="AS72" s="155">
        <f>IFERROR(VLOOKUP(Tabla145[[#This Row],[Oficina]],[19]Ponderación!$B$14:$E$21,4,FALSE),"")</f>
        <v>44789</v>
      </c>
      <c r="AT7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0.65999065747985497</v>
      </c>
      <c r="AU72" s="83">
        <f>IFERROR(VLOOKUP(Tabla145[[#This Row],[Llave]],[17]DELAY!$H:$W,16,FALSE),0)</f>
        <v>0.76349999999999996</v>
      </c>
      <c r="AV7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0.71007582321540907</v>
      </c>
      <c r="AW72" s="5">
        <f>Tabla145[[#This Row],[Ajuste precio IC]]*Tabla145[[#This Row],[Plan Ajustado]]</f>
        <v>29039.775779516523</v>
      </c>
      <c r="AX72" s="30">
        <f>IFERROR(VLOOKUP(Tabla145[[#This Row],[Llave]],'[13]Ultimos precios facturados'!$A:$G,7,FALSE),0)</f>
        <v>0.65103105102954539</v>
      </c>
      <c r="AY7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9.0694248903320104E-2</v>
      </c>
      <c r="AZ72" s="30">
        <f>IFERROR(VLOOKUP(Tabla145[[#This Row],[Llave]],Hoja2!B:K,10,FALSE),0)</f>
        <v>0.62451130708637681</v>
      </c>
      <c r="BA72" s="30">
        <f>IF(Tabla145[[#This Row],[Ajuste precio IC]]="",Tabla145[[#This Row],[Precio ponderado]],Tabla145[[#This Row],[Precio ponderado]])</f>
        <v>0.71007582321540907</v>
      </c>
      <c r="BB72" s="82"/>
      <c r="BC72" s="82" t="str">
        <f>IF(AND(Tabla145[[#This Row],[Atraso a facturar]]&gt;0,Tabla145[[#This Row],[Precio Atraso]]=0),"Revisar","OK")</f>
        <v>OK</v>
      </c>
      <c r="BD72" s="82" t="str">
        <f>IF(AND(Tabla145[[#This Row],[Venta del mes]]&gt;0,Tabla145[[#This Row],[Precio venta nueva]]=0),"Revisar","OK")</f>
        <v>OK</v>
      </c>
      <c r="BE72" s="20">
        <f>IFERROR(VLOOKUP(Tabla145[[#This Row],[Llave]],'[5]Consolidación planes'!$A:$M,9,FALSE),0)</f>
        <v>0</v>
      </c>
      <c r="BF72" s="20">
        <f>IFERROR(VLOOKUP(Tabla145[[#This Row],[Llave]],'[5]Consolidación planes'!$A:$M,10,FALSE),0)</f>
        <v>0</v>
      </c>
      <c r="BG72" s="20">
        <f>IFERROR(VLOOKUP(Tabla145[[#This Row],[Llave]],'[5]Consolidación planes'!$A:$M,11,FALSE),0)</f>
        <v>0</v>
      </c>
      <c r="BH72" s="20">
        <f>IFERROR(VLOOKUP(Tabla145[[#This Row],[Llave]],'[5]Consolidación planes'!$A:$M,12,FALSE),0)</f>
        <v>0</v>
      </c>
      <c r="BI72" s="20">
        <f>IFERROR(VLOOKUP(Tabla145[[#This Row],[Llave]],'[5]Consolidación planes'!$A:$M,13,FALSE),0)</f>
        <v>24000</v>
      </c>
      <c r="BJ72" s="20">
        <f>IFERROR(VLOOKUP(Tabla145[[#This Row],[Llave]],'[13]Base ultimos planes'!$A:$M,13,FALSE),0)</f>
        <v>24000</v>
      </c>
      <c r="BK72" s="80">
        <f>IFERROR(VLOOKUP(Tabla145[[#This Row],[Llave]],'[13]Base ultimos planes'!$O:$AA,8,FALSE),0)</f>
        <v>0</v>
      </c>
      <c r="BL72" s="20">
        <f>IFERROR(VLOOKUP(Tabla145[[#This Row],[Llave]],'[13]Base ultimos planes'!$O:$AA,9,FALSE),0)</f>
        <v>0</v>
      </c>
      <c r="BM72" s="20">
        <f>IFERROR(VLOOKUP(Tabla145[[#This Row],[Llave]],'[13]Base ultimos planes'!$O:$AA,10,FALSE),0)</f>
        <v>0</v>
      </c>
      <c r="BN72" s="20">
        <f>IFERROR(VLOOKUP(Tabla145[[#This Row],[Llave]],'[13]Base ultimos planes'!$O:$AA,11,FALSE),0)</f>
        <v>0</v>
      </c>
      <c r="BO72" s="20">
        <f>IFERROR(VLOOKUP(Tabla145[[#This Row],[Llave]],'[13]Base ultimos planes'!$O:$AA,12,FALSE),0)</f>
        <v>12240</v>
      </c>
      <c r="BP72" s="20">
        <f>IFERROR(VLOOKUP(Tabla145[[#This Row],[Llave]],'[13]Base ultimos planes'!$O:$AA,13,FALSE),0)</f>
        <v>15157</v>
      </c>
      <c r="BQ72" s="20"/>
      <c r="BR72" s="20">
        <f>Tabla145[[#This Row],[ RV Producción mes n+1]]*(1-Tabla145[[#This Row],[% Uti. producción]])</f>
        <v>16683.673020424474</v>
      </c>
      <c r="BS72" s="20">
        <f>+Tabla145[[#This Row],[Producción disponible mes n-1]]+Tabla145[[#This Row],[Saldo Volumen disponible]]</f>
        <v>26467</v>
      </c>
      <c r="BT72" s="7">
        <f>IFERROR(VLOOKUP(Tabla145[[#This Row],[Llave]],'[21]RV n+2 y n+3'!$B:$F,4,FALSE),0)</f>
        <v>0</v>
      </c>
      <c r="BU72" s="7">
        <f>+Tabla145[[#This Row],[Asignación mes n+2]]*Tabla145[[#This Row],[% Uti. producción]]</f>
        <v>0</v>
      </c>
      <c r="BV72" s="7">
        <f>+Tabla145[[#This Row],[Ponderación mes n+2]]+Tabla145[[#This Row],[Saldo mes n-1]]</f>
        <v>26467</v>
      </c>
      <c r="BW72" s="7">
        <f>+Tabla145[[#This Row],[Asignación mes n+2]]-Tabla145[[#This Row],[Ponderación mes n+2]]</f>
        <v>0</v>
      </c>
      <c r="BX72" s="7">
        <f>IFERROR(VLOOKUP(Tabla145[[#This Row],[Llave]],'[21]RV n+2 y n+3'!$B:$F,5,FALSE),0)</f>
        <v>0</v>
      </c>
      <c r="BY72" s="7">
        <f>+Tabla145[[#This Row],[Asignación mes n+3]]*Tabla145[[#This Row],[% Uti. producción]]</f>
        <v>0</v>
      </c>
      <c r="BZ72" s="3">
        <f>+Tabla145[[#This Row],[Ponderación mes n+3]]+Tabla145[[#This Row],[Saldo mes n+2]]</f>
        <v>0</v>
      </c>
      <c r="CA72" s="3">
        <f>+Tabla145[[#This Row],[Asignación mes n+3]]-Tabla145[[#This Row],[Ponderación mes n+3]]</f>
        <v>0</v>
      </c>
      <c r="CB72" s="3">
        <f>+Tabla145[[#This Row],[Producción disponible mes n-1]]+Tabla145[[#This Row],[Producción disponible]]</f>
        <v>30736</v>
      </c>
      <c r="CC72" s="3">
        <f>+Tabla145[[#This Row],[Saldo mes n+4]]-Tabla145[[#This Row],[ RV Producción mes n+1]]</f>
        <v>0</v>
      </c>
    </row>
    <row r="73" spans="1:81" ht="16" x14ac:dyDescent="0.2">
      <c r="A73">
        <v>1</v>
      </c>
      <c r="B73" t="str">
        <f>Tabla145[[#This Row],[Oficina]]&amp;Tabla145[[#This Row],[Material]]</f>
        <v>Agrosuper Asia1020860</v>
      </c>
      <c r="C73" t="s">
        <v>6</v>
      </c>
      <c r="D73" t="s">
        <v>173</v>
      </c>
      <c r="E73">
        <v>1020860</v>
      </c>
      <c r="F73" t="s">
        <v>182</v>
      </c>
      <c r="G73" t="s">
        <v>50</v>
      </c>
      <c r="H73" t="s">
        <v>110</v>
      </c>
      <c r="I73" s="7">
        <f>IFERROR(VLOOKUP(Tabla145[[#This Row],[Llave]],'[7]RV Producción'!$C:$G,5,FALSE),0)</f>
        <v>145086</v>
      </c>
      <c r="J73" s="3">
        <f>IFERROR(IF(Tabla145[[#This Row],[Oficina]]=$I$7,VLOOKUP(Tabla145[[#This Row],[Llave]],'[7]Shangai (Tomas)'!$A:$F,6,FALSE),VLOOKUP(Tabla145[[#This Row],[Llave]],'[7]RV plan de ventas'!$A:$E,5,FALSE)),0)</f>
        <v>132000</v>
      </c>
      <c r="K73" s="8">
        <f>IFERROR(VLOOKUP(Tabla145[[#This Row],[Oficina]],[15]Ponderación!$B$2:$E$9,4,FALSE),0)</f>
        <v>0.45719439678473212</v>
      </c>
      <c r="L73" s="7">
        <f>+Tabla145[[#This Row],[ RV Producción mes n+1]]*Tabla145[[#This Row],[% Uti. producción]]</f>
        <v>66332.506251909639</v>
      </c>
      <c r="M73" s="7">
        <f>IFERROR(VLOOKUP(Tabla145[[#This Row],[Material]],[16]Stock!$G:$K,5,FALSE),0)</f>
        <v>37105</v>
      </c>
      <c r="N73" s="7">
        <f>IFERROR(VLOOKUP(Tabla145[[#This Row],[Material]],[16]Produccion!$M:$N,2,FALSE),0)</f>
        <v>18677.83240762608</v>
      </c>
      <c r="O73" s="7">
        <f>IFERROR(VLOOKUP(Tabla145[[#This Row],[Llave]],'[16]TD Conf-AP'!$I:$M,4,FALSE),0)</f>
        <v>0</v>
      </c>
      <c r="P73" s="14">
        <f>SUM(Tabla145[[#This Row],[Producción disponible]],Tabla145[[#This Row],[Stock al día]],(Tabla145[[#This Row],[Por producir mes N]]*0.9))-Tabla145[[#This Row],[Producción por despachar mes N]]</f>
        <v>120247.55541877312</v>
      </c>
      <c r="Q73" s="7">
        <f>IFERROR(VLOOKUP(Tabla145[[#This Row],[Llave]],[17]DELAY!$A:$D,4,FALSE),0)</f>
        <v>66000</v>
      </c>
      <c r="R73" s="9">
        <v>22000</v>
      </c>
      <c r="S73" s="5">
        <f t="shared" si="5"/>
        <v>66000</v>
      </c>
      <c r="T73" s="76">
        <v>0</v>
      </c>
      <c r="U73" s="5">
        <f>+Tabla145[[#This Row],[Atraso a facturar]]+Tabla145[[#This Row],[Ajuste atraso]]</f>
        <v>66000</v>
      </c>
      <c r="V73" s="3">
        <f>+Tabla145[[#This Row],[Total disponible]]-Tabla145[[#This Row],[Facturación atraso]]</f>
        <v>54247.555418773118</v>
      </c>
      <c r="W73" s="6">
        <f>IFERROR(IF(AND(V73&gt;R73,J73&gt;=R73),ROUNDDOWN((Tabla145[[#This Row],[Producción para venta nueva]])/R73,0)*R73,0),0)</f>
        <v>44000</v>
      </c>
      <c r="X73" s="76">
        <v>0</v>
      </c>
      <c r="Y73" s="6">
        <f>IF(Tabla145[[#This Row],[Venta del mes]]&gt;0,Tabla145[[#This Row],[Venta del mes]]+Tabla145[[#This Row],[Ajuste venta nueva]],0)</f>
        <v>44000</v>
      </c>
      <c r="Z73" s="6">
        <f>+Tabla145[[#This Row],[Producción para venta nueva]]-Tabla145[[#This Row],[Facturación Venta nueva]]</f>
        <v>10247.555418773118</v>
      </c>
      <c r="AA73" s="6">
        <f>IF(AND(A73=1,Tabla145[[#This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3" s="6">
        <v>0</v>
      </c>
      <c r="AC73" s="6">
        <f>IF(Tabla145[[#This Row],[Disponible stock sin venta]]&gt;0,Tabla145[[#This Row],[Disponible stock sin venta]]+Tabla145[[#This Row],[Ajuste stock sin venta]],0)</f>
        <v>0</v>
      </c>
      <c r="AD73" s="3">
        <f>IFERROR(VLOOKUP(Tabla145[[#This Row],[Llave]],'[16]TD Puerto'!$A:$D,4,FALSE),0)</f>
        <v>0</v>
      </c>
      <c r="AE73" s="3">
        <v>176000</v>
      </c>
      <c r="AF73" s="3">
        <f>+Tabla145[[#This Row],[Plan Irrestricto Inicial]]</f>
        <v>176000</v>
      </c>
      <c r="AG73" s="3">
        <f>+Tabla145[[#This Row],[En puerto a facturar]]</f>
        <v>0</v>
      </c>
      <c r="AH73" s="3">
        <f>+Tabla145[[#This Row],[Facturación atraso]]</f>
        <v>66000</v>
      </c>
      <c r="AI73" s="3">
        <f>+Tabla145[[#This Row],[Plan Irrestricto]]-Tabla145[[#This Row],[Puerto ]]-Tabla145[[#This Row],[Atraso]]</f>
        <v>110000</v>
      </c>
      <c r="AJ73" s="3">
        <f>IF(Tabla145[[#This Row],[Plan Irrestricto]]&gt;0,SUM(Tabla145[[#This Row],[Facturación atraso]],Tabla145[[#This Row],[Facturación Venta nueva]],Tabla145[[#This Row],[Facturación stock]],Tabla145[[#This Row],[En puerto a facturar]]),0)</f>
        <v>110000</v>
      </c>
      <c r="AK73" s="3">
        <f>+Tabla145[[#This Row],[Facturación atraso]]</f>
        <v>66000</v>
      </c>
      <c r="AL73" s="3">
        <f>+Tabla145[[#This Row],[Plan Ajustado]]-Tabla145[[#This Row],[ Atraso ajustado]]-Tabla145[[#This Row],[Puerto ]]</f>
        <v>44000</v>
      </c>
      <c r="AM73" s="6">
        <f>IFERROR(VLOOKUP(Tabla145[[#This Row],[Llave]],[18]!Tabla14[#All],34,FALSE),0)</f>
        <v>0</v>
      </c>
      <c r="AN73" s="6">
        <f>IFERROR(VLOOKUP(Tabla145[[#This Row],[Llave]],[18]!Tabla14[#All],35,FALSE),0)</f>
        <v>0</v>
      </c>
      <c r="AO73" s="3" t="str">
        <f>IF(Tabla145[[#This Row],[Plan Ajustado]]&gt;Tabla145[[#This Row],[En puerto a facturar]],"Si","No")</f>
        <v>Si</v>
      </c>
      <c r="AP73" s="3">
        <f>IF(AND(Tabla145[[#This Row],[Plan Ajustado]]&gt;0,Tabla145[[#This Row],[Plan Ajustado]]&gt;Tabla145[[#This Row],[En puerto a facturar]]),(Tabla145[[#This Row],[Plan Ajustado]]-Tabla145[[#This Row],[En puerto a facturar]]),0)</f>
        <v>110000</v>
      </c>
      <c r="AQ73" s="3">
        <f>IF(Tabla145[[#This Row],[Necesidad]]&gt;=Tabla145[[#This Row],[Stock al día]],Tabla145[[#This Row],[Stock al día]],Tabla145[[#This Row],[Necesidad]])</f>
        <v>37105</v>
      </c>
      <c r="AR73" s="3">
        <f>+Tabla145[[#This Row],[Necesidad]]-Tabla145[[#This Row],[Stock Plan]]</f>
        <v>72895</v>
      </c>
      <c r="AS73" s="155">
        <f>IFERROR(VLOOKUP(Tabla145[[#This Row],[Oficina]],[19]Ponderación!$B$14:$E$21,4,FALSE),"")</f>
        <v>44786</v>
      </c>
      <c r="AT7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4.17</v>
      </c>
      <c r="AU73" s="83">
        <f>IFERROR(VLOOKUP(Tabla145[[#This Row],[Llave]],[17]DELAY!$H:$W,16,FALSE),0)</f>
        <v>4.1875</v>
      </c>
      <c r="AV7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4.1805000000000003</v>
      </c>
      <c r="AW73" s="5">
        <f>Tabla145[[#This Row],[Ajuste precio IC]]*Tabla145[[#This Row],[Plan Ajustado]]</f>
        <v>459855.00000000006</v>
      </c>
      <c r="AX73" s="30">
        <f>IFERROR(VLOOKUP(Tabla145[[#This Row],[Llave]],'[13]Ultimos precios facturados'!$A:$G,7,FALSE),0)</f>
        <v>4.07112515479088</v>
      </c>
      <c r="AY7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2.6865999214101426E-2</v>
      </c>
      <c r="AZ73" s="30">
        <f>IFERROR(VLOOKUP(Tabla145[[#This Row],[Llave]],Hoja2!B:K,10,FALSE),0)</f>
        <v>4.1805000000000003</v>
      </c>
      <c r="BA73" s="30">
        <f>IF(Tabla145[[#This Row],[Ajuste precio IC]]="",Tabla145[[#This Row],[Precio ponderado]],Tabla145[[#This Row],[Precio ponderado]])</f>
        <v>4.1805000000000003</v>
      </c>
      <c r="BB73" s="82"/>
      <c r="BC73" s="82" t="str">
        <f>IF(AND(Tabla145[[#This Row],[Atraso a facturar]]&gt;0,Tabla145[[#This Row],[Precio Atraso]]=0),"Revisar","OK")</f>
        <v>OK</v>
      </c>
      <c r="BD73" s="82" t="str">
        <f>IF(AND(Tabla145[[#This Row],[Venta del mes]]&gt;0,Tabla145[[#This Row],[Precio venta nueva]]=0),"Revisar","OK")</f>
        <v>OK</v>
      </c>
      <c r="BE73" s="20">
        <f>IFERROR(VLOOKUP(Tabla145[[#This Row],[Llave]],'[5]Consolidación planes'!$A:$M,9,FALSE),0)</f>
        <v>154000</v>
      </c>
      <c r="BF73" s="20">
        <f>IFERROR(VLOOKUP(Tabla145[[#This Row],[Llave]],'[5]Consolidación planes'!$A:$M,10,FALSE),0)</f>
        <v>66000</v>
      </c>
      <c r="BG73" s="20">
        <f>IFERROR(VLOOKUP(Tabla145[[#This Row],[Llave]],'[5]Consolidación planes'!$A:$M,11,FALSE),0)</f>
        <v>88000</v>
      </c>
      <c r="BH73" s="20">
        <f>IFERROR(VLOOKUP(Tabla145[[#This Row],[Llave]],'[5]Consolidación planes'!$A:$M,12,FALSE),0)</f>
        <v>154000</v>
      </c>
      <c r="BI73" s="20">
        <f>IFERROR(VLOOKUP(Tabla145[[#This Row],[Llave]],'[5]Consolidación planes'!$A:$M,13,FALSE),0)</f>
        <v>176000</v>
      </c>
      <c r="BJ73" s="20">
        <f>IFERROR(VLOOKUP(Tabla145[[#This Row],[Llave]],'[13]Base ultimos planes'!$A:$M,13,FALSE),0)</f>
        <v>187000</v>
      </c>
      <c r="BK73" s="80">
        <f>IFERROR(VLOOKUP(Tabla145[[#This Row],[Llave]],'[13]Base ultimos planes'!$O:$AA,8,FALSE),0)</f>
        <v>643647.0895</v>
      </c>
      <c r="BL73" s="20">
        <f>IFERROR(VLOOKUP(Tabla145[[#This Row],[Llave]],'[13]Base ultimos planes'!$O:$AA,9,FALSE),0)</f>
        <v>265650</v>
      </c>
      <c r="BM73" s="20">
        <f>IFERROR(VLOOKUP(Tabla145[[#This Row],[Llave]],'[13]Base ultimos planes'!$O:$AA,10,FALSE),0)</f>
        <v>335280</v>
      </c>
      <c r="BN73" s="20">
        <f>IFERROR(VLOOKUP(Tabla145[[#This Row],[Llave]],'[13]Base ultimos planes'!$O:$AA,11,FALSE),0)</f>
        <v>607165</v>
      </c>
      <c r="BO73" s="20">
        <f>IFERROR(VLOOKUP(Tabla145[[#This Row],[Llave]],'[13]Base ultimos planes'!$O:$AA,12,FALSE),0)</f>
        <v>682827</v>
      </c>
      <c r="BP73" s="20">
        <f>IFERROR(VLOOKUP(Tabla145[[#This Row],[Llave]],'[13]Base ultimos planes'!$O:$AA,13,FALSE),0)</f>
        <v>786186</v>
      </c>
      <c r="BQ73" s="20"/>
      <c r="BR73" s="20">
        <f>Tabla145[[#This Row],[ RV Producción mes n+1]]*(1-Tabla145[[#This Row],[% Uti. producción]])</f>
        <v>78753.493748090361</v>
      </c>
      <c r="BS73" s="20">
        <f>+Tabla145[[#This Row],[Producción disponible mes n-1]]+Tabla145[[#This Row],[Saldo Volumen disponible]]</f>
        <v>89001.049166863479</v>
      </c>
      <c r="BT73" s="7">
        <f>IFERROR(VLOOKUP(Tabla145[[#This Row],[Llave]],'[21]RV n+2 y n+3'!$B:$F,4,FALSE),0)</f>
        <v>109999.9996</v>
      </c>
      <c r="BU73" s="7">
        <f>+Tabla145[[#This Row],[Asignación mes n+2]]*Tabla145[[#This Row],[% Uti. producción]]</f>
        <v>50291.383463442769</v>
      </c>
      <c r="BV73" s="7">
        <f>+Tabla145[[#This Row],[Ponderación mes n+2]]+Tabla145[[#This Row],[Saldo mes n-1]]</f>
        <v>139292.43263030626</v>
      </c>
      <c r="BW73" s="7">
        <f>+Tabla145[[#This Row],[Asignación mes n+2]]-Tabla145[[#This Row],[Ponderación mes n+2]]</f>
        <v>59708.616136557226</v>
      </c>
      <c r="BX73" s="7">
        <f>IFERROR(VLOOKUP(Tabla145[[#This Row],[Llave]],'[21]RV n+2 y n+3'!$B:$F,5,FALSE),0)</f>
        <v>110000</v>
      </c>
      <c r="BY73" s="7">
        <f>+Tabla145[[#This Row],[Asignación mes n+3]]*Tabla145[[#This Row],[% Uti. producción]]</f>
        <v>50291.38364632053</v>
      </c>
      <c r="BZ73" s="3">
        <f>+Tabla145[[#This Row],[Ponderación mes n+3]]+Tabla145[[#This Row],[Saldo mes n+2]]</f>
        <v>109999.99978287776</v>
      </c>
      <c r="CA73" s="3">
        <f>+Tabla145[[#This Row],[Asignación mes n+3]]-Tabla145[[#This Row],[Ponderación mes n+3]]</f>
        <v>59708.61635367947</v>
      </c>
      <c r="CB73" s="3">
        <f>+Tabla145[[#This Row],[Producción disponible mes n-1]]+Tabla145[[#This Row],[Producción disponible]]</f>
        <v>145086</v>
      </c>
      <c r="CC73" s="3">
        <f>+Tabla145[[#This Row],[Saldo mes n+4]]-Tabla145[[#This Row],[ RV Producción mes n+1]]</f>
        <v>0</v>
      </c>
    </row>
    <row r="74" spans="1:81" ht="16" x14ac:dyDescent="0.2">
      <c r="A74">
        <v>1</v>
      </c>
      <c r="B74" t="str">
        <f>Tabla145[[#This Row],[Oficina]]&amp;Tabla145[[#This Row],[Material]]</f>
        <v>Agrosuper Asia1020861</v>
      </c>
      <c r="C74" t="s">
        <v>6</v>
      </c>
      <c r="D74" t="s">
        <v>173</v>
      </c>
      <c r="E74">
        <v>1020861</v>
      </c>
      <c r="F74" t="s">
        <v>183</v>
      </c>
      <c r="G74" t="s">
        <v>50</v>
      </c>
      <c r="H74" t="s">
        <v>110</v>
      </c>
      <c r="I74" s="7">
        <f>IFERROR(VLOOKUP(Tabla145[[#This Row],[Llave]],'[7]RV Producción'!$C:$G,5,FALSE),0)</f>
        <v>127630</v>
      </c>
      <c r="J74" s="3">
        <f>IFERROR(IF(Tabla145[[#This Row],[Oficina]]=$I$7,VLOOKUP(Tabla145[[#This Row],[Llave]],'[7]Shangai (Tomas)'!$A:$F,6,FALSE),VLOOKUP(Tabla145[[#This Row],[Llave]],'[7]RV plan de ventas'!$A:$E,5,FALSE)),0)</f>
        <v>132000</v>
      </c>
      <c r="K74" s="8">
        <f>IFERROR(VLOOKUP(Tabla145[[#This Row],[Oficina]],[15]Ponderación!$B$2:$E$9,4,FALSE),0)</f>
        <v>0.45719439678473212</v>
      </c>
      <c r="L74" s="7">
        <f>+Tabla145[[#This Row],[ RV Producción mes n+1]]*Tabla145[[#This Row],[% Uti. producción]]</f>
        <v>58351.72086163536</v>
      </c>
      <c r="M74" s="7">
        <f>IFERROR(VLOOKUP(Tabla145[[#This Row],[Material]],[16]Stock!$G:$K,5,FALSE),0)</f>
        <v>44328</v>
      </c>
      <c r="N74" s="7">
        <f>IFERROR(VLOOKUP(Tabla145[[#This Row],[Material]],[16]Produccion!$M:$N,2,FALSE),0)</f>
        <v>57019.324670239352</v>
      </c>
      <c r="O74" s="7">
        <f>IFERROR(VLOOKUP(Tabla145[[#This Row],[Llave]],'[16]TD Conf-AP'!$I:$M,4,FALSE),0)</f>
        <v>0</v>
      </c>
      <c r="P74" s="14">
        <f>SUM(Tabla145[[#This Row],[Producción disponible]],Tabla145[[#This Row],[Stock al día]],(Tabla145[[#This Row],[Por producir mes N]]*0.9))-Tabla145[[#This Row],[Producción por despachar mes N]]</f>
        <v>153997.11306485077</v>
      </c>
      <c r="Q74" s="7">
        <f>IFERROR(VLOOKUP(Tabla145[[#This Row],[Llave]],[17]DELAY!$A:$D,4,FALSE),0)</f>
        <v>100000</v>
      </c>
      <c r="R74" s="9">
        <v>22000</v>
      </c>
      <c r="S74" s="5">
        <f t="shared" ref="S74:S137" si="6">IF(AND(P74&gt;Q74,Q74&gt;0),Q74,IF(AND(P74&lt;Q74,Q74&gt;0),(ROUNDDOWN(P74/R74,0)*R74),0))</f>
        <v>100000</v>
      </c>
      <c r="T74" s="76">
        <v>0</v>
      </c>
      <c r="U74" s="5">
        <f>+Tabla145[[#This Row],[Atraso a facturar]]+Tabla145[[#This Row],[Ajuste atraso]]</f>
        <v>100000</v>
      </c>
      <c r="V74" s="3">
        <f>+Tabla145[[#This Row],[Total disponible]]-Tabla145[[#This Row],[Facturación atraso]]</f>
        <v>53997.113064850768</v>
      </c>
      <c r="W74" s="6">
        <f>IFERROR(IF(AND(V74&gt;R74,J74&gt;=R74),ROUNDDOWN((Tabla145[[#This Row],[Producción para venta nueva]])/R74,0)*R74,0),0)</f>
        <v>44000</v>
      </c>
      <c r="X74" s="76">
        <v>0</v>
      </c>
      <c r="Y74" s="6">
        <f>IF(Tabla145[[#This Row],[Venta del mes]]&gt;0,Tabla145[[#This Row],[Venta del mes]]+Tabla145[[#This Row],[Ajuste venta nueva]],0)</f>
        <v>44000</v>
      </c>
      <c r="Z74" s="6">
        <f>+Tabla145[[#This Row],[Producción para venta nueva]]-Tabla145[[#This Row],[Facturación Venta nueva]]</f>
        <v>9997.1130648507678</v>
      </c>
      <c r="AA74" s="6">
        <f>IF(AND(A74=1,Tabla145[[#This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4" s="6">
        <v>0</v>
      </c>
      <c r="AC74" s="6">
        <f>IF(Tabla145[[#This Row],[Disponible stock sin venta]]&gt;0,Tabla145[[#This Row],[Disponible stock sin venta]]+Tabla145[[#This Row],[Ajuste stock sin venta]],0)</f>
        <v>0</v>
      </c>
      <c r="AD74" s="3">
        <f>IFERROR(VLOOKUP(Tabla145[[#This Row],[Llave]],'[16]TD Puerto'!$A:$D,4,FALSE),0)</f>
        <v>22000</v>
      </c>
      <c r="AE74" s="3">
        <v>188000</v>
      </c>
      <c r="AF74" s="3">
        <f>+Tabla145[[#This Row],[Plan Irrestricto Inicial]]</f>
        <v>188000</v>
      </c>
      <c r="AG74" s="3">
        <f>+Tabla145[[#This Row],[En puerto a facturar]]</f>
        <v>22000</v>
      </c>
      <c r="AH74" s="3">
        <f>+Tabla145[[#This Row],[Facturación atraso]]</f>
        <v>100000</v>
      </c>
      <c r="AI74" s="3">
        <f>+Tabla145[[#This Row],[Plan Irrestricto]]-Tabla145[[#This Row],[Puerto ]]-Tabla145[[#This Row],[Atraso]]</f>
        <v>66000</v>
      </c>
      <c r="AJ74" s="3">
        <f>IF(Tabla145[[#This Row],[Plan Irrestricto]]&gt;0,SUM(Tabla145[[#This Row],[Facturación atraso]],Tabla145[[#This Row],[Facturación Venta nueva]],Tabla145[[#This Row],[Facturación stock]],Tabla145[[#This Row],[En puerto a facturar]]),0)</f>
        <v>166000</v>
      </c>
      <c r="AK74" s="3">
        <f>+Tabla145[[#This Row],[Facturación atraso]]</f>
        <v>100000</v>
      </c>
      <c r="AL74" s="3">
        <f>+Tabla145[[#This Row],[Plan Ajustado]]-Tabla145[[#This Row],[ Atraso ajustado]]-Tabla145[[#This Row],[Puerto ]]</f>
        <v>44000</v>
      </c>
      <c r="AM74" s="6">
        <f>IFERROR(VLOOKUP(Tabla145[[#This Row],[Llave]],[18]!Tabla14[#All],34,FALSE),0)</f>
        <v>0</v>
      </c>
      <c r="AN74" s="6">
        <f>IFERROR(VLOOKUP(Tabla145[[#This Row],[Llave]],[18]!Tabla14[#All],35,FALSE),0)</f>
        <v>0</v>
      </c>
      <c r="AO74" s="3" t="str">
        <f>IF(Tabla145[[#This Row],[Plan Ajustado]]&gt;Tabla145[[#This Row],[En puerto a facturar]],"Si","No")</f>
        <v>Si</v>
      </c>
      <c r="AP74" s="3">
        <f>IF(AND(Tabla145[[#This Row],[Plan Ajustado]]&gt;0,Tabla145[[#This Row],[Plan Ajustado]]&gt;Tabla145[[#This Row],[En puerto a facturar]]),(Tabla145[[#This Row],[Plan Ajustado]]-Tabla145[[#This Row],[En puerto a facturar]]),0)</f>
        <v>144000</v>
      </c>
      <c r="AQ74" s="3">
        <f>IF(Tabla145[[#This Row],[Necesidad]]&gt;=Tabla145[[#This Row],[Stock al día]],Tabla145[[#This Row],[Stock al día]],Tabla145[[#This Row],[Necesidad]])</f>
        <v>44328</v>
      </c>
      <c r="AR74" s="3">
        <f>+Tabla145[[#This Row],[Necesidad]]-Tabla145[[#This Row],[Stock Plan]]</f>
        <v>99672</v>
      </c>
      <c r="AS74" s="155">
        <f>IFERROR(VLOOKUP(Tabla145[[#This Row],[Oficina]],[19]Ponderación!$B$14:$E$21,4,FALSE),"")</f>
        <v>44786</v>
      </c>
      <c r="AT7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4.17</v>
      </c>
      <c r="AU74" s="83">
        <f>IFERROR(VLOOKUP(Tabla145[[#This Row],[Llave]],[17]DELAY!$H:$W,16,FALSE),0)</f>
        <v>4.1899506024096391</v>
      </c>
      <c r="AV7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4.1846624909275665</v>
      </c>
      <c r="AW74" s="5">
        <f>Tabla145[[#This Row],[Ajuste precio IC]]*Tabla145[[#This Row],[Plan Ajustado]]</f>
        <v>694653.97349397605</v>
      </c>
      <c r="AX74" s="30">
        <f>IFERROR(VLOOKUP(Tabla145[[#This Row],[Llave]],'[13]Ultimos precios facturados'!$A:$G,7,FALSE),0)</f>
        <v>4.0593452788958864</v>
      </c>
      <c r="AY7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3.0871286727736924E-2</v>
      </c>
      <c r="AZ74" s="30">
        <f>IFERROR(VLOOKUP(Tabla145[[#This Row],[Llave]],Hoja2!B:K,10,FALSE),0)</f>
        <v>4.1846624909275665</v>
      </c>
      <c r="BA74" s="30">
        <f>IF(Tabla145[[#This Row],[Ajuste precio IC]]="",Tabla145[[#This Row],[Precio ponderado]],Tabla145[[#This Row],[Precio ponderado]])</f>
        <v>4.1846624909275665</v>
      </c>
      <c r="BB74" s="82"/>
      <c r="BC74" s="82" t="str">
        <f>IF(AND(Tabla145[[#This Row],[Atraso a facturar]]&gt;0,Tabla145[[#This Row],[Precio Atraso]]=0),"Revisar","OK")</f>
        <v>OK</v>
      </c>
      <c r="BD74" s="82" t="str">
        <f>IF(AND(Tabla145[[#This Row],[Venta del mes]]&gt;0,Tabla145[[#This Row],[Precio venta nueva]]=0),"Revisar","OK")</f>
        <v>OK</v>
      </c>
      <c r="BE74" s="20">
        <f>IFERROR(VLOOKUP(Tabla145[[#This Row],[Llave]],'[5]Consolidación planes'!$A:$M,9,FALSE),0)</f>
        <v>88000</v>
      </c>
      <c r="BF74" s="20">
        <f>IFERROR(VLOOKUP(Tabla145[[#This Row],[Llave]],'[5]Consolidación planes'!$A:$M,10,FALSE),0)</f>
        <v>66000</v>
      </c>
      <c r="BG74" s="20">
        <f>IFERROR(VLOOKUP(Tabla145[[#This Row],[Llave]],'[5]Consolidación planes'!$A:$M,11,FALSE),0)</f>
        <v>66000</v>
      </c>
      <c r="BH74" s="20">
        <f>IFERROR(VLOOKUP(Tabla145[[#This Row],[Llave]],'[5]Consolidación planes'!$A:$M,12,FALSE),0)</f>
        <v>154000</v>
      </c>
      <c r="BI74" s="20">
        <f>IFERROR(VLOOKUP(Tabla145[[#This Row],[Llave]],'[5]Consolidación planes'!$A:$M,13,FALSE),0)</f>
        <v>153860</v>
      </c>
      <c r="BJ74" s="20">
        <f>IFERROR(VLOOKUP(Tabla145[[#This Row],[Llave]],'[13]Base ultimos planes'!$A:$M,13,FALSE),0)</f>
        <v>198044</v>
      </c>
      <c r="BK74" s="80">
        <f>IFERROR(VLOOKUP(Tabla145[[#This Row],[Llave]],'[13]Base ultimos planes'!$O:$AA,8,FALSE),0)</f>
        <v>375760</v>
      </c>
      <c r="BL74" s="20">
        <f>IFERROR(VLOOKUP(Tabla145[[#This Row],[Llave]],'[13]Base ultimos planes'!$O:$AA,9,FALSE),0)</f>
        <v>264000</v>
      </c>
      <c r="BM74" s="20">
        <f>IFERROR(VLOOKUP(Tabla145[[#This Row],[Llave]],'[13]Base ultimos planes'!$O:$AA,10,FALSE),0)</f>
        <v>252780</v>
      </c>
      <c r="BN74" s="20">
        <f>IFERROR(VLOOKUP(Tabla145[[#This Row],[Llave]],'[13]Base ultimos planes'!$O:$AA,11,FALSE),0)</f>
        <v>601865</v>
      </c>
      <c r="BO74" s="20">
        <f>IFERROR(VLOOKUP(Tabla145[[#This Row],[Llave]],'[13]Base ultimos planes'!$O:$AA,12,FALSE),0)</f>
        <v>601173</v>
      </c>
      <c r="BP74" s="20">
        <f>IFERROR(VLOOKUP(Tabla145[[#This Row],[Llave]],'[13]Base ultimos planes'!$O:$AA,13,FALSE),0)</f>
        <v>832508</v>
      </c>
      <c r="BQ74" s="20"/>
      <c r="BR74" s="20">
        <f>Tabla145[[#This Row],[ RV Producción mes n+1]]*(1-Tabla145[[#This Row],[% Uti. producción]])</f>
        <v>69278.27913836464</v>
      </c>
      <c r="BS74" s="20">
        <f>+Tabla145[[#This Row],[Producción disponible mes n-1]]+Tabla145[[#This Row],[Saldo Volumen disponible]]</f>
        <v>79275.392203215408</v>
      </c>
      <c r="BT74" s="7">
        <f>IFERROR(VLOOKUP(Tabla145[[#This Row],[Llave]],'[21]RV n+2 y n+3'!$B:$F,4,FALSE),0)</f>
        <v>110000</v>
      </c>
      <c r="BU74" s="7">
        <f>+Tabla145[[#This Row],[Asignación mes n+2]]*Tabla145[[#This Row],[% Uti. producción]]</f>
        <v>50291.38364632053</v>
      </c>
      <c r="BV74" s="7">
        <f>+Tabla145[[#This Row],[Ponderación mes n+2]]+Tabla145[[#This Row],[Saldo mes n-1]]</f>
        <v>129566.77584953594</v>
      </c>
      <c r="BW74" s="7">
        <f>+Tabla145[[#This Row],[Asignación mes n+2]]-Tabla145[[#This Row],[Ponderación mes n+2]]</f>
        <v>59708.61635367947</v>
      </c>
      <c r="BX74" s="7">
        <f>IFERROR(VLOOKUP(Tabla145[[#This Row],[Llave]],'[21]RV n+2 y n+3'!$B:$F,5,FALSE),0)</f>
        <v>110000</v>
      </c>
      <c r="BY74" s="7">
        <f>+Tabla145[[#This Row],[Asignación mes n+3]]*Tabla145[[#This Row],[% Uti. producción]]</f>
        <v>50291.38364632053</v>
      </c>
      <c r="BZ74" s="3">
        <f>+Tabla145[[#This Row],[Ponderación mes n+3]]+Tabla145[[#This Row],[Saldo mes n+2]]</f>
        <v>110000</v>
      </c>
      <c r="CA74" s="3">
        <f>+Tabla145[[#This Row],[Asignación mes n+3]]-Tabla145[[#This Row],[Ponderación mes n+3]]</f>
        <v>59708.61635367947</v>
      </c>
      <c r="CB74" s="3">
        <f>+Tabla145[[#This Row],[Producción disponible mes n-1]]+Tabla145[[#This Row],[Producción disponible]]</f>
        <v>127630</v>
      </c>
      <c r="CC74" s="3">
        <f>+Tabla145[[#This Row],[Saldo mes n+4]]-Tabla145[[#This Row],[ RV Producción mes n+1]]</f>
        <v>0</v>
      </c>
    </row>
    <row r="75" spans="1:81" ht="16" x14ac:dyDescent="0.2">
      <c r="A75">
        <v>1</v>
      </c>
      <c r="B75" t="str">
        <f>Tabla145[[#This Row],[Oficina]]&amp;Tabla145[[#This Row],[Material]]</f>
        <v>Agrosuper Asia1020904</v>
      </c>
      <c r="C75" t="s">
        <v>6</v>
      </c>
      <c r="D75" t="s">
        <v>173</v>
      </c>
      <c r="E75">
        <v>1020904</v>
      </c>
      <c r="F75" t="s">
        <v>186</v>
      </c>
      <c r="G75" t="s">
        <v>56</v>
      </c>
      <c r="H75" t="s">
        <v>118</v>
      </c>
      <c r="I75" s="7">
        <f>IFERROR(VLOOKUP(Tabla145[[#This Row],[Llave]],'[7]RV Producción'!$C:$G,5,FALSE),0)</f>
        <v>88346</v>
      </c>
      <c r="J75" s="3">
        <f>IFERROR(IF(Tabla145[[#This Row],[Oficina]]=$I$7,VLOOKUP(Tabla145[[#This Row],[Llave]],'[7]Shangai (Tomas)'!$A:$F,6,FALSE),VLOOKUP(Tabla145[[#This Row],[Llave]],'[7]RV plan de ventas'!$A:$E,5,FALSE)),0)</f>
        <v>0</v>
      </c>
      <c r="K75" s="8">
        <f>IFERROR(VLOOKUP(Tabla145[[#This Row],[Oficina]],[15]Ponderación!$B$2:$E$9,4,FALSE),0)</f>
        <v>0.45719439678473212</v>
      </c>
      <c r="L75" s="7">
        <f>+Tabla145[[#This Row],[ RV Producción mes n+1]]*Tabla145[[#This Row],[% Uti. producción]]</f>
        <v>40391.296178343946</v>
      </c>
      <c r="M75" s="7">
        <f>IFERROR(VLOOKUP(Tabla145[[#This Row],[Material]],[16]Stock!$G:$K,5,FALSE),0)</f>
        <v>20372</v>
      </c>
      <c r="N75" s="7">
        <f>IFERROR(VLOOKUP(Tabla145[[#This Row],[Material]],[16]Produccion!$M:$N,2,FALSE),0)</f>
        <v>0</v>
      </c>
      <c r="O75" s="7">
        <f>IFERROR(VLOOKUP(Tabla145[[#This Row],[Llave]],'[16]TD Conf-AP'!$I:$M,4,FALSE),0)</f>
        <v>0</v>
      </c>
      <c r="P75" s="14">
        <f>SUM(Tabla145[[#This Row],[Producción disponible]],Tabla145[[#This Row],[Stock al día]],(Tabla145[[#This Row],[Por producir mes N]]*0.9))-Tabla145[[#This Row],[Producción por despachar mes N]]</f>
        <v>60763.296178343946</v>
      </c>
      <c r="Q75" s="7">
        <f>IFERROR(VLOOKUP(Tabla145[[#This Row],[Llave]],[17]DELAY!$A:$D,4,FALSE),0)</f>
        <v>66000</v>
      </c>
      <c r="R75" s="9">
        <v>22000</v>
      </c>
      <c r="S75" s="5">
        <f t="shared" si="6"/>
        <v>44000</v>
      </c>
      <c r="T75" s="76">
        <v>0</v>
      </c>
      <c r="U75" s="5">
        <f>+Tabla145[[#This Row],[Atraso a facturar]]+Tabla145[[#This Row],[Ajuste atraso]]</f>
        <v>44000</v>
      </c>
      <c r="V75" s="3">
        <f>+Tabla145[[#This Row],[Total disponible]]-Tabla145[[#This Row],[Facturación atraso]]</f>
        <v>16763.296178343946</v>
      </c>
      <c r="W75" s="6">
        <f>IFERROR(IF(AND(V75&gt;R75,J75&gt;=R75),ROUNDDOWN((Tabla145[[#This Row],[Producción para venta nueva]])/R75,0)*R75,0),0)</f>
        <v>0</v>
      </c>
      <c r="X75" s="76">
        <v>0</v>
      </c>
      <c r="Y75" s="6">
        <f>IF(Tabla145[[#This Row],[Venta del mes]]&gt;0,Tabla145[[#This Row],[Venta del mes]]+Tabla145[[#This Row],[Ajuste venta nueva]],0)</f>
        <v>0</v>
      </c>
      <c r="Z75" s="6">
        <f>+Tabla145[[#This Row],[Producción para venta nueva]]-Tabla145[[#This Row],[Facturación Venta nueva]]</f>
        <v>16763.296178343946</v>
      </c>
      <c r="AA75" s="6">
        <f>IF(AND(A75=1,Tabla145[[#This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5" s="6">
        <v>0</v>
      </c>
      <c r="AC75" s="6">
        <f>IF(Tabla145[[#This Row],[Disponible stock sin venta]]&gt;0,Tabla145[[#This Row],[Disponible stock sin venta]]+Tabla145[[#This Row],[Ajuste stock sin venta]],0)</f>
        <v>0</v>
      </c>
      <c r="AD75" s="3">
        <f>IFERROR(VLOOKUP(Tabla145[[#This Row],[Llave]],'[16]TD Puerto'!$A:$D,4,FALSE),0)</f>
        <v>0</v>
      </c>
      <c r="AE75" s="3">
        <v>44000</v>
      </c>
      <c r="AF75" s="3">
        <f>+Tabla145[[#This Row],[Plan Irrestricto Inicial]]</f>
        <v>44000</v>
      </c>
      <c r="AG75" s="3">
        <f>+Tabla145[[#This Row],[En puerto a facturar]]</f>
        <v>0</v>
      </c>
      <c r="AH75" s="3">
        <f>+Tabla145[[#This Row],[Facturación atraso]]</f>
        <v>44000</v>
      </c>
      <c r="AI75" s="3">
        <f>+Tabla145[[#This Row],[Plan Irrestricto]]-Tabla145[[#This Row],[Puerto ]]-Tabla145[[#This Row],[Atraso]]</f>
        <v>0</v>
      </c>
      <c r="AJ75" s="3">
        <f>IF(Tabla145[[#This Row],[Plan Irrestricto]]&gt;0,SUM(Tabla145[[#This Row],[Facturación atraso]],Tabla145[[#This Row],[Facturación Venta nueva]],Tabla145[[#This Row],[Facturación stock]],Tabla145[[#This Row],[En puerto a facturar]]),0)</f>
        <v>44000</v>
      </c>
      <c r="AK75" s="3">
        <f>+Tabla145[[#This Row],[Facturación atraso]]</f>
        <v>44000</v>
      </c>
      <c r="AL75" s="3">
        <f>+Tabla145[[#This Row],[Plan Ajustado]]-Tabla145[[#This Row],[ Atraso ajustado]]-Tabla145[[#This Row],[Puerto ]]</f>
        <v>0</v>
      </c>
      <c r="AM75" s="6">
        <f>IFERROR(VLOOKUP(Tabla145[[#This Row],[Llave]],[18]!Tabla14[#All],34,FALSE),0)</f>
        <v>0</v>
      </c>
      <c r="AN75" s="6">
        <f>IFERROR(VLOOKUP(Tabla145[[#This Row],[Llave]],[18]!Tabla14[#All],35,FALSE),0)</f>
        <v>0</v>
      </c>
      <c r="AO75" s="3" t="str">
        <f>IF(Tabla145[[#This Row],[Plan Ajustado]]&gt;Tabla145[[#This Row],[En puerto a facturar]],"Si","No")</f>
        <v>Si</v>
      </c>
      <c r="AP75" s="3">
        <f>IF(AND(Tabla145[[#This Row],[Plan Ajustado]]&gt;0,Tabla145[[#This Row],[Plan Ajustado]]&gt;Tabla145[[#This Row],[En puerto a facturar]]),(Tabla145[[#This Row],[Plan Ajustado]]-Tabla145[[#This Row],[En puerto a facturar]]),0)</f>
        <v>44000</v>
      </c>
      <c r="AQ75" s="3">
        <f>IF(Tabla145[[#This Row],[Necesidad]]&gt;=Tabla145[[#This Row],[Stock al día]],Tabla145[[#This Row],[Stock al día]],Tabla145[[#This Row],[Necesidad]])</f>
        <v>20372</v>
      </c>
      <c r="AR75" s="3">
        <f>+Tabla145[[#This Row],[Necesidad]]-Tabla145[[#This Row],[Stock Plan]]</f>
        <v>23628</v>
      </c>
      <c r="AS75" s="155">
        <f>IFERROR(VLOOKUP(Tabla145[[#This Row],[Oficina]],[19]Ponderación!$B$14:$E$21,4,FALSE),"")</f>
        <v>44786</v>
      </c>
      <c r="AT7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6.2549065063738905</v>
      </c>
      <c r="AU75" s="83">
        <f>IFERROR(VLOOKUP(Tabla145[[#This Row],[Llave]],[17]DELAY!$H:$W,16,FALSE),0)</f>
        <v>6</v>
      </c>
      <c r="AV7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6</v>
      </c>
      <c r="AW75" s="5">
        <f>Tabla145[[#This Row],[Ajuste precio IC]]*Tabla145[[#This Row],[Plan Ajustado]]</f>
        <v>264000</v>
      </c>
      <c r="AX75" s="30">
        <f>IFERROR(VLOOKUP(Tabla145[[#This Row],[Llave]],'[13]Ultimos precios facturados'!$A:$G,7,FALSE),0)</f>
        <v>6.2549065063738905</v>
      </c>
      <c r="AY7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4.0753048205298507E-2</v>
      </c>
      <c r="AZ75" s="30">
        <f>IFERROR(VLOOKUP(Tabla145[[#This Row],[Llave]],Hoja2!B:K,10,FALSE),0)</f>
        <v>6</v>
      </c>
      <c r="BA75" s="30">
        <f>IF(Tabla145[[#This Row],[Ajuste precio IC]]="",Tabla145[[#This Row],[Precio ponderado]],Tabla145[[#This Row],[Precio ponderado]])</f>
        <v>6</v>
      </c>
      <c r="BB75" s="82"/>
      <c r="BC75" s="82" t="str">
        <f>IF(AND(Tabla145[[#This Row],[Atraso a facturar]]&gt;0,Tabla145[[#This Row],[Precio Atraso]]=0),"Revisar","OK")</f>
        <v>OK</v>
      </c>
      <c r="BD75" s="82" t="str">
        <f>IF(AND(Tabla145[[#This Row],[Venta del mes]]&gt;0,Tabla145[[#This Row],[Precio venta nueva]]=0),"Revisar","OK")</f>
        <v>OK</v>
      </c>
      <c r="BE75" s="20">
        <f>IFERROR(VLOOKUP(Tabla145[[#This Row],[Llave]],'[5]Consolidación planes'!$A:$M,9,FALSE),0)</f>
        <v>22000</v>
      </c>
      <c r="BF75" s="20">
        <f>IFERROR(VLOOKUP(Tabla145[[#This Row],[Llave]],'[5]Consolidación planes'!$A:$M,10,FALSE),0)</f>
        <v>154000</v>
      </c>
      <c r="BG75" s="20">
        <f>IFERROR(VLOOKUP(Tabla145[[#This Row],[Llave]],'[5]Consolidación planes'!$A:$M,11,FALSE),0)</f>
        <v>66000</v>
      </c>
      <c r="BH75" s="20">
        <f>IFERROR(VLOOKUP(Tabla145[[#This Row],[Llave]],'[5]Consolidación planes'!$A:$M,12,FALSE),0)</f>
        <v>22000</v>
      </c>
      <c r="BI75" s="20">
        <f>IFERROR(VLOOKUP(Tabla145[[#This Row],[Llave]],'[5]Consolidación planes'!$A:$M,13,FALSE),0)</f>
        <v>22000</v>
      </c>
      <c r="BJ75" s="20">
        <f>IFERROR(VLOOKUP(Tabla145[[#This Row],[Llave]],'[13]Base ultimos planes'!$A:$M,13,FALSE),0)</f>
        <v>0</v>
      </c>
      <c r="BK75" s="80">
        <f>IFERROR(VLOOKUP(Tabla145[[#This Row],[Llave]],'[13]Base ultimos planes'!$O:$AA,8,FALSE),0)</f>
        <v>147276.35709999999</v>
      </c>
      <c r="BL75" s="20">
        <f>IFERROR(VLOOKUP(Tabla145[[#This Row],[Llave]],'[13]Base ultimos planes'!$O:$AA,9,FALSE),0)</f>
        <v>970200</v>
      </c>
      <c r="BM75" s="20">
        <f>IFERROR(VLOOKUP(Tabla145[[#This Row],[Llave]],'[13]Base ultimos planes'!$O:$AA,10,FALSE),0)</f>
        <v>412500</v>
      </c>
      <c r="BN75" s="20">
        <f>IFERROR(VLOOKUP(Tabla145[[#This Row],[Llave]],'[13]Base ultimos planes'!$O:$AA,11,FALSE),0)</f>
        <v>140295</v>
      </c>
      <c r="BO75" s="20">
        <f>IFERROR(VLOOKUP(Tabla145[[#This Row],[Llave]],'[13]Base ultimos planes'!$O:$AA,12,FALSE),0)</f>
        <v>139028</v>
      </c>
      <c r="BP75" s="20">
        <f>IFERROR(VLOOKUP(Tabla145[[#This Row],[Llave]],'[13]Base ultimos planes'!$O:$AA,13,FALSE),0)</f>
        <v>0</v>
      </c>
      <c r="BQ75" s="20"/>
      <c r="BR75" s="20">
        <f>Tabla145[[#This Row],[ RV Producción mes n+1]]*(1-Tabla145[[#This Row],[% Uti. producción]])</f>
        <v>47954.703821656061</v>
      </c>
      <c r="BS75" s="20">
        <f>+Tabla145[[#This Row],[Producción disponible mes n-1]]+Tabla145[[#This Row],[Saldo Volumen disponible]]</f>
        <v>64718.000000000007</v>
      </c>
      <c r="BT75" s="7">
        <f>IFERROR(VLOOKUP(Tabla145[[#This Row],[Llave]],'[21]RV n+2 y n+3'!$B:$F,4,FALSE),0)</f>
        <v>0</v>
      </c>
      <c r="BU75" s="7">
        <f>+Tabla145[[#This Row],[Asignación mes n+2]]*Tabla145[[#This Row],[% Uti. producción]]</f>
        <v>0</v>
      </c>
      <c r="BV75" s="7">
        <f>+Tabla145[[#This Row],[Ponderación mes n+2]]+Tabla145[[#This Row],[Saldo mes n-1]]</f>
        <v>64718.000000000007</v>
      </c>
      <c r="BW75" s="7">
        <f>+Tabla145[[#This Row],[Asignación mes n+2]]-Tabla145[[#This Row],[Ponderación mes n+2]]</f>
        <v>0</v>
      </c>
      <c r="BX75" s="7">
        <f>IFERROR(VLOOKUP(Tabla145[[#This Row],[Llave]],'[21]RV n+2 y n+3'!$B:$F,5,FALSE),0)</f>
        <v>0</v>
      </c>
      <c r="BY75" s="7">
        <f>+Tabla145[[#This Row],[Asignación mes n+3]]*Tabla145[[#This Row],[% Uti. producción]]</f>
        <v>0</v>
      </c>
      <c r="BZ75" s="3">
        <f>+Tabla145[[#This Row],[Ponderación mes n+3]]+Tabla145[[#This Row],[Saldo mes n+2]]</f>
        <v>0</v>
      </c>
      <c r="CA75" s="3">
        <f>+Tabla145[[#This Row],[Asignación mes n+3]]-Tabla145[[#This Row],[Ponderación mes n+3]]</f>
        <v>0</v>
      </c>
      <c r="CB75" s="3">
        <f>+Tabla145[[#This Row],[Producción disponible mes n-1]]+Tabla145[[#This Row],[Producción disponible]]</f>
        <v>88346</v>
      </c>
      <c r="CC75" s="3">
        <f>+Tabla145[[#This Row],[Saldo mes n+4]]-Tabla145[[#This Row],[ RV Producción mes n+1]]</f>
        <v>0</v>
      </c>
    </row>
    <row r="76" spans="1:81" ht="16" x14ac:dyDescent="0.2">
      <c r="A76">
        <v>1</v>
      </c>
      <c r="B76" t="str">
        <f>Tabla145[[#This Row],[Oficina]]&amp;Tabla145[[#This Row],[Material]]</f>
        <v>Agrosuper Asia1020905</v>
      </c>
      <c r="C76" t="s">
        <v>6</v>
      </c>
      <c r="D76" t="s">
        <v>173</v>
      </c>
      <c r="E76">
        <v>1020905</v>
      </c>
      <c r="F76" t="s">
        <v>187</v>
      </c>
      <c r="G76" t="s">
        <v>56</v>
      </c>
      <c r="H76" t="s">
        <v>118</v>
      </c>
      <c r="I76" s="7">
        <f>IFERROR(VLOOKUP(Tabla145[[#This Row],[Llave]],'[7]RV Producción'!$C:$G,5,FALSE),0)</f>
        <v>55720</v>
      </c>
      <c r="J76" s="3">
        <f>IFERROR(IF(Tabla145[[#This Row],[Oficina]]=$I$7,VLOOKUP(Tabla145[[#This Row],[Llave]],'[7]Shangai (Tomas)'!$A:$F,6,FALSE),VLOOKUP(Tabla145[[#This Row],[Llave]],'[7]RV plan de ventas'!$A:$E,5,FALSE)),0)</f>
        <v>0</v>
      </c>
      <c r="K76" s="8">
        <f>IFERROR(VLOOKUP(Tabla145[[#This Row],[Oficina]],[15]Ponderación!$B$2:$E$9,4,FALSE),0)</f>
        <v>0.45719439678473212</v>
      </c>
      <c r="L76" s="7">
        <f>+Tabla145[[#This Row],[ RV Producción mes n+1]]*Tabla145[[#This Row],[% Uti. producción]]</f>
        <v>25474.871788845274</v>
      </c>
      <c r="M76" s="7">
        <f>IFERROR(VLOOKUP(Tabla145[[#This Row],[Material]],[16]Stock!$G:$K,5,FALSE),0)</f>
        <v>10026</v>
      </c>
      <c r="N76" s="7">
        <f>IFERROR(VLOOKUP(Tabla145[[#This Row],[Material]],[16]Produccion!$M:$N,2,FALSE),0)</f>
        <v>6988.8375759485771</v>
      </c>
      <c r="O76" s="7">
        <f>IFERROR(VLOOKUP(Tabla145[[#This Row],[Llave]],'[16]TD Conf-AP'!$I:$M,4,FALSE),0)</f>
        <v>0</v>
      </c>
      <c r="P76" s="14">
        <f>SUM(Tabla145[[#This Row],[Producción disponible]],Tabla145[[#This Row],[Stock al día]],(Tabla145[[#This Row],[Por producir mes N]]*0.9))-Tabla145[[#This Row],[Producción por despachar mes N]]</f>
        <v>41790.825607198996</v>
      </c>
      <c r="Q76" s="7">
        <f>IFERROR(VLOOKUP(Tabla145[[#This Row],[Llave]],[17]DELAY!$A:$D,4,FALSE),0)</f>
        <v>22000</v>
      </c>
      <c r="R76" s="9">
        <v>22000</v>
      </c>
      <c r="S76" s="5">
        <f t="shared" si="6"/>
        <v>22000</v>
      </c>
      <c r="T76" s="76">
        <v>0</v>
      </c>
      <c r="U76" s="5">
        <f>+Tabla145[[#This Row],[Atraso a facturar]]+Tabla145[[#This Row],[Ajuste atraso]]</f>
        <v>22000</v>
      </c>
      <c r="V76" s="3">
        <f>+Tabla145[[#This Row],[Total disponible]]-Tabla145[[#This Row],[Facturación atraso]]</f>
        <v>19790.825607198996</v>
      </c>
      <c r="W76" s="6">
        <f>IFERROR(IF(AND(V76&gt;R76,J76&gt;=R76),ROUNDDOWN((Tabla145[[#This Row],[Producción para venta nueva]])/R76,0)*R76,0),0)</f>
        <v>0</v>
      </c>
      <c r="X76" s="76">
        <v>0</v>
      </c>
      <c r="Y76" s="6">
        <f>IF(Tabla145[[#This Row],[Venta del mes]]&gt;0,Tabla145[[#This Row],[Venta del mes]]+Tabla145[[#This Row],[Ajuste venta nueva]],0)</f>
        <v>0</v>
      </c>
      <c r="Z76" s="6">
        <f>+Tabla145[[#This Row],[Producción para venta nueva]]-Tabla145[[#This Row],[Facturación Venta nueva]]</f>
        <v>19790.825607198996</v>
      </c>
      <c r="AA76" s="6">
        <f>IF(AND(A76=1,Tabla145[[#This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6" s="6">
        <v>0</v>
      </c>
      <c r="AC76" s="6">
        <f>IF(Tabla145[[#This Row],[Disponible stock sin venta]]&gt;0,Tabla145[[#This Row],[Disponible stock sin venta]]+Tabla145[[#This Row],[Ajuste stock sin venta]],0)</f>
        <v>0</v>
      </c>
      <c r="AD76" s="3">
        <f>IFERROR(VLOOKUP(Tabla145[[#This Row],[Llave]],'[16]TD Puerto'!$A:$D,4,FALSE),0)</f>
        <v>0</v>
      </c>
      <c r="AE76" s="3">
        <v>44000</v>
      </c>
      <c r="AF76" s="3">
        <f>+Tabla145[[#This Row],[Plan Irrestricto Inicial]]</f>
        <v>44000</v>
      </c>
      <c r="AG76" s="3">
        <f>+Tabla145[[#This Row],[En puerto a facturar]]</f>
        <v>0</v>
      </c>
      <c r="AH76" s="3">
        <f>+Tabla145[[#This Row],[Facturación atraso]]</f>
        <v>22000</v>
      </c>
      <c r="AI76" s="3">
        <f>+Tabla145[[#This Row],[Plan Irrestricto]]-Tabla145[[#This Row],[Puerto ]]-Tabla145[[#This Row],[Atraso]]</f>
        <v>22000</v>
      </c>
      <c r="AJ76" s="3">
        <f>IF(Tabla145[[#This Row],[Plan Irrestricto]]&gt;0,SUM(Tabla145[[#This Row],[Facturación atraso]],Tabla145[[#This Row],[Facturación Venta nueva]],Tabla145[[#This Row],[Facturación stock]],Tabla145[[#This Row],[En puerto a facturar]]),0)</f>
        <v>22000</v>
      </c>
      <c r="AK76" s="3">
        <f>+Tabla145[[#This Row],[Facturación atraso]]</f>
        <v>22000</v>
      </c>
      <c r="AL76" s="3">
        <f>+Tabla145[[#This Row],[Plan Ajustado]]-Tabla145[[#This Row],[ Atraso ajustado]]-Tabla145[[#This Row],[Puerto ]]</f>
        <v>0</v>
      </c>
      <c r="AM76" s="6">
        <f>IFERROR(VLOOKUP(Tabla145[[#This Row],[Llave]],[18]!Tabla14[#All],34,FALSE),0)</f>
        <v>0</v>
      </c>
      <c r="AN76" s="6">
        <f>IFERROR(VLOOKUP(Tabla145[[#This Row],[Llave]],[18]!Tabla14[#All],35,FALSE),0)</f>
        <v>0</v>
      </c>
      <c r="AO76" s="3" t="str">
        <f>IF(Tabla145[[#This Row],[Plan Ajustado]]&gt;Tabla145[[#This Row],[En puerto a facturar]],"Si","No")</f>
        <v>Si</v>
      </c>
      <c r="AP76" s="3">
        <f>IF(AND(Tabla145[[#This Row],[Plan Ajustado]]&gt;0,Tabla145[[#This Row],[Plan Ajustado]]&gt;Tabla145[[#This Row],[En puerto a facturar]]),(Tabla145[[#This Row],[Plan Ajustado]]-Tabla145[[#This Row],[En puerto a facturar]]),0)</f>
        <v>22000</v>
      </c>
      <c r="AQ76" s="3">
        <f>IF(Tabla145[[#This Row],[Necesidad]]&gt;=Tabla145[[#This Row],[Stock al día]],Tabla145[[#This Row],[Stock al día]],Tabla145[[#This Row],[Necesidad]])</f>
        <v>10026</v>
      </c>
      <c r="AR76" s="3">
        <f>+Tabla145[[#This Row],[Necesidad]]-Tabla145[[#This Row],[Stock Plan]]</f>
        <v>11974</v>
      </c>
      <c r="AS76" s="155">
        <f>IFERROR(VLOOKUP(Tabla145[[#This Row],[Oficina]],[19]Ponderación!$B$14:$E$21,4,FALSE),"")</f>
        <v>44786</v>
      </c>
      <c r="AT7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76" s="83">
        <f>IFERROR(VLOOKUP(Tabla145[[#This Row],[Llave]],[17]DELAY!$H:$W,16,FALSE),0)</f>
        <v>6</v>
      </c>
      <c r="AV7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6</v>
      </c>
      <c r="AW76" s="5">
        <f>Tabla145[[#This Row],[Ajuste precio IC]]*Tabla145[[#This Row],[Plan Ajustado]]</f>
        <v>132000</v>
      </c>
      <c r="AX76" s="30">
        <f>IFERROR(VLOOKUP(Tabla145[[#This Row],[Llave]],'[13]Ultimos precios facturados'!$A:$G,7,FALSE),0)</f>
        <v>6.1031511748444016</v>
      </c>
      <c r="AY7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1.6901297688571744E-2</v>
      </c>
      <c r="AZ76" s="30">
        <f>IFERROR(VLOOKUP(Tabla145[[#This Row],[Llave]],Hoja2!B:K,10,FALSE),0)</f>
        <v>6</v>
      </c>
      <c r="BA76" s="30">
        <f>IF(Tabla145[[#This Row],[Ajuste precio IC]]="",Tabla145[[#This Row],[Precio ponderado]],Tabla145[[#This Row],[Precio ponderado]])</f>
        <v>6</v>
      </c>
      <c r="BB76" s="82"/>
      <c r="BC76" s="82" t="str">
        <f>IF(AND(Tabla145[[#This Row],[Atraso a facturar]]&gt;0,Tabla145[[#This Row],[Precio Atraso]]=0),"Revisar","OK")</f>
        <v>OK</v>
      </c>
      <c r="BD76" s="82" t="str">
        <f>IF(AND(Tabla145[[#This Row],[Venta del mes]]&gt;0,Tabla145[[#This Row],[Precio venta nueva]]=0),"Revisar","OK")</f>
        <v>OK</v>
      </c>
      <c r="BE76" s="20">
        <f>IFERROR(VLOOKUP(Tabla145[[#This Row],[Llave]],'[5]Consolidación planes'!$A:$M,9,FALSE),0)</f>
        <v>22000</v>
      </c>
      <c r="BF76" s="20">
        <f>IFERROR(VLOOKUP(Tabla145[[#This Row],[Llave]],'[5]Consolidación planes'!$A:$M,10,FALSE),0)</f>
        <v>22000</v>
      </c>
      <c r="BG76" s="20">
        <f>IFERROR(VLOOKUP(Tabla145[[#This Row],[Llave]],'[5]Consolidación planes'!$A:$M,11,FALSE),0)</f>
        <v>0</v>
      </c>
      <c r="BH76" s="20">
        <f>IFERROR(VLOOKUP(Tabla145[[#This Row],[Llave]],'[5]Consolidación planes'!$A:$M,12,FALSE),0)</f>
        <v>44000</v>
      </c>
      <c r="BI76" s="20">
        <f>IFERROR(VLOOKUP(Tabla145[[#This Row],[Llave]],'[5]Consolidación planes'!$A:$M,13,FALSE),0)</f>
        <v>22000</v>
      </c>
      <c r="BJ76" s="20">
        <f>IFERROR(VLOOKUP(Tabla145[[#This Row],[Llave]],'[13]Base ultimos planes'!$A:$M,13,FALSE),0)</f>
        <v>0</v>
      </c>
      <c r="BK76" s="80">
        <f>IFERROR(VLOOKUP(Tabla145[[#This Row],[Llave]],'[13]Base ultimos planes'!$O:$AA,8,FALSE),0)</f>
        <v>153120</v>
      </c>
      <c r="BL76" s="20">
        <f>IFERROR(VLOOKUP(Tabla145[[#This Row],[Llave]],'[13]Base ultimos planes'!$O:$AA,9,FALSE),0)</f>
        <v>138600</v>
      </c>
      <c r="BM76" s="20">
        <f>IFERROR(VLOOKUP(Tabla145[[#This Row],[Llave]],'[13]Base ultimos planes'!$O:$AA,10,FALSE),0)</f>
        <v>0</v>
      </c>
      <c r="BN76" s="20">
        <f>IFERROR(VLOOKUP(Tabla145[[#This Row],[Llave]],'[13]Base ultimos planes'!$O:$AA,11,FALSE),0)</f>
        <v>281600</v>
      </c>
      <c r="BO76" s="20">
        <f>IFERROR(VLOOKUP(Tabla145[[#This Row],[Llave]],'[13]Base ultimos planes'!$O:$AA,12,FALSE),0)</f>
        <v>139661</v>
      </c>
      <c r="BP76" s="20">
        <f>IFERROR(VLOOKUP(Tabla145[[#This Row],[Llave]],'[13]Base ultimos planes'!$O:$AA,13,FALSE),0)</f>
        <v>0</v>
      </c>
      <c r="BQ76" s="20"/>
      <c r="BR76" s="20">
        <f>Tabla145[[#This Row],[ RV Producción mes n+1]]*(1-Tabla145[[#This Row],[% Uti. producción]])</f>
        <v>30245.12821115473</v>
      </c>
      <c r="BS76" s="20">
        <f>+Tabla145[[#This Row],[Producción disponible mes n-1]]+Tabla145[[#This Row],[Saldo Volumen disponible]]</f>
        <v>50035.953818353722</v>
      </c>
      <c r="BT76" s="7">
        <f>IFERROR(VLOOKUP(Tabla145[[#This Row],[Llave]],'[21]RV n+2 y n+3'!$B:$F,4,FALSE),0)</f>
        <v>0</v>
      </c>
      <c r="BU76" s="7">
        <f>+Tabla145[[#This Row],[Asignación mes n+2]]*Tabla145[[#This Row],[% Uti. producción]]</f>
        <v>0</v>
      </c>
      <c r="BV76" s="7">
        <f>+Tabla145[[#This Row],[Ponderación mes n+2]]+Tabla145[[#This Row],[Saldo mes n-1]]</f>
        <v>50035.953818353722</v>
      </c>
      <c r="BW76" s="7">
        <f>+Tabla145[[#This Row],[Asignación mes n+2]]-Tabla145[[#This Row],[Ponderación mes n+2]]</f>
        <v>0</v>
      </c>
      <c r="BX76" s="7">
        <f>IFERROR(VLOOKUP(Tabla145[[#This Row],[Llave]],'[21]RV n+2 y n+3'!$B:$F,5,FALSE),0)</f>
        <v>0</v>
      </c>
      <c r="BY76" s="7">
        <f>+Tabla145[[#This Row],[Asignación mes n+3]]*Tabla145[[#This Row],[% Uti. producción]]</f>
        <v>0</v>
      </c>
      <c r="BZ76" s="3">
        <f>+Tabla145[[#This Row],[Ponderación mes n+3]]+Tabla145[[#This Row],[Saldo mes n+2]]</f>
        <v>0</v>
      </c>
      <c r="CA76" s="3">
        <f>+Tabla145[[#This Row],[Asignación mes n+3]]-Tabla145[[#This Row],[Ponderación mes n+3]]</f>
        <v>0</v>
      </c>
      <c r="CB76" s="3">
        <f>+Tabla145[[#This Row],[Producción disponible mes n-1]]+Tabla145[[#This Row],[Producción disponible]]</f>
        <v>55720</v>
      </c>
      <c r="CC76" s="3">
        <f>+Tabla145[[#This Row],[Saldo mes n+4]]-Tabla145[[#This Row],[ RV Producción mes n+1]]</f>
        <v>0</v>
      </c>
    </row>
    <row r="77" spans="1:81" ht="16" x14ac:dyDescent="0.2">
      <c r="A77">
        <v>1</v>
      </c>
      <c r="B77" t="str">
        <f>Tabla145[[#This Row],[Oficina]]&amp;Tabla145[[#This Row],[Material]]</f>
        <v>Agrosuper Asia1021012</v>
      </c>
      <c r="C77" t="s">
        <v>6</v>
      </c>
      <c r="D77" t="s">
        <v>173</v>
      </c>
      <c r="E77">
        <v>1021012</v>
      </c>
      <c r="F77" t="s">
        <v>197</v>
      </c>
      <c r="G77" t="s">
        <v>67</v>
      </c>
      <c r="H77" t="s">
        <v>68</v>
      </c>
      <c r="I77" s="7">
        <f>IFERROR(VLOOKUP(Tabla145[[#This Row],[Llave]],'[7]RV Producción'!$C:$G,5,FALSE),0)</f>
        <v>114630</v>
      </c>
      <c r="J77" s="3">
        <f>IFERROR(IF(Tabla145[[#This Row],[Oficina]]=$I$7,VLOOKUP(Tabla145[[#This Row],[Llave]],'[7]Shangai (Tomas)'!$A:$F,6,FALSE),VLOOKUP(Tabla145[[#This Row],[Llave]],'[7]RV plan de ventas'!$A:$E,5,FALSE)),0)</f>
        <v>198000</v>
      </c>
      <c r="K77" s="8">
        <f>IFERROR(VLOOKUP(Tabla145[[#This Row],[Oficina]],[15]Ponderación!$B$2:$E$9,4,FALSE),0)</f>
        <v>0.45719439678473212</v>
      </c>
      <c r="L77" s="7">
        <f>+Tabla145[[#This Row],[ RV Producción mes n+1]]*Tabla145[[#This Row],[% Uti. producción]]</f>
        <v>52408.193703433841</v>
      </c>
      <c r="M77" s="7">
        <f>IFERROR(VLOOKUP(Tabla145[[#This Row],[Material]],[16]Stock!$G:$K,5,FALSE),0)</f>
        <v>55890</v>
      </c>
      <c r="N77" s="7">
        <f>IFERROR(VLOOKUP(Tabla145[[#This Row],[Material]],[16]Produccion!$M:$N,2,FALSE),0)</f>
        <v>54977</v>
      </c>
      <c r="O77" s="7">
        <f>IFERROR(VLOOKUP(Tabla145[[#This Row],[Llave]],'[16]TD Conf-AP'!$I:$M,4,FALSE),0)</f>
        <v>0</v>
      </c>
      <c r="P77" s="14">
        <f>SUM(Tabla145[[#This Row],[Producción disponible]],Tabla145[[#This Row],[Stock al día]],(Tabla145[[#This Row],[Por producir mes N]]*0.9))-Tabla145[[#This Row],[Producción por despachar mes N]]</f>
        <v>157777.49370343384</v>
      </c>
      <c r="Q77" s="7">
        <f>IFERROR(VLOOKUP(Tabla145[[#This Row],[Llave]],[17]DELAY!$A:$D,4,FALSE),0)</f>
        <v>0</v>
      </c>
      <c r="R77" s="9">
        <v>22000</v>
      </c>
      <c r="S77" s="5">
        <f t="shared" si="6"/>
        <v>0</v>
      </c>
      <c r="T77" s="76">
        <v>0</v>
      </c>
      <c r="U77" s="5">
        <f>+Tabla145[[#This Row],[Atraso a facturar]]+Tabla145[[#This Row],[Ajuste atraso]]</f>
        <v>0</v>
      </c>
      <c r="V77" s="3">
        <f>+Tabla145[[#This Row],[Total disponible]]-Tabla145[[#This Row],[Facturación atraso]]</f>
        <v>157777.49370343384</v>
      </c>
      <c r="W77" s="6">
        <f>IFERROR(IF(AND(V77&gt;R77,J77&gt;=R77),ROUNDDOWN((Tabla145[[#This Row],[Producción para venta nueva]])/R77,0)*R77,0),0)</f>
        <v>154000</v>
      </c>
      <c r="X77" s="76">
        <v>0</v>
      </c>
      <c r="Y77" s="6">
        <f>IF(Tabla145[[#This Row],[Venta del mes]]&gt;0,Tabla145[[#This Row],[Venta del mes]]+Tabla145[[#This Row],[Ajuste venta nueva]],0)</f>
        <v>154000</v>
      </c>
      <c r="Z77" s="6">
        <f>+Tabla145[[#This Row],[Producción para venta nueva]]-Tabla145[[#This Row],[Facturación Venta nueva]]</f>
        <v>3777.4937034338363</v>
      </c>
      <c r="AA77" s="6">
        <f>IF(AND(A77=1,Tabla145[[#This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7" s="6">
        <v>0</v>
      </c>
      <c r="AC77" s="6">
        <f>IF(Tabla145[[#This Row],[Disponible stock sin venta]]&gt;0,Tabla145[[#This Row],[Disponible stock sin venta]]+Tabla145[[#This Row],[Ajuste stock sin venta]],0)</f>
        <v>0</v>
      </c>
      <c r="AD77" s="3">
        <f>IFERROR(VLOOKUP(Tabla145[[#This Row],[Llave]],'[16]TD Puerto'!$A:$D,4,FALSE),0)</f>
        <v>0</v>
      </c>
      <c r="AE77" s="3">
        <v>176000</v>
      </c>
      <c r="AF77" s="3">
        <f>+Tabla145[[#This Row],[Plan Irrestricto Inicial]]</f>
        <v>176000</v>
      </c>
      <c r="AG77" s="3">
        <f>+Tabla145[[#This Row],[En puerto a facturar]]</f>
        <v>0</v>
      </c>
      <c r="AH77" s="3">
        <f>+Tabla145[[#This Row],[Facturación atraso]]</f>
        <v>0</v>
      </c>
      <c r="AI77" s="3">
        <f>+Tabla145[[#This Row],[Plan Irrestricto]]-Tabla145[[#This Row],[Puerto ]]-Tabla145[[#This Row],[Atraso]]</f>
        <v>176000</v>
      </c>
      <c r="AJ77" s="3">
        <f>IF(Tabla145[[#This Row],[Plan Irrestricto]]&gt;0,SUM(Tabla145[[#This Row],[Facturación atraso]],Tabla145[[#This Row],[Facturación Venta nueva]],Tabla145[[#This Row],[Facturación stock]],Tabla145[[#This Row],[En puerto a facturar]]),0)</f>
        <v>154000</v>
      </c>
      <c r="AK77" s="3">
        <f>+Tabla145[[#This Row],[Facturación atraso]]</f>
        <v>0</v>
      </c>
      <c r="AL77" s="3">
        <f>+Tabla145[[#This Row],[Plan Ajustado]]-Tabla145[[#This Row],[ Atraso ajustado]]-Tabla145[[#This Row],[Puerto ]]</f>
        <v>154000</v>
      </c>
      <c r="AM77" s="6">
        <f>IFERROR(VLOOKUP(Tabla145[[#This Row],[Llave]],[18]!Tabla14[#All],34,FALSE),0)</f>
        <v>0</v>
      </c>
      <c r="AN77" s="6">
        <f>IFERROR(VLOOKUP(Tabla145[[#This Row],[Llave]],[18]!Tabla14[#All],35,FALSE),0)</f>
        <v>0</v>
      </c>
      <c r="AO77" s="3" t="str">
        <f>IF(Tabla145[[#This Row],[Plan Ajustado]]&gt;Tabla145[[#This Row],[En puerto a facturar]],"Si","No")</f>
        <v>Si</v>
      </c>
      <c r="AP77" s="3">
        <f>IF(AND(Tabla145[[#This Row],[Plan Ajustado]]&gt;0,Tabla145[[#This Row],[Plan Ajustado]]&gt;Tabla145[[#This Row],[En puerto a facturar]]),(Tabla145[[#This Row],[Plan Ajustado]]-Tabla145[[#This Row],[En puerto a facturar]]),0)</f>
        <v>154000</v>
      </c>
      <c r="AQ77" s="3">
        <f>IF(Tabla145[[#This Row],[Necesidad]]&gt;=Tabla145[[#This Row],[Stock al día]],Tabla145[[#This Row],[Stock al día]],Tabla145[[#This Row],[Necesidad]])</f>
        <v>55890</v>
      </c>
      <c r="AR77" s="3">
        <f>+Tabla145[[#This Row],[Necesidad]]-Tabla145[[#This Row],[Stock Plan]]</f>
        <v>98110</v>
      </c>
      <c r="AS77" s="155">
        <f>IFERROR(VLOOKUP(Tabla145[[#This Row],[Oficina]],[19]Ponderación!$B$14:$E$21,4,FALSE),"")</f>
        <v>44786</v>
      </c>
      <c r="AT7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1.92</v>
      </c>
      <c r="AU77" s="83">
        <f>IFERROR(VLOOKUP(Tabla145[[#This Row],[Llave]],[17]DELAY!$H:$W,16,FALSE),0)</f>
        <v>0</v>
      </c>
      <c r="AV7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1.92</v>
      </c>
      <c r="AW77" s="5">
        <f>Tabla145[[#This Row],[Ajuste precio IC]]*Tabla145[[#This Row],[Plan Ajustado]]</f>
        <v>295680</v>
      </c>
      <c r="AX77" s="30">
        <f>IFERROR(VLOOKUP(Tabla145[[#This Row],[Llave]],'[13]Ultimos precios facturados'!$A:$G,7,FALSE),0)</f>
        <v>1.9705036714707902</v>
      </c>
      <c r="AY7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2.5629828658524735E-2</v>
      </c>
      <c r="AZ77" s="30">
        <f>IFERROR(VLOOKUP(Tabla145[[#This Row],[Llave]],Hoja2!B:K,10,FALSE),0)</f>
        <v>1.92</v>
      </c>
      <c r="BA77" s="30">
        <f>IF(Tabla145[[#This Row],[Ajuste precio IC]]="",Tabla145[[#This Row],[Precio ponderado]],Tabla145[[#This Row],[Precio ponderado]])</f>
        <v>1.92</v>
      </c>
      <c r="BB77" s="82"/>
      <c r="BC77" s="82" t="str">
        <f>IF(AND(Tabla145[[#This Row],[Atraso a facturar]]&gt;0,Tabla145[[#This Row],[Precio Atraso]]=0),"Revisar","OK")</f>
        <v>OK</v>
      </c>
      <c r="BD77" s="82" t="str">
        <f>IF(AND(Tabla145[[#This Row],[Venta del mes]]&gt;0,Tabla145[[#This Row],[Precio venta nueva]]=0),"Revisar","OK")</f>
        <v>OK</v>
      </c>
      <c r="BE77" s="20">
        <f>IFERROR(VLOOKUP(Tabla145[[#This Row],[Llave]],'[5]Consolidación planes'!$A:$M,9,FALSE),0)</f>
        <v>110000</v>
      </c>
      <c r="BF77" s="20">
        <f>IFERROR(VLOOKUP(Tabla145[[#This Row],[Llave]],'[5]Consolidación planes'!$A:$M,10,FALSE),0)</f>
        <v>66000</v>
      </c>
      <c r="BG77" s="20">
        <f>IFERROR(VLOOKUP(Tabla145[[#This Row],[Llave]],'[5]Consolidación planes'!$A:$M,11,FALSE),0)</f>
        <v>0</v>
      </c>
      <c r="BH77" s="20">
        <f>IFERROR(VLOOKUP(Tabla145[[#This Row],[Llave]],'[5]Consolidación planes'!$A:$M,12,FALSE),0)</f>
        <v>22000</v>
      </c>
      <c r="BI77" s="20">
        <f>IFERROR(VLOOKUP(Tabla145[[#This Row],[Llave]],'[5]Consolidación planes'!$A:$M,13,FALSE),0)</f>
        <v>176010</v>
      </c>
      <c r="BJ77" s="20">
        <f>IFERROR(VLOOKUP(Tabla145[[#This Row],[Llave]],'[13]Base ultimos planes'!$A:$M,13,FALSE),0)</f>
        <v>219933</v>
      </c>
      <c r="BK77" s="80">
        <f>IFERROR(VLOOKUP(Tabla145[[#This Row],[Llave]],'[13]Base ultimos planes'!$O:$AA,8,FALSE),0)</f>
        <v>247500</v>
      </c>
      <c r="BL77" s="20">
        <f>IFERROR(VLOOKUP(Tabla145[[#This Row],[Llave]],'[13]Base ultimos planes'!$O:$AA,9,FALSE),0)</f>
        <v>108240</v>
      </c>
      <c r="BM77" s="20">
        <f>IFERROR(VLOOKUP(Tabla145[[#This Row],[Llave]],'[13]Base ultimos planes'!$O:$AA,10,FALSE),0)</f>
        <v>0</v>
      </c>
      <c r="BN77" s="20">
        <f>IFERROR(VLOOKUP(Tabla145[[#This Row],[Llave]],'[13]Base ultimos planes'!$O:$AA,11,FALSE),0)</f>
        <v>38720</v>
      </c>
      <c r="BO77" s="20">
        <f>IFERROR(VLOOKUP(Tabla145[[#This Row],[Llave]],'[13]Base ultimos planes'!$O:$AA,12,FALSE),0)</f>
        <v>346371</v>
      </c>
      <c r="BP77" s="20">
        <f>IFERROR(VLOOKUP(Tabla145[[#This Row],[Llave]],'[13]Base ultimos planes'!$O:$AA,13,FALSE),0)</f>
        <v>424319</v>
      </c>
      <c r="BQ77" s="20"/>
      <c r="BR77" s="20">
        <f>Tabla145[[#This Row],[ RV Producción mes n+1]]*(1-Tabla145[[#This Row],[% Uti. producción]])</f>
        <v>62221.806296566167</v>
      </c>
      <c r="BS77" s="20">
        <f>+Tabla145[[#This Row],[Producción disponible mes n-1]]+Tabla145[[#This Row],[Saldo Volumen disponible]]</f>
        <v>65999.3</v>
      </c>
      <c r="BT77" s="7">
        <f>IFERROR(VLOOKUP(Tabla145[[#This Row],[Llave]],'[21]RV n+2 y n+3'!$B:$F,4,FALSE),0)</f>
        <v>11201.75</v>
      </c>
      <c r="BU77" s="7">
        <f>+Tabla145[[#This Row],[Asignación mes n+2]]*Tabla145[[#This Row],[% Uti. producción]]</f>
        <v>5121.377334183373</v>
      </c>
      <c r="BV77" s="7">
        <f>+Tabla145[[#This Row],[Ponderación mes n+2]]+Tabla145[[#This Row],[Saldo mes n-1]]</f>
        <v>71120.677334183376</v>
      </c>
      <c r="BW77" s="7">
        <f>+Tabla145[[#This Row],[Asignación mes n+2]]-Tabla145[[#This Row],[Ponderación mes n+2]]</f>
        <v>6080.372665816627</v>
      </c>
      <c r="BX77" s="7">
        <f>IFERROR(VLOOKUP(Tabla145[[#This Row],[Llave]],'[21]RV n+2 y n+3'!$B:$F,5,FALSE),0)</f>
        <v>28253.3547</v>
      </c>
      <c r="BY77" s="7">
        <f>+Tabla145[[#This Row],[Asignación mes n+3]]*Tabla145[[#This Row],[% Uti. producción]]</f>
        <v>12917.275459211576</v>
      </c>
      <c r="BZ77" s="3">
        <f>+Tabla145[[#This Row],[Ponderación mes n+3]]+Tabla145[[#This Row],[Saldo mes n+2]]</f>
        <v>18997.648125028201</v>
      </c>
      <c r="CA77" s="3">
        <f>+Tabla145[[#This Row],[Asignación mes n+3]]-Tabla145[[#This Row],[Ponderación mes n+3]]</f>
        <v>15336.079240788424</v>
      </c>
      <c r="CB77" s="3">
        <f>+Tabla145[[#This Row],[Producción disponible mes n-1]]+Tabla145[[#This Row],[Producción disponible]]</f>
        <v>114630</v>
      </c>
      <c r="CC77" s="3">
        <f>+Tabla145[[#This Row],[Saldo mes n+4]]-Tabla145[[#This Row],[ RV Producción mes n+1]]</f>
        <v>0</v>
      </c>
    </row>
    <row r="78" spans="1:81" ht="16" x14ac:dyDescent="0.2">
      <c r="A78">
        <v>1</v>
      </c>
      <c r="B78" t="str">
        <f>Tabla145[[#This Row],[Oficina]]&amp;Tabla145[[#This Row],[Material]]</f>
        <v>Agrosuper Asia1021045</v>
      </c>
      <c r="C78" t="s">
        <v>6</v>
      </c>
      <c r="D78" t="s">
        <v>173</v>
      </c>
      <c r="E78">
        <v>1021045</v>
      </c>
      <c r="F78" t="s">
        <v>194</v>
      </c>
      <c r="G78" t="s">
        <v>159</v>
      </c>
      <c r="H78" t="s">
        <v>160</v>
      </c>
      <c r="I78" s="7">
        <f>IFERROR(VLOOKUP(Tabla145[[#This Row],[Llave]],'[7]RV Producción'!$C:$G,5,FALSE),0)</f>
        <v>89147</v>
      </c>
      <c r="J78" s="3">
        <f>IFERROR(IF(Tabla145[[#This Row],[Oficina]]=$I$7,VLOOKUP(Tabla145[[#This Row],[Llave]],'[7]Shangai (Tomas)'!$A:$F,6,FALSE),VLOOKUP(Tabla145[[#This Row],[Llave]],'[7]RV plan de ventas'!$A:$E,5,FALSE)),0)</f>
        <v>44000</v>
      </c>
      <c r="K78" s="8">
        <f>IFERROR(VLOOKUP(Tabla145[[#This Row],[Oficina]],[15]Ponderación!$B$2:$E$9,4,FALSE),0)</f>
        <v>0.45719439678473212</v>
      </c>
      <c r="L78" s="7">
        <f>+Tabla145[[#This Row],[ RV Producción mes n+1]]*Tabla145[[#This Row],[% Uti. producción]]</f>
        <v>40757.508890168516</v>
      </c>
      <c r="M78" s="7">
        <f>IFERROR(VLOOKUP(Tabla145[[#This Row],[Material]],[16]Stock!$G:$K,5,FALSE),0)</f>
        <v>17947</v>
      </c>
      <c r="N78" s="7">
        <f>IFERROR(VLOOKUP(Tabla145[[#This Row],[Material]],[16]Produccion!$M:$N,2,FALSE),0)</f>
        <v>0</v>
      </c>
      <c r="O78" s="7">
        <f>IFERROR(VLOOKUP(Tabla145[[#This Row],[Llave]],'[16]TD Conf-AP'!$I:$M,4,FALSE),0)</f>
        <v>0</v>
      </c>
      <c r="P78" s="14">
        <f>SUM(Tabla145[[#This Row],[Producción disponible]],Tabla145[[#This Row],[Stock al día]],(Tabla145[[#This Row],[Por producir mes N]]*0.9))-Tabla145[[#This Row],[Producción por despachar mes N]]</f>
        <v>58704.508890168516</v>
      </c>
      <c r="Q78" s="7">
        <f>IFERROR(VLOOKUP(Tabla145[[#This Row],[Llave]],[17]DELAY!$A:$D,4,FALSE),0)</f>
        <v>66000</v>
      </c>
      <c r="R78" s="9">
        <v>22000</v>
      </c>
      <c r="S78" s="5">
        <f t="shared" si="6"/>
        <v>44000</v>
      </c>
      <c r="T78" s="76">
        <v>0</v>
      </c>
      <c r="U78" s="5">
        <f>+Tabla145[[#This Row],[Atraso a facturar]]+Tabla145[[#This Row],[Ajuste atraso]]</f>
        <v>44000</v>
      </c>
      <c r="V78" s="3">
        <f>+Tabla145[[#This Row],[Total disponible]]-Tabla145[[#This Row],[Facturación atraso]]</f>
        <v>14704.508890168516</v>
      </c>
      <c r="W78" s="6">
        <f>IFERROR(IF(AND(V78&gt;R78,J78&gt;=R78),ROUNDDOWN((Tabla145[[#This Row],[Producción para venta nueva]])/R78,0)*R78,0),0)</f>
        <v>0</v>
      </c>
      <c r="X78" s="76">
        <v>0</v>
      </c>
      <c r="Y78" s="6">
        <f>IF(Tabla145[[#This Row],[Venta del mes]]&gt;0,Tabla145[[#This Row],[Venta del mes]]+Tabla145[[#This Row],[Ajuste venta nueva]],0)</f>
        <v>0</v>
      </c>
      <c r="Z78" s="6">
        <f>+Tabla145[[#This Row],[Producción para venta nueva]]-Tabla145[[#This Row],[Facturación Venta nueva]]</f>
        <v>14704.508890168516</v>
      </c>
      <c r="AA78" s="6">
        <f>IF(AND(A78=1,Tabla145[[#This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8" s="6">
        <v>0</v>
      </c>
      <c r="AC78" s="6">
        <f>IF(Tabla145[[#This Row],[Disponible stock sin venta]]&gt;0,Tabla145[[#This Row],[Disponible stock sin venta]]+Tabla145[[#This Row],[Ajuste stock sin venta]],0)</f>
        <v>0</v>
      </c>
      <c r="AD78" s="3">
        <f>IFERROR(VLOOKUP(Tabla145[[#This Row],[Llave]],'[16]TD Puerto'!$A:$D,4,FALSE),0)</f>
        <v>0</v>
      </c>
      <c r="AE78" s="3">
        <v>44000</v>
      </c>
      <c r="AF78" s="3">
        <f>+Tabla145[[#This Row],[Plan Irrestricto Inicial]]</f>
        <v>44000</v>
      </c>
      <c r="AG78" s="3">
        <f>+Tabla145[[#This Row],[En puerto a facturar]]</f>
        <v>0</v>
      </c>
      <c r="AH78" s="3">
        <f>+Tabla145[[#This Row],[Facturación atraso]]</f>
        <v>44000</v>
      </c>
      <c r="AI78" s="3">
        <f>+Tabla145[[#This Row],[Plan Irrestricto]]-Tabla145[[#This Row],[Puerto ]]-Tabla145[[#This Row],[Atraso]]</f>
        <v>0</v>
      </c>
      <c r="AJ78" s="3">
        <f>IF(Tabla145[[#This Row],[Plan Irrestricto]]&gt;0,SUM(Tabla145[[#This Row],[Facturación atraso]],Tabla145[[#This Row],[Facturación Venta nueva]],Tabla145[[#This Row],[Facturación stock]],Tabla145[[#This Row],[En puerto a facturar]]),0)</f>
        <v>44000</v>
      </c>
      <c r="AK78" s="3">
        <f>+Tabla145[[#This Row],[Facturación atraso]]</f>
        <v>44000</v>
      </c>
      <c r="AL78" s="3">
        <f>+Tabla145[[#This Row],[Plan Ajustado]]-Tabla145[[#This Row],[ Atraso ajustado]]-Tabla145[[#This Row],[Puerto ]]</f>
        <v>0</v>
      </c>
      <c r="AM78" s="6">
        <f>IFERROR(VLOOKUP(Tabla145[[#This Row],[Llave]],[18]!Tabla14[#All],34,FALSE),0)</f>
        <v>0</v>
      </c>
      <c r="AN78" s="6">
        <f>IFERROR(VLOOKUP(Tabla145[[#This Row],[Llave]],[18]!Tabla14[#All],35,FALSE),0)</f>
        <v>0</v>
      </c>
      <c r="AO78" s="3" t="str">
        <f>IF(Tabla145[[#This Row],[Plan Ajustado]]&gt;Tabla145[[#This Row],[En puerto a facturar]],"Si","No")</f>
        <v>Si</v>
      </c>
      <c r="AP78" s="3">
        <f>IF(AND(Tabla145[[#This Row],[Plan Ajustado]]&gt;0,Tabla145[[#This Row],[Plan Ajustado]]&gt;Tabla145[[#This Row],[En puerto a facturar]]),(Tabla145[[#This Row],[Plan Ajustado]]-Tabla145[[#This Row],[En puerto a facturar]]),0)</f>
        <v>44000</v>
      </c>
      <c r="AQ78" s="3">
        <f>IF(Tabla145[[#This Row],[Necesidad]]&gt;=Tabla145[[#This Row],[Stock al día]],Tabla145[[#This Row],[Stock al día]],Tabla145[[#This Row],[Necesidad]])</f>
        <v>17947</v>
      </c>
      <c r="AR78" s="3">
        <f>+Tabla145[[#This Row],[Necesidad]]-Tabla145[[#This Row],[Stock Plan]]</f>
        <v>26053</v>
      </c>
      <c r="AS78" s="155">
        <f>IFERROR(VLOOKUP(Tabla145[[#This Row],[Oficina]],[19]Ponderación!$B$14:$E$21,4,FALSE),"")</f>
        <v>44786</v>
      </c>
      <c r="AT7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2.02</v>
      </c>
      <c r="AU78" s="83">
        <f>IFERROR(VLOOKUP(Tabla145[[#This Row],[Llave]],[17]DELAY!$H:$W,16,FALSE),0)</f>
        <v>2.1335303030303034</v>
      </c>
      <c r="AV7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2.1335303030303034</v>
      </c>
      <c r="AW78" s="5">
        <f>Tabla145[[#This Row],[Ajuste precio IC]]*Tabla145[[#This Row],[Plan Ajustado]]</f>
        <v>93875.333333333358</v>
      </c>
      <c r="AX78" s="30">
        <f>IFERROR(VLOOKUP(Tabla145[[#This Row],[Llave]],'[13]Ultimos precios facturados'!$A:$G,7,FALSE),0)</f>
        <v>2.0113766220216358</v>
      </c>
      <c r="AY7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6.0731381518141989E-2</v>
      </c>
      <c r="AZ78" s="30">
        <f>IFERROR(VLOOKUP(Tabla145[[#This Row],[Llave]],Hoja2!B:K,10,FALSE),0)</f>
        <v>2.1335303030303034</v>
      </c>
      <c r="BA78" s="30">
        <f>IF(Tabla145[[#This Row],[Ajuste precio IC]]="",Tabla145[[#This Row],[Precio ponderado]],Tabla145[[#This Row],[Precio ponderado]])</f>
        <v>2.1335303030303034</v>
      </c>
      <c r="BB78" s="82"/>
      <c r="BC78" s="82" t="str">
        <f>IF(AND(Tabla145[[#This Row],[Atraso a facturar]]&gt;0,Tabla145[[#This Row],[Precio Atraso]]=0),"Revisar","OK")</f>
        <v>OK</v>
      </c>
      <c r="BD78" s="82" t="str">
        <f>IF(AND(Tabla145[[#This Row],[Venta del mes]]&gt;0,Tabla145[[#This Row],[Precio venta nueva]]=0),"Revisar","OK")</f>
        <v>OK</v>
      </c>
      <c r="BE78" s="20">
        <f>IFERROR(VLOOKUP(Tabla145[[#This Row],[Llave]],'[5]Consolidación planes'!$A:$M,9,FALSE),0)</f>
        <v>88000</v>
      </c>
      <c r="BF78" s="20">
        <f>IFERROR(VLOOKUP(Tabla145[[#This Row],[Llave]],'[5]Consolidación planes'!$A:$M,10,FALSE),0)</f>
        <v>44000</v>
      </c>
      <c r="BG78" s="20">
        <f>IFERROR(VLOOKUP(Tabla145[[#This Row],[Llave]],'[5]Consolidación planes'!$A:$M,11,FALSE),0)</f>
        <v>22000</v>
      </c>
      <c r="BH78" s="20">
        <f>IFERROR(VLOOKUP(Tabla145[[#This Row],[Llave]],'[5]Consolidación planes'!$A:$M,12,FALSE),0)</f>
        <v>44000</v>
      </c>
      <c r="BI78" s="20">
        <f>IFERROR(VLOOKUP(Tabla145[[#This Row],[Llave]],'[5]Consolidación planes'!$A:$M,13,FALSE),0)</f>
        <v>22000</v>
      </c>
      <c r="BJ78" s="20">
        <f>IFERROR(VLOOKUP(Tabla145[[#This Row],[Llave]],'[13]Base ultimos planes'!$A:$M,13,FALSE),0)</f>
        <v>22000</v>
      </c>
      <c r="BK78" s="80">
        <f>IFERROR(VLOOKUP(Tabla145[[#This Row],[Llave]],'[13]Base ultimos planes'!$O:$AA,8,FALSE),0)</f>
        <v>237667.5</v>
      </c>
      <c r="BL78" s="20">
        <f>IFERROR(VLOOKUP(Tabla145[[#This Row],[Llave]],'[13]Base ultimos planes'!$O:$AA,9,FALSE),0)</f>
        <v>114400</v>
      </c>
      <c r="BM78" s="20">
        <f>IFERROR(VLOOKUP(Tabla145[[#This Row],[Llave]],'[13]Base ultimos planes'!$O:$AA,10,FALSE),0)</f>
        <v>43120</v>
      </c>
      <c r="BN78" s="20">
        <f>IFERROR(VLOOKUP(Tabla145[[#This Row],[Llave]],'[13]Base ultimos planes'!$O:$AA,11,FALSE),0)</f>
        <v>91571</v>
      </c>
      <c r="BO78" s="20">
        <f>IFERROR(VLOOKUP(Tabla145[[#This Row],[Llave]],'[13]Base ultimos planes'!$O:$AA,12,FALSE),0)</f>
        <v>45756</v>
      </c>
      <c r="BP78" s="20">
        <f>IFERROR(VLOOKUP(Tabla145[[#This Row],[Llave]],'[13]Base ultimos planes'!$O:$AA,13,FALSE),0)</f>
        <v>42091</v>
      </c>
      <c r="BQ78" s="20"/>
      <c r="BR78" s="20">
        <f>Tabla145[[#This Row],[ RV Producción mes n+1]]*(1-Tabla145[[#This Row],[% Uti. producción]])</f>
        <v>48389.491109831491</v>
      </c>
      <c r="BS78" s="20">
        <f>+Tabla145[[#This Row],[Producción disponible mes n-1]]+Tabla145[[#This Row],[Saldo Volumen disponible]]</f>
        <v>63094.000000000007</v>
      </c>
      <c r="BT78" s="7">
        <f>IFERROR(VLOOKUP(Tabla145[[#This Row],[Llave]],'[21]RV n+2 y n+3'!$B:$F,4,FALSE),0)</f>
        <v>0</v>
      </c>
      <c r="BU78" s="7">
        <f>+Tabla145[[#This Row],[Asignación mes n+2]]*Tabla145[[#This Row],[% Uti. producción]]</f>
        <v>0</v>
      </c>
      <c r="BV78" s="7">
        <f>+Tabla145[[#This Row],[Ponderación mes n+2]]+Tabla145[[#This Row],[Saldo mes n-1]]</f>
        <v>63094.000000000007</v>
      </c>
      <c r="BW78" s="7">
        <f>+Tabla145[[#This Row],[Asignación mes n+2]]-Tabla145[[#This Row],[Ponderación mes n+2]]</f>
        <v>0</v>
      </c>
      <c r="BX78" s="7">
        <f>IFERROR(VLOOKUP(Tabla145[[#This Row],[Llave]],'[21]RV n+2 y n+3'!$B:$F,5,FALSE),0)</f>
        <v>0</v>
      </c>
      <c r="BY78" s="7">
        <f>+Tabla145[[#This Row],[Asignación mes n+3]]*Tabla145[[#This Row],[% Uti. producción]]</f>
        <v>0</v>
      </c>
      <c r="BZ78" s="3">
        <f>+Tabla145[[#This Row],[Ponderación mes n+3]]+Tabla145[[#This Row],[Saldo mes n+2]]</f>
        <v>0</v>
      </c>
      <c r="CA78" s="3">
        <f>+Tabla145[[#This Row],[Asignación mes n+3]]-Tabla145[[#This Row],[Ponderación mes n+3]]</f>
        <v>0</v>
      </c>
      <c r="CB78" s="3">
        <f>+Tabla145[[#This Row],[Producción disponible mes n-1]]+Tabla145[[#This Row],[Producción disponible]]</f>
        <v>89147</v>
      </c>
      <c r="CC78" s="3">
        <f>+Tabla145[[#This Row],[Saldo mes n+4]]-Tabla145[[#This Row],[ RV Producción mes n+1]]</f>
        <v>0</v>
      </c>
    </row>
    <row r="79" spans="1:81" ht="16" x14ac:dyDescent="0.2">
      <c r="A79">
        <v>1</v>
      </c>
      <c r="B79" t="str">
        <f>Tabla145[[#This Row],[Oficina]]&amp;Tabla145[[#This Row],[Material]]</f>
        <v>Agrosuper Asia1021046</v>
      </c>
      <c r="C79" t="s">
        <v>6</v>
      </c>
      <c r="D79" t="s">
        <v>173</v>
      </c>
      <c r="E79">
        <v>1021046</v>
      </c>
      <c r="F79" t="s">
        <v>195</v>
      </c>
      <c r="G79" t="s">
        <v>159</v>
      </c>
      <c r="H79" t="s">
        <v>160</v>
      </c>
      <c r="I79" s="7">
        <f>IFERROR(VLOOKUP(Tabla145[[#This Row],[Llave]],'[7]RV Producción'!$C:$G,5,FALSE),0)</f>
        <v>0</v>
      </c>
      <c r="J79" s="3">
        <f>IFERROR(IF(Tabla145[[#This Row],[Oficina]]=$I$7,VLOOKUP(Tabla145[[#This Row],[Llave]],'[7]Shangai (Tomas)'!$A:$F,6,FALSE),VLOOKUP(Tabla145[[#This Row],[Llave]],'[7]RV plan de ventas'!$A:$E,5,FALSE)),0)</f>
        <v>0</v>
      </c>
      <c r="K79" s="8">
        <f>IFERROR(VLOOKUP(Tabla145[[#This Row],[Oficina]],[15]Ponderación!$B$2:$E$9,4,FALSE),0)</f>
        <v>0.45719439678473212</v>
      </c>
      <c r="L79" s="7">
        <f>+Tabla145[[#This Row],[ RV Producción mes n+1]]*Tabla145[[#This Row],[% Uti. producción]]</f>
        <v>0</v>
      </c>
      <c r="M79" s="7">
        <f>IFERROR(VLOOKUP(Tabla145[[#This Row],[Material]],[16]Stock!$G:$K,5,FALSE),0)</f>
        <v>7064</v>
      </c>
      <c r="N79" s="7">
        <f>IFERROR(VLOOKUP(Tabla145[[#This Row],[Material]],[16]Produccion!$M:$N,2,FALSE),0)</f>
        <v>0</v>
      </c>
      <c r="O79" s="7">
        <f>IFERROR(VLOOKUP(Tabla145[[#This Row],[Llave]],'[16]TD Conf-AP'!$I:$M,4,FALSE),0)</f>
        <v>0</v>
      </c>
      <c r="P79" s="14">
        <f>SUM(Tabla145[[#This Row],[Producción disponible]],Tabla145[[#This Row],[Stock al día]],(Tabla145[[#This Row],[Por producir mes N]]*0.9))-Tabla145[[#This Row],[Producción por despachar mes N]]</f>
        <v>7064</v>
      </c>
      <c r="Q79" s="7">
        <f>IFERROR(VLOOKUP(Tabla145[[#This Row],[Llave]],[17]DELAY!$A:$D,4,FALSE),0)</f>
        <v>0</v>
      </c>
      <c r="R79" s="9">
        <v>22000</v>
      </c>
      <c r="S79" s="5">
        <f t="shared" si="6"/>
        <v>0</v>
      </c>
      <c r="T79" s="76">
        <v>0</v>
      </c>
      <c r="U79" s="5">
        <f>+Tabla145[[#This Row],[Atraso a facturar]]+Tabla145[[#This Row],[Ajuste atraso]]</f>
        <v>0</v>
      </c>
      <c r="V79" s="3">
        <f>+Tabla145[[#This Row],[Total disponible]]-Tabla145[[#This Row],[Facturación atraso]]</f>
        <v>7064</v>
      </c>
      <c r="W79" s="6">
        <f>IFERROR(IF(AND(V79&gt;R79,J79&gt;=R79),ROUNDDOWN((Tabla145[[#This Row],[Producción para venta nueva]])/R79,0)*R79,0),0)</f>
        <v>0</v>
      </c>
      <c r="X79" s="76">
        <v>0</v>
      </c>
      <c r="Y79" s="6">
        <f>IF(Tabla145[[#This Row],[Venta del mes]]&gt;0,Tabla145[[#This Row],[Venta del mes]]+Tabla145[[#This Row],[Ajuste venta nueva]],0)</f>
        <v>0</v>
      </c>
      <c r="Z79" s="6">
        <f>+Tabla145[[#This Row],[Producción para venta nueva]]-Tabla145[[#This Row],[Facturación Venta nueva]]</f>
        <v>7064</v>
      </c>
      <c r="AA79" s="6">
        <f>IF(AND(A79=1,Tabla145[[#This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79" s="6">
        <v>0</v>
      </c>
      <c r="AC79" s="6">
        <f>IF(Tabla145[[#This Row],[Disponible stock sin venta]]&gt;0,Tabla145[[#This Row],[Disponible stock sin venta]]+Tabla145[[#This Row],[Ajuste stock sin venta]],0)</f>
        <v>0</v>
      </c>
      <c r="AD79" s="3">
        <f>IFERROR(VLOOKUP(Tabla145[[#This Row],[Llave]],'[16]TD Puerto'!$A:$D,4,FALSE),0)</f>
        <v>0</v>
      </c>
      <c r="AE79" s="3">
        <v>0</v>
      </c>
      <c r="AF79" s="3">
        <f>+Tabla145[[#This Row],[Plan Irrestricto Inicial]]</f>
        <v>0</v>
      </c>
      <c r="AG79" s="3">
        <f>+Tabla145[[#This Row],[En puerto a facturar]]</f>
        <v>0</v>
      </c>
      <c r="AH79" s="3">
        <f>+Tabla145[[#This Row],[Facturación atraso]]</f>
        <v>0</v>
      </c>
      <c r="AI79" s="3">
        <f>+Tabla145[[#This Row],[Plan Irrestricto]]-Tabla145[[#This Row],[Puerto ]]-Tabla145[[#This Row],[Atraso]]</f>
        <v>0</v>
      </c>
      <c r="AJ7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79" s="3">
        <f>+Tabla145[[#This Row],[Facturación atraso]]</f>
        <v>0</v>
      </c>
      <c r="AL79" s="3">
        <f>+Tabla145[[#This Row],[Plan Ajustado]]-Tabla145[[#This Row],[ Atraso ajustado]]-Tabla145[[#This Row],[Puerto ]]</f>
        <v>0</v>
      </c>
      <c r="AM79" s="6">
        <f>IFERROR(VLOOKUP(Tabla145[[#This Row],[Llave]],[18]!Tabla14[#All],34,FALSE),0)</f>
        <v>0</v>
      </c>
      <c r="AN79" s="6">
        <f>IFERROR(VLOOKUP(Tabla145[[#This Row],[Llave]],[18]!Tabla14[#All],35,FALSE),0)</f>
        <v>0</v>
      </c>
      <c r="AO79" s="3" t="str">
        <f>IF(Tabla145[[#This Row],[Plan Ajustado]]&gt;Tabla145[[#This Row],[En puerto a facturar]],"Si","No")</f>
        <v>No</v>
      </c>
      <c r="AP7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79" s="3">
        <f>IF(Tabla145[[#This Row],[Necesidad]]&gt;=Tabla145[[#This Row],[Stock al día]],Tabla145[[#This Row],[Stock al día]],Tabla145[[#This Row],[Necesidad]])</f>
        <v>0</v>
      </c>
      <c r="AR79" s="3">
        <f>+Tabla145[[#This Row],[Necesidad]]-Tabla145[[#This Row],[Stock Plan]]</f>
        <v>0</v>
      </c>
      <c r="AS79" s="155">
        <f>IFERROR(VLOOKUP(Tabla145[[#This Row],[Oficina]],[19]Ponderación!$B$14:$E$21,4,FALSE),"")</f>
        <v>44786</v>
      </c>
      <c r="AT7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2.1213245413754449</v>
      </c>
      <c r="AU79" s="83">
        <f>IFERROR(VLOOKUP(Tabla145[[#This Row],[Llave]],[17]DELAY!$H:$W,16,FALSE),0)</f>
        <v>0</v>
      </c>
      <c r="AV7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79" s="5">
        <f>Tabla145[[#This Row],[Ajuste precio IC]]*Tabla145[[#This Row],[Plan Ajustado]]</f>
        <v>0</v>
      </c>
      <c r="AX79" s="30">
        <f>IFERROR(VLOOKUP(Tabla145[[#This Row],[Llave]],'[13]Ultimos precios facturados'!$A:$G,7,FALSE),0)</f>
        <v>2.1213245413754449</v>
      </c>
      <c r="AY7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79" s="30">
        <f>IFERROR(VLOOKUP(Tabla145[[#This Row],[Llave]],Hoja2!B:K,10,FALSE),0)</f>
        <v>0</v>
      </c>
      <c r="BA79" s="30">
        <f>IF(Tabla145[[#This Row],[Ajuste precio IC]]="",Tabla145[[#This Row],[Precio ponderado]],Tabla145[[#This Row],[Precio ponderado]])</f>
        <v>0</v>
      </c>
      <c r="BB79" s="82"/>
      <c r="BC79" s="82" t="str">
        <f>IF(AND(Tabla145[[#This Row],[Atraso a facturar]]&gt;0,Tabla145[[#This Row],[Precio Atraso]]=0),"Revisar","OK")</f>
        <v>OK</v>
      </c>
      <c r="BD79" s="82" t="str">
        <f>IF(AND(Tabla145[[#This Row],[Venta del mes]]&gt;0,Tabla145[[#This Row],[Precio venta nueva]]=0),"Revisar","OK")</f>
        <v>OK</v>
      </c>
      <c r="BE79" s="20">
        <f>IFERROR(VLOOKUP(Tabla145[[#This Row],[Llave]],'[5]Consolidación planes'!$A:$M,9,FALSE),0)</f>
        <v>88000</v>
      </c>
      <c r="BF79" s="20">
        <f>IFERROR(VLOOKUP(Tabla145[[#This Row],[Llave]],'[5]Consolidación planes'!$A:$M,10,FALSE),0)</f>
        <v>66000</v>
      </c>
      <c r="BG79" s="20">
        <f>IFERROR(VLOOKUP(Tabla145[[#This Row],[Llave]],'[5]Consolidación planes'!$A:$M,11,FALSE),0)</f>
        <v>44000</v>
      </c>
      <c r="BH79" s="20">
        <f>IFERROR(VLOOKUP(Tabla145[[#This Row],[Llave]],'[5]Consolidación planes'!$A:$M,12,FALSE),0)</f>
        <v>44000</v>
      </c>
      <c r="BI79" s="20">
        <f>IFERROR(VLOOKUP(Tabla145[[#This Row],[Llave]],'[5]Consolidación planes'!$A:$M,13,FALSE),0)</f>
        <v>22105</v>
      </c>
      <c r="BJ79" s="20">
        <f>IFERROR(VLOOKUP(Tabla145[[#This Row],[Llave]],'[13]Base ultimos planes'!$A:$M,13,FALSE),0)</f>
        <v>44022</v>
      </c>
      <c r="BK79" s="80">
        <f>IFERROR(VLOOKUP(Tabla145[[#This Row],[Llave]],'[13]Base ultimos planes'!$O:$AA,8,FALSE),0)</f>
        <v>227040</v>
      </c>
      <c r="BL79" s="20">
        <f>IFERROR(VLOOKUP(Tabla145[[#This Row],[Llave]],'[13]Base ultimos planes'!$O:$AA,9,FALSE),0)</f>
        <v>171600</v>
      </c>
      <c r="BM79" s="20">
        <f>IFERROR(VLOOKUP(Tabla145[[#This Row],[Llave]],'[13]Base ultimos planes'!$O:$AA,10,FALSE),0)</f>
        <v>99220</v>
      </c>
      <c r="BN79" s="20">
        <f>IFERROR(VLOOKUP(Tabla145[[#This Row],[Llave]],'[13]Base ultimos planes'!$O:$AA,11,FALSE),0)</f>
        <v>88542</v>
      </c>
      <c r="BO79" s="20">
        <f>IFERROR(VLOOKUP(Tabla145[[#This Row],[Llave]],'[13]Base ultimos planes'!$O:$AA,12,FALSE),0)</f>
        <v>45973</v>
      </c>
      <c r="BP79" s="20">
        <f>IFERROR(VLOOKUP(Tabla145[[#This Row],[Llave]],'[13]Base ultimos planes'!$O:$AA,13,FALSE),0)</f>
        <v>42091</v>
      </c>
      <c r="BQ79" s="20"/>
      <c r="BR79" s="20">
        <f>Tabla145[[#This Row],[ RV Producción mes n+1]]*(1-Tabla145[[#This Row],[% Uti. producción]])</f>
        <v>0</v>
      </c>
      <c r="BS79" s="20">
        <f>+Tabla145[[#This Row],[Producción disponible mes n-1]]+Tabla145[[#This Row],[Saldo Volumen disponible]]</f>
        <v>7064</v>
      </c>
      <c r="BT79" s="7">
        <f>IFERROR(VLOOKUP(Tabla145[[#This Row],[Llave]],'[21]RV n+2 y n+3'!$B:$F,4,FALSE),0)</f>
        <v>7064.2829999999994</v>
      </c>
      <c r="BU79" s="7">
        <f>+Tabla145[[#This Row],[Asignación mes n+2]]*Tabla145[[#This Row],[% Uti. producción]]</f>
        <v>3229.7506049016374</v>
      </c>
      <c r="BV79" s="7">
        <f>+Tabla145[[#This Row],[Ponderación mes n+2]]+Tabla145[[#This Row],[Saldo mes n-1]]</f>
        <v>10293.750604901637</v>
      </c>
      <c r="BW79" s="7">
        <f>+Tabla145[[#This Row],[Asignación mes n+2]]-Tabla145[[#This Row],[Ponderación mes n+2]]</f>
        <v>3834.532395098362</v>
      </c>
      <c r="BX79" s="7">
        <f>IFERROR(VLOOKUP(Tabla145[[#This Row],[Llave]],'[21]RV n+2 y n+3'!$B:$F,5,FALSE),0)</f>
        <v>0</v>
      </c>
      <c r="BY79" s="7">
        <f>+Tabla145[[#This Row],[Asignación mes n+3]]*Tabla145[[#This Row],[% Uti. producción]]</f>
        <v>0</v>
      </c>
      <c r="BZ79" s="3">
        <f>+Tabla145[[#This Row],[Ponderación mes n+3]]+Tabla145[[#This Row],[Saldo mes n+2]]</f>
        <v>3834.532395098362</v>
      </c>
      <c r="CA79" s="3">
        <f>+Tabla145[[#This Row],[Asignación mes n+3]]-Tabla145[[#This Row],[Ponderación mes n+3]]</f>
        <v>0</v>
      </c>
      <c r="CB79" s="3">
        <f>+Tabla145[[#This Row],[Producción disponible mes n-1]]+Tabla145[[#This Row],[Producción disponible]]</f>
        <v>0</v>
      </c>
      <c r="CC79" s="3">
        <f>+Tabla145[[#This Row],[Saldo mes n+4]]-Tabla145[[#This Row],[ RV Producción mes n+1]]</f>
        <v>0</v>
      </c>
    </row>
    <row r="80" spans="1:81" ht="16" x14ac:dyDescent="0.2">
      <c r="A80">
        <v>1</v>
      </c>
      <c r="B80" t="str">
        <f>Tabla145[[#This Row],[Oficina]]&amp;Tabla145[[#This Row],[Material]]</f>
        <v>Agrosuper Asia1021149</v>
      </c>
      <c r="C80" t="s">
        <v>6</v>
      </c>
      <c r="D80" t="s">
        <v>173</v>
      </c>
      <c r="E80">
        <v>1021149</v>
      </c>
      <c r="F80" t="s">
        <v>177</v>
      </c>
      <c r="G80" t="s">
        <v>92</v>
      </c>
      <c r="H80" t="s">
        <v>93</v>
      </c>
      <c r="I80" s="7">
        <f>IFERROR(VLOOKUP(Tabla145[[#This Row],[Llave]],'[7]RV Producción'!$C:$G,5,FALSE),0)</f>
        <v>47984</v>
      </c>
      <c r="J80" s="3">
        <f>IFERROR(IF(Tabla145[[#This Row],[Oficina]]=$I$7,VLOOKUP(Tabla145[[#This Row],[Llave]],'[7]Shangai (Tomas)'!$A:$F,6,FALSE),VLOOKUP(Tabla145[[#This Row],[Llave]],'[7]RV plan de ventas'!$A:$E,5,FALSE)),0)</f>
        <v>44000</v>
      </c>
      <c r="K80" s="8">
        <f>IFERROR(VLOOKUP(Tabla145[[#This Row],[Oficina]],[15]Ponderación!$B$2:$E$9,4,FALSE),0)</f>
        <v>0.45719439678473212</v>
      </c>
      <c r="L80" s="7">
        <f>+Tabla145[[#This Row],[ RV Producción mes n+1]]*Tabla145[[#This Row],[% Uti. producción]]</f>
        <v>21938.015935318585</v>
      </c>
      <c r="M80" s="7">
        <f>IFERROR(VLOOKUP(Tabla145[[#This Row],[Material]],[16]Stock!$G:$K,5,FALSE),0)</f>
        <v>16832</v>
      </c>
      <c r="N80" s="7">
        <f>IFERROR(VLOOKUP(Tabla145[[#This Row],[Material]],[16]Produccion!$M:$N,2,FALSE),0)</f>
        <v>0</v>
      </c>
      <c r="O80" s="7">
        <f>IFERROR(VLOOKUP(Tabla145[[#This Row],[Llave]],'[16]TD Conf-AP'!$I:$M,4,FALSE),0)</f>
        <v>0</v>
      </c>
      <c r="P80" s="14">
        <f>SUM(Tabla145[[#This Row],[Producción disponible]],Tabla145[[#This Row],[Stock al día]],(Tabla145[[#This Row],[Por producir mes N]]*0.9))-Tabla145[[#This Row],[Producción por despachar mes N]]</f>
        <v>38770.015935318588</v>
      </c>
      <c r="Q80" s="7">
        <f>IFERROR(VLOOKUP(Tabla145[[#This Row],[Llave]],[17]DELAY!$A:$D,4,FALSE),0)</f>
        <v>22000</v>
      </c>
      <c r="R80" s="9">
        <v>22000</v>
      </c>
      <c r="S80" s="5">
        <f t="shared" si="6"/>
        <v>22000</v>
      </c>
      <c r="T80" s="76">
        <v>0</v>
      </c>
      <c r="U80" s="5">
        <f>+Tabla145[[#This Row],[Atraso a facturar]]+Tabla145[[#This Row],[Ajuste atraso]]</f>
        <v>22000</v>
      </c>
      <c r="V80" s="3">
        <f>+Tabla145[[#This Row],[Total disponible]]-Tabla145[[#This Row],[Facturación atraso]]</f>
        <v>16770.015935318588</v>
      </c>
      <c r="W80" s="6">
        <f>IFERROR(IF(AND(V80&gt;R80,J80&gt;=R80),ROUNDDOWN((Tabla145[[#This Row],[Producción para venta nueva]])/R80,0)*R80,0),0)</f>
        <v>0</v>
      </c>
      <c r="X80" s="76">
        <v>0</v>
      </c>
      <c r="Y80" s="6">
        <f>IF(Tabla145[[#This Row],[Venta del mes]]&gt;0,Tabla145[[#This Row],[Venta del mes]]+Tabla145[[#This Row],[Ajuste venta nueva]],0)</f>
        <v>0</v>
      </c>
      <c r="Z80" s="6">
        <f>+Tabla145[[#This Row],[Producción para venta nueva]]-Tabla145[[#This Row],[Facturación Venta nueva]]</f>
        <v>16770.015935318588</v>
      </c>
      <c r="AA80" s="6">
        <f>IF(AND(A80=1,Tabla145[[#This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0" s="6">
        <v>0</v>
      </c>
      <c r="AC80" s="6">
        <f>IF(Tabla145[[#This Row],[Disponible stock sin venta]]&gt;0,Tabla145[[#This Row],[Disponible stock sin venta]]+Tabla145[[#This Row],[Ajuste stock sin venta]],0)</f>
        <v>0</v>
      </c>
      <c r="AD80" s="3">
        <f>IFERROR(VLOOKUP(Tabla145[[#This Row],[Llave]],'[16]TD Puerto'!$A:$D,4,FALSE),0)</f>
        <v>0</v>
      </c>
      <c r="AE80" s="3">
        <v>44000</v>
      </c>
      <c r="AF80" s="3">
        <f>+Tabla145[[#This Row],[Plan Irrestricto Inicial]]</f>
        <v>44000</v>
      </c>
      <c r="AG80" s="3">
        <f>+Tabla145[[#This Row],[En puerto a facturar]]</f>
        <v>0</v>
      </c>
      <c r="AH80" s="3">
        <f>+Tabla145[[#This Row],[Facturación atraso]]</f>
        <v>22000</v>
      </c>
      <c r="AI80" s="3">
        <f>+Tabla145[[#This Row],[Plan Irrestricto]]-Tabla145[[#This Row],[Puerto ]]-Tabla145[[#This Row],[Atraso]]</f>
        <v>22000</v>
      </c>
      <c r="AJ80" s="3">
        <f>IF(Tabla145[[#This Row],[Plan Irrestricto]]&gt;0,SUM(Tabla145[[#This Row],[Facturación atraso]],Tabla145[[#This Row],[Facturación Venta nueva]],Tabla145[[#This Row],[Facturación stock]],Tabla145[[#This Row],[En puerto a facturar]]),0)</f>
        <v>22000</v>
      </c>
      <c r="AK80" s="3">
        <f>+Tabla145[[#This Row],[Facturación atraso]]</f>
        <v>22000</v>
      </c>
      <c r="AL80" s="3">
        <f>+Tabla145[[#This Row],[Plan Ajustado]]-Tabla145[[#This Row],[ Atraso ajustado]]-Tabla145[[#This Row],[Puerto ]]</f>
        <v>0</v>
      </c>
      <c r="AM80" s="6">
        <f>IFERROR(VLOOKUP(Tabla145[[#This Row],[Llave]],[18]!Tabla14[#All],34,FALSE),0)</f>
        <v>0</v>
      </c>
      <c r="AN80" s="6">
        <f>IFERROR(VLOOKUP(Tabla145[[#This Row],[Llave]],[18]!Tabla14[#All],35,FALSE),0)</f>
        <v>0</v>
      </c>
      <c r="AO80" s="3" t="str">
        <f>IF(Tabla145[[#This Row],[Plan Ajustado]]&gt;Tabla145[[#This Row],[En puerto a facturar]],"Si","No")</f>
        <v>Si</v>
      </c>
      <c r="AP80" s="3">
        <f>IF(AND(Tabla145[[#This Row],[Plan Ajustado]]&gt;0,Tabla145[[#This Row],[Plan Ajustado]]&gt;Tabla145[[#This Row],[En puerto a facturar]]),(Tabla145[[#This Row],[Plan Ajustado]]-Tabla145[[#This Row],[En puerto a facturar]]),0)</f>
        <v>22000</v>
      </c>
      <c r="AQ80" s="3">
        <f>IF(Tabla145[[#This Row],[Necesidad]]&gt;=Tabla145[[#This Row],[Stock al día]],Tabla145[[#This Row],[Stock al día]],Tabla145[[#This Row],[Necesidad]])</f>
        <v>16832</v>
      </c>
      <c r="AR80" s="3">
        <f>+Tabla145[[#This Row],[Necesidad]]-Tabla145[[#This Row],[Stock Plan]]</f>
        <v>5168</v>
      </c>
      <c r="AS80" s="155">
        <f>IFERROR(VLOOKUP(Tabla145[[#This Row],[Oficina]],[19]Ponderación!$B$14:$E$21,4,FALSE),"")</f>
        <v>44786</v>
      </c>
      <c r="AT8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0.72</v>
      </c>
      <c r="AU80" s="83">
        <f>IFERROR(VLOOKUP(Tabla145[[#This Row],[Llave]],[17]DELAY!$H:$W,16,FALSE),0)</f>
        <v>0.77812499999999996</v>
      </c>
      <c r="AV8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0.77812499999999996</v>
      </c>
      <c r="AW80" s="5">
        <f>Tabla145[[#This Row],[Ajuste precio IC]]*Tabla145[[#This Row],[Plan Ajustado]]</f>
        <v>17118.75</v>
      </c>
      <c r="AX80" s="30">
        <f>IFERROR(VLOOKUP(Tabla145[[#This Row],[Llave]],'[13]Ultimos precios facturados'!$A:$G,7,FALSE),0)</f>
        <v>0.84587359159195552</v>
      </c>
      <c r="AY8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8.0093044948301315E-2</v>
      </c>
      <c r="AZ80" s="30">
        <f>IFERROR(VLOOKUP(Tabla145[[#This Row],[Llave]],Hoja2!B:K,10,FALSE),0)</f>
        <v>0.77812499999999996</v>
      </c>
      <c r="BA80" s="30">
        <f>IF(Tabla145[[#This Row],[Ajuste precio IC]]="",Tabla145[[#This Row],[Precio ponderado]],Tabla145[[#This Row],[Precio ponderado]])</f>
        <v>0.77812499999999996</v>
      </c>
      <c r="BB80" s="82"/>
      <c r="BC80" s="82" t="str">
        <f>IF(AND(Tabla145[[#This Row],[Atraso a facturar]]&gt;0,Tabla145[[#This Row],[Precio Atraso]]=0),"Revisar","OK")</f>
        <v>OK</v>
      </c>
      <c r="BD80" s="82" t="str">
        <f>IF(AND(Tabla145[[#This Row],[Venta del mes]]&gt;0,Tabla145[[#This Row],[Precio venta nueva]]=0),"Revisar","OK")</f>
        <v>OK</v>
      </c>
      <c r="BE80" s="20">
        <f>IFERROR(VLOOKUP(Tabla145[[#This Row],[Llave]],'[5]Consolidación planes'!$A:$M,9,FALSE),0)</f>
        <v>66000</v>
      </c>
      <c r="BF80" s="20">
        <f>IFERROR(VLOOKUP(Tabla145[[#This Row],[Llave]],'[5]Consolidación planes'!$A:$M,10,FALSE),0)</f>
        <v>44000</v>
      </c>
      <c r="BG80" s="20">
        <f>IFERROR(VLOOKUP(Tabla145[[#This Row],[Llave]],'[5]Consolidación planes'!$A:$M,11,FALSE),0)</f>
        <v>66000</v>
      </c>
      <c r="BH80" s="20">
        <f>IFERROR(VLOOKUP(Tabla145[[#This Row],[Llave]],'[5]Consolidación planes'!$A:$M,12,FALSE),0)</f>
        <v>44000</v>
      </c>
      <c r="BI80" s="20">
        <f>IFERROR(VLOOKUP(Tabla145[[#This Row],[Llave]],'[5]Consolidación planes'!$A:$M,13,FALSE),0)</f>
        <v>66000</v>
      </c>
      <c r="BJ80" s="20">
        <f>IFERROR(VLOOKUP(Tabla145[[#This Row],[Llave]],'[13]Base ultimos planes'!$A:$M,13,FALSE),0)</f>
        <v>110000</v>
      </c>
      <c r="BK80" s="80">
        <f>IFERROR(VLOOKUP(Tabla145[[#This Row],[Llave]],'[13]Base ultimos planes'!$O:$AA,8,FALSE),0)</f>
        <v>75240</v>
      </c>
      <c r="BL80" s="20">
        <f>IFERROR(VLOOKUP(Tabla145[[#This Row],[Llave]],'[13]Base ultimos planes'!$O:$AA,9,FALSE),0)</f>
        <v>72160</v>
      </c>
      <c r="BM80" s="20">
        <f>IFERROR(VLOOKUP(Tabla145[[#This Row],[Llave]],'[13]Base ultimos planes'!$O:$AA,10,FALSE),0)</f>
        <v>67980</v>
      </c>
      <c r="BN80" s="20">
        <f>IFERROR(VLOOKUP(Tabla145[[#This Row],[Llave]],'[13]Base ultimos planes'!$O:$AA,11,FALSE),0)</f>
        <v>46640</v>
      </c>
      <c r="BO80" s="20">
        <f>IFERROR(VLOOKUP(Tabla145[[#This Row],[Llave]],'[13]Base ultimos planes'!$O:$AA,12,FALSE),0)</f>
        <v>54659</v>
      </c>
      <c r="BP80" s="20">
        <f>IFERROR(VLOOKUP(Tabla145[[#This Row],[Llave]],'[13]Base ultimos planes'!$O:$AA,13,FALSE),0)</f>
        <v>81377</v>
      </c>
      <c r="BQ80" s="20"/>
      <c r="BR80" s="20">
        <f>Tabla145[[#This Row],[ RV Producción mes n+1]]*(1-Tabla145[[#This Row],[% Uti. producción]])</f>
        <v>26045.984064681415</v>
      </c>
      <c r="BS80" s="20">
        <f>+Tabla145[[#This Row],[Producción disponible mes n-1]]+Tabla145[[#This Row],[Saldo Volumen disponible]]</f>
        <v>42816</v>
      </c>
      <c r="BT80" s="7">
        <f>IFERROR(VLOOKUP(Tabla145[[#This Row],[Llave]],'[21]RV n+2 y n+3'!$B:$F,4,FALSE),0)</f>
        <v>62165.822</v>
      </c>
      <c r="BU80" s="7">
        <f>+Tabla145[[#This Row],[Asignación mes n+2]]*Tabla145[[#This Row],[% Uti. producción]]</f>
        <v>28421.865489917029</v>
      </c>
      <c r="BV80" s="7">
        <f>+Tabla145[[#This Row],[Ponderación mes n+2]]+Tabla145[[#This Row],[Saldo mes n-1]]</f>
        <v>71237.865489917021</v>
      </c>
      <c r="BW80" s="7">
        <f>+Tabla145[[#This Row],[Asignación mes n+2]]-Tabla145[[#This Row],[Ponderación mes n+2]]</f>
        <v>33743.956510082971</v>
      </c>
      <c r="BX80" s="7">
        <f>IFERROR(VLOOKUP(Tabla145[[#This Row],[Llave]],'[21]RV n+2 y n+3'!$B:$F,5,FALSE),0)</f>
        <v>20557.614000000001</v>
      </c>
      <c r="BY80" s="7">
        <f>+Tabla145[[#This Row],[Asignación mes n+3]]*Tabla145[[#This Row],[% Uti. producción]]</f>
        <v>9398.8259320633642</v>
      </c>
      <c r="BZ80" s="3">
        <f>+Tabla145[[#This Row],[Ponderación mes n+3]]+Tabla145[[#This Row],[Saldo mes n+2]]</f>
        <v>43142.782442146337</v>
      </c>
      <c r="CA80" s="3">
        <f>+Tabla145[[#This Row],[Asignación mes n+3]]-Tabla145[[#This Row],[Ponderación mes n+3]]</f>
        <v>11158.788067936637</v>
      </c>
      <c r="CB80" s="3">
        <f>+Tabla145[[#This Row],[Producción disponible mes n-1]]+Tabla145[[#This Row],[Producción disponible]]</f>
        <v>47984</v>
      </c>
      <c r="CC80" s="3">
        <f>+Tabla145[[#This Row],[Saldo mes n+4]]-Tabla145[[#This Row],[ RV Producción mes n+1]]</f>
        <v>0</v>
      </c>
    </row>
    <row r="81" spans="1:81" ht="16" x14ac:dyDescent="0.2">
      <c r="A81">
        <v>1</v>
      </c>
      <c r="B81" t="str">
        <f>Tabla145[[#This Row],[Oficina]]&amp;Tabla145[[#This Row],[Material]]</f>
        <v>Agrosuper Asia1021150</v>
      </c>
      <c r="C81" t="s">
        <v>6</v>
      </c>
      <c r="D81" t="s">
        <v>173</v>
      </c>
      <c r="E81">
        <v>1021150</v>
      </c>
      <c r="F81" t="s">
        <v>178</v>
      </c>
      <c r="G81" t="s">
        <v>92</v>
      </c>
      <c r="H81" t="s">
        <v>93</v>
      </c>
      <c r="I81" s="7">
        <f>IFERROR(VLOOKUP(Tabla145[[#This Row],[Llave]],'[7]RV Producción'!$C:$G,5,FALSE),0)</f>
        <v>45056</v>
      </c>
      <c r="J81" s="3">
        <f>IFERROR(IF(Tabla145[[#This Row],[Oficina]]=$I$7,VLOOKUP(Tabla145[[#This Row],[Llave]],'[7]Shangai (Tomas)'!$A:$F,6,FALSE),VLOOKUP(Tabla145[[#This Row],[Llave]],'[7]RV plan de ventas'!$A:$E,5,FALSE)),0)</f>
        <v>22000</v>
      </c>
      <c r="K81" s="8">
        <f>IFERROR(VLOOKUP(Tabla145[[#This Row],[Oficina]],[15]Ponderación!$B$2:$E$9,4,FALSE),0)</f>
        <v>0.45719439678473212</v>
      </c>
      <c r="L81" s="7">
        <f>+Tabla145[[#This Row],[ RV Producción mes n+1]]*Tabla145[[#This Row],[% Uti. producción]]</f>
        <v>20599.35074153289</v>
      </c>
      <c r="M81" s="7">
        <f>IFERROR(VLOOKUP(Tabla145[[#This Row],[Material]],[16]Stock!$G:$K,5,FALSE),0)</f>
        <v>20912</v>
      </c>
      <c r="N81" s="7">
        <f>IFERROR(VLOOKUP(Tabla145[[#This Row],[Material]],[16]Produccion!$M:$N,2,FALSE),0)</f>
        <v>0</v>
      </c>
      <c r="O81" s="7">
        <f>IFERROR(VLOOKUP(Tabla145[[#This Row],[Llave]],'[16]TD Conf-AP'!$I:$M,4,FALSE),0)</f>
        <v>0</v>
      </c>
      <c r="P81" s="14">
        <f>SUM(Tabla145[[#This Row],[Producción disponible]],Tabla145[[#This Row],[Stock al día]],(Tabla145[[#This Row],[Por producir mes N]]*0.9))-Tabla145[[#This Row],[Producción por despachar mes N]]</f>
        <v>41511.350741532893</v>
      </c>
      <c r="Q81" s="7">
        <f>IFERROR(VLOOKUP(Tabla145[[#This Row],[Llave]],[17]DELAY!$A:$D,4,FALSE),0)</f>
        <v>66000</v>
      </c>
      <c r="R81" s="9">
        <v>22000</v>
      </c>
      <c r="S81" s="5">
        <f t="shared" si="6"/>
        <v>22000</v>
      </c>
      <c r="T81" s="76">
        <v>0</v>
      </c>
      <c r="U81" s="5">
        <f>+Tabla145[[#This Row],[Atraso a facturar]]+Tabla145[[#This Row],[Ajuste atraso]]</f>
        <v>22000</v>
      </c>
      <c r="V81" s="3">
        <f>+Tabla145[[#This Row],[Total disponible]]-Tabla145[[#This Row],[Facturación atraso]]</f>
        <v>19511.350741532893</v>
      </c>
      <c r="W81" s="6">
        <f>IFERROR(IF(AND(V81&gt;R81,J81&gt;=R81),ROUNDDOWN((Tabla145[[#This Row],[Producción para venta nueva]])/R81,0)*R81,0),0)</f>
        <v>0</v>
      </c>
      <c r="X81" s="76">
        <v>0</v>
      </c>
      <c r="Y81" s="6">
        <f>IF(Tabla145[[#This Row],[Venta del mes]]&gt;0,Tabla145[[#This Row],[Venta del mes]]+Tabla145[[#This Row],[Ajuste venta nueva]],0)</f>
        <v>0</v>
      </c>
      <c r="Z81" s="6">
        <f>+Tabla145[[#This Row],[Producción para venta nueva]]-Tabla145[[#This Row],[Facturación Venta nueva]]</f>
        <v>19511.350741532893</v>
      </c>
      <c r="AA81" s="6">
        <f>IF(AND(A81=1,Tabla145[[#This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1" s="6">
        <v>0</v>
      </c>
      <c r="AC81" s="6">
        <f>IF(Tabla145[[#This Row],[Disponible stock sin venta]]&gt;0,Tabla145[[#This Row],[Disponible stock sin venta]]+Tabla145[[#This Row],[Ajuste stock sin venta]],0)</f>
        <v>0</v>
      </c>
      <c r="AD81" s="3">
        <f>IFERROR(VLOOKUP(Tabla145[[#This Row],[Llave]],'[16]TD Puerto'!$A:$D,4,FALSE),0)</f>
        <v>0</v>
      </c>
      <c r="AE81" s="3">
        <v>22000</v>
      </c>
      <c r="AF81" s="3">
        <f>+Tabla145[[#This Row],[Plan Irrestricto Inicial]]</f>
        <v>22000</v>
      </c>
      <c r="AG81" s="3">
        <f>+Tabla145[[#This Row],[En puerto a facturar]]</f>
        <v>0</v>
      </c>
      <c r="AH81" s="3">
        <f>+Tabla145[[#This Row],[Facturación atraso]]</f>
        <v>22000</v>
      </c>
      <c r="AI81" s="3">
        <f>+Tabla145[[#This Row],[Plan Irrestricto]]-Tabla145[[#This Row],[Puerto ]]-Tabla145[[#This Row],[Atraso]]</f>
        <v>0</v>
      </c>
      <c r="AJ81" s="3">
        <f>IF(Tabla145[[#This Row],[Plan Irrestricto]]&gt;0,SUM(Tabla145[[#This Row],[Facturación atraso]],Tabla145[[#This Row],[Facturación Venta nueva]],Tabla145[[#This Row],[Facturación stock]],Tabla145[[#This Row],[En puerto a facturar]]),0)</f>
        <v>22000</v>
      </c>
      <c r="AK81" s="3">
        <f>+Tabla145[[#This Row],[Facturación atraso]]</f>
        <v>22000</v>
      </c>
      <c r="AL81" s="3">
        <f>+Tabla145[[#This Row],[Plan Ajustado]]-Tabla145[[#This Row],[ Atraso ajustado]]-Tabla145[[#This Row],[Puerto ]]</f>
        <v>0</v>
      </c>
      <c r="AM81" s="6">
        <f>IFERROR(VLOOKUP(Tabla145[[#This Row],[Llave]],[18]!Tabla14[#All],34,FALSE),0)</f>
        <v>0</v>
      </c>
      <c r="AN81" s="6">
        <f>IFERROR(VLOOKUP(Tabla145[[#This Row],[Llave]],[18]!Tabla14[#All],35,FALSE),0)</f>
        <v>0</v>
      </c>
      <c r="AO81" s="3" t="str">
        <f>IF(Tabla145[[#This Row],[Plan Ajustado]]&gt;Tabla145[[#This Row],[En puerto a facturar]],"Si","No")</f>
        <v>Si</v>
      </c>
      <c r="AP81" s="3">
        <f>IF(AND(Tabla145[[#This Row],[Plan Ajustado]]&gt;0,Tabla145[[#This Row],[Plan Ajustado]]&gt;Tabla145[[#This Row],[En puerto a facturar]]),(Tabla145[[#This Row],[Plan Ajustado]]-Tabla145[[#This Row],[En puerto a facturar]]),0)</f>
        <v>22000</v>
      </c>
      <c r="AQ81" s="3">
        <f>IF(Tabla145[[#This Row],[Necesidad]]&gt;=Tabla145[[#This Row],[Stock al día]],Tabla145[[#This Row],[Stock al día]],Tabla145[[#This Row],[Necesidad]])</f>
        <v>20912</v>
      </c>
      <c r="AR81" s="3">
        <f>+Tabla145[[#This Row],[Necesidad]]-Tabla145[[#This Row],[Stock Plan]]</f>
        <v>1088</v>
      </c>
      <c r="AS81" s="155">
        <f>IFERROR(VLOOKUP(Tabla145[[#This Row],[Oficina]],[19]Ponderación!$B$14:$E$21,4,FALSE),"")</f>
        <v>44786</v>
      </c>
      <c r="AT8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0.72</v>
      </c>
      <c r="AU81" s="83">
        <f>IFERROR(VLOOKUP(Tabla145[[#This Row],[Llave]],[17]DELAY!$H:$W,16,FALSE),0)</f>
        <v>0.85019696969696967</v>
      </c>
      <c r="AV8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0.85019696969696967</v>
      </c>
      <c r="AW81" s="5">
        <f>Tabla145[[#This Row],[Ajuste precio IC]]*Tabla145[[#This Row],[Plan Ajustado]]</f>
        <v>18704.333333333332</v>
      </c>
      <c r="AX81" s="30">
        <f>IFERROR(VLOOKUP(Tabla145[[#This Row],[Llave]],'[13]Ultimos precios facturados'!$A:$G,7,FALSE),0)</f>
        <v>0.92425965578539115</v>
      </c>
      <c r="AY8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8.0131904086505418E-2</v>
      </c>
      <c r="AZ81" s="30">
        <f>IFERROR(VLOOKUP(Tabla145[[#This Row],[Llave]],Hoja2!B:K,10,FALSE),0)</f>
        <v>0.85019696969696967</v>
      </c>
      <c r="BA81" s="30">
        <f>IF(Tabla145[[#This Row],[Ajuste precio IC]]="",Tabla145[[#This Row],[Precio ponderado]],Tabla145[[#This Row],[Precio ponderado]])</f>
        <v>0.85019696969696967</v>
      </c>
      <c r="BB81" s="82"/>
      <c r="BC81" s="82" t="str">
        <f>IF(AND(Tabla145[[#This Row],[Atraso a facturar]]&gt;0,Tabla145[[#This Row],[Precio Atraso]]=0),"Revisar","OK")</f>
        <v>OK</v>
      </c>
      <c r="BD81" s="82" t="str">
        <f>IF(AND(Tabla145[[#This Row],[Venta del mes]]&gt;0,Tabla145[[#This Row],[Precio venta nueva]]=0),"Revisar","OK")</f>
        <v>OK</v>
      </c>
      <c r="BE81" s="20">
        <f>IFERROR(VLOOKUP(Tabla145[[#This Row],[Llave]],'[5]Consolidación planes'!$A:$M,9,FALSE),0)</f>
        <v>44000</v>
      </c>
      <c r="BF81" s="20">
        <f>IFERROR(VLOOKUP(Tabla145[[#This Row],[Llave]],'[5]Consolidación planes'!$A:$M,10,FALSE),0)</f>
        <v>66000</v>
      </c>
      <c r="BG81" s="20">
        <f>IFERROR(VLOOKUP(Tabla145[[#This Row],[Llave]],'[5]Consolidación planes'!$A:$M,11,FALSE),0)</f>
        <v>22000</v>
      </c>
      <c r="BH81" s="20">
        <f>IFERROR(VLOOKUP(Tabla145[[#This Row],[Llave]],'[5]Consolidación planes'!$A:$M,12,FALSE),0)</f>
        <v>44000</v>
      </c>
      <c r="BI81" s="20">
        <f>IFERROR(VLOOKUP(Tabla145[[#This Row],[Llave]],'[5]Consolidación planes'!$A:$M,13,FALSE),0)</f>
        <v>22000</v>
      </c>
      <c r="BJ81" s="20">
        <f>IFERROR(VLOOKUP(Tabla145[[#This Row],[Llave]],'[13]Base ultimos planes'!$A:$M,13,FALSE),0)</f>
        <v>88000</v>
      </c>
      <c r="BK81" s="80">
        <f>IFERROR(VLOOKUP(Tabla145[[#This Row],[Llave]],'[13]Base ultimos planes'!$O:$AA,8,FALSE),0)</f>
        <v>49824.5</v>
      </c>
      <c r="BL81" s="20">
        <f>IFERROR(VLOOKUP(Tabla145[[#This Row],[Llave]],'[13]Base ultimos planes'!$O:$AA,9,FALSE),0)</f>
        <v>108240</v>
      </c>
      <c r="BM81" s="20">
        <f>IFERROR(VLOOKUP(Tabla145[[#This Row],[Llave]],'[13]Base ultimos planes'!$O:$AA,10,FALSE),0)</f>
        <v>23100</v>
      </c>
      <c r="BN81" s="20">
        <f>IFERROR(VLOOKUP(Tabla145[[#This Row],[Llave]],'[13]Base ultimos planes'!$O:$AA,11,FALSE),0)</f>
        <v>49060</v>
      </c>
      <c r="BO81" s="20">
        <f>IFERROR(VLOOKUP(Tabla145[[#This Row],[Llave]],'[13]Base ultimos planes'!$O:$AA,12,FALSE),0)</f>
        <v>23341</v>
      </c>
      <c r="BP81" s="20">
        <f>IFERROR(VLOOKUP(Tabla145[[#This Row],[Llave]],'[13]Base ultimos planes'!$O:$AA,13,FALSE),0)</f>
        <v>65304</v>
      </c>
      <c r="BQ81" s="20"/>
      <c r="BR81" s="20">
        <f>Tabla145[[#This Row],[ RV Producción mes n+1]]*(1-Tabla145[[#This Row],[% Uti. producción]])</f>
        <v>24456.649258467114</v>
      </c>
      <c r="BS81" s="20">
        <f>+Tabla145[[#This Row],[Producción disponible mes n-1]]+Tabla145[[#This Row],[Saldo Volumen disponible]]</f>
        <v>43968.000000000007</v>
      </c>
      <c r="BT81" s="7">
        <f>IFERROR(VLOOKUP(Tabla145[[#This Row],[Llave]],'[21]RV n+2 y n+3'!$B:$F,4,FALSE),0)</f>
        <v>0</v>
      </c>
      <c r="BU81" s="7">
        <f>+Tabla145[[#This Row],[Asignación mes n+2]]*Tabla145[[#This Row],[% Uti. producción]]</f>
        <v>0</v>
      </c>
      <c r="BV81" s="7">
        <f>+Tabla145[[#This Row],[Ponderación mes n+2]]+Tabla145[[#This Row],[Saldo mes n-1]]</f>
        <v>43968.000000000007</v>
      </c>
      <c r="BW81" s="7">
        <f>+Tabla145[[#This Row],[Asignación mes n+2]]-Tabla145[[#This Row],[Ponderación mes n+2]]</f>
        <v>0</v>
      </c>
      <c r="BX81" s="7">
        <f>IFERROR(VLOOKUP(Tabla145[[#This Row],[Llave]],'[21]RV n+2 y n+3'!$B:$F,5,FALSE),0)</f>
        <v>0</v>
      </c>
      <c r="BY81" s="7">
        <f>+Tabla145[[#This Row],[Asignación mes n+3]]*Tabla145[[#This Row],[% Uti. producción]]</f>
        <v>0</v>
      </c>
      <c r="BZ81" s="3">
        <f>+Tabla145[[#This Row],[Ponderación mes n+3]]+Tabla145[[#This Row],[Saldo mes n+2]]</f>
        <v>0</v>
      </c>
      <c r="CA81" s="3">
        <f>+Tabla145[[#This Row],[Asignación mes n+3]]-Tabla145[[#This Row],[Ponderación mes n+3]]</f>
        <v>0</v>
      </c>
      <c r="CB81" s="3">
        <f>+Tabla145[[#This Row],[Producción disponible mes n-1]]+Tabla145[[#This Row],[Producción disponible]]</f>
        <v>45056</v>
      </c>
      <c r="CC81" s="3">
        <f>+Tabla145[[#This Row],[Saldo mes n+4]]-Tabla145[[#This Row],[ RV Producción mes n+1]]</f>
        <v>0</v>
      </c>
    </row>
    <row r="82" spans="1:81" ht="16" x14ac:dyDescent="0.2">
      <c r="A82">
        <v>1</v>
      </c>
      <c r="B82" t="str">
        <f>Tabla145[[#This Row],[Oficina]]&amp;Tabla145[[#This Row],[Material]]</f>
        <v>Agrosuper Asia1021151</v>
      </c>
      <c r="C82" t="s">
        <v>6</v>
      </c>
      <c r="D82" t="s">
        <v>173</v>
      </c>
      <c r="E82">
        <v>1021151</v>
      </c>
      <c r="F82" t="s">
        <v>180</v>
      </c>
      <c r="G82" t="s">
        <v>92</v>
      </c>
      <c r="H82" t="s">
        <v>153</v>
      </c>
      <c r="I82" s="7">
        <f>IFERROR(VLOOKUP(Tabla145[[#This Row],[Llave]],'[7]RV Producción'!$C:$G,5,FALSE),0)</f>
        <v>70886</v>
      </c>
      <c r="J82" s="3">
        <f>IFERROR(IF(Tabla145[[#This Row],[Oficina]]=$I$7,VLOOKUP(Tabla145[[#This Row],[Llave]],'[7]Shangai (Tomas)'!$A:$F,6,FALSE),VLOOKUP(Tabla145[[#This Row],[Llave]],'[7]RV plan de ventas'!$A:$E,5,FALSE)),0)</f>
        <v>44000</v>
      </c>
      <c r="K82" s="8">
        <f>IFERROR(VLOOKUP(Tabla145[[#This Row],[Oficina]],[15]Ponderación!$B$2:$E$9,4,FALSE),0)</f>
        <v>0.45719439678473212</v>
      </c>
      <c r="L82" s="7">
        <f>+Tabla145[[#This Row],[ RV Producción mes n+1]]*Tabla145[[#This Row],[% Uti. producción]]</f>
        <v>32408.68201048252</v>
      </c>
      <c r="M82" s="7">
        <f>IFERROR(VLOOKUP(Tabla145[[#This Row],[Material]],[16]Stock!$G:$K,5,FALSE),0)</f>
        <v>2800</v>
      </c>
      <c r="N82" s="7">
        <f>IFERROR(VLOOKUP(Tabla145[[#This Row],[Material]],[16]Produccion!$M:$N,2,FALSE),0)</f>
        <v>0</v>
      </c>
      <c r="O82" s="7">
        <f>IFERROR(VLOOKUP(Tabla145[[#This Row],[Llave]],'[16]TD Conf-AP'!$I:$M,4,FALSE),0)</f>
        <v>0</v>
      </c>
      <c r="P82" s="14">
        <f>SUM(Tabla145[[#This Row],[Producción disponible]],Tabla145[[#This Row],[Stock al día]],(Tabla145[[#This Row],[Por producir mes N]]*0.9))-Tabla145[[#This Row],[Producción por despachar mes N]]</f>
        <v>35208.682010482516</v>
      </c>
      <c r="Q82" s="7">
        <f>IFERROR(VLOOKUP(Tabla145[[#This Row],[Llave]],[17]DELAY!$A:$D,4,FALSE),0)</f>
        <v>44000</v>
      </c>
      <c r="R82" s="9">
        <v>22000</v>
      </c>
      <c r="S82" s="5">
        <f t="shared" si="6"/>
        <v>22000</v>
      </c>
      <c r="T82" s="76">
        <v>0</v>
      </c>
      <c r="U82" s="5">
        <f>+Tabla145[[#This Row],[Atraso a facturar]]+Tabla145[[#This Row],[Ajuste atraso]]</f>
        <v>22000</v>
      </c>
      <c r="V82" s="3">
        <f>+Tabla145[[#This Row],[Total disponible]]-Tabla145[[#This Row],[Facturación atraso]]</f>
        <v>13208.682010482516</v>
      </c>
      <c r="W82" s="6">
        <f>IFERROR(IF(AND(V82&gt;R82,J82&gt;=R82),ROUNDDOWN((Tabla145[[#This Row],[Producción para venta nueva]])/R82,0)*R82,0),0)</f>
        <v>0</v>
      </c>
      <c r="X82" s="76">
        <v>0</v>
      </c>
      <c r="Y82" s="6">
        <f>IF(Tabla145[[#This Row],[Venta del mes]]&gt;0,Tabla145[[#This Row],[Venta del mes]]+Tabla145[[#This Row],[Ajuste venta nueva]],0)</f>
        <v>0</v>
      </c>
      <c r="Z82" s="6">
        <f>+Tabla145[[#This Row],[Producción para venta nueva]]-Tabla145[[#This Row],[Facturación Venta nueva]]</f>
        <v>13208.682010482516</v>
      </c>
      <c r="AA82" s="6">
        <f>IF(AND(A82=1,Tabla145[[#This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2" s="6">
        <v>0</v>
      </c>
      <c r="AC82" s="6">
        <f>IF(Tabla145[[#This Row],[Disponible stock sin venta]]&gt;0,Tabla145[[#This Row],[Disponible stock sin venta]]+Tabla145[[#This Row],[Ajuste stock sin venta]],0)</f>
        <v>0</v>
      </c>
      <c r="AD82" s="3">
        <f>IFERROR(VLOOKUP(Tabla145[[#This Row],[Llave]],'[16]TD Puerto'!$A:$D,4,FALSE),0)</f>
        <v>0</v>
      </c>
      <c r="AE82" s="3">
        <v>44000</v>
      </c>
      <c r="AF82" s="3">
        <f>+Tabla145[[#This Row],[Plan Irrestricto Inicial]]</f>
        <v>44000</v>
      </c>
      <c r="AG82" s="3">
        <f>+Tabla145[[#This Row],[En puerto a facturar]]</f>
        <v>0</v>
      </c>
      <c r="AH82" s="3">
        <f>+Tabla145[[#This Row],[Facturación atraso]]</f>
        <v>22000</v>
      </c>
      <c r="AI82" s="3">
        <f>+Tabla145[[#This Row],[Plan Irrestricto]]-Tabla145[[#This Row],[Puerto ]]-Tabla145[[#This Row],[Atraso]]</f>
        <v>22000</v>
      </c>
      <c r="AJ82" s="3">
        <f>IF(Tabla145[[#This Row],[Plan Irrestricto]]&gt;0,SUM(Tabla145[[#This Row],[Facturación atraso]],Tabla145[[#This Row],[Facturación Venta nueva]],Tabla145[[#This Row],[Facturación stock]],Tabla145[[#This Row],[En puerto a facturar]]),0)</f>
        <v>22000</v>
      </c>
      <c r="AK82" s="3">
        <f>+Tabla145[[#This Row],[Facturación atraso]]</f>
        <v>22000</v>
      </c>
      <c r="AL82" s="3">
        <f>+Tabla145[[#This Row],[Plan Ajustado]]-Tabla145[[#This Row],[ Atraso ajustado]]-Tabla145[[#This Row],[Puerto ]]</f>
        <v>0</v>
      </c>
      <c r="AM82" s="6">
        <f>IFERROR(VLOOKUP(Tabla145[[#This Row],[Llave]],[18]!Tabla14[#All],34,FALSE),0)</f>
        <v>0</v>
      </c>
      <c r="AN82" s="6">
        <f>IFERROR(VLOOKUP(Tabla145[[#This Row],[Llave]],[18]!Tabla14[#All],35,FALSE),0)</f>
        <v>0</v>
      </c>
      <c r="AO82" s="3" t="str">
        <f>IF(Tabla145[[#This Row],[Plan Ajustado]]&gt;Tabla145[[#This Row],[En puerto a facturar]],"Si","No")</f>
        <v>Si</v>
      </c>
      <c r="AP82" s="3">
        <f>IF(AND(Tabla145[[#This Row],[Plan Ajustado]]&gt;0,Tabla145[[#This Row],[Plan Ajustado]]&gt;Tabla145[[#This Row],[En puerto a facturar]]),(Tabla145[[#This Row],[Plan Ajustado]]-Tabla145[[#This Row],[En puerto a facturar]]),0)</f>
        <v>22000</v>
      </c>
      <c r="AQ82" s="3">
        <f>IF(Tabla145[[#This Row],[Necesidad]]&gt;=Tabla145[[#This Row],[Stock al día]],Tabla145[[#This Row],[Stock al día]],Tabla145[[#This Row],[Necesidad]])</f>
        <v>2800</v>
      </c>
      <c r="AR82" s="3">
        <f>+Tabla145[[#This Row],[Necesidad]]-Tabla145[[#This Row],[Stock Plan]]</f>
        <v>19200</v>
      </c>
      <c r="AS82" s="155">
        <f>IFERROR(VLOOKUP(Tabla145[[#This Row],[Oficina]],[19]Ponderación!$B$14:$E$21,4,FALSE),"")</f>
        <v>44786</v>
      </c>
      <c r="AT8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1.1200000000000001</v>
      </c>
      <c r="AU82" s="83">
        <f>IFERROR(VLOOKUP(Tabla145[[#This Row],[Llave]],[17]DELAY!$H:$W,16,FALSE),0)</f>
        <v>1.3</v>
      </c>
      <c r="AV8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1.3</v>
      </c>
      <c r="AW82" s="5">
        <f>Tabla145[[#This Row],[Ajuste precio IC]]*Tabla145[[#This Row],[Plan Ajustado]]</f>
        <v>28600</v>
      </c>
      <c r="AX82" s="30">
        <f>IFERROR(VLOOKUP(Tabla145[[#This Row],[Llave]],'[13]Ultimos precios facturados'!$A:$G,7,FALSE),0)</f>
        <v>1.4685055358008727</v>
      </c>
      <c r="AY8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0.1147462721064756</v>
      </c>
      <c r="AZ82" s="30">
        <f>IFERROR(VLOOKUP(Tabla145[[#This Row],[Llave]],Hoja2!B:K,10,FALSE),0)</f>
        <v>1.3</v>
      </c>
      <c r="BA82" s="30">
        <f>IF(Tabla145[[#This Row],[Ajuste precio IC]]="",Tabla145[[#This Row],[Precio ponderado]],Tabla145[[#This Row],[Precio ponderado]])</f>
        <v>1.3</v>
      </c>
      <c r="BB82" s="82"/>
      <c r="BC82" s="82" t="str">
        <f>IF(AND(Tabla145[[#This Row],[Atraso a facturar]]&gt;0,Tabla145[[#This Row],[Precio Atraso]]=0),"Revisar","OK")</f>
        <v>OK</v>
      </c>
      <c r="BD82" s="82" t="str">
        <f>IF(AND(Tabla145[[#This Row],[Venta del mes]]&gt;0,Tabla145[[#This Row],[Precio venta nueva]]=0),"Revisar","OK")</f>
        <v>OK</v>
      </c>
      <c r="BE82" s="20">
        <f>IFERROR(VLOOKUP(Tabla145[[#This Row],[Llave]],'[5]Consolidación planes'!$A:$M,9,FALSE),0)</f>
        <v>44000</v>
      </c>
      <c r="BF82" s="20">
        <f>IFERROR(VLOOKUP(Tabla145[[#This Row],[Llave]],'[5]Consolidación planes'!$A:$M,10,FALSE),0)</f>
        <v>22000</v>
      </c>
      <c r="BG82" s="20">
        <f>IFERROR(VLOOKUP(Tabla145[[#This Row],[Llave]],'[5]Consolidación planes'!$A:$M,11,FALSE),0)</f>
        <v>22000</v>
      </c>
      <c r="BH82" s="20">
        <f>IFERROR(VLOOKUP(Tabla145[[#This Row],[Llave]],'[5]Consolidación planes'!$A:$M,12,FALSE),0)</f>
        <v>44000</v>
      </c>
      <c r="BI82" s="20">
        <f>IFERROR(VLOOKUP(Tabla145[[#This Row],[Llave]],'[5]Consolidación planes'!$A:$M,13,FALSE),0)</f>
        <v>44000</v>
      </c>
      <c r="BJ82" s="20">
        <f>IFERROR(VLOOKUP(Tabla145[[#This Row],[Llave]],'[13]Base ultimos planes'!$A:$M,13,FALSE),0)</f>
        <v>22000</v>
      </c>
      <c r="BK82" s="80">
        <f>IFERROR(VLOOKUP(Tabla145[[#This Row],[Llave]],'[13]Base ultimos planes'!$O:$AA,8,FALSE),0)</f>
        <v>73726.666700000002</v>
      </c>
      <c r="BL82" s="20">
        <f>IFERROR(VLOOKUP(Tabla145[[#This Row],[Llave]],'[13]Base ultimos planes'!$O:$AA,9,FALSE),0)</f>
        <v>35200</v>
      </c>
      <c r="BM82" s="20">
        <f>IFERROR(VLOOKUP(Tabla145[[#This Row],[Llave]],'[13]Base ultimos planes'!$O:$AA,10,FALSE),0)</f>
        <v>34100</v>
      </c>
      <c r="BN82" s="20">
        <f>IFERROR(VLOOKUP(Tabla145[[#This Row],[Llave]],'[13]Base ultimos planes'!$O:$AA,11,FALSE),0)</f>
        <v>71771</v>
      </c>
      <c r="BO82" s="20">
        <f>IFERROR(VLOOKUP(Tabla145[[#This Row],[Llave]],'[13]Base ultimos planes'!$O:$AA,12,FALSE),0)</f>
        <v>70197</v>
      </c>
      <c r="BP82" s="20">
        <f>IFERROR(VLOOKUP(Tabla145[[#This Row],[Llave]],'[13]Base ultimos planes'!$O:$AA,13,FALSE),0)</f>
        <v>24490</v>
      </c>
      <c r="BQ82" s="20"/>
      <c r="BR82" s="20">
        <f>Tabla145[[#This Row],[ RV Producción mes n+1]]*(1-Tabla145[[#This Row],[% Uti. producción]])</f>
        <v>38477.317989517484</v>
      </c>
      <c r="BS82" s="20">
        <f>+Tabla145[[#This Row],[Producción disponible mes n-1]]+Tabla145[[#This Row],[Saldo Volumen disponible]]</f>
        <v>51686</v>
      </c>
      <c r="BT82" s="7">
        <f>IFERROR(VLOOKUP(Tabla145[[#This Row],[Llave]],'[21]RV n+2 y n+3'!$B:$F,4,FALSE),0)</f>
        <v>0</v>
      </c>
      <c r="BU82" s="7">
        <f>+Tabla145[[#This Row],[Asignación mes n+2]]*Tabla145[[#This Row],[% Uti. producción]]</f>
        <v>0</v>
      </c>
      <c r="BV82" s="7">
        <f>+Tabla145[[#This Row],[Ponderación mes n+2]]+Tabla145[[#This Row],[Saldo mes n-1]]</f>
        <v>51686</v>
      </c>
      <c r="BW82" s="7">
        <f>+Tabla145[[#This Row],[Asignación mes n+2]]-Tabla145[[#This Row],[Ponderación mes n+2]]</f>
        <v>0</v>
      </c>
      <c r="BX82" s="7">
        <f>IFERROR(VLOOKUP(Tabla145[[#This Row],[Llave]],'[21]RV n+2 y n+3'!$B:$F,5,FALSE),0)</f>
        <v>0</v>
      </c>
      <c r="BY82" s="7">
        <f>+Tabla145[[#This Row],[Asignación mes n+3]]*Tabla145[[#This Row],[% Uti. producción]]</f>
        <v>0</v>
      </c>
      <c r="BZ82" s="3">
        <f>+Tabla145[[#This Row],[Ponderación mes n+3]]+Tabla145[[#This Row],[Saldo mes n+2]]</f>
        <v>0</v>
      </c>
      <c r="CA82" s="3">
        <f>+Tabla145[[#This Row],[Asignación mes n+3]]-Tabla145[[#This Row],[Ponderación mes n+3]]</f>
        <v>0</v>
      </c>
      <c r="CB82" s="3">
        <f>+Tabla145[[#This Row],[Producción disponible mes n-1]]+Tabla145[[#This Row],[Producción disponible]]</f>
        <v>70886</v>
      </c>
      <c r="CC82" s="3">
        <f>+Tabla145[[#This Row],[Saldo mes n+4]]-Tabla145[[#This Row],[ RV Producción mes n+1]]</f>
        <v>0</v>
      </c>
    </row>
    <row r="83" spans="1:81" ht="16" x14ac:dyDescent="0.2">
      <c r="A83">
        <v>1</v>
      </c>
      <c r="B83" t="str">
        <f>Tabla145[[#This Row],[Oficina]]&amp;Tabla145[[#This Row],[Material]]</f>
        <v>Agrosuper Asia1021152</v>
      </c>
      <c r="C83" t="s">
        <v>6</v>
      </c>
      <c r="D83" t="s">
        <v>173</v>
      </c>
      <c r="E83">
        <v>1021152</v>
      </c>
      <c r="F83" t="s">
        <v>181</v>
      </c>
      <c r="G83" t="s">
        <v>92</v>
      </c>
      <c r="H83" t="s">
        <v>153</v>
      </c>
      <c r="I83" s="7">
        <f>IFERROR(VLOOKUP(Tabla145[[#This Row],[Llave]],'[7]RV Producción'!$C:$G,5,FALSE),0)</f>
        <v>22560</v>
      </c>
      <c r="J83" s="3">
        <f>IFERROR(IF(Tabla145[[#This Row],[Oficina]]=$I$7,VLOOKUP(Tabla145[[#This Row],[Llave]],'[7]Shangai (Tomas)'!$A:$F,6,FALSE),VLOOKUP(Tabla145[[#This Row],[Llave]],'[7]RV plan de ventas'!$A:$E,5,FALSE)),0)</f>
        <v>22000</v>
      </c>
      <c r="K83" s="8">
        <f>IFERROR(VLOOKUP(Tabla145[[#This Row],[Oficina]],[15]Ponderación!$B$2:$E$9,4,FALSE),0)</f>
        <v>0.45719439678473212</v>
      </c>
      <c r="L83" s="7">
        <f>+Tabla145[[#This Row],[ RV Producción mes n+1]]*Tabla145[[#This Row],[% Uti. producción]]</f>
        <v>10314.305591463557</v>
      </c>
      <c r="M83" s="7">
        <f>IFERROR(VLOOKUP(Tabla145[[#This Row],[Material]],[16]Stock!$G:$K,5,FALSE),0)</f>
        <v>21376</v>
      </c>
      <c r="N83" s="7">
        <f>IFERROR(VLOOKUP(Tabla145[[#This Row],[Material]],[16]Produccion!$M:$N,2,FALSE),0)</f>
        <v>0</v>
      </c>
      <c r="O83" s="7">
        <f>IFERROR(VLOOKUP(Tabla145[[#This Row],[Llave]],'[16]TD Conf-AP'!$I:$M,4,FALSE),0)</f>
        <v>0</v>
      </c>
      <c r="P83" s="14">
        <f>SUM(Tabla145[[#This Row],[Producción disponible]],Tabla145[[#This Row],[Stock al día]],(Tabla145[[#This Row],[Por producir mes N]]*0.9))-Tabla145[[#This Row],[Producción por despachar mes N]]</f>
        <v>31690.305591463555</v>
      </c>
      <c r="Q83" s="7">
        <f>IFERROR(VLOOKUP(Tabla145[[#This Row],[Llave]],[17]DELAY!$A:$D,4,FALSE),0)</f>
        <v>22000</v>
      </c>
      <c r="R83" s="9">
        <v>22000</v>
      </c>
      <c r="S83" s="5">
        <f t="shared" si="6"/>
        <v>22000</v>
      </c>
      <c r="T83" s="76">
        <v>0</v>
      </c>
      <c r="U83" s="5">
        <f>+Tabla145[[#This Row],[Atraso a facturar]]+Tabla145[[#This Row],[Ajuste atraso]]</f>
        <v>22000</v>
      </c>
      <c r="V83" s="3">
        <f>+Tabla145[[#This Row],[Total disponible]]-Tabla145[[#This Row],[Facturación atraso]]</f>
        <v>9690.3055914635552</v>
      </c>
      <c r="W83" s="6">
        <f>IFERROR(IF(AND(V83&gt;R83,J83&gt;=R83),ROUNDDOWN((Tabla145[[#This Row],[Producción para venta nueva]])/R83,0)*R83,0),0)</f>
        <v>0</v>
      </c>
      <c r="X83" s="76">
        <v>0</v>
      </c>
      <c r="Y83" s="6">
        <f>IF(Tabla145[[#This Row],[Venta del mes]]&gt;0,Tabla145[[#This Row],[Venta del mes]]+Tabla145[[#This Row],[Ajuste venta nueva]],0)</f>
        <v>0</v>
      </c>
      <c r="Z83" s="6">
        <f>+Tabla145[[#This Row],[Producción para venta nueva]]-Tabla145[[#This Row],[Facturación Venta nueva]]</f>
        <v>9690.3055914635552</v>
      </c>
      <c r="AA83" s="6">
        <f>IF(AND(A83=1,Tabla145[[#This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3" s="6">
        <v>0</v>
      </c>
      <c r="AC83" s="6">
        <f>IF(Tabla145[[#This Row],[Disponible stock sin venta]]&gt;0,Tabla145[[#This Row],[Disponible stock sin venta]]+Tabla145[[#This Row],[Ajuste stock sin venta]],0)</f>
        <v>0</v>
      </c>
      <c r="AD83" s="3">
        <f>IFERROR(VLOOKUP(Tabla145[[#This Row],[Llave]],'[16]TD Puerto'!$A:$D,4,FALSE),0)</f>
        <v>0</v>
      </c>
      <c r="AE83" s="3">
        <v>0</v>
      </c>
      <c r="AF83" s="3">
        <f>+Tabla145[[#This Row],[Plan Irrestricto Inicial]]</f>
        <v>0</v>
      </c>
      <c r="AG83" s="3">
        <f>+Tabla145[[#This Row],[En puerto a facturar]]</f>
        <v>0</v>
      </c>
      <c r="AH83" s="3">
        <f>+Tabla145[[#This Row],[Facturación atraso]]</f>
        <v>22000</v>
      </c>
      <c r="AI83" s="3">
        <f>+Tabla145[[#This Row],[Plan Irrestricto]]-Tabla145[[#This Row],[Puerto ]]-Tabla145[[#This Row],[Atraso]]</f>
        <v>-22000</v>
      </c>
      <c r="AJ8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83" s="3">
        <f>+Tabla145[[#This Row],[Facturación atraso]]</f>
        <v>22000</v>
      </c>
      <c r="AL83" s="3">
        <f>+Tabla145[[#This Row],[Plan Ajustado]]-Tabla145[[#This Row],[ Atraso ajustado]]-Tabla145[[#This Row],[Puerto ]]</f>
        <v>-22000</v>
      </c>
      <c r="AM83" s="6">
        <f>IFERROR(VLOOKUP(Tabla145[[#This Row],[Llave]],[18]!Tabla14[#All],34,FALSE),0)</f>
        <v>0</v>
      </c>
      <c r="AN83" s="6">
        <f>IFERROR(VLOOKUP(Tabla145[[#This Row],[Llave]],[18]!Tabla14[#All],35,FALSE),0)</f>
        <v>0</v>
      </c>
      <c r="AO83" s="3" t="str">
        <f>IF(Tabla145[[#This Row],[Plan Ajustado]]&gt;Tabla145[[#This Row],[En puerto a facturar]],"Si","No")</f>
        <v>No</v>
      </c>
      <c r="AP8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83" s="3">
        <f>IF(Tabla145[[#This Row],[Necesidad]]&gt;=Tabla145[[#This Row],[Stock al día]],Tabla145[[#This Row],[Stock al día]],Tabla145[[#This Row],[Necesidad]])</f>
        <v>0</v>
      </c>
      <c r="AR83" s="3">
        <f>+Tabla145[[#This Row],[Necesidad]]-Tabla145[[#This Row],[Stock Plan]]</f>
        <v>0</v>
      </c>
      <c r="AS83" s="155">
        <f>IFERROR(VLOOKUP(Tabla145[[#This Row],[Oficina]],[19]Ponderación!$B$14:$E$21,4,FALSE),"")</f>
        <v>44786</v>
      </c>
      <c r="AT8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1.1200000000000001</v>
      </c>
      <c r="AU83" s="83">
        <f>IFERROR(VLOOKUP(Tabla145[[#This Row],[Llave]],[17]DELAY!$H:$W,16,FALSE),0)</f>
        <v>1.3</v>
      </c>
      <c r="AV8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83" s="5">
        <f>Tabla145[[#This Row],[Ajuste precio IC]]*Tabla145[[#This Row],[Plan Ajustado]]</f>
        <v>0</v>
      </c>
      <c r="AX83" s="30">
        <f>IFERROR(VLOOKUP(Tabla145[[#This Row],[Llave]],'[13]Ultimos precios facturados'!$A:$G,7,FALSE),0)</f>
        <v>1.5623181818181817</v>
      </c>
      <c r="AY8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83" s="30">
        <f>IFERROR(VLOOKUP(Tabla145[[#This Row],[Llave]],Hoja2!B:K,10,FALSE),0)</f>
        <v>1.3</v>
      </c>
      <c r="BA83" s="30">
        <f>IF(Tabla145[[#This Row],[Ajuste precio IC]]="",Tabla145[[#This Row],[Precio ponderado]],Tabla145[[#This Row],[Precio ponderado]])</f>
        <v>0</v>
      </c>
      <c r="BB83" s="82"/>
      <c r="BC83" s="82" t="str">
        <f>IF(AND(Tabla145[[#This Row],[Atraso a facturar]]&gt;0,Tabla145[[#This Row],[Precio Atraso]]=0),"Revisar","OK")</f>
        <v>OK</v>
      </c>
      <c r="BD83" s="82" t="str">
        <f>IF(AND(Tabla145[[#This Row],[Venta del mes]]&gt;0,Tabla145[[#This Row],[Precio venta nueva]]=0),"Revisar","OK")</f>
        <v>OK</v>
      </c>
      <c r="BE83" s="20">
        <f>IFERROR(VLOOKUP(Tabla145[[#This Row],[Llave]],'[5]Consolidación planes'!$A:$M,9,FALSE),0)</f>
        <v>44000</v>
      </c>
      <c r="BF83" s="20">
        <f>IFERROR(VLOOKUP(Tabla145[[#This Row],[Llave]],'[5]Consolidación planes'!$A:$M,10,FALSE),0)</f>
        <v>22000</v>
      </c>
      <c r="BG83" s="20">
        <f>IFERROR(VLOOKUP(Tabla145[[#This Row],[Llave]],'[5]Consolidación planes'!$A:$M,11,FALSE),0)</f>
        <v>44000</v>
      </c>
      <c r="BH83" s="20">
        <f>IFERROR(VLOOKUP(Tabla145[[#This Row],[Llave]],'[5]Consolidación planes'!$A:$M,12,FALSE),0)</f>
        <v>22000</v>
      </c>
      <c r="BI83" s="20">
        <f>IFERROR(VLOOKUP(Tabla145[[#This Row],[Llave]],'[5]Consolidación planes'!$A:$M,13,FALSE),0)</f>
        <v>0</v>
      </c>
      <c r="BJ83" s="20">
        <f>IFERROR(VLOOKUP(Tabla145[[#This Row],[Llave]],'[13]Base ultimos planes'!$A:$M,13,FALSE),0)</f>
        <v>22000</v>
      </c>
      <c r="BK83" s="80">
        <f>IFERROR(VLOOKUP(Tabla145[[#This Row],[Llave]],'[13]Base ultimos planes'!$O:$AA,8,FALSE),0)</f>
        <v>71559.5</v>
      </c>
      <c r="BL83" s="20">
        <f>IFERROR(VLOOKUP(Tabla145[[#This Row],[Llave]],'[13]Base ultimos planes'!$O:$AA,9,FALSE),0)</f>
        <v>35200</v>
      </c>
      <c r="BM83" s="20">
        <f>IFERROR(VLOOKUP(Tabla145[[#This Row],[Llave]],'[13]Base ultimos planes'!$O:$AA,10,FALSE),0)</f>
        <v>68200</v>
      </c>
      <c r="BN83" s="20">
        <f>IFERROR(VLOOKUP(Tabla145[[#This Row],[Llave]],'[13]Base ultimos planes'!$O:$AA,11,FALSE),0)</f>
        <v>34320</v>
      </c>
      <c r="BO83" s="20">
        <f>IFERROR(VLOOKUP(Tabla145[[#This Row],[Llave]],'[13]Base ultimos planes'!$O:$AA,12,FALSE),0)</f>
        <v>0</v>
      </c>
      <c r="BP83" s="20">
        <f>IFERROR(VLOOKUP(Tabla145[[#This Row],[Llave]],'[13]Base ultimos planes'!$O:$AA,13,FALSE),0)</f>
        <v>24491</v>
      </c>
      <c r="BQ83" s="20"/>
      <c r="BR83" s="20">
        <f>Tabla145[[#This Row],[ RV Producción mes n+1]]*(1-Tabla145[[#This Row],[% Uti. producción]])</f>
        <v>12245.694408536445</v>
      </c>
      <c r="BS83" s="20">
        <f>+Tabla145[[#This Row],[Producción disponible mes n-1]]+Tabla145[[#This Row],[Saldo Volumen disponible]]</f>
        <v>21936</v>
      </c>
      <c r="BT83" s="7">
        <f>IFERROR(VLOOKUP(Tabla145[[#This Row],[Llave]],'[21]RV n+2 y n+3'!$B:$F,4,FALSE),0)</f>
        <v>0</v>
      </c>
      <c r="BU83" s="7">
        <f>+Tabla145[[#This Row],[Asignación mes n+2]]*Tabla145[[#This Row],[% Uti. producción]]</f>
        <v>0</v>
      </c>
      <c r="BV83" s="7">
        <f>+Tabla145[[#This Row],[Ponderación mes n+2]]+Tabla145[[#This Row],[Saldo mes n-1]]</f>
        <v>21936</v>
      </c>
      <c r="BW83" s="7">
        <f>+Tabla145[[#This Row],[Asignación mes n+2]]-Tabla145[[#This Row],[Ponderación mes n+2]]</f>
        <v>0</v>
      </c>
      <c r="BX83" s="7">
        <f>IFERROR(VLOOKUP(Tabla145[[#This Row],[Llave]],'[21]RV n+2 y n+3'!$B:$F,5,FALSE),0)</f>
        <v>0</v>
      </c>
      <c r="BY83" s="7">
        <f>+Tabla145[[#This Row],[Asignación mes n+3]]*Tabla145[[#This Row],[% Uti. producción]]</f>
        <v>0</v>
      </c>
      <c r="BZ83" s="3">
        <f>+Tabla145[[#This Row],[Ponderación mes n+3]]+Tabla145[[#This Row],[Saldo mes n+2]]</f>
        <v>0</v>
      </c>
      <c r="CA83" s="3">
        <f>+Tabla145[[#This Row],[Asignación mes n+3]]-Tabla145[[#This Row],[Ponderación mes n+3]]</f>
        <v>0</v>
      </c>
      <c r="CB83" s="3">
        <f>+Tabla145[[#This Row],[Producción disponible mes n-1]]+Tabla145[[#This Row],[Producción disponible]]</f>
        <v>22560</v>
      </c>
      <c r="CC83" s="3">
        <f>+Tabla145[[#This Row],[Saldo mes n+4]]-Tabla145[[#This Row],[ RV Producción mes n+1]]</f>
        <v>0</v>
      </c>
    </row>
    <row r="84" spans="1:81" ht="16" x14ac:dyDescent="0.2">
      <c r="A84">
        <v>1</v>
      </c>
      <c r="B84" t="str">
        <f>Tabla145[[#This Row],[Oficina]]&amp;Tabla145[[#This Row],[Material]]</f>
        <v>Agrosuper Asia1021156</v>
      </c>
      <c r="C84" t="s">
        <v>6</v>
      </c>
      <c r="D84" t="s">
        <v>173</v>
      </c>
      <c r="E84">
        <v>1021156</v>
      </c>
      <c r="F84" t="s">
        <v>179</v>
      </c>
      <c r="G84" t="s">
        <v>92</v>
      </c>
      <c r="H84" t="s">
        <v>93</v>
      </c>
      <c r="I84" s="7">
        <f>IFERROR(VLOOKUP(Tabla145[[#This Row],[Llave]],'[7]RV Producción'!$C:$G,5,FALSE),0)</f>
        <v>37553</v>
      </c>
      <c r="J84" s="3">
        <f>IFERROR(IF(Tabla145[[#This Row],[Oficina]]=$I$7,VLOOKUP(Tabla145[[#This Row],[Llave]],'[7]Shangai (Tomas)'!$A:$F,6,FALSE),VLOOKUP(Tabla145[[#This Row],[Llave]],'[7]RV plan de ventas'!$A:$E,5,FALSE)),0)</f>
        <v>24000</v>
      </c>
      <c r="K84" s="8">
        <f>IFERROR(VLOOKUP(Tabla145[[#This Row],[Oficina]],[15]Ponderación!$B$2:$E$9,4,FALSE),0)</f>
        <v>0.45719439678473212</v>
      </c>
      <c r="L84" s="7">
        <f>+Tabla145[[#This Row],[ RV Producción mes n+1]]*Tabla145[[#This Row],[% Uti. producción]]</f>
        <v>17169.021182457043</v>
      </c>
      <c r="M84" s="7">
        <f>IFERROR(VLOOKUP(Tabla145[[#This Row],[Material]],[16]Stock!$G:$K,5,FALSE),0)</f>
        <v>46061</v>
      </c>
      <c r="N84" s="7">
        <f>IFERROR(VLOOKUP(Tabla145[[#This Row],[Material]],[16]Produccion!$M:$N,2,FALSE),0)</f>
        <v>454</v>
      </c>
      <c r="O84" s="7">
        <f>IFERROR(VLOOKUP(Tabla145[[#This Row],[Llave]],'[16]TD Conf-AP'!$I:$M,4,FALSE),0)</f>
        <v>0</v>
      </c>
      <c r="P84" s="14">
        <f>SUM(Tabla145[[#This Row],[Producción disponible]],Tabla145[[#This Row],[Stock al día]],(Tabla145[[#This Row],[Por producir mes N]]*0.9))-Tabla145[[#This Row],[Producción por despachar mes N]]</f>
        <v>63638.621182457042</v>
      </c>
      <c r="Q84" s="7">
        <f>IFERROR(VLOOKUP(Tabla145[[#This Row],[Llave]],[17]DELAY!$A:$D,4,FALSE),0)</f>
        <v>24000</v>
      </c>
      <c r="R84" s="9">
        <v>23000</v>
      </c>
      <c r="S84" s="5">
        <f t="shared" si="6"/>
        <v>24000</v>
      </c>
      <c r="T84" s="76">
        <v>0</v>
      </c>
      <c r="U84" s="5">
        <f>+Tabla145[[#This Row],[Atraso a facturar]]+Tabla145[[#This Row],[Ajuste atraso]]</f>
        <v>24000</v>
      </c>
      <c r="V84" s="3">
        <f>+Tabla145[[#This Row],[Total disponible]]-Tabla145[[#This Row],[Facturación atraso]]</f>
        <v>39638.621182457042</v>
      </c>
      <c r="W84" s="6">
        <f>IFERROR(IF(AND(V84&gt;R84,J84&gt;=R84),ROUNDDOWN((Tabla145[[#This Row],[Producción para venta nueva]])/R84,0)*R84,0),0)</f>
        <v>23000</v>
      </c>
      <c r="X84" s="76">
        <v>0</v>
      </c>
      <c r="Y84" s="6">
        <f>IF(Tabla145[[#This Row],[Venta del mes]]&gt;0,Tabla145[[#This Row],[Venta del mes]]+Tabla145[[#This Row],[Ajuste venta nueva]],0)</f>
        <v>23000</v>
      </c>
      <c r="Z84" s="6">
        <f>+Tabla145[[#This Row],[Producción para venta nueva]]-Tabla145[[#This Row],[Facturación Venta nueva]]</f>
        <v>16638.621182457042</v>
      </c>
      <c r="AA84" s="6">
        <f>IF(AND(A84=1,Tabla145[[#This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4" s="6">
        <v>0</v>
      </c>
      <c r="AC84" s="6">
        <f>IF(Tabla145[[#This Row],[Disponible stock sin venta]]&gt;0,Tabla145[[#This Row],[Disponible stock sin venta]]+Tabla145[[#This Row],[Ajuste stock sin venta]],0)</f>
        <v>0</v>
      </c>
      <c r="AD84" s="3">
        <f>IFERROR(VLOOKUP(Tabla145[[#This Row],[Llave]],'[16]TD Puerto'!$A:$D,4,FALSE),0)</f>
        <v>0</v>
      </c>
      <c r="AE84" s="3">
        <v>24000</v>
      </c>
      <c r="AF84" s="3">
        <f>+Tabla145[[#This Row],[Plan Irrestricto Inicial]]</f>
        <v>24000</v>
      </c>
      <c r="AG84" s="3">
        <f>+Tabla145[[#This Row],[En puerto a facturar]]</f>
        <v>0</v>
      </c>
      <c r="AH84" s="3">
        <f>+Tabla145[[#This Row],[Facturación atraso]]</f>
        <v>24000</v>
      </c>
      <c r="AI84" s="3">
        <f>+Tabla145[[#This Row],[Plan Irrestricto]]-Tabla145[[#This Row],[Puerto ]]-Tabla145[[#This Row],[Atraso]]</f>
        <v>0</v>
      </c>
      <c r="AJ84" s="3">
        <f>IF(Tabla145[[#This Row],[Plan Irrestricto]]&gt;0,SUM(Tabla145[[#This Row],[Facturación atraso]],Tabla145[[#This Row],[Facturación Venta nueva]],Tabla145[[#This Row],[Facturación stock]],Tabla145[[#This Row],[En puerto a facturar]]),0)</f>
        <v>47000</v>
      </c>
      <c r="AK84" s="3">
        <f>+Tabla145[[#This Row],[Facturación atraso]]</f>
        <v>24000</v>
      </c>
      <c r="AL84" s="3">
        <f>+Tabla145[[#This Row],[Plan Ajustado]]-Tabla145[[#This Row],[ Atraso ajustado]]-Tabla145[[#This Row],[Puerto ]]</f>
        <v>23000</v>
      </c>
      <c r="AM84" s="6">
        <f>IFERROR(VLOOKUP(Tabla145[[#This Row],[Llave]],[18]!Tabla14[#All],34,FALSE),0)</f>
        <v>0</v>
      </c>
      <c r="AN84" s="6">
        <f>IFERROR(VLOOKUP(Tabla145[[#This Row],[Llave]],[18]!Tabla14[#All],35,FALSE),0)</f>
        <v>0</v>
      </c>
      <c r="AO84" s="3" t="str">
        <f>IF(Tabla145[[#This Row],[Plan Ajustado]]&gt;Tabla145[[#This Row],[En puerto a facturar]],"Si","No")</f>
        <v>Si</v>
      </c>
      <c r="AP84" s="3">
        <f>IF(AND(Tabla145[[#This Row],[Plan Ajustado]]&gt;0,Tabla145[[#This Row],[Plan Ajustado]]&gt;Tabla145[[#This Row],[En puerto a facturar]]),(Tabla145[[#This Row],[Plan Ajustado]]-Tabla145[[#This Row],[En puerto a facturar]]),0)</f>
        <v>47000</v>
      </c>
      <c r="AQ84" s="3">
        <f>IF(Tabla145[[#This Row],[Necesidad]]&gt;=Tabla145[[#This Row],[Stock al día]],Tabla145[[#This Row],[Stock al día]],Tabla145[[#This Row],[Necesidad]])</f>
        <v>46061</v>
      </c>
      <c r="AR84" s="3">
        <f>+Tabla145[[#This Row],[Necesidad]]-Tabla145[[#This Row],[Stock Plan]]</f>
        <v>939</v>
      </c>
      <c r="AS84" s="155">
        <f>IFERROR(VLOOKUP(Tabla145[[#This Row],[Oficina]],[19]Ponderación!$B$14:$E$21,4,FALSE),"")</f>
        <v>44786</v>
      </c>
      <c r="AT8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2.57</v>
      </c>
      <c r="AU84" s="83">
        <f>IFERROR(VLOOKUP(Tabla145[[#This Row],[Llave]],[17]DELAY!$H:$W,16,FALSE),0)</f>
        <v>2.9</v>
      </c>
      <c r="AV8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2.7385106382978726</v>
      </c>
      <c r="AW84" s="5">
        <f>Tabla145[[#This Row],[Ajuste precio IC]]*Tabla145[[#This Row],[Plan Ajustado]]</f>
        <v>128710.00000000001</v>
      </c>
      <c r="AX84" s="30">
        <f>IFERROR(VLOOKUP(Tabla145[[#This Row],[Llave]],'[13]Ultimos precios facturados'!$A:$G,7,FALSE),0)</f>
        <v>2.7171174416666668</v>
      </c>
      <c r="AY8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7.8734898621398101E-3</v>
      </c>
      <c r="AZ84" s="30">
        <f>IFERROR(VLOOKUP(Tabla145[[#This Row],[Llave]],Hoja2!B:K,10,FALSE),0)</f>
        <v>2.7385106382978726</v>
      </c>
      <c r="BA84" s="30">
        <f>IF(Tabla145[[#This Row],[Ajuste precio IC]]="",Tabla145[[#This Row],[Precio ponderado]],Tabla145[[#This Row],[Precio ponderado]])</f>
        <v>2.7385106382978726</v>
      </c>
      <c r="BB84" s="82"/>
      <c r="BC84" s="82" t="str">
        <f>IF(AND(Tabla145[[#This Row],[Atraso a facturar]]&gt;0,Tabla145[[#This Row],[Precio Atraso]]=0),"Revisar","OK")</f>
        <v>OK</v>
      </c>
      <c r="BD84" s="82" t="str">
        <f>IF(AND(Tabla145[[#This Row],[Venta del mes]]&gt;0,Tabla145[[#This Row],[Precio venta nueva]]=0),"Revisar","OK")</f>
        <v>OK</v>
      </c>
      <c r="BE84" s="20">
        <f>IFERROR(VLOOKUP(Tabla145[[#This Row],[Llave]],'[5]Consolidación planes'!$A:$M,9,FALSE),0)</f>
        <v>46000</v>
      </c>
      <c r="BF84" s="20">
        <f>IFERROR(VLOOKUP(Tabla145[[#This Row],[Llave]],'[5]Consolidación planes'!$A:$M,10,FALSE),0)</f>
        <v>72000</v>
      </c>
      <c r="BG84" s="20">
        <f>IFERROR(VLOOKUP(Tabla145[[#This Row],[Llave]],'[5]Consolidación planes'!$A:$M,11,FALSE),0)</f>
        <v>7000</v>
      </c>
      <c r="BH84" s="20">
        <f>IFERROR(VLOOKUP(Tabla145[[#This Row],[Llave]],'[5]Consolidación planes'!$A:$M,12,FALSE),0)</f>
        <v>14000</v>
      </c>
      <c r="BI84" s="20">
        <f>IFERROR(VLOOKUP(Tabla145[[#This Row],[Llave]],'[5]Consolidación planes'!$A:$M,13,FALSE),0)</f>
        <v>24000</v>
      </c>
      <c r="BJ84" s="20">
        <f>IFERROR(VLOOKUP(Tabla145[[#This Row],[Llave]],'[13]Base ultimos planes'!$A:$M,13,FALSE),0)</f>
        <v>24000</v>
      </c>
      <c r="BK84" s="80">
        <f>IFERROR(VLOOKUP(Tabla145[[#This Row],[Llave]],'[13]Base ultimos planes'!$O:$AA,8,FALSE),0)</f>
        <v>134780</v>
      </c>
      <c r="BL84" s="20">
        <f>IFERROR(VLOOKUP(Tabla145[[#This Row],[Llave]],'[13]Base ultimos planes'!$O:$AA,9,FALSE),0)</f>
        <v>181080</v>
      </c>
      <c r="BM84" s="20">
        <f>IFERROR(VLOOKUP(Tabla145[[#This Row],[Llave]],'[13]Base ultimos planes'!$O:$AA,10,FALSE),0)</f>
        <v>17570</v>
      </c>
      <c r="BN84" s="20">
        <f>IFERROR(VLOOKUP(Tabla145[[#This Row],[Llave]],'[13]Base ultimos planes'!$O:$AA,11,FALSE),0)</f>
        <v>35840</v>
      </c>
      <c r="BO84" s="20">
        <f>IFERROR(VLOOKUP(Tabla145[[#This Row],[Llave]],'[13]Base ultimos planes'!$O:$AA,12,FALSE),0)</f>
        <v>86720</v>
      </c>
      <c r="BP84" s="20">
        <f>IFERROR(VLOOKUP(Tabla145[[#This Row],[Llave]],'[13]Base ultimos planes'!$O:$AA,13,FALSE),0)</f>
        <v>65716</v>
      </c>
      <c r="BQ84" s="20"/>
      <c r="BR84" s="20">
        <f>Tabla145[[#This Row],[ RV Producción mes n+1]]*(1-Tabla145[[#This Row],[% Uti. producción]])</f>
        <v>20383.978817542957</v>
      </c>
      <c r="BS84" s="20">
        <f>+Tabla145[[#This Row],[Producción disponible mes n-1]]+Tabla145[[#This Row],[Saldo Volumen disponible]]</f>
        <v>37022.6</v>
      </c>
      <c r="BT84" s="7">
        <f>IFERROR(VLOOKUP(Tabla145[[#This Row],[Llave]],'[21]RV n+2 y n+3'!$B:$F,4,FALSE),0)</f>
        <v>48000</v>
      </c>
      <c r="BU84" s="7">
        <f>+Tabla145[[#This Row],[Asignación mes n+2]]*Tabla145[[#This Row],[% Uti. producción]]</f>
        <v>21945.331045667142</v>
      </c>
      <c r="BV84" s="7">
        <f>+Tabla145[[#This Row],[Ponderación mes n+2]]+Tabla145[[#This Row],[Saldo mes n-1]]</f>
        <v>58967.931045667137</v>
      </c>
      <c r="BW84" s="7">
        <f>+Tabla145[[#This Row],[Asignación mes n+2]]-Tabla145[[#This Row],[Ponderación mes n+2]]</f>
        <v>26054.668954332858</v>
      </c>
      <c r="BX84" s="7">
        <f>IFERROR(VLOOKUP(Tabla145[[#This Row],[Llave]],'[21]RV n+2 y n+3'!$B:$F,5,FALSE),0)</f>
        <v>1992.8752999999999</v>
      </c>
      <c r="BY84" s="7">
        <f>+Tabla145[[#This Row],[Asignación mes n+3]]*Tabla145[[#This Row],[% Uti. producción]]</f>
        <v>911.13142065069201</v>
      </c>
      <c r="BZ84" s="3">
        <f>+Tabla145[[#This Row],[Ponderación mes n+3]]+Tabla145[[#This Row],[Saldo mes n+2]]</f>
        <v>26965.800374983548</v>
      </c>
      <c r="CA84" s="3">
        <f>+Tabla145[[#This Row],[Asignación mes n+3]]-Tabla145[[#This Row],[Ponderación mes n+3]]</f>
        <v>1081.7438793493079</v>
      </c>
      <c r="CB84" s="3">
        <f>+Tabla145[[#This Row],[Producción disponible mes n-1]]+Tabla145[[#This Row],[Producción disponible]]</f>
        <v>37553</v>
      </c>
      <c r="CC84" s="3">
        <f>+Tabla145[[#This Row],[Saldo mes n+4]]-Tabla145[[#This Row],[ RV Producción mes n+1]]</f>
        <v>0</v>
      </c>
    </row>
    <row r="85" spans="1:81" ht="16" x14ac:dyDescent="0.2">
      <c r="A85">
        <v>1</v>
      </c>
      <c r="B85" t="str">
        <f>Tabla145[[#This Row],[Oficina]]&amp;Tabla145[[#This Row],[Material]]</f>
        <v>Agrosuper Asia1021204</v>
      </c>
      <c r="C85" t="s">
        <v>6</v>
      </c>
      <c r="D85" t="s">
        <v>173</v>
      </c>
      <c r="E85">
        <v>1021204</v>
      </c>
      <c r="F85" t="s">
        <v>49</v>
      </c>
      <c r="G85" t="s">
        <v>11</v>
      </c>
      <c r="H85" t="s">
        <v>15</v>
      </c>
      <c r="I85" s="7">
        <f>IFERROR(VLOOKUP(Tabla145[[#This Row],[Llave]],'[7]RV Producción'!$C:$G,5,FALSE),0)</f>
        <v>26980</v>
      </c>
      <c r="J85" s="3">
        <f>IFERROR(IF(Tabla145[[#This Row],[Oficina]]=$I$7,VLOOKUP(Tabla145[[#This Row],[Llave]],'[7]Shangai (Tomas)'!$A:$F,6,FALSE),VLOOKUP(Tabla145[[#This Row],[Llave]],'[7]RV plan de ventas'!$A:$E,5,FALSE)),0)</f>
        <v>48000</v>
      </c>
      <c r="K85" s="8">
        <f>IFERROR(VLOOKUP(Tabla145[[#This Row],[Oficina]],[15]Ponderación!$B$2:$E$9,4,FALSE),0)</f>
        <v>0.45719439678473212</v>
      </c>
      <c r="L85" s="7">
        <f>+Tabla145[[#This Row],[ RV Producción mes n+1]]*Tabla145[[#This Row],[% Uti. producción]]</f>
        <v>12335.104825252072</v>
      </c>
      <c r="M85" s="7">
        <f>IFERROR(VLOOKUP(Tabla145[[#This Row],[Material]],[16]Stock!$G:$K,5,FALSE),0)</f>
        <v>45100</v>
      </c>
      <c r="N85" s="7">
        <f>IFERROR(VLOOKUP(Tabla145[[#This Row],[Material]],[16]Produccion!$M:$N,2,FALSE),0)</f>
        <v>0</v>
      </c>
      <c r="O85" s="7">
        <f>IFERROR(VLOOKUP(Tabla145[[#This Row],[Llave]],'[16]TD Conf-AP'!$I:$M,4,FALSE),0)</f>
        <v>0</v>
      </c>
      <c r="P85" s="14">
        <f>SUM(Tabla145[[#This Row],[Producción disponible]],Tabla145[[#This Row],[Stock al día]],(Tabla145[[#This Row],[Por producir mes N]]*0.9))-Tabla145[[#This Row],[Producción por despachar mes N]]</f>
        <v>57435.10482525207</v>
      </c>
      <c r="Q85" s="7">
        <f>IFERROR(VLOOKUP(Tabla145[[#This Row],[Llave]],[17]DELAY!$A:$D,4,FALSE),0)</f>
        <v>24000</v>
      </c>
      <c r="R85" s="9">
        <v>24000</v>
      </c>
      <c r="S85" s="5">
        <f t="shared" si="6"/>
        <v>24000</v>
      </c>
      <c r="T85" s="76">
        <v>0</v>
      </c>
      <c r="U85" s="5">
        <f>+Tabla145[[#This Row],[Atraso a facturar]]+Tabla145[[#This Row],[Ajuste atraso]]</f>
        <v>24000</v>
      </c>
      <c r="V85" s="3">
        <f>+Tabla145[[#This Row],[Total disponible]]-Tabla145[[#This Row],[Facturación atraso]]</f>
        <v>33435.10482525207</v>
      </c>
      <c r="W85" s="6">
        <f>IFERROR(IF(AND(V85&gt;R85,J85&gt;=R85),ROUNDDOWN((Tabla145[[#This Row],[Producción para venta nueva]])/R85,0)*R85,0),0)</f>
        <v>24000</v>
      </c>
      <c r="X85" s="76">
        <v>-24000</v>
      </c>
      <c r="Y85" s="6">
        <f>IF(Tabla145[[#This Row],[Venta del mes]]&gt;0,Tabla145[[#This Row],[Venta del mes]]+Tabla145[[#This Row],[Ajuste venta nueva]],0)</f>
        <v>0</v>
      </c>
      <c r="Z85" s="6">
        <f>+Tabla145[[#This Row],[Producción para venta nueva]]-Tabla145[[#This Row],[Facturación Venta nueva]]</f>
        <v>33435.10482525207</v>
      </c>
      <c r="AA85" s="6">
        <f>IF(AND(A85=1,Tabla145[[#This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5" s="6">
        <v>0</v>
      </c>
      <c r="AC85" s="6">
        <f>IF(Tabla145[[#This Row],[Disponible stock sin venta]]&gt;0,Tabla145[[#This Row],[Disponible stock sin venta]]+Tabla145[[#This Row],[Ajuste stock sin venta]],0)</f>
        <v>0</v>
      </c>
      <c r="AD85" s="3">
        <f>IFERROR(VLOOKUP(Tabla145[[#This Row],[Llave]],'[16]TD Puerto'!$A:$D,4,FALSE),0)</f>
        <v>0</v>
      </c>
      <c r="AE85" s="3">
        <v>48000</v>
      </c>
      <c r="AF85" s="3">
        <f>+Tabla145[[#This Row],[Plan Irrestricto Inicial]]</f>
        <v>48000</v>
      </c>
      <c r="AG85" s="3">
        <f>+Tabla145[[#This Row],[En puerto a facturar]]</f>
        <v>0</v>
      </c>
      <c r="AH85" s="3">
        <f>+Tabla145[[#This Row],[Facturación atraso]]</f>
        <v>24000</v>
      </c>
      <c r="AI85" s="3">
        <f>+Tabla145[[#This Row],[Plan Irrestricto]]-Tabla145[[#This Row],[Puerto ]]-Tabla145[[#This Row],[Atraso]]</f>
        <v>24000</v>
      </c>
      <c r="AJ85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85" s="3">
        <f>+Tabla145[[#This Row],[Facturación atraso]]</f>
        <v>24000</v>
      </c>
      <c r="AL85" s="3">
        <f>+Tabla145[[#This Row],[Plan Ajustado]]-Tabla145[[#This Row],[ Atraso ajustado]]-Tabla145[[#This Row],[Puerto ]]</f>
        <v>0</v>
      </c>
      <c r="AM85" s="6">
        <f>IFERROR(VLOOKUP(Tabla145[[#This Row],[Llave]],[18]!Tabla14[#All],34,FALSE),0)</f>
        <v>0</v>
      </c>
      <c r="AN85" s="6">
        <f>IFERROR(VLOOKUP(Tabla145[[#This Row],[Llave]],[18]!Tabla14[#All],35,FALSE),0)</f>
        <v>0</v>
      </c>
      <c r="AO85" s="3" t="str">
        <f>IF(Tabla145[[#This Row],[Plan Ajustado]]&gt;Tabla145[[#This Row],[En puerto a facturar]],"Si","No")</f>
        <v>Si</v>
      </c>
      <c r="AP85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85" s="3">
        <f>IF(Tabla145[[#This Row],[Necesidad]]&gt;=Tabla145[[#This Row],[Stock al día]],Tabla145[[#This Row],[Stock al día]],Tabla145[[#This Row],[Necesidad]])</f>
        <v>24000</v>
      </c>
      <c r="AR85" s="3">
        <f>+Tabla145[[#This Row],[Necesidad]]-Tabla145[[#This Row],[Stock Plan]]</f>
        <v>0</v>
      </c>
      <c r="AS85" s="155">
        <f>IFERROR(VLOOKUP(Tabla145[[#This Row],[Oficina]],[19]Ponderación!$B$14:$E$21,4,FALSE),"")</f>
        <v>44786</v>
      </c>
      <c r="AT8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1.29</v>
      </c>
      <c r="AU85" s="83">
        <f>IFERROR(VLOOKUP(Tabla145[[#This Row],[Llave]],[17]DELAY!$H:$W,16,FALSE),0)</f>
        <v>1.4274512500000001</v>
      </c>
      <c r="AV8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1.4274512500000001</v>
      </c>
      <c r="AW85" s="5">
        <f>Tabla145[[#This Row],[Ajuste precio IC]]*Tabla145[[#This Row],[Plan Ajustado]]</f>
        <v>32400.000000000004</v>
      </c>
      <c r="AX85" s="30">
        <f>IFERROR(VLOOKUP(Tabla145[[#This Row],[Llave]],'[13]Ultimos precios facturados'!$A:$G,7,FALSE),0)</f>
        <v>1.3549024999999999</v>
      </c>
      <c r="AY8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5.3545365810455117E-2</v>
      </c>
      <c r="AZ85" s="30">
        <f>IFERROR(VLOOKUP(Tabla145[[#This Row],[Llave]],Hoja2!B:K,10,FALSE),0)</f>
        <v>1.35</v>
      </c>
      <c r="BA85" s="30">
        <f>IF(Tabla145[[#This Row],[Ajuste precio IC]]="",Tabla145[[#This Row],[Precio ponderado]],Tabla145[[#This Row],[Precio ponderado]])</f>
        <v>1.4274512500000001</v>
      </c>
      <c r="BB85" s="82"/>
      <c r="BC85" s="82" t="str">
        <f>IF(AND(Tabla145[[#This Row],[Atraso a facturar]]&gt;0,Tabla145[[#This Row],[Precio Atraso]]=0),"Revisar","OK")</f>
        <v>OK</v>
      </c>
      <c r="BD85" s="82" t="str">
        <f>IF(AND(Tabla145[[#This Row],[Venta del mes]]&gt;0,Tabla145[[#This Row],[Precio venta nueva]]=0),"Revisar","OK")</f>
        <v>OK</v>
      </c>
      <c r="BE85" s="20">
        <f>IFERROR(VLOOKUP(Tabla145[[#This Row],[Llave]],'[5]Consolidación planes'!$A:$M,9,FALSE),0)</f>
        <v>24000</v>
      </c>
      <c r="BF85" s="20">
        <f>IFERROR(VLOOKUP(Tabla145[[#This Row],[Llave]],'[5]Consolidación planes'!$A:$M,10,FALSE),0)</f>
        <v>0</v>
      </c>
      <c r="BG85" s="20">
        <f>IFERROR(VLOOKUP(Tabla145[[#This Row],[Llave]],'[5]Consolidación planes'!$A:$M,11,FALSE),0)</f>
        <v>0</v>
      </c>
      <c r="BH85" s="20">
        <f>IFERROR(VLOOKUP(Tabla145[[#This Row],[Llave]],'[5]Consolidación planes'!$A:$M,12,FALSE),0)</f>
        <v>0</v>
      </c>
      <c r="BI85" s="20">
        <f>IFERROR(VLOOKUP(Tabla145[[#This Row],[Llave]],'[5]Consolidación planes'!$A:$M,13,FALSE),0)</f>
        <v>0</v>
      </c>
      <c r="BJ85" s="20">
        <f>IFERROR(VLOOKUP(Tabla145[[#This Row],[Llave]],'[13]Base ultimos planes'!$A:$M,13,FALSE),0)</f>
        <v>24000</v>
      </c>
      <c r="BK85" s="80">
        <f>IFERROR(VLOOKUP(Tabla145[[#This Row],[Llave]],'[13]Base ultimos planes'!$O:$AA,8,FALSE),0)</f>
        <v>32880</v>
      </c>
      <c r="BL85" s="20">
        <f>IFERROR(VLOOKUP(Tabla145[[#This Row],[Llave]],'[13]Base ultimos planes'!$O:$AA,9,FALSE),0)</f>
        <v>0</v>
      </c>
      <c r="BM85" s="20">
        <f>IFERROR(VLOOKUP(Tabla145[[#This Row],[Llave]],'[13]Base ultimos planes'!$O:$AA,10,FALSE),0)</f>
        <v>0</v>
      </c>
      <c r="BN85" s="20">
        <f>IFERROR(VLOOKUP(Tabla145[[#This Row],[Llave]],'[13]Base ultimos planes'!$O:$AA,11,FALSE),0)</f>
        <v>0</v>
      </c>
      <c r="BO85" s="20">
        <f>IFERROR(VLOOKUP(Tabla145[[#This Row],[Llave]],'[13]Base ultimos planes'!$O:$AA,12,FALSE),0)</f>
        <v>0</v>
      </c>
      <c r="BP85" s="20">
        <f>IFERROR(VLOOKUP(Tabla145[[#This Row],[Llave]],'[13]Base ultimos planes'!$O:$AA,13,FALSE),0)</f>
        <v>30925</v>
      </c>
      <c r="BQ85" s="20"/>
      <c r="BR85" s="20">
        <f>Tabla145[[#This Row],[ RV Producción mes n+1]]*(1-Tabla145[[#This Row],[% Uti. producción]])</f>
        <v>14644.89517474793</v>
      </c>
      <c r="BS85" s="20">
        <f>+Tabla145[[#This Row],[Producción disponible mes n-1]]+Tabla145[[#This Row],[Saldo Volumen disponible]]</f>
        <v>48080</v>
      </c>
      <c r="BT85" s="7">
        <f>IFERROR(VLOOKUP(Tabla145[[#This Row],[Llave]],'[21]RV n+2 y n+3'!$B:$F,4,FALSE),0)</f>
        <v>0</v>
      </c>
      <c r="BU85" s="7">
        <f>+Tabla145[[#This Row],[Asignación mes n+2]]*Tabla145[[#This Row],[% Uti. producción]]</f>
        <v>0</v>
      </c>
      <c r="BV85" s="7">
        <f>+Tabla145[[#This Row],[Ponderación mes n+2]]+Tabla145[[#This Row],[Saldo mes n-1]]</f>
        <v>48080</v>
      </c>
      <c r="BW85" s="7">
        <f>+Tabla145[[#This Row],[Asignación mes n+2]]-Tabla145[[#This Row],[Ponderación mes n+2]]</f>
        <v>0</v>
      </c>
      <c r="BX85" s="7">
        <f>IFERROR(VLOOKUP(Tabla145[[#This Row],[Llave]],'[21]RV n+2 y n+3'!$B:$F,5,FALSE),0)</f>
        <v>0</v>
      </c>
      <c r="BY85" s="7">
        <f>+Tabla145[[#This Row],[Asignación mes n+3]]*Tabla145[[#This Row],[% Uti. producción]]</f>
        <v>0</v>
      </c>
      <c r="BZ85" s="3">
        <f>+Tabla145[[#This Row],[Ponderación mes n+3]]+Tabla145[[#This Row],[Saldo mes n+2]]</f>
        <v>0</v>
      </c>
      <c r="CA85" s="3">
        <f>+Tabla145[[#This Row],[Asignación mes n+3]]-Tabla145[[#This Row],[Ponderación mes n+3]]</f>
        <v>0</v>
      </c>
      <c r="CB85" s="3">
        <f>+Tabla145[[#This Row],[Producción disponible mes n-1]]+Tabla145[[#This Row],[Producción disponible]]</f>
        <v>26980</v>
      </c>
      <c r="CC85" s="3">
        <f>+Tabla145[[#This Row],[Saldo mes n+4]]-Tabla145[[#This Row],[ RV Producción mes n+1]]</f>
        <v>0</v>
      </c>
    </row>
    <row r="86" spans="1:81" ht="16" x14ac:dyDescent="0.2">
      <c r="A86">
        <v>1</v>
      </c>
      <c r="B86" t="str">
        <f>Tabla145[[#This Row],[Oficina]]&amp;Tabla145[[#This Row],[Material]]</f>
        <v>Agrosuper Asia1021470</v>
      </c>
      <c r="C86" t="s">
        <v>6</v>
      </c>
      <c r="D86" t="s">
        <v>173</v>
      </c>
      <c r="E86">
        <v>1021470</v>
      </c>
      <c r="F86" t="s">
        <v>196</v>
      </c>
      <c r="G86" t="s">
        <v>159</v>
      </c>
      <c r="H86" t="s">
        <v>160</v>
      </c>
      <c r="I86" s="7">
        <f>IFERROR(VLOOKUP(Tabla145[[#This Row],[Llave]],'[7]RV Producción'!$C:$G,5,FALSE),0)</f>
        <v>24543</v>
      </c>
      <c r="J86" s="3">
        <f>IFERROR(IF(Tabla145[[#This Row],[Oficina]]=$I$7,VLOOKUP(Tabla145[[#This Row],[Llave]],'[7]Shangai (Tomas)'!$A:$F,6,FALSE),VLOOKUP(Tabla145[[#This Row],[Llave]],'[7]RV plan de ventas'!$A:$E,5,FALSE)),0)</f>
        <v>22000</v>
      </c>
      <c r="K86" s="8">
        <f>IFERROR(VLOOKUP(Tabla145[[#This Row],[Oficina]],[15]Ponderación!$B$2:$E$9,4,FALSE),0)</f>
        <v>0.45719439678473212</v>
      </c>
      <c r="L86" s="7">
        <f>+Tabla145[[#This Row],[ RV Producción mes n+1]]*Tabla145[[#This Row],[% Uti. producción]]</f>
        <v>11220.922080287681</v>
      </c>
      <c r="M86" s="7">
        <f>IFERROR(VLOOKUP(Tabla145[[#This Row],[Material]],[16]Stock!$G:$K,5,FALSE),0)</f>
        <v>18571</v>
      </c>
      <c r="N86" s="7">
        <f>IFERROR(VLOOKUP(Tabla145[[#This Row],[Material]],[16]Produccion!$M:$N,2,FALSE),0)</f>
        <v>0</v>
      </c>
      <c r="O86" s="7">
        <f>IFERROR(VLOOKUP(Tabla145[[#This Row],[Llave]],'[16]TD Conf-AP'!$I:$M,4,FALSE),0)</f>
        <v>0</v>
      </c>
      <c r="P86" s="14">
        <f>SUM(Tabla145[[#This Row],[Producción disponible]],Tabla145[[#This Row],[Stock al día]],(Tabla145[[#This Row],[Por producir mes N]]*0.9))-Tabla145[[#This Row],[Producción por despachar mes N]]</f>
        <v>29791.922080287681</v>
      </c>
      <c r="Q86" s="7">
        <f>IFERROR(VLOOKUP(Tabla145[[#This Row],[Llave]],[17]DELAY!$A:$D,4,FALSE),0)</f>
        <v>22000</v>
      </c>
      <c r="R86" s="9">
        <v>22000</v>
      </c>
      <c r="S86" s="5">
        <f t="shared" si="6"/>
        <v>22000</v>
      </c>
      <c r="T86" s="76">
        <v>0</v>
      </c>
      <c r="U86" s="5">
        <f>+Tabla145[[#This Row],[Atraso a facturar]]+Tabla145[[#This Row],[Ajuste atraso]]</f>
        <v>22000</v>
      </c>
      <c r="V86" s="3">
        <f>+Tabla145[[#This Row],[Total disponible]]-Tabla145[[#This Row],[Facturación atraso]]</f>
        <v>7791.9220802876807</v>
      </c>
      <c r="W86" s="6">
        <f>IFERROR(IF(AND(V86&gt;R86,J86&gt;=R86),ROUNDDOWN((Tabla145[[#This Row],[Producción para venta nueva]])/R86,0)*R86,0),0)</f>
        <v>0</v>
      </c>
      <c r="X86" s="76">
        <v>0</v>
      </c>
      <c r="Y86" s="6">
        <f>IF(Tabla145[[#This Row],[Venta del mes]]&gt;0,Tabla145[[#This Row],[Venta del mes]]+Tabla145[[#This Row],[Ajuste venta nueva]],0)</f>
        <v>0</v>
      </c>
      <c r="Z86" s="6">
        <f>+Tabla145[[#This Row],[Producción para venta nueva]]-Tabla145[[#This Row],[Facturación Venta nueva]]</f>
        <v>7791.9220802876807</v>
      </c>
      <c r="AA86" s="6">
        <f>IF(AND(A86=1,Tabla145[[#This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6" s="6">
        <v>0</v>
      </c>
      <c r="AC86" s="6">
        <f>IF(Tabla145[[#This Row],[Disponible stock sin venta]]&gt;0,Tabla145[[#This Row],[Disponible stock sin venta]]+Tabla145[[#This Row],[Ajuste stock sin venta]],0)</f>
        <v>0</v>
      </c>
      <c r="AD86" s="3">
        <f>IFERROR(VLOOKUP(Tabla145[[#This Row],[Llave]],'[16]TD Puerto'!$A:$D,4,FALSE),0)</f>
        <v>0</v>
      </c>
      <c r="AE86" s="3">
        <v>0</v>
      </c>
      <c r="AF86" s="3">
        <f>+Tabla145[[#This Row],[Plan Irrestricto Inicial]]</f>
        <v>0</v>
      </c>
      <c r="AG86" s="3">
        <f>+Tabla145[[#This Row],[En puerto a facturar]]</f>
        <v>0</v>
      </c>
      <c r="AH86" s="3">
        <f>+Tabla145[[#This Row],[Facturación atraso]]</f>
        <v>22000</v>
      </c>
      <c r="AI86" s="3">
        <f>+Tabla145[[#This Row],[Plan Irrestricto]]-Tabla145[[#This Row],[Puerto ]]-Tabla145[[#This Row],[Atraso]]</f>
        <v>-22000</v>
      </c>
      <c r="AJ8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86" s="3">
        <f>+Tabla145[[#This Row],[Facturación atraso]]</f>
        <v>22000</v>
      </c>
      <c r="AL86" s="3">
        <f>+Tabla145[[#This Row],[Plan Ajustado]]-Tabla145[[#This Row],[ Atraso ajustado]]-Tabla145[[#This Row],[Puerto ]]</f>
        <v>-22000</v>
      </c>
      <c r="AM86" s="6">
        <f>IFERROR(VLOOKUP(Tabla145[[#This Row],[Llave]],[18]!Tabla14[#All],34,FALSE),0)</f>
        <v>0</v>
      </c>
      <c r="AN86" s="6">
        <f>IFERROR(VLOOKUP(Tabla145[[#This Row],[Llave]],[18]!Tabla14[#All],35,FALSE),0)</f>
        <v>0</v>
      </c>
      <c r="AO86" s="3" t="str">
        <f>IF(Tabla145[[#This Row],[Plan Ajustado]]&gt;Tabla145[[#This Row],[En puerto a facturar]],"Si","No")</f>
        <v>No</v>
      </c>
      <c r="AP8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86" s="3">
        <f>IF(Tabla145[[#This Row],[Necesidad]]&gt;=Tabla145[[#This Row],[Stock al día]],Tabla145[[#This Row],[Stock al día]],Tabla145[[#This Row],[Necesidad]])</f>
        <v>0</v>
      </c>
      <c r="AR86" s="3">
        <f>+Tabla145[[#This Row],[Necesidad]]-Tabla145[[#This Row],[Stock Plan]]</f>
        <v>0</v>
      </c>
      <c r="AS86" s="155">
        <f>IFERROR(VLOOKUP(Tabla145[[#This Row],[Oficina]],[19]Ponderación!$B$14:$E$21,4,FALSE),"")</f>
        <v>44786</v>
      </c>
      <c r="AT8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1.32</v>
      </c>
      <c r="AU86" s="83">
        <f>IFERROR(VLOOKUP(Tabla145[[#This Row],[Llave]],[17]DELAY!$H:$W,16,FALSE),0)</f>
        <v>1.6</v>
      </c>
      <c r="AV8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86" s="5">
        <f>Tabla145[[#This Row],[Ajuste precio IC]]*Tabla145[[#This Row],[Plan Ajustado]]</f>
        <v>0</v>
      </c>
      <c r="AX86" s="30">
        <f>IFERROR(VLOOKUP(Tabla145[[#This Row],[Llave]],'[13]Ultimos precios facturados'!$A:$G,7,FALSE),0)</f>
        <v>1.7281294102637377</v>
      </c>
      <c r="AY8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86" s="30">
        <f>IFERROR(VLOOKUP(Tabla145[[#This Row],[Llave]],Hoja2!B:K,10,FALSE),0)</f>
        <v>1.6</v>
      </c>
      <c r="BA86" s="30">
        <f>IF(Tabla145[[#This Row],[Ajuste precio IC]]="",Tabla145[[#This Row],[Precio ponderado]],Tabla145[[#This Row],[Precio ponderado]])</f>
        <v>0</v>
      </c>
      <c r="BB86" s="82"/>
      <c r="BC86" s="82" t="str">
        <f>IF(AND(Tabla145[[#This Row],[Atraso a facturar]]&gt;0,Tabla145[[#This Row],[Precio Atraso]]=0),"Revisar","OK")</f>
        <v>OK</v>
      </c>
      <c r="BD86" s="82" t="str">
        <f>IF(AND(Tabla145[[#This Row],[Venta del mes]]&gt;0,Tabla145[[#This Row],[Precio venta nueva]]=0),"Revisar","OK")</f>
        <v>OK</v>
      </c>
      <c r="BE86" s="20">
        <f>IFERROR(VLOOKUP(Tabla145[[#This Row],[Llave]],'[5]Consolidación planes'!$A:$M,9,FALSE),0)</f>
        <v>22000</v>
      </c>
      <c r="BF86" s="20">
        <f>IFERROR(VLOOKUP(Tabla145[[#This Row],[Llave]],'[5]Consolidación planes'!$A:$M,10,FALSE),0)</f>
        <v>22000</v>
      </c>
      <c r="BG86" s="20">
        <f>IFERROR(VLOOKUP(Tabla145[[#This Row],[Llave]],'[5]Consolidación planes'!$A:$M,11,FALSE),0)</f>
        <v>0</v>
      </c>
      <c r="BH86" s="20">
        <f>IFERROR(VLOOKUP(Tabla145[[#This Row],[Llave]],'[5]Consolidación planes'!$A:$M,12,FALSE),0)</f>
        <v>22000</v>
      </c>
      <c r="BI86" s="20">
        <f>IFERROR(VLOOKUP(Tabla145[[#This Row],[Llave]],'[5]Consolidación planes'!$A:$M,13,FALSE),0)</f>
        <v>0</v>
      </c>
      <c r="BJ86" s="20">
        <f>IFERROR(VLOOKUP(Tabla145[[#This Row],[Llave]],'[13]Base ultimos planes'!$A:$M,13,FALSE),0)</f>
        <v>22000</v>
      </c>
      <c r="BK86" s="80">
        <f>IFERROR(VLOOKUP(Tabla145[[#This Row],[Llave]],'[13]Base ultimos planes'!$O:$AA,8,FALSE),0)</f>
        <v>41800</v>
      </c>
      <c r="BL86" s="20">
        <f>IFERROR(VLOOKUP(Tabla145[[#This Row],[Llave]],'[13]Base ultimos planes'!$O:$AA,9,FALSE),0)</f>
        <v>45540</v>
      </c>
      <c r="BM86" s="20">
        <f>IFERROR(VLOOKUP(Tabla145[[#This Row],[Llave]],'[13]Base ultimos planes'!$O:$AA,10,FALSE),0)</f>
        <v>0</v>
      </c>
      <c r="BN86" s="20">
        <f>IFERROR(VLOOKUP(Tabla145[[#This Row],[Llave]],'[13]Base ultimos planes'!$O:$AA,11,FALSE),0)</f>
        <v>39600</v>
      </c>
      <c r="BO86" s="20">
        <f>IFERROR(VLOOKUP(Tabla145[[#This Row],[Llave]],'[13]Base ultimos planes'!$O:$AA,12,FALSE),0)</f>
        <v>0</v>
      </c>
      <c r="BP86" s="20">
        <f>IFERROR(VLOOKUP(Tabla145[[#This Row],[Llave]],'[13]Base ultimos planes'!$O:$AA,13,FALSE),0)</f>
        <v>36511</v>
      </c>
      <c r="BQ86" s="20"/>
      <c r="BR86" s="20">
        <f>Tabla145[[#This Row],[ RV Producción mes n+1]]*(1-Tabla145[[#This Row],[% Uti. producción]])</f>
        <v>13322.077919712321</v>
      </c>
      <c r="BS86" s="20">
        <f>+Tabla145[[#This Row],[Producción disponible mes n-1]]+Tabla145[[#This Row],[Saldo Volumen disponible]]</f>
        <v>21114</v>
      </c>
      <c r="BT86" s="7">
        <f>IFERROR(VLOOKUP(Tabla145[[#This Row],[Llave]],'[21]RV n+2 y n+3'!$B:$F,4,FALSE),0)</f>
        <v>0</v>
      </c>
      <c r="BU86" s="7">
        <f>+Tabla145[[#This Row],[Asignación mes n+2]]*Tabla145[[#This Row],[% Uti. producción]]</f>
        <v>0</v>
      </c>
      <c r="BV86" s="7">
        <f>+Tabla145[[#This Row],[Ponderación mes n+2]]+Tabla145[[#This Row],[Saldo mes n-1]]</f>
        <v>21114</v>
      </c>
      <c r="BW86" s="7">
        <f>+Tabla145[[#This Row],[Asignación mes n+2]]-Tabla145[[#This Row],[Ponderación mes n+2]]</f>
        <v>0</v>
      </c>
      <c r="BX86" s="7">
        <f>IFERROR(VLOOKUP(Tabla145[[#This Row],[Llave]],'[21]RV n+2 y n+3'!$B:$F,5,FALSE),0)</f>
        <v>0</v>
      </c>
      <c r="BY86" s="7">
        <f>+Tabla145[[#This Row],[Asignación mes n+3]]*Tabla145[[#This Row],[% Uti. producción]]</f>
        <v>0</v>
      </c>
      <c r="BZ86" s="3">
        <f>+Tabla145[[#This Row],[Ponderación mes n+3]]+Tabla145[[#This Row],[Saldo mes n+2]]</f>
        <v>0</v>
      </c>
      <c r="CA86" s="3">
        <f>+Tabla145[[#This Row],[Asignación mes n+3]]-Tabla145[[#This Row],[Ponderación mes n+3]]</f>
        <v>0</v>
      </c>
      <c r="CB86" s="3">
        <f>+Tabla145[[#This Row],[Producción disponible mes n-1]]+Tabla145[[#This Row],[Producción disponible]]</f>
        <v>24543</v>
      </c>
      <c r="CC86" s="3">
        <f>+Tabla145[[#This Row],[Saldo mes n+4]]-Tabla145[[#This Row],[ RV Producción mes n+1]]</f>
        <v>0</v>
      </c>
    </row>
    <row r="87" spans="1:81" ht="16" x14ac:dyDescent="0.2">
      <c r="A87">
        <v>1</v>
      </c>
      <c r="B87" t="str">
        <f>Tabla145[[#This Row],[Oficina]]&amp;Tabla145[[#This Row],[Material]]</f>
        <v>Agrosuper Asia1021655</v>
      </c>
      <c r="C87" t="s">
        <v>6</v>
      </c>
      <c r="D87" t="s">
        <v>173</v>
      </c>
      <c r="E87">
        <v>1021655</v>
      </c>
      <c r="F87" t="s">
        <v>326</v>
      </c>
      <c r="G87" t="s">
        <v>76</v>
      </c>
      <c r="H87" t="s">
        <v>84</v>
      </c>
      <c r="I87" s="7">
        <f>IFERROR(VLOOKUP(Tabla145[[#This Row],[Llave]],'[7]RV Producción'!$C:$G,5,FALSE),0)</f>
        <v>0</v>
      </c>
      <c r="J87" s="3">
        <f>IFERROR(IF(Tabla145[[#This Row],[Oficina]]=$I$7,VLOOKUP(Tabla145[[#This Row],[Llave]],'[7]Shangai (Tomas)'!$A:$F,6,FALSE),VLOOKUP(Tabla145[[#This Row],[Llave]],'[7]RV plan de ventas'!$A:$E,5,FALSE)),0)</f>
        <v>0</v>
      </c>
      <c r="K87" s="8">
        <f>IFERROR(VLOOKUP(Tabla145[[#This Row],[Oficina]],[15]Ponderación!$B$2:$E$9,4,FALSE),0)</f>
        <v>0.45719439678473212</v>
      </c>
      <c r="L87" s="7">
        <f>+Tabla145[[#This Row],[ RV Producción mes n+1]]*Tabla145[[#This Row],[% Uti. producción]]</f>
        <v>0</v>
      </c>
      <c r="M87" s="7">
        <f>IFERROR(VLOOKUP(Tabla145[[#This Row],[Material]],[16]Stock!$G:$K,5,FALSE),0)</f>
        <v>10440</v>
      </c>
      <c r="N87" s="7">
        <f>IFERROR(VLOOKUP(Tabla145[[#This Row],[Material]],[16]Produccion!$M:$N,2,FALSE),0)</f>
        <v>10000</v>
      </c>
      <c r="O87" s="7">
        <f>IFERROR(VLOOKUP(Tabla145[[#This Row],[Llave]],'[16]TD Conf-AP'!$I:$M,4,FALSE),0)</f>
        <v>0</v>
      </c>
      <c r="P87" s="14">
        <f>SUM(Tabla145[[#This Row],[Producción disponible]],Tabla145[[#This Row],[Stock al día]],(Tabla145[[#This Row],[Por producir mes N]]*0.9))-Tabla145[[#This Row],[Producción por despachar mes N]]</f>
        <v>19440</v>
      </c>
      <c r="Q87" s="7">
        <f>IFERROR(VLOOKUP(Tabla145[[#This Row],[Llave]],[17]DELAY!$A:$D,4,FALSE),0)</f>
        <v>24000</v>
      </c>
      <c r="R87" s="9">
        <v>24000</v>
      </c>
      <c r="S87" s="5">
        <f t="shared" si="6"/>
        <v>0</v>
      </c>
      <c r="T87" s="76">
        <v>0</v>
      </c>
      <c r="U87" s="5">
        <f>+Tabla145[[#This Row],[Atraso a facturar]]+Tabla145[[#This Row],[Ajuste atraso]]</f>
        <v>0</v>
      </c>
      <c r="V87" s="3">
        <f>+Tabla145[[#This Row],[Total disponible]]-Tabla145[[#This Row],[Facturación atraso]]</f>
        <v>19440</v>
      </c>
      <c r="W87" s="6">
        <f>IFERROR(IF(AND(V87&gt;R87,J87&gt;=R87),ROUNDDOWN((Tabla145[[#This Row],[Producción para venta nueva]])/R87,0)*R87,0),0)</f>
        <v>0</v>
      </c>
      <c r="X87" s="76">
        <v>0</v>
      </c>
      <c r="Y87" s="6">
        <f>IF(Tabla145[[#This Row],[Venta del mes]]&gt;0,Tabla145[[#This Row],[Venta del mes]]+Tabla145[[#This Row],[Ajuste venta nueva]],0)</f>
        <v>0</v>
      </c>
      <c r="Z87" s="6">
        <f>+Tabla145[[#This Row],[Producción para venta nueva]]-Tabla145[[#This Row],[Facturación Venta nueva]]</f>
        <v>19440</v>
      </c>
      <c r="AA87" s="6">
        <f>IF(AND(A87=1,Tabla145[[#This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7" s="6">
        <v>0</v>
      </c>
      <c r="AC87" s="6">
        <f>IF(Tabla145[[#This Row],[Disponible stock sin venta]]&gt;0,Tabla145[[#This Row],[Disponible stock sin venta]]+Tabla145[[#This Row],[Ajuste stock sin venta]],0)</f>
        <v>0</v>
      </c>
      <c r="AD87" s="3">
        <f>IFERROR(VLOOKUP(Tabla145[[#This Row],[Llave]],'[16]TD Puerto'!$A:$D,4,FALSE),0)</f>
        <v>0</v>
      </c>
      <c r="AE87" s="3">
        <v>24000</v>
      </c>
      <c r="AF87" s="3">
        <f>+Tabla145[[#This Row],[Plan Irrestricto Inicial]]</f>
        <v>24000</v>
      </c>
      <c r="AG87" s="3">
        <f>+Tabla145[[#This Row],[En puerto a facturar]]</f>
        <v>0</v>
      </c>
      <c r="AH87" s="3">
        <f>+Tabla145[[#This Row],[Facturación atraso]]</f>
        <v>0</v>
      </c>
      <c r="AI87" s="3">
        <f>+Tabla145[[#This Row],[Plan Irrestricto]]-Tabla145[[#This Row],[Puerto ]]-Tabla145[[#This Row],[Atraso]]</f>
        <v>24000</v>
      </c>
      <c r="AJ8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87" s="3">
        <f>+Tabla145[[#This Row],[Facturación atraso]]</f>
        <v>0</v>
      </c>
      <c r="AL87" s="3">
        <f>+Tabla145[[#This Row],[Plan Ajustado]]-Tabla145[[#This Row],[ Atraso ajustado]]-Tabla145[[#This Row],[Puerto ]]</f>
        <v>0</v>
      </c>
      <c r="AM87" s="6">
        <f>IFERROR(VLOOKUP(Tabla145[[#This Row],[Llave]],[18]!Tabla14[#All],34,FALSE),0)</f>
        <v>0</v>
      </c>
      <c r="AN87" s="6">
        <f>IFERROR(VLOOKUP(Tabla145[[#This Row],[Llave]],[18]!Tabla14[#All],35,FALSE),0)</f>
        <v>0</v>
      </c>
      <c r="AO87" s="3" t="str">
        <f>IF(Tabla145[[#This Row],[Plan Ajustado]]&gt;Tabla145[[#This Row],[En puerto a facturar]],"Si","No")</f>
        <v>No</v>
      </c>
      <c r="AP8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87" s="3">
        <f>IF(Tabla145[[#This Row],[Necesidad]]&gt;=Tabla145[[#This Row],[Stock al día]],Tabla145[[#This Row],[Stock al día]],Tabla145[[#This Row],[Necesidad]])</f>
        <v>0</v>
      </c>
      <c r="AR87" s="3">
        <f>+Tabla145[[#This Row],[Necesidad]]-Tabla145[[#This Row],[Stock Plan]]</f>
        <v>0</v>
      </c>
      <c r="AS87" s="155">
        <f>IFERROR(VLOOKUP(Tabla145[[#This Row],[Oficina]],[19]Ponderación!$B$14:$E$21,4,FALSE),"")</f>
        <v>44786</v>
      </c>
      <c r="AT8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1.8645504166666667</v>
      </c>
      <c r="AU87" s="83">
        <f>IFERROR(VLOOKUP(Tabla145[[#This Row],[Llave]],[17]DELAY!$H:$W,16,FALSE),0)</f>
        <v>1.86455041666667</v>
      </c>
      <c r="AV8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87" s="5">
        <f>Tabla145[[#This Row],[Ajuste precio IC]]*Tabla145[[#This Row],[Plan Ajustado]]</f>
        <v>0</v>
      </c>
      <c r="AX87" s="30">
        <f>IFERROR(VLOOKUP(Tabla145[[#This Row],[Llave]],'[13]Ultimos precios facturados'!$A:$G,7,FALSE),0)</f>
        <v>1.8645504166666667</v>
      </c>
      <c r="AY8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87" s="30">
        <f>IFERROR(VLOOKUP(Tabla145[[#This Row],[Llave]],Hoja2!B:K,10,FALSE),0)</f>
        <v>0</v>
      </c>
      <c r="BA87" s="30">
        <f>IF(Tabla145[[#This Row],[Ajuste precio IC]]="",Tabla145[[#This Row],[Precio ponderado]],Tabla145[[#This Row],[Precio ponderado]])</f>
        <v>0</v>
      </c>
      <c r="BB87" s="82"/>
      <c r="BC87" s="82" t="str">
        <f>IF(AND(Tabla145[[#This Row],[Atraso a facturar]]&gt;0,Tabla145[[#This Row],[Precio Atraso]]=0),"Revisar","OK")</f>
        <v>OK</v>
      </c>
      <c r="BD87" s="82" t="str">
        <f>IF(AND(Tabla145[[#This Row],[Venta del mes]]&gt;0,Tabla145[[#This Row],[Precio venta nueva]]=0),"Revisar","OK")</f>
        <v>OK</v>
      </c>
      <c r="BE87" s="20">
        <f>IFERROR(VLOOKUP(Tabla145[[#This Row],[Llave]],'[5]Consolidación planes'!$A:$M,9,FALSE),0)</f>
        <v>0</v>
      </c>
      <c r="BF87" s="20">
        <f>IFERROR(VLOOKUP(Tabla145[[#This Row],[Llave]],'[5]Consolidación planes'!$A:$M,10,FALSE),0)</f>
        <v>0</v>
      </c>
      <c r="BG87" s="20">
        <f>IFERROR(VLOOKUP(Tabla145[[#This Row],[Llave]],'[5]Consolidación planes'!$A:$M,11,FALSE),0)</f>
        <v>0</v>
      </c>
      <c r="BH87" s="20">
        <f>IFERROR(VLOOKUP(Tabla145[[#This Row],[Llave]],'[5]Consolidación planes'!$A:$M,12,FALSE),0)</f>
        <v>0</v>
      </c>
      <c r="BI87" s="20">
        <f>IFERROR(VLOOKUP(Tabla145[[#This Row],[Llave]],'[5]Consolidación planes'!$A:$M,13,FALSE),0)</f>
        <v>48000</v>
      </c>
      <c r="BJ87" s="20">
        <f>IFERROR(VLOOKUP(Tabla145[[#This Row],[Llave]],'[13]Base ultimos planes'!$A:$M,13,FALSE),0)</f>
        <v>24000</v>
      </c>
      <c r="BK87" s="80">
        <f>IFERROR(VLOOKUP(Tabla145[[#This Row],[Llave]],'[13]Base ultimos planes'!$O:$AA,8,FALSE),0)</f>
        <v>0</v>
      </c>
      <c r="BL87" s="20">
        <f>IFERROR(VLOOKUP(Tabla145[[#This Row],[Llave]],'[13]Base ultimos planes'!$O:$AA,9,FALSE),0)</f>
        <v>0</v>
      </c>
      <c r="BM87" s="20">
        <f>IFERROR(VLOOKUP(Tabla145[[#This Row],[Llave]],'[13]Base ultimos planes'!$O:$AA,10,FALSE),0)</f>
        <v>0</v>
      </c>
      <c r="BN87" s="20">
        <f>IFERROR(VLOOKUP(Tabla145[[#This Row],[Llave]],'[13]Base ultimos planes'!$O:$AA,11,FALSE),0)</f>
        <v>0</v>
      </c>
      <c r="BO87" s="20">
        <f>IFERROR(VLOOKUP(Tabla145[[#This Row],[Llave]],'[13]Base ultimos planes'!$O:$AA,12,FALSE),0)</f>
        <v>96000</v>
      </c>
      <c r="BP87" s="20">
        <f>IFERROR(VLOOKUP(Tabla145[[#This Row],[Llave]],'[13]Base ultimos planes'!$O:$AA,13,FALSE),0)</f>
        <v>46375</v>
      </c>
      <c r="BQ87" s="20"/>
      <c r="BR87" s="20">
        <f>Tabla145[[#This Row],[ RV Producción mes n+1]]*(1-Tabla145[[#This Row],[% Uti. producción]])</f>
        <v>0</v>
      </c>
      <c r="BS87" s="20">
        <f>+Tabla145[[#This Row],[Producción disponible mes n-1]]+Tabla145[[#This Row],[Saldo Volumen disponible]]</f>
        <v>19440</v>
      </c>
      <c r="BT87" s="7">
        <f>IFERROR(VLOOKUP(Tabla145[[#This Row],[Llave]],'[21]RV n+2 y n+3'!$B:$F,4,FALSE),0)</f>
        <v>0</v>
      </c>
      <c r="BU87" s="7">
        <f>+Tabla145[[#This Row],[Asignación mes n+2]]*Tabla145[[#This Row],[% Uti. producción]]</f>
        <v>0</v>
      </c>
      <c r="BV87" s="7">
        <f>+Tabla145[[#This Row],[Ponderación mes n+2]]+Tabla145[[#This Row],[Saldo mes n-1]]</f>
        <v>19440</v>
      </c>
      <c r="BW87" s="7">
        <f>+Tabla145[[#This Row],[Asignación mes n+2]]-Tabla145[[#This Row],[Ponderación mes n+2]]</f>
        <v>0</v>
      </c>
      <c r="BX87" s="7">
        <f>IFERROR(VLOOKUP(Tabla145[[#This Row],[Llave]],'[21]RV n+2 y n+3'!$B:$F,5,FALSE),0)</f>
        <v>0</v>
      </c>
      <c r="BY87" s="7">
        <f>+Tabla145[[#This Row],[Asignación mes n+3]]*Tabla145[[#This Row],[% Uti. producción]]</f>
        <v>0</v>
      </c>
      <c r="BZ87" s="3">
        <f>+Tabla145[[#This Row],[Ponderación mes n+3]]+Tabla145[[#This Row],[Saldo mes n+2]]</f>
        <v>0</v>
      </c>
      <c r="CA87" s="3">
        <f>+Tabla145[[#This Row],[Asignación mes n+3]]-Tabla145[[#This Row],[Ponderación mes n+3]]</f>
        <v>0</v>
      </c>
      <c r="CB87" s="3">
        <f>+Tabla145[[#This Row],[Producción disponible mes n-1]]+Tabla145[[#This Row],[Producción disponible]]</f>
        <v>0</v>
      </c>
      <c r="CC87" s="3">
        <f>+Tabla145[[#This Row],[Saldo mes n+4]]-Tabla145[[#This Row],[ RV Producción mes n+1]]</f>
        <v>0</v>
      </c>
    </row>
    <row r="88" spans="1:81" ht="16" x14ac:dyDescent="0.2">
      <c r="A88">
        <v>1</v>
      </c>
      <c r="B88" t="str">
        <f>Tabla145[[#This Row],[Oficina]]&amp;Tabla145[[#This Row],[Material]]</f>
        <v>Agrosuper Asia1021664</v>
      </c>
      <c r="C88" t="s">
        <v>6</v>
      </c>
      <c r="D88" t="s">
        <v>173</v>
      </c>
      <c r="E88">
        <v>1021664</v>
      </c>
      <c r="F88" t="s">
        <v>174</v>
      </c>
      <c r="G88" t="s">
        <v>25</v>
      </c>
      <c r="H88" t="s">
        <v>26</v>
      </c>
      <c r="I88" s="7">
        <f>IFERROR(VLOOKUP(Tabla145[[#This Row],[Llave]],'[7]RV Producción'!$C:$G,5,FALSE),0)</f>
        <v>0</v>
      </c>
      <c r="J88" s="3">
        <f>IFERROR(IF(Tabla145[[#This Row],[Oficina]]=$I$7,VLOOKUP(Tabla145[[#This Row],[Llave]],'[7]Shangai (Tomas)'!$A:$F,6,FALSE),VLOOKUP(Tabla145[[#This Row],[Llave]],'[7]RV plan de ventas'!$A:$E,5,FALSE)),0)</f>
        <v>0</v>
      </c>
      <c r="K88" s="8">
        <f>IFERROR(VLOOKUP(Tabla145[[#This Row],[Oficina]],[15]Ponderación!$B$2:$E$9,4,FALSE),0)</f>
        <v>0.45719439678473212</v>
      </c>
      <c r="L88" s="7">
        <f>+Tabla145[[#This Row],[ RV Producción mes n+1]]*Tabla145[[#This Row],[% Uti. producción]]</f>
        <v>0</v>
      </c>
      <c r="M88" s="7">
        <f>IFERROR(VLOOKUP(Tabla145[[#This Row],[Material]],[16]Stock!$G:$K,5,FALSE),0)</f>
        <v>26487</v>
      </c>
      <c r="N88" s="7">
        <f>IFERROR(VLOOKUP(Tabla145[[#This Row],[Material]],[16]Produccion!$M:$N,2,FALSE),0)</f>
        <v>0</v>
      </c>
      <c r="O88" s="7">
        <f>IFERROR(VLOOKUP(Tabla145[[#This Row],[Llave]],'[16]TD Conf-AP'!$I:$M,4,FALSE),0)</f>
        <v>0</v>
      </c>
      <c r="P88" s="14">
        <f>SUM(Tabla145[[#This Row],[Producción disponible]],Tabla145[[#This Row],[Stock al día]],(Tabla145[[#This Row],[Por producir mes N]]*0.9))-Tabla145[[#This Row],[Producción por despachar mes N]]</f>
        <v>26487</v>
      </c>
      <c r="Q88" s="7">
        <f>IFERROR(VLOOKUP(Tabla145[[#This Row],[Llave]],[17]DELAY!$A:$D,4,FALSE),0)</f>
        <v>39000</v>
      </c>
      <c r="R88" s="9">
        <v>22000</v>
      </c>
      <c r="S88" s="5">
        <f t="shared" si="6"/>
        <v>22000</v>
      </c>
      <c r="T88" s="76">
        <v>0</v>
      </c>
      <c r="U88" s="5">
        <f>+Tabla145[[#This Row],[Atraso a facturar]]+Tabla145[[#This Row],[Ajuste atraso]]</f>
        <v>22000</v>
      </c>
      <c r="V88" s="3">
        <f>+Tabla145[[#This Row],[Total disponible]]-Tabla145[[#This Row],[Facturación atraso]]</f>
        <v>4487</v>
      </c>
      <c r="W88" s="6">
        <f>IFERROR(IF(AND(V88&gt;R88,J88&gt;=R88),ROUNDDOWN((Tabla145[[#This Row],[Producción para venta nueva]])/R88,0)*R88,0),0)</f>
        <v>0</v>
      </c>
      <c r="X88" s="76">
        <v>0</v>
      </c>
      <c r="Y88" s="6">
        <f>IF(Tabla145[[#This Row],[Venta del mes]]&gt;0,Tabla145[[#This Row],[Venta del mes]]+Tabla145[[#This Row],[Ajuste venta nueva]],0)</f>
        <v>0</v>
      </c>
      <c r="Z88" s="6">
        <f>+Tabla145[[#This Row],[Producción para venta nueva]]-Tabla145[[#This Row],[Facturación Venta nueva]]</f>
        <v>4487</v>
      </c>
      <c r="AA88" s="6">
        <f>IF(AND(A88=1,Tabla145[[#This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8" s="6">
        <v>0</v>
      </c>
      <c r="AC88" s="6">
        <f>IF(Tabla145[[#This Row],[Disponible stock sin venta]]&gt;0,Tabla145[[#This Row],[Disponible stock sin venta]]+Tabla145[[#This Row],[Ajuste stock sin venta]],0)</f>
        <v>0</v>
      </c>
      <c r="AD88" s="3">
        <f>IFERROR(VLOOKUP(Tabla145[[#This Row],[Llave]],'[16]TD Puerto'!$A:$D,4,FALSE),0)</f>
        <v>0</v>
      </c>
      <c r="AE88" s="3">
        <v>22000</v>
      </c>
      <c r="AF88" s="3">
        <f>+Tabla145[[#This Row],[Plan Irrestricto Inicial]]</f>
        <v>22000</v>
      </c>
      <c r="AG88" s="3">
        <f>+Tabla145[[#This Row],[En puerto a facturar]]</f>
        <v>0</v>
      </c>
      <c r="AH88" s="3">
        <f>+Tabla145[[#This Row],[Facturación atraso]]</f>
        <v>22000</v>
      </c>
      <c r="AI88" s="3">
        <f>+Tabla145[[#This Row],[Plan Irrestricto]]-Tabla145[[#This Row],[Puerto ]]-Tabla145[[#This Row],[Atraso]]</f>
        <v>0</v>
      </c>
      <c r="AJ88" s="3">
        <f>IF(Tabla145[[#This Row],[Plan Irrestricto]]&gt;0,SUM(Tabla145[[#This Row],[Facturación atraso]],Tabla145[[#This Row],[Facturación Venta nueva]],Tabla145[[#This Row],[Facturación stock]],Tabla145[[#This Row],[En puerto a facturar]]),0)</f>
        <v>22000</v>
      </c>
      <c r="AK88" s="3">
        <f>+Tabla145[[#This Row],[Facturación atraso]]</f>
        <v>22000</v>
      </c>
      <c r="AL88" s="3">
        <f>+Tabla145[[#This Row],[Plan Ajustado]]-Tabla145[[#This Row],[ Atraso ajustado]]-Tabla145[[#This Row],[Puerto ]]</f>
        <v>0</v>
      </c>
      <c r="AM88" s="6">
        <f>IFERROR(VLOOKUP(Tabla145[[#This Row],[Llave]],[18]!Tabla14[#All],34,FALSE),0)</f>
        <v>0</v>
      </c>
      <c r="AN88" s="6">
        <f>IFERROR(VLOOKUP(Tabla145[[#This Row],[Llave]],[18]!Tabla14[#All],35,FALSE),0)</f>
        <v>0</v>
      </c>
      <c r="AO88" s="3" t="str">
        <f>IF(Tabla145[[#This Row],[Plan Ajustado]]&gt;Tabla145[[#This Row],[En puerto a facturar]],"Si","No")</f>
        <v>Si</v>
      </c>
      <c r="AP88" s="3">
        <f>IF(AND(Tabla145[[#This Row],[Plan Ajustado]]&gt;0,Tabla145[[#This Row],[Plan Ajustado]]&gt;Tabla145[[#This Row],[En puerto a facturar]]),(Tabla145[[#This Row],[Plan Ajustado]]-Tabla145[[#This Row],[En puerto a facturar]]),0)</f>
        <v>22000</v>
      </c>
      <c r="AQ88" s="3">
        <f>IF(Tabla145[[#This Row],[Necesidad]]&gt;=Tabla145[[#This Row],[Stock al día]],Tabla145[[#This Row],[Stock al día]],Tabla145[[#This Row],[Necesidad]])</f>
        <v>22000</v>
      </c>
      <c r="AR88" s="3">
        <f>+Tabla145[[#This Row],[Necesidad]]-Tabla145[[#This Row],[Stock Plan]]</f>
        <v>0</v>
      </c>
      <c r="AS88" s="155">
        <f>IFERROR(VLOOKUP(Tabla145[[#This Row],[Oficina]],[19]Ponderación!$B$14:$E$21,4,FALSE),"")</f>
        <v>44786</v>
      </c>
      <c r="AT8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5.5295502933023597</v>
      </c>
      <c r="AU88" s="83">
        <f>IFERROR(VLOOKUP(Tabla145[[#This Row],[Llave]],[17]DELAY!$H:$W,16,FALSE),0)</f>
        <v>5.7157179487179501</v>
      </c>
      <c r="AV8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5.7157179487179501</v>
      </c>
      <c r="AW88" s="5">
        <f>Tabla145[[#This Row],[Ajuste precio IC]]*Tabla145[[#This Row],[Plan Ajustado]]</f>
        <v>125745.7948717949</v>
      </c>
      <c r="AX88" s="30">
        <f>IFERROR(VLOOKUP(Tabla145[[#This Row],[Llave]],'[13]Ultimos precios facturados'!$A:$G,7,FALSE),0)</f>
        <v>5.5295502933023597</v>
      </c>
      <c r="AY8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3.3667775052355541E-2</v>
      </c>
      <c r="AZ88" s="30">
        <f>IFERROR(VLOOKUP(Tabla145[[#This Row],[Llave]],Hoja2!B:K,10,FALSE),0)</f>
        <v>5.7157179487179501</v>
      </c>
      <c r="BA88" s="30">
        <f>IF(Tabla145[[#This Row],[Ajuste precio IC]]="",Tabla145[[#This Row],[Precio ponderado]],Tabla145[[#This Row],[Precio ponderado]])</f>
        <v>5.7157179487179501</v>
      </c>
      <c r="BB88" s="82"/>
      <c r="BC88" s="82" t="str">
        <f>IF(AND(Tabla145[[#This Row],[Atraso a facturar]]&gt;0,Tabla145[[#This Row],[Precio Atraso]]=0),"Revisar","OK")</f>
        <v>OK</v>
      </c>
      <c r="BD88" s="82" t="str">
        <f>IF(AND(Tabla145[[#This Row],[Venta del mes]]&gt;0,Tabla145[[#This Row],[Precio venta nueva]]=0),"Revisar","OK")</f>
        <v>OK</v>
      </c>
      <c r="BE88" s="20">
        <f>IFERROR(VLOOKUP(Tabla145[[#This Row],[Llave]],'[5]Consolidación planes'!$A:$M,9,FALSE),0)</f>
        <v>154000</v>
      </c>
      <c r="BF88" s="20">
        <f>IFERROR(VLOOKUP(Tabla145[[#This Row],[Llave]],'[5]Consolidación planes'!$A:$M,10,FALSE),0)</f>
        <v>66000</v>
      </c>
      <c r="BG88" s="20">
        <f>IFERROR(VLOOKUP(Tabla145[[#This Row],[Llave]],'[5]Consolidación planes'!$A:$M,11,FALSE),0)</f>
        <v>66000</v>
      </c>
      <c r="BH88" s="20">
        <f>IFERROR(VLOOKUP(Tabla145[[#This Row],[Llave]],'[5]Consolidación planes'!$A:$M,12,FALSE),0)</f>
        <v>66000</v>
      </c>
      <c r="BI88" s="20">
        <f>IFERROR(VLOOKUP(Tabla145[[#This Row],[Llave]],'[5]Consolidación planes'!$A:$M,13,FALSE),0)</f>
        <v>44000</v>
      </c>
      <c r="BJ88" s="20">
        <f>IFERROR(VLOOKUP(Tabla145[[#This Row],[Llave]],'[13]Base ultimos planes'!$A:$M,13,FALSE),0)</f>
        <v>0</v>
      </c>
      <c r="BK88" s="80">
        <f>IFERROR(VLOOKUP(Tabla145[[#This Row],[Llave]],'[13]Base ultimos planes'!$O:$AA,8,FALSE),0)</f>
        <v>927442.25</v>
      </c>
      <c r="BL88" s="20">
        <f>IFERROR(VLOOKUP(Tabla145[[#This Row],[Llave]],'[13]Base ultimos planes'!$O:$AA,9,FALSE),0)</f>
        <v>349140</v>
      </c>
      <c r="BM88" s="20">
        <f>IFERROR(VLOOKUP(Tabla145[[#This Row],[Llave]],'[13]Base ultimos planes'!$O:$AA,10,FALSE),0)</f>
        <v>364980</v>
      </c>
      <c r="BN88" s="20">
        <f>IFERROR(VLOOKUP(Tabla145[[#This Row],[Llave]],'[13]Base ultimos planes'!$O:$AA,11,FALSE),0)</f>
        <v>362785</v>
      </c>
      <c r="BO88" s="20">
        <f>IFERROR(VLOOKUP(Tabla145[[#This Row],[Llave]],'[13]Base ultimos planes'!$O:$AA,12,FALSE),0)</f>
        <v>242281</v>
      </c>
      <c r="BP88" s="20">
        <f>IFERROR(VLOOKUP(Tabla145[[#This Row],[Llave]],'[13]Base ultimos planes'!$O:$AA,13,FALSE),0)</f>
        <v>0</v>
      </c>
      <c r="BQ88" s="20"/>
      <c r="BR88" s="20">
        <f>Tabla145[[#This Row],[ RV Producción mes n+1]]*(1-Tabla145[[#This Row],[% Uti. producción]])</f>
        <v>0</v>
      </c>
      <c r="BS88" s="20">
        <f>+Tabla145[[#This Row],[Producción disponible mes n-1]]+Tabla145[[#This Row],[Saldo Volumen disponible]]</f>
        <v>4487</v>
      </c>
      <c r="BT88" s="7">
        <f>IFERROR(VLOOKUP(Tabla145[[#This Row],[Llave]],'[21]RV n+2 y n+3'!$B:$F,4,FALSE),0)</f>
        <v>0</v>
      </c>
      <c r="BU88" s="7">
        <f>+Tabla145[[#This Row],[Asignación mes n+2]]*Tabla145[[#This Row],[% Uti. producción]]</f>
        <v>0</v>
      </c>
      <c r="BV88" s="7">
        <f>+Tabla145[[#This Row],[Ponderación mes n+2]]+Tabla145[[#This Row],[Saldo mes n-1]]</f>
        <v>4487</v>
      </c>
      <c r="BW88" s="7">
        <f>+Tabla145[[#This Row],[Asignación mes n+2]]-Tabla145[[#This Row],[Ponderación mes n+2]]</f>
        <v>0</v>
      </c>
      <c r="BX88" s="7">
        <f>IFERROR(VLOOKUP(Tabla145[[#This Row],[Llave]],'[21]RV n+2 y n+3'!$B:$F,5,FALSE),0)</f>
        <v>0</v>
      </c>
      <c r="BY88" s="7">
        <f>+Tabla145[[#This Row],[Asignación mes n+3]]*Tabla145[[#This Row],[% Uti. producción]]</f>
        <v>0</v>
      </c>
      <c r="BZ88" s="3">
        <f>+Tabla145[[#This Row],[Ponderación mes n+3]]+Tabla145[[#This Row],[Saldo mes n+2]]</f>
        <v>0</v>
      </c>
      <c r="CA88" s="3">
        <f>+Tabla145[[#This Row],[Asignación mes n+3]]-Tabla145[[#This Row],[Ponderación mes n+3]]</f>
        <v>0</v>
      </c>
      <c r="CB88" s="3">
        <f>+Tabla145[[#This Row],[Producción disponible mes n-1]]+Tabla145[[#This Row],[Producción disponible]]</f>
        <v>0</v>
      </c>
      <c r="CC88" s="3">
        <f>+Tabla145[[#This Row],[Saldo mes n+4]]-Tabla145[[#This Row],[ RV Producción mes n+1]]</f>
        <v>0</v>
      </c>
    </row>
    <row r="89" spans="1:81" ht="16" x14ac:dyDescent="0.2">
      <c r="A89">
        <v>1</v>
      </c>
      <c r="B89" t="str">
        <f>Tabla145[[#This Row],[Oficina]]&amp;Tabla145[[#This Row],[Material]]</f>
        <v>Agrosuper Asia1021665</v>
      </c>
      <c r="C89" t="s">
        <v>6</v>
      </c>
      <c r="D89" t="s">
        <v>173</v>
      </c>
      <c r="E89">
        <v>1021665</v>
      </c>
      <c r="F89" t="s">
        <v>175</v>
      </c>
      <c r="G89" t="s">
        <v>25</v>
      </c>
      <c r="H89" t="s">
        <v>26</v>
      </c>
      <c r="I89" s="7">
        <f>IFERROR(VLOOKUP(Tabla145[[#This Row],[Llave]],'[7]RV Producción'!$C:$G,5,FALSE),0)</f>
        <v>0</v>
      </c>
      <c r="J89" s="3">
        <f>IFERROR(IF(Tabla145[[#This Row],[Oficina]]=$I$7,VLOOKUP(Tabla145[[#This Row],[Llave]],'[7]Shangai (Tomas)'!$A:$F,6,FALSE),VLOOKUP(Tabla145[[#This Row],[Llave]],'[7]RV plan de ventas'!$A:$E,5,FALSE)),0)</f>
        <v>0</v>
      </c>
      <c r="K89" s="8">
        <f>IFERROR(VLOOKUP(Tabla145[[#This Row],[Oficina]],[15]Ponderación!$B$2:$E$9,4,FALSE),0)</f>
        <v>0.45719439678473212</v>
      </c>
      <c r="L89" s="7">
        <f>+Tabla145[[#This Row],[ RV Producción mes n+1]]*Tabla145[[#This Row],[% Uti. producción]]</f>
        <v>0</v>
      </c>
      <c r="M89" s="7">
        <f>IFERROR(VLOOKUP(Tabla145[[#This Row],[Material]],[16]Stock!$G:$K,5,FALSE),0)</f>
        <v>1774</v>
      </c>
      <c r="N89" s="7">
        <f>IFERROR(VLOOKUP(Tabla145[[#This Row],[Material]],[16]Produccion!$M:$N,2,FALSE),0)</f>
        <v>0</v>
      </c>
      <c r="O89" s="7">
        <f>IFERROR(VLOOKUP(Tabla145[[#This Row],[Llave]],'[16]TD Conf-AP'!$I:$M,4,FALSE),0)</f>
        <v>0</v>
      </c>
      <c r="P89" s="14">
        <f>SUM(Tabla145[[#This Row],[Producción disponible]],Tabla145[[#This Row],[Stock al día]],(Tabla145[[#This Row],[Por producir mes N]]*0.9))-Tabla145[[#This Row],[Producción por despachar mes N]]</f>
        <v>1774</v>
      </c>
      <c r="Q89" s="7">
        <f>IFERROR(VLOOKUP(Tabla145[[#This Row],[Llave]],[17]DELAY!$A:$D,4,FALSE),0)</f>
        <v>0</v>
      </c>
      <c r="R89" s="9">
        <v>22000</v>
      </c>
      <c r="S89" s="5">
        <f t="shared" si="6"/>
        <v>0</v>
      </c>
      <c r="T89" s="76">
        <v>0</v>
      </c>
      <c r="U89" s="5">
        <f>+Tabla145[[#This Row],[Atraso a facturar]]+Tabla145[[#This Row],[Ajuste atraso]]</f>
        <v>0</v>
      </c>
      <c r="V89" s="3">
        <f>+Tabla145[[#This Row],[Total disponible]]-Tabla145[[#This Row],[Facturación atraso]]</f>
        <v>1774</v>
      </c>
      <c r="W89" s="6">
        <f>IFERROR(IF(AND(V89&gt;R89,J89&gt;=R89),ROUNDDOWN((Tabla145[[#This Row],[Producción para venta nueva]])/R89,0)*R89,0),0)</f>
        <v>0</v>
      </c>
      <c r="X89" s="76">
        <v>0</v>
      </c>
      <c r="Y89" s="6">
        <f>IF(Tabla145[[#This Row],[Venta del mes]]&gt;0,Tabla145[[#This Row],[Venta del mes]]+Tabla145[[#This Row],[Ajuste venta nueva]],0)</f>
        <v>0</v>
      </c>
      <c r="Z89" s="6">
        <f>+Tabla145[[#This Row],[Producción para venta nueva]]-Tabla145[[#This Row],[Facturación Venta nueva]]</f>
        <v>1774</v>
      </c>
      <c r="AA89" s="6">
        <f>IF(AND(A89=1,Tabla145[[#This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89" s="6">
        <v>0</v>
      </c>
      <c r="AC89" s="6">
        <f>IF(Tabla145[[#This Row],[Disponible stock sin venta]]&gt;0,Tabla145[[#This Row],[Disponible stock sin venta]]+Tabla145[[#This Row],[Ajuste stock sin venta]],0)</f>
        <v>0</v>
      </c>
      <c r="AD89" s="3">
        <f>IFERROR(VLOOKUP(Tabla145[[#This Row],[Llave]],'[16]TD Puerto'!$A:$D,4,FALSE),0)</f>
        <v>0</v>
      </c>
      <c r="AE89" s="3">
        <v>0</v>
      </c>
      <c r="AF89" s="3">
        <f>+Tabla145[[#This Row],[Plan Irrestricto Inicial]]</f>
        <v>0</v>
      </c>
      <c r="AG89" s="3">
        <f>+Tabla145[[#This Row],[En puerto a facturar]]</f>
        <v>0</v>
      </c>
      <c r="AH89" s="3">
        <f>+Tabla145[[#This Row],[Facturación atraso]]</f>
        <v>0</v>
      </c>
      <c r="AI89" s="3">
        <f>+Tabla145[[#This Row],[Plan Irrestricto]]-Tabla145[[#This Row],[Puerto ]]-Tabla145[[#This Row],[Atraso]]</f>
        <v>0</v>
      </c>
      <c r="AJ8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89" s="3">
        <f>+Tabla145[[#This Row],[Facturación atraso]]</f>
        <v>0</v>
      </c>
      <c r="AL89" s="3">
        <f>+Tabla145[[#This Row],[Plan Ajustado]]-Tabla145[[#This Row],[ Atraso ajustado]]-Tabla145[[#This Row],[Puerto ]]</f>
        <v>0</v>
      </c>
      <c r="AM89" s="6">
        <f>IFERROR(VLOOKUP(Tabla145[[#This Row],[Llave]],[18]!Tabla14[#All],34,FALSE),0)</f>
        <v>0</v>
      </c>
      <c r="AN89" s="6">
        <f>IFERROR(VLOOKUP(Tabla145[[#This Row],[Llave]],[18]!Tabla14[#All],35,FALSE),0)</f>
        <v>0</v>
      </c>
      <c r="AO89" s="3" t="str">
        <f>IF(Tabla145[[#This Row],[Plan Ajustado]]&gt;Tabla145[[#This Row],[En puerto a facturar]],"Si","No")</f>
        <v>No</v>
      </c>
      <c r="AP8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89" s="3">
        <f>IF(Tabla145[[#This Row],[Necesidad]]&gt;=Tabla145[[#This Row],[Stock al día]],Tabla145[[#This Row],[Stock al día]],Tabla145[[#This Row],[Necesidad]])</f>
        <v>0</v>
      </c>
      <c r="AR89" s="3">
        <f>+Tabla145[[#This Row],[Necesidad]]-Tabla145[[#This Row],[Stock Plan]]</f>
        <v>0</v>
      </c>
      <c r="AS89" s="155">
        <f>IFERROR(VLOOKUP(Tabla145[[#This Row],[Oficina]],[19]Ponderación!$B$14:$E$21,4,FALSE),"")</f>
        <v>44786</v>
      </c>
      <c r="AT8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5.4951879051817549</v>
      </c>
      <c r="AU89" s="83">
        <f>IFERROR(VLOOKUP(Tabla145[[#This Row],[Llave]],[17]DELAY!$H:$W,16,FALSE),0)</f>
        <v>0</v>
      </c>
      <c r="AV8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89" s="5">
        <f>Tabla145[[#This Row],[Ajuste precio IC]]*Tabla145[[#This Row],[Plan Ajustado]]</f>
        <v>0</v>
      </c>
      <c r="AX89" s="30">
        <f>IFERROR(VLOOKUP(Tabla145[[#This Row],[Llave]],'[13]Ultimos precios facturados'!$A:$G,7,FALSE),0)</f>
        <v>5.4951879051817549</v>
      </c>
      <c r="AY8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89" s="30">
        <f>IFERROR(VLOOKUP(Tabla145[[#This Row],[Llave]],Hoja2!B:K,10,FALSE),0)</f>
        <v>0</v>
      </c>
      <c r="BA89" s="30">
        <f>IF(Tabla145[[#This Row],[Ajuste precio IC]]="",Tabla145[[#This Row],[Precio ponderado]],Tabla145[[#This Row],[Precio ponderado]])</f>
        <v>0</v>
      </c>
      <c r="BB89" s="82"/>
      <c r="BC89" s="82" t="str">
        <f>IF(AND(Tabla145[[#This Row],[Atraso a facturar]]&gt;0,Tabla145[[#This Row],[Precio Atraso]]=0),"Revisar","OK")</f>
        <v>OK</v>
      </c>
      <c r="BD89" s="82" t="str">
        <f>IF(AND(Tabla145[[#This Row],[Venta del mes]]&gt;0,Tabla145[[#This Row],[Precio venta nueva]]=0),"Revisar","OK")</f>
        <v>OK</v>
      </c>
      <c r="BE89" s="20">
        <f>IFERROR(VLOOKUP(Tabla145[[#This Row],[Llave]],'[5]Consolidación planes'!$A:$M,9,FALSE),0)</f>
        <v>44000</v>
      </c>
      <c r="BF89" s="20">
        <f>IFERROR(VLOOKUP(Tabla145[[#This Row],[Llave]],'[5]Consolidación planes'!$A:$M,10,FALSE),0)</f>
        <v>110000</v>
      </c>
      <c r="BG89" s="20">
        <f>IFERROR(VLOOKUP(Tabla145[[#This Row],[Llave]],'[5]Consolidación planes'!$A:$M,11,FALSE),0)</f>
        <v>44000</v>
      </c>
      <c r="BH89" s="20">
        <f>IFERROR(VLOOKUP(Tabla145[[#This Row],[Llave]],'[5]Consolidación planes'!$A:$M,12,FALSE),0)</f>
        <v>66000</v>
      </c>
      <c r="BI89" s="20">
        <f>IFERROR(VLOOKUP(Tabla145[[#This Row],[Llave]],'[5]Consolidación planes'!$A:$M,13,FALSE),0)</f>
        <v>44061</v>
      </c>
      <c r="BJ89" s="20">
        <f>IFERROR(VLOOKUP(Tabla145[[#This Row],[Llave]],'[13]Base ultimos planes'!$A:$M,13,FALSE),0)</f>
        <v>21786</v>
      </c>
      <c r="BK89" s="80">
        <f>IFERROR(VLOOKUP(Tabla145[[#This Row],[Llave]],'[13]Base ultimos planes'!$O:$AA,8,FALSE),0)</f>
        <v>265776</v>
      </c>
      <c r="BL89" s="20">
        <f>IFERROR(VLOOKUP(Tabla145[[#This Row],[Llave]],'[13]Base ultimos planes'!$O:$AA,9,FALSE),0)</f>
        <v>584650</v>
      </c>
      <c r="BM89" s="20">
        <f>IFERROR(VLOOKUP(Tabla145[[#This Row],[Llave]],'[13]Base ultimos planes'!$O:$AA,10,FALSE),0)</f>
        <v>243320</v>
      </c>
      <c r="BN89" s="20">
        <f>IFERROR(VLOOKUP(Tabla145[[#This Row],[Llave]],'[13]Base ultimos planes'!$O:$AA,11,FALSE),0)</f>
        <v>366571</v>
      </c>
      <c r="BO89" s="20">
        <f>IFERROR(VLOOKUP(Tabla145[[#This Row],[Llave]],'[13]Base ultimos planes'!$O:$AA,12,FALSE),0)</f>
        <v>243648</v>
      </c>
      <c r="BP89" s="20">
        <f>IFERROR(VLOOKUP(Tabla145[[#This Row],[Llave]],'[13]Base ultimos planes'!$O:$AA,13,FALSE),0)</f>
        <v>118940</v>
      </c>
      <c r="BQ89" s="20"/>
      <c r="BR89" s="20">
        <f>Tabla145[[#This Row],[ RV Producción mes n+1]]*(1-Tabla145[[#This Row],[% Uti. producción]])</f>
        <v>0</v>
      </c>
      <c r="BS89" s="20">
        <f>+Tabla145[[#This Row],[Producción disponible mes n-1]]+Tabla145[[#This Row],[Saldo Volumen disponible]]</f>
        <v>1774</v>
      </c>
      <c r="BT89" s="7">
        <f>IFERROR(VLOOKUP(Tabla145[[#This Row],[Llave]],'[21]RV n+2 y n+3'!$B:$F,4,FALSE),0)</f>
        <v>1774.02</v>
      </c>
      <c r="BU89" s="7">
        <f>+Tabla145[[#This Row],[Asignación mes n+2]]*Tabla145[[#This Row],[% Uti. producción]]</f>
        <v>811.07200378405048</v>
      </c>
      <c r="BV89" s="7">
        <f>+Tabla145[[#This Row],[Ponderación mes n+2]]+Tabla145[[#This Row],[Saldo mes n-1]]</f>
        <v>2585.0720037840506</v>
      </c>
      <c r="BW89" s="7">
        <f>+Tabla145[[#This Row],[Asignación mes n+2]]-Tabla145[[#This Row],[Ponderación mes n+2]]</f>
        <v>962.9479962159495</v>
      </c>
      <c r="BX89" s="7">
        <f>IFERROR(VLOOKUP(Tabla145[[#This Row],[Llave]],'[21]RV n+2 y n+3'!$B:$F,5,FALSE),0)</f>
        <v>0</v>
      </c>
      <c r="BY89" s="7">
        <f>+Tabla145[[#This Row],[Asignación mes n+3]]*Tabla145[[#This Row],[% Uti. producción]]</f>
        <v>0</v>
      </c>
      <c r="BZ89" s="3">
        <f>+Tabla145[[#This Row],[Ponderación mes n+3]]+Tabla145[[#This Row],[Saldo mes n+2]]</f>
        <v>962.9479962159495</v>
      </c>
      <c r="CA89" s="3">
        <f>+Tabla145[[#This Row],[Asignación mes n+3]]-Tabla145[[#This Row],[Ponderación mes n+3]]</f>
        <v>0</v>
      </c>
      <c r="CB89" s="3">
        <f>+Tabla145[[#This Row],[Producción disponible mes n-1]]+Tabla145[[#This Row],[Producción disponible]]</f>
        <v>0</v>
      </c>
      <c r="CC89" s="3">
        <f>+Tabla145[[#This Row],[Saldo mes n+4]]-Tabla145[[#This Row],[ RV Producción mes n+1]]</f>
        <v>0</v>
      </c>
    </row>
    <row r="90" spans="1:81" ht="16" x14ac:dyDescent="0.2">
      <c r="A90">
        <v>1</v>
      </c>
      <c r="B90" t="str">
        <f>Tabla145[[#This Row],[Oficina]]&amp;Tabla145[[#This Row],[Material]]</f>
        <v>Agrosuper Asia1022182</v>
      </c>
      <c r="C90" t="s">
        <v>6</v>
      </c>
      <c r="D90" t="s">
        <v>173</v>
      </c>
      <c r="E90">
        <v>1022182</v>
      </c>
      <c r="F90" t="s">
        <v>22</v>
      </c>
      <c r="G90" t="s">
        <v>18</v>
      </c>
      <c r="H90" t="s">
        <v>21</v>
      </c>
      <c r="I90" s="7">
        <f>IFERROR(VLOOKUP(Tabla145[[#This Row],[Llave]],'[7]RV Producción'!$C:$G,5,FALSE),0)</f>
        <v>0</v>
      </c>
      <c r="J90" s="3">
        <f>IFERROR(IF(Tabla145[[#This Row],[Oficina]]=$I$7,VLOOKUP(Tabla145[[#This Row],[Llave]],'[7]Shangai (Tomas)'!$A:$F,6,FALSE),VLOOKUP(Tabla145[[#This Row],[Llave]],'[7]RV plan de ventas'!$A:$E,5,FALSE)),0)</f>
        <v>0</v>
      </c>
      <c r="K90" s="8">
        <f>IFERROR(VLOOKUP(Tabla145[[#This Row],[Oficina]],[15]Ponderación!$B$2:$E$9,4,FALSE),0)</f>
        <v>0.45719439678473212</v>
      </c>
      <c r="L90" s="7">
        <f>+Tabla145[[#This Row],[ RV Producción mes n+1]]*Tabla145[[#This Row],[% Uti. producción]]</f>
        <v>0</v>
      </c>
      <c r="M90" s="7">
        <f>IFERROR(VLOOKUP(Tabla145[[#This Row],[Material]],[16]Stock!$G:$K,5,FALSE),0)</f>
        <v>1150</v>
      </c>
      <c r="N90" s="7">
        <f>IFERROR(VLOOKUP(Tabla145[[#This Row],[Material]],[16]Produccion!$M:$N,2,FALSE),0)</f>
        <v>0</v>
      </c>
      <c r="O90" s="7">
        <f>IFERROR(VLOOKUP(Tabla145[[#This Row],[Llave]],'[16]TD Conf-AP'!$I:$M,4,FALSE),0)</f>
        <v>0</v>
      </c>
      <c r="P90" s="14">
        <f>SUM(Tabla145[[#This Row],[Producción disponible]],Tabla145[[#This Row],[Stock al día]],(Tabla145[[#This Row],[Por producir mes N]]*0.9))-Tabla145[[#This Row],[Producción por despachar mes N]]</f>
        <v>1150</v>
      </c>
      <c r="Q90" s="7">
        <f>IFERROR(VLOOKUP(Tabla145[[#This Row],[Llave]],[17]DELAY!$A:$D,4,FALSE),0)</f>
        <v>0</v>
      </c>
      <c r="R90" s="9">
        <v>22000</v>
      </c>
      <c r="S90" s="5">
        <f t="shared" si="6"/>
        <v>0</v>
      </c>
      <c r="T90" s="76">
        <v>0</v>
      </c>
      <c r="U90" s="5">
        <f>+Tabla145[[#This Row],[Atraso a facturar]]+Tabla145[[#This Row],[Ajuste atraso]]</f>
        <v>0</v>
      </c>
      <c r="V90" s="3">
        <f>+Tabla145[[#This Row],[Total disponible]]-Tabla145[[#This Row],[Facturación atraso]]</f>
        <v>1150</v>
      </c>
      <c r="W90" s="6">
        <f>IFERROR(IF(AND(V90&gt;R90,J90&gt;=R90),ROUNDDOWN((Tabla145[[#This Row],[Producción para venta nueva]])/R90,0)*R90,0),0)</f>
        <v>0</v>
      </c>
      <c r="X90" s="76">
        <v>0</v>
      </c>
      <c r="Y90" s="6">
        <f>IF(Tabla145[[#This Row],[Venta del mes]]&gt;0,Tabla145[[#This Row],[Venta del mes]]+Tabla145[[#This Row],[Ajuste venta nueva]],0)</f>
        <v>0</v>
      </c>
      <c r="Z90" s="6">
        <f>+Tabla145[[#This Row],[Producción para venta nueva]]-Tabla145[[#This Row],[Facturación Venta nueva]]</f>
        <v>1150</v>
      </c>
      <c r="AA90" s="6">
        <f>IF(AND(A90=1,Tabla145[[#This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0" s="6">
        <v>0</v>
      </c>
      <c r="AC90" s="6">
        <f>IF(Tabla145[[#This Row],[Disponible stock sin venta]]&gt;0,Tabla145[[#This Row],[Disponible stock sin venta]]+Tabla145[[#This Row],[Ajuste stock sin venta]],0)</f>
        <v>0</v>
      </c>
      <c r="AD90" s="3">
        <f>IFERROR(VLOOKUP(Tabla145[[#This Row],[Llave]],'[16]TD Puerto'!$A:$D,4,FALSE),0)</f>
        <v>0</v>
      </c>
      <c r="AE90" s="3">
        <v>0</v>
      </c>
      <c r="AF90" s="3">
        <f>+Tabla145[[#This Row],[Plan Irrestricto Inicial]]</f>
        <v>0</v>
      </c>
      <c r="AG90" s="3">
        <f>+Tabla145[[#This Row],[En puerto a facturar]]</f>
        <v>0</v>
      </c>
      <c r="AH90" s="3">
        <f>+Tabla145[[#This Row],[Facturación atraso]]</f>
        <v>0</v>
      </c>
      <c r="AI90" s="3">
        <f>+Tabla145[[#This Row],[Plan Irrestricto]]-Tabla145[[#This Row],[Puerto ]]-Tabla145[[#This Row],[Atraso]]</f>
        <v>0</v>
      </c>
      <c r="AJ9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90" s="3">
        <f>+Tabla145[[#This Row],[Facturación atraso]]</f>
        <v>0</v>
      </c>
      <c r="AL90" s="3">
        <f>+Tabla145[[#This Row],[Plan Ajustado]]-Tabla145[[#This Row],[ Atraso ajustado]]-Tabla145[[#This Row],[Puerto ]]</f>
        <v>0</v>
      </c>
      <c r="AM90" s="6">
        <f>IFERROR(VLOOKUP(Tabla145[[#This Row],[Llave]],[18]!Tabla14[#All],34,FALSE),0)</f>
        <v>0</v>
      </c>
      <c r="AN90" s="6">
        <f>IFERROR(VLOOKUP(Tabla145[[#This Row],[Llave]],[18]!Tabla14[#All],35,FALSE),0)</f>
        <v>0</v>
      </c>
      <c r="AO90" s="3" t="str">
        <f>IF(Tabla145[[#This Row],[Plan Ajustado]]&gt;Tabla145[[#This Row],[En puerto a facturar]],"Si","No")</f>
        <v>No</v>
      </c>
      <c r="AP9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90" s="3">
        <f>IF(Tabla145[[#This Row],[Necesidad]]&gt;=Tabla145[[#This Row],[Stock al día]],Tabla145[[#This Row],[Stock al día]],Tabla145[[#This Row],[Necesidad]])</f>
        <v>0</v>
      </c>
      <c r="AR90" s="3">
        <f>+Tabla145[[#This Row],[Necesidad]]-Tabla145[[#This Row],[Stock Plan]]</f>
        <v>0</v>
      </c>
      <c r="AS90" s="155">
        <f>IFERROR(VLOOKUP(Tabla145[[#This Row],[Oficina]],[19]Ponderación!$B$14:$E$21,4,FALSE),"")</f>
        <v>44786</v>
      </c>
      <c r="AT9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5.3605</v>
      </c>
      <c r="AU90" s="83">
        <f>IFERROR(VLOOKUP(Tabla145[[#This Row],[Llave]],[17]DELAY!$H:$W,16,FALSE),0)</f>
        <v>0</v>
      </c>
      <c r="AV9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90" s="5">
        <f>Tabla145[[#This Row],[Ajuste precio IC]]*Tabla145[[#This Row],[Plan Ajustado]]</f>
        <v>0</v>
      </c>
      <c r="AX90" s="30">
        <f>IFERROR(VLOOKUP(Tabla145[[#This Row],[Llave]],'[13]Ultimos precios facturados'!$A:$G,7,FALSE),0)</f>
        <v>5.3605</v>
      </c>
      <c r="AY9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90" s="30">
        <f>IFERROR(VLOOKUP(Tabla145[[#This Row],[Llave]],Hoja2!B:K,10,FALSE),0)</f>
        <v>0</v>
      </c>
      <c r="BA90" s="30">
        <f>IF(Tabla145[[#This Row],[Ajuste precio IC]]="",Tabla145[[#This Row],[Precio ponderado]],Tabla145[[#This Row],[Precio ponderado]])</f>
        <v>0</v>
      </c>
      <c r="BB90" s="82"/>
      <c r="BC90" s="82" t="str">
        <f>IF(AND(Tabla145[[#This Row],[Atraso a facturar]]&gt;0,Tabla145[[#This Row],[Precio Atraso]]=0),"Revisar","OK")</f>
        <v>OK</v>
      </c>
      <c r="BD90" s="82" t="str">
        <f>IF(AND(Tabla145[[#This Row],[Venta del mes]]&gt;0,Tabla145[[#This Row],[Precio venta nueva]]=0),"Revisar","OK")</f>
        <v>OK</v>
      </c>
      <c r="BE90" s="20">
        <f>IFERROR(VLOOKUP(Tabla145[[#This Row],[Llave]],'[5]Consolidación planes'!$A:$M,9,FALSE),0)</f>
        <v>0</v>
      </c>
      <c r="BF90" s="20">
        <f>IFERROR(VLOOKUP(Tabla145[[#This Row],[Llave]],'[5]Consolidación planes'!$A:$M,10,FALSE),0)</f>
        <v>0</v>
      </c>
      <c r="BG90" s="20">
        <f>IFERROR(VLOOKUP(Tabla145[[#This Row],[Llave]],'[5]Consolidación planes'!$A:$M,11,FALSE),0)</f>
        <v>0</v>
      </c>
      <c r="BH90" s="20">
        <f>IFERROR(VLOOKUP(Tabla145[[#This Row],[Llave]],'[5]Consolidación planes'!$A:$M,12,FALSE),0)</f>
        <v>22000</v>
      </c>
      <c r="BI90" s="20">
        <f>IFERROR(VLOOKUP(Tabla145[[#This Row],[Llave]],'[5]Consolidación planes'!$A:$M,13,FALSE),0)</f>
        <v>0</v>
      </c>
      <c r="BJ90" s="20">
        <f>IFERROR(VLOOKUP(Tabla145[[#This Row],[Llave]],'[13]Base ultimos planes'!$A:$M,13,FALSE),0)</f>
        <v>22000</v>
      </c>
      <c r="BK90" s="80">
        <f>IFERROR(VLOOKUP(Tabla145[[#This Row],[Llave]],'[13]Base ultimos planes'!$O:$AA,8,FALSE),0)</f>
        <v>0</v>
      </c>
      <c r="BL90" s="20">
        <f>IFERROR(VLOOKUP(Tabla145[[#This Row],[Llave]],'[13]Base ultimos planes'!$O:$AA,9,FALSE),0)</f>
        <v>0</v>
      </c>
      <c r="BM90" s="20">
        <f>IFERROR(VLOOKUP(Tabla145[[#This Row],[Llave]],'[13]Base ultimos planes'!$O:$AA,10,FALSE),0)</f>
        <v>0</v>
      </c>
      <c r="BN90" s="20">
        <f>IFERROR(VLOOKUP(Tabla145[[#This Row],[Llave]],'[13]Base ultimos planes'!$O:$AA,11,FALSE),0)</f>
        <v>121000</v>
      </c>
      <c r="BO90" s="20">
        <f>IFERROR(VLOOKUP(Tabla145[[#This Row],[Llave]],'[13]Base ultimos planes'!$O:$AA,12,FALSE),0)</f>
        <v>0</v>
      </c>
      <c r="BP90" s="20">
        <f>IFERROR(VLOOKUP(Tabla145[[#This Row],[Llave]],'[13]Base ultimos planes'!$O:$AA,13,FALSE),0)</f>
        <v>116891</v>
      </c>
      <c r="BQ90" s="20"/>
      <c r="BR90" s="20">
        <f>Tabla145[[#This Row],[ RV Producción mes n+1]]*(1-Tabla145[[#This Row],[% Uti. producción]])</f>
        <v>0</v>
      </c>
      <c r="BS90" s="20">
        <f>+Tabla145[[#This Row],[Producción disponible mes n-1]]+Tabla145[[#This Row],[Saldo Volumen disponible]]</f>
        <v>1150</v>
      </c>
      <c r="BT90" s="7">
        <f>IFERROR(VLOOKUP(Tabla145[[#This Row],[Llave]],'[21]RV n+2 y n+3'!$B:$F,4,FALSE),0)</f>
        <v>1150</v>
      </c>
      <c r="BU90" s="7">
        <f>+Tabla145[[#This Row],[Asignación mes n+2]]*Tabla145[[#This Row],[% Uti. producción]]</f>
        <v>525.77355630244199</v>
      </c>
      <c r="BV90" s="7">
        <f>+Tabla145[[#This Row],[Ponderación mes n+2]]+Tabla145[[#This Row],[Saldo mes n-1]]</f>
        <v>1675.7735563024421</v>
      </c>
      <c r="BW90" s="7">
        <f>+Tabla145[[#This Row],[Asignación mes n+2]]-Tabla145[[#This Row],[Ponderación mes n+2]]</f>
        <v>624.22644369755801</v>
      </c>
      <c r="BX90" s="7">
        <f>IFERROR(VLOOKUP(Tabla145[[#This Row],[Llave]],'[21]RV n+2 y n+3'!$B:$F,5,FALSE),0)</f>
        <v>0</v>
      </c>
      <c r="BY90" s="7">
        <f>+Tabla145[[#This Row],[Asignación mes n+3]]*Tabla145[[#This Row],[% Uti. producción]]</f>
        <v>0</v>
      </c>
      <c r="BZ90" s="3">
        <f>+Tabla145[[#This Row],[Ponderación mes n+3]]+Tabla145[[#This Row],[Saldo mes n+2]]</f>
        <v>624.22644369755801</v>
      </c>
      <c r="CA90" s="3">
        <f>+Tabla145[[#This Row],[Asignación mes n+3]]-Tabla145[[#This Row],[Ponderación mes n+3]]</f>
        <v>0</v>
      </c>
      <c r="CB90" s="3">
        <f>+Tabla145[[#This Row],[Producción disponible mes n-1]]+Tabla145[[#This Row],[Producción disponible]]</f>
        <v>0</v>
      </c>
      <c r="CC90" s="3">
        <f>+Tabla145[[#This Row],[Saldo mes n+4]]-Tabla145[[#This Row],[ RV Producción mes n+1]]</f>
        <v>0</v>
      </c>
    </row>
    <row r="91" spans="1:81" ht="16" x14ac:dyDescent="0.2">
      <c r="A91">
        <v>1</v>
      </c>
      <c r="B91" t="str">
        <f>Tabla145[[#This Row],[Oficina]]&amp;Tabla145[[#This Row],[Material]]</f>
        <v>Agrosuper Asia1022283</v>
      </c>
      <c r="C91" t="s">
        <v>6</v>
      </c>
      <c r="D91" t="s">
        <v>173</v>
      </c>
      <c r="E91">
        <v>1022283</v>
      </c>
      <c r="F91" t="s">
        <v>198</v>
      </c>
      <c r="G91" t="s">
        <v>134</v>
      </c>
      <c r="H91" t="s">
        <v>135</v>
      </c>
      <c r="I91" s="7">
        <f>IFERROR(VLOOKUP(Tabla145[[#This Row],[Llave]],'[7]RV Producción'!$C:$G,5,FALSE),0)</f>
        <v>0</v>
      </c>
      <c r="J91" s="3">
        <f>IFERROR(IF(Tabla145[[#This Row],[Oficina]]=$I$7,VLOOKUP(Tabla145[[#This Row],[Llave]],'[7]Shangai (Tomas)'!$A:$F,6,FALSE),VLOOKUP(Tabla145[[#This Row],[Llave]],'[7]RV plan de ventas'!$A:$E,5,FALSE)),0)</f>
        <v>0</v>
      </c>
      <c r="K91" s="8">
        <f>IFERROR(VLOOKUP(Tabla145[[#This Row],[Oficina]],[15]Ponderación!$B$2:$E$9,4,FALSE),0)</f>
        <v>0.45719439678473212</v>
      </c>
      <c r="L91" s="7">
        <f>+Tabla145[[#This Row],[ RV Producción mes n+1]]*Tabla145[[#This Row],[% Uti. producción]]</f>
        <v>0</v>
      </c>
      <c r="M91" s="7">
        <f>IFERROR(VLOOKUP(Tabla145[[#This Row],[Material]],[16]Stock!$G:$K,5,FALSE),0)</f>
        <v>7740</v>
      </c>
      <c r="N91" s="7">
        <f>IFERROR(VLOOKUP(Tabla145[[#This Row],[Material]],[16]Produccion!$M:$N,2,FALSE),0)</f>
        <v>0</v>
      </c>
      <c r="O91" s="7">
        <f>IFERROR(VLOOKUP(Tabla145[[#This Row],[Llave]],'[16]TD Conf-AP'!$I:$M,4,FALSE),0)</f>
        <v>0</v>
      </c>
      <c r="P91" s="14">
        <f>SUM(Tabla145[[#This Row],[Producción disponible]],Tabla145[[#This Row],[Stock al día]],(Tabla145[[#This Row],[Por producir mes N]]*0.9))-Tabla145[[#This Row],[Producción por despachar mes N]]</f>
        <v>7740</v>
      </c>
      <c r="Q91" s="7">
        <f>IFERROR(VLOOKUP(Tabla145[[#This Row],[Llave]],[17]DELAY!$A:$D,4,FALSE),0)</f>
        <v>5000</v>
      </c>
      <c r="R91" s="9">
        <v>5000</v>
      </c>
      <c r="S91" s="5">
        <f t="shared" si="6"/>
        <v>5000</v>
      </c>
      <c r="T91" s="76">
        <v>0</v>
      </c>
      <c r="U91" s="5">
        <f>+Tabla145[[#This Row],[Atraso a facturar]]+Tabla145[[#This Row],[Ajuste atraso]]</f>
        <v>5000</v>
      </c>
      <c r="V91" s="3">
        <f>+Tabla145[[#This Row],[Total disponible]]-Tabla145[[#This Row],[Facturación atraso]]</f>
        <v>2740</v>
      </c>
      <c r="W91" s="6">
        <f>IFERROR(IF(AND(V91&gt;R91,J91&gt;=R91),ROUNDDOWN((Tabla145[[#This Row],[Producción para venta nueva]])/R91,0)*R91,0),0)</f>
        <v>0</v>
      </c>
      <c r="X91" s="76">
        <v>0</v>
      </c>
      <c r="Y91" s="6">
        <f>IF(Tabla145[[#This Row],[Venta del mes]]&gt;0,Tabla145[[#This Row],[Venta del mes]]+Tabla145[[#This Row],[Ajuste venta nueva]],0)</f>
        <v>0</v>
      </c>
      <c r="Z91" s="6">
        <f>+Tabla145[[#This Row],[Producción para venta nueva]]-Tabla145[[#This Row],[Facturación Venta nueva]]</f>
        <v>2740</v>
      </c>
      <c r="AA91" s="6">
        <f>IF(AND(A91=1,Tabla145[[#This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1" s="6">
        <v>0</v>
      </c>
      <c r="AC91" s="6">
        <f>IF(Tabla145[[#This Row],[Disponible stock sin venta]]&gt;0,Tabla145[[#This Row],[Disponible stock sin venta]]+Tabla145[[#This Row],[Ajuste stock sin venta]],0)</f>
        <v>0</v>
      </c>
      <c r="AD91" s="3">
        <f>IFERROR(VLOOKUP(Tabla145[[#This Row],[Llave]],'[16]TD Puerto'!$A:$D,4,FALSE),0)</f>
        <v>0</v>
      </c>
      <c r="AE91" s="3">
        <v>5000</v>
      </c>
      <c r="AF91" s="3">
        <f>+Tabla145[[#This Row],[Plan Irrestricto Inicial]]</f>
        <v>5000</v>
      </c>
      <c r="AG91" s="3">
        <f>+Tabla145[[#This Row],[En puerto a facturar]]</f>
        <v>0</v>
      </c>
      <c r="AH91" s="3">
        <f>+Tabla145[[#This Row],[Facturación atraso]]</f>
        <v>5000</v>
      </c>
      <c r="AI91" s="3">
        <f>+Tabla145[[#This Row],[Plan Irrestricto]]-Tabla145[[#This Row],[Puerto ]]-Tabla145[[#This Row],[Atraso]]</f>
        <v>0</v>
      </c>
      <c r="AJ91" s="3">
        <f>IF(Tabla145[[#This Row],[Plan Irrestricto]]&gt;0,SUM(Tabla145[[#This Row],[Facturación atraso]],Tabla145[[#This Row],[Facturación Venta nueva]],Tabla145[[#This Row],[Facturación stock]],Tabla145[[#This Row],[En puerto a facturar]]),0)</f>
        <v>5000</v>
      </c>
      <c r="AK91" s="3">
        <f>+Tabla145[[#This Row],[Facturación atraso]]</f>
        <v>5000</v>
      </c>
      <c r="AL91" s="3">
        <f>+Tabla145[[#This Row],[Plan Ajustado]]-Tabla145[[#This Row],[ Atraso ajustado]]-Tabla145[[#This Row],[Puerto ]]</f>
        <v>0</v>
      </c>
      <c r="AM91" s="6">
        <f>IFERROR(VLOOKUP(Tabla145[[#This Row],[Llave]],[18]!Tabla14[#All],34,FALSE),0)</f>
        <v>0</v>
      </c>
      <c r="AN91" s="6">
        <f>IFERROR(VLOOKUP(Tabla145[[#This Row],[Llave]],[18]!Tabla14[#All],35,FALSE),0)</f>
        <v>0</v>
      </c>
      <c r="AO91" s="3" t="str">
        <f>IF(Tabla145[[#This Row],[Plan Ajustado]]&gt;Tabla145[[#This Row],[En puerto a facturar]],"Si","No")</f>
        <v>Si</v>
      </c>
      <c r="AP91" s="3">
        <f>IF(AND(Tabla145[[#This Row],[Plan Ajustado]]&gt;0,Tabla145[[#This Row],[Plan Ajustado]]&gt;Tabla145[[#This Row],[En puerto a facturar]]),(Tabla145[[#This Row],[Plan Ajustado]]-Tabla145[[#This Row],[En puerto a facturar]]),0)</f>
        <v>5000</v>
      </c>
      <c r="AQ91" s="3">
        <f>IF(Tabla145[[#This Row],[Necesidad]]&gt;=Tabla145[[#This Row],[Stock al día]],Tabla145[[#This Row],[Stock al día]],Tabla145[[#This Row],[Necesidad]])</f>
        <v>5000</v>
      </c>
      <c r="AR91" s="3">
        <f>+Tabla145[[#This Row],[Necesidad]]-Tabla145[[#This Row],[Stock Plan]]</f>
        <v>0</v>
      </c>
      <c r="AS91" s="155">
        <f>IFERROR(VLOOKUP(Tabla145[[#This Row],[Oficina]],[19]Ponderación!$B$14:$E$21,4,FALSE),"")</f>
        <v>44786</v>
      </c>
      <c r="AT9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5.7817064004038814</v>
      </c>
      <c r="AU91" s="83">
        <f>IFERROR(VLOOKUP(Tabla145[[#This Row],[Llave]],[17]DELAY!$H:$W,16,FALSE),0)</f>
        <v>6.5</v>
      </c>
      <c r="AV9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6.5</v>
      </c>
      <c r="AW91" s="5">
        <f>Tabla145[[#This Row],[Ajuste precio IC]]*Tabla145[[#This Row],[Plan Ajustado]]</f>
        <v>32500</v>
      </c>
      <c r="AX91" s="30">
        <f>IFERROR(VLOOKUP(Tabla145[[#This Row],[Llave]],'[13]Ultimos precios facturados'!$A:$G,7,FALSE),0)</f>
        <v>5.7817064004038814</v>
      </c>
      <c r="AY9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0.12423557162050673</v>
      </c>
      <c r="AZ91" s="30">
        <f>IFERROR(VLOOKUP(Tabla145[[#This Row],[Llave]],Hoja2!B:K,10,FALSE),0)</f>
        <v>6.5</v>
      </c>
      <c r="BA91" s="30">
        <f>IF(Tabla145[[#This Row],[Ajuste precio IC]]="",Tabla145[[#This Row],[Precio ponderado]],Tabla145[[#This Row],[Precio ponderado]])</f>
        <v>6.5</v>
      </c>
      <c r="BB91" s="82"/>
      <c r="BC91" s="82" t="str">
        <f>IF(AND(Tabla145[[#This Row],[Atraso a facturar]]&gt;0,Tabla145[[#This Row],[Precio Atraso]]=0),"Revisar","OK")</f>
        <v>OK</v>
      </c>
      <c r="BD91" s="82" t="str">
        <f>IF(AND(Tabla145[[#This Row],[Venta del mes]]&gt;0,Tabla145[[#This Row],[Precio venta nueva]]=0),"Revisar","OK")</f>
        <v>OK</v>
      </c>
      <c r="BE91" s="20">
        <f>IFERROR(VLOOKUP(Tabla145[[#This Row],[Llave]],'[5]Consolidación planes'!$A:$M,9,FALSE),0)</f>
        <v>11000</v>
      </c>
      <c r="BF91" s="20">
        <f>IFERROR(VLOOKUP(Tabla145[[#This Row],[Llave]],'[5]Consolidación planes'!$A:$M,10,FALSE),0)</f>
        <v>9000</v>
      </c>
      <c r="BG91" s="20">
        <f>IFERROR(VLOOKUP(Tabla145[[#This Row],[Llave]],'[5]Consolidación planes'!$A:$M,11,FALSE),0)</f>
        <v>0</v>
      </c>
      <c r="BH91" s="20">
        <f>IFERROR(VLOOKUP(Tabla145[[#This Row],[Llave]],'[5]Consolidación planes'!$A:$M,12,FALSE),0)</f>
        <v>5000</v>
      </c>
      <c r="BI91" s="20">
        <f>IFERROR(VLOOKUP(Tabla145[[#This Row],[Llave]],'[5]Consolidación planes'!$A:$M,13,FALSE),0)</f>
        <v>6000</v>
      </c>
      <c r="BJ91" s="20">
        <f>IFERROR(VLOOKUP(Tabla145[[#This Row],[Llave]],'[13]Base ultimos planes'!$A:$M,13,FALSE),0)</f>
        <v>10000</v>
      </c>
      <c r="BK91" s="80">
        <f>IFERROR(VLOOKUP(Tabla145[[#This Row],[Llave]],'[13]Base ultimos planes'!$O:$AA,8,FALSE),0)</f>
        <v>62981.599999999999</v>
      </c>
      <c r="BL91" s="20">
        <f>IFERROR(VLOOKUP(Tabla145[[#This Row],[Llave]],'[13]Base ultimos planes'!$O:$AA,9,FALSE),0)</f>
        <v>48600</v>
      </c>
      <c r="BM91" s="20">
        <f>IFERROR(VLOOKUP(Tabla145[[#This Row],[Llave]],'[13]Base ultimos planes'!$O:$AA,10,FALSE),0)</f>
        <v>0</v>
      </c>
      <c r="BN91" s="20">
        <f>IFERROR(VLOOKUP(Tabla145[[#This Row],[Llave]],'[13]Base ultimos planes'!$O:$AA,11,FALSE),0)</f>
        <v>28500</v>
      </c>
      <c r="BO91" s="20">
        <f>IFERROR(VLOOKUP(Tabla145[[#This Row],[Llave]],'[13]Base ultimos planes'!$O:$AA,12,FALSE),0)</f>
        <v>32760</v>
      </c>
      <c r="BP91" s="20">
        <f>IFERROR(VLOOKUP(Tabla145[[#This Row],[Llave]],'[13]Base ultimos planes'!$O:$AA,13,FALSE),0)</f>
        <v>60298</v>
      </c>
      <c r="BQ91" s="20"/>
      <c r="BR91" s="20">
        <f>Tabla145[[#This Row],[ RV Producción mes n+1]]*(1-Tabla145[[#This Row],[% Uti. producción]])</f>
        <v>0</v>
      </c>
      <c r="BS91" s="20">
        <f>+Tabla145[[#This Row],[Producción disponible mes n-1]]+Tabla145[[#This Row],[Saldo Volumen disponible]]</f>
        <v>2740</v>
      </c>
      <c r="BT91" s="7">
        <f>IFERROR(VLOOKUP(Tabla145[[#This Row],[Llave]],'[21]RV n+2 y n+3'!$B:$F,4,FALSE),0)</f>
        <v>3253.6640000000002</v>
      </c>
      <c r="BU91" s="7">
        <f>+Tabla145[[#This Row],[Asignación mes n+2]]*Tabla145[[#This Row],[% Uti. producción]]</f>
        <v>1487.5569498201987</v>
      </c>
      <c r="BV91" s="7">
        <f>+Tabla145[[#This Row],[Ponderación mes n+2]]+Tabla145[[#This Row],[Saldo mes n-1]]</f>
        <v>4227.5569498201985</v>
      </c>
      <c r="BW91" s="7">
        <f>+Tabla145[[#This Row],[Asignación mes n+2]]-Tabla145[[#This Row],[Ponderación mes n+2]]</f>
        <v>1766.1070501798015</v>
      </c>
      <c r="BX91" s="7">
        <f>IFERROR(VLOOKUP(Tabla145[[#This Row],[Llave]],'[21]RV n+2 y n+3'!$B:$F,5,FALSE),0)</f>
        <v>0</v>
      </c>
      <c r="BY91" s="7">
        <f>+Tabla145[[#This Row],[Asignación mes n+3]]*Tabla145[[#This Row],[% Uti. producción]]</f>
        <v>0</v>
      </c>
      <c r="BZ91" s="3">
        <f>+Tabla145[[#This Row],[Ponderación mes n+3]]+Tabla145[[#This Row],[Saldo mes n+2]]</f>
        <v>1766.1070501798015</v>
      </c>
      <c r="CA91" s="3">
        <f>+Tabla145[[#This Row],[Asignación mes n+3]]-Tabla145[[#This Row],[Ponderación mes n+3]]</f>
        <v>0</v>
      </c>
      <c r="CB91" s="3">
        <f>+Tabla145[[#This Row],[Producción disponible mes n-1]]+Tabla145[[#This Row],[Producción disponible]]</f>
        <v>0</v>
      </c>
      <c r="CC91" s="3">
        <f>+Tabla145[[#This Row],[Saldo mes n+4]]-Tabla145[[#This Row],[ RV Producción mes n+1]]</f>
        <v>0</v>
      </c>
    </row>
    <row r="92" spans="1:81" ht="16" x14ac:dyDescent="0.2">
      <c r="A92">
        <v>1</v>
      </c>
      <c r="B92" t="str">
        <f>Tabla145[[#This Row],[Oficina]]&amp;Tabla145[[#This Row],[Material]]</f>
        <v>Agrosuper Asia1022607</v>
      </c>
      <c r="C92" t="s">
        <v>6</v>
      </c>
      <c r="D92" t="s">
        <v>173</v>
      </c>
      <c r="E92">
        <v>1022607</v>
      </c>
      <c r="F92" t="s">
        <v>200</v>
      </c>
      <c r="G92" t="s">
        <v>134</v>
      </c>
      <c r="H92" t="s">
        <v>199</v>
      </c>
      <c r="I92" s="7">
        <f>IFERROR(VLOOKUP(Tabla145[[#This Row],[Llave]],'[7]RV Producción'!$C:$G,5,FALSE),0)</f>
        <v>27461</v>
      </c>
      <c r="J92" s="3">
        <f>IFERROR(IF(Tabla145[[#This Row],[Oficina]]=$I$7,VLOOKUP(Tabla145[[#This Row],[Llave]],'[7]Shangai (Tomas)'!$A:$F,6,FALSE),VLOOKUP(Tabla145[[#This Row],[Llave]],'[7]RV plan de ventas'!$A:$E,5,FALSE)),0)</f>
        <v>22000</v>
      </c>
      <c r="K92" s="8">
        <f>IFERROR(VLOOKUP(Tabla145[[#This Row],[Oficina]],[15]Ponderación!$B$2:$E$9,4,FALSE),0)</f>
        <v>0.45719439678473212</v>
      </c>
      <c r="L92" s="7">
        <f>+Tabla145[[#This Row],[ RV Producción mes n+1]]*Tabla145[[#This Row],[% Uti. producción]]</f>
        <v>12555.015330105529</v>
      </c>
      <c r="M92" s="7">
        <f>IFERROR(VLOOKUP(Tabla145[[#This Row],[Material]],[16]Stock!$G:$K,5,FALSE),0)</f>
        <v>18124</v>
      </c>
      <c r="N92" s="7">
        <f>IFERROR(VLOOKUP(Tabla145[[#This Row],[Material]],[16]Produccion!$M:$N,2,FALSE),0)</f>
        <v>6809</v>
      </c>
      <c r="O92" s="7">
        <f>IFERROR(VLOOKUP(Tabla145[[#This Row],[Llave]],'[16]TD Conf-AP'!$I:$M,4,FALSE),0)</f>
        <v>0</v>
      </c>
      <c r="P92" s="14">
        <f>SUM(Tabla145[[#This Row],[Producción disponible]],Tabla145[[#This Row],[Stock al día]],(Tabla145[[#This Row],[Por producir mes N]]*0.9))-Tabla145[[#This Row],[Producción por despachar mes N]]</f>
        <v>36807.115330105531</v>
      </c>
      <c r="Q92" s="7">
        <f>IFERROR(VLOOKUP(Tabla145[[#This Row],[Llave]],[17]DELAY!$A:$D,4,FALSE),0)</f>
        <v>22000</v>
      </c>
      <c r="R92" s="9">
        <v>22000</v>
      </c>
      <c r="S92" s="5">
        <f t="shared" si="6"/>
        <v>22000</v>
      </c>
      <c r="T92" s="76">
        <v>0</v>
      </c>
      <c r="U92" s="5">
        <f>+Tabla145[[#This Row],[Atraso a facturar]]+Tabla145[[#This Row],[Ajuste atraso]]</f>
        <v>22000</v>
      </c>
      <c r="V92" s="3">
        <f>+Tabla145[[#This Row],[Total disponible]]-Tabla145[[#This Row],[Facturación atraso]]</f>
        <v>14807.115330105531</v>
      </c>
      <c r="W92" s="6">
        <f>IFERROR(IF(AND(V92&gt;R92,J92&gt;=R92),ROUNDDOWN((Tabla145[[#This Row],[Producción para venta nueva]])/R92,0)*R92,0),0)</f>
        <v>0</v>
      </c>
      <c r="X92" s="76">
        <v>0</v>
      </c>
      <c r="Y92" s="6">
        <f>IF(Tabla145[[#This Row],[Venta del mes]]&gt;0,Tabla145[[#This Row],[Venta del mes]]+Tabla145[[#This Row],[Ajuste venta nueva]],0)</f>
        <v>0</v>
      </c>
      <c r="Z92" s="6">
        <f>+Tabla145[[#This Row],[Producción para venta nueva]]-Tabla145[[#This Row],[Facturación Venta nueva]]</f>
        <v>14807.115330105531</v>
      </c>
      <c r="AA92" s="6">
        <f>IF(AND(A92=1,Tabla145[[#This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2" s="6">
        <v>0</v>
      </c>
      <c r="AC92" s="6">
        <f>IF(Tabla145[[#This Row],[Disponible stock sin venta]]&gt;0,Tabla145[[#This Row],[Disponible stock sin venta]]+Tabla145[[#This Row],[Ajuste stock sin venta]],0)</f>
        <v>0</v>
      </c>
      <c r="AD92" s="3">
        <f>IFERROR(VLOOKUP(Tabla145[[#This Row],[Llave]],'[16]TD Puerto'!$A:$D,4,FALSE),0)</f>
        <v>0</v>
      </c>
      <c r="AE92" s="3">
        <v>22000</v>
      </c>
      <c r="AF92" s="3">
        <f>+Tabla145[[#This Row],[Plan Irrestricto Inicial]]</f>
        <v>22000</v>
      </c>
      <c r="AG92" s="3">
        <f>+Tabla145[[#This Row],[En puerto a facturar]]</f>
        <v>0</v>
      </c>
      <c r="AH92" s="3">
        <f>+Tabla145[[#This Row],[Facturación atraso]]</f>
        <v>22000</v>
      </c>
      <c r="AI92" s="3">
        <f>+Tabla145[[#This Row],[Plan Irrestricto]]-Tabla145[[#This Row],[Puerto ]]-Tabla145[[#This Row],[Atraso]]</f>
        <v>0</v>
      </c>
      <c r="AJ92" s="3">
        <f>IF(Tabla145[[#This Row],[Plan Irrestricto]]&gt;0,SUM(Tabla145[[#This Row],[Facturación atraso]],Tabla145[[#This Row],[Facturación Venta nueva]],Tabla145[[#This Row],[Facturación stock]],Tabla145[[#This Row],[En puerto a facturar]]),0)</f>
        <v>22000</v>
      </c>
      <c r="AK92" s="3">
        <f>+Tabla145[[#This Row],[Facturación atraso]]</f>
        <v>22000</v>
      </c>
      <c r="AL92" s="3">
        <f>+Tabla145[[#This Row],[Plan Ajustado]]-Tabla145[[#This Row],[ Atraso ajustado]]-Tabla145[[#This Row],[Puerto ]]</f>
        <v>0</v>
      </c>
      <c r="AM92" s="6">
        <f>IFERROR(VLOOKUP(Tabla145[[#This Row],[Llave]],[18]!Tabla14[#All],34,FALSE),0)</f>
        <v>0</v>
      </c>
      <c r="AN92" s="6">
        <f>IFERROR(VLOOKUP(Tabla145[[#This Row],[Llave]],[18]!Tabla14[#All],35,FALSE),0)</f>
        <v>0</v>
      </c>
      <c r="AO92" s="3" t="str">
        <f>IF(Tabla145[[#This Row],[Plan Ajustado]]&gt;Tabla145[[#This Row],[En puerto a facturar]],"Si","No")</f>
        <v>Si</v>
      </c>
      <c r="AP92" s="3">
        <f>IF(AND(Tabla145[[#This Row],[Plan Ajustado]]&gt;0,Tabla145[[#This Row],[Plan Ajustado]]&gt;Tabla145[[#This Row],[En puerto a facturar]]),(Tabla145[[#This Row],[Plan Ajustado]]-Tabla145[[#This Row],[En puerto a facturar]]),0)</f>
        <v>22000</v>
      </c>
      <c r="AQ92" s="3">
        <f>IF(Tabla145[[#This Row],[Necesidad]]&gt;=Tabla145[[#This Row],[Stock al día]],Tabla145[[#This Row],[Stock al día]],Tabla145[[#This Row],[Necesidad]])</f>
        <v>18124</v>
      </c>
      <c r="AR92" s="3">
        <f>+Tabla145[[#This Row],[Necesidad]]-Tabla145[[#This Row],[Stock Plan]]</f>
        <v>3876</v>
      </c>
      <c r="AS92" s="155">
        <f>IFERROR(VLOOKUP(Tabla145[[#This Row],[Oficina]],[19]Ponderación!$B$14:$E$21,4,FALSE),"")</f>
        <v>44786</v>
      </c>
      <c r="AT9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5.32</v>
      </c>
      <c r="AU92" s="83">
        <f>IFERROR(VLOOKUP(Tabla145[[#This Row],[Llave]],[17]DELAY!$H:$W,16,FALSE),0)</f>
        <v>5.5</v>
      </c>
      <c r="AV9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5.5</v>
      </c>
      <c r="AW92" s="5">
        <f>Tabla145[[#This Row],[Ajuste precio IC]]*Tabla145[[#This Row],[Plan Ajustado]]</f>
        <v>121000</v>
      </c>
      <c r="AX92" s="30">
        <f>IFERROR(VLOOKUP(Tabla145[[#This Row],[Llave]],'[13]Ultimos precios facturados'!$A:$G,7,FALSE),0)</f>
        <v>5.1823690857706888</v>
      </c>
      <c r="AY9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6.1290677868049835E-2</v>
      </c>
      <c r="AZ92" s="30">
        <f>IFERROR(VLOOKUP(Tabla145[[#This Row],[Llave]],Hoja2!B:K,10,FALSE),0)</f>
        <v>5.5</v>
      </c>
      <c r="BA92" s="30">
        <f>IF(Tabla145[[#This Row],[Ajuste precio IC]]="",Tabla145[[#This Row],[Precio ponderado]],Tabla145[[#This Row],[Precio ponderado]])</f>
        <v>5.5</v>
      </c>
      <c r="BB92" s="82"/>
      <c r="BC92" s="82" t="str">
        <f>IF(AND(Tabla145[[#This Row],[Atraso a facturar]]&gt;0,Tabla145[[#This Row],[Precio Atraso]]=0),"Revisar","OK")</f>
        <v>OK</v>
      </c>
      <c r="BD92" s="82" t="str">
        <f>IF(AND(Tabla145[[#This Row],[Venta del mes]]&gt;0,Tabla145[[#This Row],[Precio venta nueva]]=0),"Revisar","OK")</f>
        <v>OK</v>
      </c>
      <c r="BE92" s="20">
        <f>IFERROR(VLOOKUP(Tabla145[[#This Row],[Llave]],'[5]Consolidación planes'!$A:$M,9,FALSE),0)</f>
        <v>22000</v>
      </c>
      <c r="BF92" s="20">
        <f>IFERROR(VLOOKUP(Tabla145[[#This Row],[Llave]],'[5]Consolidación planes'!$A:$M,10,FALSE),0)</f>
        <v>22000</v>
      </c>
      <c r="BG92" s="20">
        <f>IFERROR(VLOOKUP(Tabla145[[#This Row],[Llave]],'[5]Consolidación planes'!$A:$M,11,FALSE),0)</f>
        <v>22000</v>
      </c>
      <c r="BH92" s="20">
        <f>IFERROR(VLOOKUP(Tabla145[[#This Row],[Llave]],'[5]Consolidación planes'!$A:$M,12,FALSE),0)</f>
        <v>44000</v>
      </c>
      <c r="BI92" s="20">
        <f>IFERROR(VLOOKUP(Tabla145[[#This Row],[Llave]],'[5]Consolidación planes'!$A:$M,13,FALSE),0)</f>
        <v>44001</v>
      </c>
      <c r="BJ92" s="20">
        <f>IFERROR(VLOOKUP(Tabla145[[#This Row],[Llave]],'[13]Base ultimos planes'!$A:$M,13,FALSE),0)</f>
        <v>22000</v>
      </c>
      <c r="BK92" s="80">
        <f>IFERROR(VLOOKUP(Tabla145[[#This Row],[Llave]],'[13]Base ultimos planes'!$O:$AA,8,FALSE),0)</f>
        <v>126060</v>
      </c>
      <c r="BL92" s="20">
        <f>IFERROR(VLOOKUP(Tabla145[[#This Row],[Llave]],'[13]Base ultimos planes'!$O:$AA,9,FALSE),0)</f>
        <v>114400</v>
      </c>
      <c r="BM92" s="20">
        <f>IFERROR(VLOOKUP(Tabla145[[#This Row],[Llave]],'[13]Base ultimos planes'!$O:$AA,10,FALSE),0)</f>
        <v>112860</v>
      </c>
      <c r="BN92" s="20">
        <f>IFERROR(VLOOKUP(Tabla145[[#This Row],[Llave]],'[13]Base ultimos planes'!$O:$AA,11,FALSE),0)</f>
        <v>233200</v>
      </c>
      <c r="BO92" s="20">
        <f>IFERROR(VLOOKUP(Tabla145[[#This Row],[Llave]],'[13]Base ultimos planes'!$O:$AA,12,FALSE),0)</f>
        <v>233204</v>
      </c>
      <c r="BP92" s="20">
        <f>IFERROR(VLOOKUP(Tabla145[[#This Row],[Llave]],'[13]Base ultimos planes'!$O:$AA,13,FALSE),0)</f>
        <v>116600</v>
      </c>
      <c r="BQ92" s="20"/>
      <c r="BR92" s="20">
        <f>Tabla145[[#This Row],[ RV Producción mes n+1]]*(1-Tabla145[[#This Row],[% Uti. producción]])</f>
        <v>14905.984669894473</v>
      </c>
      <c r="BS92" s="20">
        <f>+Tabla145[[#This Row],[Producción disponible mes n-1]]+Tabla145[[#This Row],[Saldo Volumen disponible]]</f>
        <v>29713.100000000006</v>
      </c>
      <c r="BT92" s="7">
        <f>IFERROR(VLOOKUP(Tabla145[[#This Row],[Llave]],'[21]RV n+2 y n+3'!$B:$F,4,FALSE),0)</f>
        <v>28082.458000000002</v>
      </c>
      <c r="BU92" s="7">
        <f>+Tabla145[[#This Row],[Asignación mes n+2]]*Tabla145[[#This Row],[% Uti. producción]]</f>
        <v>12839.142445542575</v>
      </c>
      <c r="BV92" s="7">
        <f>+Tabla145[[#This Row],[Ponderación mes n+2]]+Tabla145[[#This Row],[Saldo mes n-1]]</f>
        <v>42552.242445542579</v>
      </c>
      <c r="BW92" s="7">
        <f>+Tabla145[[#This Row],[Asignación mes n+2]]-Tabla145[[#This Row],[Ponderación mes n+2]]</f>
        <v>15243.315554457427</v>
      </c>
      <c r="BX92" s="7">
        <f>IFERROR(VLOOKUP(Tabla145[[#This Row],[Llave]],'[21]RV n+2 y n+3'!$B:$F,5,FALSE),0)</f>
        <v>25943.100999999999</v>
      </c>
      <c r="BY92" s="7">
        <f>+Tabla145[[#This Row],[Asignación mes n+3]]*Tabla145[[#This Row],[% Uti. producción]]</f>
        <v>11861.04041242038</v>
      </c>
      <c r="BZ92" s="3">
        <f>+Tabla145[[#This Row],[Ponderación mes n+3]]+Tabla145[[#This Row],[Saldo mes n+2]]</f>
        <v>27104.355966877807</v>
      </c>
      <c r="CA92" s="3">
        <f>+Tabla145[[#This Row],[Asignación mes n+3]]-Tabla145[[#This Row],[Ponderación mes n+3]]</f>
        <v>14082.060587579619</v>
      </c>
      <c r="CB92" s="3">
        <f>+Tabla145[[#This Row],[Producción disponible mes n-1]]+Tabla145[[#This Row],[Producción disponible]]</f>
        <v>27461</v>
      </c>
      <c r="CC92" s="3">
        <f>+Tabla145[[#This Row],[Saldo mes n+4]]-Tabla145[[#This Row],[ RV Producción mes n+1]]</f>
        <v>0</v>
      </c>
    </row>
    <row r="93" spans="1:81" ht="16" x14ac:dyDescent="0.2">
      <c r="A93">
        <v>1</v>
      </c>
      <c r="B93" t="str">
        <f>Tabla145[[#This Row],[Oficina]]&amp;Tabla145[[#This Row],[Material]]</f>
        <v>Agrosuper Asia1022885</v>
      </c>
      <c r="C93" t="s">
        <v>6</v>
      </c>
      <c r="D93" t="s">
        <v>173</v>
      </c>
      <c r="E93">
        <v>1022885</v>
      </c>
      <c r="F93" t="s">
        <v>188</v>
      </c>
      <c r="G93" t="s">
        <v>56</v>
      </c>
      <c r="H93" t="s">
        <v>57</v>
      </c>
      <c r="I93" s="7">
        <f>IFERROR(VLOOKUP(Tabla145[[#This Row],[Llave]],'[7]RV Producción'!$C:$G,5,FALSE),0)</f>
        <v>584437</v>
      </c>
      <c r="J93" s="3">
        <f>IFERROR(IF(Tabla145[[#This Row],[Oficina]]=$I$7,VLOOKUP(Tabla145[[#This Row],[Llave]],'[7]Shangai (Tomas)'!$A:$F,6,FALSE),VLOOKUP(Tabla145[[#This Row],[Llave]],'[7]RV plan de ventas'!$A:$E,5,FALSE)),0)</f>
        <v>637000</v>
      </c>
      <c r="K93" s="8">
        <f>IFERROR(VLOOKUP(Tabla145[[#This Row],[Oficina]],[15]Ponderación!$B$2:$E$9,4,FALSE),0)</f>
        <v>0.45719439678473212</v>
      </c>
      <c r="L93" s="7">
        <f>+Tabla145[[#This Row],[ RV Producción mes n+1]]*Tabla145[[#This Row],[% Uti. producción]]</f>
        <v>267201.32167367847</v>
      </c>
      <c r="M93" s="7">
        <f>IFERROR(VLOOKUP(Tabla145[[#This Row],[Material]],[16]Stock!$G:$K,5,FALSE),0)</f>
        <v>83724</v>
      </c>
      <c r="N93" s="7">
        <f>IFERROR(VLOOKUP(Tabla145[[#This Row],[Material]],[16]Produccion!$M:$N,2,FALSE),0)</f>
        <v>135172.75213819137</v>
      </c>
      <c r="O93" s="7">
        <f>IFERROR(VLOOKUP(Tabla145[[#This Row],[Llave]],'[16]TD Conf-AP'!$I:$M,4,FALSE),0)</f>
        <v>0</v>
      </c>
      <c r="P93" s="14">
        <f>SUM(Tabla145[[#This Row],[Producción disponible]],Tabla145[[#This Row],[Stock al día]],(Tabla145[[#This Row],[Por producir mes N]]*0.9))-Tabla145[[#This Row],[Producción por despachar mes N]]</f>
        <v>472580.79859805072</v>
      </c>
      <c r="Q93" s="7">
        <f>IFERROR(VLOOKUP(Tabla145[[#This Row],[Llave]],[17]DELAY!$A:$D,4,FALSE),0)</f>
        <v>154000</v>
      </c>
      <c r="R93" s="9">
        <v>22000</v>
      </c>
      <c r="S93" s="5">
        <f t="shared" si="6"/>
        <v>154000</v>
      </c>
      <c r="T93" s="76">
        <v>-66000</v>
      </c>
      <c r="U93" s="5">
        <f>+Tabla145[[#This Row],[Atraso a facturar]]+Tabla145[[#This Row],[Ajuste atraso]]</f>
        <v>88000</v>
      </c>
      <c r="V93" s="3">
        <f>+Tabla145[[#This Row],[Total disponible]]-Tabla145[[#This Row],[Facturación atraso]]</f>
        <v>384580.79859805072</v>
      </c>
      <c r="W93" s="6">
        <f>IFERROR(IF(AND(V93&gt;R93,J93&gt;=R93),ROUNDDOWN((Tabla145[[#This Row],[Producción para venta nueva]])/R93,0)*R93,0),0)</f>
        <v>374000</v>
      </c>
      <c r="X93" s="76">
        <v>0</v>
      </c>
      <c r="Y93" s="6">
        <f>IF(Tabla145[[#This Row],[Venta del mes]]&gt;0,Tabla145[[#This Row],[Venta del mes]]+Tabla145[[#This Row],[Ajuste venta nueva]],0)</f>
        <v>374000</v>
      </c>
      <c r="Z93" s="6">
        <f>+Tabla145[[#This Row],[Producción para venta nueva]]-Tabla145[[#This Row],[Facturación Venta nueva]]</f>
        <v>10580.798598050722</v>
      </c>
      <c r="AA93" s="6">
        <f>IF(AND(A93=1,Tabla145[[#This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3" s="6">
        <v>0</v>
      </c>
      <c r="AC93" s="6">
        <f>IF(Tabla145[[#This Row],[Disponible stock sin venta]]&gt;0,Tabla145[[#This Row],[Disponible stock sin venta]]+Tabla145[[#This Row],[Ajuste stock sin venta]],0)</f>
        <v>0</v>
      </c>
      <c r="AD93" s="3">
        <f>IFERROR(VLOOKUP(Tabla145[[#This Row],[Llave]],'[16]TD Puerto'!$A:$D,4,FALSE),0)</f>
        <v>66004.149999999994</v>
      </c>
      <c r="AE93" s="3">
        <v>572004.15</v>
      </c>
      <c r="AF93" s="3">
        <f>+Tabla145[[#This Row],[Plan Irrestricto Inicial]]</f>
        <v>572004.15</v>
      </c>
      <c r="AG93" s="3">
        <f>+Tabla145[[#This Row],[En puerto a facturar]]</f>
        <v>66004.149999999994</v>
      </c>
      <c r="AH93" s="3">
        <f>+Tabla145[[#This Row],[Facturación atraso]]</f>
        <v>88000</v>
      </c>
      <c r="AI93" s="3">
        <f>+Tabla145[[#This Row],[Plan Irrestricto]]-Tabla145[[#This Row],[Puerto ]]-Tabla145[[#This Row],[Atraso]]</f>
        <v>418000</v>
      </c>
      <c r="AJ93" s="3">
        <f>IF(Tabla145[[#This Row],[Plan Irrestricto]]&gt;0,SUM(Tabla145[[#This Row],[Facturación atraso]],Tabla145[[#This Row],[Facturación Venta nueva]],Tabla145[[#This Row],[Facturación stock]],Tabla145[[#This Row],[En puerto a facturar]]),0)</f>
        <v>528004.15</v>
      </c>
      <c r="AK93" s="3">
        <f>+Tabla145[[#This Row],[Facturación atraso]]</f>
        <v>88000</v>
      </c>
      <c r="AL93" s="3">
        <f>+Tabla145[[#This Row],[Plan Ajustado]]-Tabla145[[#This Row],[ Atraso ajustado]]-Tabla145[[#This Row],[Puerto ]]</f>
        <v>374000</v>
      </c>
      <c r="AM93" s="6">
        <f>IFERROR(VLOOKUP(Tabla145[[#This Row],[Llave]],[18]!Tabla14[#All],34,FALSE),0)</f>
        <v>0</v>
      </c>
      <c r="AN93" s="6">
        <f>IFERROR(VLOOKUP(Tabla145[[#This Row],[Llave]],[18]!Tabla14[#All],35,FALSE),0)</f>
        <v>0</v>
      </c>
      <c r="AO93" s="3" t="str">
        <f>IF(Tabla145[[#This Row],[Plan Ajustado]]&gt;Tabla145[[#This Row],[En puerto a facturar]],"Si","No")</f>
        <v>Si</v>
      </c>
      <c r="AP93" s="3">
        <f>IF(AND(Tabla145[[#This Row],[Plan Ajustado]]&gt;0,Tabla145[[#This Row],[Plan Ajustado]]&gt;Tabla145[[#This Row],[En puerto a facturar]]),(Tabla145[[#This Row],[Plan Ajustado]]-Tabla145[[#This Row],[En puerto a facturar]]),0)</f>
        <v>462000</v>
      </c>
      <c r="AQ93" s="3">
        <f>IF(Tabla145[[#This Row],[Necesidad]]&gt;=Tabla145[[#This Row],[Stock al día]],Tabla145[[#This Row],[Stock al día]],Tabla145[[#This Row],[Necesidad]])</f>
        <v>83724</v>
      </c>
      <c r="AR93" s="3">
        <f>+Tabla145[[#This Row],[Necesidad]]-Tabla145[[#This Row],[Stock Plan]]</f>
        <v>378276</v>
      </c>
      <c r="AS93" s="155">
        <f>IFERROR(VLOOKUP(Tabla145[[#This Row],[Oficina]],[19]Ponderación!$B$14:$E$21,4,FALSE),"")</f>
        <v>44786</v>
      </c>
      <c r="AT9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6.12</v>
      </c>
      <c r="AU93" s="83">
        <f>IFERROR(VLOOKUP(Tabla145[[#This Row],[Llave]],[17]DELAY!$H:$W,16,FALSE),0)</f>
        <v>6.0501548672566399</v>
      </c>
      <c r="AV9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6.0996281140976292</v>
      </c>
      <c r="AW93" s="5">
        <f>Tabla145[[#This Row],[Ajuste precio IC]]*Tabla145[[#This Row],[Plan Ajustado]]</f>
        <v>3189145.0660000001</v>
      </c>
      <c r="AX93" s="30">
        <f>IFERROR(VLOOKUP(Tabla145[[#This Row],[Llave]],'[13]Ultimos precios facturados'!$A:$G,7,FALSE),0)</f>
        <v>6.0372157568540956</v>
      </c>
      <c r="AY9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1.033793718117103E-2</v>
      </c>
      <c r="AZ93" s="30">
        <f>IFERROR(VLOOKUP(Tabla145[[#This Row],[Llave]],Hoja2!B:K,10,FALSE),0)</f>
        <v>6.04</v>
      </c>
      <c r="BA93" s="30">
        <f>IF(Tabla145[[#This Row],[Ajuste precio IC]]="",Tabla145[[#This Row],[Precio ponderado]],Tabla145[[#This Row],[Precio ponderado]])</f>
        <v>6.0996281140976292</v>
      </c>
      <c r="BB93" s="82"/>
      <c r="BC93" s="82" t="str">
        <f>IF(AND(Tabla145[[#This Row],[Atraso a facturar]]&gt;0,Tabla145[[#This Row],[Precio Atraso]]=0),"Revisar","OK")</f>
        <v>OK</v>
      </c>
      <c r="BD93" s="82" t="str">
        <f>IF(AND(Tabla145[[#This Row],[Venta del mes]]&gt;0,Tabla145[[#This Row],[Precio venta nueva]]=0),"Revisar","OK")</f>
        <v>OK</v>
      </c>
      <c r="BE93" s="20">
        <f>IFERROR(VLOOKUP(Tabla145[[#This Row],[Llave]],'[5]Consolidación planes'!$A:$M,9,FALSE),0)</f>
        <v>660000</v>
      </c>
      <c r="BF93" s="20">
        <f>IFERROR(VLOOKUP(Tabla145[[#This Row],[Llave]],'[5]Consolidación planes'!$A:$M,10,FALSE),0)</f>
        <v>597000</v>
      </c>
      <c r="BG93" s="20">
        <f>IFERROR(VLOOKUP(Tabla145[[#This Row],[Llave]],'[5]Consolidación planes'!$A:$M,11,FALSE),0)</f>
        <v>476000</v>
      </c>
      <c r="BH93" s="20">
        <f>IFERROR(VLOOKUP(Tabla145[[#This Row],[Llave]],'[5]Consolidación planes'!$A:$M,12,FALSE),0)</f>
        <v>702000</v>
      </c>
      <c r="BI93" s="20">
        <f>IFERROR(VLOOKUP(Tabla145[[#This Row],[Llave]],'[5]Consolidación planes'!$A:$M,13,FALSE),0)</f>
        <v>615555</v>
      </c>
      <c r="BJ93" s="20">
        <f>IFERROR(VLOOKUP(Tabla145[[#This Row],[Llave]],'[13]Base ultimos planes'!$A:$M,13,FALSE),0)</f>
        <v>469016</v>
      </c>
      <c r="BK93" s="80">
        <f>IFERROR(VLOOKUP(Tabla145[[#This Row],[Llave]],'[13]Base ultimos planes'!$O:$AA,8,FALSE),0)</f>
        <v>4448231.7450000001</v>
      </c>
      <c r="BL93" s="20">
        <f>IFERROR(VLOOKUP(Tabla145[[#This Row],[Llave]],'[13]Base ultimos planes'!$O:$AA,9,FALSE),0)</f>
        <v>3883485</v>
      </c>
      <c r="BM93" s="20">
        <f>IFERROR(VLOOKUP(Tabla145[[#This Row],[Llave]],'[13]Base ultimos planes'!$O:$AA,10,FALSE),0)</f>
        <v>2975000</v>
      </c>
      <c r="BN93" s="20">
        <f>IFERROR(VLOOKUP(Tabla145[[#This Row],[Llave]],'[13]Base ultimos planes'!$O:$AA,11,FALSE),0)</f>
        <v>4283678</v>
      </c>
      <c r="BO93" s="20">
        <f>IFERROR(VLOOKUP(Tabla145[[#This Row],[Llave]],'[13]Base ultimos planes'!$O:$AA,12,FALSE),0)</f>
        <v>3723805</v>
      </c>
      <c r="BP93" s="20">
        <f>IFERROR(VLOOKUP(Tabla145[[#This Row],[Llave]],'[13]Base ultimos planes'!$O:$AA,13,FALSE),0)</f>
        <v>2830975</v>
      </c>
      <c r="BQ93" s="20"/>
      <c r="BR93" s="20">
        <f>Tabla145[[#This Row],[ RV Producción mes n+1]]*(1-Tabla145[[#This Row],[% Uti. producción]])</f>
        <v>317235.67832632153</v>
      </c>
      <c r="BS93" s="20">
        <f>+Tabla145[[#This Row],[Producción disponible mes n-1]]+Tabla145[[#This Row],[Saldo Volumen disponible]]</f>
        <v>327816.47692437225</v>
      </c>
      <c r="BT93" s="7">
        <f>IFERROR(VLOOKUP(Tabla145[[#This Row],[Llave]],'[21]RV n+2 y n+3'!$B:$F,4,FALSE),0)</f>
        <v>637999.99800000002</v>
      </c>
      <c r="BU93" s="7">
        <f>+Tabla145[[#This Row],[Asignación mes n+2]]*Tabla145[[#This Row],[% Uti. producción]]</f>
        <v>291690.02423427033</v>
      </c>
      <c r="BV93" s="7">
        <f>+Tabla145[[#This Row],[Ponderación mes n+2]]+Tabla145[[#This Row],[Saldo mes n-1]]</f>
        <v>619506.50115864258</v>
      </c>
      <c r="BW93" s="7">
        <f>+Tabla145[[#This Row],[Asignación mes n+2]]-Tabla145[[#This Row],[Ponderación mes n+2]]</f>
        <v>346309.97376572969</v>
      </c>
      <c r="BX93" s="7">
        <f>IFERROR(VLOOKUP(Tabla145[[#This Row],[Llave]],'[21]RV n+2 y n+3'!$B:$F,5,FALSE),0)</f>
        <v>660000.00300000003</v>
      </c>
      <c r="BY93" s="7">
        <f>+Tabla145[[#This Row],[Asignación mes n+3]]*Tabla145[[#This Row],[% Uti. producción]]</f>
        <v>301748.3032495064</v>
      </c>
      <c r="BZ93" s="3">
        <f>+Tabla145[[#This Row],[Ponderación mes n+3]]+Tabla145[[#This Row],[Saldo mes n+2]]</f>
        <v>648058.27701523609</v>
      </c>
      <c r="CA93" s="3">
        <f>+Tabla145[[#This Row],[Asignación mes n+3]]-Tabla145[[#This Row],[Ponderación mes n+3]]</f>
        <v>358251.69975049363</v>
      </c>
      <c r="CB93" s="3">
        <f>+Tabla145[[#This Row],[Producción disponible mes n-1]]+Tabla145[[#This Row],[Producción disponible]]</f>
        <v>584437</v>
      </c>
      <c r="CC93" s="3">
        <f>+Tabla145[[#This Row],[Saldo mes n+4]]-Tabla145[[#This Row],[ RV Producción mes n+1]]</f>
        <v>0</v>
      </c>
    </row>
    <row r="94" spans="1:81" ht="16" x14ac:dyDescent="0.2">
      <c r="A94">
        <v>1</v>
      </c>
      <c r="B94" t="str">
        <f>Tabla145[[#This Row],[Oficina]]&amp;Tabla145[[#This Row],[Material]]</f>
        <v>Agrosuper Asia1022887</v>
      </c>
      <c r="C94" t="s">
        <v>6</v>
      </c>
      <c r="D94" t="s">
        <v>173</v>
      </c>
      <c r="E94">
        <v>1022887</v>
      </c>
      <c r="F94" t="s">
        <v>189</v>
      </c>
      <c r="G94" t="s">
        <v>56</v>
      </c>
      <c r="H94" t="s">
        <v>57</v>
      </c>
      <c r="I94" s="7">
        <f>IFERROR(VLOOKUP(Tabla145[[#This Row],[Llave]],'[7]RV Producción'!$C:$G,5,FALSE),0)</f>
        <v>343870</v>
      </c>
      <c r="J94" s="3">
        <f>IFERROR(IF(Tabla145[[#This Row],[Oficina]]=$I$7,VLOOKUP(Tabla145[[#This Row],[Llave]],'[7]Shangai (Tomas)'!$A:$F,6,FALSE),VLOOKUP(Tabla145[[#This Row],[Llave]],'[7]RV plan de ventas'!$A:$E,5,FALSE)),0)</f>
        <v>360000</v>
      </c>
      <c r="K94" s="8">
        <f>IFERROR(VLOOKUP(Tabla145[[#This Row],[Oficina]],[15]Ponderación!$B$2:$E$9,4,FALSE),0)</f>
        <v>0.45719439678473212</v>
      </c>
      <c r="L94" s="7">
        <f>+Tabla145[[#This Row],[ RV Producción mes n+1]]*Tabla145[[#This Row],[% Uti. producción]]</f>
        <v>157215.43722236584</v>
      </c>
      <c r="M94" s="7">
        <f>IFERROR(VLOOKUP(Tabla145[[#This Row],[Material]],[16]Stock!$G:$K,5,FALSE),0)</f>
        <v>48730</v>
      </c>
      <c r="N94" s="7">
        <f>IFERROR(VLOOKUP(Tabla145[[#This Row],[Material]],[16]Produccion!$M:$N,2,FALSE),0)</f>
        <v>66161</v>
      </c>
      <c r="O94" s="7">
        <f>IFERROR(VLOOKUP(Tabla145[[#This Row],[Llave]],'[16]TD Conf-AP'!$I:$M,4,FALSE),0)</f>
        <v>0</v>
      </c>
      <c r="P94" s="14">
        <f>SUM(Tabla145[[#This Row],[Producción disponible]],Tabla145[[#This Row],[Stock al día]],(Tabla145[[#This Row],[Por producir mes N]]*0.9))-Tabla145[[#This Row],[Producción por despachar mes N]]</f>
        <v>265490.33722236584</v>
      </c>
      <c r="Q94" s="7">
        <f>IFERROR(VLOOKUP(Tabla145[[#This Row],[Llave]],[17]DELAY!$A:$D,4,FALSE),0)</f>
        <v>110000</v>
      </c>
      <c r="R94" s="9">
        <v>22000</v>
      </c>
      <c r="S94" s="5">
        <f t="shared" si="6"/>
        <v>110000</v>
      </c>
      <c r="T94" s="76">
        <v>0</v>
      </c>
      <c r="U94" s="5">
        <f>+Tabla145[[#This Row],[Atraso a facturar]]+Tabla145[[#This Row],[Ajuste atraso]]</f>
        <v>110000</v>
      </c>
      <c r="V94" s="3">
        <f>+Tabla145[[#This Row],[Total disponible]]-Tabla145[[#This Row],[Facturación atraso]]</f>
        <v>155490.33722236584</v>
      </c>
      <c r="W94" s="6">
        <f>IFERROR(IF(AND(V94&gt;R94,J94&gt;=R94),ROUNDDOWN((Tabla145[[#This Row],[Producción para venta nueva]])/R94,0)*R94,0),0)</f>
        <v>154000</v>
      </c>
      <c r="X94" s="76">
        <v>0</v>
      </c>
      <c r="Y94" s="6">
        <f>IF(Tabla145[[#This Row],[Venta del mes]]&gt;0,Tabla145[[#This Row],[Venta del mes]]+Tabla145[[#This Row],[Ajuste venta nueva]],0)</f>
        <v>154000</v>
      </c>
      <c r="Z94" s="6">
        <f>+Tabla145[[#This Row],[Producción para venta nueva]]-Tabla145[[#This Row],[Facturación Venta nueva]]</f>
        <v>1490.3372223658371</v>
      </c>
      <c r="AA94" s="6">
        <f>IF(AND(A94=1,Tabla145[[#This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4" s="6">
        <v>0</v>
      </c>
      <c r="AC94" s="6">
        <f>IF(Tabla145[[#This Row],[Disponible stock sin venta]]&gt;0,Tabla145[[#This Row],[Disponible stock sin venta]]+Tabla145[[#This Row],[Ajuste stock sin venta]],0)</f>
        <v>0</v>
      </c>
      <c r="AD94" s="3">
        <f>IFERROR(VLOOKUP(Tabla145[[#This Row],[Llave]],'[16]TD Puerto'!$A:$D,4,FALSE),0)</f>
        <v>0</v>
      </c>
      <c r="AE94" s="3">
        <v>220000</v>
      </c>
      <c r="AF94" s="3">
        <f>+Tabla145[[#This Row],[Plan Irrestricto Inicial]]</f>
        <v>220000</v>
      </c>
      <c r="AG94" s="3">
        <f>+Tabla145[[#This Row],[En puerto a facturar]]</f>
        <v>0</v>
      </c>
      <c r="AH94" s="3">
        <f>+Tabla145[[#This Row],[Facturación atraso]]</f>
        <v>110000</v>
      </c>
      <c r="AI94" s="3">
        <f>+Tabla145[[#This Row],[Plan Irrestricto]]-Tabla145[[#This Row],[Puerto ]]-Tabla145[[#This Row],[Atraso]]</f>
        <v>110000</v>
      </c>
      <c r="AJ94" s="3">
        <f>IF(Tabla145[[#This Row],[Plan Irrestricto]]&gt;0,SUM(Tabla145[[#This Row],[Facturación atraso]],Tabla145[[#This Row],[Facturación Venta nueva]],Tabla145[[#This Row],[Facturación stock]],Tabla145[[#This Row],[En puerto a facturar]]),0)</f>
        <v>264000</v>
      </c>
      <c r="AK94" s="3">
        <f>+Tabla145[[#This Row],[Facturación atraso]]</f>
        <v>110000</v>
      </c>
      <c r="AL94" s="3">
        <f>+Tabla145[[#This Row],[Plan Ajustado]]-Tabla145[[#This Row],[ Atraso ajustado]]-Tabla145[[#This Row],[Puerto ]]</f>
        <v>154000</v>
      </c>
      <c r="AM94" s="6">
        <f>IFERROR(VLOOKUP(Tabla145[[#This Row],[Llave]],[18]!Tabla14[#All],34,FALSE),0)</f>
        <v>0</v>
      </c>
      <c r="AN94" s="6">
        <f>IFERROR(VLOOKUP(Tabla145[[#This Row],[Llave]],[18]!Tabla14[#All],35,FALSE),0)</f>
        <v>0</v>
      </c>
      <c r="AO94" s="3" t="str">
        <f>IF(Tabla145[[#This Row],[Plan Ajustado]]&gt;Tabla145[[#This Row],[En puerto a facturar]],"Si","No")</f>
        <v>Si</v>
      </c>
      <c r="AP94" s="3">
        <f>IF(AND(Tabla145[[#This Row],[Plan Ajustado]]&gt;0,Tabla145[[#This Row],[Plan Ajustado]]&gt;Tabla145[[#This Row],[En puerto a facturar]]),(Tabla145[[#This Row],[Plan Ajustado]]-Tabla145[[#This Row],[En puerto a facturar]]),0)</f>
        <v>264000</v>
      </c>
      <c r="AQ94" s="3">
        <f>IF(Tabla145[[#This Row],[Necesidad]]&gt;=Tabla145[[#This Row],[Stock al día]],Tabla145[[#This Row],[Stock al día]],Tabla145[[#This Row],[Necesidad]])</f>
        <v>48730</v>
      </c>
      <c r="AR94" s="3">
        <f>+Tabla145[[#This Row],[Necesidad]]-Tabla145[[#This Row],[Stock Plan]]</f>
        <v>215270</v>
      </c>
      <c r="AS94" s="155">
        <f>IFERROR(VLOOKUP(Tabla145[[#This Row],[Oficina]],[19]Ponderación!$B$14:$E$21,4,FALSE),"")</f>
        <v>44786</v>
      </c>
      <c r="AT9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6.12</v>
      </c>
      <c r="AU94" s="83">
        <f>IFERROR(VLOOKUP(Tabla145[[#This Row],[Llave]],[17]DELAY!$H:$W,16,FALSE),0)</f>
        <v>6.05104166666667</v>
      </c>
      <c r="AV9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6.0912673611111128</v>
      </c>
      <c r="AW94" s="5">
        <f>Tabla145[[#This Row],[Ajuste precio IC]]*Tabla145[[#This Row],[Plan Ajustado]]</f>
        <v>1608094.5833333337</v>
      </c>
      <c r="AX94" s="30">
        <f>IFERROR(VLOOKUP(Tabla145[[#This Row],[Llave]],'[13]Ultimos precios facturados'!$A:$G,7,FALSE),0)</f>
        <v>6.0227654675665612</v>
      </c>
      <c r="AY9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1.1373827175148017E-2</v>
      </c>
      <c r="AZ94" s="30">
        <f>IFERROR(VLOOKUP(Tabla145[[#This Row],[Llave]],Hoja2!B:K,10,FALSE),0)</f>
        <v>6.0912673611111128</v>
      </c>
      <c r="BA94" s="30">
        <f>IF(Tabla145[[#This Row],[Ajuste precio IC]]="",Tabla145[[#This Row],[Precio ponderado]],Tabla145[[#This Row],[Precio ponderado]])</f>
        <v>6.0912673611111128</v>
      </c>
      <c r="BB94" s="82"/>
      <c r="BC94" s="82" t="str">
        <f>IF(AND(Tabla145[[#This Row],[Atraso a facturar]]&gt;0,Tabla145[[#This Row],[Precio Atraso]]=0),"Revisar","OK")</f>
        <v>OK</v>
      </c>
      <c r="BD94" s="82" t="str">
        <f>IF(AND(Tabla145[[#This Row],[Venta del mes]]&gt;0,Tabla145[[#This Row],[Precio venta nueva]]=0),"Revisar","OK")</f>
        <v>OK</v>
      </c>
      <c r="BE94" s="20">
        <f>IFERROR(VLOOKUP(Tabla145[[#This Row],[Llave]],'[5]Consolidación planes'!$A:$M,9,FALSE),0)</f>
        <v>198000</v>
      </c>
      <c r="BF94" s="20">
        <f>IFERROR(VLOOKUP(Tabla145[[#This Row],[Llave]],'[5]Consolidación planes'!$A:$M,10,FALSE),0)</f>
        <v>275000</v>
      </c>
      <c r="BG94" s="20">
        <f>IFERROR(VLOOKUP(Tabla145[[#This Row],[Llave]],'[5]Consolidación planes'!$A:$M,11,FALSE),0)</f>
        <v>385000</v>
      </c>
      <c r="BH94" s="20">
        <f>IFERROR(VLOOKUP(Tabla145[[#This Row],[Llave]],'[5]Consolidación planes'!$A:$M,12,FALSE),0)</f>
        <v>352000</v>
      </c>
      <c r="BI94" s="20">
        <f>IFERROR(VLOOKUP(Tabla145[[#This Row],[Llave]],'[5]Consolidación planes'!$A:$M,13,FALSE),0)</f>
        <v>308028</v>
      </c>
      <c r="BJ94" s="20">
        <f>IFERROR(VLOOKUP(Tabla145[[#This Row],[Llave]],'[13]Base ultimos planes'!$A:$M,13,FALSE),0)</f>
        <v>209000</v>
      </c>
      <c r="BK94" s="80">
        <f>IFERROR(VLOOKUP(Tabla145[[#This Row],[Llave]],'[13]Base ultimos planes'!$O:$AA,8,FALSE),0)</f>
        <v>1378080</v>
      </c>
      <c r="BL94" s="20">
        <f>IFERROR(VLOOKUP(Tabla145[[#This Row],[Llave]],'[13]Base ultimos planes'!$O:$AA,9,FALSE),0)</f>
        <v>1761375</v>
      </c>
      <c r="BM94" s="20">
        <f>IFERROR(VLOOKUP(Tabla145[[#This Row],[Llave]],'[13]Base ultimos planes'!$O:$AA,10,FALSE),0)</f>
        <v>2321550</v>
      </c>
      <c r="BN94" s="20">
        <f>IFERROR(VLOOKUP(Tabla145[[#This Row],[Llave]],'[13]Base ultimos planes'!$O:$AA,11,FALSE),0)</f>
        <v>2089499</v>
      </c>
      <c r="BO94" s="20">
        <f>IFERROR(VLOOKUP(Tabla145[[#This Row],[Llave]],'[13]Base ultimos planes'!$O:$AA,12,FALSE),0)</f>
        <v>1830564</v>
      </c>
      <c r="BP94" s="20">
        <f>IFERROR(VLOOKUP(Tabla145[[#This Row],[Llave]],'[13]Base ultimos planes'!$O:$AA,13,FALSE),0)</f>
        <v>1258453</v>
      </c>
      <c r="BQ94" s="20"/>
      <c r="BR94" s="20">
        <f>Tabla145[[#This Row],[ RV Producción mes n+1]]*(1-Tabla145[[#This Row],[% Uti. producción]])</f>
        <v>186654.56277763419</v>
      </c>
      <c r="BS94" s="20">
        <f>+Tabla145[[#This Row],[Producción disponible mes n-1]]+Tabla145[[#This Row],[Saldo Volumen disponible]]</f>
        <v>188144.90000000002</v>
      </c>
      <c r="BT94" s="7">
        <f>IFERROR(VLOOKUP(Tabla145[[#This Row],[Llave]],'[21]RV n+2 y n+3'!$B:$F,4,FALSE),0)</f>
        <v>0</v>
      </c>
      <c r="BU94" s="7">
        <f>+Tabla145[[#This Row],[Asignación mes n+2]]*Tabla145[[#This Row],[% Uti. producción]]</f>
        <v>0</v>
      </c>
      <c r="BV94" s="7">
        <f>+Tabla145[[#This Row],[Ponderación mes n+2]]+Tabla145[[#This Row],[Saldo mes n-1]]</f>
        <v>188144.90000000002</v>
      </c>
      <c r="BW94" s="7">
        <f>+Tabla145[[#This Row],[Asignación mes n+2]]-Tabla145[[#This Row],[Ponderación mes n+2]]</f>
        <v>0</v>
      </c>
      <c r="BX94" s="7">
        <f>IFERROR(VLOOKUP(Tabla145[[#This Row],[Llave]],'[21]RV n+2 y n+3'!$B:$F,5,FALSE),0)</f>
        <v>0</v>
      </c>
      <c r="BY94" s="7">
        <f>+Tabla145[[#This Row],[Asignación mes n+3]]*Tabla145[[#This Row],[% Uti. producción]]</f>
        <v>0</v>
      </c>
      <c r="BZ94" s="3">
        <f>+Tabla145[[#This Row],[Ponderación mes n+3]]+Tabla145[[#This Row],[Saldo mes n+2]]</f>
        <v>0</v>
      </c>
      <c r="CA94" s="3">
        <f>+Tabla145[[#This Row],[Asignación mes n+3]]-Tabla145[[#This Row],[Ponderación mes n+3]]</f>
        <v>0</v>
      </c>
      <c r="CB94" s="3">
        <f>+Tabla145[[#This Row],[Producción disponible mes n-1]]+Tabla145[[#This Row],[Producción disponible]]</f>
        <v>343870</v>
      </c>
      <c r="CC94" s="3">
        <f>+Tabla145[[#This Row],[Saldo mes n+4]]-Tabla145[[#This Row],[ RV Producción mes n+1]]</f>
        <v>0</v>
      </c>
    </row>
    <row r="95" spans="1:81" ht="16" x14ac:dyDescent="0.2">
      <c r="A95">
        <v>1</v>
      </c>
      <c r="B95" t="str">
        <f>Tabla145[[#This Row],[Oficina]]&amp;Tabla145[[#This Row],[Material]]</f>
        <v>Agrosuper Asia1022930</v>
      </c>
      <c r="C95" t="s">
        <v>6</v>
      </c>
      <c r="D95" t="s">
        <v>173</v>
      </c>
      <c r="E95">
        <v>1022930</v>
      </c>
      <c r="F95" t="s">
        <v>190</v>
      </c>
      <c r="G95" t="s">
        <v>56</v>
      </c>
      <c r="H95" t="s">
        <v>57</v>
      </c>
      <c r="I95" s="7">
        <f>IFERROR(VLOOKUP(Tabla145[[#This Row],[Llave]],'[7]RV Producción'!$C:$G,5,FALSE),0)</f>
        <v>191803</v>
      </c>
      <c r="J95" s="3">
        <f>IFERROR(IF(Tabla145[[#This Row],[Oficina]]=$I$7,VLOOKUP(Tabla145[[#This Row],[Llave]],'[7]Shangai (Tomas)'!$A:$F,6,FALSE),VLOOKUP(Tabla145[[#This Row],[Llave]],'[7]RV plan de ventas'!$A:$E,5,FALSE)),0)</f>
        <v>154000</v>
      </c>
      <c r="K95" s="8">
        <f>IFERROR(VLOOKUP(Tabla145[[#This Row],[Oficina]],[15]Ponderación!$B$2:$E$9,4,FALSE),0)</f>
        <v>0.45719439678473212</v>
      </c>
      <c r="L95" s="7">
        <f>+Tabla145[[#This Row],[ RV Producción mes n+1]]*Tabla145[[#This Row],[% Uti. producción]]</f>
        <v>87691.256886501971</v>
      </c>
      <c r="M95" s="7">
        <f>IFERROR(VLOOKUP(Tabla145[[#This Row],[Material]],[16]Stock!$G:$K,5,FALSE),0)</f>
        <v>58194</v>
      </c>
      <c r="N95" s="7">
        <f>IFERROR(VLOOKUP(Tabla145[[#This Row],[Material]],[16]Produccion!$M:$N,2,FALSE),0)</f>
        <v>68023.349837159374</v>
      </c>
      <c r="O95" s="7">
        <f>IFERROR(VLOOKUP(Tabla145[[#This Row],[Llave]],'[16]TD Conf-AP'!$I:$M,4,FALSE),0)</f>
        <v>0</v>
      </c>
      <c r="P95" s="14">
        <f>SUM(Tabla145[[#This Row],[Producción disponible]],Tabla145[[#This Row],[Stock al día]],(Tabla145[[#This Row],[Por producir mes N]]*0.9))-Tabla145[[#This Row],[Producción por despachar mes N]]</f>
        <v>207106.2717399454</v>
      </c>
      <c r="Q95" s="7">
        <f>IFERROR(VLOOKUP(Tabla145[[#This Row],[Llave]],[17]DELAY!$A:$D,4,FALSE),0)</f>
        <v>176000</v>
      </c>
      <c r="R95" s="9">
        <v>22000</v>
      </c>
      <c r="S95" s="5">
        <f t="shared" si="6"/>
        <v>176000</v>
      </c>
      <c r="T95" s="76">
        <v>0</v>
      </c>
      <c r="U95" s="5">
        <f>+Tabla145[[#This Row],[Atraso a facturar]]+Tabla145[[#This Row],[Ajuste atraso]]</f>
        <v>176000</v>
      </c>
      <c r="V95" s="3">
        <f>+Tabla145[[#This Row],[Total disponible]]-Tabla145[[#This Row],[Facturación atraso]]</f>
        <v>31106.271739945398</v>
      </c>
      <c r="W95" s="6">
        <f>IFERROR(IF(AND(V95&gt;R95,J95&gt;=R95),ROUNDDOWN((Tabla145[[#This Row],[Producción para venta nueva]])/R95,0)*R95,0),0)</f>
        <v>22000</v>
      </c>
      <c r="X95" s="76">
        <v>0</v>
      </c>
      <c r="Y95" s="6">
        <f>IF(Tabla145[[#This Row],[Venta del mes]]&gt;0,Tabla145[[#This Row],[Venta del mes]]+Tabla145[[#This Row],[Ajuste venta nueva]],0)</f>
        <v>22000</v>
      </c>
      <c r="Z95" s="6">
        <f>+Tabla145[[#This Row],[Producción para venta nueva]]-Tabla145[[#This Row],[Facturación Venta nueva]]</f>
        <v>9106.2717399453977</v>
      </c>
      <c r="AA95" s="6">
        <f>IF(AND(A95=1,Tabla145[[#This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5" s="6">
        <v>0</v>
      </c>
      <c r="AC95" s="6">
        <f>IF(Tabla145[[#This Row],[Disponible stock sin venta]]&gt;0,Tabla145[[#This Row],[Disponible stock sin venta]]+Tabla145[[#This Row],[Ajuste stock sin venta]],0)</f>
        <v>0</v>
      </c>
      <c r="AD95" s="3">
        <f>IFERROR(VLOOKUP(Tabla145[[#This Row],[Llave]],'[16]TD Puerto'!$A:$D,4,FALSE),0)</f>
        <v>44031.5</v>
      </c>
      <c r="AE95" s="3">
        <v>198031.5</v>
      </c>
      <c r="AF95" s="3">
        <f>+Tabla145[[#This Row],[Plan Irrestricto Inicial]]</f>
        <v>198031.5</v>
      </c>
      <c r="AG95" s="3">
        <f>+Tabla145[[#This Row],[En puerto a facturar]]</f>
        <v>44031.5</v>
      </c>
      <c r="AH95" s="3">
        <f>+Tabla145[[#This Row],[Facturación atraso]]</f>
        <v>176000</v>
      </c>
      <c r="AI95" s="3">
        <f>+Tabla145[[#This Row],[Plan Irrestricto]]-Tabla145[[#This Row],[Puerto ]]-Tabla145[[#This Row],[Atraso]]</f>
        <v>-22000</v>
      </c>
      <c r="AJ95" s="3">
        <f>IF(Tabla145[[#This Row],[Plan Irrestricto]]&gt;0,SUM(Tabla145[[#This Row],[Facturación atraso]],Tabla145[[#This Row],[Facturación Venta nueva]],Tabla145[[#This Row],[Facturación stock]],Tabla145[[#This Row],[En puerto a facturar]]),0)</f>
        <v>242031.5</v>
      </c>
      <c r="AK95" s="3">
        <f>+Tabla145[[#This Row],[Facturación atraso]]</f>
        <v>176000</v>
      </c>
      <c r="AL95" s="3">
        <f>+Tabla145[[#This Row],[Plan Ajustado]]-Tabla145[[#This Row],[ Atraso ajustado]]-Tabla145[[#This Row],[Puerto ]]</f>
        <v>22000</v>
      </c>
      <c r="AM95" s="6">
        <f>IFERROR(VLOOKUP(Tabla145[[#This Row],[Llave]],[18]!Tabla14[#All],34,FALSE),0)</f>
        <v>0</v>
      </c>
      <c r="AN95" s="6">
        <f>IFERROR(VLOOKUP(Tabla145[[#This Row],[Llave]],[18]!Tabla14[#All],35,FALSE),0)</f>
        <v>0</v>
      </c>
      <c r="AO95" s="3" t="str">
        <f>IF(Tabla145[[#This Row],[Plan Ajustado]]&gt;Tabla145[[#This Row],[En puerto a facturar]],"Si","No")</f>
        <v>Si</v>
      </c>
      <c r="AP95" s="3">
        <f>IF(AND(Tabla145[[#This Row],[Plan Ajustado]]&gt;0,Tabla145[[#This Row],[Plan Ajustado]]&gt;Tabla145[[#This Row],[En puerto a facturar]]),(Tabla145[[#This Row],[Plan Ajustado]]-Tabla145[[#This Row],[En puerto a facturar]]),0)</f>
        <v>198000</v>
      </c>
      <c r="AQ95" s="3">
        <f>IF(Tabla145[[#This Row],[Necesidad]]&gt;=Tabla145[[#This Row],[Stock al día]],Tabla145[[#This Row],[Stock al día]],Tabla145[[#This Row],[Necesidad]])</f>
        <v>58194</v>
      </c>
      <c r="AR95" s="3">
        <f>+Tabla145[[#This Row],[Necesidad]]-Tabla145[[#This Row],[Stock Plan]]</f>
        <v>139806</v>
      </c>
      <c r="AS95" s="155">
        <f>IFERROR(VLOOKUP(Tabla145[[#This Row],[Oficina]],[19]Ponderación!$B$14:$E$21,4,FALSE),"")</f>
        <v>44786</v>
      </c>
      <c r="AT9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6.32</v>
      </c>
      <c r="AU95" s="83">
        <f>IFERROR(VLOOKUP(Tabla145[[#This Row],[Llave]],[17]DELAY!$H:$W,16,FALSE),0)</f>
        <v>6.3071428571428552</v>
      </c>
      <c r="AV9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6.3083115361902395</v>
      </c>
      <c r="AW95" s="5">
        <f>Tabla145[[#This Row],[Ajuste precio IC]]*Tabla145[[#This Row],[Plan Ajustado]]</f>
        <v>1526810.103571428</v>
      </c>
      <c r="AX95" s="30">
        <f>IFERROR(VLOOKUP(Tabla145[[#This Row],[Llave]],'[13]Ultimos precios facturados'!$A:$G,7,FALSE),0)</f>
        <v>6.1824058765919077</v>
      </c>
      <c r="AY9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2.0365155913661594E-2</v>
      </c>
      <c r="AZ95" s="30">
        <f>IFERROR(VLOOKUP(Tabla145[[#This Row],[Llave]],Hoja2!B:K,10,FALSE),0)</f>
        <v>6.3083115361902395</v>
      </c>
      <c r="BA95" s="30">
        <f>IF(Tabla145[[#This Row],[Ajuste precio IC]]="",Tabla145[[#This Row],[Precio ponderado]],Tabla145[[#This Row],[Precio ponderado]])</f>
        <v>6.3083115361902395</v>
      </c>
      <c r="BB95" s="82"/>
      <c r="BC95" s="82" t="str">
        <f>IF(AND(Tabla145[[#This Row],[Atraso a facturar]]&gt;0,Tabla145[[#This Row],[Precio Atraso]]=0),"Revisar","OK")</f>
        <v>OK</v>
      </c>
      <c r="BD95" s="82" t="str">
        <f>IF(AND(Tabla145[[#This Row],[Venta del mes]]&gt;0,Tabla145[[#This Row],[Precio venta nueva]]=0),"Revisar","OK")</f>
        <v>OK</v>
      </c>
      <c r="BE95" s="20">
        <f>IFERROR(VLOOKUP(Tabla145[[#This Row],[Llave]],'[5]Consolidación planes'!$A:$M,9,FALSE),0)</f>
        <v>154000</v>
      </c>
      <c r="BF95" s="20">
        <f>IFERROR(VLOOKUP(Tabla145[[#This Row],[Llave]],'[5]Consolidación planes'!$A:$M,10,FALSE),0)</f>
        <v>44000</v>
      </c>
      <c r="BG95" s="20">
        <f>IFERROR(VLOOKUP(Tabla145[[#This Row],[Llave]],'[5]Consolidación planes'!$A:$M,11,FALSE),0)</f>
        <v>44000</v>
      </c>
      <c r="BH95" s="20">
        <f>IFERROR(VLOOKUP(Tabla145[[#This Row],[Llave]],'[5]Consolidación planes'!$A:$M,12,FALSE),0)</f>
        <v>88000</v>
      </c>
      <c r="BI95" s="20">
        <f>IFERROR(VLOOKUP(Tabla145[[#This Row],[Llave]],'[5]Consolidación planes'!$A:$M,13,FALSE),0)</f>
        <v>65946</v>
      </c>
      <c r="BJ95" s="20">
        <f>IFERROR(VLOOKUP(Tabla145[[#This Row],[Llave]],'[13]Base ultimos planes'!$A:$M,13,FALSE),0)</f>
        <v>22000</v>
      </c>
      <c r="BK95" s="80">
        <f>IFERROR(VLOOKUP(Tabla145[[#This Row],[Llave]],'[13]Base ultimos planes'!$O:$AA,8,FALSE),0)</f>
        <v>1083909.05</v>
      </c>
      <c r="BL95" s="20">
        <f>IFERROR(VLOOKUP(Tabla145[[#This Row],[Llave]],'[13]Base ultimos planes'!$O:$AA,9,FALSE),0)</f>
        <v>286440</v>
      </c>
      <c r="BM95" s="20">
        <f>IFERROR(VLOOKUP(Tabla145[[#This Row],[Llave]],'[13]Base ultimos planes'!$O:$AA,10,FALSE),0)</f>
        <v>264440</v>
      </c>
      <c r="BN95" s="20">
        <f>IFERROR(VLOOKUP(Tabla145[[#This Row],[Llave]],'[13]Base ultimos planes'!$O:$AA,11,FALSE),0)</f>
        <v>533280</v>
      </c>
      <c r="BO95" s="20">
        <f>IFERROR(VLOOKUP(Tabla145[[#This Row],[Llave]],'[13]Base ultimos planes'!$O:$AA,12,FALSE),0)</f>
        <v>273348</v>
      </c>
      <c r="BP95" s="20">
        <f>IFERROR(VLOOKUP(Tabla145[[#This Row],[Llave]],'[13]Base ultimos planes'!$O:$AA,13,FALSE),0)</f>
        <v>138292</v>
      </c>
      <c r="BQ95" s="20"/>
      <c r="BR95" s="20">
        <f>Tabla145[[#This Row],[ RV Producción mes n+1]]*(1-Tabla145[[#This Row],[% Uti. producción]])</f>
        <v>104111.74311349804</v>
      </c>
      <c r="BS95" s="20">
        <f>+Tabla145[[#This Row],[Producción disponible mes n-1]]+Tabla145[[#This Row],[Saldo Volumen disponible]]</f>
        <v>113218.01485344344</v>
      </c>
      <c r="BT95" s="7">
        <f>IFERROR(VLOOKUP(Tabla145[[#This Row],[Llave]],'[21]RV n+2 y n+3'!$B:$F,4,FALSE),0)</f>
        <v>120056.99</v>
      </c>
      <c r="BU95" s="7">
        <f>+Tabla145[[#This Row],[Asignación mes n+2]]*Tabla145[[#This Row],[% Uti. producción]]</f>
        <v>54889.38312284062</v>
      </c>
      <c r="BV95" s="7">
        <f>+Tabla145[[#This Row],[Ponderación mes n+2]]+Tabla145[[#This Row],[Saldo mes n-1]]</f>
        <v>168107.39797628406</v>
      </c>
      <c r="BW95" s="7">
        <f>+Tabla145[[#This Row],[Asignación mes n+2]]-Tabla145[[#This Row],[Ponderación mes n+2]]</f>
        <v>65167.606877159385</v>
      </c>
      <c r="BX95" s="7">
        <f>IFERROR(VLOOKUP(Tabla145[[#This Row],[Llave]],'[21]RV n+2 y n+3'!$B:$F,5,FALSE),0)</f>
        <v>197784.88999999998</v>
      </c>
      <c r="BY95" s="7">
        <f>+Tabla145[[#This Row],[Asignación mes n+3]]*Tabla145[[#This Row],[% Uti. producción]]</f>
        <v>90426.143476684592</v>
      </c>
      <c r="BZ95" s="3">
        <f>+Tabla145[[#This Row],[Ponderación mes n+3]]+Tabla145[[#This Row],[Saldo mes n+2]]</f>
        <v>155593.75035384396</v>
      </c>
      <c r="CA95" s="3">
        <f>+Tabla145[[#This Row],[Asignación mes n+3]]-Tabla145[[#This Row],[Ponderación mes n+3]]</f>
        <v>107358.74652331539</v>
      </c>
      <c r="CB95" s="3">
        <f>+Tabla145[[#This Row],[Producción disponible mes n-1]]+Tabla145[[#This Row],[Producción disponible]]</f>
        <v>191803</v>
      </c>
      <c r="CC95" s="3">
        <f>+Tabla145[[#This Row],[Saldo mes n+4]]-Tabla145[[#This Row],[ RV Producción mes n+1]]</f>
        <v>0</v>
      </c>
    </row>
    <row r="96" spans="1:81" ht="16" x14ac:dyDescent="0.2">
      <c r="A96">
        <v>1</v>
      </c>
      <c r="B96" t="str">
        <f>Tabla145[[#This Row],[Oficina]]&amp;Tabla145[[#This Row],[Material]]</f>
        <v>Agrosuper Asia1022985</v>
      </c>
      <c r="C96" t="s">
        <v>6</v>
      </c>
      <c r="D96" t="s">
        <v>173</v>
      </c>
      <c r="E96">
        <v>1022985</v>
      </c>
      <c r="F96" t="s">
        <v>184</v>
      </c>
      <c r="G96" t="s">
        <v>50</v>
      </c>
      <c r="H96" t="s">
        <v>110</v>
      </c>
      <c r="I96" s="7">
        <f>IFERROR(VLOOKUP(Tabla145[[#This Row],[Llave]],'[7]RV Producción'!$C:$G,5,FALSE),0)</f>
        <v>2858</v>
      </c>
      <c r="J96" s="3">
        <f>IFERROR(IF(Tabla145[[#This Row],[Oficina]]=$I$7,VLOOKUP(Tabla145[[#This Row],[Llave]],'[7]Shangai (Tomas)'!$A:$F,6,FALSE),VLOOKUP(Tabla145[[#This Row],[Llave]],'[7]RV plan de ventas'!$A:$E,5,FALSE)),0)</f>
        <v>5000</v>
      </c>
      <c r="K96" s="8">
        <f>IFERROR(VLOOKUP(Tabla145[[#This Row],[Oficina]],[15]Ponderación!$B$2:$E$9,4,FALSE),0)</f>
        <v>0.45719439678473212</v>
      </c>
      <c r="L96" s="7">
        <f>+Tabla145[[#This Row],[ RV Producción mes n+1]]*Tabla145[[#This Row],[% Uti. producción]]</f>
        <v>1306.6615860107645</v>
      </c>
      <c r="M96" s="7">
        <f>IFERROR(VLOOKUP(Tabla145[[#This Row],[Material]],[16]Stock!$G:$K,5,FALSE),0)</f>
        <v>4257</v>
      </c>
      <c r="N96" s="7">
        <f>IFERROR(VLOOKUP(Tabla145[[#This Row],[Material]],[16]Produccion!$M:$N,2,FALSE),0)</f>
        <v>5750.5109687184604</v>
      </c>
      <c r="O96" s="7">
        <f>IFERROR(VLOOKUP(Tabla145[[#This Row],[Llave]],'[16]TD Conf-AP'!$I:$M,4,FALSE),0)</f>
        <v>0</v>
      </c>
      <c r="P96" s="14">
        <f>SUM(Tabla145[[#This Row],[Producción disponible]],Tabla145[[#This Row],[Stock al día]],(Tabla145[[#This Row],[Por producir mes N]]*0.9))-Tabla145[[#This Row],[Producción por despachar mes N]]</f>
        <v>10739.121457857378</v>
      </c>
      <c r="Q96" s="7">
        <f>IFERROR(VLOOKUP(Tabla145[[#This Row],[Llave]],[17]DELAY!$A:$D,4,FALSE),0)</f>
        <v>5000</v>
      </c>
      <c r="R96" s="9">
        <v>5000</v>
      </c>
      <c r="S96" s="5">
        <f t="shared" si="6"/>
        <v>5000</v>
      </c>
      <c r="T96" s="76">
        <v>0</v>
      </c>
      <c r="U96" s="5">
        <f>+Tabla145[[#This Row],[Atraso a facturar]]+Tabla145[[#This Row],[Ajuste atraso]]</f>
        <v>5000</v>
      </c>
      <c r="V96" s="3">
        <f>+Tabla145[[#This Row],[Total disponible]]-Tabla145[[#This Row],[Facturación atraso]]</f>
        <v>5739.1214578573781</v>
      </c>
      <c r="W96" s="6">
        <f>IFERROR(IF(AND(V96&gt;R96,J96&gt;=R96),ROUNDDOWN((Tabla145[[#This Row],[Producción para venta nueva]])/R96,0)*R96,0),0)</f>
        <v>5000</v>
      </c>
      <c r="X96" s="76">
        <v>0</v>
      </c>
      <c r="Y96" s="6">
        <f>IF(Tabla145[[#This Row],[Venta del mes]]&gt;0,Tabla145[[#This Row],[Venta del mes]]+Tabla145[[#This Row],[Ajuste venta nueva]],0)</f>
        <v>5000</v>
      </c>
      <c r="Z96" s="6">
        <f>+Tabla145[[#This Row],[Producción para venta nueva]]-Tabla145[[#This Row],[Facturación Venta nueva]]</f>
        <v>739.12145785737812</v>
      </c>
      <c r="AA96" s="6">
        <f>IF(AND(A96=1,Tabla145[[#This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6" s="6">
        <v>0</v>
      </c>
      <c r="AC96" s="6">
        <f>IF(Tabla145[[#This Row],[Disponible stock sin venta]]&gt;0,Tabla145[[#This Row],[Disponible stock sin venta]]+Tabla145[[#This Row],[Ajuste stock sin venta]],0)</f>
        <v>0</v>
      </c>
      <c r="AD96" s="3">
        <f>IFERROR(VLOOKUP(Tabla145[[#This Row],[Llave]],'[16]TD Puerto'!$A:$D,4,FALSE),0)</f>
        <v>0</v>
      </c>
      <c r="AE96" s="3">
        <v>10000</v>
      </c>
      <c r="AF96" s="3">
        <f>+Tabla145[[#This Row],[Plan Irrestricto Inicial]]</f>
        <v>10000</v>
      </c>
      <c r="AG96" s="3">
        <f>+Tabla145[[#This Row],[En puerto a facturar]]</f>
        <v>0</v>
      </c>
      <c r="AH96" s="3">
        <f>+Tabla145[[#This Row],[Facturación atraso]]</f>
        <v>5000</v>
      </c>
      <c r="AI96" s="3">
        <f>+Tabla145[[#This Row],[Plan Irrestricto]]-Tabla145[[#This Row],[Puerto ]]-Tabla145[[#This Row],[Atraso]]</f>
        <v>5000</v>
      </c>
      <c r="AJ96" s="3">
        <f>IF(Tabla145[[#This Row],[Plan Irrestricto]]&gt;0,SUM(Tabla145[[#This Row],[Facturación atraso]],Tabla145[[#This Row],[Facturación Venta nueva]],Tabla145[[#This Row],[Facturación stock]],Tabla145[[#This Row],[En puerto a facturar]]),0)</f>
        <v>10000</v>
      </c>
      <c r="AK96" s="3">
        <f>+Tabla145[[#This Row],[Facturación atraso]]</f>
        <v>5000</v>
      </c>
      <c r="AL96" s="3">
        <f>+Tabla145[[#This Row],[Plan Ajustado]]-Tabla145[[#This Row],[ Atraso ajustado]]-Tabla145[[#This Row],[Puerto ]]</f>
        <v>5000</v>
      </c>
      <c r="AM96" s="6">
        <f>IFERROR(VLOOKUP(Tabla145[[#This Row],[Llave]],[18]!Tabla14[#All],34,FALSE),0)</f>
        <v>0</v>
      </c>
      <c r="AN96" s="6">
        <f>IFERROR(VLOOKUP(Tabla145[[#This Row],[Llave]],[18]!Tabla14[#All],35,FALSE),0)</f>
        <v>0</v>
      </c>
      <c r="AO96" s="3" t="str">
        <f>IF(Tabla145[[#This Row],[Plan Ajustado]]&gt;Tabla145[[#This Row],[En puerto a facturar]],"Si","No")</f>
        <v>Si</v>
      </c>
      <c r="AP96" s="3">
        <f>IF(AND(Tabla145[[#This Row],[Plan Ajustado]]&gt;0,Tabla145[[#This Row],[Plan Ajustado]]&gt;Tabla145[[#This Row],[En puerto a facturar]]),(Tabla145[[#This Row],[Plan Ajustado]]-Tabla145[[#This Row],[En puerto a facturar]]),0)</f>
        <v>10000</v>
      </c>
      <c r="AQ96" s="3">
        <f>IF(Tabla145[[#This Row],[Necesidad]]&gt;=Tabla145[[#This Row],[Stock al día]],Tabla145[[#This Row],[Stock al día]],Tabla145[[#This Row],[Necesidad]])</f>
        <v>4257</v>
      </c>
      <c r="AR96" s="3">
        <f>+Tabla145[[#This Row],[Necesidad]]-Tabla145[[#This Row],[Stock Plan]]</f>
        <v>5743</v>
      </c>
      <c r="AS96" s="155">
        <f>IFERROR(VLOOKUP(Tabla145[[#This Row],[Oficina]],[19]Ponderación!$B$14:$E$21,4,FALSE),"")</f>
        <v>44786</v>
      </c>
      <c r="AT9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4.17</v>
      </c>
      <c r="AU96" s="83">
        <f>IFERROR(VLOOKUP(Tabla145[[#This Row],[Llave]],[17]DELAY!$H:$W,16,FALSE),0)</f>
        <v>4.3499999999999996</v>
      </c>
      <c r="AV9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4.26</v>
      </c>
      <c r="AW96" s="5">
        <f>Tabla145[[#This Row],[Ajuste precio IC]]*Tabla145[[#This Row],[Plan Ajustado]]</f>
        <v>42600</v>
      </c>
      <c r="AX96" s="30">
        <f>IFERROR(VLOOKUP(Tabla145[[#This Row],[Llave]],'[13]Ultimos precios facturados'!$A:$G,7,FALSE),0)</f>
        <v>4.0226816865344555</v>
      </c>
      <c r="AY9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5.8995051549801919E-2</v>
      </c>
      <c r="AZ96" s="30">
        <f>IFERROR(VLOOKUP(Tabla145[[#This Row],[Llave]],Hoja2!B:K,10,FALSE),0)</f>
        <v>4.26</v>
      </c>
      <c r="BA96" s="30">
        <f>IF(Tabla145[[#This Row],[Ajuste precio IC]]="",Tabla145[[#This Row],[Precio ponderado]],Tabla145[[#This Row],[Precio ponderado]])</f>
        <v>4.26</v>
      </c>
      <c r="BB96" s="82"/>
      <c r="BC96" s="82" t="str">
        <f>IF(AND(Tabla145[[#This Row],[Atraso a facturar]]&gt;0,Tabla145[[#This Row],[Precio Atraso]]=0),"Revisar","OK")</f>
        <v>OK</v>
      </c>
      <c r="BD96" s="82" t="str">
        <f>IF(AND(Tabla145[[#This Row],[Venta del mes]]&gt;0,Tabla145[[#This Row],[Precio venta nueva]]=0),"Revisar","OK")</f>
        <v>OK</v>
      </c>
      <c r="BE96" s="20">
        <f>IFERROR(VLOOKUP(Tabla145[[#This Row],[Llave]],'[5]Consolidación planes'!$A:$M,9,FALSE),0)</f>
        <v>10000</v>
      </c>
      <c r="BF96" s="20">
        <f>IFERROR(VLOOKUP(Tabla145[[#This Row],[Llave]],'[5]Consolidación planes'!$A:$M,10,FALSE),0)</f>
        <v>10000</v>
      </c>
      <c r="BG96" s="20">
        <f>IFERROR(VLOOKUP(Tabla145[[#This Row],[Llave]],'[5]Consolidación planes'!$A:$M,11,FALSE),0)</f>
        <v>17000</v>
      </c>
      <c r="BH96" s="20">
        <f>IFERROR(VLOOKUP(Tabla145[[#This Row],[Llave]],'[5]Consolidación planes'!$A:$M,12,FALSE),0)</f>
        <v>12000</v>
      </c>
      <c r="BI96" s="20">
        <f>IFERROR(VLOOKUP(Tabla145[[#This Row],[Llave]],'[5]Consolidación planes'!$A:$M,13,FALSE),0)</f>
        <v>8000</v>
      </c>
      <c r="BJ96" s="20">
        <f>IFERROR(VLOOKUP(Tabla145[[#This Row],[Llave]],'[13]Base ultimos planes'!$A:$M,13,FALSE),0)</f>
        <v>5000</v>
      </c>
      <c r="BK96" s="80">
        <f>IFERROR(VLOOKUP(Tabla145[[#This Row],[Llave]],'[13]Base ultimos planes'!$O:$AA,8,FALSE),0)</f>
        <v>42616</v>
      </c>
      <c r="BL96" s="20">
        <f>IFERROR(VLOOKUP(Tabla145[[#This Row],[Llave]],'[13]Base ultimos planes'!$O:$AA,9,FALSE),0)</f>
        <v>41000</v>
      </c>
      <c r="BM96" s="20">
        <f>IFERROR(VLOOKUP(Tabla145[[#This Row],[Llave]],'[13]Base ultimos planes'!$O:$AA,10,FALSE),0)</f>
        <v>66243</v>
      </c>
      <c r="BN96" s="20">
        <f>IFERROR(VLOOKUP(Tabla145[[#This Row],[Llave]],'[13]Base ultimos planes'!$O:$AA,11,FALSE),0)</f>
        <v>49200</v>
      </c>
      <c r="BO96" s="20">
        <f>IFERROR(VLOOKUP(Tabla145[[#This Row],[Llave]],'[13]Base ultimos planes'!$O:$AA,12,FALSE),0)</f>
        <v>31677</v>
      </c>
      <c r="BP96" s="20">
        <f>IFERROR(VLOOKUP(Tabla145[[#This Row],[Llave]],'[13]Base ultimos planes'!$O:$AA,13,FALSE),0)</f>
        <v>19798</v>
      </c>
      <c r="BQ96" s="20"/>
      <c r="BR96" s="20">
        <f>Tabla145[[#This Row],[ RV Producción mes n+1]]*(1-Tabla145[[#This Row],[% Uti. producción]])</f>
        <v>1551.3384139892357</v>
      </c>
      <c r="BS96" s="20">
        <f>+Tabla145[[#This Row],[Producción disponible mes n-1]]+Tabla145[[#This Row],[Saldo Volumen disponible]]</f>
        <v>2290.4598718466141</v>
      </c>
      <c r="BT96" s="7">
        <f>IFERROR(VLOOKUP(Tabla145[[#This Row],[Llave]],'[21]RV n+2 y n+3'!$B:$F,4,FALSE),0)</f>
        <v>4999.9999800000005</v>
      </c>
      <c r="BU96" s="7">
        <f>+Tabla145[[#This Row],[Asignación mes n+2]]*Tabla145[[#This Row],[% Uti. producción]]</f>
        <v>2285.9719747797731</v>
      </c>
      <c r="BV96" s="7">
        <f>+Tabla145[[#This Row],[Ponderación mes n+2]]+Tabla145[[#This Row],[Saldo mes n-1]]</f>
        <v>4576.4318466263867</v>
      </c>
      <c r="BW96" s="7">
        <f>+Tabla145[[#This Row],[Asignación mes n+2]]-Tabla145[[#This Row],[Ponderación mes n+2]]</f>
        <v>2714.0280052202274</v>
      </c>
      <c r="BX96" s="7">
        <f>IFERROR(VLOOKUP(Tabla145[[#This Row],[Llave]],'[21]RV n+2 y n+3'!$B:$F,5,FALSE),0)</f>
        <v>0</v>
      </c>
      <c r="BY96" s="7">
        <f>+Tabla145[[#This Row],[Asignación mes n+3]]*Tabla145[[#This Row],[% Uti. producción]]</f>
        <v>0</v>
      </c>
      <c r="BZ96" s="3">
        <f>+Tabla145[[#This Row],[Ponderación mes n+3]]+Tabla145[[#This Row],[Saldo mes n+2]]</f>
        <v>2714.0280052202274</v>
      </c>
      <c r="CA96" s="3">
        <f>+Tabla145[[#This Row],[Asignación mes n+3]]-Tabla145[[#This Row],[Ponderación mes n+3]]</f>
        <v>0</v>
      </c>
      <c r="CB96" s="3">
        <f>+Tabla145[[#This Row],[Producción disponible mes n-1]]+Tabla145[[#This Row],[Producción disponible]]</f>
        <v>2858</v>
      </c>
      <c r="CC96" s="3">
        <f>+Tabla145[[#This Row],[Saldo mes n+4]]-Tabla145[[#This Row],[ RV Producción mes n+1]]</f>
        <v>0</v>
      </c>
    </row>
    <row r="97" spans="1:81" ht="16" x14ac:dyDescent="0.2">
      <c r="A97">
        <v>1</v>
      </c>
      <c r="B97" t="str">
        <f>Tabla145[[#This Row],[Oficina]]&amp;Tabla145[[#This Row],[Material]]</f>
        <v>Agrosuper Asia1022986</v>
      </c>
      <c r="C97" t="s">
        <v>6</v>
      </c>
      <c r="D97" t="s">
        <v>173</v>
      </c>
      <c r="E97">
        <v>1022986</v>
      </c>
      <c r="F97" t="s">
        <v>191</v>
      </c>
      <c r="G97" t="s">
        <v>56</v>
      </c>
      <c r="H97" t="s">
        <v>57</v>
      </c>
      <c r="I97" s="7">
        <f>IFERROR(VLOOKUP(Tabla145[[#This Row],[Llave]],'[7]RV Producción'!$C:$G,5,FALSE),0)</f>
        <v>3271</v>
      </c>
      <c r="J97" s="3">
        <f>IFERROR(IF(Tabla145[[#This Row],[Oficina]]=$I$7,VLOOKUP(Tabla145[[#This Row],[Llave]],'[7]Shangai (Tomas)'!$A:$F,6,FALSE),VLOOKUP(Tabla145[[#This Row],[Llave]],'[7]RV plan de ventas'!$A:$E,5,FALSE)),0)</f>
        <v>0</v>
      </c>
      <c r="K97" s="8">
        <f>IFERROR(VLOOKUP(Tabla145[[#This Row],[Oficina]],[15]Ponderación!$B$2:$E$9,4,FALSE),0)</f>
        <v>0.45719439678473212</v>
      </c>
      <c r="L97" s="7">
        <f>+Tabla145[[#This Row],[ RV Producción mes n+1]]*Tabla145[[#This Row],[% Uti. producción]]</f>
        <v>1495.4828718828587</v>
      </c>
      <c r="M97" s="7">
        <f>IFERROR(VLOOKUP(Tabla145[[#This Row],[Material]],[16]Stock!$G:$K,5,FALSE),0)</f>
        <v>39</v>
      </c>
      <c r="N97" s="7">
        <f>IFERROR(VLOOKUP(Tabla145[[#This Row],[Material]],[16]Produccion!$M:$N,2,FALSE),0)</f>
        <v>0</v>
      </c>
      <c r="O97" s="7">
        <f>IFERROR(VLOOKUP(Tabla145[[#This Row],[Llave]],'[16]TD Conf-AP'!$I:$M,4,FALSE),0)</f>
        <v>0</v>
      </c>
      <c r="P97" s="14">
        <f>SUM(Tabla145[[#This Row],[Producción disponible]],Tabla145[[#This Row],[Stock al día]],(Tabla145[[#This Row],[Por producir mes N]]*0.9))-Tabla145[[#This Row],[Producción por despachar mes N]]</f>
        <v>1534.4828718828587</v>
      </c>
      <c r="Q97" s="7">
        <f>IFERROR(VLOOKUP(Tabla145[[#This Row],[Llave]],[17]DELAY!$A:$D,4,FALSE),0)</f>
        <v>5000</v>
      </c>
      <c r="R97" s="9">
        <v>5000</v>
      </c>
      <c r="S97" s="5">
        <f t="shared" si="6"/>
        <v>0</v>
      </c>
      <c r="T97" s="76">
        <v>0</v>
      </c>
      <c r="U97" s="5">
        <f>+Tabla145[[#This Row],[Atraso a facturar]]+Tabla145[[#This Row],[Ajuste atraso]]</f>
        <v>0</v>
      </c>
      <c r="V97" s="3">
        <f>+Tabla145[[#This Row],[Total disponible]]-Tabla145[[#This Row],[Facturación atraso]]</f>
        <v>1534.4828718828587</v>
      </c>
      <c r="W97" s="6">
        <f>IFERROR(IF(AND(V97&gt;R97,J97&gt;=R97),ROUNDDOWN((Tabla145[[#This Row],[Producción para venta nueva]])/R97,0)*R97,0),0)</f>
        <v>0</v>
      </c>
      <c r="X97" s="76">
        <v>0</v>
      </c>
      <c r="Y97" s="6">
        <f>IF(Tabla145[[#This Row],[Venta del mes]]&gt;0,Tabla145[[#This Row],[Venta del mes]]+Tabla145[[#This Row],[Ajuste venta nueva]],0)</f>
        <v>0</v>
      </c>
      <c r="Z97" s="6">
        <f>+Tabla145[[#This Row],[Producción para venta nueva]]-Tabla145[[#This Row],[Facturación Venta nueva]]</f>
        <v>1534.4828718828587</v>
      </c>
      <c r="AA97" s="6">
        <f>IF(AND(A97=1,Tabla145[[#This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7" s="6">
        <v>0</v>
      </c>
      <c r="AC97" s="6">
        <f>IF(Tabla145[[#This Row],[Disponible stock sin venta]]&gt;0,Tabla145[[#This Row],[Disponible stock sin venta]]+Tabla145[[#This Row],[Ajuste stock sin venta]],0)</f>
        <v>0</v>
      </c>
      <c r="AD97" s="3">
        <f>IFERROR(VLOOKUP(Tabla145[[#This Row],[Llave]],'[16]TD Puerto'!$A:$D,4,FALSE),0)</f>
        <v>0</v>
      </c>
      <c r="AE97" s="3">
        <v>5000</v>
      </c>
      <c r="AF97" s="3">
        <f>+Tabla145[[#This Row],[Plan Irrestricto Inicial]]</f>
        <v>5000</v>
      </c>
      <c r="AG97" s="3">
        <f>+Tabla145[[#This Row],[En puerto a facturar]]</f>
        <v>0</v>
      </c>
      <c r="AH97" s="3">
        <f>+Tabla145[[#This Row],[Facturación atraso]]</f>
        <v>0</v>
      </c>
      <c r="AI97" s="3">
        <f>+Tabla145[[#This Row],[Plan Irrestricto]]-Tabla145[[#This Row],[Puerto ]]-Tabla145[[#This Row],[Atraso]]</f>
        <v>5000</v>
      </c>
      <c r="AJ9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97" s="3">
        <f>+Tabla145[[#This Row],[Facturación atraso]]</f>
        <v>0</v>
      </c>
      <c r="AL97" s="3">
        <f>+Tabla145[[#This Row],[Plan Ajustado]]-Tabla145[[#This Row],[ Atraso ajustado]]-Tabla145[[#This Row],[Puerto ]]</f>
        <v>0</v>
      </c>
      <c r="AM97" s="6">
        <f>IFERROR(VLOOKUP(Tabla145[[#This Row],[Llave]],[18]!Tabla14[#All],34,FALSE),0)</f>
        <v>0</v>
      </c>
      <c r="AN97" s="6">
        <f>IFERROR(VLOOKUP(Tabla145[[#This Row],[Llave]],[18]!Tabla14[#All],35,FALSE),0)</f>
        <v>0</v>
      </c>
      <c r="AO97" s="3" t="str">
        <f>IF(Tabla145[[#This Row],[Plan Ajustado]]&gt;Tabla145[[#This Row],[En puerto a facturar]],"Si","No")</f>
        <v>No</v>
      </c>
      <c r="AP9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97" s="3">
        <f>IF(Tabla145[[#This Row],[Necesidad]]&gt;=Tabla145[[#This Row],[Stock al día]],Tabla145[[#This Row],[Stock al día]],Tabla145[[#This Row],[Necesidad]])</f>
        <v>0</v>
      </c>
      <c r="AR97" s="3">
        <f>+Tabla145[[#This Row],[Necesidad]]-Tabla145[[#This Row],[Stock Plan]]</f>
        <v>0</v>
      </c>
      <c r="AS97" s="155">
        <f>IFERROR(VLOOKUP(Tabla145[[#This Row],[Oficina]],[19]Ponderación!$B$14:$E$21,4,FALSE),"")</f>
        <v>44786</v>
      </c>
      <c r="AT9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6.5106754042781025</v>
      </c>
      <c r="AU97" s="83">
        <f>IFERROR(VLOOKUP(Tabla145[[#This Row],[Llave]],[17]DELAY!$H:$W,16,FALSE),0)</f>
        <v>6.2</v>
      </c>
      <c r="AV9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97" s="5">
        <f>Tabla145[[#This Row],[Ajuste precio IC]]*Tabla145[[#This Row],[Plan Ajustado]]</f>
        <v>0</v>
      </c>
      <c r="AX97" s="30">
        <f>IFERROR(VLOOKUP(Tabla145[[#This Row],[Llave]],'[13]Ultimos precios facturados'!$A:$G,7,FALSE),0)</f>
        <v>6.5106754042781025</v>
      </c>
      <c r="AY9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97" s="30">
        <f>IFERROR(VLOOKUP(Tabla145[[#This Row],[Llave]],Hoja2!B:K,10,FALSE),0)</f>
        <v>0</v>
      </c>
      <c r="BA97" s="30">
        <f>IF(Tabla145[[#This Row],[Ajuste precio IC]]="",Tabla145[[#This Row],[Precio ponderado]],Tabla145[[#This Row],[Precio ponderado]])</f>
        <v>0</v>
      </c>
      <c r="BB97" s="82"/>
      <c r="BC97" s="82" t="str">
        <f>IF(AND(Tabla145[[#This Row],[Atraso a facturar]]&gt;0,Tabla145[[#This Row],[Precio Atraso]]=0),"Revisar","OK")</f>
        <v>OK</v>
      </c>
      <c r="BD97" s="82" t="str">
        <f>IF(AND(Tabla145[[#This Row],[Venta del mes]]&gt;0,Tabla145[[#This Row],[Precio venta nueva]]=0),"Revisar","OK")</f>
        <v>OK</v>
      </c>
      <c r="BE97" s="20">
        <f>IFERROR(VLOOKUP(Tabla145[[#This Row],[Llave]],'[5]Consolidación planes'!$A:$M,9,FALSE),0)</f>
        <v>20000</v>
      </c>
      <c r="BF97" s="20">
        <f>IFERROR(VLOOKUP(Tabla145[[#This Row],[Llave]],'[5]Consolidación planes'!$A:$M,10,FALSE),0)</f>
        <v>17000</v>
      </c>
      <c r="BG97" s="20">
        <f>IFERROR(VLOOKUP(Tabla145[[#This Row],[Llave]],'[5]Consolidación planes'!$A:$M,11,FALSE),0)</f>
        <v>0</v>
      </c>
      <c r="BH97" s="20">
        <f>IFERROR(VLOOKUP(Tabla145[[#This Row],[Llave]],'[5]Consolidación planes'!$A:$M,12,FALSE),0)</f>
        <v>5000</v>
      </c>
      <c r="BI97" s="20">
        <f>IFERROR(VLOOKUP(Tabla145[[#This Row],[Llave]],'[5]Consolidación planes'!$A:$M,13,FALSE),0)</f>
        <v>7500</v>
      </c>
      <c r="BJ97" s="20">
        <f>IFERROR(VLOOKUP(Tabla145[[#This Row],[Llave]],'[13]Base ultimos planes'!$A:$M,13,FALSE),0)</f>
        <v>0</v>
      </c>
      <c r="BK97" s="80">
        <f>IFERROR(VLOOKUP(Tabla145[[#This Row],[Llave]],'[13]Base ultimos planes'!$O:$AA,8,FALSE),0)</f>
        <v>137818.6667</v>
      </c>
      <c r="BL97" s="20">
        <f>IFERROR(VLOOKUP(Tabla145[[#This Row],[Llave]],'[13]Base ultimos planes'!$O:$AA,9,FALSE),0)</f>
        <v>113900</v>
      </c>
      <c r="BM97" s="20">
        <f>IFERROR(VLOOKUP(Tabla145[[#This Row],[Llave]],'[13]Base ultimos planes'!$O:$AA,10,FALSE),0)</f>
        <v>0</v>
      </c>
      <c r="BN97" s="20">
        <f>IFERROR(VLOOKUP(Tabla145[[#This Row],[Llave]],'[13]Base ultimos planes'!$O:$AA,11,FALSE),0)</f>
        <v>32500</v>
      </c>
      <c r="BO97" s="20">
        <f>IFERROR(VLOOKUP(Tabla145[[#This Row],[Llave]],'[13]Base ultimos planes'!$O:$AA,12,FALSE),0)</f>
        <v>48822</v>
      </c>
      <c r="BP97" s="20">
        <f>IFERROR(VLOOKUP(Tabla145[[#This Row],[Llave]],'[13]Base ultimos planes'!$O:$AA,13,FALSE),0)</f>
        <v>0</v>
      </c>
      <c r="BQ97" s="20"/>
      <c r="BR97" s="20">
        <f>Tabla145[[#This Row],[ RV Producción mes n+1]]*(1-Tabla145[[#This Row],[% Uti. producción]])</f>
        <v>1775.5171281171415</v>
      </c>
      <c r="BS97" s="20">
        <f>+Tabla145[[#This Row],[Producción disponible mes n-1]]+Tabla145[[#This Row],[Saldo Volumen disponible]]</f>
        <v>3310</v>
      </c>
      <c r="BT97" s="7">
        <f>IFERROR(VLOOKUP(Tabla145[[#This Row],[Llave]],'[21]RV n+2 y n+3'!$B:$F,4,FALSE),0)</f>
        <v>10000</v>
      </c>
      <c r="BU97" s="7">
        <f>+Tabla145[[#This Row],[Asignación mes n+2]]*Tabla145[[#This Row],[% Uti. producción]]</f>
        <v>4571.9439678473209</v>
      </c>
      <c r="BV97" s="7">
        <f>+Tabla145[[#This Row],[Ponderación mes n+2]]+Tabla145[[#This Row],[Saldo mes n-1]]</f>
        <v>7881.9439678473209</v>
      </c>
      <c r="BW97" s="7">
        <f>+Tabla145[[#This Row],[Asignación mes n+2]]-Tabla145[[#This Row],[Ponderación mes n+2]]</f>
        <v>5428.0560321526791</v>
      </c>
      <c r="BX97" s="7">
        <f>IFERROR(VLOOKUP(Tabla145[[#This Row],[Llave]],'[21]RV n+2 y n+3'!$B:$F,5,FALSE),0)</f>
        <v>10000</v>
      </c>
      <c r="BY97" s="7">
        <f>+Tabla145[[#This Row],[Asignación mes n+3]]*Tabla145[[#This Row],[% Uti. producción]]</f>
        <v>4571.9439678473209</v>
      </c>
      <c r="BZ97" s="3">
        <f>+Tabla145[[#This Row],[Ponderación mes n+3]]+Tabla145[[#This Row],[Saldo mes n+2]]</f>
        <v>10000</v>
      </c>
      <c r="CA97" s="3">
        <f>+Tabla145[[#This Row],[Asignación mes n+3]]-Tabla145[[#This Row],[Ponderación mes n+3]]</f>
        <v>5428.0560321526791</v>
      </c>
      <c r="CB97" s="3">
        <f>+Tabla145[[#This Row],[Producción disponible mes n-1]]+Tabla145[[#This Row],[Producción disponible]]</f>
        <v>3271</v>
      </c>
      <c r="CC97" s="3">
        <f>+Tabla145[[#This Row],[Saldo mes n+4]]-Tabla145[[#This Row],[ RV Producción mes n+1]]</f>
        <v>0</v>
      </c>
    </row>
    <row r="98" spans="1:81" ht="16" x14ac:dyDescent="0.2">
      <c r="A98">
        <v>1</v>
      </c>
      <c r="B98" t="str">
        <f>Tabla145[[#This Row],[Oficina]]&amp;Tabla145[[#This Row],[Material]]</f>
        <v>Agrosuper Asia1023037</v>
      </c>
      <c r="C98" t="s">
        <v>6</v>
      </c>
      <c r="D98" t="s">
        <v>173</v>
      </c>
      <c r="E98">
        <v>1023037</v>
      </c>
      <c r="F98" t="s">
        <v>192</v>
      </c>
      <c r="G98" t="s">
        <v>56</v>
      </c>
      <c r="H98" t="s">
        <v>57</v>
      </c>
      <c r="I98" s="7">
        <f>IFERROR(VLOOKUP(Tabla145[[#This Row],[Llave]],'[7]RV Producción'!$C:$G,5,FALSE),0)</f>
        <v>121214</v>
      </c>
      <c r="J98" s="3">
        <f>IFERROR(IF(Tabla145[[#This Row],[Oficina]]=$I$7,VLOOKUP(Tabla145[[#This Row],[Llave]],'[7]Shangai (Tomas)'!$A:$F,6,FALSE),VLOOKUP(Tabla145[[#This Row],[Llave]],'[7]RV plan de ventas'!$A:$E,5,FALSE)),0)</f>
        <v>143000</v>
      </c>
      <c r="K98" s="8">
        <f>IFERROR(VLOOKUP(Tabla145[[#This Row],[Oficina]],[15]Ponderación!$B$2:$E$9,4,FALSE),0)</f>
        <v>0.45719439678473212</v>
      </c>
      <c r="L98" s="7">
        <f>+Tabla145[[#This Row],[ RV Producción mes n+1]]*Tabla145[[#This Row],[% Uti. producción]]</f>
        <v>55418.361611864522</v>
      </c>
      <c r="M98" s="7">
        <f>IFERROR(VLOOKUP(Tabla145[[#This Row],[Material]],[16]Stock!$G:$K,5,FALSE),0)</f>
        <v>30399</v>
      </c>
      <c r="N98" s="7">
        <f>IFERROR(VLOOKUP(Tabla145[[#This Row],[Material]],[16]Produccion!$M:$N,2,FALSE),0)</f>
        <v>0</v>
      </c>
      <c r="O98" s="7">
        <f>IFERROR(VLOOKUP(Tabla145[[#This Row],[Llave]],'[16]TD Conf-AP'!$I:$M,4,FALSE),0)</f>
        <v>0</v>
      </c>
      <c r="P98" s="14">
        <f>SUM(Tabla145[[#This Row],[Producción disponible]],Tabla145[[#This Row],[Stock al día]],(Tabla145[[#This Row],[Por producir mes N]]*0.9))-Tabla145[[#This Row],[Producción por despachar mes N]]</f>
        <v>85817.36161186453</v>
      </c>
      <c r="Q98" s="7">
        <f>IFERROR(VLOOKUP(Tabla145[[#This Row],[Llave]],[17]DELAY!$A:$D,4,FALSE),0)</f>
        <v>11000</v>
      </c>
      <c r="R98" s="9">
        <v>22000</v>
      </c>
      <c r="S98" s="5">
        <f t="shared" si="6"/>
        <v>11000</v>
      </c>
      <c r="T98" s="76">
        <v>0</v>
      </c>
      <c r="U98" s="5">
        <f>+Tabla145[[#This Row],[Atraso a facturar]]+Tabla145[[#This Row],[Ajuste atraso]]</f>
        <v>11000</v>
      </c>
      <c r="V98" s="3">
        <f>+Tabla145[[#This Row],[Total disponible]]-Tabla145[[#This Row],[Facturación atraso]]</f>
        <v>74817.36161186453</v>
      </c>
      <c r="W98" s="6">
        <f>IFERROR(IF(AND(V98&gt;R98,J98&gt;=R98),ROUNDDOWN((Tabla145[[#This Row],[Producción para venta nueva]])/R98,0)*R98,0),0)</f>
        <v>66000</v>
      </c>
      <c r="X98" s="76">
        <v>0</v>
      </c>
      <c r="Y98" s="6">
        <f>IF(Tabla145[[#This Row],[Venta del mes]]&gt;0,Tabla145[[#This Row],[Venta del mes]]+Tabla145[[#This Row],[Ajuste venta nueva]],0)</f>
        <v>66000</v>
      </c>
      <c r="Z98" s="6">
        <f>+Tabla145[[#This Row],[Producción para venta nueva]]-Tabla145[[#This Row],[Facturación Venta nueva]]</f>
        <v>8817.3616118645296</v>
      </c>
      <c r="AA98" s="6">
        <f>IF(AND(A98=1,Tabla145[[#This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8" s="6">
        <v>0</v>
      </c>
      <c r="AC98" s="6">
        <f>IF(Tabla145[[#This Row],[Disponible stock sin venta]]&gt;0,Tabla145[[#This Row],[Disponible stock sin venta]]+Tabla145[[#This Row],[Ajuste stock sin venta]],0)</f>
        <v>0</v>
      </c>
      <c r="AD98" s="3">
        <f>IFERROR(VLOOKUP(Tabla145[[#This Row],[Llave]],'[16]TD Puerto'!$A:$D,4,FALSE),0)</f>
        <v>0</v>
      </c>
      <c r="AE98" s="3">
        <v>99000</v>
      </c>
      <c r="AF98" s="3">
        <f>+Tabla145[[#This Row],[Plan Irrestricto Inicial]]</f>
        <v>99000</v>
      </c>
      <c r="AG98" s="3">
        <f>+Tabla145[[#This Row],[En puerto a facturar]]</f>
        <v>0</v>
      </c>
      <c r="AH98" s="3">
        <f>+Tabla145[[#This Row],[Facturación atraso]]</f>
        <v>11000</v>
      </c>
      <c r="AI98" s="3">
        <f>+Tabla145[[#This Row],[Plan Irrestricto]]-Tabla145[[#This Row],[Puerto ]]-Tabla145[[#This Row],[Atraso]]</f>
        <v>88000</v>
      </c>
      <c r="AJ98" s="3">
        <f>IF(Tabla145[[#This Row],[Plan Irrestricto]]&gt;0,SUM(Tabla145[[#This Row],[Facturación atraso]],Tabla145[[#This Row],[Facturación Venta nueva]],Tabla145[[#This Row],[Facturación stock]],Tabla145[[#This Row],[En puerto a facturar]]),0)</f>
        <v>77000</v>
      </c>
      <c r="AK98" s="3">
        <f>+Tabla145[[#This Row],[Facturación atraso]]</f>
        <v>11000</v>
      </c>
      <c r="AL98" s="3">
        <f>+Tabla145[[#This Row],[Plan Ajustado]]-Tabla145[[#This Row],[ Atraso ajustado]]-Tabla145[[#This Row],[Puerto ]]</f>
        <v>66000</v>
      </c>
      <c r="AM98" s="6">
        <f>IFERROR(VLOOKUP(Tabla145[[#This Row],[Llave]],[18]!Tabla14[#All],34,FALSE),0)</f>
        <v>0</v>
      </c>
      <c r="AN98" s="6">
        <f>IFERROR(VLOOKUP(Tabla145[[#This Row],[Llave]],[18]!Tabla14[#All],35,FALSE),0)</f>
        <v>0</v>
      </c>
      <c r="AO98" s="3" t="str">
        <f>IF(Tabla145[[#This Row],[Plan Ajustado]]&gt;Tabla145[[#This Row],[En puerto a facturar]],"Si","No")</f>
        <v>Si</v>
      </c>
      <c r="AP98" s="3">
        <f>IF(AND(Tabla145[[#This Row],[Plan Ajustado]]&gt;0,Tabla145[[#This Row],[Plan Ajustado]]&gt;Tabla145[[#This Row],[En puerto a facturar]]),(Tabla145[[#This Row],[Plan Ajustado]]-Tabla145[[#This Row],[En puerto a facturar]]),0)</f>
        <v>77000</v>
      </c>
      <c r="AQ98" s="3">
        <f>IF(Tabla145[[#This Row],[Necesidad]]&gt;=Tabla145[[#This Row],[Stock al día]],Tabla145[[#This Row],[Stock al día]],Tabla145[[#This Row],[Necesidad]])</f>
        <v>30399</v>
      </c>
      <c r="AR98" s="3">
        <f>+Tabla145[[#This Row],[Necesidad]]-Tabla145[[#This Row],[Stock Plan]]</f>
        <v>46601</v>
      </c>
      <c r="AS98" s="155">
        <f>IFERROR(VLOOKUP(Tabla145[[#This Row],[Oficina]],[19]Ponderación!$B$14:$E$21,4,FALSE),"")</f>
        <v>44786</v>
      </c>
      <c r="AT9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6.32</v>
      </c>
      <c r="AU98" s="83">
        <f>IFERROR(VLOOKUP(Tabla145[[#This Row],[Llave]],[17]DELAY!$H:$W,16,FALSE),0)</f>
        <v>6.2682692307692305</v>
      </c>
      <c r="AV9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6.3126098901098899</v>
      </c>
      <c r="AW98" s="5">
        <f>Tabla145[[#This Row],[Ajuste precio IC]]*Tabla145[[#This Row],[Plan Ajustado]]</f>
        <v>486070.9615384615</v>
      </c>
      <c r="AX98" s="30">
        <f>IFERROR(VLOOKUP(Tabla145[[#This Row],[Llave]],'[13]Ultimos precios facturados'!$A:$G,7,FALSE),0)</f>
        <v>6.2516628229335334</v>
      </c>
      <c r="AY9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9.7489370272464126E-3</v>
      </c>
      <c r="AZ98" s="30">
        <f>IFERROR(VLOOKUP(Tabla145[[#This Row],[Llave]],Hoja2!B:K,10,FALSE),0)</f>
        <v>6.3126098901098899</v>
      </c>
      <c r="BA98" s="30">
        <f>IF(Tabla145[[#This Row],[Ajuste precio IC]]="",Tabla145[[#This Row],[Precio ponderado]],Tabla145[[#This Row],[Precio ponderado]])</f>
        <v>6.3126098901098899</v>
      </c>
      <c r="BB98" s="82"/>
      <c r="BC98" s="82" t="str">
        <f>IF(AND(Tabla145[[#This Row],[Atraso a facturar]]&gt;0,Tabla145[[#This Row],[Precio Atraso]]=0),"Revisar","OK")</f>
        <v>OK</v>
      </c>
      <c r="BD98" s="82" t="str">
        <f>IF(AND(Tabla145[[#This Row],[Venta del mes]]&gt;0,Tabla145[[#This Row],[Precio venta nueva]]=0),"Revisar","OK")</f>
        <v>OK</v>
      </c>
      <c r="BE98" s="20">
        <f>IFERROR(VLOOKUP(Tabla145[[#This Row],[Llave]],'[5]Consolidación planes'!$A:$M,9,FALSE),0)</f>
        <v>66000</v>
      </c>
      <c r="BF98" s="20">
        <f>IFERROR(VLOOKUP(Tabla145[[#This Row],[Llave]],'[5]Consolidación planes'!$A:$M,10,FALSE),0)</f>
        <v>110000</v>
      </c>
      <c r="BG98" s="20">
        <f>IFERROR(VLOOKUP(Tabla145[[#This Row],[Llave]],'[5]Consolidación planes'!$A:$M,11,FALSE),0)</f>
        <v>176000</v>
      </c>
      <c r="BH98" s="20">
        <f>IFERROR(VLOOKUP(Tabla145[[#This Row],[Llave]],'[5]Consolidación planes'!$A:$M,12,FALSE),0)</f>
        <v>176000</v>
      </c>
      <c r="BI98" s="20">
        <f>IFERROR(VLOOKUP(Tabla145[[#This Row],[Llave]],'[5]Consolidación planes'!$A:$M,13,FALSE),0)</f>
        <v>99000</v>
      </c>
      <c r="BJ98" s="20">
        <f>IFERROR(VLOOKUP(Tabla145[[#This Row],[Llave]],'[13]Base ultimos planes'!$A:$M,13,FALSE),0)</f>
        <v>143000</v>
      </c>
      <c r="BK98" s="80">
        <f>IFERROR(VLOOKUP(Tabla145[[#This Row],[Llave]],'[13]Base ultimos planes'!$O:$AA,8,FALSE),0)</f>
        <v>465306.14689999999</v>
      </c>
      <c r="BL98" s="20">
        <f>IFERROR(VLOOKUP(Tabla145[[#This Row],[Llave]],'[13]Base ultimos planes'!$O:$AA,9,FALSE),0)</f>
        <v>743600</v>
      </c>
      <c r="BM98" s="20">
        <f>IFERROR(VLOOKUP(Tabla145[[#This Row],[Llave]],'[13]Base ultimos planes'!$O:$AA,10,FALSE),0)</f>
        <v>1096480</v>
      </c>
      <c r="BN98" s="20">
        <f>IFERROR(VLOOKUP(Tabla145[[#This Row],[Llave]],'[13]Base ultimos planes'!$O:$AA,11,FALSE),0)</f>
        <v>1099808</v>
      </c>
      <c r="BO98" s="20">
        <f>IFERROR(VLOOKUP(Tabla145[[#This Row],[Llave]],'[13]Base ultimos planes'!$O:$AA,12,FALSE),0)</f>
        <v>613267</v>
      </c>
      <c r="BP98" s="20">
        <f>IFERROR(VLOOKUP(Tabla145[[#This Row],[Llave]],'[13]Base ultimos planes'!$O:$AA,13,FALSE),0)</f>
        <v>899875</v>
      </c>
      <c r="BQ98" s="20"/>
      <c r="BR98" s="20">
        <f>Tabla145[[#This Row],[ RV Producción mes n+1]]*(1-Tabla145[[#This Row],[% Uti. producción]])</f>
        <v>65795.638388135485</v>
      </c>
      <c r="BS98" s="20">
        <f>+Tabla145[[#This Row],[Producción disponible mes n-1]]+Tabla145[[#This Row],[Saldo Volumen disponible]]</f>
        <v>74613.000000000015</v>
      </c>
      <c r="BT98" s="7">
        <f>IFERROR(VLOOKUP(Tabla145[[#This Row],[Llave]],'[21]RV n+2 y n+3'!$B:$F,4,FALSE),0)</f>
        <v>175999.99600000001</v>
      </c>
      <c r="BU98" s="7">
        <f>+Tabla145[[#This Row],[Asignación mes n+2]]*Tabla145[[#This Row],[% Uti. producción]]</f>
        <v>80466.21200533527</v>
      </c>
      <c r="BV98" s="7">
        <f>+Tabla145[[#This Row],[Ponderación mes n+2]]+Tabla145[[#This Row],[Saldo mes n-1]]</f>
        <v>155079.21200533528</v>
      </c>
      <c r="BW98" s="7">
        <f>+Tabla145[[#This Row],[Asignación mes n+2]]-Tabla145[[#This Row],[Ponderación mes n+2]]</f>
        <v>95533.783994664744</v>
      </c>
      <c r="BX98" s="7">
        <f>IFERROR(VLOOKUP(Tabla145[[#This Row],[Llave]],'[21]RV n+2 y n+3'!$B:$F,5,FALSE),0)</f>
        <v>176000</v>
      </c>
      <c r="BY98" s="7">
        <f>+Tabla145[[#This Row],[Asignación mes n+3]]*Tabla145[[#This Row],[% Uti. producción]]</f>
        <v>80466.213834112859</v>
      </c>
      <c r="BZ98" s="3">
        <f>+Tabla145[[#This Row],[Ponderación mes n+3]]+Tabla145[[#This Row],[Saldo mes n+2]]</f>
        <v>175999.99782877759</v>
      </c>
      <c r="CA98" s="3">
        <f>+Tabla145[[#This Row],[Asignación mes n+3]]-Tabla145[[#This Row],[Ponderación mes n+3]]</f>
        <v>95533.786165887141</v>
      </c>
      <c r="CB98" s="3">
        <f>+Tabla145[[#This Row],[Producción disponible mes n-1]]+Tabla145[[#This Row],[Producción disponible]]</f>
        <v>121214</v>
      </c>
      <c r="CC98" s="3">
        <f>+Tabla145[[#This Row],[Saldo mes n+4]]-Tabla145[[#This Row],[ RV Producción mes n+1]]</f>
        <v>0</v>
      </c>
    </row>
    <row r="99" spans="1:81" ht="16" x14ac:dyDescent="0.2">
      <c r="A99">
        <v>1</v>
      </c>
      <c r="B99" t="str">
        <f>Tabla145[[#This Row],[Oficina]]&amp;Tabla145[[#This Row],[Material]]</f>
        <v>Agrosuper Asia1023038</v>
      </c>
      <c r="C99" t="s">
        <v>6</v>
      </c>
      <c r="D99" t="s">
        <v>173</v>
      </c>
      <c r="E99">
        <v>1023038</v>
      </c>
      <c r="F99" t="s">
        <v>185</v>
      </c>
      <c r="G99" t="s">
        <v>50</v>
      </c>
      <c r="H99" t="s">
        <v>110</v>
      </c>
      <c r="I99" s="7">
        <f>IFERROR(VLOOKUP(Tabla145[[#This Row],[Llave]],'[7]RV Producción'!$C:$G,5,FALSE),0)</f>
        <v>150411</v>
      </c>
      <c r="J99" s="3">
        <f>IFERROR(IF(Tabla145[[#This Row],[Oficina]]=$I$7,VLOOKUP(Tabla145[[#This Row],[Llave]],'[7]Shangai (Tomas)'!$A:$F,6,FALSE),VLOOKUP(Tabla145[[#This Row],[Llave]],'[7]RV plan de ventas'!$A:$E,5,FALSE)),0)</f>
        <v>141000</v>
      </c>
      <c r="K99" s="8">
        <f>IFERROR(VLOOKUP(Tabla145[[#This Row],[Oficina]],[15]Ponderación!$B$2:$E$9,4,FALSE),0)</f>
        <v>0.45719439678473212</v>
      </c>
      <c r="L99" s="7">
        <f>+Tabla145[[#This Row],[ RV Producción mes n+1]]*Tabla145[[#This Row],[% Uti. producción]]</f>
        <v>68767.066414788336</v>
      </c>
      <c r="M99" s="7">
        <f>IFERROR(VLOOKUP(Tabla145[[#This Row],[Material]],[16]Stock!$G:$K,5,FALSE),0)</f>
        <v>22046</v>
      </c>
      <c r="N99" s="7">
        <f>IFERROR(VLOOKUP(Tabla145[[#This Row],[Material]],[16]Produccion!$M:$N,2,FALSE),0)</f>
        <v>26559</v>
      </c>
      <c r="O99" s="7">
        <f>IFERROR(VLOOKUP(Tabla145[[#This Row],[Llave]],'[16]TD Conf-AP'!$I:$M,4,FALSE),0)</f>
        <v>0</v>
      </c>
      <c r="P99" s="14">
        <f>SUM(Tabla145[[#This Row],[Producción disponible]],Tabla145[[#This Row],[Stock al día]],(Tabla145[[#This Row],[Por producir mes N]]*0.9))-Tabla145[[#This Row],[Producción por despachar mes N]]</f>
        <v>114716.16641478834</v>
      </c>
      <c r="Q99" s="7">
        <f>IFERROR(VLOOKUP(Tabla145[[#This Row],[Llave]],[17]DELAY!$A:$D,4,FALSE),0)</f>
        <v>55000</v>
      </c>
      <c r="R99" s="9">
        <v>22000</v>
      </c>
      <c r="S99" s="5">
        <f t="shared" si="6"/>
        <v>55000</v>
      </c>
      <c r="T99" s="76">
        <v>0</v>
      </c>
      <c r="U99" s="5">
        <f>+Tabla145[[#This Row],[Atraso a facturar]]+Tabla145[[#This Row],[Ajuste atraso]]</f>
        <v>55000</v>
      </c>
      <c r="V99" s="3">
        <f>+Tabla145[[#This Row],[Total disponible]]-Tabla145[[#This Row],[Facturación atraso]]</f>
        <v>59716.166414788342</v>
      </c>
      <c r="W99" s="6">
        <f>IFERROR(IF(AND(V99&gt;R99,J99&gt;=R99),ROUNDDOWN((Tabla145[[#This Row],[Producción para venta nueva]])/R99,0)*R99,0),0)</f>
        <v>44000</v>
      </c>
      <c r="X99" s="76">
        <v>0</v>
      </c>
      <c r="Y99" s="6">
        <f>IF(Tabla145[[#This Row],[Venta del mes]]&gt;0,Tabla145[[#This Row],[Venta del mes]]+Tabla145[[#This Row],[Ajuste venta nueva]],0)</f>
        <v>44000</v>
      </c>
      <c r="Z99" s="6">
        <f>+Tabla145[[#This Row],[Producción para venta nueva]]-Tabla145[[#This Row],[Facturación Venta nueva]]</f>
        <v>15716.166414788342</v>
      </c>
      <c r="AA99" s="6">
        <f>IF(AND(A99=1,Tabla145[[#This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99" s="6">
        <v>0</v>
      </c>
      <c r="AC99" s="6">
        <f>IF(Tabla145[[#This Row],[Disponible stock sin venta]]&gt;0,Tabla145[[#This Row],[Disponible stock sin venta]]+Tabla145[[#This Row],[Ajuste stock sin venta]],0)</f>
        <v>0</v>
      </c>
      <c r="AD99" s="3">
        <f>IFERROR(VLOOKUP(Tabla145[[#This Row],[Llave]],'[16]TD Puerto'!$A:$D,4,FALSE),0)</f>
        <v>22010.71</v>
      </c>
      <c r="AE99" s="3">
        <v>143010.71</v>
      </c>
      <c r="AF99" s="3">
        <f>+Tabla145[[#This Row],[Plan Irrestricto Inicial]]</f>
        <v>143010.71</v>
      </c>
      <c r="AG99" s="3">
        <f>+Tabla145[[#This Row],[En puerto a facturar]]</f>
        <v>22010.71</v>
      </c>
      <c r="AH99" s="3">
        <f>+Tabla145[[#This Row],[Facturación atraso]]</f>
        <v>55000</v>
      </c>
      <c r="AI99" s="3">
        <f>+Tabla145[[#This Row],[Plan Irrestricto]]-Tabla145[[#This Row],[Puerto ]]-Tabla145[[#This Row],[Atraso]]</f>
        <v>66000</v>
      </c>
      <c r="AJ99" s="3">
        <f>IF(Tabla145[[#This Row],[Plan Irrestricto]]&gt;0,SUM(Tabla145[[#This Row],[Facturación atraso]],Tabla145[[#This Row],[Facturación Venta nueva]],Tabla145[[#This Row],[Facturación stock]],Tabla145[[#This Row],[En puerto a facturar]]),0)</f>
        <v>121010.70999999999</v>
      </c>
      <c r="AK99" s="3">
        <f>+Tabla145[[#This Row],[Facturación atraso]]</f>
        <v>55000</v>
      </c>
      <c r="AL99" s="3">
        <f>+Tabla145[[#This Row],[Plan Ajustado]]-Tabla145[[#This Row],[ Atraso ajustado]]-Tabla145[[#This Row],[Puerto ]]</f>
        <v>43999.999999999993</v>
      </c>
      <c r="AM99" s="6">
        <f>IFERROR(VLOOKUP(Tabla145[[#This Row],[Llave]],[18]!Tabla14[#All],34,FALSE),0)</f>
        <v>0</v>
      </c>
      <c r="AN99" s="6">
        <f>IFERROR(VLOOKUP(Tabla145[[#This Row],[Llave]],[18]!Tabla14[#All],35,FALSE),0)</f>
        <v>0</v>
      </c>
      <c r="AO99" s="3" t="str">
        <f>IF(Tabla145[[#This Row],[Plan Ajustado]]&gt;Tabla145[[#This Row],[En puerto a facturar]],"Si","No")</f>
        <v>Si</v>
      </c>
      <c r="AP99" s="3">
        <f>IF(AND(Tabla145[[#This Row],[Plan Ajustado]]&gt;0,Tabla145[[#This Row],[Plan Ajustado]]&gt;Tabla145[[#This Row],[En puerto a facturar]]),(Tabla145[[#This Row],[Plan Ajustado]]-Tabla145[[#This Row],[En puerto a facturar]]),0)</f>
        <v>99000</v>
      </c>
      <c r="AQ99" s="3">
        <f>IF(Tabla145[[#This Row],[Necesidad]]&gt;=Tabla145[[#This Row],[Stock al día]],Tabla145[[#This Row],[Stock al día]],Tabla145[[#This Row],[Necesidad]])</f>
        <v>22046</v>
      </c>
      <c r="AR99" s="3">
        <f>+Tabla145[[#This Row],[Necesidad]]-Tabla145[[#This Row],[Stock Plan]]</f>
        <v>76954</v>
      </c>
      <c r="AS99" s="155">
        <f>IFERROR(VLOOKUP(Tabla145[[#This Row],[Oficina]],[19]Ponderación!$B$14:$E$21,4,FALSE),"")</f>
        <v>44786</v>
      </c>
      <c r="AT9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4.2699999999999996</v>
      </c>
      <c r="AU99" s="83">
        <f>IFERROR(VLOOKUP(Tabla145[[#This Row],[Llave]],[17]DELAY!$H:$W,16,FALSE),0)</f>
        <v>4.4443181818181801</v>
      </c>
      <c r="AV9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4.3809353622313862</v>
      </c>
      <c r="AW99" s="5">
        <f>Tabla145[[#This Row],[Ajuste precio IC]]*Tabla145[[#This Row],[Plan Ajustado]]</f>
        <v>530140.09864772717</v>
      </c>
      <c r="AX99" s="30">
        <f>IFERROR(VLOOKUP(Tabla145[[#This Row],[Llave]],'[13]Ultimos precios facturados'!$A:$G,7,FALSE),0)</f>
        <v>4.2907324198450656</v>
      </c>
      <c r="AY9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2.1022737742657418E-2</v>
      </c>
      <c r="AZ99" s="30">
        <f>IFERROR(VLOOKUP(Tabla145[[#This Row],[Llave]],Hoja2!B:K,10,FALSE),0)</f>
        <v>4.3809353622313862</v>
      </c>
      <c r="BA99" s="30">
        <f>IF(Tabla145[[#This Row],[Ajuste precio IC]]="",Tabla145[[#This Row],[Precio ponderado]],Tabla145[[#This Row],[Precio ponderado]])</f>
        <v>4.3809353622313862</v>
      </c>
      <c r="BB99" s="82"/>
      <c r="BC99" s="82" t="str">
        <f>IF(AND(Tabla145[[#This Row],[Atraso a facturar]]&gt;0,Tabla145[[#This Row],[Precio Atraso]]=0),"Revisar","OK")</f>
        <v>OK</v>
      </c>
      <c r="BD99" s="82" t="str">
        <f>IF(AND(Tabla145[[#This Row],[Venta del mes]]&gt;0,Tabla145[[#This Row],[Precio venta nueva]]=0),"Revisar","OK")</f>
        <v>OK</v>
      </c>
      <c r="BE99" s="20">
        <f>IFERROR(VLOOKUP(Tabla145[[#This Row],[Llave]],'[5]Consolidación planes'!$A:$M,9,FALSE),0)</f>
        <v>66000</v>
      </c>
      <c r="BF99" s="20">
        <f>IFERROR(VLOOKUP(Tabla145[[#This Row],[Llave]],'[5]Consolidación planes'!$A:$M,10,FALSE),0)</f>
        <v>77000</v>
      </c>
      <c r="BG99" s="20">
        <f>IFERROR(VLOOKUP(Tabla145[[#This Row],[Llave]],'[5]Consolidación planes'!$A:$M,11,FALSE),0)</f>
        <v>77000</v>
      </c>
      <c r="BH99" s="20">
        <f>IFERROR(VLOOKUP(Tabla145[[#This Row],[Llave]],'[5]Consolidación planes'!$A:$M,12,FALSE),0)</f>
        <v>66000</v>
      </c>
      <c r="BI99" s="20">
        <f>IFERROR(VLOOKUP(Tabla145[[#This Row],[Llave]],'[5]Consolidación planes'!$A:$M,13,FALSE),0)</f>
        <v>113643</v>
      </c>
      <c r="BJ99" s="20">
        <f>IFERROR(VLOOKUP(Tabla145[[#This Row],[Llave]],'[13]Base ultimos planes'!$A:$M,13,FALSE),0)</f>
        <v>77000</v>
      </c>
      <c r="BK99" s="80">
        <f>IFERROR(VLOOKUP(Tabla145[[#This Row],[Llave]],'[13]Base ultimos planes'!$O:$AA,8,FALSE),0)</f>
        <v>290424.40000000002</v>
      </c>
      <c r="BL99" s="20">
        <f>IFERROR(VLOOKUP(Tabla145[[#This Row],[Llave]],'[13]Base ultimos planes'!$O:$AA,9,FALSE),0)</f>
        <v>315700</v>
      </c>
      <c r="BM99" s="20">
        <f>IFERROR(VLOOKUP(Tabla145[[#This Row],[Llave]],'[13]Base ultimos planes'!$O:$AA,10,FALSE),0)</f>
        <v>310310</v>
      </c>
      <c r="BN99" s="20">
        <f>IFERROR(VLOOKUP(Tabla145[[#This Row],[Llave]],'[13]Base ultimos planes'!$O:$AA,11,FALSE),0)</f>
        <v>272657</v>
      </c>
      <c r="BO99" s="20">
        <f>IFERROR(VLOOKUP(Tabla145[[#This Row],[Llave]],'[13]Base ultimos planes'!$O:$AA,12,FALSE),0)</f>
        <v>467607</v>
      </c>
      <c r="BP99" s="20">
        <f>IFERROR(VLOOKUP(Tabla145[[#This Row],[Llave]],'[13]Base ultimos planes'!$O:$AA,13,FALSE),0)</f>
        <v>330247</v>
      </c>
      <c r="BQ99" s="20"/>
      <c r="BR99" s="20">
        <f>Tabla145[[#This Row],[ RV Producción mes n+1]]*(1-Tabla145[[#This Row],[% Uti. producción]])</f>
        <v>81643.933585211664</v>
      </c>
      <c r="BS99" s="20">
        <f>+Tabla145[[#This Row],[Producción disponible mes n-1]]+Tabla145[[#This Row],[Saldo Volumen disponible]]</f>
        <v>97360.1</v>
      </c>
      <c r="BT99" s="7">
        <f>IFERROR(VLOOKUP(Tabla145[[#This Row],[Llave]],'[21]RV n+2 y n+3'!$B:$F,4,FALSE),0)</f>
        <v>110000</v>
      </c>
      <c r="BU99" s="7">
        <f>+Tabla145[[#This Row],[Asignación mes n+2]]*Tabla145[[#This Row],[% Uti. producción]]</f>
        <v>50291.38364632053</v>
      </c>
      <c r="BV99" s="7">
        <f>+Tabla145[[#This Row],[Ponderación mes n+2]]+Tabla145[[#This Row],[Saldo mes n-1]]</f>
        <v>147651.48364632053</v>
      </c>
      <c r="BW99" s="7">
        <f>+Tabla145[[#This Row],[Asignación mes n+2]]-Tabla145[[#This Row],[Ponderación mes n+2]]</f>
        <v>59708.61635367947</v>
      </c>
      <c r="BX99" s="7">
        <f>IFERROR(VLOOKUP(Tabla145[[#This Row],[Llave]],'[21]RV n+2 y n+3'!$B:$F,5,FALSE),0)</f>
        <v>110000</v>
      </c>
      <c r="BY99" s="7">
        <f>+Tabla145[[#This Row],[Asignación mes n+3]]*Tabla145[[#This Row],[% Uti. producción]]</f>
        <v>50291.38364632053</v>
      </c>
      <c r="BZ99" s="3">
        <f>+Tabla145[[#This Row],[Ponderación mes n+3]]+Tabla145[[#This Row],[Saldo mes n+2]]</f>
        <v>110000</v>
      </c>
      <c r="CA99" s="3">
        <f>+Tabla145[[#This Row],[Asignación mes n+3]]-Tabla145[[#This Row],[Ponderación mes n+3]]</f>
        <v>59708.61635367947</v>
      </c>
      <c r="CB99" s="3">
        <f>+Tabla145[[#This Row],[Producción disponible mes n-1]]+Tabla145[[#This Row],[Producción disponible]]</f>
        <v>150411</v>
      </c>
      <c r="CC99" s="3">
        <f>+Tabla145[[#This Row],[Saldo mes n+4]]-Tabla145[[#This Row],[ RV Producción mes n+1]]</f>
        <v>0</v>
      </c>
    </row>
    <row r="100" spans="1:81" ht="16" x14ac:dyDescent="0.2">
      <c r="A100">
        <v>1</v>
      </c>
      <c r="B100" t="str">
        <f>Tabla145[[#This Row],[Oficina]]&amp;Tabla145[[#This Row],[Material]]</f>
        <v>Agrosuper Asia1023090</v>
      </c>
      <c r="C100" t="s">
        <v>6</v>
      </c>
      <c r="D100" t="s">
        <v>173</v>
      </c>
      <c r="E100">
        <v>1023090</v>
      </c>
      <c r="F100" t="s">
        <v>193</v>
      </c>
      <c r="G100" t="s">
        <v>56</v>
      </c>
      <c r="H100" t="s">
        <v>57</v>
      </c>
      <c r="I100" s="7">
        <f>IFERROR(VLOOKUP(Tabla145[[#This Row],[Llave]],'[7]RV Producción'!$C:$G,5,FALSE),0)</f>
        <v>21208</v>
      </c>
      <c r="J100" s="3">
        <f>IFERROR(IF(Tabla145[[#This Row],[Oficina]]=$I$7,VLOOKUP(Tabla145[[#This Row],[Llave]],'[7]Shangai (Tomas)'!$A:$F,6,FALSE),VLOOKUP(Tabla145[[#This Row],[Llave]],'[7]RV plan de ventas'!$A:$E,5,FALSE)),0)</f>
        <v>22000</v>
      </c>
      <c r="K100" s="8">
        <f>IFERROR(VLOOKUP(Tabla145[[#This Row],[Oficina]],[15]Ponderación!$B$2:$E$9,4,FALSE),0)</f>
        <v>0.45719439678473212</v>
      </c>
      <c r="L100" s="7">
        <f>+Tabla145[[#This Row],[ RV Producción mes n+1]]*Tabla145[[#This Row],[% Uti. producción]]</f>
        <v>9696.1787670105987</v>
      </c>
      <c r="M100" s="7">
        <f>IFERROR(VLOOKUP(Tabla145[[#This Row],[Material]],[16]Stock!$G:$K,5,FALSE),0)</f>
        <v>7613</v>
      </c>
      <c r="N100" s="7">
        <f>IFERROR(VLOOKUP(Tabla145[[#This Row],[Material]],[16]Produccion!$M:$N,2,FALSE),0)</f>
        <v>10842.823014839933</v>
      </c>
      <c r="O100" s="7">
        <f>IFERROR(VLOOKUP(Tabla145[[#This Row],[Llave]],'[16]TD Conf-AP'!$I:$M,4,FALSE),0)</f>
        <v>0</v>
      </c>
      <c r="P100" s="14">
        <f>SUM(Tabla145[[#This Row],[Producción disponible]],Tabla145[[#This Row],[Stock al día]],(Tabla145[[#This Row],[Por producir mes N]]*0.9))-Tabla145[[#This Row],[Producción por despachar mes N]]</f>
        <v>27067.719480366541</v>
      </c>
      <c r="Q100" s="7">
        <f>IFERROR(VLOOKUP(Tabla145[[#This Row],[Llave]],[17]DELAY!$A:$D,4,FALSE),0)</f>
        <v>22000</v>
      </c>
      <c r="R100" s="9">
        <v>22000</v>
      </c>
      <c r="S100" s="5">
        <f t="shared" si="6"/>
        <v>22000</v>
      </c>
      <c r="T100" s="76">
        <v>0</v>
      </c>
      <c r="U100" s="5">
        <f>+Tabla145[[#This Row],[Atraso a facturar]]+Tabla145[[#This Row],[Ajuste atraso]]</f>
        <v>22000</v>
      </c>
      <c r="V100" s="3">
        <f>+Tabla145[[#This Row],[Total disponible]]-Tabla145[[#This Row],[Facturación atraso]]</f>
        <v>5067.7194803665407</v>
      </c>
      <c r="W100" s="6">
        <f>IFERROR(IF(AND(V100&gt;R100,J100&gt;=R100),ROUNDDOWN((Tabla145[[#This Row],[Producción para venta nueva]])/R100,0)*R100,0),0)</f>
        <v>0</v>
      </c>
      <c r="X100" s="76">
        <v>0</v>
      </c>
      <c r="Y100" s="6">
        <f>IF(Tabla145[[#This Row],[Venta del mes]]&gt;0,Tabla145[[#This Row],[Venta del mes]]+Tabla145[[#This Row],[Ajuste venta nueva]],0)</f>
        <v>0</v>
      </c>
      <c r="Z100" s="6">
        <f>+Tabla145[[#This Row],[Producción para venta nueva]]-Tabla145[[#This Row],[Facturación Venta nueva]]</f>
        <v>5067.7194803665407</v>
      </c>
      <c r="AA100" s="6">
        <f>IF(AND(A100=1,Tabla145[[#This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0" s="6">
        <v>0</v>
      </c>
      <c r="AC100" s="6">
        <f>IF(Tabla145[[#This Row],[Disponible stock sin venta]]&gt;0,Tabla145[[#This Row],[Disponible stock sin venta]]+Tabla145[[#This Row],[Ajuste stock sin venta]],0)</f>
        <v>0</v>
      </c>
      <c r="AD100" s="3">
        <f>IFERROR(VLOOKUP(Tabla145[[#This Row],[Llave]],'[16]TD Puerto'!$A:$D,4,FALSE),0)</f>
        <v>0</v>
      </c>
      <c r="AE100" s="3">
        <v>0</v>
      </c>
      <c r="AF100" s="3">
        <f>+Tabla145[[#This Row],[Plan Irrestricto Inicial]]</f>
        <v>0</v>
      </c>
      <c r="AG100" s="3">
        <f>+Tabla145[[#This Row],[En puerto a facturar]]</f>
        <v>0</v>
      </c>
      <c r="AH100" s="3">
        <f>+Tabla145[[#This Row],[Facturación atraso]]</f>
        <v>22000</v>
      </c>
      <c r="AI100" s="3">
        <f>+Tabla145[[#This Row],[Plan Irrestricto]]-Tabla145[[#This Row],[Puerto ]]-Tabla145[[#This Row],[Atraso]]</f>
        <v>-22000</v>
      </c>
      <c r="AJ10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00" s="3">
        <f>+Tabla145[[#This Row],[Facturación atraso]]</f>
        <v>22000</v>
      </c>
      <c r="AL100" s="3">
        <f>+Tabla145[[#This Row],[Plan Ajustado]]-Tabla145[[#This Row],[ Atraso ajustado]]-Tabla145[[#This Row],[Puerto ]]</f>
        <v>-22000</v>
      </c>
      <c r="AM100" s="6">
        <f>IFERROR(VLOOKUP(Tabla145[[#This Row],[Llave]],[18]!Tabla14[#All],34,FALSE),0)</f>
        <v>0</v>
      </c>
      <c r="AN100" s="6">
        <f>IFERROR(VLOOKUP(Tabla145[[#This Row],[Llave]],[18]!Tabla14[#All],35,FALSE),0)</f>
        <v>0</v>
      </c>
      <c r="AO100" s="3" t="str">
        <f>IF(Tabla145[[#This Row],[Plan Ajustado]]&gt;Tabla145[[#This Row],[En puerto a facturar]],"Si","No")</f>
        <v>No</v>
      </c>
      <c r="AP10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00" s="3">
        <f>IF(Tabla145[[#This Row],[Necesidad]]&gt;=Tabla145[[#This Row],[Stock al día]],Tabla145[[#This Row],[Stock al día]],Tabla145[[#This Row],[Necesidad]])</f>
        <v>0</v>
      </c>
      <c r="AR100" s="3">
        <f>+Tabla145[[#This Row],[Necesidad]]-Tabla145[[#This Row],[Stock Plan]]</f>
        <v>0</v>
      </c>
      <c r="AS100" s="155">
        <f>IFERROR(VLOOKUP(Tabla145[[#This Row],[Oficina]],[19]Ponderación!$B$14:$E$21,4,FALSE),"")</f>
        <v>44786</v>
      </c>
      <c r="AT10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6.42</v>
      </c>
      <c r="AU100" s="83">
        <f>IFERROR(VLOOKUP(Tabla145[[#This Row],[Llave]],[17]DELAY!$H:$W,16,FALSE),0)</f>
        <v>6.5</v>
      </c>
      <c r="AV10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00" s="5">
        <f>Tabla145[[#This Row],[Ajuste precio IC]]*Tabla145[[#This Row],[Plan Ajustado]]</f>
        <v>0</v>
      </c>
      <c r="AX100" s="30">
        <f>IFERROR(VLOOKUP(Tabla145[[#This Row],[Llave]],'[13]Ultimos precios facturados'!$A:$G,7,FALSE),0)</f>
        <v>6.315884412690874</v>
      </c>
      <c r="AY10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00" s="30">
        <f>IFERROR(VLOOKUP(Tabla145[[#This Row],[Llave]],Hoja2!B:K,10,FALSE),0)</f>
        <v>6.5</v>
      </c>
      <c r="BA100" s="30">
        <f>IF(Tabla145[[#This Row],[Ajuste precio IC]]="",Tabla145[[#This Row],[Precio ponderado]],Tabla145[[#This Row],[Precio ponderado]])</f>
        <v>0</v>
      </c>
      <c r="BB100" s="82"/>
      <c r="BC100" s="82" t="str">
        <f>IF(AND(Tabla145[[#This Row],[Atraso a facturar]]&gt;0,Tabla145[[#This Row],[Precio Atraso]]=0),"Revisar","OK")</f>
        <v>OK</v>
      </c>
      <c r="BD100" s="82" t="str">
        <f>IF(AND(Tabla145[[#This Row],[Venta del mes]]&gt;0,Tabla145[[#This Row],[Precio venta nueva]]=0),"Revisar","OK")</f>
        <v>OK</v>
      </c>
      <c r="BE100" s="20">
        <f>IFERROR(VLOOKUP(Tabla145[[#This Row],[Llave]],'[5]Consolidación planes'!$A:$M,9,FALSE),0)</f>
        <v>22000</v>
      </c>
      <c r="BF100" s="20">
        <f>IFERROR(VLOOKUP(Tabla145[[#This Row],[Llave]],'[5]Consolidación planes'!$A:$M,10,FALSE),0)</f>
        <v>22000</v>
      </c>
      <c r="BG100" s="20">
        <f>IFERROR(VLOOKUP(Tabla145[[#This Row],[Llave]],'[5]Consolidación planes'!$A:$M,11,FALSE),0)</f>
        <v>22000</v>
      </c>
      <c r="BH100" s="20">
        <f>IFERROR(VLOOKUP(Tabla145[[#This Row],[Llave]],'[5]Consolidación planes'!$A:$M,12,FALSE),0)</f>
        <v>22000</v>
      </c>
      <c r="BI100" s="20">
        <f>IFERROR(VLOOKUP(Tabla145[[#This Row],[Llave]],'[5]Consolidación planes'!$A:$M,13,FALSE),0)</f>
        <v>22008</v>
      </c>
      <c r="BJ100" s="20">
        <f>IFERROR(VLOOKUP(Tabla145[[#This Row],[Llave]],'[13]Base ultimos planes'!$A:$M,13,FALSE),0)</f>
        <v>22000</v>
      </c>
      <c r="BK100" s="80">
        <f>IFERROR(VLOOKUP(Tabla145[[#This Row],[Llave]],'[13]Base ultimos planes'!$O:$AA,8,FALSE),0)</f>
        <v>149600</v>
      </c>
      <c r="BL100" s="20">
        <f>IFERROR(VLOOKUP(Tabla145[[#This Row],[Llave]],'[13]Base ultimos planes'!$O:$AA,9,FALSE),0)</f>
        <v>147400</v>
      </c>
      <c r="BM100" s="20">
        <f>IFERROR(VLOOKUP(Tabla145[[#This Row],[Llave]],'[13]Base ultimos planes'!$O:$AA,10,FALSE),0)</f>
        <v>144100</v>
      </c>
      <c r="BN100" s="20">
        <f>IFERROR(VLOOKUP(Tabla145[[#This Row],[Llave]],'[13]Base ultimos planes'!$O:$AA,11,FALSE),0)</f>
        <v>137060</v>
      </c>
      <c r="BO100" s="20">
        <f>IFERROR(VLOOKUP(Tabla145[[#This Row],[Llave]],'[13]Base ultimos planes'!$O:$AA,12,FALSE),0)</f>
        <v>138925</v>
      </c>
      <c r="BP100" s="20">
        <f>IFERROR(VLOOKUP(Tabla145[[#This Row],[Llave]],'[13]Base ultimos planes'!$O:$AA,13,FALSE),0)</f>
        <v>143000</v>
      </c>
      <c r="BQ100" s="20"/>
      <c r="BR100" s="20">
        <f>Tabla145[[#This Row],[ RV Producción mes n+1]]*(1-Tabla145[[#This Row],[% Uti. producción]])</f>
        <v>11511.821232989403</v>
      </c>
      <c r="BS100" s="20">
        <f>+Tabla145[[#This Row],[Producción disponible mes n-1]]+Tabla145[[#This Row],[Saldo Volumen disponible]]</f>
        <v>16579.540713355942</v>
      </c>
      <c r="BT100" s="7">
        <f>IFERROR(VLOOKUP(Tabla145[[#This Row],[Llave]],'[21]RV n+2 y n+3'!$B:$F,4,FALSE),0)</f>
        <v>44000</v>
      </c>
      <c r="BU100" s="7">
        <f>+Tabla145[[#This Row],[Asignación mes n+2]]*Tabla145[[#This Row],[% Uti. producción]]</f>
        <v>20116.553458528215</v>
      </c>
      <c r="BV100" s="7">
        <f>+Tabla145[[#This Row],[Ponderación mes n+2]]+Tabla145[[#This Row],[Saldo mes n-1]]</f>
        <v>36696.094171884157</v>
      </c>
      <c r="BW100" s="7">
        <f>+Tabla145[[#This Row],[Asignación mes n+2]]-Tabla145[[#This Row],[Ponderación mes n+2]]</f>
        <v>23883.446541471785</v>
      </c>
      <c r="BX100" s="7">
        <f>IFERROR(VLOOKUP(Tabla145[[#This Row],[Llave]],'[21]RV n+2 y n+3'!$B:$F,5,FALSE),0)</f>
        <v>44000</v>
      </c>
      <c r="BY100" s="7">
        <f>+Tabla145[[#This Row],[Asignación mes n+3]]*Tabla145[[#This Row],[% Uti. producción]]</f>
        <v>20116.553458528215</v>
      </c>
      <c r="BZ100" s="3">
        <f>+Tabla145[[#This Row],[Ponderación mes n+3]]+Tabla145[[#This Row],[Saldo mes n+2]]</f>
        <v>44000</v>
      </c>
      <c r="CA100" s="3">
        <f>+Tabla145[[#This Row],[Asignación mes n+3]]-Tabla145[[#This Row],[Ponderación mes n+3]]</f>
        <v>23883.446541471785</v>
      </c>
      <c r="CB100" s="3">
        <f>+Tabla145[[#This Row],[Producción disponible mes n-1]]+Tabla145[[#This Row],[Producción disponible]]</f>
        <v>21208</v>
      </c>
      <c r="CC100" s="3">
        <f>+Tabla145[[#This Row],[Saldo mes n+4]]-Tabla145[[#This Row],[ RV Producción mes n+1]]</f>
        <v>0</v>
      </c>
    </row>
    <row r="101" spans="1:81" ht="16" x14ac:dyDescent="0.2">
      <c r="A101">
        <v>1</v>
      </c>
      <c r="B101" t="str">
        <f>Tabla145[[#This Row],[Oficina]]&amp;Tabla145[[#This Row],[Material]]</f>
        <v>Agrosuper Asia1023144</v>
      </c>
      <c r="C101" t="s">
        <v>6</v>
      </c>
      <c r="D101" t="s">
        <v>173</v>
      </c>
      <c r="E101">
        <v>1023144</v>
      </c>
      <c r="F101" t="s">
        <v>325</v>
      </c>
      <c r="G101" t="s">
        <v>67</v>
      </c>
      <c r="H101" t="s">
        <v>324</v>
      </c>
      <c r="I101" s="7">
        <f>IFERROR(VLOOKUP(Tabla145[[#This Row],[Llave]],'[7]RV Producción'!$C:$G,5,FALSE),0)</f>
        <v>74390</v>
      </c>
      <c r="J101" s="3">
        <f>IFERROR(IF(Tabla145[[#This Row],[Oficina]]=$I$7,VLOOKUP(Tabla145[[#This Row],[Llave]],'[7]Shangai (Tomas)'!$A:$F,6,FALSE),VLOOKUP(Tabla145[[#This Row],[Llave]],'[7]RV plan de ventas'!$A:$E,5,FALSE)),0)</f>
        <v>44000</v>
      </c>
      <c r="K101" s="8">
        <f>IFERROR(VLOOKUP(Tabla145[[#This Row],[Oficina]],[15]Ponderación!$B$2:$E$9,4,FALSE),0)</f>
        <v>0.45719439678473212</v>
      </c>
      <c r="L101" s="7">
        <f>+Tabla145[[#This Row],[ RV Producción mes n+1]]*Tabla145[[#This Row],[% Uti. producción]]</f>
        <v>34010.691176816224</v>
      </c>
      <c r="M101" s="7">
        <f>IFERROR(VLOOKUP(Tabla145[[#This Row],[Material]],[16]Stock!$G:$K,5,FALSE),0)</f>
        <v>48962</v>
      </c>
      <c r="N101" s="7">
        <f>IFERROR(VLOOKUP(Tabla145[[#This Row],[Material]],[16]Produccion!$M:$N,2,FALSE),0)</f>
        <v>10684</v>
      </c>
      <c r="O101" s="7">
        <f>IFERROR(VLOOKUP(Tabla145[[#This Row],[Llave]],'[16]TD Conf-AP'!$I:$M,4,FALSE),0)</f>
        <v>0</v>
      </c>
      <c r="P101" s="14">
        <f>SUM(Tabla145[[#This Row],[Producción disponible]],Tabla145[[#This Row],[Stock al día]],(Tabla145[[#This Row],[Por producir mes N]]*0.9))-Tabla145[[#This Row],[Producción por despachar mes N]]</f>
        <v>92588.29117681623</v>
      </c>
      <c r="Q101" s="7">
        <f>IFERROR(VLOOKUP(Tabla145[[#This Row],[Llave]],[17]DELAY!$A:$D,4,FALSE),0)</f>
        <v>96000</v>
      </c>
      <c r="R101" s="9">
        <v>24000</v>
      </c>
      <c r="S101" s="5">
        <f t="shared" si="6"/>
        <v>72000</v>
      </c>
      <c r="T101" s="76">
        <v>0</v>
      </c>
      <c r="U101" s="5">
        <f>+Tabla145[[#This Row],[Atraso a facturar]]+Tabla145[[#This Row],[Ajuste atraso]]</f>
        <v>72000</v>
      </c>
      <c r="V101" s="3">
        <f>+Tabla145[[#This Row],[Total disponible]]-Tabla145[[#This Row],[Facturación atraso]]</f>
        <v>20588.29117681623</v>
      </c>
      <c r="W101" s="6">
        <f>IFERROR(IF(AND(V101&gt;R101,J101&gt;=R101),ROUNDDOWN((Tabla145[[#This Row],[Producción para venta nueva]])/R101,0)*R101,0),0)</f>
        <v>0</v>
      </c>
      <c r="X101" s="76">
        <v>0</v>
      </c>
      <c r="Y101" s="6">
        <f>IF(Tabla145[[#This Row],[Venta del mes]]&gt;0,Tabla145[[#This Row],[Venta del mes]]+Tabla145[[#This Row],[Ajuste venta nueva]],0)</f>
        <v>0</v>
      </c>
      <c r="Z101" s="6">
        <f>+Tabla145[[#This Row],[Producción para venta nueva]]-Tabla145[[#This Row],[Facturación Venta nueva]]</f>
        <v>20588.29117681623</v>
      </c>
      <c r="AA101" s="6">
        <f>IF(AND(A101=1,Tabla145[[#This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1" s="6">
        <v>0</v>
      </c>
      <c r="AC101" s="6">
        <f>IF(Tabla145[[#This Row],[Disponible stock sin venta]]&gt;0,Tabla145[[#This Row],[Disponible stock sin venta]]+Tabla145[[#This Row],[Ajuste stock sin venta]],0)</f>
        <v>0</v>
      </c>
      <c r="AD101" s="3">
        <f>IFERROR(VLOOKUP(Tabla145[[#This Row],[Llave]],'[16]TD Puerto'!$A:$D,4,FALSE),0)</f>
        <v>0</v>
      </c>
      <c r="AE101" s="3">
        <v>48000</v>
      </c>
      <c r="AF101" s="3">
        <f>+Tabla145[[#This Row],[Plan Irrestricto Inicial]]</f>
        <v>48000</v>
      </c>
      <c r="AG101" s="3">
        <f>+Tabla145[[#This Row],[En puerto a facturar]]</f>
        <v>0</v>
      </c>
      <c r="AH101" s="3">
        <f>+Tabla145[[#This Row],[Facturación atraso]]</f>
        <v>72000</v>
      </c>
      <c r="AI101" s="3">
        <f>+Tabla145[[#This Row],[Plan Irrestricto]]-Tabla145[[#This Row],[Puerto ]]-Tabla145[[#This Row],[Atraso]]</f>
        <v>-24000</v>
      </c>
      <c r="AJ101" s="3">
        <f>IF(Tabla145[[#This Row],[Plan Irrestricto]]&gt;0,SUM(Tabla145[[#This Row],[Facturación atraso]],Tabla145[[#This Row],[Facturación Venta nueva]],Tabla145[[#This Row],[Facturación stock]],Tabla145[[#This Row],[En puerto a facturar]]),0)</f>
        <v>72000</v>
      </c>
      <c r="AK101" s="3">
        <f>+Tabla145[[#This Row],[Facturación atraso]]</f>
        <v>72000</v>
      </c>
      <c r="AL101" s="3">
        <f>+Tabla145[[#This Row],[Plan Ajustado]]-Tabla145[[#This Row],[ Atraso ajustado]]-Tabla145[[#This Row],[Puerto ]]</f>
        <v>0</v>
      </c>
      <c r="AM101" s="6">
        <f>IFERROR(VLOOKUP(Tabla145[[#This Row],[Llave]],[18]!Tabla14[#All],34,FALSE),0)</f>
        <v>0</v>
      </c>
      <c r="AN101" s="6">
        <f>IFERROR(VLOOKUP(Tabla145[[#This Row],[Llave]],[18]!Tabla14[#All],35,FALSE),0)</f>
        <v>0</v>
      </c>
      <c r="AO101" s="3" t="str">
        <f>IF(Tabla145[[#This Row],[Plan Ajustado]]&gt;Tabla145[[#This Row],[En puerto a facturar]],"Si","No")</f>
        <v>Si</v>
      </c>
      <c r="AP101" s="3">
        <f>IF(AND(Tabla145[[#This Row],[Plan Ajustado]]&gt;0,Tabla145[[#This Row],[Plan Ajustado]]&gt;Tabla145[[#This Row],[En puerto a facturar]]),(Tabla145[[#This Row],[Plan Ajustado]]-Tabla145[[#This Row],[En puerto a facturar]]),0)</f>
        <v>72000</v>
      </c>
      <c r="AQ101" s="3">
        <f>IF(Tabla145[[#This Row],[Necesidad]]&gt;=Tabla145[[#This Row],[Stock al día]],Tabla145[[#This Row],[Stock al día]],Tabla145[[#This Row],[Necesidad]])</f>
        <v>48962</v>
      </c>
      <c r="AR101" s="3">
        <f>+Tabla145[[#This Row],[Necesidad]]-Tabla145[[#This Row],[Stock Plan]]</f>
        <v>23038</v>
      </c>
      <c r="AS101" s="155">
        <f>IFERROR(VLOOKUP(Tabla145[[#This Row],[Oficina]],[19]Ponderación!$B$14:$E$21,4,FALSE),"")</f>
        <v>44786</v>
      </c>
      <c r="AT10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1.94</v>
      </c>
      <c r="AU101" s="83">
        <f>IFERROR(VLOOKUP(Tabla145[[#This Row],[Llave]],[17]DELAY!$H:$W,16,FALSE),0)</f>
        <v>2.191071666666665</v>
      </c>
      <c r="AV10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2.191071666666665</v>
      </c>
      <c r="AW101" s="5">
        <f>Tabla145[[#This Row],[Ajuste precio IC]]*Tabla145[[#This Row],[Plan Ajustado]]</f>
        <v>157757.15999999989</v>
      </c>
      <c r="AX101" s="30">
        <f>IFERROR(VLOOKUP(Tabla145[[#This Row],[Llave]],'[13]Ultimos precios facturados'!$A:$G,7,FALSE),0)</f>
        <v>1.9921693228570512</v>
      </c>
      <c r="AY10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9.9842087480977698E-2</v>
      </c>
      <c r="AZ101" s="30">
        <f>IFERROR(VLOOKUP(Tabla145[[#This Row],[Llave]],Hoja2!B:K,10,FALSE),0)</f>
        <v>2.191071666666665</v>
      </c>
      <c r="BA101" s="30">
        <f>IF(Tabla145[[#This Row],[Ajuste precio IC]]="",Tabla145[[#This Row],[Precio ponderado]],Tabla145[[#This Row],[Precio ponderado]])</f>
        <v>2.191071666666665</v>
      </c>
      <c r="BB101" s="82"/>
      <c r="BC101" s="82" t="str">
        <f>IF(AND(Tabla145[[#This Row],[Atraso a facturar]]&gt;0,Tabla145[[#This Row],[Precio Atraso]]=0),"Revisar","OK")</f>
        <v>OK</v>
      </c>
      <c r="BD101" s="82" t="str">
        <f>IF(AND(Tabla145[[#This Row],[Venta del mes]]&gt;0,Tabla145[[#This Row],[Precio venta nueva]]=0),"Revisar","OK")</f>
        <v>OK</v>
      </c>
      <c r="BE101" s="20">
        <f>IFERROR(VLOOKUP(Tabla145[[#This Row],[Llave]],'[5]Consolidación planes'!$A:$M,9,FALSE),0)</f>
        <v>0</v>
      </c>
      <c r="BF101" s="20">
        <f>IFERROR(VLOOKUP(Tabla145[[#This Row],[Llave]],'[5]Consolidación planes'!$A:$M,10,FALSE),0)</f>
        <v>0</v>
      </c>
      <c r="BG101" s="20">
        <f>IFERROR(VLOOKUP(Tabla145[[#This Row],[Llave]],'[5]Consolidación planes'!$A:$M,11,FALSE),0)</f>
        <v>0</v>
      </c>
      <c r="BH101" s="20">
        <f>IFERROR(VLOOKUP(Tabla145[[#This Row],[Llave]],'[5]Consolidación planes'!$A:$M,12,FALSE),0)</f>
        <v>0</v>
      </c>
      <c r="BI101" s="20">
        <f>IFERROR(VLOOKUP(Tabla145[[#This Row],[Llave]],'[5]Consolidación planes'!$A:$M,13,FALSE),0)</f>
        <v>24000</v>
      </c>
      <c r="BJ101" s="20">
        <f>IFERROR(VLOOKUP(Tabla145[[#This Row],[Llave]],'[13]Base ultimos planes'!$A:$M,13,FALSE),0)</f>
        <v>48000</v>
      </c>
      <c r="BK101" s="80">
        <f>IFERROR(VLOOKUP(Tabla145[[#This Row],[Llave]],'[13]Base ultimos planes'!$O:$AA,8,FALSE),0)</f>
        <v>0</v>
      </c>
      <c r="BL101" s="20">
        <f>IFERROR(VLOOKUP(Tabla145[[#This Row],[Llave]],'[13]Base ultimos planes'!$O:$AA,9,FALSE),0)</f>
        <v>0</v>
      </c>
      <c r="BM101" s="20">
        <f>IFERROR(VLOOKUP(Tabla145[[#This Row],[Llave]],'[13]Base ultimos planes'!$O:$AA,10,FALSE),0)</f>
        <v>0</v>
      </c>
      <c r="BN101" s="20">
        <f>IFERROR(VLOOKUP(Tabla145[[#This Row],[Llave]],'[13]Base ultimos planes'!$O:$AA,11,FALSE),0)</f>
        <v>0</v>
      </c>
      <c r="BO101" s="20">
        <f>IFERROR(VLOOKUP(Tabla145[[#This Row],[Llave]],'[13]Base ultimos planes'!$O:$AA,12,FALSE),0)</f>
        <v>42907</v>
      </c>
      <c r="BP101" s="20">
        <f>IFERROR(VLOOKUP(Tabla145[[#This Row],[Llave]],'[13]Base ultimos planes'!$O:$AA,13,FALSE),0)</f>
        <v>103200</v>
      </c>
      <c r="BQ101" s="20"/>
      <c r="BR101" s="20">
        <f>Tabla145[[#This Row],[ RV Producción mes n+1]]*(1-Tabla145[[#This Row],[% Uti. producción]])</f>
        <v>40379.308823183783</v>
      </c>
      <c r="BS101" s="20">
        <f>+Tabla145[[#This Row],[Producción disponible mes n-1]]+Tabla145[[#This Row],[Saldo Volumen disponible]]</f>
        <v>60967.600000000013</v>
      </c>
      <c r="BT101" s="7">
        <f>IFERROR(VLOOKUP(Tabla145[[#This Row],[Llave]],'[21]RV n+2 y n+3'!$B:$F,4,FALSE),0)</f>
        <v>23361.3341</v>
      </c>
      <c r="BU101" s="7">
        <f>+Tabla145[[#This Row],[Asignación mes n+2]]*Tabla145[[#This Row],[% Uti. producción]]</f>
        <v>10680.671051936093</v>
      </c>
      <c r="BV101" s="7">
        <f>+Tabla145[[#This Row],[Ponderación mes n+2]]+Tabla145[[#This Row],[Saldo mes n-1]]</f>
        <v>71648.271051936114</v>
      </c>
      <c r="BW101" s="7">
        <f>+Tabla145[[#This Row],[Asignación mes n+2]]-Tabla145[[#This Row],[Ponderación mes n+2]]</f>
        <v>12680.663048063907</v>
      </c>
      <c r="BX101" s="7">
        <f>IFERROR(VLOOKUP(Tabla145[[#This Row],[Llave]],'[21]RV n+2 y n+3'!$B:$F,5,FALSE),0)</f>
        <v>28420.516399999997</v>
      </c>
      <c r="BY101" s="7">
        <f>+Tabla145[[#This Row],[Asignación mes n+3]]*Tabla145[[#This Row],[% Uti. producción]]</f>
        <v>12993.700851808584</v>
      </c>
      <c r="BZ101" s="3">
        <f>+Tabla145[[#This Row],[Ponderación mes n+3]]+Tabla145[[#This Row],[Saldo mes n+2]]</f>
        <v>25674.363899872493</v>
      </c>
      <c r="CA101" s="3">
        <f>+Tabla145[[#This Row],[Asignación mes n+3]]-Tabla145[[#This Row],[Ponderación mes n+3]]</f>
        <v>15426.815548191413</v>
      </c>
      <c r="CB101" s="3">
        <f>+Tabla145[[#This Row],[Producción disponible mes n-1]]+Tabla145[[#This Row],[Producción disponible]]</f>
        <v>74390</v>
      </c>
      <c r="CC101" s="3">
        <f>+Tabla145[[#This Row],[Saldo mes n+4]]-Tabla145[[#This Row],[ RV Producción mes n+1]]</f>
        <v>0</v>
      </c>
    </row>
    <row r="102" spans="1:81" ht="16" x14ac:dyDescent="0.2">
      <c r="A102">
        <v>1</v>
      </c>
      <c r="B102" t="str">
        <f>Tabla145[[#This Row],[Oficina]]&amp;Tabla145[[#This Row],[Material]]</f>
        <v>Agrosuper Asia1023183</v>
      </c>
      <c r="C102" t="s">
        <v>6</v>
      </c>
      <c r="D102" t="s">
        <v>173</v>
      </c>
      <c r="E102">
        <v>1023183</v>
      </c>
      <c r="F102" t="s">
        <v>176</v>
      </c>
      <c r="G102" t="s">
        <v>25</v>
      </c>
      <c r="H102" t="s">
        <v>26</v>
      </c>
      <c r="I102" s="7">
        <f>IFERROR(VLOOKUP(Tabla145[[#This Row],[Llave]],'[7]RV Producción'!$C:$G,5,FALSE),0)</f>
        <v>0</v>
      </c>
      <c r="J102" s="3">
        <f>IFERROR(IF(Tabla145[[#This Row],[Oficina]]=$I$7,VLOOKUP(Tabla145[[#This Row],[Llave]],'[7]Shangai (Tomas)'!$A:$F,6,FALSE),VLOOKUP(Tabla145[[#This Row],[Llave]],'[7]RV plan de ventas'!$A:$E,5,FALSE)),0)</f>
        <v>0</v>
      </c>
      <c r="K102" s="8">
        <f>IFERROR(VLOOKUP(Tabla145[[#This Row],[Oficina]],[15]Ponderación!$B$2:$E$9,4,FALSE),0)</f>
        <v>0.45719439678473212</v>
      </c>
      <c r="L102" s="7">
        <f>+Tabla145[[#This Row],[ RV Producción mes n+1]]*Tabla145[[#This Row],[% Uti. producción]]</f>
        <v>0</v>
      </c>
      <c r="M102" s="7">
        <f>IFERROR(VLOOKUP(Tabla145[[#This Row],[Material]],[16]Stock!$G:$K,5,FALSE),0)</f>
        <v>8426</v>
      </c>
      <c r="N102" s="7">
        <f>IFERROR(VLOOKUP(Tabla145[[#This Row],[Material]],[16]Produccion!$M:$N,2,FALSE),0)</f>
        <v>0</v>
      </c>
      <c r="O102" s="7">
        <f>IFERROR(VLOOKUP(Tabla145[[#This Row],[Llave]],'[16]TD Conf-AP'!$I:$M,4,FALSE),0)</f>
        <v>0</v>
      </c>
      <c r="P102" s="14">
        <f>SUM(Tabla145[[#This Row],[Producción disponible]],Tabla145[[#This Row],[Stock al día]],(Tabla145[[#This Row],[Por producir mes N]]*0.9))-Tabla145[[#This Row],[Producción por despachar mes N]]</f>
        <v>8426</v>
      </c>
      <c r="Q102" s="7">
        <f>IFERROR(VLOOKUP(Tabla145[[#This Row],[Llave]],[17]DELAY!$A:$D,4,FALSE),0)</f>
        <v>0</v>
      </c>
      <c r="R102" s="9">
        <v>22000</v>
      </c>
      <c r="S102" s="5">
        <f t="shared" si="6"/>
        <v>0</v>
      </c>
      <c r="T102" s="76">
        <v>0</v>
      </c>
      <c r="U102" s="5">
        <f>+Tabla145[[#This Row],[Atraso a facturar]]+Tabla145[[#This Row],[Ajuste atraso]]</f>
        <v>0</v>
      </c>
      <c r="V102" s="3">
        <f>+Tabla145[[#This Row],[Total disponible]]-Tabla145[[#This Row],[Facturación atraso]]</f>
        <v>8426</v>
      </c>
      <c r="W102" s="6">
        <f>IFERROR(IF(AND(V102&gt;R102,J102&gt;=R102),ROUNDDOWN((Tabla145[[#This Row],[Producción para venta nueva]])/R102,0)*R102,0),0)</f>
        <v>0</v>
      </c>
      <c r="X102" s="76">
        <v>0</v>
      </c>
      <c r="Y102" s="6">
        <f>IF(Tabla145[[#This Row],[Venta del mes]]&gt;0,Tabla145[[#This Row],[Venta del mes]]+Tabla145[[#This Row],[Ajuste venta nueva]],0)</f>
        <v>0</v>
      </c>
      <c r="Z102" s="6">
        <f>+Tabla145[[#This Row],[Producción para venta nueva]]-Tabla145[[#This Row],[Facturación Venta nueva]]</f>
        <v>8426</v>
      </c>
      <c r="AA102" s="6">
        <f>IF(AND(A102=1,Tabla145[[#This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2" s="6">
        <v>0</v>
      </c>
      <c r="AC102" s="6">
        <f>IF(Tabla145[[#This Row],[Disponible stock sin venta]]&gt;0,Tabla145[[#This Row],[Disponible stock sin venta]]+Tabla145[[#This Row],[Ajuste stock sin venta]],0)</f>
        <v>0</v>
      </c>
      <c r="AD102" s="3">
        <f>IFERROR(VLOOKUP(Tabla145[[#This Row],[Llave]],'[16]TD Puerto'!$A:$D,4,FALSE),0)</f>
        <v>0</v>
      </c>
      <c r="AE102" s="3">
        <v>44000</v>
      </c>
      <c r="AF102" s="3">
        <f>+Tabla145[[#This Row],[Plan Irrestricto Inicial]]</f>
        <v>44000</v>
      </c>
      <c r="AG102" s="3">
        <f>+Tabla145[[#This Row],[En puerto a facturar]]</f>
        <v>0</v>
      </c>
      <c r="AH102" s="3">
        <f>+Tabla145[[#This Row],[Facturación atraso]]</f>
        <v>0</v>
      </c>
      <c r="AI102" s="3">
        <f>+Tabla145[[#This Row],[Plan Irrestricto]]-Tabla145[[#This Row],[Puerto ]]-Tabla145[[#This Row],[Atraso]]</f>
        <v>44000</v>
      </c>
      <c r="AJ10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02" s="3">
        <f>+Tabla145[[#This Row],[Facturación atraso]]</f>
        <v>0</v>
      </c>
      <c r="AL102" s="3">
        <f>+Tabla145[[#This Row],[Plan Ajustado]]-Tabla145[[#This Row],[ Atraso ajustado]]-Tabla145[[#This Row],[Puerto ]]</f>
        <v>0</v>
      </c>
      <c r="AM102" s="6">
        <f>IFERROR(VLOOKUP(Tabla145[[#This Row],[Llave]],[18]!Tabla14[#All],34,FALSE),0)</f>
        <v>0</v>
      </c>
      <c r="AN102" s="6">
        <f>IFERROR(VLOOKUP(Tabla145[[#This Row],[Llave]],[18]!Tabla14[#All],35,FALSE),0)</f>
        <v>0</v>
      </c>
      <c r="AO102" s="3" t="str">
        <f>IF(Tabla145[[#This Row],[Plan Ajustado]]&gt;Tabla145[[#This Row],[En puerto a facturar]],"Si","No")</f>
        <v>No</v>
      </c>
      <c r="AP10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02" s="3">
        <f>IF(Tabla145[[#This Row],[Necesidad]]&gt;=Tabla145[[#This Row],[Stock al día]],Tabla145[[#This Row],[Stock al día]],Tabla145[[#This Row],[Necesidad]])</f>
        <v>0</v>
      </c>
      <c r="AR102" s="3">
        <f>+Tabla145[[#This Row],[Necesidad]]-Tabla145[[#This Row],[Stock Plan]]</f>
        <v>0</v>
      </c>
      <c r="AS102" s="155">
        <f>IFERROR(VLOOKUP(Tabla145[[#This Row],[Oficina]],[19]Ponderación!$B$14:$E$21,4,FALSE),"")</f>
        <v>44786</v>
      </c>
      <c r="AT10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5.7930188267373666</v>
      </c>
      <c r="AU102" s="83">
        <f>IFERROR(VLOOKUP(Tabla145[[#This Row],[Llave]],[17]DELAY!$H:$W,16,FALSE),0)</f>
        <v>0</v>
      </c>
      <c r="AV10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02" s="5">
        <f>Tabla145[[#This Row],[Ajuste precio IC]]*Tabla145[[#This Row],[Plan Ajustado]]</f>
        <v>0</v>
      </c>
      <c r="AX102" s="30">
        <f>IFERROR(VLOOKUP(Tabla145[[#This Row],[Llave]],'[13]Ultimos precios facturados'!$A:$G,7,FALSE),0)</f>
        <v>5.7930188267373666</v>
      </c>
      <c r="AY10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02" s="30">
        <f>IFERROR(VLOOKUP(Tabla145[[#This Row],[Llave]],Hoja2!B:K,10,FALSE),0)</f>
        <v>0</v>
      </c>
      <c r="BA102" s="30">
        <f>IF(Tabla145[[#This Row],[Ajuste precio IC]]="",Tabla145[[#This Row],[Precio ponderado]],Tabla145[[#This Row],[Precio ponderado]])</f>
        <v>0</v>
      </c>
      <c r="BB102" s="82"/>
      <c r="BC102" s="82" t="str">
        <f>IF(AND(Tabla145[[#This Row],[Atraso a facturar]]&gt;0,Tabla145[[#This Row],[Precio Atraso]]=0),"Revisar","OK")</f>
        <v>OK</v>
      </c>
      <c r="BD102" s="82" t="str">
        <f>IF(AND(Tabla145[[#This Row],[Venta del mes]]&gt;0,Tabla145[[#This Row],[Precio venta nueva]]=0),"Revisar","OK")</f>
        <v>OK</v>
      </c>
      <c r="BE102" s="20">
        <f>IFERROR(VLOOKUP(Tabla145[[#This Row],[Llave]],'[5]Consolidación planes'!$A:$M,9,FALSE),0)</f>
        <v>22000</v>
      </c>
      <c r="BF102" s="20">
        <f>IFERROR(VLOOKUP(Tabla145[[#This Row],[Llave]],'[5]Consolidación planes'!$A:$M,10,FALSE),0)</f>
        <v>44000</v>
      </c>
      <c r="BG102" s="20">
        <f>IFERROR(VLOOKUP(Tabla145[[#This Row],[Llave]],'[5]Consolidación planes'!$A:$M,11,FALSE),0)</f>
        <v>66000</v>
      </c>
      <c r="BH102" s="20">
        <f>IFERROR(VLOOKUP(Tabla145[[#This Row],[Llave]],'[5]Consolidación planes'!$A:$M,12,FALSE),0)</f>
        <v>0</v>
      </c>
      <c r="BI102" s="20">
        <f>IFERROR(VLOOKUP(Tabla145[[#This Row],[Llave]],'[5]Consolidación planes'!$A:$M,13,FALSE),0)</f>
        <v>22000</v>
      </c>
      <c r="BJ102" s="20">
        <f>IFERROR(VLOOKUP(Tabla145[[#This Row],[Llave]],'[13]Base ultimos planes'!$A:$M,13,FALSE),0)</f>
        <v>22000</v>
      </c>
      <c r="BK102" s="80">
        <f>IFERROR(VLOOKUP(Tabla145[[#This Row],[Llave]],'[13]Base ultimos planes'!$O:$AA,8,FALSE),0)</f>
        <v>136200.5</v>
      </c>
      <c r="BL102" s="20">
        <f>IFERROR(VLOOKUP(Tabla145[[#This Row],[Llave]],'[13]Base ultimos planes'!$O:$AA,9,FALSE),0)</f>
        <v>259600</v>
      </c>
      <c r="BM102" s="20">
        <f>IFERROR(VLOOKUP(Tabla145[[#This Row],[Llave]],'[13]Base ultimos planes'!$O:$AA,10,FALSE),0)</f>
        <v>378180</v>
      </c>
      <c r="BN102" s="20">
        <f>IFERROR(VLOOKUP(Tabla145[[#This Row],[Llave]],'[13]Base ultimos planes'!$O:$AA,11,FALSE),0)</f>
        <v>0</v>
      </c>
      <c r="BO102" s="20">
        <f>IFERROR(VLOOKUP(Tabla145[[#This Row],[Llave]],'[13]Base ultimos planes'!$O:$AA,12,FALSE),0)</f>
        <v>124511</v>
      </c>
      <c r="BP102" s="20">
        <f>IFERROR(VLOOKUP(Tabla145[[#This Row],[Llave]],'[13]Base ultimos planes'!$O:$AA,13,FALSE),0)</f>
        <v>126688</v>
      </c>
      <c r="BQ102" s="20"/>
      <c r="BR102" s="20">
        <f>Tabla145[[#This Row],[ RV Producción mes n+1]]*(1-Tabla145[[#This Row],[% Uti. producción]])</f>
        <v>0</v>
      </c>
      <c r="BS102" s="20">
        <f>+Tabla145[[#This Row],[Producción disponible mes n-1]]+Tabla145[[#This Row],[Saldo Volumen disponible]]</f>
        <v>8426</v>
      </c>
      <c r="BT102" s="7">
        <f>IFERROR(VLOOKUP(Tabla145[[#This Row],[Llave]],'[21]RV n+2 y n+3'!$B:$F,4,FALSE),0)</f>
        <v>8210.1419999999998</v>
      </c>
      <c r="BU102" s="7">
        <f>+Tabla145[[#This Row],[Asignación mes n+2]]*Tabla145[[#This Row],[% Uti. producción]]</f>
        <v>3753.6309192069939</v>
      </c>
      <c r="BV102" s="7">
        <f>+Tabla145[[#This Row],[Ponderación mes n+2]]+Tabla145[[#This Row],[Saldo mes n-1]]</f>
        <v>12179.630919206993</v>
      </c>
      <c r="BW102" s="7">
        <f>+Tabla145[[#This Row],[Asignación mes n+2]]-Tabla145[[#This Row],[Ponderación mes n+2]]</f>
        <v>4456.5110807930059</v>
      </c>
      <c r="BX102" s="7">
        <f>IFERROR(VLOOKUP(Tabla145[[#This Row],[Llave]],'[21]RV n+2 y n+3'!$B:$F,5,FALSE),0)</f>
        <v>0</v>
      </c>
      <c r="BY102" s="7">
        <f>+Tabla145[[#This Row],[Asignación mes n+3]]*Tabla145[[#This Row],[% Uti. producción]]</f>
        <v>0</v>
      </c>
      <c r="BZ102" s="3">
        <f>+Tabla145[[#This Row],[Ponderación mes n+3]]+Tabla145[[#This Row],[Saldo mes n+2]]</f>
        <v>4456.5110807930059</v>
      </c>
      <c r="CA102" s="3">
        <f>+Tabla145[[#This Row],[Asignación mes n+3]]-Tabla145[[#This Row],[Ponderación mes n+3]]</f>
        <v>0</v>
      </c>
      <c r="CB102" s="3">
        <f>+Tabla145[[#This Row],[Producción disponible mes n-1]]+Tabla145[[#This Row],[Producción disponible]]</f>
        <v>0</v>
      </c>
      <c r="CC102" s="3">
        <f>+Tabla145[[#This Row],[Saldo mes n+4]]-Tabla145[[#This Row],[ RV Producción mes n+1]]</f>
        <v>0</v>
      </c>
    </row>
    <row r="103" spans="1:81" ht="16" x14ac:dyDescent="0.2">
      <c r="A103">
        <v>1</v>
      </c>
      <c r="B103" t="str">
        <f>Tabla145[[#This Row],[Oficina]]&amp;Tabla145[[#This Row],[Material]]</f>
        <v>Agrosuper Asia1023283</v>
      </c>
      <c r="C103" t="s">
        <v>6</v>
      </c>
      <c r="D103" t="s">
        <v>173</v>
      </c>
      <c r="E103">
        <v>1023283</v>
      </c>
      <c r="F103" t="s">
        <v>202</v>
      </c>
      <c r="G103" t="s">
        <v>76</v>
      </c>
      <c r="H103" t="s">
        <v>201</v>
      </c>
      <c r="I103" s="7">
        <f>IFERROR(VLOOKUP(Tabla145[[#This Row],[Llave]],'[7]RV Producción'!$C:$G,5,FALSE),0)</f>
        <v>94845</v>
      </c>
      <c r="J103" s="3">
        <f>IFERROR(IF(Tabla145[[#This Row],[Oficina]]=$I$7,VLOOKUP(Tabla145[[#This Row],[Llave]],'[7]Shangai (Tomas)'!$A:$F,6,FALSE),VLOOKUP(Tabla145[[#This Row],[Llave]],'[7]RV plan de ventas'!$A:$E,5,FALSE)),0)</f>
        <v>72000</v>
      </c>
      <c r="K103" s="8">
        <f>IFERROR(VLOOKUP(Tabla145[[#This Row],[Oficina]],[15]Ponderación!$B$2:$E$9,4,FALSE),0)</f>
        <v>0.45719439678473212</v>
      </c>
      <c r="L103" s="7">
        <f>+Tabla145[[#This Row],[ RV Producción mes n+1]]*Tabla145[[#This Row],[% Uti. producción]]</f>
        <v>43362.60256304792</v>
      </c>
      <c r="M103" s="7">
        <f>IFERROR(VLOOKUP(Tabla145[[#This Row],[Material]],[16]Stock!$G:$K,5,FALSE),0)</f>
        <v>82775</v>
      </c>
      <c r="N103" s="7">
        <f>IFERROR(VLOOKUP(Tabla145[[#This Row],[Material]],[16]Produccion!$M:$N,2,FALSE),0)</f>
        <v>21440</v>
      </c>
      <c r="O103" s="7">
        <f>IFERROR(VLOOKUP(Tabla145[[#This Row],[Llave]],'[16]TD Conf-AP'!$I:$M,4,FALSE),0)</f>
        <v>0</v>
      </c>
      <c r="P103" s="14">
        <f>SUM(Tabla145[[#This Row],[Producción disponible]],Tabla145[[#This Row],[Stock al día]],(Tabla145[[#This Row],[Por producir mes N]]*0.9))-Tabla145[[#This Row],[Producción por despachar mes N]]</f>
        <v>145433.60256304793</v>
      </c>
      <c r="Q103" s="7">
        <f>IFERROR(VLOOKUP(Tabla145[[#This Row],[Llave]],[17]DELAY!$A:$D,4,FALSE),0)</f>
        <v>96000</v>
      </c>
      <c r="R103" s="9">
        <v>24000</v>
      </c>
      <c r="S103" s="5">
        <f t="shared" si="6"/>
        <v>96000</v>
      </c>
      <c r="T103" s="76">
        <v>-48000</v>
      </c>
      <c r="U103" s="5">
        <f>+Tabla145[[#This Row],[Atraso a facturar]]+Tabla145[[#This Row],[Ajuste atraso]]</f>
        <v>48000</v>
      </c>
      <c r="V103" s="3">
        <f>+Tabla145[[#This Row],[Total disponible]]-Tabla145[[#This Row],[Facturación atraso]]</f>
        <v>97433.602563047927</v>
      </c>
      <c r="W103" s="6">
        <f>IFERROR(IF(AND(V103&gt;R103,J103&gt;=R103),ROUNDDOWN((Tabla145[[#This Row],[Producción para venta nueva]])/R103,0)*R103,0),0)</f>
        <v>96000</v>
      </c>
      <c r="X103" s="76">
        <v>-24000</v>
      </c>
      <c r="Y103" s="6">
        <f>IF(Tabla145[[#This Row],[Venta del mes]]&gt;0,Tabla145[[#This Row],[Venta del mes]]+Tabla145[[#This Row],[Ajuste venta nueva]],0)</f>
        <v>72000</v>
      </c>
      <c r="Z103" s="6">
        <f>+Tabla145[[#This Row],[Producción para venta nueva]]-Tabla145[[#This Row],[Facturación Venta nueva]]</f>
        <v>25433.602563047927</v>
      </c>
      <c r="AA103" s="6">
        <f>IF(AND(A103=1,Tabla145[[#This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3" s="6">
        <v>0</v>
      </c>
      <c r="AC103" s="6">
        <f>IF(Tabla145[[#This Row],[Disponible stock sin venta]]&gt;0,Tabla145[[#This Row],[Disponible stock sin venta]]+Tabla145[[#This Row],[Ajuste stock sin venta]],0)</f>
        <v>0</v>
      </c>
      <c r="AD103" s="3">
        <f>IFERROR(VLOOKUP(Tabla145[[#This Row],[Llave]],'[16]TD Puerto'!$A:$D,4,FALSE),0)</f>
        <v>0</v>
      </c>
      <c r="AE103" s="3">
        <v>96000</v>
      </c>
      <c r="AF103" s="3">
        <f>+Tabla145[[#This Row],[Plan Irrestricto Inicial]]</f>
        <v>96000</v>
      </c>
      <c r="AG103" s="3">
        <f>+Tabla145[[#This Row],[En puerto a facturar]]</f>
        <v>0</v>
      </c>
      <c r="AH103" s="3">
        <f>+Tabla145[[#This Row],[Facturación atraso]]</f>
        <v>48000</v>
      </c>
      <c r="AI103" s="3">
        <f>+Tabla145[[#This Row],[Plan Irrestricto]]-Tabla145[[#This Row],[Puerto ]]-Tabla145[[#This Row],[Atraso]]</f>
        <v>48000</v>
      </c>
      <c r="AJ103" s="3">
        <f>IF(Tabla145[[#This Row],[Plan Irrestricto]]&gt;0,SUM(Tabla145[[#This Row],[Facturación atraso]],Tabla145[[#This Row],[Facturación Venta nueva]],Tabla145[[#This Row],[Facturación stock]],Tabla145[[#This Row],[En puerto a facturar]]),0)</f>
        <v>120000</v>
      </c>
      <c r="AK103" s="3">
        <f>+Tabla145[[#This Row],[Facturación atraso]]</f>
        <v>48000</v>
      </c>
      <c r="AL103" s="3">
        <f>+Tabla145[[#This Row],[Plan Ajustado]]-Tabla145[[#This Row],[ Atraso ajustado]]-Tabla145[[#This Row],[Puerto ]]</f>
        <v>72000</v>
      </c>
      <c r="AM103" s="6">
        <f>IFERROR(VLOOKUP(Tabla145[[#This Row],[Llave]],[18]!Tabla14[#All],34,FALSE),0)</f>
        <v>0</v>
      </c>
      <c r="AN103" s="6">
        <f>IFERROR(VLOOKUP(Tabla145[[#This Row],[Llave]],[18]!Tabla14[#All],35,FALSE),0)</f>
        <v>0</v>
      </c>
      <c r="AO103" s="3" t="str">
        <f>IF(Tabla145[[#This Row],[Plan Ajustado]]&gt;Tabla145[[#This Row],[En puerto a facturar]],"Si","No")</f>
        <v>Si</v>
      </c>
      <c r="AP103" s="3">
        <f>IF(AND(Tabla145[[#This Row],[Plan Ajustado]]&gt;0,Tabla145[[#This Row],[Plan Ajustado]]&gt;Tabla145[[#This Row],[En puerto a facturar]]),(Tabla145[[#This Row],[Plan Ajustado]]-Tabla145[[#This Row],[En puerto a facturar]]),0)</f>
        <v>120000</v>
      </c>
      <c r="AQ103" s="3">
        <f>IF(Tabla145[[#This Row],[Necesidad]]&gt;=Tabla145[[#This Row],[Stock al día]],Tabla145[[#This Row],[Stock al día]],Tabla145[[#This Row],[Necesidad]])</f>
        <v>82775</v>
      </c>
      <c r="AR103" s="3">
        <f>+Tabla145[[#This Row],[Necesidad]]-Tabla145[[#This Row],[Stock Plan]]</f>
        <v>37225</v>
      </c>
      <c r="AS103" s="155">
        <f>IFERROR(VLOOKUP(Tabla145[[#This Row],[Oficina]],[19]Ponderación!$B$14:$E$21,4,FALSE),"")</f>
        <v>44786</v>
      </c>
      <c r="AT10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0.77</v>
      </c>
      <c r="AU103" s="83">
        <f>IFERROR(VLOOKUP(Tabla145[[#This Row],[Llave]],[17]DELAY!$H:$W,16,FALSE),0)</f>
        <v>1.0649650520833331</v>
      </c>
      <c r="AV10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0.88798602083333322</v>
      </c>
      <c r="AW103" s="5">
        <f>Tabla145[[#This Row],[Ajuste precio IC]]*Tabla145[[#This Row],[Plan Ajustado]]</f>
        <v>106558.32249999998</v>
      </c>
      <c r="AX103" s="30">
        <f>IFERROR(VLOOKUP(Tabla145[[#This Row],[Llave]],'[13]Ultimos precios facturados'!$A:$G,7,FALSE),0)</f>
        <v>0.88880537752916122</v>
      </c>
      <c r="AY10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9.2186289208304997E-4</v>
      </c>
      <c r="AZ103" s="30">
        <f>IFERROR(VLOOKUP(Tabla145[[#This Row],[Llave]],Hoja2!B:K,10,FALSE),0)</f>
        <v>0.88798602083333322</v>
      </c>
      <c r="BA103" s="30">
        <f>IF(Tabla145[[#This Row],[Ajuste precio IC]]="",Tabla145[[#This Row],[Precio ponderado]],Tabla145[[#This Row],[Precio ponderado]])</f>
        <v>0.88798602083333322</v>
      </c>
      <c r="BB103" s="82"/>
      <c r="BC103" s="82" t="str">
        <f>IF(AND(Tabla145[[#This Row],[Atraso a facturar]]&gt;0,Tabla145[[#This Row],[Precio Atraso]]=0),"Revisar","OK")</f>
        <v>OK</v>
      </c>
      <c r="BD103" s="82" t="str">
        <f>IF(AND(Tabla145[[#This Row],[Venta del mes]]&gt;0,Tabla145[[#This Row],[Precio venta nueva]]=0),"Revisar","OK")</f>
        <v>OK</v>
      </c>
      <c r="BE103" s="20">
        <f>IFERROR(VLOOKUP(Tabla145[[#This Row],[Llave]],'[5]Consolidación planes'!$A:$M,9,FALSE),0)</f>
        <v>120000</v>
      </c>
      <c r="BF103" s="20">
        <f>IFERROR(VLOOKUP(Tabla145[[#This Row],[Llave]],'[5]Consolidación planes'!$A:$M,10,FALSE),0)</f>
        <v>96000</v>
      </c>
      <c r="BG103" s="20">
        <f>IFERROR(VLOOKUP(Tabla145[[#This Row],[Llave]],'[5]Consolidación planes'!$A:$M,11,FALSE),0)</f>
        <v>178000</v>
      </c>
      <c r="BH103" s="20">
        <f>IFERROR(VLOOKUP(Tabla145[[#This Row],[Llave]],'[5]Consolidación planes'!$A:$M,12,FALSE),0)</f>
        <v>216000</v>
      </c>
      <c r="BI103" s="20">
        <f>IFERROR(VLOOKUP(Tabla145[[#This Row],[Llave]],'[5]Consolidación planes'!$A:$M,13,FALSE),0)</f>
        <v>144149</v>
      </c>
      <c r="BJ103" s="20">
        <f>IFERROR(VLOOKUP(Tabla145[[#This Row],[Llave]],'[13]Base ultimos planes'!$A:$M,13,FALSE),0)</f>
        <v>72000</v>
      </c>
      <c r="BK103" s="80">
        <f>IFERROR(VLOOKUP(Tabla145[[#This Row],[Llave]],'[13]Base ultimos planes'!$O:$AA,8,FALSE),0)</f>
        <v>107052.12119999999</v>
      </c>
      <c r="BL103" s="20">
        <f>IFERROR(VLOOKUP(Tabla145[[#This Row],[Llave]],'[13]Base ultimos planes'!$O:$AA,9,FALSE),0)</f>
        <v>89280</v>
      </c>
      <c r="BM103" s="20">
        <f>IFERROR(VLOOKUP(Tabla145[[#This Row],[Llave]],'[13]Base ultimos planes'!$O:$AA,10,FALSE),0)</f>
        <v>157911</v>
      </c>
      <c r="BN103" s="20">
        <f>IFERROR(VLOOKUP(Tabla145[[#This Row],[Llave]],'[13]Base ultimos planes'!$O:$AA,11,FALSE),0)</f>
        <v>220922</v>
      </c>
      <c r="BO103" s="20">
        <f>IFERROR(VLOOKUP(Tabla145[[#This Row],[Llave]],'[13]Base ultimos planes'!$O:$AA,12,FALSE),0)</f>
        <v>136463</v>
      </c>
      <c r="BP103" s="20">
        <f>IFERROR(VLOOKUP(Tabla145[[#This Row],[Llave]],'[13]Base ultimos planes'!$O:$AA,13,FALSE),0)</f>
        <v>70008</v>
      </c>
      <c r="BQ103" s="20"/>
      <c r="BR103" s="20">
        <f>Tabla145[[#This Row],[ RV Producción mes n+1]]*(1-Tabla145[[#This Row],[% Uti. producción]])</f>
        <v>51482.397436952087</v>
      </c>
      <c r="BS103" s="20">
        <f>+Tabla145[[#This Row],[Producción disponible mes n-1]]+Tabla145[[#This Row],[Saldo Volumen disponible]]</f>
        <v>76916.000000000015</v>
      </c>
      <c r="BT103" s="7">
        <f>IFERROR(VLOOKUP(Tabla145[[#This Row],[Llave]],'[21]RV n+2 y n+3'!$B:$F,4,FALSE),0)</f>
        <v>0</v>
      </c>
      <c r="BU103" s="7">
        <f>+Tabla145[[#This Row],[Asignación mes n+2]]*Tabla145[[#This Row],[% Uti. producción]]</f>
        <v>0</v>
      </c>
      <c r="BV103" s="7">
        <f>+Tabla145[[#This Row],[Ponderación mes n+2]]+Tabla145[[#This Row],[Saldo mes n-1]]</f>
        <v>76916.000000000015</v>
      </c>
      <c r="BW103" s="7">
        <f>+Tabla145[[#This Row],[Asignación mes n+2]]-Tabla145[[#This Row],[Ponderación mes n+2]]</f>
        <v>0</v>
      </c>
      <c r="BX103" s="7">
        <f>IFERROR(VLOOKUP(Tabla145[[#This Row],[Llave]],'[21]RV n+2 y n+3'!$B:$F,5,FALSE),0)</f>
        <v>0</v>
      </c>
      <c r="BY103" s="7">
        <f>+Tabla145[[#This Row],[Asignación mes n+3]]*Tabla145[[#This Row],[% Uti. producción]]</f>
        <v>0</v>
      </c>
      <c r="BZ103" s="3">
        <f>+Tabla145[[#This Row],[Ponderación mes n+3]]+Tabla145[[#This Row],[Saldo mes n+2]]</f>
        <v>0</v>
      </c>
      <c r="CA103" s="3">
        <f>+Tabla145[[#This Row],[Asignación mes n+3]]-Tabla145[[#This Row],[Ponderación mes n+3]]</f>
        <v>0</v>
      </c>
      <c r="CB103" s="3">
        <f>+Tabla145[[#This Row],[Producción disponible mes n-1]]+Tabla145[[#This Row],[Producción disponible]]</f>
        <v>94845</v>
      </c>
      <c r="CC103" s="3">
        <f>+Tabla145[[#This Row],[Saldo mes n+4]]-Tabla145[[#This Row],[ RV Producción mes n+1]]</f>
        <v>0</v>
      </c>
    </row>
    <row r="104" spans="1:81" ht="16" x14ac:dyDescent="0.2">
      <c r="A104">
        <v>1</v>
      </c>
      <c r="B104" t="str">
        <f>Tabla145[[#This Row],[Oficina]]&amp;Tabla145[[#This Row],[Material]]</f>
        <v>Agrosuper Asia1023305</v>
      </c>
      <c r="C104" t="s">
        <v>6</v>
      </c>
      <c r="D104" t="s">
        <v>173</v>
      </c>
      <c r="E104">
        <v>1023305</v>
      </c>
      <c r="F104" t="s">
        <v>297</v>
      </c>
      <c r="G104" t="s">
        <v>76</v>
      </c>
      <c r="H104" t="s">
        <v>296</v>
      </c>
      <c r="I104" s="7">
        <f>IFERROR(VLOOKUP(Tabla145[[#This Row],[Llave]],'[7]RV Producción'!$C:$G,5,FALSE),0)</f>
        <v>0</v>
      </c>
      <c r="J104" s="3">
        <f>IFERROR(IF(Tabla145[[#This Row],[Oficina]]=$I$7,VLOOKUP(Tabla145[[#This Row],[Llave]],'[7]Shangai (Tomas)'!$A:$F,6,FALSE),VLOOKUP(Tabla145[[#This Row],[Llave]],'[7]RV plan de ventas'!$A:$E,5,FALSE)),0)</f>
        <v>0</v>
      </c>
      <c r="K104" s="8">
        <f>IFERROR(VLOOKUP(Tabla145[[#This Row],[Oficina]],[15]Ponderación!$B$2:$E$9,4,FALSE),0)</f>
        <v>0.45719439678473212</v>
      </c>
      <c r="L104" s="7">
        <f>+Tabla145[[#This Row],[ RV Producción mes n+1]]*Tabla145[[#This Row],[% Uti. producción]]</f>
        <v>0</v>
      </c>
      <c r="M104" s="7">
        <f>IFERROR(VLOOKUP(Tabla145[[#This Row],[Material]],[16]Stock!$G:$K,5,FALSE),0)</f>
        <v>0</v>
      </c>
      <c r="N104" s="7">
        <f>IFERROR(VLOOKUP(Tabla145[[#This Row],[Material]],[16]Produccion!$M:$N,2,FALSE),0)</f>
        <v>0</v>
      </c>
      <c r="O104" s="7">
        <f>IFERROR(VLOOKUP(Tabla145[[#This Row],[Llave]],'[16]TD Conf-AP'!$I:$M,4,FALSE),0)</f>
        <v>0</v>
      </c>
      <c r="P104" s="14">
        <f>SUM(Tabla145[[#This Row],[Producción disponible]],Tabla145[[#This Row],[Stock al día]],(Tabla145[[#This Row],[Por producir mes N]]*0.9))-Tabla145[[#This Row],[Producción por despachar mes N]]</f>
        <v>0</v>
      </c>
      <c r="Q104" s="7">
        <f>IFERROR(VLOOKUP(Tabla145[[#This Row],[Llave]],[17]DELAY!$A:$D,4,FALSE),0)</f>
        <v>0</v>
      </c>
      <c r="R104" s="9">
        <v>24000</v>
      </c>
      <c r="S104" s="5">
        <f t="shared" si="6"/>
        <v>0</v>
      </c>
      <c r="T104" s="76">
        <v>0</v>
      </c>
      <c r="U104" s="5">
        <f>+Tabla145[[#This Row],[Atraso a facturar]]+Tabla145[[#This Row],[Ajuste atraso]]</f>
        <v>0</v>
      </c>
      <c r="V104" s="3">
        <f>+Tabla145[[#This Row],[Total disponible]]-Tabla145[[#This Row],[Facturación atraso]]</f>
        <v>0</v>
      </c>
      <c r="W104" s="6">
        <f>IFERROR(IF(AND(V104&gt;R104,J104&gt;=R104),ROUNDDOWN((Tabla145[[#This Row],[Producción para venta nueva]])/R104,0)*R104,0),0)</f>
        <v>0</v>
      </c>
      <c r="X104" s="76">
        <v>0</v>
      </c>
      <c r="Y104" s="6">
        <f>IF(Tabla145[[#This Row],[Venta del mes]]&gt;0,Tabla145[[#This Row],[Venta del mes]]+Tabla145[[#This Row],[Ajuste venta nueva]],0)</f>
        <v>0</v>
      </c>
      <c r="Z104" s="6">
        <f>+Tabla145[[#This Row],[Producción para venta nueva]]-Tabla145[[#This Row],[Facturación Venta nueva]]</f>
        <v>0</v>
      </c>
      <c r="AA104" s="6">
        <f>IF(AND(A104=1,Tabla145[[#This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4" s="6">
        <v>0</v>
      </c>
      <c r="AC104" s="6">
        <f>IF(Tabla145[[#This Row],[Disponible stock sin venta]]&gt;0,Tabla145[[#This Row],[Disponible stock sin venta]]+Tabla145[[#This Row],[Ajuste stock sin venta]],0)</f>
        <v>0</v>
      </c>
      <c r="AD104" s="3">
        <f>IFERROR(VLOOKUP(Tabla145[[#This Row],[Llave]],'[16]TD Puerto'!$A:$D,4,FALSE),0)</f>
        <v>0</v>
      </c>
      <c r="AE104" s="3">
        <v>0</v>
      </c>
      <c r="AF104" s="3">
        <f>+Tabla145[[#This Row],[Plan Irrestricto Inicial]]</f>
        <v>0</v>
      </c>
      <c r="AG104" s="3">
        <f>+Tabla145[[#This Row],[En puerto a facturar]]</f>
        <v>0</v>
      </c>
      <c r="AH104" s="3">
        <f>+Tabla145[[#This Row],[Facturación atraso]]</f>
        <v>0</v>
      </c>
      <c r="AI104" s="3">
        <f>+Tabla145[[#This Row],[Plan Irrestricto]]-Tabla145[[#This Row],[Puerto ]]-Tabla145[[#This Row],[Atraso]]</f>
        <v>0</v>
      </c>
      <c r="AJ10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04" s="3">
        <f>+Tabla145[[#This Row],[Facturación atraso]]</f>
        <v>0</v>
      </c>
      <c r="AL104" s="3">
        <f>+Tabla145[[#This Row],[Plan Ajustado]]-Tabla145[[#This Row],[ Atraso ajustado]]-Tabla145[[#This Row],[Puerto ]]</f>
        <v>0</v>
      </c>
      <c r="AM104" s="6">
        <f>IFERROR(VLOOKUP(Tabla145[[#This Row],[Llave]],[18]!Tabla14[#All],34,FALSE),0)</f>
        <v>0</v>
      </c>
      <c r="AN104" s="6">
        <f>IFERROR(VLOOKUP(Tabla145[[#This Row],[Llave]],[18]!Tabla14[#All],35,FALSE),0)</f>
        <v>0</v>
      </c>
      <c r="AO104" s="3" t="str">
        <f>IF(Tabla145[[#This Row],[Plan Ajustado]]&gt;Tabla145[[#This Row],[En puerto a facturar]],"Si","No")</f>
        <v>No</v>
      </c>
      <c r="AP10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04" s="3">
        <f>IF(Tabla145[[#This Row],[Necesidad]]&gt;=Tabla145[[#This Row],[Stock al día]],Tabla145[[#This Row],[Stock al día]],Tabla145[[#This Row],[Necesidad]])</f>
        <v>0</v>
      </c>
      <c r="AR104" s="3">
        <f>+Tabla145[[#This Row],[Necesidad]]-Tabla145[[#This Row],[Stock Plan]]</f>
        <v>0</v>
      </c>
      <c r="AS104" s="155">
        <f>IFERROR(VLOOKUP(Tabla145[[#This Row],[Oficina]],[19]Ponderación!$B$14:$E$21,4,FALSE),"")</f>
        <v>44786</v>
      </c>
      <c r="AT10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1.7623119232692395</v>
      </c>
      <c r="AU104" s="83">
        <f>IFERROR(VLOOKUP(Tabla145[[#This Row],[Llave]],[17]DELAY!$H:$W,16,FALSE),0)</f>
        <v>0</v>
      </c>
      <c r="AV10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04" s="5">
        <f>Tabla145[[#This Row],[Ajuste precio IC]]*Tabla145[[#This Row],[Plan Ajustado]]</f>
        <v>0</v>
      </c>
      <c r="AX104" s="30">
        <f>IFERROR(VLOOKUP(Tabla145[[#This Row],[Llave]],'[13]Ultimos precios facturados'!$A:$G,7,FALSE),0)</f>
        <v>1.7623119232692395</v>
      </c>
      <c r="AY10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04" s="30">
        <f>IFERROR(VLOOKUP(Tabla145[[#This Row],[Llave]],Hoja2!B:K,10,FALSE),0)</f>
        <v>0</v>
      </c>
      <c r="BA104" s="30">
        <f>IF(Tabla145[[#This Row],[Ajuste precio IC]]="",Tabla145[[#This Row],[Precio ponderado]],Tabla145[[#This Row],[Precio ponderado]])</f>
        <v>0</v>
      </c>
      <c r="BB104" s="82"/>
      <c r="BC104" s="82" t="str">
        <f>IF(AND(Tabla145[[#This Row],[Atraso a facturar]]&gt;0,Tabla145[[#This Row],[Precio Atraso]]=0),"Revisar","OK")</f>
        <v>OK</v>
      </c>
      <c r="BD104" s="82" t="str">
        <f>IF(AND(Tabla145[[#This Row],[Venta del mes]]&gt;0,Tabla145[[#This Row],[Precio venta nueva]]=0),"Revisar","OK")</f>
        <v>OK</v>
      </c>
      <c r="BE104" s="20">
        <f>IFERROR(VLOOKUP(Tabla145[[#This Row],[Llave]],'[5]Consolidación planes'!$A:$M,9,FALSE),0)</f>
        <v>0</v>
      </c>
      <c r="BF104" s="20">
        <f>IFERROR(VLOOKUP(Tabla145[[#This Row],[Llave]],'[5]Consolidación planes'!$A:$M,10,FALSE),0)</f>
        <v>0</v>
      </c>
      <c r="BG104" s="20">
        <f>IFERROR(VLOOKUP(Tabla145[[#This Row],[Llave]],'[5]Consolidación planes'!$A:$M,11,FALSE),0)</f>
        <v>0</v>
      </c>
      <c r="BH104" s="20">
        <f>IFERROR(VLOOKUP(Tabla145[[#This Row],[Llave]],'[5]Consolidación planes'!$A:$M,12,FALSE),0)</f>
        <v>0</v>
      </c>
      <c r="BI104" s="20">
        <f>IFERROR(VLOOKUP(Tabla145[[#This Row],[Llave]],'[5]Consolidación planes'!$A:$M,13,FALSE),0)</f>
        <v>0</v>
      </c>
      <c r="BJ104" s="20">
        <f>IFERROR(VLOOKUP(Tabla145[[#This Row],[Llave]],'[13]Base ultimos planes'!$A:$M,13,FALSE),0)</f>
        <v>0</v>
      </c>
      <c r="BK104" s="80">
        <f>IFERROR(VLOOKUP(Tabla145[[#This Row],[Llave]],'[13]Base ultimos planes'!$O:$AA,8,FALSE),0)</f>
        <v>0</v>
      </c>
      <c r="BL104" s="20">
        <f>IFERROR(VLOOKUP(Tabla145[[#This Row],[Llave]],'[13]Base ultimos planes'!$O:$AA,9,FALSE),0)</f>
        <v>0</v>
      </c>
      <c r="BM104" s="20">
        <f>IFERROR(VLOOKUP(Tabla145[[#This Row],[Llave]],'[13]Base ultimos planes'!$O:$AA,10,FALSE),0)</f>
        <v>0</v>
      </c>
      <c r="BN104" s="20">
        <f>IFERROR(VLOOKUP(Tabla145[[#This Row],[Llave]],'[13]Base ultimos planes'!$O:$AA,11,FALSE),0)</f>
        <v>0</v>
      </c>
      <c r="BO104" s="20">
        <f>IFERROR(VLOOKUP(Tabla145[[#This Row],[Llave]],'[13]Base ultimos planes'!$O:$AA,12,FALSE),0)</f>
        <v>0</v>
      </c>
      <c r="BP104" s="20">
        <f>IFERROR(VLOOKUP(Tabla145[[#This Row],[Llave]],'[13]Base ultimos planes'!$O:$AA,13,FALSE),0)</f>
        <v>0</v>
      </c>
      <c r="BQ104" s="20"/>
      <c r="BR104" s="20">
        <f>Tabla145[[#This Row],[ RV Producción mes n+1]]*(1-Tabla145[[#This Row],[% Uti. producción]])</f>
        <v>0</v>
      </c>
      <c r="BS104" s="20">
        <f>+Tabla145[[#This Row],[Producción disponible mes n-1]]+Tabla145[[#This Row],[Saldo Volumen disponible]]</f>
        <v>0</v>
      </c>
      <c r="BT104" s="7">
        <f>IFERROR(VLOOKUP(Tabla145[[#This Row],[Llave]],'[21]RV n+2 y n+3'!$B:$F,4,FALSE),0)</f>
        <v>0</v>
      </c>
      <c r="BU104" s="7">
        <f>+Tabla145[[#This Row],[Asignación mes n+2]]*Tabla145[[#This Row],[% Uti. producción]]</f>
        <v>0</v>
      </c>
      <c r="BV104" s="7">
        <f>+Tabla145[[#This Row],[Ponderación mes n+2]]+Tabla145[[#This Row],[Saldo mes n-1]]</f>
        <v>0</v>
      </c>
      <c r="BW104" s="7">
        <f>+Tabla145[[#This Row],[Asignación mes n+2]]-Tabla145[[#This Row],[Ponderación mes n+2]]</f>
        <v>0</v>
      </c>
      <c r="BX104" s="7">
        <f>IFERROR(VLOOKUP(Tabla145[[#This Row],[Llave]],'[21]RV n+2 y n+3'!$B:$F,5,FALSE),0)</f>
        <v>0</v>
      </c>
      <c r="BY104" s="7">
        <f>+Tabla145[[#This Row],[Asignación mes n+3]]*Tabla145[[#This Row],[% Uti. producción]]</f>
        <v>0</v>
      </c>
      <c r="BZ104" s="3">
        <f>+Tabla145[[#This Row],[Ponderación mes n+3]]+Tabla145[[#This Row],[Saldo mes n+2]]</f>
        <v>0</v>
      </c>
      <c r="CA104" s="3">
        <f>+Tabla145[[#This Row],[Asignación mes n+3]]-Tabla145[[#This Row],[Ponderación mes n+3]]</f>
        <v>0</v>
      </c>
      <c r="CB104" s="3">
        <f>+Tabla145[[#This Row],[Producción disponible mes n-1]]+Tabla145[[#This Row],[Producción disponible]]</f>
        <v>0</v>
      </c>
      <c r="CC104" s="3">
        <f>+Tabla145[[#This Row],[Saldo mes n+4]]-Tabla145[[#This Row],[ RV Producción mes n+1]]</f>
        <v>0</v>
      </c>
    </row>
    <row r="105" spans="1:81" ht="16" x14ac:dyDescent="0.2">
      <c r="A105">
        <v>1</v>
      </c>
      <c r="B105" t="str">
        <f>Tabla145[[#This Row],[Oficina]]&amp;Tabla145[[#This Row],[Material]]</f>
        <v>Agrosuper Asia1023307</v>
      </c>
      <c r="C105" t="s">
        <v>6</v>
      </c>
      <c r="D105" t="s">
        <v>173</v>
      </c>
      <c r="E105">
        <v>1023307</v>
      </c>
      <c r="F105" t="s">
        <v>203</v>
      </c>
      <c r="G105" t="s">
        <v>76</v>
      </c>
      <c r="H105" t="s">
        <v>84</v>
      </c>
      <c r="I105" s="7">
        <f>IFERROR(VLOOKUP(Tabla145[[#This Row],[Llave]],'[7]RV Producción'!$C:$G,5,FALSE),0)</f>
        <v>5000</v>
      </c>
      <c r="J105" s="3">
        <f>IFERROR(IF(Tabla145[[#This Row],[Oficina]]=$I$7,VLOOKUP(Tabla145[[#This Row],[Llave]],'[7]Shangai (Tomas)'!$A:$F,6,FALSE),VLOOKUP(Tabla145[[#This Row],[Llave]],'[7]RV plan de ventas'!$A:$E,5,FALSE)),0)</f>
        <v>0</v>
      </c>
      <c r="K105" s="8">
        <f>IFERROR(VLOOKUP(Tabla145[[#This Row],[Oficina]],[15]Ponderación!$B$2:$E$9,4,FALSE),0)</f>
        <v>0.45719439678473212</v>
      </c>
      <c r="L105" s="7">
        <f>+Tabla145[[#This Row],[ RV Producción mes n+1]]*Tabla145[[#This Row],[% Uti. producción]]</f>
        <v>2285.9719839236604</v>
      </c>
      <c r="M105" s="7">
        <f>IFERROR(VLOOKUP(Tabla145[[#This Row],[Material]],[16]Stock!$G:$K,5,FALSE),0)</f>
        <v>37165</v>
      </c>
      <c r="N105" s="7">
        <f>IFERROR(VLOOKUP(Tabla145[[#This Row],[Material]],[16]Produccion!$M:$N,2,FALSE),0)</f>
        <v>5700</v>
      </c>
      <c r="O105" s="7">
        <f>IFERROR(VLOOKUP(Tabla145[[#This Row],[Llave]],'[16]TD Conf-AP'!$I:$M,4,FALSE),0)</f>
        <v>0</v>
      </c>
      <c r="P105" s="14">
        <f>SUM(Tabla145[[#This Row],[Producción disponible]],Tabla145[[#This Row],[Stock al día]],(Tabla145[[#This Row],[Por producir mes N]]*0.9))-Tabla145[[#This Row],[Producción por despachar mes N]]</f>
        <v>44580.971983923664</v>
      </c>
      <c r="Q105" s="7">
        <f>IFERROR(VLOOKUP(Tabla145[[#This Row],[Llave]],[17]DELAY!$A:$D,4,FALSE),0)</f>
        <v>48000</v>
      </c>
      <c r="R105" s="9">
        <v>24000</v>
      </c>
      <c r="S105" s="5">
        <f t="shared" si="6"/>
        <v>24000</v>
      </c>
      <c r="T105" s="76">
        <v>0</v>
      </c>
      <c r="U105" s="5">
        <f>+Tabla145[[#This Row],[Atraso a facturar]]+Tabla145[[#This Row],[Ajuste atraso]]</f>
        <v>24000</v>
      </c>
      <c r="V105" s="3">
        <f>+Tabla145[[#This Row],[Total disponible]]-Tabla145[[#This Row],[Facturación atraso]]</f>
        <v>20580.971983923664</v>
      </c>
      <c r="W105" s="6">
        <f>IFERROR(IF(AND(V105&gt;R105,J105&gt;=R105),ROUNDDOWN((Tabla145[[#This Row],[Producción para venta nueva]])/R105,0)*R105,0),0)</f>
        <v>0</v>
      </c>
      <c r="X105" s="76">
        <v>0</v>
      </c>
      <c r="Y105" s="6">
        <f>IF(Tabla145[[#This Row],[Venta del mes]]&gt;0,Tabla145[[#This Row],[Venta del mes]]+Tabla145[[#This Row],[Ajuste venta nueva]],0)</f>
        <v>0</v>
      </c>
      <c r="Z105" s="6">
        <f>+Tabla145[[#This Row],[Producción para venta nueva]]-Tabla145[[#This Row],[Facturación Venta nueva]]</f>
        <v>20580.971983923664</v>
      </c>
      <c r="AA105" s="6">
        <f>IF(AND(A105=1,Tabla145[[#This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5" s="6">
        <v>0</v>
      </c>
      <c r="AC105" s="6">
        <f>IF(Tabla145[[#This Row],[Disponible stock sin venta]]&gt;0,Tabla145[[#This Row],[Disponible stock sin venta]]+Tabla145[[#This Row],[Ajuste stock sin venta]],0)</f>
        <v>0</v>
      </c>
      <c r="AD105" s="3">
        <f>IFERROR(VLOOKUP(Tabla145[[#This Row],[Llave]],'[16]TD Puerto'!$A:$D,4,FALSE),0)</f>
        <v>0</v>
      </c>
      <c r="AE105" s="3">
        <v>0</v>
      </c>
      <c r="AF105" s="3">
        <f>+Tabla145[[#This Row],[Plan Irrestricto Inicial]]</f>
        <v>0</v>
      </c>
      <c r="AG105" s="3">
        <f>+Tabla145[[#This Row],[En puerto a facturar]]</f>
        <v>0</v>
      </c>
      <c r="AH105" s="3">
        <f>+Tabla145[[#This Row],[Facturación atraso]]</f>
        <v>24000</v>
      </c>
      <c r="AI105" s="3">
        <f>+Tabla145[[#This Row],[Plan Irrestricto]]-Tabla145[[#This Row],[Puerto ]]-Tabla145[[#This Row],[Atraso]]</f>
        <v>-24000</v>
      </c>
      <c r="AJ10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05" s="3">
        <f>+Tabla145[[#This Row],[Facturación atraso]]</f>
        <v>24000</v>
      </c>
      <c r="AL105" s="3">
        <f>+Tabla145[[#This Row],[Plan Ajustado]]-Tabla145[[#This Row],[ Atraso ajustado]]-Tabla145[[#This Row],[Puerto ]]</f>
        <v>-24000</v>
      </c>
      <c r="AM105" s="6">
        <f>IFERROR(VLOOKUP(Tabla145[[#This Row],[Llave]],[18]!Tabla14[#All],34,FALSE),0)</f>
        <v>0</v>
      </c>
      <c r="AN105" s="6">
        <f>IFERROR(VLOOKUP(Tabla145[[#This Row],[Llave]],[18]!Tabla14[#All],35,FALSE),0)</f>
        <v>0</v>
      </c>
      <c r="AO105" s="3" t="str">
        <f>IF(Tabla145[[#This Row],[Plan Ajustado]]&gt;Tabla145[[#This Row],[En puerto a facturar]],"Si","No")</f>
        <v>No</v>
      </c>
      <c r="AP10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05" s="3">
        <f>IF(Tabla145[[#This Row],[Necesidad]]&gt;=Tabla145[[#This Row],[Stock al día]],Tabla145[[#This Row],[Stock al día]],Tabla145[[#This Row],[Necesidad]])</f>
        <v>0</v>
      </c>
      <c r="AR105" s="3">
        <f>+Tabla145[[#This Row],[Necesidad]]-Tabla145[[#This Row],[Stock Plan]]</f>
        <v>0</v>
      </c>
      <c r="AS105" s="155">
        <f>IFERROR(VLOOKUP(Tabla145[[#This Row],[Oficina]],[19]Ponderación!$B$14:$E$21,4,FALSE),"")</f>
        <v>44786</v>
      </c>
      <c r="AT10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0.67256219584883381</v>
      </c>
      <c r="AU105" s="83">
        <f>IFERROR(VLOOKUP(Tabla145[[#This Row],[Llave]],[17]DELAY!$H:$W,16,FALSE),0)</f>
        <v>0.76571666666666705</v>
      </c>
      <c r="AV10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05" s="5">
        <f>Tabla145[[#This Row],[Ajuste precio IC]]*Tabla145[[#This Row],[Plan Ajustado]]</f>
        <v>0</v>
      </c>
      <c r="AX105" s="30">
        <f>IFERROR(VLOOKUP(Tabla145[[#This Row],[Llave]],'[13]Ultimos precios facturados'!$A:$G,7,FALSE),0)</f>
        <v>0.67256219584883381</v>
      </c>
      <c r="AY10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05" s="30">
        <f>IFERROR(VLOOKUP(Tabla145[[#This Row],[Llave]],Hoja2!B:K,10,FALSE),0)</f>
        <v>0.76571666666666705</v>
      </c>
      <c r="BA105" s="30">
        <f>IF(Tabla145[[#This Row],[Ajuste precio IC]]="",Tabla145[[#This Row],[Precio ponderado]],Tabla145[[#This Row],[Precio ponderado]])</f>
        <v>0</v>
      </c>
      <c r="BB105" s="82"/>
      <c r="BC105" s="82" t="str">
        <f>IF(AND(Tabla145[[#This Row],[Atraso a facturar]]&gt;0,Tabla145[[#This Row],[Precio Atraso]]=0),"Revisar","OK")</f>
        <v>OK</v>
      </c>
      <c r="BD105" s="82" t="str">
        <f>IF(AND(Tabla145[[#This Row],[Venta del mes]]&gt;0,Tabla145[[#This Row],[Precio venta nueva]]=0),"Revisar","OK")</f>
        <v>OK</v>
      </c>
      <c r="BE105" s="20">
        <f>IFERROR(VLOOKUP(Tabla145[[#This Row],[Llave]],'[5]Consolidación planes'!$A:$M,9,FALSE),0)</f>
        <v>22000</v>
      </c>
      <c r="BF105" s="20">
        <f>IFERROR(VLOOKUP(Tabla145[[#This Row],[Llave]],'[5]Consolidación planes'!$A:$M,10,FALSE),0)</f>
        <v>24000</v>
      </c>
      <c r="BG105" s="20">
        <f>IFERROR(VLOOKUP(Tabla145[[#This Row],[Llave]],'[5]Consolidación planes'!$A:$M,11,FALSE),0)</f>
        <v>22000</v>
      </c>
      <c r="BH105" s="20">
        <f>IFERROR(VLOOKUP(Tabla145[[#This Row],[Llave]],'[5]Consolidación planes'!$A:$M,12,FALSE),0)</f>
        <v>48000</v>
      </c>
      <c r="BI105" s="20">
        <f>IFERROR(VLOOKUP(Tabla145[[#This Row],[Llave]],'[5]Consolidación planes'!$A:$M,13,FALSE),0)</f>
        <v>24000</v>
      </c>
      <c r="BJ105" s="20">
        <f>IFERROR(VLOOKUP(Tabla145[[#This Row],[Llave]],'[13]Base ultimos planes'!$A:$M,13,FALSE),0)</f>
        <v>48000</v>
      </c>
      <c r="BK105" s="80">
        <f>IFERROR(VLOOKUP(Tabla145[[#This Row],[Llave]],'[13]Base ultimos planes'!$O:$AA,8,FALSE),0)</f>
        <v>16376.75</v>
      </c>
      <c r="BL105" s="20">
        <f>IFERROR(VLOOKUP(Tabla145[[#This Row],[Llave]],'[13]Base ultimos planes'!$O:$AA,9,FALSE),0)</f>
        <v>16800</v>
      </c>
      <c r="BM105" s="20">
        <f>IFERROR(VLOOKUP(Tabla145[[#This Row],[Llave]],'[13]Base ultimos planes'!$O:$AA,10,FALSE),0)</f>
        <v>14667</v>
      </c>
      <c r="BN105" s="20">
        <f>IFERROR(VLOOKUP(Tabla145[[#This Row],[Llave]],'[13]Base ultimos planes'!$O:$AA,11,FALSE),0)</f>
        <v>35843</v>
      </c>
      <c r="BO105" s="20">
        <f>IFERROR(VLOOKUP(Tabla145[[#This Row],[Llave]],'[13]Base ultimos planes'!$O:$AA,12,FALSE),0)</f>
        <v>17322</v>
      </c>
      <c r="BP105" s="20">
        <f>IFERROR(VLOOKUP(Tabla145[[#This Row],[Llave]],'[13]Base ultimos planes'!$O:$AA,13,FALSE),0)</f>
        <v>40800</v>
      </c>
      <c r="BQ105" s="20"/>
      <c r="BR105" s="20">
        <f>Tabla145[[#This Row],[ RV Producción mes n+1]]*(1-Tabla145[[#This Row],[% Uti. producción]])</f>
        <v>2714.0280160763396</v>
      </c>
      <c r="BS105" s="20">
        <f>+Tabla145[[#This Row],[Producción disponible mes n-1]]+Tabla145[[#This Row],[Saldo Volumen disponible]]</f>
        <v>23295.000000000004</v>
      </c>
      <c r="BT105" s="7">
        <f>IFERROR(VLOOKUP(Tabla145[[#This Row],[Llave]],'[21]RV n+2 y n+3'!$B:$F,4,FALSE),0)</f>
        <v>8689.0955000000013</v>
      </c>
      <c r="BU105" s="7">
        <f>+Tabla145[[#This Row],[Asignación mes n+2]]*Tabla145[[#This Row],[% Uti. producción]]</f>
        <v>3972.6057757274307</v>
      </c>
      <c r="BV105" s="7">
        <f>+Tabla145[[#This Row],[Ponderación mes n+2]]+Tabla145[[#This Row],[Saldo mes n-1]]</f>
        <v>27267.605775727436</v>
      </c>
      <c r="BW105" s="7">
        <f>+Tabla145[[#This Row],[Asignación mes n+2]]-Tabla145[[#This Row],[Ponderación mes n+2]]</f>
        <v>4716.489724272571</v>
      </c>
      <c r="BX105" s="7">
        <f>IFERROR(VLOOKUP(Tabla145[[#This Row],[Llave]],'[21]RV n+2 y n+3'!$B:$F,5,FALSE),0)</f>
        <v>27022.032499999998</v>
      </c>
      <c r="BY105" s="7">
        <f>+Tabla145[[#This Row],[Asignación mes n+3]]*Tabla145[[#This Row],[% Uti. producción]]</f>
        <v>12354.321848734926</v>
      </c>
      <c r="BZ105" s="3">
        <f>+Tabla145[[#This Row],[Ponderación mes n+3]]+Tabla145[[#This Row],[Saldo mes n+2]]</f>
        <v>17070.811573007497</v>
      </c>
      <c r="CA105" s="3">
        <f>+Tabla145[[#This Row],[Asignación mes n+3]]-Tabla145[[#This Row],[Ponderación mes n+3]]</f>
        <v>14667.710651265072</v>
      </c>
      <c r="CB105" s="3">
        <f>+Tabla145[[#This Row],[Producción disponible mes n-1]]+Tabla145[[#This Row],[Producción disponible]]</f>
        <v>5000</v>
      </c>
      <c r="CC105" s="3">
        <f>+Tabla145[[#This Row],[Saldo mes n+4]]-Tabla145[[#This Row],[ RV Producción mes n+1]]</f>
        <v>0</v>
      </c>
    </row>
    <row r="106" spans="1:81" ht="16" x14ac:dyDescent="0.2">
      <c r="A106">
        <v>1</v>
      </c>
      <c r="B106" t="str">
        <f>Tabla145[[#This Row],[Oficina]]&amp;Tabla145[[#This Row],[Material]]</f>
        <v>Agrosuper Asia1023326</v>
      </c>
      <c r="C106" t="s">
        <v>6</v>
      </c>
      <c r="D106" t="s">
        <v>173</v>
      </c>
      <c r="E106">
        <v>1023326</v>
      </c>
      <c r="F106" t="s">
        <v>298</v>
      </c>
      <c r="G106" t="s">
        <v>76</v>
      </c>
      <c r="H106" t="s">
        <v>84</v>
      </c>
      <c r="I106" s="7">
        <f>IFERROR(VLOOKUP(Tabla145[[#This Row],[Llave]],'[7]RV Producción'!$C:$G,5,FALSE),0)</f>
        <v>48000</v>
      </c>
      <c r="J106" s="3">
        <f>IFERROR(IF(Tabla145[[#This Row],[Oficina]]=$I$7,VLOOKUP(Tabla145[[#This Row],[Llave]],'[7]Shangai (Tomas)'!$A:$F,6,FALSE),VLOOKUP(Tabla145[[#This Row],[Llave]],'[7]RV plan de ventas'!$A:$E,5,FALSE)),0)</f>
        <v>48000</v>
      </c>
      <c r="K106" s="8">
        <f>IFERROR(VLOOKUP(Tabla145[[#This Row],[Oficina]],[15]Ponderación!$B$2:$E$9,4,FALSE),0)</f>
        <v>0.45719439678473212</v>
      </c>
      <c r="L106" s="7">
        <f>+Tabla145[[#This Row],[ RV Producción mes n+1]]*Tabla145[[#This Row],[% Uti. producción]]</f>
        <v>21945.331045667142</v>
      </c>
      <c r="M106" s="7">
        <f>IFERROR(VLOOKUP(Tabla145[[#This Row],[Material]],[16]Stock!$G:$K,5,FALSE),0)</f>
        <v>19330</v>
      </c>
      <c r="N106" s="7">
        <f>IFERROR(VLOOKUP(Tabla145[[#This Row],[Material]],[16]Produccion!$M:$N,2,FALSE),0)</f>
        <v>10805</v>
      </c>
      <c r="O106" s="7">
        <f>IFERROR(VLOOKUP(Tabla145[[#This Row],[Llave]],'[16]TD Conf-AP'!$I:$M,4,FALSE),0)</f>
        <v>0</v>
      </c>
      <c r="P106" s="14">
        <f>SUM(Tabla145[[#This Row],[Producción disponible]],Tabla145[[#This Row],[Stock al día]],(Tabla145[[#This Row],[Por producir mes N]]*0.9))-Tabla145[[#This Row],[Producción por despachar mes N]]</f>
        <v>50999.831045667146</v>
      </c>
      <c r="Q106" s="7">
        <f>IFERROR(VLOOKUP(Tabla145[[#This Row],[Llave]],[17]DELAY!$A:$D,4,FALSE),0)</f>
        <v>48000</v>
      </c>
      <c r="R106" s="9">
        <v>24000</v>
      </c>
      <c r="S106" s="5">
        <f t="shared" si="6"/>
        <v>48000</v>
      </c>
      <c r="T106" s="76">
        <v>0</v>
      </c>
      <c r="U106" s="5">
        <f>+Tabla145[[#This Row],[Atraso a facturar]]+Tabla145[[#This Row],[Ajuste atraso]]</f>
        <v>48000</v>
      </c>
      <c r="V106" s="3">
        <f>+Tabla145[[#This Row],[Total disponible]]-Tabla145[[#This Row],[Facturación atraso]]</f>
        <v>2999.8310456671461</v>
      </c>
      <c r="W106" s="6">
        <f>IFERROR(IF(AND(V106&gt;R106,J106&gt;=R106),ROUNDDOWN((Tabla145[[#This Row],[Producción para venta nueva]])/R106,0)*R106,0),0)</f>
        <v>0</v>
      </c>
      <c r="X106" s="76">
        <v>0</v>
      </c>
      <c r="Y106" s="6">
        <f>IF(Tabla145[[#This Row],[Venta del mes]]&gt;0,Tabla145[[#This Row],[Venta del mes]]+Tabla145[[#This Row],[Ajuste venta nueva]],0)</f>
        <v>0</v>
      </c>
      <c r="Z106" s="6">
        <f>+Tabla145[[#This Row],[Producción para venta nueva]]-Tabla145[[#This Row],[Facturación Venta nueva]]</f>
        <v>2999.8310456671461</v>
      </c>
      <c r="AA106" s="6">
        <f>IF(AND(A106=1,Tabla145[[#This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6" s="6">
        <v>0</v>
      </c>
      <c r="AC106" s="6">
        <f>IF(Tabla145[[#This Row],[Disponible stock sin venta]]&gt;0,Tabla145[[#This Row],[Disponible stock sin venta]]+Tabla145[[#This Row],[Ajuste stock sin venta]],0)</f>
        <v>0</v>
      </c>
      <c r="AD106" s="3">
        <f>IFERROR(VLOOKUP(Tabla145[[#This Row],[Llave]],'[16]TD Puerto'!$A:$D,4,FALSE),0)</f>
        <v>0</v>
      </c>
      <c r="AE106" s="3">
        <v>48000</v>
      </c>
      <c r="AF106" s="3">
        <f>+Tabla145[[#This Row],[Plan Irrestricto Inicial]]</f>
        <v>48000</v>
      </c>
      <c r="AG106" s="3">
        <f>+Tabla145[[#This Row],[En puerto a facturar]]</f>
        <v>0</v>
      </c>
      <c r="AH106" s="3">
        <f>+Tabla145[[#This Row],[Facturación atraso]]</f>
        <v>48000</v>
      </c>
      <c r="AI106" s="3">
        <f>+Tabla145[[#This Row],[Plan Irrestricto]]-Tabla145[[#This Row],[Puerto ]]-Tabla145[[#This Row],[Atraso]]</f>
        <v>0</v>
      </c>
      <c r="AJ106" s="3">
        <f>IF(Tabla145[[#This Row],[Plan Irrestricto]]&gt;0,SUM(Tabla145[[#This Row],[Facturación atraso]],Tabla145[[#This Row],[Facturación Venta nueva]],Tabla145[[#This Row],[Facturación stock]],Tabla145[[#This Row],[En puerto a facturar]]),0)</f>
        <v>48000</v>
      </c>
      <c r="AK106" s="3">
        <f>+Tabla145[[#This Row],[Facturación atraso]]</f>
        <v>48000</v>
      </c>
      <c r="AL106" s="3">
        <f>+Tabla145[[#This Row],[Plan Ajustado]]-Tabla145[[#This Row],[ Atraso ajustado]]-Tabla145[[#This Row],[Puerto ]]</f>
        <v>0</v>
      </c>
      <c r="AM106" s="6">
        <f>IFERROR(VLOOKUP(Tabla145[[#This Row],[Llave]],[18]!Tabla14[#All],34,FALSE),0)</f>
        <v>0</v>
      </c>
      <c r="AN106" s="6">
        <f>IFERROR(VLOOKUP(Tabla145[[#This Row],[Llave]],[18]!Tabla14[#All],35,FALSE),0)</f>
        <v>0</v>
      </c>
      <c r="AO106" s="3" t="str">
        <f>IF(Tabla145[[#This Row],[Plan Ajustado]]&gt;Tabla145[[#This Row],[En puerto a facturar]],"Si","No")</f>
        <v>Si</v>
      </c>
      <c r="AP106" s="3">
        <f>IF(AND(Tabla145[[#This Row],[Plan Ajustado]]&gt;0,Tabla145[[#This Row],[Plan Ajustado]]&gt;Tabla145[[#This Row],[En puerto a facturar]]),(Tabla145[[#This Row],[Plan Ajustado]]-Tabla145[[#This Row],[En puerto a facturar]]),0)</f>
        <v>48000</v>
      </c>
      <c r="AQ106" s="3">
        <f>IF(Tabla145[[#This Row],[Necesidad]]&gt;=Tabla145[[#This Row],[Stock al día]],Tabla145[[#This Row],[Stock al día]],Tabla145[[#This Row],[Necesidad]])</f>
        <v>19330</v>
      </c>
      <c r="AR106" s="3">
        <f>+Tabla145[[#This Row],[Necesidad]]-Tabla145[[#This Row],[Stock Plan]]</f>
        <v>28670</v>
      </c>
      <c r="AS106" s="155">
        <f>IFERROR(VLOOKUP(Tabla145[[#This Row],[Oficina]],[19]Ponderación!$B$14:$E$21,4,FALSE),"")</f>
        <v>44786</v>
      </c>
      <c r="AT10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0.72</v>
      </c>
      <c r="AU106" s="83">
        <f>IFERROR(VLOOKUP(Tabla145[[#This Row],[Llave]],[17]DELAY!$H:$W,16,FALSE),0)</f>
        <v>0.95</v>
      </c>
      <c r="AV10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0.95</v>
      </c>
      <c r="AW106" s="5">
        <f>Tabla145[[#This Row],[Ajuste precio IC]]*Tabla145[[#This Row],[Plan Ajustado]]</f>
        <v>45600</v>
      </c>
      <c r="AX106" s="30">
        <f>IFERROR(VLOOKUP(Tabla145[[#This Row],[Llave]],'[13]Ultimos precios facturados'!$A:$G,7,FALSE),0)</f>
        <v>0.79162784757732074</v>
      </c>
      <c r="AY10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0.200058844452425</v>
      </c>
      <c r="AZ106" s="30">
        <f>IFERROR(VLOOKUP(Tabla145[[#This Row],[Llave]],Hoja2!B:K,10,FALSE),0)</f>
        <v>0.95</v>
      </c>
      <c r="BA106" s="30">
        <f>IF(Tabla145[[#This Row],[Ajuste precio IC]]="",Tabla145[[#This Row],[Precio ponderado]],Tabla145[[#This Row],[Precio ponderado]])</f>
        <v>0.95</v>
      </c>
      <c r="BB106" s="82"/>
      <c r="BC106" s="82" t="str">
        <f>IF(AND(Tabla145[[#This Row],[Atraso a facturar]]&gt;0,Tabla145[[#This Row],[Precio Atraso]]=0),"Revisar","OK")</f>
        <v>OK</v>
      </c>
      <c r="BD106" s="82" t="str">
        <f>IF(AND(Tabla145[[#This Row],[Venta del mes]]&gt;0,Tabla145[[#This Row],[Precio venta nueva]]=0),"Revisar","OK")</f>
        <v>OK</v>
      </c>
      <c r="BE106" s="20">
        <f>IFERROR(VLOOKUP(Tabla145[[#This Row],[Llave]],'[5]Consolidación planes'!$A:$M,9,FALSE),0)</f>
        <v>0</v>
      </c>
      <c r="BF106" s="20">
        <f>IFERROR(VLOOKUP(Tabla145[[#This Row],[Llave]],'[5]Consolidación planes'!$A:$M,10,FALSE),0)</f>
        <v>0</v>
      </c>
      <c r="BG106" s="20">
        <f>IFERROR(VLOOKUP(Tabla145[[#This Row],[Llave]],'[5]Consolidación planes'!$A:$M,11,FALSE),0)</f>
        <v>44000</v>
      </c>
      <c r="BH106" s="20">
        <f>IFERROR(VLOOKUP(Tabla145[[#This Row],[Llave]],'[5]Consolidación planes'!$A:$M,12,FALSE),0)</f>
        <v>48000</v>
      </c>
      <c r="BI106" s="20">
        <f>IFERROR(VLOOKUP(Tabla145[[#This Row],[Llave]],'[5]Consolidación planes'!$A:$M,13,FALSE),0)</f>
        <v>48003</v>
      </c>
      <c r="BJ106" s="20">
        <f>IFERROR(VLOOKUP(Tabla145[[#This Row],[Llave]],'[13]Base ultimos planes'!$A:$M,13,FALSE),0)</f>
        <v>48000</v>
      </c>
      <c r="BK106" s="80">
        <f>IFERROR(VLOOKUP(Tabla145[[#This Row],[Llave]],'[13]Base ultimos planes'!$O:$AA,8,FALSE),0)</f>
        <v>0</v>
      </c>
      <c r="BL106" s="20">
        <f>IFERROR(VLOOKUP(Tabla145[[#This Row],[Llave]],'[13]Base ultimos planes'!$O:$AA,9,FALSE),0)</f>
        <v>0</v>
      </c>
      <c r="BM106" s="20">
        <f>IFERROR(VLOOKUP(Tabla145[[#This Row],[Llave]],'[13]Base ultimos planes'!$O:$AA,10,FALSE),0)</f>
        <v>35200</v>
      </c>
      <c r="BN106" s="20">
        <f>IFERROR(VLOOKUP(Tabla145[[#This Row],[Llave]],'[13]Base ultimos planes'!$O:$AA,11,FALSE),0)</f>
        <v>45600</v>
      </c>
      <c r="BO106" s="20">
        <f>IFERROR(VLOOKUP(Tabla145[[#This Row],[Llave]],'[13]Base ultimos planes'!$O:$AA,12,FALSE),0)</f>
        <v>37999</v>
      </c>
      <c r="BP106" s="20">
        <f>IFERROR(VLOOKUP(Tabla145[[#This Row],[Llave]],'[13]Base ultimos planes'!$O:$AA,13,FALSE),0)</f>
        <v>39917</v>
      </c>
      <c r="BQ106" s="20"/>
      <c r="BR106" s="20">
        <f>Tabla145[[#This Row],[ RV Producción mes n+1]]*(1-Tabla145[[#This Row],[% Uti. producción]])</f>
        <v>26054.668954332861</v>
      </c>
      <c r="BS106" s="20">
        <f>+Tabla145[[#This Row],[Producción disponible mes n-1]]+Tabla145[[#This Row],[Saldo Volumen disponible]]</f>
        <v>29054.500000000007</v>
      </c>
      <c r="BT106" s="7">
        <f>IFERROR(VLOOKUP(Tabla145[[#This Row],[Llave]],'[21]RV n+2 y n+3'!$B:$F,4,FALSE),0)</f>
        <v>22495.654999999999</v>
      </c>
      <c r="BU106" s="7">
        <f>+Tabla145[[#This Row],[Asignación mes n+2]]*Tabla145[[#This Row],[% Uti. producción]]</f>
        <v>10284.887418002443</v>
      </c>
      <c r="BV106" s="7">
        <f>+Tabla145[[#This Row],[Ponderación mes n+2]]+Tabla145[[#This Row],[Saldo mes n-1]]</f>
        <v>39339.38741800245</v>
      </c>
      <c r="BW106" s="7">
        <f>+Tabla145[[#This Row],[Asignación mes n+2]]-Tabla145[[#This Row],[Ponderación mes n+2]]</f>
        <v>12210.767581997556</v>
      </c>
      <c r="BX106" s="7">
        <f>IFERROR(VLOOKUP(Tabla145[[#This Row],[Llave]],'[21]RV n+2 y n+3'!$B:$F,5,FALSE),0)</f>
        <v>0</v>
      </c>
      <c r="BY106" s="7">
        <f>+Tabla145[[#This Row],[Asignación mes n+3]]*Tabla145[[#This Row],[% Uti. producción]]</f>
        <v>0</v>
      </c>
      <c r="BZ106" s="3">
        <f>+Tabla145[[#This Row],[Ponderación mes n+3]]+Tabla145[[#This Row],[Saldo mes n+2]]</f>
        <v>12210.767581997556</v>
      </c>
      <c r="CA106" s="3">
        <f>+Tabla145[[#This Row],[Asignación mes n+3]]-Tabla145[[#This Row],[Ponderación mes n+3]]</f>
        <v>0</v>
      </c>
      <c r="CB106" s="3">
        <f>+Tabla145[[#This Row],[Producción disponible mes n-1]]+Tabla145[[#This Row],[Producción disponible]]</f>
        <v>48000</v>
      </c>
      <c r="CC106" s="3">
        <f>+Tabla145[[#This Row],[Saldo mes n+4]]-Tabla145[[#This Row],[ RV Producción mes n+1]]</f>
        <v>0</v>
      </c>
    </row>
    <row r="107" spans="1:81" ht="16" x14ac:dyDescent="0.2">
      <c r="A107">
        <v>2</v>
      </c>
      <c r="B107" t="str">
        <f>Tabla145[[#This Row],[Oficina]]&amp;Tabla145[[#This Row],[Material]]</f>
        <v>Agrosuper Brasil1021864</v>
      </c>
      <c r="C107" t="s">
        <v>6</v>
      </c>
      <c r="D107" t="s">
        <v>7</v>
      </c>
      <c r="E107">
        <v>1021864</v>
      </c>
      <c r="F107" t="s">
        <v>10</v>
      </c>
      <c r="G107" t="s">
        <v>8</v>
      </c>
      <c r="H107" t="s">
        <v>9</v>
      </c>
      <c r="I107" s="7">
        <f>IFERROR(VLOOKUP(Tabla145[[#This Row],[Llave]],'[7]RV Producción'!$C:$G,5,FALSE),0)</f>
        <v>72187</v>
      </c>
      <c r="J107" s="3">
        <f>IFERROR(IF(Tabla145[[#This Row],[Oficina]]=$I$7,VLOOKUP(Tabla145[[#This Row],[Llave]],'[7]Shangai (Tomas)'!$A:$F,6,FALSE),VLOOKUP(Tabla145[[#This Row],[Llave]],'[7]RV plan de ventas'!$A:$E,5,FALSE)),0)</f>
        <v>0</v>
      </c>
      <c r="K107" s="8">
        <f>IFERROR(VLOOKUP(Tabla145[[#This Row],[Oficina]],[15]Ponderación!$B$2:$E$9,4,FALSE),0)</f>
        <v>0.81420840482290169</v>
      </c>
      <c r="L107" s="7">
        <f>+Tabla145[[#This Row],[ RV Producción mes n+1]]*Tabla145[[#This Row],[% Uti. producción]]</f>
        <v>58775.262118950806</v>
      </c>
      <c r="M107" s="7">
        <f>IFERROR(VLOOKUP(Tabla145[[#This Row],[Material]],[16]Stock!$G:$K,5,FALSE),0)</f>
        <v>47845</v>
      </c>
      <c r="N107" s="7">
        <f>IFERROR(VLOOKUP(Tabla145[[#This Row],[Material]],[16]Produccion!$M:$N,2,FALSE),0)</f>
        <v>0</v>
      </c>
      <c r="O107" s="7">
        <f>IFERROR(VLOOKUP(Tabla145[[#This Row],[Llave]],'[16]TD Conf-AP'!$I:$M,4,FALSE),0)</f>
        <v>0</v>
      </c>
      <c r="P107" s="14">
        <f>SUM(Tabla145[[#This Row],[Producción disponible]],Tabla145[[#This Row],[Stock al día]],(Tabla145[[#This Row],[Por producir mes N]]*0.9))-Tabla145[[#This Row],[Producción por despachar mes N]]</f>
        <v>106620.26211895081</v>
      </c>
      <c r="Q107" s="7">
        <f>IFERROR(VLOOKUP(Tabla145[[#This Row],[Llave]],[17]DELAY!$A:$D,4,FALSE),0)</f>
        <v>72000</v>
      </c>
      <c r="R107" s="9">
        <v>24000</v>
      </c>
      <c r="S107" s="5">
        <f t="shared" si="6"/>
        <v>72000</v>
      </c>
      <c r="T107" s="76">
        <v>0</v>
      </c>
      <c r="U107" s="5">
        <f>+Tabla145[[#This Row],[Atraso a facturar]]+Tabla145[[#This Row],[Ajuste atraso]]</f>
        <v>72000</v>
      </c>
      <c r="V107" s="3">
        <f>+Tabla145[[#This Row],[Total disponible]]-Tabla145[[#This Row],[Facturación atraso]]</f>
        <v>34620.262118950806</v>
      </c>
      <c r="W107" s="6">
        <f>IFERROR(IF(AND(V107&gt;R107,J107&gt;=R107),ROUNDDOWN((Tabla145[[#This Row],[Producción para venta nueva]])/R107,0)*R107,0),0)</f>
        <v>0</v>
      </c>
      <c r="X107" s="76">
        <v>0</v>
      </c>
      <c r="Y107" s="6">
        <f>IF(Tabla145[[#This Row],[Venta del mes]]&gt;0,Tabla145[[#This Row],[Venta del mes]]+Tabla145[[#This Row],[Ajuste venta nueva]],0)</f>
        <v>0</v>
      </c>
      <c r="Z107" s="6">
        <f>+Tabla145[[#This Row],[Producción para venta nueva]]-Tabla145[[#This Row],[Facturación Venta nueva]]</f>
        <v>34620.262118950806</v>
      </c>
      <c r="AA107" s="6">
        <f>IF(AND(A107=1,Tabla145[[#This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7" s="6">
        <v>0</v>
      </c>
      <c r="AC107" s="6">
        <f>IF(Tabla145[[#This Row],[Disponible stock sin venta]]&gt;0,Tabla145[[#This Row],[Disponible stock sin venta]]+Tabla145[[#This Row],[Ajuste stock sin venta]],0)</f>
        <v>0</v>
      </c>
      <c r="AD107" s="3">
        <f>IFERROR(VLOOKUP(Tabla145[[#This Row],[Llave]],'[16]TD Puerto'!$A:$D,4,FALSE),0)</f>
        <v>0</v>
      </c>
      <c r="AE107" s="3">
        <v>72000</v>
      </c>
      <c r="AF107" s="3">
        <f>+Tabla145[[#This Row],[Plan Irrestricto Inicial]]</f>
        <v>72000</v>
      </c>
      <c r="AG107" s="3">
        <f>+Tabla145[[#This Row],[En puerto a facturar]]</f>
        <v>0</v>
      </c>
      <c r="AH107" s="3">
        <f>+Tabla145[[#This Row],[Facturación atraso]]</f>
        <v>72000</v>
      </c>
      <c r="AI107" s="3">
        <f>+Tabla145[[#This Row],[Plan Irrestricto]]-Tabla145[[#This Row],[Puerto ]]-Tabla145[[#This Row],[Atraso]]</f>
        <v>0</v>
      </c>
      <c r="AJ107" s="3">
        <f>IF(Tabla145[[#This Row],[Plan Irrestricto]]&gt;0,SUM(Tabla145[[#This Row],[Facturación atraso]],Tabla145[[#This Row],[Facturación Venta nueva]],Tabla145[[#This Row],[Facturación stock]],Tabla145[[#This Row],[En puerto a facturar]]),0)</f>
        <v>72000</v>
      </c>
      <c r="AK107" s="3">
        <f>+Tabla145[[#This Row],[Facturación atraso]]</f>
        <v>72000</v>
      </c>
      <c r="AL107" s="3">
        <f>+Tabla145[[#This Row],[Plan Ajustado]]-Tabla145[[#This Row],[ Atraso ajustado]]-Tabla145[[#This Row],[Puerto ]]</f>
        <v>0</v>
      </c>
      <c r="AM107" s="6">
        <f>IFERROR(VLOOKUP(Tabla145[[#This Row],[Llave]],[18]!Tabla14[#All],34,FALSE),0)</f>
        <v>0</v>
      </c>
      <c r="AN107" s="6">
        <f>IFERROR(VLOOKUP(Tabla145[[#This Row],[Llave]],[18]!Tabla14[#All],35,FALSE),0)</f>
        <v>0</v>
      </c>
      <c r="AO107" s="3" t="str">
        <f>IF(Tabla145[[#This Row],[Plan Ajustado]]&gt;Tabla145[[#This Row],[En puerto a facturar]],"Si","No")</f>
        <v>Si</v>
      </c>
      <c r="AP107" s="3">
        <f>IF(AND(Tabla145[[#This Row],[Plan Ajustado]]&gt;0,Tabla145[[#This Row],[Plan Ajustado]]&gt;Tabla145[[#This Row],[En puerto a facturar]]),(Tabla145[[#This Row],[Plan Ajustado]]-Tabla145[[#This Row],[En puerto a facturar]]),0)</f>
        <v>72000</v>
      </c>
      <c r="AQ107" s="3">
        <f>IF(Tabla145[[#This Row],[Necesidad]]&gt;=Tabla145[[#This Row],[Stock al día]],Tabla145[[#This Row],[Stock al día]],Tabla145[[#This Row],[Necesidad]])</f>
        <v>47845</v>
      </c>
      <c r="AR107" s="3">
        <f>+Tabla145[[#This Row],[Necesidad]]-Tabla145[[#This Row],[Stock Plan]]</f>
        <v>24155</v>
      </c>
      <c r="AS107" s="155">
        <f>IFERROR(VLOOKUP(Tabla145[[#This Row],[Oficina]],[19]Ponderación!$B$14:$E$21,4,FALSE),"")</f>
        <v>44798</v>
      </c>
      <c r="AT10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0.55000000000000004</v>
      </c>
      <c r="AU107" s="83">
        <f>IFERROR(VLOOKUP(Tabla145[[#This Row],[Llave]],[17]DELAY!$H:$W,16,FALSE),0)</f>
        <v>0.55000000000000004</v>
      </c>
      <c r="AV10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0.55000000000000004</v>
      </c>
      <c r="AW107" s="5">
        <f>Tabla145[[#This Row],[Ajuste precio IC]]*Tabla145[[#This Row],[Plan Ajustado]]</f>
        <v>36000</v>
      </c>
      <c r="AX107" s="30">
        <f>IFERROR(VLOOKUP(Tabla145[[#This Row],[Llave]],'[13]Ultimos precios facturados'!$A:$G,7,FALSE),0)</f>
        <v>0.55000000000000004</v>
      </c>
      <c r="AY10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</v>
      </c>
      <c r="AZ107" s="30">
        <f>IFERROR(VLOOKUP(Tabla145[[#This Row],[Llave]],Hoja2!B:K,10,FALSE),0)</f>
        <v>0.5</v>
      </c>
      <c r="BA107" s="30">
        <f>IF(Tabla145[[#This Row],[Ajuste precio IC]]="",Tabla145[[#This Row],[Precio ponderado]],Tabla145[[#This Row],[Precio ponderado]])</f>
        <v>0.55000000000000004</v>
      </c>
      <c r="BB107" s="82"/>
      <c r="BC107" s="82" t="str">
        <f>IF(AND(Tabla145[[#This Row],[Atraso a facturar]]&gt;0,Tabla145[[#This Row],[Precio Atraso]]=0),"Revisar","OK")</f>
        <v>OK</v>
      </c>
      <c r="BD107" s="82" t="str">
        <f>IF(AND(Tabla145[[#This Row],[Venta del mes]]&gt;0,Tabla145[[#This Row],[Precio venta nueva]]=0),"Revisar","OK")</f>
        <v>OK</v>
      </c>
      <c r="BE107" s="20">
        <f>IFERROR(VLOOKUP(Tabla145[[#This Row],[Llave]],'[5]Consolidación planes'!$A:$M,9,FALSE),0)</f>
        <v>48000</v>
      </c>
      <c r="BF107" s="20">
        <f>IFERROR(VLOOKUP(Tabla145[[#This Row],[Llave]],'[5]Consolidación planes'!$A:$M,10,FALSE),0)</f>
        <v>48000</v>
      </c>
      <c r="BG107" s="20">
        <f>IFERROR(VLOOKUP(Tabla145[[#This Row],[Llave]],'[5]Consolidación planes'!$A:$M,11,FALSE),0)</f>
        <v>48000</v>
      </c>
      <c r="BH107" s="20">
        <f>IFERROR(VLOOKUP(Tabla145[[#This Row],[Llave]],'[5]Consolidación planes'!$A:$M,12,FALSE),0)</f>
        <v>24000</v>
      </c>
      <c r="BI107" s="20">
        <f>IFERROR(VLOOKUP(Tabla145[[#This Row],[Llave]],'[5]Consolidación planes'!$A:$M,13,FALSE),0)</f>
        <v>48000</v>
      </c>
      <c r="BJ107" s="20">
        <f>IFERROR(VLOOKUP(Tabla145[[#This Row],[Llave]],'[13]Base ultimos planes'!$A:$M,13,FALSE),0)</f>
        <v>48000</v>
      </c>
      <c r="BK107" s="80">
        <f>IFERROR(VLOOKUP(Tabla145[[#This Row],[Llave]],'[13]Base ultimos planes'!$O:$AA,8,FALSE),0)</f>
        <v>26400</v>
      </c>
      <c r="BL107" s="20">
        <f>IFERROR(VLOOKUP(Tabla145[[#This Row],[Llave]],'[13]Base ultimos planes'!$O:$AA,9,FALSE),0)</f>
        <v>26400</v>
      </c>
      <c r="BM107" s="20">
        <f>IFERROR(VLOOKUP(Tabla145[[#This Row],[Llave]],'[13]Base ultimos planes'!$O:$AA,10,FALSE),0)</f>
        <v>26400</v>
      </c>
      <c r="BN107" s="20">
        <f>IFERROR(VLOOKUP(Tabla145[[#This Row],[Llave]],'[13]Base ultimos planes'!$O:$AA,11,FALSE),0)</f>
        <v>12000</v>
      </c>
      <c r="BO107" s="20">
        <f>IFERROR(VLOOKUP(Tabla145[[#This Row],[Llave]],'[13]Base ultimos planes'!$O:$AA,12,FALSE),0)</f>
        <v>26400</v>
      </c>
      <c r="BP107" s="20">
        <f>IFERROR(VLOOKUP(Tabla145[[#This Row],[Llave]],'[13]Base ultimos planes'!$O:$AA,13,FALSE),0)</f>
        <v>23734</v>
      </c>
      <c r="BQ107" s="20"/>
      <c r="BR107" s="20">
        <f>Tabla145[[#This Row],[ RV Producción mes n+1]]*(1-Tabla145[[#This Row],[% Uti. producción]])</f>
        <v>13411.737881049195</v>
      </c>
      <c r="BS107" s="20">
        <f>+Tabla145[[#This Row],[Producción disponible mes n-1]]+Tabla145[[#This Row],[Saldo Volumen disponible]]</f>
        <v>48032</v>
      </c>
      <c r="BT107" s="7">
        <f>IFERROR(VLOOKUP(Tabla145[[#This Row],[Llave]],'[21]RV n+2 y n+3'!$B:$F,4,FALSE),0)</f>
        <v>29161.499</v>
      </c>
      <c r="BU107" s="7">
        <f>+Tabla145[[#This Row],[Asignación mes n+2]]*Tabla145[[#This Row],[% Uti. producción]]</f>
        <v>23743.537583034642</v>
      </c>
      <c r="BV107" s="7">
        <f>+Tabla145[[#This Row],[Ponderación mes n+2]]+Tabla145[[#This Row],[Saldo mes n-1]]</f>
        <v>71775.537583034646</v>
      </c>
      <c r="BW107" s="7">
        <f>+Tabla145[[#This Row],[Asignación mes n+2]]-Tabla145[[#This Row],[Ponderación mes n+2]]</f>
        <v>5417.9614169653578</v>
      </c>
      <c r="BX107" s="7">
        <f>IFERROR(VLOOKUP(Tabla145[[#This Row],[Llave]],'[21]RV n+2 y n+3'!$B:$F,5,FALSE),0)</f>
        <v>0</v>
      </c>
      <c r="BY107" s="7">
        <f>+Tabla145[[#This Row],[Asignación mes n+3]]*Tabla145[[#This Row],[% Uti. producción]]</f>
        <v>0</v>
      </c>
      <c r="BZ107" s="3">
        <f>+Tabla145[[#This Row],[Ponderación mes n+3]]+Tabla145[[#This Row],[Saldo mes n+2]]</f>
        <v>5417.9614169653578</v>
      </c>
      <c r="CA107" s="3">
        <f>+Tabla145[[#This Row],[Asignación mes n+3]]-Tabla145[[#This Row],[Ponderación mes n+3]]</f>
        <v>0</v>
      </c>
      <c r="CB107" s="3">
        <f>+Tabla145[[#This Row],[Producción disponible mes n-1]]+Tabla145[[#This Row],[Producción disponible]]</f>
        <v>72187</v>
      </c>
      <c r="CC107" s="3">
        <f>+Tabla145[[#This Row],[Saldo mes n+4]]-Tabla145[[#This Row],[ RV Producción mes n+1]]</f>
        <v>0</v>
      </c>
    </row>
    <row r="108" spans="1:81" ht="16" x14ac:dyDescent="0.2">
      <c r="A108">
        <v>1</v>
      </c>
      <c r="B108" t="str">
        <f>Tabla145[[#This Row],[Oficina]]&amp;Tabla145[[#This Row],[Material]]</f>
        <v>Agrosuper Brasil1022217</v>
      </c>
      <c r="C108" t="s">
        <v>6</v>
      </c>
      <c r="D108" t="s">
        <v>7</v>
      </c>
      <c r="E108">
        <v>1022217</v>
      </c>
      <c r="F108" t="s">
        <v>16</v>
      </c>
      <c r="G108" t="s">
        <v>11</v>
      </c>
      <c r="H108" t="s">
        <v>15</v>
      </c>
      <c r="I108" s="7">
        <f>IFERROR(VLOOKUP(Tabla145[[#This Row],[Llave]],'[7]RV Producción'!$C:$G,5,FALSE),0)</f>
        <v>265077</v>
      </c>
      <c r="J108" s="3">
        <f>IFERROR(IF(Tabla145[[#This Row],[Oficina]]=$I$7,VLOOKUP(Tabla145[[#This Row],[Llave]],'[7]Shangai (Tomas)'!$A:$F,6,FALSE),VLOOKUP(Tabla145[[#This Row],[Llave]],'[7]RV plan de ventas'!$A:$E,5,FALSE)),0)</f>
        <v>262107</v>
      </c>
      <c r="K108" s="8">
        <f>IFERROR(VLOOKUP(Tabla145[[#This Row],[Oficina]],[15]Ponderación!$B$2:$E$9,4,FALSE),0)</f>
        <v>0.81420840482290169</v>
      </c>
      <c r="L108" s="7">
        <f>+Tabla145[[#This Row],[ RV Producción mes n+1]]*Tabla145[[#This Row],[% Uti. producción]]</f>
        <v>215827.92132524031</v>
      </c>
      <c r="M108" s="7">
        <f>IFERROR(VLOOKUP(Tabla145[[#This Row],[Material]],[16]Stock!$G:$K,5,FALSE),0)</f>
        <v>160702</v>
      </c>
      <c r="N108" s="7">
        <f>IFERROR(VLOOKUP(Tabla145[[#This Row],[Material]],[16]Produccion!$M:$N,2,FALSE),0)</f>
        <v>10362</v>
      </c>
      <c r="O108" s="7">
        <f>IFERROR(VLOOKUP(Tabla145[[#This Row],[Llave]],'[16]TD Conf-AP'!$I:$M,4,FALSE),0)</f>
        <v>24000</v>
      </c>
      <c r="P108" s="14">
        <f>SUM(Tabla145[[#This Row],[Producción disponible]],Tabla145[[#This Row],[Stock al día]],(Tabla145[[#This Row],[Por producir mes N]]*0.9))-Tabla145[[#This Row],[Producción por despachar mes N]]</f>
        <v>361855.72132524027</v>
      </c>
      <c r="Q108" s="7">
        <f>IFERROR(VLOOKUP(Tabla145[[#This Row],[Llave]],[17]DELAY!$A:$D,4,FALSE),0)</f>
        <v>144000</v>
      </c>
      <c r="R108" s="9">
        <v>24000</v>
      </c>
      <c r="S108" s="5">
        <f t="shared" si="6"/>
        <v>144000</v>
      </c>
      <c r="T108" s="76">
        <v>-48000</v>
      </c>
      <c r="U108" s="5">
        <f>+Tabla145[[#This Row],[Atraso a facturar]]+Tabla145[[#This Row],[Ajuste atraso]]</f>
        <v>96000</v>
      </c>
      <c r="V108" s="3">
        <f>+Tabla145[[#This Row],[Total disponible]]-Tabla145[[#This Row],[Facturación atraso]]</f>
        <v>265855.72132524027</v>
      </c>
      <c r="W108" s="6">
        <f>IFERROR(IF(AND(V108&gt;R108,J108&gt;=R108),ROUNDDOWN((Tabla145[[#This Row],[Producción para venta nueva]])/R108,0)*R108,0),0)</f>
        <v>264000</v>
      </c>
      <c r="X108" s="76">
        <v>-168000</v>
      </c>
      <c r="Y108" s="6">
        <f>IF(Tabla145[[#This Row],[Venta del mes]]&gt;0,Tabla145[[#This Row],[Venta del mes]]+Tabla145[[#This Row],[Ajuste venta nueva]],0)</f>
        <v>96000</v>
      </c>
      <c r="Z108" s="6">
        <f>+Tabla145[[#This Row],[Producción para venta nueva]]-Tabla145[[#This Row],[Facturación Venta nueva]]</f>
        <v>169855.72132524027</v>
      </c>
      <c r="AA108" s="6">
        <f>IF(AND(A108=1,Tabla145[[#This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8" s="6">
        <v>0</v>
      </c>
      <c r="AC108" s="6">
        <f>IF(Tabla145[[#This Row],[Disponible stock sin venta]]&gt;0,Tabla145[[#This Row],[Disponible stock sin venta]]+Tabla145[[#This Row],[Ajuste stock sin venta]],0)</f>
        <v>0</v>
      </c>
      <c r="AD108" s="3">
        <f>IFERROR(VLOOKUP(Tabla145[[#This Row],[Llave]],'[16]TD Puerto'!$A:$D,4,FALSE),0)</f>
        <v>0</v>
      </c>
      <c r="AE108" s="3">
        <v>288000</v>
      </c>
      <c r="AF108" s="3">
        <f>+Tabla145[[#This Row],[Plan Irrestricto Inicial]]</f>
        <v>288000</v>
      </c>
      <c r="AG108" s="3">
        <f>+Tabla145[[#This Row],[En puerto a facturar]]</f>
        <v>0</v>
      </c>
      <c r="AH108" s="3">
        <f>+Tabla145[[#This Row],[Facturación atraso]]</f>
        <v>96000</v>
      </c>
      <c r="AI108" s="3">
        <f>+Tabla145[[#This Row],[Plan Irrestricto]]-Tabla145[[#This Row],[Puerto ]]-Tabla145[[#This Row],[Atraso]]</f>
        <v>192000</v>
      </c>
      <c r="AJ108" s="3">
        <f>IF(Tabla145[[#This Row],[Plan Irrestricto]]&gt;0,SUM(Tabla145[[#This Row],[Facturación atraso]],Tabla145[[#This Row],[Facturación Venta nueva]],Tabla145[[#This Row],[Facturación stock]],Tabla145[[#This Row],[En puerto a facturar]]),0)</f>
        <v>192000</v>
      </c>
      <c r="AK108" s="3">
        <f>+Tabla145[[#This Row],[Facturación atraso]]</f>
        <v>96000</v>
      </c>
      <c r="AL108" s="3">
        <f>+Tabla145[[#This Row],[Plan Ajustado]]-Tabla145[[#This Row],[ Atraso ajustado]]-Tabla145[[#This Row],[Puerto ]]</f>
        <v>96000</v>
      </c>
      <c r="AM108" s="6">
        <f>IFERROR(VLOOKUP(Tabla145[[#This Row],[Llave]],[18]!Tabla14[#All],34,FALSE),0)</f>
        <v>0</v>
      </c>
      <c r="AN108" s="6">
        <f>IFERROR(VLOOKUP(Tabla145[[#This Row],[Llave]],[18]!Tabla14[#All],35,FALSE),0)</f>
        <v>0</v>
      </c>
      <c r="AO108" s="3" t="str">
        <f>IF(Tabla145[[#This Row],[Plan Ajustado]]&gt;Tabla145[[#This Row],[En puerto a facturar]],"Si","No")</f>
        <v>Si</v>
      </c>
      <c r="AP108" s="3">
        <f>IF(AND(Tabla145[[#This Row],[Plan Ajustado]]&gt;0,Tabla145[[#This Row],[Plan Ajustado]]&gt;Tabla145[[#This Row],[En puerto a facturar]]),(Tabla145[[#This Row],[Plan Ajustado]]-Tabla145[[#This Row],[En puerto a facturar]]),0)</f>
        <v>192000</v>
      </c>
      <c r="AQ108" s="3">
        <f>IF(Tabla145[[#This Row],[Necesidad]]&gt;=Tabla145[[#This Row],[Stock al día]],Tabla145[[#This Row],[Stock al día]],Tabla145[[#This Row],[Necesidad]])</f>
        <v>160702</v>
      </c>
      <c r="AR108" s="3">
        <f>+Tabla145[[#This Row],[Necesidad]]-Tabla145[[#This Row],[Stock Plan]]</f>
        <v>31298</v>
      </c>
      <c r="AS108" s="155">
        <f>IFERROR(VLOOKUP(Tabla145[[#This Row],[Oficina]],[19]Ponderación!$B$14:$E$21,4,FALSE),"")</f>
        <v>44798</v>
      </c>
      <c r="AT10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1.69999656628781</v>
      </c>
      <c r="AU108" s="83">
        <f>IFERROR(VLOOKUP(Tabla145[[#This Row],[Llave]],[17]DELAY!$H:$W,16,FALSE),0)</f>
        <v>1.6190464173611101</v>
      </c>
      <c r="AV10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1.6595214918244601</v>
      </c>
      <c r="AW108" s="5">
        <f>Tabla145[[#This Row],[Ajuste precio IC]]*Tabla145[[#This Row],[Plan Ajustado]]</f>
        <v>288000</v>
      </c>
      <c r="AX108" s="30">
        <f>IFERROR(VLOOKUP(Tabla145[[#This Row],[Llave]],'[13]Ultimos precios facturados'!$A:$G,7,FALSE),0)</f>
        <v>1.5892208235126042</v>
      </c>
      <c r="AY10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4.4235934535813946E-2</v>
      </c>
      <c r="AZ108" s="30">
        <f>IFERROR(VLOOKUP(Tabla145[[#This Row],[Llave]],Hoja2!B:K,10,FALSE),0)</f>
        <v>1.5</v>
      </c>
      <c r="BA108" s="30">
        <f>IF(Tabla145[[#This Row],[Ajuste precio IC]]="",Tabla145[[#This Row],[Precio ponderado]],Tabla145[[#This Row],[Precio ponderado]])</f>
        <v>1.6595214918244601</v>
      </c>
      <c r="BB108" s="82"/>
      <c r="BC108" s="82" t="str">
        <f>IF(AND(Tabla145[[#This Row],[Atraso a facturar]]&gt;0,Tabla145[[#This Row],[Precio Atraso]]=0),"Revisar","OK")</f>
        <v>OK</v>
      </c>
      <c r="BD108" s="82" t="str">
        <f>IF(AND(Tabla145[[#This Row],[Venta del mes]]&gt;0,Tabla145[[#This Row],[Precio venta nueva]]=0),"Revisar","OK")</f>
        <v>OK</v>
      </c>
      <c r="BE108" s="20">
        <f>IFERROR(VLOOKUP(Tabla145[[#This Row],[Llave]],'[5]Consolidación planes'!$A:$M,9,FALSE),0)</f>
        <v>96000</v>
      </c>
      <c r="BF108" s="20">
        <f>IFERROR(VLOOKUP(Tabla145[[#This Row],[Llave]],'[5]Consolidación planes'!$A:$M,10,FALSE),0)</f>
        <v>47994</v>
      </c>
      <c r="BG108" s="20">
        <f>IFERROR(VLOOKUP(Tabla145[[#This Row],[Llave]],'[5]Consolidación planes'!$A:$M,11,FALSE),0)</f>
        <v>72000</v>
      </c>
      <c r="BH108" s="20">
        <f>IFERROR(VLOOKUP(Tabla145[[#This Row],[Llave]],'[5]Consolidación planes'!$A:$M,12,FALSE),0)</f>
        <v>264000</v>
      </c>
      <c r="BI108" s="20">
        <f>IFERROR(VLOOKUP(Tabla145[[#This Row],[Llave]],'[5]Consolidación planes'!$A:$M,13,FALSE),0)</f>
        <v>168000</v>
      </c>
      <c r="BJ108" s="20">
        <f>IFERROR(VLOOKUP(Tabla145[[#This Row],[Llave]],'[13]Base ultimos planes'!$A:$M,13,FALSE),0)</f>
        <v>216000</v>
      </c>
      <c r="BK108" s="80">
        <f>IFERROR(VLOOKUP(Tabla145[[#This Row],[Llave]],'[13]Base ultimos planes'!$O:$AA,8,FALSE),0)</f>
        <v>153600</v>
      </c>
      <c r="BL108" s="20">
        <f>IFERROR(VLOOKUP(Tabla145[[#This Row],[Llave]],'[13]Base ultimos planes'!$O:$AA,9,FALSE),0)</f>
        <v>64392</v>
      </c>
      <c r="BM108" s="20">
        <f>IFERROR(VLOOKUP(Tabla145[[#This Row],[Llave]],'[13]Base ultimos planes'!$O:$AA,10,FALSE),0)</f>
        <v>103820</v>
      </c>
      <c r="BN108" s="20">
        <f>IFERROR(VLOOKUP(Tabla145[[#This Row],[Llave]],'[13]Base ultimos planes'!$O:$AA,11,FALSE),0)</f>
        <v>414000</v>
      </c>
      <c r="BO108" s="20">
        <f>IFERROR(VLOOKUP(Tabla145[[#This Row],[Llave]],'[13]Base ultimos planes'!$O:$AA,12,FALSE),0)</f>
        <v>279600</v>
      </c>
      <c r="BP108" s="20">
        <f>IFERROR(VLOOKUP(Tabla145[[#This Row],[Llave]],'[13]Base ultimos planes'!$O:$AA,13,FALSE),0)</f>
        <v>335772</v>
      </c>
      <c r="BQ108" s="20"/>
      <c r="BR108" s="20">
        <f>Tabla145[[#This Row],[ RV Producción mes n+1]]*(1-Tabla145[[#This Row],[% Uti. producción]])</f>
        <v>49249.078674759687</v>
      </c>
      <c r="BS108" s="20">
        <f>+Tabla145[[#This Row],[Producción disponible mes n-1]]+Tabla145[[#This Row],[Saldo Volumen disponible]]</f>
        <v>219104.79999999996</v>
      </c>
      <c r="BT108" s="7">
        <f>IFERROR(VLOOKUP(Tabla145[[#This Row],[Llave]],'[21]RV n+2 y n+3'!$B:$F,4,FALSE),0)</f>
        <v>300000</v>
      </c>
      <c r="BU108" s="7">
        <f>+Tabla145[[#This Row],[Asignación mes n+2]]*Tabla145[[#This Row],[% Uti. producción]]</f>
        <v>244262.52144687049</v>
      </c>
      <c r="BV108" s="7">
        <f>+Tabla145[[#This Row],[Ponderación mes n+2]]+Tabla145[[#This Row],[Saldo mes n-1]]</f>
        <v>463367.32144687045</v>
      </c>
      <c r="BW108" s="7">
        <f>+Tabla145[[#This Row],[Asignación mes n+2]]-Tabla145[[#This Row],[Ponderación mes n+2]]</f>
        <v>55737.478553129506</v>
      </c>
      <c r="BX108" s="7">
        <f>IFERROR(VLOOKUP(Tabla145[[#This Row],[Llave]],'[21]RV n+2 y n+3'!$B:$F,5,FALSE),0)</f>
        <v>26462.627999999997</v>
      </c>
      <c r="BY108" s="7">
        <f>+Tabla145[[#This Row],[Asignación mes n+3]]*Tabla145[[#This Row],[% Uti. producción]]</f>
        <v>21546.094131301852</v>
      </c>
      <c r="BZ108" s="3">
        <f>+Tabla145[[#This Row],[Ponderación mes n+3]]+Tabla145[[#This Row],[Saldo mes n+2]]</f>
        <v>77283.572684431361</v>
      </c>
      <c r="CA108" s="3">
        <f>+Tabla145[[#This Row],[Asignación mes n+3]]-Tabla145[[#This Row],[Ponderación mes n+3]]</f>
        <v>4916.5338686981449</v>
      </c>
      <c r="CB108" s="3">
        <f>+Tabla145[[#This Row],[Producción disponible mes n-1]]+Tabla145[[#This Row],[Producción disponible]]</f>
        <v>265077</v>
      </c>
      <c r="CC108" s="3">
        <f>+Tabla145[[#This Row],[Saldo mes n+4]]-Tabla145[[#This Row],[ RV Producción mes n+1]]</f>
        <v>0</v>
      </c>
    </row>
    <row r="109" spans="1:81" ht="16" x14ac:dyDescent="0.2">
      <c r="A109">
        <v>1</v>
      </c>
      <c r="B109" t="str">
        <f>Tabla145[[#This Row],[Oficina]]&amp;Tabla145[[#This Row],[Material]]</f>
        <v>Agrosuper Brasil1022218</v>
      </c>
      <c r="C109" t="s">
        <v>6</v>
      </c>
      <c r="D109" t="s">
        <v>7</v>
      </c>
      <c r="E109">
        <v>1022218</v>
      </c>
      <c r="F109" t="s">
        <v>13</v>
      </c>
      <c r="G109" t="s">
        <v>11</v>
      </c>
      <c r="H109" t="s">
        <v>12</v>
      </c>
      <c r="I109" s="7">
        <f>IFERROR(VLOOKUP(Tabla145[[#This Row],[Llave]],'[7]RV Producción'!$C:$G,5,FALSE),0)</f>
        <v>56208</v>
      </c>
      <c r="J109" s="3">
        <f>IFERROR(IF(Tabla145[[#This Row],[Oficina]]=$I$7,VLOOKUP(Tabla145[[#This Row],[Llave]],'[7]Shangai (Tomas)'!$A:$F,6,FALSE),VLOOKUP(Tabla145[[#This Row],[Llave]],'[7]RV plan de ventas'!$A:$E,5,FALSE)),0)</f>
        <v>24004</v>
      </c>
      <c r="K109" s="8">
        <f>IFERROR(VLOOKUP(Tabla145[[#This Row],[Oficina]],[15]Ponderación!$B$2:$E$9,4,FALSE),0)</f>
        <v>0.81420840482290169</v>
      </c>
      <c r="L109" s="7">
        <f>+Tabla145[[#This Row],[ RV Producción mes n+1]]*Tabla145[[#This Row],[% Uti. producción]]</f>
        <v>45765.026018285658</v>
      </c>
      <c r="M109" s="7">
        <f>IFERROR(VLOOKUP(Tabla145[[#This Row],[Material]],[16]Stock!$G:$K,5,FALSE),0)</f>
        <v>52343</v>
      </c>
      <c r="N109" s="7">
        <f>IFERROR(VLOOKUP(Tabla145[[#This Row],[Material]],[16]Produccion!$M:$N,2,FALSE),0)</f>
        <v>10801</v>
      </c>
      <c r="O109" s="7">
        <f>IFERROR(VLOOKUP(Tabla145[[#This Row],[Llave]],'[16]TD Conf-AP'!$I:$M,4,FALSE),0)</f>
        <v>0</v>
      </c>
      <c r="P109" s="14">
        <f>SUM(Tabla145[[#This Row],[Producción disponible]],Tabla145[[#This Row],[Stock al día]],(Tabla145[[#This Row],[Por producir mes N]]*0.9))-Tabla145[[#This Row],[Producción por despachar mes N]]</f>
        <v>107828.92601828565</v>
      </c>
      <c r="Q109" s="7">
        <f>IFERROR(VLOOKUP(Tabla145[[#This Row],[Llave]],[17]DELAY!$A:$D,4,FALSE),0)</f>
        <v>96000</v>
      </c>
      <c r="R109" s="9">
        <v>24000</v>
      </c>
      <c r="S109" s="5">
        <f t="shared" si="6"/>
        <v>96000</v>
      </c>
      <c r="T109" s="76">
        <v>0</v>
      </c>
      <c r="U109" s="5">
        <f>+Tabla145[[#This Row],[Atraso a facturar]]+Tabla145[[#This Row],[Ajuste atraso]]</f>
        <v>96000</v>
      </c>
      <c r="V109" s="3">
        <f>+Tabla145[[#This Row],[Total disponible]]-Tabla145[[#This Row],[Facturación atraso]]</f>
        <v>11828.926018285652</v>
      </c>
      <c r="W109" s="6">
        <f>IFERROR(IF(AND(V109&gt;R109,J109&gt;=R109),ROUNDDOWN((Tabla145[[#This Row],[Producción para venta nueva]])/R109,0)*R109,0),0)</f>
        <v>0</v>
      </c>
      <c r="X109" s="76">
        <v>0</v>
      </c>
      <c r="Y109" s="6">
        <f>IF(Tabla145[[#This Row],[Venta del mes]]&gt;0,Tabla145[[#This Row],[Venta del mes]]+Tabla145[[#This Row],[Ajuste venta nueva]],0)</f>
        <v>0</v>
      </c>
      <c r="Z109" s="6">
        <f>+Tabla145[[#This Row],[Producción para venta nueva]]-Tabla145[[#This Row],[Facturación Venta nueva]]</f>
        <v>11828.926018285652</v>
      </c>
      <c r="AA109" s="6">
        <f>IF(AND(A109=1,Tabla145[[#This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09" s="6">
        <v>0</v>
      </c>
      <c r="AC109" s="6">
        <f>IF(Tabla145[[#This Row],[Disponible stock sin venta]]&gt;0,Tabla145[[#This Row],[Disponible stock sin venta]]+Tabla145[[#This Row],[Ajuste stock sin venta]],0)</f>
        <v>0</v>
      </c>
      <c r="AD109" s="3">
        <f>IFERROR(VLOOKUP(Tabla145[[#This Row],[Llave]],'[16]TD Puerto'!$A:$D,4,FALSE),0)</f>
        <v>0</v>
      </c>
      <c r="AE109" s="3">
        <v>48000</v>
      </c>
      <c r="AF109" s="3">
        <f>+Tabla145[[#This Row],[Plan Irrestricto Inicial]]</f>
        <v>48000</v>
      </c>
      <c r="AG109" s="3">
        <f>+Tabla145[[#This Row],[En puerto a facturar]]</f>
        <v>0</v>
      </c>
      <c r="AH109" s="3">
        <f>+Tabla145[[#This Row],[Facturación atraso]]</f>
        <v>96000</v>
      </c>
      <c r="AI109" s="3">
        <f>+Tabla145[[#This Row],[Plan Irrestricto]]-Tabla145[[#This Row],[Puerto ]]-Tabla145[[#This Row],[Atraso]]</f>
        <v>-48000</v>
      </c>
      <c r="AJ109" s="3">
        <f>IF(Tabla145[[#This Row],[Plan Irrestricto]]&gt;0,SUM(Tabla145[[#This Row],[Facturación atraso]],Tabla145[[#This Row],[Facturación Venta nueva]],Tabla145[[#This Row],[Facturación stock]],Tabla145[[#This Row],[En puerto a facturar]]),0)</f>
        <v>96000</v>
      </c>
      <c r="AK109" s="3">
        <f>+Tabla145[[#This Row],[Facturación atraso]]</f>
        <v>96000</v>
      </c>
      <c r="AL109" s="3">
        <f>+Tabla145[[#This Row],[Plan Ajustado]]-Tabla145[[#This Row],[ Atraso ajustado]]-Tabla145[[#This Row],[Puerto ]]</f>
        <v>0</v>
      </c>
      <c r="AM109" s="6">
        <f>IFERROR(VLOOKUP(Tabla145[[#This Row],[Llave]],[18]!Tabla14[#All],34,FALSE),0)</f>
        <v>0</v>
      </c>
      <c r="AN109" s="6">
        <f>IFERROR(VLOOKUP(Tabla145[[#This Row],[Llave]],[18]!Tabla14[#All],35,FALSE),0)</f>
        <v>0</v>
      </c>
      <c r="AO109" s="3" t="str">
        <f>IF(Tabla145[[#This Row],[Plan Ajustado]]&gt;Tabla145[[#This Row],[En puerto a facturar]],"Si","No")</f>
        <v>Si</v>
      </c>
      <c r="AP109" s="3">
        <f>IF(AND(Tabla145[[#This Row],[Plan Ajustado]]&gt;0,Tabla145[[#This Row],[Plan Ajustado]]&gt;Tabla145[[#This Row],[En puerto a facturar]]),(Tabla145[[#This Row],[Plan Ajustado]]-Tabla145[[#This Row],[En puerto a facturar]]),0)</f>
        <v>96000</v>
      </c>
      <c r="AQ109" s="3">
        <f>IF(Tabla145[[#This Row],[Necesidad]]&gt;=Tabla145[[#This Row],[Stock al día]],Tabla145[[#This Row],[Stock al día]],Tabla145[[#This Row],[Necesidad]])</f>
        <v>52343</v>
      </c>
      <c r="AR109" s="3">
        <f>+Tabla145[[#This Row],[Necesidad]]-Tabla145[[#This Row],[Stock Plan]]</f>
        <v>43657</v>
      </c>
      <c r="AS109" s="155">
        <f>IFERROR(VLOOKUP(Tabla145[[#This Row],[Oficina]],[19]Ponderación!$B$14:$E$21,4,FALSE),"")</f>
        <v>44798</v>
      </c>
      <c r="AT10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1.5499916680553201</v>
      </c>
      <c r="AU109" s="83">
        <f>IFERROR(VLOOKUP(Tabla145[[#This Row],[Llave]],[17]DELAY!$H:$W,16,FALSE),0)</f>
        <v>1.51875</v>
      </c>
      <c r="AV10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1.51875</v>
      </c>
      <c r="AW109" s="5">
        <f>Tabla145[[#This Row],[Ajuste precio IC]]*Tabla145[[#This Row],[Plan Ajustado]]</f>
        <v>144000</v>
      </c>
      <c r="AX109" s="30">
        <f>IFERROR(VLOOKUP(Tabla145[[#This Row],[Llave]],'[13]Ultimos precios facturados'!$A:$G,7,FALSE),0)</f>
        <v>1.4780444199175597</v>
      </c>
      <c r="AY10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2.7540160183217439E-2</v>
      </c>
      <c r="AZ109" s="30">
        <f>IFERROR(VLOOKUP(Tabla145[[#This Row],[Llave]],Hoja2!B:K,10,FALSE),0)</f>
        <v>1.5</v>
      </c>
      <c r="BA109" s="30">
        <f>IF(Tabla145[[#This Row],[Ajuste precio IC]]="",Tabla145[[#This Row],[Precio ponderado]],Tabla145[[#This Row],[Precio ponderado]])</f>
        <v>1.51875</v>
      </c>
      <c r="BB109" s="82"/>
      <c r="BC109" s="82" t="str">
        <f>IF(AND(Tabla145[[#This Row],[Atraso a facturar]]&gt;0,Tabla145[[#This Row],[Precio Atraso]]=0),"Revisar","OK")</f>
        <v>OK</v>
      </c>
      <c r="BD109" s="82" t="str">
        <f>IF(AND(Tabla145[[#This Row],[Venta del mes]]&gt;0,Tabla145[[#This Row],[Precio venta nueva]]=0),"Revisar","OK")</f>
        <v>OK</v>
      </c>
      <c r="BE109" s="20">
        <f>IFERROR(VLOOKUP(Tabla145[[#This Row],[Llave]],'[5]Consolidación planes'!$A:$M,9,FALSE),0)</f>
        <v>120000</v>
      </c>
      <c r="BF109" s="20">
        <f>IFERROR(VLOOKUP(Tabla145[[#This Row],[Llave]],'[5]Consolidación planes'!$A:$M,10,FALSE),0)</f>
        <v>48000</v>
      </c>
      <c r="BG109" s="20">
        <f>IFERROR(VLOOKUP(Tabla145[[#This Row],[Llave]],'[5]Consolidación planes'!$A:$M,11,FALSE),0)</f>
        <v>96000</v>
      </c>
      <c r="BH109" s="20">
        <f>IFERROR(VLOOKUP(Tabla145[[#This Row],[Llave]],'[5]Consolidación planes'!$A:$M,12,FALSE),0)</f>
        <v>96000</v>
      </c>
      <c r="BI109" s="20">
        <f>IFERROR(VLOOKUP(Tabla145[[#This Row],[Llave]],'[5]Consolidación planes'!$A:$M,13,FALSE),0)</f>
        <v>96000</v>
      </c>
      <c r="BJ109" s="20">
        <f>IFERROR(VLOOKUP(Tabla145[[#This Row],[Llave]],'[13]Base ultimos planes'!$A:$M,13,FALSE),0)</f>
        <v>48000</v>
      </c>
      <c r="BK109" s="80">
        <f>IFERROR(VLOOKUP(Tabla145[[#This Row],[Llave]],'[13]Base ultimos planes'!$O:$AA,8,FALSE),0)</f>
        <v>180000</v>
      </c>
      <c r="BL109" s="20">
        <f>IFERROR(VLOOKUP(Tabla145[[#This Row],[Llave]],'[13]Base ultimos planes'!$O:$AA,9,FALSE),0)</f>
        <v>69600</v>
      </c>
      <c r="BM109" s="20">
        <f>IFERROR(VLOOKUP(Tabla145[[#This Row],[Llave]],'[13]Base ultimos planes'!$O:$AA,10,FALSE),0)</f>
        <v>140400</v>
      </c>
      <c r="BN109" s="20">
        <f>IFERROR(VLOOKUP(Tabla145[[#This Row],[Llave]],'[13]Base ultimos planes'!$O:$AA,11,FALSE),0)</f>
        <v>136320</v>
      </c>
      <c r="BO109" s="20">
        <f>IFERROR(VLOOKUP(Tabla145[[#This Row],[Llave]],'[13]Base ultimos planes'!$O:$AA,12,FALSE),0)</f>
        <v>145200</v>
      </c>
      <c r="BP109" s="20">
        <f>IFERROR(VLOOKUP(Tabla145[[#This Row],[Llave]],'[13]Base ultimos planes'!$O:$AA,13,FALSE),0)</f>
        <v>72686</v>
      </c>
      <c r="BQ109" s="20"/>
      <c r="BR109" s="20">
        <f>Tabla145[[#This Row],[ RV Producción mes n+1]]*(1-Tabla145[[#This Row],[% Uti. producción]])</f>
        <v>10442.973981714342</v>
      </c>
      <c r="BS109" s="20">
        <f>+Tabla145[[#This Row],[Producción disponible mes n-1]]+Tabla145[[#This Row],[Saldo Volumen disponible]]</f>
        <v>22271.899999999994</v>
      </c>
      <c r="BT109" s="7">
        <f>IFERROR(VLOOKUP(Tabla145[[#This Row],[Llave]],'[21]RV n+2 y n+3'!$B:$F,4,FALSE),0)</f>
        <v>97633.576000000001</v>
      </c>
      <c r="BU109" s="7">
        <f>+Tabla145[[#This Row],[Asignación mes n+2]]*Tabla145[[#This Row],[% Uti. producción]]</f>
        <v>79494.078172115536</v>
      </c>
      <c r="BV109" s="7">
        <f>+Tabla145[[#This Row],[Ponderación mes n+2]]+Tabla145[[#This Row],[Saldo mes n-1]]</f>
        <v>101765.97817211553</v>
      </c>
      <c r="BW109" s="7">
        <f>+Tabla145[[#This Row],[Asignación mes n+2]]-Tabla145[[#This Row],[Ponderación mes n+2]]</f>
        <v>18139.497827884465</v>
      </c>
      <c r="BX109" s="7">
        <f>IFERROR(VLOOKUP(Tabla145[[#This Row],[Llave]],'[21]RV n+2 y n+3'!$B:$F,5,FALSE),0)</f>
        <v>90195.726999999999</v>
      </c>
      <c r="BY109" s="7">
        <f>+Tabla145[[#This Row],[Asignación mes n+3]]*Tabla145[[#This Row],[% Uti. producción]]</f>
        <v>73438.119002511929</v>
      </c>
      <c r="BZ109" s="3">
        <f>+Tabla145[[#This Row],[Ponderación mes n+3]]+Tabla145[[#This Row],[Saldo mes n+2]]</f>
        <v>91577.616830396393</v>
      </c>
      <c r="CA109" s="3">
        <f>+Tabla145[[#This Row],[Asignación mes n+3]]-Tabla145[[#This Row],[Ponderación mes n+3]]</f>
        <v>16757.60799748807</v>
      </c>
      <c r="CB109" s="3">
        <f>+Tabla145[[#This Row],[Producción disponible mes n-1]]+Tabla145[[#This Row],[Producción disponible]]</f>
        <v>56208</v>
      </c>
      <c r="CC109" s="3">
        <f>+Tabla145[[#This Row],[Saldo mes n+4]]-Tabla145[[#This Row],[ RV Producción mes n+1]]</f>
        <v>0</v>
      </c>
    </row>
    <row r="110" spans="1:81" ht="16" x14ac:dyDescent="0.2">
      <c r="A110">
        <v>1</v>
      </c>
      <c r="B110" t="str">
        <f>Tabla145[[#This Row],[Oficina]]&amp;Tabla145[[#This Row],[Material]]</f>
        <v>Agrosuper Brasil1022273</v>
      </c>
      <c r="C110" t="s">
        <v>6</v>
      </c>
      <c r="D110" t="s">
        <v>7</v>
      </c>
      <c r="E110">
        <v>1022273</v>
      </c>
      <c r="F110" t="s">
        <v>14</v>
      </c>
      <c r="G110" t="s">
        <v>11</v>
      </c>
      <c r="H110" t="s">
        <v>12</v>
      </c>
      <c r="I110" s="7">
        <f>IFERROR(VLOOKUP(Tabla145[[#This Row],[Llave]],'[7]RV Producción'!$C:$G,5,FALSE),0)</f>
        <v>211117</v>
      </c>
      <c r="J110" s="3">
        <f>IFERROR(IF(Tabla145[[#This Row],[Oficina]]=$I$7,VLOOKUP(Tabla145[[#This Row],[Llave]],'[7]Shangai (Tomas)'!$A:$F,6,FALSE),VLOOKUP(Tabla145[[#This Row],[Llave]],'[7]RV plan de ventas'!$A:$E,5,FALSE)),0)</f>
        <v>211608</v>
      </c>
      <c r="K110" s="8">
        <f>IFERROR(VLOOKUP(Tabla145[[#This Row],[Oficina]],[15]Ponderación!$B$2:$E$9,4,FALSE),0)</f>
        <v>0.81420840482290169</v>
      </c>
      <c r="L110" s="7">
        <f>+Tabla145[[#This Row],[ RV Producción mes n+1]]*Tabla145[[#This Row],[% Uti. producción]]</f>
        <v>171893.23580099654</v>
      </c>
      <c r="M110" s="7">
        <f>IFERROR(VLOOKUP(Tabla145[[#This Row],[Material]],[16]Stock!$G:$K,5,FALSE),0)</f>
        <v>158142</v>
      </c>
      <c r="N110" s="7">
        <f>IFERROR(VLOOKUP(Tabla145[[#This Row],[Material]],[16]Produccion!$M:$N,2,FALSE),0)</f>
        <v>51627</v>
      </c>
      <c r="O110" s="7">
        <f>IFERROR(VLOOKUP(Tabla145[[#This Row],[Llave]],'[16]TD Conf-AP'!$I:$M,4,FALSE),0)</f>
        <v>48000</v>
      </c>
      <c r="P110" s="14">
        <f>SUM(Tabla145[[#This Row],[Producción disponible]],Tabla145[[#This Row],[Stock al día]],(Tabla145[[#This Row],[Por producir mes N]]*0.9))-Tabla145[[#This Row],[Producción por despachar mes N]]</f>
        <v>328499.53580099653</v>
      </c>
      <c r="Q110" s="7">
        <f>IFERROR(VLOOKUP(Tabla145[[#This Row],[Llave]],[17]DELAY!$A:$D,4,FALSE),0)</f>
        <v>142000</v>
      </c>
      <c r="R110" s="9">
        <v>24000</v>
      </c>
      <c r="S110" s="5">
        <f t="shared" si="6"/>
        <v>142000</v>
      </c>
      <c r="T110" s="76">
        <v>-24000</v>
      </c>
      <c r="U110" s="5">
        <f>+Tabla145[[#This Row],[Atraso a facturar]]+Tabla145[[#This Row],[Ajuste atraso]]</f>
        <v>118000</v>
      </c>
      <c r="V110" s="3">
        <f>+Tabla145[[#This Row],[Total disponible]]-Tabla145[[#This Row],[Facturación atraso]]</f>
        <v>210499.53580099653</v>
      </c>
      <c r="W110" s="6">
        <f>IFERROR(IF(AND(V110&gt;R110,J110&gt;=R110),ROUNDDOWN((Tabla145[[#This Row],[Producción para venta nueva]])/R110,0)*R110,0),0)</f>
        <v>192000</v>
      </c>
      <c r="X110" s="76">
        <v>-120000</v>
      </c>
      <c r="Y110" s="6">
        <f>IF(Tabla145[[#This Row],[Venta del mes]]&gt;0,Tabla145[[#This Row],[Venta del mes]]+Tabla145[[#This Row],[Ajuste venta nueva]],0)</f>
        <v>72000</v>
      </c>
      <c r="Z110" s="6">
        <f>+Tabla145[[#This Row],[Producción para venta nueva]]-Tabla145[[#This Row],[Facturación Venta nueva]]</f>
        <v>138499.53580099653</v>
      </c>
      <c r="AA110" s="6">
        <f>IF(AND(A110=1,Tabla145[[#This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0" s="6">
        <v>0</v>
      </c>
      <c r="AC110" s="6">
        <f>IF(Tabla145[[#This Row],[Disponible stock sin venta]]&gt;0,Tabla145[[#This Row],[Disponible stock sin venta]]+Tabla145[[#This Row],[Ajuste stock sin venta]],0)</f>
        <v>0</v>
      </c>
      <c r="AD110" s="3">
        <f>IFERROR(VLOOKUP(Tabla145[[#This Row],[Llave]],'[16]TD Puerto'!$A:$D,4,FALSE),0)</f>
        <v>0</v>
      </c>
      <c r="AE110" s="3">
        <v>238000</v>
      </c>
      <c r="AF110" s="3">
        <f>+Tabla145[[#This Row],[Plan Irrestricto Inicial]]</f>
        <v>238000</v>
      </c>
      <c r="AG110" s="3">
        <f>+Tabla145[[#This Row],[En puerto a facturar]]</f>
        <v>0</v>
      </c>
      <c r="AH110" s="3">
        <f>+Tabla145[[#This Row],[Facturación atraso]]</f>
        <v>118000</v>
      </c>
      <c r="AI110" s="3">
        <f>+Tabla145[[#This Row],[Plan Irrestricto]]-Tabla145[[#This Row],[Puerto ]]-Tabla145[[#This Row],[Atraso]]</f>
        <v>120000</v>
      </c>
      <c r="AJ110" s="3">
        <f>IF(Tabla145[[#This Row],[Plan Irrestricto]]&gt;0,SUM(Tabla145[[#This Row],[Facturación atraso]],Tabla145[[#This Row],[Facturación Venta nueva]],Tabla145[[#This Row],[Facturación stock]],Tabla145[[#This Row],[En puerto a facturar]]),0)</f>
        <v>190000</v>
      </c>
      <c r="AK110" s="3">
        <f>+Tabla145[[#This Row],[Facturación atraso]]</f>
        <v>118000</v>
      </c>
      <c r="AL110" s="3">
        <f>+Tabla145[[#This Row],[Plan Ajustado]]-Tabla145[[#This Row],[ Atraso ajustado]]-Tabla145[[#This Row],[Puerto ]]</f>
        <v>72000</v>
      </c>
      <c r="AM110" s="6">
        <f>IFERROR(VLOOKUP(Tabla145[[#This Row],[Llave]],[18]!Tabla14[#All],34,FALSE),0)</f>
        <v>0</v>
      </c>
      <c r="AN110" s="6">
        <f>IFERROR(VLOOKUP(Tabla145[[#This Row],[Llave]],[18]!Tabla14[#All],35,FALSE),0)</f>
        <v>0</v>
      </c>
      <c r="AO110" s="3" t="str">
        <f>IF(Tabla145[[#This Row],[Plan Ajustado]]&gt;Tabla145[[#This Row],[En puerto a facturar]],"Si","No")</f>
        <v>Si</v>
      </c>
      <c r="AP110" s="3">
        <f>IF(AND(Tabla145[[#This Row],[Plan Ajustado]]&gt;0,Tabla145[[#This Row],[Plan Ajustado]]&gt;Tabla145[[#This Row],[En puerto a facturar]]),(Tabla145[[#This Row],[Plan Ajustado]]-Tabla145[[#This Row],[En puerto a facturar]]),0)</f>
        <v>190000</v>
      </c>
      <c r="AQ110" s="3">
        <f>IF(Tabla145[[#This Row],[Necesidad]]&gt;=Tabla145[[#This Row],[Stock al día]],Tabla145[[#This Row],[Stock al día]],Tabla145[[#This Row],[Necesidad]])</f>
        <v>158142</v>
      </c>
      <c r="AR110" s="3">
        <f>+Tabla145[[#This Row],[Necesidad]]-Tabla145[[#This Row],[Stock Plan]]</f>
        <v>31858</v>
      </c>
      <c r="AS110" s="155">
        <f>IFERROR(VLOOKUP(Tabla145[[#This Row],[Oficina]],[19]Ponderación!$B$14:$E$21,4,FALSE),"")</f>
        <v>44798</v>
      </c>
      <c r="AT11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1.55000283543155</v>
      </c>
      <c r="AU110" s="83">
        <f>IFERROR(VLOOKUP(Tabla145[[#This Row],[Llave]],[17]DELAY!$H:$W,16,FALSE),0)</f>
        <v>1.5010348415492947</v>
      </c>
      <c r="AV11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1.5195911339678336</v>
      </c>
      <c r="AW110" s="5">
        <f>Tabla145[[#This Row],[Ajuste precio IC]]*Tabla145[[#This Row],[Plan Ajustado]]</f>
        <v>266000</v>
      </c>
      <c r="AX110" s="30">
        <f>IFERROR(VLOOKUP(Tabla145[[#This Row],[Llave]],'[13]Ultimos precios facturados'!$A:$G,7,FALSE),0)</f>
        <v>1.4578467213218094</v>
      </c>
      <c r="AY11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4.235315808100968E-2</v>
      </c>
      <c r="AZ110" s="30">
        <f>IFERROR(VLOOKUP(Tabla145[[#This Row],[Llave]],Hoja2!B:K,10,FALSE),0)</f>
        <v>1.4</v>
      </c>
      <c r="BA110" s="30">
        <f>IF(Tabla145[[#This Row],[Ajuste precio IC]]="",Tabla145[[#This Row],[Precio ponderado]],Tabla145[[#This Row],[Precio ponderado]])</f>
        <v>1.5195911339678336</v>
      </c>
      <c r="BB110" s="82"/>
      <c r="BC110" s="82" t="str">
        <f>IF(AND(Tabla145[[#This Row],[Atraso a facturar]]&gt;0,Tabla145[[#This Row],[Precio Atraso]]=0),"Revisar","OK")</f>
        <v>OK</v>
      </c>
      <c r="BD110" s="82" t="str">
        <f>IF(AND(Tabla145[[#This Row],[Venta del mes]]&gt;0,Tabla145[[#This Row],[Precio venta nueva]]=0),"Revisar","OK")</f>
        <v>OK</v>
      </c>
      <c r="BE110" s="20">
        <f>IFERROR(VLOOKUP(Tabla145[[#This Row],[Llave]],'[5]Consolidación planes'!$A:$M,9,FALSE),0)</f>
        <v>0</v>
      </c>
      <c r="BF110" s="20">
        <f>IFERROR(VLOOKUP(Tabla145[[#This Row],[Llave]],'[5]Consolidación planes'!$A:$M,10,FALSE),0)</f>
        <v>144000</v>
      </c>
      <c r="BG110" s="20">
        <f>IFERROR(VLOOKUP(Tabla145[[#This Row],[Llave]],'[5]Consolidación planes'!$A:$M,11,FALSE),0)</f>
        <v>144000</v>
      </c>
      <c r="BH110" s="20">
        <f>IFERROR(VLOOKUP(Tabla145[[#This Row],[Llave]],'[5]Consolidación planes'!$A:$M,12,FALSE),0)</f>
        <v>120000</v>
      </c>
      <c r="BI110" s="20">
        <f>IFERROR(VLOOKUP(Tabla145[[#This Row],[Llave]],'[5]Consolidación planes'!$A:$M,13,FALSE),0)</f>
        <v>168000</v>
      </c>
      <c r="BJ110" s="20">
        <f>IFERROR(VLOOKUP(Tabla145[[#This Row],[Llave]],'[13]Base ultimos planes'!$A:$M,13,FALSE),0)</f>
        <v>48000</v>
      </c>
      <c r="BK110" s="80">
        <f>IFERROR(VLOOKUP(Tabla145[[#This Row],[Llave]],'[13]Base ultimos planes'!$O:$AA,8,FALSE),0)</f>
        <v>0</v>
      </c>
      <c r="BL110" s="20">
        <f>IFERROR(VLOOKUP(Tabla145[[#This Row],[Llave]],'[13]Base ultimos planes'!$O:$AA,9,FALSE),0)</f>
        <v>208800</v>
      </c>
      <c r="BM110" s="20">
        <f>IFERROR(VLOOKUP(Tabla145[[#This Row],[Llave]],'[13]Base ultimos planes'!$O:$AA,10,FALSE),0)</f>
        <v>208800</v>
      </c>
      <c r="BN110" s="20">
        <f>IFERROR(VLOOKUP(Tabla145[[#This Row],[Llave]],'[13]Base ultimos planes'!$O:$AA,11,FALSE),0)</f>
        <v>180000</v>
      </c>
      <c r="BO110" s="20">
        <f>IFERROR(VLOOKUP(Tabla145[[#This Row],[Llave]],'[13]Base ultimos planes'!$O:$AA,12,FALSE),0)</f>
        <v>252000</v>
      </c>
      <c r="BP110" s="20">
        <f>IFERROR(VLOOKUP(Tabla145[[#This Row],[Llave]],'[13]Base ultimos planes'!$O:$AA,13,FALSE),0)</f>
        <v>68267</v>
      </c>
      <c r="BQ110" s="20"/>
      <c r="BR110" s="20">
        <f>Tabla145[[#This Row],[ RV Producción mes n+1]]*(1-Tabla145[[#This Row],[% Uti. producción]])</f>
        <v>39223.764199003461</v>
      </c>
      <c r="BS110" s="20">
        <f>+Tabla145[[#This Row],[Producción disponible mes n-1]]+Tabla145[[#This Row],[Saldo Volumen disponible]]</f>
        <v>177723.3</v>
      </c>
      <c r="BT110" s="7">
        <f>IFERROR(VLOOKUP(Tabla145[[#This Row],[Llave]],'[21]RV n+2 y n+3'!$B:$F,4,FALSE),0)</f>
        <v>82268.759489999997</v>
      </c>
      <c r="BU110" s="7">
        <f>+Tabla145[[#This Row],[Asignación mes n+2]]*Tabla145[[#This Row],[% Uti. producción]]</f>
        <v>66983.915431111847</v>
      </c>
      <c r="BV110" s="7">
        <f>+Tabla145[[#This Row],[Ponderación mes n+2]]+Tabla145[[#This Row],[Saldo mes n-1]]</f>
        <v>244707.21543111184</v>
      </c>
      <c r="BW110" s="7">
        <f>+Tabla145[[#This Row],[Asignación mes n+2]]-Tabla145[[#This Row],[Ponderación mes n+2]]</f>
        <v>15284.844058888149</v>
      </c>
      <c r="BX110" s="7">
        <f>IFERROR(VLOOKUP(Tabla145[[#This Row],[Llave]],'[21]RV n+2 y n+3'!$B:$F,5,FALSE),0)</f>
        <v>142516.37099999998</v>
      </c>
      <c r="BY110" s="7">
        <f>+Tabla145[[#This Row],[Asignación mes n+3]]*Tabla145[[#This Row],[% Uti. producción]]</f>
        <v>116038.02709305883</v>
      </c>
      <c r="BZ110" s="3">
        <f>+Tabla145[[#This Row],[Ponderación mes n+3]]+Tabla145[[#This Row],[Saldo mes n+2]]</f>
        <v>131322.87115194698</v>
      </c>
      <c r="CA110" s="3">
        <f>+Tabla145[[#This Row],[Asignación mes n+3]]-Tabla145[[#This Row],[Ponderación mes n+3]]</f>
        <v>26478.343906941154</v>
      </c>
      <c r="CB110" s="3">
        <f>+Tabla145[[#This Row],[Producción disponible mes n-1]]+Tabla145[[#This Row],[Producción disponible]]</f>
        <v>211117</v>
      </c>
      <c r="CC110" s="3">
        <f>+Tabla145[[#This Row],[Saldo mes n+4]]-Tabla145[[#This Row],[ RV Producción mes n+1]]</f>
        <v>0</v>
      </c>
    </row>
    <row r="111" spans="1:81" ht="16" x14ac:dyDescent="0.2">
      <c r="A111">
        <v>1</v>
      </c>
      <c r="B111" t="str">
        <f>Tabla145[[#This Row],[Oficina]]&amp;Tabla145[[#This Row],[Material]]</f>
        <v>Agrosuper Brasil1023329</v>
      </c>
      <c r="C111" t="s">
        <v>6</v>
      </c>
      <c r="D111" t="s">
        <v>7</v>
      </c>
      <c r="E111">
        <v>1023329</v>
      </c>
      <c r="F111" t="s">
        <v>10</v>
      </c>
      <c r="G111" t="s">
        <v>8</v>
      </c>
      <c r="H111" t="s">
        <v>9</v>
      </c>
      <c r="I111" s="7">
        <f>IFERROR(VLOOKUP(Tabla145[[#This Row],[Llave]],'[7]RV Producción'!$C:$G,5,FALSE),0)</f>
        <v>0</v>
      </c>
      <c r="J111" s="3">
        <f>IFERROR(IF(Tabla145[[#This Row],[Oficina]]=$I$7,VLOOKUP(Tabla145[[#This Row],[Llave]],'[7]Shangai (Tomas)'!$A:$F,6,FALSE),VLOOKUP(Tabla145[[#This Row],[Llave]],'[7]RV plan de ventas'!$A:$E,5,FALSE)),0)</f>
        <v>38659</v>
      </c>
      <c r="K111" s="8">
        <f>IFERROR(VLOOKUP(Tabla145[[#This Row],[Oficina]],[15]Ponderación!$B$2:$E$9,4,FALSE),0)</f>
        <v>0.81420840482290169</v>
      </c>
      <c r="L111" s="7">
        <f>+Tabla145[[#This Row],[ RV Producción mes n+1]]*Tabla145[[#This Row],[% Uti. producción]]</f>
        <v>0</v>
      </c>
      <c r="M111" s="7">
        <f>IFERROR(VLOOKUP(Tabla145[[#This Row],[Material]],[16]Stock!$G:$K,5,FALSE),0)</f>
        <v>16978</v>
      </c>
      <c r="N111" s="7">
        <f>IFERROR(VLOOKUP(Tabla145[[#This Row],[Material]],[16]Produccion!$M:$N,2,FALSE),0)</f>
        <v>11876</v>
      </c>
      <c r="O111" s="7">
        <f>IFERROR(VLOOKUP(Tabla145[[#This Row],[Llave]],'[16]TD Conf-AP'!$I:$M,4,FALSE),0)</f>
        <v>0</v>
      </c>
      <c r="P111" s="14">
        <f>SUM(Tabla145[[#This Row],[Producción disponible]],Tabla145[[#This Row],[Stock al día]],(Tabla145[[#This Row],[Por producir mes N]]*0.9))-Tabla145[[#This Row],[Producción por despachar mes N]]</f>
        <v>27666.400000000001</v>
      </c>
      <c r="Q111" s="7">
        <f>IFERROR(VLOOKUP(Tabla145[[#This Row],[Llave]],[17]DELAY!$A:$D,4,FALSE),0)</f>
        <v>48000</v>
      </c>
      <c r="R111" s="9">
        <v>24000</v>
      </c>
      <c r="S111" s="5">
        <f t="shared" si="6"/>
        <v>24000</v>
      </c>
      <c r="T111" s="76">
        <v>0</v>
      </c>
      <c r="U111" s="5">
        <f>+Tabla145[[#This Row],[Atraso a facturar]]+Tabla145[[#This Row],[Ajuste atraso]]</f>
        <v>24000</v>
      </c>
      <c r="V111" s="3">
        <f>+Tabla145[[#This Row],[Total disponible]]-Tabla145[[#This Row],[Facturación atraso]]</f>
        <v>3666.4000000000015</v>
      </c>
      <c r="W111" s="6">
        <f>IFERROR(IF(AND(V111&gt;R111,J111&gt;=R111),ROUNDDOWN((Tabla145[[#This Row],[Producción para venta nueva]])/R111,0)*R111,0),0)</f>
        <v>0</v>
      </c>
      <c r="X111" s="76">
        <v>0</v>
      </c>
      <c r="Y111" s="6">
        <f>IF(Tabla145[[#This Row],[Venta del mes]]&gt;0,Tabla145[[#This Row],[Venta del mes]]+Tabla145[[#This Row],[Ajuste venta nueva]],0)</f>
        <v>0</v>
      </c>
      <c r="Z111" s="6">
        <f>+Tabla145[[#This Row],[Producción para venta nueva]]-Tabla145[[#This Row],[Facturación Venta nueva]]</f>
        <v>3666.4000000000015</v>
      </c>
      <c r="AA111" s="6">
        <f>IF(AND(A111=1,Tabla145[[#This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1" s="6">
        <v>0</v>
      </c>
      <c r="AC111" s="6">
        <f>IF(Tabla145[[#This Row],[Disponible stock sin venta]]&gt;0,Tabla145[[#This Row],[Disponible stock sin venta]]+Tabla145[[#This Row],[Ajuste stock sin venta]],0)</f>
        <v>0</v>
      </c>
      <c r="AD111" s="3">
        <f>IFERROR(VLOOKUP(Tabla145[[#This Row],[Llave]],'[16]TD Puerto'!$A:$D,4,FALSE),0)</f>
        <v>0</v>
      </c>
      <c r="AE111" s="3">
        <v>24000</v>
      </c>
      <c r="AF111" s="3">
        <f>+Tabla145[[#This Row],[Plan Irrestricto Inicial]]</f>
        <v>24000</v>
      </c>
      <c r="AG111" s="3">
        <f>+Tabla145[[#This Row],[En puerto a facturar]]</f>
        <v>0</v>
      </c>
      <c r="AH111" s="3">
        <f>+Tabla145[[#This Row],[Facturación atraso]]</f>
        <v>24000</v>
      </c>
      <c r="AI111" s="3">
        <f>+Tabla145[[#This Row],[Plan Irrestricto]]-Tabla145[[#This Row],[Puerto ]]-Tabla145[[#This Row],[Atraso]]</f>
        <v>0</v>
      </c>
      <c r="AJ111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111" s="3">
        <f>+Tabla145[[#This Row],[Facturación atraso]]</f>
        <v>24000</v>
      </c>
      <c r="AL111" s="3">
        <f>+Tabla145[[#This Row],[Plan Ajustado]]-Tabla145[[#This Row],[ Atraso ajustado]]-Tabla145[[#This Row],[Puerto ]]</f>
        <v>0</v>
      </c>
      <c r="AM111" s="6">
        <f>IFERROR(VLOOKUP(Tabla145[[#This Row],[Llave]],[18]!Tabla14[#All],34,FALSE),0)</f>
        <v>0</v>
      </c>
      <c r="AN111" s="6">
        <f>IFERROR(VLOOKUP(Tabla145[[#This Row],[Llave]],[18]!Tabla14[#All],35,FALSE),0)</f>
        <v>0</v>
      </c>
      <c r="AO111" s="3" t="str">
        <f>IF(Tabla145[[#This Row],[Plan Ajustado]]&gt;Tabla145[[#This Row],[En puerto a facturar]],"Si","No")</f>
        <v>Si</v>
      </c>
      <c r="AP111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111" s="3">
        <f>IF(Tabla145[[#This Row],[Necesidad]]&gt;=Tabla145[[#This Row],[Stock al día]],Tabla145[[#This Row],[Stock al día]],Tabla145[[#This Row],[Necesidad]])</f>
        <v>16978</v>
      </c>
      <c r="AR111" s="3">
        <f>+Tabla145[[#This Row],[Necesidad]]-Tabla145[[#This Row],[Stock Plan]]</f>
        <v>7022</v>
      </c>
      <c r="AS111" s="155">
        <f>IFERROR(VLOOKUP(Tabla145[[#This Row],[Oficina]],[19]Ponderación!$B$14:$E$21,4,FALSE),"")</f>
        <v>44798</v>
      </c>
      <c r="AT11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0.53666675289065902</v>
      </c>
      <c r="AU111" s="83">
        <f>IFERROR(VLOOKUP(Tabla145[[#This Row],[Llave]],[17]DELAY!$H:$W,16,FALSE),0)</f>
        <v>0.55000000000000004</v>
      </c>
      <c r="AV11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0.55000000000000004</v>
      </c>
      <c r="AW111" s="5">
        <f>Tabla145[[#This Row],[Ajuste precio IC]]*Tabla145[[#This Row],[Plan Ajustado]]</f>
        <v>12000</v>
      </c>
      <c r="AX111" s="30">
        <f>IFERROR(VLOOKUP(Tabla145[[#This Row],[Llave]],'[13]Ultimos precios facturados'!$A:$G,7,FALSE),0)</f>
        <v>0.55000000000000004</v>
      </c>
      <c r="AY11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</v>
      </c>
      <c r="AZ111" s="30">
        <f>IFERROR(VLOOKUP(Tabla145[[#This Row],[Llave]],Hoja2!B:K,10,FALSE),0)</f>
        <v>0.5</v>
      </c>
      <c r="BA111" s="30">
        <f>IF(Tabla145[[#This Row],[Ajuste precio IC]]="",Tabla145[[#This Row],[Precio ponderado]],Tabla145[[#This Row],[Precio ponderado]])</f>
        <v>0.55000000000000004</v>
      </c>
      <c r="BB111" s="82"/>
      <c r="BC111" s="82" t="str">
        <f>IF(AND(Tabla145[[#This Row],[Atraso a facturar]]&gt;0,Tabla145[[#This Row],[Precio Atraso]]=0),"Revisar","OK")</f>
        <v>OK</v>
      </c>
      <c r="BD111" s="82" t="str">
        <f>IF(AND(Tabla145[[#This Row],[Venta del mes]]&gt;0,Tabla145[[#This Row],[Precio venta nueva]]=0),"Revisar","OK")</f>
        <v>OK</v>
      </c>
      <c r="BE111" s="20">
        <f>IFERROR(VLOOKUP(Tabla145[[#This Row],[Llave]],'[5]Consolidación planes'!$A:$M,9,FALSE),0)</f>
        <v>0</v>
      </c>
      <c r="BF111" s="20">
        <f>IFERROR(VLOOKUP(Tabla145[[#This Row],[Llave]],'[5]Consolidación planes'!$A:$M,10,FALSE),0)</f>
        <v>24000</v>
      </c>
      <c r="BG111" s="20">
        <f>IFERROR(VLOOKUP(Tabla145[[#This Row],[Llave]],'[5]Consolidación planes'!$A:$M,11,FALSE),0)</f>
        <v>72000</v>
      </c>
      <c r="BH111" s="20">
        <f>IFERROR(VLOOKUP(Tabla145[[#This Row],[Llave]],'[5]Consolidación planes'!$A:$M,12,FALSE),0)</f>
        <v>24000</v>
      </c>
      <c r="BI111" s="20">
        <f>IFERROR(VLOOKUP(Tabla145[[#This Row],[Llave]],'[5]Consolidación planes'!$A:$M,13,FALSE),0)</f>
        <v>72000</v>
      </c>
      <c r="BJ111" s="20">
        <f>IFERROR(VLOOKUP(Tabla145[[#This Row],[Llave]],'[13]Base ultimos planes'!$A:$M,13,FALSE),0)</f>
        <v>72000</v>
      </c>
      <c r="BK111" s="80">
        <f>IFERROR(VLOOKUP(Tabla145[[#This Row],[Llave]],'[13]Base ultimos planes'!$O:$AA,8,FALSE),0)</f>
        <v>0</v>
      </c>
      <c r="BL111" s="20">
        <f>IFERROR(VLOOKUP(Tabla145[[#This Row],[Llave]],'[13]Base ultimos planes'!$O:$AA,9,FALSE),0)</f>
        <v>13200</v>
      </c>
      <c r="BM111" s="20">
        <f>IFERROR(VLOOKUP(Tabla145[[#This Row],[Llave]],'[13]Base ultimos planes'!$O:$AA,10,FALSE),0)</f>
        <v>39600</v>
      </c>
      <c r="BN111" s="20">
        <f>IFERROR(VLOOKUP(Tabla145[[#This Row],[Llave]],'[13]Base ultimos planes'!$O:$AA,11,FALSE),0)</f>
        <v>12000</v>
      </c>
      <c r="BO111" s="20">
        <f>IFERROR(VLOOKUP(Tabla145[[#This Row],[Llave]],'[13]Base ultimos planes'!$O:$AA,12,FALSE),0)</f>
        <v>39600</v>
      </c>
      <c r="BP111" s="20">
        <f>IFERROR(VLOOKUP(Tabla145[[#This Row],[Llave]],'[13]Base ultimos planes'!$O:$AA,13,FALSE),0)</f>
        <v>39600</v>
      </c>
      <c r="BQ111" s="20"/>
      <c r="BR111" s="20">
        <f>Tabla145[[#This Row],[ RV Producción mes n+1]]*(1-Tabla145[[#This Row],[% Uti. producción]])</f>
        <v>0</v>
      </c>
      <c r="BS111" s="20">
        <f>+Tabla145[[#This Row],[Producción disponible mes n-1]]+Tabla145[[#This Row],[Saldo Volumen disponible]]</f>
        <v>3666.4000000000015</v>
      </c>
      <c r="BT111" s="7">
        <f>IFERROR(VLOOKUP(Tabla145[[#This Row],[Llave]],'[21]RV n+2 y n+3'!$B:$F,4,FALSE),0)</f>
        <v>0</v>
      </c>
      <c r="BU111" s="7">
        <f>+Tabla145[[#This Row],[Asignación mes n+2]]*Tabla145[[#This Row],[% Uti. producción]]</f>
        <v>0</v>
      </c>
      <c r="BV111" s="7">
        <f>+Tabla145[[#This Row],[Ponderación mes n+2]]+Tabla145[[#This Row],[Saldo mes n-1]]</f>
        <v>3666.4000000000015</v>
      </c>
      <c r="BW111" s="7">
        <f>+Tabla145[[#This Row],[Asignación mes n+2]]-Tabla145[[#This Row],[Ponderación mes n+2]]</f>
        <v>0</v>
      </c>
      <c r="BX111" s="7">
        <f>IFERROR(VLOOKUP(Tabla145[[#This Row],[Llave]],'[21]RV n+2 y n+3'!$B:$F,5,FALSE),0)</f>
        <v>0</v>
      </c>
      <c r="BY111" s="7">
        <f>+Tabla145[[#This Row],[Asignación mes n+3]]*Tabla145[[#This Row],[% Uti. producción]]</f>
        <v>0</v>
      </c>
      <c r="BZ111" s="3">
        <f>+Tabla145[[#This Row],[Ponderación mes n+3]]+Tabla145[[#This Row],[Saldo mes n+2]]</f>
        <v>0</v>
      </c>
      <c r="CA111" s="3">
        <f>+Tabla145[[#This Row],[Asignación mes n+3]]-Tabla145[[#This Row],[Ponderación mes n+3]]</f>
        <v>0</v>
      </c>
      <c r="CB111" s="3">
        <f>+Tabla145[[#This Row],[Producción disponible mes n-1]]+Tabla145[[#This Row],[Producción disponible]]</f>
        <v>0</v>
      </c>
      <c r="CC111" s="3">
        <f>+Tabla145[[#This Row],[Saldo mes n+4]]-Tabla145[[#This Row],[ RV Producción mes n+1]]</f>
        <v>0</v>
      </c>
    </row>
    <row r="112" spans="1:81" ht="16" x14ac:dyDescent="0.2">
      <c r="A112">
        <v>1</v>
      </c>
      <c r="B112" t="str">
        <f>Tabla145[[#This Row],[Oficina]]&amp;Tabla145[[#This Row],[Material]]</f>
        <v>Agrosuper Brasil1023334</v>
      </c>
      <c r="C112" t="s">
        <v>6</v>
      </c>
      <c r="D112" t="s">
        <v>7</v>
      </c>
      <c r="E112">
        <v>1023334</v>
      </c>
      <c r="F112" t="s">
        <v>276</v>
      </c>
      <c r="G112" t="s">
        <v>8</v>
      </c>
      <c r="H112" t="s">
        <v>32</v>
      </c>
      <c r="I112" s="7">
        <f>IFERROR(VLOOKUP(Tabla145[[#This Row],[Llave]],'[7]RV Producción'!$C:$G,5,FALSE),0)</f>
        <v>0</v>
      </c>
      <c r="J112" s="3">
        <f>IFERROR(IF(Tabla145[[#This Row],[Oficina]]=$I$7,VLOOKUP(Tabla145[[#This Row],[Llave]],'[7]Shangai (Tomas)'!$A:$F,6,FALSE),VLOOKUP(Tabla145[[#This Row],[Llave]],'[7]RV plan de ventas'!$A:$E,5,FALSE)),0)</f>
        <v>1069</v>
      </c>
      <c r="K112" s="8">
        <f>IFERROR(VLOOKUP(Tabla145[[#This Row],[Oficina]],[15]Ponderación!$B$2:$E$9,4,FALSE),0)</f>
        <v>0.81420840482290169</v>
      </c>
      <c r="L112" s="7">
        <f>+Tabla145[[#This Row],[ RV Producción mes n+1]]*Tabla145[[#This Row],[% Uti. producción]]</f>
        <v>0</v>
      </c>
      <c r="M112" s="7">
        <f>IFERROR(VLOOKUP(Tabla145[[#This Row],[Material]],[16]Stock!$G:$K,5,FALSE),0)</f>
        <v>77994</v>
      </c>
      <c r="N112" s="7">
        <f>IFERROR(VLOOKUP(Tabla145[[#This Row],[Material]],[16]Produccion!$M:$N,2,FALSE),0)</f>
        <v>0</v>
      </c>
      <c r="O112" s="7">
        <f>IFERROR(VLOOKUP(Tabla145[[#This Row],[Llave]],'[16]TD Conf-AP'!$I:$M,4,FALSE),0)</f>
        <v>0</v>
      </c>
      <c r="P112" s="14">
        <f>SUM(Tabla145[[#This Row],[Producción disponible]],Tabla145[[#This Row],[Stock al día]],(Tabla145[[#This Row],[Por producir mes N]]*0.9))-Tabla145[[#This Row],[Producción por despachar mes N]]</f>
        <v>77994</v>
      </c>
      <c r="Q112" s="7">
        <f>IFERROR(VLOOKUP(Tabla145[[#This Row],[Llave]],[17]DELAY!$A:$D,4,FALSE),0)</f>
        <v>120000</v>
      </c>
      <c r="R112" s="9">
        <v>24000</v>
      </c>
      <c r="S112" s="5">
        <f t="shared" si="6"/>
        <v>72000</v>
      </c>
      <c r="T112" s="76">
        <v>0</v>
      </c>
      <c r="U112" s="5">
        <f>+Tabla145[[#This Row],[Atraso a facturar]]+Tabla145[[#This Row],[Ajuste atraso]]</f>
        <v>72000</v>
      </c>
      <c r="V112" s="3">
        <f>+Tabla145[[#This Row],[Total disponible]]-Tabla145[[#This Row],[Facturación atraso]]</f>
        <v>5994</v>
      </c>
      <c r="W112" s="6">
        <f>IFERROR(IF(AND(V112&gt;R112,J112&gt;=R112),ROUNDDOWN((Tabla145[[#This Row],[Producción para venta nueva]])/R112,0)*R112,0),0)</f>
        <v>0</v>
      </c>
      <c r="X112" s="76">
        <v>0</v>
      </c>
      <c r="Y112" s="6">
        <f>IF(Tabla145[[#This Row],[Venta del mes]]&gt;0,Tabla145[[#This Row],[Venta del mes]]+Tabla145[[#This Row],[Ajuste venta nueva]],0)</f>
        <v>0</v>
      </c>
      <c r="Z112" s="6">
        <f>+Tabla145[[#This Row],[Producción para venta nueva]]-Tabla145[[#This Row],[Facturación Venta nueva]]</f>
        <v>5994</v>
      </c>
      <c r="AA112" s="6">
        <f>IF(AND(A112=1,Tabla145[[#This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2" s="6">
        <v>0</v>
      </c>
      <c r="AC112" s="6">
        <f>IF(Tabla145[[#This Row],[Disponible stock sin venta]]&gt;0,Tabla145[[#This Row],[Disponible stock sin venta]]+Tabla145[[#This Row],[Ajuste stock sin venta]],0)</f>
        <v>0</v>
      </c>
      <c r="AD112" s="3">
        <f>IFERROR(VLOOKUP(Tabla145[[#This Row],[Llave]],'[16]TD Puerto'!$A:$D,4,FALSE),0)</f>
        <v>0</v>
      </c>
      <c r="AE112" s="3">
        <v>24000</v>
      </c>
      <c r="AF112" s="3">
        <f>+Tabla145[[#This Row],[Plan Irrestricto Inicial]]</f>
        <v>24000</v>
      </c>
      <c r="AG112" s="3">
        <f>+Tabla145[[#This Row],[En puerto a facturar]]</f>
        <v>0</v>
      </c>
      <c r="AH112" s="3">
        <f>+Tabla145[[#This Row],[Facturación atraso]]</f>
        <v>72000</v>
      </c>
      <c r="AI112" s="3">
        <f>+Tabla145[[#This Row],[Plan Irrestricto]]-Tabla145[[#This Row],[Puerto ]]-Tabla145[[#This Row],[Atraso]]</f>
        <v>-48000</v>
      </c>
      <c r="AJ112" s="3">
        <f>IF(Tabla145[[#This Row],[Plan Irrestricto]]&gt;0,SUM(Tabla145[[#This Row],[Facturación atraso]],Tabla145[[#This Row],[Facturación Venta nueva]],Tabla145[[#This Row],[Facturación stock]],Tabla145[[#This Row],[En puerto a facturar]]),0)</f>
        <v>72000</v>
      </c>
      <c r="AK112" s="3">
        <f>+Tabla145[[#This Row],[Facturación atraso]]</f>
        <v>72000</v>
      </c>
      <c r="AL112" s="3">
        <f>+Tabla145[[#This Row],[Plan Ajustado]]-Tabla145[[#This Row],[ Atraso ajustado]]-Tabla145[[#This Row],[Puerto ]]</f>
        <v>0</v>
      </c>
      <c r="AM112" s="6">
        <f>IFERROR(VLOOKUP(Tabla145[[#This Row],[Llave]],[18]!Tabla14[#All],34,FALSE),0)</f>
        <v>0</v>
      </c>
      <c r="AN112" s="6">
        <f>IFERROR(VLOOKUP(Tabla145[[#This Row],[Llave]],[18]!Tabla14[#All],35,FALSE),0)</f>
        <v>0</v>
      </c>
      <c r="AO112" s="3" t="str">
        <f>IF(Tabla145[[#This Row],[Plan Ajustado]]&gt;Tabla145[[#This Row],[En puerto a facturar]],"Si","No")</f>
        <v>Si</v>
      </c>
      <c r="AP112" s="3">
        <f>IF(AND(Tabla145[[#This Row],[Plan Ajustado]]&gt;0,Tabla145[[#This Row],[Plan Ajustado]]&gt;Tabla145[[#This Row],[En puerto a facturar]]),(Tabla145[[#This Row],[Plan Ajustado]]-Tabla145[[#This Row],[En puerto a facturar]]),0)</f>
        <v>72000</v>
      </c>
      <c r="AQ112" s="3">
        <f>IF(Tabla145[[#This Row],[Necesidad]]&gt;=Tabla145[[#This Row],[Stock al día]],Tabla145[[#This Row],[Stock al día]],Tabla145[[#This Row],[Necesidad]])</f>
        <v>72000</v>
      </c>
      <c r="AR112" s="3">
        <f>+Tabla145[[#This Row],[Necesidad]]-Tabla145[[#This Row],[Stock Plan]]</f>
        <v>0</v>
      </c>
      <c r="AS112" s="155">
        <f>IFERROR(VLOOKUP(Tabla145[[#This Row],[Oficina]],[19]Ponderación!$B$14:$E$21,4,FALSE),"")</f>
        <v>44798</v>
      </c>
      <c r="AT11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0.53975678203928901</v>
      </c>
      <c r="AU112" s="83">
        <f>IFERROR(VLOOKUP(Tabla145[[#This Row],[Llave]],[17]DELAY!$H:$W,16,FALSE),0)</f>
        <v>0.65</v>
      </c>
      <c r="AV11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0.65</v>
      </c>
      <c r="AW112" s="5">
        <f>Tabla145[[#This Row],[Ajuste precio IC]]*Tabla145[[#This Row],[Plan Ajustado]]</f>
        <v>43200</v>
      </c>
      <c r="AX112" s="30">
        <f>IFERROR(VLOOKUP(Tabla145[[#This Row],[Llave]],'[13]Ultimos precios facturados'!$A:$G,7,FALSE),0)</f>
        <v>0.65</v>
      </c>
      <c r="AY11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</v>
      </c>
      <c r="AZ112" s="30">
        <f>IFERROR(VLOOKUP(Tabla145[[#This Row],[Llave]],Hoja2!B:K,10,FALSE),0)</f>
        <v>0.6</v>
      </c>
      <c r="BA112" s="30">
        <f>IF(Tabla145[[#This Row],[Ajuste precio IC]]="",Tabla145[[#This Row],[Precio ponderado]],Tabla145[[#This Row],[Precio ponderado]])</f>
        <v>0.65</v>
      </c>
      <c r="BB112" s="82"/>
      <c r="BC112" s="82" t="str">
        <f>IF(AND(Tabla145[[#This Row],[Atraso a facturar]]&gt;0,Tabla145[[#This Row],[Precio Atraso]]=0),"Revisar","OK")</f>
        <v>OK</v>
      </c>
      <c r="BD112" s="82" t="str">
        <f>IF(AND(Tabla145[[#This Row],[Venta del mes]]&gt;0,Tabla145[[#This Row],[Precio venta nueva]]=0),"Revisar","OK")</f>
        <v>OK</v>
      </c>
      <c r="BE112" s="20">
        <f>IFERROR(VLOOKUP(Tabla145[[#This Row],[Llave]],'[5]Consolidación planes'!$A:$M,9,FALSE),0)</f>
        <v>0</v>
      </c>
      <c r="BF112" s="20">
        <f>IFERROR(VLOOKUP(Tabla145[[#This Row],[Llave]],'[5]Consolidación planes'!$A:$M,10,FALSE),0)</f>
        <v>72000</v>
      </c>
      <c r="BG112" s="20">
        <f>IFERROR(VLOOKUP(Tabla145[[#This Row],[Llave]],'[5]Consolidación planes'!$A:$M,11,FALSE),0)</f>
        <v>144000</v>
      </c>
      <c r="BH112" s="20">
        <f>IFERROR(VLOOKUP(Tabla145[[#This Row],[Llave]],'[5]Consolidación planes'!$A:$M,12,FALSE),0)</f>
        <v>168000</v>
      </c>
      <c r="BI112" s="20">
        <f>IFERROR(VLOOKUP(Tabla145[[#This Row],[Llave]],'[5]Consolidación planes'!$A:$M,13,FALSE),0)</f>
        <v>48000</v>
      </c>
      <c r="BJ112" s="20">
        <f>IFERROR(VLOOKUP(Tabla145[[#This Row],[Llave]],'[13]Base ultimos planes'!$A:$M,13,FALSE),0)</f>
        <v>72000</v>
      </c>
      <c r="BK112" s="80">
        <f>IFERROR(VLOOKUP(Tabla145[[#This Row],[Llave]],'[13]Base ultimos planes'!$O:$AA,8,FALSE),0)</f>
        <v>0</v>
      </c>
      <c r="BL112" s="20">
        <f>IFERROR(VLOOKUP(Tabla145[[#This Row],[Llave]],'[13]Base ultimos planes'!$O:$AA,9,FALSE),0)</f>
        <v>46800</v>
      </c>
      <c r="BM112" s="20">
        <f>IFERROR(VLOOKUP(Tabla145[[#This Row],[Llave]],'[13]Base ultimos planes'!$O:$AA,10,FALSE),0)</f>
        <v>93600</v>
      </c>
      <c r="BN112" s="20">
        <f>IFERROR(VLOOKUP(Tabla145[[#This Row],[Llave]],'[13]Base ultimos planes'!$O:$AA,11,FALSE),0)</f>
        <v>100800</v>
      </c>
      <c r="BO112" s="20">
        <f>IFERROR(VLOOKUP(Tabla145[[#This Row],[Llave]],'[13]Base ultimos planes'!$O:$AA,12,FALSE),0)</f>
        <v>29760</v>
      </c>
      <c r="BP112" s="20">
        <f>IFERROR(VLOOKUP(Tabla145[[#This Row],[Llave]],'[13]Base ultimos planes'!$O:$AA,13,FALSE),0)</f>
        <v>46800</v>
      </c>
      <c r="BQ112" s="20"/>
      <c r="BR112" s="20">
        <f>Tabla145[[#This Row],[ RV Producción mes n+1]]*(1-Tabla145[[#This Row],[% Uti. producción]])</f>
        <v>0</v>
      </c>
      <c r="BS112" s="20">
        <f>+Tabla145[[#This Row],[Producción disponible mes n-1]]+Tabla145[[#This Row],[Saldo Volumen disponible]]</f>
        <v>5994</v>
      </c>
      <c r="BT112" s="7">
        <f>IFERROR(VLOOKUP(Tabla145[[#This Row],[Llave]],'[21]RV n+2 y n+3'!$B:$F,4,FALSE),0)</f>
        <v>0</v>
      </c>
      <c r="BU112" s="7">
        <f>+Tabla145[[#This Row],[Asignación mes n+2]]*Tabla145[[#This Row],[% Uti. producción]]</f>
        <v>0</v>
      </c>
      <c r="BV112" s="7">
        <f>+Tabla145[[#This Row],[Ponderación mes n+2]]+Tabla145[[#This Row],[Saldo mes n-1]]</f>
        <v>5994</v>
      </c>
      <c r="BW112" s="7">
        <f>+Tabla145[[#This Row],[Asignación mes n+2]]-Tabla145[[#This Row],[Ponderación mes n+2]]</f>
        <v>0</v>
      </c>
      <c r="BX112" s="7">
        <f>IFERROR(VLOOKUP(Tabla145[[#This Row],[Llave]],'[21]RV n+2 y n+3'!$B:$F,5,FALSE),0)</f>
        <v>0</v>
      </c>
      <c r="BY112" s="7">
        <f>+Tabla145[[#This Row],[Asignación mes n+3]]*Tabla145[[#This Row],[% Uti. producción]]</f>
        <v>0</v>
      </c>
      <c r="BZ112" s="3">
        <f>+Tabla145[[#This Row],[Ponderación mes n+3]]+Tabla145[[#This Row],[Saldo mes n+2]]</f>
        <v>0</v>
      </c>
      <c r="CA112" s="3">
        <f>+Tabla145[[#This Row],[Asignación mes n+3]]-Tabla145[[#This Row],[Ponderación mes n+3]]</f>
        <v>0</v>
      </c>
      <c r="CB112" s="3">
        <f>+Tabla145[[#This Row],[Producción disponible mes n-1]]+Tabla145[[#This Row],[Producción disponible]]</f>
        <v>0</v>
      </c>
      <c r="CC112" s="3">
        <f>+Tabla145[[#This Row],[Saldo mes n+4]]-Tabla145[[#This Row],[ RV Producción mes n+1]]</f>
        <v>0</v>
      </c>
    </row>
    <row r="113" spans="1:81" ht="16" x14ac:dyDescent="0.2">
      <c r="A113">
        <v>1</v>
      </c>
      <c r="B113" t="str">
        <f>Tabla145[[#This Row],[Oficina]]&amp;Tabla145[[#This Row],[Material]]</f>
        <v>Agrosuper Brasil1023336</v>
      </c>
      <c r="C113" t="s">
        <v>6</v>
      </c>
      <c r="D113" t="s">
        <v>7</v>
      </c>
      <c r="E113">
        <v>1023336</v>
      </c>
      <c r="F113" t="s">
        <v>276</v>
      </c>
      <c r="G113" t="s">
        <v>8</v>
      </c>
      <c r="H113" t="s">
        <v>32</v>
      </c>
      <c r="I113" s="7">
        <f>IFERROR(VLOOKUP(Tabla145[[#This Row],[Llave]],'[7]RV Producción'!$C:$G,5,FALSE),0)</f>
        <v>0</v>
      </c>
      <c r="J113" s="3">
        <f>IFERROR(IF(Tabla145[[#This Row],[Oficina]]=$I$7,VLOOKUP(Tabla145[[#This Row],[Llave]],'[7]Shangai (Tomas)'!$A:$F,6,FALSE),VLOOKUP(Tabla145[[#This Row],[Llave]],'[7]RV plan de ventas'!$A:$E,5,FALSE)),0)</f>
        <v>0</v>
      </c>
      <c r="K113" s="8">
        <f>IFERROR(VLOOKUP(Tabla145[[#This Row],[Oficina]],[15]Ponderación!$B$2:$E$9,4,FALSE),0)</f>
        <v>0.81420840482290169</v>
      </c>
      <c r="L113" s="7">
        <f>+Tabla145[[#This Row],[ RV Producción mes n+1]]*Tabla145[[#This Row],[% Uti. producción]]</f>
        <v>0</v>
      </c>
      <c r="M113" s="7">
        <f>IFERROR(VLOOKUP(Tabla145[[#This Row],[Material]],[16]Stock!$G:$K,5,FALSE),0)</f>
        <v>6753</v>
      </c>
      <c r="N113" s="7">
        <f>IFERROR(VLOOKUP(Tabla145[[#This Row],[Material]],[16]Produccion!$M:$N,2,FALSE),0)</f>
        <v>0</v>
      </c>
      <c r="O113" s="7">
        <f>IFERROR(VLOOKUP(Tabla145[[#This Row],[Llave]],'[16]TD Conf-AP'!$I:$M,4,FALSE),0)</f>
        <v>0</v>
      </c>
      <c r="P113" s="14">
        <f>SUM(Tabla145[[#This Row],[Producción disponible]],Tabla145[[#This Row],[Stock al día]],(Tabla145[[#This Row],[Por producir mes N]]*0.9))-Tabla145[[#This Row],[Producción por despachar mes N]]</f>
        <v>6753</v>
      </c>
      <c r="Q113" s="7">
        <f>IFERROR(VLOOKUP(Tabla145[[#This Row],[Llave]],[17]DELAY!$A:$D,4,FALSE),0)</f>
        <v>0</v>
      </c>
      <c r="R113" s="9">
        <v>24000</v>
      </c>
      <c r="S113" s="5">
        <f t="shared" si="6"/>
        <v>0</v>
      </c>
      <c r="T113" s="76">
        <v>0</v>
      </c>
      <c r="U113" s="5">
        <f>+Tabla145[[#This Row],[Atraso a facturar]]+Tabla145[[#This Row],[Ajuste atraso]]</f>
        <v>0</v>
      </c>
      <c r="V113" s="3">
        <f>+Tabla145[[#This Row],[Total disponible]]-Tabla145[[#This Row],[Facturación atraso]]</f>
        <v>6753</v>
      </c>
      <c r="W113" s="6">
        <f>IFERROR(IF(AND(V113&gt;R113,J113&gt;=R113),ROUNDDOWN((Tabla145[[#This Row],[Producción para venta nueva]])/R113,0)*R113,0),0)</f>
        <v>0</v>
      </c>
      <c r="X113" s="76">
        <v>0</v>
      </c>
      <c r="Y113" s="6">
        <f>IF(Tabla145[[#This Row],[Venta del mes]]&gt;0,Tabla145[[#This Row],[Venta del mes]]+Tabla145[[#This Row],[Ajuste venta nueva]],0)</f>
        <v>0</v>
      </c>
      <c r="Z113" s="6">
        <f>+Tabla145[[#This Row],[Producción para venta nueva]]-Tabla145[[#This Row],[Facturación Venta nueva]]</f>
        <v>6753</v>
      </c>
      <c r="AA113" s="6">
        <f>IF(AND(A113=1,Tabla145[[#This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3" s="6">
        <v>0</v>
      </c>
      <c r="AC113" s="6">
        <f>IF(Tabla145[[#This Row],[Disponible stock sin venta]]&gt;0,Tabla145[[#This Row],[Disponible stock sin venta]]+Tabla145[[#This Row],[Ajuste stock sin venta]],0)</f>
        <v>0</v>
      </c>
      <c r="AD113" s="3">
        <f>IFERROR(VLOOKUP(Tabla145[[#This Row],[Llave]],'[16]TD Puerto'!$A:$D,4,FALSE),0)</f>
        <v>0</v>
      </c>
      <c r="AE113" s="3">
        <v>24000</v>
      </c>
      <c r="AF113" s="3">
        <f>+Tabla145[[#This Row],[Plan Irrestricto Inicial]]</f>
        <v>24000</v>
      </c>
      <c r="AG113" s="3">
        <f>+Tabla145[[#This Row],[En puerto a facturar]]</f>
        <v>0</v>
      </c>
      <c r="AH113" s="3">
        <f>+Tabla145[[#This Row],[Facturación atraso]]</f>
        <v>0</v>
      </c>
      <c r="AI113" s="3">
        <f>+Tabla145[[#This Row],[Plan Irrestricto]]-Tabla145[[#This Row],[Puerto ]]-Tabla145[[#This Row],[Atraso]]</f>
        <v>24000</v>
      </c>
      <c r="AJ11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13" s="3">
        <f>+Tabla145[[#This Row],[Facturación atraso]]</f>
        <v>0</v>
      </c>
      <c r="AL113" s="3">
        <f>+Tabla145[[#This Row],[Plan Ajustado]]-Tabla145[[#This Row],[ Atraso ajustado]]-Tabla145[[#This Row],[Puerto ]]</f>
        <v>0</v>
      </c>
      <c r="AM113" s="6">
        <f>IFERROR(VLOOKUP(Tabla145[[#This Row],[Llave]],[18]!Tabla14[#All],34,FALSE),0)</f>
        <v>0</v>
      </c>
      <c r="AN113" s="6">
        <f>IFERROR(VLOOKUP(Tabla145[[#This Row],[Llave]],[18]!Tabla14[#All],35,FALSE),0)</f>
        <v>0</v>
      </c>
      <c r="AO113" s="3" t="str">
        <f>IF(Tabla145[[#This Row],[Plan Ajustado]]&gt;Tabla145[[#This Row],[En puerto a facturar]],"Si","No")</f>
        <v>No</v>
      </c>
      <c r="AP11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13" s="3">
        <f>IF(Tabla145[[#This Row],[Necesidad]]&gt;=Tabla145[[#This Row],[Stock al día]],Tabla145[[#This Row],[Stock al día]],Tabla145[[#This Row],[Necesidad]])</f>
        <v>0</v>
      </c>
      <c r="AR113" s="3">
        <f>+Tabla145[[#This Row],[Necesidad]]-Tabla145[[#This Row],[Stock Plan]]</f>
        <v>0</v>
      </c>
      <c r="AS113" s="155">
        <f>IFERROR(VLOOKUP(Tabla145[[#This Row],[Oficina]],[19]Ponderación!$B$14:$E$21,4,FALSE),"")</f>
        <v>44798</v>
      </c>
      <c r="AT11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0.65</v>
      </c>
      <c r="AU113" s="84">
        <f>+Tabla145[[#This Row],[Precio venta nueva]]</f>
        <v>0.65</v>
      </c>
      <c r="AV11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13" s="5">
        <f>Tabla145[[#This Row],[Ajuste precio IC]]*Tabla145[[#This Row],[Plan Ajustado]]</f>
        <v>0</v>
      </c>
      <c r="AX113" s="30">
        <f>IFERROR(VLOOKUP(Tabla145[[#This Row],[Llave]],'[13]Ultimos precios facturados'!$A:$G,7,FALSE),0)</f>
        <v>0.65</v>
      </c>
      <c r="AY11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13" s="30">
        <f>IFERROR(VLOOKUP(Tabla145[[#This Row],[Llave]],Hoja2!B:K,10,FALSE),0)</f>
        <v>0</v>
      </c>
      <c r="BA113" s="30">
        <f>IF(Tabla145[[#This Row],[Ajuste precio IC]]="",Tabla145[[#This Row],[Precio ponderado]],Tabla145[[#This Row],[Precio ponderado]])</f>
        <v>0</v>
      </c>
      <c r="BB113" s="82"/>
      <c r="BC113" s="82" t="str">
        <f>IF(AND(Tabla145[[#This Row],[Atraso a facturar]]&gt;0,Tabla145[[#This Row],[Precio Atraso]]=0),"Revisar","OK")</f>
        <v>OK</v>
      </c>
      <c r="BD113" s="82" t="str">
        <f>IF(AND(Tabla145[[#This Row],[Venta del mes]]&gt;0,Tabla145[[#This Row],[Precio venta nueva]]=0),"Revisar","OK")</f>
        <v>OK</v>
      </c>
      <c r="BE113" s="20">
        <f>IFERROR(VLOOKUP(Tabla145[[#This Row],[Llave]],'[5]Consolidación planes'!$A:$M,9,FALSE),0)</f>
        <v>0</v>
      </c>
      <c r="BF113" s="20">
        <f>IFERROR(VLOOKUP(Tabla145[[#This Row],[Llave]],'[5]Consolidación planes'!$A:$M,10,FALSE),0)</f>
        <v>24000</v>
      </c>
      <c r="BG113" s="20">
        <f>IFERROR(VLOOKUP(Tabla145[[#This Row],[Llave]],'[5]Consolidación planes'!$A:$M,11,FALSE),0)</f>
        <v>24000</v>
      </c>
      <c r="BH113" s="20">
        <f>IFERROR(VLOOKUP(Tabla145[[#This Row],[Llave]],'[5]Consolidación planes'!$A:$M,12,FALSE),0)</f>
        <v>24000</v>
      </c>
      <c r="BI113" s="20">
        <f>IFERROR(VLOOKUP(Tabla145[[#This Row],[Llave]],'[5]Consolidación planes'!$A:$M,13,FALSE),0)</f>
        <v>72000</v>
      </c>
      <c r="BJ113" s="20">
        <f>IFERROR(VLOOKUP(Tabla145[[#This Row],[Llave]],'[13]Base ultimos planes'!$A:$M,13,FALSE),0)</f>
        <v>0</v>
      </c>
      <c r="BK113" s="80">
        <f>IFERROR(VLOOKUP(Tabla145[[#This Row],[Llave]],'[13]Base ultimos planes'!$O:$AA,8,FALSE),0)</f>
        <v>0</v>
      </c>
      <c r="BL113" s="20">
        <f>IFERROR(VLOOKUP(Tabla145[[#This Row],[Llave]],'[13]Base ultimos planes'!$O:$AA,9,FALSE),0)</f>
        <v>15600</v>
      </c>
      <c r="BM113" s="20">
        <f>IFERROR(VLOOKUP(Tabla145[[#This Row],[Llave]],'[13]Base ultimos planes'!$O:$AA,10,FALSE),0)</f>
        <v>15600</v>
      </c>
      <c r="BN113" s="20">
        <f>IFERROR(VLOOKUP(Tabla145[[#This Row],[Llave]],'[13]Base ultimos planes'!$O:$AA,11,FALSE),0)</f>
        <v>14400</v>
      </c>
      <c r="BO113" s="20">
        <f>IFERROR(VLOOKUP(Tabla145[[#This Row],[Llave]],'[13]Base ultimos planes'!$O:$AA,12,FALSE),0)</f>
        <v>46800</v>
      </c>
      <c r="BP113" s="20">
        <f>IFERROR(VLOOKUP(Tabla145[[#This Row],[Llave]],'[13]Base ultimos planes'!$O:$AA,13,FALSE),0)</f>
        <v>0</v>
      </c>
      <c r="BQ113" s="20"/>
      <c r="BR113" s="20">
        <f>Tabla145[[#This Row],[ RV Producción mes n+1]]*(1-Tabla145[[#This Row],[% Uti. producción]])</f>
        <v>0</v>
      </c>
      <c r="BS113" s="20">
        <f>+Tabla145[[#This Row],[Producción disponible mes n-1]]+Tabla145[[#This Row],[Saldo Volumen disponible]]</f>
        <v>6753</v>
      </c>
      <c r="BT113" s="7">
        <f>IFERROR(VLOOKUP(Tabla145[[#This Row],[Llave]],'[21]RV n+2 y n+3'!$B:$F,4,FALSE),0)</f>
        <v>0</v>
      </c>
      <c r="BU113" s="7">
        <f>+Tabla145[[#This Row],[Asignación mes n+2]]*Tabla145[[#This Row],[% Uti. producción]]</f>
        <v>0</v>
      </c>
      <c r="BV113" s="7">
        <f>+Tabla145[[#This Row],[Ponderación mes n+2]]+Tabla145[[#This Row],[Saldo mes n-1]]</f>
        <v>6753</v>
      </c>
      <c r="BW113" s="7">
        <f>+Tabla145[[#This Row],[Asignación mes n+2]]-Tabla145[[#This Row],[Ponderación mes n+2]]</f>
        <v>0</v>
      </c>
      <c r="BX113" s="7">
        <f>IFERROR(VLOOKUP(Tabla145[[#This Row],[Llave]],'[21]RV n+2 y n+3'!$B:$F,5,FALSE),0)</f>
        <v>0</v>
      </c>
      <c r="BY113" s="7">
        <f>+Tabla145[[#This Row],[Asignación mes n+3]]*Tabla145[[#This Row],[% Uti. producción]]</f>
        <v>0</v>
      </c>
      <c r="BZ113" s="3">
        <f>+Tabla145[[#This Row],[Ponderación mes n+3]]+Tabla145[[#This Row],[Saldo mes n+2]]</f>
        <v>0</v>
      </c>
      <c r="CA113" s="3">
        <f>+Tabla145[[#This Row],[Asignación mes n+3]]-Tabla145[[#This Row],[Ponderación mes n+3]]</f>
        <v>0</v>
      </c>
      <c r="CB113" s="3">
        <f>+Tabla145[[#This Row],[Producción disponible mes n-1]]+Tabla145[[#This Row],[Producción disponible]]</f>
        <v>0</v>
      </c>
      <c r="CC113" s="3">
        <f>+Tabla145[[#This Row],[Saldo mes n+4]]-Tabla145[[#This Row],[ RV Producción mes n+1]]</f>
        <v>0</v>
      </c>
    </row>
    <row r="114" spans="1:81" ht="16" x14ac:dyDescent="0.2">
      <c r="A114">
        <v>2</v>
      </c>
      <c r="B114" t="str">
        <f>Tabla145[[#This Row],[Oficina]]&amp;Tabla145[[#This Row],[Material]]</f>
        <v>Agrosuper Shanghai1023109</v>
      </c>
      <c r="C114" t="s">
        <v>6</v>
      </c>
      <c r="D114" t="s">
        <v>140</v>
      </c>
      <c r="E114">
        <v>1023109</v>
      </c>
      <c r="F114" t="s">
        <v>148</v>
      </c>
      <c r="G114" t="s">
        <v>11</v>
      </c>
      <c r="H114" t="s">
        <v>41</v>
      </c>
      <c r="I114" s="7">
        <f>IFERROR(VLOOKUP(Tabla145[[#This Row],[Llave]],'[7]RV Producción'!$C:$G,5,FALSE),0)</f>
        <v>0</v>
      </c>
      <c r="J114" s="3">
        <f>IFERROR(IF(Tabla145[[#This Row],[Oficina]]=$I$7,VLOOKUP(Tabla145[[#This Row],[Llave]],'[7]Shangai (Tomas)'!$A:$F,6,FALSE),VLOOKUP(Tabla145[[#This Row],[Llave]],'[7]RV plan de ventas'!$A:$E,5,FALSE)),0)</f>
        <v>0</v>
      </c>
      <c r="K114" s="8">
        <f>IFERROR(VLOOKUP(Tabla145[[#This Row],[Oficina]],[15]Ponderación!$B$2:$E$9,4,FALSE),0)</f>
        <v>0.45719439678473212</v>
      </c>
      <c r="L114" s="7">
        <f>+Tabla145[[#This Row],[ RV Producción mes n+1]]*Tabla145[[#This Row],[% Uti. producción]]</f>
        <v>0</v>
      </c>
      <c r="M114" s="7">
        <f>IFERROR(VLOOKUP(Tabla145[[#This Row],[Material]],[16]Stock!$G:$K,5,FALSE),0)</f>
        <v>69444</v>
      </c>
      <c r="N114" s="7">
        <f>IFERROR(VLOOKUP(Tabla145[[#This Row],[Material]],[16]Produccion!$M:$N,2,FALSE),0)</f>
        <v>819</v>
      </c>
      <c r="O114" s="7">
        <f>IFERROR(VLOOKUP(Tabla145[[#This Row],[Llave]],'[16]TD Conf-AP'!$I:$M,4,FALSE),0)</f>
        <v>0</v>
      </c>
      <c r="P114" s="14">
        <f>SUM(Tabla145[[#This Row],[Producción disponible]],Tabla145[[#This Row],[Stock al día]],(Tabla145[[#This Row],[Por producir mes N]]*0.9))-Tabla145[[#This Row],[Producción por despachar mes N]]</f>
        <v>70181.100000000006</v>
      </c>
      <c r="Q114" s="7">
        <f>IFERROR(VLOOKUP(Tabla145[[#This Row],[Llave]],[17]DELAY!$A:$D,4,FALSE),0)</f>
        <v>0</v>
      </c>
      <c r="R114" s="9">
        <v>24000</v>
      </c>
      <c r="S114" s="5">
        <f t="shared" si="6"/>
        <v>0</v>
      </c>
      <c r="T114" s="76"/>
      <c r="U114" s="5">
        <f>+Tabla145[[#This Row],[Atraso a facturar]]+Tabla145[[#This Row],[Ajuste atraso]]</f>
        <v>0</v>
      </c>
      <c r="V114" s="3">
        <f>+Tabla145[[#This Row],[Total disponible]]-Tabla145[[#This Row],[Facturación atraso]]</f>
        <v>70181.100000000006</v>
      </c>
      <c r="W114" s="6">
        <f>IFERROR(IF(AND(V114&gt;R114,J114&gt;=R114),ROUNDDOWN((Tabla145[[#This Row],[Producción para venta nueva]])/R114,0)*R114,0),0)</f>
        <v>0</v>
      </c>
      <c r="X114" s="76">
        <v>0</v>
      </c>
      <c r="Y114" s="6">
        <f>IF(Tabla145[[#This Row],[Venta del mes]]&gt;0,Tabla145[[#This Row],[Venta del mes]]+Tabla145[[#This Row],[Ajuste venta nueva]],0)</f>
        <v>0</v>
      </c>
      <c r="Z114" s="6">
        <f>+Tabla145[[#This Row],[Producción para venta nueva]]-Tabla145[[#This Row],[Facturación Venta nueva]]</f>
        <v>70181.100000000006</v>
      </c>
      <c r="AA114" s="6">
        <f>IF(AND(A114=1,Tabla145[[#This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4" s="6">
        <v>0</v>
      </c>
      <c r="AC114" s="6">
        <f>IF(Tabla145[[#This Row],[Disponible stock sin venta]]&gt;0,Tabla145[[#This Row],[Disponible stock sin venta]]+Tabla145[[#This Row],[Ajuste stock sin venta]],0)</f>
        <v>0</v>
      </c>
      <c r="AD114" s="3">
        <f>IFERROR(VLOOKUP(Tabla145[[#This Row],[Llave]],'[16]TD Puerto'!$A:$D,4,FALSE),0)</f>
        <v>0</v>
      </c>
      <c r="AE114" s="3">
        <v>0</v>
      </c>
      <c r="AF114" s="3">
        <f>+Tabla145[[#This Row],[Plan Irrestricto Inicial]]</f>
        <v>0</v>
      </c>
      <c r="AG114" s="3">
        <f>+Tabla145[[#This Row],[En puerto a facturar]]</f>
        <v>0</v>
      </c>
      <c r="AH114" s="3">
        <f>+Tabla145[[#This Row],[Facturación atraso]]</f>
        <v>0</v>
      </c>
      <c r="AI114" s="3">
        <f>+Tabla145[[#This Row],[Plan Irrestricto]]-Tabla145[[#This Row],[Puerto ]]-Tabla145[[#This Row],[Atraso]]</f>
        <v>0</v>
      </c>
      <c r="AJ11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14" s="3">
        <f>+Tabla145[[#This Row],[Facturación atraso]]</f>
        <v>0</v>
      </c>
      <c r="AL114" s="3">
        <f>+Tabla145[[#This Row],[Plan Ajustado]]-Tabla145[[#This Row],[ Atraso ajustado]]-Tabla145[[#This Row],[Puerto ]]</f>
        <v>0</v>
      </c>
      <c r="AM114" s="6">
        <f>IFERROR(VLOOKUP(Tabla145[[#This Row],[Llave]],[18]!Tabla14[#All],34,FALSE),0)</f>
        <v>0</v>
      </c>
      <c r="AN114" s="6">
        <f>IFERROR(VLOOKUP(Tabla145[[#This Row],[Llave]],[18]!Tabla14[#All],35,FALSE),0)</f>
        <v>0</v>
      </c>
      <c r="AO114" s="3" t="str">
        <f>IF(Tabla145[[#This Row],[Plan Ajustado]]&gt;Tabla145[[#This Row],[En puerto a facturar]],"Si","No")</f>
        <v>No</v>
      </c>
      <c r="AP11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14" s="3">
        <f>IF(Tabla145[[#This Row],[Necesidad]]&gt;=Tabla145[[#This Row],[Stock al día]],Tabla145[[#This Row],[Stock al día]],Tabla145[[#This Row],[Necesidad]])</f>
        <v>0</v>
      </c>
      <c r="AR114" s="3">
        <f>+Tabla145[[#This Row],[Necesidad]]-Tabla145[[#This Row],[Stock Plan]]</f>
        <v>0</v>
      </c>
      <c r="AS114" s="155">
        <f>IFERROR(VLOOKUP(Tabla145[[#This Row],[Oficina]],[19]Ponderación!$B$14:$E$21,4,FALSE),"")</f>
        <v>44786</v>
      </c>
      <c r="AT11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114" s="83">
        <f>IFERROR(VLOOKUP(Tabla145[[#This Row],[Llave]],[17]DELAY!$H:$W,16,FALSE),0)</f>
        <v>0</v>
      </c>
      <c r="AV11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14" s="5">
        <f>Tabla145[[#This Row],[Ajuste precio IC]]*Tabla145[[#This Row],[Plan Ajustado]]</f>
        <v>0</v>
      </c>
      <c r="AX114" s="30">
        <f>IFERROR(VLOOKUP(Tabla145[[#This Row],[Llave]],'[13]Ultimos precios facturados'!$A:$G,7,FALSE),0)</f>
        <v>0</v>
      </c>
      <c r="AY11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14" s="30">
        <f>IFERROR(VLOOKUP(Tabla145[[#This Row],[Llave]],Hoja2!B:K,10,FALSE),0)</f>
        <v>0</v>
      </c>
      <c r="BA114" s="30">
        <f>IF(Tabla145[[#This Row],[Ajuste precio IC]]="",Tabla145[[#This Row],[Precio ponderado]],Tabla145[[#This Row],[Precio ponderado]])</f>
        <v>0</v>
      </c>
      <c r="BB114" s="82"/>
      <c r="BC114" s="82" t="str">
        <f>IF(AND(Tabla145[[#This Row],[Atraso a facturar]]&gt;0,Tabla145[[#This Row],[Precio Atraso]]=0),"Revisar","OK")</f>
        <v>OK</v>
      </c>
      <c r="BD114" s="82" t="str">
        <f>IF(AND(Tabla145[[#This Row],[Venta del mes]]&gt;0,Tabla145[[#This Row],[Precio venta nueva]]=0),"Revisar","OK")</f>
        <v>OK</v>
      </c>
      <c r="BE114" s="20">
        <f>IFERROR(VLOOKUP(Tabla145[[#This Row],[Llave]],'[5]Consolidación planes'!$A:$M,9,FALSE),0)</f>
        <v>0</v>
      </c>
      <c r="BF114" s="20">
        <f>IFERROR(VLOOKUP(Tabla145[[#This Row],[Llave]],'[5]Consolidación planes'!$A:$M,10,FALSE),0)</f>
        <v>0</v>
      </c>
      <c r="BG114" s="20">
        <f>IFERROR(VLOOKUP(Tabla145[[#This Row],[Llave]],'[5]Consolidación planes'!$A:$M,11,FALSE),0)</f>
        <v>0</v>
      </c>
      <c r="BH114" s="20">
        <f>IFERROR(VLOOKUP(Tabla145[[#This Row],[Llave]],'[5]Consolidación planes'!$A:$M,12,FALSE),0)</f>
        <v>0</v>
      </c>
      <c r="BI114" s="20">
        <f>IFERROR(VLOOKUP(Tabla145[[#This Row],[Llave]],'[5]Consolidación planes'!$A:$M,13,FALSE),0)</f>
        <v>0</v>
      </c>
      <c r="BJ114" s="20">
        <f>IFERROR(VLOOKUP(Tabla145[[#This Row],[Llave]],'[13]Base ultimos planes'!$A:$M,13,FALSE),0)</f>
        <v>0</v>
      </c>
      <c r="BK114" s="80">
        <f>IFERROR(VLOOKUP(Tabla145[[#This Row],[Llave]],'[13]Base ultimos planes'!$O:$AA,8,FALSE),0)</f>
        <v>0</v>
      </c>
      <c r="BL114" s="20">
        <f>IFERROR(VLOOKUP(Tabla145[[#This Row],[Llave]],'[13]Base ultimos planes'!$O:$AA,9,FALSE),0)</f>
        <v>0</v>
      </c>
      <c r="BM114" s="20">
        <f>IFERROR(VLOOKUP(Tabla145[[#This Row],[Llave]],'[13]Base ultimos planes'!$O:$AA,10,FALSE),0)</f>
        <v>0</v>
      </c>
      <c r="BN114" s="20">
        <f>IFERROR(VLOOKUP(Tabla145[[#This Row],[Llave]],'[13]Base ultimos planes'!$O:$AA,11,FALSE),0)</f>
        <v>0</v>
      </c>
      <c r="BO114" s="20">
        <f>IFERROR(VLOOKUP(Tabla145[[#This Row],[Llave]],'[13]Base ultimos planes'!$O:$AA,12,FALSE),0)</f>
        <v>0</v>
      </c>
      <c r="BP114" s="20">
        <f>IFERROR(VLOOKUP(Tabla145[[#This Row],[Llave]],'[13]Base ultimos planes'!$O:$AA,13,FALSE),0)</f>
        <v>0</v>
      </c>
      <c r="BQ114" s="20"/>
      <c r="BR114" s="20">
        <f>Tabla145[[#This Row],[ RV Producción mes n+1]]*(1-Tabla145[[#This Row],[% Uti. producción]])</f>
        <v>0</v>
      </c>
      <c r="BS114" s="20">
        <f>+Tabla145[[#This Row],[Producción disponible mes n-1]]+Tabla145[[#This Row],[Saldo Volumen disponible]]</f>
        <v>70181.100000000006</v>
      </c>
      <c r="BT114" s="7">
        <f>IFERROR(VLOOKUP(Tabla145[[#This Row],[Llave]],'[21]RV n+2 y n+3'!$B:$F,4,FALSE),0)</f>
        <v>610.09833000000003</v>
      </c>
      <c r="BU114" s="7">
        <f>+Tabla145[[#This Row],[Asignación mes n+2]]*Tabla145[[#This Row],[% Uti. producción]]</f>
        <v>278.93353796372247</v>
      </c>
      <c r="BV114" s="7">
        <f>+Tabla145[[#This Row],[Ponderación mes n+2]]+Tabla145[[#This Row],[Saldo mes n-1]]</f>
        <v>70460.033537963725</v>
      </c>
      <c r="BW114" s="7">
        <f>+Tabla145[[#This Row],[Asignación mes n+2]]-Tabla145[[#This Row],[Ponderación mes n+2]]</f>
        <v>331.16479203627756</v>
      </c>
      <c r="BX114" s="7">
        <f>IFERROR(VLOOKUP(Tabla145[[#This Row],[Llave]],'[21]RV n+2 y n+3'!$B:$F,5,FALSE),0)</f>
        <v>46837.546000000002</v>
      </c>
      <c r="BY114" s="7">
        <f>+Tabla145[[#This Row],[Asignación mes n+3]]*Tabla145[[#This Row],[% Uti. producción]]</f>
        <v>21413.863590347144</v>
      </c>
      <c r="BZ114" s="3">
        <f>+Tabla145[[#This Row],[Ponderación mes n+3]]+Tabla145[[#This Row],[Saldo mes n+2]]</f>
        <v>21745.028382383422</v>
      </c>
      <c r="CA114" s="3">
        <f>+Tabla145[[#This Row],[Asignación mes n+3]]-Tabla145[[#This Row],[Ponderación mes n+3]]</f>
        <v>25423.682409652858</v>
      </c>
      <c r="CB114" s="3">
        <f>+Tabla145[[#This Row],[Producción disponible mes n-1]]+Tabla145[[#This Row],[Producción disponible]]</f>
        <v>0</v>
      </c>
      <c r="CC114" s="3">
        <f>+Tabla145[[#This Row],[Saldo mes n+4]]-Tabla145[[#This Row],[ RV Producción mes n+1]]</f>
        <v>0</v>
      </c>
    </row>
    <row r="115" spans="1:81" ht="16" x14ac:dyDescent="0.2">
      <c r="A115">
        <v>2</v>
      </c>
      <c r="B115" t="str">
        <f>Tabla145[[#This Row],[Oficina]]&amp;Tabla145[[#This Row],[Material]]</f>
        <v>Agrosuper Shanghai1021115</v>
      </c>
      <c r="C115" t="s">
        <v>6</v>
      </c>
      <c r="D115" t="s">
        <v>140</v>
      </c>
      <c r="E115">
        <v>1021115</v>
      </c>
      <c r="F115" t="s">
        <v>172</v>
      </c>
      <c r="G115" t="s">
        <v>76</v>
      </c>
      <c r="H115" t="s">
        <v>84</v>
      </c>
      <c r="I115" s="7">
        <f>IFERROR(VLOOKUP(Tabla145[[#This Row],[Llave]],'[7]RV Producción'!$C:$G,5,FALSE),0)</f>
        <v>6260</v>
      </c>
      <c r="J115" s="3">
        <f>IFERROR(IF(Tabla145[[#This Row],[Oficina]]=$I$7,VLOOKUP(Tabla145[[#This Row],[Llave]],'[7]Shangai (Tomas)'!$A:$F,6,FALSE),VLOOKUP(Tabla145[[#This Row],[Llave]],'[7]RV plan de ventas'!$A:$E,5,FALSE)),0)</f>
        <v>0</v>
      </c>
      <c r="K115" s="8">
        <f>IFERROR(VLOOKUP(Tabla145[[#This Row],[Oficina]],[15]Ponderación!$B$2:$E$9,4,FALSE),0)</f>
        <v>0.45719439678473212</v>
      </c>
      <c r="L115" s="7">
        <f>+Tabla145[[#This Row],[ RV Producción mes n+1]]*Tabla145[[#This Row],[% Uti. producción]]</f>
        <v>2862.0369238724229</v>
      </c>
      <c r="M115" s="7">
        <f>IFERROR(VLOOKUP(Tabla145[[#This Row],[Material]],[16]Stock!$G:$K,5,FALSE),0)</f>
        <v>41760</v>
      </c>
      <c r="N115" s="7">
        <f>IFERROR(VLOOKUP(Tabla145[[#This Row],[Material]],[16]Produccion!$M:$N,2,FALSE),0)</f>
        <v>0</v>
      </c>
      <c r="O115" s="7">
        <f>IFERROR(VLOOKUP(Tabla145[[#This Row],[Llave]],'[16]TD Conf-AP'!$I:$M,4,FALSE),0)</f>
        <v>0</v>
      </c>
      <c r="P115" s="14">
        <f>SUM(Tabla145[[#This Row],[Producción disponible]],Tabla145[[#This Row],[Stock al día]],(Tabla145[[#This Row],[Por producir mes N]]*0.9))-Tabla145[[#This Row],[Producción por despachar mes N]]</f>
        <v>44622.036923872423</v>
      </c>
      <c r="Q115" s="7">
        <f>IFERROR(VLOOKUP(Tabla145[[#This Row],[Llave]],[17]DELAY!$A:$D,4,FALSE),0)</f>
        <v>0</v>
      </c>
      <c r="R115" s="9">
        <v>24000</v>
      </c>
      <c r="S115" s="5">
        <f t="shared" si="6"/>
        <v>0</v>
      </c>
      <c r="T115" s="76"/>
      <c r="U115" s="5">
        <f>+Tabla145[[#This Row],[Atraso a facturar]]+Tabla145[[#This Row],[Ajuste atraso]]</f>
        <v>0</v>
      </c>
      <c r="V115" s="3">
        <f>+Tabla145[[#This Row],[Total disponible]]-Tabla145[[#This Row],[Facturación atraso]]</f>
        <v>44622.036923872423</v>
      </c>
      <c r="W115" s="6">
        <f>IFERROR(IF(AND(V115&gt;R115,J115&gt;=R115),ROUNDDOWN((Tabla145[[#This Row],[Producción para venta nueva]])/R115,0)*R115,0),0)</f>
        <v>0</v>
      </c>
      <c r="X115" s="76">
        <v>0</v>
      </c>
      <c r="Y115" s="6">
        <f>IF(Tabla145[[#This Row],[Venta del mes]]&gt;0,Tabla145[[#This Row],[Venta del mes]]+Tabla145[[#This Row],[Ajuste venta nueva]],0)</f>
        <v>0</v>
      </c>
      <c r="Z115" s="6">
        <f>+Tabla145[[#This Row],[Producción para venta nueva]]-Tabla145[[#This Row],[Facturación Venta nueva]]</f>
        <v>44622.036923872423</v>
      </c>
      <c r="AA115" s="6">
        <f>IF(AND(A115=1,Tabla145[[#This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5" s="6">
        <v>0</v>
      </c>
      <c r="AC115" s="6">
        <f>IF(Tabla145[[#This Row],[Disponible stock sin venta]]&gt;0,Tabla145[[#This Row],[Disponible stock sin venta]]+Tabla145[[#This Row],[Ajuste stock sin venta]],0)</f>
        <v>0</v>
      </c>
      <c r="AD115" s="3">
        <f>IFERROR(VLOOKUP(Tabla145[[#This Row],[Llave]],'[16]TD Puerto'!$A:$D,4,FALSE),0)</f>
        <v>0</v>
      </c>
      <c r="AE115" s="3">
        <v>0</v>
      </c>
      <c r="AF115" s="3">
        <f>+Tabla145[[#This Row],[Plan Irrestricto Inicial]]</f>
        <v>0</v>
      </c>
      <c r="AG115" s="3">
        <f>+Tabla145[[#This Row],[En puerto a facturar]]</f>
        <v>0</v>
      </c>
      <c r="AH115" s="3">
        <f>+Tabla145[[#This Row],[Facturación atraso]]</f>
        <v>0</v>
      </c>
      <c r="AI115" s="3">
        <f>+Tabla145[[#This Row],[Plan Irrestricto]]-Tabla145[[#This Row],[Puerto ]]-Tabla145[[#This Row],[Atraso]]</f>
        <v>0</v>
      </c>
      <c r="AJ11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15" s="3">
        <f>+Tabla145[[#This Row],[Facturación atraso]]</f>
        <v>0</v>
      </c>
      <c r="AL115" s="3">
        <f>+Tabla145[[#This Row],[Plan Ajustado]]-Tabla145[[#This Row],[ Atraso ajustado]]-Tabla145[[#This Row],[Puerto ]]</f>
        <v>0</v>
      </c>
      <c r="AM115" s="6">
        <f>IFERROR(VLOOKUP(Tabla145[[#This Row],[Llave]],[18]!Tabla14[#All],34,FALSE),0)</f>
        <v>0</v>
      </c>
      <c r="AN115" s="6">
        <f>IFERROR(VLOOKUP(Tabla145[[#This Row],[Llave]],[18]!Tabla14[#All],35,FALSE),0)</f>
        <v>0</v>
      </c>
      <c r="AO115" s="3" t="str">
        <f>IF(Tabla145[[#This Row],[Plan Ajustado]]&gt;Tabla145[[#This Row],[En puerto a facturar]],"Si","No")</f>
        <v>No</v>
      </c>
      <c r="AP11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15" s="3">
        <f>IF(Tabla145[[#This Row],[Necesidad]]&gt;=Tabla145[[#This Row],[Stock al día]],Tabla145[[#This Row],[Stock al día]],Tabla145[[#This Row],[Necesidad]])</f>
        <v>0</v>
      </c>
      <c r="AR115" s="3">
        <f>+Tabla145[[#This Row],[Necesidad]]-Tabla145[[#This Row],[Stock Plan]]</f>
        <v>0</v>
      </c>
      <c r="AS115" s="155">
        <f>IFERROR(VLOOKUP(Tabla145[[#This Row],[Oficina]],[19]Ponderación!$B$14:$E$21,4,FALSE),"")</f>
        <v>44786</v>
      </c>
      <c r="AT11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0.27311064718162842</v>
      </c>
      <c r="AU115" s="83">
        <f>IFERROR(VLOOKUP(Tabla145[[#This Row],[Llave]],[17]DELAY!$H:$W,16,FALSE),0)</f>
        <v>0</v>
      </c>
      <c r="AV11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15" s="5">
        <f>Tabla145[[#This Row],[Ajuste precio IC]]*Tabla145[[#This Row],[Plan Ajustado]]</f>
        <v>0</v>
      </c>
      <c r="AX115" s="30">
        <f>IFERROR(VLOOKUP(Tabla145[[#This Row],[Llave]],'[13]Ultimos precios facturados'!$A:$G,7,FALSE),0)</f>
        <v>0.27311064718162842</v>
      </c>
      <c r="AY11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15" s="30">
        <f>IFERROR(VLOOKUP(Tabla145[[#This Row],[Llave]],Hoja2!B:K,10,FALSE),0)</f>
        <v>0</v>
      </c>
      <c r="BA115" s="30">
        <f>IF(Tabla145[[#This Row],[Ajuste precio IC]]="",Tabla145[[#This Row],[Precio ponderado]],Tabla145[[#This Row],[Precio ponderado]])</f>
        <v>0</v>
      </c>
      <c r="BB115" s="82"/>
      <c r="BC115" s="82" t="str">
        <f>IF(AND(Tabla145[[#This Row],[Atraso a facturar]]&gt;0,Tabla145[[#This Row],[Precio Atraso]]=0),"Revisar","OK")</f>
        <v>OK</v>
      </c>
      <c r="BD115" s="82" t="str">
        <f>IF(AND(Tabla145[[#This Row],[Venta del mes]]&gt;0,Tabla145[[#This Row],[Precio venta nueva]]=0),"Revisar","OK")</f>
        <v>OK</v>
      </c>
      <c r="BE115" s="20">
        <f>IFERROR(VLOOKUP(Tabla145[[#This Row],[Llave]],'[5]Consolidación planes'!$A:$M,9,FALSE),0)</f>
        <v>72000</v>
      </c>
      <c r="BF115" s="20">
        <f>IFERROR(VLOOKUP(Tabla145[[#This Row],[Llave]],'[5]Consolidación planes'!$A:$M,10,FALSE),0)</f>
        <v>48000</v>
      </c>
      <c r="BG115" s="20">
        <f>IFERROR(VLOOKUP(Tabla145[[#This Row],[Llave]],'[5]Consolidación planes'!$A:$M,11,FALSE),0)</f>
        <v>24000</v>
      </c>
      <c r="BH115" s="20">
        <f>IFERROR(VLOOKUP(Tabla145[[#This Row],[Llave]],'[5]Consolidación planes'!$A:$M,12,FALSE),0)</f>
        <v>48000</v>
      </c>
      <c r="BI115" s="20">
        <f>IFERROR(VLOOKUP(Tabla145[[#This Row],[Llave]],'[5]Consolidación planes'!$A:$M,13,FALSE),0)</f>
        <v>48000</v>
      </c>
      <c r="BJ115" s="20">
        <f>IFERROR(VLOOKUP(Tabla145[[#This Row],[Llave]],'[13]Base ultimos planes'!$A:$M,13,FALSE),0)</f>
        <v>0</v>
      </c>
      <c r="BK115" s="80">
        <f>IFERROR(VLOOKUP(Tabla145[[#This Row],[Llave]],'[13]Base ultimos planes'!$O:$AA,8,FALSE),0)</f>
        <v>21480</v>
      </c>
      <c r="BL115" s="20">
        <f>IFERROR(VLOOKUP(Tabla145[[#This Row],[Llave]],'[13]Base ultimos planes'!$O:$AA,9,FALSE),0)</f>
        <v>14400</v>
      </c>
      <c r="BM115" s="20">
        <f>IFERROR(VLOOKUP(Tabla145[[#This Row],[Llave]],'[13]Base ultimos planes'!$O:$AA,10,FALSE),0)</f>
        <v>6640</v>
      </c>
      <c r="BN115" s="20">
        <f>IFERROR(VLOOKUP(Tabla145[[#This Row],[Llave]],'[13]Base ultimos planes'!$O:$AA,11,FALSE),0)</f>
        <v>6480</v>
      </c>
      <c r="BO115" s="20">
        <f>IFERROR(VLOOKUP(Tabla145[[#This Row],[Llave]],'[13]Base ultimos planes'!$O:$AA,12,FALSE),0)</f>
        <v>12640</v>
      </c>
      <c r="BP115" s="20">
        <f>IFERROR(VLOOKUP(Tabla145[[#This Row],[Llave]],'[13]Base ultimos planes'!$O:$AA,13,FALSE),0)</f>
        <v>0</v>
      </c>
      <c r="BQ115" s="20"/>
      <c r="BR115" s="20">
        <f>Tabla145[[#This Row],[ RV Producción mes n+1]]*(1-Tabla145[[#This Row],[% Uti. producción]])</f>
        <v>3397.9630761275771</v>
      </c>
      <c r="BS115" s="20">
        <f>+Tabla145[[#This Row],[Producción disponible mes n-1]]+Tabla145[[#This Row],[Saldo Volumen disponible]]</f>
        <v>48020</v>
      </c>
      <c r="BT115" s="7">
        <f>IFERROR(VLOOKUP(Tabla145[[#This Row],[Llave]],'[21]RV n+2 y n+3'!$B:$F,4,FALSE),0)</f>
        <v>0</v>
      </c>
      <c r="BU115" s="7">
        <f>+Tabla145[[#This Row],[Asignación mes n+2]]*Tabla145[[#This Row],[% Uti. producción]]</f>
        <v>0</v>
      </c>
      <c r="BV115" s="7">
        <f>+Tabla145[[#This Row],[Ponderación mes n+2]]+Tabla145[[#This Row],[Saldo mes n-1]]</f>
        <v>48020</v>
      </c>
      <c r="BW115" s="7">
        <f>+Tabla145[[#This Row],[Asignación mes n+2]]-Tabla145[[#This Row],[Ponderación mes n+2]]</f>
        <v>0</v>
      </c>
      <c r="BX115" s="7">
        <f>IFERROR(VLOOKUP(Tabla145[[#This Row],[Llave]],'[21]RV n+2 y n+3'!$B:$F,5,FALSE),0)</f>
        <v>0</v>
      </c>
      <c r="BY115" s="7">
        <f>+Tabla145[[#This Row],[Asignación mes n+3]]*Tabla145[[#This Row],[% Uti. producción]]</f>
        <v>0</v>
      </c>
      <c r="BZ115" s="3">
        <f>+Tabla145[[#This Row],[Ponderación mes n+3]]+Tabla145[[#This Row],[Saldo mes n+2]]</f>
        <v>0</v>
      </c>
      <c r="CA115" s="3">
        <f>+Tabla145[[#This Row],[Asignación mes n+3]]-Tabla145[[#This Row],[Ponderación mes n+3]]</f>
        <v>0</v>
      </c>
      <c r="CB115" s="3">
        <f>+Tabla145[[#This Row],[Producción disponible mes n-1]]+Tabla145[[#This Row],[Producción disponible]]</f>
        <v>6260</v>
      </c>
      <c r="CC115" s="3">
        <f>+Tabla145[[#This Row],[Saldo mes n+4]]-Tabla145[[#This Row],[ RV Producción mes n+1]]</f>
        <v>0</v>
      </c>
    </row>
    <row r="116" spans="1:81" ht="16" x14ac:dyDescent="0.2">
      <c r="A116">
        <v>2</v>
      </c>
      <c r="B116" t="str">
        <f>Tabla145[[#This Row],[Oficina]]&amp;Tabla145[[#This Row],[Material]]</f>
        <v>Agrosuper Shanghai1021731</v>
      </c>
      <c r="C116" t="s">
        <v>6</v>
      </c>
      <c r="D116" t="s">
        <v>140</v>
      </c>
      <c r="E116">
        <v>1021731</v>
      </c>
      <c r="F116" t="s">
        <v>161</v>
      </c>
      <c r="G116" t="s">
        <v>159</v>
      </c>
      <c r="H116" t="s">
        <v>160</v>
      </c>
      <c r="I116" s="7">
        <f>IFERROR(VLOOKUP(Tabla145[[#This Row],[Llave]],'[7]RV Producción'!$C:$G,5,FALSE),0)</f>
        <v>0</v>
      </c>
      <c r="J116" s="3">
        <f>IFERROR(IF(Tabla145[[#This Row],[Oficina]]=$I$7,VLOOKUP(Tabla145[[#This Row],[Llave]],'[7]Shangai (Tomas)'!$A:$F,6,FALSE),VLOOKUP(Tabla145[[#This Row],[Llave]],'[7]RV plan de ventas'!$A:$E,5,FALSE)),0)</f>
        <v>0</v>
      </c>
      <c r="K116" s="8">
        <f>IFERROR(VLOOKUP(Tabla145[[#This Row],[Oficina]],[15]Ponderación!$B$2:$E$9,4,FALSE),0)</f>
        <v>0.45719439678473212</v>
      </c>
      <c r="L116" s="7">
        <f>+Tabla145[[#This Row],[ RV Producción mes n+1]]*Tabla145[[#This Row],[% Uti. producción]]</f>
        <v>0</v>
      </c>
      <c r="M116" s="7">
        <f>IFERROR(VLOOKUP(Tabla145[[#This Row],[Material]],[16]Stock!$G:$K,5,FALSE),0)</f>
        <v>89785</v>
      </c>
      <c r="N116" s="7">
        <f>IFERROR(VLOOKUP(Tabla145[[#This Row],[Material]],[16]Produccion!$M:$N,2,FALSE),0)</f>
        <v>50576.52</v>
      </c>
      <c r="O116" s="7">
        <f>IFERROR(VLOOKUP(Tabla145[[#This Row],[Llave]],'[16]TD Conf-AP'!$I:$M,4,FALSE),0)</f>
        <v>0</v>
      </c>
      <c r="P116" s="14">
        <f>SUM(Tabla145[[#This Row],[Producción disponible]],Tabla145[[#This Row],[Stock al día]],(Tabla145[[#This Row],[Por producir mes N]]*0.9))-Tabla145[[#This Row],[Producción por despachar mes N]]</f>
        <v>135303.86799999999</v>
      </c>
      <c r="Q116" s="7">
        <f>IFERROR(VLOOKUP(Tabla145[[#This Row],[Llave]],[17]DELAY!$A:$D,4,FALSE),0)</f>
        <v>0</v>
      </c>
      <c r="R116" s="9">
        <v>24000</v>
      </c>
      <c r="S116" s="5">
        <f t="shared" si="6"/>
        <v>0</v>
      </c>
      <c r="T116" s="76"/>
      <c r="U116" s="5">
        <f>+Tabla145[[#This Row],[Atraso a facturar]]+Tabla145[[#This Row],[Ajuste atraso]]</f>
        <v>0</v>
      </c>
      <c r="V116" s="3">
        <f>+Tabla145[[#This Row],[Total disponible]]-Tabla145[[#This Row],[Facturación atraso]]</f>
        <v>135303.86799999999</v>
      </c>
      <c r="W116" s="6">
        <f>IFERROR(IF(AND(V116&gt;R116,J116&gt;=R116),ROUNDDOWN((Tabla145[[#This Row],[Producción para venta nueva]])/R116,0)*R116,0),0)</f>
        <v>0</v>
      </c>
      <c r="X116" s="76">
        <v>0</v>
      </c>
      <c r="Y116" s="6">
        <f>IF(Tabla145[[#This Row],[Venta del mes]]&gt;0,Tabla145[[#This Row],[Venta del mes]]+Tabla145[[#This Row],[Ajuste venta nueva]],0)</f>
        <v>0</v>
      </c>
      <c r="Z116" s="6">
        <f>+Tabla145[[#This Row],[Producción para venta nueva]]-Tabla145[[#This Row],[Facturación Venta nueva]]</f>
        <v>135303.86799999999</v>
      </c>
      <c r="AA116" s="6">
        <f>IF(AND(A116=1,Tabla145[[#This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6" s="6">
        <v>0</v>
      </c>
      <c r="AC116" s="6">
        <f>IF(Tabla145[[#This Row],[Disponible stock sin venta]]&gt;0,Tabla145[[#This Row],[Disponible stock sin venta]]+Tabla145[[#This Row],[Ajuste stock sin venta]],0)</f>
        <v>0</v>
      </c>
      <c r="AD116" s="3">
        <f>IFERROR(VLOOKUP(Tabla145[[#This Row],[Llave]],'[16]TD Puerto'!$A:$D,4,FALSE),0)</f>
        <v>0</v>
      </c>
      <c r="AE116" s="3">
        <v>0</v>
      </c>
      <c r="AF116" s="3">
        <f>+Tabla145[[#This Row],[Plan Irrestricto Inicial]]</f>
        <v>0</v>
      </c>
      <c r="AG116" s="3">
        <f>+Tabla145[[#This Row],[En puerto a facturar]]</f>
        <v>0</v>
      </c>
      <c r="AH116" s="3">
        <f>+Tabla145[[#This Row],[Facturación atraso]]</f>
        <v>0</v>
      </c>
      <c r="AI116" s="3">
        <f>+Tabla145[[#This Row],[Plan Irrestricto]]-Tabla145[[#This Row],[Puerto ]]-Tabla145[[#This Row],[Atraso]]</f>
        <v>0</v>
      </c>
      <c r="AJ11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16" s="3">
        <f>+Tabla145[[#This Row],[Facturación atraso]]</f>
        <v>0</v>
      </c>
      <c r="AL116" s="3">
        <f>+Tabla145[[#This Row],[Plan Ajustado]]-Tabla145[[#This Row],[ Atraso ajustado]]-Tabla145[[#This Row],[Puerto ]]</f>
        <v>0</v>
      </c>
      <c r="AM116" s="6">
        <f>IFERROR(VLOOKUP(Tabla145[[#This Row],[Llave]],[18]!Tabla14[#All],34,FALSE),0)</f>
        <v>0</v>
      </c>
      <c r="AN116" s="6">
        <f>IFERROR(VLOOKUP(Tabla145[[#This Row],[Llave]],[18]!Tabla14[#All],35,FALSE),0)</f>
        <v>0</v>
      </c>
      <c r="AO116" s="3" t="str">
        <f>IF(Tabla145[[#This Row],[Plan Ajustado]]&gt;Tabla145[[#This Row],[En puerto a facturar]],"Si","No")</f>
        <v>No</v>
      </c>
      <c r="AP11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16" s="3">
        <f>IF(Tabla145[[#This Row],[Necesidad]]&gt;=Tabla145[[#This Row],[Stock al día]],Tabla145[[#This Row],[Stock al día]],Tabla145[[#This Row],[Necesidad]])</f>
        <v>0</v>
      </c>
      <c r="AR116" s="3">
        <f>+Tabla145[[#This Row],[Necesidad]]-Tabla145[[#This Row],[Stock Plan]]</f>
        <v>0</v>
      </c>
      <c r="AS116" s="155">
        <f>IFERROR(VLOOKUP(Tabla145[[#This Row],[Oficina]],[19]Ponderación!$B$14:$E$21,4,FALSE),"")</f>
        <v>44786</v>
      </c>
      <c r="AT11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2.027044580218202</v>
      </c>
      <c r="AU116" s="83">
        <f>IFERROR(VLOOKUP(Tabla145[[#This Row],[Llave]],[17]DELAY!$H:$W,16,FALSE),0)</f>
        <v>0</v>
      </c>
      <c r="AV11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16" s="5">
        <f>Tabla145[[#This Row],[Ajuste precio IC]]*Tabla145[[#This Row],[Plan Ajustado]]</f>
        <v>0</v>
      </c>
      <c r="AX116" s="30">
        <f>IFERROR(VLOOKUP(Tabla145[[#This Row],[Llave]],'[13]Ultimos precios facturados'!$A:$G,7,FALSE),0)</f>
        <v>2.027044580218202</v>
      </c>
      <c r="AY11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16" s="30">
        <f>IFERROR(VLOOKUP(Tabla145[[#This Row],[Llave]],Hoja2!B:K,10,FALSE),0)</f>
        <v>0</v>
      </c>
      <c r="BA116" s="30">
        <f>IF(Tabla145[[#This Row],[Ajuste precio IC]]="",Tabla145[[#This Row],[Precio ponderado]],Tabla145[[#This Row],[Precio ponderado]])</f>
        <v>0</v>
      </c>
      <c r="BB116" s="82"/>
      <c r="BC116" s="82" t="str">
        <f>IF(AND(Tabla145[[#This Row],[Atraso a facturar]]&gt;0,Tabla145[[#This Row],[Precio Atraso]]=0),"Revisar","OK")</f>
        <v>OK</v>
      </c>
      <c r="BD116" s="82" t="str">
        <f>IF(AND(Tabla145[[#This Row],[Venta del mes]]&gt;0,Tabla145[[#This Row],[Precio venta nueva]]=0),"Revisar","OK")</f>
        <v>OK</v>
      </c>
      <c r="BE116" s="20">
        <f>IFERROR(VLOOKUP(Tabla145[[#This Row],[Llave]],'[5]Consolidación planes'!$A:$M,9,FALSE),0)</f>
        <v>312000</v>
      </c>
      <c r="BF116" s="20">
        <f>IFERROR(VLOOKUP(Tabla145[[#This Row],[Llave]],'[5]Consolidación planes'!$A:$M,10,FALSE),0)</f>
        <v>216000</v>
      </c>
      <c r="BG116" s="20">
        <f>IFERROR(VLOOKUP(Tabla145[[#This Row],[Llave]],'[5]Consolidación planes'!$A:$M,11,FALSE),0)</f>
        <v>216000</v>
      </c>
      <c r="BH116" s="20">
        <f>IFERROR(VLOOKUP(Tabla145[[#This Row],[Llave]],'[5]Consolidación planes'!$A:$M,12,FALSE),0)</f>
        <v>144000</v>
      </c>
      <c r="BI116" s="20">
        <f>IFERROR(VLOOKUP(Tabla145[[#This Row],[Llave]],'[5]Consolidación planes'!$A:$M,13,FALSE),0)</f>
        <v>168000</v>
      </c>
      <c r="BJ116" s="20">
        <f>IFERROR(VLOOKUP(Tabla145[[#This Row],[Llave]],'[13]Base ultimos planes'!$A:$M,13,FALSE),0)</f>
        <v>264000</v>
      </c>
      <c r="BK116" s="80">
        <f>IFERROR(VLOOKUP(Tabla145[[#This Row],[Llave]],'[13]Base ultimos planes'!$O:$AA,8,FALSE),0)</f>
        <v>623108.57140000002</v>
      </c>
      <c r="BL116" s="20">
        <f>IFERROR(VLOOKUP(Tabla145[[#This Row],[Llave]],'[13]Base ultimos planes'!$O:$AA,9,FALSE),0)</f>
        <v>406080</v>
      </c>
      <c r="BM116" s="20">
        <f>IFERROR(VLOOKUP(Tabla145[[#This Row],[Llave]],'[13]Base ultimos planes'!$O:$AA,10,FALSE),0)</f>
        <v>403920</v>
      </c>
      <c r="BN116" s="20">
        <f>IFERROR(VLOOKUP(Tabla145[[#This Row],[Llave]],'[13]Base ultimos planes'!$O:$AA,11,FALSE),0)</f>
        <v>265334</v>
      </c>
      <c r="BO116" s="20">
        <f>IFERROR(VLOOKUP(Tabla145[[#This Row],[Llave]],'[13]Base ultimos planes'!$O:$AA,12,FALSE),0)</f>
        <v>325720</v>
      </c>
      <c r="BP116" s="20">
        <f>IFERROR(VLOOKUP(Tabla145[[#This Row],[Llave]],'[13]Base ultimos planes'!$O:$AA,13,FALSE),0)</f>
        <v>540233</v>
      </c>
      <c r="BQ116" s="20"/>
      <c r="BR116" s="20">
        <f>Tabla145[[#This Row],[ RV Producción mes n+1]]*(1-Tabla145[[#This Row],[% Uti. producción]])</f>
        <v>0</v>
      </c>
      <c r="BS116" s="20">
        <f>+Tabla145[[#This Row],[Producción disponible mes n-1]]+Tabla145[[#This Row],[Saldo Volumen disponible]]</f>
        <v>135303.86799999999</v>
      </c>
      <c r="BT116" s="7">
        <f>IFERROR(VLOOKUP(Tabla145[[#This Row],[Llave]],'[21]RV n+2 y n+3'!$B:$F,4,FALSE),0)</f>
        <v>0</v>
      </c>
      <c r="BU116" s="7">
        <f>+Tabla145[[#This Row],[Asignación mes n+2]]*Tabla145[[#This Row],[% Uti. producción]]</f>
        <v>0</v>
      </c>
      <c r="BV116" s="7">
        <f>+Tabla145[[#This Row],[Ponderación mes n+2]]+Tabla145[[#This Row],[Saldo mes n-1]]</f>
        <v>135303.86799999999</v>
      </c>
      <c r="BW116" s="7">
        <f>+Tabla145[[#This Row],[Asignación mes n+2]]-Tabla145[[#This Row],[Ponderación mes n+2]]</f>
        <v>0</v>
      </c>
      <c r="BX116" s="7">
        <f>IFERROR(VLOOKUP(Tabla145[[#This Row],[Llave]],'[21]RV n+2 y n+3'!$B:$F,5,FALSE),0)</f>
        <v>0</v>
      </c>
      <c r="BY116" s="7">
        <f>+Tabla145[[#This Row],[Asignación mes n+3]]*Tabla145[[#This Row],[% Uti. producción]]</f>
        <v>0</v>
      </c>
      <c r="BZ116" s="3">
        <f>+Tabla145[[#This Row],[Ponderación mes n+3]]+Tabla145[[#This Row],[Saldo mes n+2]]</f>
        <v>0</v>
      </c>
      <c r="CA116" s="3">
        <f>+Tabla145[[#This Row],[Asignación mes n+3]]-Tabla145[[#This Row],[Ponderación mes n+3]]</f>
        <v>0</v>
      </c>
      <c r="CB116" s="3">
        <f>+Tabla145[[#This Row],[Producción disponible mes n-1]]+Tabla145[[#This Row],[Producción disponible]]</f>
        <v>0</v>
      </c>
      <c r="CC116" s="3">
        <f>+Tabla145[[#This Row],[Saldo mes n+4]]-Tabla145[[#This Row],[ RV Producción mes n+1]]</f>
        <v>0</v>
      </c>
    </row>
    <row r="117" spans="1:81" ht="16" x14ac:dyDescent="0.2">
      <c r="A117">
        <v>2</v>
      </c>
      <c r="B117" t="str">
        <f>Tabla145[[#This Row],[Oficina]]&amp;Tabla145[[#This Row],[Material]]</f>
        <v>Agrosuper Shanghai1021733</v>
      </c>
      <c r="C117" t="s">
        <v>6</v>
      </c>
      <c r="D117" t="s">
        <v>140</v>
      </c>
      <c r="E117">
        <v>1021733</v>
      </c>
      <c r="F117" t="s">
        <v>166</v>
      </c>
      <c r="G117" t="s">
        <v>59</v>
      </c>
      <c r="H117" t="s">
        <v>62</v>
      </c>
      <c r="I117" s="7">
        <f>IFERROR(VLOOKUP(Tabla145[[#This Row],[Llave]],'[7]RV Producción'!$C:$G,5,FALSE),0)</f>
        <v>0</v>
      </c>
      <c r="J117" s="3">
        <f>IFERROR(IF(Tabla145[[#This Row],[Oficina]]=$I$7,VLOOKUP(Tabla145[[#This Row],[Llave]],'[7]Shangai (Tomas)'!$A:$F,6,FALSE),VLOOKUP(Tabla145[[#This Row],[Llave]],'[7]RV plan de ventas'!$A:$E,5,FALSE)),0)</f>
        <v>0</v>
      </c>
      <c r="K117" s="8">
        <f>IFERROR(VLOOKUP(Tabla145[[#This Row],[Oficina]],[15]Ponderación!$B$2:$E$9,4,FALSE),0)</f>
        <v>0.45719439678473212</v>
      </c>
      <c r="L117" s="7">
        <f>+Tabla145[[#This Row],[ RV Producción mes n+1]]*Tabla145[[#This Row],[% Uti. producción]]</f>
        <v>0</v>
      </c>
      <c r="M117" s="7">
        <f>IFERROR(VLOOKUP(Tabla145[[#This Row],[Material]],[16]Stock!$G:$K,5,FALSE),0)</f>
        <v>61318</v>
      </c>
      <c r="N117" s="7">
        <f>IFERROR(VLOOKUP(Tabla145[[#This Row],[Material]],[16]Produccion!$M:$N,2,FALSE),0)</f>
        <v>36246</v>
      </c>
      <c r="O117" s="7">
        <f>IFERROR(VLOOKUP(Tabla145[[#This Row],[Llave]],'[16]TD Conf-AP'!$I:$M,4,FALSE),0)</f>
        <v>0</v>
      </c>
      <c r="P117" s="14">
        <f>SUM(Tabla145[[#This Row],[Producción disponible]],Tabla145[[#This Row],[Stock al día]],(Tabla145[[#This Row],[Por producir mes N]]*0.9))-Tabla145[[#This Row],[Producción por despachar mes N]]</f>
        <v>93939.4</v>
      </c>
      <c r="Q117" s="7">
        <f>IFERROR(VLOOKUP(Tabla145[[#This Row],[Llave]],[17]DELAY!$A:$D,4,FALSE),0)</f>
        <v>72000</v>
      </c>
      <c r="R117" s="9">
        <v>24000</v>
      </c>
      <c r="S117" s="5">
        <f t="shared" si="6"/>
        <v>72000</v>
      </c>
      <c r="T117" s="76"/>
      <c r="U117" s="5">
        <f>+Tabla145[[#This Row],[Atraso a facturar]]+Tabla145[[#This Row],[Ajuste atraso]]</f>
        <v>72000</v>
      </c>
      <c r="V117" s="3">
        <f>+Tabla145[[#This Row],[Total disponible]]-Tabla145[[#This Row],[Facturación atraso]]</f>
        <v>21939.399999999994</v>
      </c>
      <c r="W117" s="6">
        <f>IFERROR(IF(AND(V117&gt;R117,J117&gt;=R117),ROUNDDOWN((Tabla145[[#This Row],[Producción para venta nueva]])/R117,0)*R117,0),0)</f>
        <v>0</v>
      </c>
      <c r="X117" s="76">
        <v>0</v>
      </c>
      <c r="Y117" s="6">
        <f>IF(Tabla145[[#This Row],[Venta del mes]]&gt;0,Tabla145[[#This Row],[Venta del mes]]+Tabla145[[#This Row],[Ajuste venta nueva]],0)</f>
        <v>0</v>
      </c>
      <c r="Z117" s="6">
        <f>+Tabla145[[#This Row],[Producción para venta nueva]]-Tabla145[[#This Row],[Facturación Venta nueva]]</f>
        <v>21939.399999999994</v>
      </c>
      <c r="AA117" s="6">
        <f>IF(AND(A117=1,Tabla145[[#This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7" s="6">
        <v>0</v>
      </c>
      <c r="AC117" s="6">
        <f>IF(Tabla145[[#This Row],[Disponible stock sin venta]]&gt;0,Tabla145[[#This Row],[Disponible stock sin venta]]+Tabla145[[#This Row],[Ajuste stock sin venta]],0)</f>
        <v>0</v>
      </c>
      <c r="AD117" s="3">
        <f>IFERROR(VLOOKUP(Tabla145[[#This Row],[Llave]],'[16]TD Puerto'!$A:$D,4,FALSE),0)</f>
        <v>0</v>
      </c>
      <c r="AE117" s="3">
        <v>24000</v>
      </c>
      <c r="AF117" s="3">
        <f>+Tabla145[[#This Row],[Plan Irrestricto Inicial]]</f>
        <v>24000</v>
      </c>
      <c r="AG117" s="3">
        <f>+Tabla145[[#This Row],[En puerto a facturar]]</f>
        <v>0</v>
      </c>
      <c r="AH117" s="3">
        <f>+Tabla145[[#This Row],[Facturación atraso]]</f>
        <v>72000</v>
      </c>
      <c r="AI117" s="3">
        <f>+Tabla145[[#This Row],[Plan Irrestricto]]-Tabla145[[#This Row],[Puerto ]]-Tabla145[[#This Row],[Atraso]]</f>
        <v>-48000</v>
      </c>
      <c r="AJ117" s="3">
        <f>IF(Tabla145[[#This Row],[Plan Irrestricto]]&gt;0,SUM(Tabla145[[#This Row],[Facturación atraso]],Tabla145[[#This Row],[Facturación Venta nueva]],Tabla145[[#This Row],[Facturación stock]],Tabla145[[#This Row],[En puerto a facturar]]),0)</f>
        <v>72000</v>
      </c>
      <c r="AK117" s="3">
        <f>+Tabla145[[#This Row],[Facturación atraso]]</f>
        <v>72000</v>
      </c>
      <c r="AL117" s="3">
        <f>+Tabla145[[#This Row],[Plan Ajustado]]-Tabla145[[#This Row],[ Atraso ajustado]]-Tabla145[[#This Row],[Puerto ]]</f>
        <v>0</v>
      </c>
      <c r="AM117" s="6">
        <f>IFERROR(VLOOKUP(Tabla145[[#This Row],[Llave]],[18]!Tabla14[#All],34,FALSE),0)</f>
        <v>0</v>
      </c>
      <c r="AN117" s="6">
        <f>IFERROR(VLOOKUP(Tabla145[[#This Row],[Llave]],[18]!Tabla14[#All],35,FALSE),0)</f>
        <v>0</v>
      </c>
      <c r="AO117" s="3" t="str">
        <f>IF(Tabla145[[#This Row],[Plan Ajustado]]&gt;Tabla145[[#This Row],[En puerto a facturar]],"Si","No")</f>
        <v>Si</v>
      </c>
      <c r="AP117" s="3">
        <f>IF(AND(Tabla145[[#This Row],[Plan Ajustado]]&gt;0,Tabla145[[#This Row],[Plan Ajustado]]&gt;Tabla145[[#This Row],[En puerto a facturar]]),(Tabla145[[#This Row],[Plan Ajustado]]-Tabla145[[#This Row],[En puerto a facturar]]),0)</f>
        <v>72000</v>
      </c>
      <c r="AQ117" s="3">
        <f>IF(Tabla145[[#This Row],[Necesidad]]&gt;=Tabla145[[#This Row],[Stock al día]],Tabla145[[#This Row],[Stock al día]],Tabla145[[#This Row],[Necesidad]])</f>
        <v>61318</v>
      </c>
      <c r="AR117" s="3">
        <f>+Tabla145[[#This Row],[Necesidad]]-Tabla145[[#This Row],[Stock Plan]]</f>
        <v>10682</v>
      </c>
      <c r="AS117" s="155">
        <f>IFERROR(VLOOKUP(Tabla145[[#This Row],[Oficina]],[19]Ponderación!$B$14:$E$21,4,FALSE),"")</f>
        <v>44786</v>
      </c>
      <c r="AT11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2.3915819483973553</v>
      </c>
      <c r="AU117" s="83">
        <f>IFERROR(VLOOKUP(Tabla145[[#This Row],[Llave]],[17]DELAY!$H:$W,16,FALSE),0)</f>
        <v>2.8455833333333298</v>
      </c>
      <c r="AV11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2.8455833333333298</v>
      </c>
      <c r="AW117" s="5">
        <f>Tabla145[[#This Row],[Ajuste precio IC]]*Tabla145[[#This Row],[Plan Ajustado]]</f>
        <v>204881.99999999974</v>
      </c>
      <c r="AX117" s="30">
        <f>IFERROR(VLOOKUP(Tabla145[[#This Row],[Llave]],'[13]Ultimos precios facturados'!$A:$G,7,FALSE),0)</f>
        <v>2.3915819483973553</v>
      </c>
      <c r="AY11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0.18983308735885446</v>
      </c>
      <c r="AZ117" s="30">
        <f>IFERROR(VLOOKUP(Tabla145[[#This Row],[Llave]],Hoja2!B:K,10,FALSE),0)</f>
        <v>2.8455833333333298</v>
      </c>
      <c r="BA117" s="30">
        <f>IF(Tabla145[[#This Row],[Ajuste precio IC]]="",Tabla145[[#This Row],[Precio ponderado]],Tabla145[[#This Row],[Precio ponderado]])</f>
        <v>2.8455833333333298</v>
      </c>
      <c r="BB117" s="82"/>
      <c r="BC117" s="82" t="str">
        <f>IF(AND(Tabla145[[#This Row],[Atraso a facturar]]&gt;0,Tabla145[[#This Row],[Precio Atraso]]=0),"Revisar","OK")</f>
        <v>OK</v>
      </c>
      <c r="BD117" s="82" t="str">
        <f>IF(AND(Tabla145[[#This Row],[Venta del mes]]&gt;0,Tabla145[[#This Row],[Precio venta nueva]]=0),"Revisar","OK")</f>
        <v>OK</v>
      </c>
      <c r="BE117" s="20">
        <f>IFERROR(VLOOKUP(Tabla145[[#This Row],[Llave]],'[5]Consolidación planes'!$A:$M,9,FALSE),0)</f>
        <v>96000</v>
      </c>
      <c r="BF117" s="20">
        <f>IFERROR(VLOOKUP(Tabla145[[#This Row],[Llave]],'[5]Consolidación planes'!$A:$M,10,FALSE),0)</f>
        <v>0</v>
      </c>
      <c r="BG117" s="20">
        <f>IFERROR(VLOOKUP(Tabla145[[#This Row],[Llave]],'[5]Consolidación planes'!$A:$M,11,FALSE),0)</f>
        <v>0</v>
      </c>
      <c r="BH117" s="20">
        <f>IFERROR(VLOOKUP(Tabla145[[#This Row],[Llave]],'[5]Consolidación planes'!$A:$M,12,FALSE),0)</f>
        <v>72000</v>
      </c>
      <c r="BI117" s="20">
        <f>IFERROR(VLOOKUP(Tabla145[[#This Row],[Llave]],'[5]Consolidación planes'!$A:$M,13,FALSE),0)</f>
        <v>24000</v>
      </c>
      <c r="BJ117" s="20">
        <f>IFERROR(VLOOKUP(Tabla145[[#This Row],[Llave]],'[13]Base ultimos planes'!$A:$M,13,FALSE),0)</f>
        <v>0</v>
      </c>
      <c r="BK117" s="80">
        <f>IFERROR(VLOOKUP(Tabla145[[#This Row],[Llave]],'[13]Base ultimos planes'!$O:$AA,8,FALSE),0)</f>
        <v>169760</v>
      </c>
      <c r="BL117" s="20">
        <f>IFERROR(VLOOKUP(Tabla145[[#This Row],[Llave]],'[13]Base ultimos planes'!$O:$AA,9,FALSE),0)</f>
        <v>0</v>
      </c>
      <c r="BM117" s="20">
        <f>IFERROR(VLOOKUP(Tabla145[[#This Row],[Llave]],'[13]Base ultimos planes'!$O:$AA,10,FALSE),0)</f>
        <v>0</v>
      </c>
      <c r="BN117" s="20">
        <f>IFERROR(VLOOKUP(Tabla145[[#This Row],[Llave]],'[13]Base ultimos planes'!$O:$AA,11,FALSE),0)</f>
        <v>65368</v>
      </c>
      <c r="BO117" s="20">
        <f>IFERROR(VLOOKUP(Tabla145[[#This Row],[Llave]],'[13]Base ultimos planes'!$O:$AA,12,FALSE),0)</f>
        <v>43579</v>
      </c>
      <c r="BP117" s="20">
        <f>IFERROR(VLOOKUP(Tabla145[[#This Row],[Llave]],'[13]Base ultimos planes'!$O:$AA,13,FALSE),0)</f>
        <v>0</v>
      </c>
      <c r="BQ117" s="20"/>
      <c r="BR117" s="20">
        <f>Tabla145[[#This Row],[ RV Producción mes n+1]]*(1-Tabla145[[#This Row],[% Uti. producción]])</f>
        <v>0</v>
      </c>
      <c r="BS117" s="20">
        <f>+Tabla145[[#This Row],[Producción disponible mes n-1]]+Tabla145[[#This Row],[Saldo Volumen disponible]]</f>
        <v>21939.399999999994</v>
      </c>
      <c r="BT117" s="7">
        <f>IFERROR(VLOOKUP(Tabla145[[#This Row],[Llave]],'[21]RV n+2 y n+3'!$B:$F,4,FALSE),0)</f>
        <v>0</v>
      </c>
      <c r="BU117" s="7">
        <f>+Tabla145[[#This Row],[Asignación mes n+2]]*Tabla145[[#This Row],[% Uti. producción]]</f>
        <v>0</v>
      </c>
      <c r="BV117" s="7">
        <f>+Tabla145[[#This Row],[Ponderación mes n+2]]+Tabla145[[#This Row],[Saldo mes n-1]]</f>
        <v>21939.399999999994</v>
      </c>
      <c r="BW117" s="7">
        <f>+Tabla145[[#This Row],[Asignación mes n+2]]-Tabla145[[#This Row],[Ponderación mes n+2]]</f>
        <v>0</v>
      </c>
      <c r="BX117" s="7">
        <f>IFERROR(VLOOKUP(Tabla145[[#This Row],[Llave]],'[21]RV n+2 y n+3'!$B:$F,5,FALSE),0)</f>
        <v>0</v>
      </c>
      <c r="BY117" s="7">
        <f>+Tabla145[[#This Row],[Asignación mes n+3]]*Tabla145[[#This Row],[% Uti. producción]]</f>
        <v>0</v>
      </c>
      <c r="BZ117" s="3">
        <f>+Tabla145[[#This Row],[Ponderación mes n+3]]+Tabla145[[#This Row],[Saldo mes n+2]]</f>
        <v>0</v>
      </c>
      <c r="CA117" s="3">
        <f>+Tabla145[[#This Row],[Asignación mes n+3]]-Tabla145[[#This Row],[Ponderación mes n+3]]</f>
        <v>0</v>
      </c>
      <c r="CB117" s="3">
        <f>+Tabla145[[#This Row],[Producción disponible mes n-1]]+Tabla145[[#This Row],[Producción disponible]]</f>
        <v>0</v>
      </c>
      <c r="CC117" s="3">
        <f>+Tabla145[[#This Row],[Saldo mes n+4]]-Tabla145[[#This Row],[ RV Producción mes n+1]]</f>
        <v>0</v>
      </c>
    </row>
    <row r="118" spans="1:81" ht="16" x14ac:dyDescent="0.2">
      <c r="A118">
        <v>2</v>
      </c>
      <c r="B118" t="str">
        <f>Tabla145[[#This Row],[Oficina]]&amp;Tabla145[[#This Row],[Material]]</f>
        <v>Agrosuper Shanghai1021735</v>
      </c>
      <c r="C118" t="s">
        <v>6</v>
      </c>
      <c r="D118" t="s">
        <v>140</v>
      </c>
      <c r="E118">
        <v>1021735</v>
      </c>
      <c r="F118" t="s">
        <v>169</v>
      </c>
      <c r="G118" t="s">
        <v>76</v>
      </c>
      <c r="H118" t="s">
        <v>77</v>
      </c>
      <c r="I118" s="7">
        <f>IFERROR(VLOOKUP(Tabla145[[#This Row],[Llave]],'[7]RV Producción'!$C:$G,5,FALSE),0)</f>
        <v>0</v>
      </c>
      <c r="J118" s="3">
        <f>IFERROR(IF(Tabla145[[#This Row],[Oficina]]=$I$7,VLOOKUP(Tabla145[[#This Row],[Llave]],'[7]Shangai (Tomas)'!$A:$F,6,FALSE),VLOOKUP(Tabla145[[#This Row],[Llave]],'[7]RV plan de ventas'!$A:$E,5,FALSE)),0)</f>
        <v>0</v>
      </c>
      <c r="K118" s="8">
        <f>IFERROR(VLOOKUP(Tabla145[[#This Row],[Oficina]],[15]Ponderación!$B$2:$E$9,4,FALSE),0)</f>
        <v>0.45719439678473212</v>
      </c>
      <c r="L118" s="7">
        <f>+Tabla145[[#This Row],[ RV Producción mes n+1]]*Tabla145[[#This Row],[% Uti. producción]]</f>
        <v>0</v>
      </c>
      <c r="M118" s="7">
        <f>IFERROR(VLOOKUP(Tabla145[[#This Row],[Material]],[16]Stock!$G:$K,5,FALSE),0)</f>
        <v>36600</v>
      </c>
      <c r="N118" s="7">
        <f>IFERROR(VLOOKUP(Tabla145[[#This Row],[Material]],[16]Produccion!$M:$N,2,FALSE),0)</f>
        <v>46045.799999999996</v>
      </c>
      <c r="O118" s="7">
        <f>IFERROR(VLOOKUP(Tabla145[[#This Row],[Llave]],'[16]TD Conf-AP'!$I:$M,4,FALSE),0)</f>
        <v>0</v>
      </c>
      <c r="P118" s="14">
        <f>SUM(Tabla145[[#This Row],[Producción disponible]],Tabla145[[#This Row],[Stock al día]],(Tabla145[[#This Row],[Por producir mes N]]*0.9))-Tabla145[[#This Row],[Producción por despachar mes N]]</f>
        <v>78041.22</v>
      </c>
      <c r="Q118" s="7">
        <f>IFERROR(VLOOKUP(Tabla145[[#This Row],[Llave]],[17]DELAY!$A:$D,4,FALSE),0)</f>
        <v>0</v>
      </c>
      <c r="R118" s="9">
        <v>24000</v>
      </c>
      <c r="S118" s="5">
        <f t="shared" si="6"/>
        <v>0</v>
      </c>
      <c r="T118" s="76"/>
      <c r="U118" s="5">
        <f>+Tabla145[[#This Row],[Atraso a facturar]]+Tabla145[[#This Row],[Ajuste atraso]]</f>
        <v>0</v>
      </c>
      <c r="V118" s="3">
        <f>+Tabla145[[#This Row],[Total disponible]]-Tabla145[[#This Row],[Facturación atraso]]</f>
        <v>78041.22</v>
      </c>
      <c r="W118" s="6">
        <f>IFERROR(IF(AND(V118&gt;R118,J118&gt;=R118),ROUNDDOWN((Tabla145[[#This Row],[Producción para venta nueva]])/R118,0)*R118,0),0)</f>
        <v>0</v>
      </c>
      <c r="X118" s="76">
        <v>0</v>
      </c>
      <c r="Y118" s="6">
        <f>IF(Tabla145[[#This Row],[Venta del mes]]&gt;0,Tabla145[[#This Row],[Venta del mes]]+Tabla145[[#This Row],[Ajuste venta nueva]],0)</f>
        <v>0</v>
      </c>
      <c r="Z118" s="6">
        <f>+Tabla145[[#This Row],[Producción para venta nueva]]-Tabla145[[#This Row],[Facturación Venta nueva]]</f>
        <v>78041.22</v>
      </c>
      <c r="AA118" s="6">
        <f>IF(AND(A118=1,Tabla145[[#This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8" s="6">
        <v>0</v>
      </c>
      <c r="AC118" s="6">
        <f>IF(Tabla145[[#This Row],[Disponible stock sin venta]]&gt;0,Tabla145[[#This Row],[Disponible stock sin venta]]+Tabla145[[#This Row],[Ajuste stock sin venta]],0)</f>
        <v>0</v>
      </c>
      <c r="AD118" s="3">
        <f>IFERROR(VLOOKUP(Tabla145[[#This Row],[Llave]],'[16]TD Puerto'!$A:$D,4,FALSE),0)</f>
        <v>0</v>
      </c>
      <c r="AE118" s="3">
        <v>0</v>
      </c>
      <c r="AF118" s="3">
        <f>+Tabla145[[#This Row],[Plan Irrestricto Inicial]]</f>
        <v>0</v>
      </c>
      <c r="AG118" s="3">
        <f>+Tabla145[[#This Row],[En puerto a facturar]]</f>
        <v>0</v>
      </c>
      <c r="AH118" s="3">
        <f>+Tabla145[[#This Row],[Facturación atraso]]</f>
        <v>0</v>
      </c>
      <c r="AI118" s="3">
        <f>+Tabla145[[#This Row],[Plan Irrestricto]]-Tabla145[[#This Row],[Puerto ]]-Tabla145[[#This Row],[Atraso]]</f>
        <v>0</v>
      </c>
      <c r="AJ11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18" s="3">
        <f>+Tabla145[[#This Row],[Facturación atraso]]</f>
        <v>0</v>
      </c>
      <c r="AL118" s="3">
        <f>+Tabla145[[#This Row],[Plan Ajustado]]-Tabla145[[#This Row],[ Atraso ajustado]]-Tabla145[[#This Row],[Puerto ]]</f>
        <v>0</v>
      </c>
      <c r="AM118" s="6">
        <f>IFERROR(VLOOKUP(Tabla145[[#This Row],[Llave]],[18]!Tabla14[#All],34,FALSE),0)</f>
        <v>0</v>
      </c>
      <c r="AN118" s="6">
        <f>IFERROR(VLOOKUP(Tabla145[[#This Row],[Llave]],[18]!Tabla14[#All],35,FALSE),0)</f>
        <v>0</v>
      </c>
      <c r="AO118" s="3" t="str">
        <f>IF(Tabla145[[#This Row],[Plan Ajustado]]&gt;Tabla145[[#This Row],[En puerto a facturar]],"Si","No")</f>
        <v>No</v>
      </c>
      <c r="AP11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18" s="3">
        <f>IF(Tabla145[[#This Row],[Necesidad]]&gt;=Tabla145[[#This Row],[Stock al día]],Tabla145[[#This Row],[Stock al día]],Tabla145[[#This Row],[Necesidad]])</f>
        <v>0</v>
      </c>
      <c r="AR118" s="3">
        <f>+Tabla145[[#This Row],[Necesidad]]-Tabla145[[#This Row],[Stock Plan]]</f>
        <v>0</v>
      </c>
      <c r="AS118" s="155">
        <f>IFERROR(VLOOKUP(Tabla145[[#This Row],[Oficina]],[19]Ponderación!$B$14:$E$21,4,FALSE),"")</f>
        <v>44786</v>
      </c>
      <c r="AT11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4.5709100369670814</v>
      </c>
      <c r="AU118" s="83">
        <f>IFERROR(VLOOKUP(Tabla145[[#This Row],[Llave]],[17]DELAY!$H:$W,16,FALSE),0)</f>
        <v>0</v>
      </c>
      <c r="AV11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18" s="5">
        <f>Tabla145[[#This Row],[Ajuste precio IC]]*Tabla145[[#This Row],[Plan Ajustado]]</f>
        <v>0</v>
      </c>
      <c r="AX118" s="30">
        <f>IFERROR(VLOOKUP(Tabla145[[#This Row],[Llave]],'[13]Ultimos precios facturados'!$A:$G,7,FALSE),0)</f>
        <v>4.5709100369670814</v>
      </c>
      <c r="AY11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18" s="30">
        <f>IFERROR(VLOOKUP(Tabla145[[#This Row],[Llave]],Hoja2!B:K,10,FALSE),0)</f>
        <v>0</v>
      </c>
      <c r="BA118" s="30">
        <f>IF(Tabla145[[#This Row],[Ajuste precio IC]]="",Tabla145[[#This Row],[Precio ponderado]],Tabla145[[#This Row],[Precio ponderado]])</f>
        <v>0</v>
      </c>
      <c r="BB118" s="82"/>
      <c r="BC118" s="82" t="str">
        <f>IF(AND(Tabla145[[#This Row],[Atraso a facturar]]&gt;0,Tabla145[[#This Row],[Precio Atraso]]=0),"Revisar","OK")</f>
        <v>OK</v>
      </c>
      <c r="BD118" s="82" t="str">
        <f>IF(AND(Tabla145[[#This Row],[Venta del mes]]&gt;0,Tabla145[[#This Row],[Precio venta nueva]]=0),"Revisar","OK")</f>
        <v>OK</v>
      </c>
      <c r="BE118" s="20">
        <f>IFERROR(VLOOKUP(Tabla145[[#This Row],[Llave]],'[5]Consolidación planes'!$A:$M,9,FALSE),0)</f>
        <v>240000</v>
      </c>
      <c r="BF118" s="20">
        <f>IFERROR(VLOOKUP(Tabla145[[#This Row],[Llave]],'[5]Consolidación planes'!$A:$M,10,FALSE),0)</f>
        <v>96000</v>
      </c>
      <c r="BG118" s="20">
        <f>IFERROR(VLOOKUP(Tabla145[[#This Row],[Llave]],'[5]Consolidación planes'!$A:$M,11,FALSE),0)</f>
        <v>96000</v>
      </c>
      <c r="BH118" s="20">
        <f>IFERROR(VLOOKUP(Tabla145[[#This Row],[Llave]],'[5]Consolidación planes'!$A:$M,12,FALSE),0)</f>
        <v>0</v>
      </c>
      <c r="BI118" s="20">
        <f>IFERROR(VLOOKUP(Tabla145[[#This Row],[Llave]],'[5]Consolidación planes'!$A:$M,13,FALSE),0)</f>
        <v>186020</v>
      </c>
      <c r="BJ118" s="20">
        <f>IFERROR(VLOOKUP(Tabla145[[#This Row],[Llave]],'[13]Base ultimos planes'!$A:$M,13,FALSE),0)</f>
        <v>72000</v>
      </c>
      <c r="BK118" s="80">
        <f>IFERROR(VLOOKUP(Tabla145[[#This Row],[Llave]],'[13]Base ultimos planes'!$O:$AA,8,FALSE),0)</f>
        <v>982080</v>
      </c>
      <c r="BL118" s="20">
        <f>IFERROR(VLOOKUP(Tabla145[[#This Row],[Llave]],'[13]Base ultimos planes'!$O:$AA,9,FALSE),0)</f>
        <v>384000</v>
      </c>
      <c r="BM118" s="20">
        <f>IFERROR(VLOOKUP(Tabla145[[#This Row],[Llave]],'[13]Base ultimos planes'!$O:$AA,10,FALSE),0)</f>
        <v>393600</v>
      </c>
      <c r="BN118" s="20">
        <f>IFERROR(VLOOKUP(Tabla145[[#This Row],[Llave]],'[13]Base ultimos planes'!$O:$AA,11,FALSE),0)</f>
        <v>0</v>
      </c>
      <c r="BO118" s="20">
        <f>IFERROR(VLOOKUP(Tabla145[[#This Row],[Llave]],'[13]Base ultimos planes'!$O:$AA,12,FALSE),0)</f>
        <v>791853</v>
      </c>
      <c r="BP118" s="20">
        <f>IFERROR(VLOOKUP(Tabla145[[#This Row],[Llave]],'[13]Base ultimos planes'!$O:$AA,13,FALSE),0)</f>
        <v>325592</v>
      </c>
      <c r="BQ118" s="20"/>
      <c r="BR118" s="20">
        <f>Tabla145[[#This Row],[ RV Producción mes n+1]]*(1-Tabla145[[#This Row],[% Uti. producción]])</f>
        <v>0</v>
      </c>
      <c r="BS118" s="20">
        <f>+Tabla145[[#This Row],[Producción disponible mes n-1]]+Tabla145[[#This Row],[Saldo Volumen disponible]]</f>
        <v>78041.22</v>
      </c>
      <c r="BT118" s="7">
        <f>IFERROR(VLOOKUP(Tabla145[[#This Row],[Llave]],'[21]RV n+2 y n+3'!$B:$F,4,FALSE),0)</f>
        <v>0</v>
      </c>
      <c r="BU118" s="7">
        <f>+Tabla145[[#This Row],[Asignación mes n+2]]*Tabla145[[#This Row],[% Uti. producción]]</f>
        <v>0</v>
      </c>
      <c r="BV118" s="7">
        <f>+Tabla145[[#This Row],[Ponderación mes n+2]]+Tabla145[[#This Row],[Saldo mes n-1]]</f>
        <v>78041.22</v>
      </c>
      <c r="BW118" s="7">
        <f>+Tabla145[[#This Row],[Asignación mes n+2]]-Tabla145[[#This Row],[Ponderación mes n+2]]</f>
        <v>0</v>
      </c>
      <c r="BX118" s="7">
        <f>IFERROR(VLOOKUP(Tabla145[[#This Row],[Llave]],'[21]RV n+2 y n+3'!$B:$F,5,FALSE),0)</f>
        <v>0</v>
      </c>
      <c r="BY118" s="7">
        <f>+Tabla145[[#This Row],[Asignación mes n+3]]*Tabla145[[#This Row],[% Uti. producción]]</f>
        <v>0</v>
      </c>
      <c r="BZ118" s="3">
        <f>+Tabla145[[#This Row],[Ponderación mes n+3]]+Tabla145[[#This Row],[Saldo mes n+2]]</f>
        <v>0</v>
      </c>
      <c r="CA118" s="3">
        <f>+Tabla145[[#This Row],[Asignación mes n+3]]-Tabla145[[#This Row],[Ponderación mes n+3]]</f>
        <v>0</v>
      </c>
      <c r="CB118" s="3">
        <f>+Tabla145[[#This Row],[Producción disponible mes n-1]]+Tabla145[[#This Row],[Producción disponible]]</f>
        <v>0</v>
      </c>
      <c r="CC118" s="3">
        <f>+Tabla145[[#This Row],[Saldo mes n+4]]-Tabla145[[#This Row],[ RV Producción mes n+1]]</f>
        <v>0</v>
      </c>
    </row>
    <row r="119" spans="1:81" ht="16" x14ac:dyDescent="0.2">
      <c r="A119">
        <v>2</v>
      </c>
      <c r="B119" t="str">
        <f>Tabla145[[#This Row],[Oficina]]&amp;Tabla145[[#This Row],[Material]]</f>
        <v>Agrosuper Shanghai1021738</v>
      </c>
      <c r="C119" t="s">
        <v>6</v>
      </c>
      <c r="D119" t="s">
        <v>140</v>
      </c>
      <c r="E119">
        <v>1021738</v>
      </c>
      <c r="F119" t="s">
        <v>170</v>
      </c>
      <c r="G119" t="s">
        <v>76</v>
      </c>
      <c r="H119" t="s">
        <v>77</v>
      </c>
      <c r="I119" s="7">
        <f>IFERROR(VLOOKUP(Tabla145[[#This Row],[Llave]],'[7]RV Producción'!$C:$G,5,FALSE),0)</f>
        <v>0</v>
      </c>
      <c r="J119" s="3">
        <f>IFERROR(IF(Tabla145[[#This Row],[Oficina]]=$I$7,VLOOKUP(Tabla145[[#This Row],[Llave]],'[7]Shangai (Tomas)'!$A:$F,6,FALSE),VLOOKUP(Tabla145[[#This Row],[Llave]],'[7]RV plan de ventas'!$A:$E,5,FALSE)),0)</f>
        <v>0</v>
      </c>
      <c r="K119" s="8">
        <f>IFERROR(VLOOKUP(Tabla145[[#This Row],[Oficina]],[15]Ponderación!$B$2:$E$9,4,FALSE),0)</f>
        <v>0.45719439678473212</v>
      </c>
      <c r="L119" s="7">
        <f>+Tabla145[[#This Row],[ RV Producción mes n+1]]*Tabla145[[#This Row],[% Uti. producción]]</f>
        <v>0</v>
      </c>
      <c r="M119" s="7">
        <f>IFERROR(VLOOKUP(Tabla145[[#This Row],[Material]],[16]Stock!$G:$K,5,FALSE),0)</f>
        <v>65081</v>
      </c>
      <c r="N119" s="7">
        <f>IFERROR(VLOOKUP(Tabla145[[#This Row],[Material]],[16]Produccion!$M:$N,2,FALSE),0)</f>
        <v>23536.395</v>
      </c>
      <c r="O119" s="7">
        <f>IFERROR(VLOOKUP(Tabla145[[#This Row],[Llave]],'[16]TD Conf-AP'!$I:$M,4,FALSE),0)</f>
        <v>0</v>
      </c>
      <c r="P119" s="14">
        <f>SUM(Tabla145[[#This Row],[Producción disponible]],Tabla145[[#This Row],[Stock al día]],(Tabla145[[#This Row],[Por producir mes N]]*0.9))-Tabla145[[#This Row],[Producción por despachar mes N]]</f>
        <v>86263.755499999999</v>
      </c>
      <c r="Q119" s="7">
        <f>IFERROR(VLOOKUP(Tabla145[[#This Row],[Llave]],[17]DELAY!$A:$D,4,FALSE),0)</f>
        <v>0</v>
      </c>
      <c r="R119" s="9">
        <v>24000</v>
      </c>
      <c r="S119" s="5">
        <f t="shared" si="6"/>
        <v>0</v>
      </c>
      <c r="T119" s="76"/>
      <c r="U119" s="5">
        <f>+Tabla145[[#This Row],[Atraso a facturar]]+Tabla145[[#This Row],[Ajuste atraso]]</f>
        <v>0</v>
      </c>
      <c r="V119" s="3">
        <f>+Tabla145[[#This Row],[Total disponible]]-Tabla145[[#This Row],[Facturación atraso]]</f>
        <v>86263.755499999999</v>
      </c>
      <c r="W119" s="6">
        <f>IFERROR(IF(AND(V119&gt;R119,J119&gt;=R119),ROUNDDOWN((Tabla145[[#This Row],[Producción para venta nueva]])/R119,0)*R119,0),0)</f>
        <v>0</v>
      </c>
      <c r="X119" s="76">
        <v>0</v>
      </c>
      <c r="Y119" s="6">
        <f>IF(Tabla145[[#This Row],[Venta del mes]]&gt;0,Tabla145[[#This Row],[Venta del mes]]+Tabla145[[#This Row],[Ajuste venta nueva]],0)</f>
        <v>0</v>
      </c>
      <c r="Z119" s="6">
        <f>+Tabla145[[#This Row],[Producción para venta nueva]]-Tabla145[[#This Row],[Facturación Venta nueva]]</f>
        <v>86263.755499999999</v>
      </c>
      <c r="AA119" s="6">
        <f>IF(AND(A119=1,Tabla145[[#This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19" s="6">
        <v>0</v>
      </c>
      <c r="AC119" s="6">
        <f>IF(Tabla145[[#This Row],[Disponible stock sin venta]]&gt;0,Tabla145[[#This Row],[Disponible stock sin venta]]+Tabla145[[#This Row],[Ajuste stock sin venta]],0)</f>
        <v>0</v>
      </c>
      <c r="AD119" s="3">
        <f>IFERROR(VLOOKUP(Tabla145[[#This Row],[Llave]],'[16]TD Puerto'!$A:$D,4,FALSE),0)</f>
        <v>0</v>
      </c>
      <c r="AE119" s="3">
        <v>0</v>
      </c>
      <c r="AF119" s="3">
        <f>+Tabla145[[#This Row],[Plan Irrestricto Inicial]]</f>
        <v>0</v>
      </c>
      <c r="AG119" s="3">
        <f>+Tabla145[[#This Row],[En puerto a facturar]]</f>
        <v>0</v>
      </c>
      <c r="AH119" s="3">
        <f>+Tabla145[[#This Row],[Facturación atraso]]</f>
        <v>0</v>
      </c>
      <c r="AI119" s="3">
        <f>+Tabla145[[#This Row],[Plan Irrestricto]]-Tabla145[[#This Row],[Puerto ]]-Tabla145[[#This Row],[Atraso]]</f>
        <v>0</v>
      </c>
      <c r="AJ11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19" s="3">
        <f>+Tabla145[[#This Row],[Facturación atraso]]</f>
        <v>0</v>
      </c>
      <c r="AL119" s="3">
        <f>+Tabla145[[#This Row],[Plan Ajustado]]-Tabla145[[#This Row],[ Atraso ajustado]]-Tabla145[[#This Row],[Puerto ]]</f>
        <v>0</v>
      </c>
      <c r="AM119" s="6">
        <f>IFERROR(VLOOKUP(Tabla145[[#This Row],[Llave]],[18]!Tabla14[#All],34,FALSE),0)</f>
        <v>0</v>
      </c>
      <c r="AN119" s="6">
        <f>IFERROR(VLOOKUP(Tabla145[[#This Row],[Llave]],[18]!Tabla14[#All],35,FALSE),0)</f>
        <v>0</v>
      </c>
      <c r="AO119" s="3" t="str">
        <f>IF(Tabla145[[#This Row],[Plan Ajustado]]&gt;Tabla145[[#This Row],[En puerto a facturar]],"Si","No")</f>
        <v>No</v>
      </c>
      <c r="AP11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19" s="3">
        <f>IF(Tabla145[[#This Row],[Necesidad]]&gt;=Tabla145[[#This Row],[Stock al día]],Tabla145[[#This Row],[Stock al día]],Tabla145[[#This Row],[Necesidad]])</f>
        <v>0</v>
      </c>
      <c r="AR119" s="3">
        <f>+Tabla145[[#This Row],[Necesidad]]-Tabla145[[#This Row],[Stock Plan]]</f>
        <v>0</v>
      </c>
      <c r="AS119" s="155">
        <f>IFERROR(VLOOKUP(Tabla145[[#This Row],[Oficina]],[19]Ponderación!$B$14:$E$21,4,FALSE),"")</f>
        <v>44786</v>
      </c>
      <c r="AT11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4.6108252378721257</v>
      </c>
      <c r="AU119" s="83">
        <f>IFERROR(VLOOKUP(Tabla145[[#This Row],[Llave]],[17]DELAY!$H:$W,16,FALSE),0)</f>
        <v>0</v>
      </c>
      <c r="AV11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19" s="5">
        <f>Tabla145[[#This Row],[Ajuste precio IC]]*Tabla145[[#This Row],[Plan Ajustado]]</f>
        <v>0</v>
      </c>
      <c r="AX119" s="30">
        <f>IFERROR(VLOOKUP(Tabla145[[#This Row],[Llave]],'[13]Ultimos precios facturados'!$A:$G,7,FALSE),0)</f>
        <v>4.6108252378721257</v>
      </c>
      <c r="AY11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19" s="30">
        <f>IFERROR(VLOOKUP(Tabla145[[#This Row],[Llave]],Hoja2!B:K,10,FALSE),0)</f>
        <v>0</v>
      </c>
      <c r="BA119" s="30">
        <f>IF(Tabla145[[#This Row],[Ajuste precio IC]]="",Tabla145[[#This Row],[Precio ponderado]],Tabla145[[#This Row],[Precio ponderado]])</f>
        <v>0</v>
      </c>
      <c r="BB119" s="82"/>
      <c r="BC119" s="82" t="str">
        <f>IF(AND(Tabla145[[#This Row],[Atraso a facturar]]&gt;0,Tabla145[[#This Row],[Precio Atraso]]=0),"Revisar","OK")</f>
        <v>OK</v>
      </c>
      <c r="BD119" s="82" t="str">
        <f>IF(AND(Tabla145[[#This Row],[Venta del mes]]&gt;0,Tabla145[[#This Row],[Precio venta nueva]]=0),"Revisar","OK")</f>
        <v>OK</v>
      </c>
      <c r="BE119" s="20">
        <f>IFERROR(VLOOKUP(Tabla145[[#This Row],[Llave]],'[5]Consolidación planes'!$A:$M,9,FALSE),0)</f>
        <v>48000</v>
      </c>
      <c r="BF119" s="20">
        <f>IFERROR(VLOOKUP(Tabla145[[#This Row],[Llave]],'[5]Consolidación planes'!$A:$M,10,FALSE),0)</f>
        <v>0</v>
      </c>
      <c r="BG119" s="20">
        <f>IFERROR(VLOOKUP(Tabla145[[#This Row],[Llave]],'[5]Consolidación planes'!$A:$M,11,FALSE),0)</f>
        <v>0</v>
      </c>
      <c r="BH119" s="20">
        <f>IFERROR(VLOOKUP(Tabla145[[#This Row],[Llave]],'[5]Consolidación planes'!$A:$M,12,FALSE),0)</f>
        <v>24000</v>
      </c>
      <c r="BI119" s="20">
        <f>IFERROR(VLOOKUP(Tabla145[[#This Row],[Llave]],'[5]Consolidación planes'!$A:$M,13,FALSE),0)</f>
        <v>0</v>
      </c>
      <c r="BJ119" s="20">
        <f>IFERROR(VLOOKUP(Tabla145[[#This Row],[Llave]],'[13]Base ultimos planes'!$A:$M,13,FALSE),0)</f>
        <v>0</v>
      </c>
      <c r="BK119" s="80">
        <f>IFERROR(VLOOKUP(Tabla145[[#This Row],[Llave]],'[13]Base ultimos planes'!$O:$AA,8,FALSE),0)</f>
        <v>177600</v>
      </c>
      <c r="BL119" s="20">
        <f>IFERROR(VLOOKUP(Tabla145[[#This Row],[Llave]],'[13]Base ultimos planes'!$O:$AA,9,FALSE),0)</f>
        <v>0</v>
      </c>
      <c r="BM119" s="20">
        <f>IFERROR(VLOOKUP(Tabla145[[#This Row],[Llave]],'[13]Base ultimos planes'!$O:$AA,10,FALSE),0)</f>
        <v>0</v>
      </c>
      <c r="BN119" s="20">
        <f>IFERROR(VLOOKUP(Tabla145[[#This Row],[Llave]],'[13]Base ultimos planes'!$O:$AA,11,FALSE),0)</f>
        <v>46600</v>
      </c>
      <c r="BO119" s="20">
        <f>IFERROR(VLOOKUP(Tabla145[[#This Row],[Llave]],'[13]Base ultimos planes'!$O:$AA,12,FALSE),0)</f>
        <v>0</v>
      </c>
      <c r="BP119" s="20">
        <f>IFERROR(VLOOKUP(Tabla145[[#This Row],[Llave]],'[13]Base ultimos planes'!$O:$AA,13,FALSE),0)</f>
        <v>0</v>
      </c>
      <c r="BQ119" s="20"/>
      <c r="BR119" s="20">
        <f>Tabla145[[#This Row],[ RV Producción mes n+1]]*(1-Tabla145[[#This Row],[% Uti. producción]])</f>
        <v>0</v>
      </c>
      <c r="BS119" s="20">
        <f>+Tabla145[[#This Row],[Producción disponible mes n-1]]+Tabla145[[#This Row],[Saldo Volumen disponible]]</f>
        <v>86263.755499999999</v>
      </c>
      <c r="BT119" s="7">
        <f>IFERROR(VLOOKUP(Tabla145[[#This Row],[Llave]],'[21]RV n+2 y n+3'!$B:$F,4,FALSE),0)</f>
        <v>0</v>
      </c>
      <c r="BU119" s="7">
        <f>+Tabla145[[#This Row],[Asignación mes n+2]]*Tabla145[[#This Row],[% Uti. producción]]</f>
        <v>0</v>
      </c>
      <c r="BV119" s="7">
        <f>+Tabla145[[#This Row],[Ponderación mes n+2]]+Tabla145[[#This Row],[Saldo mes n-1]]</f>
        <v>86263.755499999999</v>
      </c>
      <c r="BW119" s="7">
        <f>+Tabla145[[#This Row],[Asignación mes n+2]]-Tabla145[[#This Row],[Ponderación mes n+2]]</f>
        <v>0</v>
      </c>
      <c r="BX119" s="7">
        <f>IFERROR(VLOOKUP(Tabla145[[#This Row],[Llave]],'[21]RV n+2 y n+3'!$B:$F,5,FALSE),0)</f>
        <v>0</v>
      </c>
      <c r="BY119" s="7">
        <f>+Tabla145[[#This Row],[Asignación mes n+3]]*Tabla145[[#This Row],[% Uti. producción]]</f>
        <v>0</v>
      </c>
      <c r="BZ119" s="3">
        <f>+Tabla145[[#This Row],[Ponderación mes n+3]]+Tabla145[[#This Row],[Saldo mes n+2]]</f>
        <v>0</v>
      </c>
      <c r="CA119" s="3">
        <f>+Tabla145[[#This Row],[Asignación mes n+3]]-Tabla145[[#This Row],[Ponderación mes n+3]]</f>
        <v>0</v>
      </c>
      <c r="CB119" s="3">
        <f>+Tabla145[[#This Row],[Producción disponible mes n-1]]+Tabla145[[#This Row],[Producción disponible]]</f>
        <v>0</v>
      </c>
      <c r="CC119" s="3">
        <f>+Tabla145[[#This Row],[Saldo mes n+4]]-Tabla145[[#This Row],[ RV Producción mes n+1]]</f>
        <v>0</v>
      </c>
    </row>
    <row r="120" spans="1:81" ht="16" x14ac:dyDescent="0.2">
      <c r="A120">
        <v>2</v>
      </c>
      <c r="B120" t="str">
        <f>Tabla145[[#This Row],[Oficina]]&amp;Tabla145[[#This Row],[Material]]</f>
        <v>Agrosuper Shanghai1021765</v>
      </c>
      <c r="C120" t="s">
        <v>6</v>
      </c>
      <c r="D120" t="s">
        <v>140</v>
      </c>
      <c r="E120">
        <v>1021765</v>
      </c>
      <c r="F120" t="s">
        <v>61</v>
      </c>
      <c r="G120" t="s">
        <v>59</v>
      </c>
      <c r="H120" t="s">
        <v>60</v>
      </c>
      <c r="I120" s="7">
        <f>IFERROR(VLOOKUP(Tabla145[[#This Row],[Llave]],'[7]RV Producción'!$C:$G,5,FALSE),0)</f>
        <v>2</v>
      </c>
      <c r="J120" s="3">
        <f>IFERROR(IF(Tabla145[[#This Row],[Oficina]]=$I$7,VLOOKUP(Tabla145[[#This Row],[Llave]],'[7]Shangai (Tomas)'!$A:$F,6,FALSE),VLOOKUP(Tabla145[[#This Row],[Llave]],'[7]RV plan de ventas'!$A:$E,5,FALSE)),0)</f>
        <v>0</v>
      </c>
      <c r="K120" s="8">
        <f>IFERROR(VLOOKUP(Tabla145[[#This Row],[Oficina]],[15]Ponderación!$B$2:$E$9,4,FALSE),0)</f>
        <v>0.45719439678473212</v>
      </c>
      <c r="L120" s="7">
        <f>+Tabla145[[#This Row],[ RV Producción mes n+1]]*Tabla145[[#This Row],[% Uti. producción]]</f>
        <v>0.91438879356946423</v>
      </c>
      <c r="M120" s="7">
        <f>IFERROR(VLOOKUP(Tabla145[[#This Row],[Material]],[16]Stock!$G:$K,5,FALSE),0)</f>
        <v>0</v>
      </c>
      <c r="N120" s="7">
        <f>IFERROR(VLOOKUP(Tabla145[[#This Row],[Material]],[16]Produccion!$M:$N,2,FALSE),0)</f>
        <v>0</v>
      </c>
      <c r="O120" s="7">
        <f>IFERROR(VLOOKUP(Tabla145[[#This Row],[Llave]],'[16]TD Conf-AP'!$I:$M,4,FALSE),0)</f>
        <v>0</v>
      </c>
      <c r="P120" s="14">
        <f>SUM(Tabla145[[#This Row],[Producción disponible]],Tabla145[[#This Row],[Stock al día]],(Tabla145[[#This Row],[Por producir mes N]]*0.9))-Tabla145[[#This Row],[Producción por despachar mes N]]</f>
        <v>0.91438879356946423</v>
      </c>
      <c r="Q120" s="7">
        <f>IFERROR(VLOOKUP(Tabla145[[#This Row],[Llave]],[17]DELAY!$A:$D,4,FALSE),0)</f>
        <v>0</v>
      </c>
      <c r="R120" s="9">
        <v>24000</v>
      </c>
      <c r="S120" s="5">
        <f t="shared" si="6"/>
        <v>0</v>
      </c>
      <c r="T120" s="76"/>
      <c r="U120" s="5">
        <f>+Tabla145[[#This Row],[Atraso a facturar]]+Tabla145[[#This Row],[Ajuste atraso]]</f>
        <v>0</v>
      </c>
      <c r="V120" s="3">
        <f>+Tabla145[[#This Row],[Total disponible]]-Tabla145[[#This Row],[Facturación atraso]]</f>
        <v>0.91438879356946423</v>
      </c>
      <c r="W120" s="6">
        <f>IFERROR(IF(AND(V120&gt;R120,J120&gt;=R120),ROUNDDOWN((Tabla145[[#This Row],[Producción para venta nueva]])/R120,0)*R120,0),0)</f>
        <v>0</v>
      </c>
      <c r="X120" s="76">
        <v>0</v>
      </c>
      <c r="Y120" s="6">
        <f>IF(Tabla145[[#This Row],[Venta del mes]]&gt;0,Tabla145[[#This Row],[Venta del mes]]+Tabla145[[#This Row],[Ajuste venta nueva]],0)</f>
        <v>0</v>
      </c>
      <c r="Z120" s="6">
        <f>+Tabla145[[#This Row],[Producción para venta nueva]]-Tabla145[[#This Row],[Facturación Venta nueva]]</f>
        <v>0.91438879356946423</v>
      </c>
      <c r="AA120" s="6">
        <f>IF(AND(A120=1,Tabla145[[#This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0" s="6">
        <v>0</v>
      </c>
      <c r="AC120" s="6">
        <f>IF(Tabla145[[#This Row],[Disponible stock sin venta]]&gt;0,Tabla145[[#This Row],[Disponible stock sin venta]]+Tabla145[[#This Row],[Ajuste stock sin venta]],0)</f>
        <v>0</v>
      </c>
      <c r="AD120" s="3">
        <f>IFERROR(VLOOKUP(Tabla145[[#This Row],[Llave]],'[16]TD Puerto'!$A:$D,4,FALSE),0)</f>
        <v>0</v>
      </c>
      <c r="AE120" s="3">
        <v>0</v>
      </c>
      <c r="AF120" s="3">
        <f>+Tabla145[[#This Row],[Plan Irrestricto Inicial]]</f>
        <v>0</v>
      </c>
      <c r="AG120" s="3">
        <f>+Tabla145[[#This Row],[En puerto a facturar]]</f>
        <v>0</v>
      </c>
      <c r="AH120" s="3">
        <f>+Tabla145[[#This Row],[Facturación atraso]]</f>
        <v>0</v>
      </c>
      <c r="AI120" s="3">
        <f>+Tabla145[[#This Row],[Plan Irrestricto]]-Tabla145[[#This Row],[Puerto ]]-Tabla145[[#This Row],[Atraso]]</f>
        <v>0</v>
      </c>
      <c r="AJ12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20" s="3">
        <f>+Tabla145[[#This Row],[Facturación atraso]]</f>
        <v>0</v>
      </c>
      <c r="AL120" s="3">
        <f>+Tabla145[[#This Row],[Plan Ajustado]]-Tabla145[[#This Row],[ Atraso ajustado]]-Tabla145[[#This Row],[Puerto ]]</f>
        <v>0</v>
      </c>
      <c r="AM120" s="6">
        <f>IFERROR(VLOOKUP(Tabla145[[#This Row],[Llave]],[18]!Tabla14[#All],34,FALSE),0)</f>
        <v>0</v>
      </c>
      <c r="AN120" s="6">
        <f>IFERROR(VLOOKUP(Tabla145[[#This Row],[Llave]],[18]!Tabla14[#All],35,FALSE),0)</f>
        <v>0</v>
      </c>
      <c r="AO120" s="3" t="str">
        <f>IF(Tabla145[[#This Row],[Plan Ajustado]]&gt;Tabla145[[#This Row],[En puerto a facturar]],"Si","No")</f>
        <v>No</v>
      </c>
      <c r="AP12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20" s="3">
        <f>IF(Tabla145[[#This Row],[Necesidad]]&gt;=Tabla145[[#This Row],[Stock al día]],Tabla145[[#This Row],[Stock al día]],Tabla145[[#This Row],[Necesidad]])</f>
        <v>0</v>
      </c>
      <c r="AR120" s="3">
        <f>+Tabla145[[#This Row],[Necesidad]]-Tabla145[[#This Row],[Stock Plan]]</f>
        <v>0</v>
      </c>
      <c r="AS120" s="155">
        <f>IFERROR(VLOOKUP(Tabla145[[#This Row],[Oficina]],[19]Ponderación!$B$14:$E$21,4,FALSE),"")</f>
        <v>44786</v>
      </c>
      <c r="AT12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1.0792734517433147</v>
      </c>
      <c r="AU120" s="83">
        <f>IFERROR(VLOOKUP(Tabla145[[#This Row],[Llave]],[17]DELAY!$H:$W,16,FALSE),0)</f>
        <v>0</v>
      </c>
      <c r="AV12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20" s="5">
        <f>Tabla145[[#This Row],[Ajuste precio IC]]*Tabla145[[#This Row],[Plan Ajustado]]</f>
        <v>0</v>
      </c>
      <c r="AX120" s="30">
        <f>IFERROR(VLOOKUP(Tabla145[[#This Row],[Llave]],'[13]Ultimos precios facturados'!$A:$G,7,FALSE),0)</f>
        <v>1.0792734517433147</v>
      </c>
      <c r="AY12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20" s="30">
        <f>IFERROR(VLOOKUP(Tabla145[[#This Row],[Llave]],Hoja2!B:K,10,FALSE),0)</f>
        <v>0</v>
      </c>
      <c r="BA120" s="30">
        <f>IF(Tabla145[[#This Row],[Ajuste precio IC]]="",Tabla145[[#This Row],[Precio ponderado]],Tabla145[[#This Row],[Precio ponderado]])</f>
        <v>0</v>
      </c>
      <c r="BB120" s="82"/>
      <c r="BC120" s="82" t="str">
        <f>IF(AND(Tabla145[[#This Row],[Atraso a facturar]]&gt;0,Tabla145[[#This Row],[Precio Atraso]]=0),"Revisar","OK")</f>
        <v>OK</v>
      </c>
      <c r="BD120" s="82" t="str">
        <f>IF(AND(Tabla145[[#This Row],[Venta del mes]]&gt;0,Tabla145[[#This Row],[Precio venta nueva]]=0),"Revisar","OK")</f>
        <v>OK</v>
      </c>
      <c r="BE120" s="20">
        <f>IFERROR(VLOOKUP(Tabla145[[#This Row],[Llave]],'[5]Consolidación planes'!$A:$M,9,FALSE),0)</f>
        <v>0</v>
      </c>
      <c r="BF120" s="20">
        <f>IFERROR(VLOOKUP(Tabla145[[#This Row],[Llave]],'[5]Consolidación planes'!$A:$M,10,FALSE),0)</f>
        <v>0</v>
      </c>
      <c r="BG120" s="20">
        <f>IFERROR(VLOOKUP(Tabla145[[#This Row],[Llave]],'[5]Consolidación planes'!$A:$M,11,FALSE),0)</f>
        <v>6760</v>
      </c>
      <c r="BH120" s="20">
        <f>IFERROR(VLOOKUP(Tabla145[[#This Row],[Llave]],'[5]Consolidación planes'!$A:$M,12,FALSE),0)</f>
        <v>0</v>
      </c>
      <c r="BI120" s="20">
        <f>IFERROR(VLOOKUP(Tabla145[[#This Row],[Llave]],'[5]Consolidación planes'!$A:$M,13,FALSE),0)</f>
        <v>0</v>
      </c>
      <c r="BJ120" s="20">
        <f>IFERROR(VLOOKUP(Tabla145[[#This Row],[Llave]],'[13]Base ultimos planes'!$A:$M,13,FALSE),0)</f>
        <v>0</v>
      </c>
      <c r="BK120" s="80">
        <f>IFERROR(VLOOKUP(Tabla145[[#This Row],[Llave]],'[13]Base ultimos planes'!$O:$AA,8,FALSE),0)</f>
        <v>0</v>
      </c>
      <c r="BL120" s="20">
        <f>IFERROR(VLOOKUP(Tabla145[[#This Row],[Llave]],'[13]Base ultimos planes'!$O:$AA,9,FALSE),0)</f>
        <v>0</v>
      </c>
      <c r="BM120" s="20">
        <f>IFERROR(VLOOKUP(Tabla145[[#This Row],[Llave]],'[13]Base ultimos planes'!$O:$AA,10,FALSE),0)</f>
        <v>7323</v>
      </c>
      <c r="BN120" s="20">
        <f>IFERROR(VLOOKUP(Tabla145[[#This Row],[Llave]],'[13]Base ultimos planes'!$O:$AA,11,FALSE),0)</f>
        <v>0</v>
      </c>
      <c r="BO120" s="20">
        <f>IFERROR(VLOOKUP(Tabla145[[#This Row],[Llave]],'[13]Base ultimos planes'!$O:$AA,12,FALSE),0)</f>
        <v>0</v>
      </c>
      <c r="BP120" s="20">
        <f>IFERROR(VLOOKUP(Tabla145[[#This Row],[Llave]],'[13]Base ultimos planes'!$O:$AA,13,FALSE),0)</f>
        <v>0</v>
      </c>
      <c r="BQ120" s="20"/>
      <c r="BR120" s="20">
        <f>Tabla145[[#This Row],[ RV Producción mes n+1]]*(1-Tabla145[[#This Row],[% Uti. producción]])</f>
        <v>1.0856112064305359</v>
      </c>
      <c r="BS120" s="20">
        <f>+Tabla145[[#This Row],[Producción disponible mes n-1]]+Tabla145[[#This Row],[Saldo Volumen disponible]]</f>
        <v>2</v>
      </c>
      <c r="BT120" s="7">
        <f>IFERROR(VLOOKUP(Tabla145[[#This Row],[Llave]],'[21]RV n+2 y n+3'!$B:$F,4,FALSE),0)</f>
        <v>96000</v>
      </c>
      <c r="BU120" s="7">
        <f>+Tabla145[[#This Row],[Asignación mes n+2]]*Tabla145[[#This Row],[% Uti. producción]]</f>
        <v>43890.662091334285</v>
      </c>
      <c r="BV120" s="7">
        <f>+Tabla145[[#This Row],[Ponderación mes n+2]]+Tabla145[[#This Row],[Saldo mes n-1]]</f>
        <v>43892.662091334285</v>
      </c>
      <c r="BW120" s="7">
        <f>+Tabla145[[#This Row],[Asignación mes n+2]]-Tabla145[[#This Row],[Ponderación mes n+2]]</f>
        <v>52109.337908665715</v>
      </c>
      <c r="BX120" s="7">
        <f>IFERROR(VLOOKUP(Tabla145[[#This Row],[Llave]],'[21]RV n+2 y n+3'!$B:$F,5,FALSE),0)</f>
        <v>96000</v>
      </c>
      <c r="BY120" s="7">
        <f>+Tabla145[[#This Row],[Asignación mes n+3]]*Tabla145[[#This Row],[% Uti. producción]]</f>
        <v>43890.662091334285</v>
      </c>
      <c r="BZ120" s="3">
        <f>+Tabla145[[#This Row],[Ponderación mes n+3]]+Tabla145[[#This Row],[Saldo mes n+2]]</f>
        <v>96000</v>
      </c>
      <c r="CA120" s="3">
        <f>+Tabla145[[#This Row],[Asignación mes n+3]]-Tabla145[[#This Row],[Ponderación mes n+3]]</f>
        <v>52109.337908665715</v>
      </c>
      <c r="CB120" s="3">
        <f>+Tabla145[[#This Row],[Producción disponible mes n-1]]+Tabla145[[#This Row],[Producción disponible]]</f>
        <v>2</v>
      </c>
      <c r="CC120" s="3">
        <f>+Tabla145[[#This Row],[Saldo mes n+4]]-Tabla145[[#This Row],[ RV Producción mes n+1]]</f>
        <v>0</v>
      </c>
    </row>
    <row r="121" spans="1:81" ht="16" x14ac:dyDescent="0.2">
      <c r="A121">
        <v>2</v>
      </c>
      <c r="B121" t="str">
        <f>Tabla145[[#This Row],[Oficina]]&amp;Tabla145[[#This Row],[Material]]</f>
        <v>Agrosuper Shanghai1021992</v>
      </c>
      <c r="C121" t="s">
        <v>6</v>
      </c>
      <c r="D121" t="s">
        <v>140</v>
      </c>
      <c r="E121">
        <v>1021992</v>
      </c>
      <c r="F121" t="s">
        <v>49</v>
      </c>
      <c r="G121" t="s">
        <v>11</v>
      </c>
      <c r="H121" t="s">
        <v>15</v>
      </c>
      <c r="I121" s="7">
        <f>IFERROR(VLOOKUP(Tabla145[[#This Row],[Llave]],'[7]RV Producción'!$C:$G,5,FALSE),0)</f>
        <v>0</v>
      </c>
      <c r="J121" s="3">
        <f>IFERROR(IF(Tabla145[[#This Row],[Oficina]]=$I$7,VLOOKUP(Tabla145[[#This Row],[Llave]],'[7]Shangai (Tomas)'!$A:$F,6,FALSE),VLOOKUP(Tabla145[[#This Row],[Llave]],'[7]RV plan de ventas'!$A:$E,5,FALSE)),0)</f>
        <v>0</v>
      </c>
      <c r="K121" s="8">
        <f>IFERROR(VLOOKUP(Tabla145[[#This Row],[Oficina]],[15]Ponderación!$B$2:$E$9,4,FALSE),0)</f>
        <v>0.45719439678473212</v>
      </c>
      <c r="L121" s="7">
        <f>+Tabla145[[#This Row],[ RV Producción mes n+1]]*Tabla145[[#This Row],[% Uti. producción]]</f>
        <v>0</v>
      </c>
      <c r="M121" s="7">
        <f>IFERROR(VLOOKUP(Tabla145[[#This Row],[Material]],[16]Stock!$G:$K,5,FALSE),0)</f>
        <v>147034</v>
      </c>
      <c r="N121" s="7">
        <f>IFERROR(VLOOKUP(Tabla145[[#This Row],[Material]],[16]Produccion!$M:$N,2,FALSE),0)</f>
        <v>74378</v>
      </c>
      <c r="O121" s="7">
        <f>IFERROR(VLOOKUP(Tabla145[[#This Row],[Llave]],'[16]TD Conf-AP'!$I:$M,4,FALSE),0)</f>
        <v>0</v>
      </c>
      <c r="P121" s="14">
        <f>SUM(Tabla145[[#This Row],[Producción disponible]],Tabla145[[#This Row],[Stock al día]],(Tabla145[[#This Row],[Por producir mes N]]*0.9))-Tabla145[[#This Row],[Producción por despachar mes N]]</f>
        <v>213974.2</v>
      </c>
      <c r="Q121" s="7">
        <f>IFERROR(VLOOKUP(Tabla145[[#This Row],[Llave]],[17]DELAY!$A:$D,4,FALSE),0)</f>
        <v>48000</v>
      </c>
      <c r="R121" s="9">
        <v>24000</v>
      </c>
      <c r="S121" s="5">
        <f t="shared" si="6"/>
        <v>48000</v>
      </c>
      <c r="T121" s="76"/>
      <c r="U121" s="5">
        <f>+Tabla145[[#This Row],[Atraso a facturar]]+Tabla145[[#This Row],[Ajuste atraso]]</f>
        <v>48000</v>
      </c>
      <c r="V121" s="3">
        <f>+Tabla145[[#This Row],[Total disponible]]-Tabla145[[#This Row],[Facturación atraso]]</f>
        <v>165974.20000000001</v>
      </c>
      <c r="W121" s="6">
        <f>IFERROR(IF(AND(V121&gt;R121,J121&gt;=R121),ROUNDDOWN((Tabla145[[#This Row],[Producción para venta nueva]])/R121,0)*R121,0),0)</f>
        <v>0</v>
      </c>
      <c r="X121" s="76">
        <v>0</v>
      </c>
      <c r="Y121" s="6">
        <f>IF(Tabla145[[#This Row],[Venta del mes]]&gt;0,Tabla145[[#This Row],[Venta del mes]]+Tabla145[[#This Row],[Ajuste venta nueva]],0)</f>
        <v>0</v>
      </c>
      <c r="Z121" s="6">
        <f>+Tabla145[[#This Row],[Producción para venta nueva]]-Tabla145[[#This Row],[Facturación Venta nueva]]</f>
        <v>165974.20000000001</v>
      </c>
      <c r="AA121" s="6">
        <f>IF(AND(A121=1,Tabla145[[#This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1" s="6">
        <v>0</v>
      </c>
      <c r="AC121" s="6">
        <f>IF(Tabla145[[#This Row],[Disponible stock sin venta]]&gt;0,Tabla145[[#This Row],[Disponible stock sin venta]]+Tabla145[[#This Row],[Ajuste stock sin venta]],0)</f>
        <v>0</v>
      </c>
      <c r="AD121" s="3">
        <f>IFERROR(VLOOKUP(Tabla145[[#This Row],[Llave]],'[16]TD Puerto'!$A:$D,4,FALSE),0)</f>
        <v>0</v>
      </c>
      <c r="AE121" s="3">
        <v>48000</v>
      </c>
      <c r="AF121" s="3">
        <f>+Tabla145[[#This Row],[Plan Irrestricto Inicial]]</f>
        <v>48000</v>
      </c>
      <c r="AG121" s="3">
        <f>+Tabla145[[#This Row],[En puerto a facturar]]</f>
        <v>0</v>
      </c>
      <c r="AH121" s="3">
        <f>+Tabla145[[#This Row],[Facturación atraso]]</f>
        <v>48000</v>
      </c>
      <c r="AI121" s="3">
        <f>+Tabla145[[#This Row],[Plan Irrestricto]]-Tabla145[[#This Row],[Puerto ]]-Tabla145[[#This Row],[Atraso]]</f>
        <v>0</v>
      </c>
      <c r="AJ121" s="3">
        <f>IF(Tabla145[[#This Row],[Plan Irrestricto]]&gt;0,SUM(Tabla145[[#This Row],[Facturación atraso]],Tabla145[[#This Row],[Facturación Venta nueva]],Tabla145[[#This Row],[Facturación stock]],Tabla145[[#This Row],[En puerto a facturar]]),0)</f>
        <v>48000</v>
      </c>
      <c r="AK121" s="3">
        <f>+Tabla145[[#This Row],[Facturación atraso]]</f>
        <v>48000</v>
      </c>
      <c r="AL121" s="3">
        <f>+Tabla145[[#This Row],[Plan Ajustado]]-Tabla145[[#This Row],[ Atraso ajustado]]-Tabla145[[#This Row],[Puerto ]]</f>
        <v>0</v>
      </c>
      <c r="AM121" s="6">
        <f>IFERROR(VLOOKUP(Tabla145[[#This Row],[Llave]],[18]!Tabla14[#All],34,FALSE),0)</f>
        <v>0</v>
      </c>
      <c r="AN121" s="6">
        <f>IFERROR(VLOOKUP(Tabla145[[#This Row],[Llave]],[18]!Tabla14[#All],35,FALSE),0)</f>
        <v>0</v>
      </c>
      <c r="AO121" s="3" t="str">
        <f>IF(Tabla145[[#This Row],[Plan Ajustado]]&gt;Tabla145[[#This Row],[En puerto a facturar]],"Si","No")</f>
        <v>Si</v>
      </c>
      <c r="AP121" s="3">
        <f>IF(AND(Tabla145[[#This Row],[Plan Ajustado]]&gt;0,Tabla145[[#This Row],[Plan Ajustado]]&gt;Tabla145[[#This Row],[En puerto a facturar]]),(Tabla145[[#This Row],[Plan Ajustado]]-Tabla145[[#This Row],[En puerto a facturar]]),0)</f>
        <v>48000</v>
      </c>
      <c r="AQ121" s="3">
        <f>IF(Tabla145[[#This Row],[Necesidad]]&gt;=Tabla145[[#This Row],[Stock al día]],Tabla145[[#This Row],[Stock al día]],Tabla145[[#This Row],[Necesidad]])</f>
        <v>48000</v>
      </c>
      <c r="AR121" s="3">
        <f>+Tabla145[[#This Row],[Necesidad]]-Tabla145[[#This Row],[Stock Plan]]</f>
        <v>0</v>
      </c>
      <c r="AS121" s="155">
        <f>IFERROR(VLOOKUP(Tabla145[[#This Row],[Oficina]],[19]Ponderación!$B$14:$E$21,4,FALSE),"")</f>
        <v>44786</v>
      </c>
      <c r="AT12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1.32025540701486</v>
      </c>
      <c r="AU121" s="83">
        <f>IFERROR(VLOOKUP(Tabla145[[#This Row],[Llave]],[17]DELAY!$H:$W,16,FALSE),0)</f>
        <v>1.6387662656249997</v>
      </c>
      <c r="AV12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1.6387662656249997</v>
      </c>
      <c r="AW121" s="5">
        <f>Tabla145[[#This Row],[Ajuste precio IC]]*Tabla145[[#This Row],[Plan Ajustado]]</f>
        <v>78660.780749999991</v>
      </c>
      <c r="AX121" s="30">
        <f>IFERROR(VLOOKUP(Tabla145[[#This Row],[Llave]],'[13]Ultimos precios facturados'!$A:$G,7,FALSE),0)</f>
        <v>1.32025540701486</v>
      </c>
      <c r="AY12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0.24124942561705015</v>
      </c>
      <c r="AZ121" s="30">
        <f>IFERROR(VLOOKUP(Tabla145[[#This Row],[Llave]],Hoja2!B:K,10,FALSE),0)</f>
        <v>1.6387662656249997</v>
      </c>
      <c r="BA121" s="30">
        <f>IF(Tabla145[[#This Row],[Ajuste precio IC]]="",Tabla145[[#This Row],[Precio ponderado]],Tabla145[[#This Row],[Precio ponderado]])</f>
        <v>1.6387662656249997</v>
      </c>
      <c r="BB121" s="82"/>
      <c r="BC121" s="82" t="str">
        <f>IF(AND(Tabla145[[#This Row],[Atraso a facturar]]&gt;0,Tabla145[[#This Row],[Precio Atraso]]=0),"Revisar","OK")</f>
        <v>OK</v>
      </c>
      <c r="BD121" s="82" t="str">
        <f>IF(AND(Tabla145[[#This Row],[Venta del mes]]&gt;0,Tabla145[[#This Row],[Precio venta nueva]]=0),"Revisar","OK")</f>
        <v>OK</v>
      </c>
      <c r="BE121" s="20">
        <f>IFERROR(VLOOKUP(Tabla145[[#This Row],[Llave]],'[5]Consolidación planes'!$A:$M,9,FALSE),0)</f>
        <v>96000</v>
      </c>
      <c r="BF121" s="20">
        <f>IFERROR(VLOOKUP(Tabla145[[#This Row],[Llave]],'[5]Consolidación planes'!$A:$M,10,FALSE),0)</f>
        <v>72000</v>
      </c>
      <c r="BG121" s="20">
        <f>IFERROR(VLOOKUP(Tabla145[[#This Row],[Llave]],'[5]Consolidación planes'!$A:$M,11,FALSE),0)</f>
        <v>120000</v>
      </c>
      <c r="BH121" s="20">
        <f>IFERROR(VLOOKUP(Tabla145[[#This Row],[Llave]],'[5]Consolidación planes'!$A:$M,12,FALSE),0)</f>
        <v>0</v>
      </c>
      <c r="BI121" s="20">
        <f>IFERROR(VLOOKUP(Tabla145[[#This Row],[Llave]],'[5]Consolidación planes'!$A:$M,13,FALSE),0)</f>
        <v>0</v>
      </c>
      <c r="BJ121" s="20">
        <f>IFERROR(VLOOKUP(Tabla145[[#This Row],[Llave]],'[13]Base ultimos planes'!$A:$M,13,FALSE),0)</f>
        <v>0</v>
      </c>
      <c r="BK121" s="80">
        <f>IFERROR(VLOOKUP(Tabla145[[#This Row],[Llave]],'[13]Base ultimos planes'!$O:$AA,8,FALSE),0)</f>
        <v>91200</v>
      </c>
      <c r="BL121" s="20">
        <f>IFERROR(VLOOKUP(Tabla145[[#This Row],[Llave]],'[13]Base ultimos planes'!$O:$AA,9,FALSE),0)</f>
        <v>63360</v>
      </c>
      <c r="BM121" s="20">
        <f>IFERROR(VLOOKUP(Tabla145[[#This Row],[Llave]],'[13]Base ultimos planes'!$O:$AA,10,FALSE),0)</f>
        <v>181390</v>
      </c>
      <c r="BN121" s="20">
        <f>IFERROR(VLOOKUP(Tabla145[[#This Row],[Llave]],'[13]Base ultimos planes'!$O:$AA,11,FALSE),0)</f>
        <v>0</v>
      </c>
      <c r="BO121" s="20">
        <f>IFERROR(VLOOKUP(Tabla145[[#This Row],[Llave]],'[13]Base ultimos planes'!$O:$AA,12,FALSE),0)</f>
        <v>0</v>
      </c>
      <c r="BP121" s="20">
        <f>IFERROR(VLOOKUP(Tabla145[[#This Row],[Llave]],'[13]Base ultimos planes'!$O:$AA,13,FALSE),0)</f>
        <v>0</v>
      </c>
      <c r="BQ121" s="20"/>
      <c r="BR121" s="20">
        <f>Tabla145[[#This Row],[ RV Producción mes n+1]]*(1-Tabla145[[#This Row],[% Uti. producción]])</f>
        <v>0</v>
      </c>
      <c r="BS121" s="20">
        <f>+Tabla145[[#This Row],[Producción disponible mes n-1]]+Tabla145[[#This Row],[Saldo Volumen disponible]]</f>
        <v>165974.20000000001</v>
      </c>
      <c r="BT121" s="7">
        <f>IFERROR(VLOOKUP(Tabla145[[#This Row],[Llave]],'[21]RV n+2 y n+3'!$B:$F,4,FALSE),0)</f>
        <v>0</v>
      </c>
      <c r="BU121" s="7">
        <f>+Tabla145[[#This Row],[Asignación mes n+2]]*Tabla145[[#This Row],[% Uti. producción]]</f>
        <v>0</v>
      </c>
      <c r="BV121" s="7">
        <f>+Tabla145[[#This Row],[Ponderación mes n+2]]+Tabla145[[#This Row],[Saldo mes n-1]]</f>
        <v>165974.20000000001</v>
      </c>
      <c r="BW121" s="7">
        <f>+Tabla145[[#This Row],[Asignación mes n+2]]-Tabla145[[#This Row],[Ponderación mes n+2]]</f>
        <v>0</v>
      </c>
      <c r="BX121" s="7">
        <f>IFERROR(VLOOKUP(Tabla145[[#This Row],[Llave]],'[21]RV n+2 y n+3'!$B:$F,5,FALSE),0)</f>
        <v>96000</v>
      </c>
      <c r="BY121" s="7">
        <f>+Tabla145[[#This Row],[Asignación mes n+3]]*Tabla145[[#This Row],[% Uti. producción]]</f>
        <v>43890.662091334285</v>
      </c>
      <c r="BZ121" s="3">
        <f>+Tabla145[[#This Row],[Ponderación mes n+3]]+Tabla145[[#This Row],[Saldo mes n+2]]</f>
        <v>43890.662091334285</v>
      </c>
      <c r="CA121" s="3">
        <f>+Tabla145[[#This Row],[Asignación mes n+3]]-Tabla145[[#This Row],[Ponderación mes n+3]]</f>
        <v>52109.337908665715</v>
      </c>
      <c r="CB121" s="3">
        <f>+Tabla145[[#This Row],[Producción disponible mes n-1]]+Tabla145[[#This Row],[Producción disponible]]</f>
        <v>0</v>
      </c>
      <c r="CC121" s="3">
        <f>+Tabla145[[#This Row],[Saldo mes n+4]]-Tabla145[[#This Row],[ RV Producción mes n+1]]</f>
        <v>0</v>
      </c>
    </row>
    <row r="122" spans="1:81" ht="16" x14ac:dyDescent="0.2">
      <c r="A122">
        <v>2</v>
      </c>
      <c r="B122" t="str">
        <f>Tabla145[[#This Row],[Oficina]]&amp;Tabla145[[#This Row],[Material]]</f>
        <v>Agrosuper Shanghai1022073</v>
      </c>
      <c r="C122" t="s">
        <v>6</v>
      </c>
      <c r="D122" t="s">
        <v>140</v>
      </c>
      <c r="E122">
        <v>1022073</v>
      </c>
      <c r="F122" t="s">
        <v>150</v>
      </c>
      <c r="G122" t="s">
        <v>11</v>
      </c>
      <c r="H122" t="s">
        <v>47</v>
      </c>
      <c r="I122" s="7">
        <f>IFERROR(VLOOKUP(Tabla145[[#This Row],[Llave]],'[7]RV Producción'!$C:$G,5,FALSE),0)</f>
        <v>0</v>
      </c>
      <c r="J122" s="3">
        <f>IFERROR(IF(Tabla145[[#This Row],[Oficina]]=$I$7,VLOOKUP(Tabla145[[#This Row],[Llave]],'[7]Shangai (Tomas)'!$A:$F,6,FALSE),VLOOKUP(Tabla145[[#This Row],[Llave]],'[7]RV plan de ventas'!$A:$E,5,FALSE)),0)</f>
        <v>0</v>
      </c>
      <c r="K122" s="8">
        <f>IFERROR(VLOOKUP(Tabla145[[#This Row],[Oficina]],[15]Ponderación!$B$2:$E$9,4,FALSE),0)</f>
        <v>0.45719439678473212</v>
      </c>
      <c r="L122" s="7">
        <f>+Tabla145[[#This Row],[ RV Producción mes n+1]]*Tabla145[[#This Row],[% Uti. producción]]</f>
        <v>0</v>
      </c>
      <c r="M122" s="7">
        <f>IFERROR(VLOOKUP(Tabla145[[#This Row],[Material]],[16]Stock!$G:$K,5,FALSE),0)</f>
        <v>60521</v>
      </c>
      <c r="N122" s="7">
        <f>IFERROR(VLOOKUP(Tabla145[[#This Row],[Material]],[16]Produccion!$M:$N,2,FALSE),0)</f>
        <v>47566</v>
      </c>
      <c r="O122" s="7">
        <f>IFERROR(VLOOKUP(Tabla145[[#This Row],[Llave]],'[16]TD Conf-AP'!$I:$M,4,FALSE),0)</f>
        <v>0</v>
      </c>
      <c r="P122" s="14">
        <f>SUM(Tabla145[[#This Row],[Producción disponible]],Tabla145[[#This Row],[Stock al día]],(Tabla145[[#This Row],[Por producir mes N]]*0.9))-Tabla145[[#This Row],[Producción por despachar mes N]]</f>
        <v>103330.4</v>
      </c>
      <c r="Q122" s="7">
        <f>IFERROR(VLOOKUP(Tabla145[[#This Row],[Llave]],[17]DELAY!$A:$D,4,FALSE),0)</f>
        <v>0</v>
      </c>
      <c r="R122" s="9">
        <v>24000</v>
      </c>
      <c r="S122" s="5">
        <f t="shared" si="6"/>
        <v>0</v>
      </c>
      <c r="T122" s="76"/>
      <c r="U122" s="5">
        <f>+Tabla145[[#This Row],[Atraso a facturar]]+Tabla145[[#This Row],[Ajuste atraso]]</f>
        <v>0</v>
      </c>
      <c r="V122" s="3">
        <f>+Tabla145[[#This Row],[Total disponible]]-Tabla145[[#This Row],[Facturación atraso]]</f>
        <v>103330.4</v>
      </c>
      <c r="W122" s="6">
        <f>IFERROR(IF(AND(V122&gt;R122,J122&gt;=R122),ROUNDDOWN((Tabla145[[#This Row],[Producción para venta nueva]])/R122,0)*R122,0),0)</f>
        <v>0</v>
      </c>
      <c r="X122" s="76">
        <v>0</v>
      </c>
      <c r="Y122" s="6">
        <f>IF(Tabla145[[#This Row],[Venta del mes]]&gt;0,Tabla145[[#This Row],[Venta del mes]]+Tabla145[[#This Row],[Ajuste venta nueva]],0)</f>
        <v>0</v>
      </c>
      <c r="Z122" s="6">
        <f>+Tabla145[[#This Row],[Producción para venta nueva]]-Tabla145[[#This Row],[Facturación Venta nueva]]</f>
        <v>103330.4</v>
      </c>
      <c r="AA122" s="6">
        <f>IF(AND(A122=1,Tabla145[[#This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2" s="6">
        <v>0</v>
      </c>
      <c r="AC122" s="6">
        <f>IF(Tabla145[[#This Row],[Disponible stock sin venta]]&gt;0,Tabla145[[#This Row],[Disponible stock sin venta]]+Tabla145[[#This Row],[Ajuste stock sin venta]],0)</f>
        <v>0</v>
      </c>
      <c r="AD122" s="3">
        <f>IFERROR(VLOOKUP(Tabla145[[#This Row],[Llave]],'[16]TD Puerto'!$A:$D,4,FALSE),0)</f>
        <v>0</v>
      </c>
      <c r="AE122" s="3">
        <v>0</v>
      </c>
      <c r="AF122" s="3">
        <f>+Tabla145[[#This Row],[Plan Irrestricto Inicial]]</f>
        <v>0</v>
      </c>
      <c r="AG122" s="3">
        <f>+Tabla145[[#This Row],[En puerto a facturar]]</f>
        <v>0</v>
      </c>
      <c r="AH122" s="3">
        <f>+Tabla145[[#This Row],[Facturación atraso]]</f>
        <v>0</v>
      </c>
      <c r="AI122" s="3">
        <f>+Tabla145[[#This Row],[Plan Irrestricto]]-Tabla145[[#This Row],[Puerto ]]-Tabla145[[#This Row],[Atraso]]</f>
        <v>0</v>
      </c>
      <c r="AJ12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22" s="3">
        <f>+Tabla145[[#This Row],[Facturación atraso]]</f>
        <v>0</v>
      </c>
      <c r="AL122" s="3">
        <f>+Tabla145[[#This Row],[Plan Ajustado]]-Tabla145[[#This Row],[ Atraso ajustado]]-Tabla145[[#This Row],[Puerto ]]</f>
        <v>0</v>
      </c>
      <c r="AM122" s="6">
        <f>IFERROR(VLOOKUP(Tabla145[[#This Row],[Llave]],[18]!Tabla14[#All],34,FALSE),0)</f>
        <v>0</v>
      </c>
      <c r="AN122" s="6">
        <f>IFERROR(VLOOKUP(Tabla145[[#This Row],[Llave]],[18]!Tabla14[#All],35,FALSE),0)</f>
        <v>0</v>
      </c>
      <c r="AO122" s="3" t="str">
        <f>IF(Tabla145[[#This Row],[Plan Ajustado]]&gt;Tabla145[[#This Row],[En puerto a facturar]],"Si","No")</f>
        <v>No</v>
      </c>
      <c r="AP12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22" s="3">
        <f>IF(Tabla145[[#This Row],[Necesidad]]&gt;=Tabla145[[#This Row],[Stock al día]],Tabla145[[#This Row],[Stock al día]],Tabla145[[#This Row],[Necesidad]])</f>
        <v>0</v>
      </c>
      <c r="AR122" s="3">
        <f>+Tabla145[[#This Row],[Necesidad]]-Tabla145[[#This Row],[Stock Plan]]</f>
        <v>0</v>
      </c>
      <c r="AS122" s="155">
        <f>IFERROR(VLOOKUP(Tabla145[[#This Row],[Oficina]],[19]Ponderación!$B$14:$E$21,4,FALSE),"")</f>
        <v>44786</v>
      </c>
      <c r="AT12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1.1385503377996782</v>
      </c>
      <c r="AU122" s="83">
        <f>IFERROR(VLOOKUP(Tabla145[[#This Row],[Llave]],[17]DELAY!$H:$W,16,FALSE),0)</f>
        <v>0</v>
      </c>
      <c r="AV12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22" s="5">
        <f>Tabla145[[#This Row],[Ajuste precio IC]]*Tabla145[[#This Row],[Plan Ajustado]]</f>
        <v>0</v>
      </c>
      <c r="AX122" s="30">
        <f>IFERROR(VLOOKUP(Tabla145[[#This Row],[Llave]],'[13]Ultimos precios facturados'!$A:$G,7,FALSE),0)</f>
        <v>1.1385503377996782</v>
      </c>
      <c r="AY12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22" s="30">
        <f>IFERROR(VLOOKUP(Tabla145[[#This Row],[Llave]],Hoja2!B:K,10,FALSE),0)</f>
        <v>0</v>
      </c>
      <c r="BA122" s="30">
        <f>IF(Tabla145[[#This Row],[Ajuste precio IC]]="",Tabla145[[#This Row],[Precio ponderado]],Tabla145[[#This Row],[Precio ponderado]])</f>
        <v>0</v>
      </c>
      <c r="BB122" s="82"/>
      <c r="BC122" s="82" t="str">
        <f>IF(AND(Tabla145[[#This Row],[Atraso a facturar]]&gt;0,Tabla145[[#This Row],[Precio Atraso]]=0),"Revisar","OK")</f>
        <v>OK</v>
      </c>
      <c r="BD122" s="82" t="str">
        <f>IF(AND(Tabla145[[#This Row],[Venta del mes]]&gt;0,Tabla145[[#This Row],[Precio venta nueva]]=0),"Revisar","OK")</f>
        <v>OK</v>
      </c>
      <c r="BE122" s="20">
        <f>IFERROR(VLOOKUP(Tabla145[[#This Row],[Llave]],'[5]Consolidación planes'!$A:$M,9,FALSE),0)</f>
        <v>72000</v>
      </c>
      <c r="BF122" s="20">
        <f>IFERROR(VLOOKUP(Tabla145[[#This Row],[Llave]],'[5]Consolidación planes'!$A:$M,10,FALSE),0)</f>
        <v>0</v>
      </c>
      <c r="BG122" s="20">
        <f>IFERROR(VLOOKUP(Tabla145[[#This Row],[Llave]],'[5]Consolidación planes'!$A:$M,11,FALSE),0)</f>
        <v>0</v>
      </c>
      <c r="BH122" s="20">
        <f>IFERROR(VLOOKUP(Tabla145[[#This Row],[Llave]],'[5]Consolidación planes'!$A:$M,12,FALSE),0)</f>
        <v>0</v>
      </c>
      <c r="BI122" s="20">
        <f>IFERROR(VLOOKUP(Tabla145[[#This Row],[Llave]],'[5]Consolidación planes'!$A:$M,13,FALSE),0)</f>
        <v>24000</v>
      </c>
      <c r="BJ122" s="20">
        <f>IFERROR(VLOOKUP(Tabla145[[#This Row],[Llave]],'[13]Base ultimos planes'!$A:$M,13,FALSE),0)</f>
        <v>48000</v>
      </c>
      <c r="BK122" s="80">
        <f>IFERROR(VLOOKUP(Tabla145[[#This Row],[Llave]],'[13]Base ultimos planes'!$O:$AA,8,FALSE),0)</f>
        <v>48600</v>
      </c>
      <c r="BL122" s="20">
        <f>IFERROR(VLOOKUP(Tabla145[[#This Row],[Llave]],'[13]Base ultimos planes'!$O:$AA,9,FALSE),0)</f>
        <v>0</v>
      </c>
      <c r="BM122" s="20">
        <f>IFERROR(VLOOKUP(Tabla145[[#This Row],[Llave]],'[13]Base ultimos planes'!$O:$AA,10,FALSE),0)</f>
        <v>0</v>
      </c>
      <c r="BN122" s="20">
        <f>IFERROR(VLOOKUP(Tabla145[[#This Row],[Llave]],'[13]Base ultimos planes'!$O:$AA,11,FALSE),0)</f>
        <v>0</v>
      </c>
      <c r="BO122" s="20">
        <f>IFERROR(VLOOKUP(Tabla145[[#This Row],[Llave]],'[13]Base ultimos planes'!$O:$AA,12,FALSE),0)</f>
        <v>22800</v>
      </c>
      <c r="BP122" s="20">
        <f>IFERROR(VLOOKUP(Tabla145[[#This Row],[Llave]],'[13]Base ultimos planes'!$O:$AA,13,FALSE),0)</f>
        <v>52800</v>
      </c>
      <c r="BQ122" s="20"/>
      <c r="BR122" s="20">
        <f>Tabla145[[#This Row],[ RV Producción mes n+1]]*(1-Tabla145[[#This Row],[% Uti. producción]])</f>
        <v>0</v>
      </c>
      <c r="BS122" s="20">
        <f>+Tabla145[[#This Row],[Producción disponible mes n-1]]+Tabla145[[#This Row],[Saldo Volumen disponible]]</f>
        <v>103330.4</v>
      </c>
      <c r="BT122" s="7">
        <f>IFERROR(VLOOKUP(Tabla145[[#This Row],[Llave]],'[21]RV n+2 y n+3'!$B:$F,4,FALSE),0)</f>
        <v>0</v>
      </c>
      <c r="BU122" s="7">
        <f>+Tabla145[[#This Row],[Asignación mes n+2]]*Tabla145[[#This Row],[% Uti. producción]]</f>
        <v>0</v>
      </c>
      <c r="BV122" s="7">
        <f>+Tabla145[[#This Row],[Ponderación mes n+2]]+Tabla145[[#This Row],[Saldo mes n-1]]</f>
        <v>103330.4</v>
      </c>
      <c r="BW122" s="7">
        <f>+Tabla145[[#This Row],[Asignación mes n+2]]-Tabla145[[#This Row],[Ponderación mes n+2]]</f>
        <v>0</v>
      </c>
      <c r="BX122" s="7">
        <f>IFERROR(VLOOKUP(Tabla145[[#This Row],[Llave]],'[21]RV n+2 y n+3'!$B:$F,5,FALSE),0)</f>
        <v>0</v>
      </c>
      <c r="BY122" s="7">
        <f>+Tabla145[[#This Row],[Asignación mes n+3]]*Tabla145[[#This Row],[% Uti. producción]]</f>
        <v>0</v>
      </c>
      <c r="BZ122" s="3">
        <f>+Tabla145[[#This Row],[Ponderación mes n+3]]+Tabla145[[#This Row],[Saldo mes n+2]]</f>
        <v>0</v>
      </c>
      <c r="CA122" s="3">
        <f>+Tabla145[[#This Row],[Asignación mes n+3]]-Tabla145[[#This Row],[Ponderación mes n+3]]</f>
        <v>0</v>
      </c>
      <c r="CB122" s="3">
        <f>+Tabla145[[#This Row],[Producción disponible mes n-1]]+Tabla145[[#This Row],[Producción disponible]]</f>
        <v>0</v>
      </c>
      <c r="CC122" s="3">
        <f>+Tabla145[[#This Row],[Saldo mes n+4]]-Tabla145[[#This Row],[ RV Producción mes n+1]]</f>
        <v>0</v>
      </c>
    </row>
    <row r="123" spans="1:81" ht="16" x14ac:dyDescent="0.2">
      <c r="A123">
        <v>2</v>
      </c>
      <c r="B123" t="str">
        <f>Tabla145[[#This Row],[Oficina]]&amp;Tabla145[[#This Row],[Material]]</f>
        <v>Agrosuper Shanghai1022096</v>
      </c>
      <c r="C123" t="s">
        <v>6</v>
      </c>
      <c r="D123" t="s">
        <v>140</v>
      </c>
      <c r="E123">
        <v>1022096</v>
      </c>
      <c r="F123" t="s">
        <v>154</v>
      </c>
      <c r="G123" t="s">
        <v>92</v>
      </c>
      <c r="H123" t="s">
        <v>153</v>
      </c>
      <c r="I123" s="7">
        <f>IFERROR(VLOOKUP(Tabla145[[#This Row],[Llave]],'[7]RV Producción'!$C:$G,5,FALSE),0)</f>
        <v>0</v>
      </c>
      <c r="J123" s="3">
        <f>IFERROR(IF(Tabla145[[#This Row],[Oficina]]=$I$7,VLOOKUP(Tabla145[[#This Row],[Llave]],'[7]Shangai (Tomas)'!$A:$F,6,FALSE),VLOOKUP(Tabla145[[#This Row],[Llave]],'[7]RV plan de ventas'!$A:$E,5,FALSE)),0)</f>
        <v>0</v>
      </c>
      <c r="K123" s="8">
        <f>IFERROR(VLOOKUP(Tabla145[[#This Row],[Oficina]],[15]Ponderación!$B$2:$E$9,4,FALSE),0)</f>
        <v>0.45719439678473212</v>
      </c>
      <c r="L123" s="7">
        <f>+Tabla145[[#This Row],[ RV Producción mes n+1]]*Tabla145[[#This Row],[% Uti. producción]]</f>
        <v>0</v>
      </c>
      <c r="M123" s="7">
        <f>IFERROR(VLOOKUP(Tabla145[[#This Row],[Material]],[16]Stock!$G:$K,5,FALSE),0)</f>
        <v>140316</v>
      </c>
      <c r="N123" s="7">
        <f>IFERROR(VLOOKUP(Tabla145[[#This Row],[Material]],[16]Produccion!$M:$N,2,FALSE),0)</f>
        <v>56950</v>
      </c>
      <c r="O123" s="7">
        <f>IFERROR(VLOOKUP(Tabla145[[#This Row],[Llave]],'[16]TD Conf-AP'!$I:$M,4,FALSE),0)</f>
        <v>0</v>
      </c>
      <c r="P123" s="14">
        <f>SUM(Tabla145[[#This Row],[Producción disponible]],Tabla145[[#This Row],[Stock al día]],(Tabla145[[#This Row],[Por producir mes N]]*0.9))-Tabla145[[#This Row],[Producción por despachar mes N]]</f>
        <v>191571</v>
      </c>
      <c r="Q123" s="7">
        <f>IFERROR(VLOOKUP(Tabla145[[#This Row],[Llave]],[17]DELAY!$A:$D,4,FALSE),0)</f>
        <v>0</v>
      </c>
      <c r="R123" s="9">
        <v>24000</v>
      </c>
      <c r="S123" s="5">
        <f t="shared" si="6"/>
        <v>0</v>
      </c>
      <c r="T123" s="76"/>
      <c r="U123" s="5">
        <f>+Tabla145[[#This Row],[Atraso a facturar]]+Tabla145[[#This Row],[Ajuste atraso]]</f>
        <v>0</v>
      </c>
      <c r="V123" s="3">
        <f>+Tabla145[[#This Row],[Total disponible]]-Tabla145[[#This Row],[Facturación atraso]]</f>
        <v>191571</v>
      </c>
      <c r="W123" s="6">
        <f>IFERROR(IF(AND(V123&gt;R123,J123&gt;=R123),ROUNDDOWN((Tabla145[[#This Row],[Producción para venta nueva]])/R123,0)*R123,0),0)</f>
        <v>0</v>
      </c>
      <c r="X123" s="76">
        <v>0</v>
      </c>
      <c r="Y123" s="6">
        <f>IF(Tabla145[[#This Row],[Venta del mes]]&gt;0,Tabla145[[#This Row],[Venta del mes]]+Tabla145[[#This Row],[Ajuste venta nueva]],0)</f>
        <v>0</v>
      </c>
      <c r="Z123" s="6">
        <f>+Tabla145[[#This Row],[Producción para venta nueva]]-Tabla145[[#This Row],[Facturación Venta nueva]]</f>
        <v>191571</v>
      </c>
      <c r="AA123" s="6">
        <f>IF(AND(A123=1,Tabla145[[#This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3" s="6">
        <v>0</v>
      </c>
      <c r="AC123" s="6">
        <f>IF(Tabla145[[#This Row],[Disponible stock sin venta]]&gt;0,Tabla145[[#This Row],[Disponible stock sin venta]]+Tabla145[[#This Row],[Ajuste stock sin venta]],0)</f>
        <v>0</v>
      </c>
      <c r="AD123" s="3">
        <f>IFERROR(VLOOKUP(Tabla145[[#This Row],[Llave]],'[16]TD Puerto'!$A:$D,4,FALSE),0)</f>
        <v>0</v>
      </c>
      <c r="AE123" s="3">
        <v>0</v>
      </c>
      <c r="AF123" s="3">
        <f>+Tabla145[[#This Row],[Plan Irrestricto Inicial]]</f>
        <v>0</v>
      </c>
      <c r="AG123" s="3">
        <f>+Tabla145[[#This Row],[En puerto a facturar]]</f>
        <v>0</v>
      </c>
      <c r="AH123" s="3">
        <f>+Tabla145[[#This Row],[Facturación atraso]]</f>
        <v>0</v>
      </c>
      <c r="AI123" s="3">
        <f>+Tabla145[[#This Row],[Plan Irrestricto]]-Tabla145[[#This Row],[Puerto ]]-Tabla145[[#This Row],[Atraso]]</f>
        <v>0</v>
      </c>
      <c r="AJ12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23" s="3">
        <f>+Tabla145[[#This Row],[Facturación atraso]]</f>
        <v>0</v>
      </c>
      <c r="AL123" s="3">
        <f>+Tabla145[[#This Row],[Plan Ajustado]]-Tabla145[[#This Row],[ Atraso ajustado]]-Tabla145[[#This Row],[Puerto ]]</f>
        <v>0</v>
      </c>
      <c r="AM123" s="6">
        <f>IFERROR(VLOOKUP(Tabla145[[#This Row],[Llave]],[18]!Tabla14[#All],34,FALSE),0)</f>
        <v>0</v>
      </c>
      <c r="AN123" s="6">
        <f>IFERROR(VLOOKUP(Tabla145[[#This Row],[Llave]],[18]!Tabla14[#All],35,FALSE),0)</f>
        <v>0</v>
      </c>
      <c r="AO123" s="3" t="str">
        <f>IF(Tabla145[[#This Row],[Plan Ajustado]]&gt;Tabla145[[#This Row],[En puerto a facturar]],"Si","No")</f>
        <v>No</v>
      </c>
      <c r="AP12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23" s="3">
        <f>IF(Tabla145[[#This Row],[Necesidad]]&gt;=Tabla145[[#This Row],[Stock al día]],Tabla145[[#This Row],[Stock al día]],Tabla145[[#This Row],[Necesidad]])</f>
        <v>0</v>
      </c>
      <c r="AR123" s="3">
        <f>+Tabla145[[#This Row],[Necesidad]]-Tabla145[[#This Row],[Stock Plan]]</f>
        <v>0</v>
      </c>
      <c r="AS123" s="155">
        <f>IFERROR(VLOOKUP(Tabla145[[#This Row],[Oficina]],[19]Ponderación!$B$14:$E$21,4,FALSE),"")</f>
        <v>44786</v>
      </c>
      <c r="AT12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1.3502934734459686</v>
      </c>
      <c r="AU123" s="83">
        <f>IFERROR(VLOOKUP(Tabla145[[#This Row],[Llave]],[17]DELAY!$H:$W,16,FALSE),0)</f>
        <v>0</v>
      </c>
      <c r="AV12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23" s="5">
        <f>Tabla145[[#This Row],[Ajuste precio IC]]*Tabla145[[#This Row],[Plan Ajustado]]</f>
        <v>0</v>
      </c>
      <c r="AX123" s="30">
        <f>IFERROR(VLOOKUP(Tabla145[[#This Row],[Llave]],'[13]Ultimos precios facturados'!$A:$G,7,FALSE),0)</f>
        <v>1.3502934734459686</v>
      </c>
      <c r="AY12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23" s="30">
        <f>IFERROR(VLOOKUP(Tabla145[[#This Row],[Llave]],Hoja2!B:K,10,FALSE),0)</f>
        <v>0</v>
      </c>
      <c r="BA123" s="30">
        <f>IF(Tabla145[[#This Row],[Ajuste precio IC]]="",Tabla145[[#This Row],[Precio ponderado]],Tabla145[[#This Row],[Precio ponderado]])</f>
        <v>0</v>
      </c>
      <c r="BB123" s="82"/>
      <c r="BC123" s="82" t="str">
        <f>IF(AND(Tabla145[[#This Row],[Atraso a facturar]]&gt;0,Tabla145[[#This Row],[Precio Atraso]]=0),"Revisar","OK")</f>
        <v>OK</v>
      </c>
      <c r="BD123" s="82" t="str">
        <f>IF(AND(Tabla145[[#This Row],[Venta del mes]]&gt;0,Tabla145[[#This Row],[Precio venta nueva]]=0),"Revisar","OK")</f>
        <v>OK</v>
      </c>
      <c r="BE123" s="20">
        <f>IFERROR(VLOOKUP(Tabla145[[#This Row],[Llave]],'[5]Consolidación planes'!$A:$M,9,FALSE),0)</f>
        <v>192000</v>
      </c>
      <c r="BF123" s="20">
        <f>IFERROR(VLOOKUP(Tabla145[[#This Row],[Llave]],'[5]Consolidación planes'!$A:$M,10,FALSE),0)</f>
        <v>264000</v>
      </c>
      <c r="BG123" s="20">
        <f>IFERROR(VLOOKUP(Tabla145[[#This Row],[Llave]],'[5]Consolidación planes'!$A:$M,11,FALSE),0)</f>
        <v>216000</v>
      </c>
      <c r="BH123" s="20">
        <f>IFERROR(VLOOKUP(Tabla145[[#This Row],[Llave]],'[5]Consolidación planes'!$A:$M,12,FALSE),0)</f>
        <v>192000</v>
      </c>
      <c r="BI123" s="20">
        <f>IFERROR(VLOOKUP(Tabla145[[#This Row],[Llave]],'[5]Consolidación planes'!$A:$M,13,FALSE),0)</f>
        <v>164571</v>
      </c>
      <c r="BJ123" s="20">
        <f>IFERROR(VLOOKUP(Tabla145[[#This Row],[Llave]],'[13]Base ultimos planes'!$A:$M,13,FALSE),0)</f>
        <v>168000</v>
      </c>
      <c r="BK123" s="80">
        <f>IFERROR(VLOOKUP(Tabla145[[#This Row],[Llave]],'[13]Base ultimos planes'!$O:$AA,8,FALSE),0)</f>
        <v>270080</v>
      </c>
      <c r="BL123" s="20">
        <f>IFERROR(VLOOKUP(Tabla145[[#This Row],[Llave]],'[13]Base ultimos planes'!$O:$AA,9,FALSE),0)</f>
        <v>312840</v>
      </c>
      <c r="BM123" s="20">
        <f>IFERROR(VLOOKUP(Tabla145[[#This Row],[Llave]],'[13]Base ultimos planes'!$O:$AA,10,FALSE),0)</f>
        <v>248400</v>
      </c>
      <c r="BN123" s="20">
        <f>IFERROR(VLOOKUP(Tabla145[[#This Row],[Llave]],'[13]Base ultimos planes'!$O:$AA,11,FALSE),0)</f>
        <v>222459</v>
      </c>
      <c r="BO123" s="20">
        <f>IFERROR(VLOOKUP(Tabla145[[#This Row],[Llave]],'[13]Base ultimos planes'!$O:$AA,12,FALSE),0)</f>
        <v>194168</v>
      </c>
      <c r="BP123" s="20">
        <f>IFERROR(VLOOKUP(Tabla145[[#This Row],[Llave]],'[13]Base ultimos planes'!$O:$AA,13,FALSE),0)</f>
        <v>223136</v>
      </c>
      <c r="BQ123" s="20"/>
      <c r="BR123" s="20">
        <f>Tabla145[[#This Row],[ RV Producción mes n+1]]*(1-Tabla145[[#This Row],[% Uti. producción]])</f>
        <v>0</v>
      </c>
      <c r="BS123" s="20">
        <f>+Tabla145[[#This Row],[Producción disponible mes n-1]]+Tabla145[[#This Row],[Saldo Volumen disponible]]</f>
        <v>191571</v>
      </c>
      <c r="BT123" s="7">
        <f>IFERROR(VLOOKUP(Tabla145[[#This Row],[Llave]],'[21]RV n+2 y n+3'!$B:$F,4,FALSE),0)</f>
        <v>0</v>
      </c>
      <c r="BU123" s="7">
        <f>+Tabla145[[#This Row],[Asignación mes n+2]]*Tabla145[[#This Row],[% Uti. producción]]</f>
        <v>0</v>
      </c>
      <c r="BV123" s="7">
        <f>+Tabla145[[#This Row],[Ponderación mes n+2]]+Tabla145[[#This Row],[Saldo mes n-1]]</f>
        <v>191571</v>
      </c>
      <c r="BW123" s="7">
        <f>+Tabla145[[#This Row],[Asignación mes n+2]]-Tabla145[[#This Row],[Ponderación mes n+2]]</f>
        <v>0</v>
      </c>
      <c r="BX123" s="7">
        <f>IFERROR(VLOOKUP(Tabla145[[#This Row],[Llave]],'[21]RV n+2 y n+3'!$B:$F,5,FALSE),0)</f>
        <v>0</v>
      </c>
      <c r="BY123" s="7">
        <f>+Tabla145[[#This Row],[Asignación mes n+3]]*Tabla145[[#This Row],[% Uti. producción]]</f>
        <v>0</v>
      </c>
      <c r="BZ123" s="3">
        <f>+Tabla145[[#This Row],[Ponderación mes n+3]]+Tabla145[[#This Row],[Saldo mes n+2]]</f>
        <v>0</v>
      </c>
      <c r="CA123" s="3">
        <f>+Tabla145[[#This Row],[Asignación mes n+3]]-Tabla145[[#This Row],[Ponderación mes n+3]]</f>
        <v>0</v>
      </c>
      <c r="CB123" s="3">
        <f>+Tabla145[[#This Row],[Producción disponible mes n-1]]+Tabla145[[#This Row],[Producción disponible]]</f>
        <v>0</v>
      </c>
      <c r="CC123" s="3">
        <f>+Tabla145[[#This Row],[Saldo mes n+4]]-Tabla145[[#This Row],[ RV Producción mes n+1]]</f>
        <v>0</v>
      </c>
    </row>
    <row r="124" spans="1:81" ht="16" x14ac:dyDescent="0.2">
      <c r="A124">
        <v>2</v>
      </c>
      <c r="B124" t="str">
        <f>Tabla145[[#This Row],[Oficina]]&amp;Tabla145[[#This Row],[Material]]</f>
        <v>Agrosuper Shanghai1022125</v>
      </c>
      <c r="C124" t="s">
        <v>6</v>
      </c>
      <c r="D124" t="s">
        <v>140</v>
      </c>
      <c r="E124">
        <v>1022125</v>
      </c>
      <c r="F124" t="s">
        <v>162</v>
      </c>
      <c r="G124" t="s">
        <v>159</v>
      </c>
      <c r="H124" t="s">
        <v>160</v>
      </c>
      <c r="I124" s="7">
        <f>IFERROR(VLOOKUP(Tabla145[[#This Row],[Llave]],'[7]RV Producción'!$C:$G,5,FALSE),0)</f>
        <v>0</v>
      </c>
      <c r="J124" s="3">
        <f>IFERROR(IF(Tabla145[[#This Row],[Oficina]]=$I$7,VLOOKUP(Tabla145[[#This Row],[Llave]],'[7]Shangai (Tomas)'!$A:$F,6,FALSE),VLOOKUP(Tabla145[[#This Row],[Llave]],'[7]RV plan de ventas'!$A:$E,5,FALSE)),0)</f>
        <v>0</v>
      </c>
      <c r="K124" s="8">
        <f>IFERROR(VLOOKUP(Tabla145[[#This Row],[Oficina]],[15]Ponderación!$B$2:$E$9,4,FALSE),0)</f>
        <v>0.45719439678473212</v>
      </c>
      <c r="L124" s="7">
        <f>+Tabla145[[#This Row],[ RV Producción mes n+1]]*Tabla145[[#This Row],[% Uti. producción]]</f>
        <v>0</v>
      </c>
      <c r="M124" s="7">
        <f>IFERROR(VLOOKUP(Tabla145[[#This Row],[Material]],[16]Stock!$G:$K,5,FALSE),0)</f>
        <v>107661</v>
      </c>
      <c r="N124" s="7">
        <f>IFERROR(VLOOKUP(Tabla145[[#This Row],[Material]],[16]Produccion!$M:$N,2,FALSE),0)</f>
        <v>105670.05200000001</v>
      </c>
      <c r="O124" s="7">
        <f>IFERROR(VLOOKUP(Tabla145[[#This Row],[Llave]],'[16]TD Conf-AP'!$I:$M,4,FALSE),0)</f>
        <v>0</v>
      </c>
      <c r="P124" s="14">
        <f>SUM(Tabla145[[#This Row],[Producción disponible]],Tabla145[[#This Row],[Stock al día]],(Tabla145[[#This Row],[Por producir mes N]]*0.9))-Tabla145[[#This Row],[Producción por despachar mes N]]</f>
        <v>202764.04680000001</v>
      </c>
      <c r="Q124" s="7">
        <f>IFERROR(VLOOKUP(Tabla145[[#This Row],[Llave]],[17]DELAY!$A:$D,4,FALSE),0)</f>
        <v>0</v>
      </c>
      <c r="R124" s="9">
        <v>24000</v>
      </c>
      <c r="S124" s="5">
        <f t="shared" si="6"/>
        <v>0</v>
      </c>
      <c r="T124" s="76"/>
      <c r="U124" s="5">
        <f>+Tabla145[[#This Row],[Atraso a facturar]]+Tabla145[[#This Row],[Ajuste atraso]]</f>
        <v>0</v>
      </c>
      <c r="V124" s="3">
        <f>+Tabla145[[#This Row],[Total disponible]]-Tabla145[[#This Row],[Facturación atraso]]</f>
        <v>202764.04680000001</v>
      </c>
      <c r="W124" s="6">
        <f>IFERROR(IF(AND(V124&gt;R124,J124&gt;=R124),ROUNDDOWN((Tabla145[[#This Row],[Producción para venta nueva]])/R124,0)*R124,0),0)</f>
        <v>0</v>
      </c>
      <c r="X124" s="76">
        <v>0</v>
      </c>
      <c r="Y124" s="6">
        <f>IF(Tabla145[[#This Row],[Venta del mes]]&gt;0,Tabla145[[#This Row],[Venta del mes]]+Tabla145[[#This Row],[Ajuste venta nueva]],0)</f>
        <v>0</v>
      </c>
      <c r="Z124" s="6">
        <f>+Tabla145[[#This Row],[Producción para venta nueva]]-Tabla145[[#This Row],[Facturación Venta nueva]]</f>
        <v>202764.04680000001</v>
      </c>
      <c r="AA124" s="6">
        <f>IF(AND(A124=1,Tabla145[[#This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4" s="6">
        <v>0</v>
      </c>
      <c r="AC124" s="6">
        <f>IF(Tabla145[[#This Row],[Disponible stock sin venta]]&gt;0,Tabla145[[#This Row],[Disponible stock sin venta]]+Tabla145[[#This Row],[Ajuste stock sin venta]],0)</f>
        <v>0</v>
      </c>
      <c r="AD124" s="3">
        <f>IFERROR(VLOOKUP(Tabla145[[#This Row],[Llave]],'[16]TD Puerto'!$A:$D,4,FALSE),0)</f>
        <v>0</v>
      </c>
      <c r="AE124" s="3">
        <v>0</v>
      </c>
      <c r="AF124" s="3">
        <f>+Tabla145[[#This Row],[Plan Irrestricto Inicial]]</f>
        <v>0</v>
      </c>
      <c r="AG124" s="3">
        <f>+Tabla145[[#This Row],[En puerto a facturar]]</f>
        <v>0</v>
      </c>
      <c r="AH124" s="3">
        <f>+Tabla145[[#This Row],[Facturación atraso]]</f>
        <v>0</v>
      </c>
      <c r="AI124" s="3">
        <f>+Tabla145[[#This Row],[Plan Irrestricto]]-Tabla145[[#This Row],[Puerto ]]-Tabla145[[#This Row],[Atraso]]</f>
        <v>0</v>
      </c>
      <c r="AJ12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24" s="3">
        <f>+Tabla145[[#This Row],[Facturación atraso]]</f>
        <v>0</v>
      </c>
      <c r="AL124" s="3">
        <f>+Tabla145[[#This Row],[Plan Ajustado]]-Tabla145[[#This Row],[ Atraso ajustado]]-Tabla145[[#This Row],[Puerto ]]</f>
        <v>0</v>
      </c>
      <c r="AM124" s="6">
        <f>IFERROR(VLOOKUP(Tabla145[[#This Row],[Llave]],[18]!Tabla14[#All],34,FALSE),0)</f>
        <v>0</v>
      </c>
      <c r="AN124" s="6">
        <f>IFERROR(VLOOKUP(Tabla145[[#This Row],[Llave]],[18]!Tabla14[#All],35,FALSE),0)</f>
        <v>0</v>
      </c>
      <c r="AO124" s="3" t="str">
        <f>IF(Tabla145[[#This Row],[Plan Ajustado]]&gt;Tabla145[[#This Row],[En puerto a facturar]],"Si","No")</f>
        <v>No</v>
      </c>
      <c r="AP12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24" s="3">
        <f>IF(Tabla145[[#This Row],[Necesidad]]&gt;=Tabla145[[#This Row],[Stock al día]],Tabla145[[#This Row],[Stock al día]],Tabla145[[#This Row],[Necesidad]])</f>
        <v>0</v>
      </c>
      <c r="AR124" s="3">
        <f>+Tabla145[[#This Row],[Necesidad]]-Tabla145[[#This Row],[Stock Plan]]</f>
        <v>0</v>
      </c>
      <c r="AS124" s="155">
        <f>IFERROR(VLOOKUP(Tabla145[[#This Row],[Oficina]],[19]Ponderación!$B$14:$E$21,4,FALSE),"")</f>
        <v>44786</v>
      </c>
      <c r="AT12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2.9062861035260745</v>
      </c>
      <c r="AU124" s="83">
        <f>IFERROR(VLOOKUP(Tabla145[[#This Row],[Llave]],[17]DELAY!$H:$W,16,FALSE),0)</f>
        <v>0</v>
      </c>
      <c r="AV12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24" s="5">
        <f>Tabla145[[#This Row],[Ajuste precio IC]]*Tabla145[[#This Row],[Plan Ajustado]]</f>
        <v>0</v>
      </c>
      <c r="AX124" s="30">
        <f>IFERROR(VLOOKUP(Tabla145[[#This Row],[Llave]],'[13]Ultimos precios facturados'!$A:$G,7,FALSE),0)</f>
        <v>2.9062861035260745</v>
      </c>
      <c r="AY12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24" s="30">
        <f>IFERROR(VLOOKUP(Tabla145[[#This Row],[Llave]],Hoja2!B:K,10,FALSE),0)</f>
        <v>0</v>
      </c>
      <c r="BA124" s="30">
        <f>IF(Tabla145[[#This Row],[Ajuste precio IC]]="",Tabla145[[#This Row],[Precio ponderado]],Tabla145[[#This Row],[Precio ponderado]])</f>
        <v>0</v>
      </c>
      <c r="BB124" s="82"/>
      <c r="BC124" s="82" t="str">
        <f>IF(AND(Tabla145[[#This Row],[Atraso a facturar]]&gt;0,Tabla145[[#This Row],[Precio Atraso]]=0),"Revisar","OK")</f>
        <v>OK</v>
      </c>
      <c r="BD124" s="82" t="str">
        <f>IF(AND(Tabla145[[#This Row],[Venta del mes]]&gt;0,Tabla145[[#This Row],[Precio venta nueva]]=0),"Revisar","OK")</f>
        <v>OK</v>
      </c>
      <c r="BE124" s="20">
        <f>IFERROR(VLOOKUP(Tabla145[[#This Row],[Llave]],'[5]Consolidación planes'!$A:$M,9,FALSE),0)</f>
        <v>216000</v>
      </c>
      <c r="BF124" s="20">
        <f>IFERROR(VLOOKUP(Tabla145[[#This Row],[Llave]],'[5]Consolidación planes'!$A:$M,10,FALSE),0)</f>
        <v>96000</v>
      </c>
      <c r="BG124" s="20">
        <f>IFERROR(VLOOKUP(Tabla145[[#This Row],[Llave]],'[5]Consolidación planes'!$A:$M,11,FALSE),0)</f>
        <v>96000</v>
      </c>
      <c r="BH124" s="20">
        <f>IFERROR(VLOOKUP(Tabla145[[#This Row],[Llave]],'[5]Consolidación planes'!$A:$M,12,FALSE),0)</f>
        <v>120000</v>
      </c>
      <c r="BI124" s="20">
        <f>IFERROR(VLOOKUP(Tabla145[[#This Row],[Llave]],'[5]Consolidación planes'!$A:$M,13,FALSE),0)</f>
        <v>96000</v>
      </c>
      <c r="BJ124" s="20">
        <f>IFERROR(VLOOKUP(Tabla145[[#This Row],[Llave]],'[13]Base ultimos planes'!$A:$M,13,FALSE),0)</f>
        <v>72000</v>
      </c>
      <c r="BK124" s="80">
        <f>IFERROR(VLOOKUP(Tabla145[[#This Row],[Llave]],'[13]Base ultimos planes'!$O:$AA,8,FALSE),0)</f>
        <v>586500</v>
      </c>
      <c r="BL124" s="20">
        <f>IFERROR(VLOOKUP(Tabla145[[#This Row],[Llave]],'[13]Base ultimos planes'!$O:$AA,9,FALSE),0)</f>
        <v>239040</v>
      </c>
      <c r="BM124" s="20">
        <f>IFERROR(VLOOKUP(Tabla145[[#This Row],[Llave]],'[13]Base ultimos planes'!$O:$AA,10,FALSE),0)</f>
        <v>233280</v>
      </c>
      <c r="BN124" s="20">
        <f>IFERROR(VLOOKUP(Tabla145[[#This Row],[Llave]],'[13]Base ultimos planes'!$O:$AA,11,FALSE),0)</f>
        <v>304970</v>
      </c>
      <c r="BO124" s="20">
        <f>IFERROR(VLOOKUP(Tabla145[[#This Row],[Llave]],'[13]Base ultimos planes'!$O:$AA,12,FALSE),0)</f>
        <v>246850</v>
      </c>
      <c r="BP124" s="20">
        <f>IFERROR(VLOOKUP(Tabla145[[#This Row],[Llave]],'[13]Base ultimos planes'!$O:$AA,13,FALSE),0)</f>
        <v>186360</v>
      </c>
      <c r="BQ124" s="20"/>
      <c r="BR124" s="20">
        <f>Tabla145[[#This Row],[ RV Producción mes n+1]]*(1-Tabla145[[#This Row],[% Uti. producción]])</f>
        <v>0</v>
      </c>
      <c r="BS124" s="20">
        <f>+Tabla145[[#This Row],[Producción disponible mes n-1]]+Tabla145[[#This Row],[Saldo Volumen disponible]]</f>
        <v>202764.04680000001</v>
      </c>
      <c r="BT124" s="7">
        <f>IFERROR(VLOOKUP(Tabla145[[#This Row],[Llave]],'[21]RV n+2 y n+3'!$B:$F,4,FALSE),0)</f>
        <v>0</v>
      </c>
      <c r="BU124" s="7">
        <f>+Tabla145[[#This Row],[Asignación mes n+2]]*Tabla145[[#This Row],[% Uti. producción]]</f>
        <v>0</v>
      </c>
      <c r="BV124" s="7">
        <f>+Tabla145[[#This Row],[Ponderación mes n+2]]+Tabla145[[#This Row],[Saldo mes n-1]]</f>
        <v>202764.04680000001</v>
      </c>
      <c r="BW124" s="7">
        <f>+Tabla145[[#This Row],[Asignación mes n+2]]-Tabla145[[#This Row],[Ponderación mes n+2]]</f>
        <v>0</v>
      </c>
      <c r="BX124" s="7">
        <f>IFERROR(VLOOKUP(Tabla145[[#This Row],[Llave]],'[21]RV n+2 y n+3'!$B:$F,5,FALSE),0)</f>
        <v>0</v>
      </c>
      <c r="BY124" s="7">
        <f>+Tabla145[[#This Row],[Asignación mes n+3]]*Tabla145[[#This Row],[% Uti. producción]]</f>
        <v>0</v>
      </c>
      <c r="BZ124" s="3">
        <f>+Tabla145[[#This Row],[Ponderación mes n+3]]+Tabla145[[#This Row],[Saldo mes n+2]]</f>
        <v>0</v>
      </c>
      <c r="CA124" s="3">
        <f>+Tabla145[[#This Row],[Asignación mes n+3]]-Tabla145[[#This Row],[Ponderación mes n+3]]</f>
        <v>0</v>
      </c>
      <c r="CB124" s="3">
        <f>+Tabla145[[#This Row],[Producción disponible mes n-1]]+Tabla145[[#This Row],[Producción disponible]]</f>
        <v>0</v>
      </c>
      <c r="CC124" s="3">
        <f>+Tabla145[[#This Row],[Saldo mes n+4]]-Tabla145[[#This Row],[ RV Producción mes n+1]]</f>
        <v>0</v>
      </c>
    </row>
    <row r="125" spans="1:81" ht="16" x14ac:dyDescent="0.2">
      <c r="A125">
        <v>2</v>
      </c>
      <c r="B125" t="str">
        <f>Tabla145[[#This Row],[Oficina]]&amp;Tabla145[[#This Row],[Material]]</f>
        <v>Agrosuper Shanghai1022183</v>
      </c>
      <c r="C125" t="s">
        <v>6</v>
      </c>
      <c r="D125" t="s">
        <v>140</v>
      </c>
      <c r="E125">
        <v>1022183</v>
      </c>
      <c r="F125" t="s">
        <v>165</v>
      </c>
      <c r="G125" t="s">
        <v>159</v>
      </c>
      <c r="H125" t="s">
        <v>164</v>
      </c>
      <c r="I125" s="7">
        <f>IFERROR(VLOOKUP(Tabla145[[#This Row],[Llave]],'[7]RV Producción'!$C:$G,5,FALSE),0)</f>
        <v>0</v>
      </c>
      <c r="J125" s="3">
        <f>IFERROR(IF(Tabla145[[#This Row],[Oficina]]=$I$7,VLOOKUP(Tabla145[[#This Row],[Llave]],'[7]Shangai (Tomas)'!$A:$F,6,FALSE),VLOOKUP(Tabla145[[#This Row],[Llave]],'[7]RV plan de ventas'!$A:$E,5,FALSE)),0)</f>
        <v>0</v>
      </c>
      <c r="K125" s="8">
        <f>IFERROR(VLOOKUP(Tabla145[[#This Row],[Oficina]],[15]Ponderación!$B$2:$E$9,4,FALSE),0)</f>
        <v>0.45719439678473212</v>
      </c>
      <c r="L125" s="7">
        <f>+Tabla145[[#This Row],[ RV Producción mes n+1]]*Tabla145[[#This Row],[% Uti. producción]]</f>
        <v>0</v>
      </c>
      <c r="M125" s="7">
        <f>IFERROR(VLOOKUP(Tabla145[[#This Row],[Material]],[16]Stock!$G:$K,5,FALSE),0)</f>
        <v>314895</v>
      </c>
      <c r="N125" s="7">
        <f>IFERROR(VLOOKUP(Tabla145[[#This Row],[Material]],[16]Produccion!$M:$N,2,FALSE),0)</f>
        <v>200010.16199999998</v>
      </c>
      <c r="O125" s="7">
        <f>IFERROR(VLOOKUP(Tabla145[[#This Row],[Llave]],'[16]TD Conf-AP'!$I:$M,4,FALSE),0)</f>
        <v>0</v>
      </c>
      <c r="P125" s="14">
        <f>SUM(Tabla145[[#This Row],[Producción disponible]],Tabla145[[#This Row],[Stock al día]],(Tabla145[[#This Row],[Por producir mes N]]*0.9))-Tabla145[[#This Row],[Producción por despachar mes N]]</f>
        <v>494904.1458</v>
      </c>
      <c r="Q125" s="7">
        <f>IFERROR(VLOOKUP(Tabla145[[#This Row],[Llave]],[17]DELAY!$A:$D,4,FALSE),0)</f>
        <v>0</v>
      </c>
      <c r="R125" s="9">
        <v>24000</v>
      </c>
      <c r="S125" s="5">
        <f t="shared" si="6"/>
        <v>0</v>
      </c>
      <c r="T125" s="76"/>
      <c r="U125" s="5">
        <f>+Tabla145[[#This Row],[Atraso a facturar]]+Tabla145[[#This Row],[Ajuste atraso]]</f>
        <v>0</v>
      </c>
      <c r="V125" s="3">
        <f>+Tabla145[[#This Row],[Total disponible]]-Tabla145[[#This Row],[Facturación atraso]]</f>
        <v>494904.1458</v>
      </c>
      <c r="W125" s="6">
        <f>IFERROR(IF(AND(V125&gt;R125,J125&gt;=R125),ROUNDDOWN((Tabla145[[#This Row],[Producción para venta nueva]])/R125,0)*R125,0),0)</f>
        <v>0</v>
      </c>
      <c r="X125" s="76">
        <v>0</v>
      </c>
      <c r="Y125" s="6">
        <f>IF(Tabla145[[#This Row],[Venta del mes]]&gt;0,Tabla145[[#This Row],[Venta del mes]]+Tabla145[[#This Row],[Ajuste venta nueva]],0)</f>
        <v>0</v>
      </c>
      <c r="Z125" s="6">
        <f>+Tabla145[[#This Row],[Producción para venta nueva]]-Tabla145[[#This Row],[Facturación Venta nueva]]</f>
        <v>494904.1458</v>
      </c>
      <c r="AA125" s="6">
        <f>IF(AND(A125=1,Tabla145[[#This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5" s="6">
        <v>0</v>
      </c>
      <c r="AC125" s="6">
        <f>IF(Tabla145[[#This Row],[Disponible stock sin venta]]&gt;0,Tabla145[[#This Row],[Disponible stock sin venta]]+Tabla145[[#This Row],[Ajuste stock sin venta]],0)</f>
        <v>0</v>
      </c>
      <c r="AD125" s="3">
        <f>IFERROR(VLOOKUP(Tabla145[[#This Row],[Llave]],'[16]TD Puerto'!$A:$D,4,FALSE),0)</f>
        <v>0</v>
      </c>
      <c r="AE125" s="3">
        <v>0</v>
      </c>
      <c r="AF125" s="3">
        <f>+Tabla145[[#This Row],[Plan Irrestricto Inicial]]</f>
        <v>0</v>
      </c>
      <c r="AG125" s="3">
        <f>+Tabla145[[#This Row],[En puerto a facturar]]</f>
        <v>0</v>
      </c>
      <c r="AH125" s="3">
        <f>+Tabla145[[#This Row],[Facturación atraso]]</f>
        <v>0</v>
      </c>
      <c r="AI125" s="3">
        <f>+Tabla145[[#This Row],[Plan Irrestricto]]-Tabla145[[#This Row],[Puerto ]]-Tabla145[[#This Row],[Atraso]]</f>
        <v>0</v>
      </c>
      <c r="AJ12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25" s="3">
        <f>+Tabla145[[#This Row],[Facturación atraso]]</f>
        <v>0</v>
      </c>
      <c r="AL125" s="3">
        <f>+Tabla145[[#This Row],[Plan Ajustado]]-Tabla145[[#This Row],[ Atraso ajustado]]-Tabla145[[#This Row],[Puerto ]]</f>
        <v>0</v>
      </c>
      <c r="AM125" s="6">
        <f>IFERROR(VLOOKUP(Tabla145[[#This Row],[Llave]],[18]!Tabla14[#All],34,FALSE),0)</f>
        <v>0</v>
      </c>
      <c r="AN125" s="6">
        <f>IFERROR(VLOOKUP(Tabla145[[#This Row],[Llave]],[18]!Tabla14[#All],35,FALSE),0)</f>
        <v>0</v>
      </c>
      <c r="AO125" s="3" t="str">
        <f>IF(Tabla145[[#This Row],[Plan Ajustado]]&gt;Tabla145[[#This Row],[En puerto a facturar]],"Si","No")</f>
        <v>No</v>
      </c>
      <c r="AP12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25" s="3">
        <f>IF(Tabla145[[#This Row],[Necesidad]]&gt;=Tabla145[[#This Row],[Stock al día]],Tabla145[[#This Row],[Stock al día]],Tabla145[[#This Row],[Necesidad]])</f>
        <v>0</v>
      </c>
      <c r="AR125" s="3">
        <f>+Tabla145[[#This Row],[Necesidad]]-Tabla145[[#This Row],[Stock Plan]]</f>
        <v>0</v>
      </c>
      <c r="AS125" s="155">
        <f>IFERROR(VLOOKUP(Tabla145[[#This Row],[Oficina]],[19]Ponderación!$B$14:$E$21,4,FALSE),"")</f>
        <v>44786</v>
      </c>
      <c r="AT12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1.996143349312969</v>
      </c>
      <c r="AU125" s="83">
        <f>IFERROR(VLOOKUP(Tabla145[[#This Row],[Llave]],[17]DELAY!$H:$W,16,FALSE),0)</f>
        <v>0</v>
      </c>
      <c r="AV12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25" s="5">
        <f>Tabla145[[#This Row],[Ajuste precio IC]]*Tabla145[[#This Row],[Plan Ajustado]]</f>
        <v>0</v>
      </c>
      <c r="AX125" s="30">
        <f>IFERROR(VLOOKUP(Tabla145[[#This Row],[Llave]],'[13]Ultimos precios facturados'!$A:$G,7,FALSE),0)</f>
        <v>1.996143349312969</v>
      </c>
      <c r="AY12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25" s="30">
        <f>IFERROR(VLOOKUP(Tabla145[[#This Row],[Llave]],Hoja2!B:K,10,FALSE),0)</f>
        <v>0</v>
      </c>
      <c r="BA125" s="30">
        <f>IF(Tabla145[[#This Row],[Ajuste precio IC]]="",Tabla145[[#This Row],[Precio ponderado]],Tabla145[[#This Row],[Precio ponderado]])</f>
        <v>0</v>
      </c>
      <c r="BB125" s="82"/>
      <c r="BC125" s="82" t="str">
        <f>IF(AND(Tabla145[[#This Row],[Atraso a facturar]]&gt;0,Tabla145[[#This Row],[Precio Atraso]]=0),"Revisar","OK")</f>
        <v>OK</v>
      </c>
      <c r="BD125" s="82" t="str">
        <f>IF(AND(Tabla145[[#This Row],[Venta del mes]]&gt;0,Tabla145[[#This Row],[Precio venta nueva]]=0),"Revisar","OK")</f>
        <v>OK</v>
      </c>
      <c r="BE125" s="20">
        <f>IFERROR(VLOOKUP(Tabla145[[#This Row],[Llave]],'[5]Consolidación planes'!$A:$M,9,FALSE),0)</f>
        <v>456000</v>
      </c>
      <c r="BF125" s="20">
        <f>IFERROR(VLOOKUP(Tabla145[[#This Row],[Llave]],'[5]Consolidación planes'!$A:$M,10,FALSE),0)</f>
        <v>408000</v>
      </c>
      <c r="BG125" s="20">
        <f>IFERROR(VLOOKUP(Tabla145[[#This Row],[Llave]],'[5]Consolidación planes'!$A:$M,11,FALSE),0)</f>
        <v>360000</v>
      </c>
      <c r="BH125" s="20">
        <f>IFERROR(VLOOKUP(Tabla145[[#This Row],[Llave]],'[5]Consolidación planes'!$A:$M,12,FALSE),0)</f>
        <v>551000</v>
      </c>
      <c r="BI125" s="20">
        <f>IFERROR(VLOOKUP(Tabla145[[#This Row],[Llave]],'[5]Consolidación planes'!$A:$M,13,FALSE),0)</f>
        <v>484400</v>
      </c>
      <c r="BJ125" s="20">
        <f>IFERROR(VLOOKUP(Tabla145[[#This Row],[Llave]],'[13]Base ultimos planes'!$A:$M,13,FALSE),0)</f>
        <v>360000</v>
      </c>
      <c r="BK125" s="80">
        <f>IFERROR(VLOOKUP(Tabla145[[#This Row],[Llave]],'[13]Base ultimos planes'!$O:$AA,8,FALSE),0)</f>
        <v>825106.66669999994</v>
      </c>
      <c r="BL125" s="20">
        <f>IFERROR(VLOOKUP(Tabla145[[#This Row],[Llave]],'[13]Base ultimos planes'!$O:$AA,9,FALSE),0)</f>
        <v>634440</v>
      </c>
      <c r="BM125" s="20">
        <f>IFERROR(VLOOKUP(Tabla145[[#This Row],[Llave]],'[13]Base ultimos planes'!$O:$AA,10,FALSE),0)</f>
        <v>601200</v>
      </c>
      <c r="BN125" s="20">
        <f>IFERROR(VLOOKUP(Tabla145[[#This Row],[Llave]],'[13]Base ultimos planes'!$O:$AA,11,FALSE),0)</f>
        <v>931630</v>
      </c>
      <c r="BO125" s="20">
        <f>IFERROR(VLOOKUP(Tabla145[[#This Row],[Llave]],'[13]Base ultimos planes'!$O:$AA,12,FALSE),0)</f>
        <v>890457</v>
      </c>
      <c r="BP125" s="20">
        <f>IFERROR(VLOOKUP(Tabla145[[#This Row],[Llave]],'[13]Base ultimos planes'!$O:$AA,13,FALSE),0)</f>
        <v>731662</v>
      </c>
      <c r="BQ125" s="20"/>
      <c r="BR125" s="20">
        <f>Tabla145[[#This Row],[ RV Producción mes n+1]]*(1-Tabla145[[#This Row],[% Uti. producción]])</f>
        <v>0</v>
      </c>
      <c r="BS125" s="20">
        <f>+Tabla145[[#This Row],[Producción disponible mes n-1]]+Tabla145[[#This Row],[Saldo Volumen disponible]]</f>
        <v>494904.1458</v>
      </c>
      <c r="BT125" s="7">
        <f>IFERROR(VLOOKUP(Tabla145[[#This Row],[Llave]],'[21]RV n+2 y n+3'!$B:$F,4,FALSE),0)</f>
        <v>0</v>
      </c>
      <c r="BU125" s="7">
        <f>+Tabla145[[#This Row],[Asignación mes n+2]]*Tabla145[[#This Row],[% Uti. producción]]</f>
        <v>0</v>
      </c>
      <c r="BV125" s="7">
        <f>+Tabla145[[#This Row],[Ponderación mes n+2]]+Tabla145[[#This Row],[Saldo mes n-1]]</f>
        <v>494904.1458</v>
      </c>
      <c r="BW125" s="7">
        <f>+Tabla145[[#This Row],[Asignación mes n+2]]-Tabla145[[#This Row],[Ponderación mes n+2]]</f>
        <v>0</v>
      </c>
      <c r="BX125" s="7">
        <f>IFERROR(VLOOKUP(Tabla145[[#This Row],[Llave]],'[21]RV n+2 y n+3'!$B:$F,5,FALSE),0)</f>
        <v>0</v>
      </c>
      <c r="BY125" s="7">
        <f>+Tabla145[[#This Row],[Asignación mes n+3]]*Tabla145[[#This Row],[% Uti. producción]]</f>
        <v>0</v>
      </c>
      <c r="BZ125" s="3">
        <f>+Tabla145[[#This Row],[Ponderación mes n+3]]+Tabla145[[#This Row],[Saldo mes n+2]]</f>
        <v>0</v>
      </c>
      <c r="CA125" s="3">
        <f>+Tabla145[[#This Row],[Asignación mes n+3]]-Tabla145[[#This Row],[Ponderación mes n+3]]</f>
        <v>0</v>
      </c>
      <c r="CB125" s="3">
        <f>+Tabla145[[#This Row],[Producción disponible mes n-1]]+Tabla145[[#This Row],[Producción disponible]]</f>
        <v>0</v>
      </c>
      <c r="CC125" s="3">
        <f>+Tabla145[[#This Row],[Saldo mes n+4]]-Tabla145[[#This Row],[ RV Producción mes n+1]]</f>
        <v>0</v>
      </c>
    </row>
    <row r="126" spans="1:81" ht="16" x14ac:dyDescent="0.2">
      <c r="A126">
        <v>2</v>
      </c>
      <c r="B126" t="str">
        <f>Tabla145[[#This Row],[Oficina]]&amp;Tabla145[[#This Row],[Material]]</f>
        <v>Agrosuper Shanghai1022186</v>
      </c>
      <c r="C126" t="s">
        <v>6</v>
      </c>
      <c r="D126" t="s">
        <v>140</v>
      </c>
      <c r="E126">
        <v>1022186</v>
      </c>
      <c r="F126" t="s">
        <v>151</v>
      </c>
      <c r="G126" t="s">
        <v>92</v>
      </c>
      <c r="H126" t="s">
        <v>93</v>
      </c>
      <c r="I126" s="7">
        <f>IFERROR(VLOOKUP(Tabla145[[#This Row],[Llave]],'[7]RV Producción'!$C:$G,5,FALSE),0)</f>
        <v>0</v>
      </c>
      <c r="J126" s="3">
        <f>IFERROR(IF(Tabla145[[#This Row],[Oficina]]=$I$7,VLOOKUP(Tabla145[[#This Row],[Llave]],'[7]Shangai (Tomas)'!$A:$F,6,FALSE),VLOOKUP(Tabla145[[#This Row],[Llave]],'[7]RV plan de ventas'!$A:$E,5,FALSE)),0)</f>
        <v>0</v>
      </c>
      <c r="K126" s="8">
        <f>IFERROR(VLOOKUP(Tabla145[[#This Row],[Oficina]],[15]Ponderación!$B$2:$E$9,4,FALSE),0)</f>
        <v>0.45719439678473212</v>
      </c>
      <c r="L126" s="7">
        <f>+Tabla145[[#This Row],[ RV Producción mes n+1]]*Tabla145[[#This Row],[% Uti. producción]]</f>
        <v>0</v>
      </c>
      <c r="M126" s="7">
        <f>IFERROR(VLOOKUP(Tabla145[[#This Row],[Material]],[16]Stock!$G:$K,5,FALSE),0)</f>
        <v>75087</v>
      </c>
      <c r="N126" s="7">
        <f>IFERROR(VLOOKUP(Tabla145[[#This Row],[Material]],[16]Produccion!$M:$N,2,FALSE),0)</f>
        <v>16353</v>
      </c>
      <c r="O126" s="7">
        <f>IFERROR(VLOOKUP(Tabla145[[#This Row],[Llave]],'[16]TD Conf-AP'!$I:$M,4,FALSE),0)</f>
        <v>0</v>
      </c>
      <c r="P126" s="14">
        <f>SUM(Tabla145[[#This Row],[Producción disponible]],Tabla145[[#This Row],[Stock al día]],(Tabla145[[#This Row],[Por producir mes N]]*0.9))-Tabla145[[#This Row],[Producción por despachar mes N]]</f>
        <v>89804.7</v>
      </c>
      <c r="Q126" s="7">
        <f>IFERROR(VLOOKUP(Tabla145[[#This Row],[Llave]],[17]DELAY!$A:$D,4,FALSE),0)</f>
        <v>0</v>
      </c>
      <c r="R126" s="9">
        <v>24000</v>
      </c>
      <c r="S126" s="5">
        <f t="shared" si="6"/>
        <v>0</v>
      </c>
      <c r="T126" s="76"/>
      <c r="U126" s="5">
        <f>+Tabla145[[#This Row],[Atraso a facturar]]+Tabla145[[#This Row],[Ajuste atraso]]</f>
        <v>0</v>
      </c>
      <c r="V126" s="3">
        <f>+Tabla145[[#This Row],[Total disponible]]-Tabla145[[#This Row],[Facturación atraso]]</f>
        <v>89804.7</v>
      </c>
      <c r="W126" s="6">
        <f>IFERROR(IF(AND(V126&gt;R126,J126&gt;=R126),ROUNDDOWN((Tabla145[[#This Row],[Producción para venta nueva]])/R126,0)*R126,0),0)</f>
        <v>0</v>
      </c>
      <c r="X126" s="76">
        <v>0</v>
      </c>
      <c r="Y126" s="6">
        <f>IF(Tabla145[[#This Row],[Venta del mes]]&gt;0,Tabla145[[#This Row],[Venta del mes]]+Tabla145[[#This Row],[Ajuste venta nueva]],0)</f>
        <v>0</v>
      </c>
      <c r="Z126" s="6">
        <f>+Tabla145[[#This Row],[Producción para venta nueva]]-Tabla145[[#This Row],[Facturación Venta nueva]]</f>
        <v>89804.7</v>
      </c>
      <c r="AA126" s="6">
        <f>IF(AND(A126=1,Tabla145[[#This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6" s="6">
        <v>0</v>
      </c>
      <c r="AC126" s="6">
        <f>IF(Tabla145[[#This Row],[Disponible stock sin venta]]&gt;0,Tabla145[[#This Row],[Disponible stock sin venta]]+Tabla145[[#This Row],[Ajuste stock sin venta]],0)</f>
        <v>0</v>
      </c>
      <c r="AD126" s="3">
        <f>IFERROR(VLOOKUP(Tabla145[[#This Row],[Llave]],'[16]TD Puerto'!$A:$D,4,FALSE),0)</f>
        <v>0</v>
      </c>
      <c r="AE126" s="3">
        <v>0</v>
      </c>
      <c r="AF126" s="3">
        <f>+Tabla145[[#This Row],[Plan Irrestricto Inicial]]</f>
        <v>0</v>
      </c>
      <c r="AG126" s="3">
        <f>+Tabla145[[#This Row],[En puerto a facturar]]</f>
        <v>0</v>
      </c>
      <c r="AH126" s="3">
        <f>+Tabla145[[#This Row],[Facturación atraso]]</f>
        <v>0</v>
      </c>
      <c r="AI126" s="3">
        <f>+Tabla145[[#This Row],[Plan Irrestricto]]-Tabla145[[#This Row],[Puerto ]]-Tabla145[[#This Row],[Atraso]]</f>
        <v>0</v>
      </c>
      <c r="AJ12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26" s="3">
        <f>+Tabla145[[#This Row],[Facturación atraso]]</f>
        <v>0</v>
      </c>
      <c r="AL126" s="3">
        <f>+Tabla145[[#This Row],[Plan Ajustado]]-Tabla145[[#This Row],[ Atraso ajustado]]-Tabla145[[#This Row],[Puerto ]]</f>
        <v>0</v>
      </c>
      <c r="AM126" s="6">
        <f>IFERROR(VLOOKUP(Tabla145[[#This Row],[Llave]],[18]!Tabla14[#All],34,FALSE),0)</f>
        <v>0</v>
      </c>
      <c r="AN126" s="6">
        <f>IFERROR(VLOOKUP(Tabla145[[#This Row],[Llave]],[18]!Tabla14[#All],35,FALSE),0)</f>
        <v>0</v>
      </c>
      <c r="AO126" s="3" t="str">
        <f>IF(Tabla145[[#This Row],[Plan Ajustado]]&gt;Tabla145[[#This Row],[En puerto a facturar]],"Si","No")</f>
        <v>No</v>
      </c>
      <c r="AP12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26" s="3">
        <f>IF(Tabla145[[#This Row],[Necesidad]]&gt;=Tabla145[[#This Row],[Stock al día]],Tabla145[[#This Row],[Stock al día]],Tabla145[[#This Row],[Necesidad]])</f>
        <v>0</v>
      </c>
      <c r="AR126" s="3">
        <f>+Tabla145[[#This Row],[Necesidad]]-Tabla145[[#This Row],[Stock Plan]]</f>
        <v>0</v>
      </c>
      <c r="AS126" s="155">
        <f>IFERROR(VLOOKUP(Tabla145[[#This Row],[Oficina]],[19]Ponderación!$B$14:$E$21,4,FALSE),"")</f>
        <v>44786</v>
      </c>
      <c r="AT12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0.95632338440399156</v>
      </c>
      <c r="AU126" s="83">
        <f>IFERROR(VLOOKUP(Tabla145[[#This Row],[Llave]],[17]DELAY!$H:$W,16,FALSE),0)</f>
        <v>0</v>
      </c>
      <c r="AV12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26" s="5">
        <f>Tabla145[[#This Row],[Ajuste precio IC]]*Tabla145[[#This Row],[Plan Ajustado]]</f>
        <v>0</v>
      </c>
      <c r="AX126" s="30">
        <f>IFERROR(VLOOKUP(Tabla145[[#This Row],[Llave]],'[13]Ultimos precios facturados'!$A:$G,7,FALSE),0)</f>
        <v>0.95632338440399156</v>
      </c>
      <c r="AY12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26" s="30">
        <f>IFERROR(VLOOKUP(Tabla145[[#This Row],[Llave]],Hoja2!B:K,10,FALSE),0)</f>
        <v>0</v>
      </c>
      <c r="BA126" s="30">
        <f>IF(Tabla145[[#This Row],[Ajuste precio IC]]="",Tabla145[[#This Row],[Precio ponderado]],Tabla145[[#This Row],[Precio ponderado]])</f>
        <v>0</v>
      </c>
      <c r="BB126" s="82"/>
      <c r="BC126" s="82" t="str">
        <f>IF(AND(Tabla145[[#This Row],[Atraso a facturar]]&gt;0,Tabla145[[#This Row],[Precio Atraso]]=0),"Revisar","OK")</f>
        <v>OK</v>
      </c>
      <c r="BD126" s="82" t="str">
        <f>IF(AND(Tabla145[[#This Row],[Venta del mes]]&gt;0,Tabla145[[#This Row],[Precio venta nueva]]=0),"Revisar","OK")</f>
        <v>OK</v>
      </c>
      <c r="BE126" s="20">
        <f>IFERROR(VLOOKUP(Tabla145[[#This Row],[Llave]],'[5]Consolidación planes'!$A:$M,9,FALSE),0)</f>
        <v>48000</v>
      </c>
      <c r="BF126" s="20">
        <f>IFERROR(VLOOKUP(Tabla145[[#This Row],[Llave]],'[5]Consolidación planes'!$A:$M,10,FALSE),0)</f>
        <v>48000</v>
      </c>
      <c r="BG126" s="20">
        <f>IFERROR(VLOOKUP(Tabla145[[#This Row],[Llave]],'[5]Consolidación planes'!$A:$M,11,FALSE),0)</f>
        <v>24000</v>
      </c>
      <c r="BH126" s="20">
        <f>IFERROR(VLOOKUP(Tabla145[[#This Row],[Llave]],'[5]Consolidación planes'!$A:$M,12,FALSE),0)</f>
        <v>48000</v>
      </c>
      <c r="BI126" s="20">
        <f>IFERROR(VLOOKUP(Tabla145[[#This Row],[Llave]],'[5]Consolidación planes'!$A:$M,13,FALSE),0)</f>
        <v>48000</v>
      </c>
      <c r="BJ126" s="20">
        <f>IFERROR(VLOOKUP(Tabla145[[#This Row],[Llave]],'[13]Base ultimos planes'!$A:$M,13,FALSE),0)</f>
        <v>24000</v>
      </c>
      <c r="BK126" s="80">
        <f>IFERROR(VLOOKUP(Tabla145[[#This Row],[Llave]],'[13]Base ultimos planes'!$O:$AA,8,FALSE),0)</f>
        <v>40800</v>
      </c>
      <c r="BL126" s="20">
        <f>IFERROR(VLOOKUP(Tabla145[[#This Row],[Llave]],'[13]Base ultimos planes'!$O:$AA,9,FALSE),0)</f>
        <v>31200</v>
      </c>
      <c r="BM126" s="20">
        <f>IFERROR(VLOOKUP(Tabla145[[#This Row],[Llave]],'[13]Base ultimos planes'!$O:$AA,10,FALSE),0)</f>
        <v>19200</v>
      </c>
      <c r="BN126" s="20">
        <f>IFERROR(VLOOKUP(Tabla145[[#This Row],[Llave]],'[13]Base ultimos planes'!$O:$AA,11,FALSE),0)</f>
        <v>43458</v>
      </c>
      <c r="BO126" s="20">
        <f>IFERROR(VLOOKUP(Tabla145[[#This Row],[Llave]],'[13]Base ultimos planes'!$O:$AA,12,FALSE),0)</f>
        <v>38400</v>
      </c>
      <c r="BP126" s="20">
        <f>IFERROR(VLOOKUP(Tabla145[[#This Row],[Llave]],'[13]Base ultimos planes'!$O:$AA,13,FALSE),0)</f>
        <v>18796</v>
      </c>
      <c r="BQ126" s="20"/>
      <c r="BR126" s="20">
        <f>Tabla145[[#This Row],[ RV Producción mes n+1]]*(1-Tabla145[[#This Row],[% Uti. producción]])</f>
        <v>0</v>
      </c>
      <c r="BS126" s="20">
        <f>+Tabla145[[#This Row],[Producción disponible mes n-1]]+Tabla145[[#This Row],[Saldo Volumen disponible]]</f>
        <v>89804.7</v>
      </c>
      <c r="BT126" s="7">
        <f>IFERROR(VLOOKUP(Tabla145[[#This Row],[Llave]],'[21]RV n+2 y n+3'!$B:$F,4,FALSE),0)</f>
        <v>0</v>
      </c>
      <c r="BU126" s="7">
        <f>+Tabla145[[#This Row],[Asignación mes n+2]]*Tabla145[[#This Row],[% Uti. producción]]</f>
        <v>0</v>
      </c>
      <c r="BV126" s="7">
        <f>+Tabla145[[#This Row],[Ponderación mes n+2]]+Tabla145[[#This Row],[Saldo mes n-1]]</f>
        <v>89804.7</v>
      </c>
      <c r="BW126" s="7">
        <f>+Tabla145[[#This Row],[Asignación mes n+2]]-Tabla145[[#This Row],[Ponderación mes n+2]]</f>
        <v>0</v>
      </c>
      <c r="BX126" s="7">
        <f>IFERROR(VLOOKUP(Tabla145[[#This Row],[Llave]],'[21]RV n+2 y n+3'!$B:$F,5,FALSE),0)</f>
        <v>0</v>
      </c>
      <c r="BY126" s="7">
        <f>+Tabla145[[#This Row],[Asignación mes n+3]]*Tabla145[[#This Row],[% Uti. producción]]</f>
        <v>0</v>
      </c>
      <c r="BZ126" s="3">
        <f>+Tabla145[[#This Row],[Ponderación mes n+3]]+Tabla145[[#This Row],[Saldo mes n+2]]</f>
        <v>0</v>
      </c>
      <c r="CA126" s="3">
        <f>+Tabla145[[#This Row],[Asignación mes n+3]]-Tabla145[[#This Row],[Ponderación mes n+3]]</f>
        <v>0</v>
      </c>
      <c r="CB126" s="3">
        <f>+Tabla145[[#This Row],[Producción disponible mes n-1]]+Tabla145[[#This Row],[Producción disponible]]</f>
        <v>0</v>
      </c>
      <c r="CC126" s="3">
        <f>+Tabla145[[#This Row],[Saldo mes n+4]]-Tabla145[[#This Row],[ RV Producción mes n+1]]</f>
        <v>0</v>
      </c>
    </row>
    <row r="127" spans="1:81" ht="16" x14ac:dyDescent="0.2">
      <c r="A127">
        <v>2</v>
      </c>
      <c r="B127" t="str">
        <f>Tabla145[[#This Row],[Oficina]]&amp;Tabla145[[#This Row],[Material]]</f>
        <v>Agrosuper Shanghai1022291</v>
      </c>
      <c r="C127" t="s">
        <v>6</v>
      </c>
      <c r="D127" t="s">
        <v>140</v>
      </c>
      <c r="E127">
        <v>1022291</v>
      </c>
      <c r="F127" t="s">
        <v>163</v>
      </c>
      <c r="G127" t="s">
        <v>159</v>
      </c>
      <c r="H127" t="s">
        <v>160</v>
      </c>
      <c r="I127" s="7">
        <f>IFERROR(VLOOKUP(Tabla145[[#This Row],[Llave]],'[7]RV Producción'!$C:$G,5,FALSE),0)</f>
        <v>0</v>
      </c>
      <c r="J127" s="3">
        <f>IFERROR(IF(Tabla145[[#This Row],[Oficina]]=$I$7,VLOOKUP(Tabla145[[#This Row],[Llave]],'[7]Shangai (Tomas)'!$A:$F,6,FALSE),VLOOKUP(Tabla145[[#This Row],[Llave]],'[7]RV plan de ventas'!$A:$E,5,FALSE)),0)</f>
        <v>0</v>
      </c>
      <c r="K127" s="8">
        <f>IFERROR(VLOOKUP(Tabla145[[#This Row],[Oficina]],[15]Ponderación!$B$2:$E$9,4,FALSE),0)</f>
        <v>0.45719439678473212</v>
      </c>
      <c r="L127" s="7">
        <f>+Tabla145[[#This Row],[ RV Producción mes n+1]]*Tabla145[[#This Row],[% Uti. producción]]</f>
        <v>0</v>
      </c>
      <c r="M127" s="7">
        <f>IFERROR(VLOOKUP(Tabla145[[#This Row],[Material]],[16]Stock!$G:$K,5,FALSE),0)</f>
        <v>57824</v>
      </c>
      <c r="N127" s="7">
        <f>IFERROR(VLOOKUP(Tabla145[[#This Row],[Material]],[16]Produccion!$M:$N,2,FALSE),0)</f>
        <v>6866.16</v>
      </c>
      <c r="O127" s="7">
        <f>IFERROR(VLOOKUP(Tabla145[[#This Row],[Llave]],'[16]TD Conf-AP'!$I:$M,4,FALSE),0)</f>
        <v>0</v>
      </c>
      <c r="P127" s="14">
        <f>SUM(Tabla145[[#This Row],[Producción disponible]],Tabla145[[#This Row],[Stock al día]],(Tabla145[[#This Row],[Por producir mes N]]*0.9))-Tabla145[[#This Row],[Producción por despachar mes N]]</f>
        <v>64003.544000000002</v>
      </c>
      <c r="Q127" s="7">
        <f>IFERROR(VLOOKUP(Tabla145[[#This Row],[Llave]],[17]DELAY!$A:$D,4,FALSE),0)</f>
        <v>0</v>
      </c>
      <c r="R127" s="9">
        <v>24000</v>
      </c>
      <c r="S127" s="5">
        <f t="shared" si="6"/>
        <v>0</v>
      </c>
      <c r="T127" s="76"/>
      <c r="U127" s="5">
        <f>+Tabla145[[#This Row],[Atraso a facturar]]+Tabla145[[#This Row],[Ajuste atraso]]</f>
        <v>0</v>
      </c>
      <c r="V127" s="3">
        <f>+Tabla145[[#This Row],[Total disponible]]-Tabla145[[#This Row],[Facturación atraso]]</f>
        <v>64003.544000000002</v>
      </c>
      <c r="W127" s="6">
        <f>IFERROR(IF(AND(V127&gt;R127,J127&gt;=R127),ROUNDDOWN((Tabla145[[#This Row],[Producción para venta nueva]])/R127,0)*R127,0),0)</f>
        <v>0</v>
      </c>
      <c r="X127" s="76">
        <v>0</v>
      </c>
      <c r="Y127" s="6">
        <f>IF(Tabla145[[#This Row],[Venta del mes]]&gt;0,Tabla145[[#This Row],[Venta del mes]]+Tabla145[[#This Row],[Ajuste venta nueva]],0)</f>
        <v>0</v>
      </c>
      <c r="Z127" s="6">
        <f>+Tabla145[[#This Row],[Producción para venta nueva]]-Tabla145[[#This Row],[Facturación Venta nueva]]</f>
        <v>64003.544000000002</v>
      </c>
      <c r="AA127" s="6">
        <f>IF(AND(A127=1,Tabla145[[#This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7" s="6">
        <v>0</v>
      </c>
      <c r="AC127" s="6">
        <f>IF(Tabla145[[#This Row],[Disponible stock sin venta]]&gt;0,Tabla145[[#This Row],[Disponible stock sin venta]]+Tabla145[[#This Row],[Ajuste stock sin venta]],0)</f>
        <v>0</v>
      </c>
      <c r="AD127" s="3">
        <f>IFERROR(VLOOKUP(Tabla145[[#This Row],[Llave]],'[16]TD Puerto'!$A:$D,4,FALSE),0)</f>
        <v>0</v>
      </c>
      <c r="AE127" s="3">
        <v>0</v>
      </c>
      <c r="AF127" s="3">
        <f>+Tabla145[[#This Row],[Plan Irrestricto Inicial]]</f>
        <v>0</v>
      </c>
      <c r="AG127" s="3">
        <f>+Tabla145[[#This Row],[En puerto a facturar]]</f>
        <v>0</v>
      </c>
      <c r="AH127" s="3">
        <f>+Tabla145[[#This Row],[Facturación atraso]]</f>
        <v>0</v>
      </c>
      <c r="AI127" s="3">
        <f>+Tabla145[[#This Row],[Plan Irrestricto]]-Tabla145[[#This Row],[Puerto ]]-Tabla145[[#This Row],[Atraso]]</f>
        <v>0</v>
      </c>
      <c r="AJ12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27" s="3">
        <f>+Tabla145[[#This Row],[Facturación atraso]]</f>
        <v>0</v>
      </c>
      <c r="AL127" s="3">
        <f>+Tabla145[[#This Row],[Plan Ajustado]]-Tabla145[[#This Row],[ Atraso ajustado]]-Tabla145[[#This Row],[Puerto ]]</f>
        <v>0</v>
      </c>
      <c r="AM127" s="6">
        <f>IFERROR(VLOOKUP(Tabla145[[#This Row],[Llave]],[18]!Tabla14[#All],34,FALSE),0)</f>
        <v>0</v>
      </c>
      <c r="AN127" s="6">
        <f>IFERROR(VLOOKUP(Tabla145[[#This Row],[Llave]],[18]!Tabla14[#All],35,FALSE),0)</f>
        <v>0</v>
      </c>
      <c r="AO127" s="3" t="str">
        <f>IF(Tabla145[[#This Row],[Plan Ajustado]]&gt;Tabla145[[#This Row],[En puerto a facturar]],"Si","No")</f>
        <v>No</v>
      </c>
      <c r="AP12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27" s="3">
        <f>IF(Tabla145[[#This Row],[Necesidad]]&gt;=Tabla145[[#This Row],[Stock al día]],Tabla145[[#This Row],[Stock al día]],Tabla145[[#This Row],[Necesidad]])</f>
        <v>0</v>
      </c>
      <c r="AR127" s="3">
        <f>+Tabla145[[#This Row],[Necesidad]]-Tabla145[[#This Row],[Stock Plan]]</f>
        <v>0</v>
      </c>
      <c r="AS127" s="155">
        <f>IFERROR(VLOOKUP(Tabla145[[#This Row],[Oficina]],[19]Ponderación!$B$14:$E$21,4,FALSE),"")</f>
        <v>44786</v>
      </c>
      <c r="AT12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1.8560866560447178</v>
      </c>
      <c r="AU127" s="83">
        <f>IFERROR(VLOOKUP(Tabla145[[#This Row],[Llave]],[17]DELAY!$H:$W,16,FALSE),0)</f>
        <v>0</v>
      </c>
      <c r="AV12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27" s="5">
        <f>Tabla145[[#This Row],[Ajuste precio IC]]*Tabla145[[#This Row],[Plan Ajustado]]</f>
        <v>0</v>
      </c>
      <c r="AX127" s="30">
        <f>IFERROR(VLOOKUP(Tabla145[[#This Row],[Llave]],'[13]Ultimos precios facturados'!$A:$G,7,FALSE),0)</f>
        <v>1.8560866560447178</v>
      </c>
      <c r="AY12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27" s="30">
        <f>IFERROR(VLOOKUP(Tabla145[[#This Row],[Llave]],Hoja2!B:K,10,FALSE),0)</f>
        <v>0</v>
      </c>
      <c r="BA127" s="30">
        <f>IF(Tabla145[[#This Row],[Ajuste precio IC]]="",Tabla145[[#This Row],[Precio ponderado]],Tabla145[[#This Row],[Precio ponderado]])</f>
        <v>0</v>
      </c>
      <c r="BB127" s="82"/>
      <c r="BC127" s="82" t="str">
        <f>IF(AND(Tabla145[[#This Row],[Atraso a facturar]]&gt;0,Tabla145[[#This Row],[Precio Atraso]]=0),"Revisar","OK")</f>
        <v>OK</v>
      </c>
      <c r="BD127" s="82" t="str">
        <f>IF(AND(Tabla145[[#This Row],[Venta del mes]]&gt;0,Tabla145[[#This Row],[Precio venta nueva]]=0),"Revisar","OK")</f>
        <v>OK</v>
      </c>
      <c r="BE127" s="20">
        <f>IFERROR(VLOOKUP(Tabla145[[#This Row],[Llave]],'[5]Consolidación planes'!$A:$M,9,FALSE),0)</f>
        <v>48000</v>
      </c>
      <c r="BF127" s="20">
        <f>IFERROR(VLOOKUP(Tabla145[[#This Row],[Llave]],'[5]Consolidación planes'!$A:$M,10,FALSE),0)</f>
        <v>48000</v>
      </c>
      <c r="BG127" s="20">
        <f>IFERROR(VLOOKUP(Tabla145[[#This Row],[Llave]],'[5]Consolidación planes'!$A:$M,11,FALSE),0)</f>
        <v>48000</v>
      </c>
      <c r="BH127" s="20">
        <f>IFERROR(VLOOKUP(Tabla145[[#This Row],[Llave]],'[5]Consolidación planes'!$A:$M,12,FALSE),0)</f>
        <v>72000</v>
      </c>
      <c r="BI127" s="20">
        <f>IFERROR(VLOOKUP(Tabla145[[#This Row],[Llave]],'[5]Consolidación planes'!$A:$M,13,FALSE),0)</f>
        <v>119757</v>
      </c>
      <c r="BJ127" s="20">
        <f>IFERROR(VLOOKUP(Tabla145[[#This Row],[Llave]],'[13]Base ultimos planes'!$A:$M,13,FALSE),0)</f>
        <v>48000</v>
      </c>
      <c r="BK127" s="80">
        <f>IFERROR(VLOOKUP(Tabla145[[#This Row],[Llave]],'[13]Base ultimos planes'!$O:$AA,8,FALSE),0)</f>
        <v>77760</v>
      </c>
      <c r="BL127" s="20">
        <f>IFERROR(VLOOKUP(Tabla145[[#This Row],[Llave]],'[13]Base ultimos planes'!$O:$AA,9,FALSE),0)</f>
        <v>80400</v>
      </c>
      <c r="BM127" s="20">
        <f>IFERROR(VLOOKUP(Tabla145[[#This Row],[Llave]],'[13]Base ultimos planes'!$O:$AA,10,FALSE),0)</f>
        <v>82560</v>
      </c>
      <c r="BN127" s="20">
        <f>IFERROR(VLOOKUP(Tabla145[[#This Row],[Llave]],'[13]Base ultimos planes'!$O:$AA,11,FALSE),0)</f>
        <v>121706</v>
      </c>
      <c r="BO127" s="20">
        <f>IFERROR(VLOOKUP(Tabla145[[#This Row],[Llave]],'[13]Base ultimos planes'!$O:$AA,12,FALSE),0)</f>
        <v>206659</v>
      </c>
      <c r="BP127" s="20">
        <f>IFERROR(VLOOKUP(Tabla145[[#This Row],[Llave]],'[13]Base ultimos planes'!$O:$AA,13,FALSE),0)</f>
        <v>94133</v>
      </c>
      <c r="BQ127" s="20"/>
      <c r="BR127" s="20">
        <f>Tabla145[[#This Row],[ RV Producción mes n+1]]*(1-Tabla145[[#This Row],[% Uti. producción]])</f>
        <v>0</v>
      </c>
      <c r="BS127" s="20">
        <f>+Tabla145[[#This Row],[Producción disponible mes n-1]]+Tabla145[[#This Row],[Saldo Volumen disponible]]</f>
        <v>64003.544000000002</v>
      </c>
      <c r="BT127" s="7">
        <f>IFERROR(VLOOKUP(Tabla145[[#This Row],[Llave]],'[21]RV n+2 y n+3'!$B:$F,4,FALSE),0)</f>
        <v>0</v>
      </c>
      <c r="BU127" s="7">
        <f>+Tabla145[[#This Row],[Asignación mes n+2]]*Tabla145[[#This Row],[% Uti. producción]]</f>
        <v>0</v>
      </c>
      <c r="BV127" s="7">
        <f>+Tabla145[[#This Row],[Ponderación mes n+2]]+Tabla145[[#This Row],[Saldo mes n-1]]</f>
        <v>64003.544000000002</v>
      </c>
      <c r="BW127" s="7">
        <f>+Tabla145[[#This Row],[Asignación mes n+2]]-Tabla145[[#This Row],[Ponderación mes n+2]]</f>
        <v>0</v>
      </c>
      <c r="BX127" s="7">
        <f>IFERROR(VLOOKUP(Tabla145[[#This Row],[Llave]],'[21]RV n+2 y n+3'!$B:$F,5,FALSE),0)</f>
        <v>0</v>
      </c>
      <c r="BY127" s="7">
        <f>+Tabla145[[#This Row],[Asignación mes n+3]]*Tabla145[[#This Row],[% Uti. producción]]</f>
        <v>0</v>
      </c>
      <c r="BZ127" s="3">
        <f>+Tabla145[[#This Row],[Ponderación mes n+3]]+Tabla145[[#This Row],[Saldo mes n+2]]</f>
        <v>0</v>
      </c>
      <c r="CA127" s="3">
        <f>+Tabla145[[#This Row],[Asignación mes n+3]]-Tabla145[[#This Row],[Ponderación mes n+3]]</f>
        <v>0</v>
      </c>
      <c r="CB127" s="3">
        <f>+Tabla145[[#This Row],[Producción disponible mes n-1]]+Tabla145[[#This Row],[Producción disponible]]</f>
        <v>0</v>
      </c>
      <c r="CC127" s="3">
        <f>+Tabla145[[#This Row],[Saldo mes n+4]]-Tabla145[[#This Row],[ RV Producción mes n+1]]</f>
        <v>0</v>
      </c>
    </row>
    <row r="128" spans="1:81" ht="16" x14ac:dyDescent="0.2">
      <c r="A128">
        <v>2</v>
      </c>
      <c r="B128" t="str">
        <f>Tabla145[[#This Row],[Oficina]]&amp;Tabla145[[#This Row],[Material]]</f>
        <v>Agrosuper Shanghai1022373</v>
      </c>
      <c r="C128" t="s">
        <v>6</v>
      </c>
      <c r="D128" t="s">
        <v>140</v>
      </c>
      <c r="E128">
        <v>1022373</v>
      </c>
      <c r="F128" t="s">
        <v>168</v>
      </c>
      <c r="G128" t="s">
        <v>71</v>
      </c>
      <c r="H128" t="s">
        <v>72</v>
      </c>
      <c r="I128" s="7">
        <f>IFERROR(VLOOKUP(Tabla145[[#This Row],[Llave]],'[7]RV Producción'!$C:$G,5,FALSE),0)</f>
        <v>0</v>
      </c>
      <c r="J128" s="3">
        <f>IFERROR(IF(Tabla145[[#This Row],[Oficina]]=$I$7,VLOOKUP(Tabla145[[#This Row],[Llave]],'[7]Shangai (Tomas)'!$A:$F,6,FALSE),VLOOKUP(Tabla145[[#This Row],[Llave]],'[7]RV plan de ventas'!$A:$E,5,FALSE)),0)</f>
        <v>0</v>
      </c>
      <c r="K128" s="8">
        <f>IFERROR(VLOOKUP(Tabla145[[#This Row],[Oficina]],[15]Ponderación!$B$2:$E$9,4,FALSE),0)</f>
        <v>0.45719439678473212</v>
      </c>
      <c r="L128" s="7">
        <f>+Tabla145[[#This Row],[ RV Producción mes n+1]]*Tabla145[[#This Row],[% Uti. producción]]</f>
        <v>0</v>
      </c>
      <c r="M128" s="7">
        <f>IFERROR(VLOOKUP(Tabla145[[#This Row],[Material]],[16]Stock!$G:$K,5,FALSE),0)</f>
        <v>20451</v>
      </c>
      <c r="N128" s="7">
        <f>IFERROR(VLOOKUP(Tabla145[[#This Row],[Material]],[16]Produccion!$M:$N,2,FALSE),0)</f>
        <v>12338</v>
      </c>
      <c r="O128" s="7">
        <f>IFERROR(VLOOKUP(Tabla145[[#This Row],[Llave]],'[16]TD Conf-AP'!$I:$M,4,FALSE),0)</f>
        <v>0</v>
      </c>
      <c r="P128" s="14">
        <f>SUM(Tabla145[[#This Row],[Producción disponible]],Tabla145[[#This Row],[Stock al día]],(Tabla145[[#This Row],[Por producir mes N]]*0.9))-Tabla145[[#This Row],[Producción por despachar mes N]]</f>
        <v>31555.200000000001</v>
      </c>
      <c r="Q128" s="7">
        <f>IFERROR(VLOOKUP(Tabla145[[#This Row],[Llave]],[17]DELAY!$A:$D,4,FALSE),0)</f>
        <v>24000</v>
      </c>
      <c r="R128" s="9">
        <v>24000</v>
      </c>
      <c r="S128" s="5">
        <f t="shared" si="6"/>
        <v>24000</v>
      </c>
      <c r="T128" s="76"/>
      <c r="U128" s="5">
        <f>+Tabla145[[#This Row],[Atraso a facturar]]+Tabla145[[#This Row],[Ajuste atraso]]</f>
        <v>24000</v>
      </c>
      <c r="V128" s="3">
        <f>+Tabla145[[#This Row],[Total disponible]]-Tabla145[[#This Row],[Facturación atraso]]</f>
        <v>7555.2000000000007</v>
      </c>
      <c r="W128" s="6">
        <f>IFERROR(IF(AND(V128&gt;R128,J128&gt;=R128),ROUNDDOWN((Tabla145[[#This Row],[Producción para venta nueva]])/R128,0)*R128,0),0)</f>
        <v>0</v>
      </c>
      <c r="X128" s="76">
        <v>0</v>
      </c>
      <c r="Y128" s="6">
        <f>IF(Tabla145[[#This Row],[Venta del mes]]&gt;0,Tabla145[[#This Row],[Venta del mes]]+Tabla145[[#This Row],[Ajuste venta nueva]],0)</f>
        <v>0</v>
      </c>
      <c r="Z128" s="6">
        <f>+Tabla145[[#This Row],[Producción para venta nueva]]-Tabla145[[#This Row],[Facturación Venta nueva]]</f>
        <v>7555.2000000000007</v>
      </c>
      <c r="AA128" s="6">
        <f>IF(AND(A128=1,Tabla145[[#This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8" s="6">
        <v>0</v>
      </c>
      <c r="AC128" s="6">
        <f>IF(Tabla145[[#This Row],[Disponible stock sin venta]]&gt;0,Tabla145[[#This Row],[Disponible stock sin venta]]+Tabla145[[#This Row],[Ajuste stock sin venta]],0)</f>
        <v>0</v>
      </c>
      <c r="AD128" s="3">
        <f>IFERROR(VLOOKUP(Tabla145[[#This Row],[Llave]],'[16]TD Puerto'!$A:$D,4,FALSE),0)</f>
        <v>0</v>
      </c>
      <c r="AE128" s="3">
        <v>24000</v>
      </c>
      <c r="AF128" s="3">
        <f>+Tabla145[[#This Row],[Plan Irrestricto Inicial]]</f>
        <v>24000</v>
      </c>
      <c r="AG128" s="3">
        <f>+Tabla145[[#This Row],[En puerto a facturar]]</f>
        <v>0</v>
      </c>
      <c r="AH128" s="3">
        <f>+Tabla145[[#This Row],[Facturación atraso]]</f>
        <v>24000</v>
      </c>
      <c r="AI128" s="3">
        <f>+Tabla145[[#This Row],[Plan Irrestricto]]-Tabla145[[#This Row],[Puerto ]]-Tabla145[[#This Row],[Atraso]]</f>
        <v>0</v>
      </c>
      <c r="AJ128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128" s="3">
        <f>+Tabla145[[#This Row],[Facturación atraso]]</f>
        <v>24000</v>
      </c>
      <c r="AL128" s="3">
        <f>+Tabla145[[#This Row],[Plan Ajustado]]-Tabla145[[#This Row],[ Atraso ajustado]]-Tabla145[[#This Row],[Puerto ]]</f>
        <v>0</v>
      </c>
      <c r="AM128" s="6">
        <f>IFERROR(VLOOKUP(Tabla145[[#This Row],[Llave]],[18]!Tabla14[#All],34,FALSE),0)</f>
        <v>0</v>
      </c>
      <c r="AN128" s="6">
        <f>IFERROR(VLOOKUP(Tabla145[[#This Row],[Llave]],[18]!Tabla14[#All],35,FALSE),0)</f>
        <v>0</v>
      </c>
      <c r="AO128" s="3" t="str">
        <f>IF(Tabla145[[#This Row],[Plan Ajustado]]&gt;Tabla145[[#This Row],[En puerto a facturar]],"Si","No")</f>
        <v>Si</v>
      </c>
      <c r="AP128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128" s="3">
        <f>IF(Tabla145[[#This Row],[Necesidad]]&gt;=Tabla145[[#This Row],[Stock al día]],Tabla145[[#This Row],[Stock al día]],Tabla145[[#This Row],[Necesidad]])</f>
        <v>20451</v>
      </c>
      <c r="AR128" s="3">
        <f>+Tabla145[[#This Row],[Necesidad]]-Tabla145[[#This Row],[Stock Plan]]</f>
        <v>3549</v>
      </c>
      <c r="AS128" s="155">
        <f>IFERROR(VLOOKUP(Tabla145[[#This Row],[Oficina]],[19]Ponderación!$B$14:$E$21,4,FALSE),"")</f>
        <v>44786</v>
      </c>
      <c r="AT12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1.2425567117466458</v>
      </c>
      <c r="AU128" s="83">
        <f>IFERROR(VLOOKUP(Tabla145[[#This Row],[Llave]],[17]DELAY!$H:$W,16,FALSE),0)</f>
        <v>1.4497916666666699</v>
      </c>
      <c r="AV12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1.4497916666666699</v>
      </c>
      <c r="AW128" s="5">
        <f>Tabla145[[#This Row],[Ajuste precio IC]]*Tabla145[[#This Row],[Plan Ajustado]]</f>
        <v>34795.00000000008</v>
      </c>
      <c r="AX128" s="30">
        <f>IFERROR(VLOOKUP(Tabla145[[#This Row],[Llave]],'[13]Ultimos precios facturados'!$A:$G,7,FALSE),0)</f>
        <v>1.2425567117466458</v>
      </c>
      <c r="AY12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0.16678108368085398</v>
      </c>
      <c r="AZ128" s="30">
        <f>IFERROR(VLOOKUP(Tabla145[[#This Row],[Llave]],Hoja2!B:K,10,FALSE),0)</f>
        <v>1.4497916666666699</v>
      </c>
      <c r="BA128" s="30">
        <f>IF(Tabla145[[#This Row],[Ajuste precio IC]]="",Tabla145[[#This Row],[Precio ponderado]],Tabla145[[#This Row],[Precio ponderado]])</f>
        <v>1.4497916666666699</v>
      </c>
      <c r="BB128" s="82"/>
      <c r="BC128" s="82" t="str">
        <f>IF(AND(Tabla145[[#This Row],[Atraso a facturar]]&gt;0,Tabla145[[#This Row],[Precio Atraso]]=0),"Revisar","OK")</f>
        <v>OK</v>
      </c>
      <c r="BD128" s="82" t="str">
        <f>IF(AND(Tabla145[[#This Row],[Venta del mes]]&gt;0,Tabla145[[#This Row],[Precio venta nueva]]=0),"Revisar","OK")</f>
        <v>OK</v>
      </c>
      <c r="BE128" s="20">
        <f>IFERROR(VLOOKUP(Tabla145[[#This Row],[Llave]],'[5]Consolidación planes'!$A:$M,9,FALSE),0)</f>
        <v>96000</v>
      </c>
      <c r="BF128" s="20">
        <f>IFERROR(VLOOKUP(Tabla145[[#This Row],[Llave]],'[5]Consolidación planes'!$A:$M,10,FALSE),0)</f>
        <v>96000</v>
      </c>
      <c r="BG128" s="20">
        <f>IFERROR(VLOOKUP(Tabla145[[#This Row],[Llave]],'[5]Consolidación planes'!$A:$M,11,FALSE),0)</f>
        <v>48000</v>
      </c>
      <c r="BH128" s="20">
        <f>IFERROR(VLOOKUP(Tabla145[[#This Row],[Llave]],'[5]Consolidación planes'!$A:$M,12,FALSE),0)</f>
        <v>0</v>
      </c>
      <c r="BI128" s="20">
        <f>IFERROR(VLOOKUP(Tabla145[[#This Row],[Llave]],'[5]Consolidación planes'!$A:$M,13,FALSE),0)</f>
        <v>48000</v>
      </c>
      <c r="BJ128" s="20">
        <f>IFERROR(VLOOKUP(Tabla145[[#This Row],[Llave]],'[13]Base ultimos planes'!$A:$M,13,FALSE),0)</f>
        <v>23984</v>
      </c>
      <c r="BK128" s="80">
        <f>IFERROR(VLOOKUP(Tabla145[[#This Row],[Llave]],'[13]Base ultimos planes'!$O:$AA,8,FALSE),0)</f>
        <v>84000</v>
      </c>
      <c r="BL128" s="20">
        <f>IFERROR(VLOOKUP(Tabla145[[#This Row],[Llave]],'[13]Base ultimos planes'!$O:$AA,9,FALSE),0)</f>
        <v>81600</v>
      </c>
      <c r="BM128" s="20">
        <f>IFERROR(VLOOKUP(Tabla145[[#This Row],[Llave]],'[13]Base ultimos planes'!$O:$AA,10,FALSE),0)</f>
        <v>40800</v>
      </c>
      <c r="BN128" s="20">
        <f>IFERROR(VLOOKUP(Tabla145[[#This Row],[Llave]],'[13]Base ultimos planes'!$O:$AA,11,FALSE),0)</f>
        <v>0</v>
      </c>
      <c r="BO128" s="20">
        <f>IFERROR(VLOOKUP(Tabla145[[#This Row],[Llave]],'[13]Base ultimos planes'!$O:$AA,12,FALSE),0)</f>
        <v>50400</v>
      </c>
      <c r="BP128" s="20">
        <f>IFERROR(VLOOKUP(Tabla145[[#This Row],[Llave]],'[13]Base ultimos planes'!$O:$AA,13,FALSE),0)</f>
        <v>23025</v>
      </c>
      <c r="BQ128" s="20"/>
      <c r="BR128" s="20">
        <f>Tabla145[[#This Row],[ RV Producción mes n+1]]*(1-Tabla145[[#This Row],[% Uti. producción]])</f>
        <v>0</v>
      </c>
      <c r="BS128" s="20">
        <f>+Tabla145[[#This Row],[Producción disponible mes n-1]]+Tabla145[[#This Row],[Saldo Volumen disponible]]</f>
        <v>7555.2000000000007</v>
      </c>
      <c r="BT128" s="7">
        <f>IFERROR(VLOOKUP(Tabla145[[#This Row],[Llave]],'[21]RV n+2 y n+3'!$B:$F,4,FALSE),0)</f>
        <v>173548.86</v>
      </c>
      <c r="BU128" s="7">
        <f>+Tabla145[[#This Row],[Asignación mes n+2]]*Tabla145[[#This Row],[% Uti. producción]]</f>
        <v>79345.566360377925</v>
      </c>
      <c r="BV128" s="7">
        <f>+Tabla145[[#This Row],[Ponderación mes n+2]]+Tabla145[[#This Row],[Saldo mes n-1]]</f>
        <v>86900.766360377922</v>
      </c>
      <c r="BW128" s="7">
        <f>+Tabla145[[#This Row],[Asignación mes n+2]]-Tabla145[[#This Row],[Ponderación mes n+2]]</f>
        <v>94203.293639622061</v>
      </c>
      <c r="BX128" s="7">
        <f>IFERROR(VLOOKUP(Tabla145[[#This Row],[Llave]],'[21]RV n+2 y n+3'!$B:$F,5,FALSE),0)</f>
        <v>153030.52000000002</v>
      </c>
      <c r="BY128" s="7">
        <f>+Tabla145[[#This Row],[Asignación mes n+3]]*Tabla145[[#This Row],[% Uti. producción]]</f>
        <v>69964.696281053897</v>
      </c>
      <c r="BZ128" s="3">
        <f>+Tabla145[[#This Row],[Ponderación mes n+3]]+Tabla145[[#This Row],[Saldo mes n+2]]</f>
        <v>164167.98992067596</v>
      </c>
      <c r="CA128" s="3">
        <f>+Tabla145[[#This Row],[Asignación mes n+3]]-Tabla145[[#This Row],[Ponderación mes n+3]]</f>
        <v>83065.823718946122</v>
      </c>
      <c r="CB128" s="3">
        <f>+Tabla145[[#This Row],[Producción disponible mes n-1]]+Tabla145[[#This Row],[Producción disponible]]</f>
        <v>0</v>
      </c>
      <c r="CC128" s="3">
        <f>+Tabla145[[#This Row],[Saldo mes n+4]]-Tabla145[[#This Row],[ RV Producción mes n+1]]</f>
        <v>0</v>
      </c>
    </row>
    <row r="129" spans="1:81" ht="16" x14ac:dyDescent="0.2">
      <c r="A129">
        <v>2</v>
      </c>
      <c r="B129" t="str">
        <f>Tabla145[[#This Row],[Oficina]]&amp;Tabla145[[#This Row],[Material]]</f>
        <v>Agrosuper Shanghai1022378</v>
      </c>
      <c r="C129" t="s">
        <v>6</v>
      </c>
      <c r="D129" t="s">
        <v>140</v>
      </c>
      <c r="E129">
        <v>1022378</v>
      </c>
      <c r="F129" t="s">
        <v>152</v>
      </c>
      <c r="G129" t="s">
        <v>92</v>
      </c>
      <c r="H129" t="s">
        <v>93</v>
      </c>
      <c r="I129" s="7">
        <f>IFERROR(VLOOKUP(Tabla145[[#This Row],[Llave]],'[7]RV Producción'!$C:$G,5,FALSE),0)</f>
        <v>0</v>
      </c>
      <c r="J129" s="3">
        <f>IFERROR(IF(Tabla145[[#This Row],[Oficina]]=$I$7,VLOOKUP(Tabla145[[#This Row],[Llave]],'[7]Shangai (Tomas)'!$A:$F,6,FALSE),VLOOKUP(Tabla145[[#This Row],[Llave]],'[7]RV plan de ventas'!$A:$E,5,FALSE)),0)</f>
        <v>0</v>
      </c>
      <c r="K129" s="8">
        <f>IFERROR(VLOOKUP(Tabla145[[#This Row],[Oficina]],[15]Ponderación!$B$2:$E$9,4,FALSE),0)</f>
        <v>0.45719439678473212</v>
      </c>
      <c r="L129" s="7">
        <f>+Tabla145[[#This Row],[ RV Producción mes n+1]]*Tabla145[[#This Row],[% Uti. producción]]</f>
        <v>0</v>
      </c>
      <c r="M129" s="7">
        <f>IFERROR(VLOOKUP(Tabla145[[#This Row],[Material]],[16]Stock!$G:$K,5,FALSE),0)</f>
        <v>99340</v>
      </c>
      <c r="N129" s="7">
        <f>IFERROR(VLOOKUP(Tabla145[[#This Row],[Material]],[16]Produccion!$M:$N,2,FALSE),0)</f>
        <v>26134</v>
      </c>
      <c r="O129" s="7">
        <f>IFERROR(VLOOKUP(Tabla145[[#This Row],[Llave]],'[16]TD Conf-AP'!$I:$M,4,FALSE),0)</f>
        <v>0</v>
      </c>
      <c r="P129" s="14">
        <f>SUM(Tabla145[[#This Row],[Producción disponible]],Tabla145[[#This Row],[Stock al día]],(Tabla145[[#This Row],[Por producir mes N]]*0.9))-Tabla145[[#This Row],[Producción por despachar mes N]]</f>
        <v>122860.6</v>
      </c>
      <c r="Q129" s="7">
        <f>IFERROR(VLOOKUP(Tabla145[[#This Row],[Llave]],[17]DELAY!$A:$D,4,FALSE),0)</f>
        <v>0</v>
      </c>
      <c r="R129" s="9">
        <v>24000</v>
      </c>
      <c r="S129" s="5">
        <f t="shared" si="6"/>
        <v>0</v>
      </c>
      <c r="T129" s="76"/>
      <c r="U129" s="5">
        <f>+Tabla145[[#This Row],[Atraso a facturar]]+Tabla145[[#This Row],[Ajuste atraso]]</f>
        <v>0</v>
      </c>
      <c r="V129" s="3">
        <f>+Tabla145[[#This Row],[Total disponible]]-Tabla145[[#This Row],[Facturación atraso]]</f>
        <v>122860.6</v>
      </c>
      <c r="W129" s="6">
        <f>IFERROR(IF(AND(V129&gt;R129,J129&gt;=R129),ROUNDDOWN((Tabla145[[#This Row],[Producción para venta nueva]])/R129,0)*R129,0),0)</f>
        <v>0</v>
      </c>
      <c r="X129" s="76">
        <v>0</v>
      </c>
      <c r="Y129" s="6">
        <f>IF(Tabla145[[#This Row],[Venta del mes]]&gt;0,Tabla145[[#This Row],[Venta del mes]]+Tabla145[[#This Row],[Ajuste venta nueva]],0)</f>
        <v>0</v>
      </c>
      <c r="Z129" s="6">
        <f>+Tabla145[[#This Row],[Producción para venta nueva]]-Tabla145[[#This Row],[Facturación Venta nueva]]</f>
        <v>122860.6</v>
      </c>
      <c r="AA129" s="6">
        <f>IF(AND(A129=1,Tabla145[[#This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29" s="6">
        <v>0</v>
      </c>
      <c r="AC129" s="6">
        <f>IF(Tabla145[[#This Row],[Disponible stock sin venta]]&gt;0,Tabla145[[#This Row],[Disponible stock sin venta]]+Tabla145[[#This Row],[Ajuste stock sin venta]],0)</f>
        <v>0</v>
      </c>
      <c r="AD129" s="3">
        <f>IFERROR(VLOOKUP(Tabla145[[#This Row],[Llave]],'[16]TD Puerto'!$A:$D,4,FALSE),0)</f>
        <v>0</v>
      </c>
      <c r="AE129" s="3">
        <v>0</v>
      </c>
      <c r="AF129" s="3">
        <f>+Tabla145[[#This Row],[Plan Irrestricto Inicial]]</f>
        <v>0</v>
      </c>
      <c r="AG129" s="3">
        <f>+Tabla145[[#This Row],[En puerto a facturar]]</f>
        <v>0</v>
      </c>
      <c r="AH129" s="3">
        <f>+Tabla145[[#This Row],[Facturación atraso]]</f>
        <v>0</v>
      </c>
      <c r="AI129" s="3">
        <f>+Tabla145[[#This Row],[Plan Irrestricto]]-Tabla145[[#This Row],[Puerto ]]-Tabla145[[#This Row],[Atraso]]</f>
        <v>0</v>
      </c>
      <c r="AJ12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29" s="3">
        <f>+Tabla145[[#This Row],[Facturación atraso]]</f>
        <v>0</v>
      </c>
      <c r="AL129" s="3">
        <f>+Tabla145[[#This Row],[Plan Ajustado]]-Tabla145[[#This Row],[ Atraso ajustado]]-Tabla145[[#This Row],[Puerto ]]</f>
        <v>0</v>
      </c>
      <c r="AM129" s="6">
        <f>IFERROR(VLOOKUP(Tabla145[[#This Row],[Llave]],[18]!Tabla14[#All],34,FALSE),0)</f>
        <v>0</v>
      </c>
      <c r="AN129" s="6">
        <f>IFERROR(VLOOKUP(Tabla145[[#This Row],[Llave]],[18]!Tabla14[#All],35,FALSE),0)</f>
        <v>0</v>
      </c>
      <c r="AO129" s="3" t="str">
        <f>IF(Tabla145[[#This Row],[Plan Ajustado]]&gt;Tabla145[[#This Row],[En puerto a facturar]],"Si","No")</f>
        <v>No</v>
      </c>
      <c r="AP12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29" s="3">
        <f>IF(Tabla145[[#This Row],[Necesidad]]&gt;=Tabla145[[#This Row],[Stock al día]],Tabla145[[#This Row],[Stock al día]],Tabla145[[#This Row],[Necesidad]])</f>
        <v>0</v>
      </c>
      <c r="AR129" s="3">
        <f>+Tabla145[[#This Row],[Necesidad]]-Tabla145[[#This Row],[Stock Plan]]</f>
        <v>0</v>
      </c>
      <c r="AS129" s="155">
        <f>IFERROR(VLOOKUP(Tabla145[[#This Row],[Oficina]],[19]Ponderación!$B$14:$E$21,4,FALSE),"")</f>
        <v>44786</v>
      </c>
      <c r="AT12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1.9728670264988897</v>
      </c>
      <c r="AU129" s="83">
        <f>IFERROR(VLOOKUP(Tabla145[[#This Row],[Llave]],[17]DELAY!$H:$W,16,FALSE),0)</f>
        <v>0</v>
      </c>
      <c r="AV12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29" s="5">
        <f>Tabla145[[#This Row],[Ajuste precio IC]]*Tabla145[[#This Row],[Plan Ajustado]]</f>
        <v>0</v>
      </c>
      <c r="AX129" s="30">
        <f>IFERROR(VLOOKUP(Tabla145[[#This Row],[Llave]],'[13]Ultimos precios facturados'!$A:$G,7,FALSE),0)</f>
        <v>1.9728670264988897</v>
      </c>
      <c r="AY12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29" s="30">
        <f>IFERROR(VLOOKUP(Tabla145[[#This Row],[Llave]],Hoja2!B:K,10,FALSE),0)</f>
        <v>0</v>
      </c>
      <c r="BA129" s="30">
        <f>IF(Tabla145[[#This Row],[Ajuste precio IC]]="",Tabla145[[#This Row],[Precio ponderado]],Tabla145[[#This Row],[Precio ponderado]])</f>
        <v>0</v>
      </c>
      <c r="BB129" s="82"/>
      <c r="BC129" s="82" t="str">
        <f>IF(AND(Tabla145[[#This Row],[Atraso a facturar]]&gt;0,Tabla145[[#This Row],[Precio Atraso]]=0),"Revisar","OK")</f>
        <v>OK</v>
      </c>
      <c r="BD129" s="82" t="str">
        <f>IF(AND(Tabla145[[#This Row],[Venta del mes]]&gt;0,Tabla145[[#This Row],[Precio venta nueva]]=0),"Revisar","OK")</f>
        <v>OK</v>
      </c>
      <c r="BE129" s="20">
        <f>IFERROR(VLOOKUP(Tabla145[[#This Row],[Llave]],'[5]Consolidación planes'!$A:$M,9,FALSE),0)</f>
        <v>72000</v>
      </c>
      <c r="BF129" s="20">
        <f>IFERROR(VLOOKUP(Tabla145[[#This Row],[Llave]],'[5]Consolidación planes'!$A:$M,10,FALSE),0)</f>
        <v>72000</v>
      </c>
      <c r="BG129" s="20">
        <f>IFERROR(VLOOKUP(Tabla145[[#This Row],[Llave]],'[5]Consolidación planes'!$A:$M,11,FALSE),0)</f>
        <v>96000</v>
      </c>
      <c r="BH129" s="20">
        <f>IFERROR(VLOOKUP(Tabla145[[#This Row],[Llave]],'[5]Consolidación planes'!$A:$M,12,FALSE),0)</f>
        <v>96000</v>
      </c>
      <c r="BI129" s="20">
        <f>IFERROR(VLOOKUP(Tabla145[[#This Row],[Llave]],'[5]Consolidación planes'!$A:$M,13,FALSE),0)</f>
        <v>96000</v>
      </c>
      <c r="BJ129" s="20">
        <f>IFERROR(VLOOKUP(Tabla145[[#This Row],[Llave]],'[13]Base ultimos planes'!$A:$M,13,FALSE),0)</f>
        <v>72290</v>
      </c>
      <c r="BK129" s="80">
        <f>IFERROR(VLOOKUP(Tabla145[[#This Row],[Llave]],'[13]Base ultimos planes'!$O:$AA,8,FALSE),0)</f>
        <v>168000</v>
      </c>
      <c r="BL129" s="20">
        <f>IFERROR(VLOOKUP(Tabla145[[#This Row],[Llave]],'[13]Base ultimos planes'!$O:$AA,9,FALSE),0)</f>
        <v>151200</v>
      </c>
      <c r="BM129" s="20">
        <f>IFERROR(VLOOKUP(Tabla145[[#This Row],[Llave]],'[13]Base ultimos planes'!$O:$AA,10,FALSE),0)</f>
        <v>187200</v>
      </c>
      <c r="BN129" s="20">
        <f>IFERROR(VLOOKUP(Tabla145[[#This Row],[Llave]],'[13]Base ultimos planes'!$O:$AA,11,FALSE),0)</f>
        <v>179840</v>
      </c>
      <c r="BO129" s="20">
        <f>IFERROR(VLOOKUP(Tabla145[[#This Row],[Llave]],'[13]Base ultimos planes'!$O:$AA,12,FALSE),0)</f>
        <v>177168</v>
      </c>
      <c r="BP129" s="20">
        <f>IFERROR(VLOOKUP(Tabla145[[#This Row],[Llave]],'[13]Base ultimos planes'!$O:$AA,13,FALSE),0)</f>
        <v>142066</v>
      </c>
      <c r="BQ129" s="20"/>
      <c r="BR129" s="20">
        <f>Tabla145[[#This Row],[ RV Producción mes n+1]]*(1-Tabla145[[#This Row],[% Uti. producción]])</f>
        <v>0</v>
      </c>
      <c r="BS129" s="20">
        <f>+Tabla145[[#This Row],[Producción disponible mes n-1]]+Tabla145[[#This Row],[Saldo Volumen disponible]]</f>
        <v>122860.6</v>
      </c>
      <c r="BT129" s="7">
        <f>IFERROR(VLOOKUP(Tabla145[[#This Row],[Llave]],'[21]RV n+2 y n+3'!$B:$F,4,FALSE),0)</f>
        <v>0</v>
      </c>
      <c r="BU129" s="7">
        <f>+Tabla145[[#This Row],[Asignación mes n+2]]*Tabla145[[#This Row],[% Uti. producción]]</f>
        <v>0</v>
      </c>
      <c r="BV129" s="7">
        <f>+Tabla145[[#This Row],[Ponderación mes n+2]]+Tabla145[[#This Row],[Saldo mes n-1]]</f>
        <v>122860.6</v>
      </c>
      <c r="BW129" s="7">
        <f>+Tabla145[[#This Row],[Asignación mes n+2]]-Tabla145[[#This Row],[Ponderación mes n+2]]</f>
        <v>0</v>
      </c>
      <c r="BX129" s="7">
        <f>IFERROR(VLOOKUP(Tabla145[[#This Row],[Llave]],'[21]RV n+2 y n+3'!$B:$F,5,FALSE),0)</f>
        <v>0</v>
      </c>
      <c r="BY129" s="7">
        <f>+Tabla145[[#This Row],[Asignación mes n+3]]*Tabla145[[#This Row],[% Uti. producción]]</f>
        <v>0</v>
      </c>
      <c r="BZ129" s="3">
        <f>+Tabla145[[#This Row],[Ponderación mes n+3]]+Tabla145[[#This Row],[Saldo mes n+2]]</f>
        <v>0</v>
      </c>
      <c r="CA129" s="3">
        <f>+Tabla145[[#This Row],[Asignación mes n+3]]-Tabla145[[#This Row],[Ponderación mes n+3]]</f>
        <v>0</v>
      </c>
      <c r="CB129" s="3">
        <f>+Tabla145[[#This Row],[Producción disponible mes n-1]]+Tabla145[[#This Row],[Producción disponible]]</f>
        <v>0</v>
      </c>
      <c r="CC129" s="3">
        <f>+Tabla145[[#This Row],[Saldo mes n+4]]-Tabla145[[#This Row],[ RV Producción mes n+1]]</f>
        <v>0</v>
      </c>
    </row>
    <row r="130" spans="1:81" ht="16" x14ac:dyDescent="0.2">
      <c r="A130">
        <v>2</v>
      </c>
      <c r="B130" t="str">
        <f>Tabla145[[#This Row],[Oficina]]&amp;Tabla145[[#This Row],[Material]]</f>
        <v>Agrosuper Shanghai1022379</v>
      </c>
      <c r="C130" t="s">
        <v>6</v>
      </c>
      <c r="D130" t="s">
        <v>140</v>
      </c>
      <c r="E130">
        <v>1022379</v>
      </c>
      <c r="F130" t="s">
        <v>158</v>
      </c>
      <c r="G130" t="s">
        <v>53</v>
      </c>
      <c r="H130" t="s">
        <v>54</v>
      </c>
      <c r="I130" s="7">
        <f>IFERROR(VLOOKUP(Tabla145[[#This Row],[Llave]],'[7]RV Producción'!$C:$G,5,FALSE),0)</f>
        <v>0</v>
      </c>
      <c r="J130" s="3">
        <f>IFERROR(IF(Tabla145[[#This Row],[Oficina]]=$I$7,VLOOKUP(Tabla145[[#This Row],[Llave]],'[7]Shangai (Tomas)'!$A:$F,6,FALSE),VLOOKUP(Tabla145[[#This Row],[Llave]],'[7]RV plan de ventas'!$A:$E,5,FALSE)),0)</f>
        <v>0</v>
      </c>
      <c r="K130" s="8">
        <f>IFERROR(VLOOKUP(Tabla145[[#This Row],[Oficina]],[15]Ponderación!$B$2:$E$9,4,FALSE),0)</f>
        <v>0.45719439678473212</v>
      </c>
      <c r="L130" s="7">
        <f>+Tabla145[[#This Row],[ RV Producción mes n+1]]*Tabla145[[#This Row],[% Uti. producción]]</f>
        <v>0</v>
      </c>
      <c r="M130" s="7">
        <f>IFERROR(VLOOKUP(Tabla145[[#This Row],[Material]],[16]Stock!$G:$K,5,FALSE),0)</f>
        <v>156618</v>
      </c>
      <c r="N130" s="7">
        <f>IFERROR(VLOOKUP(Tabla145[[#This Row],[Material]],[16]Produccion!$M:$N,2,FALSE),0)</f>
        <v>107143.35167548108</v>
      </c>
      <c r="O130" s="7">
        <f>IFERROR(VLOOKUP(Tabla145[[#This Row],[Llave]],'[16]TD Conf-AP'!$I:$M,4,FALSE),0)</f>
        <v>0</v>
      </c>
      <c r="P130" s="14">
        <f>SUM(Tabla145[[#This Row],[Producción disponible]],Tabla145[[#This Row],[Stock al día]],(Tabla145[[#This Row],[Por producir mes N]]*0.9))-Tabla145[[#This Row],[Producción por despachar mes N]]</f>
        <v>253047.01650793297</v>
      </c>
      <c r="Q130" s="7">
        <f>IFERROR(VLOOKUP(Tabla145[[#This Row],[Llave]],[17]DELAY!$A:$D,4,FALSE),0)</f>
        <v>48000</v>
      </c>
      <c r="R130" s="9">
        <v>24000</v>
      </c>
      <c r="S130" s="5">
        <f t="shared" si="6"/>
        <v>48000</v>
      </c>
      <c r="T130" s="76"/>
      <c r="U130" s="5">
        <f>+Tabla145[[#This Row],[Atraso a facturar]]+Tabla145[[#This Row],[Ajuste atraso]]</f>
        <v>48000</v>
      </c>
      <c r="V130" s="3">
        <f>+Tabla145[[#This Row],[Total disponible]]-Tabla145[[#This Row],[Facturación atraso]]</f>
        <v>205047.01650793297</v>
      </c>
      <c r="W130" s="6">
        <f>IFERROR(IF(AND(V130&gt;R130,J130&gt;=R130),ROUNDDOWN((Tabla145[[#This Row],[Producción para venta nueva]])/R130,0)*R130,0),0)</f>
        <v>0</v>
      </c>
      <c r="X130" s="76">
        <v>0</v>
      </c>
      <c r="Y130" s="6">
        <f>IF(Tabla145[[#This Row],[Venta del mes]]&gt;0,Tabla145[[#This Row],[Venta del mes]]+Tabla145[[#This Row],[Ajuste venta nueva]],0)</f>
        <v>0</v>
      </c>
      <c r="Z130" s="6">
        <f>+Tabla145[[#This Row],[Producción para venta nueva]]-Tabla145[[#This Row],[Facturación Venta nueva]]</f>
        <v>205047.01650793297</v>
      </c>
      <c r="AA130" s="6">
        <f>IF(AND(A130=1,Tabla145[[#This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0" s="6">
        <v>0</v>
      </c>
      <c r="AC130" s="6">
        <f>IF(Tabla145[[#This Row],[Disponible stock sin venta]]&gt;0,Tabla145[[#This Row],[Disponible stock sin venta]]+Tabla145[[#This Row],[Ajuste stock sin venta]],0)</f>
        <v>0</v>
      </c>
      <c r="AD130" s="3">
        <f>IFERROR(VLOOKUP(Tabla145[[#This Row],[Llave]],'[16]TD Puerto'!$A:$D,4,FALSE),0)</f>
        <v>0</v>
      </c>
      <c r="AE130" s="3">
        <v>48000</v>
      </c>
      <c r="AF130" s="3">
        <f>+Tabla145[[#This Row],[Plan Irrestricto Inicial]]</f>
        <v>48000</v>
      </c>
      <c r="AG130" s="3">
        <f>+Tabla145[[#This Row],[En puerto a facturar]]</f>
        <v>0</v>
      </c>
      <c r="AH130" s="3">
        <f>+Tabla145[[#This Row],[Facturación atraso]]</f>
        <v>48000</v>
      </c>
      <c r="AI130" s="3">
        <f>+Tabla145[[#This Row],[Plan Irrestricto]]-Tabla145[[#This Row],[Puerto ]]-Tabla145[[#This Row],[Atraso]]</f>
        <v>0</v>
      </c>
      <c r="AJ130" s="3">
        <f>IF(Tabla145[[#This Row],[Plan Irrestricto]]&gt;0,SUM(Tabla145[[#This Row],[Facturación atraso]],Tabla145[[#This Row],[Facturación Venta nueva]],Tabla145[[#This Row],[Facturación stock]],Tabla145[[#This Row],[En puerto a facturar]]),0)</f>
        <v>48000</v>
      </c>
      <c r="AK130" s="3">
        <f>+Tabla145[[#This Row],[Facturación atraso]]</f>
        <v>48000</v>
      </c>
      <c r="AL130" s="3">
        <f>+Tabla145[[#This Row],[Plan Ajustado]]-Tabla145[[#This Row],[ Atraso ajustado]]-Tabla145[[#This Row],[Puerto ]]</f>
        <v>0</v>
      </c>
      <c r="AM130" s="6">
        <f>IFERROR(VLOOKUP(Tabla145[[#This Row],[Llave]],[18]!Tabla14[#All],34,FALSE),0)</f>
        <v>0</v>
      </c>
      <c r="AN130" s="6">
        <f>IFERROR(VLOOKUP(Tabla145[[#This Row],[Llave]],[18]!Tabla14[#All],35,FALSE),0)</f>
        <v>0</v>
      </c>
      <c r="AO130" s="3" t="str">
        <f>IF(Tabla145[[#This Row],[Plan Ajustado]]&gt;Tabla145[[#This Row],[En puerto a facturar]],"Si","No")</f>
        <v>Si</v>
      </c>
      <c r="AP130" s="3">
        <f>IF(AND(Tabla145[[#This Row],[Plan Ajustado]]&gt;0,Tabla145[[#This Row],[Plan Ajustado]]&gt;Tabla145[[#This Row],[En puerto a facturar]]),(Tabla145[[#This Row],[Plan Ajustado]]-Tabla145[[#This Row],[En puerto a facturar]]),0)</f>
        <v>48000</v>
      </c>
      <c r="AQ130" s="3">
        <f>IF(Tabla145[[#This Row],[Necesidad]]&gt;=Tabla145[[#This Row],[Stock al día]],Tabla145[[#This Row],[Stock al día]],Tabla145[[#This Row],[Necesidad]])</f>
        <v>48000</v>
      </c>
      <c r="AR130" s="3">
        <f>+Tabla145[[#This Row],[Necesidad]]-Tabla145[[#This Row],[Stock Plan]]</f>
        <v>0</v>
      </c>
      <c r="AS130" s="155">
        <f>IFERROR(VLOOKUP(Tabla145[[#This Row],[Oficina]],[19]Ponderación!$B$14:$E$21,4,FALSE),"")</f>
        <v>44786</v>
      </c>
      <c r="AT13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2.4256048984242096</v>
      </c>
      <c r="AU130" s="83">
        <f>IFERROR(VLOOKUP(Tabla145[[#This Row],[Llave]],[17]DELAY!$H:$W,16,FALSE),0)</f>
        <v>2.4993472222222199</v>
      </c>
      <c r="AV13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2.4993472222222199</v>
      </c>
      <c r="AW130" s="5">
        <f>Tabla145[[#This Row],[Ajuste precio IC]]*Tabla145[[#This Row],[Plan Ajustado]]</f>
        <v>119968.66666666656</v>
      </c>
      <c r="AX130" s="30">
        <f>IFERROR(VLOOKUP(Tabla145[[#This Row],[Llave]],'[13]Ultimos precios facturados'!$A:$G,7,FALSE),0)</f>
        <v>2.4256048984242096</v>
      </c>
      <c r="AY13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3.0401622228713739E-2</v>
      </c>
      <c r="AZ130" s="30">
        <f>IFERROR(VLOOKUP(Tabla145[[#This Row],[Llave]],Hoja2!B:K,10,FALSE),0)</f>
        <v>2.4993472222222199</v>
      </c>
      <c r="BA130" s="30">
        <f>IF(Tabla145[[#This Row],[Ajuste precio IC]]="",Tabla145[[#This Row],[Precio ponderado]],Tabla145[[#This Row],[Precio ponderado]])</f>
        <v>2.4993472222222199</v>
      </c>
      <c r="BB130" s="82"/>
      <c r="BC130" s="82" t="str">
        <f>IF(AND(Tabla145[[#This Row],[Atraso a facturar]]&gt;0,Tabla145[[#This Row],[Precio Atraso]]=0),"Revisar","OK")</f>
        <v>OK</v>
      </c>
      <c r="BD130" s="82" t="str">
        <f>IF(AND(Tabla145[[#This Row],[Venta del mes]]&gt;0,Tabla145[[#This Row],[Precio venta nueva]]=0),"Revisar","OK")</f>
        <v>OK</v>
      </c>
      <c r="BE130" s="20">
        <f>IFERROR(VLOOKUP(Tabla145[[#This Row],[Llave]],'[5]Consolidación planes'!$A:$M,9,FALSE),0)</f>
        <v>48000</v>
      </c>
      <c r="BF130" s="20">
        <f>IFERROR(VLOOKUP(Tabla145[[#This Row],[Llave]],'[5]Consolidación planes'!$A:$M,10,FALSE),0)</f>
        <v>0</v>
      </c>
      <c r="BG130" s="20">
        <f>IFERROR(VLOOKUP(Tabla145[[#This Row],[Llave]],'[5]Consolidación planes'!$A:$M,11,FALSE),0)</f>
        <v>0</v>
      </c>
      <c r="BH130" s="20">
        <f>IFERROR(VLOOKUP(Tabla145[[#This Row],[Llave]],'[5]Consolidación planes'!$A:$M,12,FALSE),0)</f>
        <v>0</v>
      </c>
      <c r="BI130" s="20">
        <f>IFERROR(VLOOKUP(Tabla145[[#This Row],[Llave]],'[5]Consolidación planes'!$A:$M,13,FALSE),0)</f>
        <v>0</v>
      </c>
      <c r="BJ130" s="20">
        <f>IFERROR(VLOOKUP(Tabla145[[#This Row],[Llave]],'[13]Base ultimos planes'!$A:$M,13,FALSE),0)</f>
        <v>0</v>
      </c>
      <c r="BK130" s="80">
        <f>IFERROR(VLOOKUP(Tabla145[[#This Row],[Llave]],'[13]Base ultimos planes'!$O:$AA,8,FALSE),0)</f>
        <v>79200</v>
      </c>
      <c r="BL130" s="20">
        <f>IFERROR(VLOOKUP(Tabla145[[#This Row],[Llave]],'[13]Base ultimos planes'!$O:$AA,9,FALSE),0)</f>
        <v>0</v>
      </c>
      <c r="BM130" s="20">
        <f>IFERROR(VLOOKUP(Tabla145[[#This Row],[Llave]],'[13]Base ultimos planes'!$O:$AA,10,FALSE),0)</f>
        <v>0</v>
      </c>
      <c r="BN130" s="20">
        <f>IFERROR(VLOOKUP(Tabla145[[#This Row],[Llave]],'[13]Base ultimos planes'!$O:$AA,11,FALSE),0)</f>
        <v>0</v>
      </c>
      <c r="BO130" s="20">
        <f>IFERROR(VLOOKUP(Tabla145[[#This Row],[Llave]],'[13]Base ultimos planes'!$O:$AA,12,FALSE),0)</f>
        <v>0</v>
      </c>
      <c r="BP130" s="20">
        <f>IFERROR(VLOOKUP(Tabla145[[#This Row],[Llave]],'[13]Base ultimos planes'!$O:$AA,13,FALSE),0)</f>
        <v>0</v>
      </c>
      <c r="BQ130" s="20"/>
      <c r="BR130" s="20">
        <f>Tabla145[[#This Row],[ RV Producción mes n+1]]*(1-Tabla145[[#This Row],[% Uti. producción]])</f>
        <v>0</v>
      </c>
      <c r="BS130" s="20">
        <f>+Tabla145[[#This Row],[Producción disponible mes n-1]]+Tabla145[[#This Row],[Saldo Volumen disponible]]</f>
        <v>205047.01650793297</v>
      </c>
      <c r="BT130" s="7">
        <f>IFERROR(VLOOKUP(Tabla145[[#This Row],[Llave]],'[21]RV n+2 y n+3'!$B:$F,4,FALSE),0)</f>
        <v>0</v>
      </c>
      <c r="BU130" s="7">
        <f>+Tabla145[[#This Row],[Asignación mes n+2]]*Tabla145[[#This Row],[% Uti. producción]]</f>
        <v>0</v>
      </c>
      <c r="BV130" s="7">
        <f>+Tabla145[[#This Row],[Ponderación mes n+2]]+Tabla145[[#This Row],[Saldo mes n-1]]</f>
        <v>205047.01650793297</v>
      </c>
      <c r="BW130" s="7">
        <f>+Tabla145[[#This Row],[Asignación mes n+2]]-Tabla145[[#This Row],[Ponderación mes n+2]]</f>
        <v>0</v>
      </c>
      <c r="BX130" s="7">
        <f>IFERROR(VLOOKUP(Tabla145[[#This Row],[Llave]],'[21]RV n+2 y n+3'!$B:$F,5,FALSE),0)</f>
        <v>0</v>
      </c>
      <c r="BY130" s="7">
        <f>+Tabla145[[#This Row],[Asignación mes n+3]]*Tabla145[[#This Row],[% Uti. producción]]</f>
        <v>0</v>
      </c>
      <c r="BZ130" s="3">
        <f>+Tabla145[[#This Row],[Ponderación mes n+3]]+Tabla145[[#This Row],[Saldo mes n+2]]</f>
        <v>0</v>
      </c>
      <c r="CA130" s="3">
        <f>+Tabla145[[#This Row],[Asignación mes n+3]]-Tabla145[[#This Row],[Ponderación mes n+3]]</f>
        <v>0</v>
      </c>
      <c r="CB130" s="3">
        <f>+Tabla145[[#This Row],[Producción disponible mes n-1]]+Tabla145[[#This Row],[Producción disponible]]</f>
        <v>0</v>
      </c>
      <c r="CC130" s="3">
        <f>+Tabla145[[#This Row],[Saldo mes n+4]]-Tabla145[[#This Row],[ RV Producción mes n+1]]</f>
        <v>0</v>
      </c>
    </row>
    <row r="131" spans="1:81" ht="16" x14ac:dyDescent="0.2">
      <c r="A131">
        <v>2</v>
      </c>
      <c r="B131" t="str">
        <f>Tabla145[[#This Row],[Oficina]]&amp;Tabla145[[#This Row],[Material]]</f>
        <v>Agrosuper Shanghai1022381</v>
      </c>
      <c r="C131" t="s">
        <v>6</v>
      </c>
      <c r="D131" t="s">
        <v>140</v>
      </c>
      <c r="E131">
        <v>1022381</v>
      </c>
      <c r="F131" t="s">
        <v>147</v>
      </c>
      <c r="G131" t="s">
        <v>11</v>
      </c>
      <c r="H131" t="s">
        <v>41</v>
      </c>
      <c r="I131" s="7">
        <f>IFERROR(VLOOKUP(Tabla145[[#This Row],[Llave]],'[7]RV Producción'!$C:$G,5,FALSE),0)</f>
        <v>0</v>
      </c>
      <c r="J131" s="3">
        <f>IFERROR(IF(Tabla145[[#This Row],[Oficina]]=$I$7,VLOOKUP(Tabla145[[#This Row],[Llave]],'[7]Shangai (Tomas)'!$A:$F,6,FALSE),VLOOKUP(Tabla145[[#This Row],[Llave]],'[7]RV plan de ventas'!$A:$E,5,FALSE)),0)</f>
        <v>0</v>
      </c>
      <c r="K131" s="8">
        <f>IFERROR(VLOOKUP(Tabla145[[#This Row],[Oficina]],[15]Ponderación!$B$2:$E$9,4,FALSE),0)</f>
        <v>0.45719439678473212</v>
      </c>
      <c r="L131" s="7">
        <f>+Tabla145[[#This Row],[ RV Producción mes n+1]]*Tabla145[[#This Row],[% Uti. producción]]</f>
        <v>0</v>
      </c>
      <c r="M131" s="7">
        <f>IFERROR(VLOOKUP(Tabla145[[#This Row],[Material]],[16]Stock!$G:$K,5,FALSE),0)</f>
        <v>70991</v>
      </c>
      <c r="N131" s="7">
        <f>IFERROR(VLOOKUP(Tabla145[[#This Row],[Material]],[16]Produccion!$M:$N,2,FALSE),0)</f>
        <v>31745</v>
      </c>
      <c r="O131" s="7">
        <f>IFERROR(VLOOKUP(Tabla145[[#This Row],[Llave]],'[16]TD Conf-AP'!$I:$M,4,FALSE),0)</f>
        <v>0</v>
      </c>
      <c r="P131" s="14">
        <f>SUM(Tabla145[[#This Row],[Producción disponible]],Tabla145[[#This Row],[Stock al día]],(Tabla145[[#This Row],[Por producir mes N]]*0.9))-Tabla145[[#This Row],[Producción por despachar mes N]]</f>
        <v>99561.5</v>
      </c>
      <c r="Q131" s="7">
        <f>IFERROR(VLOOKUP(Tabla145[[#This Row],[Llave]],[17]DELAY!$A:$D,4,FALSE),0)</f>
        <v>96000</v>
      </c>
      <c r="R131" s="9">
        <v>24000</v>
      </c>
      <c r="S131" s="5">
        <f t="shared" si="6"/>
        <v>96000</v>
      </c>
      <c r="T131" s="76"/>
      <c r="U131" s="5">
        <f>+Tabla145[[#This Row],[Atraso a facturar]]+Tabla145[[#This Row],[Ajuste atraso]]</f>
        <v>96000</v>
      </c>
      <c r="V131" s="3">
        <f>+Tabla145[[#This Row],[Total disponible]]-Tabla145[[#This Row],[Facturación atraso]]</f>
        <v>3561.5</v>
      </c>
      <c r="W131" s="6">
        <f>IFERROR(IF(AND(V131&gt;R131,J131&gt;=R131),ROUNDDOWN((Tabla145[[#This Row],[Producción para venta nueva]])/R131,0)*R131,0),0)</f>
        <v>0</v>
      </c>
      <c r="X131" s="76">
        <v>0</v>
      </c>
      <c r="Y131" s="6">
        <f>IF(Tabla145[[#This Row],[Venta del mes]]&gt;0,Tabla145[[#This Row],[Venta del mes]]+Tabla145[[#This Row],[Ajuste venta nueva]],0)</f>
        <v>0</v>
      </c>
      <c r="Z131" s="6">
        <f>+Tabla145[[#This Row],[Producción para venta nueva]]-Tabla145[[#This Row],[Facturación Venta nueva]]</f>
        <v>3561.5</v>
      </c>
      <c r="AA131" s="6">
        <f>IF(AND(A131=1,Tabla145[[#This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1" s="6">
        <v>0</v>
      </c>
      <c r="AC131" s="6">
        <f>IF(Tabla145[[#This Row],[Disponible stock sin venta]]&gt;0,Tabla145[[#This Row],[Disponible stock sin venta]]+Tabla145[[#This Row],[Ajuste stock sin venta]],0)</f>
        <v>0</v>
      </c>
      <c r="AD131" s="3">
        <f>IFERROR(VLOOKUP(Tabla145[[#This Row],[Llave]],'[16]TD Puerto'!$A:$D,4,FALSE),0)</f>
        <v>0</v>
      </c>
      <c r="AE131" s="3">
        <v>48000</v>
      </c>
      <c r="AF131" s="3">
        <f>+Tabla145[[#This Row],[Plan Irrestricto Inicial]]</f>
        <v>48000</v>
      </c>
      <c r="AG131" s="3">
        <f>+Tabla145[[#This Row],[En puerto a facturar]]</f>
        <v>0</v>
      </c>
      <c r="AH131" s="3">
        <f>+Tabla145[[#This Row],[Facturación atraso]]</f>
        <v>96000</v>
      </c>
      <c r="AI131" s="3">
        <f>+Tabla145[[#This Row],[Plan Irrestricto]]-Tabla145[[#This Row],[Puerto ]]-Tabla145[[#This Row],[Atraso]]</f>
        <v>-48000</v>
      </c>
      <c r="AJ131" s="3">
        <f>IF(Tabla145[[#This Row],[Plan Irrestricto]]&gt;0,SUM(Tabla145[[#This Row],[Facturación atraso]],Tabla145[[#This Row],[Facturación Venta nueva]],Tabla145[[#This Row],[Facturación stock]],Tabla145[[#This Row],[En puerto a facturar]]),0)</f>
        <v>96000</v>
      </c>
      <c r="AK131" s="3">
        <f>+Tabla145[[#This Row],[Facturación atraso]]</f>
        <v>96000</v>
      </c>
      <c r="AL131" s="3">
        <f>+Tabla145[[#This Row],[Plan Ajustado]]-Tabla145[[#This Row],[ Atraso ajustado]]-Tabla145[[#This Row],[Puerto ]]</f>
        <v>0</v>
      </c>
      <c r="AM131" s="6">
        <f>IFERROR(VLOOKUP(Tabla145[[#This Row],[Llave]],[18]!Tabla14[#All],34,FALSE),0)</f>
        <v>0</v>
      </c>
      <c r="AN131" s="6">
        <f>IFERROR(VLOOKUP(Tabla145[[#This Row],[Llave]],[18]!Tabla14[#All],35,FALSE),0)</f>
        <v>0</v>
      </c>
      <c r="AO131" s="3" t="str">
        <f>IF(Tabla145[[#This Row],[Plan Ajustado]]&gt;Tabla145[[#This Row],[En puerto a facturar]],"Si","No")</f>
        <v>Si</v>
      </c>
      <c r="AP131" s="3">
        <f>IF(AND(Tabla145[[#This Row],[Plan Ajustado]]&gt;0,Tabla145[[#This Row],[Plan Ajustado]]&gt;Tabla145[[#This Row],[En puerto a facturar]]),(Tabla145[[#This Row],[Plan Ajustado]]-Tabla145[[#This Row],[En puerto a facturar]]),0)</f>
        <v>96000</v>
      </c>
      <c r="AQ131" s="3">
        <f>IF(Tabla145[[#This Row],[Necesidad]]&gt;=Tabla145[[#This Row],[Stock al día]],Tabla145[[#This Row],[Stock al día]],Tabla145[[#This Row],[Necesidad]])</f>
        <v>70991</v>
      </c>
      <c r="AR131" s="3">
        <f>+Tabla145[[#This Row],[Necesidad]]-Tabla145[[#This Row],[Stock Plan]]</f>
        <v>25009</v>
      </c>
      <c r="AS131" s="155">
        <f>IFERROR(VLOOKUP(Tabla145[[#This Row],[Oficina]],[19]Ponderación!$B$14:$E$21,4,FALSE),"")</f>
        <v>44786</v>
      </c>
      <c r="AT13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1.0371699456307273</v>
      </c>
      <c r="AU131" s="83">
        <f>IFERROR(VLOOKUP(Tabla145[[#This Row],[Llave]],[17]DELAY!$H:$W,16,FALSE),0)</f>
        <v>1.3325</v>
      </c>
      <c r="AV13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1.3325</v>
      </c>
      <c r="AW131" s="5">
        <f>Tabla145[[#This Row],[Ajuste precio IC]]*Tabla145[[#This Row],[Plan Ajustado]]</f>
        <v>127920</v>
      </c>
      <c r="AX131" s="30">
        <f>IFERROR(VLOOKUP(Tabla145[[#This Row],[Llave]],'[13]Ultimos precios facturados'!$A:$G,7,FALSE),0)</f>
        <v>1.0371699456307273</v>
      </c>
      <c r="AY13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0.28474605884349613</v>
      </c>
      <c r="AZ131" s="30">
        <f>IFERROR(VLOOKUP(Tabla145[[#This Row],[Llave]],Hoja2!B:K,10,FALSE),0)</f>
        <v>1.3325</v>
      </c>
      <c r="BA131" s="30">
        <f>IF(Tabla145[[#This Row],[Ajuste precio IC]]="",Tabla145[[#This Row],[Precio ponderado]],Tabla145[[#This Row],[Precio ponderado]])</f>
        <v>1.3325</v>
      </c>
      <c r="BB131" s="82"/>
      <c r="BC131" s="82" t="str">
        <f>IF(AND(Tabla145[[#This Row],[Atraso a facturar]]&gt;0,Tabla145[[#This Row],[Precio Atraso]]=0),"Revisar","OK")</f>
        <v>OK</v>
      </c>
      <c r="BD131" s="82" t="str">
        <f>IF(AND(Tabla145[[#This Row],[Venta del mes]]&gt;0,Tabla145[[#This Row],[Precio venta nueva]]=0),"Revisar","OK")</f>
        <v>OK</v>
      </c>
      <c r="BE131" s="20">
        <f>IFERROR(VLOOKUP(Tabla145[[#This Row],[Llave]],'[5]Consolidación planes'!$A:$M,9,FALSE),0)</f>
        <v>24000</v>
      </c>
      <c r="BF131" s="20">
        <f>IFERROR(VLOOKUP(Tabla145[[#This Row],[Llave]],'[5]Consolidación planes'!$A:$M,10,FALSE),0)</f>
        <v>48000</v>
      </c>
      <c r="BG131" s="20">
        <f>IFERROR(VLOOKUP(Tabla145[[#This Row],[Llave]],'[5]Consolidación planes'!$A:$M,11,FALSE),0)</f>
        <v>72000</v>
      </c>
      <c r="BH131" s="20">
        <f>IFERROR(VLOOKUP(Tabla145[[#This Row],[Llave]],'[5]Consolidación planes'!$A:$M,12,FALSE),0)</f>
        <v>96000</v>
      </c>
      <c r="BI131" s="20">
        <f>IFERROR(VLOOKUP(Tabla145[[#This Row],[Llave]],'[5]Consolidación planes'!$A:$M,13,FALSE),0)</f>
        <v>96000</v>
      </c>
      <c r="BJ131" s="20">
        <f>IFERROR(VLOOKUP(Tabla145[[#This Row],[Llave]],'[13]Base ultimos planes'!$A:$M,13,FALSE),0)</f>
        <v>72000</v>
      </c>
      <c r="BK131" s="80">
        <f>IFERROR(VLOOKUP(Tabla145[[#This Row],[Llave]],'[13]Base ultimos planes'!$O:$AA,8,FALSE),0)</f>
        <v>14400</v>
      </c>
      <c r="BL131" s="20">
        <f>IFERROR(VLOOKUP(Tabla145[[#This Row],[Llave]],'[13]Base ultimos planes'!$O:$AA,9,FALSE),0)</f>
        <v>30240</v>
      </c>
      <c r="BM131" s="20">
        <f>IFERROR(VLOOKUP(Tabla145[[#This Row],[Llave]],'[13]Base ultimos planes'!$O:$AA,10,FALSE),0)</f>
        <v>52560</v>
      </c>
      <c r="BN131" s="20">
        <f>IFERROR(VLOOKUP(Tabla145[[#This Row],[Llave]],'[13]Base ultimos planes'!$O:$AA,11,FALSE),0)</f>
        <v>73280</v>
      </c>
      <c r="BO131" s="20">
        <f>IFERROR(VLOOKUP(Tabla145[[#This Row],[Llave]],'[13]Base ultimos planes'!$O:$AA,12,FALSE),0)</f>
        <v>83353</v>
      </c>
      <c r="BP131" s="20">
        <f>IFERROR(VLOOKUP(Tabla145[[#This Row],[Llave]],'[13]Base ultimos planes'!$O:$AA,13,FALSE),0)</f>
        <v>62400</v>
      </c>
      <c r="BQ131" s="20"/>
      <c r="BR131" s="20">
        <f>Tabla145[[#This Row],[ RV Producción mes n+1]]*(1-Tabla145[[#This Row],[% Uti. producción]])</f>
        <v>0</v>
      </c>
      <c r="BS131" s="20">
        <f>+Tabla145[[#This Row],[Producción disponible mes n-1]]+Tabla145[[#This Row],[Saldo Volumen disponible]]</f>
        <v>3561.5</v>
      </c>
      <c r="BT131" s="7">
        <f>IFERROR(VLOOKUP(Tabla145[[#This Row],[Llave]],'[21]RV n+2 y n+3'!$B:$F,4,FALSE),0)</f>
        <v>0</v>
      </c>
      <c r="BU131" s="7">
        <f>+Tabla145[[#This Row],[Asignación mes n+2]]*Tabla145[[#This Row],[% Uti. producción]]</f>
        <v>0</v>
      </c>
      <c r="BV131" s="7">
        <f>+Tabla145[[#This Row],[Ponderación mes n+2]]+Tabla145[[#This Row],[Saldo mes n-1]]</f>
        <v>3561.5</v>
      </c>
      <c r="BW131" s="7">
        <f>+Tabla145[[#This Row],[Asignación mes n+2]]-Tabla145[[#This Row],[Ponderación mes n+2]]</f>
        <v>0</v>
      </c>
      <c r="BX131" s="7">
        <f>IFERROR(VLOOKUP(Tabla145[[#This Row],[Llave]],'[21]RV n+2 y n+3'!$B:$F,5,FALSE),0)</f>
        <v>0</v>
      </c>
      <c r="BY131" s="7">
        <f>+Tabla145[[#This Row],[Asignación mes n+3]]*Tabla145[[#This Row],[% Uti. producción]]</f>
        <v>0</v>
      </c>
      <c r="BZ131" s="3">
        <f>+Tabla145[[#This Row],[Ponderación mes n+3]]+Tabla145[[#This Row],[Saldo mes n+2]]</f>
        <v>0</v>
      </c>
      <c r="CA131" s="3">
        <f>+Tabla145[[#This Row],[Asignación mes n+3]]-Tabla145[[#This Row],[Ponderación mes n+3]]</f>
        <v>0</v>
      </c>
      <c r="CB131" s="3">
        <f>+Tabla145[[#This Row],[Producción disponible mes n-1]]+Tabla145[[#This Row],[Producción disponible]]</f>
        <v>0</v>
      </c>
      <c r="CC131" s="3">
        <f>+Tabla145[[#This Row],[Saldo mes n+4]]-Tabla145[[#This Row],[ RV Producción mes n+1]]</f>
        <v>0</v>
      </c>
    </row>
    <row r="132" spans="1:81" ht="16" x14ac:dyDescent="0.2">
      <c r="A132">
        <v>2</v>
      </c>
      <c r="B132" t="str">
        <f>Tabla145[[#This Row],[Oficina]]&amp;Tabla145[[#This Row],[Material]]</f>
        <v>Agrosuper Shanghai1022389</v>
      </c>
      <c r="C132" t="s">
        <v>6</v>
      </c>
      <c r="D132" t="s">
        <v>140</v>
      </c>
      <c r="E132">
        <v>1022389</v>
      </c>
      <c r="F132" t="s">
        <v>145</v>
      </c>
      <c r="G132" t="s">
        <v>8</v>
      </c>
      <c r="H132" t="s">
        <v>34</v>
      </c>
      <c r="I132" s="7">
        <f>IFERROR(VLOOKUP(Tabla145[[#This Row],[Llave]],'[7]RV Producción'!$C:$G,5,FALSE),0)</f>
        <v>0</v>
      </c>
      <c r="J132" s="3">
        <f>IFERROR(IF(Tabla145[[#This Row],[Oficina]]=$I$7,VLOOKUP(Tabla145[[#This Row],[Llave]],'[7]Shangai (Tomas)'!$A:$F,6,FALSE),VLOOKUP(Tabla145[[#This Row],[Llave]],'[7]RV plan de ventas'!$A:$E,5,FALSE)),0)</f>
        <v>0</v>
      </c>
      <c r="K132" s="8">
        <f>IFERROR(VLOOKUP(Tabla145[[#This Row],[Oficina]],[15]Ponderación!$B$2:$E$9,4,FALSE),0)</f>
        <v>0.45719439678473212</v>
      </c>
      <c r="L132" s="7">
        <f>+Tabla145[[#This Row],[ RV Producción mes n+1]]*Tabla145[[#This Row],[% Uti. producción]]</f>
        <v>0</v>
      </c>
      <c r="M132" s="7">
        <f>IFERROR(VLOOKUP(Tabla145[[#This Row],[Material]],[16]Stock!$G:$K,5,FALSE),0)</f>
        <v>8620</v>
      </c>
      <c r="N132" s="7">
        <f>IFERROR(VLOOKUP(Tabla145[[#This Row],[Material]],[16]Produccion!$M:$N,2,FALSE),0)</f>
        <v>0</v>
      </c>
      <c r="O132" s="7">
        <f>IFERROR(VLOOKUP(Tabla145[[#This Row],[Llave]],'[16]TD Conf-AP'!$I:$M,4,FALSE),0)</f>
        <v>0</v>
      </c>
      <c r="P132" s="14">
        <f>SUM(Tabla145[[#This Row],[Producción disponible]],Tabla145[[#This Row],[Stock al día]],(Tabla145[[#This Row],[Por producir mes N]]*0.9))-Tabla145[[#This Row],[Producción por despachar mes N]]</f>
        <v>8620</v>
      </c>
      <c r="Q132" s="7">
        <f>IFERROR(VLOOKUP(Tabla145[[#This Row],[Llave]],[17]DELAY!$A:$D,4,FALSE),0)</f>
        <v>0</v>
      </c>
      <c r="R132" s="9">
        <v>24000</v>
      </c>
      <c r="S132" s="5">
        <f t="shared" si="6"/>
        <v>0</v>
      </c>
      <c r="T132" s="76"/>
      <c r="U132" s="5">
        <f>+Tabla145[[#This Row],[Atraso a facturar]]+Tabla145[[#This Row],[Ajuste atraso]]</f>
        <v>0</v>
      </c>
      <c r="V132" s="3">
        <f>+Tabla145[[#This Row],[Total disponible]]-Tabla145[[#This Row],[Facturación atraso]]</f>
        <v>8620</v>
      </c>
      <c r="W132" s="6">
        <f>IFERROR(IF(AND(V132&gt;R132,J132&gt;=R132),ROUNDDOWN((Tabla145[[#This Row],[Producción para venta nueva]])/R132,0)*R132,0),0)</f>
        <v>0</v>
      </c>
      <c r="X132" s="76">
        <v>0</v>
      </c>
      <c r="Y132" s="6">
        <f>IF(Tabla145[[#This Row],[Venta del mes]]&gt;0,Tabla145[[#This Row],[Venta del mes]]+Tabla145[[#This Row],[Ajuste venta nueva]],0)</f>
        <v>0</v>
      </c>
      <c r="Z132" s="6">
        <f>+Tabla145[[#This Row],[Producción para venta nueva]]-Tabla145[[#This Row],[Facturación Venta nueva]]</f>
        <v>8620</v>
      </c>
      <c r="AA132" s="6">
        <f>IF(AND(A132=1,Tabla145[[#This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2" s="6">
        <v>0</v>
      </c>
      <c r="AC132" s="6">
        <f>IF(Tabla145[[#This Row],[Disponible stock sin venta]]&gt;0,Tabla145[[#This Row],[Disponible stock sin venta]]+Tabla145[[#This Row],[Ajuste stock sin venta]],0)</f>
        <v>0</v>
      </c>
      <c r="AD132" s="3">
        <f>IFERROR(VLOOKUP(Tabla145[[#This Row],[Llave]],'[16]TD Puerto'!$A:$D,4,FALSE),0)</f>
        <v>0</v>
      </c>
      <c r="AE132" s="3">
        <v>0</v>
      </c>
      <c r="AF132" s="3">
        <f>+Tabla145[[#This Row],[Plan Irrestricto Inicial]]</f>
        <v>0</v>
      </c>
      <c r="AG132" s="3">
        <f>+Tabla145[[#This Row],[En puerto a facturar]]</f>
        <v>0</v>
      </c>
      <c r="AH132" s="3">
        <f>+Tabla145[[#This Row],[Facturación atraso]]</f>
        <v>0</v>
      </c>
      <c r="AI132" s="3">
        <f>+Tabla145[[#This Row],[Plan Irrestricto]]-Tabla145[[#This Row],[Puerto ]]-Tabla145[[#This Row],[Atraso]]</f>
        <v>0</v>
      </c>
      <c r="AJ13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32" s="3">
        <f>+Tabla145[[#This Row],[Facturación atraso]]</f>
        <v>0</v>
      </c>
      <c r="AL132" s="3">
        <f>+Tabla145[[#This Row],[Plan Ajustado]]-Tabla145[[#This Row],[ Atraso ajustado]]-Tabla145[[#This Row],[Puerto ]]</f>
        <v>0</v>
      </c>
      <c r="AM132" s="6">
        <f>IFERROR(VLOOKUP(Tabla145[[#This Row],[Llave]],[18]!Tabla14[#All],34,FALSE),0)</f>
        <v>0</v>
      </c>
      <c r="AN132" s="6">
        <f>IFERROR(VLOOKUP(Tabla145[[#This Row],[Llave]],[18]!Tabla14[#All],35,FALSE),0)</f>
        <v>0</v>
      </c>
      <c r="AO132" s="3" t="str">
        <f>IF(Tabla145[[#This Row],[Plan Ajustado]]&gt;Tabla145[[#This Row],[En puerto a facturar]],"Si","No")</f>
        <v>No</v>
      </c>
      <c r="AP13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32" s="3">
        <f>IF(Tabla145[[#This Row],[Necesidad]]&gt;=Tabla145[[#This Row],[Stock al día]],Tabla145[[#This Row],[Stock al día]],Tabla145[[#This Row],[Necesidad]])</f>
        <v>0</v>
      </c>
      <c r="AR132" s="3">
        <f>+Tabla145[[#This Row],[Necesidad]]-Tabla145[[#This Row],[Stock Plan]]</f>
        <v>0</v>
      </c>
      <c r="AS132" s="155">
        <f>IFERROR(VLOOKUP(Tabla145[[#This Row],[Oficina]],[19]Ponderación!$B$14:$E$21,4,FALSE),"")</f>
        <v>44786</v>
      </c>
      <c r="AT13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1.0931462000000001</v>
      </c>
      <c r="AU132" s="83">
        <f>IFERROR(VLOOKUP(Tabla145[[#This Row],[Llave]],[17]DELAY!$H:$W,16,FALSE),0)</f>
        <v>0</v>
      </c>
      <c r="AV13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32" s="5">
        <f>Tabla145[[#This Row],[Ajuste precio IC]]*Tabla145[[#This Row],[Plan Ajustado]]</f>
        <v>0</v>
      </c>
      <c r="AX132" s="30">
        <f>IFERROR(VLOOKUP(Tabla145[[#This Row],[Llave]],'[13]Ultimos precios facturados'!$A:$G,7,FALSE),0)</f>
        <v>1.0931462000000001</v>
      </c>
      <c r="AY13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32" s="30">
        <f>IFERROR(VLOOKUP(Tabla145[[#This Row],[Llave]],Hoja2!B:K,10,FALSE),0)</f>
        <v>0</v>
      </c>
      <c r="BA132" s="30">
        <f>IF(Tabla145[[#This Row],[Ajuste precio IC]]="",Tabla145[[#This Row],[Precio ponderado]],Tabla145[[#This Row],[Precio ponderado]])</f>
        <v>0</v>
      </c>
      <c r="BB132" s="82"/>
      <c r="BC132" s="82" t="str">
        <f>IF(AND(Tabla145[[#This Row],[Atraso a facturar]]&gt;0,Tabla145[[#This Row],[Precio Atraso]]=0),"Revisar","OK")</f>
        <v>OK</v>
      </c>
      <c r="BD132" s="82" t="str">
        <f>IF(AND(Tabla145[[#This Row],[Venta del mes]]&gt;0,Tabla145[[#This Row],[Precio venta nueva]]=0),"Revisar","OK")</f>
        <v>OK</v>
      </c>
      <c r="BE132" s="20">
        <f>IFERROR(VLOOKUP(Tabla145[[#This Row],[Llave]],'[5]Consolidación planes'!$A:$M,9,FALSE),0)</f>
        <v>72000</v>
      </c>
      <c r="BF132" s="20">
        <f>IFERROR(VLOOKUP(Tabla145[[#This Row],[Llave]],'[5]Consolidación planes'!$A:$M,10,FALSE),0)</f>
        <v>0</v>
      </c>
      <c r="BG132" s="20">
        <f>IFERROR(VLOOKUP(Tabla145[[#This Row],[Llave]],'[5]Consolidación planes'!$A:$M,11,FALSE),0)</f>
        <v>0</v>
      </c>
      <c r="BH132" s="20">
        <f>IFERROR(VLOOKUP(Tabla145[[#This Row],[Llave]],'[5]Consolidación planes'!$A:$M,12,FALSE),0)</f>
        <v>0</v>
      </c>
      <c r="BI132" s="20">
        <f>IFERROR(VLOOKUP(Tabla145[[#This Row],[Llave]],'[5]Consolidación planes'!$A:$M,13,FALSE),0)</f>
        <v>0</v>
      </c>
      <c r="BJ132" s="20">
        <f>IFERROR(VLOOKUP(Tabla145[[#This Row],[Llave]],'[13]Base ultimos planes'!$A:$M,13,FALSE),0)</f>
        <v>0</v>
      </c>
      <c r="BK132" s="80">
        <f>IFERROR(VLOOKUP(Tabla145[[#This Row],[Llave]],'[13]Base ultimos planes'!$O:$AA,8,FALSE),0)</f>
        <v>72000</v>
      </c>
      <c r="BL132" s="20">
        <f>IFERROR(VLOOKUP(Tabla145[[#This Row],[Llave]],'[13]Base ultimos planes'!$O:$AA,9,FALSE),0)</f>
        <v>0</v>
      </c>
      <c r="BM132" s="20">
        <f>IFERROR(VLOOKUP(Tabla145[[#This Row],[Llave]],'[13]Base ultimos planes'!$O:$AA,10,FALSE),0)</f>
        <v>0</v>
      </c>
      <c r="BN132" s="20">
        <f>IFERROR(VLOOKUP(Tabla145[[#This Row],[Llave]],'[13]Base ultimos planes'!$O:$AA,11,FALSE),0)</f>
        <v>0</v>
      </c>
      <c r="BO132" s="20">
        <f>IFERROR(VLOOKUP(Tabla145[[#This Row],[Llave]],'[13]Base ultimos planes'!$O:$AA,12,FALSE),0)</f>
        <v>0</v>
      </c>
      <c r="BP132" s="20">
        <f>IFERROR(VLOOKUP(Tabla145[[#This Row],[Llave]],'[13]Base ultimos planes'!$O:$AA,13,FALSE),0)</f>
        <v>0</v>
      </c>
      <c r="BQ132" s="20"/>
      <c r="BR132" s="20">
        <f>Tabla145[[#This Row],[ RV Producción mes n+1]]*(1-Tabla145[[#This Row],[% Uti. producción]])</f>
        <v>0</v>
      </c>
      <c r="BS132" s="20">
        <f>+Tabla145[[#This Row],[Producción disponible mes n-1]]+Tabla145[[#This Row],[Saldo Volumen disponible]]</f>
        <v>8620</v>
      </c>
      <c r="BT132" s="7">
        <f>IFERROR(VLOOKUP(Tabla145[[#This Row],[Llave]],'[21]RV n+2 y n+3'!$B:$F,4,FALSE),0)</f>
        <v>0</v>
      </c>
      <c r="BU132" s="7">
        <f>+Tabla145[[#This Row],[Asignación mes n+2]]*Tabla145[[#This Row],[% Uti. producción]]</f>
        <v>0</v>
      </c>
      <c r="BV132" s="7">
        <f>+Tabla145[[#This Row],[Ponderación mes n+2]]+Tabla145[[#This Row],[Saldo mes n-1]]</f>
        <v>8620</v>
      </c>
      <c r="BW132" s="7">
        <f>+Tabla145[[#This Row],[Asignación mes n+2]]-Tabla145[[#This Row],[Ponderación mes n+2]]</f>
        <v>0</v>
      </c>
      <c r="BX132" s="7">
        <f>IFERROR(VLOOKUP(Tabla145[[#This Row],[Llave]],'[21]RV n+2 y n+3'!$B:$F,5,FALSE),0)</f>
        <v>0</v>
      </c>
      <c r="BY132" s="7">
        <f>+Tabla145[[#This Row],[Asignación mes n+3]]*Tabla145[[#This Row],[% Uti. producción]]</f>
        <v>0</v>
      </c>
      <c r="BZ132" s="3">
        <f>+Tabla145[[#This Row],[Ponderación mes n+3]]+Tabla145[[#This Row],[Saldo mes n+2]]</f>
        <v>0</v>
      </c>
      <c r="CA132" s="3">
        <f>+Tabla145[[#This Row],[Asignación mes n+3]]-Tabla145[[#This Row],[Ponderación mes n+3]]</f>
        <v>0</v>
      </c>
      <c r="CB132" s="3">
        <f>+Tabla145[[#This Row],[Producción disponible mes n-1]]+Tabla145[[#This Row],[Producción disponible]]</f>
        <v>0</v>
      </c>
      <c r="CC132" s="3">
        <f>+Tabla145[[#This Row],[Saldo mes n+4]]-Tabla145[[#This Row],[ RV Producción mes n+1]]</f>
        <v>0</v>
      </c>
    </row>
    <row r="133" spans="1:81" ht="16" x14ac:dyDescent="0.2">
      <c r="A133">
        <v>2</v>
      </c>
      <c r="B133" t="str">
        <f>Tabla145[[#This Row],[Oficina]]&amp;Tabla145[[#This Row],[Material]]</f>
        <v>Agrosuper Shanghai1022414</v>
      </c>
      <c r="C133" t="s">
        <v>6</v>
      </c>
      <c r="D133" t="s">
        <v>140</v>
      </c>
      <c r="E133">
        <v>1022414</v>
      </c>
      <c r="F133" t="s">
        <v>142</v>
      </c>
      <c r="G133" t="s">
        <v>18</v>
      </c>
      <c r="H133" t="s">
        <v>141</v>
      </c>
      <c r="I133" s="7">
        <f>IFERROR(VLOOKUP(Tabla145[[#This Row],[Llave]],'[7]RV Producción'!$C:$G,5,FALSE),0)</f>
        <v>0</v>
      </c>
      <c r="J133" s="3">
        <f>IFERROR(IF(Tabla145[[#This Row],[Oficina]]=$I$7,VLOOKUP(Tabla145[[#This Row],[Llave]],'[7]Shangai (Tomas)'!$A:$F,6,FALSE),VLOOKUP(Tabla145[[#This Row],[Llave]],'[7]RV plan de ventas'!$A:$E,5,FALSE)),0)</f>
        <v>0</v>
      </c>
      <c r="K133" s="8">
        <f>IFERROR(VLOOKUP(Tabla145[[#This Row],[Oficina]],[15]Ponderación!$B$2:$E$9,4,FALSE),0)</f>
        <v>0.45719439678473212</v>
      </c>
      <c r="L133" s="7">
        <f>+Tabla145[[#This Row],[ RV Producción mes n+1]]*Tabla145[[#This Row],[% Uti. producción]]</f>
        <v>0</v>
      </c>
      <c r="M133" s="7">
        <f>IFERROR(VLOOKUP(Tabla145[[#This Row],[Material]],[16]Stock!$G:$K,5,FALSE),0)</f>
        <v>185940</v>
      </c>
      <c r="N133" s="7">
        <f>IFERROR(VLOOKUP(Tabla145[[#This Row],[Material]],[16]Produccion!$M:$N,2,FALSE),0)</f>
        <v>45307</v>
      </c>
      <c r="O133" s="7">
        <f>IFERROR(VLOOKUP(Tabla145[[#This Row],[Llave]],'[16]TD Conf-AP'!$I:$M,4,FALSE),0)</f>
        <v>0</v>
      </c>
      <c r="P133" s="14">
        <f>SUM(Tabla145[[#This Row],[Producción disponible]],Tabla145[[#This Row],[Stock al día]],(Tabla145[[#This Row],[Por producir mes N]]*0.9))-Tabla145[[#This Row],[Producción por despachar mes N]]</f>
        <v>226716.3</v>
      </c>
      <c r="Q133" s="7">
        <f>IFERROR(VLOOKUP(Tabla145[[#This Row],[Llave]],[17]DELAY!$A:$D,4,FALSE),0)</f>
        <v>24000</v>
      </c>
      <c r="R133" s="9">
        <v>24000</v>
      </c>
      <c r="S133" s="5">
        <f t="shared" si="6"/>
        <v>24000</v>
      </c>
      <c r="T133" s="76"/>
      <c r="U133" s="5">
        <f>+Tabla145[[#This Row],[Atraso a facturar]]+Tabla145[[#This Row],[Ajuste atraso]]</f>
        <v>24000</v>
      </c>
      <c r="V133" s="3">
        <f>+Tabla145[[#This Row],[Total disponible]]-Tabla145[[#This Row],[Facturación atraso]]</f>
        <v>202716.3</v>
      </c>
      <c r="W133" s="6">
        <f>IFERROR(IF(AND(V133&gt;R133,J133&gt;=R133),ROUNDDOWN((Tabla145[[#This Row],[Producción para venta nueva]])/R133,0)*R133,0),0)</f>
        <v>0</v>
      </c>
      <c r="X133" s="76">
        <v>0</v>
      </c>
      <c r="Y133" s="6">
        <f>IF(Tabla145[[#This Row],[Venta del mes]]&gt;0,Tabla145[[#This Row],[Venta del mes]]+Tabla145[[#This Row],[Ajuste venta nueva]],0)</f>
        <v>0</v>
      </c>
      <c r="Z133" s="6">
        <f>+Tabla145[[#This Row],[Producción para venta nueva]]-Tabla145[[#This Row],[Facturación Venta nueva]]</f>
        <v>202716.3</v>
      </c>
      <c r="AA133" s="6">
        <f>IF(AND(A133=1,Tabla145[[#This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3" s="6">
        <v>0</v>
      </c>
      <c r="AC133" s="6">
        <f>IF(Tabla145[[#This Row],[Disponible stock sin venta]]&gt;0,Tabla145[[#This Row],[Disponible stock sin venta]]+Tabla145[[#This Row],[Ajuste stock sin venta]],0)</f>
        <v>0</v>
      </c>
      <c r="AD133" s="3">
        <f>IFERROR(VLOOKUP(Tabla145[[#This Row],[Llave]],'[16]TD Puerto'!$A:$D,4,FALSE),0)</f>
        <v>0</v>
      </c>
      <c r="AE133" s="3">
        <v>24000</v>
      </c>
      <c r="AF133" s="3">
        <f>+Tabla145[[#This Row],[Plan Irrestricto Inicial]]</f>
        <v>24000</v>
      </c>
      <c r="AG133" s="3">
        <f>+Tabla145[[#This Row],[En puerto a facturar]]</f>
        <v>0</v>
      </c>
      <c r="AH133" s="3">
        <f>+Tabla145[[#This Row],[Facturación atraso]]</f>
        <v>24000</v>
      </c>
      <c r="AI133" s="3">
        <f>+Tabla145[[#This Row],[Plan Irrestricto]]-Tabla145[[#This Row],[Puerto ]]-Tabla145[[#This Row],[Atraso]]</f>
        <v>0</v>
      </c>
      <c r="AJ133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133" s="3">
        <f>+Tabla145[[#This Row],[Facturación atraso]]</f>
        <v>24000</v>
      </c>
      <c r="AL133" s="3">
        <f>+Tabla145[[#This Row],[Plan Ajustado]]-Tabla145[[#This Row],[ Atraso ajustado]]-Tabla145[[#This Row],[Puerto ]]</f>
        <v>0</v>
      </c>
      <c r="AM133" s="6">
        <f>IFERROR(VLOOKUP(Tabla145[[#This Row],[Llave]],[18]!Tabla14[#All],34,FALSE),0)</f>
        <v>0</v>
      </c>
      <c r="AN133" s="6">
        <f>IFERROR(VLOOKUP(Tabla145[[#This Row],[Llave]],[18]!Tabla14[#All],35,FALSE),0)</f>
        <v>0</v>
      </c>
      <c r="AO133" s="3" t="str">
        <f>IF(Tabla145[[#This Row],[Plan Ajustado]]&gt;Tabla145[[#This Row],[En puerto a facturar]],"Si","No")</f>
        <v>Si</v>
      </c>
      <c r="AP133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133" s="3">
        <f>IF(Tabla145[[#This Row],[Necesidad]]&gt;=Tabla145[[#This Row],[Stock al día]],Tabla145[[#This Row],[Stock al día]],Tabla145[[#This Row],[Necesidad]])</f>
        <v>24000</v>
      </c>
      <c r="AR133" s="3">
        <f>+Tabla145[[#This Row],[Necesidad]]-Tabla145[[#This Row],[Stock Plan]]</f>
        <v>0</v>
      </c>
      <c r="AS133" s="155">
        <f>IFERROR(VLOOKUP(Tabla145[[#This Row],[Oficina]],[19]Ponderación!$B$14:$E$21,4,FALSE),"")</f>
        <v>44786</v>
      </c>
      <c r="AT13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1.0367536337129226</v>
      </c>
      <c r="AU133" s="83">
        <f>IFERROR(VLOOKUP(Tabla145[[#This Row],[Llave]],[17]DELAY!$H:$W,16,FALSE),0)</f>
        <v>1.1083333333333301</v>
      </c>
      <c r="AV13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1.1083333333333301</v>
      </c>
      <c r="AW133" s="5">
        <f>Tabla145[[#This Row],[Ajuste precio IC]]*Tabla145[[#This Row],[Plan Ajustado]]</f>
        <v>26599.99999999992</v>
      </c>
      <c r="AX133" s="30">
        <f>IFERROR(VLOOKUP(Tabla145[[#This Row],[Llave]],'[13]Ultimos precios facturados'!$A:$G,7,FALSE),0)</f>
        <v>1.0367536337129226</v>
      </c>
      <c r="AY13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6.9042149738177711E-2</v>
      </c>
      <c r="AZ133" s="30">
        <f>IFERROR(VLOOKUP(Tabla145[[#This Row],[Llave]],Hoja2!B:K,10,FALSE),0)</f>
        <v>1.1083333333333301</v>
      </c>
      <c r="BA133" s="30">
        <f>IF(Tabla145[[#This Row],[Ajuste precio IC]]="",Tabla145[[#This Row],[Precio ponderado]],Tabla145[[#This Row],[Precio ponderado]])</f>
        <v>1.1083333333333301</v>
      </c>
      <c r="BB133" s="82"/>
      <c r="BC133" s="82" t="str">
        <f>IF(AND(Tabla145[[#This Row],[Atraso a facturar]]&gt;0,Tabla145[[#This Row],[Precio Atraso]]=0),"Revisar","OK")</f>
        <v>OK</v>
      </c>
      <c r="BD133" s="82" t="str">
        <f>IF(AND(Tabla145[[#This Row],[Venta del mes]]&gt;0,Tabla145[[#This Row],[Precio venta nueva]]=0),"Revisar","OK")</f>
        <v>OK</v>
      </c>
      <c r="BE133" s="20">
        <f>IFERROR(VLOOKUP(Tabla145[[#This Row],[Llave]],'[5]Consolidación planes'!$A:$M,9,FALSE),0)</f>
        <v>192000</v>
      </c>
      <c r="BF133" s="20">
        <f>IFERROR(VLOOKUP(Tabla145[[#This Row],[Llave]],'[5]Consolidación planes'!$A:$M,10,FALSE),0)</f>
        <v>192000</v>
      </c>
      <c r="BG133" s="20">
        <f>IFERROR(VLOOKUP(Tabla145[[#This Row],[Llave]],'[5]Consolidación planes'!$A:$M,11,FALSE),0)</f>
        <v>192000</v>
      </c>
      <c r="BH133" s="20">
        <f>IFERROR(VLOOKUP(Tabla145[[#This Row],[Llave]],'[5]Consolidación planes'!$A:$M,12,FALSE),0)</f>
        <v>120000</v>
      </c>
      <c r="BI133" s="20">
        <f>IFERROR(VLOOKUP(Tabla145[[#This Row],[Llave]],'[5]Consolidación planes'!$A:$M,13,FALSE),0)</f>
        <v>120000</v>
      </c>
      <c r="BJ133" s="20">
        <f>IFERROR(VLOOKUP(Tabla145[[#This Row],[Llave]],'[13]Base ultimos planes'!$A:$M,13,FALSE),0)</f>
        <v>144000</v>
      </c>
      <c r="BK133" s="80">
        <f>IFERROR(VLOOKUP(Tabla145[[#This Row],[Llave]],'[13]Base ultimos planes'!$O:$AA,8,FALSE),0)</f>
        <v>154240</v>
      </c>
      <c r="BL133" s="20">
        <f>IFERROR(VLOOKUP(Tabla145[[#This Row],[Llave]],'[13]Base ultimos planes'!$O:$AA,9,FALSE),0)</f>
        <v>158400</v>
      </c>
      <c r="BM133" s="20">
        <f>IFERROR(VLOOKUP(Tabla145[[#This Row],[Llave]],'[13]Base ultimos planes'!$O:$AA,10,FALSE),0)</f>
        <v>157440</v>
      </c>
      <c r="BN133" s="20">
        <f>IFERROR(VLOOKUP(Tabla145[[#This Row],[Llave]],'[13]Base ultimos planes'!$O:$AA,11,FALSE),0)</f>
        <v>100645</v>
      </c>
      <c r="BO133" s="20">
        <f>IFERROR(VLOOKUP(Tabla145[[#This Row],[Llave]],'[13]Base ultimos planes'!$O:$AA,12,FALSE),0)</f>
        <v>105556</v>
      </c>
      <c r="BP133" s="20">
        <f>IFERROR(VLOOKUP(Tabla145[[#This Row],[Llave]],'[13]Base ultimos planes'!$O:$AA,13,FALSE),0)</f>
        <v>133889</v>
      </c>
      <c r="BQ133" s="20"/>
      <c r="BR133" s="20">
        <f>Tabla145[[#This Row],[ RV Producción mes n+1]]*(1-Tabla145[[#This Row],[% Uti. producción]])</f>
        <v>0</v>
      </c>
      <c r="BS133" s="20">
        <f>+Tabla145[[#This Row],[Producción disponible mes n-1]]+Tabla145[[#This Row],[Saldo Volumen disponible]]</f>
        <v>202716.3</v>
      </c>
      <c r="BT133" s="7">
        <f>IFERROR(VLOOKUP(Tabla145[[#This Row],[Llave]],'[21]RV n+2 y n+3'!$B:$F,4,FALSE),0)</f>
        <v>0</v>
      </c>
      <c r="BU133" s="7">
        <f>+Tabla145[[#This Row],[Asignación mes n+2]]*Tabla145[[#This Row],[% Uti. producción]]</f>
        <v>0</v>
      </c>
      <c r="BV133" s="7">
        <f>+Tabla145[[#This Row],[Ponderación mes n+2]]+Tabla145[[#This Row],[Saldo mes n-1]]</f>
        <v>202716.3</v>
      </c>
      <c r="BW133" s="7">
        <f>+Tabla145[[#This Row],[Asignación mes n+2]]-Tabla145[[#This Row],[Ponderación mes n+2]]</f>
        <v>0</v>
      </c>
      <c r="BX133" s="7">
        <f>IFERROR(VLOOKUP(Tabla145[[#This Row],[Llave]],'[21]RV n+2 y n+3'!$B:$F,5,FALSE),0)</f>
        <v>0</v>
      </c>
      <c r="BY133" s="7">
        <f>+Tabla145[[#This Row],[Asignación mes n+3]]*Tabla145[[#This Row],[% Uti. producción]]</f>
        <v>0</v>
      </c>
      <c r="BZ133" s="3">
        <f>+Tabla145[[#This Row],[Ponderación mes n+3]]+Tabla145[[#This Row],[Saldo mes n+2]]</f>
        <v>0</v>
      </c>
      <c r="CA133" s="3">
        <f>+Tabla145[[#This Row],[Asignación mes n+3]]-Tabla145[[#This Row],[Ponderación mes n+3]]</f>
        <v>0</v>
      </c>
      <c r="CB133" s="3">
        <f>+Tabla145[[#This Row],[Producción disponible mes n-1]]+Tabla145[[#This Row],[Producción disponible]]</f>
        <v>0</v>
      </c>
      <c r="CC133" s="3">
        <f>+Tabla145[[#This Row],[Saldo mes n+4]]-Tabla145[[#This Row],[ RV Producción mes n+1]]</f>
        <v>0</v>
      </c>
    </row>
    <row r="134" spans="1:81" ht="16" x14ac:dyDescent="0.2">
      <c r="A134">
        <v>2</v>
      </c>
      <c r="B134" t="str">
        <f>Tabla145[[#This Row],[Oficina]]&amp;Tabla145[[#This Row],[Material]]</f>
        <v>Agrosuper Shanghai1022415</v>
      </c>
      <c r="C134" t="s">
        <v>6</v>
      </c>
      <c r="D134" t="s">
        <v>140</v>
      </c>
      <c r="E134">
        <v>1022415</v>
      </c>
      <c r="F134" t="s">
        <v>305</v>
      </c>
      <c r="G134" t="s">
        <v>71</v>
      </c>
      <c r="H134" t="s">
        <v>72</v>
      </c>
      <c r="I134" s="7">
        <f>IFERROR(VLOOKUP(Tabla145[[#This Row],[Llave]],'[7]RV Producción'!$C:$G,5,FALSE),0)</f>
        <v>0</v>
      </c>
      <c r="J134" s="3">
        <f>IFERROR(IF(Tabla145[[#This Row],[Oficina]]=$I$7,VLOOKUP(Tabla145[[#This Row],[Llave]],'[7]Shangai (Tomas)'!$A:$F,6,FALSE),VLOOKUP(Tabla145[[#This Row],[Llave]],'[7]RV plan de ventas'!$A:$E,5,FALSE)),0)</f>
        <v>0</v>
      </c>
      <c r="K134" s="8">
        <f>IFERROR(VLOOKUP(Tabla145[[#This Row],[Oficina]],[15]Ponderación!$B$2:$E$9,4,FALSE),0)</f>
        <v>0.45719439678473212</v>
      </c>
      <c r="L134" s="7">
        <f>+Tabla145[[#This Row],[ RV Producción mes n+1]]*Tabla145[[#This Row],[% Uti. producción]]</f>
        <v>0</v>
      </c>
      <c r="M134" s="7">
        <f>IFERROR(VLOOKUP(Tabla145[[#This Row],[Material]],[16]Stock!$G:$K,5,FALSE),0)</f>
        <v>0</v>
      </c>
      <c r="N134" s="7">
        <f>IFERROR(VLOOKUP(Tabla145[[#This Row],[Material]],[16]Produccion!$M:$N,2,FALSE),0)</f>
        <v>0</v>
      </c>
      <c r="O134" s="7">
        <f>IFERROR(VLOOKUP(Tabla145[[#This Row],[Llave]],'[16]TD Conf-AP'!$I:$M,4,FALSE),0)</f>
        <v>0</v>
      </c>
      <c r="P134" s="14">
        <f>SUM(Tabla145[[#This Row],[Producción disponible]],Tabla145[[#This Row],[Stock al día]],(Tabla145[[#This Row],[Por producir mes N]]*0.9))-Tabla145[[#This Row],[Producción por despachar mes N]]</f>
        <v>0</v>
      </c>
      <c r="Q134" s="7">
        <f>IFERROR(VLOOKUP(Tabla145[[#This Row],[Llave]],[17]DELAY!$A:$D,4,FALSE),0)</f>
        <v>0</v>
      </c>
      <c r="R134" s="9">
        <v>24000</v>
      </c>
      <c r="S134" s="5">
        <f t="shared" si="6"/>
        <v>0</v>
      </c>
      <c r="T134" s="76"/>
      <c r="U134" s="5">
        <f>+Tabla145[[#This Row],[Atraso a facturar]]+Tabla145[[#This Row],[Ajuste atraso]]</f>
        <v>0</v>
      </c>
      <c r="V134" s="3">
        <f>+Tabla145[[#This Row],[Total disponible]]-Tabla145[[#This Row],[Facturación atraso]]</f>
        <v>0</v>
      </c>
      <c r="W134" s="6">
        <f>IFERROR(IF(AND(V134&gt;R134,J134&gt;=R134),ROUNDDOWN((Tabla145[[#This Row],[Producción para venta nueva]])/R134,0)*R134,0),0)</f>
        <v>0</v>
      </c>
      <c r="X134" s="76">
        <v>0</v>
      </c>
      <c r="Y134" s="6">
        <f>IF(Tabla145[[#This Row],[Venta del mes]]&gt;0,Tabla145[[#This Row],[Venta del mes]]+Tabla145[[#This Row],[Ajuste venta nueva]],0)</f>
        <v>0</v>
      </c>
      <c r="Z134" s="6">
        <f>+Tabla145[[#This Row],[Producción para venta nueva]]-Tabla145[[#This Row],[Facturación Venta nueva]]</f>
        <v>0</v>
      </c>
      <c r="AA134" s="6">
        <f>IF(AND(A134=1,Tabla145[[#This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4" s="6">
        <v>0</v>
      </c>
      <c r="AC134" s="6">
        <f>IF(Tabla145[[#This Row],[Disponible stock sin venta]]&gt;0,Tabla145[[#This Row],[Disponible stock sin venta]]+Tabla145[[#This Row],[Ajuste stock sin venta]],0)</f>
        <v>0</v>
      </c>
      <c r="AD134" s="3">
        <f>IFERROR(VLOOKUP(Tabla145[[#This Row],[Llave]],'[16]TD Puerto'!$A:$D,4,FALSE),0)</f>
        <v>0</v>
      </c>
      <c r="AE134" s="3">
        <v>0</v>
      </c>
      <c r="AF134" s="3">
        <f>+Tabla145[[#This Row],[Plan Irrestricto Inicial]]</f>
        <v>0</v>
      </c>
      <c r="AG134" s="3">
        <f>+Tabla145[[#This Row],[En puerto a facturar]]</f>
        <v>0</v>
      </c>
      <c r="AH134" s="3">
        <f>+Tabla145[[#This Row],[Facturación atraso]]</f>
        <v>0</v>
      </c>
      <c r="AI134" s="3">
        <f>+Tabla145[[#This Row],[Plan Irrestricto]]-Tabla145[[#This Row],[Puerto ]]-Tabla145[[#This Row],[Atraso]]</f>
        <v>0</v>
      </c>
      <c r="AJ13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34" s="3">
        <f>+Tabla145[[#This Row],[Facturación atraso]]</f>
        <v>0</v>
      </c>
      <c r="AL134" s="3">
        <f>+Tabla145[[#This Row],[Plan Ajustado]]-Tabla145[[#This Row],[ Atraso ajustado]]-Tabla145[[#This Row],[Puerto ]]</f>
        <v>0</v>
      </c>
      <c r="AM134" s="6">
        <f>IFERROR(VLOOKUP(Tabla145[[#This Row],[Llave]],[18]!Tabla14[#All],34,FALSE),0)</f>
        <v>0</v>
      </c>
      <c r="AN134" s="6">
        <f>IFERROR(VLOOKUP(Tabla145[[#This Row],[Llave]],[18]!Tabla14[#All],35,FALSE),0)</f>
        <v>0</v>
      </c>
      <c r="AO134" s="3" t="str">
        <f>IF(Tabla145[[#This Row],[Plan Ajustado]]&gt;Tabla145[[#This Row],[En puerto a facturar]],"Si","No")</f>
        <v>No</v>
      </c>
      <c r="AP13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34" s="3">
        <f>IF(Tabla145[[#This Row],[Necesidad]]&gt;=Tabla145[[#This Row],[Stock al día]],Tabla145[[#This Row],[Stock al día]],Tabla145[[#This Row],[Necesidad]])</f>
        <v>0</v>
      </c>
      <c r="AR134" s="3">
        <f>+Tabla145[[#This Row],[Necesidad]]-Tabla145[[#This Row],[Stock Plan]]</f>
        <v>0</v>
      </c>
      <c r="AS134" s="155">
        <f>IFERROR(VLOOKUP(Tabla145[[#This Row],[Oficina]],[19]Ponderación!$B$14:$E$21,4,FALSE),"")</f>
        <v>44786</v>
      </c>
      <c r="AT13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0.88378860975609752</v>
      </c>
      <c r="AU134" s="83">
        <f>IFERROR(VLOOKUP(Tabla145[[#This Row],[Llave]],[17]DELAY!$H:$W,16,FALSE),0)</f>
        <v>0</v>
      </c>
      <c r="AV13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34" s="5">
        <f>Tabla145[[#This Row],[Ajuste precio IC]]*Tabla145[[#This Row],[Plan Ajustado]]</f>
        <v>0</v>
      </c>
      <c r="AX134" s="30">
        <f>IFERROR(VLOOKUP(Tabla145[[#This Row],[Llave]],'[13]Ultimos precios facturados'!$A:$G,7,FALSE),0)</f>
        <v>0.88378860975609752</v>
      </c>
      <c r="AY13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34" s="30">
        <f>IFERROR(VLOOKUP(Tabla145[[#This Row],[Llave]],Hoja2!B:K,10,FALSE),0)</f>
        <v>0</v>
      </c>
      <c r="BA134" s="30">
        <f>IF(Tabla145[[#This Row],[Ajuste precio IC]]="",Tabla145[[#This Row],[Precio ponderado]],Tabla145[[#This Row],[Precio ponderado]])</f>
        <v>0</v>
      </c>
      <c r="BB134" s="82"/>
      <c r="BC134" s="82" t="str">
        <f>IF(AND(Tabla145[[#This Row],[Atraso a facturar]]&gt;0,Tabla145[[#This Row],[Precio Atraso]]=0),"Revisar","OK")</f>
        <v>OK</v>
      </c>
      <c r="BD134" s="82" t="str">
        <f>IF(AND(Tabla145[[#This Row],[Venta del mes]]&gt;0,Tabla145[[#This Row],[Precio venta nueva]]=0),"Revisar","OK")</f>
        <v>OK</v>
      </c>
      <c r="BE134" s="20">
        <f>IFERROR(VLOOKUP(Tabla145[[#This Row],[Llave]],'[5]Consolidación planes'!$A:$M,9,FALSE),0)</f>
        <v>0</v>
      </c>
      <c r="BF134" s="20">
        <f>IFERROR(VLOOKUP(Tabla145[[#This Row],[Llave]],'[5]Consolidación planes'!$A:$M,10,FALSE),0)</f>
        <v>0</v>
      </c>
      <c r="BG134" s="20">
        <f>IFERROR(VLOOKUP(Tabla145[[#This Row],[Llave]],'[5]Consolidación planes'!$A:$M,11,FALSE),0)</f>
        <v>4084</v>
      </c>
      <c r="BH134" s="20">
        <f>IFERROR(VLOOKUP(Tabla145[[#This Row],[Llave]],'[5]Consolidación planes'!$A:$M,12,FALSE),0)</f>
        <v>0</v>
      </c>
      <c r="BI134" s="20">
        <f>IFERROR(VLOOKUP(Tabla145[[#This Row],[Llave]],'[5]Consolidación planes'!$A:$M,13,FALSE),0)</f>
        <v>0</v>
      </c>
      <c r="BJ134" s="20">
        <f>IFERROR(VLOOKUP(Tabla145[[#This Row],[Llave]],'[13]Base ultimos planes'!$A:$M,13,FALSE),0)</f>
        <v>0</v>
      </c>
      <c r="BK134" s="80">
        <f>IFERROR(VLOOKUP(Tabla145[[#This Row],[Llave]],'[13]Base ultimos planes'!$O:$AA,8,FALSE),0)</f>
        <v>0</v>
      </c>
      <c r="BL134" s="20">
        <f>IFERROR(VLOOKUP(Tabla145[[#This Row],[Llave]],'[13]Base ultimos planes'!$O:$AA,9,FALSE),0)</f>
        <v>0</v>
      </c>
      <c r="BM134" s="20">
        <f>IFERROR(VLOOKUP(Tabla145[[#This Row],[Llave]],'[13]Base ultimos planes'!$O:$AA,10,FALSE),0)</f>
        <v>3608</v>
      </c>
      <c r="BN134" s="20">
        <f>IFERROR(VLOOKUP(Tabla145[[#This Row],[Llave]],'[13]Base ultimos planes'!$O:$AA,11,FALSE),0)</f>
        <v>0</v>
      </c>
      <c r="BO134" s="20">
        <f>IFERROR(VLOOKUP(Tabla145[[#This Row],[Llave]],'[13]Base ultimos planes'!$O:$AA,12,FALSE),0)</f>
        <v>0</v>
      </c>
      <c r="BP134" s="20">
        <f>IFERROR(VLOOKUP(Tabla145[[#This Row],[Llave]],'[13]Base ultimos planes'!$O:$AA,13,FALSE),0)</f>
        <v>0</v>
      </c>
      <c r="BQ134" s="20"/>
      <c r="BR134" s="20">
        <f>Tabla145[[#This Row],[ RV Producción mes n+1]]*(1-Tabla145[[#This Row],[% Uti. producción]])</f>
        <v>0</v>
      </c>
      <c r="BS134" s="20">
        <f>+Tabla145[[#This Row],[Producción disponible mes n-1]]+Tabla145[[#This Row],[Saldo Volumen disponible]]</f>
        <v>0</v>
      </c>
      <c r="BT134" s="7">
        <f>IFERROR(VLOOKUP(Tabla145[[#This Row],[Llave]],'[21]RV n+2 y n+3'!$B:$F,4,FALSE),0)</f>
        <v>0</v>
      </c>
      <c r="BU134" s="7">
        <f>+Tabla145[[#This Row],[Asignación mes n+2]]*Tabla145[[#This Row],[% Uti. producción]]</f>
        <v>0</v>
      </c>
      <c r="BV134" s="7">
        <f>+Tabla145[[#This Row],[Ponderación mes n+2]]+Tabla145[[#This Row],[Saldo mes n-1]]</f>
        <v>0</v>
      </c>
      <c r="BW134" s="7">
        <f>+Tabla145[[#This Row],[Asignación mes n+2]]-Tabla145[[#This Row],[Ponderación mes n+2]]</f>
        <v>0</v>
      </c>
      <c r="BX134" s="7">
        <f>IFERROR(VLOOKUP(Tabla145[[#This Row],[Llave]],'[21]RV n+2 y n+3'!$B:$F,5,FALSE),0)</f>
        <v>0</v>
      </c>
      <c r="BY134" s="7">
        <f>+Tabla145[[#This Row],[Asignación mes n+3]]*Tabla145[[#This Row],[% Uti. producción]]</f>
        <v>0</v>
      </c>
      <c r="BZ134" s="3">
        <f>+Tabla145[[#This Row],[Ponderación mes n+3]]+Tabla145[[#This Row],[Saldo mes n+2]]</f>
        <v>0</v>
      </c>
      <c r="CA134" s="3">
        <f>+Tabla145[[#This Row],[Asignación mes n+3]]-Tabla145[[#This Row],[Ponderación mes n+3]]</f>
        <v>0</v>
      </c>
      <c r="CB134" s="3">
        <f>+Tabla145[[#This Row],[Producción disponible mes n-1]]+Tabla145[[#This Row],[Producción disponible]]</f>
        <v>0</v>
      </c>
      <c r="CC134" s="3">
        <f>+Tabla145[[#This Row],[Saldo mes n+4]]-Tabla145[[#This Row],[ RV Producción mes n+1]]</f>
        <v>0</v>
      </c>
    </row>
    <row r="135" spans="1:81" ht="16" x14ac:dyDescent="0.2">
      <c r="A135">
        <v>2</v>
      </c>
      <c r="B135" t="str">
        <f>Tabla145[[#This Row],[Oficina]]&amp;Tabla145[[#This Row],[Material]]</f>
        <v>Agrosuper Shanghai1022417</v>
      </c>
      <c r="C135" t="s">
        <v>6</v>
      </c>
      <c r="D135" t="s">
        <v>140</v>
      </c>
      <c r="E135">
        <v>1022417</v>
      </c>
      <c r="F135" t="s">
        <v>144</v>
      </c>
      <c r="G135" t="s">
        <v>8</v>
      </c>
      <c r="H135" t="s">
        <v>32</v>
      </c>
      <c r="I135" s="7">
        <f>IFERROR(VLOOKUP(Tabla145[[#This Row],[Llave]],'[7]RV Producción'!$C:$G,5,FALSE),0)</f>
        <v>0</v>
      </c>
      <c r="J135" s="3">
        <f>IFERROR(IF(Tabla145[[#This Row],[Oficina]]=$I$7,VLOOKUP(Tabla145[[#This Row],[Llave]],'[7]Shangai (Tomas)'!$A:$F,6,FALSE),VLOOKUP(Tabla145[[#This Row],[Llave]],'[7]RV plan de ventas'!$A:$E,5,FALSE)),0)</f>
        <v>0</v>
      </c>
      <c r="K135" s="8">
        <f>IFERROR(VLOOKUP(Tabla145[[#This Row],[Oficina]],[15]Ponderación!$B$2:$E$9,4,FALSE),0)</f>
        <v>0.45719439678473212</v>
      </c>
      <c r="L135" s="7">
        <f>+Tabla145[[#This Row],[ RV Producción mes n+1]]*Tabla145[[#This Row],[% Uti. producción]]</f>
        <v>0</v>
      </c>
      <c r="M135" s="7">
        <f>IFERROR(VLOOKUP(Tabla145[[#This Row],[Material]],[16]Stock!$G:$K,5,FALSE),0)</f>
        <v>162849</v>
      </c>
      <c r="N135" s="7">
        <f>IFERROR(VLOOKUP(Tabla145[[#This Row],[Material]],[16]Produccion!$M:$N,2,FALSE),0)</f>
        <v>120561</v>
      </c>
      <c r="O135" s="7">
        <f>IFERROR(VLOOKUP(Tabla145[[#This Row],[Llave]],'[16]TD Conf-AP'!$I:$M,4,FALSE),0)</f>
        <v>0</v>
      </c>
      <c r="P135" s="14">
        <f>SUM(Tabla145[[#This Row],[Producción disponible]],Tabla145[[#This Row],[Stock al día]],(Tabla145[[#This Row],[Por producir mes N]]*0.9))-Tabla145[[#This Row],[Producción por despachar mes N]]</f>
        <v>271353.90000000002</v>
      </c>
      <c r="Q135" s="7">
        <f>IFERROR(VLOOKUP(Tabla145[[#This Row],[Llave]],[17]DELAY!$A:$D,4,FALSE),0)</f>
        <v>72000</v>
      </c>
      <c r="R135" s="9">
        <v>24000</v>
      </c>
      <c r="S135" s="5">
        <f t="shared" si="6"/>
        <v>72000</v>
      </c>
      <c r="T135" s="76"/>
      <c r="U135" s="5">
        <f>+Tabla145[[#This Row],[Atraso a facturar]]+Tabla145[[#This Row],[Ajuste atraso]]</f>
        <v>72000</v>
      </c>
      <c r="V135" s="3">
        <f>+Tabla145[[#This Row],[Total disponible]]-Tabla145[[#This Row],[Facturación atraso]]</f>
        <v>199353.90000000002</v>
      </c>
      <c r="W135" s="6">
        <f>IFERROR(IF(AND(V135&gt;R135,J135&gt;=R135),ROUNDDOWN((Tabla145[[#This Row],[Producción para venta nueva]])/R135,0)*R135,0),0)</f>
        <v>0</v>
      </c>
      <c r="X135" s="76">
        <v>0</v>
      </c>
      <c r="Y135" s="6">
        <f>IF(Tabla145[[#This Row],[Venta del mes]]&gt;0,Tabla145[[#This Row],[Venta del mes]]+Tabla145[[#This Row],[Ajuste venta nueva]],0)</f>
        <v>0</v>
      </c>
      <c r="Z135" s="6">
        <f>+Tabla145[[#This Row],[Producción para venta nueva]]-Tabla145[[#This Row],[Facturación Venta nueva]]</f>
        <v>199353.90000000002</v>
      </c>
      <c r="AA135" s="6">
        <f>IF(AND(A135=1,Tabla145[[#This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5" s="6">
        <v>0</v>
      </c>
      <c r="AC135" s="6">
        <f>IF(Tabla145[[#This Row],[Disponible stock sin venta]]&gt;0,Tabla145[[#This Row],[Disponible stock sin venta]]+Tabla145[[#This Row],[Ajuste stock sin venta]],0)</f>
        <v>0</v>
      </c>
      <c r="AD135" s="3">
        <f>IFERROR(VLOOKUP(Tabla145[[#This Row],[Llave]],'[16]TD Puerto'!$A:$D,4,FALSE),0)</f>
        <v>25000</v>
      </c>
      <c r="AE135" s="3">
        <v>97000</v>
      </c>
      <c r="AF135" s="3">
        <f>+Tabla145[[#This Row],[Plan Irrestricto Inicial]]</f>
        <v>97000</v>
      </c>
      <c r="AG135" s="3">
        <f>+Tabla145[[#This Row],[En puerto a facturar]]</f>
        <v>25000</v>
      </c>
      <c r="AH135" s="3">
        <f>+Tabla145[[#This Row],[Facturación atraso]]</f>
        <v>72000</v>
      </c>
      <c r="AI135" s="3">
        <f>+Tabla145[[#This Row],[Plan Irrestricto]]-Tabla145[[#This Row],[Puerto ]]-Tabla145[[#This Row],[Atraso]]</f>
        <v>0</v>
      </c>
      <c r="AJ135" s="3">
        <f>IF(Tabla145[[#This Row],[Plan Irrestricto]]&gt;0,SUM(Tabla145[[#This Row],[Facturación atraso]],Tabla145[[#This Row],[Facturación Venta nueva]],Tabla145[[#This Row],[Facturación stock]],Tabla145[[#This Row],[En puerto a facturar]]),0)</f>
        <v>97000</v>
      </c>
      <c r="AK135" s="3">
        <f>+Tabla145[[#This Row],[Facturación atraso]]</f>
        <v>72000</v>
      </c>
      <c r="AL135" s="3">
        <f>+Tabla145[[#This Row],[Plan Ajustado]]-Tabla145[[#This Row],[ Atraso ajustado]]-Tabla145[[#This Row],[Puerto ]]</f>
        <v>0</v>
      </c>
      <c r="AM135" s="6">
        <f>IFERROR(VLOOKUP(Tabla145[[#This Row],[Llave]],[18]!Tabla14[#All],34,FALSE),0)</f>
        <v>0</v>
      </c>
      <c r="AN135" s="6">
        <f>IFERROR(VLOOKUP(Tabla145[[#This Row],[Llave]],[18]!Tabla14[#All],35,FALSE),0)</f>
        <v>0</v>
      </c>
      <c r="AO135" s="3" t="str">
        <f>IF(Tabla145[[#This Row],[Plan Ajustado]]&gt;Tabla145[[#This Row],[En puerto a facturar]],"Si","No")</f>
        <v>Si</v>
      </c>
      <c r="AP135" s="3">
        <f>IF(AND(Tabla145[[#This Row],[Plan Ajustado]]&gt;0,Tabla145[[#This Row],[Plan Ajustado]]&gt;Tabla145[[#This Row],[En puerto a facturar]]),(Tabla145[[#This Row],[Plan Ajustado]]-Tabla145[[#This Row],[En puerto a facturar]]),0)</f>
        <v>72000</v>
      </c>
      <c r="AQ135" s="3">
        <f>IF(Tabla145[[#This Row],[Necesidad]]&gt;=Tabla145[[#This Row],[Stock al día]],Tabla145[[#This Row],[Stock al día]],Tabla145[[#This Row],[Necesidad]])</f>
        <v>72000</v>
      </c>
      <c r="AR135" s="3">
        <f>+Tabla145[[#This Row],[Necesidad]]-Tabla145[[#This Row],[Stock Plan]]</f>
        <v>0</v>
      </c>
      <c r="AS135" s="155">
        <f>IFERROR(VLOOKUP(Tabla145[[#This Row],[Oficina]],[19]Ponderación!$B$14:$E$21,4,FALSE),"")</f>
        <v>44786</v>
      </c>
      <c r="AT13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0.78919672655778561</v>
      </c>
      <c r="AU135" s="83">
        <f>IFERROR(VLOOKUP(Tabla145[[#This Row],[Llave]],[17]DELAY!$H:$W,16,FALSE),0)</f>
        <v>0.79995833333333299</v>
      </c>
      <c r="AV13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0.79995833333333299</v>
      </c>
      <c r="AW135" s="5">
        <f>Tabla145[[#This Row],[Ajuste precio IC]]*Tabla145[[#This Row],[Plan Ajustado]]</f>
        <v>77595.958333333299</v>
      </c>
      <c r="AX135" s="30">
        <f>IFERROR(VLOOKUP(Tabla145[[#This Row],[Llave]],'[13]Ultimos precios facturados'!$A:$G,7,FALSE),0)</f>
        <v>0.78919672655778561</v>
      </c>
      <c r="AY13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1.3636152322230153E-2</v>
      </c>
      <c r="AZ135" s="30">
        <f>IFERROR(VLOOKUP(Tabla145[[#This Row],[Llave]],Hoja2!B:K,10,FALSE),0)</f>
        <v>0.79995833333333299</v>
      </c>
      <c r="BA135" s="30">
        <f>IF(Tabla145[[#This Row],[Ajuste precio IC]]="",Tabla145[[#This Row],[Precio ponderado]],Tabla145[[#This Row],[Precio ponderado]])</f>
        <v>0.79995833333333299</v>
      </c>
      <c r="BB135" s="82"/>
      <c r="BC135" s="82" t="str">
        <f>IF(AND(Tabla145[[#This Row],[Atraso a facturar]]&gt;0,Tabla145[[#This Row],[Precio Atraso]]=0),"Revisar","OK")</f>
        <v>OK</v>
      </c>
      <c r="BD135" s="82" t="str">
        <f>IF(AND(Tabla145[[#This Row],[Venta del mes]]&gt;0,Tabla145[[#This Row],[Precio venta nueva]]=0),"Revisar","OK")</f>
        <v>OK</v>
      </c>
      <c r="BE135" s="20">
        <f>IFERROR(VLOOKUP(Tabla145[[#This Row],[Llave]],'[5]Consolidación planes'!$A:$M,9,FALSE),0)</f>
        <v>0</v>
      </c>
      <c r="BF135" s="20">
        <f>IFERROR(VLOOKUP(Tabla145[[#This Row],[Llave]],'[5]Consolidación planes'!$A:$M,10,FALSE),0)</f>
        <v>0</v>
      </c>
      <c r="BG135" s="20">
        <f>IFERROR(VLOOKUP(Tabla145[[#This Row],[Llave]],'[5]Consolidación planes'!$A:$M,11,FALSE),0)</f>
        <v>24000</v>
      </c>
      <c r="BH135" s="20">
        <f>IFERROR(VLOOKUP(Tabla145[[#This Row],[Llave]],'[5]Consolidación planes'!$A:$M,12,FALSE),0)</f>
        <v>48000</v>
      </c>
      <c r="BI135" s="20">
        <f>IFERROR(VLOOKUP(Tabla145[[#This Row],[Llave]],'[5]Consolidación planes'!$A:$M,13,FALSE),0)</f>
        <v>24000</v>
      </c>
      <c r="BJ135" s="20">
        <f>IFERROR(VLOOKUP(Tabla145[[#This Row],[Llave]],'[13]Base ultimos planes'!$A:$M,13,FALSE),0)</f>
        <v>96000</v>
      </c>
      <c r="BK135" s="80">
        <f>IFERROR(VLOOKUP(Tabla145[[#This Row],[Llave]],'[13]Base ultimos planes'!$O:$AA,8,FALSE),0)</f>
        <v>0</v>
      </c>
      <c r="BL135" s="20">
        <f>IFERROR(VLOOKUP(Tabla145[[#This Row],[Llave]],'[13]Base ultimos planes'!$O:$AA,9,FALSE),0)</f>
        <v>0</v>
      </c>
      <c r="BM135" s="20">
        <f>IFERROR(VLOOKUP(Tabla145[[#This Row],[Llave]],'[13]Base ultimos planes'!$O:$AA,10,FALSE),0)</f>
        <v>19920</v>
      </c>
      <c r="BN135" s="20">
        <f>IFERROR(VLOOKUP(Tabla145[[#This Row],[Llave]],'[13]Base ultimos planes'!$O:$AA,11,FALSE),0)</f>
        <v>24960</v>
      </c>
      <c r="BO135" s="20">
        <f>IFERROR(VLOOKUP(Tabla145[[#This Row],[Llave]],'[13]Base ultimos planes'!$O:$AA,12,FALSE),0)</f>
        <v>15600</v>
      </c>
      <c r="BP135" s="20">
        <f>IFERROR(VLOOKUP(Tabla145[[#This Row],[Llave]],'[13]Base ultimos planes'!$O:$AA,13,FALSE),0)</f>
        <v>62400</v>
      </c>
      <c r="BQ135" s="20"/>
      <c r="BR135" s="20">
        <f>Tabla145[[#This Row],[ RV Producción mes n+1]]*(1-Tabla145[[#This Row],[% Uti. producción]])</f>
        <v>0</v>
      </c>
      <c r="BS135" s="20">
        <f>+Tabla145[[#This Row],[Producción disponible mes n-1]]+Tabla145[[#This Row],[Saldo Volumen disponible]]</f>
        <v>199353.90000000002</v>
      </c>
      <c r="BT135" s="7">
        <f>IFERROR(VLOOKUP(Tabla145[[#This Row],[Llave]],'[21]RV n+2 y n+3'!$B:$F,4,FALSE),0)</f>
        <v>85916.974000000002</v>
      </c>
      <c r="BU135" s="7">
        <f>+Tabla145[[#This Row],[Asignación mes n+2]]*Tabla145[[#This Row],[% Uti. producción]]</f>
        <v>39280.759101499512</v>
      </c>
      <c r="BV135" s="7">
        <f>+Tabla145[[#This Row],[Ponderación mes n+2]]+Tabla145[[#This Row],[Saldo mes n-1]]</f>
        <v>238634.65910149954</v>
      </c>
      <c r="BW135" s="7">
        <f>+Tabla145[[#This Row],[Asignación mes n+2]]-Tabla145[[#This Row],[Ponderación mes n+2]]</f>
        <v>46636.21489850049</v>
      </c>
      <c r="BX135" s="7">
        <f>IFERROR(VLOOKUP(Tabla145[[#This Row],[Llave]],'[21]RV n+2 y n+3'!$B:$F,5,FALSE),0)</f>
        <v>25742.795000000002</v>
      </c>
      <c r="BY135" s="7">
        <f>+Tabla145[[#This Row],[Asignación mes n+3]]*Tabla145[[#This Row],[% Uti. producción]]</f>
        <v>11769.461631578019</v>
      </c>
      <c r="BZ135" s="3">
        <f>+Tabla145[[#This Row],[Ponderación mes n+3]]+Tabla145[[#This Row],[Saldo mes n+2]]</f>
        <v>58405.676530078505</v>
      </c>
      <c r="CA135" s="3">
        <f>+Tabla145[[#This Row],[Asignación mes n+3]]-Tabla145[[#This Row],[Ponderación mes n+3]]</f>
        <v>13973.333368421983</v>
      </c>
      <c r="CB135" s="3">
        <f>+Tabla145[[#This Row],[Producción disponible mes n-1]]+Tabla145[[#This Row],[Producción disponible]]</f>
        <v>0</v>
      </c>
      <c r="CC135" s="3">
        <f>+Tabla145[[#This Row],[Saldo mes n+4]]-Tabla145[[#This Row],[ RV Producción mes n+1]]</f>
        <v>0</v>
      </c>
    </row>
    <row r="136" spans="1:81" ht="16" x14ac:dyDescent="0.2">
      <c r="A136">
        <v>2</v>
      </c>
      <c r="B136" t="str">
        <f>Tabla145[[#This Row],[Oficina]]&amp;Tabla145[[#This Row],[Material]]</f>
        <v>Agrosuper Shanghai1022541</v>
      </c>
      <c r="C136" t="s">
        <v>6</v>
      </c>
      <c r="D136" t="s">
        <v>140</v>
      </c>
      <c r="E136">
        <v>1022541</v>
      </c>
      <c r="F136" t="s">
        <v>148</v>
      </c>
      <c r="G136" t="s">
        <v>11</v>
      </c>
      <c r="H136" t="s">
        <v>41</v>
      </c>
      <c r="I136" s="7">
        <f>IFERROR(VLOOKUP(Tabla145[[#This Row],[Llave]],'[7]RV Producción'!$C:$G,5,FALSE),0)</f>
        <v>0</v>
      </c>
      <c r="J136" s="3">
        <f>IFERROR(IF(Tabla145[[#This Row],[Oficina]]=$I$7,VLOOKUP(Tabla145[[#This Row],[Llave]],'[7]Shangai (Tomas)'!$A:$F,6,FALSE),VLOOKUP(Tabla145[[#This Row],[Llave]],'[7]RV plan de ventas'!$A:$E,5,FALSE)),0)</f>
        <v>0</v>
      </c>
      <c r="K136" s="8">
        <f>IFERROR(VLOOKUP(Tabla145[[#This Row],[Oficina]],[15]Ponderación!$B$2:$E$9,4,FALSE),0)</f>
        <v>0.45719439678473212</v>
      </c>
      <c r="L136" s="7">
        <f>+Tabla145[[#This Row],[ RV Producción mes n+1]]*Tabla145[[#This Row],[% Uti. producción]]</f>
        <v>0</v>
      </c>
      <c r="M136" s="7">
        <f>IFERROR(VLOOKUP(Tabla145[[#This Row],[Material]],[16]Stock!$G:$K,5,FALSE),0)</f>
        <v>118859</v>
      </c>
      <c r="N136" s="7">
        <f>IFERROR(VLOOKUP(Tabla145[[#This Row],[Material]],[16]Produccion!$M:$N,2,FALSE),0)</f>
        <v>30848</v>
      </c>
      <c r="O136" s="7">
        <f>IFERROR(VLOOKUP(Tabla145[[#This Row],[Llave]],'[16]TD Conf-AP'!$I:$M,4,FALSE),0)</f>
        <v>0</v>
      </c>
      <c r="P136" s="14">
        <f>SUM(Tabla145[[#This Row],[Producción disponible]],Tabla145[[#This Row],[Stock al día]],(Tabla145[[#This Row],[Por producir mes N]]*0.9))-Tabla145[[#This Row],[Producción por despachar mes N]]</f>
        <v>146622.20000000001</v>
      </c>
      <c r="Q136" s="7">
        <f>IFERROR(VLOOKUP(Tabla145[[#This Row],[Llave]],[17]DELAY!$A:$D,4,FALSE),0)</f>
        <v>0</v>
      </c>
      <c r="R136" s="9">
        <v>24000</v>
      </c>
      <c r="S136" s="5">
        <f t="shared" si="6"/>
        <v>0</v>
      </c>
      <c r="T136" s="76"/>
      <c r="U136" s="5">
        <f>+Tabla145[[#This Row],[Atraso a facturar]]+Tabla145[[#This Row],[Ajuste atraso]]</f>
        <v>0</v>
      </c>
      <c r="V136" s="3">
        <f>+Tabla145[[#This Row],[Total disponible]]-Tabla145[[#This Row],[Facturación atraso]]</f>
        <v>146622.20000000001</v>
      </c>
      <c r="W136" s="6">
        <f>IFERROR(IF(AND(V136&gt;R136,J136&gt;=R136),ROUNDDOWN((Tabla145[[#This Row],[Producción para venta nueva]])/R136,0)*R136,0),0)</f>
        <v>0</v>
      </c>
      <c r="X136" s="76">
        <v>0</v>
      </c>
      <c r="Y136" s="6">
        <f>IF(Tabla145[[#This Row],[Venta del mes]]&gt;0,Tabla145[[#This Row],[Venta del mes]]+Tabla145[[#This Row],[Ajuste venta nueva]],0)</f>
        <v>0</v>
      </c>
      <c r="Z136" s="6">
        <f>+Tabla145[[#This Row],[Producción para venta nueva]]-Tabla145[[#This Row],[Facturación Venta nueva]]</f>
        <v>146622.20000000001</v>
      </c>
      <c r="AA136" s="6">
        <f>IF(AND(A136=1,Tabla145[[#This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6" s="6">
        <v>0</v>
      </c>
      <c r="AC136" s="6">
        <f>IF(Tabla145[[#This Row],[Disponible stock sin venta]]&gt;0,Tabla145[[#This Row],[Disponible stock sin venta]]+Tabla145[[#This Row],[Ajuste stock sin venta]],0)</f>
        <v>0</v>
      </c>
      <c r="AD136" s="3">
        <f>IFERROR(VLOOKUP(Tabla145[[#This Row],[Llave]],'[16]TD Puerto'!$A:$D,4,FALSE),0)</f>
        <v>0</v>
      </c>
      <c r="AE136" s="3">
        <v>0</v>
      </c>
      <c r="AF136" s="3">
        <f>+Tabla145[[#This Row],[Plan Irrestricto Inicial]]</f>
        <v>0</v>
      </c>
      <c r="AG136" s="3">
        <f>+Tabla145[[#This Row],[En puerto a facturar]]</f>
        <v>0</v>
      </c>
      <c r="AH136" s="3">
        <f>+Tabla145[[#This Row],[Facturación atraso]]</f>
        <v>0</v>
      </c>
      <c r="AI136" s="3">
        <f>+Tabla145[[#This Row],[Plan Irrestricto]]-Tabla145[[#This Row],[Puerto ]]-Tabla145[[#This Row],[Atraso]]</f>
        <v>0</v>
      </c>
      <c r="AJ13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36" s="3">
        <f>+Tabla145[[#This Row],[Facturación atraso]]</f>
        <v>0</v>
      </c>
      <c r="AL136" s="3">
        <f>+Tabla145[[#This Row],[Plan Ajustado]]-Tabla145[[#This Row],[ Atraso ajustado]]-Tabla145[[#This Row],[Puerto ]]</f>
        <v>0</v>
      </c>
      <c r="AM136" s="6">
        <f>IFERROR(VLOOKUP(Tabla145[[#This Row],[Llave]],[18]!Tabla14[#All],34,FALSE),0)</f>
        <v>0</v>
      </c>
      <c r="AN136" s="6">
        <f>IFERROR(VLOOKUP(Tabla145[[#This Row],[Llave]],[18]!Tabla14[#All],35,FALSE),0)</f>
        <v>0</v>
      </c>
      <c r="AO136" s="3" t="str">
        <f>IF(Tabla145[[#This Row],[Plan Ajustado]]&gt;Tabla145[[#This Row],[En puerto a facturar]],"Si","No")</f>
        <v>No</v>
      </c>
      <c r="AP13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36" s="3">
        <f>IF(Tabla145[[#This Row],[Necesidad]]&gt;=Tabla145[[#This Row],[Stock al día]],Tabla145[[#This Row],[Stock al día]],Tabla145[[#This Row],[Necesidad]])</f>
        <v>0</v>
      </c>
      <c r="AR136" s="3">
        <f>+Tabla145[[#This Row],[Necesidad]]-Tabla145[[#This Row],[Stock Plan]]</f>
        <v>0</v>
      </c>
      <c r="AS136" s="155">
        <f>IFERROR(VLOOKUP(Tabla145[[#This Row],[Oficina]],[19]Ponderación!$B$14:$E$21,4,FALSE),"")</f>
        <v>44786</v>
      </c>
      <c r="AT13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1.1355042113809437</v>
      </c>
      <c r="AU136" s="83">
        <f>IFERROR(VLOOKUP(Tabla145[[#This Row],[Llave]],[17]DELAY!$H:$W,16,FALSE),0)</f>
        <v>0</v>
      </c>
      <c r="AV13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36" s="5">
        <f>Tabla145[[#This Row],[Ajuste precio IC]]*Tabla145[[#This Row],[Plan Ajustado]]</f>
        <v>0</v>
      </c>
      <c r="AX136" s="30">
        <f>IFERROR(VLOOKUP(Tabla145[[#This Row],[Llave]],'[13]Ultimos precios facturados'!$A:$G,7,FALSE),0)</f>
        <v>1.1355042113809437</v>
      </c>
      <c r="AY13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36" s="30">
        <f>IFERROR(VLOOKUP(Tabla145[[#This Row],[Llave]],Hoja2!B:K,10,FALSE),0)</f>
        <v>0</v>
      </c>
      <c r="BA136" s="30">
        <f>IF(Tabla145[[#This Row],[Ajuste precio IC]]="",Tabla145[[#This Row],[Precio ponderado]],Tabla145[[#This Row],[Precio ponderado]])</f>
        <v>0</v>
      </c>
      <c r="BB136" s="82"/>
      <c r="BC136" s="82" t="str">
        <f>IF(AND(Tabla145[[#This Row],[Atraso a facturar]]&gt;0,Tabla145[[#This Row],[Precio Atraso]]=0),"Revisar","OK")</f>
        <v>OK</v>
      </c>
      <c r="BD136" s="82" t="str">
        <f>IF(AND(Tabla145[[#This Row],[Venta del mes]]&gt;0,Tabla145[[#This Row],[Precio venta nueva]]=0),"Revisar","OK")</f>
        <v>OK</v>
      </c>
      <c r="BE136" s="20">
        <f>IFERROR(VLOOKUP(Tabla145[[#This Row],[Llave]],'[5]Consolidación planes'!$A:$M,9,FALSE),0)</f>
        <v>24000</v>
      </c>
      <c r="BF136" s="20">
        <f>IFERROR(VLOOKUP(Tabla145[[#This Row],[Llave]],'[5]Consolidación planes'!$A:$M,10,FALSE),0)</f>
        <v>72000</v>
      </c>
      <c r="BG136" s="20">
        <f>IFERROR(VLOOKUP(Tabla145[[#This Row],[Llave]],'[5]Consolidación planes'!$A:$M,11,FALSE),0)</f>
        <v>48000</v>
      </c>
      <c r="BH136" s="20">
        <f>IFERROR(VLOOKUP(Tabla145[[#This Row],[Llave]],'[5]Consolidación planes'!$A:$M,12,FALSE),0)</f>
        <v>24000</v>
      </c>
      <c r="BI136" s="20">
        <f>IFERROR(VLOOKUP(Tabla145[[#This Row],[Llave]],'[5]Consolidación planes'!$A:$M,13,FALSE),0)</f>
        <v>168000</v>
      </c>
      <c r="BJ136" s="20">
        <f>IFERROR(VLOOKUP(Tabla145[[#This Row],[Llave]],'[13]Base ultimos planes'!$A:$M,13,FALSE),0)</f>
        <v>144000</v>
      </c>
      <c r="BK136" s="80">
        <f>IFERROR(VLOOKUP(Tabla145[[#This Row],[Llave]],'[13]Base ultimos planes'!$O:$AA,8,FALSE),0)</f>
        <v>14400</v>
      </c>
      <c r="BL136" s="20">
        <f>IFERROR(VLOOKUP(Tabla145[[#This Row],[Llave]],'[13]Base ultimos planes'!$O:$AA,9,FALSE),0)</f>
        <v>45360</v>
      </c>
      <c r="BM136" s="20">
        <f>IFERROR(VLOOKUP(Tabla145[[#This Row],[Llave]],'[13]Base ultimos planes'!$O:$AA,10,FALSE),0)</f>
        <v>32160</v>
      </c>
      <c r="BN136" s="20">
        <f>IFERROR(VLOOKUP(Tabla145[[#This Row],[Llave]],'[13]Base ultimos planes'!$O:$AA,11,FALSE),0)</f>
        <v>7720</v>
      </c>
      <c r="BO136" s="20">
        <f>IFERROR(VLOOKUP(Tabla145[[#This Row],[Llave]],'[13]Base ultimos planes'!$O:$AA,12,FALSE),0)</f>
        <v>145332</v>
      </c>
      <c r="BP136" s="20">
        <f>IFERROR(VLOOKUP(Tabla145[[#This Row],[Llave]],'[13]Base ultimos planes'!$O:$AA,13,FALSE),0)</f>
        <v>151177</v>
      </c>
      <c r="BQ136" s="20"/>
      <c r="BR136" s="20">
        <f>Tabla145[[#This Row],[ RV Producción mes n+1]]*(1-Tabla145[[#This Row],[% Uti. producción]])</f>
        <v>0</v>
      </c>
      <c r="BS136" s="20">
        <f>+Tabla145[[#This Row],[Producción disponible mes n-1]]+Tabla145[[#This Row],[Saldo Volumen disponible]]</f>
        <v>146622.20000000001</v>
      </c>
      <c r="BT136" s="7">
        <f>IFERROR(VLOOKUP(Tabla145[[#This Row],[Llave]],'[21]RV n+2 y n+3'!$B:$F,4,FALSE),0)</f>
        <v>425913.81</v>
      </c>
      <c r="BU136" s="7">
        <f>+Tabla145[[#This Row],[Asignación mes n+2]]*Tabla145[[#This Row],[% Uti. producción]]</f>
        <v>194725.40744523701</v>
      </c>
      <c r="BV136" s="7">
        <f>+Tabla145[[#This Row],[Ponderación mes n+2]]+Tabla145[[#This Row],[Saldo mes n-1]]</f>
        <v>341347.60744523699</v>
      </c>
      <c r="BW136" s="7">
        <f>+Tabla145[[#This Row],[Asignación mes n+2]]-Tabla145[[#This Row],[Ponderación mes n+2]]</f>
        <v>231188.40255476299</v>
      </c>
      <c r="BX136" s="7">
        <f>IFERROR(VLOOKUP(Tabla145[[#This Row],[Llave]],'[21]RV n+2 y n+3'!$B:$F,5,FALSE),0)</f>
        <v>389309.48</v>
      </c>
      <c r="BY136" s="7">
        <f>+Tabla145[[#This Row],[Asignación mes n+3]]*Tabla145[[#This Row],[% Uti. producción]]</f>
        <v>177990.11287117773</v>
      </c>
      <c r="BZ136" s="3">
        <f>+Tabla145[[#This Row],[Ponderación mes n+3]]+Tabla145[[#This Row],[Saldo mes n+2]]</f>
        <v>409178.51542594074</v>
      </c>
      <c r="CA136" s="3">
        <f>+Tabla145[[#This Row],[Asignación mes n+3]]-Tabla145[[#This Row],[Ponderación mes n+3]]</f>
        <v>211319.36712882225</v>
      </c>
      <c r="CB136" s="3">
        <f>+Tabla145[[#This Row],[Producción disponible mes n-1]]+Tabla145[[#This Row],[Producción disponible]]</f>
        <v>0</v>
      </c>
      <c r="CC136" s="3">
        <f>+Tabla145[[#This Row],[Saldo mes n+4]]-Tabla145[[#This Row],[ RV Producción mes n+1]]</f>
        <v>0</v>
      </c>
    </row>
    <row r="137" spans="1:81" ht="16" x14ac:dyDescent="0.2">
      <c r="A137">
        <v>2</v>
      </c>
      <c r="B137" t="str">
        <f>Tabla145[[#This Row],[Oficina]]&amp;Tabla145[[#This Row],[Material]]</f>
        <v>Agrosuper Shanghai1022637</v>
      </c>
      <c r="C137" t="s">
        <v>6</v>
      </c>
      <c r="D137" t="s">
        <v>140</v>
      </c>
      <c r="E137">
        <v>1022637</v>
      </c>
      <c r="F137" t="s">
        <v>155</v>
      </c>
      <c r="G137" t="s">
        <v>92</v>
      </c>
      <c r="H137" t="s">
        <v>153</v>
      </c>
      <c r="I137" s="7">
        <f>IFERROR(VLOOKUP(Tabla145[[#This Row],[Llave]],'[7]RV Producción'!$C:$G,5,FALSE),0)</f>
        <v>0</v>
      </c>
      <c r="J137" s="3">
        <f>IFERROR(IF(Tabla145[[#This Row],[Oficina]]=$I$7,VLOOKUP(Tabla145[[#This Row],[Llave]],'[7]Shangai (Tomas)'!$A:$F,6,FALSE),VLOOKUP(Tabla145[[#This Row],[Llave]],'[7]RV plan de ventas'!$A:$E,5,FALSE)),0)</f>
        <v>0</v>
      </c>
      <c r="K137" s="8">
        <f>IFERROR(VLOOKUP(Tabla145[[#This Row],[Oficina]],[15]Ponderación!$B$2:$E$9,4,FALSE),0)</f>
        <v>0.45719439678473212</v>
      </c>
      <c r="L137" s="7">
        <f>+Tabla145[[#This Row],[ RV Producción mes n+1]]*Tabla145[[#This Row],[% Uti. producción]]</f>
        <v>0</v>
      </c>
      <c r="M137" s="7">
        <f>IFERROR(VLOOKUP(Tabla145[[#This Row],[Material]],[16]Stock!$G:$K,5,FALSE),0)</f>
        <v>88381</v>
      </c>
      <c r="N137" s="7">
        <f>IFERROR(VLOOKUP(Tabla145[[#This Row],[Material]],[16]Produccion!$M:$N,2,FALSE),0)</f>
        <v>29764</v>
      </c>
      <c r="O137" s="7">
        <f>IFERROR(VLOOKUP(Tabla145[[#This Row],[Llave]],'[16]TD Conf-AP'!$I:$M,4,FALSE),0)</f>
        <v>0</v>
      </c>
      <c r="P137" s="14">
        <f>SUM(Tabla145[[#This Row],[Producción disponible]],Tabla145[[#This Row],[Stock al día]],(Tabla145[[#This Row],[Por producir mes N]]*0.9))-Tabla145[[#This Row],[Producción por despachar mes N]]</f>
        <v>115168.6</v>
      </c>
      <c r="Q137" s="7">
        <f>IFERROR(VLOOKUP(Tabla145[[#This Row],[Llave]],[17]DELAY!$A:$D,4,FALSE),0)</f>
        <v>0</v>
      </c>
      <c r="R137" s="9">
        <v>24000</v>
      </c>
      <c r="S137" s="5">
        <f t="shared" si="6"/>
        <v>0</v>
      </c>
      <c r="T137" s="76"/>
      <c r="U137" s="5">
        <f>+Tabla145[[#This Row],[Atraso a facturar]]+Tabla145[[#This Row],[Ajuste atraso]]</f>
        <v>0</v>
      </c>
      <c r="V137" s="3">
        <f>+Tabla145[[#This Row],[Total disponible]]-Tabla145[[#This Row],[Facturación atraso]]</f>
        <v>115168.6</v>
      </c>
      <c r="W137" s="6">
        <f>IFERROR(IF(AND(V137&gt;R137,J137&gt;=R137),ROUNDDOWN((Tabla145[[#This Row],[Producción para venta nueva]])/R137,0)*R137,0),0)</f>
        <v>0</v>
      </c>
      <c r="X137" s="76">
        <v>0</v>
      </c>
      <c r="Y137" s="6">
        <f>IF(Tabla145[[#This Row],[Venta del mes]]&gt;0,Tabla145[[#This Row],[Venta del mes]]+Tabla145[[#This Row],[Ajuste venta nueva]],0)</f>
        <v>0</v>
      </c>
      <c r="Z137" s="6">
        <f>+Tabla145[[#This Row],[Producción para venta nueva]]-Tabla145[[#This Row],[Facturación Venta nueva]]</f>
        <v>115168.6</v>
      </c>
      <c r="AA137" s="6">
        <f>IF(AND(A137=1,Tabla145[[#This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7" s="6">
        <v>0</v>
      </c>
      <c r="AC137" s="6">
        <f>IF(Tabla145[[#This Row],[Disponible stock sin venta]]&gt;0,Tabla145[[#This Row],[Disponible stock sin venta]]+Tabla145[[#This Row],[Ajuste stock sin venta]],0)</f>
        <v>0</v>
      </c>
      <c r="AD137" s="3">
        <f>IFERROR(VLOOKUP(Tabla145[[#This Row],[Llave]],'[16]TD Puerto'!$A:$D,4,FALSE),0)</f>
        <v>21210</v>
      </c>
      <c r="AE137" s="3">
        <v>21210</v>
      </c>
      <c r="AF137" s="3">
        <f>+Tabla145[[#This Row],[Plan Irrestricto Inicial]]</f>
        <v>21210</v>
      </c>
      <c r="AG137" s="3">
        <f>+Tabla145[[#This Row],[En puerto a facturar]]</f>
        <v>21210</v>
      </c>
      <c r="AH137" s="3">
        <f>+Tabla145[[#This Row],[Facturación atraso]]</f>
        <v>0</v>
      </c>
      <c r="AI137" s="3">
        <f>+Tabla145[[#This Row],[Plan Irrestricto]]-Tabla145[[#This Row],[Puerto ]]-Tabla145[[#This Row],[Atraso]]</f>
        <v>0</v>
      </c>
      <c r="AJ137" s="3">
        <f>IF(Tabla145[[#This Row],[Plan Irrestricto]]&gt;0,SUM(Tabla145[[#This Row],[Facturación atraso]],Tabla145[[#This Row],[Facturación Venta nueva]],Tabla145[[#This Row],[Facturación stock]],Tabla145[[#This Row],[En puerto a facturar]]),0)</f>
        <v>21210</v>
      </c>
      <c r="AK137" s="3">
        <f>+Tabla145[[#This Row],[Facturación atraso]]</f>
        <v>0</v>
      </c>
      <c r="AL137" s="3">
        <f>+Tabla145[[#This Row],[Plan Ajustado]]-Tabla145[[#This Row],[ Atraso ajustado]]-Tabla145[[#This Row],[Puerto ]]</f>
        <v>0</v>
      </c>
      <c r="AM137" s="6">
        <f>IFERROR(VLOOKUP(Tabla145[[#This Row],[Llave]],[18]!Tabla14[#All],34,FALSE),0)</f>
        <v>0</v>
      </c>
      <c r="AN137" s="6">
        <f>IFERROR(VLOOKUP(Tabla145[[#This Row],[Llave]],[18]!Tabla14[#All],35,FALSE),0)</f>
        <v>0</v>
      </c>
      <c r="AO137" s="3" t="str">
        <f>IF(Tabla145[[#This Row],[Plan Ajustado]]&gt;Tabla145[[#This Row],[En puerto a facturar]],"Si","No")</f>
        <v>No</v>
      </c>
      <c r="AP13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37" s="3">
        <f>IF(Tabla145[[#This Row],[Necesidad]]&gt;=Tabla145[[#This Row],[Stock al día]],Tabla145[[#This Row],[Stock al día]],Tabla145[[#This Row],[Necesidad]])</f>
        <v>0</v>
      </c>
      <c r="AR137" s="3">
        <f>+Tabla145[[#This Row],[Necesidad]]-Tabla145[[#This Row],[Stock Plan]]</f>
        <v>0</v>
      </c>
      <c r="AS137" s="155">
        <f>IFERROR(VLOOKUP(Tabla145[[#This Row],[Oficina]],[19]Ponderación!$B$14:$E$21,4,FALSE),"")</f>
        <v>44786</v>
      </c>
      <c r="AT13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1.1374107699502487</v>
      </c>
      <c r="AU137" s="84">
        <f>+Tabla145[[#This Row],[Precio venta nueva]]</f>
        <v>1.1374107699502487</v>
      </c>
      <c r="AV13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1.1374107699502487</v>
      </c>
      <c r="AW137" s="5">
        <f>Tabla145[[#This Row],[Ajuste precio IC]]*Tabla145[[#This Row],[Plan Ajustado]]</f>
        <v>24488.825758070077</v>
      </c>
      <c r="AX137" s="30">
        <f>IFERROR(VLOOKUP(Tabla145[[#This Row],[Llave]],'[13]Ultimos precios facturados'!$A:$G,7,FALSE),0)</f>
        <v>1.1374107699502487</v>
      </c>
      <c r="AY13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</v>
      </c>
      <c r="AZ137" s="30">
        <f>IFERROR(VLOOKUP(Tabla145[[#This Row],[Llave]],Hoja2!B:K,10,FALSE),0)</f>
        <v>1.1545886731763355</v>
      </c>
      <c r="BA137" s="30">
        <f>IF(Tabla145[[#This Row],[Ajuste precio IC]]="",Tabla145[[#This Row],[Precio ponderado]],Tabla145[[#This Row],[Precio ponderado]])</f>
        <v>1.1374107699502487</v>
      </c>
      <c r="BB137" s="82"/>
      <c r="BC137" s="82" t="str">
        <f>IF(AND(Tabla145[[#This Row],[Atraso a facturar]]&gt;0,Tabla145[[#This Row],[Precio Atraso]]=0),"Revisar","OK")</f>
        <v>OK</v>
      </c>
      <c r="BD137" s="82" t="str">
        <f>IF(AND(Tabla145[[#This Row],[Venta del mes]]&gt;0,Tabla145[[#This Row],[Precio venta nueva]]=0),"Revisar","OK")</f>
        <v>OK</v>
      </c>
      <c r="BE137" s="20">
        <f>IFERROR(VLOOKUP(Tabla145[[#This Row],[Llave]],'[5]Consolidación planes'!$A:$M,9,FALSE),0)</f>
        <v>144000</v>
      </c>
      <c r="BF137" s="20">
        <f>IFERROR(VLOOKUP(Tabla145[[#This Row],[Llave]],'[5]Consolidación planes'!$A:$M,10,FALSE),0)</f>
        <v>144000</v>
      </c>
      <c r="BG137" s="20">
        <f>IFERROR(VLOOKUP(Tabla145[[#This Row],[Llave]],'[5]Consolidación planes'!$A:$M,11,FALSE),0)</f>
        <v>120000</v>
      </c>
      <c r="BH137" s="20">
        <f>IFERROR(VLOOKUP(Tabla145[[#This Row],[Llave]],'[5]Consolidación planes'!$A:$M,12,FALSE),0)</f>
        <v>144000</v>
      </c>
      <c r="BI137" s="20">
        <f>IFERROR(VLOOKUP(Tabla145[[#This Row],[Llave]],'[5]Consolidación planes'!$A:$M,13,FALSE),0)</f>
        <v>71100</v>
      </c>
      <c r="BJ137" s="20">
        <f>IFERROR(VLOOKUP(Tabla145[[#This Row],[Llave]],'[13]Base ultimos planes'!$A:$M,13,FALSE),0)</f>
        <v>72000</v>
      </c>
      <c r="BK137" s="80">
        <f>IFERROR(VLOOKUP(Tabla145[[#This Row],[Llave]],'[13]Base ultimos planes'!$O:$AA,8,FALSE),0)</f>
        <v>163350</v>
      </c>
      <c r="BL137" s="20">
        <f>IFERROR(VLOOKUP(Tabla145[[#This Row],[Llave]],'[13]Base ultimos planes'!$O:$AA,9,FALSE),0)</f>
        <v>144000</v>
      </c>
      <c r="BM137" s="20">
        <f>IFERROR(VLOOKUP(Tabla145[[#This Row],[Llave]],'[13]Base ultimos planes'!$O:$AA,10,FALSE),0)</f>
        <v>120000</v>
      </c>
      <c r="BN137" s="20">
        <f>IFERROR(VLOOKUP(Tabla145[[#This Row],[Llave]],'[13]Base ultimos planes'!$O:$AA,11,FALSE),0)</f>
        <v>142519</v>
      </c>
      <c r="BO137" s="20">
        <f>IFERROR(VLOOKUP(Tabla145[[#This Row],[Llave]],'[13]Base ultimos planes'!$O:$AA,12,FALSE),0)</f>
        <v>73751</v>
      </c>
      <c r="BP137" s="20">
        <f>IFERROR(VLOOKUP(Tabla145[[#This Row],[Llave]],'[13]Base ultimos planes'!$O:$AA,13,FALSE),0)</f>
        <v>79080</v>
      </c>
      <c r="BQ137" s="20"/>
      <c r="BR137" s="20">
        <f>Tabla145[[#This Row],[ RV Producción mes n+1]]*(1-Tabla145[[#This Row],[% Uti. producción]])</f>
        <v>0</v>
      </c>
      <c r="BS137" s="20">
        <f>+Tabla145[[#This Row],[Producción disponible mes n-1]]+Tabla145[[#This Row],[Saldo Volumen disponible]]</f>
        <v>115168.6</v>
      </c>
      <c r="BT137" s="7">
        <f>IFERROR(VLOOKUP(Tabla145[[#This Row],[Llave]],'[21]RV n+2 y n+3'!$B:$F,4,FALSE),0)</f>
        <v>0</v>
      </c>
      <c r="BU137" s="7">
        <f>+Tabla145[[#This Row],[Asignación mes n+2]]*Tabla145[[#This Row],[% Uti. producción]]</f>
        <v>0</v>
      </c>
      <c r="BV137" s="7">
        <f>+Tabla145[[#This Row],[Ponderación mes n+2]]+Tabla145[[#This Row],[Saldo mes n-1]]</f>
        <v>115168.6</v>
      </c>
      <c r="BW137" s="7">
        <f>+Tabla145[[#This Row],[Asignación mes n+2]]-Tabla145[[#This Row],[Ponderación mes n+2]]</f>
        <v>0</v>
      </c>
      <c r="BX137" s="7">
        <f>IFERROR(VLOOKUP(Tabla145[[#This Row],[Llave]],'[21]RV n+2 y n+3'!$B:$F,5,FALSE),0)</f>
        <v>0</v>
      </c>
      <c r="BY137" s="7">
        <f>+Tabla145[[#This Row],[Asignación mes n+3]]*Tabla145[[#This Row],[% Uti. producción]]</f>
        <v>0</v>
      </c>
      <c r="BZ137" s="3">
        <f>+Tabla145[[#This Row],[Ponderación mes n+3]]+Tabla145[[#This Row],[Saldo mes n+2]]</f>
        <v>0</v>
      </c>
      <c r="CA137" s="3">
        <f>+Tabla145[[#This Row],[Asignación mes n+3]]-Tabla145[[#This Row],[Ponderación mes n+3]]</f>
        <v>0</v>
      </c>
      <c r="CB137" s="3">
        <f>+Tabla145[[#This Row],[Producción disponible mes n-1]]+Tabla145[[#This Row],[Producción disponible]]</f>
        <v>0</v>
      </c>
      <c r="CC137" s="3">
        <f>+Tabla145[[#This Row],[Saldo mes n+4]]-Tabla145[[#This Row],[ RV Producción mes n+1]]</f>
        <v>0</v>
      </c>
    </row>
    <row r="138" spans="1:81" ht="16" x14ac:dyDescent="0.2">
      <c r="A138">
        <v>2</v>
      </c>
      <c r="B138" t="str">
        <f>Tabla145[[#This Row],[Oficina]]&amp;Tabla145[[#This Row],[Material]]</f>
        <v>Agrosuper Shanghai1022748</v>
      </c>
      <c r="C138" t="s">
        <v>6</v>
      </c>
      <c r="D138" t="s">
        <v>140</v>
      </c>
      <c r="E138">
        <v>1022748</v>
      </c>
      <c r="F138" t="s">
        <v>171</v>
      </c>
      <c r="G138" t="s">
        <v>76</v>
      </c>
      <c r="H138" t="s">
        <v>77</v>
      </c>
      <c r="I138" s="7">
        <f>IFERROR(VLOOKUP(Tabla145[[#This Row],[Llave]],'[7]RV Producción'!$C:$G,5,FALSE),0)</f>
        <v>0</v>
      </c>
      <c r="J138" s="3">
        <f>IFERROR(IF(Tabla145[[#This Row],[Oficina]]=$I$7,VLOOKUP(Tabla145[[#This Row],[Llave]],'[7]Shangai (Tomas)'!$A:$F,6,FALSE),VLOOKUP(Tabla145[[#This Row],[Llave]],'[7]RV plan de ventas'!$A:$E,5,FALSE)),0)</f>
        <v>0</v>
      </c>
      <c r="K138" s="8">
        <f>IFERROR(VLOOKUP(Tabla145[[#This Row],[Oficina]],[15]Ponderación!$B$2:$E$9,4,FALSE),0)</f>
        <v>0.45719439678473212</v>
      </c>
      <c r="L138" s="7">
        <f>+Tabla145[[#This Row],[ RV Producción mes n+1]]*Tabla145[[#This Row],[% Uti. producción]]</f>
        <v>0</v>
      </c>
      <c r="M138" s="7">
        <f>IFERROR(VLOOKUP(Tabla145[[#This Row],[Material]],[16]Stock!$G:$K,5,FALSE),0)</f>
        <v>109324</v>
      </c>
      <c r="N138" s="7">
        <f>IFERROR(VLOOKUP(Tabla145[[#This Row],[Material]],[16]Produccion!$M:$N,2,FALSE),0)</f>
        <v>66347.78</v>
      </c>
      <c r="O138" s="7">
        <f>IFERROR(VLOOKUP(Tabla145[[#This Row],[Llave]],'[16]TD Conf-AP'!$I:$M,4,FALSE),0)</f>
        <v>0</v>
      </c>
      <c r="P138" s="14">
        <f>SUM(Tabla145[[#This Row],[Producción disponible]],Tabla145[[#This Row],[Stock al día]],(Tabla145[[#This Row],[Por producir mes N]]*0.9))-Tabla145[[#This Row],[Producción por despachar mes N]]</f>
        <v>169037.00200000001</v>
      </c>
      <c r="Q138" s="7">
        <f>IFERROR(VLOOKUP(Tabla145[[#This Row],[Llave]],[17]DELAY!$A:$D,4,FALSE),0)</f>
        <v>0</v>
      </c>
      <c r="R138" s="9">
        <v>24000</v>
      </c>
      <c r="S138" s="5">
        <f t="shared" ref="S138:S201" si="7">IF(AND(P138&gt;Q138,Q138&gt;0),Q138,IF(AND(P138&lt;Q138,Q138&gt;0),(ROUNDDOWN(P138/R138,0)*R138),0))</f>
        <v>0</v>
      </c>
      <c r="T138" s="76"/>
      <c r="U138" s="5">
        <f>+Tabla145[[#This Row],[Atraso a facturar]]+Tabla145[[#This Row],[Ajuste atraso]]</f>
        <v>0</v>
      </c>
      <c r="V138" s="3">
        <f>+Tabla145[[#This Row],[Total disponible]]-Tabla145[[#This Row],[Facturación atraso]]</f>
        <v>169037.00200000001</v>
      </c>
      <c r="W138" s="6">
        <f>IFERROR(IF(AND(V138&gt;R138,J138&gt;=R138),ROUNDDOWN((Tabla145[[#This Row],[Producción para venta nueva]])/R138,0)*R138,0),0)</f>
        <v>0</v>
      </c>
      <c r="X138" s="76">
        <v>0</v>
      </c>
      <c r="Y138" s="6">
        <f>IF(Tabla145[[#This Row],[Venta del mes]]&gt;0,Tabla145[[#This Row],[Venta del mes]]+Tabla145[[#This Row],[Ajuste venta nueva]],0)</f>
        <v>0</v>
      </c>
      <c r="Z138" s="6">
        <f>+Tabla145[[#This Row],[Producción para venta nueva]]-Tabla145[[#This Row],[Facturación Venta nueva]]</f>
        <v>169037.00200000001</v>
      </c>
      <c r="AA138" s="6">
        <f>IF(AND(A138=1,Tabla145[[#This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8" s="6">
        <v>0</v>
      </c>
      <c r="AC138" s="6">
        <f>IF(Tabla145[[#This Row],[Disponible stock sin venta]]&gt;0,Tabla145[[#This Row],[Disponible stock sin venta]]+Tabla145[[#This Row],[Ajuste stock sin venta]],0)</f>
        <v>0</v>
      </c>
      <c r="AD138" s="3">
        <f>IFERROR(VLOOKUP(Tabla145[[#This Row],[Llave]],'[16]TD Puerto'!$A:$D,4,FALSE),0)</f>
        <v>0</v>
      </c>
      <c r="AE138" s="3">
        <v>0</v>
      </c>
      <c r="AF138" s="3">
        <f>+Tabla145[[#This Row],[Plan Irrestricto Inicial]]</f>
        <v>0</v>
      </c>
      <c r="AG138" s="3">
        <f>+Tabla145[[#This Row],[En puerto a facturar]]</f>
        <v>0</v>
      </c>
      <c r="AH138" s="3">
        <f>+Tabla145[[#This Row],[Facturación atraso]]</f>
        <v>0</v>
      </c>
      <c r="AI138" s="3">
        <f>+Tabla145[[#This Row],[Plan Irrestricto]]-Tabla145[[#This Row],[Puerto ]]-Tabla145[[#This Row],[Atraso]]</f>
        <v>0</v>
      </c>
      <c r="AJ13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38" s="3">
        <f>+Tabla145[[#This Row],[Facturación atraso]]</f>
        <v>0</v>
      </c>
      <c r="AL138" s="3">
        <f>+Tabla145[[#This Row],[Plan Ajustado]]-Tabla145[[#This Row],[ Atraso ajustado]]-Tabla145[[#This Row],[Puerto ]]</f>
        <v>0</v>
      </c>
      <c r="AM138" s="6">
        <f>IFERROR(VLOOKUP(Tabla145[[#This Row],[Llave]],[18]!Tabla14[#All],34,FALSE),0)</f>
        <v>0</v>
      </c>
      <c r="AN138" s="6">
        <f>IFERROR(VLOOKUP(Tabla145[[#This Row],[Llave]],[18]!Tabla14[#All],35,FALSE),0)</f>
        <v>0</v>
      </c>
      <c r="AO138" s="3" t="str">
        <f>IF(Tabla145[[#This Row],[Plan Ajustado]]&gt;Tabla145[[#This Row],[En puerto a facturar]],"Si","No")</f>
        <v>No</v>
      </c>
      <c r="AP13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38" s="3">
        <f>IF(Tabla145[[#This Row],[Necesidad]]&gt;=Tabla145[[#This Row],[Stock al día]],Tabla145[[#This Row],[Stock al día]],Tabla145[[#This Row],[Necesidad]])</f>
        <v>0</v>
      </c>
      <c r="AR138" s="3">
        <f>+Tabla145[[#This Row],[Necesidad]]-Tabla145[[#This Row],[Stock Plan]]</f>
        <v>0</v>
      </c>
      <c r="AS138" s="155">
        <f>IFERROR(VLOOKUP(Tabla145[[#This Row],[Oficina]],[19]Ponderación!$B$14:$E$21,4,FALSE),"")</f>
        <v>44786</v>
      </c>
      <c r="AT13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5.1230665429541196</v>
      </c>
      <c r="AU138" s="83">
        <f>IFERROR(VLOOKUP(Tabla145[[#This Row],[Llave]],[17]DELAY!$H:$W,16,FALSE),0)</f>
        <v>0</v>
      </c>
      <c r="AV13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38" s="5">
        <f>Tabla145[[#This Row],[Ajuste precio IC]]*Tabla145[[#This Row],[Plan Ajustado]]</f>
        <v>0</v>
      </c>
      <c r="AX138" s="30">
        <f>IFERROR(VLOOKUP(Tabla145[[#This Row],[Llave]],'[13]Ultimos precios facturados'!$A:$G,7,FALSE),0)</f>
        <v>5.1230665429541196</v>
      </c>
      <c r="AY13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38" s="30">
        <f>IFERROR(VLOOKUP(Tabla145[[#This Row],[Llave]],Hoja2!B:K,10,FALSE),0)</f>
        <v>0</v>
      </c>
      <c r="BA138" s="30">
        <f>IF(Tabla145[[#This Row],[Ajuste precio IC]]="",Tabla145[[#This Row],[Precio ponderado]],Tabla145[[#This Row],[Precio ponderado]])</f>
        <v>0</v>
      </c>
      <c r="BB138" s="82"/>
      <c r="BC138" s="82" t="str">
        <f>IF(AND(Tabla145[[#This Row],[Atraso a facturar]]&gt;0,Tabla145[[#This Row],[Precio Atraso]]=0),"Revisar","OK")</f>
        <v>OK</v>
      </c>
      <c r="BD138" s="82" t="str">
        <f>IF(AND(Tabla145[[#This Row],[Venta del mes]]&gt;0,Tabla145[[#This Row],[Precio venta nueva]]=0),"Revisar","OK")</f>
        <v>OK</v>
      </c>
      <c r="BE138" s="20">
        <f>IFERROR(VLOOKUP(Tabla145[[#This Row],[Llave]],'[5]Consolidación planes'!$A:$M,9,FALSE),0)</f>
        <v>144000</v>
      </c>
      <c r="BF138" s="20">
        <f>IFERROR(VLOOKUP(Tabla145[[#This Row],[Llave]],'[5]Consolidación planes'!$A:$M,10,FALSE),0)</f>
        <v>0</v>
      </c>
      <c r="BG138" s="20">
        <f>IFERROR(VLOOKUP(Tabla145[[#This Row],[Llave]],'[5]Consolidación planes'!$A:$M,11,FALSE),0)</f>
        <v>84000</v>
      </c>
      <c r="BH138" s="20">
        <f>IFERROR(VLOOKUP(Tabla145[[#This Row],[Llave]],'[5]Consolidación planes'!$A:$M,12,FALSE),0)</f>
        <v>132000</v>
      </c>
      <c r="BI138" s="20">
        <f>IFERROR(VLOOKUP(Tabla145[[#This Row],[Llave]],'[5]Consolidación planes'!$A:$M,13,FALSE),0)</f>
        <v>96000</v>
      </c>
      <c r="BJ138" s="20">
        <f>IFERROR(VLOOKUP(Tabla145[[#This Row],[Llave]],'[13]Base ultimos planes'!$A:$M,13,FALSE),0)</f>
        <v>68000</v>
      </c>
      <c r="BK138" s="80">
        <f>IFERROR(VLOOKUP(Tabla145[[#This Row],[Llave]],'[13]Base ultimos planes'!$O:$AA,8,FALSE),0)</f>
        <v>636000</v>
      </c>
      <c r="BL138" s="20">
        <f>IFERROR(VLOOKUP(Tabla145[[#This Row],[Llave]],'[13]Base ultimos planes'!$O:$AA,9,FALSE),0)</f>
        <v>0</v>
      </c>
      <c r="BM138" s="20">
        <f>IFERROR(VLOOKUP(Tabla145[[#This Row],[Llave]],'[13]Base ultimos planes'!$O:$AA,10,FALSE),0)</f>
        <v>398160</v>
      </c>
      <c r="BN138" s="20">
        <f>IFERROR(VLOOKUP(Tabla145[[#This Row],[Llave]],'[13]Base ultimos planes'!$O:$AA,11,FALSE),0)</f>
        <v>623093</v>
      </c>
      <c r="BO138" s="20">
        <f>IFERROR(VLOOKUP(Tabla145[[#This Row],[Llave]],'[13]Base ultimos planes'!$O:$AA,12,FALSE),0)</f>
        <v>455946</v>
      </c>
      <c r="BP138" s="20">
        <f>IFERROR(VLOOKUP(Tabla145[[#This Row],[Llave]],'[13]Base ultimos planes'!$O:$AA,13,FALSE),0)</f>
        <v>342073</v>
      </c>
      <c r="BQ138" s="20"/>
      <c r="BR138" s="20">
        <f>Tabla145[[#This Row],[ RV Producción mes n+1]]*(1-Tabla145[[#This Row],[% Uti. producción]])</f>
        <v>0</v>
      </c>
      <c r="BS138" s="20">
        <f>+Tabla145[[#This Row],[Producción disponible mes n-1]]+Tabla145[[#This Row],[Saldo Volumen disponible]]</f>
        <v>169037.00200000001</v>
      </c>
      <c r="BT138" s="7">
        <f>IFERROR(VLOOKUP(Tabla145[[#This Row],[Llave]],'[21]RV n+2 y n+3'!$B:$F,4,FALSE),0)</f>
        <v>0</v>
      </c>
      <c r="BU138" s="7">
        <f>+Tabla145[[#This Row],[Asignación mes n+2]]*Tabla145[[#This Row],[% Uti. producción]]</f>
        <v>0</v>
      </c>
      <c r="BV138" s="7">
        <f>+Tabla145[[#This Row],[Ponderación mes n+2]]+Tabla145[[#This Row],[Saldo mes n-1]]</f>
        <v>169037.00200000001</v>
      </c>
      <c r="BW138" s="7">
        <f>+Tabla145[[#This Row],[Asignación mes n+2]]-Tabla145[[#This Row],[Ponderación mes n+2]]</f>
        <v>0</v>
      </c>
      <c r="BX138" s="7">
        <f>IFERROR(VLOOKUP(Tabla145[[#This Row],[Llave]],'[21]RV n+2 y n+3'!$B:$F,5,FALSE),0)</f>
        <v>0</v>
      </c>
      <c r="BY138" s="7">
        <f>+Tabla145[[#This Row],[Asignación mes n+3]]*Tabla145[[#This Row],[% Uti. producción]]</f>
        <v>0</v>
      </c>
      <c r="BZ138" s="3">
        <f>+Tabla145[[#This Row],[Ponderación mes n+3]]+Tabla145[[#This Row],[Saldo mes n+2]]</f>
        <v>0</v>
      </c>
      <c r="CA138" s="3">
        <f>+Tabla145[[#This Row],[Asignación mes n+3]]-Tabla145[[#This Row],[Ponderación mes n+3]]</f>
        <v>0</v>
      </c>
      <c r="CB138" s="3">
        <f>+Tabla145[[#This Row],[Producción disponible mes n-1]]+Tabla145[[#This Row],[Producción disponible]]</f>
        <v>0</v>
      </c>
      <c r="CC138" s="3">
        <f>+Tabla145[[#This Row],[Saldo mes n+4]]-Tabla145[[#This Row],[ RV Producción mes n+1]]</f>
        <v>0</v>
      </c>
    </row>
    <row r="139" spans="1:81" ht="16" x14ac:dyDescent="0.2">
      <c r="A139">
        <v>2</v>
      </c>
      <c r="B139" t="str">
        <f>Tabla145[[#This Row],[Oficina]]&amp;Tabla145[[#This Row],[Material]]</f>
        <v>Agrosuper Shanghai1022851</v>
      </c>
      <c r="C139" t="s">
        <v>6</v>
      </c>
      <c r="D139" t="s">
        <v>140</v>
      </c>
      <c r="E139">
        <v>1022851</v>
      </c>
      <c r="F139" t="s">
        <v>157</v>
      </c>
      <c r="G139" t="s">
        <v>53</v>
      </c>
      <c r="H139" t="s">
        <v>156</v>
      </c>
      <c r="I139" s="7">
        <f>IFERROR(VLOOKUP(Tabla145[[#This Row],[Llave]],'[7]RV Producción'!$C:$G,5,FALSE),0)</f>
        <v>0</v>
      </c>
      <c r="J139" s="3">
        <f>IFERROR(IF(Tabla145[[#This Row],[Oficina]]=$I$7,VLOOKUP(Tabla145[[#This Row],[Llave]],'[7]Shangai (Tomas)'!$A:$F,6,FALSE),VLOOKUP(Tabla145[[#This Row],[Llave]],'[7]RV plan de ventas'!$A:$E,5,FALSE)),0)</f>
        <v>0</v>
      </c>
      <c r="K139" s="8">
        <f>IFERROR(VLOOKUP(Tabla145[[#This Row],[Oficina]],[15]Ponderación!$B$2:$E$9,4,FALSE),0)</f>
        <v>0.45719439678473212</v>
      </c>
      <c r="L139" s="7">
        <f>+Tabla145[[#This Row],[ RV Producción mes n+1]]*Tabla145[[#This Row],[% Uti. producción]]</f>
        <v>0</v>
      </c>
      <c r="M139" s="7">
        <f>IFERROR(VLOOKUP(Tabla145[[#This Row],[Material]],[16]Stock!$G:$K,5,FALSE),0)</f>
        <v>142992</v>
      </c>
      <c r="N139" s="7">
        <f>IFERROR(VLOOKUP(Tabla145[[#This Row],[Material]],[16]Produccion!$M:$N,2,FALSE),0)</f>
        <v>59631.846092371845</v>
      </c>
      <c r="O139" s="7">
        <f>IFERROR(VLOOKUP(Tabla145[[#This Row],[Llave]],'[16]TD Conf-AP'!$I:$M,4,FALSE),0)</f>
        <v>24000</v>
      </c>
      <c r="P139" s="14">
        <f>SUM(Tabla145[[#This Row],[Producción disponible]],Tabla145[[#This Row],[Stock al día]],(Tabla145[[#This Row],[Por producir mes N]]*0.9))-Tabla145[[#This Row],[Producción por despachar mes N]]</f>
        <v>172660.66148313467</v>
      </c>
      <c r="Q139" s="7">
        <f>IFERROR(VLOOKUP(Tabla145[[#This Row],[Llave]],[17]DELAY!$A:$D,4,FALSE),0)</f>
        <v>96000</v>
      </c>
      <c r="R139" s="9">
        <v>24000</v>
      </c>
      <c r="S139" s="5">
        <f t="shared" si="7"/>
        <v>96000</v>
      </c>
      <c r="T139" s="76"/>
      <c r="U139" s="5">
        <f>+Tabla145[[#This Row],[Atraso a facturar]]+Tabla145[[#This Row],[Ajuste atraso]]</f>
        <v>96000</v>
      </c>
      <c r="V139" s="3">
        <f>+Tabla145[[#This Row],[Total disponible]]-Tabla145[[#This Row],[Facturación atraso]]</f>
        <v>76660.661483134667</v>
      </c>
      <c r="W139" s="6">
        <f>IFERROR(IF(AND(V139&gt;R139,J139&gt;=R139),ROUNDDOWN((Tabla145[[#This Row],[Producción para venta nueva]])/R139,0)*R139,0),0)</f>
        <v>0</v>
      </c>
      <c r="X139" s="76">
        <v>0</v>
      </c>
      <c r="Y139" s="6">
        <f>IF(Tabla145[[#This Row],[Venta del mes]]&gt;0,Tabla145[[#This Row],[Venta del mes]]+Tabla145[[#This Row],[Ajuste venta nueva]],0)</f>
        <v>0</v>
      </c>
      <c r="Z139" s="6">
        <f>+Tabla145[[#This Row],[Producción para venta nueva]]-Tabla145[[#This Row],[Facturación Venta nueva]]</f>
        <v>76660.661483134667</v>
      </c>
      <c r="AA139" s="6">
        <f>IF(AND(A139=1,Tabla145[[#This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39" s="6">
        <v>0</v>
      </c>
      <c r="AC139" s="6">
        <f>IF(Tabla145[[#This Row],[Disponible stock sin venta]]&gt;0,Tabla145[[#This Row],[Disponible stock sin venta]]+Tabla145[[#This Row],[Ajuste stock sin venta]],0)</f>
        <v>0</v>
      </c>
      <c r="AD139" s="3">
        <f>IFERROR(VLOOKUP(Tabla145[[#This Row],[Llave]],'[16]TD Puerto'!$A:$D,4,FALSE),0)</f>
        <v>0</v>
      </c>
      <c r="AE139" s="3">
        <v>24000</v>
      </c>
      <c r="AF139" s="3">
        <f>+Tabla145[[#This Row],[Plan Irrestricto Inicial]]</f>
        <v>24000</v>
      </c>
      <c r="AG139" s="3">
        <f>+Tabla145[[#This Row],[En puerto a facturar]]</f>
        <v>0</v>
      </c>
      <c r="AH139" s="3">
        <f>+Tabla145[[#This Row],[Facturación atraso]]</f>
        <v>96000</v>
      </c>
      <c r="AI139" s="3">
        <f>+Tabla145[[#This Row],[Plan Irrestricto]]-Tabla145[[#This Row],[Puerto ]]-Tabla145[[#This Row],[Atraso]]</f>
        <v>-72000</v>
      </c>
      <c r="AJ139" s="3">
        <f>IF(Tabla145[[#This Row],[Plan Irrestricto]]&gt;0,SUM(Tabla145[[#This Row],[Facturación atraso]],Tabla145[[#This Row],[Facturación Venta nueva]],Tabla145[[#This Row],[Facturación stock]],Tabla145[[#This Row],[En puerto a facturar]]),0)</f>
        <v>96000</v>
      </c>
      <c r="AK139" s="3">
        <f>+Tabla145[[#This Row],[Facturación atraso]]</f>
        <v>96000</v>
      </c>
      <c r="AL139" s="3">
        <f>+Tabla145[[#This Row],[Plan Ajustado]]-Tabla145[[#This Row],[ Atraso ajustado]]-Tabla145[[#This Row],[Puerto ]]</f>
        <v>0</v>
      </c>
      <c r="AM139" s="6">
        <f>IFERROR(VLOOKUP(Tabla145[[#This Row],[Llave]],[18]!Tabla14[#All],34,FALSE),0)</f>
        <v>0</v>
      </c>
      <c r="AN139" s="6">
        <f>IFERROR(VLOOKUP(Tabla145[[#This Row],[Llave]],[18]!Tabla14[#All],35,FALSE),0)</f>
        <v>0</v>
      </c>
      <c r="AO139" s="3" t="str">
        <f>IF(Tabla145[[#This Row],[Plan Ajustado]]&gt;Tabla145[[#This Row],[En puerto a facturar]],"Si","No")</f>
        <v>Si</v>
      </c>
      <c r="AP139" s="3">
        <f>IF(AND(Tabla145[[#This Row],[Plan Ajustado]]&gt;0,Tabla145[[#This Row],[Plan Ajustado]]&gt;Tabla145[[#This Row],[En puerto a facturar]]),(Tabla145[[#This Row],[Plan Ajustado]]-Tabla145[[#This Row],[En puerto a facturar]]),0)</f>
        <v>96000</v>
      </c>
      <c r="AQ139" s="3">
        <f>IF(Tabla145[[#This Row],[Necesidad]]&gt;=Tabla145[[#This Row],[Stock al día]],Tabla145[[#This Row],[Stock al día]],Tabla145[[#This Row],[Necesidad]])</f>
        <v>96000</v>
      </c>
      <c r="AR139" s="3">
        <f>+Tabla145[[#This Row],[Necesidad]]-Tabla145[[#This Row],[Stock Plan]]</f>
        <v>0</v>
      </c>
      <c r="AS139" s="155">
        <f>IFERROR(VLOOKUP(Tabla145[[#This Row],[Oficina]],[19]Ponderación!$B$14:$E$21,4,FALSE),"")</f>
        <v>44786</v>
      </c>
      <c r="AT13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1.7376307295444997</v>
      </c>
      <c r="AU139" s="83">
        <f>IFERROR(VLOOKUP(Tabla145[[#This Row],[Llave]],[17]DELAY!$H:$W,16,FALSE),0)</f>
        <v>1.7755270833333325</v>
      </c>
      <c r="AV13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1.7755270833333325</v>
      </c>
      <c r="AW139" s="5">
        <f>Tabla145[[#This Row],[Ajuste precio IC]]*Tabla145[[#This Row],[Plan Ajustado]]</f>
        <v>170450.59999999992</v>
      </c>
      <c r="AX139" s="30">
        <f>IFERROR(VLOOKUP(Tabla145[[#This Row],[Llave]],'[13]Ultimos precios facturados'!$A:$G,7,FALSE),0)</f>
        <v>1.7376307295444997</v>
      </c>
      <c r="AY13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2.1809210175954316E-2</v>
      </c>
      <c r="AZ139" s="30">
        <f>IFERROR(VLOOKUP(Tabla145[[#This Row],[Llave]],Hoja2!B:K,10,FALSE),0)</f>
        <v>1.7755270833333325</v>
      </c>
      <c r="BA139" s="30">
        <f>IF(Tabla145[[#This Row],[Ajuste precio IC]]="",Tabla145[[#This Row],[Precio ponderado]],Tabla145[[#This Row],[Precio ponderado]])</f>
        <v>1.7755270833333325</v>
      </c>
      <c r="BB139" s="82"/>
      <c r="BC139" s="82" t="str">
        <f>IF(AND(Tabla145[[#This Row],[Atraso a facturar]]&gt;0,Tabla145[[#This Row],[Precio Atraso]]=0),"Revisar","OK")</f>
        <v>OK</v>
      </c>
      <c r="BD139" s="82" t="str">
        <f>IF(AND(Tabla145[[#This Row],[Venta del mes]]&gt;0,Tabla145[[#This Row],[Precio venta nueva]]=0),"Revisar","OK")</f>
        <v>OK</v>
      </c>
      <c r="BE139" s="20">
        <f>IFERROR(VLOOKUP(Tabla145[[#This Row],[Llave]],'[5]Consolidación planes'!$A:$M,9,FALSE),0)</f>
        <v>8596</v>
      </c>
      <c r="BF139" s="20">
        <f>IFERROR(VLOOKUP(Tabla145[[#This Row],[Llave]],'[5]Consolidación planes'!$A:$M,10,FALSE),0)</f>
        <v>0</v>
      </c>
      <c r="BG139" s="20">
        <f>IFERROR(VLOOKUP(Tabla145[[#This Row],[Llave]],'[5]Consolidación planes'!$A:$M,11,FALSE),0)</f>
        <v>8956</v>
      </c>
      <c r="BH139" s="20">
        <f>IFERROR(VLOOKUP(Tabla145[[#This Row],[Llave]],'[5]Consolidación planes'!$A:$M,12,FALSE),0)</f>
        <v>0</v>
      </c>
      <c r="BI139" s="20">
        <f>IFERROR(VLOOKUP(Tabla145[[#This Row],[Llave]],'[5]Consolidación planes'!$A:$M,13,FALSE),0)</f>
        <v>0</v>
      </c>
      <c r="BJ139" s="20">
        <f>IFERROR(VLOOKUP(Tabla145[[#This Row],[Llave]],'[13]Base ultimos planes'!$A:$M,13,FALSE),0)</f>
        <v>0</v>
      </c>
      <c r="BK139" s="80">
        <f>IFERROR(VLOOKUP(Tabla145[[#This Row],[Llave]],'[13]Base ultimos planes'!$O:$AA,8,FALSE),0)</f>
        <v>9025.7999999999993</v>
      </c>
      <c r="BL139" s="20">
        <f>IFERROR(VLOOKUP(Tabla145[[#This Row],[Llave]],'[13]Base ultimos planes'!$O:$AA,9,FALSE),0)</f>
        <v>0</v>
      </c>
      <c r="BM139" s="20">
        <f>IFERROR(VLOOKUP(Tabla145[[#This Row],[Llave]],'[13]Base ultimos planes'!$O:$AA,10,FALSE),0)</f>
        <v>9255</v>
      </c>
      <c r="BN139" s="20">
        <f>IFERROR(VLOOKUP(Tabla145[[#This Row],[Llave]],'[13]Base ultimos planes'!$O:$AA,11,FALSE),0)</f>
        <v>0</v>
      </c>
      <c r="BO139" s="20">
        <f>IFERROR(VLOOKUP(Tabla145[[#This Row],[Llave]],'[13]Base ultimos planes'!$O:$AA,12,FALSE),0)</f>
        <v>0</v>
      </c>
      <c r="BP139" s="20">
        <f>IFERROR(VLOOKUP(Tabla145[[#This Row],[Llave]],'[13]Base ultimos planes'!$O:$AA,13,FALSE),0)</f>
        <v>0</v>
      </c>
      <c r="BQ139" s="20"/>
      <c r="BR139" s="20">
        <f>Tabla145[[#This Row],[ RV Producción mes n+1]]*(1-Tabla145[[#This Row],[% Uti. producción]])</f>
        <v>0</v>
      </c>
      <c r="BS139" s="20">
        <f>+Tabla145[[#This Row],[Producción disponible mes n-1]]+Tabla145[[#This Row],[Saldo Volumen disponible]]</f>
        <v>76660.661483134667</v>
      </c>
      <c r="BT139" s="7">
        <f>IFERROR(VLOOKUP(Tabla145[[#This Row],[Llave]],'[21]RV n+2 y n+3'!$B:$F,4,FALSE),0)</f>
        <v>0</v>
      </c>
      <c r="BU139" s="7">
        <f>+Tabla145[[#This Row],[Asignación mes n+2]]*Tabla145[[#This Row],[% Uti. producción]]</f>
        <v>0</v>
      </c>
      <c r="BV139" s="7">
        <f>+Tabla145[[#This Row],[Ponderación mes n+2]]+Tabla145[[#This Row],[Saldo mes n-1]]</f>
        <v>76660.661483134667</v>
      </c>
      <c r="BW139" s="7">
        <f>+Tabla145[[#This Row],[Asignación mes n+2]]-Tabla145[[#This Row],[Ponderación mes n+2]]</f>
        <v>0</v>
      </c>
      <c r="BX139" s="7">
        <f>IFERROR(VLOOKUP(Tabla145[[#This Row],[Llave]],'[21]RV n+2 y n+3'!$B:$F,5,FALSE),0)</f>
        <v>0</v>
      </c>
      <c r="BY139" s="7">
        <f>+Tabla145[[#This Row],[Asignación mes n+3]]*Tabla145[[#This Row],[% Uti. producción]]</f>
        <v>0</v>
      </c>
      <c r="BZ139" s="3">
        <f>+Tabla145[[#This Row],[Ponderación mes n+3]]+Tabla145[[#This Row],[Saldo mes n+2]]</f>
        <v>0</v>
      </c>
      <c r="CA139" s="3">
        <f>+Tabla145[[#This Row],[Asignación mes n+3]]-Tabla145[[#This Row],[Ponderación mes n+3]]</f>
        <v>0</v>
      </c>
      <c r="CB139" s="3">
        <f>+Tabla145[[#This Row],[Producción disponible mes n-1]]+Tabla145[[#This Row],[Producción disponible]]</f>
        <v>0</v>
      </c>
      <c r="CC139" s="3">
        <f>+Tabla145[[#This Row],[Saldo mes n+4]]-Tabla145[[#This Row],[ RV Producción mes n+1]]</f>
        <v>0</v>
      </c>
    </row>
    <row r="140" spans="1:81" ht="16" x14ac:dyDescent="0.2">
      <c r="A140">
        <v>2</v>
      </c>
      <c r="B140" t="str">
        <f>Tabla145[[#This Row],[Oficina]]&amp;Tabla145[[#This Row],[Material]]</f>
        <v>Agrosuper Shanghai1022856</v>
      </c>
      <c r="C140" t="s">
        <v>6</v>
      </c>
      <c r="D140" t="s">
        <v>140</v>
      </c>
      <c r="E140">
        <v>1022856</v>
      </c>
      <c r="F140" t="s">
        <v>149</v>
      </c>
      <c r="G140" t="s">
        <v>11</v>
      </c>
      <c r="H140" t="s">
        <v>41</v>
      </c>
      <c r="I140" s="7">
        <f>IFERROR(VLOOKUP(Tabla145[[#This Row],[Llave]],'[7]RV Producción'!$C:$G,5,FALSE),0)</f>
        <v>165555</v>
      </c>
      <c r="J140" s="3">
        <f>IFERROR(IF(Tabla145[[#This Row],[Oficina]]=$I$7,VLOOKUP(Tabla145[[#This Row],[Llave]],'[7]Shangai (Tomas)'!$A:$F,6,FALSE),VLOOKUP(Tabla145[[#This Row],[Llave]],'[7]RV plan de ventas'!$A:$E,5,FALSE)),0)</f>
        <v>0</v>
      </c>
      <c r="K140" s="8">
        <f>IFERROR(VLOOKUP(Tabla145[[#This Row],[Oficina]],[15]Ponderación!$B$2:$E$9,4,FALSE),0)</f>
        <v>0.45719439678473212</v>
      </c>
      <c r="L140" s="7">
        <f>+Tabla145[[#This Row],[ RV Producción mes n+1]]*Tabla145[[#This Row],[% Uti. producción]]</f>
        <v>75690.818359696321</v>
      </c>
      <c r="M140" s="7">
        <f>IFERROR(VLOOKUP(Tabla145[[#This Row],[Material]],[16]Stock!$G:$K,5,FALSE),0)</f>
        <v>60913</v>
      </c>
      <c r="N140" s="7">
        <f>IFERROR(VLOOKUP(Tabla145[[#This Row],[Material]],[16]Produccion!$M:$N,2,FALSE),0)</f>
        <v>47647</v>
      </c>
      <c r="O140" s="7">
        <f>IFERROR(VLOOKUP(Tabla145[[#This Row],[Llave]],'[16]TD Conf-AP'!$I:$M,4,FALSE),0)</f>
        <v>0</v>
      </c>
      <c r="P140" s="14">
        <f>SUM(Tabla145[[#This Row],[Producción disponible]],Tabla145[[#This Row],[Stock al día]],(Tabla145[[#This Row],[Por producir mes N]]*0.9))-Tabla145[[#This Row],[Producción por despachar mes N]]</f>
        <v>179486.11835969629</v>
      </c>
      <c r="Q140" s="7">
        <f>IFERROR(VLOOKUP(Tabla145[[#This Row],[Llave]],[17]DELAY!$A:$D,4,FALSE),0)</f>
        <v>72000</v>
      </c>
      <c r="R140" s="9">
        <v>24000</v>
      </c>
      <c r="S140" s="5">
        <f t="shared" si="7"/>
        <v>72000</v>
      </c>
      <c r="T140" s="76"/>
      <c r="U140" s="5">
        <f>+Tabla145[[#This Row],[Atraso a facturar]]+Tabla145[[#This Row],[Ajuste atraso]]</f>
        <v>72000</v>
      </c>
      <c r="V140" s="3">
        <f>+Tabla145[[#This Row],[Total disponible]]-Tabla145[[#This Row],[Facturación atraso]]</f>
        <v>107486.11835969629</v>
      </c>
      <c r="W140" s="6">
        <f>IFERROR(IF(AND(V140&gt;R140,J140&gt;=R140),ROUNDDOWN((Tabla145[[#This Row],[Producción para venta nueva]])/R140,0)*R140,0),0)</f>
        <v>0</v>
      </c>
      <c r="X140" s="76">
        <v>0</v>
      </c>
      <c r="Y140" s="6">
        <f>IF(Tabla145[[#This Row],[Venta del mes]]&gt;0,Tabla145[[#This Row],[Venta del mes]]+Tabla145[[#This Row],[Ajuste venta nueva]],0)</f>
        <v>0</v>
      </c>
      <c r="Z140" s="6">
        <f>+Tabla145[[#This Row],[Producción para venta nueva]]-Tabla145[[#This Row],[Facturación Venta nueva]]</f>
        <v>107486.11835969629</v>
      </c>
      <c r="AA140" s="6">
        <f>IF(AND(A140=1,Tabla145[[#This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0" s="6">
        <v>0</v>
      </c>
      <c r="AC140" s="6">
        <f>IF(Tabla145[[#This Row],[Disponible stock sin venta]]&gt;0,Tabla145[[#This Row],[Disponible stock sin venta]]+Tabla145[[#This Row],[Ajuste stock sin venta]],0)</f>
        <v>0</v>
      </c>
      <c r="AD140" s="3">
        <f>IFERROR(VLOOKUP(Tabla145[[#This Row],[Llave]],'[16]TD Puerto'!$A:$D,4,FALSE),0)</f>
        <v>48000</v>
      </c>
      <c r="AE140" s="3">
        <v>120000</v>
      </c>
      <c r="AF140" s="3">
        <f>+Tabla145[[#This Row],[Plan Irrestricto Inicial]]</f>
        <v>120000</v>
      </c>
      <c r="AG140" s="3">
        <f>+Tabla145[[#This Row],[En puerto a facturar]]</f>
        <v>48000</v>
      </c>
      <c r="AH140" s="3">
        <f>+Tabla145[[#This Row],[Facturación atraso]]</f>
        <v>72000</v>
      </c>
      <c r="AI140" s="3">
        <f>+Tabla145[[#This Row],[Plan Irrestricto]]-Tabla145[[#This Row],[Puerto ]]-Tabla145[[#This Row],[Atraso]]</f>
        <v>0</v>
      </c>
      <c r="AJ140" s="3">
        <f>IF(Tabla145[[#This Row],[Plan Irrestricto]]&gt;0,SUM(Tabla145[[#This Row],[Facturación atraso]],Tabla145[[#This Row],[Facturación Venta nueva]],Tabla145[[#This Row],[Facturación stock]],Tabla145[[#This Row],[En puerto a facturar]]),0)</f>
        <v>120000</v>
      </c>
      <c r="AK140" s="3">
        <f>+Tabla145[[#This Row],[Facturación atraso]]</f>
        <v>72000</v>
      </c>
      <c r="AL140" s="3">
        <f>+Tabla145[[#This Row],[Plan Ajustado]]-Tabla145[[#This Row],[ Atraso ajustado]]-Tabla145[[#This Row],[Puerto ]]</f>
        <v>0</v>
      </c>
      <c r="AM140" s="6">
        <f>IFERROR(VLOOKUP(Tabla145[[#This Row],[Llave]],[18]!Tabla14[#All],34,FALSE),0)</f>
        <v>0</v>
      </c>
      <c r="AN140" s="6">
        <f>IFERROR(VLOOKUP(Tabla145[[#This Row],[Llave]],[18]!Tabla14[#All],35,FALSE),0)</f>
        <v>0</v>
      </c>
      <c r="AO140" s="3" t="str">
        <f>IF(Tabla145[[#This Row],[Plan Ajustado]]&gt;Tabla145[[#This Row],[En puerto a facturar]],"Si","No")</f>
        <v>Si</v>
      </c>
      <c r="AP140" s="3">
        <f>IF(AND(Tabla145[[#This Row],[Plan Ajustado]]&gt;0,Tabla145[[#This Row],[Plan Ajustado]]&gt;Tabla145[[#This Row],[En puerto a facturar]]),(Tabla145[[#This Row],[Plan Ajustado]]-Tabla145[[#This Row],[En puerto a facturar]]),0)</f>
        <v>72000</v>
      </c>
      <c r="AQ140" s="3">
        <f>IF(Tabla145[[#This Row],[Necesidad]]&gt;=Tabla145[[#This Row],[Stock al día]],Tabla145[[#This Row],[Stock al día]],Tabla145[[#This Row],[Necesidad]])</f>
        <v>60913</v>
      </c>
      <c r="AR140" s="3">
        <f>+Tabla145[[#This Row],[Necesidad]]-Tabla145[[#This Row],[Stock Plan]]</f>
        <v>11087</v>
      </c>
      <c r="AS140" s="155">
        <f>IFERROR(VLOOKUP(Tabla145[[#This Row],[Oficina]],[19]Ponderación!$B$14:$E$21,4,FALSE),"")</f>
        <v>44786</v>
      </c>
      <c r="AT14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0.96277822676154889</v>
      </c>
      <c r="AU140" s="83">
        <f>IFERROR(VLOOKUP(Tabla145[[#This Row],[Llave]],[17]DELAY!$H:$W,16,FALSE),0)</f>
        <v>1.25833333333333</v>
      </c>
      <c r="AV14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1.25833333333333</v>
      </c>
      <c r="AW140" s="5">
        <f>Tabla145[[#This Row],[Ajuste precio IC]]*Tabla145[[#This Row],[Plan Ajustado]]</f>
        <v>150999.99999999959</v>
      </c>
      <c r="AX140" s="30">
        <f>IFERROR(VLOOKUP(Tabla145[[#This Row],[Llave]],'[13]Ultimos precios facturados'!$A:$G,7,FALSE),0)</f>
        <v>0.96277822676154889</v>
      </c>
      <c r="AY14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0.30698150244415651</v>
      </c>
      <c r="AZ140" s="30">
        <f>IFERROR(VLOOKUP(Tabla145[[#This Row],[Llave]],Hoja2!B:K,10,FALSE),0)</f>
        <v>1.25833333333333</v>
      </c>
      <c r="BA140" s="30">
        <f>IF(Tabla145[[#This Row],[Ajuste precio IC]]="",Tabla145[[#This Row],[Precio ponderado]],Tabla145[[#This Row],[Precio ponderado]])</f>
        <v>1.25833333333333</v>
      </c>
      <c r="BB140" s="82"/>
      <c r="BC140" s="82" t="str">
        <f>IF(AND(Tabla145[[#This Row],[Atraso a facturar]]&gt;0,Tabla145[[#This Row],[Precio Atraso]]=0),"Revisar","OK")</f>
        <v>OK</v>
      </c>
      <c r="BD140" s="82" t="str">
        <f>IF(AND(Tabla145[[#This Row],[Venta del mes]]&gt;0,Tabla145[[#This Row],[Precio venta nueva]]=0),"Revisar","OK")</f>
        <v>OK</v>
      </c>
      <c r="BE140" s="20">
        <f>IFERROR(VLOOKUP(Tabla145[[#This Row],[Llave]],'[5]Consolidación planes'!$A:$M,9,FALSE),0)</f>
        <v>96000</v>
      </c>
      <c r="BF140" s="20">
        <f>IFERROR(VLOOKUP(Tabla145[[#This Row],[Llave]],'[5]Consolidación planes'!$A:$M,10,FALSE),0)</f>
        <v>24000</v>
      </c>
      <c r="BG140" s="20">
        <f>IFERROR(VLOOKUP(Tabla145[[#This Row],[Llave]],'[5]Consolidación planes'!$A:$M,11,FALSE),0)</f>
        <v>120000</v>
      </c>
      <c r="BH140" s="20">
        <f>IFERROR(VLOOKUP(Tabla145[[#This Row],[Llave]],'[5]Consolidación planes'!$A:$M,12,FALSE),0)</f>
        <v>120000</v>
      </c>
      <c r="BI140" s="20">
        <f>IFERROR(VLOOKUP(Tabla145[[#This Row],[Llave]],'[5]Consolidación planes'!$A:$M,13,FALSE),0)</f>
        <v>96000</v>
      </c>
      <c r="BJ140" s="20">
        <f>IFERROR(VLOOKUP(Tabla145[[#This Row],[Llave]],'[13]Base ultimos planes'!$A:$M,13,FALSE),0)</f>
        <v>73012</v>
      </c>
      <c r="BK140" s="80">
        <f>IFERROR(VLOOKUP(Tabla145[[#This Row],[Llave]],'[13]Base ultimos planes'!$O:$AA,8,FALSE),0)</f>
        <v>59626.666700000002</v>
      </c>
      <c r="BL140" s="20">
        <f>IFERROR(VLOOKUP(Tabla145[[#This Row],[Llave]],'[13]Base ultimos planes'!$O:$AA,9,FALSE),0)</f>
        <v>14400</v>
      </c>
      <c r="BM140" s="20">
        <f>IFERROR(VLOOKUP(Tabla145[[#This Row],[Llave]],'[13]Base ultimos planes'!$O:$AA,10,FALSE),0)</f>
        <v>90000</v>
      </c>
      <c r="BN140" s="20">
        <f>IFERROR(VLOOKUP(Tabla145[[#This Row],[Llave]],'[13]Base ultimos planes'!$O:$AA,11,FALSE),0)</f>
        <v>89108</v>
      </c>
      <c r="BO140" s="20">
        <f>IFERROR(VLOOKUP(Tabla145[[#This Row],[Llave]],'[13]Base ultimos planes'!$O:$AA,12,FALSE),0)</f>
        <v>84901</v>
      </c>
      <c r="BP140" s="20">
        <f>IFERROR(VLOOKUP(Tabla145[[#This Row],[Llave]],'[13]Base ultimos planes'!$O:$AA,13,FALSE),0)</f>
        <v>66191</v>
      </c>
      <c r="BQ140" s="20"/>
      <c r="BR140" s="20">
        <f>Tabla145[[#This Row],[ RV Producción mes n+1]]*(1-Tabla145[[#This Row],[% Uti. producción]])</f>
        <v>89864.181640303679</v>
      </c>
      <c r="BS140" s="20">
        <f>+Tabla145[[#This Row],[Producción disponible mes n-1]]+Tabla145[[#This Row],[Saldo Volumen disponible]]</f>
        <v>197350.3</v>
      </c>
      <c r="BT140" s="7">
        <f>IFERROR(VLOOKUP(Tabla145[[#This Row],[Llave]],'[21]RV n+2 y n+3'!$B:$F,4,FALSE),0)</f>
        <v>148367.47899999999</v>
      </c>
      <c r="BU140" s="7">
        <f>+Tabla145[[#This Row],[Asignación mes n+2]]*Tabla145[[#This Row],[% Uti. producción]]</f>
        <v>67832.780063876402</v>
      </c>
      <c r="BV140" s="7">
        <f>+Tabla145[[#This Row],[Ponderación mes n+2]]+Tabla145[[#This Row],[Saldo mes n-1]]</f>
        <v>265183.0800638764</v>
      </c>
      <c r="BW140" s="7">
        <f>+Tabla145[[#This Row],[Asignación mes n+2]]-Tabla145[[#This Row],[Ponderación mes n+2]]</f>
        <v>80534.69893612359</v>
      </c>
      <c r="BX140" s="7">
        <f>IFERROR(VLOOKUP(Tabla145[[#This Row],[Llave]],'[21]RV n+2 y n+3'!$B:$F,5,FALSE),0)</f>
        <v>291656.76</v>
      </c>
      <c r="BY140" s="7">
        <f>+Tabla145[[#This Row],[Asignación mes n+3]]*Tabla145[[#This Row],[% Uti. producción]]</f>
        <v>133343.8364563894</v>
      </c>
      <c r="BZ140" s="3">
        <f>+Tabla145[[#This Row],[Ponderación mes n+3]]+Tabla145[[#This Row],[Saldo mes n+2]]</f>
        <v>213878.53539251297</v>
      </c>
      <c r="CA140" s="3">
        <f>+Tabla145[[#This Row],[Asignación mes n+3]]-Tabla145[[#This Row],[Ponderación mes n+3]]</f>
        <v>158312.92354361061</v>
      </c>
      <c r="CB140" s="3">
        <f>+Tabla145[[#This Row],[Producción disponible mes n-1]]+Tabla145[[#This Row],[Producción disponible]]</f>
        <v>165555</v>
      </c>
      <c r="CC140" s="3">
        <f>+Tabla145[[#This Row],[Saldo mes n+4]]-Tabla145[[#This Row],[ RV Producción mes n+1]]</f>
        <v>0</v>
      </c>
    </row>
    <row r="141" spans="1:81" ht="16" x14ac:dyDescent="0.2">
      <c r="A141">
        <v>2</v>
      </c>
      <c r="B141" t="str">
        <f>Tabla145[[#This Row],[Oficina]]&amp;Tabla145[[#This Row],[Material]]</f>
        <v>Agrosuper Shanghai1022945</v>
      </c>
      <c r="C141" t="s">
        <v>6</v>
      </c>
      <c r="D141" t="s">
        <v>140</v>
      </c>
      <c r="E141">
        <v>1022945</v>
      </c>
      <c r="F141" t="s">
        <v>150</v>
      </c>
      <c r="G141" t="s">
        <v>11</v>
      </c>
      <c r="H141" t="s">
        <v>47</v>
      </c>
      <c r="I141" s="7">
        <f>IFERROR(VLOOKUP(Tabla145[[#This Row],[Llave]],'[7]RV Producción'!$C:$G,5,FALSE),0)</f>
        <v>0</v>
      </c>
      <c r="J141" s="3">
        <f>IFERROR(IF(Tabla145[[#This Row],[Oficina]]=$I$7,VLOOKUP(Tabla145[[#This Row],[Llave]],'[7]Shangai (Tomas)'!$A:$F,6,FALSE),VLOOKUP(Tabla145[[#This Row],[Llave]],'[7]RV plan de ventas'!$A:$E,5,FALSE)),0)</f>
        <v>0</v>
      </c>
      <c r="K141" s="8">
        <f>IFERROR(VLOOKUP(Tabla145[[#This Row],[Oficina]],[15]Ponderación!$B$2:$E$9,4,FALSE),0)</f>
        <v>0.45719439678473212</v>
      </c>
      <c r="L141" s="7">
        <f>+Tabla145[[#This Row],[ RV Producción mes n+1]]*Tabla145[[#This Row],[% Uti. producción]]</f>
        <v>0</v>
      </c>
      <c r="M141" s="7">
        <f>IFERROR(VLOOKUP(Tabla145[[#This Row],[Material]],[16]Stock!$G:$K,5,FALSE),0)</f>
        <v>55720</v>
      </c>
      <c r="N141" s="7">
        <f>IFERROR(VLOOKUP(Tabla145[[#This Row],[Material]],[16]Produccion!$M:$N,2,FALSE),0)</f>
        <v>33984</v>
      </c>
      <c r="O141" s="7">
        <f>IFERROR(VLOOKUP(Tabla145[[#This Row],[Llave]],'[16]TD Conf-AP'!$I:$M,4,FALSE),0)</f>
        <v>0</v>
      </c>
      <c r="P141" s="14">
        <f>SUM(Tabla145[[#This Row],[Producción disponible]],Tabla145[[#This Row],[Stock al día]],(Tabla145[[#This Row],[Por producir mes N]]*0.9))-Tabla145[[#This Row],[Producción por despachar mes N]]</f>
        <v>86305.600000000006</v>
      </c>
      <c r="Q141" s="7">
        <f>IFERROR(VLOOKUP(Tabla145[[#This Row],[Llave]],[17]DELAY!$A:$D,4,FALSE),0)</f>
        <v>0</v>
      </c>
      <c r="R141" s="9">
        <v>24000</v>
      </c>
      <c r="S141" s="5">
        <f t="shared" si="7"/>
        <v>0</v>
      </c>
      <c r="T141" s="76"/>
      <c r="U141" s="5">
        <f>+Tabla145[[#This Row],[Atraso a facturar]]+Tabla145[[#This Row],[Ajuste atraso]]</f>
        <v>0</v>
      </c>
      <c r="V141" s="3">
        <f>+Tabla145[[#This Row],[Total disponible]]-Tabla145[[#This Row],[Facturación atraso]]</f>
        <v>86305.600000000006</v>
      </c>
      <c r="W141" s="6">
        <f>IFERROR(IF(AND(V141&gt;R141,J141&gt;=R141),ROUNDDOWN((Tabla145[[#This Row],[Producción para venta nueva]])/R141,0)*R141,0),0)</f>
        <v>0</v>
      </c>
      <c r="X141" s="76">
        <v>0</v>
      </c>
      <c r="Y141" s="6">
        <f>IF(Tabla145[[#This Row],[Venta del mes]]&gt;0,Tabla145[[#This Row],[Venta del mes]]+Tabla145[[#This Row],[Ajuste venta nueva]],0)</f>
        <v>0</v>
      </c>
      <c r="Z141" s="6">
        <f>+Tabla145[[#This Row],[Producción para venta nueva]]-Tabla145[[#This Row],[Facturación Venta nueva]]</f>
        <v>86305.600000000006</v>
      </c>
      <c r="AA141" s="6">
        <f>IF(AND(A141=1,Tabla145[[#This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1" s="6">
        <v>0</v>
      </c>
      <c r="AC141" s="6">
        <f>IF(Tabla145[[#This Row],[Disponible stock sin venta]]&gt;0,Tabla145[[#This Row],[Disponible stock sin venta]]+Tabla145[[#This Row],[Ajuste stock sin venta]],0)</f>
        <v>0</v>
      </c>
      <c r="AD141" s="3">
        <f>IFERROR(VLOOKUP(Tabla145[[#This Row],[Llave]],'[16]TD Puerto'!$A:$D,4,FALSE),0)</f>
        <v>24080</v>
      </c>
      <c r="AE141" s="3">
        <v>24080</v>
      </c>
      <c r="AF141" s="3">
        <f>+Tabla145[[#This Row],[Plan Irrestricto Inicial]]</f>
        <v>24080</v>
      </c>
      <c r="AG141" s="3">
        <f>+Tabla145[[#This Row],[En puerto a facturar]]</f>
        <v>24080</v>
      </c>
      <c r="AH141" s="3">
        <f>+Tabla145[[#This Row],[Facturación atraso]]</f>
        <v>0</v>
      </c>
      <c r="AI141" s="3">
        <f>+Tabla145[[#This Row],[Plan Irrestricto]]-Tabla145[[#This Row],[Puerto ]]-Tabla145[[#This Row],[Atraso]]</f>
        <v>0</v>
      </c>
      <c r="AJ141" s="3">
        <f>IF(Tabla145[[#This Row],[Plan Irrestricto]]&gt;0,SUM(Tabla145[[#This Row],[Facturación atraso]],Tabla145[[#This Row],[Facturación Venta nueva]],Tabla145[[#This Row],[Facturación stock]],Tabla145[[#This Row],[En puerto a facturar]]),0)</f>
        <v>24080</v>
      </c>
      <c r="AK141" s="3">
        <f>+Tabla145[[#This Row],[Facturación atraso]]</f>
        <v>0</v>
      </c>
      <c r="AL141" s="3">
        <f>+Tabla145[[#This Row],[Plan Ajustado]]-Tabla145[[#This Row],[ Atraso ajustado]]-Tabla145[[#This Row],[Puerto ]]</f>
        <v>0</v>
      </c>
      <c r="AM141" s="6">
        <f>IFERROR(VLOOKUP(Tabla145[[#This Row],[Llave]],[18]!Tabla14[#All],34,FALSE),0)</f>
        <v>0</v>
      </c>
      <c r="AN141" s="6">
        <f>IFERROR(VLOOKUP(Tabla145[[#This Row],[Llave]],[18]!Tabla14[#All],35,FALSE),0)</f>
        <v>0</v>
      </c>
      <c r="AO141" s="3" t="str">
        <f>IF(Tabla145[[#This Row],[Plan Ajustado]]&gt;Tabla145[[#This Row],[En puerto a facturar]],"Si","No")</f>
        <v>No</v>
      </c>
      <c r="AP14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41" s="3">
        <f>IF(Tabla145[[#This Row],[Necesidad]]&gt;=Tabla145[[#This Row],[Stock al día]],Tabla145[[#This Row],[Stock al día]],Tabla145[[#This Row],[Necesidad]])</f>
        <v>0</v>
      </c>
      <c r="AR141" s="3">
        <f>+Tabla145[[#This Row],[Necesidad]]-Tabla145[[#This Row],[Stock Plan]]</f>
        <v>0</v>
      </c>
      <c r="AS141" s="155">
        <f>IFERROR(VLOOKUP(Tabla145[[#This Row],[Oficina]],[19]Ponderación!$B$14:$E$21,4,FALSE),"")</f>
        <v>44786</v>
      </c>
      <c r="AT14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1.1966437737237294</v>
      </c>
      <c r="AU141" s="84">
        <f>+Tabla145[[#This Row],[Precio venta nueva]]</f>
        <v>1.1966437737237294</v>
      </c>
      <c r="AV14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1.1966437737237294</v>
      </c>
      <c r="AW141" s="5">
        <f>Tabla145[[#This Row],[Ajuste precio IC]]*Tabla145[[#This Row],[Plan Ajustado]]</f>
        <v>29626.717882820645</v>
      </c>
      <c r="AX141" s="30">
        <f>IFERROR(VLOOKUP(Tabla145[[#This Row],[Llave]],'[13]Ultimos precios facturados'!$A:$G,7,FALSE),0)</f>
        <v>1.1966437737237294</v>
      </c>
      <c r="AY14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</v>
      </c>
      <c r="AZ141" s="30">
        <f>IFERROR(VLOOKUP(Tabla145[[#This Row],[Llave]],Hoja2!B:K,10,FALSE),0)</f>
        <v>1.2303454270274354</v>
      </c>
      <c r="BA141" s="30">
        <f>IF(Tabla145[[#This Row],[Ajuste precio IC]]="",Tabla145[[#This Row],[Precio ponderado]],Tabla145[[#This Row],[Precio ponderado]])</f>
        <v>1.1966437737237294</v>
      </c>
      <c r="BB141" s="82"/>
      <c r="BC141" s="82" t="str">
        <f>IF(AND(Tabla145[[#This Row],[Atraso a facturar]]&gt;0,Tabla145[[#This Row],[Precio Atraso]]=0),"Revisar","OK")</f>
        <v>OK</v>
      </c>
      <c r="BD141" s="82" t="str">
        <f>IF(AND(Tabla145[[#This Row],[Venta del mes]]&gt;0,Tabla145[[#This Row],[Precio venta nueva]]=0),"Revisar","OK")</f>
        <v>OK</v>
      </c>
      <c r="BE141" s="20">
        <f>IFERROR(VLOOKUP(Tabla145[[#This Row],[Llave]],'[5]Consolidación planes'!$A:$M,9,FALSE),0)</f>
        <v>144000</v>
      </c>
      <c r="BF141" s="20">
        <f>IFERROR(VLOOKUP(Tabla145[[#This Row],[Llave]],'[5]Consolidación planes'!$A:$M,10,FALSE),0)</f>
        <v>0</v>
      </c>
      <c r="BG141" s="20">
        <f>IFERROR(VLOOKUP(Tabla145[[#This Row],[Llave]],'[5]Consolidación planes'!$A:$M,11,FALSE),0)</f>
        <v>0</v>
      </c>
      <c r="BH141" s="20">
        <f>IFERROR(VLOOKUP(Tabla145[[#This Row],[Llave]],'[5]Consolidación planes'!$A:$M,12,FALSE),0)</f>
        <v>0</v>
      </c>
      <c r="BI141" s="20">
        <f>IFERROR(VLOOKUP(Tabla145[[#This Row],[Llave]],'[5]Consolidación planes'!$A:$M,13,FALSE),0)</f>
        <v>48000</v>
      </c>
      <c r="BJ141" s="20">
        <f>IFERROR(VLOOKUP(Tabla145[[#This Row],[Llave]],'[13]Base ultimos planes'!$A:$M,13,FALSE),0)</f>
        <v>48140</v>
      </c>
      <c r="BK141" s="80">
        <f>IFERROR(VLOOKUP(Tabla145[[#This Row],[Llave]],'[13]Base ultimos planes'!$O:$AA,8,FALSE),0)</f>
        <v>94200</v>
      </c>
      <c r="BL141" s="20">
        <f>IFERROR(VLOOKUP(Tabla145[[#This Row],[Llave]],'[13]Base ultimos planes'!$O:$AA,9,FALSE),0)</f>
        <v>0</v>
      </c>
      <c r="BM141" s="20">
        <f>IFERROR(VLOOKUP(Tabla145[[#This Row],[Llave]],'[13]Base ultimos planes'!$O:$AA,10,FALSE),0)</f>
        <v>0</v>
      </c>
      <c r="BN141" s="20">
        <f>IFERROR(VLOOKUP(Tabla145[[#This Row],[Llave]],'[13]Base ultimos planes'!$O:$AA,11,FALSE),0)</f>
        <v>0</v>
      </c>
      <c r="BO141" s="20">
        <f>IFERROR(VLOOKUP(Tabla145[[#This Row],[Llave]],'[13]Base ultimos planes'!$O:$AA,12,FALSE),0)</f>
        <v>46080</v>
      </c>
      <c r="BP141" s="20">
        <f>IFERROR(VLOOKUP(Tabla145[[#This Row],[Llave]],'[13]Base ultimos planes'!$O:$AA,13,FALSE),0)</f>
        <v>45412</v>
      </c>
      <c r="BQ141" s="20"/>
      <c r="BR141" s="20">
        <f>Tabla145[[#This Row],[ RV Producción mes n+1]]*(1-Tabla145[[#This Row],[% Uti. producción]])</f>
        <v>0</v>
      </c>
      <c r="BS141" s="20">
        <f>+Tabla145[[#This Row],[Producción disponible mes n-1]]+Tabla145[[#This Row],[Saldo Volumen disponible]]</f>
        <v>86305.600000000006</v>
      </c>
      <c r="BT141" s="7">
        <f>IFERROR(VLOOKUP(Tabla145[[#This Row],[Llave]],'[21]RV n+2 y n+3'!$B:$F,4,FALSE),0)</f>
        <v>0</v>
      </c>
      <c r="BU141" s="7">
        <f>+Tabla145[[#This Row],[Asignación mes n+2]]*Tabla145[[#This Row],[% Uti. producción]]</f>
        <v>0</v>
      </c>
      <c r="BV141" s="7">
        <f>+Tabla145[[#This Row],[Ponderación mes n+2]]+Tabla145[[#This Row],[Saldo mes n-1]]</f>
        <v>86305.600000000006</v>
      </c>
      <c r="BW141" s="7">
        <f>+Tabla145[[#This Row],[Asignación mes n+2]]-Tabla145[[#This Row],[Ponderación mes n+2]]</f>
        <v>0</v>
      </c>
      <c r="BX141" s="7">
        <f>IFERROR(VLOOKUP(Tabla145[[#This Row],[Llave]],'[21]RV n+2 y n+3'!$B:$F,5,FALSE),0)</f>
        <v>0</v>
      </c>
      <c r="BY141" s="7">
        <f>+Tabla145[[#This Row],[Asignación mes n+3]]*Tabla145[[#This Row],[% Uti. producción]]</f>
        <v>0</v>
      </c>
      <c r="BZ141" s="3">
        <f>+Tabla145[[#This Row],[Ponderación mes n+3]]+Tabla145[[#This Row],[Saldo mes n+2]]</f>
        <v>0</v>
      </c>
      <c r="CA141" s="3">
        <f>+Tabla145[[#This Row],[Asignación mes n+3]]-Tabla145[[#This Row],[Ponderación mes n+3]]</f>
        <v>0</v>
      </c>
      <c r="CB141" s="3">
        <f>+Tabla145[[#This Row],[Producción disponible mes n-1]]+Tabla145[[#This Row],[Producción disponible]]</f>
        <v>0</v>
      </c>
      <c r="CC141" s="3">
        <f>+Tabla145[[#This Row],[Saldo mes n+4]]-Tabla145[[#This Row],[ RV Producción mes n+1]]</f>
        <v>0</v>
      </c>
    </row>
    <row r="142" spans="1:81" ht="16" x14ac:dyDescent="0.2">
      <c r="A142">
        <v>2</v>
      </c>
      <c r="B142" t="str">
        <f>Tabla145[[#This Row],[Oficina]]&amp;Tabla145[[#This Row],[Material]]</f>
        <v>Agrosuper Shanghai1023034</v>
      </c>
      <c r="C142" t="s">
        <v>6</v>
      </c>
      <c r="D142" t="s">
        <v>140</v>
      </c>
      <c r="E142">
        <v>1023034</v>
      </c>
      <c r="F142" t="s">
        <v>143</v>
      </c>
      <c r="G142" t="s">
        <v>8</v>
      </c>
      <c r="H142" t="s">
        <v>30</v>
      </c>
      <c r="I142" s="7">
        <f>IFERROR(VLOOKUP(Tabla145[[#This Row],[Llave]],'[7]RV Producción'!$C:$G,5,FALSE),0)</f>
        <v>0</v>
      </c>
      <c r="J142" s="3">
        <f>IFERROR(IF(Tabla145[[#This Row],[Oficina]]=$I$7,VLOOKUP(Tabla145[[#This Row],[Llave]],'[7]Shangai (Tomas)'!$A:$F,6,FALSE),VLOOKUP(Tabla145[[#This Row],[Llave]],'[7]RV plan de ventas'!$A:$E,5,FALSE)),0)</f>
        <v>0</v>
      </c>
      <c r="K142" s="8">
        <f>IFERROR(VLOOKUP(Tabla145[[#This Row],[Oficina]],[15]Ponderación!$B$2:$E$9,4,FALSE),0)</f>
        <v>0.45719439678473212</v>
      </c>
      <c r="L142" s="7">
        <f>+Tabla145[[#This Row],[ RV Producción mes n+1]]*Tabla145[[#This Row],[% Uti. producción]]</f>
        <v>0</v>
      </c>
      <c r="M142" s="7">
        <f>IFERROR(VLOOKUP(Tabla145[[#This Row],[Material]],[16]Stock!$G:$K,5,FALSE),0)</f>
        <v>106146</v>
      </c>
      <c r="N142" s="7">
        <f>IFERROR(VLOOKUP(Tabla145[[#This Row],[Material]],[16]Produccion!$M:$N,2,FALSE),0)</f>
        <v>20540</v>
      </c>
      <c r="O142" s="7">
        <f>IFERROR(VLOOKUP(Tabla145[[#This Row],[Llave]],'[16]TD Conf-AP'!$I:$M,4,FALSE),0)</f>
        <v>0</v>
      </c>
      <c r="P142" s="14">
        <f>SUM(Tabla145[[#This Row],[Producción disponible]],Tabla145[[#This Row],[Stock al día]],(Tabla145[[#This Row],[Por producir mes N]]*0.9))-Tabla145[[#This Row],[Producción por despachar mes N]]</f>
        <v>124632</v>
      </c>
      <c r="Q142" s="7">
        <f>IFERROR(VLOOKUP(Tabla145[[#This Row],[Llave]],[17]DELAY!$A:$D,4,FALSE),0)</f>
        <v>48000</v>
      </c>
      <c r="R142" s="9">
        <v>24000</v>
      </c>
      <c r="S142" s="5">
        <f t="shared" si="7"/>
        <v>48000</v>
      </c>
      <c r="T142" s="76"/>
      <c r="U142" s="5">
        <f>+Tabla145[[#This Row],[Atraso a facturar]]+Tabla145[[#This Row],[Ajuste atraso]]</f>
        <v>48000</v>
      </c>
      <c r="V142" s="3">
        <f>+Tabla145[[#This Row],[Total disponible]]-Tabla145[[#This Row],[Facturación atraso]]</f>
        <v>76632</v>
      </c>
      <c r="W142" s="6">
        <f>IFERROR(IF(AND(V142&gt;R142,J142&gt;=R142),ROUNDDOWN((Tabla145[[#This Row],[Producción para venta nueva]])/R142,0)*R142,0),0)</f>
        <v>0</v>
      </c>
      <c r="X142" s="76">
        <v>0</v>
      </c>
      <c r="Y142" s="6">
        <f>IF(Tabla145[[#This Row],[Venta del mes]]&gt;0,Tabla145[[#This Row],[Venta del mes]]+Tabla145[[#This Row],[Ajuste venta nueva]],0)</f>
        <v>0</v>
      </c>
      <c r="Z142" s="6">
        <f>+Tabla145[[#This Row],[Producción para venta nueva]]-Tabla145[[#This Row],[Facturación Venta nueva]]</f>
        <v>76632</v>
      </c>
      <c r="AA142" s="6">
        <f>IF(AND(A142=1,Tabla145[[#This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2" s="6">
        <v>0</v>
      </c>
      <c r="AC142" s="6">
        <f>IF(Tabla145[[#This Row],[Disponible stock sin venta]]&gt;0,Tabla145[[#This Row],[Disponible stock sin venta]]+Tabla145[[#This Row],[Ajuste stock sin venta]],0)</f>
        <v>0</v>
      </c>
      <c r="AD142" s="3">
        <f>IFERROR(VLOOKUP(Tabla145[[#This Row],[Llave]],'[16]TD Puerto'!$A:$D,4,FALSE),0)</f>
        <v>0</v>
      </c>
      <c r="AE142" s="3">
        <v>24000</v>
      </c>
      <c r="AF142" s="3">
        <f>+Tabla145[[#This Row],[Plan Irrestricto Inicial]]</f>
        <v>24000</v>
      </c>
      <c r="AG142" s="3">
        <f>+Tabla145[[#This Row],[En puerto a facturar]]</f>
        <v>0</v>
      </c>
      <c r="AH142" s="3">
        <f>+Tabla145[[#This Row],[Facturación atraso]]</f>
        <v>48000</v>
      </c>
      <c r="AI142" s="3">
        <f>+Tabla145[[#This Row],[Plan Irrestricto]]-Tabla145[[#This Row],[Puerto ]]-Tabla145[[#This Row],[Atraso]]</f>
        <v>-24000</v>
      </c>
      <c r="AJ142" s="3">
        <f>IF(Tabla145[[#This Row],[Plan Irrestricto]]&gt;0,SUM(Tabla145[[#This Row],[Facturación atraso]],Tabla145[[#This Row],[Facturación Venta nueva]],Tabla145[[#This Row],[Facturación stock]],Tabla145[[#This Row],[En puerto a facturar]]),0)</f>
        <v>48000</v>
      </c>
      <c r="AK142" s="3">
        <f>+Tabla145[[#This Row],[Facturación atraso]]</f>
        <v>48000</v>
      </c>
      <c r="AL142" s="3">
        <f>+Tabla145[[#This Row],[Plan Ajustado]]-Tabla145[[#This Row],[ Atraso ajustado]]-Tabla145[[#This Row],[Puerto ]]</f>
        <v>0</v>
      </c>
      <c r="AM142" s="6">
        <f>IFERROR(VLOOKUP(Tabla145[[#This Row],[Llave]],[18]!Tabla14[#All],34,FALSE),0)</f>
        <v>0</v>
      </c>
      <c r="AN142" s="6">
        <f>IFERROR(VLOOKUP(Tabla145[[#This Row],[Llave]],[18]!Tabla14[#All],35,FALSE),0)</f>
        <v>0</v>
      </c>
      <c r="AO142" s="3" t="str">
        <f>IF(Tabla145[[#This Row],[Plan Ajustado]]&gt;Tabla145[[#This Row],[En puerto a facturar]],"Si","No")</f>
        <v>Si</v>
      </c>
      <c r="AP142" s="3">
        <f>IF(AND(Tabla145[[#This Row],[Plan Ajustado]]&gt;0,Tabla145[[#This Row],[Plan Ajustado]]&gt;Tabla145[[#This Row],[En puerto a facturar]]),(Tabla145[[#This Row],[Plan Ajustado]]-Tabla145[[#This Row],[En puerto a facturar]]),0)</f>
        <v>48000</v>
      </c>
      <c r="AQ142" s="3">
        <f>IF(Tabla145[[#This Row],[Necesidad]]&gt;=Tabla145[[#This Row],[Stock al día]],Tabla145[[#This Row],[Stock al día]],Tabla145[[#This Row],[Necesidad]])</f>
        <v>48000</v>
      </c>
      <c r="AR142" s="3">
        <f>+Tabla145[[#This Row],[Necesidad]]-Tabla145[[#This Row],[Stock Plan]]</f>
        <v>0</v>
      </c>
      <c r="AS142" s="155">
        <f>IFERROR(VLOOKUP(Tabla145[[#This Row],[Oficina]],[19]Ponderación!$B$14:$E$21,4,FALSE),"")</f>
        <v>44786</v>
      </c>
      <c r="AT14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0.71877046736891992</v>
      </c>
      <c r="AU142" s="83">
        <f>IFERROR(VLOOKUP(Tabla145[[#This Row],[Llave]],[17]DELAY!$H:$W,16,FALSE),0)</f>
        <v>0.73333333333333284</v>
      </c>
      <c r="AV14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0.73333333333333284</v>
      </c>
      <c r="AW142" s="5">
        <f>Tabla145[[#This Row],[Ajuste precio IC]]*Tabla145[[#This Row],[Plan Ajustado]]</f>
        <v>35199.999999999978</v>
      </c>
      <c r="AX142" s="30">
        <f>IFERROR(VLOOKUP(Tabla145[[#This Row],[Llave]],'[13]Ultimos precios facturados'!$A:$G,7,FALSE),0)</f>
        <v>0.71877046736891992</v>
      </c>
      <c r="AY14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2.0260801779628915E-2</v>
      </c>
      <c r="AZ142" s="30">
        <f>IFERROR(VLOOKUP(Tabla145[[#This Row],[Llave]],Hoja2!B:K,10,FALSE),0)</f>
        <v>0.73333333333333284</v>
      </c>
      <c r="BA142" s="30">
        <f>IF(Tabla145[[#This Row],[Ajuste precio IC]]="",Tabla145[[#This Row],[Precio ponderado]],Tabla145[[#This Row],[Precio ponderado]])</f>
        <v>0.73333333333333284</v>
      </c>
      <c r="BB142" s="82"/>
      <c r="BC142" s="82" t="str">
        <f>IF(AND(Tabla145[[#This Row],[Atraso a facturar]]&gt;0,Tabla145[[#This Row],[Precio Atraso]]=0),"Revisar","OK")</f>
        <v>OK</v>
      </c>
      <c r="BD142" s="82" t="str">
        <f>IF(AND(Tabla145[[#This Row],[Venta del mes]]&gt;0,Tabla145[[#This Row],[Precio venta nueva]]=0),"Revisar","OK")</f>
        <v>OK</v>
      </c>
      <c r="BE142" s="20">
        <f>IFERROR(VLOOKUP(Tabla145[[#This Row],[Llave]],'[5]Consolidación planes'!$A:$M,9,FALSE),0)</f>
        <v>120000</v>
      </c>
      <c r="BF142" s="20">
        <f>IFERROR(VLOOKUP(Tabla145[[#This Row],[Llave]],'[5]Consolidación planes'!$A:$M,10,FALSE),0)</f>
        <v>96000</v>
      </c>
      <c r="BG142" s="20">
        <f>IFERROR(VLOOKUP(Tabla145[[#This Row],[Llave]],'[5]Consolidación planes'!$A:$M,11,FALSE),0)</f>
        <v>24000</v>
      </c>
      <c r="BH142" s="20">
        <f>IFERROR(VLOOKUP(Tabla145[[#This Row],[Llave]],'[5]Consolidación planes'!$A:$M,12,FALSE),0)</f>
        <v>120000</v>
      </c>
      <c r="BI142" s="20">
        <f>IFERROR(VLOOKUP(Tabla145[[#This Row],[Llave]],'[5]Consolidación planes'!$A:$M,13,FALSE),0)</f>
        <v>72100</v>
      </c>
      <c r="BJ142" s="20">
        <f>IFERROR(VLOOKUP(Tabla145[[#This Row],[Llave]],'[13]Base ultimos planes'!$A:$M,13,FALSE),0)</f>
        <v>72000</v>
      </c>
      <c r="BK142" s="80">
        <f>IFERROR(VLOOKUP(Tabla145[[#This Row],[Llave]],'[13]Base ultimos planes'!$O:$AA,8,FALSE),0)</f>
        <v>34000</v>
      </c>
      <c r="BL142" s="20">
        <f>IFERROR(VLOOKUP(Tabla145[[#This Row],[Llave]],'[13]Base ultimos planes'!$O:$AA,9,FALSE),0)</f>
        <v>29760</v>
      </c>
      <c r="BM142" s="20">
        <f>IFERROR(VLOOKUP(Tabla145[[#This Row],[Llave]],'[13]Base ultimos planes'!$O:$AA,10,FALSE),0)</f>
        <v>7039</v>
      </c>
      <c r="BN142" s="20">
        <f>IFERROR(VLOOKUP(Tabla145[[#This Row],[Llave]],'[13]Base ultimos planes'!$O:$AA,11,FALSE),0)</f>
        <v>42744</v>
      </c>
      <c r="BO142" s="20">
        <f>IFERROR(VLOOKUP(Tabla145[[#This Row],[Llave]],'[13]Base ultimos planes'!$O:$AA,12,FALSE),0)</f>
        <v>37227</v>
      </c>
      <c r="BP142" s="20">
        <f>IFERROR(VLOOKUP(Tabla145[[#This Row],[Llave]],'[13]Base ultimos planes'!$O:$AA,13,FALSE),0)</f>
        <v>54000</v>
      </c>
      <c r="BQ142" s="20"/>
      <c r="BR142" s="20">
        <f>Tabla145[[#This Row],[ RV Producción mes n+1]]*(1-Tabla145[[#This Row],[% Uti. producción]])</f>
        <v>0</v>
      </c>
      <c r="BS142" s="20">
        <f>+Tabla145[[#This Row],[Producción disponible mes n-1]]+Tabla145[[#This Row],[Saldo Volumen disponible]]</f>
        <v>76632</v>
      </c>
      <c r="BT142" s="7">
        <f>IFERROR(VLOOKUP(Tabla145[[#This Row],[Llave]],'[21]RV n+2 y n+3'!$B:$F,4,FALSE),0)</f>
        <v>0</v>
      </c>
      <c r="BU142" s="7">
        <f>+Tabla145[[#This Row],[Asignación mes n+2]]*Tabla145[[#This Row],[% Uti. producción]]</f>
        <v>0</v>
      </c>
      <c r="BV142" s="7">
        <f>+Tabla145[[#This Row],[Ponderación mes n+2]]+Tabla145[[#This Row],[Saldo mes n-1]]</f>
        <v>76632</v>
      </c>
      <c r="BW142" s="7">
        <f>+Tabla145[[#This Row],[Asignación mes n+2]]-Tabla145[[#This Row],[Ponderación mes n+2]]</f>
        <v>0</v>
      </c>
      <c r="BX142" s="7">
        <f>IFERROR(VLOOKUP(Tabla145[[#This Row],[Llave]],'[21]RV n+2 y n+3'!$B:$F,5,FALSE),0)</f>
        <v>0</v>
      </c>
      <c r="BY142" s="7">
        <f>+Tabla145[[#This Row],[Asignación mes n+3]]*Tabla145[[#This Row],[% Uti. producción]]</f>
        <v>0</v>
      </c>
      <c r="BZ142" s="3">
        <f>+Tabla145[[#This Row],[Ponderación mes n+3]]+Tabla145[[#This Row],[Saldo mes n+2]]</f>
        <v>0</v>
      </c>
      <c r="CA142" s="3">
        <f>+Tabla145[[#This Row],[Asignación mes n+3]]-Tabla145[[#This Row],[Ponderación mes n+3]]</f>
        <v>0</v>
      </c>
      <c r="CB142" s="3">
        <f>+Tabla145[[#This Row],[Producción disponible mes n-1]]+Tabla145[[#This Row],[Producción disponible]]</f>
        <v>0</v>
      </c>
      <c r="CC142" s="3">
        <f>+Tabla145[[#This Row],[Saldo mes n+4]]-Tabla145[[#This Row],[ RV Producción mes n+1]]</f>
        <v>0</v>
      </c>
    </row>
    <row r="143" spans="1:81" ht="16" x14ac:dyDescent="0.2">
      <c r="A143">
        <v>2</v>
      </c>
      <c r="B143" t="str">
        <f>Tabla145[[#This Row],[Oficina]]&amp;Tabla145[[#This Row],[Material]]</f>
        <v>Agrosuper Shanghai1023093</v>
      </c>
      <c r="C143" t="s">
        <v>6</v>
      </c>
      <c r="D143" t="s">
        <v>140</v>
      </c>
      <c r="E143">
        <v>1023093</v>
      </c>
      <c r="F143" t="s">
        <v>306</v>
      </c>
      <c r="G143" t="s">
        <v>71</v>
      </c>
      <c r="H143" t="s">
        <v>72</v>
      </c>
      <c r="I143" s="7">
        <f>IFERROR(VLOOKUP(Tabla145[[#This Row],[Llave]],'[7]RV Producción'!$C:$G,5,FALSE),0)</f>
        <v>0</v>
      </c>
      <c r="J143" s="3">
        <f>IFERROR(IF(Tabla145[[#This Row],[Oficina]]=$I$7,VLOOKUP(Tabla145[[#This Row],[Llave]],'[7]Shangai (Tomas)'!$A:$F,6,FALSE),VLOOKUP(Tabla145[[#This Row],[Llave]],'[7]RV plan de ventas'!$A:$E,5,FALSE)),0)</f>
        <v>0</v>
      </c>
      <c r="K143" s="8">
        <f>IFERROR(VLOOKUP(Tabla145[[#This Row],[Oficina]],[15]Ponderación!$B$2:$E$9,4,FALSE),0)</f>
        <v>0.45719439678473212</v>
      </c>
      <c r="L143" s="7">
        <f>+Tabla145[[#This Row],[ RV Producción mes n+1]]*Tabla145[[#This Row],[% Uti. producción]]</f>
        <v>0</v>
      </c>
      <c r="M143" s="7">
        <f>IFERROR(VLOOKUP(Tabla145[[#This Row],[Material]],[16]Stock!$G:$K,5,FALSE),0)</f>
        <v>38151</v>
      </c>
      <c r="N143" s="7">
        <f>IFERROR(VLOOKUP(Tabla145[[#This Row],[Material]],[16]Produccion!$M:$N,2,FALSE),0)</f>
        <v>16028</v>
      </c>
      <c r="O143" s="7">
        <f>IFERROR(VLOOKUP(Tabla145[[#This Row],[Llave]],'[16]TD Conf-AP'!$I:$M,4,FALSE),0)</f>
        <v>0</v>
      </c>
      <c r="P143" s="14">
        <f>SUM(Tabla145[[#This Row],[Producción disponible]],Tabla145[[#This Row],[Stock al día]],(Tabla145[[#This Row],[Por producir mes N]]*0.9))-Tabla145[[#This Row],[Producción por despachar mes N]]</f>
        <v>52576.2</v>
      </c>
      <c r="Q143" s="7">
        <f>IFERROR(VLOOKUP(Tabla145[[#This Row],[Llave]],[17]DELAY!$A:$D,4,FALSE),0)</f>
        <v>0</v>
      </c>
      <c r="R143" s="9">
        <v>24000</v>
      </c>
      <c r="S143" s="5">
        <f t="shared" si="7"/>
        <v>0</v>
      </c>
      <c r="T143" s="76"/>
      <c r="U143" s="5">
        <f>+Tabla145[[#This Row],[Atraso a facturar]]+Tabla145[[#This Row],[Ajuste atraso]]</f>
        <v>0</v>
      </c>
      <c r="V143" s="3">
        <f>+Tabla145[[#This Row],[Total disponible]]-Tabla145[[#This Row],[Facturación atraso]]</f>
        <v>52576.2</v>
      </c>
      <c r="W143" s="6">
        <f>IFERROR(IF(AND(V143&gt;R143,J143&gt;=R143),ROUNDDOWN((Tabla145[[#This Row],[Producción para venta nueva]])/R143,0)*R143,0),0)</f>
        <v>0</v>
      </c>
      <c r="X143" s="76">
        <v>0</v>
      </c>
      <c r="Y143" s="6">
        <f>IF(Tabla145[[#This Row],[Venta del mes]]&gt;0,Tabla145[[#This Row],[Venta del mes]]+Tabla145[[#This Row],[Ajuste venta nueva]],0)</f>
        <v>0</v>
      </c>
      <c r="Z143" s="6">
        <f>+Tabla145[[#This Row],[Producción para venta nueva]]-Tabla145[[#This Row],[Facturación Venta nueva]]</f>
        <v>52576.2</v>
      </c>
      <c r="AA143" s="6">
        <f>IF(AND(A143=1,Tabla145[[#This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3" s="6">
        <v>0</v>
      </c>
      <c r="AC143" s="6">
        <f>IF(Tabla145[[#This Row],[Disponible stock sin venta]]&gt;0,Tabla145[[#This Row],[Disponible stock sin venta]]+Tabla145[[#This Row],[Ajuste stock sin venta]],0)</f>
        <v>0</v>
      </c>
      <c r="AD143" s="3">
        <f>IFERROR(VLOOKUP(Tabla145[[#This Row],[Llave]],'[16]TD Puerto'!$A:$D,4,FALSE),0)</f>
        <v>0</v>
      </c>
      <c r="AE143" s="3">
        <v>0</v>
      </c>
      <c r="AF143" s="3">
        <f>+Tabla145[[#This Row],[Plan Irrestricto Inicial]]</f>
        <v>0</v>
      </c>
      <c r="AG143" s="3">
        <f>+Tabla145[[#This Row],[En puerto a facturar]]</f>
        <v>0</v>
      </c>
      <c r="AH143" s="3">
        <f>+Tabla145[[#This Row],[Facturación atraso]]</f>
        <v>0</v>
      </c>
      <c r="AI143" s="3">
        <f>+Tabla145[[#This Row],[Plan Irrestricto]]-Tabla145[[#This Row],[Puerto ]]-Tabla145[[#This Row],[Atraso]]</f>
        <v>0</v>
      </c>
      <c r="AJ14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43" s="3">
        <f>+Tabla145[[#This Row],[Facturación atraso]]</f>
        <v>0</v>
      </c>
      <c r="AL143" s="3">
        <f>+Tabla145[[#This Row],[Plan Ajustado]]-Tabla145[[#This Row],[ Atraso ajustado]]-Tabla145[[#This Row],[Puerto ]]</f>
        <v>0</v>
      </c>
      <c r="AM143" s="6">
        <f>IFERROR(VLOOKUP(Tabla145[[#This Row],[Llave]],[18]!Tabla14[#All],34,FALSE),0)</f>
        <v>0</v>
      </c>
      <c r="AN143" s="6">
        <f>IFERROR(VLOOKUP(Tabla145[[#This Row],[Llave]],[18]!Tabla14[#All],35,FALSE),0)</f>
        <v>0</v>
      </c>
      <c r="AO143" s="3" t="str">
        <f>IF(Tabla145[[#This Row],[Plan Ajustado]]&gt;Tabla145[[#This Row],[En puerto a facturar]],"Si","No")</f>
        <v>No</v>
      </c>
      <c r="AP14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43" s="3">
        <f>IF(Tabla145[[#This Row],[Necesidad]]&gt;=Tabla145[[#This Row],[Stock al día]],Tabla145[[#This Row],[Stock al día]],Tabla145[[#This Row],[Necesidad]])</f>
        <v>0</v>
      </c>
      <c r="AR143" s="3">
        <f>+Tabla145[[#This Row],[Necesidad]]-Tabla145[[#This Row],[Stock Plan]]</f>
        <v>0</v>
      </c>
      <c r="AS143" s="155">
        <f>IFERROR(VLOOKUP(Tabla145[[#This Row],[Oficina]],[19]Ponderación!$B$14:$E$21,4,FALSE),"")</f>
        <v>44786</v>
      </c>
      <c r="AT14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3.8624169164742792</v>
      </c>
      <c r="AU143" s="83">
        <f>IFERROR(VLOOKUP(Tabla145[[#This Row],[Llave]],[17]DELAY!$H:$W,16,FALSE),0)</f>
        <v>0</v>
      </c>
      <c r="AV14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43" s="5">
        <f>Tabla145[[#This Row],[Ajuste precio IC]]*Tabla145[[#This Row],[Plan Ajustado]]</f>
        <v>0</v>
      </c>
      <c r="AX143" s="30">
        <f>IFERROR(VLOOKUP(Tabla145[[#This Row],[Llave]],'[13]Ultimos precios facturados'!$A:$G,7,FALSE),0)</f>
        <v>3.8624169164742792</v>
      </c>
      <c r="AY14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43" s="30">
        <f>IFERROR(VLOOKUP(Tabla145[[#This Row],[Llave]],Hoja2!B:K,10,FALSE),0)</f>
        <v>0</v>
      </c>
      <c r="BA143" s="30">
        <f>IF(Tabla145[[#This Row],[Ajuste precio IC]]="",Tabla145[[#This Row],[Precio ponderado]],Tabla145[[#This Row],[Precio ponderado]])</f>
        <v>0</v>
      </c>
      <c r="BB143" s="82"/>
      <c r="BC143" s="82" t="str">
        <f>IF(AND(Tabla145[[#This Row],[Atraso a facturar]]&gt;0,Tabla145[[#This Row],[Precio Atraso]]=0),"Revisar","OK")</f>
        <v>OK</v>
      </c>
      <c r="BD143" s="82" t="str">
        <f>IF(AND(Tabla145[[#This Row],[Venta del mes]]&gt;0,Tabla145[[#This Row],[Precio venta nueva]]=0),"Revisar","OK")</f>
        <v>OK</v>
      </c>
      <c r="BE143" s="20">
        <f>IFERROR(VLOOKUP(Tabla145[[#This Row],[Llave]],'[5]Consolidación planes'!$A:$M,9,FALSE),0)</f>
        <v>0</v>
      </c>
      <c r="BF143" s="20">
        <f>IFERROR(VLOOKUP(Tabla145[[#This Row],[Llave]],'[5]Consolidación planes'!$A:$M,10,FALSE),0)</f>
        <v>0</v>
      </c>
      <c r="BG143" s="20">
        <f>IFERROR(VLOOKUP(Tabla145[[#This Row],[Llave]],'[5]Consolidación planes'!$A:$M,11,FALSE),0)</f>
        <v>12000</v>
      </c>
      <c r="BH143" s="20">
        <f>IFERROR(VLOOKUP(Tabla145[[#This Row],[Llave]],'[5]Consolidación planes'!$A:$M,12,FALSE),0)</f>
        <v>12000</v>
      </c>
      <c r="BI143" s="20">
        <f>IFERROR(VLOOKUP(Tabla145[[#This Row],[Llave]],'[5]Consolidación planes'!$A:$M,13,FALSE),0)</f>
        <v>0</v>
      </c>
      <c r="BJ143" s="20">
        <f>IFERROR(VLOOKUP(Tabla145[[#This Row],[Llave]],'[13]Base ultimos planes'!$A:$M,13,FALSE),0)</f>
        <v>0</v>
      </c>
      <c r="BK143" s="80">
        <f>IFERROR(VLOOKUP(Tabla145[[#This Row],[Llave]],'[13]Base ultimos planes'!$O:$AA,8,FALSE),0)</f>
        <v>0</v>
      </c>
      <c r="BL143" s="20">
        <f>IFERROR(VLOOKUP(Tabla145[[#This Row],[Llave]],'[13]Base ultimos planes'!$O:$AA,9,FALSE),0)</f>
        <v>0</v>
      </c>
      <c r="BM143" s="20">
        <f>IFERROR(VLOOKUP(Tabla145[[#This Row],[Llave]],'[13]Base ultimos planes'!$O:$AA,10,FALSE),0)</f>
        <v>41800</v>
      </c>
      <c r="BN143" s="20">
        <f>IFERROR(VLOOKUP(Tabla145[[#This Row],[Llave]],'[13]Base ultimos planes'!$O:$AA,11,FALSE),0)</f>
        <v>20940</v>
      </c>
      <c r="BO143" s="20">
        <f>IFERROR(VLOOKUP(Tabla145[[#This Row],[Llave]],'[13]Base ultimos planes'!$O:$AA,12,FALSE),0)</f>
        <v>0</v>
      </c>
      <c r="BP143" s="20">
        <f>IFERROR(VLOOKUP(Tabla145[[#This Row],[Llave]],'[13]Base ultimos planes'!$O:$AA,13,FALSE),0)</f>
        <v>0</v>
      </c>
      <c r="BQ143" s="20"/>
      <c r="BR143" s="20">
        <f>Tabla145[[#This Row],[ RV Producción mes n+1]]*(1-Tabla145[[#This Row],[% Uti. producción]])</f>
        <v>0</v>
      </c>
      <c r="BS143" s="20">
        <f>+Tabla145[[#This Row],[Producción disponible mes n-1]]+Tabla145[[#This Row],[Saldo Volumen disponible]]</f>
        <v>52576.2</v>
      </c>
      <c r="BT143" s="7">
        <f>IFERROR(VLOOKUP(Tabla145[[#This Row],[Llave]],'[21]RV n+2 y n+3'!$B:$F,4,FALSE),0)</f>
        <v>0</v>
      </c>
      <c r="BU143" s="7">
        <f>+Tabla145[[#This Row],[Asignación mes n+2]]*Tabla145[[#This Row],[% Uti. producción]]</f>
        <v>0</v>
      </c>
      <c r="BV143" s="7">
        <f>+Tabla145[[#This Row],[Ponderación mes n+2]]+Tabla145[[#This Row],[Saldo mes n-1]]</f>
        <v>52576.2</v>
      </c>
      <c r="BW143" s="7">
        <f>+Tabla145[[#This Row],[Asignación mes n+2]]-Tabla145[[#This Row],[Ponderación mes n+2]]</f>
        <v>0</v>
      </c>
      <c r="BX143" s="7">
        <f>IFERROR(VLOOKUP(Tabla145[[#This Row],[Llave]],'[21]RV n+2 y n+3'!$B:$F,5,FALSE),0)</f>
        <v>0</v>
      </c>
      <c r="BY143" s="7">
        <f>+Tabla145[[#This Row],[Asignación mes n+3]]*Tabla145[[#This Row],[% Uti. producción]]</f>
        <v>0</v>
      </c>
      <c r="BZ143" s="3">
        <f>+Tabla145[[#This Row],[Ponderación mes n+3]]+Tabla145[[#This Row],[Saldo mes n+2]]</f>
        <v>0</v>
      </c>
      <c r="CA143" s="3">
        <f>+Tabla145[[#This Row],[Asignación mes n+3]]-Tabla145[[#This Row],[Ponderación mes n+3]]</f>
        <v>0</v>
      </c>
      <c r="CB143" s="3">
        <f>+Tabla145[[#This Row],[Producción disponible mes n-1]]+Tabla145[[#This Row],[Producción disponible]]</f>
        <v>0</v>
      </c>
      <c r="CC143" s="3">
        <f>+Tabla145[[#This Row],[Saldo mes n+4]]-Tabla145[[#This Row],[ RV Producción mes n+1]]</f>
        <v>0</v>
      </c>
    </row>
    <row r="144" spans="1:81" ht="16" x14ac:dyDescent="0.2">
      <c r="A144">
        <v>2</v>
      </c>
      <c r="B144" t="str">
        <f>Tabla145[[#This Row],[Oficina]]&amp;Tabla145[[#This Row],[Material]]</f>
        <v>Agrosuper Shanghai1023111</v>
      </c>
      <c r="C144" t="s">
        <v>6</v>
      </c>
      <c r="D144" t="s">
        <v>140</v>
      </c>
      <c r="E144">
        <v>1023111</v>
      </c>
      <c r="F144" t="s">
        <v>146</v>
      </c>
      <c r="G144" t="s">
        <v>11</v>
      </c>
      <c r="H144" t="s">
        <v>12</v>
      </c>
      <c r="I144" s="7">
        <f>IFERROR(VLOOKUP(Tabla145[[#This Row],[Llave]],'[7]RV Producción'!$C:$G,5,FALSE),0)</f>
        <v>0</v>
      </c>
      <c r="J144" s="3">
        <f>IFERROR(IF(Tabla145[[#This Row],[Oficina]]=$I$7,VLOOKUP(Tabla145[[#This Row],[Llave]],'[7]Shangai (Tomas)'!$A:$F,6,FALSE),VLOOKUP(Tabla145[[#This Row],[Llave]],'[7]RV plan de ventas'!$A:$E,5,FALSE)),0)</f>
        <v>0</v>
      </c>
      <c r="K144" s="8">
        <f>IFERROR(VLOOKUP(Tabla145[[#This Row],[Oficina]],[15]Ponderación!$B$2:$E$9,4,FALSE),0)</f>
        <v>0.45719439678473212</v>
      </c>
      <c r="L144" s="7">
        <f>+Tabla145[[#This Row],[ RV Producción mes n+1]]*Tabla145[[#This Row],[% Uti. producción]]</f>
        <v>0</v>
      </c>
      <c r="M144" s="7">
        <f>IFERROR(VLOOKUP(Tabla145[[#This Row],[Material]],[16]Stock!$G:$K,5,FALSE),0)</f>
        <v>6572</v>
      </c>
      <c r="N144" s="7">
        <f>IFERROR(VLOOKUP(Tabla145[[#This Row],[Material]],[16]Produccion!$M:$N,2,FALSE),0)</f>
        <v>0</v>
      </c>
      <c r="O144" s="7">
        <f>IFERROR(VLOOKUP(Tabla145[[#This Row],[Llave]],'[16]TD Conf-AP'!$I:$M,4,FALSE),0)</f>
        <v>0</v>
      </c>
      <c r="P144" s="14">
        <f>SUM(Tabla145[[#This Row],[Producción disponible]],Tabla145[[#This Row],[Stock al día]],(Tabla145[[#This Row],[Por producir mes N]]*0.9))-Tabla145[[#This Row],[Producción por despachar mes N]]</f>
        <v>6572</v>
      </c>
      <c r="Q144" s="7">
        <f>IFERROR(VLOOKUP(Tabla145[[#This Row],[Llave]],[17]DELAY!$A:$D,4,FALSE),0)</f>
        <v>0</v>
      </c>
      <c r="R144" s="9">
        <v>24000</v>
      </c>
      <c r="S144" s="5">
        <f t="shared" si="7"/>
        <v>0</v>
      </c>
      <c r="T144" s="76"/>
      <c r="U144" s="5">
        <f>+Tabla145[[#This Row],[Atraso a facturar]]+Tabla145[[#This Row],[Ajuste atraso]]</f>
        <v>0</v>
      </c>
      <c r="V144" s="3">
        <f>+Tabla145[[#This Row],[Total disponible]]-Tabla145[[#This Row],[Facturación atraso]]</f>
        <v>6572</v>
      </c>
      <c r="W144" s="6">
        <f>IFERROR(IF(AND(V144&gt;R144,J144&gt;=R144),ROUNDDOWN((Tabla145[[#This Row],[Producción para venta nueva]])/R144,0)*R144,0),0)</f>
        <v>0</v>
      </c>
      <c r="X144" s="76">
        <v>0</v>
      </c>
      <c r="Y144" s="6">
        <f>IF(Tabla145[[#This Row],[Venta del mes]]&gt;0,Tabla145[[#This Row],[Venta del mes]]+Tabla145[[#This Row],[Ajuste venta nueva]],0)</f>
        <v>0</v>
      </c>
      <c r="Z144" s="6">
        <f>+Tabla145[[#This Row],[Producción para venta nueva]]-Tabla145[[#This Row],[Facturación Venta nueva]]</f>
        <v>6572</v>
      </c>
      <c r="AA144" s="6">
        <f>IF(AND(A144=1,Tabla145[[#This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4" s="6">
        <v>0</v>
      </c>
      <c r="AC144" s="6">
        <f>IF(Tabla145[[#This Row],[Disponible stock sin venta]]&gt;0,Tabla145[[#This Row],[Disponible stock sin venta]]+Tabla145[[#This Row],[Ajuste stock sin venta]],0)</f>
        <v>0</v>
      </c>
      <c r="AD144" s="3">
        <f>IFERROR(VLOOKUP(Tabla145[[#This Row],[Llave]],'[16]TD Puerto'!$A:$D,4,FALSE),0)</f>
        <v>0</v>
      </c>
      <c r="AE144" s="3">
        <v>0</v>
      </c>
      <c r="AF144" s="3">
        <f>+Tabla145[[#This Row],[Plan Irrestricto Inicial]]</f>
        <v>0</v>
      </c>
      <c r="AG144" s="3">
        <f>+Tabla145[[#This Row],[En puerto a facturar]]</f>
        <v>0</v>
      </c>
      <c r="AH144" s="3">
        <f>+Tabla145[[#This Row],[Facturación atraso]]</f>
        <v>0</v>
      </c>
      <c r="AI144" s="3">
        <f>+Tabla145[[#This Row],[Plan Irrestricto]]-Tabla145[[#This Row],[Puerto ]]-Tabla145[[#This Row],[Atraso]]</f>
        <v>0</v>
      </c>
      <c r="AJ14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44" s="3">
        <f>+Tabla145[[#This Row],[Facturación atraso]]</f>
        <v>0</v>
      </c>
      <c r="AL144" s="3">
        <f>+Tabla145[[#This Row],[Plan Ajustado]]-Tabla145[[#This Row],[ Atraso ajustado]]-Tabla145[[#This Row],[Puerto ]]</f>
        <v>0</v>
      </c>
      <c r="AM144" s="6">
        <f>IFERROR(VLOOKUP(Tabla145[[#This Row],[Llave]],[18]!Tabla14[#All],34,FALSE),0)</f>
        <v>0</v>
      </c>
      <c r="AN144" s="6">
        <f>IFERROR(VLOOKUP(Tabla145[[#This Row],[Llave]],[18]!Tabla14[#All],35,FALSE),0)</f>
        <v>0</v>
      </c>
      <c r="AO144" s="3" t="str">
        <f>IF(Tabla145[[#This Row],[Plan Ajustado]]&gt;Tabla145[[#This Row],[En puerto a facturar]],"Si","No")</f>
        <v>No</v>
      </c>
      <c r="AP14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44" s="3">
        <f>IF(Tabla145[[#This Row],[Necesidad]]&gt;=Tabla145[[#This Row],[Stock al día]],Tabla145[[#This Row],[Stock al día]],Tabla145[[#This Row],[Necesidad]])</f>
        <v>0</v>
      </c>
      <c r="AR144" s="3">
        <f>+Tabla145[[#This Row],[Necesidad]]-Tabla145[[#This Row],[Stock Plan]]</f>
        <v>0</v>
      </c>
      <c r="AS144" s="155">
        <f>IFERROR(VLOOKUP(Tabla145[[#This Row],[Oficina]],[19]Ponderación!$B$14:$E$21,4,FALSE),"")</f>
        <v>44786</v>
      </c>
      <c r="AT14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0.66175301342866966</v>
      </c>
      <c r="AU144" s="83">
        <f>IFERROR(VLOOKUP(Tabla145[[#This Row],[Llave]],[17]DELAY!$H:$W,16,FALSE),0)</f>
        <v>0</v>
      </c>
      <c r="AV14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44" s="5">
        <f>Tabla145[[#This Row],[Ajuste precio IC]]*Tabla145[[#This Row],[Plan Ajustado]]</f>
        <v>0</v>
      </c>
      <c r="AX144" s="30">
        <f>IFERROR(VLOOKUP(Tabla145[[#This Row],[Llave]],'[13]Ultimos precios facturados'!$A:$G,7,FALSE),0)</f>
        <v>0.66175301342866966</v>
      </c>
      <c r="AY14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44" s="30">
        <f>IFERROR(VLOOKUP(Tabla145[[#This Row],[Llave]],Hoja2!B:K,10,FALSE),0)</f>
        <v>0</v>
      </c>
      <c r="BA144" s="30">
        <f>IF(Tabla145[[#This Row],[Ajuste precio IC]]="",Tabla145[[#This Row],[Precio ponderado]],Tabla145[[#This Row],[Precio ponderado]])</f>
        <v>0</v>
      </c>
      <c r="BB144" s="82"/>
      <c r="BC144" s="82" t="str">
        <f>IF(AND(Tabla145[[#This Row],[Atraso a facturar]]&gt;0,Tabla145[[#This Row],[Precio Atraso]]=0),"Revisar","OK")</f>
        <v>OK</v>
      </c>
      <c r="BD144" s="82" t="str">
        <f>IF(AND(Tabla145[[#This Row],[Venta del mes]]&gt;0,Tabla145[[#This Row],[Precio venta nueva]]=0),"Revisar","OK")</f>
        <v>OK</v>
      </c>
      <c r="BE144" s="20">
        <f>IFERROR(VLOOKUP(Tabla145[[#This Row],[Llave]],'[5]Consolidación planes'!$A:$M,9,FALSE),0)</f>
        <v>48000</v>
      </c>
      <c r="BF144" s="20">
        <f>IFERROR(VLOOKUP(Tabla145[[#This Row],[Llave]],'[5]Consolidación planes'!$A:$M,10,FALSE),0)</f>
        <v>0</v>
      </c>
      <c r="BG144" s="20">
        <f>IFERROR(VLOOKUP(Tabla145[[#This Row],[Llave]],'[5]Consolidación planes'!$A:$M,11,FALSE),0)</f>
        <v>96000</v>
      </c>
      <c r="BH144" s="20">
        <f>IFERROR(VLOOKUP(Tabla145[[#This Row],[Llave]],'[5]Consolidación planes'!$A:$M,12,FALSE),0)</f>
        <v>0</v>
      </c>
      <c r="BI144" s="20">
        <f>IFERROR(VLOOKUP(Tabla145[[#This Row],[Llave]],'[5]Consolidación planes'!$A:$M,13,FALSE),0)</f>
        <v>24000</v>
      </c>
      <c r="BJ144" s="20">
        <f>IFERROR(VLOOKUP(Tabla145[[#This Row],[Llave]],'[13]Base ultimos planes'!$A:$M,13,FALSE),0)</f>
        <v>0</v>
      </c>
      <c r="BK144" s="80">
        <f>IFERROR(VLOOKUP(Tabla145[[#This Row],[Llave]],'[13]Base ultimos planes'!$O:$AA,8,FALSE),0)</f>
        <v>26400</v>
      </c>
      <c r="BL144" s="20">
        <f>IFERROR(VLOOKUP(Tabla145[[#This Row],[Llave]],'[13]Base ultimos planes'!$O:$AA,9,FALSE),0)</f>
        <v>0</v>
      </c>
      <c r="BM144" s="20">
        <f>IFERROR(VLOOKUP(Tabla145[[#This Row],[Llave]],'[13]Base ultimos planes'!$O:$AA,10,FALSE),0)</f>
        <v>58800</v>
      </c>
      <c r="BN144" s="20">
        <f>IFERROR(VLOOKUP(Tabla145[[#This Row],[Llave]],'[13]Base ultimos planes'!$O:$AA,11,FALSE),0)</f>
        <v>0</v>
      </c>
      <c r="BO144" s="20">
        <f>IFERROR(VLOOKUP(Tabla145[[#This Row],[Llave]],'[13]Base ultimos planes'!$O:$AA,12,FALSE),0)</f>
        <v>18800</v>
      </c>
      <c r="BP144" s="20">
        <f>IFERROR(VLOOKUP(Tabla145[[#This Row],[Llave]],'[13]Base ultimos planes'!$O:$AA,13,FALSE),0)</f>
        <v>0</v>
      </c>
      <c r="BQ144" s="20"/>
      <c r="BR144" s="20">
        <f>Tabla145[[#This Row],[ RV Producción mes n+1]]*(1-Tabla145[[#This Row],[% Uti. producción]])</f>
        <v>0</v>
      </c>
      <c r="BS144" s="20">
        <f>+Tabla145[[#This Row],[Producción disponible mes n-1]]+Tabla145[[#This Row],[Saldo Volumen disponible]]</f>
        <v>6572</v>
      </c>
      <c r="BT144" s="7">
        <f>IFERROR(VLOOKUP(Tabla145[[#This Row],[Llave]],'[21]RV n+2 y n+3'!$B:$F,4,FALSE),0)</f>
        <v>0</v>
      </c>
      <c r="BU144" s="7">
        <f>+Tabla145[[#This Row],[Asignación mes n+2]]*Tabla145[[#This Row],[% Uti. producción]]</f>
        <v>0</v>
      </c>
      <c r="BV144" s="7">
        <f>+Tabla145[[#This Row],[Ponderación mes n+2]]+Tabla145[[#This Row],[Saldo mes n-1]]</f>
        <v>6572</v>
      </c>
      <c r="BW144" s="7">
        <f>+Tabla145[[#This Row],[Asignación mes n+2]]-Tabla145[[#This Row],[Ponderación mes n+2]]</f>
        <v>0</v>
      </c>
      <c r="BX144" s="7">
        <f>IFERROR(VLOOKUP(Tabla145[[#This Row],[Llave]],'[21]RV n+2 y n+3'!$B:$F,5,FALSE),0)</f>
        <v>0</v>
      </c>
      <c r="BY144" s="7">
        <f>+Tabla145[[#This Row],[Asignación mes n+3]]*Tabla145[[#This Row],[% Uti. producción]]</f>
        <v>0</v>
      </c>
      <c r="BZ144" s="3">
        <f>+Tabla145[[#This Row],[Ponderación mes n+3]]+Tabla145[[#This Row],[Saldo mes n+2]]</f>
        <v>0</v>
      </c>
      <c r="CA144" s="3">
        <f>+Tabla145[[#This Row],[Asignación mes n+3]]-Tabla145[[#This Row],[Ponderación mes n+3]]</f>
        <v>0</v>
      </c>
      <c r="CB144" s="3">
        <f>+Tabla145[[#This Row],[Producción disponible mes n-1]]+Tabla145[[#This Row],[Producción disponible]]</f>
        <v>0</v>
      </c>
      <c r="CC144" s="3">
        <f>+Tabla145[[#This Row],[Saldo mes n+4]]-Tabla145[[#This Row],[ RV Producción mes n+1]]</f>
        <v>0</v>
      </c>
    </row>
    <row r="145" spans="1:81" ht="16" x14ac:dyDescent="0.2">
      <c r="A145">
        <v>2</v>
      </c>
      <c r="B145" t="str">
        <f>Tabla145[[#This Row],[Oficina]]&amp;Tabla145[[#This Row],[Material]]</f>
        <v>Agrosuper Shanghai1023131</v>
      </c>
      <c r="C145" t="s">
        <v>6</v>
      </c>
      <c r="D145" t="s">
        <v>140</v>
      </c>
      <c r="E145">
        <v>1023131</v>
      </c>
      <c r="F145" t="s">
        <v>167</v>
      </c>
      <c r="G145" t="s">
        <v>59</v>
      </c>
      <c r="H145" t="s">
        <v>62</v>
      </c>
      <c r="I145" s="7">
        <f>IFERROR(VLOOKUP(Tabla145[[#This Row],[Llave]],'[7]RV Producción'!$C:$G,5,FALSE),0)</f>
        <v>0</v>
      </c>
      <c r="J145" s="3">
        <f>IFERROR(IF(Tabla145[[#This Row],[Oficina]]=$I$7,VLOOKUP(Tabla145[[#This Row],[Llave]],'[7]Shangai (Tomas)'!$A:$F,6,FALSE),VLOOKUP(Tabla145[[#This Row],[Llave]],'[7]RV plan de ventas'!$A:$E,5,FALSE)),0)</f>
        <v>0</v>
      </c>
      <c r="K145" s="8">
        <f>IFERROR(VLOOKUP(Tabla145[[#This Row],[Oficina]],[15]Ponderación!$B$2:$E$9,4,FALSE),0)</f>
        <v>0.45719439678473212</v>
      </c>
      <c r="L145" s="7">
        <f>+Tabla145[[#This Row],[ RV Producción mes n+1]]*Tabla145[[#This Row],[% Uti. producción]]</f>
        <v>0</v>
      </c>
      <c r="M145" s="7">
        <f>IFERROR(VLOOKUP(Tabla145[[#This Row],[Material]],[16]Stock!$G:$K,5,FALSE),0)</f>
        <v>0</v>
      </c>
      <c r="N145" s="7">
        <f>IFERROR(VLOOKUP(Tabla145[[#This Row],[Material]],[16]Produccion!$M:$N,2,FALSE),0)</f>
        <v>0</v>
      </c>
      <c r="O145" s="7">
        <f>IFERROR(VLOOKUP(Tabla145[[#This Row],[Llave]],'[16]TD Conf-AP'!$I:$M,4,FALSE),0)</f>
        <v>0</v>
      </c>
      <c r="P145" s="14">
        <f>SUM(Tabla145[[#This Row],[Producción disponible]],Tabla145[[#This Row],[Stock al día]],(Tabla145[[#This Row],[Por producir mes N]]*0.9))-Tabla145[[#This Row],[Producción por despachar mes N]]</f>
        <v>0</v>
      </c>
      <c r="Q145" s="7">
        <f>IFERROR(VLOOKUP(Tabla145[[#This Row],[Llave]],[17]DELAY!$A:$D,4,FALSE),0)</f>
        <v>0</v>
      </c>
      <c r="R145" s="9">
        <v>24000</v>
      </c>
      <c r="S145" s="5">
        <f t="shared" si="7"/>
        <v>0</v>
      </c>
      <c r="T145" s="76"/>
      <c r="U145" s="5">
        <f>+Tabla145[[#This Row],[Atraso a facturar]]+Tabla145[[#This Row],[Ajuste atraso]]</f>
        <v>0</v>
      </c>
      <c r="V145" s="3">
        <f>+Tabla145[[#This Row],[Total disponible]]-Tabla145[[#This Row],[Facturación atraso]]</f>
        <v>0</v>
      </c>
      <c r="W145" s="6">
        <f>IFERROR(IF(AND(V145&gt;R145,J145&gt;=R145),ROUNDDOWN((Tabla145[[#This Row],[Producción para venta nueva]])/R145,0)*R145,0),0)</f>
        <v>0</v>
      </c>
      <c r="X145" s="76">
        <v>0</v>
      </c>
      <c r="Y145" s="6">
        <f>IF(Tabla145[[#This Row],[Venta del mes]]&gt;0,Tabla145[[#This Row],[Venta del mes]]+Tabla145[[#This Row],[Ajuste venta nueva]],0)</f>
        <v>0</v>
      </c>
      <c r="Z145" s="6">
        <f>+Tabla145[[#This Row],[Producción para venta nueva]]-Tabla145[[#This Row],[Facturación Venta nueva]]</f>
        <v>0</v>
      </c>
      <c r="AA145" s="6">
        <f>IF(AND(A145=1,Tabla145[[#This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5" s="6">
        <v>0</v>
      </c>
      <c r="AC145" s="6">
        <f>IF(Tabla145[[#This Row],[Disponible stock sin venta]]&gt;0,Tabla145[[#This Row],[Disponible stock sin venta]]+Tabla145[[#This Row],[Ajuste stock sin venta]],0)</f>
        <v>0</v>
      </c>
      <c r="AD145" s="3">
        <f>IFERROR(VLOOKUP(Tabla145[[#This Row],[Llave]],'[16]TD Puerto'!$A:$D,4,FALSE),0)</f>
        <v>0</v>
      </c>
      <c r="AE145" s="3">
        <v>0</v>
      </c>
      <c r="AF145" s="3">
        <f>+Tabla145[[#This Row],[Plan Irrestricto Inicial]]</f>
        <v>0</v>
      </c>
      <c r="AG145" s="3">
        <f>+Tabla145[[#This Row],[En puerto a facturar]]</f>
        <v>0</v>
      </c>
      <c r="AH145" s="3">
        <f>+Tabla145[[#This Row],[Facturación atraso]]</f>
        <v>0</v>
      </c>
      <c r="AI145" s="3">
        <f>+Tabla145[[#This Row],[Plan Irrestricto]]-Tabla145[[#This Row],[Puerto ]]-Tabla145[[#This Row],[Atraso]]</f>
        <v>0</v>
      </c>
      <c r="AJ14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45" s="3">
        <f>+Tabla145[[#This Row],[Facturación atraso]]</f>
        <v>0</v>
      </c>
      <c r="AL145" s="3">
        <f>+Tabla145[[#This Row],[Plan Ajustado]]-Tabla145[[#This Row],[ Atraso ajustado]]-Tabla145[[#This Row],[Puerto ]]</f>
        <v>0</v>
      </c>
      <c r="AM145" s="6">
        <f>IFERROR(VLOOKUP(Tabla145[[#This Row],[Llave]],[18]!Tabla14[#All],34,FALSE),0)</f>
        <v>0</v>
      </c>
      <c r="AN145" s="6">
        <f>IFERROR(VLOOKUP(Tabla145[[#This Row],[Llave]],[18]!Tabla14[#All],35,FALSE),0)</f>
        <v>0</v>
      </c>
      <c r="AO145" s="3" t="str">
        <f>IF(Tabla145[[#This Row],[Plan Ajustado]]&gt;Tabla145[[#This Row],[En puerto a facturar]],"Si","No")</f>
        <v>No</v>
      </c>
      <c r="AP14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45" s="3">
        <f>IF(Tabla145[[#This Row],[Necesidad]]&gt;=Tabla145[[#This Row],[Stock al día]],Tabla145[[#This Row],[Stock al día]],Tabla145[[#This Row],[Necesidad]])</f>
        <v>0</v>
      </c>
      <c r="AR145" s="3">
        <f>+Tabla145[[#This Row],[Necesidad]]-Tabla145[[#This Row],[Stock Plan]]</f>
        <v>0</v>
      </c>
      <c r="AS145" s="155">
        <f>IFERROR(VLOOKUP(Tabla145[[#This Row],[Oficina]],[19]Ponderación!$B$14:$E$21,4,FALSE),"")</f>
        <v>44786</v>
      </c>
      <c r="AT14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1.2301029646377153</v>
      </c>
      <c r="AU145" s="83">
        <f>IFERROR(VLOOKUP(Tabla145[[#This Row],[Llave]],[17]DELAY!$H:$W,16,FALSE),0)</f>
        <v>0</v>
      </c>
      <c r="AV14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45" s="5">
        <f>Tabla145[[#This Row],[Ajuste precio IC]]*Tabla145[[#This Row],[Plan Ajustado]]</f>
        <v>0</v>
      </c>
      <c r="AX145" s="30">
        <f>IFERROR(VLOOKUP(Tabla145[[#This Row],[Llave]],'[13]Ultimos precios facturados'!$A:$G,7,FALSE),0)</f>
        <v>1.2301029646377153</v>
      </c>
      <c r="AY14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45" s="30">
        <f>IFERROR(VLOOKUP(Tabla145[[#This Row],[Llave]],Hoja2!B:K,10,FALSE),0)</f>
        <v>0</v>
      </c>
      <c r="BA145" s="30">
        <f>IF(Tabla145[[#This Row],[Ajuste precio IC]]="",Tabla145[[#This Row],[Precio ponderado]],Tabla145[[#This Row],[Precio ponderado]])</f>
        <v>0</v>
      </c>
      <c r="BB145" s="82"/>
      <c r="BC145" s="82" t="str">
        <f>IF(AND(Tabla145[[#This Row],[Atraso a facturar]]&gt;0,Tabla145[[#This Row],[Precio Atraso]]=0),"Revisar","OK")</f>
        <v>OK</v>
      </c>
      <c r="BD145" s="82" t="str">
        <f>IF(AND(Tabla145[[#This Row],[Venta del mes]]&gt;0,Tabla145[[#This Row],[Precio venta nueva]]=0),"Revisar","OK")</f>
        <v>OK</v>
      </c>
      <c r="BE145" s="20">
        <f>IFERROR(VLOOKUP(Tabla145[[#This Row],[Llave]],'[5]Consolidación planes'!$A:$M,9,FALSE),0)</f>
        <v>4224</v>
      </c>
      <c r="BF145" s="20">
        <f>IFERROR(VLOOKUP(Tabla145[[#This Row],[Llave]],'[5]Consolidación planes'!$A:$M,10,FALSE),0)</f>
        <v>0</v>
      </c>
      <c r="BG145" s="20">
        <f>IFERROR(VLOOKUP(Tabla145[[#This Row],[Llave]],'[5]Consolidación planes'!$A:$M,11,FALSE),0)</f>
        <v>4200</v>
      </c>
      <c r="BH145" s="20">
        <f>IFERROR(VLOOKUP(Tabla145[[#This Row],[Llave]],'[5]Consolidación planes'!$A:$M,12,FALSE),0)</f>
        <v>0</v>
      </c>
      <c r="BI145" s="20">
        <f>IFERROR(VLOOKUP(Tabla145[[#This Row],[Llave]],'[5]Consolidación planes'!$A:$M,13,FALSE),0)</f>
        <v>0</v>
      </c>
      <c r="BJ145" s="20">
        <f>IFERROR(VLOOKUP(Tabla145[[#This Row],[Llave]],'[13]Base ultimos planes'!$A:$M,13,FALSE),0)</f>
        <v>0</v>
      </c>
      <c r="BK145" s="80">
        <f>IFERROR(VLOOKUP(Tabla145[[#This Row],[Llave]],'[13]Base ultimos planes'!$O:$AA,8,FALSE),0)</f>
        <v>5280</v>
      </c>
      <c r="BL145" s="20">
        <f>IFERROR(VLOOKUP(Tabla145[[#This Row],[Llave]],'[13]Base ultimos planes'!$O:$AA,9,FALSE),0)</f>
        <v>0</v>
      </c>
      <c r="BM145" s="20">
        <f>IFERROR(VLOOKUP(Tabla145[[#This Row],[Llave]],'[13]Base ultimos planes'!$O:$AA,10,FALSE),0)</f>
        <v>5180</v>
      </c>
      <c r="BN145" s="20">
        <f>IFERROR(VLOOKUP(Tabla145[[#This Row],[Llave]],'[13]Base ultimos planes'!$O:$AA,11,FALSE),0)</f>
        <v>0</v>
      </c>
      <c r="BO145" s="20">
        <f>IFERROR(VLOOKUP(Tabla145[[#This Row],[Llave]],'[13]Base ultimos planes'!$O:$AA,12,FALSE),0)</f>
        <v>0</v>
      </c>
      <c r="BP145" s="20">
        <f>IFERROR(VLOOKUP(Tabla145[[#This Row],[Llave]],'[13]Base ultimos planes'!$O:$AA,13,FALSE),0)</f>
        <v>0</v>
      </c>
      <c r="BQ145" s="20"/>
      <c r="BR145" s="20">
        <f>Tabla145[[#This Row],[ RV Producción mes n+1]]*(1-Tabla145[[#This Row],[% Uti. producción]])</f>
        <v>0</v>
      </c>
      <c r="BS145" s="20">
        <f>+Tabla145[[#This Row],[Producción disponible mes n-1]]+Tabla145[[#This Row],[Saldo Volumen disponible]]</f>
        <v>0</v>
      </c>
      <c r="BT145" s="7">
        <f>IFERROR(VLOOKUP(Tabla145[[#This Row],[Llave]],'[21]RV n+2 y n+3'!$B:$F,4,FALSE),0)</f>
        <v>0</v>
      </c>
      <c r="BU145" s="7">
        <f>+Tabla145[[#This Row],[Asignación mes n+2]]*Tabla145[[#This Row],[% Uti. producción]]</f>
        <v>0</v>
      </c>
      <c r="BV145" s="7">
        <f>+Tabla145[[#This Row],[Ponderación mes n+2]]+Tabla145[[#This Row],[Saldo mes n-1]]</f>
        <v>0</v>
      </c>
      <c r="BW145" s="7">
        <f>+Tabla145[[#This Row],[Asignación mes n+2]]-Tabla145[[#This Row],[Ponderación mes n+2]]</f>
        <v>0</v>
      </c>
      <c r="BX145" s="7">
        <f>IFERROR(VLOOKUP(Tabla145[[#This Row],[Llave]],'[21]RV n+2 y n+3'!$B:$F,5,FALSE),0)</f>
        <v>0</v>
      </c>
      <c r="BY145" s="7">
        <f>+Tabla145[[#This Row],[Asignación mes n+3]]*Tabla145[[#This Row],[% Uti. producción]]</f>
        <v>0</v>
      </c>
      <c r="BZ145" s="3">
        <f>+Tabla145[[#This Row],[Ponderación mes n+3]]+Tabla145[[#This Row],[Saldo mes n+2]]</f>
        <v>0</v>
      </c>
      <c r="CA145" s="3">
        <f>+Tabla145[[#This Row],[Asignación mes n+3]]-Tabla145[[#This Row],[Ponderación mes n+3]]</f>
        <v>0</v>
      </c>
      <c r="CB145" s="3">
        <f>+Tabla145[[#This Row],[Producción disponible mes n-1]]+Tabla145[[#This Row],[Producción disponible]]</f>
        <v>0</v>
      </c>
      <c r="CC145" s="3">
        <f>+Tabla145[[#This Row],[Saldo mes n+4]]-Tabla145[[#This Row],[ RV Producción mes n+1]]</f>
        <v>0</v>
      </c>
    </row>
    <row r="146" spans="1:81" ht="16" x14ac:dyDescent="0.2">
      <c r="A146">
        <v>2</v>
      </c>
      <c r="B146" t="str">
        <f>Tabla145[[#This Row],[Oficina]]&amp;Tabla145[[#This Row],[Material]]</f>
        <v>Agrosuper Shanghai1023306</v>
      </c>
      <c r="C146" t="s">
        <v>6</v>
      </c>
      <c r="D146" t="s">
        <v>140</v>
      </c>
      <c r="E146">
        <v>1023306</v>
      </c>
      <c r="F146" t="s">
        <v>144</v>
      </c>
      <c r="G146" t="s">
        <v>8</v>
      </c>
      <c r="H146" t="s">
        <v>32</v>
      </c>
      <c r="I146" s="7">
        <f>IFERROR(VLOOKUP(Tabla145[[#This Row],[Llave]],'[7]RV Producción'!$C:$G,5,FALSE),0)</f>
        <v>0</v>
      </c>
      <c r="J146" s="3">
        <f>IFERROR(IF(Tabla145[[#This Row],[Oficina]]=$I$7,VLOOKUP(Tabla145[[#This Row],[Llave]],'[7]Shangai (Tomas)'!$A:$F,6,FALSE),VLOOKUP(Tabla145[[#This Row],[Llave]],'[7]RV plan de ventas'!$A:$E,5,FALSE)),0)</f>
        <v>0</v>
      </c>
      <c r="K146" s="8">
        <f>IFERROR(VLOOKUP(Tabla145[[#This Row],[Oficina]],[15]Ponderación!$B$2:$E$9,4,FALSE),0)</f>
        <v>0.45719439678473212</v>
      </c>
      <c r="L146" s="7">
        <f>+Tabla145[[#This Row],[ RV Producción mes n+1]]*Tabla145[[#This Row],[% Uti. producción]]</f>
        <v>0</v>
      </c>
      <c r="M146" s="7">
        <f>IFERROR(VLOOKUP(Tabla145[[#This Row],[Material]],[16]Stock!$G:$K,5,FALSE),0)</f>
        <v>139060</v>
      </c>
      <c r="N146" s="7">
        <f>IFERROR(VLOOKUP(Tabla145[[#This Row],[Material]],[16]Produccion!$M:$N,2,FALSE),0)</f>
        <v>94458</v>
      </c>
      <c r="O146" s="7">
        <f>IFERROR(VLOOKUP(Tabla145[[#This Row],[Llave]],'[16]TD Conf-AP'!$I:$M,4,FALSE),0)</f>
        <v>0</v>
      </c>
      <c r="P146" s="14">
        <f>SUM(Tabla145[[#This Row],[Producción disponible]],Tabla145[[#This Row],[Stock al día]],(Tabla145[[#This Row],[Por producir mes N]]*0.9))-Tabla145[[#This Row],[Producción por despachar mes N]]</f>
        <v>224072.2</v>
      </c>
      <c r="Q146" s="7">
        <f>IFERROR(VLOOKUP(Tabla145[[#This Row],[Llave]],[17]DELAY!$A:$D,4,FALSE),0)</f>
        <v>96000</v>
      </c>
      <c r="R146" s="9">
        <v>24000</v>
      </c>
      <c r="S146" s="5">
        <f t="shared" si="7"/>
        <v>96000</v>
      </c>
      <c r="T146" s="76"/>
      <c r="U146" s="5">
        <f>+Tabla145[[#This Row],[Atraso a facturar]]+Tabla145[[#This Row],[Ajuste atraso]]</f>
        <v>96000</v>
      </c>
      <c r="V146" s="3">
        <f>+Tabla145[[#This Row],[Total disponible]]-Tabla145[[#This Row],[Facturación atraso]]</f>
        <v>128072.20000000001</v>
      </c>
      <c r="W146" s="6">
        <f>IFERROR(IF(AND(V146&gt;R146,J146&gt;=R146),ROUNDDOWN((Tabla145[[#This Row],[Producción para venta nueva]])/R146,0)*R146,0),0)</f>
        <v>0</v>
      </c>
      <c r="X146" s="76">
        <v>0</v>
      </c>
      <c r="Y146" s="6">
        <f>IF(Tabla145[[#This Row],[Venta del mes]]&gt;0,Tabla145[[#This Row],[Venta del mes]]+Tabla145[[#This Row],[Ajuste venta nueva]],0)</f>
        <v>0</v>
      </c>
      <c r="Z146" s="6">
        <f>+Tabla145[[#This Row],[Producción para venta nueva]]-Tabla145[[#This Row],[Facturación Venta nueva]]</f>
        <v>128072.20000000001</v>
      </c>
      <c r="AA146" s="6">
        <f>IF(AND(A146=1,Tabla145[[#This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6" s="6">
        <v>0</v>
      </c>
      <c r="AC146" s="6">
        <f>IF(Tabla145[[#This Row],[Disponible stock sin venta]]&gt;0,Tabla145[[#This Row],[Disponible stock sin venta]]+Tabla145[[#This Row],[Ajuste stock sin venta]],0)</f>
        <v>0</v>
      </c>
      <c r="AD146" s="3">
        <f>IFERROR(VLOOKUP(Tabla145[[#This Row],[Llave]],'[16]TD Puerto'!$A:$D,4,FALSE),0)</f>
        <v>0</v>
      </c>
      <c r="AE146" s="3">
        <v>96000</v>
      </c>
      <c r="AF146" s="3">
        <f>+Tabla145[[#This Row],[Plan Irrestricto Inicial]]</f>
        <v>96000</v>
      </c>
      <c r="AG146" s="3">
        <f>+Tabla145[[#This Row],[En puerto a facturar]]</f>
        <v>0</v>
      </c>
      <c r="AH146" s="3">
        <f>+Tabla145[[#This Row],[Facturación atraso]]</f>
        <v>96000</v>
      </c>
      <c r="AI146" s="3">
        <f>+Tabla145[[#This Row],[Plan Irrestricto]]-Tabla145[[#This Row],[Puerto ]]-Tabla145[[#This Row],[Atraso]]</f>
        <v>0</v>
      </c>
      <c r="AJ146" s="3">
        <f>IF(Tabla145[[#This Row],[Plan Irrestricto]]&gt;0,SUM(Tabla145[[#This Row],[Facturación atraso]],Tabla145[[#This Row],[Facturación Venta nueva]],Tabla145[[#This Row],[Facturación stock]],Tabla145[[#This Row],[En puerto a facturar]]),0)</f>
        <v>96000</v>
      </c>
      <c r="AK146" s="3">
        <f>+Tabla145[[#This Row],[Facturación atraso]]</f>
        <v>96000</v>
      </c>
      <c r="AL146" s="3">
        <f>+Tabla145[[#This Row],[Plan Ajustado]]-Tabla145[[#This Row],[ Atraso ajustado]]-Tabla145[[#This Row],[Puerto ]]</f>
        <v>0</v>
      </c>
      <c r="AM146" s="6">
        <f>IFERROR(VLOOKUP(Tabla145[[#This Row],[Llave]],[18]!Tabla14[#All],34,FALSE),0)</f>
        <v>0</v>
      </c>
      <c r="AN146" s="6">
        <f>IFERROR(VLOOKUP(Tabla145[[#This Row],[Llave]],[18]!Tabla14[#All],35,FALSE),0)</f>
        <v>0</v>
      </c>
      <c r="AO146" s="3" t="str">
        <f>IF(Tabla145[[#This Row],[Plan Ajustado]]&gt;Tabla145[[#This Row],[En puerto a facturar]],"Si","No")</f>
        <v>Si</v>
      </c>
      <c r="AP146" s="3">
        <f>IF(AND(Tabla145[[#This Row],[Plan Ajustado]]&gt;0,Tabla145[[#This Row],[Plan Ajustado]]&gt;Tabla145[[#This Row],[En puerto a facturar]]),(Tabla145[[#This Row],[Plan Ajustado]]-Tabla145[[#This Row],[En puerto a facturar]]),0)</f>
        <v>96000</v>
      </c>
      <c r="AQ146" s="3">
        <f>IF(Tabla145[[#This Row],[Necesidad]]&gt;=Tabla145[[#This Row],[Stock al día]],Tabla145[[#This Row],[Stock al día]],Tabla145[[#This Row],[Necesidad]])</f>
        <v>96000</v>
      </c>
      <c r="AR146" s="3">
        <f>+Tabla145[[#This Row],[Necesidad]]-Tabla145[[#This Row],[Stock Plan]]</f>
        <v>0</v>
      </c>
      <c r="AS146" s="155">
        <f>IFERROR(VLOOKUP(Tabla145[[#This Row],[Oficina]],[19]Ponderación!$B$14:$E$21,4,FALSE),"")</f>
        <v>44786</v>
      </c>
      <c r="AT14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0.99529127087621494</v>
      </c>
      <c r="AU146" s="83">
        <f>IFERROR(VLOOKUP(Tabla145[[#This Row],[Llave]],[17]DELAY!$H:$W,16,FALSE),0)</f>
        <v>1.00484611969389</v>
      </c>
      <c r="AV14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1.00484611969389</v>
      </c>
      <c r="AW146" s="5">
        <f>Tabla145[[#This Row],[Ajuste precio IC]]*Tabla145[[#This Row],[Plan Ajustado]]</f>
        <v>96465.227490613441</v>
      </c>
      <c r="AX146" s="30">
        <f>IFERROR(VLOOKUP(Tabla145[[#This Row],[Llave]],'[13]Ultimos precios facturados'!$A:$G,7,FALSE),0)</f>
        <v>0.99529127087621494</v>
      </c>
      <c r="AY14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9.6000528661960328E-3</v>
      </c>
      <c r="AZ146" s="30">
        <f>IFERROR(VLOOKUP(Tabla145[[#This Row],[Llave]],Hoja2!B:K,10,FALSE),0)</f>
        <v>1.00484611969389</v>
      </c>
      <c r="BA146" s="30">
        <f>IF(Tabla145[[#This Row],[Ajuste precio IC]]="",Tabla145[[#This Row],[Precio ponderado]],Tabla145[[#This Row],[Precio ponderado]])</f>
        <v>1.00484611969389</v>
      </c>
      <c r="BB146" s="82"/>
      <c r="BC146" s="82" t="str">
        <f>IF(AND(Tabla145[[#This Row],[Atraso a facturar]]&gt;0,Tabla145[[#This Row],[Precio Atraso]]=0),"Revisar","OK")</f>
        <v>OK</v>
      </c>
      <c r="BD146" s="82" t="str">
        <f>IF(AND(Tabla145[[#This Row],[Venta del mes]]&gt;0,Tabla145[[#This Row],[Precio venta nueva]]=0),"Revisar","OK")</f>
        <v>OK</v>
      </c>
      <c r="BE146" s="20">
        <f>IFERROR(VLOOKUP(Tabla145[[#This Row],[Llave]],'[5]Consolidación planes'!$A:$M,9,FALSE),0)</f>
        <v>144000</v>
      </c>
      <c r="BF146" s="20">
        <f>IFERROR(VLOOKUP(Tabla145[[#This Row],[Llave]],'[5]Consolidación planes'!$A:$M,10,FALSE),0)</f>
        <v>72000</v>
      </c>
      <c r="BG146" s="20">
        <f>IFERROR(VLOOKUP(Tabla145[[#This Row],[Llave]],'[5]Consolidación planes'!$A:$M,11,FALSE),0)</f>
        <v>72000</v>
      </c>
      <c r="BH146" s="20">
        <f>IFERROR(VLOOKUP(Tabla145[[#This Row],[Llave]],'[5]Consolidación planes'!$A:$M,12,FALSE),0)</f>
        <v>144000</v>
      </c>
      <c r="BI146" s="20">
        <f>IFERROR(VLOOKUP(Tabla145[[#This Row],[Llave]],'[5]Consolidación planes'!$A:$M,13,FALSE),0)</f>
        <v>96000</v>
      </c>
      <c r="BJ146" s="20">
        <f>IFERROR(VLOOKUP(Tabla145[[#This Row],[Llave]],'[13]Base ultimos planes'!$A:$M,13,FALSE),0)</f>
        <v>96000</v>
      </c>
      <c r="BK146" s="80">
        <f>IFERROR(VLOOKUP(Tabla145[[#This Row],[Llave]],'[13]Base ultimos planes'!$O:$AA,8,FALSE),0)</f>
        <v>83520</v>
      </c>
      <c r="BL146" s="20">
        <f>IFERROR(VLOOKUP(Tabla145[[#This Row],[Llave]],'[13]Base ultimos planes'!$O:$AA,9,FALSE),0)</f>
        <v>46800</v>
      </c>
      <c r="BM146" s="20">
        <f>IFERROR(VLOOKUP(Tabla145[[#This Row],[Llave]],'[13]Base ultimos planes'!$O:$AA,10,FALSE),0)</f>
        <v>59760</v>
      </c>
      <c r="BN146" s="20">
        <f>IFERROR(VLOOKUP(Tabla145[[#This Row],[Llave]],'[13]Base ultimos planes'!$O:$AA,11,FALSE),0)</f>
        <v>108784</v>
      </c>
      <c r="BO146" s="20">
        <f>IFERROR(VLOOKUP(Tabla145[[#This Row],[Llave]],'[13]Base ultimos planes'!$O:$AA,12,FALSE),0)</f>
        <v>85572</v>
      </c>
      <c r="BP146" s="20">
        <f>IFERROR(VLOOKUP(Tabla145[[#This Row],[Llave]],'[13]Base ultimos planes'!$O:$AA,13,FALSE),0)</f>
        <v>76800</v>
      </c>
      <c r="BQ146" s="20"/>
      <c r="BR146" s="20">
        <f>Tabla145[[#This Row],[ RV Producción mes n+1]]*(1-Tabla145[[#This Row],[% Uti. producción]])</f>
        <v>0</v>
      </c>
      <c r="BS146" s="20">
        <f>+Tabla145[[#This Row],[Producción disponible mes n-1]]+Tabla145[[#This Row],[Saldo Volumen disponible]]</f>
        <v>128072.20000000001</v>
      </c>
      <c r="BT146" s="7">
        <f>IFERROR(VLOOKUP(Tabla145[[#This Row],[Llave]],'[21]RV n+2 y n+3'!$B:$F,4,FALSE),0)</f>
        <v>0</v>
      </c>
      <c r="BU146" s="7">
        <f>+Tabla145[[#This Row],[Asignación mes n+2]]*Tabla145[[#This Row],[% Uti. producción]]</f>
        <v>0</v>
      </c>
      <c r="BV146" s="7">
        <f>+Tabla145[[#This Row],[Ponderación mes n+2]]+Tabla145[[#This Row],[Saldo mes n-1]]</f>
        <v>128072.20000000001</v>
      </c>
      <c r="BW146" s="7">
        <f>+Tabla145[[#This Row],[Asignación mes n+2]]-Tabla145[[#This Row],[Ponderación mes n+2]]</f>
        <v>0</v>
      </c>
      <c r="BX146" s="7">
        <f>IFERROR(VLOOKUP(Tabla145[[#This Row],[Llave]],'[21]RV n+2 y n+3'!$B:$F,5,FALSE),0)</f>
        <v>0</v>
      </c>
      <c r="BY146" s="7">
        <f>+Tabla145[[#This Row],[Asignación mes n+3]]*Tabla145[[#This Row],[% Uti. producción]]</f>
        <v>0</v>
      </c>
      <c r="BZ146" s="3">
        <f>+Tabla145[[#This Row],[Ponderación mes n+3]]+Tabla145[[#This Row],[Saldo mes n+2]]</f>
        <v>0</v>
      </c>
      <c r="CA146" s="3">
        <f>+Tabla145[[#This Row],[Asignación mes n+3]]-Tabla145[[#This Row],[Ponderación mes n+3]]</f>
        <v>0</v>
      </c>
      <c r="CB146" s="3">
        <f>+Tabla145[[#This Row],[Producción disponible mes n-1]]+Tabla145[[#This Row],[Producción disponible]]</f>
        <v>0</v>
      </c>
      <c r="CC146" s="3">
        <f>+Tabla145[[#This Row],[Saldo mes n+4]]-Tabla145[[#This Row],[ RV Producción mes n+1]]</f>
        <v>0</v>
      </c>
    </row>
    <row r="147" spans="1:81" ht="16" x14ac:dyDescent="0.2">
      <c r="A147">
        <v>1</v>
      </c>
      <c r="B147" t="str">
        <f>Tabla145[[#This Row],[Oficina]]&amp;Tabla145[[#This Row],[Material]]</f>
        <v>Exportacion Directa1020105</v>
      </c>
      <c r="C147" t="s">
        <v>6</v>
      </c>
      <c r="D147" t="s">
        <v>88</v>
      </c>
      <c r="E147">
        <v>1020105</v>
      </c>
      <c r="F147" t="s">
        <v>101</v>
      </c>
      <c r="G147" t="s">
        <v>50</v>
      </c>
      <c r="H147" t="s">
        <v>51</v>
      </c>
      <c r="I147" s="7">
        <f>IFERROR(VLOOKUP(Tabla145[[#This Row],[Llave]],'[7]RV Producción'!$C:$G,5,FALSE),0)</f>
        <v>54186</v>
      </c>
      <c r="J147" s="3">
        <f>IFERROR(IF(Tabla145[[#This Row],[Oficina]]=$I$7,VLOOKUP(Tabla145[[#This Row],[Llave]],'[7]Shangai (Tomas)'!$A:$F,6,FALSE),VLOOKUP(Tabla145[[#This Row],[Llave]],'[7]RV plan de ventas'!$A:$E,5,FALSE)),0)</f>
        <v>60000</v>
      </c>
      <c r="K147" s="8">
        <f>IFERROR(VLOOKUP(Tabla145[[#This Row],[Oficina]],[15]Ponderación!$B$2:$E$9,4,FALSE),0)</f>
        <v>0.87158319035419651</v>
      </c>
      <c r="L147" s="7">
        <f>+Tabla145[[#This Row],[ RV Producción mes n+1]]*Tabla145[[#This Row],[% Uti. producción]]</f>
        <v>47227.606752532491</v>
      </c>
      <c r="M147" s="7">
        <f>IFERROR(VLOOKUP(Tabla145[[#This Row],[Material]],[16]Stock!$G:$K,5,FALSE),0)</f>
        <v>55119</v>
      </c>
      <c r="N147" s="7">
        <f>IFERROR(VLOOKUP(Tabla145[[#This Row],[Material]],[16]Produccion!$M:$N,2,FALSE),0)</f>
        <v>21201.674294425084</v>
      </c>
      <c r="O147" s="7">
        <f>IFERROR(VLOOKUP(Tabla145[[#This Row],[Llave]],'[16]TD Conf-AP'!$I:$M,4,FALSE),0)</f>
        <v>7000</v>
      </c>
      <c r="P147" s="14">
        <f>SUM(Tabla145[[#This Row],[Producción disponible]],Tabla145[[#This Row],[Stock al día]],(Tabla145[[#This Row],[Por producir mes N]]*0.9))-Tabla145[[#This Row],[Producción por despachar mes N]]</f>
        <v>114428.11361751508</v>
      </c>
      <c r="Q147" s="7">
        <f>IFERROR(VLOOKUP(Tabla145[[#This Row],[Llave]],[17]DELAY!$A:$D,4,FALSE),0)</f>
        <v>75500</v>
      </c>
      <c r="R147" s="9">
        <v>2419.3548387096776</v>
      </c>
      <c r="S147" s="5">
        <f t="shared" si="7"/>
        <v>75500</v>
      </c>
      <c r="T147" s="76">
        <v>-38780</v>
      </c>
      <c r="U147" s="5">
        <f>+Tabla145[[#This Row],[Atraso a facturar]]+Tabla145[[#This Row],[Ajuste atraso]]</f>
        <v>36720</v>
      </c>
      <c r="V147" s="3">
        <f>+Tabla145[[#This Row],[Total disponible]]-Tabla145[[#This Row],[Facturación atraso]]</f>
        <v>77708.113617515075</v>
      </c>
      <c r="W147" s="6">
        <f>IFERROR(IF(AND(V147&gt;R147,J147&gt;=R147),ROUNDDOWN((Tabla145[[#This Row],[Producción para venta nueva]])/R147,0)*R147,0),0)</f>
        <v>77419.354838709682</v>
      </c>
      <c r="X147" s="76">
        <v>-33240</v>
      </c>
      <c r="Y147" s="6">
        <f>IF(Tabla145[[#This Row],[Venta del mes]]&gt;0,Tabla145[[#This Row],[Venta del mes]]+Tabla145[[#This Row],[Ajuste venta nueva]],0)</f>
        <v>44179.354838709682</v>
      </c>
      <c r="Z147" s="6">
        <f>+Tabla145[[#This Row],[Producción para venta nueva]]-Tabla145[[#This Row],[Facturación Venta nueva]]</f>
        <v>33528.758778805393</v>
      </c>
      <c r="AA147" s="6">
        <f>IF(AND(A147=1,Tabla145[[#This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7" s="6">
        <v>0</v>
      </c>
      <c r="AC147" s="6">
        <f>IF(Tabla145[[#This Row],[Disponible stock sin venta]]&gt;0,Tabla145[[#This Row],[Disponible stock sin venta]]+Tabla145[[#This Row],[Ajuste stock sin venta]],0)</f>
        <v>0</v>
      </c>
      <c r="AD147" s="3">
        <f>IFERROR(VLOOKUP(Tabla145[[#This Row],[Llave]],'[16]TD Puerto'!$A:$D,4,FALSE),0)</f>
        <v>0</v>
      </c>
      <c r="AE147" s="3">
        <v>104532.25806451612</v>
      </c>
      <c r="AF147" s="3">
        <f>+Tabla145[[#This Row],[Plan Irrestricto Inicial]]</f>
        <v>104532.25806451612</v>
      </c>
      <c r="AG147" s="3">
        <f>+Tabla145[[#This Row],[En puerto a facturar]]</f>
        <v>0</v>
      </c>
      <c r="AH147" s="3">
        <f>+Tabla145[[#This Row],[Facturación atraso]]</f>
        <v>36720</v>
      </c>
      <c r="AI147" s="3">
        <f>+Tabla145[[#This Row],[Plan Irrestricto]]-Tabla145[[#This Row],[Puerto ]]-Tabla145[[#This Row],[Atraso]]</f>
        <v>67812.258064516122</v>
      </c>
      <c r="AJ147" s="3">
        <f>IF(Tabla145[[#This Row],[Plan Irrestricto]]&gt;0,SUM(Tabla145[[#This Row],[Facturación atraso]],Tabla145[[#This Row],[Facturación Venta nueva]],Tabla145[[#This Row],[Facturación stock]],Tabla145[[#This Row],[En puerto a facturar]]),0)</f>
        <v>80899.354838709682</v>
      </c>
      <c r="AK147" s="3">
        <f>+Tabla145[[#This Row],[Facturación atraso]]</f>
        <v>36720</v>
      </c>
      <c r="AL147" s="3">
        <f>+Tabla145[[#This Row],[Plan Ajustado]]-Tabla145[[#This Row],[ Atraso ajustado]]-Tabla145[[#This Row],[Puerto ]]</f>
        <v>44179.354838709682</v>
      </c>
      <c r="AM147" s="6">
        <f>IFERROR(VLOOKUP(Tabla145[[#This Row],[Llave]],[18]!Tabla14[#All],34,FALSE),0)</f>
        <v>0</v>
      </c>
      <c r="AN147" s="6">
        <f>IFERROR(VLOOKUP(Tabla145[[#This Row],[Llave]],[18]!Tabla14[#All],35,FALSE),0)</f>
        <v>0</v>
      </c>
      <c r="AO147" s="3" t="str">
        <f>IF(Tabla145[[#This Row],[Plan Ajustado]]&gt;Tabla145[[#This Row],[En puerto a facturar]],"Si","No")</f>
        <v>Si</v>
      </c>
      <c r="AP147" s="3">
        <f>IF(AND(Tabla145[[#This Row],[Plan Ajustado]]&gt;0,Tabla145[[#This Row],[Plan Ajustado]]&gt;Tabla145[[#This Row],[En puerto a facturar]]),(Tabla145[[#This Row],[Plan Ajustado]]-Tabla145[[#This Row],[En puerto a facturar]]),0)</f>
        <v>80899.354838709682</v>
      </c>
      <c r="AQ147" s="3">
        <f>IF(Tabla145[[#This Row],[Necesidad]]&gt;=Tabla145[[#This Row],[Stock al día]],Tabla145[[#This Row],[Stock al día]],Tabla145[[#This Row],[Necesidad]])</f>
        <v>55119</v>
      </c>
      <c r="AR147" s="3">
        <f>+Tabla145[[#This Row],[Necesidad]]-Tabla145[[#This Row],[Stock Plan]]</f>
        <v>25780.354838709682</v>
      </c>
      <c r="AS147" s="155">
        <f>IFERROR(VLOOKUP(Tabla145[[#This Row],[Oficina]],[19]Ponderación!$B$14:$E$21,4,FALSE),"")</f>
        <v>44800</v>
      </c>
      <c r="AT14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3.7440000000000002</v>
      </c>
      <c r="AU147" s="83">
        <f>IFERROR(VLOOKUP(Tabla145[[#This Row],[Llave]],[17]DELAY!$H:$W,16,FALSE),0)</f>
        <v>3.8841560003642388</v>
      </c>
      <c r="AV14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3.8076164323391155</v>
      </c>
      <c r="AW147" s="5">
        <f>Tabla145[[#This Row],[Ajuste precio IC]]*Tabla145[[#This Row],[Plan Ajustado]]</f>
        <v>308033.71284950391</v>
      </c>
      <c r="AX147" s="30">
        <f>IFERROR(VLOOKUP(Tabla145[[#This Row],[Llave]],'[13]Ultimos precios facturados'!$A:$G,7,FALSE),0)</f>
        <v>3.8362522068920182</v>
      </c>
      <c r="AY14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7.4645182351298685E-3</v>
      </c>
      <c r="AZ147" s="30">
        <f>IFERROR(VLOOKUP(Tabla145[[#This Row],[Llave]],Hoja2!B:K,10,FALSE),0)</f>
        <v>3.8076164323391155</v>
      </c>
      <c r="BA147" s="30">
        <f>IF(Tabla145[[#This Row],[Ajuste precio IC]]="",Tabla145[[#This Row],[Precio ponderado]],Tabla145[[#This Row],[Precio ponderado]])</f>
        <v>3.8076164323391155</v>
      </c>
      <c r="BB147" s="82"/>
      <c r="BC147" s="82" t="str">
        <f>IF(AND(Tabla145[[#This Row],[Atraso a facturar]]&gt;0,Tabla145[[#This Row],[Precio Atraso]]=0),"Revisar","OK")</f>
        <v>OK</v>
      </c>
      <c r="BD147" s="82" t="str">
        <f>IF(AND(Tabla145[[#This Row],[Venta del mes]]&gt;0,Tabla145[[#This Row],[Precio venta nueva]]=0),"Revisar","OK")</f>
        <v>OK</v>
      </c>
      <c r="BE147" s="20">
        <f>IFERROR(VLOOKUP(Tabla145[[#This Row],[Llave]],'[5]Consolidación planes'!$A:$M,9,FALSE),0)</f>
        <v>53000</v>
      </c>
      <c r="BF147" s="20">
        <f>IFERROR(VLOOKUP(Tabla145[[#This Row],[Llave]],'[5]Consolidación planes'!$A:$M,10,FALSE),0)</f>
        <v>35000</v>
      </c>
      <c r="BG147" s="20">
        <f>IFERROR(VLOOKUP(Tabla145[[#This Row],[Llave]],'[5]Consolidación planes'!$A:$M,11,FALSE),0)</f>
        <v>40000</v>
      </c>
      <c r="BH147" s="20">
        <f>IFERROR(VLOOKUP(Tabla145[[#This Row],[Llave]],'[5]Consolidación planes'!$A:$M,12,FALSE),0)</f>
        <v>55000</v>
      </c>
      <c r="BI147" s="20">
        <f>IFERROR(VLOOKUP(Tabla145[[#This Row],[Llave]],'[5]Consolidación planes'!$A:$M,13,FALSE),0)</f>
        <v>58500</v>
      </c>
      <c r="BJ147" s="20">
        <f>IFERROR(VLOOKUP(Tabla145[[#This Row],[Llave]],'[13]Base ultimos planes'!$A:$M,13,FALSE),0)</f>
        <v>40113</v>
      </c>
      <c r="BK147" s="80">
        <f>IFERROR(VLOOKUP(Tabla145[[#This Row],[Llave]],'[13]Base ultimos planes'!$O:$AA,8,FALSE),0)</f>
        <v>242802.9852</v>
      </c>
      <c r="BL147" s="20">
        <f>IFERROR(VLOOKUP(Tabla145[[#This Row],[Llave]],'[13]Base ultimos planes'!$O:$AA,9,FALSE),0)</f>
        <v>150434</v>
      </c>
      <c r="BM147" s="20">
        <f>IFERROR(VLOOKUP(Tabla145[[#This Row],[Llave]],'[13]Base ultimos planes'!$O:$AA,10,FALSE),0)</f>
        <v>172191</v>
      </c>
      <c r="BN147" s="20">
        <f>IFERROR(VLOOKUP(Tabla145[[#This Row],[Llave]],'[13]Base ultimos planes'!$O:$AA,11,FALSE),0)</f>
        <v>229340</v>
      </c>
      <c r="BO147" s="20">
        <f>IFERROR(VLOOKUP(Tabla145[[#This Row],[Llave]],'[13]Base ultimos planes'!$O:$AA,12,FALSE),0)</f>
        <v>240695</v>
      </c>
      <c r="BP147" s="20">
        <f>IFERROR(VLOOKUP(Tabla145[[#This Row],[Llave]],'[13]Base ultimos planes'!$O:$AA,13,FALSE),0)</f>
        <v>151021</v>
      </c>
      <c r="BQ147" s="20"/>
      <c r="BR147" s="20">
        <f>Tabla145[[#This Row],[ RV Producción mes n+1]]*(1-Tabla145[[#This Row],[% Uti. producción]])</f>
        <v>6958.3932474675075</v>
      </c>
      <c r="BS147" s="20">
        <f>+Tabla145[[#This Row],[Producción disponible mes n-1]]+Tabla145[[#This Row],[Saldo Volumen disponible]]</f>
        <v>40487.152026272903</v>
      </c>
      <c r="BT147" s="7">
        <f>IFERROR(VLOOKUP(Tabla145[[#This Row],[Llave]],'[21]RV n+2 y n+3'!$B:$F,4,FALSE),0)</f>
        <v>60000</v>
      </c>
      <c r="BU147" s="7">
        <f>+Tabla145[[#This Row],[Asignación mes n+2]]*Tabla145[[#This Row],[% Uti. producción]]</f>
        <v>52294.991421251791</v>
      </c>
      <c r="BV147" s="7">
        <f>+Tabla145[[#This Row],[Ponderación mes n+2]]+Tabla145[[#This Row],[Saldo mes n-1]]</f>
        <v>92782.143447524693</v>
      </c>
      <c r="BW147" s="7">
        <f>+Tabla145[[#This Row],[Asignación mes n+2]]-Tabla145[[#This Row],[Ponderación mes n+2]]</f>
        <v>7705.0085787482094</v>
      </c>
      <c r="BX147" s="7">
        <f>IFERROR(VLOOKUP(Tabla145[[#This Row],[Llave]],'[21]RV n+2 y n+3'!$B:$F,5,FALSE),0)</f>
        <v>70000.000200000009</v>
      </c>
      <c r="BY147" s="7">
        <f>+Tabla145[[#This Row],[Asignación mes n+3]]*Tabla145[[#This Row],[% Uti. producción]]</f>
        <v>61010.823499110404</v>
      </c>
      <c r="BZ147" s="3">
        <f>+Tabla145[[#This Row],[Ponderación mes n+3]]+Tabla145[[#This Row],[Saldo mes n+2]]</f>
        <v>68715.83207785862</v>
      </c>
      <c r="CA147" s="3">
        <f>+Tabla145[[#This Row],[Asignación mes n+3]]-Tabla145[[#This Row],[Ponderación mes n+3]]</f>
        <v>8989.1767008896059</v>
      </c>
      <c r="CB147" s="3">
        <f>+Tabla145[[#This Row],[Producción disponible mes n-1]]+Tabla145[[#This Row],[Producción disponible]]</f>
        <v>54186</v>
      </c>
      <c r="CC147" s="3">
        <f>+Tabla145[[#This Row],[Saldo mes n+4]]-Tabla145[[#This Row],[ RV Producción mes n+1]]</f>
        <v>0</v>
      </c>
    </row>
    <row r="148" spans="1:81" ht="16" x14ac:dyDescent="0.2">
      <c r="A148">
        <v>1</v>
      </c>
      <c r="B148" t="str">
        <f>Tabla145[[#This Row],[Oficina]]&amp;Tabla145[[#This Row],[Material]]</f>
        <v>Exportacion Directa1020110</v>
      </c>
      <c r="C148" t="s">
        <v>6</v>
      </c>
      <c r="D148" t="s">
        <v>88</v>
      </c>
      <c r="E148">
        <v>1020110</v>
      </c>
      <c r="F148" t="s">
        <v>104</v>
      </c>
      <c r="G148" t="s">
        <v>50</v>
      </c>
      <c r="H148" t="s">
        <v>103</v>
      </c>
      <c r="I148" s="7">
        <f>IFERROR(VLOOKUP(Tabla145[[#This Row],[Llave]],'[7]RV Producción'!$C:$G,5,FALSE),0)</f>
        <v>651088</v>
      </c>
      <c r="J148" s="3">
        <f>IFERROR(IF(Tabla145[[#This Row],[Oficina]]=$I$7,VLOOKUP(Tabla145[[#This Row],[Llave]],'[7]Shangai (Tomas)'!$A:$F,6,FALSE),VLOOKUP(Tabla145[[#This Row],[Llave]],'[7]RV plan de ventas'!$A:$E,5,FALSE)),0)</f>
        <v>420000</v>
      </c>
      <c r="K148" s="8">
        <f>IFERROR(VLOOKUP(Tabla145[[#This Row],[Oficina]],[15]Ponderación!$B$2:$E$9,4,FALSE),0)</f>
        <v>0.87158319035419651</v>
      </c>
      <c r="L148" s="7">
        <f>+Tabla145[[#This Row],[ RV Producción mes n+1]]*Tabla145[[#This Row],[% Uti. producción]]</f>
        <v>567477.35624133307</v>
      </c>
      <c r="M148" s="7">
        <f>IFERROR(VLOOKUP(Tabla145[[#This Row],[Material]],[16]Stock!$G:$K,5,FALSE),0)</f>
        <v>338670</v>
      </c>
      <c r="N148" s="7">
        <f>IFERROR(VLOOKUP(Tabla145[[#This Row],[Material]],[16]Produccion!$M:$N,2,FALSE),0)</f>
        <v>187309.35999298067</v>
      </c>
      <c r="O148" s="7">
        <f>IFERROR(VLOOKUP(Tabla145[[#This Row],[Llave]],'[16]TD Conf-AP'!$I:$M,4,FALSE),0)</f>
        <v>168620</v>
      </c>
      <c r="P148" s="14">
        <f>SUM(Tabla145[[#This Row],[Producción disponible]],Tabla145[[#This Row],[Stock al día]],(Tabla145[[#This Row],[Por producir mes N]]*0.9))-Tabla145[[#This Row],[Producción por despachar mes N]]</f>
        <v>906105.78023501579</v>
      </c>
      <c r="Q148" s="7">
        <f>IFERROR(VLOOKUP(Tabla145[[#This Row],[Llave]],[17]DELAY!$A:$D,4,FALSE),0)</f>
        <v>546330</v>
      </c>
      <c r="R148" s="9">
        <v>6247.0588235294117</v>
      </c>
      <c r="S148" s="5">
        <f t="shared" si="7"/>
        <v>546330</v>
      </c>
      <c r="T148" s="76">
        <v>-132960</v>
      </c>
      <c r="U148" s="5">
        <f>+Tabla145[[#This Row],[Atraso a facturar]]+Tabla145[[#This Row],[Ajuste atraso]]</f>
        <v>413370</v>
      </c>
      <c r="V148" s="3">
        <f>+Tabla145[[#This Row],[Total disponible]]-Tabla145[[#This Row],[Facturación atraso]]</f>
        <v>492735.78023501579</v>
      </c>
      <c r="W148" s="6">
        <f>IFERROR(IF(AND(V148&gt;R148,J148&gt;=R148),ROUNDDOWN((Tabla145[[#This Row],[Producción para venta nueva]])/R148,0)*R148,0),0)</f>
        <v>487270.5882352941</v>
      </c>
      <c r="X148" s="76">
        <v>-221600</v>
      </c>
      <c r="Y148" s="6">
        <f>IF(Tabla145[[#This Row],[Venta del mes]]&gt;0,Tabla145[[#This Row],[Venta del mes]]+Tabla145[[#This Row],[Ajuste venta nueva]],0)</f>
        <v>265670.5882352941</v>
      </c>
      <c r="Z148" s="6">
        <f>+Tabla145[[#This Row],[Producción para venta nueva]]-Tabla145[[#This Row],[Facturación Venta nueva]]</f>
        <v>227065.19199972169</v>
      </c>
      <c r="AA148" s="6">
        <f>IF(AND(A148=1,Tabla145[[#This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8" s="6">
        <v>0</v>
      </c>
      <c r="AC148" s="6">
        <f>IF(Tabla145[[#This Row],[Disponible stock sin venta]]&gt;0,Tabla145[[#This Row],[Disponible stock sin venta]]+Tabla145[[#This Row],[Ajuste stock sin venta]],0)</f>
        <v>0</v>
      </c>
      <c r="AD148" s="3">
        <f>IFERROR(VLOOKUP(Tabla145[[#This Row],[Llave]],'[16]TD Puerto'!$A:$D,4,FALSE),0)</f>
        <v>0</v>
      </c>
      <c r="AE148" s="3">
        <v>839941.76470588241</v>
      </c>
      <c r="AF148" s="3">
        <f>+Tabla145[[#This Row],[Plan Irrestricto Inicial]]</f>
        <v>839941.76470588241</v>
      </c>
      <c r="AG148" s="3">
        <f>+Tabla145[[#This Row],[En puerto a facturar]]</f>
        <v>0</v>
      </c>
      <c r="AH148" s="3">
        <f>+Tabla145[[#This Row],[Facturación atraso]]</f>
        <v>413370</v>
      </c>
      <c r="AI148" s="3">
        <f>+Tabla145[[#This Row],[Plan Irrestricto]]-Tabla145[[#This Row],[Puerto ]]-Tabla145[[#This Row],[Atraso]]</f>
        <v>426571.76470588241</v>
      </c>
      <c r="AJ148" s="3">
        <f>IF(Tabla145[[#This Row],[Plan Irrestricto]]&gt;0,SUM(Tabla145[[#This Row],[Facturación atraso]],Tabla145[[#This Row],[Facturación Venta nueva]],Tabla145[[#This Row],[Facturación stock]],Tabla145[[#This Row],[En puerto a facturar]]),0)</f>
        <v>679040.5882352941</v>
      </c>
      <c r="AK148" s="3">
        <f>+Tabla145[[#This Row],[Facturación atraso]]</f>
        <v>413370</v>
      </c>
      <c r="AL148" s="3">
        <f>+Tabla145[[#This Row],[Plan Ajustado]]-Tabla145[[#This Row],[ Atraso ajustado]]-Tabla145[[#This Row],[Puerto ]]</f>
        <v>265670.5882352941</v>
      </c>
      <c r="AM148" s="6">
        <f>IFERROR(VLOOKUP(Tabla145[[#This Row],[Llave]],[18]!Tabla14[#All],34,FALSE),0)</f>
        <v>0</v>
      </c>
      <c r="AN148" s="6">
        <f>IFERROR(VLOOKUP(Tabla145[[#This Row],[Llave]],[18]!Tabla14[#All],35,FALSE),0)</f>
        <v>0</v>
      </c>
      <c r="AO148" s="3" t="str">
        <f>IF(Tabla145[[#This Row],[Plan Ajustado]]&gt;Tabla145[[#This Row],[En puerto a facturar]],"Si","No")</f>
        <v>Si</v>
      </c>
      <c r="AP148" s="3">
        <f>IF(AND(Tabla145[[#This Row],[Plan Ajustado]]&gt;0,Tabla145[[#This Row],[Plan Ajustado]]&gt;Tabla145[[#This Row],[En puerto a facturar]]),(Tabla145[[#This Row],[Plan Ajustado]]-Tabla145[[#This Row],[En puerto a facturar]]),0)</f>
        <v>679040.5882352941</v>
      </c>
      <c r="AQ148" s="3">
        <f>IF(Tabla145[[#This Row],[Necesidad]]&gt;=Tabla145[[#This Row],[Stock al día]],Tabla145[[#This Row],[Stock al día]],Tabla145[[#This Row],[Necesidad]])</f>
        <v>338670</v>
      </c>
      <c r="AR148" s="3">
        <f>+Tabla145[[#This Row],[Necesidad]]-Tabla145[[#This Row],[Stock Plan]]</f>
        <v>340370.5882352941</v>
      </c>
      <c r="AS148" s="155">
        <f>IFERROR(VLOOKUP(Tabla145[[#This Row],[Oficina]],[19]Ponderación!$B$14:$E$21,4,FALSE),"")</f>
        <v>44800</v>
      </c>
      <c r="AT14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3.3479999999999999</v>
      </c>
      <c r="AU148" s="84">
        <f>IFERROR(VLOOKUP(Tabla145[[#This Row],[Llave]],[17]DELAY!$H:$W,16,FALSE),0)</f>
        <v>3.4455554112766871</v>
      </c>
      <c r="AV14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3.407387437302158</v>
      </c>
      <c r="AW148" s="5">
        <f>Tabla145[[#This Row],[Ajuste precio IC]]*Tabla145[[#This Row],[Plan Ajustado]]</f>
        <v>2313754.3697712086</v>
      </c>
      <c r="AX148" s="30">
        <f>IFERROR(VLOOKUP(Tabla145[[#This Row],[Llave]],'[13]Ultimos precios facturados'!$A:$G,7,FALSE),0)</f>
        <v>3.3377215677232455</v>
      </c>
      <c r="AY14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2.0872283132482374E-2</v>
      </c>
      <c r="AZ148" s="30">
        <f>IFERROR(VLOOKUP(Tabla145[[#This Row],[Llave]],Hoja2!B:K,10,FALSE),0)</f>
        <v>3.407387437302158</v>
      </c>
      <c r="BA148" s="30">
        <f>IF(Tabla145[[#This Row],[Ajuste precio IC]]="",Tabla145[[#This Row],[Precio ponderado]],Tabla145[[#This Row],[Precio ponderado]])</f>
        <v>3.407387437302158</v>
      </c>
      <c r="BB148" s="82"/>
      <c r="BC148" s="82" t="str">
        <f>IF(AND(Tabla145[[#This Row],[Atraso a facturar]]&gt;0,Tabla145[[#This Row],[Precio Atraso]]=0),"Revisar","OK")</f>
        <v>OK</v>
      </c>
      <c r="BD148" s="82" t="str">
        <f>IF(AND(Tabla145[[#This Row],[Venta del mes]]&gt;0,Tabla145[[#This Row],[Precio venta nueva]]=0),"Revisar","OK")</f>
        <v>OK</v>
      </c>
      <c r="BE148" s="20">
        <f>IFERROR(VLOOKUP(Tabla145[[#This Row],[Llave]],'[5]Consolidación planes'!$A:$M,9,FALSE),0)</f>
        <v>412200</v>
      </c>
      <c r="BF148" s="20">
        <f>IFERROR(VLOOKUP(Tabla145[[#This Row],[Llave]],'[5]Consolidación planes'!$A:$M,10,FALSE),0)</f>
        <v>240000</v>
      </c>
      <c r="BG148" s="20">
        <f>IFERROR(VLOOKUP(Tabla145[[#This Row],[Llave]],'[5]Consolidación planes'!$A:$M,11,FALSE),0)</f>
        <v>400000</v>
      </c>
      <c r="BH148" s="20">
        <f>IFERROR(VLOOKUP(Tabla145[[#This Row],[Llave]],'[5]Consolidación planes'!$A:$M,12,FALSE),0)</f>
        <v>460000</v>
      </c>
      <c r="BI148" s="20">
        <f>IFERROR(VLOOKUP(Tabla145[[#This Row],[Llave]],'[5]Consolidación planes'!$A:$M,13,FALSE),0)</f>
        <v>600000</v>
      </c>
      <c r="BJ148" s="20">
        <f>IFERROR(VLOOKUP(Tabla145[[#This Row],[Llave]],'[13]Base ultimos planes'!$A:$M,13,FALSE),0)</f>
        <v>690745</v>
      </c>
      <c r="BK148" s="80">
        <f>IFERROR(VLOOKUP(Tabla145[[#This Row],[Llave]],'[13]Base ultimos planes'!$O:$AA,8,FALSE),0)</f>
        <v>1698264</v>
      </c>
      <c r="BL148" s="20">
        <f>IFERROR(VLOOKUP(Tabla145[[#This Row],[Llave]],'[13]Base ultimos planes'!$O:$AA,9,FALSE),0)</f>
        <v>924341</v>
      </c>
      <c r="BM148" s="20">
        <f>IFERROR(VLOOKUP(Tabla145[[#This Row],[Llave]],'[13]Base ultimos planes'!$O:$AA,10,FALSE),0)</f>
        <v>1528601</v>
      </c>
      <c r="BN148" s="20">
        <f>IFERROR(VLOOKUP(Tabla145[[#This Row],[Llave]],'[13]Base ultimos planes'!$O:$AA,11,FALSE),0)</f>
        <v>1681228</v>
      </c>
      <c r="BO148" s="20">
        <f>IFERROR(VLOOKUP(Tabla145[[#This Row],[Llave]],'[13]Base ultimos planes'!$O:$AA,12,FALSE),0)</f>
        <v>2172336</v>
      </c>
      <c r="BP148" s="20">
        <f>IFERROR(VLOOKUP(Tabla145[[#This Row],[Llave]],'[13]Base ultimos planes'!$O:$AA,13,FALSE),0)</f>
        <v>2287445</v>
      </c>
      <c r="BQ148" s="20"/>
      <c r="BR148" s="20">
        <f>Tabla145[[#This Row],[ RV Producción mes n+1]]*(1-Tabla145[[#This Row],[% Uti. producción]])</f>
        <v>83610.643758666905</v>
      </c>
      <c r="BS148" s="20">
        <f>+Tabla145[[#This Row],[Producción disponible mes n-1]]+Tabla145[[#This Row],[Saldo Volumen disponible]]</f>
        <v>310675.83575838862</v>
      </c>
      <c r="BT148" s="7">
        <f>IFERROR(VLOOKUP(Tabla145[[#This Row],[Llave]],'[21]RV n+2 y n+3'!$B:$F,4,FALSE),0)</f>
        <v>550000</v>
      </c>
      <c r="BU148" s="7">
        <f>+Tabla145[[#This Row],[Asignación mes n+2]]*Tabla145[[#This Row],[% Uti. producción]]</f>
        <v>479370.7546948081</v>
      </c>
      <c r="BV148" s="7">
        <f>+Tabla145[[#This Row],[Ponderación mes n+2]]+Tabla145[[#This Row],[Saldo mes n-1]]</f>
        <v>790046.59045319678</v>
      </c>
      <c r="BW148" s="7">
        <f>+Tabla145[[#This Row],[Asignación mes n+2]]-Tabla145[[#This Row],[Ponderación mes n+2]]</f>
        <v>70629.2453051919</v>
      </c>
      <c r="BX148" s="7">
        <f>IFERROR(VLOOKUP(Tabla145[[#This Row],[Llave]],'[21]RV n+2 y n+3'!$B:$F,5,FALSE),0)</f>
        <v>400000</v>
      </c>
      <c r="BY148" s="7">
        <f>+Tabla145[[#This Row],[Asignación mes n+3]]*Tabla145[[#This Row],[% Uti. producción]]</f>
        <v>348633.27614167862</v>
      </c>
      <c r="BZ148" s="3">
        <f>+Tabla145[[#This Row],[Ponderación mes n+3]]+Tabla145[[#This Row],[Saldo mes n+2]]</f>
        <v>419262.52144687052</v>
      </c>
      <c r="CA148" s="3">
        <f>+Tabla145[[#This Row],[Asignación mes n+3]]-Tabla145[[#This Row],[Ponderación mes n+3]]</f>
        <v>51366.723858321377</v>
      </c>
      <c r="CB148" s="3">
        <f>+Tabla145[[#This Row],[Producción disponible mes n-1]]+Tabla145[[#This Row],[Producción disponible]]</f>
        <v>651088</v>
      </c>
      <c r="CC148" s="3">
        <f>+Tabla145[[#This Row],[Saldo mes n+4]]-Tabla145[[#This Row],[ RV Producción mes n+1]]</f>
        <v>0</v>
      </c>
    </row>
    <row r="149" spans="1:81" ht="16" x14ac:dyDescent="0.2">
      <c r="A149">
        <v>1</v>
      </c>
      <c r="B149" t="str">
        <f>Tabla145[[#This Row],[Oficina]]&amp;Tabla145[[#This Row],[Material]]</f>
        <v>Exportacion Directa1020284</v>
      </c>
      <c r="C149" t="s">
        <v>6</v>
      </c>
      <c r="D149" t="s">
        <v>88</v>
      </c>
      <c r="E149">
        <v>1020284</v>
      </c>
      <c r="F149" t="s">
        <v>129</v>
      </c>
      <c r="G149" t="s">
        <v>59</v>
      </c>
      <c r="H149" t="s">
        <v>65</v>
      </c>
      <c r="I149" s="7">
        <f>IFERROR(VLOOKUP(Tabla145[[#This Row],[Llave]],'[7]RV Producción'!$C:$G,5,FALSE),0)</f>
        <v>406</v>
      </c>
      <c r="J149" s="3">
        <f>IFERROR(IF(Tabla145[[#This Row],[Oficina]]=$I$7,VLOOKUP(Tabla145[[#This Row],[Llave]],'[7]Shangai (Tomas)'!$A:$F,6,FALSE),VLOOKUP(Tabla145[[#This Row],[Llave]],'[7]RV plan de ventas'!$A:$E,5,FALSE)),0)</f>
        <v>7000</v>
      </c>
      <c r="K149" s="8">
        <f>IFERROR(VLOOKUP(Tabla145[[#This Row],[Oficina]],[15]Ponderación!$B$2:$E$9,4,FALSE),0)</f>
        <v>0.87158319035419651</v>
      </c>
      <c r="L149" s="7">
        <f>+Tabla145[[#This Row],[ RV Producción mes n+1]]*Tabla145[[#This Row],[% Uti. producción]]</f>
        <v>353.86277528380378</v>
      </c>
      <c r="M149" s="7">
        <f>IFERROR(VLOOKUP(Tabla145[[#This Row],[Material]],[16]Stock!$G:$K,5,FALSE),0)</f>
        <v>12841</v>
      </c>
      <c r="N149" s="7">
        <f>IFERROR(VLOOKUP(Tabla145[[#This Row],[Material]],[16]Produccion!$M:$N,2,FALSE),0)</f>
        <v>0</v>
      </c>
      <c r="O149" s="7">
        <f>IFERROR(VLOOKUP(Tabla145[[#This Row],[Llave]],'[16]TD Conf-AP'!$I:$M,4,FALSE),0)</f>
        <v>0</v>
      </c>
      <c r="P149" s="14">
        <f>SUM(Tabla145[[#This Row],[Producción disponible]],Tabla145[[#This Row],[Stock al día]],(Tabla145[[#This Row],[Por producir mes N]]*0.9))-Tabla145[[#This Row],[Producción por despachar mes N]]</f>
        <v>13194.862775283804</v>
      </c>
      <c r="Q149" s="7">
        <f>IFERROR(VLOOKUP(Tabla145[[#This Row],[Llave]],[17]DELAY!$A:$D,4,FALSE),0)</f>
        <v>7000</v>
      </c>
      <c r="R149" s="9">
        <v>2333.3333333333335</v>
      </c>
      <c r="S149" s="5">
        <f t="shared" si="7"/>
        <v>7000</v>
      </c>
      <c r="T149" s="76">
        <v>0</v>
      </c>
      <c r="U149" s="5">
        <f>+Tabla145[[#This Row],[Atraso a facturar]]+Tabla145[[#This Row],[Ajuste atraso]]</f>
        <v>7000</v>
      </c>
      <c r="V149" s="3">
        <f>+Tabla145[[#This Row],[Total disponible]]-Tabla145[[#This Row],[Facturación atraso]]</f>
        <v>6194.8627752838038</v>
      </c>
      <c r="W149" s="6">
        <f>IFERROR(IF(AND(V149&gt;R149,J149&gt;=R149),ROUNDDOWN((Tabla145[[#This Row],[Producción para venta nueva]])/R149,0)*R149,0),0)</f>
        <v>4666.666666666667</v>
      </c>
      <c r="X149" s="76">
        <v>-4432</v>
      </c>
      <c r="Y149" s="6">
        <f>IF(Tabla145[[#This Row],[Venta del mes]]&gt;0,Tabla145[[#This Row],[Venta del mes]]+Tabla145[[#This Row],[Ajuste venta nueva]],0)</f>
        <v>234.66666666666697</v>
      </c>
      <c r="Z149" s="6">
        <f>+Tabla145[[#This Row],[Producción para venta nueva]]-Tabla145[[#This Row],[Facturación Venta nueva]]</f>
        <v>5960.1961086171368</v>
      </c>
      <c r="AA149" s="6">
        <f>IF(AND(A149=1,Tabla145[[#This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49" s="6">
        <v>0</v>
      </c>
      <c r="AC149" s="6">
        <f>IF(Tabla145[[#This Row],[Disponible stock sin venta]]&gt;0,Tabla145[[#This Row],[Disponible stock sin venta]]+Tabla145[[#This Row],[Ajuste stock sin venta]],0)</f>
        <v>0</v>
      </c>
      <c r="AD149" s="3">
        <f>IFERROR(VLOOKUP(Tabla145[[#This Row],[Llave]],'[16]TD Puerto'!$A:$D,4,FALSE),0)</f>
        <v>0</v>
      </c>
      <c r="AE149" s="3">
        <v>16333.333333333334</v>
      </c>
      <c r="AF149" s="3">
        <f>+Tabla145[[#This Row],[Plan Irrestricto Inicial]]</f>
        <v>16333.333333333334</v>
      </c>
      <c r="AG149" s="3">
        <f>+Tabla145[[#This Row],[En puerto a facturar]]</f>
        <v>0</v>
      </c>
      <c r="AH149" s="3">
        <f>+Tabla145[[#This Row],[Facturación atraso]]</f>
        <v>7000</v>
      </c>
      <c r="AI149" s="3">
        <f>+Tabla145[[#This Row],[Plan Irrestricto]]-Tabla145[[#This Row],[Puerto ]]-Tabla145[[#This Row],[Atraso]]</f>
        <v>9333.3333333333339</v>
      </c>
      <c r="AJ149" s="3">
        <f>IF(Tabla145[[#This Row],[Plan Irrestricto]]&gt;0,SUM(Tabla145[[#This Row],[Facturación atraso]],Tabla145[[#This Row],[Facturación Venta nueva]],Tabla145[[#This Row],[Facturación stock]],Tabla145[[#This Row],[En puerto a facturar]]),0)</f>
        <v>7234.666666666667</v>
      </c>
      <c r="AK149" s="3">
        <f>+Tabla145[[#This Row],[Facturación atraso]]</f>
        <v>7000</v>
      </c>
      <c r="AL149" s="3">
        <f>+Tabla145[[#This Row],[Plan Ajustado]]-Tabla145[[#This Row],[ Atraso ajustado]]-Tabla145[[#This Row],[Puerto ]]</f>
        <v>234.66666666666697</v>
      </c>
      <c r="AM149" s="6">
        <f>IFERROR(VLOOKUP(Tabla145[[#This Row],[Llave]],[18]!Tabla14[#All],34,FALSE),0)</f>
        <v>0</v>
      </c>
      <c r="AN149" s="6">
        <f>IFERROR(VLOOKUP(Tabla145[[#This Row],[Llave]],[18]!Tabla14[#All],35,FALSE),0)</f>
        <v>0</v>
      </c>
      <c r="AO149" s="3" t="str">
        <f>IF(Tabla145[[#This Row],[Plan Ajustado]]&gt;Tabla145[[#This Row],[En puerto a facturar]],"Si","No")</f>
        <v>Si</v>
      </c>
      <c r="AP149" s="3">
        <f>IF(AND(Tabla145[[#This Row],[Plan Ajustado]]&gt;0,Tabla145[[#This Row],[Plan Ajustado]]&gt;Tabla145[[#This Row],[En puerto a facturar]]),(Tabla145[[#This Row],[Plan Ajustado]]-Tabla145[[#This Row],[En puerto a facturar]]),0)</f>
        <v>7234.666666666667</v>
      </c>
      <c r="AQ149" s="3">
        <f>IF(Tabla145[[#This Row],[Necesidad]]&gt;=Tabla145[[#This Row],[Stock al día]],Tabla145[[#This Row],[Stock al día]],Tabla145[[#This Row],[Necesidad]])</f>
        <v>7234.666666666667</v>
      </c>
      <c r="AR149" s="3">
        <f>+Tabla145[[#This Row],[Necesidad]]-Tabla145[[#This Row],[Stock Plan]]</f>
        <v>0</v>
      </c>
      <c r="AS149" s="155">
        <f>IFERROR(VLOOKUP(Tabla145[[#This Row],[Oficina]],[19]Ponderación!$B$14:$E$21,4,FALSE),"")</f>
        <v>44800</v>
      </c>
      <c r="AT14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3.456</v>
      </c>
      <c r="AU149" s="83">
        <f>IFERROR(VLOOKUP(Tabla145[[#This Row],[Llave]],[17]DELAY!$H:$W,16,FALSE),0)</f>
        <v>3.6973310142857101</v>
      </c>
      <c r="AV14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3.6895031008109065</v>
      </c>
      <c r="AW149" s="5">
        <f>Tabla145[[#This Row],[Ajuste precio IC]]*Tabla145[[#This Row],[Plan Ajustado]]</f>
        <v>26692.325099999973</v>
      </c>
      <c r="AX149" s="30">
        <f>IFERROR(VLOOKUP(Tabla145[[#This Row],[Llave]],'[13]Ultimos precios facturados'!$A:$G,7,FALSE),0)</f>
        <v>3.6560115307590015</v>
      </c>
      <c r="AY14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9.1606850170278253E-3</v>
      </c>
      <c r="AZ149" s="30">
        <f>IFERROR(VLOOKUP(Tabla145[[#This Row],[Llave]],Hoja2!B:K,10,FALSE),0)</f>
        <v>3.6895031008109065</v>
      </c>
      <c r="BA149" s="30">
        <f>IF(Tabla145[[#This Row],[Ajuste precio IC]]="",Tabla145[[#This Row],[Precio ponderado]],Tabla145[[#This Row],[Precio ponderado]])</f>
        <v>3.6895031008109065</v>
      </c>
      <c r="BB149" s="82" t="s">
        <v>753</v>
      </c>
      <c r="BC149" s="82" t="str">
        <f>IF(AND(Tabla145[[#This Row],[Atraso a facturar]]&gt;0,Tabla145[[#This Row],[Precio Atraso]]=0),"Revisar","OK")</f>
        <v>OK</v>
      </c>
      <c r="BD149" s="82" t="str">
        <f>IF(AND(Tabla145[[#This Row],[Venta del mes]]&gt;0,Tabla145[[#This Row],[Precio venta nueva]]=0),"Revisar","OK")</f>
        <v>OK</v>
      </c>
      <c r="BE149" s="20">
        <f>IFERROR(VLOOKUP(Tabla145[[#This Row],[Llave]],'[5]Consolidación planes'!$A:$M,9,FALSE),0)</f>
        <v>11750</v>
      </c>
      <c r="BF149" s="20">
        <f>IFERROR(VLOOKUP(Tabla145[[#This Row],[Llave]],'[5]Consolidación planes'!$A:$M,10,FALSE),0)</f>
        <v>5750</v>
      </c>
      <c r="BG149" s="20">
        <f>IFERROR(VLOOKUP(Tabla145[[#This Row],[Llave]],'[5]Consolidación planes'!$A:$M,11,FALSE),0)</f>
        <v>4000</v>
      </c>
      <c r="BH149" s="20">
        <f>IFERROR(VLOOKUP(Tabla145[[#This Row],[Llave]],'[5]Consolidación planes'!$A:$M,12,FALSE),0)</f>
        <v>17000</v>
      </c>
      <c r="BI149" s="20">
        <f>IFERROR(VLOOKUP(Tabla145[[#This Row],[Llave]],'[5]Consolidación planes'!$A:$M,13,FALSE),0)</f>
        <v>23200</v>
      </c>
      <c r="BJ149" s="20">
        <f>IFERROR(VLOOKUP(Tabla145[[#This Row],[Llave]],'[13]Base ultimos planes'!$A:$M,13,FALSE),0)</f>
        <v>7667</v>
      </c>
      <c r="BK149" s="80">
        <f>IFERROR(VLOOKUP(Tabla145[[#This Row],[Llave]],'[13]Base ultimos planes'!$O:$AA,8,FALSE),0)</f>
        <v>50760</v>
      </c>
      <c r="BL149" s="20">
        <f>IFERROR(VLOOKUP(Tabla145[[#This Row],[Llave]],'[13]Base ultimos planes'!$O:$AA,9,FALSE),0)</f>
        <v>23396</v>
      </c>
      <c r="BM149" s="20">
        <f>IFERROR(VLOOKUP(Tabla145[[#This Row],[Llave]],'[13]Base ultimos planes'!$O:$AA,10,FALSE),0)</f>
        <v>16318</v>
      </c>
      <c r="BN149" s="20">
        <f>IFERROR(VLOOKUP(Tabla145[[#This Row],[Llave]],'[13]Base ultimos planes'!$O:$AA,11,FALSE),0)</f>
        <v>67201</v>
      </c>
      <c r="BO149" s="20">
        <f>IFERROR(VLOOKUP(Tabla145[[#This Row],[Llave]],'[13]Base ultimos planes'!$O:$AA,12,FALSE),0)</f>
        <v>89295</v>
      </c>
      <c r="BP149" s="20">
        <f>IFERROR(VLOOKUP(Tabla145[[#This Row],[Llave]],'[13]Base ultimos planes'!$O:$AA,13,FALSE),0)</f>
        <v>27627</v>
      </c>
      <c r="BQ149" s="20"/>
      <c r="BR149" s="20">
        <f>Tabla145[[#This Row],[ RV Producción mes n+1]]*(1-Tabla145[[#This Row],[% Uti. producción]])</f>
        <v>52.137224716196215</v>
      </c>
      <c r="BS149" s="20">
        <f>+Tabla145[[#This Row],[Producción disponible mes n-1]]+Tabla145[[#This Row],[Saldo Volumen disponible]]</f>
        <v>6012.333333333333</v>
      </c>
      <c r="BT149" s="7">
        <f>IFERROR(VLOOKUP(Tabla145[[#This Row],[Llave]],'[21]RV n+2 y n+3'!$B:$F,4,FALSE),0)</f>
        <v>10000</v>
      </c>
      <c r="BU149" s="7">
        <f>+Tabla145[[#This Row],[Asignación mes n+2]]*Tabla145[[#This Row],[% Uti. producción]]</f>
        <v>8715.8319035419645</v>
      </c>
      <c r="BV149" s="7">
        <f>+Tabla145[[#This Row],[Ponderación mes n+2]]+Tabla145[[#This Row],[Saldo mes n-1]]</f>
        <v>14728.165236875298</v>
      </c>
      <c r="BW149" s="7">
        <f>+Tabla145[[#This Row],[Asignación mes n+2]]-Tabla145[[#This Row],[Ponderación mes n+2]]</f>
        <v>1284.1680964580355</v>
      </c>
      <c r="BX149" s="7">
        <f>IFERROR(VLOOKUP(Tabla145[[#This Row],[Llave]],'[21]RV n+2 y n+3'!$B:$F,5,FALSE),0)</f>
        <v>16000</v>
      </c>
      <c r="BY149" s="7">
        <f>+Tabla145[[#This Row],[Asignación mes n+3]]*Tabla145[[#This Row],[% Uti. producción]]</f>
        <v>13945.331045667144</v>
      </c>
      <c r="BZ149" s="3">
        <f>+Tabla145[[#This Row],[Ponderación mes n+3]]+Tabla145[[#This Row],[Saldo mes n+2]]</f>
        <v>15229.49914212518</v>
      </c>
      <c r="CA149" s="3">
        <f>+Tabla145[[#This Row],[Asignación mes n+3]]-Tabla145[[#This Row],[Ponderación mes n+3]]</f>
        <v>2054.6689543328557</v>
      </c>
      <c r="CB149" s="3">
        <f>+Tabla145[[#This Row],[Producción disponible mes n-1]]+Tabla145[[#This Row],[Producción disponible]]</f>
        <v>406</v>
      </c>
      <c r="CC149" s="3">
        <f>+Tabla145[[#This Row],[Saldo mes n+4]]-Tabla145[[#This Row],[ RV Producción mes n+1]]</f>
        <v>0</v>
      </c>
    </row>
    <row r="150" spans="1:81" ht="16" x14ac:dyDescent="0.2">
      <c r="A150">
        <v>1</v>
      </c>
      <c r="B150" t="str">
        <f>Tabla145[[#This Row],[Oficina]]&amp;Tabla145[[#This Row],[Material]]</f>
        <v>Exportacion Directa1020326</v>
      </c>
      <c r="C150" t="s">
        <v>6</v>
      </c>
      <c r="D150" t="s">
        <v>88</v>
      </c>
      <c r="E150">
        <v>1020326</v>
      </c>
      <c r="F150" t="s">
        <v>117</v>
      </c>
      <c r="G150" t="s">
        <v>53</v>
      </c>
      <c r="H150" t="s">
        <v>54</v>
      </c>
      <c r="I150" s="7">
        <f>IFERROR(VLOOKUP(Tabla145[[#This Row],[Llave]],'[7]RV Producción'!$C:$G,5,FALSE),0)</f>
        <v>224894</v>
      </c>
      <c r="J150" s="3">
        <f>IFERROR(IF(Tabla145[[#This Row],[Oficina]]=$I$7,VLOOKUP(Tabla145[[#This Row],[Llave]],'[7]Shangai (Tomas)'!$A:$F,6,FALSE),VLOOKUP(Tabla145[[#This Row],[Llave]],'[7]RV plan de ventas'!$A:$E,5,FALSE)),0)</f>
        <v>264000</v>
      </c>
      <c r="K150" s="8">
        <f>IFERROR(VLOOKUP(Tabla145[[#This Row],[Oficina]],[15]Ponderación!$B$2:$E$9,4,FALSE),0)</f>
        <v>0.87158319035419651</v>
      </c>
      <c r="L150" s="7">
        <f>+Tabla145[[#This Row],[ RV Producción mes n+1]]*Tabla145[[#This Row],[% Uti. producción]]</f>
        <v>196013.83001151666</v>
      </c>
      <c r="M150" s="7">
        <f>IFERROR(VLOOKUP(Tabla145[[#This Row],[Material]],[16]Stock!$G:$K,5,FALSE),0)</f>
        <v>110403</v>
      </c>
      <c r="N150" s="7">
        <f>IFERROR(VLOOKUP(Tabla145[[#This Row],[Material]],[16]Produccion!$M:$N,2,FALSE),0)</f>
        <v>77155.199999999997</v>
      </c>
      <c r="O150" s="7">
        <f>IFERROR(VLOOKUP(Tabla145[[#This Row],[Llave]],'[16]TD Conf-AP'!$I:$M,4,FALSE),0)</f>
        <v>72000</v>
      </c>
      <c r="P150" s="14">
        <f>SUM(Tabla145[[#This Row],[Producción disponible]],Tabla145[[#This Row],[Stock al día]],(Tabla145[[#This Row],[Por producir mes N]]*0.9))-Tabla145[[#This Row],[Producción por despachar mes N]]</f>
        <v>303856.51001151669</v>
      </c>
      <c r="Q150" s="7">
        <f>IFERROR(VLOOKUP(Tabla145[[#This Row],[Llave]],[17]DELAY!$A:$D,4,FALSE),0)</f>
        <v>96000</v>
      </c>
      <c r="R150" s="9">
        <v>24000</v>
      </c>
      <c r="S150" s="5">
        <f t="shared" si="7"/>
        <v>96000</v>
      </c>
      <c r="T150" s="76">
        <v>0</v>
      </c>
      <c r="U150" s="5">
        <f>+Tabla145[[#This Row],[Atraso a facturar]]+Tabla145[[#This Row],[Ajuste atraso]]</f>
        <v>96000</v>
      </c>
      <c r="V150" s="3">
        <f>+Tabla145[[#This Row],[Total disponible]]-Tabla145[[#This Row],[Facturación atraso]]</f>
        <v>207856.51001151669</v>
      </c>
      <c r="W150" s="6">
        <f>IFERROR(IF(AND(V150&gt;R150,J150&gt;=R150),ROUNDDOWN((Tabla145[[#This Row],[Producción para venta nueva]])/R150,0)*R150,0),0)</f>
        <v>192000</v>
      </c>
      <c r="X150" s="76">
        <v>-72000</v>
      </c>
      <c r="Y150" s="6">
        <f>IF(Tabla145[[#This Row],[Venta del mes]]&gt;0,Tabla145[[#This Row],[Venta del mes]]+Tabla145[[#This Row],[Ajuste venta nueva]],0)</f>
        <v>120000</v>
      </c>
      <c r="Z150" s="6">
        <f>+Tabla145[[#This Row],[Producción para venta nueva]]-Tabla145[[#This Row],[Facturación Venta nueva]]</f>
        <v>87856.510011516686</v>
      </c>
      <c r="AA150" s="6">
        <f>IF(AND(A150=1,Tabla145[[#This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0" s="6">
        <v>0</v>
      </c>
      <c r="AC150" s="6">
        <f>IF(Tabla145[[#This Row],[Disponible stock sin venta]]&gt;0,Tabla145[[#This Row],[Disponible stock sin venta]]+Tabla145[[#This Row],[Ajuste stock sin venta]],0)</f>
        <v>0</v>
      </c>
      <c r="AD150" s="3">
        <f>IFERROR(VLOOKUP(Tabla145[[#This Row],[Llave]],'[16]TD Puerto'!$A:$D,4,FALSE),0)</f>
        <v>0</v>
      </c>
      <c r="AE150" s="3">
        <v>240000</v>
      </c>
      <c r="AF150" s="3">
        <f>+Tabla145[[#This Row],[Plan Irrestricto Inicial]]</f>
        <v>240000</v>
      </c>
      <c r="AG150" s="3">
        <f>+Tabla145[[#This Row],[En puerto a facturar]]</f>
        <v>0</v>
      </c>
      <c r="AH150" s="3">
        <f>+Tabla145[[#This Row],[Facturación atraso]]</f>
        <v>96000</v>
      </c>
      <c r="AI150" s="3">
        <f>+Tabla145[[#This Row],[Plan Irrestricto]]-Tabla145[[#This Row],[Puerto ]]-Tabla145[[#This Row],[Atraso]]</f>
        <v>144000</v>
      </c>
      <c r="AJ150" s="3">
        <f>IF(Tabla145[[#This Row],[Plan Irrestricto]]&gt;0,SUM(Tabla145[[#This Row],[Facturación atraso]],Tabla145[[#This Row],[Facturación Venta nueva]],Tabla145[[#This Row],[Facturación stock]],Tabla145[[#This Row],[En puerto a facturar]]),0)</f>
        <v>216000</v>
      </c>
      <c r="AK150" s="3">
        <f>+Tabla145[[#This Row],[Facturación atraso]]</f>
        <v>96000</v>
      </c>
      <c r="AL150" s="3">
        <f>+Tabla145[[#This Row],[Plan Ajustado]]-Tabla145[[#This Row],[ Atraso ajustado]]-Tabla145[[#This Row],[Puerto ]]</f>
        <v>120000</v>
      </c>
      <c r="AM150" s="6">
        <f>IFERROR(VLOOKUP(Tabla145[[#This Row],[Llave]],[18]!Tabla14[#All],34,FALSE),0)</f>
        <v>0</v>
      </c>
      <c r="AN150" s="6">
        <f>IFERROR(VLOOKUP(Tabla145[[#This Row],[Llave]],[18]!Tabla14[#All],35,FALSE),0)</f>
        <v>0</v>
      </c>
      <c r="AO150" s="3" t="str">
        <f>IF(Tabla145[[#This Row],[Plan Ajustado]]&gt;Tabla145[[#This Row],[En puerto a facturar]],"Si","No")</f>
        <v>Si</v>
      </c>
      <c r="AP150" s="3">
        <f>IF(AND(Tabla145[[#This Row],[Plan Ajustado]]&gt;0,Tabla145[[#This Row],[Plan Ajustado]]&gt;Tabla145[[#This Row],[En puerto a facturar]]),(Tabla145[[#This Row],[Plan Ajustado]]-Tabla145[[#This Row],[En puerto a facturar]]),0)</f>
        <v>216000</v>
      </c>
      <c r="AQ150" s="3">
        <f>IF(Tabla145[[#This Row],[Necesidad]]&gt;=Tabla145[[#This Row],[Stock al día]],Tabla145[[#This Row],[Stock al día]],Tabla145[[#This Row],[Necesidad]])</f>
        <v>110403</v>
      </c>
      <c r="AR150" s="3">
        <f>+Tabla145[[#This Row],[Necesidad]]-Tabla145[[#This Row],[Stock Plan]]</f>
        <v>105597</v>
      </c>
      <c r="AS150" s="155">
        <f>IFERROR(VLOOKUP(Tabla145[[#This Row],[Oficina]],[19]Ponderación!$B$14:$E$21,4,FALSE),"")</f>
        <v>44800</v>
      </c>
      <c r="AT15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2.52</v>
      </c>
      <c r="AU150" s="83">
        <f>IFERROR(VLOOKUP(Tabla145[[#This Row],[Llave]],[17]DELAY!$H:$W,16,FALSE),0)</f>
        <v>2.6569215234848498</v>
      </c>
      <c r="AV15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2.5808540104377111</v>
      </c>
      <c r="AW150" s="5">
        <f>Tabla145[[#This Row],[Ajuste precio IC]]*Tabla145[[#This Row],[Plan Ajustado]]</f>
        <v>557464.46625454561</v>
      </c>
      <c r="AX150" s="30">
        <f>IFERROR(VLOOKUP(Tabla145[[#This Row],[Llave]],'[13]Ultimos precios facturados'!$A:$G,7,FALSE),0)</f>
        <v>2.4170818591050018</v>
      </c>
      <c r="AY15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6.7756145997202963E-2</v>
      </c>
      <c r="AZ150" s="30">
        <f>IFERROR(VLOOKUP(Tabla145[[#This Row],[Llave]],Hoja2!B:K,10,FALSE),0)</f>
        <v>2.5808540104377111</v>
      </c>
      <c r="BA150" s="30">
        <f>IF(Tabla145[[#This Row],[Ajuste precio IC]]="",Tabla145[[#This Row],[Precio ponderado]],Tabla145[[#This Row],[Precio ponderado]])</f>
        <v>2.5808540104377111</v>
      </c>
      <c r="BB150" s="82" t="s">
        <v>754</v>
      </c>
      <c r="BC150" s="82" t="str">
        <f>IF(AND(Tabla145[[#This Row],[Atraso a facturar]]&gt;0,Tabla145[[#This Row],[Precio Atraso]]=0),"Revisar","OK")</f>
        <v>OK</v>
      </c>
      <c r="BD150" s="82" t="str">
        <f>IF(AND(Tabla145[[#This Row],[Venta del mes]]&gt;0,Tabla145[[#This Row],[Precio venta nueva]]=0),"Revisar","OK")</f>
        <v>OK</v>
      </c>
      <c r="BE150" s="20">
        <f>IFERROR(VLOOKUP(Tabla145[[#This Row],[Llave]],'[5]Consolidación planes'!$A:$M,9,FALSE),0)</f>
        <v>296000</v>
      </c>
      <c r="BF150" s="20">
        <f>IFERROR(VLOOKUP(Tabla145[[#This Row],[Llave]],'[5]Consolidación planes'!$A:$M,10,FALSE),0)</f>
        <v>264000</v>
      </c>
      <c r="BG150" s="20">
        <f>IFERROR(VLOOKUP(Tabla145[[#This Row],[Llave]],'[5]Consolidación planes'!$A:$M,11,FALSE),0)</f>
        <v>240000</v>
      </c>
      <c r="BH150" s="20">
        <f>IFERROR(VLOOKUP(Tabla145[[#This Row],[Llave]],'[5]Consolidación planes'!$A:$M,12,FALSE),0)</f>
        <v>408000</v>
      </c>
      <c r="BI150" s="20">
        <f>IFERROR(VLOOKUP(Tabla145[[#This Row],[Llave]],'[5]Consolidación planes'!$A:$M,13,FALSE),0)</f>
        <v>360000</v>
      </c>
      <c r="BJ150" s="20">
        <f>IFERROR(VLOOKUP(Tabla145[[#This Row],[Llave]],'[13]Base ultimos planes'!$A:$M,13,FALSE),0)</f>
        <v>312000</v>
      </c>
      <c r="BK150" s="80">
        <f>IFERROR(VLOOKUP(Tabla145[[#This Row],[Llave]],'[13]Base ultimos planes'!$O:$AA,8,FALSE),0)</f>
        <v>858400</v>
      </c>
      <c r="BL150" s="20">
        <f>IFERROR(VLOOKUP(Tabla145[[#This Row],[Llave]],'[13]Base ultimos planes'!$O:$AA,9,FALSE),0)</f>
        <v>679729</v>
      </c>
      <c r="BM150" s="20">
        <f>IFERROR(VLOOKUP(Tabla145[[#This Row],[Llave]],'[13]Base ultimos planes'!$O:$AA,10,FALSE),0)</f>
        <v>615492</v>
      </c>
      <c r="BN150" s="20">
        <f>IFERROR(VLOOKUP(Tabla145[[#This Row],[Llave]],'[13]Base ultimos planes'!$O:$AA,11,FALSE),0)</f>
        <v>1018883</v>
      </c>
      <c r="BO150" s="20">
        <f>IFERROR(VLOOKUP(Tabla145[[#This Row],[Llave]],'[13]Base ultimos planes'!$O:$AA,12,FALSE),0)</f>
        <v>897600</v>
      </c>
      <c r="BP150" s="20">
        <f>IFERROR(VLOOKUP(Tabla145[[#This Row],[Llave]],'[13]Base ultimos planes'!$O:$AA,13,FALSE),0)</f>
        <v>740745</v>
      </c>
      <c r="BQ150" s="20"/>
      <c r="BR150" s="20">
        <f>Tabla145[[#This Row],[ RV Producción mes n+1]]*(1-Tabla145[[#This Row],[% Uti. producción]])</f>
        <v>28880.169988483329</v>
      </c>
      <c r="BS150" s="20">
        <f>+Tabla145[[#This Row],[Producción disponible mes n-1]]+Tabla145[[#This Row],[Saldo Volumen disponible]]</f>
        <v>116736.68000000002</v>
      </c>
      <c r="BT150" s="7">
        <f>IFERROR(VLOOKUP(Tabla145[[#This Row],[Llave]],'[21]RV n+2 y n+3'!$B:$F,4,FALSE),0)</f>
        <v>264000</v>
      </c>
      <c r="BU150" s="7">
        <f>+Tabla145[[#This Row],[Asignación mes n+2]]*Tabla145[[#This Row],[% Uti. producción]]</f>
        <v>230097.96225350787</v>
      </c>
      <c r="BV150" s="7">
        <f>+Tabla145[[#This Row],[Ponderación mes n+2]]+Tabla145[[#This Row],[Saldo mes n-1]]</f>
        <v>346834.64225350786</v>
      </c>
      <c r="BW150" s="7">
        <f>+Tabla145[[#This Row],[Asignación mes n+2]]-Tabla145[[#This Row],[Ponderación mes n+2]]</f>
        <v>33902.037746492133</v>
      </c>
      <c r="BX150" s="7">
        <f>IFERROR(VLOOKUP(Tabla145[[#This Row],[Llave]],'[21]RV n+2 y n+3'!$B:$F,5,FALSE),0)</f>
        <v>288000</v>
      </c>
      <c r="BY150" s="7">
        <f>+Tabla145[[#This Row],[Asignación mes n+3]]*Tabla145[[#This Row],[% Uti. producción]]</f>
        <v>251015.9588220086</v>
      </c>
      <c r="BZ150" s="3">
        <f>+Tabla145[[#This Row],[Ponderación mes n+3]]+Tabla145[[#This Row],[Saldo mes n+2]]</f>
        <v>284917.99656850076</v>
      </c>
      <c r="CA150" s="3">
        <f>+Tabla145[[#This Row],[Asignación mes n+3]]-Tabla145[[#This Row],[Ponderación mes n+3]]</f>
        <v>36984.041177991399</v>
      </c>
      <c r="CB150" s="3">
        <f>+Tabla145[[#This Row],[Producción disponible mes n-1]]+Tabla145[[#This Row],[Producción disponible]]</f>
        <v>224894</v>
      </c>
      <c r="CC150" s="3">
        <f>+Tabla145[[#This Row],[Saldo mes n+4]]-Tabla145[[#This Row],[ RV Producción mes n+1]]</f>
        <v>0</v>
      </c>
    </row>
    <row r="151" spans="1:81" ht="16" x14ac:dyDescent="0.2">
      <c r="A151">
        <v>1</v>
      </c>
      <c r="B151" t="str">
        <f>Tabla145[[#This Row],[Oficina]]&amp;Tabla145[[#This Row],[Material]]</f>
        <v>Exportacion Directa1020589</v>
      </c>
      <c r="C151" t="s">
        <v>6</v>
      </c>
      <c r="D151" t="s">
        <v>88</v>
      </c>
      <c r="E151">
        <v>1020589</v>
      </c>
      <c r="F151" t="s">
        <v>105</v>
      </c>
      <c r="G151" t="s">
        <v>50</v>
      </c>
      <c r="H151" t="s">
        <v>103</v>
      </c>
      <c r="I151" s="7">
        <f>IFERROR(VLOOKUP(Tabla145[[#This Row],[Llave]],'[7]RV Producción'!$C:$G,5,FALSE),0)</f>
        <v>114378</v>
      </c>
      <c r="J151" s="3">
        <f>IFERROR(IF(Tabla145[[#This Row],[Oficina]]=$I$7,VLOOKUP(Tabla145[[#This Row],[Llave]],'[7]Shangai (Tomas)'!$A:$F,6,FALSE),VLOOKUP(Tabla145[[#This Row],[Llave]],'[7]RV plan de ventas'!$A:$E,5,FALSE)),0)</f>
        <v>130000</v>
      </c>
      <c r="K151" s="8">
        <f>IFERROR(VLOOKUP(Tabla145[[#This Row],[Oficina]],[15]Ponderación!$B$2:$E$9,4,FALSE),0)</f>
        <v>0.87158319035419651</v>
      </c>
      <c r="L151" s="7">
        <f>+Tabla145[[#This Row],[ RV Producción mes n+1]]*Tabla145[[#This Row],[% Uti. producción]]</f>
        <v>99689.942146332294</v>
      </c>
      <c r="M151" s="7">
        <f>IFERROR(VLOOKUP(Tabla145[[#This Row],[Material]],[16]Stock!$G:$K,5,FALSE),0)</f>
        <v>158236</v>
      </c>
      <c r="N151" s="7">
        <f>IFERROR(VLOOKUP(Tabla145[[#This Row],[Material]],[16]Produccion!$M:$N,2,FALSE),0)</f>
        <v>50365.716106776556</v>
      </c>
      <c r="O151" s="7">
        <f>IFERROR(VLOOKUP(Tabla145[[#This Row],[Llave]],'[16]TD Conf-AP'!$I:$M,4,FALSE),0)</f>
        <v>10000</v>
      </c>
      <c r="P151" s="14">
        <f>SUM(Tabla145[[#This Row],[Producción disponible]],Tabla145[[#This Row],[Stock al día]],(Tabla145[[#This Row],[Por producir mes N]]*0.9))-Tabla145[[#This Row],[Producción por despachar mes N]]</f>
        <v>293255.08664243121</v>
      </c>
      <c r="Q151" s="7">
        <f>IFERROR(VLOOKUP(Tabla145[[#This Row],[Llave]],[17]DELAY!$A:$D,4,FALSE),0)</f>
        <v>140200</v>
      </c>
      <c r="R151" s="9">
        <v>3265.3061224489797</v>
      </c>
      <c r="S151" s="5">
        <f t="shared" si="7"/>
        <v>140200</v>
      </c>
      <c r="T151" s="76">
        <v>-55000</v>
      </c>
      <c r="U151" s="5">
        <f>+Tabla145[[#This Row],[Atraso a facturar]]+Tabla145[[#This Row],[Ajuste atraso]]</f>
        <v>85200</v>
      </c>
      <c r="V151" s="3">
        <f>+Tabla145[[#This Row],[Total disponible]]-Tabla145[[#This Row],[Facturación atraso]]</f>
        <v>208055.08664243121</v>
      </c>
      <c r="W151" s="6">
        <f>IFERROR(IF(AND(V151&gt;R151,J151&gt;=R151),ROUNDDOWN((Tabla145[[#This Row],[Producción para venta nueva]])/R151,0)*R151,0),0)</f>
        <v>205714.28571428571</v>
      </c>
      <c r="X151" s="76">
        <v>-120000</v>
      </c>
      <c r="Y151" s="6">
        <f>IF(Tabla145[[#This Row],[Venta del mes]]&gt;0,Tabla145[[#This Row],[Venta del mes]]+Tabla145[[#This Row],[Ajuste venta nueva]],0)</f>
        <v>85714.28571428571</v>
      </c>
      <c r="Z151" s="6">
        <f>+Tabla145[[#This Row],[Producción para venta nueva]]-Tabla145[[#This Row],[Facturación Venta nueva]]</f>
        <v>122340.8009281455</v>
      </c>
      <c r="AA151" s="6">
        <f>IF(AND(A151=1,Tabla145[[#This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1" s="6">
        <v>0</v>
      </c>
      <c r="AC151" s="6">
        <f>IF(Tabla145[[#This Row],[Disponible stock sin venta]]&gt;0,Tabla145[[#This Row],[Disponible stock sin venta]]+Tabla145[[#This Row],[Ajuste stock sin venta]],0)</f>
        <v>0</v>
      </c>
      <c r="AD151" s="3">
        <f>IFERROR(VLOOKUP(Tabla145[[#This Row],[Llave]],'[16]TD Puerto'!$A:$D,4,FALSE),0)</f>
        <v>0</v>
      </c>
      <c r="AE151" s="3">
        <v>225097.95918367349</v>
      </c>
      <c r="AF151" s="3">
        <f>+Tabla145[[#This Row],[Plan Irrestricto Inicial]]</f>
        <v>225097.95918367349</v>
      </c>
      <c r="AG151" s="3">
        <f>+Tabla145[[#This Row],[En puerto a facturar]]</f>
        <v>0</v>
      </c>
      <c r="AH151" s="3">
        <f>+Tabla145[[#This Row],[Facturación atraso]]</f>
        <v>85200</v>
      </c>
      <c r="AI151" s="3">
        <f>+Tabla145[[#This Row],[Plan Irrestricto]]-Tabla145[[#This Row],[Puerto ]]-Tabla145[[#This Row],[Atraso]]</f>
        <v>139897.95918367349</v>
      </c>
      <c r="AJ151" s="3">
        <f>IF(Tabla145[[#This Row],[Plan Irrestricto]]&gt;0,SUM(Tabla145[[#This Row],[Facturación atraso]],Tabla145[[#This Row],[Facturación Venta nueva]],Tabla145[[#This Row],[Facturación stock]],Tabla145[[#This Row],[En puerto a facturar]]),0)</f>
        <v>170914.28571428571</v>
      </c>
      <c r="AK151" s="3">
        <f>+Tabla145[[#This Row],[Facturación atraso]]</f>
        <v>85200</v>
      </c>
      <c r="AL151" s="3">
        <f>+Tabla145[[#This Row],[Plan Ajustado]]-Tabla145[[#This Row],[ Atraso ajustado]]-Tabla145[[#This Row],[Puerto ]]</f>
        <v>85714.28571428571</v>
      </c>
      <c r="AM151" s="6">
        <f>IFERROR(VLOOKUP(Tabla145[[#This Row],[Llave]],[18]!Tabla14[#All],34,FALSE),0)</f>
        <v>0</v>
      </c>
      <c r="AN151" s="6">
        <f>IFERROR(VLOOKUP(Tabla145[[#This Row],[Llave]],[18]!Tabla14[#All],35,FALSE),0)</f>
        <v>0</v>
      </c>
      <c r="AO151" s="3" t="str">
        <f>IF(Tabla145[[#This Row],[Plan Ajustado]]&gt;Tabla145[[#This Row],[En puerto a facturar]],"Si","No")</f>
        <v>Si</v>
      </c>
      <c r="AP151" s="3">
        <f>IF(AND(Tabla145[[#This Row],[Plan Ajustado]]&gt;0,Tabla145[[#This Row],[Plan Ajustado]]&gt;Tabla145[[#This Row],[En puerto a facturar]]),(Tabla145[[#This Row],[Plan Ajustado]]-Tabla145[[#This Row],[En puerto a facturar]]),0)</f>
        <v>170914.28571428571</v>
      </c>
      <c r="AQ151" s="3">
        <f>IF(Tabla145[[#This Row],[Necesidad]]&gt;=Tabla145[[#This Row],[Stock al día]],Tabla145[[#This Row],[Stock al día]],Tabla145[[#This Row],[Necesidad]])</f>
        <v>158236</v>
      </c>
      <c r="AR151" s="3">
        <f>+Tabla145[[#This Row],[Necesidad]]-Tabla145[[#This Row],[Stock Plan]]</f>
        <v>12678.28571428571</v>
      </c>
      <c r="AS151" s="155">
        <f>IFERROR(VLOOKUP(Tabla145[[#This Row],[Oficina]],[19]Ponderación!$B$14:$E$21,4,FALSE),"")</f>
        <v>44800</v>
      </c>
      <c r="AT15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3.528</v>
      </c>
      <c r="AU151" s="83">
        <f>IFERROR(VLOOKUP(Tabla145[[#This Row],[Llave]],[17]DELAY!$H:$W,16,FALSE),0)</f>
        <v>3.6224449571089794</v>
      </c>
      <c r="AV15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3.5750803848376762</v>
      </c>
      <c r="AW151" s="5">
        <f>Tabla145[[#This Row],[Ajuste precio IC]]*Tabla145[[#This Row],[Plan Ajustado]]</f>
        <v>611032.31034568511</v>
      </c>
      <c r="AX151" s="30">
        <f>IFERROR(VLOOKUP(Tabla145[[#This Row],[Llave]],'[13]Ultimos precios facturados'!$A:$G,7,FALSE),0)</f>
        <v>3.6351188872995008</v>
      </c>
      <c r="AY15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1.651624178554081E-2</v>
      </c>
      <c r="AZ151" s="30">
        <f>IFERROR(VLOOKUP(Tabla145[[#This Row],[Llave]],Hoja2!B:K,10,FALSE),0)</f>
        <v>3.5750803848376762</v>
      </c>
      <c r="BA151" s="30">
        <f>IF(Tabla145[[#This Row],[Ajuste precio IC]]="",Tabla145[[#This Row],[Precio ponderado]],Tabla145[[#This Row],[Precio ponderado]])</f>
        <v>3.5750803848376762</v>
      </c>
      <c r="BB151" s="82"/>
      <c r="BC151" s="82" t="str">
        <f>IF(AND(Tabla145[[#This Row],[Atraso a facturar]]&gt;0,Tabla145[[#This Row],[Precio Atraso]]=0),"Revisar","OK")</f>
        <v>OK</v>
      </c>
      <c r="BD151" s="82" t="str">
        <f>IF(AND(Tabla145[[#This Row],[Venta del mes]]&gt;0,Tabla145[[#This Row],[Precio venta nueva]]=0),"Revisar","OK")</f>
        <v>OK</v>
      </c>
      <c r="BE151" s="20">
        <f>IFERROR(VLOOKUP(Tabla145[[#This Row],[Llave]],'[5]Consolidación planes'!$A:$M,9,FALSE),0)</f>
        <v>64100</v>
      </c>
      <c r="BF151" s="20">
        <f>IFERROR(VLOOKUP(Tabla145[[#This Row],[Llave]],'[5]Consolidación planes'!$A:$M,10,FALSE),0)</f>
        <v>43000</v>
      </c>
      <c r="BG151" s="20">
        <f>IFERROR(VLOOKUP(Tabla145[[#This Row],[Llave]],'[5]Consolidación planes'!$A:$M,11,FALSE),0)</f>
        <v>100000</v>
      </c>
      <c r="BH151" s="20">
        <f>IFERROR(VLOOKUP(Tabla145[[#This Row],[Llave]],'[5]Consolidación planes'!$A:$M,12,FALSE),0)</f>
        <v>110000</v>
      </c>
      <c r="BI151" s="20">
        <f>IFERROR(VLOOKUP(Tabla145[[#This Row],[Llave]],'[5]Consolidación planes'!$A:$M,13,FALSE),0)</f>
        <v>144100</v>
      </c>
      <c r="BJ151" s="20">
        <f>IFERROR(VLOOKUP(Tabla145[[#This Row],[Llave]],'[13]Base ultimos planes'!$A:$M,13,FALSE),0)</f>
        <v>156329</v>
      </c>
      <c r="BK151" s="80">
        <f>IFERROR(VLOOKUP(Tabla145[[#This Row],[Llave]],'[13]Base ultimos planes'!$O:$AA,8,FALSE),0)</f>
        <v>282040</v>
      </c>
      <c r="BL151" s="20">
        <f>IFERROR(VLOOKUP(Tabla145[[#This Row],[Llave]],'[13]Base ultimos planes'!$O:$AA,9,FALSE),0)</f>
        <v>174732</v>
      </c>
      <c r="BM151" s="20">
        <f>IFERROR(VLOOKUP(Tabla145[[#This Row],[Llave]],'[13]Base ultimos planes'!$O:$AA,10,FALSE),0)</f>
        <v>416231</v>
      </c>
      <c r="BN151" s="20">
        <f>IFERROR(VLOOKUP(Tabla145[[#This Row],[Llave]],'[13]Base ultimos planes'!$O:$AA,11,FALSE),0)</f>
        <v>439164</v>
      </c>
      <c r="BO151" s="20">
        <f>IFERROR(VLOOKUP(Tabla145[[#This Row],[Llave]],'[13]Base ultimos planes'!$O:$AA,12,FALSE),0)</f>
        <v>561670</v>
      </c>
      <c r="BP151" s="20">
        <f>IFERROR(VLOOKUP(Tabla145[[#This Row],[Llave]],'[13]Base ultimos planes'!$O:$AA,13,FALSE),0)</f>
        <v>552525</v>
      </c>
      <c r="BQ151" s="20"/>
      <c r="BR151" s="20">
        <f>Tabla145[[#This Row],[ RV Producción mes n+1]]*(1-Tabla145[[#This Row],[% Uti. producción]])</f>
        <v>14688.057853667711</v>
      </c>
      <c r="BS151" s="20">
        <f>+Tabla145[[#This Row],[Producción disponible mes n-1]]+Tabla145[[#This Row],[Saldo Volumen disponible]]</f>
        <v>137028.85878181321</v>
      </c>
      <c r="BT151" s="7">
        <f>IFERROR(VLOOKUP(Tabla145[[#This Row],[Llave]],'[21]RV n+2 y n+3'!$B:$F,4,FALSE),0)</f>
        <v>120000</v>
      </c>
      <c r="BU151" s="7">
        <f>+Tabla145[[#This Row],[Asignación mes n+2]]*Tabla145[[#This Row],[% Uti. producción]]</f>
        <v>104589.98284250358</v>
      </c>
      <c r="BV151" s="7">
        <f>+Tabla145[[#This Row],[Ponderación mes n+2]]+Tabla145[[#This Row],[Saldo mes n-1]]</f>
        <v>241618.84162431679</v>
      </c>
      <c r="BW151" s="7">
        <f>+Tabla145[[#This Row],[Asignación mes n+2]]-Tabla145[[#This Row],[Ponderación mes n+2]]</f>
        <v>15410.017157496419</v>
      </c>
      <c r="BX151" s="7">
        <f>IFERROR(VLOOKUP(Tabla145[[#This Row],[Llave]],'[21]RV n+2 y n+3'!$B:$F,5,FALSE),0)</f>
        <v>120000</v>
      </c>
      <c r="BY151" s="7">
        <f>+Tabla145[[#This Row],[Asignación mes n+3]]*Tabla145[[#This Row],[% Uti. producción]]</f>
        <v>104589.98284250358</v>
      </c>
      <c r="BZ151" s="3">
        <f>+Tabla145[[#This Row],[Ponderación mes n+3]]+Tabla145[[#This Row],[Saldo mes n+2]]</f>
        <v>120000</v>
      </c>
      <c r="CA151" s="3">
        <f>+Tabla145[[#This Row],[Asignación mes n+3]]-Tabla145[[#This Row],[Ponderación mes n+3]]</f>
        <v>15410.017157496419</v>
      </c>
      <c r="CB151" s="3">
        <f>+Tabla145[[#This Row],[Producción disponible mes n-1]]+Tabla145[[#This Row],[Producción disponible]]</f>
        <v>114378</v>
      </c>
      <c r="CC151" s="3">
        <f>+Tabla145[[#This Row],[Saldo mes n+4]]-Tabla145[[#This Row],[ RV Producción mes n+1]]</f>
        <v>0</v>
      </c>
    </row>
    <row r="152" spans="1:81" ht="16" x14ac:dyDescent="0.2">
      <c r="A152">
        <v>1</v>
      </c>
      <c r="B152" t="str">
        <f>Tabla145[[#This Row],[Oficina]]&amp;Tabla145[[#This Row],[Material]]</f>
        <v>Exportacion Directa1020592</v>
      </c>
      <c r="C152" t="s">
        <v>6</v>
      </c>
      <c r="D152" t="s">
        <v>88</v>
      </c>
      <c r="E152">
        <v>1020592</v>
      </c>
      <c r="F152" t="s">
        <v>111</v>
      </c>
      <c r="G152" t="s">
        <v>50</v>
      </c>
      <c r="H152" t="s">
        <v>110</v>
      </c>
      <c r="I152" s="7">
        <f>IFERROR(VLOOKUP(Tabla145[[#This Row],[Llave]],'[7]RV Producción'!$C:$G,5,FALSE),0)</f>
        <v>290787</v>
      </c>
      <c r="J152" s="3">
        <f>IFERROR(IF(Tabla145[[#This Row],[Oficina]]=$I$7,VLOOKUP(Tabla145[[#This Row],[Llave]],'[7]Shangai (Tomas)'!$A:$F,6,FALSE),VLOOKUP(Tabla145[[#This Row],[Llave]],'[7]RV plan de ventas'!$A:$E,5,FALSE)),0)</f>
        <v>210000</v>
      </c>
      <c r="K152" s="8">
        <f>IFERROR(VLOOKUP(Tabla145[[#This Row],[Oficina]],[15]Ponderación!$B$2:$E$9,4,FALSE),0)</f>
        <v>0.87158319035419651</v>
      </c>
      <c r="L152" s="7">
        <f>+Tabla145[[#This Row],[ RV Producción mes n+1]]*Tabla145[[#This Row],[% Uti. producción]]</f>
        <v>253445.06117352576</v>
      </c>
      <c r="M152" s="7">
        <f>IFERROR(VLOOKUP(Tabla145[[#This Row],[Material]],[16]Stock!$G:$K,5,FALSE),0)</f>
        <v>219450</v>
      </c>
      <c r="N152" s="7">
        <f>IFERROR(VLOOKUP(Tabla145[[#This Row],[Material]],[16]Produccion!$M:$N,2,FALSE),0)</f>
        <v>14940.170520464697</v>
      </c>
      <c r="O152" s="7">
        <f>IFERROR(VLOOKUP(Tabla145[[#This Row],[Llave]],'[16]TD Conf-AP'!$I:$M,4,FALSE),0)</f>
        <v>58200</v>
      </c>
      <c r="P152" s="14">
        <f>SUM(Tabla145[[#This Row],[Producción disponible]],Tabla145[[#This Row],[Stock al día]],(Tabla145[[#This Row],[Por producir mes N]]*0.9))-Tabla145[[#This Row],[Producción por despachar mes N]]</f>
        <v>428141.21464194398</v>
      </c>
      <c r="Q152" s="7">
        <f>IFERROR(VLOOKUP(Tabla145[[#This Row],[Llave]],[17]DELAY!$A:$D,4,FALSE),0)</f>
        <v>219380</v>
      </c>
      <c r="R152" s="9">
        <v>6485.6164383561645</v>
      </c>
      <c r="S152" s="5">
        <f t="shared" si="7"/>
        <v>219380</v>
      </c>
      <c r="T152" s="76">
        <v>-70000</v>
      </c>
      <c r="U152" s="5">
        <f>+Tabla145[[#This Row],[Atraso a facturar]]+Tabla145[[#This Row],[Ajuste atraso]]</f>
        <v>149380</v>
      </c>
      <c r="V152" s="3">
        <f>+Tabla145[[#This Row],[Total disponible]]-Tabla145[[#This Row],[Facturación atraso]]</f>
        <v>278761.21464194398</v>
      </c>
      <c r="W152" s="6">
        <f>IFERROR(IF(AND(V152&gt;R152,J152&gt;=R152),ROUNDDOWN((Tabla145[[#This Row],[Producción para venta nueva]])/R152,0)*R152,0),0)</f>
        <v>272395.89041095891</v>
      </c>
      <c r="X152" s="76">
        <v>-188360</v>
      </c>
      <c r="Y152" s="6">
        <f>IF(Tabla145[[#This Row],[Venta del mes]]&gt;0,Tabla145[[#This Row],[Venta del mes]]+Tabla145[[#This Row],[Ajuste venta nueva]],0)</f>
        <v>84035.890410958906</v>
      </c>
      <c r="Z152" s="6">
        <f>+Tabla145[[#This Row],[Producción para venta nueva]]-Tabla145[[#This Row],[Facturación Venta nueva]]</f>
        <v>194725.32423098508</v>
      </c>
      <c r="AA152" s="6">
        <f>IF(AND(A152=1,Tabla145[[#This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2" s="6">
        <v>0</v>
      </c>
      <c r="AC152" s="6">
        <f>IF(Tabla145[[#This Row],[Disponible stock sin venta]]&gt;0,Tabla145[[#This Row],[Disponible stock sin venta]]+Tabla145[[#This Row],[Ajuste stock sin venta]],0)</f>
        <v>0</v>
      </c>
      <c r="AD152" s="3">
        <f>IFERROR(VLOOKUP(Tabla145[[#This Row],[Llave]],'[16]TD Puerto'!$A:$D,4,FALSE),0)</f>
        <v>0</v>
      </c>
      <c r="AE152" s="3">
        <v>420434.10958904109</v>
      </c>
      <c r="AF152" s="3">
        <f>+Tabla145[[#This Row],[Plan Irrestricto Inicial]]</f>
        <v>420434.10958904109</v>
      </c>
      <c r="AG152" s="3">
        <f>+Tabla145[[#This Row],[En puerto a facturar]]</f>
        <v>0</v>
      </c>
      <c r="AH152" s="3">
        <f>+Tabla145[[#This Row],[Facturación atraso]]</f>
        <v>149380</v>
      </c>
      <c r="AI152" s="3">
        <f>+Tabla145[[#This Row],[Plan Irrestricto]]-Tabla145[[#This Row],[Puerto ]]-Tabla145[[#This Row],[Atraso]]</f>
        <v>271054.10958904109</v>
      </c>
      <c r="AJ152" s="3">
        <f>IF(Tabla145[[#This Row],[Plan Irrestricto]]&gt;0,SUM(Tabla145[[#This Row],[Facturación atraso]],Tabla145[[#This Row],[Facturación Venta nueva]],Tabla145[[#This Row],[Facturación stock]],Tabla145[[#This Row],[En puerto a facturar]]),0)</f>
        <v>233415.89041095891</v>
      </c>
      <c r="AK152" s="3">
        <f>+Tabla145[[#This Row],[Facturación atraso]]</f>
        <v>149380</v>
      </c>
      <c r="AL152" s="3">
        <f>+Tabla145[[#This Row],[Plan Ajustado]]-Tabla145[[#This Row],[ Atraso ajustado]]-Tabla145[[#This Row],[Puerto ]]</f>
        <v>84035.890410958906</v>
      </c>
      <c r="AM152" s="6">
        <f>IFERROR(VLOOKUP(Tabla145[[#This Row],[Llave]],[18]!Tabla14[#All],34,FALSE),0)</f>
        <v>0</v>
      </c>
      <c r="AN152" s="6">
        <f>IFERROR(VLOOKUP(Tabla145[[#This Row],[Llave]],[18]!Tabla14[#All],35,FALSE),0)</f>
        <v>0</v>
      </c>
      <c r="AO152" s="3" t="str">
        <f>IF(Tabla145[[#This Row],[Plan Ajustado]]&gt;Tabla145[[#This Row],[En puerto a facturar]],"Si","No")</f>
        <v>Si</v>
      </c>
      <c r="AP152" s="3">
        <f>IF(AND(Tabla145[[#This Row],[Plan Ajustado]]&gt;0,Tabla145[[#This Row],[Plan Ajustado]]&gt;Tabla145[[#This Row],[En puerto a facturar]]),(Tabla145[[#This Row],[Plan Ajustado]]-Tabla145[[#This Row],[En puerto a facturar]]),0)</f>
        <v>233415.89041095891</v>
      </c>
      <c r="AQ152" s="3">
        <f>IF(Tabla145[[#This Row],[Necesidad]]&gt;=Tabla145[[#This Row],[Stock al día]],Tabla145[[#This Row],[Stock al día]],Tabla145[[#This Row],[Necesidad]])</f>
        <v>219450</v>
      </c>
      <c r="AR152" s="3">
        <f>+Tabla145[[#This Row],[Necesidad]]-Tabla145[[#This Row],[Stock Plan]]</f>
        <v>13965.890410958906</v>
      </c>
      <c r="AS152" s="155">
        <f>IFERROR(VLOOKUP(Tabla145[[#This Row],[Oficina]],[19]Ponderación!$B$14:$E$21,4,FALSE),"")</f>
        <v>44800</v>
      </c>
      <c r="AT15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3.456</v>
      </c>
      <c r="AU152" s="83">
        <f>IFERROR(VLOOKUP(Tabla145[[#This Row],[Llave]],[17]DELAY!$H:$W,16,FALSE),0)</f>
        <v>3.5675723760439277</v>
      </c>
      <c r="AV15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3.5274033714846835</v>
      </c>
      <c r="AW152" s="5">
        <f>Tabla145[[#This Row],[Ajuste precio IC]]*Tabla145[[#This Row],[Plan Ajustado]]</f>
        <v>823351.99879371584</v>
      </c>
      <c r="AX152" s="30">
        <f>IFERROR(VLOOKUP(Tabla145[[#This Row],[Llave]],'[13]Ultimos precios facturados'!$A:$G,7,FALSE),0)</f>
        <v>3.5074788751133763</v>
      </c>
      <c r="AY15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5.6805748746421685E-3</v>
      </c>
      <c r="AZ152" s="30">
        <f>IFERROR(VLOOKUP(Tabla145[[#This Row],[Llave]],Hoja2!B:K,10,FALSE),0)</f>
        <v>3.5274033714846835</v>
      </c>
      <c r="BA152" s="30">
        <f>IF(Tabla145[[#This Row],[Ajuste precio IC]]="",Tabla145[[#This Row],[Precio ponderado]],Tabla145[[#This Row],[Precio ponderado]])</f>
        <v>3.5274033714846835</v>
      </c>
      <c r="BB152" s="82"/>
      <c r="BC152" s="82" t="str">
        <f>IF(AND(Tabla145[[#This Row],[Atraso a facturar]]&gt;0,Tabla145[[#This Row],[Precio Atraso]]=0),"Revisar","OK")</f>
        <v>OK</v>
      </c>
      <c r="BD152" s="82" t="str">
        <f>IF(AND(Tabla145[[#This Row],[Venta del mes]]&gt;0,Tabla145[[#This Row],[Precio venta nueva]]=0),"Revisar","OK")</f>
        <v>OK</v>
      </c>
      <c r="BE152" s="20">
        <f>IFERROR(VLOOKUP(Tabla145[[#This Row],[Llave]],'[5]Consolidación planes'!$A:$M,9,FALSE),0)</f>
        <v>0</v>
      </c>
      <c r="BF152" s="20">
        <f>IFERROR(VLOOKUP(Tabla145[[#This Row],[Llave]],'[5]Consolidación planes'!$A:$M,10,FALSE),0)</f>
        <v>90000</v>
      </c>
      <c r="BG152" s="20">
        <f>IFERROR(VLOOKUP(Tabla145[[#This Row],[Llave]],'[5]Consolidación planes'!$A:$M,11,FALSE),0)</f>
        <v>280000</v>
      </c>
      <c r="BH152" s="20">
        <f>IFERROR(VLOOKUP(Tabla145[[#This Row],[Llave]],'[5]Consolidación planes'!$A:$M,12,FALSE),0)</f>
        <v>280000</v>
      </c>
      <c r="BI152" s="20">
        <f>IFERROR(VLOOKUP(Tabla145[[#This Row],[Llave]],'[5]Consolidación planes'!$A:$M,13,FALSE),0)</f>
        <v>270000</v>
      </c>
      <c r="BJ152" s="20">
        <f>IFERROR(VLOOKUP(Tabla145[[#This Row],[Llave]],'[13]Base ultimos planes'!$A:$M,13,FALSE),0)</f>
        <v>282647</v>
      </c>
      <c r="BK152" s="80">
        <f>IFERROR(VLOOKUP(Tabla145[[#This Row],[Llave]],'[13]Base ultimos planes'!$O:$AA,8,FALSE),0)</f>
        <v>0</v>
      </c>
      <c r="BL152" s="20">
        <f>IFERROR(VLOOKUP(Tabla145[[#This Row],[Llave]],'[13]Base ultimos planes'!$O:$AA,9,FALSE),0)</f>
        <v>178762</v>
      </c>
      <c r="BM152" s="20">
        <f>IFERROR(VLOOKUP(Tabla145[[#This Row],[Llave]],'[13]Base ultimos planes'!$O:$AA,10,FALSE),0)</f>
        <v>1095385</v>
      </c>
      <c r="BN152" s="20">
        <f>IFERROR(VLOOKUP(Tabla145[[#This Row],[Llave]],'[13]Base ultimos planes'!$O:$AA,11,FALSE),0)</f>
        <v>1052959</v>
      </c>
      <c r="BO152" s="20">
        <f>IFERROR(VLOOKUP(Tabla145[[#This Row],[Llave]],'[13]Base ultimos planes'!$O:$AA,12,FALSE),0)</f>
        <v>1004342</v>
      </c>
      <c r="BP152" s="20">
        <f>IFERROR(VLOOKUP(Tabla145[[#This Row],[Llave]],'[13]Base ultimos planes'!$O:$AA,13,FALSE),0)</f>
        <v>966406</v>
      </c>
      <c r="BQ152" s="20"/>
      <c r="BR152" s="20">
        <f>Tabla145[[#This Row],[ RV Producción mes n+1]]*(1-Tabla145[[#This Row],[% Uti. producción]])</f>
        <v>37341.938826474259</v>
      </c>
      <c r="BS152" s="20">
        <f>+Tabla145[[#This Row],[Producción disponible mes n-1]]+Tabla145[[#This Row],[Saldo Volumen disponible]]</f>
        <v>232067.26305745932</v>
      </c>
      <c r="BT152" s="7">
        <f>IFERROR(VLOOKUP(Tabla145[[#This Row],[Llave]],'[21]RV n+2 y n+3'!$B:$F,4,FALSE),0)</f>
        <v>170000</v>
      </c>
      <c r="BU152" s="7">
        <f>+Tabla145[[#This Row],[Asignación mes n+2]]*Tabla145[[#This Row],[% Uti. producción]]</f>
        <v>148169.14236021342</v>
      </c>
      <c r="BV152" s="7">
        <f>+Tabla145[[#This Row],[Ponderación mes n+2]]+Tabla145[[#This Row],[Saldo mes n-1]]</f>
        <v>380236.40541767271</v>
      </c>
      <c r="BW152" s="7">
        <f>+Tabla145[[#This Row],[Asignación mes n+2]]-Tabla145[[#This Row],[Ponderación mes n+2]]</f>
        <v>21830.857639786584</v>
      </c>
      <c r="BX152" s="7">
        <f>IFERROR(VLOOKUP(Tabla145[[#This Row],[Llave]],'[21]RV n+2 y n+3'!$B:$F,5,FALSE),0)</f>
        <v>150000</v>
      </c>
      <c r="BY152" s="7">
        <f>+Tabla145[[#This Row],[Asignación mes n+3]]*Tabla145[[#This Row],[% Uti. producción]]</f>
        <v>130737.47855312948</v>
      </c>
      <c r="BZ152" s="3">
        <f>+Tabla145[[#This Row],[Ponderación mes n+3]]+Tabla145[[#This Row],[Saldo mes n+2]]</f>
        <v>152568.33619291606</v>
      </c>
      <c r="CA152" s="3">
        <f>+Tabla145[[#This Row],[Asignación mes n+3]]-Tabla145[[#This Row],[Ponderación mes n+3]]</f>
        <v>19262.521446870524</v>
      </c>
      <c r="CB152" s="3">
        <f>+Tabla145[[#This Row],[Producción disponible mes n-1]]+Tabla145[[#This Row],[Producción disponible]]</f>
        <v>290787</v>
      </c>
      <c r="CC152" s="3">
        <f>+Tabla145[[#This Row],[Saldo mes n+4]]-Tabla145[[#This Row],[ RV Producción mes n+1]]</f>
        <v>0</v>
      </c>
    </row>
    <row r="153" spans="1:81" ht="16" x14ac:dyDescent="0.2">
      <c r="A153">
        <v>1</v>
      </c>
      <c r="B153" t="str">
        <f>Tabla145[[#This Row],[Oficina]]&amp;Tabla145[[#This Row],[Material]]</f>
        <v>Exportacion Directa1020620</v>
      </c>
      <c r="C153" t="s">
        <v>6</v>
      </c>
      <c r="D153" t="s">
        <v>88</v>
      </c>
      <c r="E153">
        <v>1020620</v>
      </c>
      <c r="F153" t="s">
        <v>112</v>
      </c>
      <c r="G153" t="s">
        <v>50</v>
      </c>
      <c r="H153" t="s">
        <v>110</v>
      </c>
      <c r="I153" s="7">
        <f>IFERROR(VLOOKUP(Tabla145[[#This Row],[Llave]],'[7]RV Producción'!$C:$G,5,FALSE),0)</f>
        <v>28424</v>
      </c>
      <c r="J153" s="3">
        <f>IFERROR(IF(Tabla145[[#This Row],[Oficina]]=$I$7,VLOOKUP(Tabla145[[#This Row],[Llave]],'[7]Shangai (Tomas)'!$A:$F,6,FALSE),VLOOKUP(Tabla145[[#This Row],[Llave]],'[7]RV plan de ventas'!$A:$E,5,FALSE)),0)</f>
        <v>30000</v>
      </c>
      <c r="K153" s="8">
        <f>IFERROR(VLOOKUP(Tabla145[[#This Row],[Oficina]],[15]Ponderación!$B$2:$E$9,4,FALSE),0)</f>
        <v>0.87158319035419651</v>
      </c>
      <c r="L153" s="7">
        <f>+Tabla145[[#This Row],[ RV Producción mes n+1]]*Tabla145[[#This Row],[% Uti. producción]]</f>
        <v>24773.880602627683</v>
      </c>
      <c r="M153" s="7">
        <f>IFERROR(VLOOKUP(Tabla145[[#This Row],[Material]],[16]Stock!$G:$K,5,FALSE),0)</f>
        <v>16525</v>
      </c>
      <c r="N153" s="7">
        <f>IFERROR(VLOOKUP(Tabla145[[#This Row],[Material]],[16]Produccion!$M:$N,2,FALSE),0)</f>
        <v>6606.7658037771944</v>
      </c>
      <c r="O153" s="7">
        <f>IFERROR(VLOOKUP(Tabla145[[#This Row],[Llave]],'[16]TD Conf-AP'!$I:$M,4,FALSE),0)</f>
        <v>6400</v>
      </c>
      <c r="P153" s="14">
        <f>SUM(Tabla145[[#This Row],[Producción disponible]],Tabla145[[#This Row],[Stock al día]],(Tabla145[[#This Row],[Por producir mes N]]*0.9))-Tabla145[[#This Row],[Producción por despachar mes N]]</f>
        <v>40844.969826027162</v>
      </c>
      <c r="Q153" s="7">
        <f>IFERROR(VLOOKUP(Tabla145[[#This Row],[Llave]],[17]DELAY!$A:$D,4,FALSE),0)</f>
        <v>45000</v>
      </c>
      <c r="R153" s="9">
        <v>3142.8571428571427</v>
      </c>
      <c r="S153" s="5">
        <f t="shared" si="7"/>
        <v>37714.28571428571</v>
      </c>
      <c r="T153" s="76">
        <v>-22160</v>
      </c>
      <c r="U153" s="5">
        <f>+Tabla145[[#This Row],[Atraso a facturar]]+Tabla145[[#This Row],[Ajuste atraso]]</f>
        <v>15554.28571428571</v>
      </c>
      <c r="V153" s="3">
        <f>+Tabla145[[#This Row],[Total disponible]]-Tabla145[[#This Row],[Facturación atraso]]</f>
        <v>25290.684111741451</v>
      </c>
      <c r="W153" s="6">
        <f>IFERROR(IF(AND(V153&gt;R153,J153&gt;=R153),ROUNDDOWN((Tabla145[[#This Row],[Producción para venta nueva]])/R153,0)*R153,0),0)</f>
        <v>25142.857142857141</v>
      </c>
      <c r="X153" s="76">
        <v>-11080</v>
      </c>
      <c r="Y153" s="6">
        <f>IF(Tabla145[[#This Row],[Venta del mes]]&gt;0,Tabla145[[#This Row],[Venta del mes]]+Tabla145[[#This Row],[Ajuste venta nueva]],0)</f>
        <v>14062.857142857141</v>
      </c>
      <c r="Z153" s="6">
        <f>+Tabla145[[#This Row],[Producción para venta nueva]]-Tabla145[[#This Row],[Facturación Venta nueva]]</f>
        <v>11227.82696888431</v>
      </c>
      <c r="AA153" s="6">
        <f>IF(AND(A153=1,Tabla145[[#This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3" s="6">
        <v>0</v>
      </c>
      <c r="AC153" s="6">
        <f>IF(Tabla145[[#This Row],[Disponible stock sin venta]]&gt;0,Tabla145[[#This Row],[Disponible stock sin venta]]+Tabla145[[#This Row],[Ajuste stock sin venta]],0)</f>
        <v>0</v>
      </c>
      <c r="AD153" s="3">
        <f>IFERROR(VLOOKUP(Tabla145[[#This Row],[Llave]],'[16]TD Puerto'!$A:$D,4,FALSE),0)</f>
        <v>0</v>
      </c>
      <c r="AE153" s="3">
        <v>48142.857142857145</v>
      </c>
      <c r="AF153" s="3">
        <f>+Tabla145[[#This Row],[Plan Irrestricto Inicial]]</f>
        <v>48142.857142857145</v>
      </c>
      <c r="AG153" s="3">
        <f>+Tabla145[[#This Row],[En puerto a facturar]]</f>
        <v>0</v>
      </c>
      <c r="AH153" s="3">
        <f>+Tabla145[[#This Row],[Facturación atraso]]</f>
        <v>15554.28571428571</v>
      </c>
      <c r="AI153" s="3">
        <f>+Tabla145[[#This Row],[Plan Irrestricto]]-Tabla145[[#This Row],[Puerto ]]-Tabla145[[#This Row],[Atraso]]</f>
        <v>32588.571428571435</v>
      </c>
      <c r="AJ153" s="3">
        <f>IF(Tabla145[[#This Row],[Plan Irrestricto]]&gt;0,SUM(Tabla145[[#This Row],[Facturación atraso]],Tabla145[[#This Row],[Facturación Venta nueva]],Tabla145[[#This Row],[Facturación stock]],Tabla145[[#This Row],[En puerto a facturar]]),0)</f>
        <v>29617.142857142851</v>
      </c>
      <c r="AK153" s="3">
        <f>+Tabla145[[#This Row],[Facturación atraso]]</f>
        <v>15554.28571428571</v>
      </c>
      <c r="AL153" s="3">
        <f>+Tabla145[[#This Row],[Plan Ajustado]]-Tabla145[[#This Row],[ Atraso ajustado]]-Tabla145[[#This Row],[Puerto ]]</f>
        <v>14062.857142857141</v>
      </c>
      <c r="AM153" s="6">
        <f>IFERROR(VLOOKUP(Tabla145[[#This Row],[Llave]],[18]!Tabla14[#All],34,FALSE),0)</f>
        <v>0</v>
      </c>
      <c r="AN153" s="6">
        <f>IFERROR(VLOOKUP(Tabla145[[#This Row],[Llave]],[18]!Tabla14[#All],35,FALSE),0)</f>
        <v>0</v>
      </c>
      <c r="AO153" s="3" t="str">
        <f>IF(Tabla145[[#This Row],[Plan Ajustado]]&gt;Tabla145[[#This Row],[En puerto a facturar]],"Si","No")</f>
        <v>Si</v>
      </c>
      <c r="AP153" s="3">
        <f>IF(AND(Tabla145[[#This Row],[Plan Ajustado]]&gt;0,Tabla145[[#This Row],[Plan Ajustado]]&gt;Tabla145[[#This Row],[En puerto a facturar]]),(Tabla145[[#This Row],[Plan Ajustado]]-Tabla145[[#This Row],[En puerto a facturar]]),0)</f>
        <v>29617.142857142851</v>
      </c>
      <c r="AQ153" s="3">
        <f>IF(Tabla145[[#This Row],[Necesidad]]&gt;=Tabla145[[#This Row],[Stock al día]],Tabla145[[#This Row],[Stock al día]],Tabla145[[#This Row],[Necesidad]])</f>
        <v>16525</v>
      </c>
      <c r="AR153" s="3">
        <f>+Tabla145[[#This Row],[Necesidad]]-Tabla145[[#This Row],[Stock Plan]]</f>
        <v>13092.142857142851</v>
      </c>
      <c r="AS153" s="155">
        <f>IFERROR(VLOOKUP(Tabla145[[#This Row],[Oficina]],[19]Ponderación!$B$14:$E$21,4,FALSE),"")</f>
        <v>44800</v>
      </c>
      <c r="AT15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3.456</v>
      </c>
      <c r="AU153" s="83">
        <f>IFERROR(VLOOKUP(Tabla145[[#This Row],[Llave]],[17]DELAY!$H:$W,16,FALSE),0)</f>
        <v>3.5190013063703689</v>
      </c>
      <c r="AV15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3.4890869295659162</v>
      </c>
      <c r="AW153" s="5">
        <f>Tabla145[[#This Row],[Ajuste precio IC]]*Tabla145[[#This Row],[Plan Ajustado]]</f>
        <v>103336.78603394366</v>
      </c>
      <c r="AX153" s="30">
        <f>IFERROR(VLOOKUP(Tabla145[[#This Row],[Llave]],'[13]Ultimos precios facturados'!$A:$G,7,FALSE),0)</f>
        <v>3.4526044209162774</v>
      </c>
      <c r="AY15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1.0566663365378174E-2</v>
      </c>
      <c r="AZ153" s="30">
        <f>IFERROR(VLOOKUP(Tabla145[[#This Row],[Llave]],Hoja2!B:K,10,FALSE),0)</f>
        <v>3.4890869295659162</v>
      </c>
      <c r="BA153" s="30">
        <f>IF(Tabla145[[#This Row],[Ajuste precio IC]]="",Tabla145[[#This Row],[Precio ponderado]],Tabla145[[#This Row],[Precio ponderado]])</f>
        <v>3.4890869295659162</v>
      </c>
      <c r="BB153" s="82"/>
      <c r="BC153" s="82" t="str">
        <f>IF(AND(Tabla145[[#This Row],[Atraso a facturar]]&gt;0,Tabla145[[#This Row],[Precio Atraso]]=0),"Revisar","OK")</f>
        <v>OK</v>
      </c>
      <c r="BD153" s="82" t="str">
        <f>IF(AND(Tabla145[[#This Row],[Venta del mes]]&gt;0,Tabla145[[#This Row],[Precio venta nueva]]=0),"Revisar","OK")</f>
        <v>OK</v>
      </c>
      <c r="BE153" s="20">
        <f>IFERROR(VLOOKUP(Tabla145[[#This Row],[Llave]],'[5]Consolidación planes'!$A:$M,9,FALSE),0)</f>
        <v>17000</v>
      </c>
      <c r="BF153" s="20">
        <f>IFERROR(VLOOKUP(Tabla145[[#This Row],[Llave]],'[5]Consolidación planes'!$A:$M,10,FALSE),0)</f>
        <v>3000</v>
      </c>
      <c r="BG153" s="20">
        <f>IFERROR(VLOOKUP(Tabla145[[#This Row],[Llave]],'[5]Consolidación planes'!$A:$M,11,FALSE),0)</f>
        <v>16000</v>
      </c>
      <c r="BH153" s="20">
        <f>IFERROR(VLOOKUP(Tabla145[[#This Row],[Llave]],'[5]Consolidación planes'!$A:$M,12,FALSE),0)</f>
        <v>30000</v>
      </c>
      <c r="BI153" s="20">
        <f>IFERROR(VLOOKUP(Tabla145[[#This Row],[Llave]],'[5]Consolidación planes'!$A:$M,13,FALSE),0)</f>
        <v>40857</v>
      </c>
      <c r="BJ153" s="20">
        <f>IFERROR(VLOOKUP(Tabla145[[#This Row],[Llave]],'[13]Base ultimos planes'!$A:$M,13,FALSE),0)</f>
        <v>48000</v>
      </c>
      <c r="BK153" s="80">
        <f>IFERROR(VLOOKUP(Tabla145[[#This Row],[Llave]],'[13]Base ultimos planes'!$O:$AA,8,FALSE),0)</f>
        <v>70380</v>
      </c>
      <c r="BL153" s="20">
        <f>IFERROR(VLOOKUP(Tabla145[[#This Row],[Llave]],'[13]Base ultimos planes'!$O:$AA,9,FALSE),0)</f>
        <v>11767</v>
      </c>
      <c r="BM153" s="20">
        <f>IFERROR(VLOOKUP(Tabla145[[#This Row],[Llave]],'[13]Base ultimos planes'!$O:$AA,10,FALSE),0)</f>
        <v>62416</v>
      </c>
      <c r="BN153" s="20">
        <f>IFERROR(VLOOKUP(Tabla145[[#This Row],[Llave]],'[13]Base ultimos planes'!$O:$AA,11,FALSE),0)</f>
        <v>112375</v>
      </c>
      <c r="BO153" s="20">
        <f>IFERROR(VLOOKUP(Tabla145[[#This Row],[Llave]],'[13]Base ultimos planes'!$O:$AA,12,FALSE),0)</f>
        <v>149276</v>
      </c>
      <c r="BP153" s="20">
        <f>IFERROR(VLOOKUP(Tabla145[[#This Row],[Llave]],'[13]Base ultimos planes'!$O:$AA,13,FALSE),0)</f>
        <v>164118</v>
      </c>
      <c r="BQ153" s="20"/>
      <c r="BR153" s="20">
        <f>Tabla145[[#This Row],[ RV Producción mes n+1]]*(1-Tabla145[[#This Row],[% Uti. producción]])</f>
        <v>3650.1193973723184</v>
      </c>
      <c r="BS153" s="20">
        <f>+Tabla145[[#This Row],[Producción disponible mes n-1]]+Tabla145[[#This Row],[Saldo Volumen disponible]]</f>
        <v>14877.946366256629</v>
      </c>
      <c r="BT153" s="7">
        <f>IFERROR(VLOOKUP(Tabla145[[#This Row],[Llave]],'[21]RV n+2 y n+3'!$B:$F,4,FALSE),0)</f>
        <v>30000</v>
      </c>
      <c r="BU153" s="7">
        <f>+Tabla145[[#This Row],[Asignación mes n+2]]*Tabla145[[#This Row],[% Uti. producción]]</f>
        <v>26147.495710625895</v>
      </c>
      <c r="BV153" s="7">
        <f>+Tabla145[[#This Row],[Ponderación mes n+2]]+Tabla145[[#This Row],[Saldo mes n-1]]</f>
        <v>41025.442076882522</v>
      </c>
      <c r="BW153" s="7">
        <f>+Tabla145[[#This Row],[Asignación mes n+2]]-Tabla145[[#This Row],[Ponderación mes n+2]]</f>
        <v>3852.5042893741047</v>
      </c>
      <c r="BX153" s="7">
        <f>IFERROR(VLOOKUP(Tabla145[[#This Row],[Llave]],'[21]RV n+2 y n+3'!$B:$F,5,FALSE),0)</f>
        <v>50000.000400000004</v>
      </c>
      <c r="BY153" s="7">
        <f>+Tabla145[[#This Row],[Asignación mes n+3]]*Tabla145[[#This Row],[% Uti. producción]]</f>
        <v>43579.159866343107</v>
      </c>
      <c r="BZ153" s="3">
        <f>+Tabla145[[#This Row],[Ponderación mes n+3]]+Tabla145[[#This Row],[Saldo mes n+2]]</f>
        <v>47431.664155717212</v>
      </c>
      <c r="CA153" s="3">
        <f>+Tabla145[[#This Row],[Asignación mes n+3]]-Tabla145[[#This Row],[Ponderación mes n+3]]</f>
        <v>6420.8405336568976</v>
      </c>
      <c r="CB153" s="3">
        <f>+Tabla145[[#This Row],[Producción disponible mes n-1]]+Tabla145[[#This Row],[Producción disponible]]</f>
        <v>28424</v>
      </c>
      <c r="CC153" s="3">
        <f>+Tabla145[[#This Row],[Saldo mes n+4]]-Tabla145[[#This Row],[ RV Producción mes n+1]]</f>
        <v>0</v>
      </c>
    </row>
    <row r="154" spans="1:81" ht="16" x14ac:dyDescent="0.2">
      <c r="A154">
        <v>1</v>
      </c>
      <c r="B154" t="str">
        <f>Tabla145[[#This Row],[Oficina]]&amp;Tabla145[[#This Row],[Material]]</f>
        <v>Exportacion Directa1020636</v>
      </c>
      <c r="C154" t="s">
        <v>6</v>
      </c>
      <c r="D154" t="s">
        <v>88</v>
      </c>
      <c r="E154">
        <v>1020636</v>
      </c>
      <c r="F154" t="s">
        <v>89</v>
      </c>
      <c r="G154" t="s">
        <v>37</v>
      </c>
      <c r="H154" t="s">
        <v>38</v>
      </c>
      <c r="I154" s="7">
        <f>IFERROR(VLOOKUP(Tabla145[[#This Row],[Llave]],'[7]RV Producción'!$C:$G,5,FALSE),0)</f>
        <v>13582</v>
      </c>
      <c r="J154" s="3">
        <f>IFERROR(IF(Tabla145[[#This Row],[Oficina]]=$I$7,VLOOKUP(Tabla145[[#This Row],[Llave]],'[7]Shangai (Tomas)'!$A:$F,6,FALSE),VLOOKUP(Tabla145[[#This Row],[Llave]],'[7]RV plan de ventas'!$A:$E,5,FALSE)),0)</f>
        <v>13000</v>
      </c>
      <c r="K154" s="8">
        <f>IFERROR(VLOOKUP(Tabla145[[#This Row],[Oficina]],[15]Ponderación!$B$2:$E$9,4,FALSE),0)</f>
        <v>0.87158319035419651</v>
      </c>
      <c r="L154" s="7">
        <f>+Tabla145[[#This Row],[ RV Producción mes n+1]]*Tabla145[[#This Row],[% Uti. producción]]</f>
        <v>11837.842891390697</v>
      </c>
      <c r="M154" s="7">
        <f>IFERROR(VLOOKUP(Tabla145[[#This Row],[Material]],[16]Stock!$G:$K,5,FALSE),0)</f>
        <v>24430</v>
      </c>
      <c r="N154" s="7">
        <f>IFERROR(VLOOKUP(Tabla145[[#This Row],[Material]],[16]Produccion!$M:$N,2,FALSE),0)</f>
        <v>638.30331061601851</v>
      </c>
      <c r="O154" s="7">
        <f>IFERROR(VLOOKUP(Tabla145[[#This Row],[Llave]],'[16]TD Conf-AP'!$I:$M,4,FALSE),0)</f>
        <v>8250</v>
      </c>
      <c r="P154" s="14">
        <f>SUM(Tabla145[[#This Row],[Producción disponible]],Tabla145[[#This Row],[Stock al día]],(Tabla145[[#This Row],[Por producir mes N]]*0.9))-Tabla145[[#This Row],[Producción por despachar mes N]]</f>
        <v>28592.315870945116</v>
      </c>
      <c r="Q154" s="7">
        <f>IFERROR(VLOOKUP(Tabla145[[#This Row],[Llave]],[17]DELAY!$A:$D,4,FALSE),0)</f>
        <v>21250</v>
      </c>
      <c r="R154" s="9">
        <v>1333.3333333333333</v>
      </c>
      <c r="S154" s="5">
        <f t="shared" si="7"/>
        <v>21250</v>
      </c>
      <c r="T154" s="76">
        <v>-11080</v>
      </c>
      <c r="U154" s="5">
        <f>+Tabla145[[#This Row],[Atraso a facturar]]+Tabla145[[#This Row],[Ajuste atraso]]</f>
        <v>10170</v>
      </c>
      <c r="V154" s="3">
        <f>+Tabla145[[#This Row],[Total disponible]]-Tabla145[[#This Row],[Facturación atraso]]</f>
        <v>18422.315870945116</v>
      </c>
      <c r="W154" s="6">
        <f>IFERROR(IF(AND(V154&gt;R154,J154&gt;=R154),ROUNDDOWN((Tabla145[[#This Row],[Producción para venta nueva]])/R154,0)*R154,0),0)</f>
        <v>17333.333333333332</v>
      </c>
      <c r="X154" s="76">
        <v>-4432</v>
      </c>
      <c r="Y154" s="6">
        <f>IF(Tabla145[[#This Row],[Venta del mes]]&gt;0,Tabla145[[#This Row],[Venta del mes]]+Tabla145[[#This Row],[Ajuste venta nueva]],0)</f>
        <v>12901.333333333332</v>
      </c>
      <c r="Z154" s="6">
        <f>+Tabla145[[#This Row],[Producción para venta nueva]]-Tabla145[[#This Row],[Facturación Venta nueva]]</f>
        <v>5520.9825376117842</v>
      </c>
      <c r="AA154" s="6">
        <f>IF(AND(A154=1,Tabla145[[#This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4" s="6">
        <v>0</v>
      </c>
      <c r="AC154" s="6">
        <f>IF(Tabla145[[#This Row],[Disponible stock sin venta]]&gt;0,Tabla145[[#This Row],[Disponible stock sin venta]]+Tabla145[[#This Row],[Ajuste stock sin venta]],0)</f>
        <v>0</v>
      </c>
      <c r="AD154" s="3">
        <f>IFERROR(VLOOKUP(Tabla145[[#This Row],[Llave]],'[16]TD Puerto'!$A:$D,4,FALSE),0)</f>
        <v>0</v>
      </c>
      <c r="AE154" s="3">
        <v>20000</v>
      </c>
      <c r="AF154" s="3">
        <f>+Tabla145[[#This Row],[Plan Irrestricto Inicial]]</f>
        <v>20000</v>
      </c>
      <c r="AG154" s="3">
        <f>+Tabla145[[#This Row],[En puerto a facturar]]</f>
        <v>0</v>
      </c>
      <c r="AH154" s="3">
        <f>+Tabla145[[#This Row],[Facturación atraso]]</f>
        <v>10170</v>
      </c>
      <c r="AI154" s="3">
        <f>+Tabla145[[#This Row],[Plan Irrestricto]]-Tabla145[[#This Row],[Puerto ]]-Tabla145[[#This Row],[Atraso]]</f>
        <v>9830</v>
      </c>
      <c r="AJ154" s="3">
        <f>IF(Tabla145[[#This Row],[Plan Irrestricto]]&gt;0,SUM(Tabla145[[#This Row],[Facturación atraso]],Tabla145[[#This Row],[Facturación Venta nueva]],Tabla145[[#This Row],[Facturación stock]],Tabla145[[#This Row],[En puerto a facturar]]),0)</f>
        <v>23071.333333333332</v>
      </c>
      <c r="AK154" s="3">
        <f>+Tabla145[[#This Row],[Facturación atraso]]</f>
        <v>10170</v>
      </c>
      <c r="AL154" s="3">
        <f>+Tabla145[[#This Row],[Plan Ajustado]]-Tabla145[[#This Row],[ Atraso ajustado]]-Tabla145[[#This Row],[Puerto ]]</f>
        <v>12901.333333333332</v>
      </c>
      <c r="AM154" s="6">
        <f>IFERROR(VLOOKUP(Tabla145[[#This Row],[Llave]],[18]!Tabla14[#All],34,FALSE),0)</f>
        <v>0</v>
      </c>
      <c r="AN154" s="6">
        <f>IFERROR(VLOOKUP(Tabla145[[#This Row],[Llave]],[18]!Tabla14[#All],35,FALSE),0)</f>
        <v>0</v>
      </c>
      <c r="AO154" s="3" t="str">
        <f>IF(Tabla145[[#This Row],[Plan Ajustado]]&gt;Tabla145[[#This Row],[En puerto a facturar]],"Si","No")</f>
        <v>Si</v>
      </c>
      <c r="AP154" s="3">
        <f>IF(AND(Tabla145[[#This Row],[Plan Ajustado]]&gt;0,Tabla145[[#This Row],[Plan Ajustado]]&gt;Tabla145[[#This Row],[En puerto a facturar]]),(Tabla145[[#This Row],[Plan Ajustado]]-Tabla145[[#This Row],[En puerto a facturar]]),0)</f>
        <v>23071.333333333332</v>
      </c>
      <c r="AQ154" s="3">
        <f>IF(Tabla145[[#This Row],[Necesidad]]&gt;=Tabla145[[#This Row],[Stock al día]],Tabla145[[#This Row],[Stock al día]],Tabla145[[#This Row],[Necesidad]])</f>
        <v>23071.333333333332</v>
      </c>
      <c r="AR154" s="3">
        <f>+Tabla145[[#This Row],[Necesidad]]-Tabla145[[#This Row],[Stock Plan]]</f>
        <v>0</v>
      </c>
      <c r="AS154" s="155">
        <f>IFERROR(VLOOKUP(Tabla145[[#This Row],[Oficina]],[19]Ponderación!$B$14:$E$21,4,FALSE),"")</f>
        <v>44800</v>
      </c>
      <c r="AT15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4.1040000000000001</v>
      </c>
      <c r="AU154" s="83">
        <f>IFERROR(VLOOKUP(Tabla145[[#This Row],[Llave]],[17]DELAY!$H:$W,16,FALSE),0)</f>
        <v>4.2524462458952828</v>
      </c>
      <c r="AV15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4.1694361106461848</v>
      </c>
      <c r="AW154" s="5">
        <f>Tabla145[[#This Row],[Ajuste precio IC]]*Tabla145[[#This Row],[Plan Ajustado]]</f>
        <v>96194.450320755001</v>
      </c>
      <c r="AX154" s="30">
        <f>IFERROR(VLOOKUP(Tabla145[[#This Row],[Llave]],'[13]Ultimos precios facturados'!$A:$G,7,FALSE),0)</f>
        <v>4.2774670760424121</v>
      </c>
      <c r="AY15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2.5255826281234503E-2</v>
      </c>
      <c r="AZ154" s="30">
        <f>IFERROR(VLOOKUP(Tabla145[[#This Row],[Llave]],Hoja2!B:K,10,FALSE),0)</f>
        <v>4.1694361106461848</v>
      </c>
      <c r="BA154" s="30">
        <f>IF(Tabla145[[#This Row],[Ajuste precio IC]]="",Tabla145[[#This Row],[Precio ponderado]],Tabla145[[#This Row],[Precio ponderado]])</f>
        <v>4.1694361106461848</v>
      </c>
      <c r="BB154" s="82"/>
      <c r="BC154" s="82" t="str">
        <f>IF(AND(Tabla145[[#This Row],[Atraso a facturar]]&gt;0,Tabla145[[#This Row],[Precio Atraso]]=0),"Revisar","OK")</f>
        <v>OK</v>
      </c>
      <c r="BD154" s="82" t="str">
        <f>IF(AND(Tabla145[[#This Row],[Venta del mes]]&gt;0,Tabla145[[#This Row],[Precio venta nueva]]=0),"Revisar","OK")</f>
        <v>OK</v>
      </c>
      <c r="BE154" s="20">
        <f>IFERROR(VLOOKUP(Tabla145[[#This Row],[Llave]],'[5]Consolidación planes'!$A:$M,9,FALSE),0)</f>
        <v>14500</v>
      </c>
      <c r="BF154" s="20">
        <f>IFERROR(VLOOKUP(Tabla145[[#This Row],[Llave]],'[5]Consolidación planes'!$A:$M,10,FALSE),0)</f>
        <v>14500</v>
      </c>
      <c r="BG154" s="20">
        <f>IFERROR(VLOOKUP(Tabla145[[#This Row],[Llave]],'[5]Consolidación planes'!$A:$M,11,FALSE),0)</f>
        <v>15000</v>
      </c>
      <c r="BH154" s="20">
        <f>IFERROR(VLOOKUP(Tabla145[[#This Row],[Llave]],'[5]Consolidación planes'!$A:$M,12,FALSE),0)</f>
        <v>18000</v>
      </c>
      <c r="BI154" s="20">
        <f>IFERROR(VLOOKUP(Tabla145[[#This Row],[Llave]],'[5]Consolidación planes'!$A:$M,13,FALSE),0)</f>
        <v>20000</v>
      </c>
      <c r="BJ154" s="20">
        <f>IFERROR(VLOOKUP(Tabla145[[#This Row],[Llave]],'[13]Base ultimos planes'!$A:$M,13,FALSE),0)</f>
        <v>30333</v>
      </c>
      <c r="BK154" s="80">
        <f>IFERROR(VLOOKUP(Tabla145[[#This Row],[Llave]],'[13]Base ultimos planes'!$O:$AA,8,FALSE),0)</f>
        <v>73613.435800000007</v>
      </c>
      <c r="BL154" s="20">
        <f>IFERROR(VLOOKUP(Tabla145[[#This Row],[Llave]],'[13]Base ultimos planes'!$O:$AA,9,FALSE),0)</f>
        <v>69303</v>
      </c>
      <c r="BM154" s="20">
        <f>IFERROR(VLOOKUP(Tabla145[[#This Row],[Llave]],'[13]Base ultimos planes'!$O:$AA,10,FALSE),0)</f>
        <v>71866</v>
      </c>
      <c r="BN154" s="20">
        <f>IFERROR(VLOOKUP(Tabla145[[#This Row],[Llave]],'[13]Base ultimos planes'!$O:$AA,11,FALSE),0)</f>
        <v>83082</v>
      </c>
      <c r="BO154" s="20">
        <f>IFERROR(VLOOKUP(Tabla145[[#This Row],[Llave]],'[13]Base ultimos planes'!$O:$AA,12,FALSE),0)</f>
        <v>89555</v>
      </c>
      <c r="BP154" s="20">
        <f>IFERROR(VLOOKUP(Tabla145[[#This Row],[Llave]],'[13]Base ultimos planes'!$O:$AA,13,FALSE),0)</f>
        <v>127020</v>
      </c>
      <c r="BQ154" s="20"/>
      <c r="BR154" s="20">
        <f>Tabla145[[#This Row],[ RV Producción mes n+1]]*(1-Tabla145[[#This Row],[% Uti. producción]])</f>
        <v>1744.1571086093029</v>
      </c>
      <c r="BS154" s="20">
        <f>+Tabla145[[#This Row],[Producción disponible mes n-1]]+Tabla145[[#This Row],[Saldo Volumen disponible]]</f>
        <v>7265.1396462210869</v>
      </c>
      <c r="BT154" s="7">
        <f>IFERROR(VLOOKUP(Tabla145[[#This Row],[Llave]],'[21]RV n+2 y n+3'!$B:$F,4,FALSE),0)</f>
        <v>10000</v>
      </c>
      <c r="BU154" s="7">
        <f>+Tabla145[[#This Row],[Asignación mes n+2]]*Tabla145[[#This Row],[% Uti. producción]]</f>
        <v>8715.8319035419645</v>
      </c>
      <c r="BV154" s="7">
        <f>+Tabla145[[#This Row],[Ponderación mes n+2]]+Tabla145[[#This Row],[Saldo mes n-1]]</f>
        <v>15980.971549763051</v>
      </c>
      <c r="BW154" s="7">
        <f>+Tabla145[[#This Row],[Asignación mes n+2]]-Tabla145[[#This Row],[Ponderación mes n+2]]</f>
        <v>1284.1680964580355</v>
      </c>
      <c r="BX154" s="7">
        <f>IFERROR(VLOOKUP(Tabla145[[#This Row],[Llave]],'[21]RV n+2 y n+3'!$B:$F,5,FALSE),0)</f>
        <v>15000</v>
      </c>
      <c r="BY154" s="7">
        <f>+Tabla145[[#This Row],[Asignación mes n+3]]*Tabla145[[#This Row],[% Uti. producción]]</f>
        <v>13073.747855312948</v>
      </c>
      <c r="BZ154" s="3">
        <f>+Tabla145[[#This Row],[Ponderación mes n+3]]+Tabla145[[#This Row],[Saldo mes n+2]]</f>
        <v>14357.915951770983</v>
      </c>
      <c r="CA154" s="3">
        <f>+Tabla145[[#This Row],[Asignación mes n+3]]-Tabla145[[#This Row],[Ponderación mes n+3]]</f>
        <v>1926.2521446870524</v>
      </c>
      <c r="CB154" s="3">
        <f>+Tabla145[[#This Row],[Producción disponible mes n-1]]+Tabla145[[#This Row],[Producción disponible]]</f>
        <v>13582</v>
      </c>
      <c r="CC154" s="3">
        <f>+Tabla145[[#This Row],[Saldo mes n+4]]-Tabla145[[#This Row],[ RV Producción mes n+1]]</f>
        <v>0</v>
      </c>
    </row>
    <row r="155" spans="1:81" ht="16" x14ac:dyDescent="0.2">
      <c r="A155">
        <v>1</v>
      </c>
      <c r="B155" t="str">
        <f>Tabla145[[#This Row],[Oficina]]&amp;Tabla145[[#This Row],[Material]]</f>
        <v>Exportacion Directa1020637</v>
      </c>
      <c r="C155" t="s">
        <v>6</v>
      </c>
      <c r="D155" t="s">
        <v>88</v>
      </c>
      <c r="E155">
        <v>1020637</v>
      </c>
      <c r="F155" t="s">
        <v>121</v>
      </c>
      <c r="G155" t="s">
        <v>56</v>
      </c>
      <c r="H155" t="s">
        <v>57</v>
      </c>
      <c r="I155" s="7">
        <f>IFERROR(VLOOKUP(Tabla145[[#This Row],[Llave]],'[7]RV Producción'!$C:$G,5,FALSE),0)</f>
        <v>247648</v>
      </c>
      <c r="J155" s="3">
        <f>IFERROR(IF(Tabla145[[#This Row],[Oficina]]=$I$7,VLOOKUP(Tabla145[[#This Row],[Llave]],'[7]Shangai (Tomas)'!$A:$F,6,FALSE),VLOOKUP(Tabla145[[#This Row],[Llave]],'[7]RV plan de ventas'!$A:$E,5,FALSE)),0)</f>
        <v>200000</v>
      </c>
      <c r="K155" s="8">
        <f>IFERROR(VLOOKUP(Tabla145[[#This Row],[Oficina]],[15]Ponderación!$B$2:$E$9,4,FALSE),0)</f>
        <v>0.87158319035419651</v>
      </c>
      <c r="L155" s="7">
        <f>+Tabla145[[#This Row],[ RV Producción mes n+1]]*Tabla145[[#This Row],[% Uti. producción]]</f>
        <v>215845.83392483607</v>
      </c>
      <c r="M155" s="7">
        <f>IFERROR(VLOOKUP(Tabla145[[#This Row],[Material]],[16]Stock!$G:$K,5,FALSE),0)</f>
        <v>166537</v>
      </c>
      <c r="N155" s="7">
        <f>IFERROR(VLOOKUP(Tabla145[[#This Row],[Material]],[16]Produccion!$M:$N,2,FALSE),0)</f>
        <v>73871.120460083199</v>
      </c>
      <c r="O155" s="7">
        <f>IFERROR(VLOOKUP(Tabla145[[#This Row],[Llave]],'[16]TD Conf-AP'!$I:$M,4,FALSE),0)</f>
        <v>56330</v>
      </c>
      <c r="P155" s="14">
        <f>SUM(Tabla145[[#This Row],[Producción disponible]],Tabla145[[#This Row],[Stock al día]],(Tabla145[[#This Row],[Por producir mes N]]*0.9))-Tabla145[[#This Row],[Producción por despachar mes N]]</f>
        <v>392536.84233891097</v>
      </c>
      <c r="Q155" s="7">
        <f>IFERROR(VLOOKUP(Tabla145[[#This Row],[Llave]],[17]DELAY!$A:$D,4,FALSE),0)</f>
        <v>220290</v>
      </c>
      <c r="R155" s="9">
        <v>4750</v>
      </c>
      <c r="S155" s="5">
        <f t="shared" si="7"/>
        <v>220290</v>
      </c>
      <c r="T155" s="76">
        <v>-110800</v>
      </c>
      <c r="U155" s="5">
        <f>+Tabla145[[#This Row],[Atraso a facturar]]+Tabla145[[#This Row],[Ajuste atraso]]</f>
        <v>109490</v>
      </c>
      <c r="V155" s="3">
        <f>+Tabla145[[#This Row],[Total disponible]]-Tabla145[[#This Row],[Facturación atraso]]</f>
        <v>283046.84233891097</v>
      </c>
      <c r="W155" s="6">
        <f>IFERROR(IF(AND(V155&gt;R155,J155&gt;=R155),ROUNDDOWN((Tabla145[[#This Row],[Producción para venta nueva]])/R155,0)*R155,0),0)</f>
        <v>280250</v>
      </c>
      <c r="X155" s="76">
        <v>-150000</v>
      </c>
      <c r="Y155" s="6">
        <f>IF(Tabla145[[#This Row],[Venta del mes]]&gt;0,Tabla145[[#This Row],[Venta del mes]]+Tabla145[[#This Row],[Ajuste venta nueva]],0)</f>
        <v>130250</v>
      </c>
      <c r="Z155" s="6">
        <f>+Tabla145[[#This Row],[Producción para venta nueva]]-Tabla145[[#This Row],[Facturación Venta nueva]]</f>
        <v>152796.84233891097</v>
      </c>
      <c r="AA155" s="6">
        <f>IF(AND(A155=1,Tabla145[[#This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5" s="6">
        <v>0</v>
      </c>
      <c r="AC155" s="6">
        <f>IF(Tabla145[[#This Row],[Disponible stock sin venta]]&gt;0,Tabla145[[#This Row],[Disponible stock sin venta]]+Tabla145[[#This Row],[Ajuste stock sin venta]],0)</f>
        <v>0</v>
      </c>
      <c r="AD155" s="3">
        <f>IFERROR(VLOOKUP(Tabla145[[#This Row],[Llave]],'[16]TD Puerto'!$A:$D,4,FALSE),0)</f>
        <v>0</v>
      </c>
      <c r="AE155" s="3">
        <v>305790</v>
      </c>
      <c r="AF155" s="3">
        <f>+Tabla145[[#This Row],[Plan Irrestricto Inicial]]</f>
        <v>305790</v>
      </c>
      <c r="AG155" s="3">
        <f>+Tabla145[[#This Row],[En puerto a facturar]]</f>
        <v>0</v>
      </c>
      <c r="AH155" s="3">
        <f>+Tabla145[[#This Row],[Facturación atraso]]</f>
        <v>109490</v>
      </c>
      <c r="AI155" s="3">
        <f>+Tabla145[[#This Row],[Plan Irrestricto]]-Tabla145[[#This Row],[Puerto ]]-Tabla145[[#This Row],[Atraso]]</f>
        <v>196300</v>
      </c>
      <c r="AJ155" s="3">
        <f>IF(Tabla145[[#This Row],[Plan Irrestricto]]&gt;0,SUM(Tabla145[[#This Row],[Facturación atraso]],Tabla145[[#This Row],[Facturación Venta nueva]],Tabla145[[#This Row],[Facturación stock]],Tabla145[[#This Row],[En puerto a facturar]]),0)</f>
        <v>239740</v>
      </c>
      <c r="AK155" s="3">
        <f>+Tabla145[[#This Row],[Facturación atraso]]</f>
        <v>109490</v>
      </c>
      <c r="AL155" s="3">
        <f>+Tabla145[[#This Row],[Plan Ajustado]]-Tabla145[[#This Row],[ Atraso ajustado]]-Tabla145[[#This Row],[Puerto ]]</f>
        <v>130250</v>
      </c>
      <c r="AM155" s="6">
        <f>IFERROR(VLOOKUP(Tabla145[[#This Row],[Llave]],[18]!Tabla14[#All],34,FALSE),0)</f>
        <v>0</v>
      </c>
      <c r="AN155" s="6">
        <f>IFERROR(VLOOKUP(Tabla145[[#This Row],[Llave]],[18]!Tabla14[#All],35,FALSE),0)</f>
        <v>0</v>
      </c>
      <c r="AO155" s="3" t="str">
        <f>IF(Tabla145[[#This Row],[Plan Ajustado]]&gt;Tabla145[[#This Row],[En puerto a facturar]],"Si","No")</f>
        <v>Si</v>
      </c>
      <c r="AP155" s="3">
        <f>IF(AND(Tabla145[[#This Row],[Plan Ajustado]]&gt;0,Tabla145[[#This Row],[Plan Ajustado]]&gt;Tabla145[[#This Row],[En puerto a facturar]]),(Tabla145[[#This Row],[Plan Ajustado]]-Tabla145[[#This Row],[En puerto a facturar]]),0)</f>
        <v>239740</v>
      </c>
      <c r="AQ155" s="3">
        <f>IF(Tabla145[[#This Row],[Necesidad]]&gt;=Tabla145[[#This Row],[Stock al día]],Tabla145[[#This Row],[Stock al día]],Tabla145[[#This Row],[Necesidad]])</f>
        <v>166537</v>
      </c>
      <c r="AR155" s="3">
        <f>+Tabla145[[#This Row],[Necesidad]]-Tabla145[[#This Row],[Stock Plan]]</f>
        <v>73203</v>
      </c>
      <c r="AS155" s="155">
        <f>IFERROR(VLOOKUP(Tabla145[[#This Row],[Oficina]],[19]Ponderación!$B$14:$E$21,4,FALSE),"")</f>
        <v>44800</v>
      </c>
      <c r="AT15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4.8239999999999998</v>
      </c>
      <c r="AU155" s="83">
        <f>IFERROR(VLOOKUP(Tabla145[[#This Row],[Llave]],[17]DELAY!$H:$W,16,FALSE),0)</f>
        <v>4.9047618292413215</v>
      </c>
      <c r="AV15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4.8608841773739559</v>
      </c>
      <c r="AW155" s="5">
        <f>Tabla145[[#This Row],[Ajuste precio IC]]*Tabla145[[#This Row],[Plan Ajustado]]</f>
        <v>1165348.3726836322</v>
      </c>
      <c r="AX155" s="30">
        <f>IFERROR(VLOOKUP(Tabla145[[#This Row],[Llave]],'[13]Ultimos precios facturados'!$A:$G,7,FALSE),0)</f>
        <v>4.5964683118190974</v>
      </c>
      <c r="AY15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5.7525875871906829E-2</v>
      </c>
      <c r="AZ155" s="30">
        <f>IFERROR(VLOOKUP(Tabla145[[#This Row],[Llave]],Hoja2!B:K,10,FALSE),0)</f>
        <v>4.8608841773739559</v>
      </c>
      <c r="BA155" s="30">
        <f>IF(Tabla145[[#This Row],[Ajuste precio IC]]="",Tabla145[[#This Row],[Precio ponderado]],Tabla145[[#This Row],[Precio ponderado]])</f>
        <v>4.8608841773739559</v>
      </c>
      <c r="BB155" s="82" t="s">
        <v>755</v>
      </c>
      <c r="BC155" s="82" t="str">
        <f>IF(AND(Tabla145[[#This Row],[Atraso a facturar]]&gt;0,Tabla145[[#This Row],[Precio Atraso]]=0),"Revisar","OK")</f>
        <v>OK</v>
      </c>
      <c r="BD155" s="82" t="str">
        <f>IF(AND(Tabla145[[#This Row],[Venta del mes]]&gt;0,Tabla145[[#This Row],[Precio venta nueva]]=0),"Revisar","OK")</f>
        <v>OK</v>
      </c>
      <c r="BE155" s="20">
        <f>IFERROR(VLOOKUP(Tabla145[[#This Row],[Llave]],'[5]Consolidación planes'!$A:$M,9,FALSE),0)</f>
        <v>193900</v>
      </c>
      <c r="BF155" s="20">
        <f>IFERROR(VLOOKUP(Tabla145[[#This Row],[Llave]],'[5]Consolidación planes'!$A:$M,10,FALSE),0)</f>
        <v>170000</v>
      </c>
      <c r="BG155" s="20">
        <f>IFERROR(VLOOKUP(Tabla145[[#This Row],[Llave]],'[5]Consolidación planes'!$A:$M,11,FALSE),0)</f>
        <v>190000</v>
      </c>
      <c r="BH155" s="20">
        <f>IFERROR(VLOOKUP(Tabla145[[#This Row],[Llave]],'[5]Consolidación planes'!$A:$M,12,FALSE),0)</f>
        <v>270000</v>
      </c>
      <c r="BI155" s="20">
        <f>IFERROR(VLOOKUP(Tabla145[[#This Row],[Llave]],'[5]Consolidación planes'!$A:$M,13,FALSE),0)</f>
        <v>253474</v>
      </c>
      <c r="BJ155" s="20">
        <f>IFERROR(VLOOKUP(Tabla145[[#This Row],[Llave]],'[13]Base ultimos planes'!$A:$M,13,FALSE),0)</f>
        <v>227600</v>
      </c>
      <c r="BK155" s="80">
        <f>IFERROR(VLOOKUP(Tabla145[[#This Row],[Llave]],'[13]Base ultimos planes'!$O:$AA,8,FALSE),0)</f>
        <v>942354</v>
      </c>
      <c r="BL155" s="20">
        <f>IFERROR(VLOOKUP(Tabla145[[#This Row],[Llave]],'[13]Base ultimos planes'!$O:$AA,9,FALSE),0)</f>
        <v>841715</v>
      </c>
      <c r="BM155" s="20">
        <f>IFERROR(VLOOKUP(Tabla145[[#This Row],[Llave]],'[13]Base ultimos planes'!$O:$AA,10,FALSE),0)</f>
        <v>947734</v>
      </c>
      <c r="BN155" s="20">
        <f>IFERROR(VLOOKUP(Tabla145[[#This Row],[Llave]],'[13]Base ultimos planes'!$O:$AA,11,FALSE),0)</f>
        <v>1311648</v>
      </c>
      <c r="BO155" s="20">
        <f>IFERROR(VLOOKUP(Tabla145[[#This Row],[Llave]],'[13]Base ultimos planes'!$O:$AA,12,FALSE),0)</f>
        <v>1212707</v>
      </c>
      <c r="BP155" s="20">
        <f>IFERROR(VLOOKUP(Tabla145[[#This Row],[Llave]],'[13]Base ultimos planes'!$O:$AA,13,FALSE),0)</f>
        <v>1012527</v>
      </c>
      <c r="BQ155" s="20"/>
      <c r="BR155" s="20">
        <f>Tabla145[[#This Row],[ RV Producción mes n+1]]*(1-Tabla145[[#This Row],[% Uti. producción]])</f>
        <v>31802.166075163943</v>
      </c>
      <c r="BS155" s="20">
        <f>+Tabla145[[#This Row],[Producción disponible mes n-1]]+Tabla145[[#This Row],[Saldo Volumen disponible]]</f>
        <v>184599.00841407489</v>
      </c>
      <c r="BT155" s="7">
        <f>IFERROR(VLOOKUP(Tabla145[[#This Row],[Llave]],'[21]RV n+2 y n+3'!$B:$F,4,FALSE),0)</f>
        <v>140000</v>
      </c>
      <c r="BU155" s="7">
        <f>+Tabla145[[#This Row],[Asignación mes n+2]]*Tabla145[[#This Row],[% Uti. producción]]</f>
        <v>122021.64664958751</v>
      </c>
      <c r="BV155" s="7">
        <f>+Tabla145[[#This Row],[Ponderación mes n+2]]+Tabla145[[#This Row],[Saldo mes n-1]]</f>
        <v>306620.65506366239</v>
      </c>
      <c r="BW155" s="7">
        <f>+Tabla145[[#This Row],[Asignación mes n+2]]-Tabla145[[#This Row],[Ponderación mes n+2]]</f>
        <v>17978.353350412493</v>
      </c>
      <c r="BX155" s="7">
        <f>IFERROR(VLOOKUP(Tabla145[[#This Row],[Llave]],'[21]RV n+2 y n+3'!$B:$F,5,FALSE),0)</f>
        <v>200000</v>
      </c>
      <c r="BY155" s="7">
        <f>+Tabla145[[#This Row],[Asignación mes n+3]]*Tabla145[[#This Row],[% Uti. producción]]</f>
        <v>174316.63807083931</v>
      </c>
      <c r="BZ155" s="3">
        <f>+Tabla145[[#This Row],[Ponderación mes n+3]]+Tabla145[[#This Row],[Saldo mes n+2]]</f>
        <v>192294.99142125179</v>
      </c>
      <c r="CA155" s="3">
        <f>+Tabla145[[#This Row],[Asignación mes n+3]]-Tabla145[[#This Row],[Ponderación mes n+3]]</f>
        <v>25683.361929160688</v>
      </c>
      <c r="CB155" s="3">
        <f>+Tabla145[[#This Row],[Producción disponible mes n-1]]+Tabla145[[#This Row],[Producción disponible]]</f>
        <v>247648</v>
      </c>
      <c r="CC155" s="3">
        <f>+Tabla145[[#This Row],[Saldo mes n+4]]-Tabla145[[#This Row],[ RV Producción mes n+1]]</f>
        <v>0</v>
      </c>
    </row>
    <row r="156" spans="1:81" ht="16" x14ac:dyDescent="0.2">
      <c r="A156">
        <v>1</v>
      </c>
      <c r="B156" t="str">
        <f>Tabla145[[#This Row],[Oficina]]&amp;Tabla145[[#This Row],[Material]]</f>
        <v>Exportacion Directa1020662</v>
      </c>
      <c r="C156" t="s">
        <v>6</v>
      </c>
      <c r="D156" t="s">
        <v>88</v>
      </c>
      <c r="E156">
        <v>1020662</v>
      </c>
      <c r="F156" t="s">
        <v>130</v>
      </c>
      <c r="G156" t="s">
        <v>59</v>
      </c>
      <c r="H156" t="s">
        <v>65</v>
      </c>
      <c r="I156" s="7">
        <f>IFERROR(VLOOKUP(Tabla145[[#This Row],[Llave]],'[7]RV Producción'!$C:$G,5,FALSE),0)</f>
        <v>0</v>
      </c>
      <c r="J156" s="3">
        <f>IFERROR(IF(Tabla145[[#This Row],[Oficina]]=$I$7,VLOOKUP(Tabla145[[#This Row],[Llave]],'[7]Shangai (Tomas)'!$A:$F,6,FALSE),VLOOKUP(Tabla145[[#This Row],[Llave]],'[7]RV plan de ventas'!$A:$E,5,FALSE)),0)</f>
        <v>10000</v>
      </c>
      <c r="K156" s="8">
        <f>IFERROR(VLOOKUP(Tabla145[[#This Row],[Oficina]],[15]Ponderación!$B$2:$E$9,4,FALSE),0)</f>
        <v>0.87158319035419651</v>
      </c>
      <c r="L156" s="7">
        <f>+Tabla145[[#This Row],[ RV Producción mes n+1]]*Tabla145[[#This Row],[% Uti. producción]]</f>
        <v>0</v>
      </c>
      <c r="M156" s="7">
        <f>IFERROR(VLOOKUP(Tabla145[[#This Row],[Material]],[16]Stock!$G:$K,5,FALSE),0)</f>
        <v>33785</v>
      </c>
      <c r="N156" s="7">
        <f>IFERROR(VLOOKUP(Tabla145[[#This Row],[Material]],[16]Produccion!$M:$N,2,FALSE),0)</f>
        <v>7037.3200000000006</v>
      </c>
      <c r="O156" s="7">
        <f>IFERROR(VLOOKUP(Tabla145[[#This Row],[Llave]],'[16]TD Conf-AP'!$I:$M,4,FALSE),0)</f>
        <v>0</v>
      </c>
      <c r="P156" s="14">
        <f>SUM(Tabla145[[#This Row],[Producción disponible]],Tabla145[[#This Row],[Stock al día]],(Tabla145[[#This Row],[Por producir mes N]]*0.9))-Tabla145[[#This Row],[Producción por despachar mes N]]</f>
        <v>40118.588000000003</v>
      </c>
      <c r="Q156" s="7">
        <f>IFERROR(VLOOKUP(Tabla145[[#This Row],[Llave]],[17]DELAY!$A:$D,4,FALSE),0)</f>
        <v>13000</v>
      </c>
      <c r="R156" s="9">
        <v>5000</v>
      </c>
      <c r="S156" s="5">
        <f t="shared" si="7"/>
        <v>13000</v>
      </c>
      <c r="T156" s="76">
        <v>-5540</v>
      </c>
      <c r="U156" s="5">
        <f>+Tabla145[[#This Row],[Atraso a facturar]]+Tabla145[[#This Row],[Ajuste atraso]]</f>
        <v>7460</v>
      </c>
      <c r="V156" s="3">
        <f>+Tabla145[[#This Row],[Total disponible]]-Tabla145[[#This Row],[Facturación atraso]]</f>
        <v>32658.588000000003</v>
      </c>
      <c r="W156" s="6">
        <f>IFERROR(IF(AND(V156&gt;R156,J156&gt;=R156),ROUNDDOWN((Tabla145[[#This Row],[Producción para venta nueva]])/R156,0)*R156,0),0)</f>
        <v>30000</v>
      </c>
      <c r="X156" s="76">
        <v>-10000</v>
      </c>
      <c r="Y156" s="6">
        <f>IF(Tabla145[[#This Row],[Venta del mes]]&gt;0,Tabla145[[#This Row],[Venta del mes]]+Tabla145[[#This Row],[Ajuste venta nueva]],0)</f>
        <v>20000</v>
      </c>
      <c r="Z156" s="6">
        <f>+Tabla145[[#This Row],[Producción para venta nueva]]-Tabla145[[#This Row],[Facturación Venta nueva]]</f>
        <v>12658.588000000003</v>
      </c>
      <c r="AA156" s="6">
        <f>IF(AND(A156=1,Tabla145[[#This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6" s="6">
        <v>0</v>
      </c>
      <c r="AC156" s="6">
        <f>IF(Tabla145[[#This Row],[Disponible stock sin venta]]&gt;0,Tabla145[[#This Row],[Disponible stock sin venta]]+Tabla145[[#This Row],[Ajuste stock sin venta]],0)</f>
        <v>0</v>
      </c>
      <c r="AD156" s="3">
        <f>IFERROR(VLOOKUP(Tabla145[[#This Row],[Llave]],'[16]TD Puerto'!$A:$D,4,FALSE),0)</f>
        <v>0</v>
      </c>
      <c r="AE156" s="3">
        <v>18000</v>
      </c>
      <c r="AF156" s="3">
        <f>+Tabla145[[#This Row],[Plan Irrestricto Inicial]]</f>
        <v>18000</v>
      </c>
      <c r="AG156" s="3">
        <f>+Tabla145[[#This Row],[En puerto a facturar]]</f>
        <v>0</v>
      </c>
      <c r="AH156" s="3">
        <f>+Tabla145[[#This Row],[Facturación atraso]]</f>
        <v>7460</v>
      </c>
      <c r="AI156" s="3">
        <f>+Tabla145[[#This Row],[Plan Irrestricto]]-Tabla145[[#This Row],[Puerto ]]-Tabla145[[#This Row],[Atraso]]</f>
        <v>10540</v>
      </c>
      <c r="AJ156" s="3">
        <f>IF(Tabla145[[#This Row],[Plan Irrestricto]]&gt;0,SUM(Tabla145[[#This Row],[Facturación atraso]],Tabla145[[#This Row],[Facturación Venta nueva]],Tabla145[[#This Row],[Facturación stock]],Tabla145[[#This Row],[En puerto a facturar]]),0)</f>
        <v>27460</v>
      </c>
      <c r="AK156" s="3">
        <f>+Tabla145[[#This Row],[Facturación atraso]]</f>
        <v>7460</v>
      </c>
      <c r="AL156" s="3">
        <f>+Tabla145[[#This Row],[Plan Ajustado]]-Tabla145[[#This Row],[ Atraso ajustado]]-Tabla145[[#This Row],[Puerto ]]</f>
        <v>20000</v>
      </c>
      <c r="AM156" s="6">
        <f>IFERROR(VLOOKUP(Tabla145[[#This Row],[Llave]],[18]!Tabla14[#All],34,FALSE),0)</f>
        <v>0</v>
      </c>
      <c r="AN156" s="6">
        <f>IFERROR(VLOOKUP(Tabla145[[#This Row],[Llave]],[18]!Tabla14[#All],35,FALSE),0)</f>
        <v>0</v>
      </c>
      <c r="AO156" s="3" t="str">
        <f>IF(Tabla145[[#This Row],[Plan Ajustado]]&gt;Tabla145[[#This Row],[En puerto a facturar]],"Si","No")</f>
        <v>Si</v>
      </c>
      <c r="AP156" s="3">
        <f>IF(AND(Tabla145[[#This Row],[Plan Ajustado]]&gt;0,Tabla145[[#This Row],[Plan Ajustado]]&gt;Tabla145[[#This Row],[En puerto a facturar]]),(Tabla145[[#This Row],[Plan Ajustado]]-Tabla145[[#This Row],[En puerto a facturar]]),0)</f>
        <v>27460</v>
      </c>
      <c r="AQ156" s="3">
        <f>IF(Tabla145[[#This Row],[Necesidad]]&gt;=Tabla145[[#This Row],[Stock al día]],Tabla145[[#This Row],[Stock al día]],Tabla145[[#This Row],[Necesidad]])</f>
        <v>27460</v>
      </c>
      <c r="AR156" s="3">
        <f>+Tabla145[[#This Row],[Necesidad]]-Tabla145[[#This Row],[Stock Plan]]</f>
        <v>0</v>
      </c>
      <c r="AS156" s="155">
        <f>IFERROR(VLOOKUP(Tabla145[[#This Row],[Oficina]],[19]Ponderación!$B$14:$E$21,4,FALSE),"")</f>
        <v>44800</v>
      </c>
      <c r="AT15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3.492</v>
      </c>
      <c r="AU156" s="83">
        <f>IFERROR(VLOOKUP(Tabla145[[#This Row],[Llave]],[17]DELAY!$H:$W,16,FALSE),0)</f>
        <v>3.8103725784615388</v>
      </c>
      <c r="AV15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3.5784916036170094</v>
      </c>
      <c r="AW156" s="5">
        <f>Tabla145[[#This Row],[Ajuste precio IC]]*Tabla145[[#This Row],[Plan Ajustado]]</f>
        <v>98265.379435323077</v>
      </c>
      <c r="AX156" s="30">
        <f>IFERROR(VLOOKUP(Tabla145[[#This Row],[Llave]],'[13]Ultimos precios facturados'!$A:$G,7,FALSE),0)</f>
        <v>3.6287107044202598</v>
      </c>
      <c r="AY15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1.3839378471829341E-2</v>
      </c>
      <c r="AZ156" s="30">
        <f>IFERROR(VLOOKUP(Tabla145[[#This Row],[Llave]],Hoja2!B:K,10,FALSE),0)</f>
        <v>3.5784916036170094</v>
      </c>
      <c r="BA156" s="30">
        <f>IF(Tabla145[[#This Row],[Ajuste precio IC]]="",Tabla145[[#This Row],[Precio ponderado]],Tabla145[[#This Row],[Precio ponderado]])</f>
        <v>3.5784916036170094</v>
      </c>
      <c r="BB156" s="82"/>
      <c r="BC156" s="82" t="str">
        <f>IF(AND(Tabla145[[#This Row],[Atraso a facturar]]&gt;0,Tabla145[[#This Row],[Precio Atraso]]=0),"Revisar","OK")</f>
        <v>OK</v>
      </c>
      <c r="BD156" s="82" t="str">
        <f>IF(AND(Tabla145[[#This Row],[Venta del mes]]&gt;0,Tabla145[[#This Row],[Precio venta nueva]]=0),"Revisar","OK")</f>
        <v>OK</v>
      </c>
      <c r="BE156" s="20">
        <f>IFERROR(VLOOKUP(Tabla145[[#This Row],[Llave]],'[5]Consolidación planes'!$A:$M,9,FALSE),0)</f>
        <v>30000</v>
      </c>
      <c r="BF156" s="20">
        <f>IFERROR(VLOOKUP(Tabla145[[#This Row],[Llave]],'[5]Consolidación planes'!$A:$M,10,FALSE),0)</f>
        <v>5000</v>
      </c>
      <c r="BG156" s="20">
        <f>IFERROR(VLOOKUP(Tabla145[[#This Row],[Llave]],'[5]Consolidación planes'!$A:$M,11,FALSE),0)</f>
        <v>4000</v>
      </c>
      <c r="BH156" s="20">
        <f>IFERROR(VLOOKUP(Tabla145[[#This Row],[Llave]],'[5]Consolidación planes'!$A:$M,12,FALSE),0)</f>
        <v>20000</v>
      </c>
      <c r="BI156" s="20">
        <f>IFERROR(VLOOKUP(Tabla145[[#This Row],[Llave]],'[5]Consolidación planes'!$A:$M,13,FALSE),0)</f>
        <v>22000</v>
      </c>
      <c r="BJ156" s="20">
        <f>IFERROR(VLOOKUP(Tabla145[[#This Row],[Llave]],'[13]Base ultimos planes'!$A:$M,13,FALSE),0)</f>
        <v>31500</v>
      </c>
      <c r="BK156" s="80">
        <f>IFERROR(VLOOKUP(Tabla145[[#This Row],[Llave]],'[13]Base ultimos planes'!$O:$AA,8,FALSE),0)</f>
        <v>139120.984</v>
      </c>
      <c r="BL156" s="20">
        <f>IFERROR(VLOOKUP(Tabla145[[#This Row],[Llave]],'[13]Base ultimos planes'!$O:$AA,9,FALSE),0)</f>
        <v>20587</v>
      </c>
      <c r="BM156" s="20">
        <f>IFERROR(VLOOKUP(Tabla145[[#This Row],[Llave]],'[13]Base ultimos planes'!$O:$AA,10,FALSE),0)</f>
        <v>16511</v>
      </c>
      <c r="BN156" s="20">
        <f>IFERROR(VLOOKUP(Tabla145[[#This Row],[Llave]],'[13]Base ultimos planes'!$O:$AA,11,FALSE),0)</f>
        <v>79963</v>
      </c>
      <c r="BO156" s="20">
        <f>IFERROR(VLOOKUP(Tabla145[[#This Row],[Llave]],'[13]Base ultimos planes'!$O:$AA,12,FALSE),0)</f>
        <v>84292</v>
      </c>
      <c r="BP156" s="20">
        <f>IFERROR(VLOOKUP(Tabla145[[#This Row],[Llave]],'[13]Base ultimos planes'!$O:$AA,13,FALSE),0)</f>
        <v>114721</v>
      </c>
      <c r="BQ156" s="20"/>
      <c r="BR156" s="20">
        <f>Tabla145[[#This Row],[ RV Producción mes n+1]]*(1-Tabla145[[#This Row],[% Uti. producción]])</f>
        <v>0</v>
      </c>
      <c r="BS156" s="20">
        <f>+Tabla145[[#This Row],[Producción disponible mes n-1]]+Tabla145[[#This Row],[Saldo Volumen disponible]]</f>
        <v>12658.588000000003</v>
      </c>
      <c r="BT156" s="7">
        <f>IFERROR(VLOOKUP(Tabla145[[#This Row],[Llave]],'[21]RV n+2 y n+3'!$B:$F,4,FALSE),0)</f>
        <v>20000</v>
      </c>
      <c r="BU156" s="7">
        <f>+Tabla145[[#This Row],[Asignación mes n+2]]*Tabla145[[#This Row],[% Uti. producción]]</f>
        <v>17431.663807083929</v>
      </c>
      <c r="BV156" s="7">
        <f>+Tabla145[[#This Row],[Ponderación mes n+2]]+Tabla145[[#This Row],[Saldo mes n-1]]</f>
        <v>30090.251807083932</v>
      </c>
      <c r="BW156" s="7">
        <f>+Tabla145[[#This Row],[Asignación mes n+2]]-Tabla145[[#This Row],[Ponderación mes n+2]]</f>
        <v>2568.336192916071</v>
      </c>
      <c r="BX156" s="7">
        <f>IFERROR(VLOOKUP(Tabla145[[#This Row],[Llave]],'[21]RV n+2 y n+3'!$B:$F,5,FALSE),0)</f>
        <v>20000.000400000001</v>
      </c>
      <c r="BY156" s="7">
        <f>+Tabla145[[#This Row],[Asignación mes n+3]]*Tabla145[[#This Row],[% Uti. producción]]</f>
        <v>17431.664155717208</v>
      </c>
      <c r="BZ156" s="3">
        <f>+Tabla145[[#This Row],[Ponderación mes n+3]]+Tabla145[[#This Row],[Saldo mes n+2]]</f>
        <v>20000.000348633279</v>
      </c>
      <c r="CA156" s="3">
        <f>+Tabla145[[#This Row],[Asignación mes n+3]]-Tabla145[[#This Row],[Ponderación mes n+3]]</f>
        <v>2568.3362442827929</v>
      </c>
      <c r="CB156" s="3">
        <f>+Tabla145[[#This Row],[Producción disponible mes n-1]]+Tabla145[[#This Row],[Producción disponible]]</f>
        <v>0</v>
      </c>
      <c r="CC156" s="3">
        <f>+Tabla145[[#This Row],[Saldo mes n+4]]-Tabla145[[#This Row],[ RV Producción mes n+1]]</f>
        <v>0</v>
      </c>
    </row>
    <row r="157" spans="1:81" ht="16" x14ac:dyDescent="0.2">
      <c r="A157">
        <v>1</v>
      </c>
      <c r="B157" t="str">
        <f>Tabla145[[#This Row],[Oficina]]&amp;Tabla145[[#This Row],[Material]]</f>
        <v>Exportacion Directa1020664</v>
      </c>
      <c r="C157" t="s">
        <v>6</v>
      </c>
      <c r="D157" t="s">
        <v>88</v>
      </c>
      <c r="E157">
        <v>1020664</v>
      </c>
      <c r="F157" t="s">
        <v>294</v>
      </c>
      <c r="G157" t="s">
        <v>59</v>
      </c>
      <c r="H157" t="s">
        <v>65</v>
      </c>
      <c r="I157" s="7">
        <f>IFERROR(VLOOKUP(Tabla145[[#This Row],[Llave]],'[7]RV Producción'!$C:$G,5,FALSE),0)</f>
        <v>9087</v>
      </c>
      <c r="J157" s="3">
        <f>IFERROR(IF(Tabla145[[#This Row],[Oficina]]=$I$7,VLOOKUP(Tabla145[[#This Row],[Llave]],'[7]Shangai (Tomas)'!$A:$F,6,FALSE),VLOOKUP(Tabla145[[#This Row],[Llave]],'[7]RV plan de ventas'!$A:$E,5,FALSE)),0)</f>
        <v>8000</v>
      </c>
      <c r="K157" s="8">
        <f>IFERROR(VLOOKUP(Tabla145[[#This Row],[Oficina]],[15]Ponderación!$B$2:$E$9,4,FALSE),0)</f>
        <v>0.87158319035419651</v>
      </c>
      <c r="L157" s="7">
        <f>+Tabla145[[#This Row],[ RV Producción mes n+1]]*Tabla145[[#This Row],[% Uti. producción]]</f>
        <v>7920.0764507485837</v>
      </c>
      <c r="M157" s="7">
        <f>IFERROR(VLOOKUP(Tabla145[[#This Row],[Material]],[16]Stock!$G:$K,5,FALSE),0)</f>
        <v>9461</v>
      </c>
      <c r="N157" s="7">
        <f>IFERROR(VLOOKUP(Tabla145[[#This Row],[Material]],[16]Produccion!$M:$N,2,FALSE),0)</f>
        <v>0</v>
      </c>
      <c r="O157" s="7">
        <f>IFERROR(VLOOKUP(Tabla145[[#This Row],[Llave]],'[16]TD Conf-AP'!$I:$M,4,FALSE),0)</f>
        <v>0</v>
      </c>
      <c r="P157" s="14">
        <f>SUM(Tabla145[[#This Row],[Producción disponible]],Tabla145[[#This Row],[Stock al día]],(Tabla145[[#This Row],[Por producir mes N]]*0.9))-Tabla145[[#This Row],[Producción por despachar mes N]]</f>
        <v>17381.076450748584</v>
      </c>
      <c r="Q157" s="7">
        <f>IFERROR(VLOOKUP(Tabla145[[#This Row],[Llave]],[17]DELAY!$A:$D,4,FALSE),0)</f>
        <v>11000</v>
      </c>
      <c r="R157" s="9">
        <v>3000</v>
      </c>
      <c r="S157" s="5">
        <f t="shared" si="7"/>
        <v>11000</v>
      </c>
      <c r="T157" s="76">
        <v>0</v>
      </c>
      <c r="U157" s="5">
        <f>+Tabla145[[#This Row],[Atraso a facturar]]+Tabla145[[#This Row],[Ajuste atraso]]</f>
        <v>11000</v>
      </c>
      <c r="V157" s="3">
        <f>+Tabla145[[#This Row],[Total disponible]]-Tabla145[[#This Row],[Facturación atraso]]</f>
        <v>6381.0764507485837</v>
      </c>
      <c r="W157" s="6">
        <f>IFERROR(IF(AND(V157&gt;R157,J157&gt;=R157),ROUNDDOWN((Tabla145[[#This Row],[Producción para venta nueva]])/R157,0)*R157,0),0)</f>
        <v>6000</v>
      </c>
      <c r="X157" s="76">
        <v>0</v>
      </c>
      <c r="Y157" s="6">
        <f>IF(Tabla145[[#This Row],[Venta del mes]]&gt;0,Tabla145[[#This Row],[Venta del mes]]+Tabla145[[#This Row],[Ajuste venta nueva]],0)</f>
        <v>6000</v>
      </c>
      <c r="Z157" s="6">
        <f>+Tabla145[[#This Row],[Producción para venta nueva]]-Tabla145[[#This Row],[Facturación Venta nueva]]</f>
        <v>381.07645074858374</v>
      </c>
      <c r="AA157" s="6">
        <f>IF(AND(A157=1,Tabla145[[#This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7" s="6">
        <v>0</v>
      </c>
      <c r="AC157" s="6">
        <f>IF(Tabla145[[#This Row],[Disponible stock sin venta]]&gt;0,Tabla145[[#This Row],[Disponible stock sin venta]]+Tabla145[[#This Row],[Ajuste stock sin venta]],0)</f>
        <v>0</v>
      </c>
      <c r="AD157" s="3">
        <f>IFERROR(VLOOKUP(Tabla145[[#This Row],[Llave]],'[16]TD Puerto'!$A:$D,4,FALSE),0)</f>
        <v>0</v>
      </c>
      <c r="AE157" s="3">
        <v>6000</v>
      </c>
      <c r="AF157" s="3">
        <f>+Tabla145[[#This Row],[Plan Irrestricto Inicial]]</f>
        <v>6000</v>
      </c>
      <c r="AG157" s="3">
        <f>+Tabla145[[#This Row],[En puerto a facturar]]</f>
        <v>0</v>
      </c>
      <c r="AH157" s="3">
        <f>+Tabla145[[#This Row],[Facturación atraso]]</f>
        <v>11000</v>
      </c>
      <c r="AI157" s="3">
        <f>+Tabla145[[#This Row],[Plan Irrestricto]]-Tabla145[[#This Row],[Puerto ]]-Tabla145[[#This Row],[Atraso]]</f>
        <v>-5000</v>
      </c>
      <c r="AJ157" s="3">
        <f>IF(Tabla145[[#This Row],[Plan Irrestricto]]&gt;0,SUM(Tabla145[[#This Row],[Facturación atraso]],Tabla145[[#This Row],[Facturación Venta nueva]],Tabla145[[#This Row],[Facturación stock]],Tabla145[[#This Row],[En puerto a facturar]]),0)</f>
        <v>17000</v>
      </c>
      <c r="AK157" s="3">
        <f>+Tabla145[[#This Row],[Facturación atraso]]</f>
        <v>11000</v>
      </c>
      <c r="AL157" s="3">
        <f>+Tabla145[[#This Row],[Plan Ajustado]]-Tabla145[[#This Row],[ Atraso ajustado]]-Tabla145[[#This Row],[Puerto ]]</f>
        <v>6000</v>
      </c>
      <c r="AM157" s="6">
        <f>IFERROR(VLOOKUP(Tabla145[[#This Row],[Llave]],[18]!Tabla14[#All],34,FALSE),0)</f>
        <v>0</v>
      </c>
      <c r="AN157" s="6">
        <f>IFERROR(VLOOKUP(Tabla145[[#This Row],[Llave]],[18]!Tabla14[#All],35,FALSE),0)</f>
        <v>0</v>
      </c>
      <c r="AO157" s="3" t="str">
        <f>IF(Tabla145[[#This Row],[Plan Ajustado]]&gt;Tabla145[[#This Row],[En puerto a facturar]],"Si","No")</f>
        <v>Si</v>
      </c>
      <c r="AP157" s="3">
        <f>IF(AND(Tabla145[[#This Row],[Plan Ajustado]]&gt;0,Tabla145[[#This Row],[Plan Ajustado]]&gt;Tabla145[[#This Row],[En puerto a facturar]]),(Tabla145[[#This Row],[Plan Ajustado]]-Tabla145[[#This Row],[En puerto a facturar]]),0)</f>
        <v>17000</v>
      </c>
      <c r="AQ157" s="3">
        <f>IF(Tabla145[[#This Row],[Necesidad]]&gt;=Tabla145[[#This Row],[Stock al día]],Tabla145[[#This Row],[Stock al día]],Tabla145[[#This Row],[Necesidad]])</f>
        <v>9461</v>
      </c>
      <c r="AR157" s="3">
        <f>+Tabla145[[#This Row],[Necesidad]]-Tabla145[[#This Row],[Stock Plan]]</f>
        <v>7539</v>
      </c>
      <c r="AS157" s="155">
        <f>IFERROR(VLOOKUP(Tabla145[[#This Row],[Oficina]],[19]Ponderación!$B$14:$E$21,4,FALSE),"")</f>
        <v>44800</v>
      </c>
      <c r="AT15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3.492</v>
      </c>
      <c r="AU157" s="83">
        <f>IFERROR(VLOOKUP(Tabla145[[#This Row],[Llave]],[17]DELAY!$H:$W,16,FALSE),0)</f>
        <v>3.7112629636363637</v>
      </c>
      <c r="AV15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3.6338760352941177</v>
      </c>
      <c r="AW157" s="5">
        <f>Tabla145[[#This Row],[Ajuste precio IC]]*Tabla145[[#This Row],[Plan Ajustado]]</f>
        <v>61775.892599999999</v>
      </c>
      <c r="AX157" s="30">
        <f>IFERROR(VLOOKUP(Tabla145[[#This Row],[Llave]],'[13]Ultimos precios facturados'!$A:$G,7,FALSE),0)</f>
        <v>3.6628625872497613</v>
      </c>
      <c r="AY15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7.9136334670441375E-3</v>
      </c>
      <c r="AZ157" s="30">
        <f>IFERROR(VLOOKUP(Tabla145[[#This Row],[Llave]],Hoja2!B:K,10,FALSE),0)</f>
        <v>3.6338760352941177</v>
      </c>
      <c r="BA157" s="30">
        <f>IF(Tabla145[[#This Row],[Ajuste precio IC]]="",Tabla145[[#This Row],[Precio ponderado]],Tabla145[[#This Row],[Precio ponderado]])</f>
        <v>3.6338760352941177</v>
      </c>
      <c r="BB157" s="82"/>
      <c r="BC157" s="82" t="str">
        <f>IF(AND(Tabla145[[#This Row],[Atraso a facturar]]&gt;0,Tabla145[[#This Row],[Precio Atraso]]=0),"Revisar","OK")</f>
        <v>OK</v>
      </c>
      <c r="BD157" s="82" t="str">
        <f>IF(AND(Tabla145[[#This Row],[Venta del mes]]&gt;0,Tabla145[[#This Row],[Precio venta nueva]]=0),"Revisar","OK")</f>
        <v>OK</v>
      </c>
      <c r="BE157" s="20">
        <f>IFERROR(VLOOKUP(Tabla145[[#This Row],[Llave]],'[5]Consolidación planes'!$A:$M,9,FALSE),0)</f>
        <v>0</v>
      </c>
      <c r="BF157" s="20">
        <f>IFERROR(VLOOKUP(Tabla145[[#This Row],[Llave]],'[5]Consolidación planes'!$A:$M,10,FALSE),0)</f>
        <v>3000</v>
      </c>
      <c r="BG157" s="20">
        <f>IFERROR(VLOOKUP(Tabla145[[#This Row],[Llave]],'[5]Consolidación planes'!$A:$M,11,FALSE),0)</f>
        <v>3000</v>
      </c>
      <c r="BH157" s="20">
        <f>IFERROR(VLOOKUP(Tabla145[[#This Row],[Llave]],'[5]Consolidación planes'!$A:$M,12,FALSE),0)</f>
        <v>3000</v>
      </c>
      <c r="BI157" s="20">
        <f>IFERROR(VLOOKUP(Tabla145[[#This Row],[Llave]],'[5]Consolidación planes'!$A:$M,13,FALSE),0)</f>
        <v>0</v>
      </c>
      <c r="BJ157" s="20">
        <f>IFERROR(VLOOKUP(Tabla145[[#This Row],[Llave]],'[13]Base ultimos planes'!$A:$M,13,FALSE),0)</f>
        <v>3000</v>
      </c>
      <c r="BK157" s="80">
        <f>IFERROR(VLOOKUP(Tabla145[[#This Row],[Llave]],'[13]Base ultimos planes'!$O:$AA,8,FALSE),0)</f>
        <v>0</v>
      </c>
      <c r="BL157" s="20">
        <f>IFERROR(VLOOKUP(Tabla145[[#This Row],[Llave]],'[13]Base ultimos planes'!$O:$AA,9,FALSE),0)</f>
        <v>12115</v>
      </c>
      <c r="BM157" s="20">
        <f>IFERROR(VLOOKUP(Tabla145[[#This Row],[Llave]],'[13]Base ultimos planes'!$O:$AA,10,FALSE),0)</f>
        <v>12506</v>
      </c>
      <c r="BN157" s="20">
        <f>IFERROR(VLOOKUP(Tabla145[[#This Row],[Llave]],'[13]Base ultimos planes'!$O:$AA,11,FALSE),0)</f>
        <v>12074</v>
      </c>
      <c r="BO157" s="20">
        <f>IFERROR(VLOOKUP(Tabla145[[#This Row],[Llave]],'[13]Base ultimos planes'!$O:$AA,12,FALSE),0)</f>
        <v>0</v>
      </c>
      <c r="BP157" s="20">
        <f>IFERROR(VLOOKUP(Tabla145[[#This Row],[Llave]],'[13]Base ultimos planes'!$O:$AA,13,FALSE),0)</f>
        <v>10926</v>
      </c>
      <c r="BQ157" s="20"/>
      <c r="BR157" s="20">
        <f>Tabla145[[#This Row],[ RV Producción mes n+1]]*(1-Tabla145[[#This Row],[% Uti. producción]])</f>
        <v>1166.9235492514163</v>
      </c>
      <c r="BS157" s="20">
        <f>+Tabla145[[#This Row],[Producción disponible mes n-1]]+Tabla145[[#This Row],[Saldo Volumen disponible]]</f>
        <v>1548</v>
      </c>
      <c r="BT157" s="7">
        <f>IFERROR(VLOOKUP(Tabla145[[#This Row],[Llave]],'[21]RV n+2 y n+3'!$B:$F,4,FALSE),0)</f>
        <v>3000</v>
      </c>
      <c r="BU157" s="7">
        <f>+Tabla145[[#This Row],[Asignación mes n+2]]*Tabla145[[#This Row],[% Uti. producción]]</f>
        <v>2614.7495710625894</v>
      </c>
      <c r="BV157" s="7">
        <f>+Tabla145[[#This Row],[Ponderación mes n+2]]+Tabla145[[#This Row],[Saldo mes n-1]]</f>
        <v>4162.7495710625899</v>
      </c>
      <c r="BW157" s="7">
        <f>+Tabla145[[#This Row],[Asignación mes n+2]]-Tabla145[[#This Row],[Ponderación mes n+2]]</f>
        <v>385.25042893741056</v>
      </c>
      <c r="BX157" s="7">
        <f>IFERROR(VLOOKUP(Tabla145[[#This Row],[Llave]],'[21]RV n+2 y n+3'!$B:$F,5,FALSE),0)</f>
        <v>5000</v>
      </c>
      <c r="BY157" s="7">
        <f>+Tabla145[[#This Row],[Asignación mes n+3]]*Tabla145[[#This Row],[% Uti. producción]]</f>
        <v>4357.9159517709822</v>
      </c>
      <c r="BZ157" s="3">
        <f>+Tabla145[[#This Row],[Ponderación mes n+3]]+Tabla145[[#This Row],[Saldo mes n+2]]</f>
        <v>4743.1663807083933</v>
      </c>
      <c r="CA157" s="3">
        <f>+Tabla145[[#This Row],[Asignación mes n+3]]-Tabla145[[#This Row],[Ponderación mes n+3]]</f>
        <v>642.08404822901775</v>
      </c>
      <c r="CB157" s="3">
        <f>+Tabla145[[#This Row],[Producción disponible mes n-1]]+Tabla145[[#This Row],[Producción disponible]]</f>
        <v>9087</v>
      </c>
      <c r="CC157" s="3">
        <f>+Tabla145[[#This Row],[Saldo mes n+4]]-Tabla145[[#This Row],[ RV Producción mes n+1]]</f>
        <v>0</v>
      </c>
    </row>
    <row r="158" spans="1:81" ht="16" x14ac:dyDescent="0.2">
      <c r="A158">
        <v>1</v>
      </c>
      <c r="B158" t="str">
        <f>Tabla145[[#This Row],[Oficina]]&amp;Tabla145[[#This Row],[Material]]</f>
        <v>Exportacion Directa1020665</v>
      </c>
      <c r="C158" t="s">
        <v>6</v>
      </c>
      <c r="D158" t="s">
        <v>88</v>
      </c>
      <c r="E158">
        <v>1020665</v>
      </c>
      <c r="F158" t="s">
        <v>131</v>
      </c>
      <c r="G158" t="s">
        <v>59</v>
      </c>
      <c r="H158" t="s">
        <v>65</v>
      </c>
      <c r="I158" s="7">
        <f>IFERROR(VLOOKUP(Tabla145[[#This Row],[Llave]],'[7]RV Producción'!$C:$G,5,FALSE),0)</f>
        <v>0</v>
      </c>
      <c r="J158" s="3">
        <f>IFERROR(IF(Tabla145[[#This Row],[Oficina]]=$I$7,VLOOKUP(Tabla145[[#This Row],[Llave]],'[7]Shangai (Tomas)'!$A:$F,6,FALSE),VLOOKUP(Tabla145[[#This Row],[Llave]],'[7]RV plan de ventas'!$A:$E,5,FALSE)),0)</f>
        <v>11000</v>
      </c>
      <c r="K158" s="8">
        <f>IFERROR(VLOOKUP(Tabla145[[#This Row],[Oficina]],[15]Ponderación!$B$2:$E$9,4,FALSE),0)</f>
        <v>0.87158319035419651</v>
      </c>
      <c r="L158" s="7">
        <f>+Tabla145[[#This Row],[ RV Producción mes n+1]]*Tabla145[[#This Row],[% Uti. producción]]</f>
        <v>0</v>
      </c>
      <c r="M158" s="7">
        <f>IFERROR(VLOOKUP(Tabla145[[#This Row],[Material]],[16]Stock!$G:$K,5,FALSE),0)</f>
        <v>14714</v>
      </c>
      <c r="N158" s="7">
        <f>IFERROR(VLOOKUP(Tabla145[[#This Row],[Material]],[16]Produccion!$M:$N,2,FALSE),0)</f>
        <v>5477.4000000000005</v>
      </c>
      <c r="O158" s="7">
        <f>IFERROR(VLOOKUP(Tabla145[[#This Row],[Llave]],'[16]TD Conf-AP'!$I:$M,4,FALSE),0)</f>
        <v>6900</v>
      </c>
      <c r="P158" s="14">
        <f>SUM(Tabla145[[#This Row],[Producción disponible]],Tabla145[[#This Row],[Stock al día]],(Tabla145[[#This Row],[Por producir mes N]]*0.9))-Tabla145[[#This Row],[Producción por despachar mes N]]</f>
        <v>12743.66</v>
      </c>
      <c r="Q158" s="7">
        <f>IFERROR(VLOOKUP(Tabla145[[#This Row],[Llave]],[17]DELAY!$A:$D,4,FALSE),0)</f>
        <v>13500</v>
      </c>
      <c r="R158" s="9">
        <v>2333.3333333333335</v>
      </c>
      <c r="S158" s="5">
        <f t="shared" si="7"/>
        <v>11666.666666666668</v>
      </c>
      <c r="T158" s="76">
        <v>0</v>
      </c>
      <c r="U158" s="5">
        <f>+Tabla145[[#This Row],[Atraso a facturar]]+Tabla145[[#This Row],[Ajuste atraso]]</f>
        <v>11666.666666666668</v>
      </c>
      <c r="V158" s="3">
        <f>+Tabla145[[#This Row],[Total disponible]]-Tabla145[[#This Row],[Facturación atraso]]</f>
        <v>1076.993333333332</v>
      </c>
      <c r="W158" s="6">
        <f>IFERROR(IF(AND(V158&gt;R158,J158&gt;=R158),ROUNDDOWN((Tabla145[[#This Row],[Producción para venta nueva]])/R158,0)*R158,0),0)</f>
        <v>0</v>
      </c>
      <c r="X158" s="76">
        <v>0</v>
      </c>
      <c r="Y158" s="6">
        <f>IF(Tabla145[[#This Row],[Venta del mes]]&gt;0,Tabla145[[#This Row],[Venta del mes]]+Tabla145[[#This Row],[Ajuste venta nueva]],0)</f>
        <v>0</v>
      </c>
      <c r="Z158" s="6">
        <f>+Tabla145[[#This Row],[Producción para venta nueva]]-Tabla145[[#This Row],[Facturación Venta nueva]]</f>
        <v>1076.993333333332</v>
      </c>
      <c r="AA158" s="6">
        <f>IF(AND(A158=1,Tabla145[[#This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58" s="6">
        <v>0</v>
      </c>
      <c r="AC158" s="6">
        <f>IF(Tabla145[[#This Row],[Disponible stock sin venta]]&gt;0,Tabla145[[#This Row],[Disponible stock sin venta]]+Tabla145[[#This Row],[Ajuste stock sin venta]],0)</f>
        <v>0</v>
      </c>
      <c r="AD158" s="3">
        <f>IFERROR(VLOOKUP(Tabla145[[#This Row],[Llave]],'[16]TD Puerto'!$A:$D,4,FALSE),0)</f>
        <v>0</v>
      </c>
      <c r="AE158" s="3">
        <v>7000</v>
      </c>
      <c r="AF158" s="3">
        <f>+Tabla145[[#This Row],[Plan Irrestricto Inicial]]</f>
        <v>7000</v>
      </c>
      <c r="AG158" s="3">
        <f>+Tabla145[[#This Row],[En puerto a facturar]]</f>
        <v>0</v>
      </c>
      <c r="AH158" s="3">
        <f>+Tabla145[[#This Row],[Facturación atraso]]</f>
        <v>11666.666666666668</v>
      </c>
      <c r="AI158" s="3">
        <f>+Tabla145[[#This Row],[Plan Irrestricto]]-Tabla145[[#This Row],[Puerto ]]-Tabla145[[#This Row],[Atraso]]</f>
        <v>-4666.6666666666679</v>
      </c>
      <c r="AJ158" s="3">
        <f>IF(Tabla145[[#This Row],[Plan Irrestricto]]&gt;0,SUM(Tabla145[[#This Row],[Facturación atraso]],Tabla145[[#This Row],[Facturación Venta nueva]],Tabla145[[#This Row],[Facturación stock]],Tabla145[[#This Row],[En puerto a facturar]]),0)</f>
        <v>11666.666666666668</v>
      </c>
      <c r="AK158" s="3">
        <f>+Tabla145[[#This Row],[Facturación atraso]]</f>
        <v>11666.666666666668</v>
      </c>
      <c r="AL158" s="3">
        <f>+Tabla145[[#This Row],[Plan Ajustado]]-Tabla145[[#This Row],[ Atraso ajustado]]-Tabla145[[#This Row],[Puerto ]]</f>
        <v>0</v>
      </c>
      <c r="AM158" s="6">
        <f>IFERROR(VLOOKUP(Tabla145[[#This Row],[Llave]],[18]!Tabla14[#All],34,FALSE),0)</f>
        <v>0</v>
      </c>
      <c r="AN158" s="6">
        <f>IFERROR(VLOOKUP(Tabla145[[#This Row],[Llave]],[18]!Tabla14[#All],35,FALSE),0)</f>
        <v>0</v>
      </c>
      <c r="AO158" s="3" t="str">
        <f>IF(Tabla145[[#This Row],[Plan Ajustado]]&gt;Tabla145[[#This Row],[En puerto a facturar]],"Si","No")</f>
        <v>Si</v>
      </c>
      <c r="AP158" s="3">
        <f>IF(AND(Tabla145[[#This Row],[Plan Ajustado]]&gt;0,Tabla145[[#This Row],[Plan Ajustado]]&gt;Tabla145[[#This Row],[En puerto a facturar]]),(Tabla145[[#This Row],[Plan Ajustado]]-Tabla145[[#This Row],[En puerto a facturar]]),0)</f>
        <v>11666.666666666668</v>
      </c>
      <c r="AQ158" s="3">
        <f>IF(Tabla145[[#This Row],[Necesidad]]&gt;=Tabla145[[#This Row],[Stock al día]],Tabla145[[#This Row],[Stock al día]],Tabla145[[#This Row],[Necesidad]])</f>
        <v>11666.666666666668</v>
      </c>
      <c r="AR158" s="3">
        <f>+Tabla145[[#This Row],[Necesidad]]-Tabla145[[#This Row],[Stock Plan]]</f>
        <v>0</v>
      </c>
      <c r="AS158" s="155">
        <f>IFERROR(VLOOKUP(Tabla145[[#This Row],[Oficina]],[19]Ponderación!$B$14:$E$21,4,FALSE),"")</f>
        <v>44800</v>
      </c>
      <c r="AT15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3.456</v>
      </c>
      <c r="AU158" s="83">
        <f>IFERROR(VLOOKUP(Tabla145[[#This Row],[Llave]],[17]DELAY!$H:$W,16,FALSE),0)</f>
        <v>3.5993951333333323</v>
      </c>
      <c r="AV15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3.5993951333333323</v>
      </c>
      <c r="AW158" s="5">
        <f>Tabla145[[#This Row],[Ajuste precio IC]]*Tabla145[[#This Row],[Plan Ajustado]]</f>
        <v>41992.943222222217</v>
      </c>
      <c r="AX158" s="30">
        <f>IFERROR(VLOOKUP(Tabla145[[#This Row],[Llave]],'[13]Ultimos precios facturados'!$A:$G,7,FALSE),0)</f>
        <v>3.6290607430446027</v>
      </c>
      <c r="AY15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8.1744594019615199E-3</v>
      </c>
      <c r="AZ158" s="30">
        <f>IFERROR(VLOOKUP(Tabla145[[#This Row],[Llave]],Hoja2!B:K,10,FALSE),0)</f>
        <v>3.5993951333333323</v>
      </c>
      <c r="BA158" s="30">
        <f>IF(Tabla145[[#This Row],[Ajuste precio IC]]="",Tabla145[[#This Row],[Precio ponderado]],Tabla145[[#This Row],[Precio ponderado]])</f>
        <v>3.5993951333333323</v>
      </c>
      <c r="BB158" s="82" t="s">
        <v>756</v>
      </c>
      <c r="BC158" s="82" t="str">
        <f>IF(AND(Tabla145[[#This Row],[Atraso a facturar]]&gt;0,Tabla145[[#This Row],[Precio Atraso]]=0),"Revisar","OK")</f>
        <v>OK</v>
      </c>
      <c r="BD158" s="82" t="str">
        <f>IF(AND(Tabla145[[#This Row],[Venta del mes]]&gt;0,Tabla145[[#This Row],[Precio venta nueva]]=0),"Revisar","OK")</f>
        <v>OK</v>
      </c>
      <c r="BE158" s="20">
        <f>IFERROR(VLOOKUP(Tabla145[[#This Row],[Llave]],'[5]Consolidación planes'!$A:$M,9,FALSE),0)</f>
        <v>11750</v>
      </c>
      <c r="BF158" s="20">
        <f>IFERROR(VLOOKUP(Tabla145[[#This Row],[Llave]],'[5]Consolidación planes'!$A:$M,10,FALSE),0)</f>
        <v>4750</v>
      </c>
      <c r="BG158" s="20">
        <f>IFERROR(VLOOKUP(Tabla145[[#This Row],[Llave]],'[5]Consolidación planes'!$A:$M,11,FALSE),0)</f>
        <v>5000</v>
      </c>
      <c r="BH158" s="20">
        <f>IFERROR(VLOOKUP(Tabla145[[#This Row],[Llave]],'[5]Consolidación planes'!$A:$M,12,FALSE),0)</f>
        <v>15000</v>
      </c>
      <c r="BI158" s="20">
        <f>IFERROR(VLOOKUP(Tabla145[[#This Row],[Llave]],'[5]Consolidación planes'!$A:$M,13,FALSE),0)</f>
        <v>17000</v>
      </c>
      <c r="BJ158" s="20">
        <f>IFERROR(VLOOKUP(Tabla145[[#This Row],[Llave]],'[13]Base ultimos planes'!$A:$M,13,FALSE),0)</f>
        <v>9100</v>
      </c>
      <c r="BK158" s="80">
        <f>IFERROR(VLOOKUP(Tabla145[[#This Row],[Llave]],'[13]Base ultimos planes'!$O:$AA,8,FALSE),0)</f>
        <v>50760</v>
      </c>
      <c r="BL158" s="20">
        <f>IFERROR(VLOOKUP(Tabla145[[#This Row],[Llave]],'[13]Base ultimos planes'!$O:$AA,9,FALSE),0)</f>
        <v>19327</v>
      </c>
      <c r="BM158" s="20">
        <f>IFERROR(VLOOKUP(Tabla145[[#This Row],[Llave]],'[13]Base ultimos planes'!$O:$AA,10,FALSE),0)</f>
        <v>20397</v>
      </c>
      <c r="BN158" s="20">
        <f>IFERROR(VLOOKUP(Tabla145[[#This Row],[Llave]],'[13]Base ultimos planes'!$O:$AA,11,FALSE),0)</f>
        <v>59295</v>
      </c>
      <c r="BO158" s="20">
        <f>IFERROR(VLOOKUP(Tabla145[[#This Row],[Llave]],'[13]Base ultimos planes'!$O:$AA,12,FALSE),0)</f>
        <v>65444</v>
      </c>
      <c r="BP158" s="20">
        <f>IFERROR(VLOOKUP(Tabla145[[#This Row],[Llave]],'[13]Base ultimos planes'!$O:$AA,13,FALSE),0)</f>
        <v>32792</v>
      </c>
      <c r="BQ158" s="20"/>
      <c r="BR158" s="20">
        <f>Tabla145[[#This Row],[ RV Producción mes n+1]]*(1-Tabla145[[#This Row],[% Uti. producción]])</f>
        <v>0</v>
      </c>
      <c r="BS158" s="20">
        <f>+Tabla145[[#This Row],[Producción disponible mes n-1]]+Tabla145[[#This Row],[Saldo Volumen disponible]]</f>
        <v>1076.993333333332</v>
      </c>
      <c r="BT158" s="7">
        <f>IFERROR(VLOOKUP(Tabla145[[#This Row],[Llave]],'[21]RV n+2 y n+3'!$B:$F,4,FALSE),0)</f>
        <v>11000</v>
      </c>
      <c r="BU158" s="7">
        <f>+Tabla145[[#This Row],[Asignación mes n+2]]*Tabla145[[#This Row],[% Uti. producción]]</f>
        <v>9587.4150938961611</v>
      </c>
      <c r="BV158" s="7">
        <f>+Tabla145[[#This Row],[Ponderación mes n+2]]+Tabla145[[#This Row],[Saldo mes n-1]]</f>
        <v>10664.408427229493</v>
      </c>
      <c r="BW158" s="7">
        <f>+Tabla145[[#This Row],[Asignación mes n+2]]-Tabla145[[#This Row],[Ponderación mes n+2]]</f>
        <v>1412.5849061038389</v>
      </c>
      <c r="BX158" s="7">
        <f>IFERROR(VLOOKUP(Tabla145[[#This Row],[Llave]],'[21]RV n+2 y n+3'!$B:$F,5,FALSE),0)</f>
        <v>15000</v>
      </c>
      <c r="BY158" s="7">
        <f>+Tabla145[[#This Row],[Asignación mes n+3]]*Tabla145[[#This Row],[% Uti. producción]]</f>
        <v>13073.747855312948</v>
      </c>
      <c r="BZ158" s="3">
        <f>+Tabla145[[#This Row],[Ponderación mes n+3]]+Tabla145[[#This Row],[Saldo mes n+2]]</f>
        <v>14486.332761416787</v>
      </c>
      <c r="CA158" s="3">
        <f>+Tabla145[[#This Row],[Asignación mes n+3]]-Tabla145[[#This Row],[Ponderación mes n+3]]</f>
        <v>1926.2521446870524</v>
      </c>
      <c r="CB158" s="3">
        <f>+Tabla145[[#This Row],[Producción disponible mes n-1]]+Tabla145[[#This Row],[Producción disponible]]</f>
        <v>0</v>
      </c>
      <c r="CC158" s="3">
        <f>+Tabla145[[#This Row],[Saldo mes n+4]]-Tabla145[[#This Row],[ RV Producción mes n+1]]</f>
        <v>0</v>
      </c>
    </row>
    <row r="159" spans="1:81" ht="16" x14ac:dyDescent="0.2">
      <c r="A159">
        <v>1</v>
      </c>
      <c r="B159" t="str">
        <f>Tabla145[[#This Row],[Oficina]]&amp;Tabla145[[#This Row],[Material]]</f>
        <v>Exportacion Directa1020678</v>
      </c>
      <c r="C159" t="s">
        <v>6</v>
      </c>
      <c r="D159" t="s">
        <v>88</v>
      </c>
      <c r="E159">
        <v>1020678</v>
      </c>
      <c r="F159" t="s">
        <v>291</v>
      </c>
      <c r="G159" t="s">
        <v>50</v>
      </c>
      <c r="H159" t="s">
        <v>51</v>
      </c>
      <c r="I159" s="7">
        <f>IFERROR(VLOOKUP(Tabla145[[#This Row],[Llave]],'[7]RV Producción'!$C:$G,5,FALSE),0)</f>
        <v>0</v>
      </c>
      <c r="J159" s="3">
        <f>IFERROR(IF(Tabla145[[#This Row],[Oficina]]=$I$7,VLOOKUP(Tabla145[[#This Row],[Llave]],'[7]Shangai (Tomas)'!$A:$F,6,FALSE),VLOOKUP(Tabla145[[#This Row],[Llave]],'[7]RV plan de ventas'!$A:$E,5,FALSE)),0)</f>
        <v>0</v>
      </c>
      <c r="K159" s="8">
        <f>IFERROR(VLOOKUP(Tabla145[[#This Row],[Oficina]],[15]Ponderación!$B$2:$E$9,4,FALSE),0)</f>
        <v>0.87158319035419651</v>
      </c>
      <c r="L159" s="7">
        <f>+Tabla145[[#This Row],[ RV Producción mes n+1]]*Tabla145[[#This Row],[% Uti. producción]]</f>
        <v>0</v>
      </c>
      <c r="M159" s="7">
        <f>IFERROR(VLOOKUP(Tabla145[[#This Row],[Material]],[16]Stock!$G:$K,5,FALSE),0)</f>
        <v>1268</v>
      </c>
      <c r="N159" s="7">
        <f>IFERROR(VLOOKUP(Tabla145[[#This Row],[Material]],[16]Produccion!$M:$N,2,FALSE),0)</f>
        <v>0</v>
      </c>
      <c r="O159" s="7">
        <f>IFERROR(VLOOKUP(Tabla145[[#This Row],[Llave]],'[16]TD Conf-AP'!$I:$M,4,FALSE),0)</f>
        <v>0</v>
      </c>
      <c r="P159" s="14">
        <f>SUM(Tabla145[[#This Row],[Producción disponible]],Tabla145[[#This Row],[Stock al día]],(Tabla145[[#This Row],[Por producir mes N]]*0.9))-Tabla145[[#This Row],[Producción por despachar mes N]]</f>
        <v>1268</v>
      </c>
      <c r="Q159" s="7">
        <f>IFERROR(VLOOKUP(Tabla145[[#This Row],[Llave]],[17]DELAY!$A:$D,4,FALSE),0)</f>
        <v>500</v>
      </c>
      <c r="R159" s="9">
        <v>500</v>
      </c>
      <c r="S159" s="5">
        <f t="shared" si="7"/>
        <v>500</v>
      </c>
      <c r="T159" s="76">
        <v>0</v>
      </c>
      <c r="U159" s="5">
        <f>+Tabla145[[#This Row],[Atraso a facturar]]+Tabla145[[#This Row],[Ajuste atraso]]</f>
        <v>500</v>
      </c>
      <c r="V159" s="3">
        <f>+Tabla145[[#This Row],[Total disponible]]-Tabla145[[#This Row],[Facturación atraso]]</f>
        <v>768</v>
      </c>
      <c r="W159" s="6">
        <f>IFERROR(IF(AND(V159&gt;R159,J159&gt;=R159),ROUNDDOWN((Tabla145[[#This Row],[Producción para venta nueva]])/R159,0)*R159,0),0)</f>
        <v>0</v>
      </c>
      <c r="X159" s="76">
        <v>0</v>
      </c>
      <c r="Y159" s="6">
        <f>IF(Tabla145[[#This Row],[Venta del mes]]&gt;0,Tabla145[[#This Row],[Venta del mes]]+Tabla145[[#This Row],[Ajuste venta nueva]],0)</f>
        <v>0</v>
      </c>
      <c r="Z159" s="6">
        <f>+Tabla145[[#This Row],[Producción para venta nueva]]-Tabla145[[#This Row],[Facturación Venta nueva]]</f>
        <v>768</v>
      </c>
      <c r="AA159" s="6">
        <f>IF(AND(A159=1,Tabla145[[#This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500</v>
      </c>
      <c r="AB159" s="6">
        <v>0</v>
      </c>
      <c r="AC159" s="6">
        <f>IF(Tabla145[[#This Row],[Disponible stock sin venta]]&gt;0,Tabla145[[#This Row],[Disponible stock sin venta]]+Tabla145[[#This Row],[Ajuste stock sin venta]],0)</f>
        <v>500</v>
      </c>
      <c r="AD159" s="3">
        <f>IFERROR(VLOOKUP(Tabla145[[#This Row],[Llave]],'[16]TD Puerto'!$A:$D,4,FALSE),0)</f>
        <v>0</v>
      </c>
      <c r="AE159" s="3">
        <v>0</v>
      </c>
      <c r="AF159" s="3">
        <f>+Tabla145[[#This Row],[Plan Irrestricto Inicial]]</f>
        <v>0</v>
      </c>
      <c r="AG159" s="3">
        <f>+Tabla145[[#This Row],[En puerto a facturar]]</f>
        <v>0</v>
      </c>
      <c r="AH159" s="3">
        <f>+Tabla145[[#This Row],[Facturación atraso]]</f>
        <v>500</v>
      </c>
      <c r="AI159" s="3">
        <f>+Tabla145[[#This Row],[Plan Irrestricto]]-Tabla145[[#This Row],[Puerto ]]-Tabla145[[#This Row],[Atraso]]</f>
        <v>-500</v>
      </c>
      <c r="AJ15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59" s="3">
        <f>+Tabla145[[#This Row],[Facturación atraso]]</f>
        <v>500</v>
      </c>
      <c r="AL159" s="3">
        <f>+Tabla145[[#This Row],[Plan Ajustado]]-Tabla145[[#This Row],[ Atraso ajustado]]-Tabla145[[#This Row],[Puerto ]]</f>
        <v>-500</v>
      </c>
      <c r="AM159" s="6">
        <f>IFERROR(VLOOKUP(Tabla145[[#This Row],[Llave]],[18]!Tabla14[#All],34,FALSE),0)</f>
        <v>0</v>
      </c>
      <c r="AN159" s="6">
        <f>IFERROR(VLOOKUP(Tabla145[[#This Row],[Llave]],[18]!Tabla14[#All],35,FALSE),0)</f>
        <v>0</v>
      </c>
      <c r="AO159" s="3" t="str">
        <f>IF(Tabla145[[#This Row],[Plan Ajustado]]&gt;Tabla145[[#This Row],[En puerto a facturar]],"Si","No")</f>
        <v>No</v>
      </c>
      <c r="AP15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59" s="3">
        <f>IF(Tabla145[[#This Row],[Necesidad]]&gt;=Tabla145[[#This Row],[Stock al día]],Tabla145[[#This Row],[Stock al día]],Tabla145[[#This Row],[Necesidad]])</f>
        <v>0</v>
      </c>
      <c r="AR159" s="3">
        <f>+Tabla145[[#This Row],[Necesidad]]-Tabla145[[#This Row],[Stock Plan]]</f>
        <v>0</v>
      </c>
      <c r="AS159" s="155">
        <f>IFERROR(VLOOKUP(Tabla145[[#This Row],[Oficina]],[19]Ponderación!$B$14:$E$21,4,FALSE),"")</f>
        <v>44800</v>
      </c>
      <c r="AT15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4.5102402320556001</v>
      </c>
      <c r="AU159" s="83">
        <f>IFERROR(VLOOKUP(Tabla145[[#This Row],[Llave]],[17]DELAY!$H:$W,16,FALSE),0)</f>
        <v>4.7351428000000002</v>
      </c>
      <c r="AV15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59" s="5">
        <f>Tabla145[[#This Row],[Ajuste precio IC]]*Tabla145[[#This Row],[Plan Ajustado]]</f>
        <v>0</v>
      </c>
      <c r="AX159" s="30">
        <f>IFERROR(VLOOKUP(Tabla145[[#This Row],[Llave]],'[13]Ultimos precios facturados'!$A:$G,7,FALSE),0)</f>
        <v>4.5102402320556001</v>
      </c>
      <c r="AY15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59" s="30">
        <f>IFERROR(VLOOKUP(Tabla145[[#This Row],[Llave]],Hoja2!B:K,10,FALSE),0)</f>
        <v>4.7351428000000002</v>
      </c>
      <c r="BA159" s="30">
        <f>IF(Tabla145[[#This Row],[Ajuste precio IC]]="",Tabla145[[#This Row],[Precio ponderado]],Tabla145[[#This Row],[Precio ponderado]])</f>
        <v>0</v>
      </c>
      <c r="BB159" s="82"/>
      <c r="BC159" s="82" t="str">
        <f>IF(AND(Tabla145[[#This Row],[Atraso a facturar]]&gt;0,Tabla145[[#This Row],[Precio Atraso]]=0),"Revisar","OK")</f>
        <v>OK</v>
      </c>
      <c r="BD159" s="82" t="str">
        <f>IF(AND(Tabla145[[#This Row],[Venta del mes]]&gt;0,Tabla145[[#This Row],[Precio venta nueva]]=0),"Revisar","OK")</f>
        <v>OK</v>
      </c>
      <c r="BE159" s="20">
        <f>IFERROR(VLOOKUP(Tabla145[[#This Row],[Llave]],'[5]Consolidación planes'!$A:$M,9,FALSE),0)</f>
        <v>0</v>
      </c>
      <c r="BF159" s="20">
        <f>IFERROR(VLOOKUP(Tabla145[[#This Row],[Llave]],'[5]Consolidación planes'!$A:$M,10,FALSE),0)</f>
        <v>500</v>
      </c>
      <c r="BG159" s="20">
        <f>IFERROR(VLOOKUP(Tabla145[[#This Row],[Llave]],'[5]Consolidación planes'!$A:$M,11,FALSE),0)</f>
        <v>0</v>
      </c>
      <c r="BH159" s="20">
        <f>IFERROR(VLOOKUP(Tabla145[[#This Row],[Llave]],'[5]Consolidación planes'!$A:$M,12,FALSE),0)</f>
        <v>500</v>
      </c>
      <c r="BI159" s="20">
        <f>IFERROR(VLOOKUP(Tabla145[[#This Row],[Llave]],'[5]Consolidación planes'!$A:$M,13,FALSE),0)</f>
        <v>500</v>
      </c>
      <c r="BJ159" s="20">
        <f>IFERROR(VLOOKUP(Tabla145[[#This Row],[Llave]],'[13]Base ultimos planes'!$A:$M,13,FALSE),0)</f>
        <v>0</v>
      </c>
      <c r="BK159" s="80">
        <f>IFERROR(VLOOKUP(Tabla145[[#This Row],[Llave]],'[13]Base ultimos planes'!$O:$AA,8,FALSE),0)</f>
        <v>0</v>
      </c>
      <c r="BL159" s="20">
        <f>IFERROR(VLOOKUP(Tabla145[[#This Row],[Llave]],'[13]Base ultimos planes'!$O:$AA,9,FALSE),0)</f>
        <v>2794</v>
      </c>
      <c r="BM159" s="20">
        <f>IFERROR(VLOOKUP(Tabla145[[#This Row],[Llave]],'[13]Base ultimos planes'!$O:$AA,10,FALSE),0)</f>
        <v>0</v>
      </c>
      <c r="BN159" s="20">
        <f>IFERROR(VLOOKUP(Tabla145[[#This Row],[Llave]],'[13]Base ultimos planes'!$O:$AA,11,FALSE),0)</f>
        <v>1255</v>
      </c>
      <c r="BO159" s="20">
        <f>IFERROR(VLOOKUP(Tabla145[[#This Row],[Llave]],'[13]Base ultimos planes'!$O:$AA,12,FALSE),0)</f>
        <v>2382</v>
      </c>
      <c r="BP159" s="20">
        <f>IFERROR(VLOOKUP(Tabla145[[#This Row],[Llave]],'[13]Base ultimos planes'!$O:$AA,13,FALSE),0)</f>
        <v>0</v>
      </c>
      <c r="BQ159" s="20"/>
      <c r="BR159" s="20">
        <f>Tabla145[[#This Row],[ RV Producción mes n+1]]*(1-Tabla145[[#This Row],[% Uti. producción]])</f>
        <v>0</v>
      </c>
      <c r="BS159" s="20">
        <f>+Tabla145[[#This Row],[Producción disponible mes n-1]]+Tabla145[[#This Row],[Saldo Volumen disponible]]</f>
        <v>768</v>
      </c>
      <c r="BT159" s="7">
        <f>IFERROR(VLOOKUP(Tabla145[[#This Row],[Llave]],'[21]RV n+2 y n+3'!$B:$F,4,FALSE),0)</f>
        <v>0</v>
      </c>
      <c r="BU159" s="7">
        <f>+Tabla145[[#This Row],[Asignación mes n+2]]*Tabla145[[#This Row],[% Uti. producción]]</f>
        <v>0</v>
      </c>
      <c r="BV159" s="7">
        <f>+Tabla145[[#This Row],[Ponderación mes n+2]]+Tabla145[[#This Row],[Saldo mes n-1]]</f>
        <v>768</v>
      </c>
      <c r="BW159" s="7">
        <f>+Tabla145[[#This Row],[Asignación mes n+2]]-Tabla145[[#This Row],[Ponderación mes n+2]]</f>
        <v>0</v>
      </c>
      <c r="BX159" s="7">
        <f>IFERROR(VLOOKUP(Tabla145[[#This Row],[Llave]],'[21]RV n+2 y n+3'!$B:$F,5,FALSE),0)</f>
        <v>1000</v>
      </c>
      <c r="BY159" s="7">
        <f>+Tabla145[[#This Row],[Asignación mes n+3]]*Tabla145[[#This Row],[% Uti. producción]]</f>
        <v>871.58319035419652</v>
      </c>
      <c r="BZ159" s="3">
        <f>+Tabla145[[#This Row],[Ponderación mes n+3]]+Tabla145[[#This Row],[Saldo mes n+2]]</f>
        <v>871.58319035419652</v>
      </c>
      <c r="CA159" s="3">
        <f>+Tabla145[[#This Row],[Asignación mes n+3]]-Tabla145[[#This Row],[Ponderación mes n+3]]</f>
        <v>128.41680964580348</v>
      </c>
      <c r="CB159" s="3">
        <f>+Tabla145[[#This Row],[Producción disponible mes n-1]]+Tabla145[[#This Row],[Producción disponible]]</f>
        <v>0</v>
      </c>
      <c r="CC159" s="3">
        <f>+Tabla145[[#This Row],[Saldo mes n+4]]-Tabla145[[#This Row],[ RV Producción mes n+1]]</f>
        <v>0</v>
      </c>
    </row>
    <row r="160" spans="1:81" ht="16" x14ac:dyDescent="0.2">
      <c r="A160">
        <v>1</v>
      </c>
      <c r="B160" t="str">
        <f>Tabla145[[#This Row],[Oficina]]&amp;Tabla145[[#This Row],[Material]]</f>
        <v>Exportacion Directa1020681</v>
      </c>
      <c r="C160" t="s">
        <v>6</v>
      </c>
      <c r="D160" t="s">
        <v>88</v>
      </c>
      <c r="E160">
        <v>1020681</v>
      </c>
      <c r="F160" t="s">
        <v>106</v>
      </c>
      <c r="G160" t="s">
        <v>50</v>
      </c>
      <c r="H160" t="s">
        <v>103</v>
      </c>
      <c r="I160" s="7">
        <f>IFERROR(VLOOKUP(Tabla145[[#This Row],[Llave]],'[7]RV Producción'!$C:$G,5,FALSE),0)</f>
        <v>7332</v>
      </c>
      <c r="J160" s="3">
        <f>IFERROR(IF(Tabla145[[#This Row],[Oficina]]=$I$7,VLOOKUP(Tabla145[[#This Row],[Llave]],'[7]Shangai (Tomas)'!$A:$F,6,FALSE),VLOOKUP(Tabla145[[#This Row],[Llave]],'[7]RV plan de ventas'!$A:$E,5,FALSE)),0)</f>
        <v>12000</v>
      </c>
      <c r="K160" s="8">
        <f>IFERROR(VLOOKUP(Tabla145[[#This Row],[Oficina]],[15]Ponderación!$B$2:$E$9,4,FALSE),0)</f>
        <v>0.87158319035419651</v>
      </c>
      <c r="L160" s="7">
        <f>+Tabla145[[#This Row],[ RV Producción mes n+1]]*Tabla145[[#This Row],[% Uti. producción]]</f>
        <v>6390.4479516769688</v>
      </c>
      <c r="M160" s="7">
        <f>IFERROR(VLOOKUP(Tabla145[[#This Row],[Material]],[16]Stock!$G:$K,5,FALSE),0)</f>
        <v>18398</v>
      </c>
      <c r="N160" s="7">
        <f>IFERROR(VLOOKUP(Tabla145[[#This Row],[Material]],[16]Produccion!$M:$N,2,FALSE),0)</f>
        <v>2943.4221121450109</v>
      </c>
      <c r="O160" s="7">
        <f>IFERROR(VLOOKUP(Tabla145[[#This Row],[Llave]],'[16]TD Conf-AP'!$I:$M,4,FALSE),0)</f>
        <v>6000</v>
      </c>
      <c r="P160" s="14">
        <f>SUM(Tabla145[[#This Row],[Producción disponible]],Tabla145[[#This Row],[Stock al día]],(Tabla145[[#This Row],[Por producir mes N]]*0.9))-Tabla145[[#This Row],[Producción por despachar mes N]]</f>
        <v>21437.527852607476</v>
      </c>
      <c r="Q160" s="7">
        <f>IFERROR(VLOOKUP(Tabla145[[#This Row],[Llave]],[17]DELAY!$A:$D,4,FALSE),0)</f>
        <v>14000</v>
      </c>
      <c r="R160" s="9">
        <v>6666.666666666667</v>
      </c>
      <c r="S160" s="5">
        <f t="shared" si="7"/>
        <v>14000</v>
      </c>
      <c r="T160" s="76">
        <v>-6648</v>
      </c>
      <c r="U160" s="5">
        <f>+Tabla145[[#This Row],[Atraso a facturar]]+Tabla145[[#This Row],[Ajuste atraso]]</f>
        <v>7352</v>
      </c>
      <c r="V160" s="3">
        <f>+Tabla145[[#This Row],[Total disponible]]-Tabla145[[#This Row],[Facturación atraso]]</f>
        <v>14085.527852607476</v>
      </c>
      <c r="W160" s="6">
        <f>IFERROR(IF(AND(V160&gt;R160,J160&gt;=R160),ROUNDDOWN((Tabla145[[#This Row],[Producción para venta nueva]])/R160,0)*R160,0),0)</f>
        <v>13333.333333333334</v>
      </c>
      <c r="X160" s="76">
        <v>-3324</v>
      </c>
      <c r="Y160" s="6">
        <f>IF(Tabla145[[#This Row],[Venta del mes]]&gt;0,Tabla145[[#This Row],[Venta del mes]]+Tabla145[[#This Row],[Ajuste venta nueva]],0)</f>
        <v>10009.333333333334</v>
      </c>
      <c r="Z160" s="6">
        <f>+Tabla145[[#This Row],[Producción para venta nueva]]-Tabla145[[#This Row],[Facturación Venta nueva]]</f>
        <v>4076.1945192741423</v>
      </c>
      <c r="AA160" s="6">
        <f>IF(AND(A160=1,Tabla145[[#This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0" s="6">
        <v>0</v>
      </c>
      <c r="AC160" s="6">
        <f>IF(Tabla145[[#This Row],[Disponible stock sin venta]]&gt;0,Tabla145[[#This Row],[Disponible stock sin venta]]+Tabla145[[#This Row],[Ajuste stock sin venta]],0)</f>
        <v>0</v>
      </c>
      <c r="AD160" s="3">
        <f>IFERROR(VLOOKUP(Tabla145[[#This Row],[Llave]],'[16]TD Puerto'!$A:$D,4,FALSE),0)</f>
        <v>0</v>
      </c>
      <c r="AE160" s="3">
        <v>14000</v>
      </c>
      <c r="AF160" s="3">
        <f>+Tabla145[[#This Row],[Plan Irrestricto Inicial]]</f>
        <v>14000</v>
      </c>
      <c r="AG160" s="3">
        <f>+Tabla145[[#This Row],[En puerto a facturar]]</f>
        <v>0</v>
      </c>
      <c r="AH160" s="3">
        <f>+Tabla145[[#This Row],[Facturación atraso]]</f>
        <v>7352</v>
      </c>
      <c r="AI160" s="3">
        <f>+Tabla145[[#This Row],[Plan Irrestricto]]-Tabla145[[#This Row],[Puerto ]]-Tabla145[[#This Row],[Atraso]]</f>
        <v>6648</v>
      </c>
      <c r="AJ160" s="3">
        <f>IF(Tabla145[[#This Row],[Plan Irrestricto]]&gt;0,SUM(Tabla145[[#This Row],[Facturación atraso]],Tabla145[[#This Row],[Facturación Venta nueva]],Tabla145[[#This Row],[Facturación stock]],Tabla145[[#This Row],[En puerto a facturar]]),0)</f>
        <v>17361.333333333336</v>
      </c>
      <c r="AK160" s="3">
        <f>+Tabla145[[#This Row],[Facturación atraso]]</f>
        <v>7352</v>
      </c>
      <c r="AL160" s="3">
        <f>+Tabla145[[#This Row],[Plan Ajustado]]-Tabla145[[#This Row],[ Atraso ajustado]]-Tabla145[[#This Row],[Puerto ]]</f>
        <v>10009.333333333336</v>
      </c>
      <c r="AM160" s="6">
        <f>IFERROR(VLOOKUP(Tabla145[[#This Row],[Llave]],[18]!Tabla14[#All],34,FALSE),0)</f>
        <v>0</v>
      </c>
      <c r="AN160" s="6">
        <f>IFERROR(VLOOKUP(Tabla145[[#This Row],[Llave]],[18]!Tabla14[#All],35,FALSE),0)</f>
        <v>0</v>
      </c>
      <c r="AO160" s="3" t="str">
        <f>IF(Tabla145[[#This Row],[Plan Ajustado]]&gt;Tabla145[[#This Row],[En puerto a facturar]],"Si","No")</f>
        <v>Si</v>
      </c>
      <c r="AP160" s="3">
        <f>IF(AND(Tabla145[[#This Row],[Plan Ajustado]]&gt;0,Tabla145[[#This Row],[Plan Ajustado]]&gt;Tabla145[[#This Row],[En puerto a facturar]]),(Tabla145[[#This Row],[Plan Ajustado]]-Tabla145[[#This Row],[En puerto a facturar]]),0)</f>
        <v>17361.333333333336</v>
      </c>
      <c r="AQ160" s="3">
        <f>IF(Tabla145[[#This Row],[Necesidad]]&gt;=Tabla145[[#This Row],[Stock al día]],Tabla145[[#This Row],[Stock al día]],Tabla145[[#This Row],[Necesidad]])</f>
        <v>17361.333333333336</v>
      </c>
      <c r="AR160" s="3">
        <f>+Tabla145[[#This Row],[Necesidad]]-Tabla145[[#This Row],[Stock Plan]]</f>
        <v>0</v>
      </c>
      <c r="AS160" s="155">
        <f>IFERROR(VLOOKUP(Tabla145[[#This Row],[Oficina]],[19]Ponderación!$B$14:$E$21,4,FALSE),"")</f>
        <v>44800</v>
      </c>
      <c r="AT16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3.78</v>
      </c>
      <c r="AU160" s="83">
        <f>IFERROR(VLOOKUP(Tabla145[[#This Row],[Llave]],[17]DELAY!$H:$W,16,FALSE),0)</f>
        <v>3.9155074657142852</v>
      </c>
      <c r="AV16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3.8373833166383964</v>
      </c>
      <c r="AW160" s="5">
        <f>Tabla145[[#This Row],[Ajuste precio IC]]*Tabla145[[#This Row],[Plan Ajustado]]</f>
        <v>66622.090887931423</v>
      </c>
      <c r="AX160" s="30">
        <f>IFERROR(VLOOKUP(Tabla145[[#This Row],[Llave]],'[13]Ultimos precios facturados'!$A:$G,7,FALSE),0)</f>
        <v>3.8465315744997439</v>
      </c>
      <c r="AY16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2.3783134712828421E-3</v>
      </c>
      <c r="AZ160" s="30">
        <f>IFERROR(VLOOKUP(Tabla145[[#This Row],[Llave]],Hoja2!B:K,10,FALSE),0)</f>
        <v>3.8373833166383964</v>
      </c>
      <c r="BA160" s="30">
        <f>IF(Tabla145[[#This Row],[Ajuste precio IC]]="",Tabla145[[#This Row],[Precio ponderado]],Tabla145[[#This Row],[Precio ponderado]])</f>
        <v>3.8373833166383964</v>
      </c>
      <c r="BB160" s="82"/>
      <c r="BC160" s="82" t="str">
        <f>IF(AND(Tabla145[[#This Row],[Atraso a facturar]]&gt;0,Tabla145[[#This Row],[Precio Atraso]]=0),"Revisar","OK")</f>
        <v>OK</v>
      </c>
      <c r="BD160" s="82" t="str">
        <f>IF(AND(Tabla145[[#This Row],[Venta del mes]]&gt;0,Tabla145[[#This Row],[Precio venta nueva]]=0),"Revisar","OK")</f>
        <v>OK</v>
      </c>
      <c r="BE160" s="20">
        <f>IFERROR(VLOOKUP(Tabla145[[#This Row],[Llave]],'[5]Consolidación planes'!$A:$M,9,FALSE),0)</f>
        <v>14250</v>
      </c>
      <c r="BF160" s="20">
        <f>IFERROR(VLOOKUP(Tabla145[[#This Row],[Llave]],'[5]Consolidación planes'!$A:$M,10,FALSE),0)</f>
        <v>11250</v>
      </c>
      <c r="BG160" s="20">
        <f>IFERROR(VLOOKUP(Tabla145[[#This Row],[Llave]],'[5]Consolidación planes'!$A:$M,11,FALSE),0)</f>
        <v>15000</v>
      </c>
      <c r="BH160" s="20">
        <f>IFERROR(VLOOKUP(Tabla145[[#This Row],[Llave]],'[5]Consolidación planes'!$A:$M,12,FALSE),0)</f>
        <v>22000</v>
      </c>
      <c r="BI160" s="20">
        <f>IFERROR(VLOOKUP(Tabla145[[#This Row],[Llave]],'[5]Consolidación planes'!$A:$M,13,FALSE),0)</f>
        <v>20545</v>
      </c>
      <c r="BJ160" s="20">
        <f>IFERROR(VLOOKUP(Tabla145[[#This Row],[Llave]],'[13]Base ultimos planes'!$A:$M,13,FALSE),0)</f>
        <v>15000</v>
      </c>
      <c r="BK160" s="80">
        <f>IFERROR(VLOOKUP(Tabla145[[#This Row],[Llave]],'[13]Base ultimos planes'!$O:$AA,8,FALSE),0)</f>
        <v>62607.7163</v>
      </c>
      <c r="BL160" s="20">
        <f>IFERROR(VLOOKUP(Tabla145[[#This Row],[Llave]],'[13]Base ultimos planes'!$O:$AA,9,FALSE),0)</f>
        <v>48073</v>
      </c>
      <c r="BM160" s="20">
        <f>IFERROR(VLOOKUP(Tabla145[[#This Row],[Llave]],'[13]Base ultimos planes'!$O:$AA,10,FALSE),0)</f>
        <v>63995</v>
      </c>
      <c r="BN160" s="20">
        <f>IFERROR(VLOOKUP(Tabla145[[#This Row],[Llave]],'[13]Base ultimos planes'!$O:$AA,11,FALSE),0)</f>
        <v>91022</v>
      </c>
      <c r="BO160" s="20">
        <f>IFERROR(VLOOKUP(Tabla145[[#This Row],[Llave]],'[13]Base ultimos planes'!$O:$AA,12,FALSE),0)</f>
        <v>82702</v>
      </c>
      <c r="BP160" s="20">
        <f>IFERROR(VLOOKUP(Tabla145[[#This Row],[Llave]],'[13]Base ultimos planes'!$O:$AA,13,FALSE),0)</f>
        <v>56473</v>
      </c>
      <c r="BQ160" s="20"/>
      <c r="BR160" s="20">
        <f>Tabla145[[#This Row],[ RV Producción mes n+1]]*(1-Tabla145[[#This Row],[% Uti. producción]])</f>
        <v>941.55204832303116</v>
      </c>
      <c r="BS160" s="20">
        <f>+Tabla145[[#This Row],[Producción disponible mes n-1]]+Tabla145[[#This Row],[Saldo Volumen disponible]]</f>
        <v>5017.7465675971735</v>
      </c>
      <c r="BT160" s="7">
        <f>IFERROR(VLOOKUP(Tabla145[[#This Row],[Llave]],'[21]RV n+2 y n+3'!$B:$F,4,FALSE),0)</f>
        <v>15000.0005</v>
      </c>
      <c r="BU160" s="7">
        <f>+Tabla145[[#This Row],[Asignación mes n+2]]*Tabla145[[#This Row],[% Uti. producción]]</f>
        <v>13073.748291104543</v>
      </c>
      <c r="BV160" s="7">
        <f>+Tabla145[[#This Row],[Ponderación mes n+2]]+Tabla145[[#This Row],[Saldo mes n-1]]</f>
        <v>18091.494858701717</v>
      </c>
      <c r="BW160" s="7">
        <f>+Tabla145[[#This Row],[Asignación mes n+2]]-Tabla145[[#This Row],[Ponderación mes n+2]]</f>
        <v>1926.2522088954574</v>
      </c>
      <c r="BX160" s="7">
        <f>IFERROR(VLOOKUP(Tabla145[[#This Row],[Llave]],'[21]RV n+2 y n+3'!$B:$F,5,FALSE),0)</f>
        <v>19999.9997</v>
      </c>
      <c r="BY160" s="7">
        <f>+Tabla145[[#This Row],[Asignación mes n+3]]*Tabla145[[#This Row],[% Uti. producción]]</f>
        <v>17431.663545608972</v>
      </c>
      <c r="BZ160" s="3">
        <f>+Tabla145[[#This Row],[Ponderación mes n+3]]+Tabla145[[#This Row],[Saldo mes n+2]]</f>
        <v>19357.915754504429</v>
      </c>
      <c r="CA160" s="3">
        <f>+Tabla145[[#This Row],[Asignación mes n+3]]-Tabla145[[#This Row],[Ponderación mes n+3]]</f>
        <v>2568.3361543910287</v>
      </c>
      <c r="CB160" s="3">
        <f>+Tabla145[[#This Row],[Producción disponible mes n-1]]+Tabla145[[#This Row],[Producción disponible]]</f>
        <v>7332</v>
      </c>
      <c r="CC160" s="3">
        <f>+Tabla145[[#This Row],[Saldo mes n+4]]-Tabla145[[#This Row],[ RV Producción mes n+1]]</f>
        <v>0</v>
      </c>
    </row>
    <row r="161" spans="1:81" ht="16" x14ac:dyDescent="0.2">
      <c r="A161">
        <v>1</v>
      </c>
      <c r="B161" t="str">
        <f>Tabla145[[#This Row],[Oficina]]&amp;Tabla145[[#This Row],[Material]]</f>
        <v>Exportacion Directa1020704</v>
      </c>
      <c r="C161" t="s">
        <v>6</v>
      </c>
      <c r="D161" t="s">
        <v>88</v>
      </c>
      <c r="E161">
        <v>1020704</v>
      </c>
      <c r="F161" t="s">
        <v>290</v>
      </c>
      <c r="G161" t="s">
        <v>37</v>
      </c>
      <c r="H161" t="s">
        <v>38</v>
      </c>
      <c r="I161" s="7">
        <f>IFERROR(VLOOKUP(Tabla145[[#This Row],[Llave]],'[7]RV Producción'!$C:$G,5,FALSE),0)</f>
        <v>440</v>
      </c>
      <c r="J161" s="3">
        <f>IFERROR(IF(Tabla145[[#This Row],[Oficina]]=$I$7,VLOOKUP(Tabla145[[#This Row],[Llave]],'[7]Shangai (Tomas)'!$A:$F,6,FALSE),VLOOKUP(Tabla145[[#This Row],[Llave]],'[7]RV plan de ventas'!$A:$E,5,FALSE)),0)</f>
        <v>1000</v>
      </c>
      <c r="K161" s="8">
        <f>IFERROR(VLOOKUP(Tabla145[[#This Row],[Oficina]],[15]Ponderación!$B$2:$E$9,4,FALSE),0)</f>
        <v>0.87158319035419651</v>
      </c>
      <c r="L161" s="7">
        <f>+Tabla145[[#This Row],[ RV Producción mes n+1]]*Tabla145[[#This Row],[% Uti. producción]]</f>
        <v>383.49660375584648</v>
      </c>
      <c r="M161" s="7">
        <f>IFERROR(VLOOKUP(Tabla145[[#This Row],[Material]],[16]Stock!$G:$K,5,FALSE),0)</f>
        <v>1280</v>
      </c>
      <c r="N161" s="7">
        <f>IFERROR(VLOOKUP(Tabla145[[#This Row],[Material]],[16]Produccion!$M:$N,2,FALSE),0)</f>
        <v>0</v>
      </c>
      <c r="O161" s="7">
        <f>IFERROR(VLOOKUP(Tabla145[[#This Row],[Llave]],'[16]TD Conf-AP'!$I:$M,4,FALSE),0)</f>
        <v>0</v>
      </c>
      <c r="P161" s="14">
        <f>SUM(Tabla145[[#This Row],[Producción disponible]],Tabla145[[#This Row],[Stock al día]],(Tabla145[[#This Row],[Por producir mes N]]*0.9))-Tabla145[[#This Row],[Producción por despachar mes N]]</f>
        <v>1663.4966037558465</v>
      </c>
      <c r="Q161" s="7">
        <f>IFERROR(VLOOKUP(Tabla145[[#This Row],[Llave]],[17]DELAY!$A:$D,4,FALSE),0)</f>
        <v>1000</v>
      </c>
      <c r="R161" s="9">
        <v>500</v>
      </c>
      <c r="S161" s="5">
        <f t="shared" si="7"/>
        <v>1000</v>
      </c>
      <c r="T161" s="76">
        <v>0</v>
      </c>
      <c r="U161" s="5">
        <f>+Tabla145[[#This Row],[Atraso a facturar]]+Tabla145[[#This Row],[Ajuste atraso]]</f>
        <v>1000</v>
      </c>
      <c r="V161" s="3">
        <f>+Tabla145[[#This Row],[Total disponible]]-Tabla145[[#This Row],[Facturación atraso]]</f>
        <v>663.49660375584654</v>
      </c>
      <c r="W161" s="6">
        <f>IFERROR(IF(AND(V161&gt;R161,J161&gt;=R161),ROUNDDOWN((Tabla145[[#This Row],[Producción para venta nueva]])/R161,0)*R161,0),0)</f>
        <v>500</v>
      </c>
      <c r="X161" s="76">
        <v>0</v>
      </c>
      <c r="Y161" s="6">
        <f>IF(Tabla145[[#This Row],[Venta del mes]]&gt;0,Tabla145[[#This Row],[Venta del mes]]+Tabla145[[#This Row],[Ajuste venta nueva]],0)</f>
        <v>500</v>
      </c>
      <c r="Z161" s="6">
        <f>+Tabla145[[#This Row],[Producción para venta nueva]]-Tabla145[[#This Row],[Facturación Venta nueva]]</f>
        <v>163.49660375584654</v>
      </c>
      <c r="AA161" s="6">
        <f>IF(AND(A161=1,Tabla145[[#This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1" s="6">
        <v>0</v>
      </c>
      <c r="AC161" s="6">
        <f>IF(Tabla145[[#This Row],[Disponible stock sin venta]]&gt;0,Tabla145[[#This Row],[Disponible stock sin venta]]+Tabla145[[#This Row],[Ajuste stock sin venta]],0)</f>
        <v>0</v>
      </c>
      <c r="AD161" s="3">
        <f>IFERROR(VLOOKUP(Tabla145[[#This Row],[Llave]],'[16]TD Puerto'!$A:$D,4,FALSE),0)</f>
        <v>0</v>
      </c>
      <c r="AE161" s="3">
        <v>1500</v>
      </c>
      <c r="AF161" s="3">
        <f>+Tabla145[[#This Row],[Plan Irrestricto Inicial]]</f>
        <v>1500</v>
      </c>
      <c r="AG161" s="3">
        <f>+Tabla145[[#This Row],[En puerto a facturar]]</f>
        <v>0</v>
      </c>
      <c r="AH161" s="3">
        <f>+Tabla145[[#This Row],[Facturación atraso]]</f>
        <v>1000</v>
      </c>
      <c r="AI161" s="3">
        <f>+Tabla145[[#This Row],[Plan Irrestricto]]-Tabla145[[#This Row],[Puerto ]]-Tabla145[[#This Row],[Atraso]]</f>
        <v>500</v>
      </c>
      <c r="AJ161" s="3">
        <f>IF(Tabla145[[#This Row],[Plan Irrestricto]]&gt;0,SUM(Tabla145[[#This Row],[Facturación atraso]],Tabla145[[#This Row],[Facturación Venta nueva]],Tabla145[[#This Row],[Facturación stock]],Tabla145[[#This Row],[En puerto a facturar]]),0)</f>
        <v>1500</v>
      </c>
      <c r="AK161" s="3">
        <f>+Tabla145[[#This Row],[Facturación atraso]]</f>
        <v>1000</v>
      </c>
      <c r="AL161" s="3">
        <f>+Tabla145[[#This Row],[Plan Ajustado]]-Tabla145[[#This Row],[ Atraso ajustado]]-Tabla145[[#This Row],[Puerto ]]</f>
        <v>500</v>
      </c>
      <c r="AM161" s="6">
        <f>IFERROR(VLOOKUP(Tabla145[[#This Row],[Llave]],[18]!Tabla14[#All],34,FALSE),0)</f>
        <v>0</v>
      </c>
      <c r="AN161" s="6">
        <f>IFERROR(VLOOKUP(Tabla145[[#This Row],[Llave]],[18]!Tabla14[#All],35,FALSE),0)</f>
        <v>0</v>
      </c>
      <c r="AO161" s="3" t="str">
        <f>IF(Tabla145[[#This Row],[Plan Ajustado]]&gt;Tabla145[[#This Row],[En puerto a facturar]],"Si","No")</f>
        <v>Si</v>
      </c>
      <c r="AP161" s="3">
        <f>IF(AND(Tabla145[[#This Row],[Plan Ajustado]]&gt;0,Tabla145[[#This Row],[Plan Ajustado]]&gt;Tabla145[[#This Row],[En puerto a facturar]]),(Tabla145[[#This Row],[Plan Ajustado]]-Tabla145[[#This Row],[En puerto a facturar]]),0)</f>
        <v>1500</v>
      </c>
      <c r="AQ161" s="3">
        <f>IF(Tabla145[[#This Row],[Necesidad]]&gt;=Tabla145[[#This Row],[Stock al día]],Tabla145[[#This Row],[Stock al día]],Tabla145[[#This Row],[Necesidad]])</f>
        <v>1280</v>
      </c>
      <c r="AR161" s="3">
        <f>+Tabla145[[#This Row],[Necesidad]]-Tabla145[[#This Row],[Stock Plan]]</f>
        <v>220</v>
      </c>
      <c r="AS161" s="155">
        <f>IFERROR(VLOOKUP(Tabla145[[#This Row],[Oficina]],[19]Ponderación!$B$14:$E$21,4,FALSE),"")</f>
        <v>44800</v>
      </c>
      <c r="AT16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4.2480000000000002</v>
      </c>
      <c r="AU161" s="83">
        <f>IFERROR(VLOOKUP(Tabla145[[#This Row],[Llave]],[17]DELAY!$H:$W,16,FALSE),0)</f>
        <v>4.5916537000000002</v>
      </c>
      <c r="AV16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4.4771024666666666</v>
      </c>
      <c r="AW161" s="5">
        <f>Tabla145[[#This Row],[Ajuste precio IC]]*Tabla145[[#This Row],[Plan Ajustado]]</f>
        <v>6715.6536999999998</v>
      </c>
      <c r="AX161" s="30">
        <f>IFERROR(VLOOKUP(Tabla145[[#This Row],[Llave]],'[13]Ultimos precios facturados'!$A:$G,7,FALSE),0)</f>
        <v>4.3982075249500996</v>
      </c>
      <c r="AY16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1.7937976157107793E-2</v>
      </c>
      <c r="AZ161" s="30">
        <f>IFERROR(VLOOKUP(Tabla145[[#This Row],[Llave]],Hoja2!B:K,10,FALSE),0)</f>
        <v>4.4771024666666666</v>
      </c>
      <c r="BA161" s="30">
        <f>IF(Tabla145[[#This Row],[Ajuste precio IC]]="",Tabla145[[#This Row],[Precio ponderado]],Tabla145[[#This Row],[Precio ponderado]])</f>
        <v>4.4771024666666666</v>
      </c>
      <c r="BB161" s="82"/>
      <c r="BC161" s="82" t="str">
        <f>IF(AND(Tabla145[[#This Row],[Atraso a facturar]]&gt;0,Tabla145[[#This Row],[Precio Atraso]]=0),"Revisar","OK")</f>
        <v>OK</v>
      </c>
      <c r="BD161" s="82" t="str">
        <f>IF(AND(Tabla145[[#This Row],[Venta del mes]]&gt;0,Tabla145[[#This Row],[Precio venta nueva]]=0),"Revisar","OK")</f>
        <v>OK</v>
      </c>
      <c r="BE161" s="20">
        <f>IFERROR(VLOOKUP(Tabla145[[#This Row],[Llave]],'[5]Consolidación planes'!$A:$M,9,FALSE),0)</f>
        <v>0</v>
      </c>
      <c r="BF161" s="20">
        <f>IFERROR(VLOOKUP(Tabla145[[#This Row],[Llave]],'[5]Consolidación planes'!$A:$M,10,FALSE),0)</f>
        <v>500</v>
      </c>
      <c r="BG161" s="20">
        <f>IFERROR(VLOOKUP(Tabla145[[#This Row],[Llave]],'[5]Consolidación planes'!$A:$M,11,FALSE),0)</f>
        <v>500</v>
      </c>
      <c r="BH161" s="20">
        <f>IFERROR(VLOOKUP(Tabla145[[#This Row],[Llave]],'[5]Consolidación planes'!$A:$M,12,FALSE),0)</f>
        <v>1500</v>
      </c>
      <c r="BI161" s="20">
        <f>IFERROR(VLOOKUP(Tabla145[[#This Row],[Llave]],'[5]Consolidación planes'!$A:$M,13,FALSE),0)</f>
        <v>1500</v>
      </c>
      <c r="BJ161" s="20">
        <f>IFERROR(VLOOKUP(Tabla145[[#This Row],[Llave]],'[13]Base ultimos planes'!$A:$M,13,FALSE),0)</f>
        <v>2000</v>
      </c>
      <c r="BK161" s="80">
        <f>IFERROR(VLOOKUP(Tabla145[[#This Row],[Llave]],'[13]Base ultimos planes'!$O:$AA,8,FALSE),0)</f>
        <v>0</v>
      </c>
      <c r="BL161" s="20">
        <f>IFERROR(VLOOKUP(Tabla145[[#This Row],[Llave]],'[13]Base ultimos planes'!$O:$AA,9,FALSE),0)</f>
        <v>2544</v>
      </c>
      <c r="BM161" s="20">
        <f>IFERROR(VLOOKUP(Tabla145[[#This Row],[Llave]],'[13]Base ultimos planes'!$O:$AA,10,FALSE),0)</f>
        <v>2594</v>
      </c>
      <c r="BN161" s="20">
        <f>IFERROR(VLOOKUP(Tabla145[[#This Row],[Llave]],'[13]Base ultimos planes'!$O:$AA,11,FALSE),0)</f>
        <v>7446</v>
      </c>
      <c r="BO161" s="20">
        <f>IFERROR(VLOOKUP(Tabla145[[#This Row],[Llave]],'[13]Base ultimos planes'!$O:$AA,12,FALSE),0)</f>
        <v>7399</v>
      </c>
      <c r="BP161" s="20">
        <f>IFERROR(VLOOKUP(Tabla145[[#This Row],[Llave]],'[13]Base ultimos planes'!$O:$AA,13,FALSE),0)</f>
        <v>8913</v>
      </c>
      <c r="BQ161" s="20"/>
      <c r="BR161" s="20">
        <f>Tabla145[[#This Row],[ RV Producción mes n+1]]*(1-Tabla145[[#This Row],[% Uti. producción]])</f>
        <v>56.503396244153535</v>
      </c>
      <c r="BS161" s="20">
        <f>+Tabla145[[#This Row],[Producción disponible mes n-1]]+Tabla145[[#This Row],[Saldo Volumen disponible]]</f>
        <v>220.00000000000006</v>
      </c>
      <c r="BT161" s="7">
        <f>IFERROR(VLOOKUP(Tabla145[[#This Row],[Llave]],'[21]RV n+2 y n+3'!$B:$F,4,FALSE),0)</f>
        <v>1000</v>
      </c>
      <c r="BU161" s="7">
        <f>+Tabla145[[#This Row],[Asignación mes n+2]]*Tabla145[[#This Row],[% Uti. producción]]</f>
        <v>871.58319035419652</v>
      </c>
      <c r="BV161" s="7">
        <f>+Tabla145[[#This Row],[Ponderación mes n+2]]+Tabla145[[#This Row],[Saldo mes n-1]]</f>
        <v>1091.5831903541966</v>
      </c>
      <c r="BW161" s="7">
        <f>+Tabla145[[#This Row],[Asignación mes n+2]]-Tabla145[[#This Row],[Ponderación mes n+2]]</f>
        <v>128.41680964580348</v>
      </c>
      <c r="BX161" s="7">
        <f>IFERROR(VLOOKUP(Tabla145[[#This Row],[Llave]],'[21]RV n+2 y n+3'!$B:$F,5,FALSE),0)</f>
        <v>1000</v>
      </c>
      <c r="BY161" s="7">
        <f>+Tabla145[[#This Row],[Asignación mes n+3]]*Tabla145[[#This Row],[% Uti. producción]]</f>
        <v>871.58319035419652</v>
      </c>
      <c r="BZ161" s="3">
        <f>+Tabla145[[#This Row],[Ponderación mes n+3]]+Tabla145[[#This Row],[Saldo mes n+2]]</f>
        <v>1000</v>
      </c>
      <c r="CA161" s="3">
        <f>+Tabla145[[#This Row],[Asignación mes n+3]]-Tabla145[[#This Row],[Ponderación mes n+3]]</f>
        <v>128.41680964580348</v>
      </c>
      <c r="CB161" s="3">
        <f>+Tabla145[[#This Row],[Producción disponible mes n-1]]+Tabla145[[#This Row],[Producción disponible]]</f>
        <v>440</v>
      </c>
      <c r="CC161" s="3">
        <f>+Tabla145[[#This Row],[Saldo mes n+4]]-Tabla145[[#This Row],[ RV Producción mes n+1]]</f>
        <v>0</v>
      </c>
    </row>
    <row r="162" spans="1:81" ht="16" x14ac:dyDescent="0.2">
      <c r="A162">
        <v>1</v>
      </c>
      <c r="B162" t="str">
        <f>Tabla145[[#This Row],[Oficina]]&amp;Tabla145[[#This Row],[Material]]</f>
        <v>Exportacion Directa1020715</v>
      </c>
      <c r="C162" t="s">
        <v>6</v>
      </c>
      <c r="D162" t="s">
        <v>88</v>
      </c>
      <c r="E162">
        <v>1020715</v>
      </c>
      <c r="F162" t="s">
        <v>119</v>
      </c>
      <c r="G162" t="s">
        <v>56</v>
      </c>
      <c r="H162" t="s">
        <v>118</v>
      </c>
      <c r="I162" s="7">
        <f>IFERROR(VLOOKUP(Tabla145[[#This Row],[Llave]],'[7]RV Producción'!$C:$G,5,FALSE),0)</f>
        <v>4157</v>
      </c>
      <c r="J162" s="3">
        <f>IFERROR(IF(Tabla145[[#This Row],[Oficina]]=$I$7,VLOOKUP(Tabla145[[#This Row],[Llave]],'[7]Shangai (Tomas)'!$A:$F,6,FALSE),VLOOKUP(Tabla145[[#This Row],[Llave]],'[7]RV plan de ventas'!$A:$E,5,FALSE)),0)</f>
        <v>2000</v>
      </c>
      <c r="K162" s="8">
        <f>IFERROR(VLOOKUP(Tabla145[[#This Row],[Oficina]],[15]Ponderación!$B$2:$E$9,4,FALSE),0)</f>
        <v>0.87158319035419651</v>
      </c>
      <c r="L162" s="7">
        <f>+Tabla145[[#This Row],[ RV Producción mes n+1]]*Tabla145[[#This Row],[% Uti. producción]]</f>
        <v>3623.1713223023949</v>
      </c>
      <c r="M162" s="7">
        <f>IFERROR(VLOOKUP(Tabla145[[#This Row],[Material]],[16]Stock!$G:$K,5,FALSE),0)</f>
        <v>1402</v>
      </c>
      <c r="N162" s="7">
        <f>IFERROR(VLOOKUP(Tabla145[[#This Row],[Material]],[16]Produccion!$M:$N,2,FALSE),0)</f>
        <v>266.05994556795434</v>
      </c>
      <c r="O162" s="7">
        <f>IFERROR(VLOOKUP(Tabla145[[#This Row],[Llave]],'[16]TD Conf-AP'!$I:$M,4,FALSE),0)</f>
        <v>0</v>
      </c>
      <c r="P162" s="14">
        <f>SUM(Tabla145[[#This Row],[Producción disponible]],Tabla145[[#This Row],[Stock al día]],(Tabla145[[#This Row],[Por producir mes N]]*0.9))-Tabla145[[#This Row],[Producción por despachar mes N]]</f>
        <v>5264.6252733135534</v>
      </c>
      <c r="Q162" s="7">
        <f>IFERROR(VLOOKUP(Tabla145[[#This Row],[Llave]],[17]DELAY!$A:$D,4,FALSE),0)</f>
        <v>4000</v>
      </c>
      <c r="R162" s="9">
        <v>2000</v>
      </c>
      <c r="S162" s="5">
        <f t="shared" si="7"/>
        <v>4000</v>
      </c>
      <c r="T162" s="76">
        <v>-2216</v>
      </c>
      <c r="U162" s="5">
        <f>+Tabla145[[#This Row],[Atraso a facturar]]+Tabla145[[#This Row],[Ajuste atraso]]</f>
        <v>1784</v>
      </c>
      <c r="V162" s="3">
        <f>+Tabla145[[#This Row],[Total disponible]]-Tabla145[[#This Row],[Facturación atraso]]</f>
        <v>3480.6252733135534</v>
      </c>
      <c r="W162" s="6">
        <f>IFERROR(IF(AND(V162&gt;R162,J162&gt;=R162),ROUNDDOWN((Tabla145[[#This Row],[Producción para venta nueva]])/R162,0)*R162,0),0)</f>
        <v>2000</v>
      </c>
      <c r="X162" s="76">
        <v>-2216</v>
      </c>
      <c r="Y162" s="6">
        <f>IF(Tabla145[[#This Row],[Venta del mes]]&gt;0,Tabla145[[#This Row],[Venta del mes]]+Tabla145[[#This Row],[Ajuste venta nueva]],0)</f>
        <v>-216</v>
      </c>
      <c r="Z162" s="6">
        <f>+Tabla145[[#This Row],[Producción para venta nueva]]-Tabla145[[#This Row],[Facturación Venta nueva]]</f>
        <v>3696.6252733135534</v>
      </c>
      <c r="AA162" s="6">
        <f>IF(AND(A162=1,Tabla145[[#This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2" s="6">
        <v>0</v>
      </c>
      <c r="AC162" s="6">
        <f>IF(Tabla145[[#This Row],[Disponible stock sin venta]]&gt;0,Tabla145[[#This Row],[Disponible stock sin venta]]+Tabla145[[#This Row],[Ajuste stock sin venta]],0)</f>
        <v>0</v>
      </c>
      <c r="AD162" s="3">
        <f>IFERROR(VLOOKUP(Tabla145[[#This Row],[Llave]],'[16]TD Puerto'!$A:$D,4,FALSE),0)</f>
        <v>0</v>
      </c>
      <c r="AE162" s="3">
        <v>6000</v>
      </c>
      <c r="AF162" s="3">
        <f>+Tabla145[[#This Row],[Plan Irrestricto Inicial]]</f>
        <v>6000</v>
      </c>
      <c r="AG162" s="3">
        <f>+Tabla145[[#This Row],[En puerto a facturar]]</f>
        <v>0</v>
      </c>
      <c r="AH162" s="3">
        <f>+Tabla145[[#This Row],[Facturación atraso]]</f>
        <v>1784</v>
      </c>
      <c r="AI162" s="3">
        <f>+Tabla145[[#This Row],[Plan Irrestricto]]-Tabla145[[#This Row],[Puerto ]]-Tabla145[[#This Row],[Atraso]]</f>
        <v>4216</v>
      </c>
      <c r="AJ162" s="3">
        <f>IF(Tabla145[[#This Row],[Plan Irrestricto]]&gt;0,SUM(Tabla145[[#This Row],[Facturación atraso]],Tabla145[[#This Row],[Facturación Venta nueva]],Tabla145[[#This Row],[Facturación stock]],Tabla145[[#This Row],[En puerto a facturar]]),0)</f>
        <v>1568</v>
      </c>
      <c r="AK162" s="3">
        <f>+Tabla145[[#This Row],[Facturación atraso]]</f>
        <v>1784</v>
      </c>
      <c r="AL162" s="3">
        <f>+Tabla145[[#This Row],[Plan Ajustado]]-Tabla145[[#This Row],[ Atraso ajustado]]-Tabla145[[#This Row],[Puerto ]]</f>
        <v>-216</v>
      </c>
      <c r="AM162" s="6">
        <f>IFERROR(VLOOKUP(Tabla145[[#This Row],[Llave]],[18]!Tabla14[#All],34,FALSE),0)</f>
        <v>0</v>
      </c>
      <c r="AN162" s="6">
        <f>IFERROR(VLOOKUP(Tabla145[[#This Row],[Llave]],[18]!Tabla14[#All],35,FALSE),0)</f>
        <v>0</v>
      </c>
      <c r="AO162" s="3" t="str">
        <f>IF(Tabla145[[#This Row],[Plan Ajustado]]&gt;Tabla145[[#This Row],[En puerto a facturar]],"Si","No")</f>
        <v>Si</v>
      </c>
      <c r="AP162" s="3">
        <f>IF(AND(Tabla145[[#This Row],[Plan Ajustado]]&gt;0,Tabla145[[#This Row],[Plan Ajustado]]&gt;Tabla145[[#This Row],[En puerto a facturar]]),(Tabla145[[#This Row],[Plan Ajustado]]-Tabla145[[#This Row],[En puerto a facturar]]),0)</f>
        <v>1568</v>
      </c>
      <c r="AQ162" s="3">
        <f>IF(Tabla145[[#This Row],[Necesidad]]&gt;=Tabla145[[#This Row],[Stock al día]],Tabla145[[#This Row],[Stock al día]],Tabla145[[#This Row],[Necesidad]])</f>
        <v>1402</v>
      </c>
      <c r="AR162" s="3">
        <f>+Tabla145[[#This Row],[Necesidad]]-Tabla145[[#This Row],[Stock Plan]]</f>
        <v>166</v>
      </c>
      <c r="AS162" s="155">
        <f>IFERROR(VLOOKUP(Tabla145[[#This Row],[Oficina]],[19]Ponderación!$B$14:$E$21,4,FALSE),"")</f>
        <v>44800</v>
      </c>
      <c r="AT16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4.6440000000000001</v>
      </c>
      <c r="AU162" s="83">
        <f>IFERROR(VLOOKUP(Tabla145[[#This Row],[Llave]],[17]DELAY!$H:$W,16,FALSE),0)</f>
        <v>4.5740240500000002</v>
      </c>
      <c r="AV16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4.5643845058673467</v>
      </c>
      <c r="AW162" s="5">
        <f>Tabla145[[#This Row],[Ajuste precio IC]]*Tabla145[[#This Row],[Plan Ajustado]]</f>
        <v>7156.9549051999993</v>
      </c>
      <c r="AX162" s="30">
        <f>IFERROR(VLOOKUP(Tabla145[[#This Row],[Llave]],'[13]Ultimos precios facturados'!$A:$G,7,FALSE),0)</f>
        <v>4.263710328272837</v>
      </c>
      <c r="AY16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7.0519372669556588E-2</v>
      </c>
      <c r="AZ162" s="30">
        <f>IFERROR(VLOOKUP(Tabla145[[#This Row],[Llave]],Hoja2!B:K,10,FALSE),0)</f>
        <v>4.5643845058673467</v>
      </c>
      <c r="BA162" s="30">
        <f>IF(Tabla145[[#This Row],[Ajuste precio IC]]="",Tabla145[[#This Row],[Precio ponderado]],Tabla145[[#This Row],[Precio ponderado]])</f>
        <v>4.5643845058673467</v>
      </c>
      <c r="BB162" s="82"/>
      <c r="BC162" s="82" t="str">
        <f>IF(AND(Tabla145[[#This Row],[Atraso a facturar]]&gt;0,Tabla145[[#This Row],[Precio Atraso]]=0),"Revisar","OK")</f>
        <v>OK</v>
      </c>
      <c r="BD162" s="82" t="str">
        <f>IF(AND(Tabla145[[#This Row],[Venta del mes]]&gt;0,Tabla145[[#This Row],[Precio venta nueva]]=0),"Revisar","OK")</f>
        <v>OK</v>
      </c>
      <c r="BE162" s="20">
        <f>IFERROR(VLOOKUP(Tabla145[[#This Row],[Llave]],'[5]Consolidación planes'!$A:$M,9,FALSE),0)</f>
        <v>3000</v>
      </c>
      <c r="BF162" s="20">
        <f>IFERROR(VLOOKUP(Tabla145[[#This Row],[Llave]],'[5]Consolidación planes'!$A:$M,10,FALSE),0)</f>
        <v>2000</v>
      </c>
      <c r="BG162" s="20">
        <f>IFERROR(VLOOKUP(Tabla145[[#This Row],[Llave]],'[5]Consolidación planes'!$A:$M,11,FALSE),0)</f>
        <v>2000</v>
      </c>
      <c r="BH162" s="20">
        <f>IFERROR(VLOOKUP(Tabla145[[#This Row],[Llave]],'[5]Consolidación planes'!$A:$M,12,FALSE),0)</f>
        <v>4000</v>
      </c>
      <c r="BI162" s="20">
        <f>IFERROR(VLOOKUP(Tabla145[[#This Row],[Llave]],'[5]Consolidación planes'!$A:$M,13,FALSE),0)</f>
        <v>6000</v>
      </c>
      <c r="BJ162" s="20">
        <f>IFERROR(VLOOKUP(Tabla145[[#This Row],[Llave]],'[13]Base ultimos planes'!$A:$M,13,FALSE),0)</f>
        <v>2000</v>
      </c>
      <c r="BK162" s="80">
        <f>IFERROR(VLOOKUP(Tabla145[[#This Row],[Llave]],'[13]Base ultimos planes'!$O:$AA,8,FALSE),0)</f>
        <v>14885.3922</v>
      </c>
      <c r="BL162" s="20">
        <f>IFERROR(VLOOKUP(Tabla145[[#This Row],[Llave]],'[13]Base ultimos planes'!$O:$AA,9,FALSE),0)</f>
        <v>9329</v>
      </c>
      <c r="BM162" s="20">
        <f>IFERROR(VLOOKUP(Tabla145[[#This Row],[Llave]],'[13]Base ultimos planes'!$O:$AA,10,FALSE),0)</f>
        <v>9271</v>
      </c>
      <c r="BN162" s="20">
        <f>IFERROR(VLOOKUP(Tabla145[[#This Row],[Llave]],'[13]Base ultimos planes'!$O:$AA,11,FALSE),0)</f>
        <v>18229</v>
      </c>
      <c r="BO162" s="20">
        <f>IFERROR(VLOOKUP(Tabla145[[#This Row],[Llave]],'[13]Base ultimos planes'!$O:$AA,12,FALSE),0)</f>
        <v>26806</v>
      </c>
      <c r="BP162" s="20">
        <f>IFERROR(VLOOKUP(Tabla145[[#This Row],[Llave]],'[13]Base ultimos planes'!$O:$AA,13,FALSE),0)</f>
        <v>8421</v>
      </c>
      <c r="BQ162" s="20"/>
      <c r="BR162" s="20">
        <f>Tabla145[[#This Row],[ RV Producción mes n+1]]*(1-Tabla145[[#This Row],[% Uti. producción]])</f>
        <v>533.82867769760514</v>
      </c>
      <c r="BS162" s="20">
        <f>+Tabla145[[#This Row],[Producción disponible mes n-1]]+Tabla145[[#This Row],[Saldo Volumen disponible]]</f>
        <v>4230.453951011159</v>
      </c>
      <c r="BT162" s="7">
        <f>IFERROR(VLOOKUP(Tabla145[[#This Row],[Llave]],'[21]RV n+2 y n+3'!$B:$F,4,FALSE),0)</f>
        <v>2000</v>
      </c>
      <c r="BU162" s="7">
        <f>+Tabla145[[#This Row],[Asignación mes n+2]]*Tabla145[[#This Row],[% Uti. producción]]</f>
        <v>1743.166380708393</v>
      </c>
      <c r="BV162" s="7">
        <f>+Tabla145[[#This Row],[Ponderación mes n+2]]+Tabla145[[#This Row],[Saldo mes n-1]]</f>
        <v>5973.6203317195523</v>
      </c>
      <c r="BW162" s="7">
        <f>+Tabla145[[#This Row],[Asignación mes n+2]]-Tabla145[[#This Row],[Ponderación mes n+2]]</f>
        <v>256.83361929160696</v>
      </c>
      <c r="BX162" s="7">
        <f>IFERROR(VLOOKUP(Tabla145[[#This Row],[Llave]],'[21]RV n+2 y n+3'!$B:$F,5,FALSE),0)</f>
        <v>2000</v>
      </c>
      <c r="BY162" s="7">
        <f>+Tabla145[[#This Row],[Asignación mes n+3]]*Tabla145[[#This Row],[% Uti. producción]]</f>
        <v>1743.166380708393</v>
      </c>
      <c r="BZ162" s="3">
        <f>+Tabla145[[#This Row],[Ponderación mes n+3]]+Tabla145[[#This Row],[Saldo mes n+2]]</f>
        <v>2000</v>
      </c>
      <c r="CA162" s="3">
        <f>+Tabla145[[#This Row],[Asignación mes n+3]]-Tabla145[[#This Row],[Ponderación mes n+3]]</f>
        <v>256.83361929160696</v>
      </c>
      <c r="CB162" s="3">
        <f>+Tabla145[[#This Row],[Producción disponible mes n-1]]+Tabla145[[#This Row],[Producción disponible]]</f>
        <v>4157</v>
      </c>
      <c r="CC162" s="3">
        <f>+Tabla145[[#This Row],[Saldo mes n+4]]-Tabla145[[#This Row],[ RV Producción mes n+1]]</f>
        <v>0</v>
      </c>
    </row>
    <row r="163" spans="1:81" ht="16" x14ac:dyDescent="0.2">
      <c r="A163">
        <v>1</v>
      </c>
      <c r="B163" t="str">
        <f>Tabla145[[#This Row],[Oficina]]&amp;Tabla145[[#This Row],[Material]]</f>
        <v>Exportacion Directa1020731</v>
      </c>
      <c r="C163" t="s">
        <v>6</v>
      </c>
      <c r="D163" t="s">
        <v>88</v>
      </c>
      <c r="E163">
        <v>1020731</v>
      </c>
      <c r="F163" t="s">
        <v>122</v>
      </c>
      <c r="G163" t="s">
        <v>56</v>
      </c>
      <c r="H163" t="s">
        <v>57</v>
      </c>
      <c r="I163" s="7">
        <f>IFERROR(VLOOKUP(Tabla145[[#This Row],[Llave]],'[7]RV Producción'!$C:$G,5,FALSE),0)</f>
        <v>26440</v>
      </c>
      <c r="J163" s="3">
        <f>IFERROR(IF(Tabla145[[#This Row],[Oficina]]=$I$7,VLOOKUP(Tabla145[[#This Row],[Llave]],'[7]Shangai (Tomas)'!$A:$F,6,FALSE),VLOOKUP(Tabla145[[#This Row],[Llave]],'[7]RV plan de ventas'!$A:$E,5,FALSE)),0)</f>
        <v>25000</v>
      </c>
      <c r="K163" s="8">
        <f>IFERROR(VLOOKUP(Tabla145[[#This Row],[Oficina]],[15]Ponderación!$B$2:$E$9,4,FALSE),0)</f>
        <v>0.87158319035419651</v>
      </c>
      <c r="L163" s="7">
        <f>+Tabla145[[#This Row],[ RV Producción mes n+1]]*Tabla145[[#This Row],[% Uti. producción]]</f>
        <v>23044.659552964957</v>
      </c>
      <c r="M163" s="7">
        <f>IFERROR(VLOOKUP(Tabla145[[#This Row],[Material]],[16]Stock!$G:$K,5,FALSE),0)</f>
        <v>3316</v>
      </c>
      <c r="N163" s="7">
        <f>IFERROR(VLOOKUP(Tabla145[[#This Row],[Material]],[16]Produccion!$M:$N,2,FALSE),0)</f>
        <v>5430.3878089216096</v>
      </c>
      <c r="O163" s="7">
        <f>IFERROR(VLOOKUP(Tabla145[[#This Row],[Llave]],'[16]TD Conf-AP'!$I:$M,4,FALSE),0)</f>
        <v>0</v>
      </c>
      <c r="P163" s="14">
        <f>SUM(Tabla145[[#This Row],[Producción disponible]],Tabla145[[#This Row],[Stock al día]],(Tabla145[[#This Row],[Por producir mes N]]*0.9))-Tabla145[[#This Row],[Producción por despachar mes N]]</f>
        <v>31248.008580994407</v>
      </c>
      <c r="Q163" s="7">
        <f>IFERROR(VLOOKUP(Tabla145[[#This Row],[Llave]],[17]DELAY!$A:$D,4,FALSE),0)</f>
        <v>30900</v>
      </c>
      <c r="R163" s="9">
        <v>2500</v>
      </c>
      <c r="S163" s="5">
        <f t="shared" si="7"/>
        <v>30900</v>
      </c>
      <c r="T163" s="76">
        <v>-13296</v>
      </c>
      <c r="U163" s="5">
        <f>+Tabla145[[#This Row],[Atraso a facturar]]+Tabla145[[#This Row],[Ajuste atraso]]</f>
        <v>17604</v>
      </c>
      <c r="V163" s="3">
        <f>+Tabla145[[#This Row],[Total disponible]]-Tabla145[[#This Row],[Facturación atraso]]</f>
        <v>13644.008580994407</v>
      </c>
      <c r="W163" s="6">
        <f>IFERROR(IF(AND(V163&gt;R163,J163&gt;=R163),ROUNDDOWN((Tabla145[[#This Row],[Producción para venta nueva]])/R163,0)*R163,0),0)</f>
        <v>12500</v>
      </c>
      <c r="X163" s="76">
        <v>-8864</v>
      </c>
      <c r="Y163" s="6">
        <f>IF(Tabla145[[#This Row],[Venta del mes]]&gt;0,Tabla145[[#This Row],[Venta del mes]]+Tabla145[[#This Row],[Ajuste venta nueva]],0)</f>
        <v>3636</v>
      </c>
      <c r="Z163" s="6">
        <f>+Tabla145[[#This Row],[Producción para venta nueva]]-Tabla145[[#This Row],[Facturación Venta nueva]]</f>
        <v>10008.008580994407</v>
      </c>
      <c r="AA163" s="6">
        <f>IF(AND(A163=1,Tabla145[[#This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3" s="6">
        <v>0</v>
      </c>
      <c r="AC163" s="6">
        <f>IF(Tabla145[[#This Row],[Disponible stock sin venta]]&gt;0,Tabla145[[#This Row],[Disponible stock sin venta]]+Tabla145[[#This Row],[Ajuste stock sin venta]],0)</f>
        <v>0</v>
      </c>
      <c r="AD163" s="3">
        <f>IFERROR(VLOOKUP(Tabla145[[#This Row],[Llave]],'[16]TD Puerto'!$A:$D,4,FALSE),0)</f>
        <v>0</v>
      </c>
      <c r="AE163" s="3">
        <v>33400</v>
      </c>
      <c r="AF163" s="3">
        <f>+Tabla145[[#This Row],[Plan Irrestricto Inicial]]</f>
        <v>33400</v>
      </c>
      <c r="AG163" s="3">
        <f>+Tabla145[[#This Row],[En puerto a facturar]]</f>
        <v>0</v>
      </c>
      <c r="AH163" s="3">
        <f>+Tabla145[[#This Row],[Facturación atraso]]</f>
        <v>17604</v>
      </c>
      <c r="AI163" s="3">
        <f>+Tabla145[[#This Row],[Plan Irrestricto]]-Tabla145[[#This Row],[Puerto ]]-Tabla145[[#This Row],[Atraso]]</f>
        <v>15796</v>
      </c>
      <c r="AJ163" s="3">
        <f>IF(Tabla145[[#This Row],[Plan Irrestricto]]&gt;0,SUM(Tabla145[[#This Row],[Facturación atraso]],Tabla145[[#This Row],[Facturación Venta nueva]],Tabla145[[#This Row],[Facturación stock]],Tabla145[[#This Row],[En puerto a facturar]]),0)</f>
        <v>21240</v>
      </c>
      <c r="AK163" s="3">
        <f>+Tabla145[[#This Row],[Facturación atraso]]</f>
        <v>17604</v>
      </c>
      <c r="AL163" s="3">
        <f>+Tabla145[[#This Row],[Plan Ajustado]]-Tabla145[[#This Row],[ Atraso ajustado]]-Tabla145[[#This Row],[Puerto ]]</f>
        <v>3636</v>
      </c>
      <c r="AM163" s="6">
        <f>IFERROR(VLOOKUP(Tabla145[[#This Row],[Llave]],[18]!Tabla14[#All],34,FALSE),0)</f>
        <v>0</v>
      </c>
      <c r="AN163" s="6">
        <f>IFERROR(VLOOKUP(Tabla145[[#This Row],[Llave]],[18]!Tabla14[#All],35,FALSE),0)</f>
        <v>0</v>
      </c>
      <c r="AO163" s="3" t="str">
        <f>IF(Tabla145[[#This Row],[Plan Ajustado]]&gt;Tabla145[[#This Row],[En puerto a facturar]],"Si","No")</f>
        <v>Si</v>
      </c>
      <c r="AP163" s="3">
        <f>IF(AND(Tabla145[[#This Row],[Plan Ajustado]]&gt;0,Tabla145[[#This Row],[Plan Ajustado]]&gt;Tabla145[[#This Row],[En puerto a facturar]]),(Tabla145[[#This Row],[Plan Ajustado]]-Tabla145[[#This Row],[En puerto a facturar]]),0)</f>
        <v>21240</v>
      </c>
      <c r="AQ163" s="3">
        <f>IF(Tabla145[[#This Row],[Necesidad]]&gt;=Tabla145[[#This Row],[Stock al día]],Tabla145[[#This Row],[Stock al día]],Tabla145[[#This Row],[Necesidad]])</f>
        <v>3316</v>
      </c>
      <c r="AR163" s="3">
        <f>+Tabla145[[#This Row],[Necesidad]]-Tabla145[[#This Row],[Stock Plan]]</f>
        <v>17924</v>
      </c>
      <c r="AS163" s="155">
        <f>IFERROR(VLOOKUP(Tabla145[[#This Row],[Oficina]],[19]Ponderación!$B$14:$E$21,4,FALSE),"")</f>
        <v>44800</v>
      </c>
      <c r="AT16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5.1120000000000001</v>
      </c>
      <c r="AU163" s="83">
        <f>IFERROR(VLOOKUP(Tabla145[[#This Row],[Llave]],[17]DELAY!$H:$W,16,FALSE),0)</f>
        <v>5.1522354432200652</v>
      </c>
      <c r="AV16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5.1453476809061218</v>
      </c>
      <c r="AW163" s="5">
        <f>Tabla145[[#This Row],[Ajuste precio IC]]*Tabla145[[#This Row],[Plan Ajustado]]</f>
        <v>109287.18474244603</v>
      </c>
      <c r="AX163" s="30">
        <f>IFERROR(VLOOKUP(Tabla145[[#This Row],[Llave]],'[13]Ultimos precios facturados'!$A:$G,7,FALSE),0)</f>
        <v>4.6909003988665523</v>
      </c>
      <c r="AY16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9.6878476070260677E-2</v>
      </c>
      <c r="AZ163" s="30">
        <f>IFERROR(VLOOKUP(Tabla145[[#This Row],[Llave]],Hoja2!B:K,10,FALSE),0)</f>
        <v>5.1453476809061218</v>
      </c>
      <c r="BA163" s="30">
        <f>IF(Tabla145[[#This Row],[Ajuste precio IC]]="",Tabla145[[#This Row],[Precio ponderado]],Tabla145[[#This Row],[Precio ponderado]])</f>
        <v>5.1453476809061218</v>
      </c>
      <c r="BB163" s="82"/>
      <c r="BC163" s="82" t="str">
        <f>IF(AND(Tabla145[[#This Row],[Atraso a facturar]]&gt;0,Tabla145[[#This Row],[Precio Atraso]]=0),"Revisar","OK")</f>
        <v>OK</v>
      </c>
      <c r="BD163" s="82" t="str">
        <f>IF(AND(Tabla145[[#This Row],[Venta del mes]]&gt;0,Tabla145[[#This Row],[Precio venta nueva]]=0),"Revisar","OK")</f>
        <v>OK</v>
      </c>
      <c r="BE163" s="20">
        <f>IFERROR(VLOOKUP(Tabla145[[#This Row],[Llave]],'[5]Consolidación planes'!$A:$M,9,FALSE),0)</f>
        <v>18000</v>
      </c>
      <c r="BF163" s="20">
        <f>IFERROR(VLOOKUP(Tabla145[[#This Row],[Llave]],'[5]Consolidación planes'!$A:$M,10,FALSE),0)</f>
        <v>6000</v>
      </c>
      <c r="BG163" s="20">
        <f>IFERROR(VLOOKUP(Tabla145[[#This Row],[Llave]],'[5]Consolidación planes'!$A:$M,11,FALSE),0)</f>
        <v>10000</v>
      </c>
      <c r="BH163" s="20">
        <f>IFERROR(VLOOKUP(Tabla145[[#This Row],[Llave]],'[5]Consolidación planes'!$A:$M,12,FALSE),0)</f>
        <v>20000</v>
      </c>
      <c r="BI163" s="20">
        <f>IFERROR(VLOOKUP(Tabla145[[#This Row],[Llave]],'[5]Consolidación planes'!$A:$M,13,FALSE),0)</f>
        <v>18000</v>
      </c>
      <c r="BJ163" s="20">
        <f>IFERROR(VLOOKUP(Tabla145[[#This Row],[Llave]],'[13]Base ultimos planes'!$A:$M,13,FALSE),0)</f>
        <v>22000</v>
      </c>
      <c r="BK163" s="80">
        <f>IFERROR(VLOOKUP(Tabla145[[#This Row],[Llave]],'[13]Base ultimos planes'!$O:$AA,8,FALSE),0)</f>
        <v>99485.017300000007</v>
      </c>
      <c r="BL163" s="20">
        <f>IFERROR(VLOOKUP(Tabla145[[#This Row],[Llave]],'[13]Base ultimos planes'!$O:$AA,9,FALSE),0)</f>
        <v>31124</v>
      </c>
      <c r="BM163" s="20">
        <f>IFERROR(VLOOKUP(Tabla145[[#This Row],[Llave]],'[13]Base ultimos planes'!$O:$AA,10,FALSE),0)</f>
        <v>51494</v>
      </c>
      <c r="BN163" s="20">
        <f>IFERROR(VLOOKUP(Tabla145[[#This Row],[Llave]],'[13]Base ultimos planes'!$O:$AA,11,FALSE),0)</f>
        <v>100776</v>
      </c>
      <c r="BO163" s="20">
        <f>IFERROR(VLOOKUP(Tabla145[[#This Row],[Llave]],'[13]Base ultimos planes'!$O:$AA,12,FALSE),0)</f>
        <v>87382</v>
      </c>
      <c r="BP163" s="20">
        <f>IFERROR(VLOOKUP(Tabla145[[#This Row],[Llave]],'[13]Base ultimos planes'!$O:$AA,13,FALSE),0)</f>
        <v>101929</v>
      </c>
      <c r="BQ163" s="20"/>
      <c r="BR163" s="20">
        <f>Tabla145[[#This Row],[ RV Producción mes n+1]]*(1-Tabla145[[#This Row],[% Uti. producción]])</f>
        <v>3395.3404470350442</v>
      </c>
      <c r="BS163" s="20">
        <f>+Tabla145[[#This Row],[Producción disponible mes n-1]]+Tabla145[[#This Row],[Saldo Volumen disponible]]</f>
        <v>13403.34902802945</v>
      </c>
      <c r="BT163" s="7">
        <f>IFERROR(VLOOKUP(Tabla145[[#This Row],[Llave]],'[21]RV n+2 y n+3'!$B:$F,4,FALSE),0)</f>
        <v>20000</v>
      </c>
      <c r="BU163" s="7">
        <f>+Tabla145[[#This Row],[Asignación mes n+2]]*Tabla145[[#This Row],[% Uti. producción]]</f>
        <v>17431.663807083929</v>
      </c>
      <c r="BV163" s="7">
        <f>+Tabla145[[#This Row],[Ponderación mes n+2]]+Tabla145[[#This Row],[Saldo mes n-1]]</f>
        <v>30835.012835113379</v>
      </c>
      <c r="BW163" s="7">
        <f>+Tabla145[[#This Row],[Asignación mes n+2]]-Tabla145[[#This Row],[Ponderación mes n+2]]</f>
        <v>2568.336192916071</v>
      </c>
      <c r="BX163" s="7">
        <f>IFERROR(VLOOKUP(Tabla145[[#This Row],[Llave]],'[21]RV n+2 y n+3'!$B:$F,5,FALSE),0)</f>
        <v>20000</v>
      </c>
      <c r="BY163" s="7">
        <f>+Tabla145[[#This Row],[Asignación mes n+3]]*Tabla145[[#This Row],[% Uti. producción]]</f>
        <v>17431.663807083929</v>
      </c>
      <c r="BZ163" s="3">
        <f>+Tabla145[[#This Row],[Ponderación mes n+3]]+Tabla145[[#This Row],[Saldo mes n+2]]</f>
        <v>20000</v>
      </c>
      <c r="CA163" s="3">
        <f>+Tabla145[[#This Row],[Asignación mes n+3]]-Tabla145[[#This Row],[Ponderación mes n+3]]</f>
        <v>2568.336192916071</v>
      </c>
      <c r="CB163" s="3">
        <f>+Tabla145[[#This Row],[Producción disponible mes n-1]]+Tabla145[[#This Row],[Producción disponible]]</f>
        <v>26440</v>
      </c>
      <c r="CC163" s="3">
        <f>+Tabla145[[#This Row],[Saldo mes n+4]]-Tabla145[[#This Row],[ RV Producción mes n+1]]</f>
        <v>0</v>
      </c>
    </row>
    <row r="164" spans="1:81" ht="16" x14ac:dyDescent="0.2">
      <c r="A164">
        <v>1</v>
      </c>
      <c r="B164" t="str">
        <f>Tabla145[[#This Row],[Oficina]]&amp;Tabla145[[#This Row],[Material]]</f>
        <v>Exportacion Directa1020758</v>
      </c>
      <c r="C164" t="s">
        <v>6</v>
      </c>
      <c r="D164" t="s">
        <v>88</v>
      </c>
      <c r="E164">
        <v>1020758</v>
      </c>
      <c r="F164" t="s">
        <v>113</v>
      </c>
      <c r="G164" t="s">
        <v>50</v>
      </c>
      <c r="H164" t="s">
        <v>110</v>
      </c>
      <c r="I164" s="7">
        <f>IFERROR(VLOOKUP(Tabla145[[#This Row],[Llave]],'[7]RV Producción'!$C:$G,5,FALSE),0)</f>
        <v>14148</v>
      </c>
      <c r="J164" s="3">
        <f>IFERROR(IF(Tabla145[[#This Row],[Oficina]]=$I$7,VLOOKUP(Tabla145[[#This Row],[Llave]],'[7]Shangai (Tomas)'!$A:$F,6,FALSE),VLOOKUP(Tabla145[[#This Row],[Llave]],'[7]RV plan de ventas'!$A:$E,5,FALSE)),0)</f>
        <v>9000</v>
      </c>
      <c r="K164" s="8">
        <f>IFERROR(VLOOKUP(Tabla145[[#This Row],[Oficina]],[15]Ponderación!$B$2:$E$9,4,FALSE),0)</f>
        <v>0.87158319035419651</v>
      </c>
      <c r="L164" s="7">
        <f>+Tabla145[[#This Row],[ RV Producción mes n+1]]*Tabla145[[#This Row],[% Uti. producción]]</f>
        <v>12331.158977131172</v>
      </c>
      <c r="M164" s="7">
        <f>IFERROR(VLOOKUP(Tabla145[[#This Row],[Material]],[16]Stock!$G:$K,5,FALSE),0)</f>
        <v>4562</v>
      </c>
      <c r="N164" s="7">
        <f>IFERROR(VLOOKUP(Tabla145[[#This Row],[Material]],[16]Produccion!$M:$N,2,FALSE),0)</f>
        <v>0</v>
      </c>
      <c r="O164" s="7">
        <f>IFERROR(VLOOKUP(Tabla145[[#This Row],[Llave]],'[16]TD Conf-AP'!$I:$M,4,FALSE),0)</f>
        <v>0</v>
      </c>
      <c r="P164" s="14">
        <f>SUM(Tabla145[[#This Row],[Producción disponible]],Tabla145[[#This Row],[Stock al día]],(Tabla145[[#This Row],[Por producir mes N]]*0.9))-Tabla145[[#This Row],[Producción por despachar mes N]]</f>
        <v>16893.15897713117</v>
      </c>
      <c r="Q164" s="7">
        <f>IFERROR(VLOOKUP(Tabla145[[#This Row],[Llave]],[17]DELAY!$A:$D,4,FALSE),0)</f>
        <v>9000</v>
      </c>
      <c r="R164" s="9">
        <v>3250</v>
      </c>
      <c r="S164" s="5">
        <f t="shared" si="7"/>
        <v>9000</v>
      </c>
      <c r="T164" s="76">
        <v>-3324</v>
      </c>
      <c r="U164" s="5">
        <f>+Tabla145[[#This Row],[Atraso a facturar]]+Tabla145[[#This Row],[Ajuste atraso]]</f>
        <v>5676</v>
      </c>
      <c r="V164" s="3">
        <f>+Tabla145[[#This Row],[Total disponible]]-Tabla145[[#This Row],[Facturación atraso]]</f>
        <v>11217.15897713117</v>
      </c>
      <c r="W164" s="6">
        <f>IFERROR(IF(AND(V164&gt;R164,J164&gt;=R164),ROUNDDOWN((Tabla145[[#This Row],[Producción para venta nueva]])/R164,0)*R164,0),0)</f>
        <v>9750</v>
      </c>
      <c r="X164" s="76">
        <v>-3324</v>
      </c>
      <c r="Y164" s="6">
        <f>IF(Tabla145[[#This Row],[Venta del mes]]&gt;0,Tabla145[[#This Row],[Venta del mes]]+Tabla145[[#This Row],[Ajuste venta nueva]],0)</f>
        <v>6426</v>
      </c>
      <c r="Z164" s="6">
        <f>+Tabla145[[#This Row],[Producción para venta nueva]]-Tabla145[[#This Row],[Facturación Venta nueva]]</f>
        <v>4791.1589771311701</v>
      </c>
      <c r="AA164" s="6">
        <f>IF(AND(A164=1,Tabla145[[#This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4" s="6">
        <v>0</v>
      </c>
      <c r="AC164" s="6">
        <f>IF(Tabla145[[#This Row],[Disponible stock sin venta]]&gt;0,Tabla145[[#This Row],[Disponible stock sin venta]]+Tabla145[[#This Row],[Ajuste stock sin venta]],0)</f>
        <v>0</v>
      </c>
      <c r="AD164" s="3">
        <f>IFERROR(VLOOKUP(Tabla145[[#This Row],[Llave]],'[16]TD Puerto'!$A:$D,4,FALSE),0)</f>
        <v>0</v>
      </c>
      <c r="AE164" s="3">
        <v>12250</v>
      </c>
      <c r="AF164" s="3">
        <f>+Tabla145[[#This Row],[Plan Irrestricto Inicial]]</f>
        <v>12250</v>
      </c>
      <c r="AG164" s="3">
        <f>+Tabla145[[#This Row],[En puerto a facturar]]</f>
        <v>0</v>
      </c>
      <c r="AH164" s="3">
        <f>+Tabla145[[#This Row],[Facturación atraso]]</f>
        <v>5676</v>
      </c>
      <c r="AI164" s="3">
        <f>+Tabla145[[#This Row],[Plan Irrestricto]]-Tabla145[[#This Row],[Puerto ]]-Tabla145[[#This Row],[Atraso]]</f>
        <v>6574</v>
      </c>
      <c r="AJ164" s="3">
        <f>IF(Tabla145[[#This Row],[Plan Irrestricto]]&gt;0,SUM(Tabla145[[#This Row],[Facturación atraso]],Tabla145[[#This Row],[Facturación Venta nueva]],Tabla145[[#This Row],[Facturación stock]],Tabla145[[#This Row],[En puerto a facturar]]),0)</f>
        <v>12102</v>
      </c>
      <c r="AK164" s="3">
        <f>+Tabla145[[#This Row],[Facturación atraso]]</f>
        <v>5676</v>
      </c>
      <c r="AL164" s="3">
        <f>+Tabla145[[#This Row],[Plan Ajustado]]-Tabla145[[#This Row],[ Atraso ajustado]]-Tabla145[[#This Row],[Puerto ]]</f>
        <v>6426</v>
      </c>
      <c r="AM164" s="6">
        <f>IFERROR(VLOOKUP(Tabla145[[#This Row],[Llave]],[18]!Tabla14[#All],34,FALSE),0)</f>
        <v>0</v>
      </c>
      <c r="AN164" s="6">
        <f>IFERROR(VLOOKUP(Tabla145[[#This Row],[Llave]],[18]!Tabla14[#All],35,FALSE),0)</f>
        <v>0</v>
      </c>
      <c r="AO164" s="3" t="str">
        <f>IF(Tabla145[[#This Row],[Plan Ajustado]]&gt;Tabla145[[#This Row],[En puerto a facturar]],"Si","No")</f>
        <v>Si</v>
      </c>
      <c r="AP164" s="3">
        <f>IF(AND(Tabla145[[#This Row],[Plan Ajustado]]&gt;0,Tabla145[[#This Row],[Plan Ajustado]]&gt;Tabla145[[#This Row],[En puerto a facturar]]),(Tabla145[[#This Row],[Plan Ajustado]]-Tabla145[[#This Row],[En puerto a facturar]]),0)</f>
        <v>12102</v>
      </c>
      <c r="AQ164" s="3">
        <f>IF(Tabla145[[#This Row],[Necesidad]]&gt;=Tabla145[[#This Row],[Stock al día]],Tabla145[[#This Row],[Stock al día]],Tabla145[[#This Row],[Necesidad]])</f>
        <v>4562</v>
      </c>
      <c r="AR164" s="3">
        <f>+Tabla145[[#This Row],[Necesidad]]-Tabla145[[#This Row],[Stock Plan]]</f>
        <v>7540</v>
      </c>
      <c r="AS164" s="155">
        <f>IFERROR(VLOOKUP(Tabla145[[#This Row],[Oficina]],[19]Ponderación!$B$14:$E$21,4,FALSE),"")</f>
        <v>44800</v>
      </c>
      <c r="AT16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3.78</v>
      </c>
      <c r="AU164" s="83">
        <f>IFERROR(VLOOKUP(Tabla145[[#This Row],[Llave]],[17]DELAY!$H:$W,16,FALSE),0)</f>
        <v>3.9300091777777806</v>
      </c>
      <c r="AV16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3.8503563124332079</v>
      </c>
      <c r="AW164" s="5">
        <f>Tabla145[[#This Row],[Ajuste precio IC]]*Tabla145[[#This Row],[Plan Ajustado]]</f>
        <v>46597.012093066682</v>
      </c>
      <c r="AX164" s="30">
        <f>IFERROR(VLOOKUP(Tabla145[[#This Row],[Llave]],'[13]Ultimos precios facturados'!$A:$G,7,FALSE),0)</f>
        <v>3.8340117762394943</v>
      </c>
      <c r="AY16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4.263037556380367E-3</v>
      </c>
      <c r="AZ164" s="30">
        <f>IFERROR(VLOOKUP(Tabla145[[#This Row],[Llave]],Hoja2!B:K,10,FALSE),0)</f>
        <v>3.8503563124332079</v>
      </c>
      <c r="BA164" s="30">
        <f>IF(Tabla145[[#This Row],[Ajuste precio IC]]="",Tabla145[[#This Row],[Precio ponderado]],Tabla145[[#This Row],[Precio ponderado]])</f>
        <v>3.8503563124332079</v>
      </c>
      <c r="BB164" s="82"/>
      <c r="BC164" s="82" t="str">
        <f>IF(AND(Tabla145[[#This Row],[Atraso a facturar]]&gt;0,Tabla145[[#This Row],[Precio Atraso]]=0),"Revisar","OK")</f>
        <v>OK</v>
      </c>
      <c r="BD164" s="82" t="str">
        <f>IF(AND(Tabla145[[#This Row],[Venta del mes]]&gt;0,Tabla145[[#This Row],[Precio venta nueva]]=0),"Revisar","OK")</f>
        <v>OK</v>
      </c>
      <c r="BE164" s="20">
        <f>IFERROR(VLOOKUP(Tabla145[[#This Row],[Llave]],'[5]Consolidación planes'!$A:$M,9,FALSE),0)</f>
        <v>8000</v>
      </c>
      <c r="BF164" s="20">
        <f>IFERROR(VLOOKUP(Tabla145[[#This Row],[Llave]],'[5]Consolidación planes'!$A:$M,10,FALSE),0)</f>
        <v>5000</v>
      </c>
      <c r="BG164" s="20">
        <f>IFERROR(VLOOKUP(Tabla145[[#This Row],[Llave]],'[5]Consolidación planes'!$A:$M,11,FALSE),0)</f>
        <v>8000</v>
      </c>
      <c r="BH164" s="20">
        <f>IFERROR(VLOOKUP(Tabla145[[#This Row],[Llave]],'[5]Consolidación planes'!$A:$M,12,FALSE),0)</f>
        <v>12000</v>
      </c>
      <c r="BI164" s="20">
        <f>IFERROR(VLOOKUP(Tabla145[[#This Row],[Llave]],'[5]Consolidación planes'!$A:$M,13,FALSE),0)</f>
        <v>6000</v>
      </c>
      <c r="BJ164" s="20">
        <f>IFERROR(VLOOKUP(Tabla145[[#This Row],[Llave]],'[13]Base ultimos planes'!$A:$M,13,FALSE),0)</f>
        <v>3000</v>
      </c>
      <c r="BK164" s="80">
        <f>IFERROR(VLOOKUP(Tabla145[[#This Row],[Llave]],'[13]Base ultimos planes'!$O:$AA,8,FALSE),0)</f>
        <v>35636.778700000003</v>
      </c>
      <c r="BL164" s="20">
        <f>IFERROR(VLOOKUP(Tabla145[[#This Row],[Llave]],'[13]Base ultimos planes'!$O:$AA,9,FALSE),0)</f>
        <v>20917</v>
      </c>
      <c r="BM164" s="20">
        <f>IFERROR(VLOOKUP(Tabla145[[#This Row],[Llave]],'[13]Base ultimos planes'!$O:$AA,10,FALSE),0)</f>
        <v>33318</v>
      </c>
      <c r="BN164" s="20">
        <f>IFERROR(VLOOKUP(Tabla145[[#This Row],[Llave]],'[13]Base ultimos planes'!$O:$AA,11,FALSE),0)</f>
        <v>48487</v>
      </c>
      <c r="BO164" s="20">
        <f>IFERROR(VLOOKUP(Tabla145[[#This Row],[Llave]],'[13]Base ultimos planes'!$O:$AA,12,FALSE),0)</f>
        <v>23733</v>
      </c>
      <c r="BP164" s="20">
        <f>IFERROR(VLOOKUP(Tabla145[[#This Row],[Llave]],'[13]Base ultimos planes'!$O:$AA,13,FALSE),0)</f>
        <v>11179</v>
      </c>
      <c r="BQ164" s="20"/>
      <c r="BR164" s="20">
        <f>Tabla145[[#This Row],[ RV Producción mes n+1]]*(1-Tabla145[[#This Row],[% Uti. producción]])</f>
        <v>1816.8410228688276</v>
      </c>
      <c r="BS164" s="20">
        <f>+Tabla145[[#This Row],[Producción disponible mes n-1]]+Tabla145[[#This Row],[Saldo Volumen disponible]]</f>
        <v>6607.9999999999982</v>
      </c>
      <c r="BT164" s="7">
        <f>IFERROR(VLOOKUP(Tabla145[[#This Row],[Llave]],'[21]RV n+2 y n+3'!$B:$F,4,FALSE),0)</f>
        <v>3000</v>
      </c>
      <c r="BU164" s="7">
        <f>+Tabla145[[#This Row],[Asignación mes n+2]]*Tabla145[[#This Row],[% Uti. producción]]</f>
        <v>2614.7495710625894</v>
      </c>
      <c r="BV164" s="7">
        <f>+Tabla145[[#This Row],[Ponderación mes n+2]]+Tabla145[[#This Row],[Saldo mes n-1]]</f>
        <v>9222.7495710625881</v>
      </c>
      <c r="BW164" s="7">
        <f>+Tabla145[[#This Row],[Asignación mes n+2]]-Tabla145[[#This Row],[Ponderación mes n+2]]</f>
        <v>385.25042893741056</v>
      </c>
      <c r="BX164" s="7">
        <f>IFERROR(VLOOKUP(Tabla145[[#This Row],[Llave]],'[21]RV n+2 y n+3'!$B:$F,5,FALSE),0)</f>
        <v>5000</v>
      </c>
      <c r="BY164" s="7">
        <f>+Tabla145[[#This Row],[Asignación mes n+3]]*Tabla145[[#This Row],[% Uti. producción]]</f>
        <v>4357.9159517709822</v>
      </c>
      <c r="BZ164" s="3">
        <f>+Tabla145[[#This Row],[Ponderación mes n+3]]+Tabla145[[#This Row],[Saldo mes n+2]]</f>
        <v>4743.1663807083933</v>
      </c>
      <c r="CA164" s="3">
        <f>+Tabla145[[#This Row],[Asignación mes n+3]]-Tabla145[[#This Row],[Ponderación mes n+3]]</f>
        <v>642.08404822901775</v>
      </c>
      <c r="CB164" s="3">
        <f>+Tabla145[[#This Row],[Producción disponible mes n-1]]+Tabla145[[#This Row],[Producción disponible]]</f>
        <v>14148</v>
      </c>
      <c r="CC164" s="3">
        <f>+Tabla145[[#This Row],[Saldo mes n+4]]-Tabla145[[#This Row],[ RV Producción mes n+1]]</f>
        <v>0</v>
      </c>
    </row>
    <row r="165" spans="1:81" ht="16" x14ac:dyDescent="0.2">
      <c r="A165">
        <v>1</v>
      </c>
      <c r="B165" t="str">
        <f>Tabla145[[#This Row],[Oficina]]&amp;Tabla145[[#This Row],[Material]]</f>
        <v>Exportacion Directa1020774</v>
      </c>
      <c r="C165" t="s">
        <v>6</v>
      </c>
      <c r="D165" t="s">
        <v>88</v>
      </c>
      <c r="E165">
        <v>1020774</v>
      </c>
      <c r="F165" t="s">
        <v>136</v>
      </c>
      <c r="G165" t="s">
        <v>134</v>
      </c>
      <c r="H165" t="s">
        <v>135</v>
      </c>
      <c r="I165" s="7">
        <f>IFERROR(VLOOKUP(Tabla145[[#This Row],[Llave]],'[7]RV Producción'!$C:$G,5,FALSE),0)</f>
        <v>11440</v>
      </c>
      <c r="J165" s="3">
        <f>IFERROR(IF(Tabla145[[#This Row],[Oficina]]=$I$7,VLOOKUP(Tabla145[[#This Row],[Llave]],'[7]Shangai (Tomas)'!$A:$F,6,FALSE),VLOOKUP(Tabla145[[#This Row],[Llave]],'[7]RV plan de ventas'!$A:$E,5,FALSE)),0)</f>
        <v>9000</v>
      </c>
      <c r="K165" s="8">
        <f>IFERROR(VLOOKUP(Tabla145[[#This Row],[Oficina]],[15]Ponderación!$B$2:$E$9,4,FALSE),0)</f>
        <v>0.87158319035419651</v>
      </c>
      <c r="L165" s="7">
        <f>+Tabla145[[#This Row],[ RV Producción mes n+1]]*Tabla145[[#This Row],[% Uti. producción]]</f>
        <v>9970.9116976520072</v>
      </c>
      <c r="M165" s="7">
        <f>IFERROR(VLOOKUP(Tabla145[[#This Row],[Material]],[16]Stock!$G:$K,5,FALSE),0)</f>
        <v>3680</v>
      </c>
      <c r="N165" s="7">
        <f>IFERROR(VLOOKUP(Tabla145[[#This Row],[Material]],[16]Produccion!$M:$N,2,FALSE),0)</f>
        <v>3207</v>
      </c>
      <c r="O165" s="7">
        <f>IFERROR(VLOOKUP(Tabla145[[#This Row],[Llave]],'[16]TD Conf-AP'!$I:$M,4,FALSE),0)</f>
        <v>0</v>
      </c>
      <c r="P165" s="14">
        <f>SUM(Tabla145[[#This Row],[Producción disponible]],Tabla145[[#This Row],[Stock al día]],(Tabla145[[#This Row],[Por producir mes N]]*0.9))-Tabla145[[#This Row],[Producción por despachar mes N]]</f>
        <v>16537.211697652008</v>
      </c>
      <c r="Q165" s="7">
        <f>IFERROR(VLOOKUP(Tabla145[[#This Row],[Llave]],[17]DELAY!$A:$D,4,FALSE),0)</f>
        <v>10000</v>
      </c>
      <c r="R165" s="9">
        <v>952.38095238095241</v>
      </c>
      <c r="S165" s="5">
        <f t="shared" si="7"/>
        <v>10000</v>
      </c>
      <c r="T165" s="76">
        <v>-4432</v>
      </c>
      <c r="U165" s="5">
        <f>+Tabla145[[#This Row],[Atraso a facturar]]+Tabla145[[#This Row],[Ajuste atraso]]</f>
        <v>5568</v>
      </c>
      <c r="V165" s="3">
        <f>+Tabla145[[#This Row],[Total disponible]]-Tabla145[[#This Row],[Facturación atraso]]</f>
        <v>10969.211697652008</v>
      </c>
      <c r="W165" s="6">
        <f>IFERROR(IF(AND(V165&gt;R165,J165&gt;=R165),ROUNDDOWN((Tabla145[[#This Row],[Producción para venta nueva]])/R165,0)*R165,0),0)</f>
        <v>10476.190476190477</v>
      </c>
      <c r="X165" s="76">
        <v>-5540</v>
      </c>
      <c r="Y165" s="6">
        <f>IF(Tabla145[[#This Row],[Venta del mes]]&gt;0,Tabla145[[#This Row],[Venta del mes]]+Tabla145[[#This Row],[Ajuste venta nueva]],0)</f>
        <v>4936.1904761904771</v>
      </c>
      <c r="Z165" s="6">
        <f>+Tabla145[[#This Row],[Producción para venta nueva]]-Tabla145[[#This Row],[Facturación Venta nueva]]</f>
        <v>6033.0212214615312</v>
      </c>
      <c r="AA165" s="6">
        <f>IF(AND(A165=1,Tabla145[[#This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5" s="6">
        <v>0</v>
      </c>
      <c r="AC165" s="6">
        <f>IF(Tabla145[[#This Row],[Disponible stock sin venta]]&gt;0,Tabla145[[#This Row],[Disponible stock sin venta]]+Tabla145[[#This Row],[Ajuste stock sin venta]],0)</f>
        <v>0</v>
      </c>
      <c r="AD165" s="3">
        <f>IFERROR(VLOOKUP(Tabla145[[#This Row],[Llave]],'[16]TD Puerto'!$A:$D,4,FALSE),0)</f>
        <v>0</v>
      </c>
      <c r="AE165" s="3">
        <v>16666.666666666668</v>
      </c>
      <c r="AF165" s="3">
        <f>+Tabla145[[#This Row],[Plan Irrestricto Inicial]]</f>
        <v>16666.666666666668</v>
      </c>
      <c r="AG165" s="3">
        <f>+Tabla145[[#This Row],[En puerto a facturar]]</f>
        <v>0</v>
      </c>
      <c r="AH165" s="3">
        <f>+Tabla145[[#This Row],[Facturación atraso]]</f>
        <v>5568</v>
      </c>
      <c r="AI165" s="3">
        <f>+Tabla145[[#This Row],[Plan Irrestricto]]-Tabla145[[#This Row],[Puerto ]]-Tabla145[[#This Row],[Atraso]]</f>
        <v>11098.666666666668</v>
      </c>
      <c r="AJ165" s="3">
        <f>IF(Tabla145[[#This Row],[Plan Irrestricto]]&gt;0,SUM(Tabla145[[#This Row],[Facturación atraso]],Tabla145[[#This Row],[Facturación Venta nueva]],Tabla145[[#This Row],[Facturación stock]],Tabla145[[#This Row],[En puerto a facturar]]),0)</f>
        <v>10504.190476190477</v>
      </c>
      <c r="AK165" s="3">
        <f>+Tabla145[[#This Row],[Facturación atraso]]</f>
        <v>5568</v>
      </c>
      <c r="AL165" s="3">
        <f>+Tabla145[[#This Row],[Plan Ajustado]]-Tabla145[[#This Row],[ Atraso ajustado]]-Tabla145[[#This Row],[Puerto ]]</f>
        <v>4936.1904761904771</v>
      </c>
      <c r="AM165" s="6">
        <f>IFERROR(VLOOKUP(Tabla145[[#This Row],[Llave]],[18]!Tabla14[#All],34,FALSE),0)</f>
        <v>0</v>
      </c>
      <c r="AN165" s="6">
        <f>IFERROR(VLOOKUP(Tabla145[[#This Row],[Llave]],[18]!Tabla14[#All],35,FALSE),0)</f>
        <v>0</v>
      </c>
      <c r="AO165" s="3" t="str">
        <f>IF(Tabla145[[#This Row],[Plan Ajustado]]&gt;Tabla145[[#This Row],[En puerto a facturar]],"Si","No")</f>
        <v>Si</v>
      </c>
      <c r="AP165" s="3">
        <f>IF(AND(Tabla145[[#This Row],[Plan Ajustado]]&gt;0,Tabla145[[#This Row],[Plan Ajustado]]&gt;Tabla145[[#This Row],[En puerto a facturar]]),(Tabla145[[#This Row],[Plan Ajustado]]-Tabla145[[#This Row],[En puerto a facturar]]),0)</f>
        <v>10504.190476190477</v>
      </c>
      <c r="AQ165" s="3">
        <f>IF(Tabla145[[#This Row],[Necesidad]]&gt;=Tabla145[[#This Row],[Stock al día]],Tabla145[[#This Row],[Stock al día]],Tabla145[[#This Row],[Necesidad]])</f>
        <v>3680</v>
      </c>
      <c r="AR165" s="3">
        <f>+Tabla145[[#This Row],[Necesidad]]-Tabla145[[#This Row],[Stock Plan]]</f>
        <v>6824.1904761904771</v>
      </c>
      <c r="AS165" s="155">
        <f>IFERROR(VLOOKUP(Tabla145[[#This Row],[Oficina]],[19]Ponderación!$B$14:$E$21,4,FALSE),"")</f>
        <v>44800</v>
      </c>
      <c r="AT16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5.76</v>
      </c>
      <c r="AU165" s="83">
        <f>IFERROR(VLOOKUP(Tabla145[[#This Row],[Llave]],[17]DELAY!$H:$W,16,FALSE),0)</f>
        <v>5.9922204887499957</v>
      </c>
      <c r="AV16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5.8830940817658233</v>
      </c>
      <c r="AW165" s="5">
        <f>Tabla145[[#This Row],[Ajuste precio IC]]*Tabla145[[#This Row],[Plan Ajustado]]</f>
        <v>61797.140824217124</v>
      </c>
      <c r="AX165" s="30">
        <f>IFERROR(VLOOKUP(Tabla145[[#This Row],[Llave]],'[13]Ultimos precios facturados'!$A:$G,7,FALSE),0)</f>
        <v>5.6729462993861182</v>
      </c>
      <c r="AY16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3.7043851869785135E-2</v>
      </c>
      <c r="AZ165" s="30">
        <f>IFERROR(VLOOKUP(Tabla145[[#This Row],[Llave]],Hoja2!B:K,10,FALSE),0)</f>
        <v>5.8830940817658233</v>
      </c>
      <c r="BA165" s="30">
        <f>IF(Tabla145[[#This Row],[Ajuste precio IC]]="",Tabla145[[#This Row],[Precio ponderado]],Tabla145[[#This Row],[Precio ponderado]])</f>
        <v>5.8830940817658233</v>
      </c>
      <c r="BB165" s="82"/>
      <c r="BC165" s="82" t="str">
        <f>IF(AND(Tabla145[[#This Row],[Atraso a facturar]]&gt;0,Tabla145[[#This Row],[Precio Atraso]]=0),"Revisar","OK")</f>
        <v>OK</v>
      </c>
      <c r="BD165" s="82" t="str">
        <f>IF(AND(Tabla145[[#This Row],[Venta del mes]]&gt;0,Tabla145[[#This Row],[Precio venta nueva]]=0),"Revisar","OK")</f>
        <v>OK</v>
      </c>
      <c r="BE165" s="20">
        <f>IFERROR(VLOOKUP(Tabla145[[#This Row],[Llave]],'[5]Consolidación planes'!$A:$M,9,FALSE),0)</f>
        <v>6500</v>
      </c>
      <c r="BF165" s="20">
        <f>IFERROR(VLOOKUP(Tabla145[[#This Row],[Llave]],'[5]Consolidación planes'!$A:$M,10,FALSE),0)</f>
        <v>9000</v>
      </c>
      <c r="BG165" s="20">
        <f>IFERROR(VLOOKUP(Tabla145[[#This Row],[Llave]],'[5]Consolidación planes'!$A:$M,11,FALSE),0)</f>
        <v>7000</v>
      </c>
      <c r="BH165" s="20">
        <f>IFERROR(VLOOKUP(Tabla145[[#This Row],[Llave]],'[5]Consolidación planes'!$A:$M,12,FALSE),0)</f>
        <v>7000</v>
      </c>
      <c r="BI165" s="20">
        <f>IFERROR(VLOOKUP(Tabla145[[#This Row],[Llave]],'[5]Consolidación planes'!$A:$M,13,FALSE),0)</f>
        <v>12778</v>
      </c>
      <c r="BJ165" s="20">
        <f>IFERROR(VLOOKUP(Tabla145[[#This Row],[Llave]],'[13]Base ultimos planes'!$A:$M,13,FALSE),0)</f>
        <v>13810</v>
      </c>
      <c r="BK165" s="80">
        <f>IFERROR(VLOOKUP(Tabla145[[#This Row],[Llave]],'[13]Base ultimos planes'!$O:$AA,8,FALSE),0)</f>
        <v>39650</v>
      </c>
      <c r="BL165" s="20">
        <f>IFERROR(VLOOKUP(Tabla145[[#This Row],[Llave]],'[13]Base ultimos planes'!$O:$AA,9,FALSE),0)</f>
        <v>55209</v>
      </c>
      <c r="BM165" s="20">
        <f>IFERROR(VLOOKUP(Tabla145[[#This Row],[Llave]],'[13]Base ultimos planes'!$O:$AA,10,FALSE),0)</f>
        <v>42742</v>
      </c>
      <c r="BN165" s="20">
        <f>IFERROR(VLOOKUP(Tabla145[[#This Row],[Llave]],'[13]Base ultimos planes'!$O:$AA,11,FALSE),0)</f>
        <v>42209</v>
      </c>
      <c r="BO165" s="20">
        <f>IFERROR(VLOOKUP(Tabla145[[#This Row],[Llave]],'[13]Base ultimos planes'!$O:$AA,12,FALSE),0)</f>
        <v>76257</v>
      </c>
      <c r="BP165" s="20">
        <f>IFERROR(VLOOKUP(Tabla145[[#This Row],[Llave]],'[13]Base ultimos planes'!$O:$AA,13,FALSE),0)</f>
        <v>77987</v>
      </c>
      <c r="BQ165" s="20"/>
      <c r="BR165" s="20">
        <f>Tabla145[[#This Row],[ RV Producción mes n+1]]*(1-Tabla145[[#This Row],[% Uti. producción]])</f>
        <v>1469.0883023479919</v>
      </c>
      <c r="BS165" s="20">
        <f>+Tabla145[[#This Row],[Producción disponible mes n-1]]+Tabla145[[#This Row],[Saldo Volumen disponible]]</f>
        <v>7502.1095238095231</v>
      </c>
      <c r="BT165" s="7">
        <f>IFERROR(VLOOKUP(Tabla145[[#This Row],[Llave]],'[21]RV n+2 y n+3'!$B:$F,4,FALSE),0)</f>
        <v>8000</v>
      </c>
      <c r="BU165" s="7">
        <f>+Tabla145[[#This Row],[Asignación mes n+2]]*Tabla145[[#This Row],[% Uti. producción]]</f>
        <v>6972.6655228335721</v>
      </c>
      <c r="BV165" s="7">
        <f>+Tabla145[[#This Row],[Ponderación mes n+2]]+Tabla145[[#This Row],[Saldo mes n-1]]</f>
        <v>14474.775046643095</v>
      </c>
      <c r="BW165" s="7">
        <f>+Tabla145[[#This Row],[Asignación mes n+2]]-Tabla145[[#This Row],[Ponderación mes n+2]]</f>
        <v>1027.3344771664279</v>
      </c>
      <c r="BX165" s="7">
        <f>IFERROR(VLOOKUP(Tabla145[[#This Row],[Llave]],'[21]RV n+2 y n+3'!$B:$F,5,FALSE),0)</f>
        <v>10000</v>
      </c>
      <c r="BY165" s="7">
        <f>+Tabla145[[#This Row],[Asignación mes n+3]]*Tabla145[[#This Row],[% Uti. producción]]</f>
        <v>8715.8319035419645</v>
      </c>
      <c r="BZ165" s="3">
        <f>+Tabla145[[#This Row],[Ponderación mes n+3]]+Tabla145[[#This Row],[Saldo mes n+2]]</f>
        <v>9743.1663807083933</v>
      </c>
      <c r="CA165" s="3">
        <f>+Tabla145[[#This Row],[Asignación mes n+3]]-Tabla145[[#This Row],[Ponderación mes n+3]]</f>
        <v>1284.1680964580355</v>
      </c>
      <c r="CB165" s="3">
        <f>+Tabla145[[#This Row],[Producción disponible mes n-1]]+Tabla145[[#This Row],[Producción disponible]]</f>
        <v>11440</v>
      </c>
      <c r="CC165" s="3">
        <f>+Tabla145[[#This Row],[Saldo mes n+4]]-Tabla145[[#This Row],[ RV Producción mes n+1]]</f>
        <v>0</v>
      </c>
    </row>
    <row r="166" spans="1:81" ht="16" x14ac:dyDescent="0.2">
      <c r="A166">
        <v>1</v>
      </c>
      <c r="B166" t="str">
        <f>Tabla145[[#This Row],[Oficina]]&amp;Tabla145[[#This Row],[Material]]</f>
        <v>Exportacion Directa1020802</v>
      </c>
      <c r="C166" t="s">
        <v>6</v>
      </c>
      <c r="D166" t="s">
        <v>88</v>
      </c>
      <c r="E166">
        <v>1020802</v>
      </c>
      <c r="F166" t="s">
        <v>123</v>
      </c>
      <c r="G166" t="s">
        <v>56</v>
      </c>
      <c r="H166" t="s">
        <v>57</v>
      </c>
      <c r="I166" s="7">
        <f>IFERROR(VLOOKUP(Tabla145[[#This Row],[Llave]],'[7]RV Producción'!$C:$G,5,FALSE),0)</f>
        <v>13111</v>
      </c>
      <c r="J166" s="3">
        <f>IFERROR(IF(Tabla145[[#This Row],[Oficina]]=$I$7,VLOOKUP(Tabla145[[#This Row],[Llave]],'[7]Shangai (Tomas)'!$A:$F,6,FALSE),VLOOKUP(Tabla145[[#This Row],[Llave]],'[7]RV plan de ventas'!$A:$E,5,FALSE)),0)</f>
        <v>41000</v>
      </c>
      <c r="K166" s="8">
        <f>IFERROR(VLOOKUP(Tabla145[[#This Row],[Oficina]],[15]Ponderación!$B$2:$E$9,4,FALSE),0)</f>
        <v>0.87158319035419651</v>
      </c>
      <c r="L166" s="7">
        <f>+Tabla145[[#This Row],[ RV Producción mes n+1]]*Tabla145[[#This Row],[% Uti. producción]]</f>
        <v>11427.32720873387</v>
      </c>
      <c r="M166" s="7">
        <f>IFERROR(VLOOKUP(Tabla145[[#This Row],[Material]],[16]Stock!$G:$K,5,FALSE),0)</f>
        <v>78556</v>
      </c>
      <c r="N166" s="7">
        <f>IFERROR(VLOOKUP(Tabla145[[#This Row],[Material]],[16]Produccion!$M:$N,2,FALSE),0)</f>
        <v>3692.4089590727685</v>
      </c>
      <c r="O166" s="7">
        <f>IFERROR(VLOOKUP(Tabla145[[#This Row],[Llave]],'[16]TD Conf-AP'!$I:$M,4,FALSE),0)</f>
        <v>30500</v>
      </c>
      <c r="P166" s="14">
        <f>SUM(Tabla145[[#This Row],[Producción disponible]],Tabla145[[#This Row],[Stock al día]],(Tabla145[[#This Row],[Por producir mes N]]*0.9))-Tabla145[[#This Row],[Producción por despachar mes N]]</f>
        <v>62806.495271899359</v>
      </c>
      <c r="Q166" s="7">
        <f>IFERROR(VLOOKUP(Tabla145[[#This Row],[Llave]],[17]DELAY!$A:$D,4,FALSE),0)</f>
        <v>38900</v>
      </c>
      <c r="R166" s="9">
        <v>8437.5</v>
      </c>
      <c r="S166" s="5">
        <f t="shared" si="7"/>
        <v>38900</v>
      </c>
      <c r="T166" s="76">
        <v>-11080</v>
      </c>
      <c r="U166" s="5">
        <f>+Tabla145[[#This Row],[Atraso a facturar]]+Tabla145[[#This Row],[Ajuste atraso]]</f>
        <v>27820</v>
      </c>
      <c r="V166" s="3">
        <f>+Tabla145[[#This Row],[Total disponible]]-Tabla145[[#This Row],[Facturación atraso]]</f>
        <v>34986.495271899359</v>
      </c>
      <c r="W166" s="6">
        <f>IFERROR(IF(AND(V166&gt;R166,J166&gt;=R166),ROUNDDOWN((Tabla145[[#This Row],[Producción para venta nueva]])/R166,0)*R166,0),0)</f>
        <v>33750</v>
      </c>
      <c r="X166" s="76">
        <v>-3324</v>
      </c>
      <c r="Y166" s="6">
        <f>IF(Tabla145[[#This Row],[Venta del mes]]&gt;0,Tabla145[[#This Row],[Venta del mes]]+Tabla145[[#This Row],[Ajuste venta nueva]],0)</f>
        <v>30426</v>
      </c>
      <c r="Z166" s="6">
        <f>+Tabla145[[#This Row],[Producción para venta nueva]]-Tabla145[[#This Row],[Facturación Venta nueva]]</f>
        <v>4560.4952718993591</v>
      </c>
      <c r="AA166" s="6">
        <f>IF(AND(A166=1,Tabla145[[#This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6" s="6">
        <v>0</v>
      </c>
      <c r="AC166" s="6">
        <f>IF(Tabla145[[#This Row],[Disponible stock sin venta]]&gt;0,Tabla145[[#This Row],[Disponible stock sin venta]]+Tabla145[[#This Row],[Ajuste stock sin venta]],0)</f>
        <v>0</v>
      </c>
      <c r="AD166" s="3">
        <f>IFERROR(VLOOKUP(Tabla145[[#This Row],[Llave]],'[16]TD Puerto'!$A:$D,4,FALSE),0)</f>
        <v>0</v>
      </c>
      <c r="AE166" s="3">
        <v>25312.5</v>
      </c>
      <c r="AF166" s="3">
        <f>+Tabla145[[#This Row],[Plan Irrestricto Inicial]]</f>
        <v>25312.5</v>
      </c>
      <c r="AG166" s="3">
        <f>+Tabla145[[#This Row],[En puerto a facturar]]</f>
        <v>0</v>
      </c>
      <c r="AH166" s="3">
        <f>+Tabla145[[#This Row],[Facturación atraso]]</f>
        <v>27820</v>
      </c>
      <c r="AI166" s="3">
        <f>+Tabla145[[#This Row],[Plan Irrestricto]]-Tabla145[[#This Row],[Puerto ]]-Tabla145[[#This Row],[Atraso]]</f>
        <v>-2507.5</v>
      </c>
      <c r="AJ166" s="3">
        <f>IF(Tabla145[[#This Row],[Plan Irrestricto]]&gt;0,SUM(Tabla145[[#This Row],[Facturación atraso]],Tabla145[[#This Row],[Facturación Venta nueva]],Tabla145[[#This Row],[Facturación stock]],Tabla145[[#This Row],[En puerto a facturar]]),0)</f>
        <v>58246</v>
      </c>
      <c r="AK166" s="3">
        <f>+Tabla145[[#This Row],[Facturación atraso]]</f>
        <v>27820</v>
      </c>
      <c r="AL166" s="3">
        <f>+Tabla145[[#This Row],[Plan Ajustado]]-Tabla145[[#This Row],[ Atraso ajustado]]-Tabla145[[#This Row],[Puerto ]]</f>
        <v>30426</v>
      </c>
      <c r="AM166" s="6">
        <f>IFERROR(VLOOKUP(Tabla145[[#This Row],[Llave]],[18]!Tabla14[#All],34,FALSE),0)</f>
        <v>0</v>
      </c>
      <c r="AN166" s="6">
        <f>IFERROR(VLOOKUP(Tabla145[[#This Row],[Llave]],[18]!Tabla14[#All],35,FALSE),0)</f>
        <v>0</v>
      </c>
      <c r="AO166" s="3" t="str">
        <f>IF(Tabla145[[#This Row],[Plan Ajustado]]&gt;Tabla145[[#This Row],[En puerto a facturar]],"Si","No")</f>
        <v>Si</v>
      </c>
      <c r="AP166" s="3">
        <f>IF(AND(Tabla145[[#This Row],[Plan Ajustado]]&gt;0,Tabla145[[#This Row],[Plan Ajustado]]&gt;Tabla145[[#This Row],[En puerto a facturar]]),(Tabla145[[#This Row],[Plan Ajustado]]-Tabla145[[#This Row],[En puerto a facturar]]),0)</f>
        <v>58246</v>
      </c>
      <c r="AQ166" s="3">
        <f>IF(Tabla145[[#This Row],[Necesidad]]&gt;=Tabla145[[#This Row],[Stock al día]],Tabla145[[#This Row],[Stock al día]],Tabla145[[#This Row],[Necesidad]])</f>
        <v>58246</v>
      </c>
      <c r="AR166" s="3">
        <f>+Tabla145[[#This Row],[Necesidad]]-Tabla145[[#This Row],[Stock Plan]]</f>
        <v>0</v>
      </c>
      <c r="AS166" s="155">
        <f>IFERROR(VLOOKUP(Tabla145[[#This Row],[Oficina]],[19]Ponderación!$B$14:$E$21,4,FALSE),"")</f>
        <v>44800</v>
      </c>
      <c r="AT16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4.68</v>
      </c>
      <c r="AU166" s="83">
        <f>IFERROR(VLOOKUP(Tabla145[[#This Row],[Llave]],[17]DELAY!$H:$W,16,FALSE),0)</f>
        <v>4.584109561641271</v>
      </c>
      <c r="AV16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4.6341999108069256</v>
      </c>
      <c r="AW166" s="5">
        <f>Tabla145[[#This Row],[Ajuste precio IC]]*Tabla145[[#This Row],[Plan Ajustado]]</f>
        <v>269923.60800486017</v>
      </c>
      <c r="AX166" s="30">
        <f>IFERROR(VLOOKUP(Tabla145[[#This Row],[Llave]],'[13]Ultimos precios facturados'!$A:$G,7,FALSE),0)</f>
        <v>4.3342186644834548</v>
      </c>
      <c r="AY16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6.9212300888659026E-2</v>
      </c>
      <c r="AZ166" s="30">
        <f>IFERROR(VLOOKUP(Tabla145[[#This Row],[Llave]],Hoja2!B:K,10,FALSE),0)</f>
        <v>4.6341999108069256</v>
      </c>
      <c r="BA166" s="30">
        <f>IF(Tabla145[[#This Row],[Ajuste precio IC]]="",Tabla145[[#This Row],[Precio ponderado]],Tabla145[[#This Row],[Precio ponderado]])</f>
        <v>4.6341999108069256</v>
      </c>
      <c r="BB166" s="82" t="s">
        <v>757</v>
      </c>
      <c r="BC166" s="82" t="str">
        <f>IF(AND(Tabla145[[#This Row],[Atraso a facturar]]&gt;0,Tabla145[[#This Row],[Precio Atraso]]=0),"Revisar","OK")</f>
        <v>OK</v>
      </c>
      <c r="BD166" s="82" t="str">
        <f>IF(AND(Tabla145[[#This Row],[Venta del mes]]&gt;0,Tabla145[[#This Row],[Precio venta nueva]]=0),"Revisar","OK")</f>
        <v>OK</v>
      </c>
      <c r="BE166" s="20">
        <f>IFERROR(VLOOKUP(Tabla145[[#This Row],[Llave]],'[5]Consolidación planes'!$A:$M,9,FALSE),0)</f>
        <v>103000</v>
      </c>
      <c r="BF166" s="20">
        <f>IFERROR(VLOOKUP(Tabla145[[#This Row],[Llave]],'[5]Consolidación planes'!$A:$M,10,FALSE),0)</f>
        <v>47000</v>
      </c>
      <c r="BG166" s="20">
        <f>IFERROR(VLOOKUP(Tabla145[[#This Row],[Llave]],'[5]Consolidación planes'!$A:$M,11,FALSE),0)</f>
        <v>95000</v>
      </c>
      <c r="BH166" s="20">
        <f>IFERROR(VLOOKUP(Tabla145[[#This Row],[Llave]],'[5]Consolidación planes'!$A:$M,12,FALSE),0)</f>
        <v>130000</v>
      </c>
      <c r="BI166" s="20">
        <f>IFERROR(VLOOKUP(Tabla145[[#This Row],[Llave]],'[5]Consolidación planes'!$A:$M,13,FALSE),0)</f>
        <v>92821</v>
      </c>
      <c r="BJ166" s="20">
        <f>IFERROR(VLOOKUP(Tabla145[[#This Row],[Llave]],'[13]Base ultimos planes'!$A:$M,13,FALSE),0)</f>
        <v>95563</v>
      </c>
      <c r="BK166" s="80">
        <f>IFERROR(VLOOKUP(Tabla145[[#This Row],[Llave]],'[13]Base ultimos planes'!$O:$AA,8,FALSE),0)</f>
        <v>518029.43709999998</v>
      </c>
      <c r="BL166" s="20">
        <f>IFERROR(VLOOKUP(Tabla145[[#This Row],[Llave]],'[13]Base ultimos planes'!$O:$AA,9,FALSE),0)</f>
        <v>220820</v>
      </c>
      <c r="BM166" s="20">
        <f>IFERROR(VLOOKUP(Tabla145[[#This Row],[Llave]],'[13]Base ultimos planes'!$O:$AA,10,FALSE),0)</f>
        <v>445408</v>
      </c>
      <c r="BN166" s="20">
        <f>IFERROR(VLOOKUP(Tabla145[[#This Row],[Llave]],'[13]Base ultimos planes'!$O:$AA,11,FALSE),0)</f>
        <v>591029</v>
      </c>
      <c r="BO166" s="20">
        <f>IFERROR(VLOOKUP(Tabla145[[#This Row],[Llave]],'[13]Base ultimos planes'!$O:$AA,12,FALSE),0)</f>
        <v>410262</v>
      </c>
      <c r="BP166" s="20">
        <f>IFERROR(VLOOKUP(Tabla145[[#This Row],[Llave]],'[13]Base ultimos planes'!$O:$AA,13,FALSE),0)</f>
        <v>398697</v>
      </c>
      <c r="BQ166" s="20"/>
      <c r="BR166" s="20">
        <f>Tabla145[[#This Row],[ RV Producción mes n+1]]*(1-Tabla145[[#This Row],[% Uti. producción]])</f>
        <v>1683.6727912661295</v>
      </c>
      <c r="BS166" s="20">
        <f>+Tabla145[[#This Row],[Producción disponible mes n-1]]+Tabla145[[#This Row],[Saldo Volumen disponible]]</f>
        <v>6244.168063165489</v>
      </c>
      <c r="BT166" s="7">
        <f>IFERROR(VLOOKUP(Tabla145[[#This Row],[Llave]],'[21]RV n+2 y n+3'!$B:$F,4,FALSE),0)</f>
        <v>60000</v>
      </c>
      <c r="BU166" s="7">
        <f>+Tabla145[[#This Row],[Asignación mes n+2]]*Tabla145[[#This Row],[% Uti. producción]]</f>
        <v>52294.991421251791</v>
      </c>
      <c r="BV166" s="7">
        <f>+Tabla145[[#This Row],[Ponderación mes n+2]]+Tabla145[[#This Row],[Saldo mes n-1]]</f>
        <v>58539.15948441728</v>
      </c>
      <c r="BW166" s="7">
        <f>+Tabla145[[#This Row],[Asignación mes n+2]]-Tabla145[[#This Row],[Ponderación mes n+2]]</f>
        <v>7705.0085787482094</v>
      </c>
      <c r="BX166" s="7">
        <f>IFERROR(VLOOKUP(Tabla145[[#This Row],[Llave]],'[21]RV n+2 y n+3'!$B:$F,5,FALSE),0)</f>
        <v>50000</v>
      </c>
      <c r="BY166" s="7">
        <f>+Tabla145[[#This Row],[Asignación mes n+3]]*Tabla145[[#This Row],[% Uti. producción]]</f>
        <v>43579.159517709828</v>
      </c>
      <c r="BZ166" s="3">
        <f>+Tabla145[[#This Row],[Ponderación mes n+3]]+Tabla145[[#This Row],[Saldo mes n+2]]</f>
        <v>51284.168096458037</v>
      </c>
      <c r="CA166" s="3">
        <f>+Tabla145[[#This Row],[Asignación mes n+3]]-Tabla145[[#This Row],[Ponderación mes n+3]]</f>
        <v>6420.8404822901721</v>
      </c>
      <c r="CB166" s="3">
        <f>+Tabla145[[#This Row],[Producción disponible mes n-1]]+Tabla145[[#This Row],[Producción disponible]]</f>
        <v>13111</v>
      </c>
      <c r="CC166" s="3">
        <f>+Tabla145[[#This Row],[Saldo mes n+4]]-Tabla145[[#This Row],[ RV Producción mes n+1]]</f>
        <v>0</v>
      </c>
    </row>
    <row r="167" spans="1:81" ht="16" x14ac:dyDescent="0.2">
      <c r="A167">
        <v>1</v>
      </c>
      <c r="B167" t="str">
        <f>Tabla145[[#This Row],[Oficina]]&amp;Tabla145[[#This Row],[Material]]</f>
        <v>Exportacion Directa1020810</v>
      </c>
      <c r="C167" t="s">
        <v>6</v>
      </c>
      <c r="D167" t="s">
        <v>88</v>
      </c>
      <c r="E167">
        <v>1020810</v>
      </c>
      <c r="F167" t="s">
        <v>138</v>
      </c>
      <c r="G167" t="s">
        <v>76</v>
      </c>
      <c r="H167" t="s">
        <v>79</v>
      </c>
      <c r="I167" s="7">
        <f>IFERROR(VLOOKUP(Tabla145[[#This Row],[Llave]],'[7]RV Producción'!$C:$G,5,FALSE),0)</f>
        <v>1487</v>
      </c>
      <c r="J167" s="3">
        <f>IFERROR(IF(Tabla145[[#This Row],[Oficina]]=$I$7,VLOOKUP(Tabla145[[#This Row],[Llave]],'[7]Shangai (Tomas)'!$A:$F,6,FALSE),VLOOKUP(Tabla145[[#This Row],[Llave]],'[7]RV plan de ventas'!$A:$E,5,FALSE)),0)</f>
        <v>2000</v>
      </c>
      <c r="K167" s="8">
        <f>IFERROR(VLOOKUP(Tabla145[[#This Row],[Oficina]],[15]Ponderación!$B$2:$E$9,4,FALSE),0)</f>
        <v>0.87158319035419651</v>
      </c>
      <c r="L167" s="7">
        <f>+Tabla145[[#This Row],[ RV Producción mes n+1]]*Tabla145[[#This Row],[% Uti. producción]]</f>
        <v>1296.0442040566902</v>
      </c>
      <c r="M167" s="7">
        <f>IFERROR(VLOOKUP(Tabla145[[#This Row],[Material]],[16]Stock!$G:$K,5,FALSE),0)</f>
        <v>1110</v>
      </c>
      <c r="N167" s="7">
        <f>IFERROR(VLOOKUP(Tabla145[[#This Row],[Material]],[16]Produccion!$M:$N,2,FALSE),0)</f>
        <v>3500</v>
      </c>
      <c r="O167" s="7">
        <f>IFERROR(VLOOKUP(Tabla145[[#This Row],[Llave]],'[16]TD Conf-AP'!$I:$M,4,FALSE),0)</f>
        <v>0</v>
      </c>
      <c r="P167" s="14">
        <f>SUM(Tabla145[[#This Row],[Producción disponible]],Tabla145[[#This Row],[Stock al día]],(Tabla145[[#This Row],[Por producir mes N]]*0.9))-Tabla145[[#This Row],[Producción por despachar mes N]]</f>
        <v>5556.0442040566904</v>
      </c>
      <c r="Q167" s="7">
        <f>IFERROR(VLOOKUP(Tabla145[[#This Row],[Llave]],[17]DELAY!$A:$D,4,FALSE),0)</f>
        <v>4330</v>
      </c>
      <c r="R167" s="9">
        <v>1500</v>
      </c>
      <c r="S167" s="5">
        <f t="shared" si="7"/>
        <v>4330</v>
      </c>
      <c r="T167" s="76">
        <v>0</v>
      </c>
      <c r="U167" s="5">
        <f>+Tabla145[[#This Row],[Atraso a facturar]]+Tabla145[[#This Row],[Ajuste atraso]]</f>
        <v>4330</v>
      </c>
      <c r="V167" s="3">
        <f>+Tabla145[[#This Row],[Total disponible]]-Tabla145[[#This Row],[Facturación atraso]]</f>
        <v>1226.0442040566904</v>
      </c>
      <c r="W167" s="6">
        <f>IFERROR(IF(AND(V167&gt;R167,J167&gt;=R167),ROUNDDOWN((Tabla145[[#This Row],[Producción para venta nueva]])/R167,0)*R167,0),0)</f>
        <v>0</v>
      </c>
      <c r="X167" s="76">
        <v>0</v>
      </c>
      <c r="Y167" s="6">
        <f>IF(Tabla145[[#This Row],[Venta del mes]]&gt;0,Tabla145[[#This Row],[Venta del mes]]+Tabla145[[#This Row],[Ajuste venta nueva]],0)</f>
        <v>0</v>
      </c>
      <c r="Z167" s="6">
        <f>+Tabla145[[#This Row],[Producción para venta nueva]]-Tabla145[[#This Row],[Facturación Venta nueva]]</f>
        <v>1226.0442040566904</v>
      </c>
      <c r="AA167" s="6">
        <f>IF(AND(A167=1,Tabla145[[#This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7" s="6">
        <v>0</v>
      </c>
      <c r="AC167" s="6">
        <f>IF(Tabla145[[#This Row],[Disponible stock sin venta]]&gt;0,Tabla145[[#This Row],[Disponible stock sin venta]]+Tabla145[[#This Row],[Ajuste stock sin venta]],0)</f>
        <v>0</v>
      </c>
      <c r="AD167" s="3">
        <f>IFERROR(VLOOKUP(Tabla145[[#This Row],[Llave]],'[16]TD Puerto'!$A:$D,4,FALSE),0)</f>
        <v>0</v>
      </c>
      <c r="AE167" s="3">
        <v>4330</v>
      </c>
      <c r="AF167" s="3">
        <f>+Tabla145[[#This Row],[Plan Irrestricto Inicial]]</f>
        <v>4330</v>
      </c>
      <c r="AG167" s="3">
        <f>+Tabla145[[#This Row],[En puerto a facturar]]</f>
        <v>0</v>
      </c>
      <c r="AH167" s="3">
        <f>+Tabla145[[#This Row],[Facturación atraso]]</f>
        <v>4330</v>
      </c>
      <c r="AI167" s="3">
        <f>+Tabla145[[#This Row],[Plan Irrestricto]]-Tabla145[[#This Row],[Puerto ]]-Tabla145[[#This Row],[Atraso]]</f>
        <v>0</v>
      </c>
      <c r="AJ167" s="3">
        <f>IF(Tabla145[[#This Row],[Plan Irrestricto]]&gt;0,SUM(Tabla145[[#This Row],[Facturación atraso]],Tabla145[[#This Row],[Facturación Venta nueva]],Tabla145[[#This Row],[Facturación stock]],Tabla145[[#This Row],[En puerto a facturar]]),0)</f>
        <v>4330</v>
      </c>
      <c r="AK167" s="3">
        <f>+Tabla145[[#This Row],[Facturación atraso]]</f>
        <v>4330</v>
      </c>
      <c r="AL167" s="3">
        <f>+Tabla145[[#This Row],[Plan Ajustado]]-Tabla145[[#This Row],[ Atraso ajustado]]-Tabla145[[#This Row],[Puerto ]]</f>
        <v>0</v>
      </c>
      <c r="AM167" s="6">
        <f>IFERROR(VLOOKUP(Tabla145[[#This Row],[Llave]],[18]!Tabla14[#All],34,FALSE),0)</f>
        <v>0</v>
      </c>
      <c r="AN167" s="6">
        <f>IFERROR(VLOOKUP(Tabla145[[#This Row],[Llave]],[18]!Tabla14[#All],35,FALSE),0)</f>
        <v>0</v>
      </c>
      <c r="AO167" s="3" t="str">
        <f>IF(Tabla145[[#This Row],[Plan Ajustado]]&gt;Tabla145[[#This Row],[En puerto a facturar]],"Si","No")</f>
        <v>Si</v>
      </c>
      <c r="AP167" s="3">
        <f>IF(AND(Tabla145[[#This Row],[Plan Ajustado]]&gt;0,Tabla145[[#This Row],[Plan Ajustado]]&gt;Tabla145[[#This Row],[En puerto a facturar]]),(Tabla145[[#This Row],[Plan Ajustado]]-Tabla145[[#This Row],[En puerto a facturar]]),0)</f>
        <v>4330</v>
      </c>
      <c r="AQ167" s="3">
        <f>IF(Tabla145[[#This Row],[Necesidad]]&gt;=Tabla145[[#This Row],[Stock al día]],Tabla145[[#This Row],[Stock al día]],Tabla145[[#This Row],[Necesidad]])</f>
        <v>1110</v>
      </c>
      <c r="AR167" s="3">
        <f>+Tabla145[[#This Row],[Necesidad]]-Tabla145[[#This Row],[Stock Plan]]</f>
        <v>3220</v>
      </c>
      <c r="AS167" s="155">
        <f>IFERROR(VLOOKUP(Tabla145[[#This Row],[Oficina]],[19]Ponderación!$B$14:$E$21,4,FALSE),"")</f>
        <v>44800</v>
      </c>
      <c r="AT16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3.96</v>
      </c>
      <c r="AU167" s="83">
        <f>IFERROR(VLOOKUP(Tabla145[[#This Row],[Llave]],[17]DELAY!$H:$W,16,FALSE),0)</f>
        <v>3.5806411476474156</v>
      </c>
      <c r="AV16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3.5806411476474156</v>
      </c>
      <c r="AW167" s="5">
        <f>Tabla145[[#This Row],[Ajuste precio IC]]*Tabla145[[#This Row],[Plan Ajustado]]</f>
        <v>15504.17616931331</v>
      </c>
      <c r="AX167" s="30">
        <f>IFERROR(VLOOKUP(Tabla145[[#This Row],[Llave]],'[13]Ultimos precios facturados'!$A:$G,7,FALSE),0)</f>
        <v>3.243279405128205</v>
      </c>
      <c r="AY16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0.10401871081035488</v>
      </c>
      <c r="AZ167" s="30">
        <f>IFERROR(VLOOKUP(Tabla145[[#This Row],[Llave]],Hoja2!B:K,10,FALSE),0)</f>
        <v>3.5806411476474156</v>
      </c>
      <c r="BA167" s="30">
        <f>IF(Tabla145[[#This Row],[Ajuste precio IC]]="",Tabla145[[#This Row],[Precio ponderado]],Tabla145[[#This Row],[Precio ponderado]])</f>
        <v>3.5806411476474156</v>
      </c>
      <c r="BB167" s="82"/>
      <c r="BC167" s="82" t="str">
        <f>IF(AND(Tabla145[[#This Row],[Atraso a facturar]]&gt;0,Tabla145[[#This Row],[Precio Atraso]]=0),"Revisar","OK")</f>
        <v>OK</v>
      </c>
      <c r="BD167" s="82" t="str">
        <f>IF(AND(Tabla145[[#This Row],[Venta del mes]]&gt;0,Tabla145[[#This Row],[Precio venta nueva]]=0),"Revisar","OK")</f>
        <v>OK</v>
      </c>
      <c r="BE167" s="20">
        <f>IFERROR(VLOOKUP(Tabla145[[#This Row],[Llave]],'[5]Consolidación planes'!$A:$M,9,FALSE),0)</f>
        <v>5000</v>
      </c>
      <c r="BF167" s="20">
        <f>IFERROR(VLOOKUP(Tabla145[[#This Row],[Llave]],'[5]Consolidación planes'!$A:$M,10,FALSE),0)</f>
        <v>6000</v>
      </c>
      <c r="BG167" s="20">
        <f>IFERROR(VLOOKUP(Tabla145[[#This Row],[Llave]],'[5]Consolidación planes'!$A:$M,11,FALSE),0)</f>
        <v>2500</v>
      </c>
      <c r="BH167" s="20">
        <f>IFERROR(VLOOKUP(Tabla145[[#This Row],[Llave]],'[5]Consolidación planes'!$A:$M,12,FALSE),0)</f>
        <v>0</v>
      </c>
      <c r="BI167" s="20">
        <f>IFERROR(VLOOKUP(Tabla145[[#This Row],[Llave]],'[5]Consolidación planes'!$A:$M,13,FALSE),0)</f>
        <v>6000</v>
      </c>
      <c r="BJ167" s="20">
        <f>IFERROR(VLOOKUP(Tabla145[[#This Row],[Llave]],'[13]Base ultimos planes'!$A:$M,13,FALSE),0)</f>
        <v>1500</v>
      </c>
      <c r="BK167" s="80">
        <f>IFERROR(VLOOKUP(Tabla145[[#This Row],[Llave]],'[13]Base ultimos planes'!$O:$AA,8,FALSE),0)</f>
        <v>17987.201300000001</v>
      </c>
      <c r="BL167" s="20">
        <f>IFERROR(VLOOKUP(Tabla145[[#This Row],[Llave]],'[13]Base ultimos planes'!$O:$AA,9,FALSE),0)</f>
        <v>21135</v>
      </c>
      <c r="BM167" s="20">
        <f>IFERROR(VLOOKUP(Tabla145[[#This Row],[Llave]],'[13]Base ultimos planes'!$O:$AA,10,FALSE),0)</f>
        <v>8690</v>
      </c>
      <c r="BN167" s="20">
        <f>IFERROR(VLOOKUP(Tabla145[[#This Row],[Llave]],'[13]Base ultimos planes'!$O:$AA,11,FALSE),0)</f>
        <v>0</v>
      </c>
      <c r="BO167" s="20">
        <f>IFERROR(VLOOKUP(Tabla145[[#This Row],[Llave]],'[13]Base ultimos planes'!$O:$AA,12,FALSE),0)</f>
        <v>20254</v>
      </c>
      <c r="BP167" s="20">
        <f>IFERROR(VLOOKUP(Tabla145[[#This Row],[Llave]],'[13]Base ultimos planes'!$O:$AA,13,FALSE),0)</f>
        <v>4841</v>
      </c>
      <c r="BQ167" s="20"/>
      <c r="BR167" s="20">
        <f>Tabla145[[#This Row],[ RV Producción mes n+1]]*(1-Tabla145[[#This Row],[% Uti. producción]])</f>
        <v>190.95579594330979</v>
      </c>
      <c r="BS167" s="20">
        <f>+Tabla145[[#This Row],[Producción disponible mes n-1]]+Tabla145[[#This Row],[Saldo Volumen disponible]]</f>
        <v>1417.0000000000002</v>
      </c>
      <c r="BT167" s="7">
        <f>IFERROR(VLOOKUP(Tabla145[[#This Row],[Llave]],'[21]RV n+2 y n+3'!$B:$F,4,FALSE),0)</f>
        <v>2000</v>
      </c>
      <c r="BU167" s="7">
        <f>+Tabla145[[#This Row],[Asignación mes n+2]]*Tabla145[[#This Row],[% Uti. producción]]</f>
        <v>1743.166380708393</v>
      </c>
      <c r="BV167" s="7">
        <f>+Tabla145[[#This Row],[Ponderación mes n+2]]+Tabla145[[#This Row],[Saldo mes n-1]]</f>
        <v>3160.1663807083933</v>
      </c>
      <c r="BW167" s="7">
        <f>+Tabla145[[#This Row],[Asignación mes n+2]]-Tabla145[[#This Row],[Ponderación mes n+2]]</f>
        <v>256.83361929160696</v>
      </c>
      <c r="BX167" s="7">
        <f>IFERROR(VLOOKUP(Tabla145[[#This Row],[Llave]],'[21]RV n+2 y n+3'!$B:$F,5,FALSE),0)</f>
        <v>5000</v>
      </c>
      <c r="BY167" s="7">
        <f>+Tabla145[[#This Row],[Asignación mes n+3]]*Tabla145[[#This Row],[% Uti. producción]]</f>
        <v>4357.9159517709822</v>
      </c>
      <c r="BZ167" s="3">
        <f>+Tabla145[[#This Row],[Ponderación mes n+3]]+Tabla145[[#This Row],[Saldo mes n+2]]</f>
        <v>4614.749571062589</v>
      </c>
      <c r="CA167" s="3">
        <f>+Tabla145[[#This Row],[Asignación mes n+3]]-Tabla145[[#This Row],[Ponderación mes n+3]]</f>
        <v>642.08404822901775</v>
      </c>
      <c r="CB167" s="3">
        <f>+Tabla145[[#This Row],[Producción disponible mes n-1]]+Tabla145[[#This Row],[Producción disponible]]</f>
        <v>1487</v>
      </c>
      <c r="CC167" s="3">
        <f>+Tabla145[[#This Row],[Saldo mes n+4]]-Tabla145[[#This Row],[ RV Producción mes n+1]]</f>
        <v>0</v>
      </c>
    </row>
    <row r="168" spans="1:81" ht="16" x14ac:dyDescent="0.2">
      <c r="A168">
        <v>1</v>
      </c>
      <c r="B168" t="str">
        <f>Tabla145[[#This Row],[Oficina]]&amp;Tabla145[[#This Row],[Material]]</f>
        <v>Exportacion Directa1020914</v>
      </c>
      <c r="C168" t="s">
        <v>6</v>
      </c>
      <c r="D168" t="s">
        <v>88</v>
      </c>
      <c r="E168">
        <v>1020914</v>
      </c>
      <c r="F168" t="s">
        <v>120</v>
      </c>
      <c r="G168" t="s">
        <v>56</v>
      </c>
      <c r="H168" t="s">
        <v>118</v>
      </c>
      <c r="I168" s="7">
        <f>IFERROR(VLOOKUP(Tabla145[[#This Row],[Llave]],'[7]RV Producción'!$C:$G,5,FALSE),0)</f>
        <v>23027</v>
      </c>
      <c r="J168" s="3">
        <f>IFERROR(IF(Tabla145[[#This Row],[Oficina]]=$I$7,VLOOKUP(Tabla145[[#This Row],[Llave]],'[7]Shangai (Tomas)'!$A:$F,6,FALSE),VLOOKUP(Tabla145[[#This Row],[Llave]],'[7]RV plan de ventas'!$A:$E,5,FALSE)),0)</f>
        <v>9000</v>
      </c>
      <c r="K168" s="8">
        <f>IFERROR(VLOOKUP(Tabla145[[#This Row],[Oficina]],[15]Ponderación!$B$2:$E$9,4,FALSE),0)</f>
        <v>0.87158319035419651</v>
      </c>
      <c r="L168" s="7">
        <f>+Tabla145[[#This Row],[ RV Producción mes n+1]]*Tabla145[[#This Row],[% Uti. producción]]</f>
        <v>20069.946124286082</v>
      </c>
      <c r="M168" s="7">
        <f>IFERROR(VLOOKUP(Tabla145[[#This Row],[Material]],[16]Stock!$G:$K,5,FALSE),0)</f>
        <v>2501</v>
      </c>
      <c r="N168" s="7">
        <f>IFERROR(VLOOKUP(Tabla145[[#This Row],[Material]],[16]Produccion!$M:$N,2,FALSE),0)</f>
        <v>2893</v>
      </c>
      <c r="O168" s="7">
        <f>IFERROR(VLOOKUP(Tabla145[[#This Row],[Llave]],'[16]TD Conf-AP'!$I:$M,4,FALSE),0)</f>
        <v>2000</v>
      </c>
      <c r="P168" s="14">
        <f>SUM(Tabla145[[#This Row],[Producción disponible]],Tabla145[[#This Row],[Stock al día]],(Tabla145[[#This Row],[Por producir mes N]]*0.9))-Tabla145[[#This Row],[Producción por despachar mes N]]</f>
        <v>23174.646124286082</v>
      </c>
      <c r="Q168" s="7">
        <f>IFERROR(VLOOKUP(Tabla145[[#This Row],[Llave]],[17]DELAY!$A:$D,4,FALSE),0)</f>
        <v>17000</v>
      </c>
      <c r="R168" s="9">
        <v>1285.7142857142858</v>
      </c>
      <c r="S168" s="5">
        <f t="shared" si="7"/>
        <v>17000</v>
      </c>
      <c r="T168" s="76">
        <v>0</v>
      </c>
      <c r="U168" s="5">
        <f>+Tabla145[[#This Row],[Atraso a facturar]]+Tabla145[[#This Row],[Ajuste atraso]]</f>
        <v>17000</v>
      </c>
      <c r="V168" s="3">
        <f>+Tabla145[[#This Row],[Total disponible]]-Tabla145[[#This Row],[Facturación atraso]]</f>
        <v>6174.6461242860823</v>
      </c>
      <c r="W168" s="6">
        <f>IFERROR(IF(AND(V168&gt;R168,J168&gt;=R168),ROUNDDOWN((Tabla145[[#This Row],[Producción para venta nueva]])/R168,0)*R168,0),0)</f>
        <v>5142.8571428571431</v>
      </c>
      <c r="X168" s="76">
        <v>0</v>
      </c>
      <c r="Y168" s="6">
        <f>IF(Tabla145[[#This Row],[Venta del mes]]&gt;0,Tabla145[[#This Row],[Venta del mes]]+Tabla145[[#This Row],[Ajuste venta nueva]],0)</f>
        <v>5142.8571428571431</v>
      </c>
      <c r="Z168" s="6">
        <f>+Tabla145[[#This Row],[Producción para venta nueva]]-Tabla145[[#This Row],[Facturación Venta nueva]]</f>
        <v>1031.7889814289392</v>
      </c>
      <c r="AA168" s="6">
        <f>IF(AND(A168=1,Tabla145[[#This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8" s="6">
        <v>0</v>
      </c>
      <c r="AC168" s="6">
        <f>IF(Tabla145[[#This Row],[Disponible stock sin venta]]&gt;0,Tabla145[[#This Row],[Disponible stock sin venta]]+Tabla145[[#This Row],[Ajuste stock sin venta]],0)</f>
        <v>0</v>
      </c>
      <c r="AD168" s="3">
        <f>IFERROR(VLOOKUP(Tabla145[[#This Row],[Llave]],'[16]TD Puerto'!$A:$D,4,FALSE),0)</f>
        <v>0</v>
      </c>
      <c r="AE168" s="3">
        <v>22142.857142857145</v>
      </c>
      <c r="AF168" s="3">
        <f>+Tabla145[[#This Row],[Plan Irrestricto Inicial]]</f>
        <v>22142.857142857145</v>
      </c>
      <c r="AG168" s="3">
        <f>+Tabla145[[#This Row],[En puerto a facturar]]</f>
        <v>0</v>
      </c>
      <c r="AH168" s="3">
        <f>+Tabla145[[#This Row],[Facturación atraso]]</f>
        <v>17000</v>
      </c>
      <c r="AI168" s="3">
        <f>+Tabla145[[#This Row],[Plan Irrestricto]]-Tabla145[[#This Row],[Puerto ]]-Tabla145[[#This Row],[Atraso]]</f>
        <v>5142.8571428571449</v>
      </c>
      <c r="AJ168" s="3">
        <f>IF(Tabla145[[#This Row],[Plan Irrestricto]]&gt;0,SUM(Tabla145[[#This Row],[Facturación atraso]],Tabla145[[#This Row],[Facturación Venta nueva]],Tabla145[[#This Row],[Facturación stock]],Tabla145[[#This Row],[En puerto a facturar]]),0)</f>
        <v>22142.857142857145</v>
      </c>
      <c r="AK168" s="3">
        <f>+Tabla145[[#This Row],[Facturación atraso]]</f>
        <v>17000</v>
      </c>
      <c r="AL168" s="3">
        <f>+Tabla145[[#This Row],[Plan Ajustado]]-Tabla145[[#This Row],[ Atraso ajustado]]-Tabla145[[#This Row],[Puerto ]]</f>
        <v>5142.8571428571449</v>
      </c>
      <c r="AM168" s="6">
        <f>IFERROR(VLOOKUP(Tabla145[[#This Row],[Llave]],[18]!Tabla14[#All],34,FALSE),0)</f>
        <v>0</v>
      </c>
      <c r="AN168" s="6">
        <f>IFERROR(VLOOKUP(Tabla145[[#This Row],[Llave]],[18]!Tabla14[#All],35,FALSE),0)</f>
        <v>0</v>
      </c>
      <c r="AO168" s="3" t="str">
        <f>IF(Tabla145[[#This Row],[Plan Ajustado]]&gt;Tabla145[[#This Row],[En puerto a facturar]],"Si","No")</f>
        <v>Si</v>
      </c>
      <c r="AP168" s="3">
        <f>IF(AND(Tabla145[[#This Row],[Plan Ajustado]]&gt;0,Tabla145[[#This Row],[Plan Ajustado]]&gt;Tabla145[[#This Row],[En puerto a facturar]]),(Tabla145[[#This Row],[Plan Ajustado]]-Tabla145[[#This Row],[En puerto a facturar]]),0)</f>
        <v>22142.857142857145</v>
      </c>
      <c r="AQ168" s="3">
        <f>IF(Tabla145[[#This Row],[Necesidad]]&gt;=Tabla145[[#This Row],[Stock al día]],Tabla145[[#This Row],[Stock al día]],Tabla145[[#This Row],[Necesidad]])</f>
        <v>2501</v>
      </c>
      <c r="AR168" s="3">
        <f>+Tabla145[[#This Row],[Necesidad]]-Tabla145[[#This Row],[Stock Plan]]</f>
        <v>19641.857142857145</v>
      </c>
      <c r="AS168" s="155">
        <f>IFERROR(VLOOKUP(Tabla145[[#This Row],[Oficina]],[19]Ponderación!$B$14:$E$21,4,FALSE),"")</f>
        <v>44800</v>
      </c>
      <c r="AT16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5.4</v>
      </c>
      <c r="AU168" s="83">
        <f>IFERROR(VLOOKUP(Tabla145[[#This Row],[Llave]],[17]DELAY!$H:$W,16,FALSE),0)</f>
        <v>5.4333122729225023</v>
      </c>
      <c r="AV16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5.4255752288888885</v>
      </c>
      <c r="AW168" s="5">
        <f>Tabla145[[#This Row],[Ajuste precio IC]]*Tabla145[[#This Row],[Plan Ajustado]]</f>
        <v>120137.73721111112</v>
      </c>
      <c r="AX168" s="30">
        <f>IFERROR(VLOOKUP(Tabla145[[#This Row],[Llave]],'[13]Ultimos precios facturados'!$A:$G,7,FALSE),0)</f>
        <v>5.1318059372396556</v>
      </c>
      <c r="AY16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5.724481697903961E-2</v>
      </c>
      <c r="AZ168" s="30">
        <f>IFERROR(VLOOKUP(Tabla145[[#This Row],[Llave]],Hoja2!B:K,10,FALSE),0)</f>
        <v>5.4255752288888885</v>
      </c>
      <c r="BA168" s="30">
        <f>IF(Tabla145[[#This Row],[Ajuste precio IC]]="",Tabla145[[#This Row],[Precio ponderado]],Tabla145[[#This Row],[Precio ponderado]])</f>
        <v>5.4255752288888885</v>
      </c>
      <c r="BB168" s="82"/>
      <c r="BC168" s="82" t="str">
        <f>IF(AND(Tabla145[[#This Row],[Atraso a facturar]]&gt;0,Tabla145[[#This Row],[Precio Atraso]]=0),"Revisar","OK")</f>
        <v>OK</v>
      </c>
      <c r="BD168" s="82" t="str">
        <f>IF(AND(Tabla145[[#This Row],[Venta del mes]]&gt;0,Tabla145[[#This Row],[Precio venta nueva]]=0),"Revisar","OK")</f>
        <v>OK</v>
      </c>
      <c r="BE168" s="20">
        <f>IFERROR(VLOOKUP(Tabla145[[#This Row],[Llave]],'[5]Consolidación planes'!$A:$M,9,FALSE),0)</f>
        <v>3000</v>
      </c>
      <c r="BF168" s="20">
        <f>IFERROR(VLOOKUP(Tabla145[[#This Row],[Llave]],'[5]Consolidación planes'!$A:$M,10,FALSE),0)</f>
        <v>0</v>
      </c>
      <c r="BG168" s="20">
        <f>IFERROR(VLOOKUP(Tabla145[[#This Row],[Llave]],'[5]Consolidación planes'!$A:$M,11,FALSE),0)</f>
        <v>3000</v>
      </c>
      <c r="BH168" s="20">
        <f>IFERROR(VLOOKUP(Tabla145[[#This Row],[Llave]],'[5]Consolidación planes'!$A:$M,12,FALSE),0)</f>
        <v>15000</v>
      </c>
      <c r="BI168" s="20">
        <f>IFERROR(VLOOKUP(Tabla145[[#This Row],[Llave]],'[5]Consolidación planes'!$A:$M,13,FALSE),0)</f>
        <v>10000</v>
      </c>
      <c r="BJ168" s="20">
        <f>IFERROR(VLOOKUP(Tabla145[[#This Row],[Llave]],'[13]Base ultimos planes'!$A:$M,13,FALSE),0)</f>
        <v>12786</v>
      </c>
      <c r="BK168" s="80">
        <f>IFERROR(VLOOKUP(Tabla145[[#This Row],[Llave]],'[13]Base ultimos planes'!$O:$AA,8,FALSE),0)</f>
        <v>17508.131799999999</v>
      </c>
      <c r="BL168" s="20">
        <f>IFERROR(VLOOKUP(Tabla145[[#This Row],[Llave]],'[13]Base ultimos planes'!$O:$AA,9,FALSE),0)</f>
        <v>0</v>
      </c>
      <c r="BM168" s="20">
        <f>IFERROR(VLOOKUP(Tabla145[[#This Row],[Llave]],'[13]Base ultimos planes'!$O:$AA,10,FALSE),0)</f>
        <v>17286</v>
      </c>
      <c r="BN168" s="20">
        <f>IFERROR(VLOOKUP(Tabla145[[#This Row],[Llave]],'[13]Base ultimos planes'!$O:$AA,11,FALSE),0)</f>
        <v>84027</v>
      </c>
      <c r="BO168" s="20">
        <f>IFERROR(VLOOKUP(Tabla145[[#This Row],[Llave]],'[13]Base ultimos planes'!$O:$AA,12,FALSE),0)</f>
        <v>55306</v>
      </c>
      <c r="BP168" s="20">
        <f>IFERROR(VLOOKUP(Tabla145[[#This Row],[Llave]],'[13]Base ultimos planes'!$O:$AA,13,FALSE),0)</f>
        <v>65820</v>
      </c>
      <c r="BQ168" s="20"/>
      <c r="BR168" s="20">
        <f>Tabla145[[#This Row],[ RV Producción mes n+1]]*(1-Tabla145[[#This Row],[% Uti. producción]])</f>
        <v>2957.053875713917</v>
      </c>
      <c r="BS168" s="20">
        <f>+Tabla145[[#This Row],[Producción disponible mes n-1]]+Tabla145[[#This Row],[Saldo Volumen disponible]]</f>
        <v>3988.8428571428562</v>
      </c>
      <c r="BT168" s="7">
        <f>IFERROR(VLOOKUP(Tabla145[[#This Row],[Llave]],'[21]RV n+2 y n+3'!$B:$F,4,FALSE),0)</f>
        <v>10939.950800000001</v>
      </c>
      <c r="BU168" s="7">
        <f>+Tabla145[[#This Row],[Asignación mes n+2]]*Tabla145[[#This Row],[% Uti. producción]]</f>
        <v>9535.0772205819449</v>
      </c>
      <c r="BV168" s="7">
        <f>+Tabla145[[#This Row],[Ponderación mes n+2]]+Tabla145[[#This Row],[Saldo mes n-1]]</f>
        <v>13523.920077724801</v>
      </c>
      <c r="BW168" s="7">
        <f>+Tabla145[[#This Row],[Asignación mes n+2]]-Tabla145[[#This Row],[Ponderación mes n+2]]</f>
        <v>1404.8735794180557</v>
      </c>
      <c r="BX168" s="7">
        <f>IFERROR(VLOOKUP(Tabla145[[#This Row],[Llave]],'[21]RV n+2 y n+3'!$B:$F,5,FALSE),0)</f>
        <v>7000</v>
      </c>
      <c r="BY168" s="7">
        <f>+Tabla145[[#This Row],[Asignación mes n+3]]*Tabla145[[#This Row],[% Uti. producción]]</f>
        <v>6101.0823324793755</v>
      </c>
      <c r="BZ168" s="3">
        <f>+Tabla145[[#This Row],[Ponderación mes n+3]]+Tabla145[[#This Row],[Saldo mes n+2]]</f>
        <v>7505.9559118974312</v>
      </c>
      <c r="CA168" s="3">
        <f>+Tabla145[[#This Row],[Asignación mes n+3]]-Tabla145[[#This Row],[Ponderación mes n+3]]</f>
        <v>898.91766752062449</v>
      </c>
      <c r="CB168" s="3">
        <f>+Tabla145[[#This Row],[Producción disponible mes n-1]]+Tabla145[[#This Row],[Producción disponible]]</f>
        <v>23027</v>
      </c>
      <c r="CC168" s="3">
        <f>+Tabla145[[#This Row],[Saldo mes n+4]]-Tabla145[[#This Row],[ RV Producción mes n+1]]</f>
        <v>0</v>
      </c>
    </row>
    <row r="169" spans="1:81" ht="16" x14ac:dyDescent="0.2">
      <c r="A169">
        <v>1</v>
      </c>
      <c r="B169" t="str">
        <f>Tabla145[[#This Row],[Oficina]]&amp;Tabla145[[#This Row],[Material]]</f>
        <v>Exportacion Directa1020990</v>
      </c>
      <c r="C169" t="s">
        <v>6</v>
      </c>
      <c r="D169" t="s">
        <v>88</v>
      </c>
      <c r="E169">
        <v>1020990</v>
      </c>
      <c r="F169" t="s">
        <v>132</v>
      </c>
      <c r="G169" t="s">
        <v>59</v>
      </c>
      <c r="H169" t="s">
        <v>65</v>
      </c>
      <c r="I169" s="7">
        <f>IFERROR(VLOOKUP(Tabla145[[#This Row],[Llave]],'[7]RV Producción'!$C:$G,5,FALSE),0)</f>
        <v>1181</v>
      </c>
      <c r="J169" s="3">
        <f>IFERROR(IF(Tabla145[[#This Row],[Oficina]]=$I$7,VLOOKUP(Tabla145[[#This Row],[Llave]],'[7]Shangai (Tomas)'!$A:$F,6,FALSE),VLOOKUP(Tabla145[[#This Row],[Llave]],'[7]RV plan de ventas'!$A:$E,5,FALSE)),0)</f>
        <v>5000</v>
      </c>
      <c r="K169" s="8">
        <f>IFERROR(VLOOKUP(Tabla145[[#This Row],[Oficina]],[15]Ponderación!$B$2:$E$9,4,FALSE),0)</f>
        <v>0.87158319035419651</v>
      </c>
      <c r="L169" s="7">
        <f>+Tabla145[[#This Row],[ RV Producción mes n+1]]*Tabla145[[#This Row],[% Uti. producción]]</f>
        <v>1029.3397478083061</v>
      </c>
      <c r="M169" s="7">
        <f>IFERROR(VLOOKUP(Tabla145[[#This Row],[Material]],[16]Stock!$G:$K,5,FALSE),0)</f>
        <v>8319</v>
      </c>
      <c r="N169" s="7">
        <f>IFERROR(VLOOKUP(Tabla145[[#This Row],[Material]],[16]Produccion!$M:$N,2,FALSE),0)</f>
        <v>0</v>
      </c>
      <c r="O169" s="7">
        <f>IFERROR(VLOOKUP(Tabla145[[#This Row],[Llave]],'[16]TD Conf-AP'!$I:$M,4,FALSE),0)</f>
        <v>0</v>
      </c>
      <c r="P169" s="14">
        <f>SUM(Tabla145[[#This Row],[Producción disponible]],Tabla145[[#This Row],[Stock al día]],(Tabla145[[#This Row],[Por producir mes N]]*0.9))-Tabla145[[#This Row],[Producción por despachar mes N]]</f>
        <v>9348.3397478083061</v>
      </c>
      <c r="Q169" s="7">
        <f>IFERROR(VLOOKUP(Tabla145[[#This Row],[Llave]],[17]DELAY!$A:$D,4,FALSE),0)</f>
        <v>5000</v>
      </c>
      <c r="R169" s="9">
        <v>2666.6666666666665</v>
      </c>
      <c r="S169" s="5">
        <f t="shared" si="7"/>
        <v>5000</v>
      </c>
      <c r="T169" s="76">
        <v>-1108</v>
      </c>
      <c r="U169" s="5">
        <f>+Tabla145[[#This Row],[Atraso a facturar]]+Tabla145[[#This Row],[Ajuste atraso]]</f>
        <v>3892</v>
      </c>
      <c r="V169" s="3">
        <f>+Tabla145[[#This Row],[Total disponible]]-Tabla145[[#This Row],[Facturación atraso]]</f>
        <v>5456.3397478083061</v>
      </c>
      <c r="W169" s="6">
        <f>IFERROR(IF(AND(V169&gt;R169,J169&gt;=R169),ROUNDDOWN((Tabla145[[#This Row],[Producción para venta nueva]])/R169,0)*R169,0),0)</f>
        <v>5333.333333333333</v>
      </c>
      <c r="X169" s="76">
        <v>-3324</v>
      </c>
      <c r="Y169" s="6">
        <f>IF(Tabla145[[#This Row],[Venta del mes]]&gt;0,Tabla145[[#This Row],[Venta del mes]]+Tabla145[[#This Row],[Ajuste venta nueva]],0)</f>
        <v>2009.333333333333</v>
      </c>
      <c r="Z169" s="6">
        <f>+Tabla145[[#This Row],[Producción para venta nueva]]-Tabla145[[#This Row],[Facturación Venta nueva]]</f>
        <v>3447.0064144749731</v>
      </c>
      <c r="AA169" s="6">
        <f>IF(AND(A169=1,Tabla145[[#This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69" s="6">
        <v>0</v>
      </c>
      <c r="AC169" s="6">
        <f>IF(Tabla145[[#This Row],[Disponible stock sin venta]]&gt;0,Tabla145[[#This Row],[Disponible stock sin venta]]+Tabla145[[#This Row],[Ajuste stock sin venta]],0)</f>
        <v>0</v>
      </c>
      <c r="AD169" s="3">
        <f>IFERROR(VLOOKUP(Tabla145[[#This Row],[Llave]],'[16]TD Puerto'!$A:$D,4,FALSE),0)</f>
        <v>0</v>
      </c>
      <c r="AE169" s="3">
        <v>15666.666666666666</v>
      </c>
      <c r="AF169" s="3">
        <f>+Tabla145[[#This Row],[Plan Irrestricto Inicial]]</f>
        <v>15666.666666666666</v>
      </c>
      <c r="AG169" s="3">
        <f>+Tabla145[[#This Row],[En puerto a facturar]]</f>
        <v>0</v>
      </c>
      <c r="AH169" s="3">
        <f>+Tabla145[[#This Row],[Facturación atraso]]</f>
        <v>3892</v>
      </c>
      <c r="AI169" s="3">
        <f>+Tabla145[[#This Row],[Plan Irrestricto]]-Tabla145[[#This Row],[Puerto ]]-Tabla145[[#This Row],[Atraso]]</f>
        <v>11774.666666666666</v>
      </c>
      <c r="AJ169" s="3">
        <f>IF(Tabla145[[#This Row],[Plan Irrestricto]]&gt;0,SUM(Tabla145[[#This Row],[Facturación atraso]],Tabla145[[#This Row],[Facturación Venta nueva]],Tabla145[[#This Row],[Facturación stock]],Tabla145[[#This Row],[En puerto a facturar]]),0)</f>
        <v>5901.333333333333</v>
      </c>
      <c r="AK169" s="3">
        <f>+Tabla145[[#This Row],[Facturación atraso]]</f>
        <v>3892</v>
      </c>
      <c r="AL169" s="3">
        <f>+Tabla145[[#This Row],[Plan Ajustado]]-Tabla145[[#This Row],[ Atraso ajustado]]-Tabla145[[#This Row],[Puerto ]]</f>
        <v>2009.333333333333</v>
      </c>
      <c r="AM169" s="6">
        <f>IFERROR(VLOOKUP(Tabla145[[#This Row],[Llave]],[18]!Tabla14[#All],34,FALSE),0)</f>
        <v>0</v>
      </c>
      <c r="AN169" s="6">
        <f>IFERROR(VLOOKUP(Tabla145[[#This Row],[Llave]],[18]!Tabla14[#All],35,FALSE),0)</f>
        <v>0</v>
      </c>
      <c r="AO169" s="3" t="str">
        <f>IF(Tabla145[[#This Row],[Plan Ajustado]]&gt;Tabla145[[#This Row],[En puerto a facturar]],"Si","No")</f>
        <v>Si</v>
      </c>
      <c r="AP169" s="3">
        <f>IF(AND(Tabla145[[#This Row],[Plan Ajustado]]&gt;0,Tabla145[[#This Row],[Plan Ajustado]]&gt;Tabla145[[#This Row],[En puerto a facturar]]),(Tabla145[[#This Row],[Plan Ajustado]]-Tabla145[[#This Row],[En puerto a facturar]]),0)</f>
        <v>5901.333333333333</v>
      </c>
      <c r="AQ169" s="3">
        <f>IF(Tabla145[[#This Row],[Necesidad]]&gt;=Tabla145[[#This Row],[Stock al día]],Tabla145[[#This Row],[Stock al día]],Tabla145[[#This Row],[Necesidad]])</f>
        <v>5901.333333333333</v>
      </c>
      <c r="AR169" s="3">
        <f>+Tabla145[[#This Row],[Necesidad]]-Tabla145[[#This Row],[Stock Plan]]</f>
        <v>0</v>
      </c>
      <c r="AS169" s="155">
        <f>IFERROR(VLOOKUP(Tabla145[[#This Row],[Oficina]],[19]Ponderación!$B$14:$E$21,4,FALSE),"")</f>
        <v>44800</v>
      </c>
      <c r="AT16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3.456</v>
      </c>
      <c r="AU169" s="83">
        <f>IFERROR(VLOOKUP(Tabla145[[#This Row],[Llave]],[17]DELAY!$H:$W,16,FALSE),0)</f>
        <v>3.4698292199999998</v>
      </c>
      <c r="AV16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3.4651205361906907</v>
      </c>
      <c r="AW169" s="5">
        <f>Tabla145[[#This Row],[Ajuste precio IC]]*Tabla145[[#This Row],[Plan Ajustado]]</f>
        <v>20448.831324239996</v>
      </c>
      <c r="AX169" s="30">
        <f>IFERROR(VLOOKUP(Tabla145[[#This Row],[Llave]],'[13]Ultimos precios facturados'!$A:$G,7,FALSE),0)</f>
        <v>3.6921862292727035</v>
      </c>
      <c r="AY16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6.1498981628221053E-2</v>
      </c>
      <c r="AZ169" s="30">
        <f>IFERROR(VLOOKUP(Tabla145[[#This Row],[Llave]],Hoja2!B:K,10,FALSE),0)</f>
        <v>3.4651205361906907</v>
      </c>
      <c r="BA169" s="30">
        <f>IF(Tabla145[[#This Row],[Ajuste precio IC]]="",Tabla145[[#This Row],[Precio ponderado]],Tabla145[[#This Row],[Precio ponderado]])</f>
        <v>3.4651205361906907</v>
      </c>
      <c r="BB169" s="82"/>
      <c r="BC169" s="82" t="str">
        <f>IF(AND(Tabla145[[#This Row],[Atraso a facturar]]&gt;0,Tabla145[[#This Row],[Precio Atraso]]=0),"Revisar","OK")</f>
        <v>OK</v>
      </c>
      <c r="BD169" s="82" t="str">
        <f>IF(AND(Tabla145[[#This Row],[Venta del mes]]&gt;0,Tabla145[[#This Row],[Precio venta nueva]]=0),"Revisar","OK")</f>
        <v>OK</v>
      </c>
      <c r="BE169" s="20">
        <f>IFERROR(VLOOKUP(Tabla145[[#This Row],[Llave]],'[5]Consolidación planes'!$A:$M,9,FALSE),0)</f>
        <v>8750</v>
      </c>
      <c r="BF169" s="20">
        <f>IFERROR(VLOOKUP(Tabla145[[#This Row],[Llave]],'[5]Consolidación planes'!$A:$M,10,FALSE),0)</f>
        <v>4750</v>
      </c>
      <c r="BG169" s="20">
        <f>IFERROR(VLOOKUP(Tabla145[[#This Row],[Llave]],'[5]Consolidación planes'!$A:$M,11,FALSE),0)</f>
        <v>7000</v>
      </c>
      <c r="BH169" s="20">
        <f>IFERROR(VLOOKUP(Tabla145[[#This Row],[Llave]],'[5]Consolidación planes'!$A:$M,12,FALSE),0)</f>
        <v>13000</v>
      </c>
      <c r="BI169" s="20">
        <f>IFERROR(VLOOKUP(Tabla145[[#This Row],[Llave]],'[5]Consolidación planes'!$A:$M,13,FALSE),0)</f>
        <v>13000</v>
      </c>
      <c r="BJ169" s="20">
        <f>IFERROR(VLOOKUP(Tabla145[[#This Row],[Llave]],'[13]Base ultimos planes'!$A:$M,13,FALSE),0)</f>
        <v>8000</v>
      </c>
      <c r="BK169" s="80">
        <f>IFERROR(VLOOKUP(Tabla145[[#This Row],[Llave]],'[13]Base ultimos planes'!$O:$AA,8,FALSE),0)</f>
        <v>36645.971899999997</v>
      </c>
      <c r="BL169" s="20">
        <f>IFERROR(VLOOKUP(Tabla145[[#This Row],[Llave]],'[13]Base ultimos planes'!$O:$AA,9,FALSE),0)</f>
        <v>19327</v>
      </c>
      <c r="BM169" s="20">
        <f>IFERROR(VLOOKUP(Tabla145[[#This Row],[Llave]],'[13]Base ultimos planes'!$O:$AA,10,FALSE),0)</f>
        <v>28598</v>
      </c>
      <c r="BN169" s="20">
        <f>IFERROR(VLOOKUP(Tabla145[[#This Row],[Llave]],'[13]Base ultimos planes'!$O:$AA,11,FALSE),0)</f>
        <v>51483</v>
      </c>
      <c r="BO169" s="20">
        <f>IFERROR(VLOOKUP(Tabla145[[#This Row],[Llave]],'[13]Base ultimos planes'!$O:$AA,12,FALSE),0)</f>
        <v>50072</v>
      </c>
      <c r="BP169" s="20">
        <f>IFERROR(VLOOKUP(Tabla145[[#This Row],[Llave]],'[13]Base ultimos planes'!$O:$AA,13,FALSE),0)</f>
        <v>28828</v>
      </c>
      <c r="BQ169" s="20"/>
      <c r="BR169" s="20">
        <f>Tabla145[[#This Row],[ RV Producción mes n+1]]*(1-Tabla145[[#This Row],[% Uti. producción]])</f>
        <v>151.66025219169393</v>
      </c>
      <c r="BS169" s="20">
        <f>+Tabla145[[#This Row],[Producción disponible mes n-1]]+Tabla145[[#This Row],[Saldo Volumen disponible]]</f>
        <v>3598.666666666667</v>
      </c>
      <c r="BT169" s="7">
        <f>IFERROR(VLOOKUP(Tabla145[[#This Row],[Llave]],'[21]RV n+2 y n+3'!$B:$F,4,FALSE),0)</f>
        <v>5000</v>
      </c>
      <c r="BU169" s="7">
        <f>+Tabla145[[#This Row],[Asignación mes n+2]]*Tabla145[[#This Row],[% Uti. producción]]</f>
        <v>4357.9159517709822</v>
      </c>
      <c r="BV169" s="7">
        <f>+Tabla145[[#This Row],[Ponderación mes n+2]]+Tabla145[[#This Row],[Saldo mes n-1]]</f>
        <v>7956.5826184376492</v>
      </c>
      <c r="BW169" s="7">
        <f>+Tabla145[[#This Row],[Asignación mes n+2]]-Tabla145[[#This Row],[Ponderación mes n+2]]</f>
        <v>642.08404822901775</v>
      </c>
      <c r="BX169" s="7">
        <f>IFERROR(VLOOKUP(Tabla145[[#This Row],[Llave]],'[21]RV n+2 y n+3'!$B:$F,5,FALSE),0)</f>
        <v>10000</v>
      </c>
      <c r="BY169" s="7">
        <f>+Tabla145[[#This Row],[Asignación mes n+3]]*Tabla145[[#This Row],[% Uti. producción]]</f>
        <v>8715.8319035419645</v>
      </c>
      <c r="BZ169" s="3">
        <f>+Tabla145[[#This Row],[Ponderación mes n+3]]+Tabla145[[#This Row],[Saldo mes n+2]]</f>
        <v>9357.9159517709813</v>
      </c>
      <c r="CA169" s="3">
        <f>+Tabla145[[#This Row],[Asignación mes n+3]]-Tabla145[[#This Row],[Ponderación mes n+3]]</f>
        <v>1284.1680964580355</v>
      </c>
      <c r="CB169" s="3">
        <f>+Tabla145[[#This Row],[Producción disponible mes n-1]]+Tabla145[[#This Row],[Producción disponible]]</f>
        <v>1181</v>
      </c>
      <c r="CC169" s="3">
        <f>+Tabla145[[#This Row],[Saldo mes n+4]]-Tabla145[[#This Row],[ RV Producción mes n+1]]</f>
        <v>0</v>
      </c>
    </row>
    <row r="170" spans="1:81" ht="16" x14ac:dyDescent="0.2">
      <c r="A170">
        <v>1</v>
      </c>
      <c r="B170" t="str">
        <f>Tabla145[[#This Row],[Oficina]]&amp;Tabla145[[#This Row],[Material]]</f>
        <v>Exportacion Directa1020991</v>
      </c>
      <c r="C170" t="s">
        <v>6</v>
      </c>
      <c r="D170" t="s">
        <v>88</v>
      </c>
      <c r="E170">
        <v>1020991</v>
      </c>
      <c r="F170" t="s">
        <v>133</v>
      </c>
      <c r="G170" t="s">
        <v>59</v>
      </c>
      <c r="H170" t="s">
        <v>65</v>
      </c>
      <c r="I170" s="7">
        <f>IFERROR(VLOOKUP(Tabla145[[#This Row],[Llave]],'[7]RV Producción'!$C:$G,5,FALSE),0)</f>
        <v>14017</v>
      </c>
      <c r="J170" s="3">
        <f>IFERROR(IF(Tabla145[[#This Row],[Oficina]]=$I$7,VLOOKUP(Tabla145[[#This Row],[Llave]],'[7]Shangai (Tomas)'!$A:$F,6,FALSE),VLOOKUP(Tabla145[[#This Row],[Llave]],'[7]RV plan de ventas'!$A:$E,5,FALSE)),0)</f>
        <v>9000</v>
      </c>
      <c r="K170" s="8">
        <f>IFERROR(VLOOKUP(Tabla145[[#This Row],[Oficina]],[15]Ponderación!$B$2:$E$9,4,FALSE),0)</f>
        <v>0.87158319035419651</v>
      </c>
      <c r="L170" s="7">
        <f>+Tabla145[[#This Row],[ RV Producción mes n+1]]*Tabla145[[#This Row],[% Uti. producción]]</f>
        <v>12216.981579194773</v>
      </c>
      <c r="M170" s="7">
        <f>IFERROR(VLOOKUP(Tabla145[[#This Row],[Material]],[16]Stock!$G:$K,5,FALSE),0)</f>
        <v>7497</v>
      </c>
      <c r="N170" s="7">
        <f>IFERROR(VLOOKUP(Tabla145[[#This Row],[Material]],[16]Produccion!$M:$N,2,FALSE),0)</f>
        <v>3438.93</v>
      </c>
      <c r="O170" s="7">
        <f>IFERROR(VLOOKUP(Tabla145[[#This Row],[Llave]],'[16]TD Conf-AP'!$I:$M,4,FALSE),0)</f>
        <v>12600</v>
      </c>
      <c r="P170" s="14">
        <f>SUM(Tabla145[[#This Row],[Producción disponible]],Tabla145[[#This Row],[Stock al día]],(Tabla145[[#This Row],[Por producir mes N]]*0.9))-Tabla145[[#This Row],[Producción por despachar mes N]]</f>
        <v>10209.018579194773</v>
      </c>
      <c r="Q170" s="7">
        <f>IFERROR(VLOOKUP(Tabla145[[#This Row],[Llave]],[17]DELAY!$A:$D,4,FALSE),0)</f>
        <v>16500</v>
      </c>
      <c r="R170" s="9">
        <v>3333.3333333333335</v>
      </c>
      <c r="S170" s="5">
        <f t="shared" si="7"/>
        <v>10000</v>
      </c>
      <c r="T170" s="76">
        <v>0</v>
      </c>
      <c r="U170" s="5">
        <f>+Tabla145[[#This Row],[Atraso a facturar]]+Tabla145[[#This Row],[Ajuste atraso]]</f>
        <v>10000</v>
      </c>
      <c r="V170" s="3">
        <f>+Tabla145[[#This Row],[Total disponible]]-Tabla145[[#This Row],[Facturación atraso]]</f>
        <v>209.01857919477334</v>
      </c>
      <c r="W170" s="6">
        <f>IFERROR(IF(AND(V170&gt;R170,J170&gt;=R170),ROUNDDOWN((Tabla145[[#This Row],[Producción para venta nueva]])/R170,0)*R170,0),0)</f>
        <v>0</v>
      </c>
      <c r="X170" s="76">
        <v>0</v>
      </c>
      <c r="Y170" s="6">
        <f>IF(Tabla145[[#This Row],[Venta del mes]]&gt;0,Tabla145[[#This Row],[Venta del mes]]+Tabla145[[#This Row],[Ajuste venta nueva]],0)</f>
        <v>0</v>
      </c>
      <c r="Z170" s="6">
        <f>+Tabla145[[#This Row],[Producción para venta nueva]]-Tabla145[[#This Row],[Facturación Venta nueva]]</f>
        <v>209.01857919477334</v>
      </c>
      <c r="AA170" s="6">
        <f>IF(AND(A170=1,Tabla145[[#This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0" s="6">
        <v>0</v>
      </c>
      <c r="AC170" s="6">
        <f>IF(Tabla145[[#This Row],[Disponible stock sin venta]]&gt;0,Tabla145[[#This Row],[Disponible stock sin venta]]+Tabla145[[#This Row],[Ajuste stock sin venta]],0)</f>
        <v>0</v>
      </c>
      <c r="AD170" s="3">
        <f>IFERROR(VLOOKUP(Tabla145[[#This Row],[Llave]],'[16]TD Puerto'!$A:$D,4,FALSE),0)</f>
        <v>0</v>
      </c>
      <c r="AE170" s="3">
        <v>10000</v>
      </c>
      <c r="AF170" s="3">
        <f>+Tabla145[[#This Row],[Plan Irrestricto Inicial]]</f>
        <v>10000</v>
      </c>
      <c r="AG170" s="3">
        <f>+Tabla145[[#This Row],[En puerto a facturar]]</f>
        <v>0</v>
      </c>
      <c r="AH170" s="3">
        <f>+Tabla145[[#This Row],[Facturación atraso]]</f>
        <v>10000</v>
      </c>
      <c r="AI170" s="3">
        <f>+Tabla145[[#This Row],[Plan Irrestricto]]-Tabla145[[#This Row],[Puerto ]]-Tabla145[[#This Row],[Atraso]]</f>
        <v>0</v>
      </c>
      <c r="AJ170" s="3">
        <f>IF(Tabla145[[#This Row],[Plan Irrestricto]]&gt;0,SUM(Tabla145[[#This Row],[Facturación atraso]],Tabla145[[#This Row],[Facturación Venta nueva]],Tabla145[[#This Row],[Facturación stock]],Tabla145[[#This Row],[En puerto a facturar]]),0)</f>
        <v>10000</v>
      </c>
      <c r="AK170" s="3">
        <f>+Tabla145[[#This Row],[Facturación atraso]]</f>
        <v>10000</v>
      </c>
      <c r="AL170" s="3">
        <f>+Tabla145[[#This Row],[Plan Ajustado]]-Tabla145[[#This Row],[ Atraso ajustado]]-Tabla145[[#This Row],[Puerto ]]</f>
        <v>0</v>
      </c>
      <c r="AM170" s="6">
        <f>IFERROR(VLOOKUP(Tabla145[[#This Row],[Llave]],[18]!Tabla14[#All],34,FALSE),0)</f>
        <v>0</v>
      </c>
      <c r="AN170" s="6">
        <f>IFERROR(VLOOKUP(Tabla145[[#This Row],[Llave]],[18]!Tabla14[#All],35,FALSE),0)</f>
        <v>0</v>
      </c>
      <c r="AO170" s="3" t="str">
        <f>IF(Tabla145[[#This Row],[Plan Ajustado]]&gt;Tabla145[[#This Row],[En puerto a facturar]],"Si","No")</f>
        <v>Si</v>
      </c>
      <c r="AP170" s="3">
        <f>IF(AND(Tabla145[[#This Row],[Plan Ajustado]]&gt;0,Tabla145[[#This Row],[Plan Ajustado]]&gt;Tabla145[[#This Row],[En puerto a facturar]]),(Tabla145[[#This Row],[Plan Ajustado]]-Tabla145[[#This Row],[En puerto a facturar]]),0)</f>
        <v>10000</v>
      </c>
      <c r="AQ170" s="3">
        <f>IF(Tabla145[[#This Row],[Necesidad]]&gt;=Tabla145[[#This Row],[Stock al día]],Tabla145[[#This Row],[Stock al día]],Tabla145[[#This Row],[Necesidad]])</f>
        <v>7497</v>
      </c>
      <c r="AR170" s="3">
        <f>+Tabla145[[#This Row],[Necesidad]]-Tabla145[[#This Row],[Stock Plan]]</f>
        <v>2503</v>
      </c>
      <c r="AS170" s="155">
        <f>IFERROR(VLOOKUP(Tabla145[[#This Row],[Oficina]],[19]Ponderación!$B$14:$E$21,4,FALSE),"")</f>
        <v>44800</v>
      </c>
      <c r="AT17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3.456</v>
      </c>
      <c r="AU170" s="83">
        <f>IFERROR(VLOOKUP(Tabla145[[#This Row],[Llave]],[17]DELAY!$H:$W,16,FALSE),0)</f>
        <v>3.61048676969697</v>
      </c>
      <c r="AV17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3.6104867696969696</v>
      </c>
      <c r="AW170" s="5">
        <f>Tabla145[[#This Row],[Ajuste precio IC]]*Tabla145[[#This Row],[Plan Ajustado]]</f>
        <v>36104.867696969697</v>
      </c>
      <c r="AX170" s="30">
        <f>IFERROR(VLOOKUP(Tabla145[[#This Row],[Llave]],'[13]Ultimos precios facturados'!$A:$G,7,FALSE),0)</f>
        <v>3.5987652719465575</v>
      </c>
      <c r="AY17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3.2570887136720589E-3</v>
      </c>
      <c r="AZ170" s="30">
        <f>IFERROR(VLOOKUP(Tabla145[[#This Row],[Llave]],Hoja2!B:K,10,FALSE),0)</f>
        <v>3.6104867696969696</v>
      </c>
      <c r="BA170" s="30">
        <f>IF(Tabla145[[#This Row],[Ajuste precio IC]]="",Tabla145[[#This Row],[Precio ponderado]],Tabla145[[#This Row],[Precio ponderado]])</f>
        <v>3.6104867696969696</v>
      </c>
      <c r="BB170" s="82"/>
      <c r="BC170" s="82" t="str">
        <f>IF(AND(Tabla145[[#This Row],[Atraso a facturar]]&gt;0,Tabla145[[#This Row],[Precio Atraso]]=0),"Revisar","OK")</f>
        <v>OK</v>
      </c>
      <c r="BD170" s="82" t="str">
        <f>IF(AND(Tabla145[[#This Row],[Venta del mes]]&gt;0,Tabla145[[#This Row],[Precio venta nueva]]=0),"Revisar","OK")</f>
        <v>OK</v>
      </c>
      <c r="BE170" s="20">
        <f>IFERROR(VLOOKUP(Tabla145[[#This Row],[Llave]],'[5]Consolidación planes'!$A:$M,9,FALSE),0)</f>
        <v>1250</v>
      </c>
      <c r="BF170" s="20">
        <f>IFERROR(VLOOKUP(Tabla145[[#This Row],[Llave]],'[5]Consolidación planes'!$A:$M,10,FALSE),0)</f>
        <v>5000</v>
      </c>
      <c r="BG170" s="20">
        <f>IFERROR(VLOOKUP(Tabla145[[#This Row],[Llave]],'[5]Consolidación planes'!$A:$M,11,FALSE),0)</f>
        <v>5000</v>
      </c>
      <c r="BH170" s="20">
        <f>IFERROR(VLOOKUP(Tabla145[[#This Row],[Llave]],'[5]Consolidación planes'!$A:$M,12,FALSE),0)</f>
        <v>60000</v>
      </c>
      <c r="BI170" s="20">
        <f>IFERROR(VLOOKUP(Tabla145[[#This Row],[Llave]],'[5]Consolidación planes'!$A:$M,13,FALSE),0)</f>
        <v>10000</v>
      </c>
      <c r="BJ170" s="20">
        <f>IFERROR(VLOOKUP(Tabla145[[#This Row],[Llave]],'[13]Base ultimos planes'!$A:$M,13,FALSE),0)</f>
        <v>10000</v>
      </c>
      <c r="BK170" s="80">
        <f>IFERROR(VLOOKUP(Tabla145[[#This Row],[Llave]],'[13]Base ultimos planes'!$O:$AA,8,FALSE),0)</f>
        <v>5233.6656000000003</v>
      </c>
      <c r="BL170" s="20">
        <f>IFERROR(VLOOKUP(Tabla145[[#This Row],[Llave]],'[13]Base ultimos planes'!$O:$AA,9,FALSE),0)</f>
        <v>20319</v>
      </c>
      <c r="BM170" s="20">
        <f>IFERROR(VLOOKUP(Tabla145[[#This Row],[Llave]],'[13]Base ultimos planes'!$O:$AA,10,FALSE),0)</f>
        <v>20402</v>
      </c>
      <c r="BN170" s="20">
        <f>IFERROR(VLOOKUP(Tabla145[[#This Row],[Llave]],'[13]Base ultimos planes'!$O:$AA,11,FALSE),0)</f>
        <v>237274</v>
      </c>
      <c r="BO170" s="20">
        <f>IFERROR(VLOOKUP(Tabla145[[#This Row],[Llave]],'[13]Base ultimos planes'!$O:$AA,12,FALSE),0)</f>
        <v>38437</v>
      </c>
      <c r="BP170" s="20">
        <f>IFERROR(VLOOKUP(Tabla145[[#This Row],[Llave]],'[13]Base ultimos planes'!$O:$AA,13,FALSE),0)</f>
        <v>36035</v>
      </c>
      <c r="BQ170" s="20"/>
      <c r="BR170" s="20">
        <f>Tabla145[[#This Row],[ RV Producción mes n+1]]*(1-Tabla145[[#This Row],[% Uti. producción]])</f>
        <v>1800.0184208052274</v>
      </c>
      <c r="BS170" s="20">
        <f>+Tabla145[[#This Row],[Producción disponible mes n-1]]+Tabla145[[#This Row],[Saldo Volumen disponible]]</f>
        <v>2009.0370000000007</v>
      </c>
      <c r="BT170" s="7">
        <f>IFERROR(VLOOKUP(Tabla145[[#This Row],[Llave]],'[21]RV n+2 y n+3'!$B:$F,4,FALSE),0)</f>
        <v>12399.94052</v>
      </c>
      <c r="BU170" s="7">
        <f>+Tabla145[[#This Row],[Asignación mes n+2]]*Tabla145[[#This Row],[% Uti. producción]]</f>
        <v>10807.579718623874</v>
      </c>
      <c r="BV170" s="7">
        <f>+Tabla145[[#This Row],[Ponderación mes n+2]]+Tabla145[[#This Row],[Saldo mes n-1]]</f>
        <v>12816.616718623874</v>
      </c>
      <c r="BW170" s="7">
        <f>+Tabla145[[#This Row],[Asignación mes n+2]]-Tabla145[[#This Row],[Ponderación mes n+2]]</f>
        <v>1592.3608013761259</v>
      </c>
      <c r="BX170" s="7">
        <f>IFERROR(VLOOKUP(Tabla145[[#This Row],[Llave]],'[21]RV n+2 y n+3'!$B:$F,5,FALSE),0)</f>
        <v>10000</v>
      </c>
      <c r="BY170" s="7">
        <f>+Tabla145[[#This Row],[Asignación mes n+3]]*Tabla145[[#This Row],[% Uti. producción]]</f>
        <v>8715.8319035419645</v>
      </c>
      <c r="BZ170" s="3">
        <f>+Tabla145[[#This Row],[Ponderación mes n+3]]+Tabla145[[#This Row],[Saldo mes n+2]]</f>
        <v>10308.19270491809</v>
      </c>
      <c r="CA170" s="3">
        <f>+Tabla145[[#This Row],[Asignación mes n+3]]-Tabla145[[#This Row],[Ponderación mes n+3]]</f>
        <v>1284.1680964580355</v>
      </c>
      <c r="CB170" s="3">
        <f>+Tabla145[[#This Row],[Producción disponible mes n-1]]+Tabla145[[#This Row],[Producción disponible]]</f>
        <v>14017</v>
      </c>
      <c r="CC170" s="3">
        <f>+Tabla145[[#This Row],[Saldo mes n+4]]-Tabla145[[#This Row],[ RV Producción mes n+1]]</f>
        <v>0</v>
      </c>
    </row>
    <row r="171" spans="1:81" ht="16" x14ac:dyDescent="0.2">
      <c r="A171">
        <v>1</v>
      </c>
      <c r="B171" t="str">
        <f>Tabla145[[#This Row],[Oficina]]&amp;Tabla145[[#This Row],[Material]]</f>
        <v>Exportacion Directa1021136</v>
      </c>
      <c r="C171" t="s">
        <v>6</v>
      </c>
      <c r="D171" t="s">
        <v>88</v>
      </c>
      <c r="E171">
        <v>1021136</v>
      </c>
      <c r="F171" t="s">
        <v>139</v>
      </c>
      <c r="G171" t="s">
        <v>76</v>
      </c>
      <c r="H171" t="s">
        <v>84</v>
      </c>
      <c r="I171" s="7">
        <f>IFERROR(VLOOKUP(Tabla145[[#This Row],[Llave]],'[7]RV Producción'!$C:$G,5,FALSE),0)</f>
        <v>0</v>
      </c>
      <c r="J171" s="3">
        <f>IFERROR(IF(Tabla145[[#This Row],[Oficina]]=$I$7,VLOOKUP(Tabla145[[#This Row],[Llave]],'[7]Shangai (Tomas)'!$A:$F,6,FALSE),VLOOKUP(Tabla145[[#This Row],[Llave]],'[7]RV plan de ventas'!$A:$E,5,FALSE)),0)</f>
        <v>2000</v>
      </c>
      <c r="K171" s="8">
        <f>IFERROR(VLOOKUP(Tabla145[[#This Row],[Oficina]],[15]Ponderación!$B$2:$E$9,4,FALSE),0)</f>
        <v>0.87158319035419651</v>
      </c>
      <c r="L171" s="7">
        <f>+Tabla145[[#This Row],[ RV Producción mes n+1]]*Tabla145[[#This Row],[% Uti. producción]]</f>
        <v>0</v>
      </c>
      <c r="M171" s="7">
        <f>IFERROR(VLOOKUP(Tabla145[[#This Row],[Material]],[16]Stock!$G:$K,5,FALSE),0)</f>
        <v>6190</v>
      </c>
      <c r="N171" s="7">
        <f>IFERROR(VLOOKUP(Tabla145[[#This Row],[Material]],[16]Produccion!$M:$N,2,FALSE),0)</f>
        <v>2456</v>
      </c>
      <c r="O171" s="7">
        <f>IFERROR(VLOOKUP(Tabla145[[#This Row],[Llave]],'[16]TD Conf-AP'!$I:$M,4,FALSE),0)</f>
        <v>0</v>
      </c>
      <c r="P171" s="14">
        <f>SUM(Tabla145[[#This Row],[Producción disponible]],Tabla145[[#This Row],[Stock al día]],(Tabla145[[#This Row],[Por producir mes N]]*0.9))-Tabla145[[#This Row],[Producción por despachar mes N]]</f>
        <v>8400.4</v>
      </c>
      <c r="Q171" s="7">
        <f>IFERROR(VLOOKUP(Tabla145[[#This Row],[Llave]],[17]DELAY!$A:$D,4,FALSE),0)</f>
        <v>2000</v>
      </c>
      <c r="R171" s="9">
        <v>2666.6666666666665</v>
      </c>
      <c r="S171" s="5">
        <f t="shared" si="7"/>
        <v>2000</v>
      </c>
      <c r="T171" s="76">
        <v>0</v>
      </c>
      <c r="U171" s="5">
        <f>+Tabla145[[#This Row],[Atraso a facturar]]+Tabla145[[#This Row],[Ajuste atraso]]</f>
        <v>2000</v>
      </c>
      <c r="V171" s="3">
        <f>+Tabla145[[#This Row],[Total disponible]]-Tabla145[[#This Row],[Facturación atraso]]</f>
        <v>6400.4</v>
      </c>
      <c r="W171" s="6">
        <f>IFERROR(IF(AND(V171&gt;R171,J171&gt;=R171),ROUNDDOWN((Tabla145[[#This Row],[Producción para venta nueva]])/R171,0)*R171,0),0)</f>
        <v>0</v>
      </c>
      <c r="X171" s="76">
        <v>0</v>
      </c>
      <c r="Y171" s="6">
        <f>IF(Tabla145[[#This Row],[Venta del mes]]&gt;0,Tabla145[[#This Row],[Venta del mes]]+Tabla145[[#This Row],[Ajuste venta nueva]],0)</f>
        <v>0</v>
      </c>
      <c r="Z171" s="6">
        <f>+Tabla145[[#This Row],[Producción para venta nueva]]-Tabla145[[#This Row],[Facturación Venta nueva]]</f>
        <v>6400.4</v>
      </c>
      <c r="AA171" s="6">
        <f>IF(AND(A171=1,Tabla145[[#This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5333.333333333333</v>
      </c>
      <c r="AB171" s="6">
        <v>0</v>
      </c>
      <c r="AC171" s="6">
        <f>IF(Tabla145[[#This Row],[Disponible stock sin venta]]&gt;0,Tabla145[[#This Row],[Disponible stock sin venta]]+Tabla145[[#This Row],[Ajuste stock sin venta]],0)</f>
        <v>5333.333333333333</v>
      </c>
      <c r="AD171" s="3">
        <f>IFERROR(VLOOKUP(Tabla145[[#This Row],[Llave]],'[16]TD Puerto'!$A:$D,4,FALSE),0)</f>
        <v>0</v>
      </c>
      <c r="AE171" s="3">
        <v>7333.333333333333</v>
      </c>
      <c r="AF171" s="3">
        <f>+Tabla145[[#This Row],[Plan Irrestricto Inicial]]</f>
        <v>7333.333333333333</v>
      </c>
      <c r="AG171" s="3">
        <f>+Tabla145[[#This Row],[En puerto a facturar]]</f>
        <v>0</v>
      </c>
      <c r="AH171" s="3">
        <f>+Tabla145[[#This Row],[Facturación atraso]]</f>
        <v>2000</v>
      </c>
      <c r="AI171" s="3">
        <f>+Tabla145[[#This Row],[Plan Irrestricto]]-Tabla145[[#This Row],[Puerto ]]-Tabla145[[#This Row],[Atraso]]</f>
        <v>5333.333333333333</v>
      </c>
      <c r="AJ171" s="3">
        <f>IF(Tabla145[[#This Row],[Plan Irrestricto]]&gt;0,SUM(Tabla145[[#This Row],[Facturación atraso]],Tabla145[[#This Row],[Facturación Venta nueva]],Tabla145[[#This Row],[Facturación stock]],Tabla145[[#This Row],[En puerto a facturar]]),0)</f>
        <v>7333.333333333333</v>
      </c>
      <c r="AK171" s="3">
        <f>+Tabla145[[#This Row],[Facturación atraso]]</f>
        <v>2000</v>
      </c>
      <c r="AL171" s="3">
        <f>+Tabla145[[#This Row],[Plan Ajustado]]-Tabla145[[#This Row],[ Atraso ajustado]]-Tabla145[[#This Row],[Puerto ]]</f>
        <v>5333.333333333333</v>
      </c>
      <c r="AM171" s="6">
        <f>IFERROR(VLOOKUP(Tabla145[[#This Row],[Llave]],[18]!Tabla14[#All],34,FALSE),0)</f>
        <v>0</v>
      </c>
      <c r="AN171" s="6">
        <f>IFERROR(VLOOKUP(Tabla145[[#This Row],[Llave]],[18]!Tabla14[#All],35,FALSE),0)</f>
        <v>0</v>
      </c>
      <c r="AO171" s="3" t="str">
        <f>IF(Tabla145[[#This Row],[Plan Ajustado]]&gt;Tabla145[[#This Row],[En puerto a facturar]],"Si","No")</f>
        <v>Si</v>
      </c>
      <c r="AP171" s="3">
        <f>IF(AND(Tabla145[[#This Row],[Plan Ajustado]]&gt;0,Tabla145[[#This Row],[Plan Ajustado]]&gt;Tabla145[[#This Row],[En puerto a facturar]]),(Tabla145[[#This Row],[Plan Ajustado]]-Tabla145[[#This Row],[En puerto a facturar]]),0)</f>
        <v>7333.333333333333</v>
      </c>
      <c r="AQ171" s="3">
        <f>IF(Tabla145[[#This Row],[Necesidad]]&gt;=Tabla145[[#This Row],[Stock al día]],Tabla145[[#This Row],[Stock al día]],Tabla145[[#This Row],[Necesidad]])</f>
        <v>6190</v>
      </c>
      <c r="AR171" s="3">
        <f>+Tabla145[[#This Row],[Necesidad]]-Tabla145[[#This Row],[Stock Plan]]</f>
        <v>1143.333333333333</v>
      </c>
      <c r="AS171" s="155">
        <f>IFERROR(VLOOKUP(Tabla145[[#This Row],[Oficina]],[19]Ponderación!$B$14:$E$21,4,FALSE),"")</f>
        <v>44800</v>
      </c>
      <c r="AT17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2.6640000000000001</v>
      </c>
      <c r="AU171" s="83">
        <f>IFERROR(VLOOKUP(Tabla145[[#This Row],[Llave]],[17]DELAY!$H:$W,16,FALSE),0)</f>
        <v>2.4264629499999999</v>
      </c>
      <c r="AV17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2.4264629499999999</v>
      </c>
      <c r="AW171" s="5">
        <f>Tabla145[[#This Row],[Ajuste precio IC]]*Tabla145[[#This Row],[Plan Ajustado]]</f>
        <v>17794.061633333331</v>
      </c>
      <c r="AX171" s="30">
        <f>IFERROR(VLOOKUP(Tabla145[[#This Row],[Llave]],'[13]Ultimos precios facturados'!$A:$G,7,FALSE),0)</f>
        <v>2.5468413105263159</v>
      </c>
      <c r="AY17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4.7265748371828981E-2</v>
      </c>
      <c r="AZ171" s="30">
        <f>IFERROR(VLOOKUP(Tabla145[[#This Row],[Llave]],Hoja2!B:K,10,FALSE),0)</f>
        <v>2.4264629499999999</v>
      </c>
      <c r="BA171" s="30">
        <f>IF(Tabla145[[#This Row],[Ajuste precio IC]]="",Tabla145[[#This Row],[Precio ponderado]],Tabla145[[#This Row],[Precio ponderado]])</f>
        <v>2.4264629499999999</v>
      </c>
      <c r="BB171" s="82"/>
      <c r="BC171" s="82" t="str">
        <f>IF(AND(Tabla145[[#This Row],[Atraso a facturar]]&gt;0,Tabla145[[#This Row],[Precio Atraso]]=0),"Revisar","OK")</f>
        <v>OK</v>
      </c>
      <c r="BD171" s="82" t="str">
        <f>IF(AND(Tabla145[[#This Row],[Venta del mes]]&gt;0,Tabla145[[#This Row],[Precio venta nueva]]=0),"Revisar","OK")</f>
        <v>OK</v>
      </c>
      <c r="BE171" s="20">
        <f>IFERROR(VLOOKUP(Tabla145[[#This Row],[Llave]],'[5]Consolidación planes'!$A:$M,9,FALSE),0)</f>
        <v>5000</v>
      </c>
      <c r="BF171" s="20">
        <f>IFERROR(VLOOKUP(Tabla145[[#This Row],[Llave]],'[5]Consolidación planes'!$A:$M,10,FALSE),0)</f>
        <v>3000</v>
      </c>
      <c r="BG171" s="20">
        <f>IFERROR(VLOOKUP(Tabla145[[#This Row],[Llave]],'[5]Consolidación planes'!$A:$M,11,FALSE),0)</f>
        <v>4000</v>
      </c>
      <c r="BH171" s="20">
        <f>IFERROR(VLOOKUP(Tabla145[[#This Row],[Llave]],'[5]Consolidación planes'!$A:$M,12,FALSE),0)</f>
        <v>5000</v>
      </c>
      <c r="BI171" s="20">
        <f>IFERROR(VLOOKUP(Tabla145[[#This Row],[Llave]],'[5]Consolidación planes'!$A:$M,13,FALSE),0)</f>
        <v>7200</v>
      </c>
      <c r="BJ171" s="20">
        <f>IFERROR(VLOOKUP(Tabla145[[#This Row],[Llave]],'[13]Base ultimos planes'!$A:$M,13,FALSE),0)</f>
        <v>8000</v>
      </c>
      <c r="BK171" s="80">
        <f>IFERROR(VLOOKUP(Tabla145[[#This Row],[Llave]],'[13]Base ultimos planes'!$O:$AA,8,FALSE),0)</f>
        <v>14419.3794</v>
      </c>
      <c r="BL171" s="20">
        <f>IFERROR(VLOOKUP(Tabla145[[#This Row],[Llave]],'[13]Base ultimos planes'!$O:$AA,9,FALSE),0)</f>
        <v>6405</v>
      </c>
      <c r="BM171" s="20">
        <f>IFERROR(VLOOKUP(Tabla145[[#This Row],[Llave]],'[13]Base ultimos planes'!$O:$AA,10,FALSE),0)</f>
        <v>11558</v>
      </c>
      <c r="BN171" s="20">
        <f>IFERROR(VLOOKUP(Tabla145[[#This Row],[Llave]],'[13]Base ultimos planes'!$O:$AA,11,FALSE),0)</f>
        <v>13732</v>
      </c>
      <c r="BO171" s="20">
        <f>IFERROR(VLOOKUP(Tabla145[[#This Row],[Llave]],'[13]Base ultimos planes'!$O:$AA,12,FALSE),0)</f>
        <v>20064</v>
      </c>
      <c r="BP171" s="20">
        <f>IFERROR(VLOOKUP(Tabla145[[#This Row],[Llave]],'[13]Base ultimos planes'!$O:$AA,13,FALSE),0)</f>
        <v>19670</v>
      </c>
      <c r="BQ171" s="20"/>
      <c r="BR171" s="20">
        <f>Tabla145[[#This Row],[ RV Producción mes n+1]]*(1-Tabla145[[#This Row],[% Uti. producción]])</f>
        <v>0</v>
      </c>
      <c r="BS171" s="20">
        <f>+Tabla145[[#This Row],[Producción disponible mes n-1]]+Tabla145[[#This Row],[Saldo Volumen disponible]]</f>
        <v>6400.4</v>
      </c>
      <c r="BT171" s="7">
        <f>IFERROR(VLOOKUP(Tabla145[[#This Row],[Llave]],'[21]RV n+2 y n+3'!$B:$F,4,FALSE),0)</f>
        <v>0</v>
      </c>
      <c r="BU171" s="7">
        <f>+Tabla145[[#This Row],[Asignación mes n+2]]*Tabla145[[#This Row],[% Uti. producción]]</f>
        <v>0</v>
      </c>
      <c r="BV171" s="7">
        <f>+Tabla145[[#This Row],[Ponderación mes n+2]]+Tabla145[[#This Row],[Saldo mes n-1]]</f>
        <v>6400.4</v>
      </c>
      <c r="BW171" s="7">
        <f>+Tabla145[[#This Row],[Asignación mes n+2]]-Tabla145[[#This Row],[Ponderación mes n+2]]</f>
        <v>0</v>
      </c>
      <c r="BX171" s="7">
        <f>IFERROR(VLOOKUP(Tabla145[[#This Row],[Llave]],'[21]RV n+2 y n+3'!$B:$F,5,FALSE),0)</f>
        <v>5000</v>
      </c>
      <c r="BY171" s="7">
        <f>+Tabla145[[#This Row],[Asignación mes n+3]]*Tabla145[[#This Row],[% Uti. producción]]</f>
        <v>4357.9159517709822</v>
      </c>
      <c r="BZ171" s="3">
        <f>+Tabla145[[#This Row],[Ponderación mes n+3]]+Tabla145[[#This Row],[Saldo mes n+2]]</f>
        <v>4357.9159517709822</v>
      </c>
      <c r="CA171" s="3">
        <f>+Tabla145[[#This Row],[Asignación mes n+3]]-Tabla145[[#This Row],[Ponderación mes n+3]]</f>
        <v>642.08404822901775</v>
      </c>
      <c r="CB171" s="3">
        <f>+Tabla145[[#This Row],[Producción disponible mes n-1]]+Tabla145[[#This Row],[Producción disponible]]</f>
        <v>0</v>
      </c>
      <c r="CC171" s="3">
        <f>+Tabla145[[#This Row],[Saldo mes n+4]]-Tabla145[[#This Row],[ RV Producción mes n+1]]</f>
        <v>0</v>
      </c>
    </row>
    <row r="172" spans="1:81" ht="16" x14ac:dyDescent="0.2">
      <c r="A172">
        <v>1</v>
      </c>
      <c r="B172" t="str">
        <f>Tabla145[[#This Row],[Oficina]]&amp;Tabla145[[#This Row],[Material]]</f>
        <v>Exportacion Directa1021533</v>
      </c>
      <c r="C172" t="s">
        <v>6</v>
      </c>
      <c r="D172" t="s">
        <v>88</v>
      </c>
      <c r="E172">
        <v>1021533</v>
      </c>
      <c r="F172" t="s">
        <v>124</v>
      </c>
      <c r="G172" t="s">
        <v>56</v>
      </c>
      <c r="H172" t="s">
        <v>57</v>
      </c>
      <c r="I172" s="7">
        <f>IFERROR(VLOOKUP(Tabla145[[#This Row],[Llave]],'[7]RV Producción'!$C:$G,5,FALSE),0)</f>
        <v>0</v>
      </c>
      <c r="J172" s="3">
        <f>IFERROR(IF(Tabla145[[#This Row],[Oficina]]=$I$7,VLOOKUP(Tabla145[[#This Row],[Llave]],'[7]Shangai (Tomas)'!$A:$F,6,FALSE),VLOOKUP(Tabla145[[#This Row],[Llave]],'[7]RV plan de ventas'!$A:$E,5,FALSE)),0)</f>
        <v>15000</v>
      </c>
      <c r="K172" s="8">
        <f>IFERROR(VLOOKUP(Tabla145[[#This Row],[Oficina]],[15]Ponderación!$B$2:$E$9,4,FALSE),0)</f>
        <v>0.87158319035419651</v>
      </c>
      <c r="L172" s="7">
        <f>+Tabla145[[#This Row],[ RV Producción mes n+1]]*Tabla145[[#This Row],[% Uti. producción]]</f>
        <v>0</v>
      </c>
      <c r="M172" s="7">
        <f>IFERROR(VLOOKUP(Tabla145[[#This Row],[Material]],[16]Stock!$G:$K,5,FALSE),0)</f>
        <v>3744</v>
      </c>
      <c r="N172" s="7">
        <f>IFERROR(VLOOKUP(Tabla145[[#This Row],[Material]],[16]Produccion!$M:$N,2,FALSE),0)</f>
        <v>0</v>
      </c>
      <c r="O172" s="7">
        <f>IFERROR(VLOOKUP(Tabla145[[#This Row],[Llave]],'[16]TD Conf-AP'!$I:$M,4,FALSE),0)</f>
        <v>5000</v>
      </c>
      <c r="P172" s="14">
        <f>SUM(Tabla145[[#This Row],[Producción disponible]],Tabla145[[#This Row],[Stock al día]],(Tabla145[[#This Row],[Por producir mes N]]*0.9))-Tabla145[[#This Row],[Producción por despachar mes N]]</f>
        <v>-1256</v>
      </c>
      <c r="Q172" s="7">
        <f>IFERROR(VLOOKUP(Tabla145[[#This Row],[Llave]],[17]DELAY!$A:$D,4,FALSE),0)</f>
        <v>5000</v>
      </c>
      <c r="R172" s="9">
        <v>3000</v>
      </c>
      <c r="S172" s="5">
        <f t="shared" si="7"/>
        <v>0</v>
      </c>
      <c r="T172" s="76">
        <v>0</v>
      </c>
      <c r="U172" s="5">
        <f>+Tabla145[[#This Row],[Atraso a facturar]]+Tabla145[[#This Row],[Ajuste atraso]]</f>
        <v>0</v>
      </c>
      <c r="V172" s="3">
        <f>+Tabla145[[#This Row],[Total disponible]]-Tabla145[[#This Row],[Facturación atraso]]</f>
        <v>-1256</v>
      </c>
      <c r="W172" s="6">
        <f>IFERROR(IF(AND(V172&gt;R172,J172&gt;=R172),ROUNDDOWN((Tabla145[[#This Row],[Producción para venta nueva]])/R172,0)*R172,0),0)</f>
        <v>0</v>
      </c>
      <c r="X172" s="76">
        <v>0</v>
      </c>
      <c r="Y172" s="6">
        <f>IF(Tabla145[[#This Row],[Venta del mes]]&gt;0,Tabla145[[#This Row],[Venta del mes]]+Tabla145[[#This Row],[Ajuste venta nueva]],0)</f>
        <v>0</v>
      </c>
      <c r="Z172" s="6">
        <f>+Tabla145[[#This Row],[Producción para venta nueva]]-Tabla145[[#This Row],[Facturación Venta nueva]]</f>
        <v>-1256</v>
      </c>
      <c r="AA172" s="6">
        <f>IF(AND(A172=1,Tabla145[[#This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2" s="6">
        <v>0</v>
      </c>
      <c r="AC172" s="6">
        <f>IF(Tabla145[[#This Row],[Disponible stock sin venta]]&gt;0,Tabla145[[#This Row],[Disponible stock sin venta]]+Tabla145[[#This Row],[Ajuste stock sin venta]],0)</f>
        <v>0</v>
      </c>
      <c r="AD172" s="3">
        <f>IFERROR(VLOOKUP(Tabla145[[#This Row],[Llave]],'[16]TD Puerto'!$A:$D,4,FALSE),0)</f>
        <v>0</v>
      </c>
      <c r="AE172" s="3">
        <v>3000</v>
      </c>
      <c r="AF172" s="3">
        <f>+Tabla145[[#This Row],[Plan Irrestricto Inicial]]</f>
        <v>3000</v>
      </c>
      <c r="AG172" s="3">
        <f>+Tabla145[[#This Row],[En puerto a facturar]]</f>
        <v>0</v>
      </c>
      <c r="AH172" s="3">
        <f>+Tabla145[[#This Row],[Facturación atraso]]</f>
        <v>0</v>
      </c>
      <c r="AI172" s="3">
        <f>+Tabla145[[#This Row],[Plan Irrestricto]]-Tabla145[[#This Row],[Puerto ]]-Tabla145[[#This Row],[Atraso]]</f>
        <v>3000</v>
      </c>
      <c r="AJ17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72" s="3">
        <f>+Tabla145[[#This Row],[Facturación atraso]]</f>
        <v>0</v>
      </c>
      <c r="AL172" s="3">
        <f>+Tabla145[[#This Row],[Plan Ajustado]]-Tabla145[[#This Row],[ Atraso ajustado]]-Tabla145[[#This Row],[Puerto ]]</f>
        <v>0</v>
      </c>
      <c r="AM172" s="6">
        <f>IFERROR(VLOOKUP(Tabla145[[#This Row],[Llave]],[18]!Tabla14[#All],34,FALSE),0)</f>
        <v>0</v>
      </c>
      <c r="AN172" s="6">
        <f>IFERROR(VLOOKUP(Tabla145[[#This Row],[Llave]],[18]!Tabla14[#All],35,FALSE),0)</f>
        <v>0</v>
      </c>
      <c r="AO172" s="3" t="str">
        <f>IF(Tabla145[[#This Row],[Plan Ajustado]]&gt;Tabla145[[#This Row],[En puerto a facturar]],"Si","No")</f>
        <v>No</v>
      </c>
      <c r="AP17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72" s="3">
        <f>IF(Tabla145[[#This Row],[Necesidad]]&gt;=Tabla145[[#This Row],[Stock al día]],Tabla145[[#This Row],[Stock al día]],Tabla145[[#This Row],[Necesidad]])</f>
        <v>0</v>
      </c>
      <c r="AR172" s="3">
        <f>+Tabla145[[#This Row],[Necesidad]]-Tabla145[[#This Row],[Stock Plan]]</f>
        <v>0</v>
      </c>
      <c r="AS172" s="155">
        <f>IFERROR(VLOOKUP(Tabla145[[#This Row],[Oficina]],[19]Ponderación!$B$14:$E$21,4,FALSE),"")</f>
        <v>44800</v>
      </c>
      <c r="AT17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5.22</v>
      </c>
      <c r="AU172" s="83">
        <f>IFERROR(VLOOKUP(Tabla145[[#This Row],[Llave]],[17]DELAY!$H:$W,16,FALSE),0)</f>
        <v>4.5563170949999998</v>
      </c>
      <c r="AV17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72" s="5">
        <f>Tabla145[[#This Row],[Ajuste precio IC]]*Tabla145[[#This Row],[Plan Ajustado]]</f>
        <v>0</v>
      </c>
      <c r="AX172" s="30">
        <f>IFERROR(VLOOKUP(Tabla145[[#This Row],[Llave]],'[13]Ultimos precios facturados'!$A:$G,7,FALSE),0)</f>
        <v>4.7062714353962054</v>
      </c>
      <c r="AY17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72" s="30">
        <f>IFERROR(VLOOKUP(Tabla145[[#This Row],[Llave]],Hoja2!B:K,10,FALSE),0)</f>
        <v>0</v>
      </c>
      <c r="BA172" s="30">
        <f>IF(Tabla145[[#This Row],[Ajuste precio IC]]="",Tabla145[[#This Row],[Precio ponderado]],Tabla145[[#This Row],[Precio ponderado]])</f>
        <v>0</v>
      </c>
      <c r="BB172" s="82"/>
      <c r="BC172" s="82" t="str">
        <f>IF(AND(Tabla145[[#This Row],[Atraso a facturar]]&gt;0,Tabla145[[#This Row],[Precio Atraso]]=0),"Revisar","OK")</f>
        <v>OK</v>
      </c>
      <c r="BD172" s="82" t="str">
        <f>IF(AND(Tabla145[[#This Row],[Venta del mes]]&gt;0,Tabla145[[#This Row],[Precio venta nueva]]=0),"Revisar","OK")</f>
        <v>OK</v>
      </c>
      <c r="BE172" s="20">
        <f>IFERROR(VLOOKUP(Tabla145[[#This Row],[Llave]],'[5]Consolidación planes'!$A:$M,9,FALSE),0)</f>
        <v>2000</v>
      </c>
      <c r="BF172" s="20">
        <f>IFERROR(VLOOKUP(Tabla145[[#This Row],[Llave]],'[5]Consolidación planes'!$A:$M,10,FALSE),0)</f>
        <v>18000</v>
      </c>
      <c r="BG172" s="20">
        <f>IFERROR(VLOOKUP(Tabla145[[#This Row],[Llave]],'[5]Consolidación planes'!$A:$M,11,FALSE),0)</f>
        <v>15000</v>
      </c>
      <c r="BH172" s="20">
        <f>IFERROR(VLOOKUP(Tabla145[[#This Row],[Llave]],'[5]Consolidación planes'!$A:$M,12,FALSE),0)</f>
        <v>10000</v>
      </c>
      <c r="BI172" s="20">
        <f>IFERROR(VLOOKUP(Tabla145[[#This Row],[Llave]],'[5]Consolidación planes'!$A:$M,13,FALSE),0)</f>
        <v>15400</v>
      </c>
      <c r="BJ172" s="20">
        <f>IFERROR(VLOOKUP(Tabla145[[#This Row],[Llave]],'[13]Base ultimos planes'!$A:$M,13,FALSE),0)</f>
        <v>3000</v>
      </c>
      <c r="BK172" s="80">
        <f>IFERROR(VLOOKUP(Tabla145[[#This Row],[Llave]],'[13]Base ultimos planes'!$O:$AA,8,FALSE),0)</f>
        <v>10613.774600000001</v>
      </c>
      <c r="BL172" s="20">
        <f>IFERROR(VLOOKUP(Tabla145[[#This Row],[Llave]],'[13]Base ultimos planes'!$O:$AA,9,FALSE),0)</f>
        <v>93240</v>
      </c>
      <c r="BM172" s="20">
        <f>IFERROR(VLOOKUP(Tabla145[[#This Row],[Llave]],'[13]Base ultimos planes'!$O:$AA,10,FALSE),0)</f>
        <v>77606</v>
      </c>
      <c r="BN172" s="20">
        <f>IFERROR(VLOOKUP(Tabla145[[#This Row],[Llave]],'[13]Base ultimos planes'!$O:$AA,11,FALSE),0)</f>
        <v>49787</v>
      </c>
      <c r="BO172" s="20">
        <f>IFERROR(VLOOKUP(Tabla145[[#This Row],[Llave]],'[13]Base ultimos planes'!$O:$AA,12,FALSE),0)</f>
        <v>75485</v>
      </c>
      <c r="BP172" s="20">
        <f>IFERROR(VLOOKUP(Tabla145[[#This Row],[Llave]],'[13]Base ultimos planes'!$O:$AA,13,FALSE),0)</f>
        <v>14015</v>
      </c>
      <c r="BQ172" s="20"/>
      <c r="BR172" s="20">
        <f>Tabla145[[#This Row],[ RV Producción mes n+1]]*(1-Tabla145[[#This Row],[% Uti. producción]])</f>
        <v>0</v>
      </c>
      <c r="BS172" s="20">
        <f>+Tabla145[[#This Row],[Producción disponible mes n-1]]+Tabla145[[#This Row],[Saldo Volumen disponible]]</f>
        <v>-1256</v>
      </c>
      <c r="BT172" s="7">
        <f>IFERROR(VLOOKUP(Tabla145[[#This Row],[Llave]],'[21]RV n+2 y n+3'!$B:$F,4,FALSE),0)</f>
        <v>0</v>
      </c>
      <c r="BU172" s="7">
        <f>+Tabla145[[#This Row],[Asignación mes n+2]]*Tabla145[[#This Row],[% Uti. producción]]</f>
        <v>0</v>
      </c>
      <c r="BV172" s="7">
        <f>+Tabla145[[#This Row],[Ponderación mes n+2]]+Tabla145[[#This Row],[Saldo mes n-1]]</f>
        <v>-1256</v>
      </c>
      <c r="BW172" s="7">
        <f>+Tabla145[[#This Row],[Asignación mes n+2]]-Tabla145[[#This Row],[Ponderación mes n+2]]</f>
        <v>0</v>
      </c>
      <c r="BX172" s="7">
        <f>IFERROR(VLOOKUP(Tabla145[[#This Row],[Llave]],'[21]RV n+2 y n+3'!$B:$F,5,FALSE),0)</f>
        <v>0</v>
      </c>
      <c r="BY172" s="7">
        <f>+Tabla145[[#This Row],[Asignación mes n+3]]*Tabla145[[#This Row],[% Uti. producción]]</f>
        <v>0</v>
      </c>
      <c r="BZ172" s="3">
        <f>+Tabla145[[#This Row],[Ponderación mes n+3]]+Tabla145[[#This Row],[Saldo mes n+2]]</f>
        <v>0</v>
      </c>
      <c r="CA172" s="3">
        <f>+Tabla145[[#This Row],[Asignación mes n+3]]-Tabla145[[#This Row],[Ponderación mes n+3]]</f>
        <v>0</v>
      </c>
      <c r="CB172" s="3">
        <f>+Tabla145[[#This Row],[Producción disponible mes n-1]]+Tabla145[[#This Row],[Producción disponible]]</f>
        <v>0</v>
      </c>
      <c r="CC172" s="3">
        <f>+Tabla145[[#This Row],[Saldo mes n+4]]-Tabla145[[#This Row],[ RV Producción mes n+1]]</f>
        <v>0</v>
      </c>
    </row>
    <row r="173" spans="1:81" ht="16" x14ac:dyDescent="0.2">
      <c r="A173">
        <v>1</v>
      </c>
      <c r="B173" t="str">
        <f>Tabla145[[#This Row],[Oficina]]&amp;Tabla145[[#This Row],[Material]]</f>
        <v>Exportacion Directa1021603</v>
      </c>
      <c r="C173" t="s">
        <v>6</v>
      </c>
      <c r="D173" t="s">
        <v>88</v>
      </c>
      <c r="E173">
        <v>1021603</v>
      </c>
      <c r="F173" t="s">
        <v>107</v>
      </c>
      <c r="G173" t="s">
        <v>50</v>
      </c>
      <c r="H173" t="s">
        <v>103</v>
      </c>
      <c r="I173" s="7">
        <f>IFERROR(VLOOKUP(Tabla145[[#This Row],[Llave]],'[7]RV Producción'!$C:$G,5,FALSE),0)</f>
        <v>9817</v>
      </c>
      <c r="J173" s="3">
        <f>IFERROR(IF(Tabla145[[#This Row],[Oficina]]=$I$7,VLOOKUP(Tabla145[[#This Row],[Llave]],'[7]Shangai (Tomas)'!$A:$F,6,FALSE),VLOOKUP(Tabla145[[#This Row],[Llave]],'[7]RV plan de ventas'!$A:$E,5,FALSE)),0)</f>
        <v>7000</v>
      </c>
      <c r="K173" s="8">
        <f>IFERROR(VLOOKUP(Tabla145[[#This Row],[Oficina]],[15]Ponderación!$B$2:$E$9,4,FALSE),0)</f>
        <v>0.87158319035419651</v>
      </c>
      <c r="L173" s="7">
        <f>+Tabla145[[#This Row],[ RV Producción mes n+1]]*Tabla145[[#This Row],[% Uti. producción]]</f>
        <v>8556.3321797071476</v>
      </c>
      <c r="M173" s="7">
        <f>IFERROR(VLOOKUP(Tabla145[[#This Row],[Material]],[16]Stock!$G:$K,5,FALSE),0)</f>
        <v>3486</v>
      </c>
      <c r="N173" s="7">
        <f>IFERROR(VLOOKUP(Tabla145[[#This Row],[Material]],[16]Produccion!$M:$N,2,FALSE),0)</f>
        <v>620.03558269568566</v>
      </c>
      <c r="O173" s="7">
        <f>IFERROR(VLOOKUP(Tabla145[[#This Row],[Llave]],'[16]TD Conf-AP'!$I:$M,4,FALSE),0)</f>
        <v>0</v>
      </c>
      <c r="P173" s="14">
        <f>SUM(Tabla145[[#This Row],[Producción disponible]],Tabla145[[#This Row],[Stock al día]],(Tabla145[[#This Row],[Por producir mes N]]*0.9))-Tabla145[[#This Row],[Producción por despachar mes N]]</f>
        <v>12600.364204133264</v>
      </c>
      <c r="Q173" s="7">
        <f>IFERROR(VLOOKUP(Tabla145[[#This Row],[Llave]],[17]DELAY!$A:$D,4,FALSE),0)</f>
        <v>10500</v>
      </c>
      <c r="R173" s="9">
        <v>5000</v>
      </c>
      <c r="S173" s="5">
        <f t="shared" si="7"/>
        <v>10500</v>
      </c>
      <c r="T173" s="76">
        <v>-3324</v>
      </c>
      <c r="U173" s="5">
        <f>+Tabla145[[#This Row],[Atraso a facturar]]+Tabla145[[#This Row],[Ajuste atraso]]</f>
        <v>7176</v>
      </c>
      <c r="V173" s="3">
        <f>+Tabla145[[#This Row],[Total disponible]]-Tabla145[[#This Row],[Facturación atraso]]</f>
        <v>5424.3642041332641</v>
      </c>
      <c r="W173" s="6">
        <f>IFERROR(IF(AND(V173&gt;R173,J173&gt;=R173),ROUNDDOWN((Tabla145[[#This Row],[Producción para venta nueva]])/R173,0)*R173,0),0)</f>
        <v>5000</v>
      </c>
      <c r="X173" s="76">
        <v>-3324</v>
      </c>
      <c r="Y173" s="6">
        <f>IF(Tabla145[[#This Row],[Venta del mes]]&gt;0,Tabla145[[#This Row],[Venta del mes]]+Tabla145[[#This Row],[Ajuste venta nueva]],0)</f>
        <v>1676</v>
      </c>
      <c r="Z173" s="6">
        <f>+Tabla145[[#This Row],[Producción para venta nueva]]-Tabla145[[#This Row],[Facturación Venta nueva]]</f>
        <v>3748.3642041332641</v>
      </c>
      <c r="AA173" s="6">
        <f>IF(AND(A173=1,Tabla145[[#This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3" s="6">
        <v>0</v>
      </c>
      <c r="AC173" s="6">
        <f>IF(Tabla145[[#This Row],[Disponible stock sin venta]]&gt;0,Tabla145[[#This Row],[Disponible stock sin venta]]+Tabla145[[#This Row],[Ajuste stock sin venta]],0)</f>
        <v>0</v>
      </c>
      <c r="AD173" s="3">
        <f>IFERROR(VLOOKUP(Tabla145[[#This Row],[Llave]],'[16]TD Puerto'!$A:$D,4,FALSE),0)</f>
        <v>0</v>
      </c>
      <c r="AE173" s="3">
        <v>10500</v>
      </c>
      <c r="AF173" s="3">
        <f>+Tabla145[[#This Row],[Plan Irrestricto Inicial]]</f>
        <v>10500</v>
      </c>
      <c r="AG173" s="3">
        <f>+Tabla145[[#This Row],[En puerto a facturar]]</f>
        <v>0</v>
      </c>
      <c r="AH173" s="3">
        <f>+Tabla145[[#This Row],[Facturación atraso]]</f>
        <v>7176</v>
      </c>
      <c r="AI173" s="3">
        <f>+Tabla145[[#This Row],[Plan Irrestricto]]-Tabla145[[#This Row],[Puerto ]]-Tabla145[[#This Row],[Atraso]]</f>
        <v>3324</v>
      </c>
      <c r="AJ173" s="3">
        <f>IF(Tabla145[[#This Row],[Plan Irrestricto]]&gt;0,SUM(Tabla145[[#This Row],[Facturación atraso]],Tabla145[[#This Row],[Facturación Venta nueva]],Tabla145[[#This Row],[Facturación stock]],Tabla145[[#This Row],[En puerto a facturar]]),0)</f>
        <v>8852</v>
      </c>
      <c r="AK173" s="3">
        <f>+Tabla145[[#This Row],[Facturación atraso]]</f>
        <v>7176</v>
      </c>
      <c r="AL173" s="3">
        <f>+Tabla145[[#This Row],[Plan Ajustado]]-Tabla145[[#This Row],[ Atraso ajustado]]-Tabla145[[#This Row],[Puerto ]]</f>
        <v>1676</v>
      </c>
      <c r="AM173" s="6">
        <f>IFERROR(VLOOKUP(Tabla145[[#This Row],[Llave]],[18]!Tabla14[#All],34,FALSE),0)</f>
        <v>0</v>
      </c>
      <c r="AN173" s="6">
        <f>IFERROR(VLOOKUP(Tabla145[[#This Row],[Llave]],[18]!Tabla14[#All],35,FALSE),0)</f>
        <v>0</v>
      </c>
      <c r="AO173" s="3" t="str">
        <f>IF(Tabla145[[#This Row],[Plan Ajustado]]&gt;Tabla145[[#This Row],[En puerto a facturar]],"Si","No")</f>
        <v>Si</v>
      </c>
      <c r="AP173" s="3">
        <f>IF(AND(Tabla145[[#This Row],[Plan Ajustado]]&gt;0,Tabla145[[#This Row],[Plan Ajustado]]&gt;Tabla145[[#This Row],[En puerto a facturar]]),(Tabla145[[#This Row],[Plan Ajustado]]-Tabla145[[#This Row],[En puerto a facturar]]),0)</f>
        <v>8852</v>
      </c>
      <c r="AQ173" s="3">
        <f>IF(Tabla145[[#This Row],[Necesidad]]&gt;=Tabla145[[#This Row],[Stock al día]],Tabla145[[#This Row],[Stock al día]],Tabla145[[#This Row],[Necesidad]])</f>
        <v>3486</v>
      </c>
      <c r="AR173" s="3">
        <f>+Tabla145[[#This Row],[Necesidad]]-Tabla145[[#This Row],[Stock Plan]]</f>
        <v>5366</v>
      </c>
      <c r="AS173" s="155">
        <f>IFERROR(VLOOKUP(Tabla145[[#This Row],[Oficina]],[19]Ponderación!$B$14:$E$21,4,FALSE),"")</f>
        <v>44800</v>
      </c>
      <c r="AT17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3.78</v>
      </c>
      <c r="AU173" s="83">
        <f>IFERROR(VLOOKUP(Tabla145[[#This Row],[Llave]],[17]DELAY!$H:$W,16,FALSE),0)</f>
        <v>3.8105075619047635</v>
      </c>
      <c r="AV17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3.804731389994191</v>
      </c>
      <c r="AW173" s="5">
        <f>Tabla145[[#This Row],[Ajuste precio IC]]*Tabla145[[#This Row],[Plan Ajustado]]</f>
        <v>33679.48226422858</v>
      </c>
      <c r="AX173" s="30">
        <f>IFERROR(VLOOKUP(Tabla145[[#This Row],[Llave]],'[13]Ultimos precios facturados'!$A:$G,7,FALSE),0)</f>
        <v>3.8470577949383378</v>
      </c>
      <c r="AY17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1.1002279456221471E-2</v>
      </c>
      <c r="AZ173" s="30">
        <f>IFERROR(VLOOKUP(Tabla145[[#This Row],[Llave]],Hoja2!B:K,10,FALSE),0)</f>
        <v>3.804731389994191</v>
      </c>
      <c r="BA173" s="30">
        <f>IF(Tabla145[[#This Row],[Ajuste precio IC]]="",Tabla145[[#This Row],[Precio ponderado]],Tabla145[[#This Row],[Precio ponderado]])</f>
        <v>3.804731389994191</v>
      </c>
      <c r="BB173" s="82"/>
      <c r="BC173" s="82" t="str">
        <f>IF(AND(Tabla145[[#This Row],[Atraso a facturar]]&gt;0,Tabla145[[#This Row],[Precio Atraso]]=0),"Revisar","OK")</f>
        <v>OK</v>
      </c>
      <c r="BD173" s="82" t="str">
        <f>IF(AND(Tabla145[[#This Row],[Venta del mes]]&gt;0,Tabla145[[#This Row],[Precio venta nueva]]=0),"Revisar","OK")</f>
        <v>OK</v>
      </c>
      <c r="BE173" s="20">
        <f>IFERROR(VLOOKUP(Tabla145[[#This Row],[Llave]],'[5]Consolidación planes'!$A:$M,9,FALSE),0)</f>
        <v>5000</v>
      </c>
      <c r="BF173" s="20">
        <f>IFERROR(VLOOKUP(Tabla145[[#This Row],[Llave]],'[5]Consolidación planes'!$A:$M,10,FALSE),0)</f>
        <v>3000</v>
      </c>
      <c r="BG173" s="20">
        <f>IFERROR(VLOOKUP(Tabla145[[#This Row],[Llave]],'[5]Consolidación planes'!$A:$M,11,FALSE),0)</f>
        <v>4000</v>
      </c>
      <c r="BH173" s="20">
        <f>IFERROR(VLOOKUP(Tabla145[[#This Row],[Llave]],'[5]Consolidación planes'!$A:$M,12,FALSE),0)</f>
        <v>5000</v>
      </c>
      <c r="BI173" s="20">
        <f>IFERROR(VLOOKUP(Tabla145[[#This Row],[Llave]],'[5]Consolidación planes'!$A:$M,13,FALSE),0)</f>
        <v>7000</v>
      </c>
      <c r="BJ173" s="20">
        <f>IFERROR(VLOOKUP(Tabla145[[#This Row],[Llave]],'[13]Base ultimos planes'!$A:$M,13,FALSE),0)</f>
        <v>5500</v>
      </c>
      <c r="BK173" s="80">
        <f>IFERROR(VLOOKUP(Tabla145[[#This Row],[Llave]],'[13]Base ultimos planes'!$O:$AA,8,FALSE),0)</f>
        <v>22909.446899999999</v>
      </c>
      <c r="BL173" s="20">
        <f>IFERROR(VLOOKUP(Tabla145[[#This Row],[Llave]],'[13]Base ultimos planes'!$O:$AA,9,FALSE),0)</f>
        <v>12940</v>
      </c>
      <c r="BM173" s="20">
        <f>IFERROR(VLOOKUP(Tabla145[[#This Row],[Llave]],'[13]Base ultimos planes'!$O:$AA,10,FALSE),0)</f>
        <v>17412</v>
      </c>
      <c r="BN173" s="20">
        <f>IFERROR(VLOOKUP(Tabla145[[#This Row],[Llave]],'[13]Base ultimos planes'!$O:$AA,11,FALSE),0)</f>
        <v>20869</v>
      </c>
      <c r="BO173" s="20">
        <f>IFERROR(VLOOKUP(Tabla145[[#This Row],[Llave]],'[13]Base ultimos planes'!$O:$AA,12,FALSE),0)</f>
        <v>27713</v>
      </c>
      <c r="BP173" s="20">
        <f>IFERROR(VLOOKUP(Tabla145[[#This Row],[Llave]],'[13]Base ultimos planes'!$O:$AA,13,FALSE),0)</f>
        <v>20622</v>
      </c>
      <c r="BQ173" s="20"/>
      <c r="BR173" s="20">
        <f>Tabla145[[#This Row],[ RV Producción mes n+1]]*(1-Tabla145[[#This Row],[% Uti. producción]])</f>
        <v>1260.6678202928529</v>
      </c>
      <c r="BS173" s="20">
        <f>+Tabla145[[#This Row],[Producción disponible mes n-1]]+Tabla145[[#This Row],[Saldo Volumen disponible]]</f>
        <v>5009.0320244261165</v>
      </c>
      <c r="BT173" s="7">
        <f>IFERROR(VLOOKUP(Tabla145[[#This Row],[Llave]],'[21]RV n+2 y n+3'!$B:$F,4,FALSE),0)</f>
        <v>7000</v>
      </c>
      <c r="BU173" s="7">
        <f>+Tabla145[[#This Row],[Asignación mes n+2]]*Tabla145[[#This Row],[% Uti. producción]]</f>
        <v>6101.0823324793755</v>
      </c>
      <c r="BV173" s="7">
        <f>+Tabla145[[#This Row],[Ponderación mes n+2]]+Tabla145[[#This Row],[Saldo mes n-1]]</f>
        <v>11110.114356905491</v>
      </c>
      <c r="BW173" s="7">
        <f>+Tabla145[[#This Row],[Asignación mes n+2]]-Tabla145[[#This Row],[Ponderación mes n+2]]</f>
        <v>898.91766752062449</v>
      </c>
      <c r="BX173" s="7">
        <f>IFERROR(VLOOKUP(Tabla145[[#This Row],[Llave]],'[21]RV n+2 y n+3'!$B:$F,5,FALSE),0)</f>
        <v>5000</v>
      </c>
      <c r="BY173" s="7">
        <f>+Tabla145[[#This Row],[Asignación mes n+3]]*Tabla145[[#This Row],[% Uti. producción]]</f>
        <v>4357.9159517709822</v>
      </c>
      <c r="BZ173" s="3">
        <f>+Tabla145[[#This Row],[Ponderación mes n+3]]+Tabla145[[#This Row],[Saldo mes n+2]]</f>
        <v>5256.8336192916067</v>
      </c>
      <c r="CA173" s="3">
        <f>+Tabla145[[#This Row],[Asignación mes n+3]]-Tabla145[[#This Row],[Ponderación mes n+3]]</f>
        <v>642.08404822901775</v>
      </c>
      <c r="CB173" s="3">
        <f>+Tabla145[[#This Row],[Producción disponible mes n-1]]+Tabla145[[#This Row],[Producción disponible]]</f>
        <v>9817</v>
      </c>
      <c r="CC173" s="3">
        <f>+Tabla145[[#This Row],[Saldo mes n+4]]-Tabla145[[#This Row],[ RV Producción mes n+1]]</f>
        <v>0</v>
      </c>
    </row>
    <row r="174" spans="1:81" ht="16" x14ac:dyDescent="0.2">
      <c r="A174">
        <v>1</v>
      </c>
      <c r="B174" t="str">
        <f>Tabla145[[#This Row],[Oficina]]&amp;Tabla145[[#This Row],[Material]]</f>
        <v>Exportacion Directa1021609</v>
      </c>
      <c r="C174" t="s">
        <v>6</v>
      </c>
      <c r="D174" t="s">
        <v>88</v>
      </c>
      <c r="E174">
        <v>1021609</v>
      </c>
      <c r="F174" t="s">
        <v>90</v>
      </c>
      <c r="G174" t="s">
        <v>37</v>
      </c>
      <c r="H174" t="s">
        <v>38</v>
      </c>
      <c r="I174" s="7">
        <f>IFERROR(VLOOKUP(Tabla145[[#This Row],[Llave]],'[7]RV Producción'!$C:$G,5,FALSE),0)</f>
        <v>70488</v>
      </c>
      <c r="J174" s="3">
        <f>IFERROR(IF(Tabla145[[#This Row],[Oficina]]=$I$7,VLOOKUP(Tabla145[[#This Row],[Llave]],'[7]Shangai (Tomas)'!$A:$F,6,FALSE),VLOOKUP(Tabla145[[#This Row],[Llave]],'[7]RV plan de ventas'!$A:$E,5,FALSE)),0)</f>
        <v>20000</v>
      </c>
      <c r="K174" s="8">
        <f>IFERROR(VLOOKUP(Tabla145[[#This Row],[Oficina]],[15]Ponderación!$B$2:$E$9,4,FALSE),0)</f>
        <v>0.87158319035419651</v>
      </c>
      <c r="L174" s="7">
        <f>+Tabla145[[#This Row],[ RV Producción mes n+1]]*Tabla145[[#This Row],[% Uti. producción]]</f>
        <v>61436.155921686601</v>
      </c>
      <c r="M174" s="7">
        <f>IFERROR(VLOOKUP(Tabla145[[#This Row],[Material]],[16]Stock!$G:$K,5,FALSE),0)</f>
        <v>13533</v>
      </c>
      <c r="N174" s="7">
        <f>IFERROR(VLOOKUP(Tabla145[[#This Row],[Material]],[16]Produccion!$M:$N,2,FALSE),0)</f>
        <v>11056.291695533571</v>
      </c>
      <c r="O174" s="7">
        <f>IFERROR(VLOOKUP(Tabla145[[#This Row],[Llave]],'[16]TD Conf-AP'!$I:$M,4,FALSE),0)</f>
        <v>0</v>
      </c>
      <c r="P174" s="14">
        <f>SUM(Tabla145[[#This Row],[Producción disponible]],Tabla145[[#This Row],[Stock al día]],(Tabla145[[#This Row],[Por producir mes N]]*0.9))-Tabla145[[#This Row],[Producción por despachar mes N]]</f>
        <v>84919.81844766681</v>
      </c>
      <c r="Q174" s="7">
        <f>IFERROR(VLOOKUP(Tabla145[[#This Row],[Llave]],[17]DELAY!$A:$D,4,FALSE),0)</f>
        <v>60000</v>
      </c>
      <c r="R174" s="9">
        <v>8000</v>
      </c>
      <c r="S174" s="5">
        <f t="shared" si="7"/>
        <v>60000</v>
      </c>
      <c r="T174" s="76">
        <v>-22160</v>
      </c>
      <c r="U174" s="5">
        <f>+Tabla145[[#This Row],[Atraso a facturar]]+Tabla145[[#This Row],[Ajuste atraso]]</f>
        <v>37840</v>
      </c>
      <c r="V174" s="3">
        <f>+Tabla145[[#This Row],[Total disponible]]-Tabla145[[#This Row],[Facturación atraso]]</f>
        <v>47079.81844766681</v>
      </c>
      <c r="W174" s="6">
        <f>IFERROR(IF(AND(V174&gt;R174,J174&gt;=R174),ROUNDDOWN((Tabla145[[#This Row],[Producción para venta nueva]])/R174,0)*R174,0),0)</f>
        <v>40000</v>
      </c>
      <c r="X174" s="76">
        <v>-30000</v>
      </c>
      <c r="Y174" s="6">
        <f>IF(Tabla145[[#This Row],[Venta del mes]]&gt;0,Tabla145[[#This Row],[Venta del mes]]+Tabla145[[#This Row],[Ajuste venta nueva]],0)</f>
        <v>10000</v>
      </c>
      <c r="Z174" s="6">
        <f>+Tabla145[[#This Row],[Producción para venta nueva]]-Tabla145[[#This Row],[Facturación Venta nueva]]</f>
        <v>37079.81844766681</v>
      </c>
      <c r="AA174" s="6">
        <f>IF(AND(A174=1,Tabla145[[#This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4" s="6">
        <v>0</v>
      </c>
      <c r="AC174" s="6">
        <f>IF(Tabla145[[#This Row],[Disponible stock sin venta]]&gt;0,Tabla145[[#This Row],[Disponible stock sin venta]]+Tabla145[[#This Row],[Ajuste stock sin venta]],0)</f>
        <v>0</v>
      </c>
      <c r="AD174" s="3">
        <f>IFERROR(VLOOKUP(Tabla145[[#This Row],[Llave]],'[16]TD Puerto'!$A:$D,4,FALSE),0)</f>
        <v>0</v>
      </c>
      <c r="AE174" s="3">
        <v>68000</v>
      </c>
      <c r="AF174" s="3">
        <f>+Tabla145[[#This Row],[Plan Irrestricto Inicial]]</f>
        <v>68000</v>
      </c>
      <c r="AG174" s="3">
        <f>+Tabla145[[#This Row],[En puerto a facturar]]</f>
        <v>0</v>
      </c>
      <c r="AH174" s="3">
        <f>+Tabla145[[#This Row],[Facturación atraso]]</f>
        <v>37840</v>
      </c>
      <c r="AI174" s="3">
        <f>+Tabla145[[#This Row],[Plan Irrestricto]]-Tabla145[[#This Row],[Puerto ]]-Tabla145[[#This Row],[Atraso]]</f>
        <v>30160</v>
      </c>
      <c r="AJ174" s="3">
        <f>IF(Tabla145[[#This Row],[Plan Irrestricto]]&gt;0,SUM(Tabla145[[#This Row],[Facturación atraso]],Tabla145[[#This Row],[Facturación Venta nueva]],Tabla145[[#This Row],[Facturación stock]],Tabla145[[#This Row],[En puerto a facturar]]),0)</f>
        <v>47840</v>
      </c>
      <c r="AK174" s="3">
        <f>+Tabla145[[#This Row],[Facturación atraso]]</f>
        <v>37840</v>
      </c>
      <c r="AL174" s="3">
        <f>+Tabla145[[#This Row],[Plan Ajustado]]-Tabla145[[#This Row],[ Atraso ajustado]]-Tabla145[[#This Row],[Puerto ]]</f>
        <v>10000</v>
      </c>
      <c r="AM174" s="6">
        <f>IFERROR(VLOOKUP(Tabla145[[#This Row],[Llave]],[18]!Tabla14[#All],34,FALSE),0)</f>
        <v>0</v>
      </c>
      <c r="AN174" s="6">
        <f>IFERROR(VLOOKUP(Tabla145[[#This Row],[Llave]],[18]!Tabla14[#All],35,FALSE),0)</f>
        <v>0</v>
      </c>
      <c r="AO174" s="3" t="str">
        <f>IF(Tabla145[[#This Row],[Plan Ajustado]]&gt;Tabla145[[#This Row],[En puerto a facturar]],"Si","No")</f>
        <v>Si</v>
      </c>
      <c r="AP174" s="3">
        <f>IF(AND(Tabla145[[#This Row],[Plan Ajustado]]&gt;0,Tabla145[[#This Row],[Plan Ajustado]]&gt;Tabla145[[#This Row],[En puerto a facturar]]),(Tabla145[[#This Row],[Plan Ajustado]]-Tabla145[[#This Row],[En puerto a facturar]]),0)</f>
        <v>47840</v>
      </c>
      <c r="AQ174" s="3">
        <f>IF(Tabla145[[#This Row],[Necesidad]]&gt;=Tabla145[[#This Row],[Stock al día]],Tabla145[[#This Row],[Stock al día]],Tabla145[[#This Row],[Necesidad]])</f>
        <v>13533</v>
      </c>
      <c r="AR174" s="3">
        <f>+Tabla145[[#This Row],[Necesidad]]-Tabla145[[#This Row],[Stock Plan]]</f>
        <v>34307</v>
      </c>
      <c r="AS174" s="155">
        <f>IFERROR(VLOOKUP(Tabla145[[#This Row],[Oficina]],[19]Ponderación!$B$14:$E$21,4,FALSE),"")</f>
        <v>44800</v>
      </c>
      <c r="AT17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4.32</v>
      </c>
      <c r="AU174" s="83">
        <f>IFERROR(VLOOKUP(Tabla145[[#This Row],[Llave]],[17]DELAY!$H:$W,16,FALSE),0)</f>
        <v>4.5044507433333338</v>
      </c>
      <c r="AV17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4.465894985947604</v>
      </c>
      <c r="AW174" s="5">
        <f>Tabla145[[#This Row],[Ajuste precio IC]]*Tabla145[[#This Row],[Plan Ajustado]]</f>
        <v>213648.41612773339</v>
      </c>
      <c r="AX174" s="30">
        <f>IFERROR(VLOOKUP(Tabla145[[#This Row],[Llave]],'[13]Ultimos precios facturados'!$A:$G,7,FALSE),0)</f>
        <v>4.4282683686810635</v>
      </c>
      <c r="AY17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8.4969143994647681E-3</v>
      </c>
      <c r="AZ174" s="30">
        <f>IFERROR(VLOOKUP(Tabla145[[#This Row],[Llave]],Hoja2!B:K,10,FALSE),0)</f>
        <v>4.465894985947604</v>
      </c>
      <c r="BA174" s="30">
        <f>IF(Tabla145[[#This Row],[Ajuste precio IC]]="",Tabla145[[#This Row],[Precio ponderado]],Tabla145[[#This Row],[Precio ponderado]])</f>
        <v>4.465894985947604</v>
      </c>
      <c r="BB174" s="82"/>
      <c r="BC174" s="82" t="str">
        <f>IF(AND(Tabla145[[#This Row],[Atraso a facturar]]&gt;0,Tabla145[[#This Row],[Precio Atraso]]=0),"Revisar","OK")</f>
        <v>OK</v>
      </c>
      <c r="BD174" s="82" t="str">
        <f>IF(AND(Tabla145[[#This Row],[Venta del mes]]&gt;0,Tabla145[[#This Row],[Precio venta nueva]]=0),"Revisar","OK")</f>
        <v>OK</v>
      </c>
      <c r="BE174" s="20">
        <f>IFERROR(VLOOKUP(Tabla145[[#This Row],[Llave]],'[5]Consolidación planes'!$A:$M,9,FALSE),0)</f>
        <v>16500</v>
      </c>
      <c r="BF174" s="20">
        <f>IFERROR(VLOOKUP(Tabla145[[#This Row],[Llave]],'[5]Consolidación planes'!$A:$M,10,FALSE),0)</f>
        <v>6500</v>
      </c>
      <c r="BG174" s="20">
        <f>IFERROR(VLOOKUP(Tabla145[[#This Row],[Llave]],'[5]Consolidación planes'!$A:$M,11,FALSE),0)</f>
        <v>3000</v>
      </c>
      <c r="BH174" s="20">
        <f>IFERROR(VLOOKUP(Tabla145[[#This Row],[Llave]],'[5]Consolidación planes'!$A:$M,12,FALSE),0)</f>
        <v>5000</v>
      </c>
      <c r="BI174" s="20">
        <f>IFERROR(VLOOKUP(Tabla145[[#This Row],[Llave]],'[5]Consolidación planes'!$A:$M,13,FALSE),0)</f>
        <v>0</v>
      </c>
      <c r="BJ174" s="20">
        <f>IFERROR(VLOOKUP(Tabla145[[#This Row],[Llave]],'[13]Base ultimos planes'!$A:$M,13,FALSE),0)</f>
        <v>0</v>
      </c>
      <c r="BK174" s="80">
        <f>IFERROR(VLOOKUP(Tabla145[[#This Row],[Llave]],'[13]Base ultimos planes'!$O:$AA,8,FALSE),0)</f>
        <v>84517.474000000002</v>
      </c>
      <c r="BL174" s="20">
        <f>IFERROR(VLOOKUP(Tabla145[[#This Row],[Llave]],'[13]Base ultimos planes'!$O:$AA,9,FALSE),0)</f>
        <v>31345</v>
      </c>
      <c r="BM174" s="20">
        <f>IFERROR(VLOOKUP(Tabla145[[#This Row],[Llave]],'[13]Base ultimos planes'!$O:$AA,10,FALSE),0)</f>
        <v>14512</v>
      </c>
      <c r="BN174" s="20">
        <f>IFERROR(VLOOKUP(Tabla145[[#This Row],[Llave]],'[13]Base ultimos planes'!$O:$AA,11,FALSE),0)</f>
        <v>24062</v>
      </c>
      <c r="BO174" s="20">
        <f>IFERROR(VLOOKUP(Tabla145[[#This Row],[Llave]],'[13]Base ultimos planes'!$O:$AA,12,FALSE),0)</f>
        <v>0</v>
      </c>
      <c r="BP174" s="20">
        <f>IFERROR(VLOOKUP(Tabla145[[#This Row],[Llave]],'[13]Base ultimos planes'!$O:$AA,13,FALSE),0)</f>
        <v>0</v>
      </c>
      <c r="BQ174" s="20"/>
      <c r="BR174" s="20">
        <f>Tabla145[[#This Row],[ RV Producción mes n+1]]*(1-Tabla145[[#This Row],[% Uti. producción]])</f>
        <v>9051.8440783133956</v>
      </c>
      <c r="BS174" s="20">
        <f>+Tabla145[[#This Row],[Producción disponible mes n-1]]+Tabla145[[#This Row],[Saldo Volumen disponible]]</f>
        <v>46131.662525980209</v>
      </c>
      <c r="BT174" s="7">
        <f>IFERROR(VLOOKUP(Tabla145[[#This Row],[Llave]],'[21]RV n+2 y n+3'!$B:$F,4,FALSE),0)</f>
        <v>20000</v>
      </c>
      <c r="BU174" s="7">
        <f>+Tabla145[[#This Row],[Asignación mes n+2]]*Tabla145[[#This Row],[% Uti. producción]]</f>
        <v>17431.663807083929</v>
      </c>
      <c r="BV174" s="7">
        <f>+Tabla145[[#This Row],[Ponderación mes n+2]]+Tabla145[[#This Row],[Saldo mes n-1]]</f>
        <v>63563.326333064135</v>
      </c>
      <c r="BW174" s="7">
        <f>+Tabla145[[#This Row],[Asignación mes n+2]]-Tabla145[[#This Row],[Ponderación mes n+2]]</f>
        <v>2568.336192916071</v>
      </c>
      <c r="BX174" s="7">
        <f>IFERROR(VLOOKUP(Tabla145[[#This Row],[Llave]],'[21]RV n+2 y n+3'!$B:$F,5,FALSE),0)</f>
        <v>20000</v>
      </c>
      <c r="BY174" s="7">
        <f>+Tabla145[[#This Row],[Asignación mes n+3]]*Tabla145[[#This Row],[% Uti. producción]]</f>
        <v>17431.663807083929</v>
      </c>
      <c r="BZ174" s="3">
        <f>+Tabla145[[#This Row],[Ponderación mes n+3]]+Tabla145[[#This Row],[Saldo mes n+2]]</f>
        <v>20000</v>
      </c>
      <c r="CA174" s="3">
        <f>+Tabla145[[#This Row],[Asignación mes n+3]]-Tabla145[[#This Row],[Ponderación mes n+3]]</f>
        <v>2568.336192916071</v>
      </c>
      <c r="CB174" s="3">
        <f>+Tabla145[[#This Row],[Producción disponible mes n-1]]+Tabla145[[#This Row],[Producción disponible]]</f>
        <v>70488</v>
      </c>
      <c r="CC174" s="3">
        <f>+Tabla145[[#This Row],[Saldo mes n+4]]-Tabla145[[#This Row],[ RV Producción mes n+1]]</f>
        <v>0</v>
      </c>
    </row>
    <row r="175" spans="1:81" ht="16" x14ac:dyDescent="0.2">
      <c r="A175">
        <v>1</v>
      </c>
      <c r="B175" t="str">
        <f>Tabla145[[#This Row],[Oficina]]&amp;Tabla145[[#This Row],[Material]]</f>
        <v>Exportacion Directa1022282</v>
      </c>
      <c r="C175" t="s">
        <v>6</v>
      </c>
      <c r="D175" t="s">
        <v>88</v>
      </c>
      <c r="E175">
        <v>1022282</v>
      </c>
      <c r="F175" t="s">
        <v>137</v>
      </c>
      <c r="G175" t="s">
        <v>134</v>
      </c>
      <c r="H175" t="s">
        <v>135</v>
      </c>
      <c r="I175" s="7">
        <f>IFERROR(VLOOKUP(Tabla145[[#This Row],[Llave]],'[7]RV Producción'!$C:$G,5,FALSE),0)</f>
        <v>0</v>
      </c>
      <c r="J175" s="3">
        <f>IFERROR(IF(Tabla145[[#This Row],[Oficina]]=$I$7,VLOOKUP(Tabla145[[#This Row],[Llave]],'[7]Shangai (Tomas)'!$A:$F,6,FALSE),VLOOKUP(Tabla145[[#This Row],[Llave]],'[7]RV plan de ventas'!$A:$E,5,FALSE)),0)</f>
        <v>0</v>
      </c>
      <c r="K175" s="8">
        <f>IFERROR(VLOOKUP(Tabla145[[#This Row],[Oficina]],[15]Ponderación!$B$2:$E$9,4,FALSE),0)</f>
        <v>0.87158319035419651</v>
      </c>
      <c r="L175" s="7">
        <f>+Tabla145[[#This Row],[ RV Producción mes n+1]]*Tabla145[[#This Row],[% Uti. producción]]</f>
        <v>0</v>
      </c>
      <c r="M175" s="7">
        <f>IFERROR(VLOOKUP(Tabla145[[#This Row],[Material]],[16]Stock!$G:$K,5,FALSE),0)</f>
        <v>0</v>
      </c>
      <c r="N175" s="7">
        <f>IFERROR(VLOOKUP(Tabla145[[#This Row],[Material]],[16]Produccion!$M:$N,2,FALSE),0)</f>
        <v>0</v>
      </c>
      <c r="O175" s="7">
        <f>IFERROR(VLOOKUP(Tabla145[[#This Row],[Llave]],'[16]TD Conf-AP'!$I:$M,4,FALSE),0)</f>
        <v>0</v>
      </c>
      <c r="P175" s="14">
        <f>SUM(Tabla145[[#This Row],[Producción disponible]],Tabla145[[#This Row],[Stock al día]],(Tabla145[[#This Row],[Por producir mes N]]*0.9))-Tabla145[[#This Row],[Producción por despachar mes N]]</f>
        <v>0</v>
      </c>
      <c r="Q175" s="7">
        <f>IFERROR(VLOOKUP(Tabla145[[#This Row],[Llave]],[17]DELAY!$A:$D,4,FALSE),0)</f>
        <v>0</v>
      </c>
      <c r="R175" s="9">
        <v>2000</v>
      </c>
      <c r="S175" s="5">
        <f t="shared" si="7"/>
        <v>0</v>
      </c>
      <c r="T175" s="76">
        <v>0</v>
      </c>
      <c r="U175" s="5">
        <f>+Tabla145[[#This Row],[Atraso a facturar]]+Tabla145[[#This Row],[Ajuste atraso]]</f>
        <v>0</v>
      </c>
      <c r="V175" s="3">
        <f>+Tabla145[[#This Row],[Total disponible]]-Tabla145[[#This Row],[Facturación atraso]]</f>
        <v>0</v>
      </c>
      <c r="W175" s="6">
        <f>IFERROR(IF(AND(V175&gt;R175,J175&gt;=R175),ROUNDDOWN((Tabla145[[#This Row],[Producción para venta nueva]])/R175,0)*R175,0),0)</f>
        <v>0</v>
      </c>
      <c r="X175" s="76">
        <v>0</v>
      </c>
      <c r="Y175" s="6">
        <f>IF(Tabla145[[#This Row],[Venta del mes]]&gt;0,Tabla145[[#This Row],[Venta del mes]]+Tabla145[[#This Row],[Ajuste venta nueva]],0)</f>
        <v>0</v>
      </c>
      <c r="Z175" s="6">
        <f>+Tabla145[[#This Row],[Producción para venta nueva]]-Tabla145[[#This Row],[Facturación Venta nueva]]</f>
        <v>0</v>
      </c>
      <c r="AA175" s="6">
        <f>IF(AND(A175=1,Tabla145[[#This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5" s="6">
        <v>0</v>
      </c>
      <c r="AC175" s="6">
        <f>IF(Tabla145[[#This Row],[Disponible stock sin venta]]&gt;0,Tabla145[[#This Row],[Disponible stock sin venta]]+Tabla145[[#This Row],[Ajuste stock sin venta]],0)</f>
        <v>0</v>
      </c>
      <c r="AD175" s="3">
        <f>IFERROR(VLOOKUP(Tabla145[[#This Row],[Llave]],'[16]TD Puerto'!$A:$D,4,FALSE),0)</f>
        <v>0</v>
      </c>
      <c r="AE175" s="3">
        <v>0</v>
      </c>
      <c r="AF175" s="3">
        <f>+Tabla145[[#This Row],[Plan Irrestricto Inicial]]</f>
        <v>0</v>
      </c>
      <c r="AG175" s="3">
        <f>+Tabla145[[#This Row],[En puerto a facturar]]</f>
        <v>0</v>
      </c>
      <c r="AH175" s="3">
        <f>+Tabla145[[#This Row],[Facturación atraso]]</f>
        <v>0</v>
      </c>
      <c r="AI175" s="3">
        <f>+Tabla145[[#This Row],[Plan Irrestricto]]-Tabla145[[#This Row],[Puerto ]]-Tabla145[[#This Row],[Atraso]]</f>
        <v>0</v>
      </c>
      <c r="AJ17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75" s="3">
        <f>+Tabla145[[#This Row],[Facturación atraso]]</f>
        <v>0</v>
      </c>
      <c r="AL175" s="3">
        <f>+Tabla145[[#This Row],[Plan Ajustado]]-Tabla145[[#This Row],[ Atraso ajustado]]-Tabla145[[#This Row],[Puerto ]]</f>
        <v>0</v>
      </c>
      <c r="AM175" s="6">
        <f>IFERROR(VLOOKUP(Tabla145[[#This Row],[Llave]],[18]!Tabla14[#All],34,FALSE),0)</f>
        <v>0</v>
      </c>
      <c r="AN175" s="6">
        <f>IFERROR(VLOOKUP(Tabla145[[#This Row],[Llave]],[18]!Tabla14[#All],35,FALSE),0)</f>
        <v>0</v>
      </c>
      <c r="AO175" s="3" t="str">
        <f>IF(Tabla145[[#This Row],[Plan Ajustado]]&gt;Tabla145[[#This Row],[En puerto a facturar]],"Si","No")</f>
        <v>No</v>
      </c>
      <c r="AP17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75" s="3">
        <f>IF(Tabla145[[#This Row],[Necesidad]]&gt;=Tabla145[[#This Row],[Stock al día]],Tabla145[[#This Row],[Stock al día]],Tabla145[[#This Row],[Necesidad]])</f>
        <v>0</v>
      </c>
      <c r="AR175" s="3">
        <f>+Tabla145[[#This Row],[Necesidad]]-Tabla145[[#This Row],[Stock Plan]]</f>
        <v>0</v>
      </c>
      <c r="AS175" s="155">
        <f>IFERROR(VLOOKUP(Tabla145[[#This Row],[Oficina]],[19]Ponderación!$B$14:$E$21,4,FALSE),"")</f>
        <v>44800</v>
      </c>
      <c r="AT17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175" s="83">
        <f>IFERROR(VLOOKUP(Tabla145[[#This Row],[Llave]],[17]DELAY!$H:$W,16,FALSE),0)</f>
        <v>0</v>
      </c>
      <c r="AV17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75" s="5">
        <f>Tabla145[[#This Row],[Ajuste precio IC]]*Tabla145[[#This Row],[Plan Ajustado]]</f>
        <v>0</v>
      </c>
      <c r="AX175" s="30">
        <f>IFERROR(VLOOKUP(Tabla145[[#This Row],[Llave]],'[13]Ultimos precios facturados'!$A:$G,7,FALSE),0)</f>
        <v>0</v>
      </c>
      <c r="AY17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75" s="30">
        <f>IFERROR(VLOOKUP(Tabla145[[#This Row],[Llave]],Hoja2!B:K,10,FALSE),0)</f>
        <v>0</v>
      </c>
      <c r="BA175" s="30">
        <f>IF(Tabla145[[#This Row],[Ajuste precio IC]]="",Tabla145[[#This Row],[Precio ponderado]],Tabla145[[#This Row],[Precio ponderado]])</f>
        <v>0</v>
      </c>
      <c r="BB175" s="82"/>
      <c r="BC175" s="82" t="str">
        <f>IF(AND(Tabla145[[#This Row],[Atraso a facturar]]&gt;0,Tabla145[[#This Row],[Precio Atraso]]=0),"Revisar","OK")</f>
        <v>OK</v>
      </c>
      <c r="BD175" s="82" t="str">
        <f>IF(AND(Tabla145[[#This Row],[Venta del mes]]&gt;0,Tabla145[[#This Row],[Precio venta nueva]]=0),"Revisar","OK")</f>
        <v>OK</v>
      </c>
      <c r="BE175" s="20">
        <f>IFERROR(VLOOKUP(Tabla145[[#This Row],[Llave]],'[5]Consolidación planes'!$A:$M,9,FALSE),0)</f>
        <v>0</v>
      </c>
      <c r="BF175" s="20">
        <f>IFERROR(VLOOKUP(Tabla145[[#This Row],[Llave]],'[5]Consolidación planes'!$A:$M,10,FALSE),0)</f>
        <v>0</v>
      </c>
      <c r="BG175" s="20">
        <f>IFERROR(VLOOKUP(Tabla145[[#This Row],[Llave]],'[5]Consolidación planes'!$A:$M,11,FALSE),0)</f>
        <v>0</v>
      </c>
      <c r="BH175" s="20">
        <f>IFERROR(VLOOKUP(Tabla145[[#This Row],[Llave]],'[5]Consolidación planes'!$A:$M,12,FALSE),0)</f>
        <v>3000</v>
      </c>
      <c r="BI175" s="20">
        <f>IFERROR(VLOOKUP(Tabla145[[#This Row],[Llave]],'[5]Consolidación planes'!$A:$M,13,FALSE),0)</f>
        <v>2000</v>
      </c>
      <c r="BJ175" s="20">
        <f>IFERROR(VLOOKUP(Tabla145[[#This Row],[Llave]],'[13]Base ultimos planes'!$A:$M,13,FALSE),0)</f>
        <v>0</v>
      </c>
      <c r="BK175" s="80">
        <f>IFERROR(VLOOKUP(Tabla145[[#This Row],[Llave]],'[13]Base ultimos planes'!$O:$AA,8,FALSE),0)</f>
        <v>0</v>
      </c>
      <c r="BL175" s="20">
        <f>IFERROR(VLOOKUP(Tabla145[[#This Row],[Llave]],'[13]Base ultimos planes'!$O:$AA,9,FALSE),0)</f>
        <v>0</v>
      </c>
      <c r="BM175" s="20">
        <f>IFERROR(VLOOKUP(Tabla145[[#This Row],[Llave]],'[13]Base ultimos planes'!$O:$AA,10,FALSE),0)</f>
        <v>0</v>
      </c>
      <c r="BN175" s="20">
        <f>IFERROR(VLOOKUP(Tabla145[[#This Row],[Llave]],'[13]Base ultimos planes'!$O:$AA,11,FALSE),0)</f>
        <v>18786</v>
      </c>
      <c r="BO175" s="20">
        <f>IFERROR(VLOOKUP(Tabla145[[#This Row],[Llave]],'[13]Base ultimos planes'!$O:$AA,12,FALSE),0)</f>
        <v>12524</v>
      </c>
      <c r="BP175" s="20">
        <f>IFERROR(VLOOKUP(Tabla145[[#This Row],[Llave]],'[13]Base ultimos planes'!$O:$AA,13,FALSE),0)</f>
        <v>0</v>
      </c>
      <c r="BQ175" s="20"/>
      <c r="BR175" s="20">
        <f>Tabla145[[#This Row],[ RV Producción mes n+1]]*(1-Tabla145[[#This Row],[% Uti. producción]])</f>
        <v>0</v>
      </c>
      <c r="BS175" s="20">
        <f>+Tabla145[[#This Row],[Producción disponible mes n-1]]+Tabla145[[#This Row],[Saldo Volumen disponible]]</f>
        <v>0</v>
      </c>
      <c r="BT175" s="7">
        <f>IFERROR(VLOOKUP(Tabla145[[#This Row],[Llave]],'[21]RV n+2 y n+3'!$B:$F,4,FALSE),0)</f>
        <v>0</v>
      </c>
      <c r="BU175" s="7">
        <f>+Tabla145[[#This Row],[Asignación mes n+2]]*Tabla145[[#This Row],[% Uti. producción]]</f>
        <v>0</v>
      </c>
      <c r="BV175" s="7">
        <f>+Tabla145[[#This Row],[Ponderación mes n+2]]+Tabla145[[#This Row],[Saldo mes n-1]]</f>
        <v>0</v>
      </c>
      <c r="BW175" s="7">
        <f>+Tabla145[[#This Row],[Asignación mes n+2]]-Tabla145[[#This Row],[Ponderación mes n+2]]</f>
        <v>0</v>
      </c>
      <c r="BX175" s="7">
        <f>IFERROR(VLOOKUP(Tabla145[[#This Row],[Llave]],'[21]RV n+2 y n+3'!$B:$F,5,FALSE),0)</f>
        <v>0</v>
      </c>
      <c r="BY175" s="7">
        <f>+Tabla145[[#This Row],[Asignación mes n+3]]*Tabla145[[#This Row],[% Uti. producción]]</f>
        <v>0</v>
      </c>
      <c r="BZ175" s="3">
        <f>+Tabla145[[#This Row],[Ponderación mes n+3]]+Tabla145[[#This Row],[Saldo mes n+2]]</f>
        <v>0</v>
      </c>
      <c r="CA175" s="3">
        <f>+Tabla145[[#This Row],[Asignación mes n+3]]-Tabla145[[#This Row],[Ponderación mes n+3]]</f>
        <v>0</v>
      </c>
      <c r="CB175" s="3">
        <f>+Tabla145[[#This Row],[Producción disponible mes n-1]]+Tabla145[[#This Row],[Producción disponible]]</f>
        <v>0</v>
      </c>
      <c r="CC175" s="3">
        <f>+Tabla145[[#This Row],[Saldo mes n+4]]-Tabla145[[#This Row],[ RV Producción mes n+1]]</f>
        <v>0</v>
      </c>
    </row>
    <row r="176" spans="1:81" ht="16" x14ac:dyDescent="0.2">
      <c r="A176">
        <v>1</v>
      </c>
      <c r="B176" t="str">
        <f>Tabla145[[#This Row],[Oficina]]&amp;Tabla145[[#This Row],[Material]]</f>
        <v>Exportacion Directa1022313</v>
      </c>
      <c r="C176" t="s">
        <v>6</v>
      </c>
      <c r="D176" t="s">
        <v>88</v>
      </c>
      <c r="E176">
        <v>1022313</v>
      </c>
      <c r="F176" t="s">
        <v>96</v>
      </c>
      <c r="G176" t="s">
        <v>50</v>
      </c>
      <c r="H176" t="s">
        <v>95</v>
      </c>
      <c r="I176" s="7">
        <f>IFERROR(VLOOKUP(Tabla145[[#This Row],[Llave]],'[7]RV Producción'!$C:$G,5,FALSE),0)</f>
        <v>7654</v>
      </c>
      <c r="J176" s="3">
        <f>IFERROR(IF(Tabla145[[#This Row],[Oficina]]=$I$7,VLOOKUP(Tabla145[[#This Row],[Llave]],'[7]Shangai (Tomas)'!$A:$F,6,FALSE),VLOOKUP(Tabla145[[#This Row],[Llave]],'[7]RV plan de ventas'!$A:$E,5,FALSE)),0)</f>
        <v>10000</v>
      </c>
      <c r="K176" s="8">
        <f>IFERROR(VLOOKUP(Tabla145[[#This Row],[Oficina]],[15]Ponderación!$B$2:$E$9,4,FALSE),0)</f>
        <v>0.87158319035419651</v>
      </c>
      <c r="L176" s="7">
        <f>+Tabla145[[#This Row],[ RV Producción mes n+1]]*Tabla145[[#This Row],[% Uti. producción]]</f>
        <v>6671.0977389710197</v>
      </c>
      <c r="M176" s="7">
        <f>IFERROR(VLOOKUP(Tabla145[[#This Row],[Material]],[16]Stock!$G:$K,5,FALSE),0)</f>
        <v>5524</v>
      </c>
      <c r="N176" s="7">
        <f>IFERROR(VLOOKUP(Tabla145[[#This Row],[Material]],[16]Produccion!$M:$N,2,FALSE),0)</f>
        <v>258.67273955010967</v>
      </c>
      <c r="O176" s="7">
        <f>IFERROR(VLOOKUP(Tabla145[[#This Row],[Llave]],'[16]TD Conf-AP'!$I:$M,4,FALSE),0)</f>
        <v>0</v>
      </c>
      <c r="P176" s="14">
        <f>SUM(Tabla145[[#This Row],[Producción disponible]],Tabla145[[#This Row],[Stock al día]],(Tabla145[[#This Row],[Por producir mes N]]*0.9))-Tabla145[[#This Row],[Producción por despachar mes N]]</f>
        <v>12427.903204566119</v>
      </c>
      <c r="Q176" s="7">
        <f>IFERROR(VLOOKUP(Tabla145[[#This Row],[Llave]],[17]DELAY!$A:$D,4,FALSE),0)</f>
        <v>10000</v>
      </c>
      <c r="R176" s="9">
        <v>2666.6666666666665</v>
      </c>
      <c r="S176" s="5">
        <f t="shared" si="7"/>
        <v>10000</v>
      </c>
      <c r="T176" s="76">
        <v>-3324</v>
      </c>
      <c r="U176" s="5">
        <f>+Tabla145[[#This Row],[Atraso a facturar]]+Tabla145[[#This Row],[Ajuste atraso]]</f>
        <v>6676</v>
      </c>
      <c r="V176" s="3">
        <f>+Tabla145[[#This Row],[Total disponible]]-Tabla145[[#This Row],[Facturación atraso]]</f>
        <v>5751.9032045661188</v>
      </c>
      <c r="W176" s="6">
        <f>IFERROR(IF(AND(V176&gt;R176,J176&gt;=R176),ROUNDDOWN((Tabla145[[#This Row],[Producción para venta nueva]])/R176,0)*R176,0),0)</f>
        <v>5333.333333333333</v>
      </c>
      <c r="X176" s="76">
        <v>-1108</v>
      </c>
      <c r="Y176" s="6">
        <f>IF(Tabla145[[#This Row],[Venta del mes]]&gt;0,Tabla145[[#This Row],[Venta del mes]]+Tabla145[[#This Row],[Ajuste venta nueva]],0)</f>
        <v>4225.333333333333</v>
      </c>
      <c r="Z176" s="6">
        <f>+Tabla145[[#This Row],[Producción para venta nueva]]-Tabla145[[#This Row],[Facturación Venta nueva]]</f>
        <v>1526.5698712327858</v>
      </c>
      <c r="AA176" s="6">
        <f>IF(AND(A176=1,Tabla145[[#This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6" s="6">
        <v>0</v>
      </c>
      <c r="AC176" s="6">
        <f>IF(Tabla145[[#This Row],[Disponible stock sin venta]]&gt;0,Tabla145[[#This Row],[Disponible stock sin venta]]+Tabla145[[#This Row],[Ajuste stock sin venta]],0)</f>
        <v>0</v>
      </c>
      <c r="AD176" s="3">
        <f>IFERROR(VLOOKUP(Tabla145[[#This Row],[Llave]],'[16]TD Puerto'!$A:$D,4,FALSE),0)</f>
        <v>0</v>
      </c>
      <c r="AE176" s="3">
        <v>10000</v>
      </c>
      <c r="AF176" s="3">
        <f>+Tabla145[[#This Row],[Plan Irrestricto Inicial]]</f>
        <v>10000</v>
      </c>
      <c r="AG176" s="3">
        <f>+Tabla145[[#This Row],[En puerto a facturar]]</f>
        <v>0</v>
      </c>
      <c r="AH176" s="3">
        <f>+Tabla145[[#This Row],[Facturación atraso]]</f>
        <v>6676</v>
      </c>
      <c r="AI176" s="3">
        <f>+Tabla145[[#This Row],[Plan Irrestricto]]-Tabla145[[#This Row],[Puerto ]]-Tabla145[[#This Row],[Atraso]]</f>
        <v>3324</v>
      </c>
      <c r="AJ176" s="3">
        <f>IF(Tabla145[[#This Row],[Plan Irrestricto]]&gt;0,SUM(Tabla145[[#This Row],[Facturación atraso]],Tabla145[[#This Row],[Facturación Venta nueva]],Tabla145[[#This Row],[Facturación stock]],Tabla145[[#This Row],[En puerto a facturar]]),0)</f>
        <v>10901.333333333332</v>
      </c>
      <c r="AK176" s="3">
        <f>+Tabla145[[#This Row],[Facturación atraso]]</f>
        <v>6676</v>
      </c>
      <c r="AL176" s="3">
        <f>+Tabla145[[#This Row],[Plan Ajustado]]-Tabla145[[#This Row],[ Atraso ajustado]]-Tabla145[[#This Row],[Puerto ]]</f>
        <v>4225.3333333333321</v>
      </c>
      <c r="AM176" s="6">
        <f>IFERROR(VLOOKUP(Tabla145[[#This Row],[Llave]],[18]!Tabla14[#All],34,FALSE),0)</f>
        <v>0</v>
      </c>
      <c r="AN176" s="6">
        <f>IFERROR(VLOOKUP(Tabla145[[#This Row],[Llave]],[18]!Tabla14[#All],35,FALSE),0)</f>
        <v>0</v>
      </c>
      <c r="AO176" s="3" t="str">
        <f>IF(Tabla145[[#This Row],[Plan Ajustado]]&gt;Tabla145[[#This Row],[En puerto a facturar]],"Si","No")</f>
        <v>Si</v>
      </c>
      <c r="AP176" s="3">
        <f>IF(AND(Tabla145[[#This Row],[Plan Ajustado]]&gt;0,Tabla145[[#This Row],[Plan Ajustado]]&gt;Tabla145[[#This Row],[En puerto a facturar]]),(Tabla145[[#This Row],[Plan Ajustado]]-Tabla145[[#This Row],[En puerto a facturar]]),0)</f>
        <v>10901.333333333332</v>
      </c>
      <c r="AQ176" s="3">
        <f>IF(Tabla145[[#This Row],[Necesidad]]&gt;=Tabla145[[#This Row],[Stock al día]],Tabla145[[#This Row],[Stock al día]],Tabla145[[#This Row],[Necesidad]])</f>
        <v>5524</v>
      </c>
      <c r="AR176" s="3">
        <f>+Tabla145[[#This Row],[Necesidad]]-Tabla145[[#This Row],[Stock Plan]]</f>
        <v>5377.3333333333321</v>
      </c>
      <c r="AS176" s="155">
        <f>IFERROR(VLOOKUP(Tabla145[[#This Row],[Oficina]],[19]Ponderación!$B$14:$E$21,4,FALSE),"")</f>
        <v>44800</v>
      </c>
      <c r="AT17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3.8519999999999999</v>
      </c>
      <c r="AU176" s="83">
        <f>IFERROR(VLOOKUP(Tabla145[[#This Row],[Llave]],[17]DELAY!$H:$W,16,FALSE),0)</f>
        <v>3.8676856000000002</v>
      </c>
      <c r="AV17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3.8616058952054804</v>
      </c>
      <c r="AW176" s="5">
        <f>Tabla145[[#This Row],[Ajuste precio IC]]*Tabla145[[#This Row],[Plan Ajustado]]</f>
        <v>42096.653065600003</v>
      </c>
      <c r="AX176" s="30">
        <f>IFERROR(VLOOKUP(Tabla145[[#This Row],[Llave]],'[13]Ultimos precios facturados'!$A:$G,7,FALSE),0)</f>
        <v>3.9109571706657729</v>
      </c>
      <c r="AY17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1.261872050925357E-2</v>
      </c>
      <c r="AZ176" s="30">
        <f>IFERROR(VLOOKUP(Tabla145[[#This Row],[Llave]],Hoja2!B:K,10,FALSE),0)</f>
        <v>3.8616058952054804</v>
      </c>
      <c r="BA176" s="30">
        <f>IF(Tabla145[[#This Row],[Ajuste precio IC]]="",Tabla145[[#This Row],[Precio ponderado]],Tabla145[[#This Row],[Precio ponderado]])</f>
        <v>3.8616058952054804</v>
      </c>
      <c r="BB176" s="82" t="s">
        <v>758</v>
      </c>
      <c r="BC176" s="82" t="str">
        <f>IF(AND(Tabla145[[#This Row],[Atraso a facturar]]&gt;0,Tabla145[[#This Row],[Precio Atraso]]=0),"Revisar","OK")</f>
        <v>OK</v>
      </c>
      <c r="BD176" s="82" t="str">
        <f>IF(AND(Tabla145[[#This Row],[Venta del mes]]&gt;0,Tabla145[[#This Row],[Precio venta nueva]]=0),"Revisar","OK")</f>
        <v>OK</v>
      </c>
      <c r="BE176" s="20">
        <f>IFERROR(VLOOKUP(Tabla145[[#This Row],[Llave]],'[5]Consolidación planes'!$A:$M,9,FALSE),0)</f>
        <v>17750</v>
      </c>
      <c r="BF176" s="20">
        <f>IFERROR(VLOOKUP(Tabla145[[#This Row],[Llave]],'[5]Consolidación planes'!$A:$M,10,FALSE),0)</f>
        <v>9000</v>
      </c>
      <c r="BG176" s="20">
        <f>IFERROR(VLOOKUP(Tabla145[[#This Row],[Llave]],'[5]Consolidación planes'!$A:$M,11,FALSE),0)</f>
        <v>8000</v>
      </c>
      <c r="BH176" s="20">
        <f>IFERROR(VLOOKUP(Tabla145[[#This Row],[Llave]],'[5]Consolidación planes'!$A:$M,12,FALSE),0)</f>
        <v>7000</v>
      </c>
      <c r="BI176" s="20">
        <f>IFERROR(VLOOKUP(Tabla145[[#This Row],[Llave]],'[5]Consolidación planes'!$A:$M,13,FALSE),0)</f>
        <v>7000</v>
      </c>
      <c r="BJ176" s="20">
        <f>IFERROR(VLOOKUP(Tabla145[[#This Row],[Llave]],'[13]Base ultimos planes'!$A:$M,13,FALSE),0)</f>
        <v>10000</v>
      </c>
      <c r="BK176" s="80">
        <f>IFERROR(VLOOKUP(Tabla145[[#This Row],[Llave]],'[13]Base ultimos planes'!$O:$AA,8,FALSE),0)</f>
        <v>81701.657600000006</v>
      </c>
      <c r="BL176" s="20">
        <f>IFERROR(VLOOKUP(Tabla145[[#This Row],[Llave]],'[13]Base ultimos planes'!$O:$AA,9,FALSE),0)</f>
        <v>39113</v>
      </c>
      <c r="BM176" s="20">
        <f>IFERROR(VLOOKUP(Tabla145[[#This Row],[Llave]],'[13]Base ultimos planes'!$O:$AA,10,FALSE),0)</f>
        <v>34968</v>
      </c>
      <c r="BN176" s="20">
        <f>IFERROR(VLOOKUP(Tabla145[[#This Row],[Llave]],'[13]Base ultimos planes'!$O:$AA,11,FALSE),0)</f>
        <v>28931</v>
      </c>
      <c r="BO176" s="20">
        <f>IFERROR(VLOOKUP(Tabla145[[#This Row],[Llave]],'[13]Base ultimos planes'!$O:$AA,12,FALSE),0)</f>
        <v>26913</v>
      </c>
      <c r="BP176" s="20">
        <f>IFERROR(VLOOKUP(Tabla145[[#This Row],[Llave]],'[13]Base ultimos planes'!$O:$AA,13,FALSE),0)</f>
        <v>37649</v>
      </c>
      <c r="BQ176" s="20"/>
      <c r="BR176" s="20">
        <f>Tabla145[[#This Row],[ RV Producción mes n+1]]*(1-Tabla145[[#This Row],[% Uti. producción]])</f>
        <v>982.90226102897986</v>
      </c>
      <c r="BS176" s="20">
        <f>+Tabla145[[#This Row],[Producción disponible mes n-1]]+Tabla145[[#This Row],[Saldo Volumen disponible]]</f>
        <v>2509.4721322617656</v>
      </c>
      <c r="BT176" s="7">
        <f>IFERROR(VLOOKUP(Tabla145[[#This Row],[Llave]],'[21]RV n+2 y n+3'!$B:$F,4,FALSE),0)</f>
        <v>7221.7505499999997</v>
      </c>
      <c r="BU176" s="7">
        <f>+Tabla145[[#This Row],[Asignación mes n+2]]*Tabla145[[#This Row],[% Uti. producción]]</f>
        <v>6294.3563843111733</v>
      </c>
      <c r="BV176" s="7">
        <f>+Tabla145[[#This Row],[Ponderación mes n+2]]+Tabla145[[#This Row],[Saldo mes n-1]]</f>
        <v>8803.8285165729394</v>
      </c>
      <c r="BW176" s="7">
        <f>+Tabla145[[#This Row],[Asignación mes n+2]]-Tabla145[[#This Row],[Ponderación mes n+2]]</f>
        <v>927.39416568882643</v>
      </c>
      <c r="BX176" s="7">
        <f>IFERROR(VLOOKUP(Tabla145[[#This Row],[Llave]],'[21]RV n+2 y n+3'!$B:$F,5,FALSE),0)</f>
        <v>6671.5885000000007</v>
      </c>
      <c r="BY176" s="7">
        <f>+Tabla145[[#This Row],[Asignación mes n+3]]*Tabla145[[#This Row],[% Uti. producción]]</f>
        <v>5814.8443895603687</v>
      </c>
      <c r="BZ176" s="3">
        <f>+Tabla145[[#This Row],[Ponderación mes n+3]]+Tabla145[[#This Row],[Saldo mes n+2]]</f>
        <v>6742.2385552491951</v>
      </c>
      <c r="CA176" s="3">
        <f>+Tabla145[[#This Row],[Asignación mes n+3]]-Tabla145[[#This Row],[Ponderación mes n+3]]</f>
        <v>856.7441104396321</v>
      </c>
      <c r="CB176" s="3">
        <f>+Tabla145[[#This Row],[Producción disponible mes n-1]]+Tabla145[[#This Row],[Producción disponible]]</f>
        <v>7654</v>
      </c>
      <c r="CC176" s="3">
        <f>+Tabla145[[#This Row],[Saldo mes n+4]]-Tabla145[[#This Row],[ RV Producción mes n+1]]</f>
        <v>0</v>
      </c>
    </row>
    <row r="177" spans="1:81" ht="16" x14ac:dyDescent="0.2">
      <c r="A177">
        <v>1</v>
      </c>
      <c r="B177" t="str">
        <f>Tabla145[[#This Row],[Oficina]]&amp;Tabla145[[#This Row],[Material]]</f>
        <v>Exportacion Directa1022326</v>
      </c>
      <c r="C177" t="s">
        <v>6</v>
      </c>
      <c r="D177" t="s">
        <v>88</v>
      </c>
      <c r="E177">
        <v>1022326</v>
      </c>
      <c r="F177" t="s">
        <v>97</v>
      </c>
      <c r="G177" t="s">
        <v>50</v>
      </c>
      <c r="H177" t="s">
        <v>95</v>
      </c>
      <c r="I177" s="7">
        <f>IFERROR(VLOOKUP(Tabla145[[#This Row],[Llave]],'[7]RV Producción'!$C:$G,5,FALSE),0)</f>
        <v>13500</v>
      </c>
      <c r="J177" s="3">
        <f>IFERROR(IF(Tabla145[[#This Row],[Oficina]]=$I$7,VLOOKUP(Tabla145[[#This Row],[Llave]],'[7]Shangai (Tomas)'!$A:$F,6,FALSE),VLOOKUP(Tabla145[[#This Row],[Llave]],'[7]RV plan de ventas'!$A:$E,5,FALSE)),0)</f>
        <v>15000</v>
      </c>
      <c r="K177" s="8">
        <f>IFERROR(VLOOKUP(Tabla145[[#This Row],[Oficina]],[15]Ponderación!$B$2:$E$9,4,FALSE),0)</f>
        <v>0.87158319035419651</v>
      </c>
      <c r="L177" s="7">
        <f>+Tabla145[[#This Row],[ RV Producción mes n+1]]*Tabla145[[#This Row],[% Uti. producción]]</f>
        <v>11766.373069781654</v>
      </c>
      <c r="M177" s="7">
        <f>IFERROR(VLOOKUP(Tabla145[[#This Row],[Material]],[16]Stock!$G:$K,5,FALSE),0)</f>
        <v>20238</v>
      </c>
      <c r="N177" s="7">
        <f>IFERROR(VLOOKUP(Tabla145[[#This Row],[Material]],[16]Produccion!$M:$N,2,FALSE),0)</f>
        <v>5884.8749020828336</v>
      </c>
      <c r="O177" s="7">
        <f>IFERROR(VLOOKUP(Tabla145[[#This Row],[Llave]],'[16]TD Conf-AP'!$I:$M,4,FALSE),0)</f>
        <v>20000</v>
      </c>
      <c r="P177" s="14">
        <f>SUM(Tabla145[[#This Row],[Producción disponible]],Tabla145[[#This Row],[Stock al día]],(Tabla145[[#This Row],[Por producir mes N]]*0.9))-Tabla145[[#This Row],[Producción por despachar mes N]]</f>
        <v>17300.760481656202</v>
      </c>
      <c r="Q177" s="7">
        <f>IFERROR(VLOOKUP(Tabla145[[#This Row],[Llave]],[17]DELAY!$A:$D,4,FALSE),0)</f>
        <v>10000</v>
      </c>
      <c r="R177" s="9">
        <v>5833.333333333333</v>
      </c>
      <c r="S177" s="5">
        <f t="shared" si="7"/>
        <v>10000</v>
      </c>
      <c r="T177" s="76">
        <v>-3324</v>
      </c>
      <c r="U177" s="5">
        <f>+Tabla145[[#This Row],[Atraso a facturar]]+Tabla145[[#This Row],[Ajuste atraso]]</f>
        <v>6676</v>
      </c>
      <c r="V177" s="3">
        <f>+Tabla145[[#This Row],[Total disponible]]-Tabla145[[#This Row],[Facturación atraso]]</f>
        <v>10624.760481656202</v>
      </c>
      <c r="W177" s="6">
        <f>IFERROR(IF(AND(V177&gt;R177,J177&gt;=R177),ROUNDDOWN((Tabla145[[#This Row],[Producción para venta nueva]])/R177,0)*R177,0),0)</f>
        <v>5833.333333333333</v>
      </c>
      <c r="X177" s="76">
        <v>-5540</v>
      </c>
      <c r="Y177" s="6">
        <f>IF(Tabla145[[#This Row],[Venta del mes]]&gt;0,Tabla145[[#This Row],[Venta del mes]]+Tabla145[[#This Row],[Ajuste venta nueva]],0)</f>
        <v>293.33333333333303</v>
      </c>
      <c r="Z177" s="6">
        <f>+Tabla145[[#This Row],[Producción para venta nueva]]-Tabla145[[#This Row],[Facturación Venta nueva]]</f>
        <v>10331.427148322869</v>
      </c>
      <c r="AA177" s="6">
        <f>IF(AND(A177=1,Tabla145[[#This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7" s="6">
        <v>0</v>
      </c>
      <c r="AC177" s="6">
        <f>IF(Tabla145[[#This Row],[Disponible stock sin venta]]&gt;0,Tabla145[[#This Row],[Disponible stock sin venta]]+Tabla145[[#This Row],[Ajuste stock sin venta]],0)</f>
        <v>0</v>
      </c>
      <c r="AD177" s="3">
        <f>IFERROR(VLOOKUP(Tabla145[[#This Row],[Llave]],'[16]TD Puerto'!$A:$D,4,FALSE),0)</f>
        <v>0</v>
      </c>
      <c r="AE177" s="3">
        <v>21666.666666666664</v>
      </c>
      <c r="AF177" s="3">
        <f>+Tabla145[[#This Row],[Plan Irrestricto Inicial]]</f>
        <v>21666.666666666664</v>
      </c>
      <c r="AG177" s="3">
        <f>+Tabla145[[#This Row],[En puerto a facturar]]</f>
        <v>0</v>
      </c>
      <c r="AH177" s="3">
        <f>+Tabla145[[#This Row],[Facturación atraso]]</f>
        <v>6676</v>
      </c>
      <c r="AI177" s="3">
        <f>+Tabla145[[#This Row],[Plan Irrestricto]]-Tabla145[[#This Row],[Puerto ]]-Tabla145[[#This Row],[Atraso]]</f>
        <v>14990.666666666664</v>
      </c>
      <c r="AJ177" s="3">
        <f>IF(Tabla145[[#This Row],[Plan Irrestricto]]&gt;0,SUM(Tabla145[[#This Row],[Facturación atraso]],Tabla145[[#This Row],[Facturación Venta nueva]],Tabla145[[#This Row],[Facturación stock]],Tabla145[[#This Row],[En puerto a facturar]]),0)</f>
        <v>6969.333333333333</v>
      </c>
      <c r="AK177" s="3">
        <f>+Tabla145[[#This Row],[Facturación atraso]]</f>
        <v>6676</v>
      </c>
      <c r="AL177" s="3">
        <f>+Tabla145[[#This Row],[Plan Ajustado]]-Tabla145[[#This Row],[ Atraso ajustado]]-Tabla145[[#This Row],[Puerto ]]</f>
        <v>293.33333333333303</v>
      </c>
      <c r="AM177" s="6">
        <f>IFERROR(VLOOKUP(Tabla145[[#This Row],[Llave]],[18]!Tabla14[#All],34,FALSE),0)</f>
        <v>0</v>
      </c>
      <c r="AN177" s="6">
        <f>IFERROR(VLOOKUP(Tabla145[[#This Row],[Llave]],[18]!Tabla14[#All],35,FALSE),0)</f>
        <v>0</v>
      </c>
      <c r="AO177" s="3" t="str">
        <f>IF(Tabla145[[#This Row],[Plan Ajustado]]&gt;Tabla145[[#This Row],[En puerto a facturar]],"Si","No")</f>
        <v>Si</v>
      </c>
      <c r="AP177" s="3">
        <f>IF(AND(Tabla145[[#This Row],[Plan Ajustado]]&gt;0,Tabla145[[#This Row],[Plan Ajustado]]&gt;Tabla145[[#This Row],[En puerto a facturar]]),(Tabla145[[#This Row],[Plan Ajustado]]-Tabla145[[#This Row],[En puerto a facturar]]),0)</f>
        <v>6969.333333333333</v>
      </c>
      <c r="AQ177" s="3">
        <f>IF(Tabla145[[#This Row],[Necesidad]]&gt;=Tabla145[[#This Row],[Stock al día]],Tabla145[[#This Row],[Stock al día]],Tabla145[[#This Row],[Necesidad]])</f>
        <v>6969.333333333333</v>
      </c>
      <c r="AR177" s="3">
        <f>+Tabla145[[#This Row],[Necesidad]]-Tabla145[[#This Row],[Stock Plan]]</f>
        <v>0</v>
      </c>
      <c r="AS177" s="155">
        <f>IFERROR(VLOOKUP(Tabla145[[#This Row],[Oficina]],[19]Ponderación!$B$14:$E$21,4,FALSE),"")</f>
        <v>44800</v>
      </c>
      <c r="AT17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3.492</v>
      </c>
      <c r="AU177" s="83">
        <f>IFERROR(VLOOKUP(Tabla145[[#This Row],[Llave]],[17]DELAY!$H:$W,16,FALSE),0)</f>
        <v>3.3282738219999999</v>
      </c>
      <c r="AV17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3.3351649180704035</v>
      </c>
      <c r="AW177" s="5">
        <f>Tabla145[[#This Row],[Ajuste precio IC]]*Tabla145[[#This Row],[Plan Ajustado]]</f>
        <v>23243.876035671998</v>
      </c>
      <c r="AX177" s="30">
        <f>IFERROR(VLOOKUP(Tabla145[[#This Row],[Llave]],'[13]Ultimos precios facturados'!$A:$G,7,FALSE),0)</f>
        <v>3.2422517287046131</v>
      </c>
      <c r="AY17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2.865699431762268E-2</v>
      </c>
      <c r="AZ177" s="30">
        <f>IFERROR(VLOOKUP(Tabla145[[#This Row],[Llave]],Hoja2!B:K,10,FALSE),0)</f>
        <v>3.3351649180704035</v>
      </c>
      <c r="BA177" s="30">
        <f>IF(Tabla145[[#This Row],[Ajuste precio IC]]="",Tabla145[[#This Row],[Precio ponderado]],Tabla145[[#This Row],[Precio ponderado]])</f>
        <v>3.3351649180704035</v>
      </c>
      <c r="BB177" s="82"/>
      <c r="BC177" s="82" t="str">
        <f>IF(AND(Tabla145[[#This Row],[Atraso a facturar]]&gt;0,Tabla145[[#This Row],[Precio Atraso]]=0),"Revisar","OK")</f>
        <v>OK</v>
      </c>
      <c r="BD177" s="82" t="str">
        <f>IF(AND(Tabla145[[#This Row],[Venta del mes]]&gt;0,Tabla145[[#This Row],[Precio venta nueva]]=0),"Revisar","OK")</f>
        <v>OK</v>
      </c>
      <c r="BE177" s="20">
        <f>IFERROR(VLOOKUP(Tabla145[[#This Row],[Llave]],'[5]Consolidación planes'!$A:$M,9,FALSE),0)</f>
        <v>35000</v>
      </c>
      <c r="BF177" s="20">
        <f>IFERROR(VLOOKUP(Tabla145[[#This Row],[Llave]],'[5]Consolidación planes'!$A:$M,10,FALSE),0)</f>
        <v>23000</v>
      </c>
      <c r="BG177" s="20">
        <f>IFERROR(VLOOKUP(Tabla145[[#This Row],[Llave]],'[5]Consolidación planes'!$A:$M,11,FALSE),0)</f>
        <v>45000</v>
      </c>
      <c r="BH177" s="20">
        <f>IFERROR(VLOOKUP(Tabla145[[#This Row],[Llave]],'[5]Consolidación planes'!$A:$M,12,FALSE),0)</f>
        <v>30000</v>
      </c>
      <c r="BI177" s="20">
        <f>IFERROR(VLOOKUP(Tabla145[[#This Row],[Llave]],'[5]Consolidación planes'!$A:$M,13,FALSE),0)</f>
        <v>41343</v>
      </c>
      <c r="BJ177" s="20">
        <f>IFERROR(VLOOKUP(Tabla145[[#This Row],[Llave]],'[13]Base ultimos planes'!$A:$M,13,FALSE),0)</f>
        <v>41667</v>
      </c>
      <c r="BK177" s="80">
        <f>IFERROR(VLOOKUP(Tabla145[[#This Row],[Llave]],'[13]Base ultimos planes'!$O:$AA,8,FALSE),0)</f>
        <v>153650</v>
      </c>
      <c r="BL177" s="20">
        <f>IFERROR(VLOOKUP(Tabla145[[#This Row],[Llave]],'[13]Base ultimos planes'!$O:$AA,9,FALSE),0)</f>
        <v>87386</v>
      </c>
      <c r="BM177" s="20">
        <f>IFERROR(VLOOKUP(Tabla145[[#This Row],[Llave]],'[13]Base ultimos planes'!$O:$AA,10,FALSE),0)</f>
        <v>155377</v>
      </c>
      <c r="BN177" s="20">
        <f>IFERROR(VLOOKUP(Tabla145[[#This Row],[Llave]],'[13]Base ultimos planes'!$O:$AA,11,FALSE),0)</f>
        <v>103333</v>
      </c>
      <c r="BO177" s="20">
        <f>IFERROR(VLOOKUP(Tabla145[[#This Row],[Llave]],'[13]Base ultimos planes'!$O:$AA,12,FALSE),0)</f>
        <v>141388</v>
      </c>
      <c r="BP177" s="20">
        <f>IFERROR(VLOOKUP(Tabla145[[#This Row],[Llave]],'[13]Base ultimos planes'!$O:$AA,13,FALSE),0)</f>
        <v>134460</v>
      </c>
      <c r="BQ177" s="20"/>
      <c r="BR177" s="20">
        <f>Tabla145[[#This Row],[ RV Producción mes n+1]]*(1-Tabla145[[#This Row],[% Uti. producción]])</f>
        <v>1733.6269302183471</v>
      </c>
      <c r="BS177" s="20">
        <f>+Tabla145[[#This Row],[Producción disponible mes n-1]]+Tabla145[[#This Row],[Saldo Volumen disponible]]</f>
        <v>12065.054078541216</v>
      </c>
      <c r="BT177" s="7">
        <f>IFERROR(VLOOKUP(Tabla145[[#This Row],[Llave]],'[21]RV n+2 y n+3'!$B:$F,4,FALSE),0)</f>
        <v>25509.897580000001</v>
      </c>
      <c r="BU177" s="7">
        <f>+Tabla145[[#This Row],[Asignación mes n+2]]*Tabla145[[#This Row],[% Uti. producción]]</f>
        <v>22233.997918385197</v>
      </c>
      <c r="BV177" s="7">
        <f>+Tabla145[[#This Row],[Ponderación mes n+2]]+Tabla145[[#This Row],[Saldo mes n-1]]</f>
        <v>34299.051996926413</v>
      </c>
      <c r="BW177" s="7">
        <f>+Tabla145[[#This Row],[Asignación mes n+2]]-Tabla145[[#This Row],[Ponderación mes n+2]]</f>
        <v>3275.8996616148033</v>
      </c>
      <c r="BX177" s="7">
        <f>IFERROR(VLOOKUP(Tabla145[[#This Row],[Llave]],'[21]RV n+2 y n+3'!$B:$F,5,FALSE),0)</f>
        <v>28072.926299999999</v>
      </c>
      <c r="BY177" s="7">
        <f>+Tabla145[[#This Row],[Asignación mes n+3]]*Tabla145[[#This Row],[% Uti. producción]]</f>
        <v>24467.890667132229</v>
      </c>
      <c r="BZ177" s="3">
        <f>+Tabla145[[#This Row],[Ponderación mes n+3]]+Tabla145[[#This Row],[Saldo mes n+2]]</f>
        <v>27743.790328747033</v>
      </c>
      <c r="CA177" s="3">
        <f>+Tabla145[[#This Row],[Asignación mes n+3]]-Tabla145[[#This Row],[Ponderación mes n+3]]</f>
        <v>3605.0356328677699</v>
      </c>
      <c r="CB177" s="3">
        <f>+Tabla145[[#This Row],[Producción disponible mes n-1]]+Tabla145[[#This Row],[Producción disponible]]</f>
        <v>13500</v>
      </c>
      <c r="CC177" s="3">
        <f>+Tabla145[[#This Row],[Saldo mes n+4]]-Tabla145[[#This Row],[ RV Producción mes n+1]]</f>
        <v>0</v>
      </c>
    </row>
    <row r="178" spans="1:81" ht="16" x14ac:dyDescent="0.2">
      <c r="A178">
        <v>1</v>
      </c>
      <c r="B178" t="str">
        <f>Tabla145[[#This Row],[Oficina]]&amp;Tabla145[[#This Row],[Material]]</f>
        <v>Exportacion Directa1022370</v>
      </c>
      <c r="C178" t="s">
        <v>6</v>
      </c>
      <c r="D178" t="s">
        <v>88</v>
      </c>
      <c r="E178">
        <v>1022370</v>
      </c>
      <c r="F178" t="s">
        <v>108</v>
      </c>
      <c r="G178" t="s">
        <v>50</v>
      </c>
      <c r="H178" t="s">
        <v>103</v>
      </c>
      <c r="I178" s="7">
        <f>IFERROR(VLOOKUP(Tabla145[[#This Row],[Llave]],'[7]RV Producción'!$C:$G,5,FALSE),0)</f>
        <v>25742</v>
      </c>
      <c r="J178" s="3">
        <f>IFERROR(IF(Tabla145[[#This Row],[Oficina]]=$I$7,VLOOKUP(Tabla145[[#This Row],[Llave]],'[7]Shangai (Tomas)'!$A:$F,6,FALSE),VLOOKUP(Tabla145[[#This Row],[Llave]],'[7]RV plan de ventas'!$A:$E,5,FALSE)),0)</f>
        <v>20000</v>
      </c>
      <c r="K178" s="8">
        <f>IFERROR(VLOOKUP(Tabla145[[#This Row],[Oficina]],[15]Ponderación!$B$2:$E$9,4,FALSE),0)</f>
        <v>0.87158319035419651</v>
      </c>
      <c r="L178" s="7">
        <f>+Tabla145[[#This Row],[ RV Producción mes n+1]]*Tabla145[[#This Row],[% Uti. producción]]</f>
        <v>22436.294486097726</v>
      </c>
      <c r="M178" s="7">
        <f>IFERROR(VLOOKUP(Tabla145[[#This Row],[Material]],[16]Stock!$G:$K,5,FALSE),0)</f>
        <v>43877</v>
      </c>
      <c r="N178" s="7">
        <f>IFERROR(VLOOKUP(Tabla145[[#This Row],[Material]],[16]Produccion!$M:$N,2,FALSE),0)</f>
        <v>17214.218854131188</v>
      </c>
      <c r="O178" s="7">
        <f>IFERROR(VLOOKUP(Tabla145[[#This Row],[Llave]],'[16]TD Conf-AP'!$I:$M,4,FALSE),0)</f>
        <v>14000</v>
      </c>
      <c r="P178" s="14">
        <f>SUM(Tabla145[[#This Row],[Producción disponible]],Tabla145[[#This Row],[Stock al día]],(Tabla145[[#This Row],[Por producir mes N]]*0.9))-Tabla145[[#This Row],[Producción por despachar mes N]]</f>
        <v>67806.091454815803</v>
      </c>
      <c r="Q178" s="7">
        <f>IFERROR(VLOOKUP(Tabla145[[#This Row],[Llave]],[17]DELAY!$A:$D,4,FALSE),0)</f>
        <v>60000</v>
      </c>
      <c r="R178" s="9">
        <v>2500</v>
      </c>
      <c r="S178" s="5">
        <f t="shared" si="7"/>
        <v>60000</v>
      </c>
      <c r="T178" s="76">
        <v>-22160</v>
      </c>
      <c r="U178" s="5">
        <f>+Tabla145[[#This Row],[Atraso a facturar]]+Tabla145[[#This Row],[Ajuste atraso]]</f>
        <v>37840</v>
      </c>
      <c r="V178" s="3">
        <f>+Tabla145[[#This Row],[Total disponible]]-Tabla145[[#This Row],[Facturación atraso]]</f>
        <v>29966.091454815803</v>
      </c>
      <c r="W178" s="6">
        <f>IFERROR(IF(AND(V178&gt;R178,J178&gt;=R178),ROUNDDOWN((Tabla145[[#This Row],[Producción para venta nueva]])/R178,0)*R178,0),0)</f>
        <v>27500</v>
      </c>
      <c r="X178" s="76">
        <v>-18000</v>
      </c>
      <c r="Y178" s="6">
        <f>IF(Tabla145[[#This Row],[Venta del mes]]&gt;0,Tabla145[[#This Row],[Venta del mes]]+Tabla145[[#This Row],[Ajuste venta nueva]],0)</f>
        <v>9500</v>
      </c>
      <c r="Z178" s="6">
        <f>+Tabla145[[#This Row],[Producción para venta nueva]]-Tabla145[[#This Row],[Facturación Venta nueva]]</f>
        <v>20466.091454815803</v>
      </c>
      <c r="AA178" s="6">
        <f>IF(AND(A178=1,Tabla145[[#This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8" s="6">
        <v>0</v>
      </c>
      <c r="AC178" s="6">
        <f>IF(Tabla145[[#This Row],[Disponible stock sin venta]]&gt;0,Tabla145[[#This Row],[Disponible stock sin venta]]+Tabla145[[#This Row],[Ajuste stock sin venta]],0)</f>
        <v>0</v>
      </c>
      <c r="AD178" s="3">
        <f>IFERROR(VLOOKUP(Tabla145[[#This Row],[Llave]],'[16]TD Puerto'!$A:$D,4,FALSE),0)</f>
        <v>0</v>
      </c>
      <c r="AE178" s="3">
        <v>52500</v>
      </c>
      <c r="AF178" s="3">
        <f>+Tabla145[[#This Row],[Plan Irrestricto Inicial]]</f>
        <v>52500</v>
      </c>
      <c r="AG178" s="3">
        <f>+Tabla145[[#This Row],[En puerto a facturar]]</f>
        <v>0</v>
      </c>
      <c r="AH178" s="3">
        <f>+Tabla145[[#This Row],[Facturación atraso]]</f>
        <v>37840</v>
      </c>
      <c r="AI178" s="3">
        <f>+Tabla145[[#This Row],[Plan Irrestricto]]-Tabla145[[#This Row],[Puerto ]]-Tabla145[[#This Row],[Atraso]]</f>
        <v>14660</v>
      </c>
      <c r="AJ178" s="3">
        <f>IF(Tabla145[[#This Row],[Plan Irrestricto]]&gt;0,SUM(Tabla145[[#This Row],[Facturación atraso]],Tabla145[[#This Row],[Facturación Venta nueva]],Tabla145[[#This Row],[Facturación stock]],Tabla145[[#This Row],[En puerto a facturar]]),0)</f>
        <v>47340</v>
      </c>
      <c r="AK178" s="3">
        <f>+Tabla145[[#This Row],[Facturación atraso]]</f>
        <v>37840</v>
      </c>
      <c r="AL178" s="3">
        <f>+Tabla145[[#This Row],[Plan Ajustado]]-Tabla145[[#This Row],[ Atraso ajustado]]-Tabla145[[#This Row],[Puerto ]]</f>
        <v>9500</v>
      </c>
      <c r="AM178" s="6">
        <f>IFERROR(VLOOKUP(Tabla145[[#This Row],[Llave]],[18]!Tabla14[#All],34,FALSE),0)</f>
        <v>0</v>
      </c>
      <c r="AN178" s="6">
        <f>IFERROR(VLOOKUP(Tabla145[[#This Row],[Llave]],[18]!Tabla14[#All],35,FALSE),0)</f>
        <v>0</v>
      </c>
      <c r="AO178" s="3" t="str">
        <f>IF(Tabla145[[#This Row],[Plan Ajustado]]&gt;Tabla145[[#This Row],[En puerto a facturar]],"Si","No")</f>
        <v>Si</v>
      </c>
      <c r="AP178" s="3">
        <f>IF(AND(Tabla145[[#This Row],[Plan Ajustado]]&gt;0,Tabla145[[#This Row],[Plan Ajustado]]&gt;Tabla145[[#This Row],[En puerto a facturar]]),(Tabla145[[#This Row],[Plan Ajustado]]-Tabla145[[#This Row],[En puerto a facturar]]),0)</f>
        <v>47340</v>
      </c>
      <c r="AQ178" s="3">
        <f>IF(Tabla145[[#This Row],[Necesidad]]&gt;=Tabla145[[#This Row],[Stock al día]],Tabla145[[#This Row],[Stock al día]],Tabla145[[#This Row],[Necesidad]])</f>
        <v>43877</v>
      </c>
      <c r="AR178" s="3">
        <f>+Tabla145[[#This Row],[Necesidad]]-Tabla145[[#This Row],[Stock Plan]]</f>
        <v>3463</v>
      </c>
      <c r="AS178" s="155">
        <f>IFERROR(VLOOKUP(Tabla145[[#This Row],[Oficina]],[19]Ponderación!$B$14:$E$21,4,FALSE),"")</f>
        <v>44800</v>
      </c>
      <c r="AT17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3.6</v>
      </c>
      <c r="AU178" s="83">
        <f>IFERROR(VLOOKUP(Tabla145[[#This Row],[Llave]],[17]DELAY!$H:$W,16,FALSE),0)</f>
        <v>3.7137364816666669</v>
      </c>
      <c r="AV17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3.6909123038924099</v>
      </c>
      <c r="AW178" s="5">
        <f>Tabla145[[#This Row],[Ajuste precio IC]]*Tabla145[[#This Row],[Plan Ajustado]]</f>
        <v>174727.78846626668</v>
      </c>
      <c r="AX178" s="30">
        <f>IFERROR(VLOOKUP(Tabla145[[#This Row],[Llave]],'[13]Ultimos precios facturados'!$A:$G,7,FALSE),0)</f>
        <v>3.5816533000515935</v>
      </c>
      <c r="AY17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3.0505187042878343E-2</v>
      </c>
      <c r="AZ178" s="30">
        <f>IFERROR(VLOOKUP(Tabla145[[#This Row],[Llave]],Hoja2!B:K,10,FALSE),0)</f>
        <v>3.6909123038924099</v>
      </c>
      <c r="BA178" s="30">
        <f>IF(Tabla145[[#This Row],[Ajuste precio IC]]="",Tabla145[[#This Row],[Precio ponderado]],Tabla145[[#This Row],[Precio ponderado]])</f>
        <v>3.6909123038924099</v>
      </c>
      <c r="BB178" s="82"/>
      <c r="BC178" s="82" t="str">
        <f>IF(AND(Tabla145[[#This Row],[Atraso a facturar]]&gt;0,Tabla145[[#This Row],[Precio Atraso]]=0),"Revisar","OK")</f>
        <v>OK</v>
      </c>
      <c r="BD178" s="82" t="str">
        <f>IF(AND(Tabla145[[#This Row],[Venta del mes]]&gt;0,Tabla145[[#This Row],[Precio venta nueva]]=0),"Revisar","OK")</f>
        <v>OK</v>
      </c>
      <c r="BE178" s="20">
        <f>IFERROR(VLOOKUP(Tabla145[[#This Row],[Llave]],'[5]Consolidación planes'!$A:$M,9,FALSE),0)</f>
        <v>30000</v>
      </c>
      <c r="BF178" s="20">
        <f>IFERROR(VLOOKUP(Tabla145[[#This Row],[Llave]],'[5]Consolidación planes'!$A:$M,10,FALSE),0)</f>
        <v>13000</v>
      </c>
      <c r="BG178" s="20">
        <f>IFERROR(VLOOKUP(Tabla145[[#This Row],[Llave]],'[5]Consolidación planes'!$A:$M,11,FALSE),0)</f>
        <v>18000</v>
      </c>
      <c r="BH178" s="20">
        <f>IFERROR(VLOOKUP(Tabla145[[#This Row],[Llave]],'[5]Consolidación planes'!$A:$M,12,FALSE),0)</f>
        <v>35000</v>
      </c>
      <c r="BI178" s="20">
        <f>IFERROR(VLOOKUP(Tabla145[[#This Row],[Llave]],'[5]Consolidación planes'!$A:$M,13,FALSE),0)</f>
        <v>30000</v>
      </c>
      <c r="BJ178" s="20">
        <f>IFERROR(VLOOKUP(Tabla145[[#This Row],[Llave]],'[13]Base ultimos planes'!$A:$M,13,FALSE),0)</f>
        <v>42500</v>
      </c>
      <c r="BK178" s="80">
        <f>IFERROR(VLOOKUP(Tabla145[[#This Row],[Llave]],'[13]Base ultimos planes'!$O:$AA,8,FALSE),0)</f>
        <v>126000</v>
      </c>
      <c r="BL178" s="20">
        <f>IFERROR(VLOOKUP(Tabla145[[#This Row],[Llave]],'[13]Base ultimos planes'!$O:$AA,9,FALSE),0)</f>
        <v>52063</v>
      </c>
      <c r="BM178" s="20">
        <f>IFERROR(VLOOKUP(Tabla145[[#This Row],[Llave]],'[13]Base ultimos planes'!$O:$AA,10,FALSE),0)</f>
        <v>72039</v>
      </c>
      <c r="BN178" s="20">
        <f>IFERROR(VLOOKUP(Tabla145[[#This Row],[Llave]],'[13]Base ultimos planes'!$O:$AA,11,FALSE),0)</f>
        <v>136267</v>
      </c>
      <c r="BO178" s="20">
        <f>IFERROR(VLOOKUP(Tabla145[[#This Row],[Llave]],'[13]Base ultimos planes'!$O:$AA,12,FALSE),0)</f>
        <v>110039</v>
      </c>
      <c r="BP178" s="20">
        <f>IFERROR(VLOOKUP(Tabla145[[#This Row],[Llave]],'[13]Base ultimos planes'!$O:$AA,13,FALSE),0)</f>
        <v>151844</v>
      </c>
      <c r="BQ178" s="20"/>
      <c r="BR178" s="20">
        <f>Tabla145[[#This Row],[ RV Producción mes n+1]]*(1-Tabla145[[#This Row],[% Uti. producción]])</f>
        <v>3305.7055139022732</v>
      </c>
      <c r="BS178" s="20">
        <f>+Tabla145[[#This Row],[Producción disponible mes n-1]]+Tabla145[[#This Row],[Saldo Volumen disponible]]</f>
        <v>23771.796968718078</v>
      </c>
      <c r="BT178" s="7">
        <f>IFERROR(VLOOKUP(Tabla145[[#This Row],[Llave]],'[21]RV n+2 y n+3'!$B:$F,4,FALSE),0)</f>
        <v>40000</v>
      </c>
      <c r="BU178" s="7">
        <f>+Tabla145[[#This Row],[Asignación mes n+2]]*Tabla145[[#This Row],[% Uti. producción]]</f>
        <v>34863.327614167858</v>
      </c>
      <c r="BV178" s="7">
        <f>+Tabla145[[#This Row],[Ponderación mes n+2]]+Tabla145[[#This Row],[Saldo mes n-1]]</f>
        <v>58635.124582885939</v>
      </c>
      <c r="BW178" s="7">
        <f>+Tabla145[[#This Row],[Asignación mes n+2]]-Tabla145[[#This Row],[Ponderación mes n+2]]</f>
        <v>5136.672385832142</v>
      </c>
      <c r="BX178" s="7">
        <f>IFERROR(VLOOKUP(Tabla145[[#This Row],[Llave]],'[21]RV n+2 y n+3'!$B:$F,5,FALSE),0)</f>
        <v>35000</v>
      </c>
      <c r="BY178" s="7">
        <f>+Tabla145[[#This Row],[Asignación mes n+3]]*Tabla145[[#This Row],[% Uti. producción]]</f>
        <v>30505.411662396877</v>
      </c>
      <c r="BZ178" s="3">
        <f>+Tabla145[[#This Row],[Ponderación mes n+3]]+Tabla145[[#This Row],[Saldo mes n+2]]</f>
        <v>35642.084048229022</v>
      </c>
      <c r="CA178" s="3">
        <f>+Tabla145[[#This Row],[Asignación mes n+3]]-Tabla145[[#This Row],[Ponderación mes n+3]]</f>
        <v>4494.5883376031234</v>
      </c>
      <c r="CB178" s="3">
        <f>+Tabla145[[#This Row],[Producción disponible mes n-1]]+Tabla145[[#This Row],[Producción disponible]]</f>
        <v>25742</v>
      </c>
      <c r="CC178" s="3">
        <f>+Tabla145[[#This Row],[Saldo mes n+4]]-Tabla145[[#This Row],[ RV Producción mes n+1]]</f>
        <v>0</v>
      </c>
    </row>
    <row r="179" spans="1:81" ht="16" x14ac:dyDescent="0.2">
      <c r="A179">
        <v>1</v>
      </c>
      <c r="B179" t="str">
        <f>Tabla145[[#This Row],[Oficina]]&amp;Tabla145[[#This Row],[Material]]</f>
        <v>Exportacion Directa1022371</v>
      </c>
      <c r="C179" t="s">
        <v>6</v>
      </c>
      <c r="D179" t="s">
        <v>88</v>
      </c>
      <c r="E179">
        <v>1022371</v>
      </c>
      <c r="F179" t="s">
        <v>125</v>
      </c>
      <c r="G179" t="s">
        <v>56</v>
      </c>
      <c r="H179" t="s">
        <v>57</v>
      </c>
      <c r="I179" s="7">
        <f>IFERROR(VLOOKUP(Tabla145[[#This Row],[Llave]],'[7]RV Producción'!$C:$G,5,FALSE),0)</f>
        <v>36965</v>
      </c>
      <c r="J179" s="3">
        <f>IFERROR(IF(Tabla145[[#This Row],[Oficina]]=$I$7,VLOOKUP(Tabla145[[#This Row],[Llave]],'[7]Shangai (Tomas)'!$A:$F,6,FALSE),VLOOKUP(Tabla145[[#This Row],[Llave]],'[7]RV plan de ventas'!$A:$E,5,FALSE)),0)</f>
        <v>19000</v>
      </c>
      <c r="K179" s="8">
        <f>IFERROR(VLOOKUP(Tabla145[[#This Row],[Oficina]],[15]Ponderación!$B$2:$E$9,4,FALSE),0)</f>
        <v>0.87158319035419651</v>
      </c>
      <c r="L179" s="7">
        <f>+Tabla145[[#This Row],[ RV Producción mes n+1]]*Tabla145[[#This Row],[% Uti. producción]]</f>
        <v>32218.072631442876</v>
      </c>
      <c r="M179" s="7">
        <f>IFERROR(VLOOKUP(Tabla145[[#This Row],[Material]],[16]Stock!$G:$K,5,FALSE),0)</f>
        <v>5483</v>
      </c>
      <c r="N179" s="7">
        <f>IFERROR(VLOOKUP(Tabla145[[#This Row],[Material]],[16]Produccion!$M:$N,2,FALSE),0)</f>
        <v>1052.4868171434778</v>
      </c>
      <c r="O179" s="7">
        <f>IFERROR(VLOOKUP(Tabla145[[#This Row],[Llave]],'[16]TD Conf-AP'!$I:$M,4,FALSE),0)</f>
        <v>0</v>
      </c>
      <c r="P179" s="14">
        <f>SUM(Tabla145[[#This Row],[Producción disponible]],Tabla145[[#This Row],[Stock al día]],(Tabla145[[#This Row],[Por producir mes N]]*0.9))-Tabla145[[#This Row],[Producción por despachar mes N]]</f>
        <v>38648.310766872004</v>
      </c>
      <c r="Q179" s="7">
        <f>IFERROR(VLOOKUP(Tabla145[[#This Row],[Llave]],[17]DELAY!$A:$D,4,FALSE),0)</f>
        <v>28000</v>
      </c>
      <c r="R179" s="9">
        <v>3900</v>
      </c>
      <c r="S179" s="5">
        <f t="shared" si="7"/>
        <v>28000</v>
      </c>
      <c r="T179" s="76">
        <v>-11080</v>
      </c>
      <c r="U179" s="5">
        <f>+Tabla145[[#This Row],[Atraso a facturar]]+Tabla145[[#This Row],[Ajuste atraso]]</f>
        <v>16920</v>
      </c>
      <c r="V179" s="3">
        <f>+Tabla145[[#This Row],[Total disponible]]-Tabla145[[#This Row],[Facturación atraso]]</f>
        <v>21728.310766872004</v>
      </c>
      <c r="W179" s="6">
        <f>IFERROR(IF(AND(V179&gt;R179,J179&gt;=R179),ROUNDDOWN((Tabla145[[#This Row],[Producción para venta nueva]])/R179,0)*R179,0),0)</f>
        <v>19500</v>
      </c>
      <c r="X179" s="76">
        <v>-11080</v>
      </c>
      <c r="Y179" s="6">
        <f>IF(Tabla145[[#This Row],[Venta del mes]]&gt;0,Tabla145[[#This Row],[Venta del mes]]+Tabla145[[#This Row],[Ajuste venta nueva]],0)</f>
        <v>8420</v>
      </c>
      <c r="Z179" s="6">
        <f>+Tabla145[[#This Row],[Producción para venta nueva]]-Tabla145[[#This Row],[Facturación Venta nueva]]</f>
        <v>13308.310766872004</v>
      </c>
      <c r="AA179" s="6">
        <f>IF(AND(A179=1,Tabla145[[#This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79" s="6">
        <v>0</v>
      </c>
      <c r="AC179" s="6">
        <f>IF(Tabla145[[#This Row],[Disponible stock sin venta]]&gt;0,Tabla145[[#This Row],[Disponible stock sin venta]]+Tabla145[[#This Row],[Ajuste stock sin venta]],0)</f>
        <v>0</v>
      </c>
      <c r="AD179" s="3">
        <f>IFERROR(VLOOKUP(Tabla145[[#This Row],[Llave]],'[16]TD Puerto'!$A:$D,4,FALSE),0)</f>
        <v>0</v>
      </c>
      <c r="AE179" s="3">
        <v>43600</v>
      </c>
      <c r="AF179" s="3">
        <f>+Tabla145[[#This Row],[Plan Irrestricto Inicial]]</f>
        <v>43600</v>
      </c>
      <c r="AG179" s="3">
        <f>+Tabla145[[#This Row],[En puerto a facturar]]</f>
        <v>0</v>
      </c>
      <c r="AH179" s="3">
        <f>+Tabla145[[#This Row],[Facturación atraso]]</f>
        <v>16920</v>
      </c>
      <c r="AI179" s="3">
        <f>+Tabla145[[#This Row],[Plan Irrestricto]]-Tabla145[[#This Row],[Puerto ]]-Tabla145[[#This Row],[Atraso]]</f>
        <v>26680</v>
      </c>
      <c r="AJ179" s="3">
        <f>IF(Tabla145[[#This Row],[Plan Irrestricto]]&gt;0,SUM(Tabla145[[#This Row],[Facturación atraso]],Tabla145[[#This Row],[Facturación Venta nueva]],Tabla145[[#This Row],[Facturación stock]],Tabla145[[#This Row],[En puerto a facturar]]),0)</f>
        <v>25340</v>
      </c>
      <c r="AK179" s="3">
        <f>+Tabla145[[#This Row],[Facturación atraso]]</f>
        <v>16920</v>
      </c>
      <c r="AL179" s="3">
        <f>+Tabla145[[#This Row],[Plan Ajustado]]-Tabla145[[#This Row],[ Atraso ajustado]]-Tabla145[[#This Row],[Puerto ]]</f>
        <v>8420</v>
      </c>
      <c r="AM179" s="6">
        <f>IFERROR(VLOOKUP(Tabla145[[#This Row],[Llave]],[18]!Tabla14[#All],34,FALSE),0)</f>
        <v>0</v>
      </c>
      <c r="AN179" s="6">
        <f>IFERROR(VLOOKUP(Tabla145[[#This Row],[Llave]],[18]!Tabla14[#All],35,FALSE),0)</f>
        <v>0</v>
      </c>
      <c r="AO179" s="3" t="str">
        <f>IF(Tabla145[[#This Row],[Plan Ajustado]]&gt;Tabla145[[#This Row],[En puerto a facturar]],"Si","No")</f>
        <v>Si</v>
      </c>
      <c r="AP179" s="3">
        <f>IF(AND(Tabla145[[#This Row],[Plan Ajustado]]&gt;0,Tabla145[[#This Row],[Plan Ajustado]]&gt;Tabla145[[#This Row],[En puerto a facturar]]),(Tabla145[[#This Row],[Plan Ajustado]]-Tabla145[[#This Row],[En puerto a facturar]]),0)</f>
        <v>25340</v>
      </c>
      <c r="AQ179" s="3">
        <f>IF(Tabla145[[#This Row],[Necesidad]]&gt;=Tabla145[[#This Row],[Stock al día]],Tabla145[[#This Row],[Stock al día]],Tabla145[[#This Row],[Necesidad]])</f>
        <v>5483</v>
      </c>
      <c r="AR179" s="3">
        <f>+Tabla145[[#This Row],[Necesidad]]-Tabla145[[#This Row],[Stock Plan]]</f>
        <v>19857</v>
      </c>
      <c r="AS179" s="155">
        <f>IFERROR(VLOOKUP(Tabla145[[#This Row],[Oficina]],[19]Ponderación!$B$14:$E$21,4,FALSE),"")</f>
        <v>44800</v>
      </c>
      <c r="AT17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4.68</v>
      </c>
      <c r="AU179" s="83">
        <f>IFERROR(VLOOKUP(Tabla145[[#This Row],[Llave]],[17]DELAY!$H:$W,16,FALSE),0)</f>
        <v>4.6143291267857141</v>
      </c>
      <c r="AV17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4.6361503088087712</v>
      </c>
      <c r="AW179" s="5">
        <f>Tabla145[[#This Row],[Ajuste precio IC]]*Tabla145[[#This Row],[Plan Ajustado]]</f>
        <v>117480.04882521427</v>
      </c>
      <c r="AX179" s="30">
        <f>IFERROR(VLOOKUP(Tabla145[[#This Row],[Llave]],'[13]Ultimos precios facturados'!$A:$G,7,FALSE),0)</f>
        <v>4.3143990845145517</v>
      </c>
      <c r="AY17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7.4576138644444012E-2</v>
      </c>
      <c r="AZ179" s="30">
        <f>IFERROR(VLOOKUP(Tabla145[[#This Row],[Llave]],Hoja2!B:K,10,FALSE),0)</f>
        <v>4.6361503088087712</v>
      </c>
      <c r="BA179" s="30">
        <f>IF(Tabla145[[#This Row],[Ajuste precio IC]]="",Tabla145[[#This Row],[Precio ponderado]],Tabla145[[#This Row],[Precio ponderado]])</f>
        <v>4.6361503088087712</v>
      </c>
      <c r="BB179" s="82"/>
      <c r="BC179" s="82" t="str">
        <f>IF(AND(Tabla145[[#This Row],[Atraso a facturar]]&gt;0,Tabla145[[#This Row],[Precio Atraso]]=0),"Revisar","OK")</f>
        <v>OK</v>
      </c>
      <c r="BD179" s="82" t="str">
        <f>IF(AND(Tabla145[[#This Row],[Venta del mes]]&gt;0,Tabla145[[#This Row],[Precio venta nueva]]=0),"Revisar","OK")</f>
        <v>OK</v>
      </c>
      <c r="BE179" s="20">
        <f>IFERROR(VLOOKUP(Tabla145[[#This Row],[Llave]],'[5]Consolidación planes'!$A:$M,9,FALSE),0)</f>
        <v>15000</v>
      </c>
      <c r="BF179" s="20">
        <f>IFERROR(VLOOKUP(Tabla145[[#This Row],[Llave]],'[5]Consolidación planes'!$A:$M,10,FALSE),0)</f>
        <v>30000</v>
      </c>
      <c r="BG179" s="20">
        <f>IFERROR(VLOOKUP(Tabla145[[#This Row],[Llave]],'[5]Consolidación planes'!$A:$M,11,FALSE),0)</f>
        <v>25000</v>
      </c>
      <c r="BH179" s="20">
        <f>IFERROR(VLOOKUP(Tabla145[[#This Row],[Llave]],'[5]Consolidación planes'!$A:$M,12,FALSE),0)</f>
        <v>22000</v>
      </c>
      <c r="BI179" s="20">
        <f>IFERROR(VLOOKUP(Tabla145[[#This Row],[Llave]],'[5]Consolidación planes'!$A:$M,13,FALSE),0)</f>
        <v>12000</v>
      </c>
      <c r="BJ179" s="20">
        <f>IFERROR(VLOOKUP(Tabla145[[#This Row],[Llave]],'[13]Base ultimos planes'!$A:$M,13,FALSE),0)</f>
        <v>24700</v>
      </c>
      <c r="BK179" s="80">
        <f>IFERROR(VLOOKUP(Tabla145[[#This Row],[Llave]],'[13]Base ultimos planes'!$O:$AA,8,FALSE),0)</f>
        <v>73701.857300000003</v>
      </c>
      <c r="BL179" s="20">
        <f>IFERROR(VLOOKUP(Tabla145[[#This Row],[Llave]],'[13]Base ultimos planes'!$O:$AA,9,FALSE),0)</f>
        <v>106487</v>
      </c>
      <c r="BM179" s="20">
        <f>IFERROR(VLOOKUP(Tabla145[[#This Row],[Llave]],'[13]Base ultimos planes'!$O:$AA,10,FALSE),0)</f>
        <v>116125</v>
      </c>
      <c r="BN179" s="20">
        <f>IFERROR(VLOOKUP(Tabla145[[#This Row],[Llave]],'[13]Base ultimos planes'!$O:$AA,11,FALSE),0)</f>
        <v>98645</v>
      </c>
      <c r="BO179" s="20">
        <f>IFERROR(VLOOKUP(Tabla145[[#This Row],[Llave]],'[13]Base ultimos planes'!$O:$AA,12,FALSE),0)</f>
        <v>53380</v>
      </c>
      <c r="BP179" s="20">
        <f>IFERROR(VLOOKUP(Tabla145[[#This Row],[Llave]],'[13]Base ultimos planes'!$O:$AA,13,FALSE),0)</f>
        <v>103051</v>
      </c>
      <c r="BQ179" s="20"/>
      <c r="BR179" s="20">
        <f>Tabla145[[#This Row],[ RV Producción mes n+1]]*(1-Tabla145[[#This Row],[% Uti. producción]])</f>
        <v>4746.9273685571261</v>
      </c>
      <c r="BS179" s="20">
        <f>+Tabla145[[#This Row],[Producción disponible mes n-1]]+Tabla145[[#This Row],[Saldo Volumen disponible]]</f>
        <v>18055.238135429128</v>
      </c>
      <c r="BT179" s="7">
        <f>IFERROR(VLOOKUP(Tabla145[[#This Row],[Llave]],'[21]RV n+2 y n+3'!$B:$F,4,FALSE),0)</f>
        <v>8000</v>
      </c>
      <c r="BU179" s="7">
        <f>+Tabla145[[#This Row],[Asignación mes n+2]]*Tabla145[[#This Row],[% Uti. producción]]</f>
        <v>6972.6655228335721</v>
      </c>
      <c r="BV179" s="7">
        <f>+Tabla145[[#This Row],[Ponderación mes n+2]]+Tabla145[[#This Row],[Saldo mes n-1]]</f>
        <v>25027.903658262701</v>
      </c>
      <c r="BW179" s="7">
        <f>+Tabla145[[#This Row],[Asignación mes n+2]]-Tabla145[[#This Row],[Ponderación mes n+2]]</f>
        <v>1027.3344771664279</v>
      </c>
      <c r="BX179" s="7">
        <f>IFERROR(VLOOKUP(Tabla145[[#This Row],[Llave]],'[21]RV n+2 y n+3'!$B:$F,5,FALSE),0)</f>
        <v>24000.0003</v>
      </c>
      <c r="BY179" s="7">
        <f>+Tabla145[[#This Row],[Asignación mes n+3]]*Tabla145[[#This Row],[% Uti. producción]]</f>
        <v>20917.996829975673</v>
      </c>
      <c r="BZ179" s="3">
        <f>+Tabla145[[#This Row],[Ponderación mes n+3]]+Tabla145[[#This Row],[Saldo mes n+2]]</f>
        <v>21945.3313071421</v>
      </c>
      <c r="CA179" s="3">
        <f>+Tabla145[[#This Row],[Asignación mes n+3]]-Tabla145[[#This Row],[Ponderación mes n+3]]</f>
        <v>3082.0034700243268</v>
      </c>
      <c r="CB179" s="3">
        <f>+Tabla145[[#This Row],[Producción disponible mes n-1]]+Tabla145[[#This Row],[Producción disponible]]</f>
        <v>36965</v>
      </c>
      <c r="CC179" s="3">
        <f>+Tabla145[[#This Row],[Saldo mes n+4]]-Tabla145[[#This Row],[ RV Producción mes n+1]]</f>
        <v>0</v>
      </c>
    </row>
    <row r="180" spans="1:81" ht="16" x14ac:dyDescent="0.2">
      <c r="A180">
        <v>1</v>
      </c>
      <c r="B180" t="str">
        <f>Tabla145[[#This Row],[Oficina]]&amp;Tabla145[[#This Row],[Material]]</f>
        <v>Exportacion Directa1022472</v>
      </c>
      <c r="C180" t="s">
        <v>6</v>
      </c>
      <c r="D180" t="s">
        <v>88</v>
      </c>
      <c r="E180">
        <v>1022472</v>
      </c>
      <c r="F180" t="s">
        <v>102</v>
      </c>
      <c r="G180" t="s">
        <v>50</v>
      </c>
      <c r="H180" t="s">
        <v>51</v>
      </c>
      <c r="I180" s="7">
        <f>IFERROR(VLOOKUP(Tabla145[[#This Row],[Llave]],'[7]RV Producción'!$C:$G,5,FALSE),0)</f>
        <v>0</v>
      </c>
      <c r="J180" s="3">
        <f>IFERROR(IF(Tabla145[[#This Row],[Oficina]]=$I$7,VLOOKUP(Tabla145[[#This Row],[Llave]],'[7]Shangai (Tomas)'!$A:$F,6,FALSE),VLOOKUP(Tabla145[[#This Row],[Llave]],'[7]RV plan de ventas'!$A:$E,5,FALSE)),0)</f>
        <v>0</v>
      </c>
      <c r="K180" s="8">
        <f>IFERROR(VLOOKUP(Tabla145[[#This Row],[Oficina]],[15]Ponderación!$B$2:$E$9,4,FALSE),0)</f>
        <v>0.87158319035419651</v>
      </c>
      <c r="L180" s="7">
        <f>+Tabla145[[#This Row],[ RV Producción mes n+1]]*Tabla145[[#This Row],[% Uti. producción]]</f>
        <v>0</v>
      </c>
      <c r="M180" s="7">
        <f>IFERROR(VLOOKUP(Tabla145[[#This Row],[Material]],[16]Stock!$G:$K,5,FALSE),0)</f>
        <v>11718</v>
      </c>
      <c r="N180" s="7">
        <f>IFERROR(VLOOKUP(Tabla145[[#This Row],[Material]],[16]Produccion!$M:$N,2,FALSE),0)</f>
        <v>0</v>
      </c>
      <c r="O180" s="7">
        <f>IFERROR(VLOOKUP(Tabla145[[#This Row],[Llave]],'[16]TD Conf-AP'!$I:$M,4,FALSE),0)</f>
        <v>0</v>
      </c>
      <c r="P180" s="14">
        <f>SUM(Tabla145[[#This Row],[Producción disponible]],Tabla145[[#This Row],[Stock al día]],(Tabla145[[#This Row],[Por producir mes N]]*0.9))-Tabla145[[#This Row],[Producción por despachar mes N]]</f>
        <v>11718</v>
      </c>
      <c r="Q180" s="7">
        <f>IFERROR(VLOOKUP(Tabla145[[#This Row],[Llave]],[17]DELAY!$A:$D,4,FALSE),0)</f>
        <v>0</v>
      </c>
      <c r="R180" s="9">
        <v>2500</v>
      </c>
      <c r="S180" s="5">
        <f t="shared" si="7"/>
        <v>0</v>
      </c>
      <c r="T180" s="76">
        <v>0</v>
      </c>
      <c r="U180" s="5">
        <f>+Tabla145[[#This Row],[Atraso a facturar]]+Tabla145[[#This Row],[Ajuste atraso]]</f>
        <v>0</v>
      </c>
      <c r="V180" s="3">
        <f>+Tabla145[[#This Row],[Total disponible]]-Tabla145[[#This Row],[Facturación atraso]]</f>
        <v>11718</v>
      </c>
      <c r="W180" s="6">
        <f>IFERROR(IF(AND(V180&gt;R180,J180&gt;=R180),ROUNDDOWN((Tabla145[[#This Row],[Producción para venta nueva]])/R180,0)*R180,0),0)</f>
        <v>0</v>
      </c>
      <c r="X180" s="76">
        <v>0</v>
      </c>
      <c r="Y180" s="6">
        <f>IF(Tabla145[[#This Row],[Venta del mes]]&gt;0,Tabla145[[#This Row],[Venta del mes]]+Tabla145[[#This Row],[Ajuste venta nueva]],0)</f>
        <v>0</v>
      </c>
      <c r="Z180" s="6">
        <f>+Tabla145[[#This Row],[Producción para venta nueva]]-Tabla145[[#This Row],[Facturación Venta nueva]]</f>
        <v>11718</v>
      </c>
      <c r="AA180" s="6">
        <f>IF(AND(A180=1,Tabla145[[#This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10000</v>
      </c>
      <c r="AB180" s="6">
        <v>0</v>
      </c>
      <c r="AC180" s="6">
        <f>IF(Tabla145[[#This Row],[Disponible stock sin venta]]&gt;0,Tabla145[[#This Row],[Disponible stock sin venta]]+Tabla145[[#This Row],[Ajuste stock sin venta]],0)</f>
        <v>10000</v>
      </c>
      <c r="AD180" s="3">
        <f>IFERROR(VLOOKUP(Tabla145[[#This Row],[Llave]],'[16]TD Puerto'!$A:$D,4,FALSE),0)</f>
        <v>0</v>
      </c>
      <c r="AE180" s="3">
        <v>20000</v>
      </c>
      <c r="AF180" s="3">
        <f>+Tabla145[[#This Row],[Plan Irrestricto Inicial]]</f>
        <v>20000</v>
      </c>
      <c r="AG180" s="3">
        <f>+Tabla145[[#This Row],[En puerto a facturar]]</f>
        <v>0</v>
      </c>
      <c r="AH180" s="3">
        <f>+Tabla145[[#This Row],[Facturación atraso]]</f>
        <v>0</v>
      </c>
      <c r="AI180" s="3">
        <f>+Tabla145[[#This Row],[Plan Irrestricto]]-Tabla145[[#This Row],[Puerto ]]-Tabla145[[#This Row],[Atraso]]</f>
        <v>20000</v>
      </c>
      <c r="AJ180" s="3">
        <f>IF(Tabla145[[#This Row],[Plan Irrestricto]]&gt;0,SUM(Tabla145[[#This Row],[Facturación atraso]],Tabla145[[#This Row],[Facturación Venta nueva]],Tabla145[[#This Row],[Facturación stock]],Tabla145[[#This Row],[En puerto a facturar]]),0)</f>
        <v>10000</v>
      </c>
      <c r="AK180" s="3">
        <f>+Tabla145[[#This Row],[Facturación atraso]]</f>
        <v>0</v>
      </c>
      <c r="AL180" s="3">
        <f>+Tabla145[[#This Row],[Plan Ajustado]]-Tabla145[[#This Row],[ Atraso ajustado]]-Tabla145[[#This Row],[Puerto ]]</f>
        <v>10000</v>
      </c>
      <c r="AM180" s="6">
        <f>IFERROR(VLOOKUP(Tabla145[[#This Row],[Llave]],[18]!Tabla14[#All],34,FALSE),0)</f>
        <v>0</v>
      </c>
      <c r="AN180" s="6">
        <f>IFERROR(VLOOKUP(Tabla145[[#This Row],[Llave]],[18]!Tabla14[#All],35,FALSE),0)</f>
        <v>0</v>
      </c>
      <c r="AO180" s="3" t="str">
        <f>IF(Tabla145[[#This Row],[Plan Ajustado]]&gt;Tabla145[[#This Row],[En puerto a facturar]],"Si","No")</f>
        <v>Si</v>
      </c>
      <c r="AP180" s="3">
        <f>IF(AND(Tabla145[[#This Row],[Plan Ajustado]]&gt;0,Tabla145[[#This Row],[Plan Ajustado]]&gt;Tabla145[[#This Row],[En puerto a facturar]]),(Tabla145[[#This Row],[Plan Ajustado]]-Tabla145[[#This Row],[En puerto a facturar]]),0)</f>
        <v>10000</v>
      </c>
      <c r="AQ180" s="3">
        <f>IF(Tabla145[[#This Row],[Necesidad]]&gt;=Tabla145[[#This Row],[Stock al día]],Tabla145[[#This Row],[Stock al día]],Tabla145[[#This Row],[Necesidad]])</f>
        <v>10000</v>
      </c>
      <c r="AR180" s="3">
        <f>+Tabla145[[#This Row],[Necesidad]]-Tabla145[[#This Row],[Stock Plan]]</f>
        <v>0</v>
      </c>
      <c r="AS180" s="155">
        <f>IFERROR(VLOOKUP(Tabla145[[#This Row],[Oficina]],[19]Ponderación!$B$14:$E$21,4,FALSE),"")</f>
        <v>44800</v>
      </c>
      <c r="AT18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3.7963107231352309</v>
      </c>
      <c r="AU180" s="84">
        <f>+Tabla145[[#This Row],[Precio venta nueva]]</f>
        <v>3.7963107231352309</v>
      </c>
      <c r="AV18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3.7963107231352309</v>
      </c>
      <c r="AW180" s="5">
        <f>Tabla145[[#This Row],[Ajuste precio IC]]*Tabla145[[#This Row],[Plan Ajustado]]</f>
        <v>37775.113372640721</v>
      </c>
      <c r="AX180" s="30">
        <f>IFERROR(VLOOKUP(Tabla145[[#This Row],[Llave]],'[13]Ultimos precios facturados'!$A:$G,7,FALSE),0)</f>
        <v>3.7963107231352309</v>
      </c>
      <c r="AY18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</v>
      </c>
      <c r="AZ180" s="30">
        <f>IFERROR(VLOOKUP(Tabla145[[#This Row],[Llave]],Hoja2!B:K,10,FALSE),0)</f>
        <v>3.7775113372640718</v>
      </c>
      <c r="BA180" s="30">
        <f>IF(Tabla145[[#This Row],[Ajuste precio IC]]="",Tabla145[[#This Row],[Precio ponderado]],Tabla145[[#This Row],[Precio ponderado]])</f>
        <v>3.7963107231352309</v>
      </c>
      <c r="BB180" s="82"/>
      <c r="BC180" s="82" t="str">
        <f>IF(AND(Tabla145[[#This Row],[Atraso a facturar]]&gt;0,Tabla145[[#This Row],[Precio Atraso]]=0),"Revisar","OK")</f>
        <v>OK</v>
      </c>
      <c r="BD180" s="82" t="str">
        <f>IF(AND(Tabla145[[#This Row],[Venta del mes]]&gt;0,Tabla145[[#This Row],[Precio venta nueva]]=0),"Revisar","OK")</f>
        <v>OK</v>
      </c>
      <c r="BE180" s="20">
        <f>IFERROR(VLOOKUP(Tabla145[[#This Row],[Llave]],'[5]Consolidación planes'!$A:$M,9,FALSE),0)</f>
        <v>7000</v>
      </c>
      <c r="BF180" s="20">
        <f>IFERROR(VLOOKUP(Tabla145[[#This Row],[Llave]],'[5]Consolidación planes'!$A:$M,10,FALSE),0)</f>
        <v>5000</v>
      </c>
      <c r="BG180" s="20">
        <f>IFERROR(VLOOKUP(Tabla145[[#This Row],[Llave]],'[5]Consolidación planes'!$A:$M,11,FALSE),0)</f>
        <v>3000</v>
      </c>
      <c r="BH180" s="20">
        <f>IFERROR(VLOOKUP(Tabla145[[#This Row],[Llave]],'[5]Consolidación planes'!$A:$M,12,FALSE),0)</f>
        <v>10000</v>
      </c>
      <c r="BI180" s="20">
        <f>IFERROR(VLOOKUP(Tabla145[[#This Row],[Llave]],'[5]Consolidación planes'!$A:$M,13,FALSE),0)</f>
        <v>4333</v>
      </c>
      <c r="BJ180" s="20">
        <f>IFERROR(VLOOKUP(Tabla145[[#This Row],[Llave]],'[13]Base ultimos planes'!$A:$M,13,FALSE),0)</f>
        <v>18000</v>
      </c>
      <c r="BK180" s="80">
        <f>IFERROR(VLOOKUP(Tabla145[[#This Row],[Llave]],'[13]Base ultimos planes'!$O:$AA,8,FALSE),0)</f>
        <v>32709.190900000001</v>
      </c>
      <c r="BL180" s="20">
        <f>IFERROR(VLOOKUP(Tabla145[[#This Row],[Llave]],'[13]Base ultimos planes'!$O:$AA,9,FALSE),0)</f>
        <v>21977</v>
      </c>
      <c r="BM180" s="20">
        <f>IFERROR(VLOOKUP(Tabla145[[#This Row],[Llave]],'[13]Base ultimos planes'!$O:$AA,10,FALSE),0)</f>
        <v>13095</v>
      </c>
      <c r="BN180" s="20">
        <f>IFERROR(VLOOKUP(Tabla145[[#This Row],[Llave]],'[13]Base ultimos planes'!$O:$AA,11,FALSE),0)</f>
        <v>42120</v>
      </c>
      <c r="BO180" s="20">
        <f>IFERROR(VLOOKUP(Tabla145[[#This Row],[Llave]],'[13]Base ultimos planes'!$O:$AA,12,FALSE),0)</f>
        <v>17417</v>
      </c>
      <c r="BP180" s="20">
        <f>IFERROR(VLOOKUP(Tabla145[[#This Row],[Llave]],'[13]Base ultimos planes'!$O:$AA,13,FALSE),0)</f>
        <v>69842</v>
      </c>
      <c r="BQ180" s="20"/>
      <c r="BR180" s="20">
        <f>Tabla145[[#This Row],[ RV Producción mes n+1]]*(1-Tabla145[[#This Row],[% Uti. producción]])</f>
        <v>0</v>
      </c>
      <c r="BS180" s="20">
        <f>+Tabla145[[#This Row],[Producción disponible mes n-1]]+Tabla145[[#This Row],[Saldo Volumen disponible]]</f>
        <v>11718</v>
      </c>
      <c r="BT180" s="7">
        <f>IFERROR(VLOOKUP(Tabla145[[#This Row],[Llave]],'[21]RV n+2 y n+3'!$B:$F,4,FALSE),0)</f>
        <v>15000.0003</v>
      </c>
      <c r="BU180" s="7">
        <f>+Tabla145[[#This Row],[Asignación mes n+2]]*Tabla145[[#This Row],[% Uti. producción]]</f>
        <v>13073.748116787905</v>
      </c>
      <c r="BV180" s="7">
        <f>+Tabla145[[#This Row],[Ponderación mes n+2]]+Tabla145[[#This Row],[Saldo mes n-1]]</f>
        <v>24791.748116787905</v>
      </c>
      <c r="BW180" s="7">
        <f>+Tabla145[[#This Row],[Asignación mes n+2]]-Tabla145[[#This Row],[Ponderación mes n+2]]</f>
        <v>1926.2521832120947</v>
      </c>
      <c r="BX180" s="7">
        <f>IFERROR(VLOOKUP(Tabla145[[#This Row],[Llave]],'[21]RV n+2 y n+3'!$B:$F,5,FALSE),0)</f>
        <v>5000</v>
      </c>
      <c r="BY180" s="7">
        <f>+Tabla145[[#This Row],[Asignación mes n+3]]*Tabla145[[#This Row],[% Uti. producción]]</f>
        <v>4357.9159517709822</v>
      </c>
      <c r="BZ180" s="3">
        <f>+Tabla145[[#This Row],[Ponderación mes n+3]]+Tabla145[[#This Row],[Saldo mes n+2]]</f>
        <v>6284.1681349830769</v>
      </c>
      <c r="CA180" s="3">
        <f>+Tabla145[[#This Row],[Asignación mes n+3]]-Tabla145[[#This Row],[Ponderación mes n+3]]</f>
        <v>642.08404822901775</v>
      </c>
      <c r="CB180" s="3">
        <f>+Tabla145[[#This Row],[Producción disponible mes n-1]]+Tabla145[[#This Row],[Producción disponible]]</f>
        <v>0</v>
      </c>
      <c r="CC180" s="3">
        <f>+Tabla145[[#This Row],[Saldo mes n+4]]-Tabla145[[#This Row],[ RV Producción mes n+1]]</f>
        <v>0</v>
      </c>
    </row>
    <row r="181" spans="1:81" ht="16" x14ac:dyDescent="0.2">
      <c r="A181">
        <v>1</v>
      </c>
      <c r="B181" t="str">
        <f>Tabla145[[#This Row],[Oficina]]&amp;Tabla145[[#This Row],[Material]]</f>
        <v>Exportacion Directa1022499</v>
      </c>
      <c r="C181" t="s">
        <v>6</v>
      </c>
      <c r="D181" t="s">
        <v>88</v>
      </c>
      <c r="E181">
        <v>1022499</v>
      </c>
      <c r="F181" t="s">
        <v>114</v>
      </c>
      <c r="G181" t="s">
        <v>50</v>
      </c>
      <c r="H181" t="s">
        <v>110</v>
      </c>
      <c r="I181" s="7">
        <f>IFERROR(VLOOKUP(Tabla145[[#This Row],[Llave]],'[7]RV Producción'!$C:$G,5,FALSE),0)</f>
        <v>20626</v>
      </c>
      <c r="J181" s="3">
        <f>IFERROR(IF(Tabla145[[#This Row],[Oficina]]=$I$7,VLOOKUP(Tabla145[[#This Row],[Llave]],'[7]Shangai (Tomas)'!$A:$F,6,FALSE),VLOOKUP(Tabla145[[#This Row],[Llave]],'[7]RV plan de ventas'!$A:$E,5,FALSE)),0)</f>
        <v>27000</v>
      </c>
      <c r="K181" s="8">
        <f>IFERROR(VLOOKUP(Tabla145[[#This Row],[Oficina]],[15]Ponderación!$B$2:$E$9,4,FALSE),0)</f>
        <v>0.87158319035419651</v>
      </c>
      <c r="L181" s="7">
        <f>+Tabla145[[#This Row],[ RV Producción mes n+1]]*Tabla145[[#This Row],[% Uti. producción]]</f>
        <v>17977.274884245657</v>
      </c>
      <c r="M181" s="7">
        <f>IFERROR(VLOOKUP(Tabla145[[#This Row],[Material]],[16]Stock!$G:$K,5,FALSE),0)</f>
        <v>7976</v>
      </c>
      <c r="N181" s="7">
        <f>IFERROR(VLOOKUP(Tabla145[[#This Row],[Material]],[16]Produccion!$M:$N,2,FALSE),0)</f>
        <v>0</v>
      </c>
      <c r="O181" s="7">
        <f>IFERROR(VLOOKUP(Tabla145[[#This Row],[Llave]],'[16]TD Conf-AP'!$I:$M,4,FALSE),0)</f>
        <v>12000</v>
      </c>
      <c r="P181" s="14">
        <f>SUM(Tabla145[[#This Row],[Producción disponible]],Tabla145[[#This Row],[Stock al día]],(Tabla145[[#This Row],[Por producir mes N]]*0.9))-Tabla145[[#This Row],[Producción por despachar mes N]]</f>
        <v>13953.274884245657</v>
      </c>
      <c r="Q181" s="7">
        <f>IFERROR(VLOOKUP(Tabla145[[#This Row],[Llave]],[17]DELAY!$A:$D,4,FALSE),0)</f>
        <v>30000</v>
      </c>
      <c r="R181" s="9">
        <v>2500</v>
      </c>
      <c r="S181" s="5">
        <f t="shared" si="7"/>
        <v>12500</v>
      </c>
      <c r="T181" s="76">
        <v>0</v>
      </c>
      <c r="U181" s="5">
        <f>+Tabla145[[#This Row],[Atraso a facturar]]+Tabla145[[#This Row],[Ajuste atraso]]</f>
        <v>12500</v>
      </c>
      <c r="V181" s="3">
        <f>+Tabla145[[#This Row],[Total disponible]]-Tabla145[[#This Row],[Facturación atraso]]</f>
        <v>1453.2748842456567</v>
      </c>
      <c r="W181" s="6">
        <f>IFERROR(IF(AND(V181&gt;R181,J181&gt;=R181),ROUNDDOWN((Tabla145[[#This Row],[Producción para venta nueva]])/R181,0)*R181,0),0)</f>
        <v>0</v>
      </c>
      <c r="X181" s="76">
        <v>0</v>
      </c>
      <c r="Y181" s="6">
        <f>IF(Tabla145[[#This Row],[Venta del mes]]&gt;0,Tabla145[[#This Row],[Venta del mes]]+Tabla145[[#This Row],[Ajuste venta nueva]],0)</f>
        <v>0</v>
      </c>
      <c r="Z181" s="6">
        <f>+Tabla145[[#This Row],[Producción para venta nueva]]-Tabla145[[#This Row],[Facturación Venta nueva]]</f>
        <v>1453.2748842456567</v>
      </c>
      <c r="AA181" s="6">
        <f>IF(AND(A181=1,Tabla145[[#This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1" s="6">
        <v>0</v>
      </c>
      <c r="AC181" s="6">
        <f>IF(Tabla145[[#This Row],[Disponible stock sin venta]]&gt;0,Tabla145[[#This Row],[Disponible stock sin venta]]+Tabla145[[#This Row],[Ajuste stock sin venta]],0)</f>
        <v>0</v>
      </c>
      <c r="AD181" s="3">
        <f>IFERROR(VLOOKUP(Tabla145[[#This Row],[Llave]],'[16]TD Puerto'!$A:$D,4,FALSE),0)</f>
        <v>0</v>
      </c>
      <c r="AE181" s="3">
        <v>10000</v>
      </c>
      <c r="AF181" s="3">
        <f>+Tabla145[[#This Row],[Plan Irrestricto Inicial]]</f>
        <v>10000</v>
      </c>
      <c r="AG181" s="3">
        <f>+Tabla145[[#This Row],[En puerto a facturar]]</f>
        <v>0</v>
      </c>
      <c r="AH181" s="3">
        <f>+Tabla145[[#This Row],[Facturación atraso]]</f>
        <v>12500</v>
      </c>
      <c r="AI181" s="3">
        <f>+Tabla145[[#This Row],[Plan Irrestricto]]-Tabla145[[#This Row],[Puerto ]]-Tabla145[[#This Row],[Atraso]]</f>
        <v>-2500</v>
      </c>
      <c r="AJ181" s="3">
        <f>IF(Tabla145[[#This Row],[Plan Irrestricto]]&gt;0,SUM(Tabla145[[#This Row],[Facturación atraso]],Tabla145[[#This Row],[Facturación Venta nueva]],Tabla145[[#This Row],[Facturación stock]],Tabla145[[#This Row],[En puerto a facturar]]),0)</f>
        <v>12500</v>
      </c>
      <c r="AK181" s="3">
        <f>+Tabla145[[#This Row],[Facturación atraso]]</f>
        <v>12500</v>
      </c>
      <c r="AL181" s="3">
        <f>+Tabla145[[#This Row],[Plan Ajustado]]-Tabla145[[#This Row],[ Atraso ajustado]]-Tabla145[[#This Row],[Puerto ]]</f>
        <v>0</v>
      </c>
      <c r="AM181" s="6">
        <f>IFERROR(VLOOKUP(Tabla145[[#This Row],[Llave]],[18]!Tabla14[#All],34,FALSE),0)</f>
        <v>0</v>
      </c>
      <c r="AN181" s="6">
        <f>IFERROR(VLOOKUP(Tabla145[[#This Row],[Llave]],[18]!Tabla14[#All],35,FALSE),0)</f>
        <v>0</v>
      </c>
      <c r="AO181" s="3" t="str">
        <f>IF(Tabla145[[#This Row],[Plan Ajustado]]&gt;Tabla145[[#This Row],[En puerto a facturar]],"Si","No")</f>
        <v>Si</v>
      </c>
      <c r="AP181" s="3">
        <f>IF(AND(Tabla145[[#This Row],[Plan Ajustado]]&gt;0,Tabla145[[#This Row],[Plan Ajustado]]&gt;Tabla145[[#This Row],[En puerto a facturar]]),(Tabla145[[#This Row],[Plan Ajustado]]-Tabla145[[#This Row],[En puerto a facturar]]),0)</f>
        <v>12500</v>
      </c>
      <c r="AQ181" s="3">
        <f>IF(Tabla145[[#This Row],[Necesidad]]&gt;=Tabla145[[#This Row],[Stock al día]],Tabla145[[#This Row],[Stock al día]],Tabla145[[#This Row],[Necesidad]])</f>
        <v>7976</v>
      </c>
      <c r="AR181" s="3">
        <f>+Tabla145[[#This Row],[Necesidad]]-Tabla145[[#This Row],[Stock Plan]]</f>
        <v>4524</v>
      </c>
      <c r="AS181" s="155">
        <f>IFERROR(VLOOKUP(Tabla145[[#This Row],[Oficina]],[19]Ponderación!$B$14:$E$21,4,FALSE),"")</f>
        <v>44800</v>
      </c>
      <c r="AT18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3.8519999999999999</v>
      </c>
      <c r="AU181" s="83">
        <f>IFERROR(VLOOKUP(Tabla145[[#This Row],[Llave]],[17]DELAY!$H:$W,16,FALSE),0)</f>
        <v>4.0434622209523807</v>
      </c>
      <c r="AV18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4.0434622209523807</v>
      </c>
      <c r="AW181" s="5">
        <f>Tabla145[[#This Row],[Ajuste precio IC]]*Tabla145[[#This Row],[Plan Ajustado]]</f>
        <v>50543.277761904756</v>
      </c>
      <c r="AX181" s="30">
        <f>IFERROR(VLOOKUP(Tabla145[[#This Row],[Llave]],'[13]Ultimos precios facturados'!$A:$G,7,FALSE),0)</f>
        <v>3.9018611014260087</v>
      </c>
      <c r="AY18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3.629066126280641E-2</v>
      </c>
      <c r="AZ181" s="30">
        <f>IFERROR(VLOOKUP(Tabla145[[#This Row],[Llave]],Hoja2!B:K,10,FALSE),0)</f>
        <v>4.0434622209523807</v>
      </c>
      <c r="BA181" s="30">
        <f>IF(Tabla145[[#This Row],[Ajuste precio IC]]="",Tabla145[[#This Row],[Precio ponderado]],Tabla145[[#This Row],[Precio ponderado]])</f>
        <v>4.0434622209523807</v>
      </c>
      <c r="BB181" s="82"/>
      <c r="BC181" s="82" t="str">
        <f>IF(AND(Tabla145[[#This Row],[Atraso a facturar]]&gt;0,Tabla145[[#This Row],[Precio Atraso]]=0),"Revisar","OK")</f>
        <v>OK</v>
      </c>
      <c r="BD181" s="82" t="str">
        <f>IF(AND(Tabla145[[#This Row],[Venta del mes]]&gt;0,Tabla145[[#This Row],[Precio venta nueva]]=0),"Revisar","OK")</f>
        <v>OK</v>
      </c>
      <c r="BE181" s="20">
        <f>IFERROR(VLOOKUP(Tabla145[[#This Row],[Llave]],'[5]Consolidación planes'!$A:$M,9,FALSE),0)</f>
        <v>16000</v>
      </c>
      <c r="BF181" s="20">
        <f>IFERROR(VLOOKUP(Tabla145[[#This Row],[Llave]],'[5]Consolidación planes'!$A:$M,10,FALSE),0)</f>
        <v>3000</v>
      </c>
      <c r="BG181" s="20">
        <f>IFERROR(VLOOKUP(Tabla145[[#This Row],[Llave]],'[5]Consolidación planes'!$A:$M,11,FALSE),0)</f>
        <v>5000</v>
      </c>
      <c r="BH181" s="20">
        <f>IFERROR(VLOOKUP(Tabla145[[#This Row],[Llave]],'[5]Consolidación planes'!$A:$M,12,FALSE),0)</f>
        <v>20000</v>
      </c>
      <c r="BI181" s="20">
        <f>IFERROR(VLOOKUP(Tabla145[[#This Row],[Llave]],'[5]Consolidación planes'!$A:$M,13,FALSE),0)</f>
        <v>15000</v>
      </c>
      <c r="BJ181" s="20">
        <f>IFERROR(VLOOKUP(Tabla145[[#This Row],[Llave]],'[13]Base ultimos planes'!$A:$M,13,FALSE),0)</f>
        <v>23500</v>
      </c>
      <c r="BK181" s="80">
        <f>IFERROR(VLOOKUP(Tabla145[[#This Row],[Llave]],'[13]Base ultimos planes'!$O:$AA,8,FALSE),0)</f>
        <v>75542.537400000001</v>
      </c>
      <c r="BL181" s="20">
        <f>IFERROR(VLOOKUP(Tabla145[[#This Row],[Llave]],'[13]Base ultimos planes'!$O:$AA,9,FALSE),0)</f>
        <v>13294</v>
      </c>
      <c r="BM181" s="20">
        <f>IFERROR(VLOOKUP(Tabla145[[#This Row],[Llave]],'[13]Base ultimos planes'!$O:$AA,10,FALSE),0)</f>
        <v>22218</v>
      </c>
      <c r="BN181" s="20">
        <f>IFERROR(VLOOKUP(Tabla145[[#This Row],[Llave]],'[13]Base ultimos planes'!$O:$AA,11,FALSE),0)</f>
        <v>85842</v>
      </c>
      <c r="BO181" s="20">
        <f>IFERROR(VLOOKUP(Tabla145[[#This Row],[Llave]],'[13]Base ultimos planes'!$O:$AA,12,FALSE),0)</f>
        <v>61744</v>
      </c>
      <c r="BP181" s="20">
        <f>IFERROR(VLOOKUP(Tabla145[[#This Row],[Llave]],'[13]Base ultimos planes'!$O:$AA,13,FALSE),0)</f>
        <v>91183</v>
      </c>
      <c r="BQ181" s="20"/>
      <c r="BR181" s="20">
        <f>Tabla145[[#This Row],[ RV Producción mes n+1]]*(1-Tabla145[[#This Row],[% Uti. producción]])</f>
        <v>2648.7251157543428</v>
      </c>
      <c r="BS181" s="20">
        <f>+Tabla145[[#This Row],[Producción disponible mes n-1]]+Tabla145[[#This Row],[Saldo Volumen disponible]]</f>
        <v>4102</v>
      </c>
      <c r="BT181" s="7">
        <f>IFERROR(VLOOKUP(Tabla145[[#This Row],[Llave]],'[21]RV n+2 y n+3'!$B:$F,4,FALSE),0)</f>
        <v>20000</v>
      </c>
      <c r="BU181" s="7">
        <f>+Tabla145[[#This Row],[Asignación mes n+2]]*Tabla145[[#This Row],[% Uti. producción]]</f>
        <v>17431.663807083929</v>
      </c>
      <c r="BV181" s="7">
        <f>+Tabla145[[#This Row],[Ponderación mes n+2]]+Tabla145[[#This Row],[Saldo mes n-1]]</f>
        <v>21533.663807083929</v>
      </c>
      <c r="BW181" s="7">
        <f>+Tabla145[[#This Row],[Asignación mes n+2]]-Tabla145[[#This Row],[Ponderación mes n+2]]</f>
        <v>2568.336192916071</v>
      </c>
      <c r="BX181" s="7">
        <f>IFERROR(VLOOKUP(Tabla145[[#This Row],[Llave]],'[21]RV n+2 y n+3'!$B:$F,5,FALSE),0)</f>
        <v>20000</v>
      </c>
      <c r="BY181" s="7">
        <f>+Tabla145[[#This Row],[Asignación mes n+3]]*Tabla145[[#This Row],[% Uti. producción]]</f>
        <v>17431.663807083929</v>
      </c>
      <c r="BZ181" s="3">
        <f>+Tabla145[[#This Row],[Ponderación mes n+3]]+Tabla145[[#This Row],[Saldo mes n+2]]</f>
        <v>20000</v>
      </c>
      <c r="CA181" s="3">
        <f>+Tabla145[[#This Row],[Asignación mes n+3]]-Tabla145[[#This Row],[Ponderación mes n+3]]</f>
        <v>2568.336192916071</v>
      </c>
      <c r="CB181" s="3">
        <f>+Tabla145[[#This Row],[Producción disponible mes n-1]]+Tabla145[[#This Row],[Producción disponible]]</f>
        <v>20626</v>
      </c>
      <c r="CC181" s="3">
        <f>+Tabla145[[#This Row],[Saldo mes n+4]]-Tabla145[[#This Row],[ RV Producción mes n+1]]</f>
        <v>0</v>
      </c>
    </row>
    <row r="182" spans="1:81" ht="16" x14ac:dyDescent="0.2">
      <c r="A182">
        <v>1</v>
      </c>
      <c r="B182" t="str">
        <f>Tabla145[[#This Row],[Oficina]]&amp;Tabla145[[#This Row],[Material]]</f>
        <v>Exportacion Directa1022587</v>
      </c>
      <c r="C182" t="s">
        <v>6</v>
      </c>
      <c r="D182" t="s">
        <v>88</v>
      </c>
      <c r="E182">
        <v>1022587</v>
      </c>
      <c r="F182" t="s">
        <v>98</v>
      </c>
      <c r="G182" t="s">
        <v>50</v>
      </c>
      <c r="H182" t="s">
        <v>95</v>
      </c>
      <c r="I182" s="7">
        <f>IFERROR(VLOOKUP(Tabla145[[#This Row],[Llave]],'[7]RV Producción'!$C:$G,5,FALSE),0)</f>
        <v>2573</v>
      </c>
      <c r="J182" s="3">
        <f>IFERROR(IF(Tabla145[[#This Row],[Oficina]]=$I$7,VLOOKUP(Tabla145[[#This Row],[Llave]],'[7]Shangai (Tomas)'!$A:$F,6,FALSE),VLOOKUP(Tabla145[[#This Row],[Llave]],'[7]RV plan de ventas'!$A:$E,5,FALSE)),0)</f>
        <v>3000</v>
      </c>
      <c r="K182" s="8">
        <f>IFERROR(VLOOKUP(Tabla145[[#This Row],[Oficina]],[15]Ponderación!$B$2:$E$9,4,FALSE),0)</f>
        <v>0.87158319035419651</v>
      </c>
      <c r="L182" s="7">
        <f>+Tabla145[[#This Row],[ RV Producción mes n+1]]*Tabla145[[#This Row],[% Uti. producción]]</f>
        <v>2242.5835487813474</v>
      </c>
      <c r="M182" s="7">
        <f>IFERROR(VLOOKUP(Tabla145[[#This Row],[Material]],[16]Stock!$G:$K,5,FALSE),0)</f>
        <v>2717</v>
      </c>
      <c r="N182" s="7">
        <f>IFERROR(VLOOKUP(Tabla145[[#This Row],[Material]],[16]Produccion!$M:$N,2,FALSE),0)</f>
        <v>0</v>
      </c>
      <c r="O182" s="7">
        <f>IFERROR(VLOOKUP(Tabla145[[#This Row],[Llave]],'[16]TD Conf-AP'!$I:$M,4,FALSE),0)</f>
        <v>0</v>
      </c>
      <c r="P182" s="14">
        <f>SUM(Tabla145[[#This Row],[Producción disponible]],Tabla145[[#This Row],[Stock al día]],(Tabla145[[#This Row],[Por producir mes N]]*0.9))-Tabla145[[#This Row],[Producción por despachar mes N]]</f>
        <v>4959.5835487813474</v>
      </c>
      <c r="Q182" s="7">
        <f>IFERROR(VLOOKUP(Tabla145[[#This Row],[Llave]],[17]DELAY!$A:$D,4,FALSE),0)</f>
        <v>3000</v>
      </c>
      <c r="R182" s="9">
        <v>3000</v>
      </c>
      <c r="S182" s="5">
        <f t="shared" si="7"/>
        <v>3000</v>
      </c>
      <c r="T182" s="76">
        <v>0</v>
      </c>
      <c r="U182" s="5">
        <f>+Tabla145[[#This Row],[Atraso a facturar]]+Tabla145[[#This Row],[Ajuste atraso]]</f>
        <v>3000</v>
      </c>
      <c r="V182" s="3">
        <f>+Tabla145[[#This Row],[Total disponible]]-Tabla145[[#This Row],[Facturación atraso]]</f>
        <v>1959.5835487813474</v>
      </c>
      <c r="W182" s="6">
        <f>IFERROR(IF(AND(V182&gt;R182,J182&gt;=R182),ROUNDDOWN((Tabla145[[#This Row],[Producción para venta nueva]])/R182,0)*R182,0),0)</f>
        <v>0</v>
      </c>
      <c r="X182" s="76">
        <v>0</v>
      </c>
      <c r="Y182" s="6">
        <f>IF(Tabla145[[#This Row],[Venta del mes]]&gt;0,Tabla145[[#This Row],[Venta del mes]]+Tabla145[[#This Row],[Ajuste venta nueva]],0)</f>
        <v>0</v>
      </c>
      <c r="Z182" s="6">
        <f>+Tabla145[[#This Row],[Producción para venta nueva]]-Tabla145[[#This Row],[Facturación Venta nueva]]</f>
        <v>1959.5835487813474</v>
      </c>
      <c r="AA182" s="6">
        <f>IF(AND(A182=1,Tabla145[[#This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2" s="6">
        <v>0</v>
      </c>
      <c r="AC182" s="6">
        <f>IF(Tabla145[[#This Row],[Disponible stock sin venta]]&gt;0,Tabla145[[#This Row],[Disponible stock sin venta]]+Tabla145[[#This Row],[Ajuste stock sin venta]],0)</f>
        <v>0</v>
      </c>
      <c r="AD182" s="3">
        <f>IFERROR(VLOOKUP(Tabla145[[#This Row],[Llave]],'[16]TD Puerto'!$A:$D,4,FALSE),0)</f>
        <v>0</v>
      </c>
      <c r="AE182" s="3">
        <v>3000</v>
      </c>
      <c r="AF182" s="3">
        <f>+Tabla145[[#This Row],[Plan Irrestricto Inicial]]</f>
        <v>3000</v>
      </c>
      <c r="AG182" s="3">
        <f>+Tabla145[[#This Row],[En puerto a facturar]]</f>
        <v>0</v>
      </c>
      <c r="AH182" s="3">
        <f>+Tabla145[[#This Row],[Facturación atraso]]</f>
        <v>3000</v>
      </c>
      <c r="AI182" s="3">
        <f>+Tabla145[[#This Row],[Plan Irrestricto]]-Tabla145[[#This Row],[Puerto ]]-Tabla145[[#This Row],[Atraso]]</f>
        <v>0</v>
      </c>
      <c r="AJ182" s="3">
        <f>IF(Tabla145[[#This Row],[Plan Irrestricto]]&gt;0,SUM(Tabla145[[#This Row],[Facturación atraso]],Tabla145[[#This Row],[Facturación Venta nueva]],Tabla145[[#This Row],[Facturación stock]],Tabla145[[#This Row],[En puerto a facturar]]),0)</f>
        <v>3000</v>
      </c>
      <c r="AK182" s="3">
        <f>+Tabla145[[#This Row],[Facturación atraso]]</f>
        <v>3000</v>
      </c>
      <c r="AL182" s="3">
        <f>+Tabla145[[#This Row],[Plan Ajustado]]-Tabla145[[#This Row],[ Atraso ajustado]]-Tabla145[[#This Row],[Puerto ]]</f>
        <v>0</v>
      </c>
      <c r="AM182" s="6">
        <f>IFERROR(VLOOKUP(Tabla145[[#This Row],[Llave]],[18]!Tabla14[#All],34,FALSE),0)</f>
        <v>0</v>
      </c>
      <c r="AN182" s="6">
        <f>IFERROR(VLOOKUP(Tabla145[[#This Row],[Llave]],[18]!Tabla14[#All],35,FALSE),0)</f>
        <v>0</v>
      </c>
      <c r="AO182" s="3" t="str">
        <f>IF(Tabla145[[#This Row],[Plan Ajustado]]&gt;Tabla145[[#This Row],[En puerto a facturar]],"Si","No")</f>
        <v>Si</v>
      </c>
      <c r="AP182" s="3">
        <f>IF(AND(Tabla145[[#This Row],[Plan Ajustado]]&gt;0,Tabla145[[#This Row],[Plan Ajustado]]&gt;Tabla145[[#This Row],[En puerto a facturar]]),(Tabla145[[#This Row],[Plan Ajustado]]-Tabla145[[#This Row],[En puerto a facturar]]),0)</f>
        <v>3000</v>
      </c>
      <c r="AQ182" s="3">
        <f>IF(Tabla145[[#This Row],[Necesidad]]&gt;=Tabla145[[#This Row],[Stock al día]],Tabla145[[#This Row],[Stock al día]],Tabla145[[#This Row],[Necesidad]])</f>
        <v>2717</v>
      </c>
      <c r="AR182" s="3">
        <f>+Tabla145[[#This Row],[Necesidad]]-Tabla145[[#This Row],[Stock Plan]]</f>
        <v>283</v>
      </c>
      <c r="AS182" s="155">
        <f>IFERROR(VLOOKUP(Tabla145[[#This Row],[Oficina]],[19]Ponderación!$B$14:$E$21,4,FALSE),"")</f>
        <v>44800</v>
      </c>
      <c r="AT18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3.8879999999999999</v>
      </c>
      <c r="AU182" s="83">
        <f>IFERROR(VLOOKUP(Tabla145[[#This Row],[Llave]],[17]DELAY!$H:$W,16,FALSE),0)</f>
        <v>4.2024936666666699</v>
      </c>
      <c r="AV18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4.2024936666666699</v>
      </c>
      <c r="AW182" s="5">
        <f>Tabla145[[#This Row],[Ajuste precio IC]]*Tabla145[[#This Row],[Plan Ajustado]]</f>
        <v>12607.481000000009</v>
      </c>
      <c r="AX182" s="30">
        <f>IFERROR(VLOOKUP(Tabla145[[#This Row],[Llave]],'[13]Ultimos precios facturados'!$A:$G,7,FALSE),0)</f>
        <v>3.9239751912689664</v>
      </c>
      <c r="AY18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7.0978653488284138E-2</v>
      </c>
      <c r="AZ182" s="30">
        <f>IFERROR(VLOOKUP(Tabla145[[#This Row],[Llave]],Hoja2!B:K,10,FALSE),0)</f>
        <v>4.2024936666666699</v>
      </c>
      <c r="BA182" s="30">
        <f>IF(Tabla145[[#This Row],[Ajuste precio IC]]="",Tabla145[[#This Row],[Precio ponderado]],Tabla145[[#This Row],[Precio ponderado]])</f>
        <v>4.2024936666666699</v>
      </c>
      <c r="BB182" s="82"/>
      <c r="BC182" s="82" t="str">
        <f>IF(AND(Tabla145[[#This Row],[Atraso a facturar]]&gt;0,Tabla145[[#This Row],[Precio Atraso]]=0),"Revisar","OK")</f>
        <v>OK</v>
      </c>
      <c r="BD182" s="82" t="str">
        <f>IF(AND(Tabla145[[#This Row],[Venta del mes]]&gt;0,Tabla145[[#This Row],[Precio venta nueva]]=0),"Revisar","OK")</f>
        <v>OK</v>
      </c>
      <c r="BE182" s="20">
        <f>IFERROR(VLOOKUP(Tabla145[[#This Row],[Llave]],'[5]Consolidación planes'!$A:$M,9,FALSE),0)</f>
        <v>5000</v>
      </c>
      <c r="BF182" s="20">
        <f>IFERROR(VLOOKUP(Tabla145[[#This Row],[Llave]],'[5]Consolidación planes'!$A:$M,10,FALSE),0)</f>
        <v>5000</v>
      </c>
      <c r="BG182" s="20">
        <f>IFERROR(VLOOKUP(Tabla145[[#This Row],[Llave]],'[5]Consolidación planes'!$A:$M,11,FALSE),0)</f>
        <v>5000</v>
      </c>
      <c r="BH182" s="20">
        <f>IFERROR(VLOOKUP(Tabla145[[#This Row],[Llave]],'[5]Consolidación planes'!$A:$M,12,FALSE),0)</f>
        <v>6000</v>
      </c>
      <c r="BI182" s="20">
        <f>IFERROR(VLOOKUP(Tabla145[[#This Row],[Llave]],'[5]Consolidación planes'!$A:$M,13,FALSE),0)</f>
        <v>3000</v>
      </c>
      <c r="BJ182" s="20">
        <f>IFERROR(VLOOKUP(Tabla145[[#This Row],[Llave]],'[13]Base ultimos planes'!$A:$M,13,FALSE),0)</f>
        <v>6000</v>
      </c>
      <c r="BK182" s="80">
        <f>IFERROR(VLOOKUP(Tabla145[[#This Row],[Llave]],'[13]Base ultimos planes'!$O:$AA,8,FALSE),0)</f>
        <v>23140.260300000002</v>
      </c>
      <c r="BL182" s="20">
        <f>IFERROR(VLOOKUP(Tabla145[[#This Row],[Llave]],'[13]Base ultimos planes'!$O:$AA,9,FALSE),0)</f>
        <v>21784</v>
      </c>
      <c r="BM182" s="20">
        <f>IFERROR(VLOOKUP(Tabla145[[#This Row],[Llave]],'[13]Base ultimos planes'!$O:$AA,10,FALSE),0)</f>
        <v>21814</v>
      </c>
      <c r="BN182" s="20">
        <f>IFERROR(VLOOKUP(Tabla145[[#This Row],[Llave]],'[13]Base ultimos planes'!$O:$AA,11,FALSE),0)</f>
        <v>24491</v>
      </c>
      <c r="BO182" s="20">
        <f>IFERROR(VLOOKUP(Tabla145[[#This Row],[Llave]],'[13]Base ultimos planes'!$O:$AA,12,FALSE),0)</f>
        <v>11934</v>
      </c>
      <c r="BP182" s="20">
        <f>IFERROR(VLOOKUP(Tabla145[[#This Row],[Llave]],'[13]Base ultimos planes'!$O:$AA,13,FALSE),0)</f>
        <v>22820</v>
      </c>
      <c r="BQ182" s="20"/>
      <c r="BR182" s="20">
        <f>Tabla145[[#This Row],[ RV Producción mes n+1]]*(1-Tabla145[[#This Row],[% Uti. producción]])</f>
        <v>330.41645121865236</v>
      </c>
      <c r="BS182" s="20">
        <f>+Tabla145[[#This Row],[Producción disponible mes n-1]]+Tabla145[[#This Row],[Saldo Volumen disponible]]</f>
        <v>2290</v>
      </c>
      <c r="BT182" s="7">
        <f>IFERROR(VLOOKUP(Tabla145[[#This Row],[Llave]],'[21]RV n+2 y n+3'!$B:$F,4,FALSE),0)</f>
        <v>3000</v>
      </c>
      <c r="BU182" s="7">
        <f>+Tabla145[[#This Row],[Asignación mes n+2]]*Tabla145[[#This Row],[% Uti. producción]]</f>
        <v>2614.7495710625894</v>
      </c>
      <c r="BV182" s="7">
        <f>+Tabla145[[#This Row],[Ponderación mes n+2]]+Tabla145[[#This Row],[Saldo mes n-1]]</f>
        <v>4904.7495710625899</v>
      </c>
      <c r="BW182" s="7">
        <f>+Tabla145[[#This Row],[Asignación mes n+2]]-Tabla145[[#This Row],[Ponderación mes n+2]]</f>
        <v>385.25042893741056</v>
      </c>
      <c r="BX182" s="7">
        <f>IFERROR(VLOOKUP(Tabla145[[#This Row],[Llave]],'[21]RV n+2 y n+3'!$B:$F,5,FALSE),0)</f>
        <v>4000</v>
      </c>
      <c r="BY182" s="7">
        <f>+Tabla145[[#This Row],[Asignación mes n+3]]*Tabla145[[#This Row],[% Uti. producción]]</f>
        <v>3486.3327614167861</v>
      </c>
      <c r="BZ182" s="3">
        <f>+Tabla145[[#This Row],[Ponderación mes n+3]]+Tabla145[[#This Row],[Saldo mes n+2]]</f>
        <v>3871.5831903541966</v>
      </c>
      <c r="CA182" s="3">
        <f>+Tabla145[[#This Row],[Asignación mes n+3]]-Tabla145[[#This Row],[Ponderación mes n+3]]</f>
        <v>513.66723858321393</v>
      </c>
      <c r="CB182" s="3">
        <f>+Tabla145[[#This Row],[Producción disponible mes n-1]]+Tabla145[[#This Row],[Producción disponible]]</f>
        <v>2573</v>
      </c>
      <c r="CC182" s="3">
        <f>+Tabla145[[#This Row],[Saldo mes n+4]]-Tabla145[[#This Row],[ RV Producción mes n+1]]</f>
        <v>0</v>
      </c>
    </row>
    <row r="183" spans="1:81" ht="16" x14ac:dyDescent="0.2">
      <c r="A183">
        <v>1</v>
      </c>
      <c r="B183" t="str">
        <f>Tabla145[[#This Row],[Oficina]]&amp;Tabla145[[#This Row],[Material]]</f>
        <v>Exportacion Directa1022600</v>
      </c>
      <c r="C183" t="s">
        <v>6</v>
      </c>
      <c r="D183" t="s">
        <v>88</v>
      </c>
      <c r="E183">
        <v>1022600</v>
      </c>
      <c r="F183" t="s">
        <v>115</v>
      </c>
      <c r="G183" t="s">
        <v>50</v>
      </c>
      <c r="H183" t="s">
        <v>110</v>
      </c>
      <c r="I183" s="7">
        <f>IFERROR(VLOOKUP(Tabla145[[#This Row],[Llave]],'[7]RV Producción'!$C:$G,5,FALSE),0)</f>
        <v>4658</v>
      </c>
      <c r="J183" s="3">
        <f>IFERROR(IF(Tabla145[[#This Row],[Oficina]]=$I$7,VLOOKUP(Tabla145[[#This Row],[Llave]],'[7]Shangai (Tomas)'!$A:$F,6,FALSE),VLOOKUP(Tabla145[[#This Row],[Llave]],'[7]RV plan de ventas'!$A:$E,5,FALSE)),0)</f>
        <v>10000</v>
      </c>
      <c r="K183" s="8">
        <f>IFERROR(VLOOKUP(Tabla145[[#This Row],[Oficina]],[15]Ponderación!$B$2:$E$9,4,FALSE),0)</f>
        <v>0.87158319035419651</v>
      </c>
      <c r="L183" s="7">
        <f>+Tabla145[[#This Row],[ RV Producción mes n+1]]*Tabla145[[#This Row],[% Uti. producción]]</f>
        <v>4059.8345006698473</v>
      </c>
      <c r="M183" s="7">
        <f>IFERROR(VLOOKUP(Tabla145[[#This Row],[Material]],[16]Stock!$G:$K,5,FALSE),0)</f>
        <v>31623</v>
      </c>
      <c r="N183" s="7">
        <f>IFERROR(VLOOKUP(Tabla145[[#This Row],[Material]],[16]Produccion!$M:$N,2,FALSE),0)</f>
        <v>0</v>
      </c>
      <c r="O183" s="7">
        <f>IFERROR(VLOOKUP(Tabla145[[#This Row],[Llave]],'[16]TD Conf-AP'!$I:$M,4,FALSE),0)</f>
        <v>5500</v>
      </c>
      <c r="P183" s="14">
        <f>SUM(Tabla145[[#This Row],[Producción disponible]],Tabla145[[#This Row],[Stock al día]],(Tabla145[[#This Row],[Por producir mes N]]*0.9))-Tabla145[[#This Row],[Producción por despachar mes N]]</f>
        <v>30182.834500669851</v>
      </c>
      <c r="Q183" s="7">
        <f>IFERROR(VLOOKUP(Tabla145[[#This Row],[Llave]],[17]DELAY!$A:$D,4,FALSE),0)</f>
        <v>22500</v>
      </c>
      <c r="R183" s="9">
        <v>2166.6666666666665</v>
      </c>
      <c r="S183" s="5">
        <f t="shared" si="7"/>
        <v>22500</v>
      </c>
      <c r="T183" s="76">
        <v>0</v>
      </c>
      <c r="U183" s="5">
        <f>+Tabla145[[#This Row],[Atraso a facturar]]+Tabla145[[#This Row],[Ajuste atraso]]</f>
        <v>22500</v>
      </c>
      <c r="V183" s="3">
        <f>+Tabla145[[#This Row],[Total disponible]]-Tabla145[[#This Row],[Facturación atraso]]</f>
        <v>7682.834500669851</v>
      </c>
      <c r="W183" s="6">
        <f>IFERROR(IF(AND(V183&gt;R183,J183&gt;=R183),ROUNDDOWN((Tabla145[[#This Row],[Producción para venta nueva]])/R183,0)*R183,0),0)</f>
        <v>6500</v>
      </c>
      <c r="X183" s="76">
        <v>0</v>
      </c>
      <c r="Y183" s="6">
        <f>IF(Tabla145[[#This Row],[Venta del mes]]&gt;0,Tabla145[[#This Row],[Venta del mes]]+Tabla145[[#This Row],[Ajuste venta nueva]],0)</f>
        <v>6500</v>
      </c>
      <c r="Z183" s="6">
        <f>+Tabla145[[#This Row],[Producción para venta nueva]]-Tabla145[[#This Row],[Facturación Venta nueva]]</f>
        <v>1182.834500669851</v>
      </c>
      <c r="AA183" s="6">
        <f>IF(AND(A183=1,Tabla145[[#This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3" s="6">
        <v>0</v>
      </c>
      <c r="AC183" s="6">
        <f>IF(Tabla145[[#This Row],[Disponible stock sin venta]]&gt;0,Tabla145[[#This Row],[Disponible stock sin venta]]+Tabla145[[#This Row],[Ajuste stock sin venta]],0)</f>
        <v>0</v>
      </c>
      <c r="AD183" s="3">
        <f>IFERROR(VLOOKUP(Tabla145[[#This Row],[Llave]],'[16]TD Puerto'!$A:$D,4,FALSE),0)</f>
        <v>0</v>
      </c>
      <c r="AE183" s="3">
        <v>15166.666666666666</v>
      </c>
      <c r="AF183" s="3">
        <f>+Tabla145[[#This Row],[Plan Irrestricto Inicial]]</f>
        <v>15166.666666666666</v>
      </c>
      <c r="AG183" s="3">
        <f>+Tabla145[[#This Row],[En puerto a facturar]]</f>
        <v>0</v>
      </c>
      <c r="AH183" s="3">
        <f>+Tabla145[[#This Row],[Facturación atraso]]</f>
        <v>22500</v>
      </c>
      <c r="AI183" s="3">
        <f>+Tabla145[[#This Row],[Plan Irrestricto]]-Tabla145[[#This Row],[Puerto ]]-Tabla145[[#This Row],[Atraso]]</f>
        <v>-7333.3333333333339</v>
      </c>
      <c r="AJ183" s="3">
        <f>IF(Tabla145[[#This Row],[Plan Irrestricto]]&gt;0,SUM(Tabla145[[#This Row],[Facturación atraso]],Tabla145[[#This Row],[Facturación Venta nueva]],Tabla145[[#This Row],[Facturación stock]],Tabla145[[#This Row],[En puerto a facturar]]),0)</f>
        <v>29000</v>
      </c>
      <c r="AK183" s="3">
        <f>+Tabla145[[#This Row],[Facturación atraso]]</f>
        <v>22500</v>
      </c>
      <c r="AL183" s="3">
        <f>+Tabla145[[#This Row],[Plan Ajustado]]-Tabla145[[#This Row],[ Atraso ajustado]]-Tabla145[[#This Row],[Puerto ]]</f>
        <v>6500</v>
      </c>
      <c r="AM183" s="6">
        <f>IFERROR(VLOOKUP(Tabla145[[#This Row],[Llave]],[18]!Tabla14[#All],34,FALSE),0)</f>
        <v>0</v>
      </c>
      <c r="AN183" s="6">
        <f>IFERROR(VLOOKUP(Tabla145[[#This Row],[Llave]],[18]!Tabla14[#All],35,FALSE),0)</f>
        <v>0</v>
      </c>
      <c r="AO183" s="3" t="str">
        <f>IF(Tabla145[[#This Row],[Plan Ajustado]]&gt;Tabla145[[#This Row],[En puerto a facturar]],"Si","No")</f>
        <v>Si</v>
      </c>
      <c r="AP183" s="3">
        <f>IF(AND(Tabla145[[#This Row],[Plan Ajustado]]&gt;0,Tabla145[[#This Row],[Plan Ajustado]]&gt;Tabla145[[#This Row],[En puerto a facturar]]),(Tabla145[[#This Row],[Plan Ajustado]]-Tabla145[[#This Row],[En puerto a facturar]]),0)</f>
        <v>29000</v>
      </c>
      <c r="AQ183" s="3">
        <f>IF(Tabla145[[#This Row],[Necesidad]]&gt;=Tabla145[[#This Row],[Stock al día]],Tabla145[[#This Row],[Stock al día]],Tabla145[[#This Row],[Necesidad]])</f>
        <v>29000</v>
      </c>
      <c r="AR183" s="3">
        <f>+Tabla145[[#This Row],[Necesidad]]-Tabla145[[#This Row],[Stock Plan]]</f>
        <v>0</v>
      </c>
      <c r="AS183" s="155">
        <f>IFERROR(VLOOKUP(Tabla145[[#This Row],[Oficina]],[19]Ponderación!$B$14:$E$21,4,FALSE),"")</f>
        <v>44800</v>
      </c>
      <c r="AT18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3.6</v>
      </c>
      <c r="AU183" s="83">
        <f>IFERROR(VLOOKUP(Tabla145[[#This Row],[Llave]],[17]DELAY!$H:$W,16,FALSE),0)</f>
        <v>3.6250919335555563</v>
      </c>
      <c r="AV18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3.6194678794827593</v>
      </c>
      <c r="AW183" s="5">
        <f>Tabla145[[#This Row],[Ajuste precio IC]]*Tabla145[[#This Row],[Plan Ajustado]]</f>
        <v>104964.56850500002</v>
      </c>
      <c r="AX183" s="30">
        <f>IFERROR(VLOOKUP(Tabla145[[#This Row],[Llave]],'[13]Ultimos precios facturados'!$A:$G,7,FALSE),0)</f>
        <v>3.6468606392292067</v>
      </c>
      <c r="AY18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7.5113261668910587E-3</v>
      </c>
      <c r="AZ183" s="30">
        <f>IFERROR(VLOOKUP(Tabla145[[#This Row],[Llave]],Hoja2!B:K,10,FALSE),0)</f>
        <v>3.6194678794827593</v>
      </c>
      <c r="BA183" s="30">
        <f>IF(Tabla145[[#This Row],[Ajuste precio IC]]="",Tabla145[[#This Row],[Precio ponderado]],Tabla145[[#This Row],[Precio ponderado]])</f>
        <v>3.6194678794827593</v>
      </c>
      <c r="BB183" s="82"/>
      <c r="BC183" s="82" t="str">
        <f>IF(AND(Tabla145[[#This Row],[Atraso a facturar]]&gt;0,Tabla145[[#This Row],[Precio Atraso]]=0),"Revisar","OK")</f>
        <v>OK</v>
      </c>
      <c r="BD183" s="82" t="str">
        <f>IF(AND(Tabla145[[#This Row],[Venta del mes]]&gt;0,Tabla145[[#This Row],[Precio venta nueva]]=0),"Revisar","OK")</f>
        <v>OK</v>
      </c>
      <c r="BE183" s="20">
        <f>IFERROR(VLOOKUP(Tabla145[[#This Row],[Llave]],'[5]Consolidación planes'!$A:$M,9,FALSE),0)</f>
        <v>18000</v>
      </c>
      <c r="BF183" s="20">
        <f>IFERROR(VLOOKUP(Tabla145[[#This Row],[Llave]],'[5]Consolidación planes'!$A:$M,10,FALSE),0)</f>
        <v>3000</v>
      </c>
      <c r="BG183" s="20">
        <f>IFERROR(VLOOKUP(Tabla145[[#This Row],[Llave]],'[5]Consolidación planes'!$A:$M,11,FALSE),0)</f>
        <v>11000</v>
      </c>
      <c r="BH183" s="20">
        <f>IFERROR(VLOOKUP(Tabla145[[#This Row],[Llave]],'[5]Consolidación planes'!$A:$M,12,FALSE),0)</f>
        <v>20000</v>
      </c>
      <c r="BI183" s="20">
        <f>IFERROR(VLOOKUP(Tabla145[[#This Row],[Llave]],'[5]Consolidación planes'!$A:$M,13,FALSE),0)</f>
        <v>19625</v>
      </c>
      <c r="BJ183" s="20">
        <f>IFERROR(VLOOKUP(Tabla145[[#This Row],[Llave]],'[13]Base ultimos planes'!$A:$M,13,FALSE),0)</f>
        <v>27333</v>
      </c>
      <c r="BK183" s="80">
        <f>IFERROR(VLOOKUP(Tabla145[[#This Row],[Llave]],'[13]Base ultimos planes'!$O:$AA,8,FALSE),0)</f>
        <v>78722.423299999995</v>
      </c>
      <c r="BL183" s="20">
        <f>IFERROR(VLOOKUP(Tabla145[[#This Row],[Llave]],'[13]Base ultimos planes'!$O:$AA,9,FALSE),0)</f>
        <v>12324</v>
      </c>
      <c r="BM183" s="20">
        <f>IFERROR(VLOOKUP(Tabla145[[#This Row],[Llave]],'[13]Base ultimos planes'!$O:$AA,10,FALSE),0)</f>
        <v>44841</v>
      </c>
      <c r="BN183" s="20">
        <f>IFERROR(VLOOKUP(Tabla145[[#This Row],[Llave]],'[13]Base ultimos planes'!$O:$AA,11,FALSE),0)</f>
        <v>78794</v>
      </c>
      <c r="BO183" s="20">
        <f>IFERROR(VLOOKUP(Tabla145[[#This Row],[Llave]],'[13]Base ultimos planes'!$O:$AA,12,FALSE),0)</f>
        <v>75391</v>
      </c>
      <c r="BP183" s="20">
        <f>IFERROR(VLOOKUP(Tabla145[[#This Row],[Llave]],'[13]Base ultimos planes'!$O:$AA,13,FALSE),0)</f>
        <v>97657</v>
      </c>
      <c r="BQ183" s="20"/>
      <c r="BR183" s="20">
        <f>Tabla145[[#This Row],[ RV Producción mes n+1]]*(1-Tabla145[[#This Row],[% Uti. producción]])</f>
        <v>598.16549933015267</v>
      </c>
      <c r="BS183" s="20">
        <f>+Tabla145[[#This Row],[Producción disponible mes n-1]]+Tabla145[[#This Row],[Saldo Volumen disponible]]</f>
        <v>1781.0000000000036</v>
      </c>
      <c r="BT183" s="7">
        <f>IFERROR(VLOOKUP(Tabla145[[#This Row],[Llave]],'[21]RV n+2 y n+3'!$B:$F,4,FALSE),0)</f>
        <v>15000</v>
      </c>
      <c r="BU183" s="7">
        <f>+Tabla145[[#This Row],[Asignación mes n+2]]*Tabla145[[#This Row],[% Uti. producción]]</f>
        <v>13073.747855312948</v>
      </c>
      <c r="BV183" s="7">
        <f>+Tabla145[[#This Row],[Ponderación mes n+2]]+Tabla145[[#This Row],[Saldo mes n-1]]</f>
        <v>14854.747855312951</v>
      </c>
      <c r="BW183" s="7">
        <f>+Tabla145[[#This Row],[Asignación mes n+2]]-Tabla145[[#This Row],[Ponderación mes n+2]]</f>
        <v>1926.2521446870524</v>
      </c>
      <c r="BX183" s="7">
        <f>IFERROR(VLOOKUP(Tabla145[[#This Row],[Llave]],'[21]RV n+2 y n+3'!$B:$F,5,FALSE),0)</f>
        <v>13000</v>
      </c>
      <c r="BY183" s="7">
        <f>+Tabla145[[#This Row],[Asignación mes n+3]]*Tabla145[[#This Row],[% Uti. producción]]</f>
        <v>11330.581474604554</v>
      </c>
      <c r="BZ183" s="3">
        <f>+Tabla145[[#This Row],[Ponderación mes n+3]]+Tabla145[[#This Row],[Saldo mes n+2]]</f>
        <v>13256.833619291607</v>
      </c>
      <c r="CA183" s="3">
        <f>+Tabla145[[#This Row],[Asignación mes n+3]]-Tabla145[[#This Row],[Ponderación mes n+3]]</f>
        <v>1669.4185253954456</v>
      </c>
      <c r="CB183" s="3">
        <f>+Tabla145[[#This Row],[Producción disponible mes n-1]]+Tabla145[[#This Row],[Producción disponible]]</f>
        <v>4658</v>
      </c>
      <c r="CC183" s="3">
        <f>+Tabla145[[#This Row],[Saldo mes n+4]]-Tabla145[[#This Row],[ RV Producción mes n+1]]</f>
        <v>0</v>
      </c>
    </row>
    <row r="184" spans="1:81" ht="16" x14ac:dyDescent="0.2">
      <c r="A184">
        <v>1</v>
      </c>
      <c r="B184" t="str">
        <f>Tabla145[[#This Row],[Oficina]]&amp;Tabla145[[#This Row],[Material]]</f>
        <v>Exportacion Directa1022664</v>
      </c>
      <c r="C184" t="s">
        <v>6</v>
      </c>
      <c r="D184" t="s">
        <v>88</v>
      </c>
      <c r="E184">
        <v>1022664</v>
      </c>
      <c r="F184" t="s">
        <v>99</v>
      </c>
      <c r="G184" t="s">
        <v>50</v>
      </c>
      <c r="H184" t="s">
        <v>95</v>
      </c>
      <c r="I184" s="7">
        <f>IFERROR(VLOOKUP(Tabla145[[#This Row],[Llave]],'[7]RV Producción'!$C:$G,5,FALSE),0)</f>
        <v>107035</v>
      </c>
      <c r="J184" s="3">
        <f>IFERROR(IF(Tabla145[[#This Row],[Oficina]]=$I$7,VLOOKUP(Tabla145[[#This Row],[Llave]],'[7]Shangai (Tomas)'!$A:$F,6,FALSE),VLOOKUP(Tabla145[[#This Row],[Llave]],'[7]RV plan de ventas'!$A:$E,5,FALSE)),0)</f>
        <v>57000</v>
      </c>
      <c r="K184" s="8">
        <f>IFERROR(VLOOKUP(Tabla145[[#This Row],[Oficina]],[15]Ponderación!$B$2:$E$9,4,FALSE),0)</f>
        <v>0.87158319035419651</v>
      </c>
      <c r="L184" s="7">
        <f>+Tabla145[[#This Row],[ RV Producción mes n+1]]*Tabla145[[#This Row],[% Uti. producción]]</f>
        <v>93289.906779561425</v>
      </c>
      <c r="M184" s="7">
        <f>IFERROR(VLOOKUP(Tabla145[[#This Row],[Material]],[16]Stock!$G:$K,5,FALSE),0)</f>
        <v>9867</v>
      </c>
      <c r="N184" s="7">
        <f>IFERROR(VLOOKUP(Tabla145[[#This Row],[Material]],[16]Produccion!$M:$N,2,FALSE),0)</f>
        <v>11769.943747240315</v>
      </c>
      <c r="O184" s="7">
        <f>IFERROR(VLOOKUP(Tabla145[[#This Row],[Llave]],'[16]TD Conf-AP'!$I:$M,4,FALSE),0)</f>
        <v>18000</v>
      </c>
      <c r="P184" s="14">
        <f>SUM(Tabla145[[#This Row],[Producción disponible]],Tabla145[[#This Row],[Stock al día]],(Tabla145[[#This Row],[Por producir mes N]]*0.9))-Tabla145[[#This Row],[Producción por despachar mes N]]</f>
        <v>95749.856152077715</v>
      </c>
      <c r="Q184" s="7">
        <f>IFERROR(VLOOKUP(Tabla145[[#This Row],[Llave]],[17]DELAY!$A:$D,4,FALSE),0)</f>
        <v>92000</v>
      </c>
      <c r="R184" s="9">
        <v>3333.3333333333335</v>
      </c>
      <c r="S184" s="5">
        <f t="shared" si="7"/>
        <v>92000</v>
      </c>
      <c r="T184" s="76">
        <v>-49860</v>
      </c>
      <c r="U184" s="5">
        <f>+Tabla145[[#This Row],[Atraso a facturar]]+Tabla145[[#This Row],[Ajuste atraso]]</f>
        <v>42140</v>
      </c>
      <c r="V184" s="3">
        <f>+Tabla145[[#This Row],[Total disponible]]-Tabla145[[#This Row],[Facturación atraso]]</f>
        <v>53609.856152077715</v>
      </c>
      <c r="W184" s="6">
        <f>IFERROR(IF(AND(V184&gt;R184,J184&gt;=R184),ROUNDDOWN((Tabla145[[#This Row],[Producción para venta nueva]])/R184,0)*R184,0),0)</f>
        <v>53333.333333333336</v>
      </c>
      <c r="X184" s="76">
        <v>-44320</v>
      </c>
      <c r="Y184" s="6">
        <f>IF(Tabla145[[#This Row],[Venta del mes]]&gt;0,Tabla145[[#This Row],[Venta del mes]]+Tabla145[[#This Row],[Ajuste venta nueva]],0)</f>
        <v>9013.3333333333358</v>
      </c>
      <c r="Z184" s="6">
        <f>+Tabla145[[#This Row],[Producción para venta nueva]]-Tabla145[[#This Row],[Facturación Venta nueva]]</f>
        <v>44596.522818744379</v>
      </c>
      <c r="AA184" s="6">
        <f>IF(AND(A184=1,Tabla145[[#This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4" s="6">
        <v>0</v>
      </c>
      <c r="AC184" s="6">
        <f>IF(Tabla145[[#This Row],[Disponible stock sin venta]]&gt;0,Tabla145[[#This Row],[Disponible stock sin venta]]+Tabla145[[#This Row],[Ajuste stock sin venta]],0)</f>
        <v>0</v>
      </c>
      <c r="AD184" s="3">
        <f>IFERROR(VLOOKUP(Tabla145[[#This Row],[Llave]],'[16]TD Puerto'!$A:$D,4,FALSE),0)</f>
        <v>0</v>
      </c>
      <c r="AE184" s="3">
        <v>115333.33333333334</v>
      </c>
      <c r="AF184" s="3">
        <f>+Tabla145[[#This Row],[Plan Irrestricto Inicial]]</f>
        <v>115333.33333333334</v>
      </c>
      <c r="AG184" s="3">
        <f>+Tabla145[[#This Row],[En puerto a facturar]]</f>
        <v>0</v>
      </c>
      <c r="AH184" s="3">
        <f>+Tabla145[[#This Row],[Facturación atraso]]</f>
        <v>42140</v>
      </c>
      <c r="AI184" s="3">
        <f>+Tabla145[[#This Row],[Plan Irrestricto]]-Tabla145[[#This Row],[Puerto ]]-Tabla145[[#This Row],[Atraso]]</f>
        <v>73193.333333333343</v>
      </c>
      <c r="AJ184" s="3">
        <f>IF(Tabla145[[#This Row],[Plan Irrestricto]]&gt;0,SUM(Tabla145[[#This Row],[Facturación atraso]],Tabla145[[#This Row],[Facturación Venta nueva]],Tabla145[[#This Row],[Facturación stock]],Tabla145[[#This Row],[En puerto a facturar]]),0)</f>
        <v>51153.333333333336</v>
      </c>
      <c r="AK184" s="3">
        <f>+Tabla145[[#This Row],[Facturación atraso]]</f>
        <v>42140</v>
      </c>
      <c r="AL184" s="3">
        <f>+Tabla145[[#This Row],[Plan Ajustado]]-Tabla145[[#This Row],[ Atraso ajustado]]-Tabla145[[#This Row],[Puerto ]]</f>
        <v>9013.3333333333358</v>
      </c>
      <c r="AM184" s="6">
        <f>IFERROR(VLOOKUP(Tabla145[[#This Row],[Llave]],[18]!Tabla14[#All],34,FALSE),0)</f>
        <v>0</v>
      </c>
      <c r="AN184" s="6">
        <f>IFERROR(VLOOKUP(Tabla145[[#This Row],[Llave]],[18]!Tabla14[#All],35,FALSE),0)</f>
        <v>0</v>
      </c>
      <c r="AO184" s="3" t="str">
        <f>IF(Tabla145[[#This Row],[Plan Ajustado]]&gt;Tabla145[[#This Row],[En puerto a facturar]],"Si","No")</f>
        <v>Si</v>
      </c>
      <c r="AP184" s="3">
        <f>IF(AND(Tabla145[[#This Row],[Plan Ajustado]]&gt;0,Tabla145[[#This Row],[Plan Ajustado]]&gt;Tabla145[[#This Row],[En puerto a facturar]]),(Tabla145[[#This Row],[Plan Ajustado]]-Tabla145[[#This Row],[En puerto a facturar]]),0)</f>
        <v>51153.333333333336</v>
      </c>
      <c r="AQ184" s="3">
        <f>IF(Tabla145[[#This Row],[Necesidad]]&gt;=Tabla145[[#This Row],[Stock al día]],Tabla145[[#This Row],[Stock al día]],Tabla145[[#This Row],[Necesidad]])</f>
        <v>9867</v>
      </c>
      <c r="AR184" s="3">
        <f>+Tabla145[[#This Row],[Necesidad]]-Tabla145[[#This Row],[Stock Plan]]</f>
        <v>41286.333333333336</v>
      </c>
      <c r="AS184" s="155">
        <f>IFERROR(VLOOKUP(Tabla145[[#This Row],[Oficina]],[19]Ponderación!$B$14:$E$21,4,FALSE),"")</f>
        <v>44800</v>
      </c>
      <c r="AT18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3.6360000000000001</v>
      </c>
      <c r="AU184" s="83">
        <f>IFERROR(VLOOKUP(Tabla145[[#This Row],[Llave]],[17]DELAY!$H:$W,16,FALSE),0)</f>
        <v>3.6490553347826093</v>
      </c>
      <c r="AV18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3.6467549551884364</v>
      </c>
      <c r="AW184" s="5">
        <f>Tabla145[[#This Row],[Ajuste precio IC]]*Tabla145[[#This Row],[Plan Ajustado]]</f>
        <v>186543.67180773916</v>
      </c>
      <c r="AX184" s="30">
        <f>IFERROR(VLOOKUP(Tabla145[[#This Row],[Llave]],'[13]Ultimos precios facturados'!$A:$G,7,FALSE),0)</f>
        <v>3.3810340079353502</v>
      </c>
      <c r="AY18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7.8591622157432928E-2</v>
      </c>
      <c r="AZ184" s="30">
        <f>IFERROR(VLOOKUP(Tabla145[[#This Row],[Llave]],Hoja2!B:K,10,FALSE),0)</f>
        <v>3.6467549551884364</v>
      </c>
      <c r="BA184" s="30">
        <f>IF(Tabla145[[#This Row],[Ajuste precio IC]]="",Tabla145[[#This Row],[Precio ponderado]],Tabla145[[#This Row],[Precio ponderado]])</f>
        <v>3.6467549551884364</v>
      </c>
      <c r="BB184" s="82"/>
      <c r="BC184" s="82" t="str">
        <f>IF(AND(Tabla145[[#This Row],[Atraso a facturar]]&gt;0,Tabla145[[#This Row],[Precio Atraso]]=0),"Revisar","OK")</f>
        <v>OK</v>
      </c>
      <c r="BD184" s="82" t="str">
        <f>IF(AND(Tabla145[[#This Row],[Venta del mes]]&gt;0,Tabla145[[#This Row],[Precio venta nueva]]=0),"Revisar","OK")</f>
        <v>OK</v>
      </c>
      <c r="BE184" s="20">
        <f>IFERROR(VLOOKUP(Tabla145[[#This Row],[Llave]],'[5]Consolidación planes'!$A:$M,9,FALSE),0)</f>
        <v>43000</v>
      </c>
      <c r="BF184" s="20">
        <f>IFERROR(VLOOKUP(Tabla145[[#This Row],[Llave]],'[5]Consolidación planes'!$A:$M,10,FALSE),0)</f>
        <v>23700</v>
      </c>
      <c r="BG184" s="20">
        <f>IFERROR(VLOOKUP(Tabla145[[#This Row],[Llave]],'[5]Consolidación planes'!$A:$M,11,FALSE),0)</f>
        <v>17000</v>
      </c>
      <c r="BH184" s="20">
        <f>IFERROR(VLOOKUP(Tabla145[[#This Row],[Llave]],'[5]Consolidación planes'!$A:$M,12,FALSE),0)</f>
        <v>30000</v>
      </c>
      <c r="BI184" s="20">
        <f>IFERROR(VLOOKUP(Tabla145[[#This Row],[Llave]],'[5]Consolidación planes'!$A:$M,13,FALSE),0)</f>
        <v>35000</v>
      </c>
      <c r="BJ184" s="20">
        <f>IFERROR(VLOOKUP(Tabla145[[#This Row],[Llave]],'[13]Base ultimos planes'!$A:$M,13,FALSE),0)</f>
        <v>30667</v>
      </c>
      <c r="BK184" s="80">
        <f>IFERROR(VLOOKUP(Tabla145[[#This Row],[Llave]],'[13]Base ultimos planes'!$O:$AA,8,FALSE),0)</f>
        <v>175870</v>
      </c>
      <c r="BL184" s="20">
        <f>IFERROR(VLOOKUP(Tabla145[[#This Row],[Llave]],'[13]Base ultimos planes'!$O:$AA,9,FALSE),0)</f>
        <v>88630</v>
      </c>
      <c r="BM184" s="20">
        <f>IFERROR(VLOOKUP(Tabla145[[#This Row],[Llave]],'[13]Base ultimos planes'!$O:$AA,10,FALSE),0)</f>
        <v>59165</v>
      </c>
      <c r="BN184" s="20">
        <f>IFERROR(VLOOKUP(Tabla145[[#This Row],[Llave]],'[13]Base ultimos planes'!$O:$AA,11,FALSE),0)</f>
        <v>105866</v>
      </c>
      <c r="BO184" s="20">
        <f>IFERROR(VLOOKUP(Tabla145[[#This Row],[Llave]],'[13]Base ultimos planes'!$O:$AA,12,FALSE),0)</f>
        <v>122382</v>
      </c>
      <c r="BP184" s="20">
        <f>IFERROR(VLOOKUP(Tabla145[[#This Row],[Llave]],'[13]Base ultimos planes'!$O:$AA,13,FALSE),0)</f>
        <v>103440</v>
      </c>
      <c r="BQ184" s="20"/>
      <c r="BR184" s="20">
        <f>Tabla145[[#This Row],[ RV Producción mes n+1]]*(1-Tabla145[[#This Row],[% Uti. producción]])</f>
        <v>13745.093220438575</v>
      </c>
      <c r="BS184" s="20">
        <f>+Tabla145[[#This Row],[Producción disponible mes n-1]]+Tabla145[[#This Row],[Saldo Volumen disponible]]</f>
        <v>58341.616039182954</v>
      </c>
      <c r="BT184" s="7">
        <f>IFERROR(VLOOKUP(Tabla145[[#This Row],[Llave]],'[21]RV n+2 y n+3'!$B:$F,4,FALSE),0)</f>
        <v>56628.7</v>
      </c>
      <c r="BU184" s="7">
        <f>+Tabla145[[#This Row],[Asignación mes n+2]]*Tabla145[[#This Row],[% Uti. producción]]</f>
        <v>49356.623011610689</v>
      </c>
      <c r="BV184" s="7">
        <f>+Tabla145[[#This Row],[Ponderación mes n+2]]+Tabla145[[#This Row],[Saldo mes n-1]]</f>
        <v>107698.23905079364</v>
      </c>
      <c r="BW184" s="7">
        <f>+Tabla145[[#This Row],[Asignación mes n+2]]-Tabla145[[#This Row],[Ponderación mes n+2]]</f>
        <v>7272.0769883893081</v>
      </c>
      <c r="BX184" s="7">
        <f>IFERROR(VLOOKUP(Tabla145[[#This Row],[Llave]],'[21]RV n+2 y n+3'!$B:$F,5,FALSE),0)</f>
        <v>20000</v>
      </c>
      <c r="BY184" s="7">
        <f>+Tabla145[[#This Row],[Asignación mes n+3]]*Tabla145[[#This Row],[% Uti. producción]]</f>
        <v>17431.663807083929</v>
      </c>
      <c r="BZ184" s="3">
        <f>+Tabla145[[#This Row],[Ponderación mes n+3]]+Tabla145[[#This Row],[Saldo mes n+2]]</f>
        <v>24703.740795473237</v>
      </c>
      <c r="CA184" s="3">
        <f>+Tabla145[[#This Row],[Asignación mes n+3]]-Tabla145[[#This Row],[Ponderación mes n+3]]</f>
        <v>2568.336192916071</v>
      </c>
      <c r="CB184" s="3">
        <f>+Tabla145[[#This Row],[Producción disponible mes n-1]]+Tabla145[[#This Row],[Producción disponible]]</f>
        <v>107035</v>
      </c>
      <c r="CC184" s="3">
        <f>+Tabla145[[#This Row],[Saldo mes n+4]]-Tabla145[[#This Row],[ RV Producción mes n+1]]</f>
        <v>0</v>
      </c>
    </row>
    <row r="185" spans="1:81" ht="16" x14ac:dyDescent="0.2">
      <c r="A185">
        <v>1</v>
      </c>
      <c r="B185" t="str">
        <f>Tabla145[[#This Row],[Oficina]]&amp;Tabla145[[#This Row],[Material]]</f>
        <v>Exportacion Directa1022817</v>
      </c>
      <c r="C185" t="s">
        <v>6</v>
      </c>
      <c r="D185" t="s">
        <v>88</v>
      </c>
      <c r="E185">
        <v>1022817</v>
      </c>
      <c r="F185" t="s">
        <v>323</v>
      </c>
      <c r="G185" t="s">
        <v>266</v>
      </c>
      <c r="H185" t="s">
        <v>266</v>
      </c>
      <c r="I185" s="7">
        <f>IFERROR(VLOOKUP(Tabla145[[#This Row],[Llave]],'[7]RV Producción'!$C:$G,5,FALSE),0)</f>
        <v>0</v>
      </c>
      <c r="J185" s="3">
        <f>IFERROR(IF(Tabla145[[#This Row],[Oficina]]=$I$7,VLOOKUP(Tabla145[[#This Row],[Llave]],'[7]Shangai (Tomas)'!$A:$F,6,FALSE),VLOOKUP(Tabla145[[#This Row],[Llave]],'[7]RV plan de ventas'!$A:$E,5,FALSE)),0)</f>
        <v>0</v>
      </c>
      <c r="K185" s="8">
        <f>IFERROR(VLOOKUP(Tabla145[[#This Row],[Oficina]],[15]Ponderación!$B$2:$E$9,4,FALSE),0)</f>
        <v>0.87158319035419651</v>
      </c>
      <c r="L185" s="7">
        <f>+Tabla145[[#This Row],[ RV Producción mes n+1]]*Tabla145[[#This Row],[% Uti. producción]]</f>
        <v>0</v>
      </c>
      <c r="M185" s="7">
        <f>IFERROR(VLOOKUP(Tabla145[[#This Row],[Material]],[16]Stock!$G:$K,5,FALSE),0)</f>
        <v>20</v>
      </c>
      <c r="N185" s="7">
        <f>IFERROR(VLOOKUP(Tabla145[[#This Row],[Material]],[16]Produccion!$M:$N,2,FALSE),0)</f>
        <v>0</v>
      </c>
      <c r="O185" s="7">
        <f>IFERROR(VLOOKUP(Tabla145[[#This Row],[Llave]],'[16]TD Conf-AP'!$I:$M,4,FALSE),0)</f>
        <v>0</v>
      </c>
      <c r="P185" s="14">
        <f>SUM(Tabla145[[#This Row],[Producción disponible]],Tabla145[[#This Row],[Stock al día]],(Tabla145[[#This Row],[Por producir mes N]]*0.9))-Tabla145[[#This Row],[Producción por despachar mes N]]</f>
        <v>20</v>
      </c>
      <c r="Q185" s="7">
        <f>IFERROR(VLOOKUP(Tabla145[[#This Row],[Llave]],[17]DELAY!$A:$D,4,FALSE),0)</f>
        <v>0</v>
      </c>
      <c r="R185" s="9">
        <v>5000</v>
      </c>
      <c r="S185" s="5">
        <f t="shared" si="7"/>
        <v>0</v>
      </c>
      <c r="T185" s="76">
        <v>0</v>
      </c>
      <c r="U185" s="5">
        <f>+Tabla145[[#This Row],[Atraso a facturar]]+Tabla145[[#This Row],[Ajuste atraso]]</f>
        <v>0</v>
      </c>
      <c r="V185" s="3">
        <f>+Tabla145[[#This Row],[Total disponible]]-Tabla145[[#This Row],[Facturación atraso]]</f>
        <v>20</v>
      </c>
      <c r="W185" s="6">
        <f>IFERROR(IF(AND(V185&gt;R185,J185&gt;=R185),ROUNDDOWN((Tabla145[[#This Row],[Producción para venta nueva]])/R185,0)*R185,0),0)</f>
        <v>0</v>
      </c>
      <c r="X185" s="76">
        <v>0</v>
      </c>
      <c r="Y185" s="6">
        <f>IF(Tabla145[[#This Row],[Venta del mes]]&gt;0,Tabla145[[#This Row],[Venta del mes]]+Tabla145[[#This Row],[Ajuste venta nueva]],0)</f>
        <v>0</v>
      </c>
      <c r="Z185" s="6">
        <f>+Tabla145[[#This Row],[Producción para venta nueva]]-Tabla145[[#This Row],[Facturación Venta nueva]]</f>
        <v>20</v>
      </c>
      <c r="AA185" s="6">
        <f>IF(AND(A185=1,Tabla145[[#This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5" s="6">
        <v>0</v>
      </c>
      <c r="AC185" s="6">
        <f>IF(Tabla145[[#This Row],[Disponible stock sin venta]]&gt;0,Tabla145[[#This Row],[Disponible stock sin venta]]+Tabla145[[#This Row],[Ajuste stock sin venta]],0)</f>
        <v>0</v>
      </c>
      <c r="AD185" s="3">
        <f>IFERROR(VLOOKUP(Tabla145[[#This Row],[Llave]],'[16]TD Puerto'!$A:$D,4,FALSE),0)</f>
        <v>0</v>
      </c>
      <c r="AE185" s="3">
        <v>0</v>
      </c>
      <c r="AF185" s="3">
        <f>+Tabla145[[#This Row],[Plan Irrestricto Inicial]]</f>
        <v>0</v>
      </c>
      <c r="AG185" s="3">
        <f>+Tabla145[[#This Row],[En puerto a facturar]]</f>
        <v>0</v>
      </c>
      <c r="AH185" s="3">
        <f>+Tabla145[[#This Row],[Facturación atraso]]</f>
        <v>0</v>
      </c>
      <c r="AI185" s="3">
        <f>+Tabla145[[#This Row],[Plan Irrestricto]]-Tabla145[[#This Row],[Puerto ]]-Tabla145[[#This Row],[Atraso]]</f>
        <v>0</v>
      </c>
      <c r="AJ18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85" s="3">
        <f>+Tabla145[[#This Row],[Facturación atraso]]</f>
        <v>0</v>
      </c>
      <c r="AL185" s="3">
        <f>+Tabla145[[#This Row],[Plan Ajustado]]-Tabla145[[#This Row],[ Atraso ajustado]]-Tabla145[[#This Row],[Puerto ]]</f>
        <v>0</v>
      </c>
      <c r="AM185" s="6">
        <f>IFERROR(VLOOKUP(Tabla145[[#This Row],[Llave]],[18]!Tabla14[#All],34,FALSE),0)</f>
        <v>0</v>
      </c>
      <c r="AN185" s="6">
        <f>IFERROR(VLOOKUP(Tabla145[[#This Row],[Llave]],[18]!Tabla14[#All],35,FALSE),0)</f>
        <v>0</v>
      </c>
      <c r="AO185" s="3" t="str">
        <f>IF(Tabla145[[#This Row],[Plan Ajustado]]&gt;Tabla145[[#This Row],[En puerto a facturar]],"Si","No")</f>
        <v>No</v>
      </c>
      <c r="AP18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85" s="3">
        <f>IF(Tabla145[[#This Row],[Necesidad]]&gt;=Tabla145[[#This Row],[Stock al día]],Tabla145[[#This Row],[Stock al día]],Tabla145[[#This Row],[Necesidad]])</f>
        <v>0</v>
      </c>
      <c r="AR185" s="3">
        <f>+Tabla145[[#This Row],[Necesidad]]-Tabla145[[#This Row],[Stock Plan]]</f>
        <v>0</v>
      </c>
      <c r="AS185" s="155">
        <f>IFERROR(VLOOKUP(Tabla145[[#This Row],[Oficina]],[19]Ponderación!$B$14:$E$21,4,FALSE),"")</f>
        <v>44800</v>
      </c>
      <c r="AT18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3.5331456657730116</v>
      </c>
      <c r="AU185" s="83">
        <f>IFERROR(VLOOKUP(Tabla145[[#This Row],[Llave]],[17]DELAY!$H:$W,16,FALSE),0)</f>
        <v>0</v>
      </c>
      <c r="AV18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85" s="5">
        <f>Tabla145[[#This Row],[Ajuste precio IC]]*Tabla145[[#This Row],[Plan Ajustado]]</f>
        <v>0</v>
      </c>
      <c r="AX185" s="30">
        <f>IFERROR(VLOOKUP(Tabla145[[#This Row],[Llave]],'[13]Ultimos precios facturados'!$A:$G,7,FALSE),0)</f>
        <v>3.5331456657730116</v>
      </c>
      <c r="AY18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85" s="30">
        <f>IFERROR(VLOOKUP(Tabla145[[#This Row],[Llave]],Hoja2!B:K,10,FALSE),0)</f>
        <v>0</v>
      </c>
      <c r="BA185" s="30">
        <f>IF(Tabla145[[#This Row],[Ajuste precio IC]]="",Tabla145[[#This Row],[Precio ponderado]],Tabla145[[#This Row],[Precio ponderado]])</f>
        <v>0</v>
      </c>
      <c r="BB185" s="82"/>
      <c r="BC185" s="82" t="str">
        <f>IF(AND(Tabla145[[#This Row],[Atraso a facturar]]&gt;0,Tabla145[[#This Row],[Precio Atraso]]=0),"Revisar","OK")</f>
        <v>OK</v>
      </c>
      <c r="BD185" s="82" t="str">
        <f>IF(AND(Tabla145[[#This Row],[Venta del mes]]&gt;0,Tabla145[[#This Row],[Precio venta nueva]]=0),"Revisar","OK")</f>
        <v>OK</v>
      </c>
      <c r="BE185" s="20">
        <f>IFERROR(VLOOKUP(Tabla145[[#This Row],[Llave]],'[5]Consolidación planes'!$A:$M,9,FALSE),0)</f>
        <v>0</v>
      </c>
      <c r="BF185" s="20">
        <f>IFERROR(VLOOKUP(Tabla145[[#This Row],[Llave]],'[5]Consolidación planes'!$A:$M,10,FALSE),0)</f>
        <v>0</v>
      </c>
      <c r="BG185" s="20">
        <f>IFERROR(VLOOKUP(Tabla145[[#This Row],[Llave]],'[5]Consolidación planes'!$A:$M,11,FALSE),0)</f>
        <v>0</v>
      </c>
      <c r="BH185" s="20">
        <f>IFERROR(VLOOKUP(Tabla145[[#This Row],[Llave]],'[5]Consolidación planes'!$A:$M,12,FALSE),0)</f>
        <v>0</v>
      </c>
      <c r="BI185" s="20">
        <f>IFERROR(VLOOKUP(Tabla145[[#This Row],[Llave]],'[5]Consolidación planes'!$A:$M,13,FALSE),0)</f>
        <v>0</v>
      </c>
      <c r="BJ185" s="20">
        <f>IFERROR(VLOOKUP(Tabla145[[#This Row],[Llave]],'[13]Base ultimos planes'!$A:$M,13,FALSE),0)</f>
        <v>0</v>
      </c>
      <c r="BK185" s="80">
        <f>IFERROR(VLOOKUP(Tabla145[[#This Row],[Llave]],'[13]Base ultimos planes'!$O:$AA,8,FALSE),0)</f>
        <v>0</v>
      </c>
      <c r="BL185" s="20">
        <f>IFERROR(VLOOKUP(Tabla145[[#This Row],[Llave]],'[13]Base ultimos planes'!$O:$AA,9,FALSE),0)</f>
        <v>0</v>
      </c>
      <c r="BM185" s="20">
        <f>IFERROR(VLOOKUP(Tabla145[[#This Row],[Llave]],'[13]Base ultimos planes'!$O:$AA,10,FALSE),0)</f>
        <v>0</v>
      </c>
      <c r="BN185" s="20">
        <f>IFERROR(VLOOKUP(Tabla145[[#This Row],[Llave]],'[13]Base ultimos planes'!$O:$AA,11,FALSE),0)</f>
        <v>0</v>
      </c>
      <c r="BO185" s="20">
        <f>IFERROR(VLOOKUP(Tabla145[[#This Row],[Llave]],'[13]Base ultimos planes'!$O:$AA,12,FALSE),0)</f>
        <v>0</v>
      </c>
      <c r="BP185" s="20">
        <f>IFERROR(VLOOKUP(Tabla145[[#This Row],[Llave]],'[13]Base ultimos planes'!$O:$AA,13,FALSE),0)</f>
        <v>0</v>
      </c>
      <c r="BQ185" s="20"/>
      <c r="BR185" s="20">
        <f>Tabla145[[#This Row],[ RV Producción mes n+1]]*(1-Tabla145[[#This Row],[% Uti. producción]])</f>
        <v>0</v>
      </c>
      <c r="BS185" s="20">
        <f>+Tabla145[[#This Row],[Producción disponible mes n-1]]+Tabla145[[#This Row],[Saldo Volumen disponible]]</f>
        <v>20</v>
      </c>
      <c r="BT185" s="7">
        <f>IFERROR(VLOOKUP(Tabla145[[#This Row],[Llave]],'[21]RV n+2 y n+3'!$B:$F,4,FALSE),0)</f>
        <v>0</v>
      </c>
      <c r="BU185" s="7">
        <f>+Tabla145[[#This Row],[Asignación mes n+2]]*Tabla145[[#This Row],[% Uti. producción]]</f>
        <v>0</v>
      </c>
      <c r="BV185" s="7">
        <f>+Tabla145[[#This Row],[Ponderación mes n+2]]+Tabla145[[#This Row],[Saldo mes n-1]]</f>
        <v>20</v>
      </c>
      <c r="BW185" s="7">
        <f>+Tabla145[[#This Row],[Asignación mes n+2]]-Tabla145[[#This Row],[Ponderación mes n+2]]</f>
        <v>0</v>
      </c>
      <c r="BX185" s="7">
        <f>IFERROR(VLOOKUP(Tabla145[[#This Row],[Llave]],'[21]RV n+2 y n+3'!$B:$F,5,FALSE),0)</f>
        <v>0</v>
      </c>
      <c r="BY185" s="7">
        <f>+Tabla145[[#This Row],[Asignación mes n+3]]*Tabla145[[#This Row],[% Uti. producción]]</f>
        <v>0</v>
      </c>
      <c r="BZ185" s="3">
        <f>+Tabla145[[#This Row],[Ponderación mes n+3]]+Tabla145[[#This Row],[Saldo mes n+2]]</f>
        <v>0</v>
      </c>
      <c r="CA185" s="3">
        <f>+Tabla145[[#This Row],[Asignación mes n+3]]-Tabla145[[#This Row],[Ponderación mes n+3]]</f>
        <v>0</v>
      </c>
      <c r="CB185" s="3">
        <f>+Tabla145[[#This Row],[Producción disponible mes n-1]]+Tabla145[[#This Row],[Producción disponible]]</f>
        <v>0</v>
      </c>
      <c r="CC185" s="3">
        <f>+Tabla145[[#This Row],[Saldo mes n+4]]-Tabla145[[#This Row],[ RV Producción mes n+1]]</f>
        <v>0</v>
      </c>
    </row>
    <row r="186" spans="1:81" ht="16" x14ac:dyDescent="0.2">
      <c r="A186">
        <v>1</v>
      </c>
      <c r="B186" t="str">
        <f>Tabla145[[#This Row],[Oficina]]&amp;Tabla145[[#This Row],[Material]]</f>
        <v>Exportacion Directa1022869</v>
      </c>
      <c r="C186" t="s">
        <v>6</v>
      </c>
      <c r="D186" t="s">
        <v>88</v>
      </c>
      <c r="E186">
        <v>1022869</v>
      </c>
      <c r="F186" t="s">
        <v>94</v>
      </c>
      <c r="G186" t="s">
        <v>92</v>
      </c>
      <c r="H186" t="s">
        <v>93</v>
      </c>
      <c r="I186" s="7">
        <f>IFERROR(VLOOKUP(Tabla145[[#This Row],[Llave]],'[7]RV Producción'!$C:$G,5,FALSE),0)</f>
        <v>0</v>
      </c>
      <c r="J186" s="3">
        <f>IFERROR(IF(Tabla145[[#This Row],[Oficina]]=$I$7,VLOOKUP(Tabla145[[#This Row],[Llave]],'[7]Shangai (Tomas)'!$A:$F,6,FALSE),VLOOKUP(Tabla145[[#This Row],[Llave]],'[7]RV plan de ventas'!$A:$E,5,FALSE)),0)</f>
        <v>0</v>
      </c>
      <c r="K186" s="8">
        <f>IFERROR(VLOOKUP(Tabla145[[#This Row],[Oficina]],[15]Ponderación!$B$2:$E$9,4,FALSE),0)</f>
        <v>0.87158319035419651</v>
      </c>
      <c r="L186" s="7">
        <f>+Tabla145[[#This Row],[ RV Producción mes n+1]]*Tabla145[[#This Row],[% Uti. producción]]</f>
        <v>0</v>
      </c>
      <c r="M186" s="7">
        <f>IFERROR(VLOOKUP(Tabla145[[#This Row],[Material]],[16]Stock!$G:$K,5,FALSE),0)</f>
        <v>0</v>
      </c>
      <c r="N186" s="7">
        <f>IFERROR(VLOOKUP(Tabla145[[#This Row],[Material]],[16]Produccion!$M:$N,2,FALSE),0)</f>
        <v>0</v>
      </c>
      <c r="O186" s="7">
        <f>IFERROR(VLOOKUP(Tabla145[[#This Row],[Llave]],'[16]TD Conf-AP'!$I:$M,4,FALSE),0)</f>
        <v>0</v>
      </c>
      <c r="P186" s="14">
        <f>SUM(Tabla145[[#This Row],[Producción disponible]],Tabla145[[#This Row],[Stock al día]],(Tabla145[[#This Row],[Por producir mes N]]*0.9))-Tabla145[[#This Row],[Producción por despachar mes N]]</f>
        <v>0</v>
      </c>
      <c r="Q186" s="7">
        <f>IFERROR(VLOOKUP(Tabla145[[#This Row],[Llave]],[17]DELAY!$A:$D,4,FALSE),0)</f>
        <v>0</v>
      </c>
      <c r="R186" s="9">
        <v>800</v>
      </c>
      <c r="S186" s="5">
        <f t="shared" si="7"/>
        <v>0</v>
      </c>
      <c r="T186" s="76">
        <v>0</v>
      </c>
      <c r="U186" s="5">
        <f>+Tabla145[[#This Row],[Atraso a facturar]]+Tabla145[[#This Row],[Ajuste atraso]]</f>
        <v>0</v>
      </c>
      <c r="V186" s="3">
        <f>+Tabla145[[#This Row],[Total disponible]]-Tabla145[[#This Row],[Facturación atraso]]</f>
        <v>0</v>
      </c>
      <c r="W186" s="6">
        <f>IFERROR(IF(AND(V186&gt;R186,J186&gt;=R186),ROUNDDOWN((Tabla145[[#This Row],[Producción para venta nueva]])/R186,0)*R186,0),0)</f>
        <v>0</v>
      </c>
      <c r="X186" s="76">
        <v>0</v>
      </c>
      <c r="Y186" s="6">
        <f>IF(Tabla145[[#This Row],[Venta del mes]]&gt;0,Tabla145[[#This Row],[Venta del mes]]+Tabla145[[#This Row],[Ajuste venta nueva]],0)</f>
        <v>0</v>
      </c>
      <c r="Z186" s="6">
        <f>+Tabla145[[#This Row],[Producción para venta nueva]]-Tabla145[[#This Row],[Facturación Venta nueva]]</f>
        <v>0</v>
      </c>
      <c r="AA186" s="6">
        <f>IF(AND(A186=1,Tabla145[[#This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6" s="6">
        <v>0</v>
      </c>
      <c r="AC186" s="6">
        <f>IF(Tabla145[[#This Row],[Disponible stock sin venta]]&gt;0,Tabla145[[#This Row],[Disponible stock sin venta]]+Tabla145[[#This Row],[Ajuste stock sin venta]],0)</f>
        <v>0</v>
      </c>
      <c r="AD186" s="3">
        <f>IFERROR(VLOOKUP(Tabla145[[#This Row],[Llave]],'[16]TD Puerto'!$A:$D,4,FALSE),0)</f>
        <v>0</v>
      </c>
      <c r="AE186" s="3">
        <v>0</v>
      </c>
      <c r="AF186" s="3">
        <f>+Tabla145[[#This Row],[Plan Irrestricto Inicial]]</f>
        <v>0</v>
      </c>
      <c r="AG186" s="3">
        <f>+Tabla145[[#This Row],[En puerto a facturar]]</f>
        <v>0</v>
      </c>
      <c r="AH186" s="3">
        <f>+Tabla145[[#This Row],[Facturación atraso]]</f>
        <v>0</v>
      </c>
      <c r="AI186" s="3">
        <f>+Tabla145[[#This Row],[Plan Irrestricto]]-Tabla145[[#This Row],[Puerto ]]-Tabla145[[#This Row],[Atraso]]</f>
        <v>0</v>
      </c>
      <c r="AJ18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86" s="3">
        <f>+Tabla145[[#This Row],[Facturación atraso]]</f>
        <v>0</v>
      </c>
      <c r="AL186" s="3">
        <f>+Tabla145[[#This Row],[Plan Ajustado]]-Tabla145[[#This Row],[ Atraso ajustado]]-Tabla145[[#This Row],[Puerto ]]</f>
        <v>0</v>
      </c>
      <c r="AM186" s="6">
        <f>IFERROR(VLOOKUP(Tabla145[[#This Row],[Llave]],[18]!Tabla14[#All],34,FALSE),0)</f>
        <v>0</v>
      </c>
      <c r="AN186" s="6">
        <f>IFERROR(VLOOKUP(Tabla145[[#This Row],[Llave]],[18]!Tabla14[#All],35,FALSE),0)</f>
        <v>0</v>
      </c>
      <c r="AO186" s="3" t="str">
        <f>IF(Tabla145[[#This Row],[Plan Ajustado]]&gt;Tabla145[[#This Row],[En puerto a facturar]],"Si","No")</f>
        <v>No</v>
      </c>
      <c r="AP18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86" s="3">
        <f>IF(Tabla145[[#This Row],[Necesidad]]&gt;=Tabla145[[#This Row],[Stock al día]],Tabla145[[#This Row],[Stock al día]],Tabla145[[#This Row],[Necesidad]])</f>
        <v>0</v>
      </c>
      <c r="AR186" s="3">
        <f>+Tabla145[[#This Row],[Necesidad]]-Tabla145[[#This Row],[Stock Plan]]</f>
        <v>0</v>
      </c>
      <c r="AS186" s="155">
        <f>IFERROR(VLOOKUP(Tabla145[[#This Row],[Oficina]],[19]Ponderación!$B$14:$E$21,4,FALSE),"")</f>
        <v>44800</v>
      </c>
      <c r="AT18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2.705669670781893</v>
      </c>
      <c r="AU186" s="83">
        <f>IFERROR(VLOOKUP(Tabla145[[#This Row],[Llave]],[17]DELAY!$H:$W,16,FALSE),0)</f>
        <v>0</v>
      </c>
      <c r="AV18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86" s="5">
        <f>Tabla145[[#This Row],[Ajuste precio IC]]*Tabla145[[#This Row],[Plan Ajustado]]</f>
        <v>0</v>
      </c>
      <c r="AX186" s="30">
        <f>IFERROR(VLOOKUP(Tabla145[[#This Row],[Llave]],'[13]Ultimos precios facturados'!$A:$G,7,FALSE),0)</f>
        <v>2.705669670781893</v>
      </c>
      <c r="AY18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86" s="30">
        <f>IFERROR(VLOOKUP(Tabla145[[#This Row],[Llave]],Hoja2!B:K,10,FALSE),0)</f>
        <v>0</v>
      </c>
      <c r="BA186" s="30">
        <f>IF(Tabla145[[#This Row],[Ajuste precio IC]]="",Tabla145[[#This Row],[Precio ponderado]],Tabla145[[#This Row],[Precio ponderado]])</f>
        <v>0</v>
      </c>
      <c r="BB186" s="82"/>
      <c r="BC186" s="82" t="str">
        <f>IF(AND(Tabla145[[#This Row],[Atraso a facturar]]&gt;0,Tabla145[[#This Row],[Precio Atraso]]=0),"Revisar","OK")</f>
        <v>OK</v>
      </c>
      <c r="BD186" s="82" t="str">
        <f>IF(AND(Tabla145[[#This Row],[Venta del mes]]&gt;0,Tabla145[[#This Row],[Precio venta nueva]]=0),"Revisar","OK")</f>
        <v>OK</v>
      </c>
      <c r="BE186" s="20">
        <f>IFERROR(VLOOKUP(Tabla145[[#This Row],[Llave]],'[5]Consolidación planes'!$A:$M,9,FALSE),0)</f>
        <v>500</v>
      </c>
      <c r="BF186" s="20">
        <f>IFERROR(VLOOKUP(Tabla145[[#This Row],[Llave]],'[5]Consolidación planes'!$A:$M,10,FALSE),0)</f>
        <v>1300</v>
      </c>
      <c r="BG186" s="20">
        <f>IFERROR(VLOOKUP(Tabla145[[#This Row],[Llave]],'[5]Consolidación planes'!$A:$M,11,FALSE),0)</f>
        <v>2400</v>
      </c>
      <c r="BH186" s="20">
        <f>IFERROR(VLOOKUP(Tabla145[[#This Row],[Llave]],'[5]Consolidación planes'!$A:$M,12,FALSE),0)</f>
        <v>800</v>
      </c>
      <c r="BI186" s="20">
        <f>IFERROR(VLOOKUP(Tabla145[[#This Row],[Llave]],'[5]Consolidación planes'!$A:$M,13,FALSE),0)</f>
        <v>800</v>
      </c>
      <c r="BJ186" s="20">
        <f>IFERROR(VLOOKUP(Tabla145[[#This Row],[Llave]],'[13]Base ultimos planes'!$A:$M,13,FALSE),0)</f>
        <v>0</v>
      </c>
      <c r="BK186" s="80">
        <f>IFERROR(VLOOKUP(Tabla145[[#This Row],[Llave]],'[13]Base ultimos planes'!$O:$AA,8,FALSE),0)</f>
        <v>1446.6365000000001</v>
      </c>
      <c r="BL186" s="20">
        <f>IFERROR(VLOOKUP(Tabla145[[#This Row],[Llave]],'[13]Base ultimos planes'!$O:$AA,9,FALSE),0)</f>
        <v>3691</v>
      </c>
      <c r="BM186" s="20">
        <f>IFERROR(VLOOKUP(Tabla145[[#This Row],[Llave]],'[13]Base ultimos planes'!$O:$AA,10,FALSE),0)</f>
        <v>6801</v>
      </c>
      <c r="BN186" s="20">
        <f>IFERROR(VLOOKUP(Tabla145[[#This Row],[Llave]],'[13]Base ultimos planes'!$O:$AA,11,FALSE),0)</f>
        <v>2158</v>
      </c>
      <c r="BO186" s="20">
        <f>IFERROR(VLOOKUP(Tabla145[[#This Row],[Llave]],'[13]Base ultimos planes'!$O:$AA,12,FALSE),0)</f>
        <v>2158</v>
      </c>
      <c r="BP186" s="20">
        <f>IFERROR(VLOOKUP(Tabla145[[#This Row],[Llave]],'[13]Base ultimos planes'!$O:$AA,13,FALSE),0)</f>
        <v>0</v>
      </c>
      <c r="BQ186" s="20"/>
      <c r="BR186" s="20">
        <f>Tabla145[[#This Row],[ RV Producción mes n+1]]*(1-Tabla145[[#This Row],[% Uti. producción]])</f>
        <v>0</v>
      </c>
      <c r="BS186" s="20">
        <f>+Tabla145[[#This Row],[Producción disponible mes n-1]]+Tabla145[[#This Row],[Saldo Volumen disponible]]</f>
        <v>0</v>
      </c>
      <c r="BT186" s="7">
        <f>IFERROR(VLOOKUP(Tabla145[[#This Row],[Llave]],'[21]RV n+2 y n+3'!$B:$F,4,FALSE),0)</f>
        <v>0</v>
      </c>
      <c r="BU186" s="7">
        <f>+Tabla145[[#This Row],[Asignación mes n+2]]*Tabla145[[#This Row],[% Uti. producción]]</f>
        <v>0</v>
      </c>
      <c r="BV186" s="7">
        <f>+Tabla145[[#This Row],[Ponderación mes n+2]]+Tabla145[[#This Row],[Saldo mes n-1]]</f>
        <v>0</v>
      </c>
      <c r="BW186" s="7">
        <f>+Tabla145[[#This Row],[Asignación mes n+2]]-Tabla145[[#This Row],[Ponderación mes n+2]]</f>
        <v>0</v>
      </c>
      <c r="BX186" s="7">
        <f>IFERROR(VLOOKUP(Tabla145[[#This Row],[Llave]],'[21]RV n+2 y n+3'!$B:$F,5,FALSE),0)</f>
        <v>0</v>
      </c>
      <c r="BY186" s="7">
        <f>+Tabla145[[#This Row],[Asignación mes n+3]]*Tabla145[[#This Row],[% Uti. producción]]</f>
        <v>0</v>
      </c>
      <c r="BZ186" s="3">
        <f>+Tabla145[[#This Row],[Ponderación mes n+3]]+Tabla145[[#This Row],[Saldo mes n+2]]</f>
        <v>0</v>
      </c>
      <c r="CA186" s="3">
        <f>+Tabla145[[#This Row],[Asignación mes n+3]]-Tabla145[[#This Row],[Ponderación mes n+3]]</f>
        <v>0</v>
      </c>
      <c r="CB186" s="3">
        <f>+Tabla145[[#This Row],[Producción disponible mes n-1]]+Tabla145[[#This Row],[Producción disponible]]</f>
        <v>0</v>
      </c>
      <c r="CC186" s="3">
        <f>+Tabla145[[#This Row],[Saldo mes n+4]]-Tabla145[[#This Row],[ RV Producción mes n+1]]</f>
        <v>0</v>
      </c>
    </row>
    <row r="187" spans="1:81" ht="16" x14ac:dyDescent="0.2">
      <c r="A187">
        <v>1</v>
      </c>
      <c r="B187" t="str">
        <f>Tabla145[[#This Row],[Oficina]]&amp;Tabla145[[#This Row],[Material]]</f>
        <v>Exportacion Directa1022901</v>
      </c>
      <c r="C187" t="s">
        <v>6</v>
      </c>
      <c r="D187" t="s">
        <v>88</v>
      </c>
      <c r="E187">
        <v>1022901</v>
      </c>
      <c r="F187" t="s">
        <v>126</v>
      </c>
      <c r="G187" t="s">
        <v>56</v>
      </c>
      <c r="H187" t="s">
        <v>57</v>
      </c>
      <c r="I187" s="7">
        <f>IFERROR(VLOOKUP(Tabla145[[#This Row],[Llave]],'[7]RV Producción'!$C:$G,5,FALSE),0)</f>
        <v>0</v>
      </c>
      <c r="J187" s="3">
        <f>IFERROR(IF(Tabla145[[#This Row],[Oficina]]=$I$7,VLOOKUP(Tabla145[[#This Row],[Llave]],'[7]Shangai (Tomas)'!$A:$F,6,FALSE),VLOOKUP(Tabla145[[#This Row],[Llave]],'[7]RV plan de ventas'!$A:$E,5,FALSE)),0)</f>
        <v>0</v>
      </c>
      <c r="K187" s="8">
        <f>IFERROR(VLOOKUP(Tabla145[[#This Row],[Oficina]],[15]Ponderación!$B$2:$E$9,4,FALSE),0)</f>
        <v>0.87158319035419651</v>
      </c>
      <c r="L187" s="7">
        <f>+Tabla145[[#This Row],[ RV Producción mes n+1]]*Tabla145[[#This Row],[% Uti. producción]]</f>
        <v>0</v>
      </c>
      <c r="M187" s="7">
        <f>IFERROR(VLOOKUP(Tabla145[[#This Row],[Material]],[16]Stock!$G:$K,5,FALSE),0)</f>
        <v>5297</v>
      </c>
      <c r="N187" s="7">
        <f>IFERROR(VLOOKUP(Tabla145[[#This Row],[Material]],[16]Produccion!$M:$N,2,FALSE),0)</f>
        <v>698.6609890098099</v>
      </c>
      <c r="O187" s="7">
        <f>IFERROR(VLOOKUP(Tabla145[[#This Row],[Llave]],'[16]TD Conf-AP'!$I:$M,4,FALSE),0)</f>
        <v>0</v>
      </c>
      <c r="P187" s="14">
        <f>SUM(Tabla145[[#This Row],[Producción disponible]],Tabla145[[#This Row],[Stock al día]],(Tabla145[[#This Row],[Por producir mes N]]*0.9))-Tabla145[[#This Row],[Producción por despachar mes N]]</f>
        <v>5925.7948901088293</v>
      </c>
      <c r="Q187" s="7">
        <f>IFERROR(VLOOKUP(Tabla145[[#This Row],[Llave]],[17]DELAY!$A:$D,4,FALSE),0)</f>
        <v>1000</v>
      </c>
      <c r="R187" s="9">
        <v>5000</v>
      </c>
      <c r="S187" s="5">
        <f t="shared" si="7"/>
        <v>1000</v>
      </c>
      <c r="T187" s="76">
        <v>0</v>
      </c>
      <c r="U187" s="5">
        <f>+Tabla145[[#This Row],[Atraso a facturar]]+Tabla145[[#This Row],[Ajuste atraso]]</f>
        <v>1000</v>
      </c>
      <c r="V187" s="3">
        <f>+Tabla145[[#This Row],[Total disponible]]-Tabla145[[#This Row],[Facturación atraso]]</f>
        <v>4925.7948901088293</v>
      </c>
      <c r="W187" s="6">
        <f>IFERROR(IF(AND(V187&gt;R187,J187&gt;=R187),ROUNDDOWN((Tabla145[[#This Row],[Producción para venta nueva]])/R187,0)*R187,0),0)</f>
        <v>0</v>
      </c>
      <c r="X187" s="76">
        <v>0</v>
      </c>
      <c r="Y187" s="6">
        <f>IF(Tabla145[[#This Row],[Venta del mes]]&gt;0,Tabla145[[#This Row],[Venta del mes]]+Tabla145[[#This Row],[Ajuste venta nueva]],0)</f>
        <v>0</v>
      </c>
      <c r="Z187" s="6">
        <f>+Tabla145[[#This Row],[Producción para venta nueva]]-Tabla145[[#This Row],[Facturación Venta nueva]]</f>
        <v>4925.7948901088293</v>
      </c>
      <c r="AA187" s="6">
        <f>IF(AND(A187=1,Tabla145[[#This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7" s="6">
        <v>0</v>
      </c>
      <c r="AC187" s="6">
        <f>IF(Tabla145[[#This Row],[Disponible stock sin venta]]&gt;0,Tabla145[[#This Row],[Disponible stock sin venta]]+Tabla145[[#This Row],[Ajuste stock sin venta]],0)</f>
        <v>0</v>
      </c>
      <c r="AD187" s="3">
        <f>IFERROR(VLOOKUP(Tabla145[[#This Row],[Llave]],'[16]TD Puerto'!$A:$D,4,FALSE),0)</f>
        <v>0</v>
      </c>
      <c r="AE187" s="3">
        <v>6000</v>
      </c>
      <c r="AF187" s="3">
        <f>+Tabla145[[#This Row],[Plan Irrestricto Inicial]]</f>
        <v>6000</v>
      </c>
      <c r="AG187" s="3">
        <f>+Tabla145[[#This Row],[En puerto a facturar]]</f>
        <v>0</v>
      </c>
      <c r="AH187" s="3">
        <f>+Tabla145[[#This Row],[Facturación atraso]]</f>
        <v>1000</v>
      </c>
      <c r="AI187" s="3">
        <f>+Tabla145[[#This Row],[Plan Irrestricto]]-Tabla145[[#This Row],[Puerto ]]-Tabla145[[#This Row],[Atraso]]</f>
        <v>5000</v>
      </c>
      <c r="AJ187" s="3">
        <f>IF(Tabla145[[#This Row],[Plan Irrestricto]]&gt;0,SUM(Tabla145[[#This Row],[Facturación atraso]],Tabla145[[#This Row],[Facturación Venta nueva]],Tabla145[[#This Row],[Facturación stock]],Tabla145[[#This Row],[En puerto a facturar]]),0)</f>
        <v>1000</v>
      </c>
      <c r="AK187" s="3">
        <f>+Tabla145[[#This Row],[Facturación atraso]]</f>
        <v>1000</v>
      </c>
      <c r="AL187" s="3">
        <f>+Tabla145[[#This Row],[Plan Ajustado]]-Tabla145[[#This Row],[ Atraso ajustado]]-Tabla145[[#This Row],[Puerto ]]</f>
        <v>0</v>
      </c>
      <c r="AM187" s="6">
        <f>IFERROR(VLOOKUP(Tabla145[[#This Row],[Llave]],[18]!Tabla14[#All],34,FALSE),0)</f>
        <v>0</v>
      </c>
      <c r="AN187" s="6">
        <f>IFERROR(VLOOKUP(Tabla145[[#This Row],[Llave]],[18]!Tabla14[#All],35,FALSE),0)</f>
        <v>0</v>
      </c>
      <c r="AO187" s="3" t="str">
        <f>IF(Tabla145[[#This Row],[Plan Ajustado]]&gt;Tabla145[[#This Row],[En puerto a facturar]],"Si","No")</f>
        <v>Si</v>
      </c>
      <c r="AP187" s="3">
        <f>IF(AND(Tabla145[[#This Row],[Plan Ajustado]]&gt;0,Tabla145[[#This Row],[Plan Ajustado]]&gt;Tabla145[[#This Row],[En puerto a facturar]]),(Tabla145[[#This Row],[Plan Ajustado]]-Tabla145[[#This Row],[En puerto a facturar]]),0)</f>
        <v>1000</v>
      </c>
      <c r="AQ187" s="3">
        <f>IF(Tabla145[[#This Row],[Necesidad]]&gt;=Tabla145[[#This Row],[Stock al día]],Tabla145[[#This Row],[Stock al día]],Tabla145[[#This Row],[Necesidad]])</f>
        <v>1000</v>
      </c>
      <c r="AR187" s="3">
        <f>+Tabla145[[#This Row],[Necesidad]]-Tabla145[[#This Row],[Stock Plan]]</f>
        <v>0</v>
      </c>
      <c r="AS187" s="155">
        <f>IFERROR(VLOOKUP(Tabla145[[#This Row],[Oficina]],[19]Ponderación!$B$14:$E$21,4,FALSE),"")</f>
        <v>44800</v>
      </c>
      <c r="AT18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4.5450262641281531</v>
      </c>
      <c r="AU187" s="83">
        <f>IFERROR(VLOOKUP(Tabla145[[#This Row],[Llave]],[17]DELAY!$H:$W,16,FALSE),0)</f>
        <v>4.4589070199999998</v>
      </c>
      <c r="AV18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4.4589070199999998</v>
      </c>
      <c r="AW187" s="5">
        <f>Tabla145[[#This Row],[Ajuste precio IC]]*Tabla145[[#This Row],[Plan Ajustado]]</f>
        <v>4458.9070199999996</v>
      </c>
      <c r="AX187" s="30">
        <f>IFERROR(VLOOKUP(Tabla145[[#This Row],[Llave]],'[13]Ultimos precios facturados'!$A:$G,7,FALSE),0)</f>
        <v>4.5450262641281531</v>
      </c>
      <c r="AY18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1.8948019026392374E-2</v>
      </c>
      <c r="AZ187" s="30">
        <f>IFERROR(VLOOKUP(Tabla145[[#This Row],[Llave]],Hoja2!B:K,10,FALSE),0)</f>
        <v>4.4589070199999998</v>
      </c>
      <c r="BA187" s="30">
        <f>IF(Tabla145[[#This Row],[Ajuste precio IC]]="",Tabla145[[#This Row],[Precio ponderado]],Tabla145[[#This Row],[Precio ponderado]])</f>
        <v>4.4589070199999998</v>
      </c>
      <c r="BB187" s="82"/>
      <c r="BC187" s="82" t="str">
        <f>IF(AND(Tabla145[[#This Row],[Atraso a facturar]]&gt;0,Tabla145[[#This Row],[Precio Atraso]]=0),"Revisar","OK")</f>
        <v>OK</v>
      </c>
      <c r="BD187" s="82" t="str">
        <f>IF(AND(Tabla145[[#This Row],[Venta del mes]]&gt;0,Tabla145[[#This Row],[Precio venta nueva]]=0),"Revisar","OK")</f>
        <v>OK</v>
      </c>
      <c r="BE187" s="20">
        <f>IFERROR(VLOOKUP(Tabla145[[#This Row],[Llave]],'[5]Consolidación planes'!$A:$M,9,FALSE),0)</f>
        <v>15000</v>
      </c>
      <c r="BF187" s="20">
        <f>IFERROR(VLOOKUP(Tabla145[[#This Row],[Llave]],'[5]Consolidación planes'!$A:$M,10,FALSE),0)</f>
        <v>12000</v>
      </c>
      <c r="BG187" s="20">
        <f>IFERROR(VLOOKUP(Tabla145[[#This Row],[Llave]],'[5]Consolidación planes'!$A:$M,11,FALSE),0)</f>
        <v>13000</v>
      </c>
      <c r="BH187" s="20">
        <f>IFERROR(VLOOKUP(Tabla145[[#This Row],[Llave]],'[5]Consolidación planes'!$A:$M,12,FALSE),0)</f>
        <v>18000</v>
      </c>
      <c r="BI187" s="20">
        <f>IFERROR(VLOOKUP(Tabla145[[#This Row],[Llave]],'[5]Consolidación planes'!$A:$M,13,FALSE),0)</f>
        <v>18000</v>
      </c>
      <c r="BJ187" s="20">
        <f>IFERROR(VLOOKUP(Tabla145[[#This Row],[Llave]],'[13]Base ultimos planes'!$A:$M,13,FALSE),0)</f>
        <v>13000</v>
      </c>
      <c r="BK187" s="80">
        <f>IFERROR(VLOOKUP(Tabla145[[#This Row],[Llave]],'[13]Base ultimos planes'!$O:$AA,8,FALSE),0)</f>
        <v>77324.533299999996</v>
      </c>
      <c r="BL187" s="20">
        <f>IFERROR(VLOOKUP(Tabla145[[#This Row],[Llave]],'[13]Base ultimos planes'!$O:$AA,9,FALSE),0)</f>
        <v>59373</v>
      </c>
      <c r="BM187" s="20">
        <f>IFERROR(VLOOKUP(Tabla145[[#This Row],[Llave]],'[13]Base ultimos planes'!$O:$AA,10,FALSE),0)</f>
        <v>64866</v>
      </c>
      <c r="BN187" s="20">
        <f>IFERROR(VLOOKUP(Tabla145[[#This Row],[Llave]],'[13]Base ultimos planes'!$O:$AA,11,FALSE),0)</f>
        <v>87127</v>
      </c>
      <c r="BO187" s="20">
        <f>IFERROR(VLOOKUP(Tabla145[[#This Row],[Llave]],'[13]Base ultimos planes'!$O:$AA,12,FALSE),0)</f>
        <v>85715</v>
      </c>
      <c r="BP187" s="20">
        <f>IFERROR(VLOOKUP(Tabla145[[#This Row],[Llave]],'[13]Base ultimos planes'!$O:$AA,13,FALSE),0)</f>
        <v>57833</v>
      </c>
      <c r="BQ187" s="20"/>
      <c r="BR187" s="20">
        <f>Tabla145[[#This Row],[ RV Producción mes n+1]]*(1-Tabla145[[#This Row],[% Uti. producción]])</f>
        <v>0</v>
      </c>
      <c r="BS187" s="20">
        <f>+Tabla145[[#This Row],[Producción disponible mes n-1]]+Tabla145[[#This Row],[Saldo Volumen disponible]]</f>
        <v>4925.7948901088293</v>
      </c>
      <c r="BT187" s="7">
        <f>IFERROR(VLOOKUP(Tabla145[[#This Row],[Llave]],'[21]RV n+2 y n+3'!$B:$F,4,FALSE),0)</f>
        <v>10000</v>
      </c>
      <c r="BU187" s="7">
        <f>+Tabla145[[#This Row],[Asignación mes n+2]]*Tabla145[[#This Row],[% Uti. producción]]</f>
        <v>8715.8319035419645</v>
      </c>
      <c r="BV187" s="7">
        <f>+Tabla145[[#This Row],[Ponderación mes n+2]]+Tabla145[[#This Row],[Saldo mes n-1]]</f>
        <v>13641.626793650794</v>
      </c>
      <c r="BW187" s="7">
        <f>+Tabla145[[#This Row],[Asignación mes n+2]]-Tabla145[[#This Row],[Ponderación mes n+2]]</f>
        <v>1284.1680964580355</v>
      </c>
      <c r="BX187" s="7">
        <f>IFERROR(VLOOKUP(Tabla145[[#This Row],[Llave]],'[21]RV n+2 y n+3'!$B:$F,5,FALSE),0)</f>
        <v>10000</v>
      </c>
      <c r="BY187" s="7">
        <f>+Tabla145[[#This Row],[Asignación mes n+3]]*Tabla145[[#This Row],[% Uti. producción]]</f>
        <v>8715.8319035419645</v>
      </c>
      <c r="BZ187" s="3">
        <f>+Tabla145[[#This Row],[Ponderación mes n+3]]+Tabla145[[#This Row],[Saldo mes n+2]]</f>
        <v>10000</v>
      </c>
      <c r="CA187" s="3">
        <f>+Tabla145[[#This Row],[Asignación mes n+3]]-Tabla145[[#This Row],[Ponderación mes n+3]]</f>
        <v>1284.1680964580355</v>
      </c>
      <c r="CB187" s="3">
        <f>+Tabla145[[#This Row],[Producción disponible mes n-1]]+Tabla145[[#This Row],[Producción disponible]]</f>
        <v>0</v>
      </c>
      <c r="CC187" s="3">
        <f>+Tabla145[[#This Row],[Saldo mes n+4]]-Tabla145[[#This Row],[ RV Producción mes n+1]]</f>
        <v>0</v>
      </c>
    </row>
    <row r="188" spans="1:81" ht="16" x14ac:dyDescent="0.2">
      <c r="A188">
        <v>1</v>
      </c>
      <c r="B188" t="str">
        <f>Tabla145[[#This Row],[Oficina]]&amp;Tabla145[[#This Row],[Material]]</f>
        <v>Exportacion Directa1022919</v>
      </c>
      <c r="C188" t="s">
        <v>6</v>
      </c>
      <c r="D188" t="s">
        <v>88</v>
      </c>
      <c r="E188">
        <v>1022919</v>
      </c>
      <c r="F188" t="s">
        <v>109</v>
      </c>
      <c r="G188" t="s">
        <v>50</v>
      </c>
      <c r="H188" t="s">
        <v>103</v>
      </c>
      <c r="I188" s="7">
        <f>IFERROR(VLOOKUP(Tabla145[[#This Row],[Llave]],'[7]RV Producción'!$C:$G,5,FALSE),0)</f>
        <v>8057</v>
      </c>
      <c r="J188" s="3">
        <f>IFERROR(IF(Tabla145[[#This Row],[Oficina]]=$I$7,VLOOKUP(Tabla145[[#This Row],[Llave]],'[7]Shangai (Tomas)'!$A:$F,6,FALSE),VLOOKUP(Tabla145[[#This Row],[Llave]],'[7]RV plan de ventas'!$A:$E,5,FALSE)),0)</f>
        <v>0</v>
      </c>
      <c r="K188" s="8">
        <f>IFERROR(VLOOKUP(Tabla145[[#This Row],[Oficina]],[15]Ponderación!$B$2:$E$9,4,FALSE),0)</f>
        <v>0.87158319035419651</v>
      </c>
      <c r="L188" s="7">
        <f>+Tabla145[[#This Row],[ RV Producción mes n+1]]*Tabla145[[#This Row],[% Uti. producción]]</f>
        <v>7022.3457646837614</v>
      </c>
      <c r="M188" s="7">
        <f>IFERROR(VLOOKUP(Tabla145[[#This Row],[Material]],[16]Stock!$G:$K,5,FALSE),0)</f>
        <v>16232</v>
      </c>
      <c r="N188" s="7">
        <f>IFERROR(VLOOKUP(Tabla145[[#This Row],[Material]],[16]Produccion!$M:$N,2,FALSE),0)</f>
        <v>0</v>
      </c>
      <c r="O188" s="7">
        <f>IFERROR(VLOOKUP(Tabla145[[#This Row],[Llave]],'[16]TD Conf-AP'!$I:$M,4,FALSE),0)</f>
        <v>0</v>
      </c>
      <c r="P188" s="14">
        <f>SUM(Tabla145[[#This Row],[Producción disponible]],Tabla145[[#This Row],[Stock al día]],(Tabla145[[#This Row],[Por producir mes N]]*0.9))-Tabla145[[#This Row],[Producción por despachar mes N]]</f>
        <v>23254.345764683763</v>
      </c>
      <c r="Q188" s="7">
        <f>IFERROR(VLOOKUP(Tabla145[[#This Row],[Llave]],[17]DELAY!$A:$D,4,FALSE),0)</f>
        <v>24000</v>
      </c>
      <c r="R188" s="9">
        <v>12000</v>
      </c>
      <c r="S188" s="5">
        <f t="shared" si="7"/>
        <v>12000</v>
      </c>
      <c r="T188" s="76">
        <v>0</v>
      </c>
      <c r="U188" s="5">
        <f>+Tabla145[[#This Row],[Atraso a facturar]]+Tabla145[[#This Row],[Ajuste atraso]]</f>
        <v>12000</v>
      </c>
      <c r="V188" s="3">
        <f>+Tabla145[[#This Row],[Total disponible]]-Tabla145[[#This Row],[Facturación atraso]]</f>
        <v>11254.345764683763</v>
      </c>
      <c r="W188" s="6">
        <f>IFERROR(IF(AND(V188&gt;R188,J188&gt;=R188),ROUNDDOWN((Tabla145[[#This Row],[Producción para venta nueva]])/R188,0)*R188,0),0)</f>
        <v>0</v>
      </c>
      <c r="X188" s="76">
        <v>0</v>
      </c>
      <c r="Y188" s="6">
        <f>IF(Tabla145[[#This Row],[Venta del mes]]&gt;0,Tabla145[[#This Row],[Venta del mes]]+Tabla145[[#This Row],[Ajuste venta nueva]],0)</f>
        <v>0</v>
      </c>
      <c r="Z188" s="6">
        <f>+Tabla145[[#This Row],[Producción para venta nueva]]-Tabla145[[#This Row],[Facturación Venta nueva]]</f>
        <v>11254.345764683763</v>
      </c>
      <c r="AA188" s="6">
        <f>IF(AND(A188=1,Tabla145[[#This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8" s="6">
        <v>0</v>
      </c>
      <c r="AC188" s="6">
        <f>IF(Tabla145[[#This Row],[Disponible stock sin venta]]&gt;0,Tabla145[[#This Row],[Disponible stock sin venta]]+Tabla145[[#This Row],[Ajuste stock sin venta]],0)</f>
        <v>0</v>
      </c>
      <c r="AD188" s="3">
        <f>IFERROR(VLOOKUP(Tabla145[[#This Row],[Llave]],'[16]TD Puerto'!$A:$D,4,FALSE),0)</f>
        <v>0</v>
      </c>
      <c r="AE188" s="3">
        <v>0</v>
      </c>
      <c r="AF188" s="3">
        <f>+Tabla145[[#This Row],[Plan Irrestricto Inicial]]</f>
        <v>0</v>
      </c>
      <c r="AG188" s="3">
        <f>+Tabla145[[#This Row],[En puerto a facturar]]</f>
        <v>0</v>
      </c>
      <c r="AH188" s="3">
        <f>+Tabla145[[#This Row],[Facturación atraso]]</f>
        <v>12000</v>
      </c>
      <c r="AI188" s="3">
        <f>+Tabla145[[#This Row],[Plan Irrestricto]]-Tabla145[[#This Row],[Puerto ]]-Tabla145[[#This Row],[Atraso]]</f>
        <v>-12000</v>
      </c>
      <c r="AJ18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88" s="3">
        <f>+Tabla145[[#This Row],[Facturación atraso]]</f>
        <v>12000</v>
      </c>
      <c r="AL188" s="3">
        <f>+Tabla145[[#This Row],[Plan Ajustado]]-Tabla145[[#This Row],[ Atraso ajustado]]-Tabla145[[#This Row],[Puerto ]]</f>
        <v>-12000</v>
      </c>
      <c r="AM188" s="6">
        <f>IFERROR(VLOOKUP(Tabla145[[#This Row],[Llave]],[18]!Tabla14[#All],34,FALSE),0)</f>
        <v>0</v>
      </c>
      <c r="AN188" s="6">
        <f>IFERROR(VLOOKUP(Tabla145[[#This Row],[Llave]],[18]!Tabla14[#All],35,FALSE),0)</f>
        <v>0</v>
      </c>
      <c r="AO188" s="3" t="str">
        <f>IF(Tabla145[[#This Row],[Plan Ajustado]]&gt;Tabla145[[#This Row],[En puerto a facturar]],"Si","No")</f>
        <v>No</v>
      </c>
      <c r="AP18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88" s="3">
        <f>IF(Tabla145[[#This Row],[Necesidad]]&gt;=Tabla145[[#This Row],[Stock al día]],Tabla145[[#This Row],[Stock al día]],Tabla145[[#This Row],[Necesidad]])</f>
        <v>0</v>
      </c>
      <c r="AR188" s="3">
        <f>+Tabla145[[#This Row],[Necesidad]]-Tabla145[[#This Row],[Stock Plan]]</f>
        <v>0</v>
      </c>
      <c r="AS188" s="155">
        <f>IFERROR(VLOOKUP(Tabla145[[#This Row],[Oficina]],[19]Ponderación!$B$14:$E$21,4,FALSE),"")</f>
        <v>44800</v>
      </c>
      <c r="AT18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3.6177795658399878</v>
      </c>
      <c r="AU188" s="83">
        <f>IFERROR(VLOOKUP(Tabla145[[#This Row],[Llave]],[17]DELAY!$H:$W,16,FALSE),0)</f>
        <v>4.0470470583333302</v>
      </c>
      <c r="AV18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88" s="5">
        <f>Tabla145[[#This Row],[Ajuste precio IC]]*Tabla145[[#This Row],[Plan Ajustado]]</f>
        <v>0</v>
      </c>
      <c r="AX188" s="30">
        <f>IFERROR(VLOOKUP(Tabla145[[#This Row],[Llave]],'[13]Ultimos precios facturados'!$A:$G,7,FALSE),0)</f>
        <v>3.6177795658399878</v>
      </c>
      <c r="AY18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88" s="30">
        <f>IFERROR(VLOOKUP(Tabla145[[#This Row],[Llave]],Hoja2!B:K,10,FALSE),0)</f>
        <v>4.0470470583333302</v>
      </c>
      <c r="BA188" s="30">
        <f>IF(Tabla145[[#This Row],[Ajuste precio IC]]="",Tabla145[[#This Row],[Precio ponderado]],Tabla145[[#This Row],[Precio ponderado]])</f>
        <v>0</v>
      </c>
      <c r="BB188" s="82"/>
      <c r="BC188" s="82" t="str">
        <f>IF(AND(Tabla145[[#This Row],[Atraso a facturar]]&gt;0,Tabla145[[#This Row],[Precio Atraso]]=0),"Revisar","OK")</f>
        <v>OK</v>
      </c>
      <c r="BD188" s="82" t="str">
        <f>IF(AND(Tabla145[[#This Row],[Venta del mes]]&gt;0,Tabla145[[#This Row],[Precio venta nueva]]=0),"Revisar","OK")</f>
        <v>OK</v>
      </c>
      <c r="BE188" s="20">
        <f>IFERROR(VLOOKUP(Tabla145[[#This Row],[Llave]],'[5]Consolidación planes'!$A:$M,9,FALSE),0)</f>
        <v>15000</v>
      </c>
      <c r="BF188" s="20">
        <f>IFERROR(VLOOKUP(Tabla145[[#This Row],[Llave]],'[5]Consolidación planes'!$A:$M,10,FALSE),0)</f>
        <v>48000</v>
      </c>
      <c r="BG188" s="20">
        <f>IFERROR(VLOOKUP(Tabla145[[#This Row],[Llave]],'[5]Consolidación planes'!$A:$M,11,FALSE),0)</f>
        <v>5000</v>
      </c>
      <c r="BH188" s="20">
        <f>IFERROR(VLOOKUP(Tabla145[[#This Row],[Llave]],'[5]Consolidación planes'!$A:$M,12,FALSE),0)</f>
        <v>24000</v>
      </c>
      <c r="BI188" s="20">
        <f>IFERROR(VLOOKUP(Tabla145[[#This Row],[Llave]],'[5]Consolidación planes'!$A:$M,13,FALSE),0)</f>
        <v>23000</v>
      </c>
      <c r="BJ188" s="20">
        <f>IFERROR(VLOOKUP(Tabla145[[#This Row],[Llave]],'[13]Base ultimos planes'!$A:$M,13,FALSE),0)</f>
        <v>12000</v>
      </c>
      <c r="BK188" s="80">
        <f>IFERROR(VLOOKUP(Tabla145[[#This Row],[Llave]],'[13]Base ultimos planes'!$O:$AA,8,FALSE),0)</f>
        <v>61076.933900000004</v>
      </c>
      <c r="BL188" s="20">
        <f>IFERROR(VLOOKUP(Tabla145[[#This Row],[Llave]],'[13]Base ultimos planes'!$O:$AA,9,FALSE),0)</f>
        <v>200184</v>
      </c>
      <c r="BM188" s="20">
        <f>IFERROR(VLOOKUP(Tabla145[[#This Row],[Llave]],'[13]Base ultimos planes'!$O:$AA,10,FALSE),0)</f>
        <v>20962</v>
      </c>
      <c r="BN188" s="20">
        <f>IFERROR(VLOOKUP(Tabla145[[#This Row],[Llave]],'[13]Base ultimos planes'!$O:$AA,11,FALSE),0)</f>
        <v>92261</v>
      </c>
      <c r="BO188" s="20">
        <f>IFERROR(VLOOKUP(Tabla145[[#This Row],[Llave]],'[13]Base ultimos planes'!$O:$AA,12,FALSE),0)</f>
        <v>84285</v>
      </c>
      <c r="BP188" s="20">
        <f>IFERROR(VLOOKUP(Tabla145[[#This Row],[Llave]],'[13]Base ultimos planes'!$O:$AA,13,FALSE),0)</f>
        <v>42413</v>
      </c>
      <c r="BQ188" s="20"/>
      <c r="BR188" s="20">
        <f>Tabla145[[#This Row],[ RV Producción mes n+1]]*(1-Tabla145[[#This Row],[% Uti. producción]])</f>
        <v>1034.6542353162388</v>
      </c>
      <c r="BS188" s="20">
        <f>+Tabla145[[#This Row],[Producción disponible mes n-1]]+Tabla145[[#This Row],[Saldo Volumen disponible]]</f>
        <v>12289.000000000002</v>
      </c>
      <c r="BT188" s="7">
        <f>IFERROR(VLOOKUP(Tabla145[[#This Row],[Llave]],'[21]RV n+2 y n+3'!$B:$F,4,FALSE),0)</f>
        <v>24000</v>
      </c>
      <c r="BU188" s="7">
        <f>+Tabla145[[#This Row],[Asignación mes n+2]]*Tabla145[[#This Row],[% Uti. producción]]</f>
        <v>20917.996568500716</v>
      </c>
      <c r="BV188" s="7">
        <f>+Tabla145[[#This Row],[Ponderación mes n+2]]+Tabla145[[#This Row],[Saldo mes n-1]]</f>
        <v>33206.996568500719</v>
      </c>
      <c r="BW188" s="7">
        <f>+Tabla145[[#This Row],[Asignación mes n+2]]-Tabla145[[#This Row],[Ponderación mes n+2]]</f>
        <v>3082.0034314992845</v>
      </c>
      <c r="BX188" s="7">
        <f>IFERROR(VLOOKUP(Tabla145[[#This Row],[Llave]],'[21]RV n+2 y n+3'!$B:$F,5,FALSE),0)</f>
        <v>24000</v>
      </c>
      <c r="BY188" s="7">
        <f>+Tabla145[[#This Row],[Asignación mes n+3]]*Tabla145[[#This Row],[% Uti. producción]]</f>
        <v>20917.996568500716</v>
      </c>
      <c r="BZ188" s="3">
        <f>+Tabla145[[#This Row],[Ponderación mes n+3]]+Tabla145[[#This Row],[Saldo mes n+2]]</f>
        <v>24000</v>
      </c>
      <c r="CA188" s="3">
        <f>+Tabla145[[#This Row],[Asignación mes n+3]]-Tabla145[[#This Row],[Ponderación mes n+3]]</f>
        <v>3082.0034314992845</v>
      </c>
      <c r="CB188" s="3">
        <f>+Tabla145[[#This Row],[Producción disponible mes n-1]]+Tabla145[[#This Row],[Producción disponible]]</f>
        <v>8057</v>
      </c>
      <c r="CC188" s="3">
        <f>+Tabla145[[#This Row],[Saldo mes n+4]]-Tabla145[[#This Row],[ RV Producción mes n+1]]</f>
        <v>0</v>
      </c>
    </row>
    <row r="189" spans="1:81" ht="16" x14ac:dyDescent="0.2">
      <c r="A189">
        <v>1</v>
      </c>
      <c r="B189" t="str">
        <f>Tabla145[[#This Row],[Oficina]]&amp;Tabla145[[#This Row],[Material]]</f>
        <v>Exportacion Directa1022931</v>
      </c>
      <c r="C189" t="s">
        <v>6</v>
      </c>
      <c r="D189" t="s">
        <v>88</v>
      </c>
      <c r="E189">
        <v>1022931</v>
      </c>
      <c r="F189" t="s">
        <v>91</v>
      </c>
      <c r="G189" t="s">
        <v>37</v>
      </c>
      <c r="H189" t="s">
        <v>38</v>
      </c>
      <c r="I189" s="7">
        <f>IFERROR(VLOOKUP(Tabla145[[#This Row],[Llave]],'[7]RV Producción'!$C:$G,5,FALSE),0)</f>
        <v>33920</v>
      </c>
      <c r="J189" s="3">
        <f>IFERROR(IF(Tabla145[[#This Row],[Oficina]]=$I$7,VLOOKUP(Tabla145[[#This Row],[Llave]],'[7]Shangai (Tomas)'!$A:$F,6,FALSE),VLOOKUP(Tabla145[[#This Row],[Llave]],'[7]RV plan de ventas'!$A:$E,5,FALSE)),0)</f>
        <v>20000</v>
      </c>
      <c r="K189" s="8">
        <f>IFERROR(VLOOKUP(Tabla145[[#This Row],[Oficina]],[15]Ponderación!$B$2:$E$9,4,FALSE),0)</f>
        <v>0.87158319035419651</v>
      </c>
      <c r="L189" s="7">
        <f>+Tabla145[[#This Row],[ RV Producción mes n+1]]*Tabla145[[#This Row],[% Uti. producción]]</f>
        <v>29564.101816814346</v>
      </c>
      <c r="M189" s="7">
        <f>IFERROR(VLOOKUP(Tabla145[[#This Row],[Material]],[16]Stock!$G:$K,5,FALSE),0)</f>
        <v>8194</v>
      </c>
      <c r="N189" s="7">
        <f>IFERROR(VLOOKUP(Tabla145[[#This Row],[Material]],[16]Produccion!$M:$N,2,FALSE),0)</f>
        <v>6029.5318717303862</v>
      </c>
      <c r="O189" s="7">
        <f>IFERROR(VLOOKUP(Tabla145[[#This Row],[Llave]],'[16]TD Conf-AP'!$I:$M,4,FALSE),0)</f>
        <v>4000</v>
      </c>
      <c r="P189" s="14">
        <f>SUM(Tabla145[[#This Row],[Producción disponible]],Tabla145[[#This Row],[Stock al día]],(Tabla145[[#This Row],[Por producir mes N]]*0.9))-Tabla145[[#This Row],[Producción por despachar mes N]]</f>
        <v>39184.680501371695</v>
      </c>
      <c r="Q189" s="7">
        <f>IFERROR(VLOOKUP(Tabla145[[#This Row],[Llave]],[17]DELAY!$A:$D,4,FALSE),0)</f>
        <v>28000</v>
      </c>
      <c r="R189" s="9">
        <v>3000</v>
      </c>
      <c r="S189" s="5">
        <f t="shared" si="7"/>
        <v>28000</v>
      </c>
      <c r="T189" s="76">
        <v>-11000</v>
      </c>
      <c r="U189" s="5">
        <f>+Tabla145[[#This Row],[Atraso a facturar]]+Tabla145[[#This Row],[Ajuste atraso]]</f>
        <v>17000</v>
      </c>
      <c r="V189" s="3">
        <f>+Tabla145[[#This Row],[Total disponible]]-Tabla145[[#This Row],[Facturación atraso]]</f>
        <v>22184.680501371695</v>
      </c>
      <c r="W189" s="6">
        <f>IFERROR(IF(AND(V189&gt;R189,J189&gt;=R189),ROUNDDOWN((Tabla145[[#This Row],[Producción para venta nueva]])/R189,0)*R189,0),0)</f>
        <v>21000</v>
      </c>
      <c r="X189" s="76">
        <v>-10000</v>
      </c>
      <c r="Y189" s="6">
        <f>IF(Tabla145[[#This Row],[Venta del mes]]&gt;0,Tabla145[[#This Row],[Venta del mes]]+Tabla145[[#This Row],[Ajuste venta nueva]],0)</f>
        <v>11000</v>
      </c>
      <c r="Z189" s="6">
        <f>+Tabla145[[#This Row],[Producción para venta nueva]]-Tabla145[[#This Row],[Facturación Venta nueva]]</f>
        <v>11184.680501371695</v>
      </c>
      <c r="AA189" s="6">
        <f>IF(AND(A189=1,Tabla145[[#This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89" s="6">
        <v>0</v>
      </c>
      <c r="AC189" s="6">
        <f>IF(Tabla145[[#This Row],[Disponible stock sin venta]]&gt;0,Tabla145[[#This Row],[Disponible stock sin venta]]+Tabla145[[#This Row],[Ajuste stock sin venta]],0)</f>
        <v>0</v>
      </c>
      <c r="AD189" s="3">
        <f>IFERROR(VLOOKUP(Tabla145[[#This Row],[Llave]],'[16]TD Puerto'!$A:$D,4,FALSE),0)</f>
        <v>0</v>
      </c>
      <c r="AE189" s="3">
        <v>70000</v>
      </c>
      <c r="AF189" s="3">
        <f>+Tabla145[[#This Row],[Plan Irrestricto Inicial]]</f>
        <v>70000</v>
      </c>
      <c r="AG189" s="3">
        <f>+Tabla145[[#This Row],[En puerto a facturar]]</f>
        <v>0</v>
      </c>
      <c r="AH189" s="3">
        <f>+Tabla145[[#This Row],[Facturación atraso]]</f>
        <v>17000</v>
      </c>
      <c r="AI189" s="3">
        <f>+Tabla145[[#This Row],[Plan Irrestricto]]-Tabla145[[#This Row],[Puerto ]]-Tabla145[[#This Row],[Atraso]]</f>
        <v>53000</v>
      </c>
      <c r="AJ189" s="3">
        <f>IF(Tabla145[[#This Row],[Plan Irrestricto]]&gt;0,SUM(Tabla145[[#This Row],[Facturación atraso]],Tabla145[[#This Row],[Facturación Venta nueva]],Tabla145[[#This Row],[Facturación stock]],Tabla145[[#This Row],[En puerto a facturar]]),0)</f>
        <v>28000</v>
      </c>
      <c r="AK189" s="3">
        <f>+Tabla145[[#This Row],[Facturación atraso]]</f>
        <v>17000</v>
      </c>
      <c r="AL189" s="3">
        <f>+Tabla145[[#This Row],[Plan Ajustado]]-Tabla145[[#This Row],[ Atraso ajustado]]-Tabla145[[#This Row],[Puerto ]]</f>
        <v>11000</v>
      </c>
      <c r="AM189" s="6">
        <f>IFERROR(VLOOKUP(Tabla145[[#This Row],[Llave]],[18]!Tabla14[#All],34,FALSE),0)</f>
        <v>0</v>
      </c>
      <c r="AN189" s="6">
        <f>IFERROR(VLOOKUP(Tabla145[[#This Row],[Llave]],[18]!Tabla14[#All],35,FALSE),0)</f>
        <v>0</v>
      </c>
      <c r="AO189" s="3" t="str">
        <f>IF(Tabla145[[#This Row],[Plan Ajustado]]&gt;Tabla145[[#This Row],[En puerto a facturar]],"Si","No")</f>
        <v>Si</v>
      </c>
      <c r="AP189" s="3">
        <f>IF(AND(Tabla145[[#This Row],[Plan Ajustado]]&gt;0,Tabla145[[#This Row],[Plan Ajustado]]&gt;Tabla145[[#This Row],[En puerto a facturar]]),(Tabla145[[#This Row],[Plan Ajustado]]-Tabla145[[#This Row],[En puerto a facturar]]),0)</f>
        <v>28000</v>
      </c>
      <c r="AQ189" s="3">
        <f>IF(Tabla145[[#This Row],[Necesidad]]&gt;=Tabla145[[#This Row],[Stock al día]],Tabla145[[#This Row],[Stock al día]],Tabla145[[#This Row],[Necesidad]])</f>
        <v>8194</v>
      </c>
      <c r="AR189" s="3">
        <f>+Tabla145[[#This Row],[Necesidad]]-Tabla145[[#This Row],[Stock Plan]]</f>
        <v>19806</v>
      </c>
      <c r="AS189" s="155">
        <f>IFERROR(VLOOKUP(Tabla145[[#This Row],[Oficina]],[19]Ponderación!$B$14:$E$21,4,FALSE),"")</f>
        <v>44800</v>
      </c>
      <c r="AT18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4.1040000000000001</v>
      </c>
      <c r="AU189" s="83">
        <f>IFERROR(VLOOKUP(Tabla145[[#This Row],[Llave]],[17]DELAY!$H:$W,16,FALSE),0)</f>
        <v>4.3744137811224491</v>
      </c>
      <c r="AV18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4.2681797956814869</v>
      </c>
      <c r="AW189" s="5">
        <f>Tabla145[[#This Row],[Ajuste precio IC]]*Tabla145[[#This Row],[Plan Ajustado]]</f>
        <v>119509.03427908164</v>
      </c>
      <c r="AX189" s="30">
        <f>IFERROR(VLOOKUP(Tabla145[[#This Row],[Llave]],'[13]Ultimos precios facturados'!$A:$G,7,FALSE),0)</f>
        <v>4.1706834574325811</v>
      </c>
      <c r="AY18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2.337658545511466E-2</v>
      </c>
      <c r="AZ189" s="30">
        <f>IFERROR(VLOOKUP(Tabla145[[#This Row],[Llave]],Hoja2!B:K,10,FALSE),0)</f>
        <v>4.2681797956814869</v>
      </c>
      <c r="BA189" s="30">
        <f>IF(Tabla145[[#This Row],[Ajuste precio IC]]="",Tabla145[[#This Row],[Precio ponderado]],Tabla145[[#This Row],[Precio ponderado]])</f>
        <v>4.2681797956814869</v>
      </c>
      <c r="BB189" s="82"/>
      <c r="BC189" s="82" t="str">
        <f>IF(AND(Tabla145[[#This Row],[Atraso a facturar]]&gt;0,Tabla145[[#This Row],[Precio Atraso]]=0),"Revisar","OK")</f>
        <v>OK</v>
      </c>
      <c r="BD189" s="82" t="str">
        <f>IF(AND(Tabla145[[#This Row],[Venta del mes]]&gt;0,Tabla145[[#This Row],[Precio venta nueva]]=0),"Revisar","OK")</f>
        <v>OK</v>
      </c>
      <c r="BE189" s="20">
        <f>IFERROR(VLOOKUP(Tabla145[[#This Row],[Llave]],'[5]Consolidación planes'!$A:$M,9,FALSE),0)</f>
        <v>0</v>
      </c>
      <c r="BF189" s="20">
        <f>IFERROR(VLOOKUP(Tabla145[[#This Row],[Llave]],'[5]Consolidación planes'!$A:$M,10,FALSE),0)</f>
        <v>0</v>
      </c>
      <c r="BG189" s="20">
        <f>IFERROR(VLOOKUP(Tabla145[[#This Row],[Llave]],'[5]Consolidación planes'!$A:$M,11,FALSE),0)</f>
        <v>0</v>
      </c>
      <c r="BH189" s="20">
        <f>IFERROR(VLOOKUP(Tabla145[[#This Row],[Llave]],'[5]Consolidación planes'!$A:$M,12,FALSE),0)</f>
        <v>20000</v>
      </c>
      <c r="BI189" s="20">
        <f>IFERROR(VLOOKUP(Tabla145[[#This Row],[Llave]],'[5]Consolidación planes'!$A:$M,13,FALSE),0)</f>
        <v>20182</v>
      </c>
      <c r="BJ189" s="20">
        <f>IFERROR(VLOOKUP(Tabla145[[#This Row],[Llave]],'[13]Base ultimos planes'!$A:$M,13,FALSE),0)</f>
        <v>24000</v>
      </c>
      <c r="BK189" s="80">
        <f>IFERROR(VLOOKUP(Tabla145[[#This Row],[Llave]],'[13]Base ultimos planes'!$O:$AA,8,FALSE),0)</f>
        <v>0</v>
      </c>
      <c r="BL189" s="20">
        <f>IFERROR(VLOOKUP(Tabla145[[#This Row],[Llave]],'[13]Base ultimos planes'!$O:$AA,9,FALSE),0)</f>
        <v>0</v>
      </c>
      <c r="BM189" s="20">
        <f>IFERROR(VLOOKUP(Tabla145[[#This Row],[Llave]],'[13]Base ultimos planes'!$O:$AA,10,FALSE),0)</f>
        <v>0</v>
      </c>
      <c r="BN189" s="20">
        <f>IFERROR(VLOOKUP(Tabla145[[#This Row],[Llave]],'[13]Base ultimos planes'!$O:$AA,11,FALSE),0)</f>
        <v>45277</v>
      </c>
      <c r="BO189" s="20">
        <f>IFERROR(VLOOKUP(Tabla145[[#This Row],[Llave]],'[13]Base ultimos planes'!$O:$AA,12,FALSE),0)</f>
        <v>89258</v>
      </c>
      <c r="BP189" s="20">
        <f>IFERROR(VLOOKUP(Tabla145[[#This Row],[Llave]],'[13]Base ultimos planes'!$O:$AA,13,FALSE),0)</f>
        <v>101421</v>
      </c>
      <c r="BQ189" s="20"/>
      <c r="BR189" s="20">
        <f>Tabla145[[#This Row],[ RV Producción mes n+1]]*(1-Tabla145[[#This Row],[% Uti. producción]])</f>
        <v>4355.8981831856545</v>
      </c>
      <c r="BS189" s="20">
        <f>+Tabla145[[#This Row],[Producción disponible mes n-1]]+Tabla145[[#This Row],[Saldo Volumen disponible]]</f>
        <v>15540.578684557349</v>
      </c>
      <c r="BT189" s="7">
        <f>IFERROR(VLOOKUP(Tabla145[[#This Row],[Llave]],'[21]RV n+2 y n+3'!$B:$F,4,FALSE),0)</f>
        <v>20000</v>
      </c>
      <c r="BU189" s="7">
        <f>+Tabla145[[#This Row],[Asignación mes n+2]]*Tabla145[[#This Row],[% Uti. producción]]</f>
        <v>17431.663807083929</v>
      </c>
      <c r="BV189" s="7">
        <f>+Tabla145[[#This Row],[Ponderación mes n+2]]+Tabla145[[#This Row],[Saldo mes n-1]]</f>
        <v>32972.242491641278</v>
      </c>
      <c r="BW189" s="7">
        <f>+Tabla145[[#This Row],[Asignación mes n+2]]-Tabla145[[#This Row],[Ponderación mes n+2]]</f>
        <v>2568.336192916071</v>
      </c>
      <c r="BX189" s="7">
        <f>IFERROR(VLOOKUP(Tabla145[[#This Row],[Llave]],'[21]RV n+2 y n+3'!$B:$F,5,FALSE),0)</f>
        <v>25000</v>
      </c>
      <c r="BY189" s="7">
        <f>+Tabla145[[#This Row],[Asignación mes n+3]]*Tabla145[[#This Row],[% Uti. producción]]</f>
        <v>21789.579758854914</v>
      </c>
      <c r="BZ189" s="3">
        <f>+Tabla145[[#This Row],[Ponderación mes n+3]]+Tabla145[[#This Row],[Saldo mes n+2]]</f>
        <v>24357.915951770985</v>
      </c>
      <c r="CA189" s="3">
        <f>+Tabla145[[#This Row],[Asignación mes n+3]]-Tabla145[[#This Row],[Ponderación mes n+3]]</f>
        <v>3210.420241145086</v>
      </c>
      <c r="CB189" s="3">
        <f>+Tabla145[[#This Row],[Producción disponible mes n-1]]+Tabla145[[#This Row],[Producción disponible]]</f>
        <v>33920</v>
      </c>
      <c r="CC189" s="3">
        <f>+Tabla145[[#This Row],[Saldo mes n+4]]-Tabla145[[#This Row],[ RV Producción mes n+1]]</f>
        <v>0</v>
      </c>
    </row>
    <row r="190" spans="1:81" ht="16" x14ac:dyDescent="0.2">
      <c r="A190">
        <v>1</v>
      </c>
      <c r="B190" t="str">
        <f>Tabla145[[#This Row],[Oficina]]&amp;Tabla145[[#This Row],[Material]]</f>
        <v>Exportacion Directa1022987</v>
      </c>
      <c r="C190" t="s">
        <v>6</v>
      </c>
      <c r="D190" t="s">
        <v>88</v>
      </c>
      <c r="E190">
        <v>1022987</v>
      </c>
      <c r="F190" t="s">
        <v>295</v>
      </c>
      <c r="G190" t="s">
        <v>67</v>
      </c>
      <c r="H190" t="s">
        <v>68</v>
      </c>
      <c r="I190" s="7">
        <f>IFERROR(VLOOKUP(Tabla145[[#This Row],[Llave]],'[7]RV Producción'!$C:$G,5,FALSE),0)</f>
        <v>41771</v>
      </c>
      <c r="J190" s="3">
        <f>IFERROR(IF(Tabla145[[#This Row],[Oficina]]=$I$7,VLOOKUP(Tabla145[[#This Row],[Llave]],'[7]Shangai (Tomas)'!$A:$F,6,FALSE),VLOOKUP(Tabla145[[#This Row],[Llave]],'[7]RV plan de ventas'!$A:$E,5,FALSE)),0)</f>
        <v>24000</v>
      </c>
      <c r="K190" s="8">
        <f>IFERROR(VLOOKUP(Tabla145[[#This Row],[Oficina]],[15]Ponderación!$B$2:$E$9,4,FALSE),0)</f>
        <v>0.87158319035419651</v>
      </c>
      <c r="L190" s="7">
        <f>+Tabla145[[#This Row],[ RV Producción mes n+1]]*Tabla145[[#This Row],[% Uti. producción]]</f>
        <v>36406.90144428514</v>
      </c>
      <c r="M190" s="7">
        <f>IFERROR(VLOOKUP(Tabla145[[#This Row],[Material]],[16]Stock!$G:$K,5,FALSE),0)</f>
        <v>12260</v>
      </c>
      <c r="N190" s="7">
        <f>IFERROR(VLOOKUP(Tabla145[[#This Row],[Material]],[16]Produccion!$M:$N,2,FALSE),0)</f>
        <v>13358</v>
      </c>
      <c r="O190" s="7">
        <f>IFERROR(VLOOKUP(Tabla145[[#This Row],[Llave]],'[16]TD Conf-AP'!$I:$M,4,FALSE),0)</f>
        <v>0</v>
      </c>
      <c r="P190" s="14">
        <f>SUM(Tabla145[[#This Row],[Producción disponible]],Tabla145[[#This Row],[Stock al día]],(Tabla145[[#This Row],[Por producir mes N]]*0.9))-Tabla145[[#This Row],[Producción por despachar mes N]]</f>
        <v>60689.101444285145</v>
      </c>
      <c r="Q190" s="7">
        <f>IFERROR(VLOOKUP(Tabla145[[#This Row],[Llave]],[17]DELAY!$A:$D,4,FALSE),0)</f>
        <v>48000</v>
      </c>
      <c r="R190" s="9">
        <v>24000</v>
      </c>
      <c r="S190" s="5">
        <f t="shared" si="7"/>
        <v>48000</v>
      </c>
      <c r="T190" s="76">
        <v>0</v>
      </c>
      <c r="U190" s="5">
        <f>+Tabla145[[#This Row],[Atraso a facturar]]+Tabla145[[#This Row],[Ajuste atraso]]</f>
        <v>48000</v>
      </c>
      <c r="V190" s="3">
        <f>+Tabla145[[#This Row],[Total disponible]]-Tabla145[[#This Row],[Facturación atraso]]</f>
        <v>12689.101444285145</v>
      </c>
      <c r="W190" s="6">
        <f>IFERROR(IF(AND(V190&gt;R190,J190&gt;=R190),ROUNDDOWN((Tabla145[[#This Row],[Producción para venta nueva]])/R190,0)*R190,0),0)</f>
        <v>0</v>
      </c>
      <c r="X190" s="76">
        <v>0</v>
      </c>
      <c r="Y190" s="6">
        <f>IF(Tabla145[[#This Row],[Venta del mes]]&gt;0,Tabla145[[#This Row],[Venta del mes]]+Tabla145[[#This Row],[Ajuste venta nueva]],0)</f>
        <v>0</v>
      </c>
      <c r="Z190" s="6">
        <f>+Tabla145[[#This Row],[Producción para venta nueva]]-Tabla145[[#This Row],[Facturación Venta nueva]]</f>
        <v>12689.101444285145</v>
      </c>
      <c r="AA190" s="6">
        <f>IF(AND(A190=1,Tabla145[[#This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0" s="6">
        <v>0</v>
      </c>
      <c r="AC190" s="6">
        <f>IF(Tabla145[[#This Row],[Disponible stock sin venta]]&gt;0,Tabla145[[#This Row],[Disponible stock sin venta]]+Tabla145[[#This Row],[Ajuste stock sin venta]],0)</f>
        <v>0</v>
      </c>
      <c r="AD190" s="3">
        <f>IFERROR(VLOOKUP(Tabla145[[#This Row],[Llave]],'[16]TD Puerto'!$A:$D,4,FALSE),0)</f>
        <v>0</v>
      </c>
      <c r="AE190" s="3">
        <v>48000</v>
      </c>
      <c r="AF190" s="3">
        <f>+Tabla145[[#This Row],[Plan Irrestricto Inicial]]</f>
        <v>48000</v>
      </c>
      <c r="AG190" s="3">
        <f>+Tabla145[[#This Row],[En puerto a facturar]]</f>
        <v>0</v>
      </c>
      <c r="AH190" s="3">
        <f>+Tabla145[[#This Row],[Facturación atraso]]</f>
        <v>48000</v>
      </c>
      <c r="AI190" s="3">
        <f>+Tabla145[[#This Row],[Plan Irrestricto]]-Tabla145[[#This Row],[Puerto ]]-Tabla145[[#This Row],[Atraso]]</f>
        <v>0</v>
      </c>
      <c r="AJ190" s="3">
        <f>IF(Tabla145[[#This Row],[Plan Irrestricto]]&gt;0,SUM(Tabla145[[#This Row],[Facturación atraso]],Tabla145[[#This Row],[Facturación Venta nueva]],Tabla145[[#This Row],[Facturación stock]],Tabla145[[#This Row],[En puerto a facturar]]),0)</f>
        <v>48000</v>
      </c>
      <c r="AK190" s="3">
        <f>+Tabla145[[#This Row],[Facturación atraso]]</f>
        <v>48000</v>
      </c>
      <c r="AL190" s="3">
        <f>+Tabla145[[#This Row],[Plan Ajustado]]-Tabla145[[#This Row],[ Atraso ajustado]]-Tabla145[[#This Row],[Puerto ]]</f>
        <v>0</v>
      </c>
      <c r="AM190" s="6">
        <f>IFERROR(VLOOKUP(Tabla145[[#This Row],[Llave]],[18]!Tabla14[#All],34,FALSE),0)</f>
        <v>0</v>
      </c>
      <c r="AN190" s="6">
        <f>IFERROR(VLOOKUP(Tabla145[[#This Row],[Llave]],[18]!Tabla14[#All],35,FALSE),0)</f>
        <v>0</v>
      </c>
      <c r="AO190" s="3" t="str">
        <f>IF(Tabla145[[#This Row],[Plan Ajustado]]&gt;Tabla145[[#This Row],[En puerto a facturar]],"Si","No")</f>
        <v>Si</v>
      </c>
      <c r="AP190" s="3">
        <f>IF(AND(Tabla145[[#This Row],[Plan Ajustado]]&gt;0,Tabla145[[#This Row],[Plan Ajustado]]&gt;Tabla145[[#This Row],[En puerto a facturar]]),(Tabla145[[#This Row],[Plan Ajustado]]-Tabla145[[#This Row],[En puerto a facturar]]),0)</f>
        <v>48000</v>
      </c>
      <c r="AQ190" s="3">
        <f>IF(Tabla145[[#This Row],[Necesidad]]&gt;=Tabla145[[#This Row],[Stock al día]],Tabla145[[#This Row],[Stock al día]],Tabla145[[#This Row],[Necesidad]])</f>
        <v>12260</v>
      </c>
      <c r="AR190" s="3">
        <f>+Tabla145[[#This Row],[Necesidad]]-Tabla145[[#This Row],[Stock Plan]]</f>
        <v>35740</v>
      </c>
      <c r="AS190" s="155">
        <f>IFERROR(VLOOKUP(Tabla145[[#This Row],[Oficina]],[19]Ponderación!$B$14:$E$21,4,FALSE),"")</f>
        <v>44800</v>
      </c>
      <c r="AT19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</v>
      </c>
      <c r="AU190" s="83">
        <f>IFERROR(VLOOKUP(Tabla145[[#This Row],[Llave]],[17]DELAY!$H:$W,16,FALSE),0)</f>
        <v>1.620076675</v>
      </c>
      <c r="AV19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1.620076675</v>
      </c>
      <c r="AW190" s="5">
        <f>Tabla145[[#This Row],[Ajuste precio IC]]*Tabla145[[#This Row],[Plan Ajustado]]</f>
        <v>77763.680399999997</v>
      </c>
      <c r="AX190" s="30">
        <f>IFERROR(VLOOKUP(Tabla145[[#This Row],[Llave]],'[13]Ultimos precios facturados'!$A:$G,7,FALSE),0)</f>
        <v>1.2680407029761904</v>
      </c>
      <c r="AY19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0.27762198105908875</v>
      </c>
      <c r="AZ190" s="30">
        <f>IFERROR(VLOOKUP(Tabla145[[#This Row],[Llave]],Hoja2!B:K,10,FALSE),0)</f>
        <v>1.620076675</v>
      </c>
      <c r="BA190" s="30">
        <f>IF(Tabla145[[#This Row],[Ajuste precio IC]]="",Tabla145[[#This Row],[Precio ponderado]],Tabla145[[#This Row],[Precio ponderado]])</f>
        <v>1.620076675</v>
      </c>
      <c r="BB190" s="82"/>
      <c r="BC190" s="82" t="str">
        <f>IF(AND(Tabla145[[#This Row],[Atraso a facturar]]&gt;0,Tabla145[[#This Row],[Precio Atraso]]=0),"Revisar","OK")</f>
        <v>OK</v>
      </c>
      <c r="BD190" s="82" t="str">
        <f>IF(AND(Tabla145[[#This Row],[Venta del mes]]&gt;0,Tabla145[[#This Row],[Precio venta nueva]]=0),"Revisar","OK")</f>
        <v>OK</v>
      </c>
      <c r="BE190" s="20">
        <f>IFERROR(VLOOKUP(Tabla145[[#This Row],[Llave]],'[5]Consolidación planes'!$A:$M,9,FALSE),0)</f>
        <v>0</v>
      </c>
      <c r="BF190" s="20">
        <f>IFERROR(VLOOKUP(Tabla145[[#This Row],[Llave]],'[5]Consolidación planes'!$A:$M,10,FALSE),0)</f>
        <v>30000</v>
      </c>
      <c r="BG190" s="20">
        <f>IFERROR(VLOOKUP(Tabla145[[#This Row],[Llave]],'[5]Consolidación planes'!$A:$M,11,FALSE),0)</f>
        <v>24000</v>
      </c>
      <c r="BH190" s="20">
        <f>IFERROR(VLOOKUP(Tabla145[[#This Row],[Llave]],'[5]Consolidación planes'!$A:$M,12,FALSE),0)</f>
        <v>48000</v>
      </c>
      <c r="BI190" s="20">
        <f>IFERROR(VLOOKUP(Tabla145[[#This Row],[Llave]],'[5]Consolidación planes'!$A:$M,13,FALSE),0)</f>
        <v>24000</v>
      </c>
      <c r="BJ190" s="20">
        <f>IFERROR(VLOOKUP(Tabla145[[#This Row],[Llave]],'[13]Base ultimos planes'!$A:$M,13,FALSE),0)</f>
        <v>24000</v>
      </c>
      <c r="BK190" s="80">
        <f>IFERROR(VLOOKUP(Tabla145[[#This Row],[Llave]],'[13]Base ultimos planes'!$O:$AA,8,FALSE),0)</f>
        <v>0</v>
      </c>
      <c r="BL190" s="20">
        <f>IFERROR(VLOOKUP(Tabla145[[#This Row],[Llave]],'[13]Base ultimos planes'!$O:$AA,9,FALSE),0)</f>
        <v>39945</v>
      </c>
      <c r="BM190" s="20">
        <f>IFERROR(VLOOKUP(Tabla145[[#This Row],[Llave]],'[13]Base ultimos planes'!$O:$AA,10,FALSE),0)</f>
        <v>32309</v>
      </c>
      <c r="BN190" s="20">
        <f>IFERROR(VLOOKUP(Tabla145[[#This Row],[Llave]],'[13]Base ultimos planes'!$O:$AA,11,FALSE),0)</f>
        <v>64234</v>
      </c>
      <c r="BO190" s="20">
        <f>IFERROR(VLOOKUP(Tabla145[[#This Row],[Llave]],'[13]Base ultimos planes'!$O:$AA,12,FALSE),0)</f>
        <v>31541</v>
      </c>
      <c r="BP190" s="20">
        <f>IFERROR(VLOOKUP(Tabla145[[#This Row],[Llave]],'[13]Base ultimos planes'!$O:$AA,13,FALSE),0)</f>
        <v>32086</v>
      </c>
      <c r="BQ190" s="20"/>
      <c r="BR190" s="20">
        <f>Tabla145[[#This Row],[ RV Producción mes n+1]]*(1-Tabla145[[#This Row],[% Uti. producción]])</f>
        <v>5364.0985557148579</v>
      </c>
      <c r="BS190" s="20">
        <f>+Tabla145[[#This Row],[Producción disponible mes n-1]]+Tabla145[[#This Row],[Saldo Volumen disponible]]</f>
        <v>18053.200000000004</v>
      </c>
      <c r="BT190" s="7">
        <f>IFERROR(VLOOKUP(Tabla145[[#This Row],[Llave]],'[21]RV n+2 y n+3'!$B:$F,4,FALSE),0)</f>
        <v>24000</v>
      </c>
      <c r="BU190" s="7">
        <f>+Tabla145[[#This Row],[Asignación mes n+2]]*Tabla145[[#This Row],[% Uti. producción]]</f>
        <v>20917.996568500716</v>
      </c>
      <c r="BV190" s="7">
        <f>+Tabla145[[#This Row],[Ponderación mes n+2]]+Tabla145[[#This Row],[Saldo mes n-1]]</f>
        <v>38971.196568500716</v>
      </c>
      <c r="BW190" s="7">
        <f>+Tabla145[[#This Row],[Asignación mes n+2]]-Tabla145[[#This Row],[Ponderación mes n+2]]</f>
        <v>3082.0034314992845</v>
      </c>
      <c r="BX190" s="7">
        <f>IFERROR(VLOOKUP(Tabla145[[#This Row],[Llave]],'[21]RV n+2 y n+3'!$B:$F,5,FALSE),0)</f>
        <v>48000</v>
      </c>
      <c r="BY190" s="7">
        <f>+Tabla145[[#This Row],[Asignación mes n+3]]*Tabla145[[#This Row],[% Uti. producción]]</f>
        <v>41835.993137001431</v>
      </c>
      <c r="BZ190" s="3">
        <f>+Tabla145[[#This Row],[Ponderación mes n+3]]+Tabla145[[#This Row],[Saldo mes n+2]]</f>
        <v>44917.996568500719</v>
      </c>
      <c r="CA190" s="3">
        <f>+Tabla145[[#This Row],[Asignación mes n+3]]-Tabla145[[#This Row],[Ponderación mes n+3]]</f>
        <v>6164.006862998569</v>
      </c>
      <c r="CB190" s="3">
        <f>+Tabla145[[#This Row],[Producción disponible mes n-1]]+Tabla145[[#This Row],[Producción disponible]]</f>
        <v>41771</v>
      </c>
      <c r="CC190" s="3">
        <f>+Tabla145[[#This Row],[Saldo mes n+4]]-Tabla145[[#This Row],[ RV Producción mes n+1]]</f>
        <v>0</v>
      </c>
    </row>
    <row r="191" spans="1:81" ht="16" x14ac:dyDescent="0.2">
      <c r="A191">
        <v>1</v>
      </c>
      <c r="B191" t="str">
        <f>Tabla145[[#This Row],[Oficina]]&amp;Tabla145[[#This Row],[Material]]</f>
        <v>Exportacion Directa1022990</v>
      </c>
      <c r="C191" t="s">
        <v>6</v>
      </c>
      <c r="D191" t="s">
        <v>88</v>
      </c>
      <c r="E191">
        <v>1022990</v>
      </c>
      <c r="F191" t="s">
        <v>127</v>
      </c>
      <c r="G191" t="s">
        <v>56</v>
      </c>
      <c r="H191" t="s">
        <v>57</v>
      </c>
      <c r="I191" s="7">
        <f>IFERROR(VLOOKUP(Tabla145[[#This Row],[Llave]],'[7]RV Producción'!$C:$G,5,FALSE),0)</f>
        <v>0</v>
      </c>
      <c r="J191" s="3">
        <f>IFERROR(IF(Tabla145[[#This Row],[Oficina]]=$I$7,VLOOKUP(Tabla145[[#This Row],[Llave]],'[7]Shangai (Tomas)'!$A:$F,6,FALSE),VLOOKUP(Tabla145[[#This Row],[Llave]],'[7]RV plan de ventas'!$A:$E,5,FALSE)),0)</f>
        <v>0</v>
      </c>
      <c r="K191" s="8">
        <f>IFERROR(VLOOKUP(Tabla145[[#This Row],[Oficina]],[15]Ponderación!$B$2:$E$9,4,FALSE),0)</f>
        <v>0.87158319035419651</v>
      </c>
      <c r="L191" s="7">
        <f>+Tabla145[[#This Row],[ RV Producción mes n+1]]*Tabla145[[#This Row],[% Uti. producción]]</f>
        <v>0</v>
      </c>
      <c r="M191" s="7">
        <f>IFERROR(VLOOKUP(Tabla145[[#This Row],[Material]],[16]Stock!$G:$K,5,FALSE),0)</f>
        <v>0</v>
      </c>
      <c r="N191" s="7">
        <f>IFERROR(VLOOKUP(Tabla145[[#This Row],[Material]],[16]Produccion!$M:$N,2,FALSE),0)</f>
        <v>0</v>
      </c>
      <c r="O191" s="7">
        <f>IFERROR(VLOOKUP(Tabla145[[#This Row],[Llave]],'[16]TD Conf-AP'!$I:$M,4,FALSE),0)</f>
        <v>0</v>
      </c>
      <c r="P191" s="14">
        <f>SUM(Tabla145[[#This Row],[Producción disponible]],Tabla145[[#This Row],[Stock al día]],(Tabla145[[#This Row],[Por producir mes N]]*0.9))-Tabla145[[#This Row],[Producción por despachar mes N]]</f>
        <v>0</v>
      </c>
      <c r="Q191" s="7">
        <f>IFERROR(VLOOKUP(Tabla145[[#This Row],[Llave]],[17]DELAY!$A:$D,4,FALSE),0)</f>
        <v>0</v>
      </c>
      <c r="R191" s="9">
        <v>3571.4285714285716</v>
      </c>
      <c r="S191" s="5">
        <f t="shared" si="7"/>
        <v>0</v>
      </c>
      <c r="T191" s="76">
        <v>0</v>
      </c>
      <c r="U191" s="5">
        <f>+Tabla145[[#This Row],[Atraso a facturar]]+Tabla145[[#This Row],[Ajuste atraso]]</f>
        <v>0</v>
      </c>
      <c r="V191" s="3">
        <f>+Tabla145[[#This Row],[Total disponible]]-Tabla145[[#This Row],[Facturación atraso]]</f>
        <v>0</v>
      </c>
      <c r="W191" s="6">
        <f>IFERROR(IF(AND(V191&gt;R191,J191&gt;=R191),ROUNDDOWN((Tabla145[[#This Row],[Producción para venta nueva]])/R191,0)*R191,0),0)</f>
        <v>0</v>
      </c>
      <c r="X191" s="76">
        <v>0</v>
      </c>
      <c r="Y191" s="6">
        <f>IF(Tabla145[[#This Row],[Venta del mes]]&gt;0,Tabla145[[#This Row],[Venta del mes]]+Tabla145[[#This Row],[Ajuste venta nueva]],0)</f>
        <v>0</v>
      </c>
      <c r="Z191" s="6">
        <f>+Tabla145[[#This Row],[Producción para venta nueva]]-Tabla145[[#This Row],[Facturación Venta nueva]]</f>
        <v>0</v>
      </c>
      <c r="AA191" s="6">
        <f>IF(AND(A191=1,Tabla145[[#This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1" s="6">
        <v>0</v>
      </c>
      <c r="AC191" s="6">
        <f>IF(Tabla145[[#This Row],[Disponible stock sin venta]]&gt;0,Tabla145[[#This Row],[Disponible stock sin venta]]+Tabla145[[#This Row],[Ajuste stock sin venta]],0)</f>
        <v>0</v>
      </c>
      <c r="AD191" s="3">
        <f>IFERROR(VLOOKUP(Tabla145[[#This Row],[Llave]],'[16]TD Puerto'!$A:$D,4,FALSE),0)</f>
        <v>0</v>
      </c>
      <c r="AE191" s="3">
        <v>25000</v>
      </c>
      <c r="AF191" s="3">
        <f>+Tabla145[[#This Row],[Plan Irrestricto Inicial]]</f>
        <v>25000</v>
      </c>
      <c r="AG191" s="3">
        <f>+Tabla145[[#This Row],[En puerto a facturar]]</f>
        <v>0</v>
      </c>
      <c r="AH191" s="3">
        <f>+Tabla145[[#This Row],[Facturación atraso]]</f>
        <v>0</v>
      </c>
      <c r="AI191" s="3">
        <f>+Tabla145[[#This Row],[Plan Irrestricto]]-Tabla145[[#This Row],[Puerto ]]-Tabla145[[#This Row],[Atraso]]</f>
        <v>25000</v>
      </c>
      <c r="AJ19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91" s="3">
        <f>+Tabla145[[#This Row],[Facturación atraso]]</f>
        <v>0</v>
      </c>
      <c r="AL191" s="3">
        <f>+Tabla145[[#This Row],[Plan Ajustado]]-Tabla145[[#This Row],[ Atraso ajustado]]-Tabla145[[#This Row],[Puerto ]]</f>
        <v>0</v>
      </c>
      <c r="AM191" s="6">
        <f>IFERROR(VLOOKUP(Tabla145[[#This Row],[Llave]],[18]!Tabla14[#All],34,FALSE),0)</f>
        <v>0</v>
      </c>
      <c r="AN191" s="6">
        <f>IFERROR(VLOOKUP(Tabla145[[#This Row],[Llave]],[18]!Tabla14[#All],35,FALSE),0)</f>
        <v>0</v>
      </c>
      <c r="AO191" s="3" t="str">
        <f>IF(Tabla145[[#This Row],[Plan Ajustado]]&gt;Tabla145[[#This Row],[En puerto a facturar]],"Si","No")</f>
        <v>No</v>
      </c>
      <c r="AP19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91" s="3">
        <f>IF(Tabla145[[#This Row],[Necesidad]]&gt;=Tabla145[[#This Row],[Stock al día]],Tabla145[[#This Row],[Stock al día]],Tabla145[[#This Row],[Necesidad]])</f>
        <v>0</v>
      </c>
      <c r="AR191" s="3">
        <f>+Tabla145[[#This Row],[Necesidad]]-Tabla145[[#This Row],[Stock Plan]]</f>
        <v>0</v>
      </c>
      <c r="AS191" s="155">
        <f>IFERROR(VLOOKUP(Tabla145[[#This Row],[Oficina]],[19]Ponderación!$B$14:$E$21,4,FALSE),"")</f>
        <v>44800</v>
      </c>
      <c r="AT19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4.9990390677484369</v>
      </c>
      <c r="AU191" s="84">
        <v>4.8</v>
      </c>
      <c r="AV19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91" s="5">
        <f>Tabla145[[#This Row],[Ajuste precio IC]]*Tabla145[[#This Row],[Plan Ajustado]]</f>
        <v>0</v>
      </c>
      <c r="AX191" s="30">
        <f>IFERROR(VLOOKUP(Tabla145[[#This Row],[Llave]],'[13]Ultimos precios facturados'!$A:$G,7,FALSE),0)</f>
        <v>4.9990390677484369</v>
      </c>
      <c r="AY19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91" s="30">
        <f>IFERROR(VLOOKUP(Tabla145[[#This Row],[Llave]],Hoja2!B:K,10,FALSE),0)</f>
        <v>0</v>
      </c>
      <c r="BA191" s="30">
        <f>IF(Tabla145[[#This Row],[Ajuste precio IC]]="",Tabla145[[#This Row],[Precio ponderado]],Tabla145[[#This Row],[Precio ponderado]])</f>
        <v>0</v>
      </c>
      <c r="BB191" s="82"/>
      <c r="BC191" s="82" t="str">
        <f>IF(AND(Tabla145[[#This Row],[Atraso a facturar]]&gt;0,Tabla145[[#This Row],[Precio Atraso]]=0),"Revisar","OK")</f>
        <v>OK</v>
      </c>
      <c r="BD191" s="82" t="str">
        <f>IF(AND(Tabla145[[#This Row],[Venta del mes]]&gt;0,Tabla145[[#This Row],[Precio venta nueva]]=0),"Revisar","OK")</f>
        <v>OK</v>
      </c>
      <c r="BE191" s="20">
        <f>IFERROR(VLOOKUP(Tabla145[[#This Row],[Llave]],'[5]Consolidación planes'!$A:$M,9,FALSE),0)</f>
        <v>10000</v>
      </c>
      <c r="BF191" s="20">
        <f>IFERROR(VLOOKUP(Tabla145[[#This Row],[Llave]],'[5]Consolidación planes'!$A:$M,10,FALSE),0)</f>
        <v>20000</v>
      </c>
      <c r="BG191" s="20">
        <f>IFERROR(VLOOKUP(Tabla145[[#This Row],[Llave]],'[5]Consolidación planes'!$A:$M,11,FALSE),0)</f>
        <v>13000</v>
      </c>
      <c r="BH191" s="20">
        <f>IFERROR(VLOOKUP(Tabla145[[#This Row],[Llave]],'[5]Consolidación planes'!$A:$M,12,FALSE),0)</f>
        <v>0</v>
      </c>
      <c r="BI191" s="20">
        <f>IFERROR(VLOOKUP(Tabla145[[#This Row],[Llave]],'[5]Consolidación planes'!$A:$M,13,FALSE),0)</f>
        <v>0</v>
      </c>
      <c r="BJ191" s="20">
        <f>IFERROR(VLOOKUP(Tabla145[[#This Row],[Llave]],'[13]Base ultimos planes'!$A:$M,13,FALSE),0)</f>
        <v>0</v>
      </c>
      <c r="BK191" s="80">
        <f>IFERROR(VLOOKUP(Tabla145[[#This Row],[Llave]],'[13]Base ultimos planes'!$O:$AA,8,FALSE),0)</f>
        <v>49521.519800000002</v>
      </c>
      <c r="BL191" s="20">
        <f>IFERROR(VLOOKUP(Tabla145[[#This Row],[Llave]],'[13]Base ultimos planes'!$O:$AA,9,FALSE),0)</f>
        <v>99032</v>
      </c>
      <c r="BM191" s="20">
        <f>IFERROR(VLOOKUP(Tabla145[[#This Row],[Llave]],'[13]Base ultimos planes'!$O:$AA,10,FALSE),0)</f>
        <v>64807</v>
      </c>
      <c r="BN191" s="20">
        <f>IFERROR(VLOOKUP(Tabla145[[#This Row],[Llave]],'[13]Base ultimos planes'!$O:$AA,11,FALSE),0)</f>
        <v>0</v>
      </c>
      <c r="BO191" s="20">
        <f>IFERROR(VLOOKUP(Tabla145[[#This Row],[Llave]],'[13]Base ultimos planes'!$O:$AA,12,FALSE),0)</f>
        <v>0</v>
      </c>
      <c r="BP191" s="20">
        <f>IFERROR(VLOOKUP(Tabla145[[#This Row],[Llave]],'[13]Base ultimos planes'!$O:$AA,13,FALSE),0)</f>
        <v>0</v>
      </c>
      <c r="BQ191" s="20"/>
      <c r="BR191" s="20">
        <f>Tabla145[[#This Row],[ RV Producción mes n+1]]*(1-Tabla145[[#This Row],[% Uti. producción]])</f>
        <v>0</v>
      </c>
      <c r="BS191" s="20">
        <f>+Tabla145[[#This Row],[Producción disponible mes n-1]]+Tabla145[[#This Row],[Saldo Volumen disponible]]</f>
        <v>0</v>
      </c>
      <c r="BT191" s="7">
        <f>IFERROR(VLOOKUP(Tabla145[[#This Row],[Llave]],'[21]RV n+2 y n+3'!$B:$F,4,FALSE),0)</f>
        <v>0</v>
      </c>
      <c r="BU191" s="7">
        <f>+Tabla145[[#This Row],[Asignación mes n+2]]*Tabla145[[#This Row],[% Uti. producción]]</f>
        <v>0</v>
      </c>
      <c r="BV191" s="7">
        <f>+Tabla145[[#This Row],[Ponderación mes n+2]]+Tabla145[[#This Row],[Saldo mes n-1]]</f>
        <v>0</v>
      </c>
      <c r="BW191" s="7">
        <f>+Tabla145[[#This Row],[Asignación mes n+2]]-Tabla145[[#This Row],[Ponderación mes n+2]]</f>
        <v>0</v>
      </c>
      <c r="BX191" s="7">
        <f>IFERROR(VLOOKUP(Tabla145[[#This Row],[Llave]],'[21]RV n+2 y n+3'!$B:$F,5,FALSE),0)</f>
        <v>0</v>
      </c>
      <c r="BY191" s="7">
        <f>+Tabla145[[#This Row],[Asignación mes n+3]]*Tabla145[[#This Row],[% Uti. producción]]</f>
        <v>0</v>
      </c>
      <c r="BZ191" s="3">
        <f>+Tabla145[[#This Row],[Ponderación mes n+3]]+Tabla145[[#This Row],[Saldo mes n+2]]</f>
        <v>0</v>
      </c>
      <c r="CA191" s="3">
        <f>+Tabla145[[#This Row],[Asignación mes n+3]]-Tabla145[[#This Row],[Ponderación mes n+3]]</f>
        <v>0</v>
      </c>
      <c r="CB191" s="3">
        <f>+Tabla145[[#This Row],[Producción disponible mes n-1]]+Tabla145[[#This Row],[Producción disponible]]</f>
        <v>0</v>
      </c>
      <c r="CC191" s="3">
        <f>+Tabla145[[#This Row],[Saldo mes n+4]]-Tabla145[[#This Row],[ RV Producción mes n+1]]</f>
        <v>0</v>
      </c>
    </row>
    <row r="192" spans="1:81" ht="16" x14ac:dyDescent="0.2">
      <c r="A192">
        <v>1</v>
      </c>
      <c r="B192" t="str">
        <f>Tabla145[[#This Row],[Oficina]]&amp;Tabla145[[#This Row],[Material]]</f>
        <v>Exportacion Directa1023051</v>
      </c>
      <c r="C192" t="s">
        <v>6</v>
      </c>
      <c r="D192" t="s">
        <v>88</v>
      </c>
      <c r="E192">
        <v>1023051</v>
      </c>
      <c r="F192" t="s">
        <v>292</v>
      </c>
      <c r="G192" t="s">
        <v>50</v>
      </c>
      <c r="H192" t="s">
        <v>110</v>
      </c>
      <c r="I192" s="7">
        <f>IFERROR(VLOOKUP(Tabla145[[#This Row],[Llave]],'[7]RV Producción'!$C:$G,5,FALSE),0)</f>
        <v>0</v>
      </c>
      <c r="J192" s="3">
        <f>IFERROR(IF(Tabla145[[#This Row],[Oficina]]=$I$7,VLOOKUP(Tabla145[[#This Row],[Llave]],'[7]Shangai (Tomas)'!$A:$F,6,FALSE),VLOOKUP(Tabla145[[#This Row],[Llave]],'[7]RV plan de ventas'!$A:$E,5,FALSE)),0)</f>
        <v>0</v>
      </c>
      <c r="K192" s="8">
        <f>IFERROR(VLOOKUP(Tabla145[[#This Row],[Oficina]],[15]Ponderación!$B$2:$E$9,4,FALSE),0)</f>
        <v>0.87158319035419651</v>
      </c>
      <c r="L192" s="7">
        <f>+Tabla145[[#This Row],[ RV Producción mes n+1]]*Tabla145[[#This Row],[% Uti. producción]]</f>
        <v>0</v>
      </c>
      <c r="M192" s="7">
        <f>IFERROR(VLOOKUP(Tabla145[[#This Row],[Material]],[16]Stock!$G:$K,5,FALSE),0)</f>
        <v>9393</v>
      </c>
      <c r="N192" s="7">
        <f>IFERROR(VLOOKUP(Tabla145[[#This Row],[Material]],[16]Produccion!$M:$N,2,FALSE),0)</f>
        <v>0</v>
      </c>
      <c r="O192" s="7">
        <f>IFERROR(VLOOKUP(Tabla145[[#This Row],[Llave]],'[16]TD Conf-AP'!$I:$M,4,FALSE),0)</f>
        <v>0</v>
      </c>
      <c r="P192" s="14">
        <f>SUM(Tabla145[[#This Row],[Producción disponible]],Tabla145[[#This Row],[Stock al día]],(Tabla145[[#This Row],[Por producir mes N]]*0.9))-Tabla145[[#This Row],[Producción por despachar mes N]]</f>
        <v>9393</v>
      </c>
      <c r="Q192" s="7">
        <f>IFERROR(VLOOKUP(Tabla145[[#This Row],[Llave]],[17]DELAY!$A:$D,4,FALSE),0)</f>
        <v>5000</v>
      </c>
      <c r="R192" s="9">
        <v>3000</v>
      </c>
      <c r="S192" s="5">
        <f t="shared" si="7"/>
        <v>5000</v>
      </c>
      <c r="T192" s="76">
        <v>0</v>
      </c>
      <c r="U192" s="5">
        <f>+Tabla145[[#This Row],[Atraso a facturar]]+Tabla145[[#This Row],[Ajuste atraso]]</f>
        <v>5000</v>
      </c>
      <c r="V192" s="3">
        <f>+Tabla145[[#This Row],[Total disponible]]-Tabla145[[#This Row],[Facturación atraso]]</f>
        <v>4393</v>
      </c>
      <c r="W192" s="6">
        <f>IFERROR(IF(AND(V192&gt;R192,J192&gt;=R192),ROUNDDOWN((Tabla145[[#This Row],[Producción para venta nueva]])/R192,0)*R192,0),0)</f>
        <v>0</v>
      </c>
      <c r="X192" s="76">
        <v>0</v>
      </c>
      <c r="Y192" s="6">
        <f>IF(Tabla145[[#This Row],[Venta del mes]]&gt;0,Tabla145[[#This Row],[Venta del mes]]+Tabla145[[#This Row],[Ajuste venta nueva]],0)</f>
        <v>0</v>
      </c>
      <c r="Z192" s="6">
        <f>+Tabla145[[#This Row],[Producción para venta nueva]]-Tabla145[[#This Row],[Facturación Venta nueva]]</f>
        <v>4393</v>
      </c>
      <c r="AA192" s="6">
        <f>IF(AND(A192=1,Tabla145[[#This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3000</v>
      </c>
      <c r="AB192" s="6">
        <v>0</v>
      </c>
      <c r="AC192" s="6">
        <f>IF(Tabla145[[#This Row],[Disponible stock sin venta]]&gt;0,Tabla145[[#This Row],[Disponible stock sin venta]]+Tabla145[[#This Row],[Ajuste stock sin venta]],0)</f>
        <v>3000</v>
      </c>
      <c r="AD192" s="3">
        <f>IFERROR(VLOOKUP(Tabla145[[#This Row],[Llave]],'[16]TD Puerto'!$A:$D,4,FALSE),0)</f>
        <v>0</v>
      </c>
      <c r="AE192" s="3">
        <v>0</v>
      </c>
      <c r="AF192" s="3">
        <f>+Tabla145[[#This Row],[Plan Irrestricto Inicial]]</f>
        <v>0</v>
      </c>
      <c r="AG192" s="3">
        <f>+Tabla145[[#This Row],[En puerto a facturar]]</f>
        <v>0</v>
      </c>
      <c r="AH192" s="3">
        <f>+Tabla145[[#This Row],[Facturación atraso]]</f>
        <v>5000</v>
      </c>
      <c r="AI192" s="3">
        <f>+Tabla145[[#This Row],[Plan Irrestricto]]-Tabla145[[#This Row],[Puerto ]]-Tabla145[[#This Row],[Atraso]]</f>
        <v>-5000</v>
      </c>
      <c r="AJ19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92" s="3">
        <f>+Tabla145[[#This Row],[Facturación atraso]]</f>
        <v>5000</v>
      </c>
      <c r="AL192" s="3">
        <f>+Tabla145[[#This Row],[Plan Ajustado]]-Tabla145[[#This Row],[ Atraso ajustado]]-Tabla145[[#This Row],[Puerto ]]</f>
        <v>-5000</v>
      </c>
      <c r="AM192" s="6">
        <f>IFERROR(VLOOKUP(Tabla145[[#This Row],[Llave]],[18]!Tabla14[#All],34,FALSE),0)</f>
        <v>0</v>
      </c>
      <c r="AN192" s="6">
        <f>IFERROR(VLOOKUP(Tabla145[[#This Row],[Llave]],[18]!Tabla14[#All],35,FALSE),0)</f>
        <v>0</v>
      </c>
      <c r="AO192" s="3" t="str">
        <f>IF(Tabla145[[#This Row],[Plan Ajustado]]&gt;Tabla145[[#This Row],[En puerto a facturar]],"Si","No")</f>
        <v>No</v>
      </c>
      <c r="AP19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92" s="3">
        <f>IF(Tabla145[[#This Row],[Necesidad]]&gt;=Tabla145[[#This Row],[Stock al día]],Tabla145[[#This Row],[Stock al día]],Tabla145[[#This Row],[Necesidad]])</f>
        <v>0</v>
      </c>
      <c r="AR192" s="3">
        <f>+Tabla145[[#This Row],[Necesidad]]-Tabla145[[#This Row],[Stock Plan]]</f>
        <v>0</v>
      </c>
      <c r="AS192" s="155">
        <f>IFERROR(VLOOKUP(Tabla145[[#This Row],[Oficina]],[19]Ponderación!$B$14:$E$21,4,FALSE),"")</f>
        <v>44800</v>
      </c>
      <c r="AT19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3.5398638326943392</v>
      </c>
      <c r="AU192" s="83">
        <f>IFERROR(VLOOKUP(Tabla145[[#This Row],[Llave]],[17]DELAY!$H:$W,16,FALSE),0)</f>
        <v>3.4832440599999979</v>
      </c>
      <c r="AV19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92" s="5">
        <f>Tabla145[[#This Row],[Ajuste precio IC]]*Tabla145[[#This Row],[Plan Ajustado]]</f>
        <v>0</v>
      </c>
      <c r="AX192" s="30">
        <f>IFERROR(VLOOKUP(Tabla145[[#This Row],[Llave]],'[13]Ultimos precios facturados'!$A:$G,7,FALSE),0)</f>
        <v>3.5398638326943392</v>
      </c>
      <c r="AY19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92" s="30">
        <f>IFERROR(VLOOKUP(Tabla145[[#This Row],[Llave]],Hoja2!B:K,10,FALSE),0)</f>
        <v>3.4832440599999983</v>
      </c>
      <c r="BA192" s="30">
        <f>IF(Tabla145[[#This Row],[Ajuste precio IC]]="",Tabla145[[#This Row],[Precio ponderado]],Tabla145[[#This Row],[Precio ponderado]])</f>
        <v>0</v>
      </c>
      <c r="BB192" s="82"/>
      <c r="BC192" s="82" t="str">
        <f>IF(AND(Tabla145[[#This Row],[Atraso a facturar]]&gt;0,Tabla145[[#This Row],[Precio Atraso]]=0),"Revisar","OK")</f>
        <v>OK</v>
      </c>
      <c r="BD192" s="82" t="str">
        <f>IF(AND(Tabla145[[#This Row],[Venta del mes]]&gt;0,Tabla145[[#This Row],[Precio venta nueva]]=0),"Revisar","OK")</f>
        <v>OK</v>
      </c>
      <c r="BE192" s="20">
        <f>IFERROR(VLOOKUP(Tabla145[[#This Row],[Llave]],'[5]Consolidación planes'!$A:$M,9,FALSE),0)</f>
        <v>0</v>
      </c>
      <c r="BF192" s="20">
        <f>IFERROR(VLOOKUP(Tabla145[[#This Row],[Llave]],'[5]Consolidación planes'!$A:$M,10,FALSE),0)</f>
        <v>0</v>
      </c>
      <c r="BG192" s="20">
        <f>IFERROR(VLOOKUP(Tabla145[[#This Row],[Llave]],'[5]Consolidación planes'!$A:$M,11,FALSE),0)</f>
        <v>0</v>
      </c>
      <c r="BH192" s="20">
        <f>IFERROR(VLOOKUP(Tabla145[[#This Row],[Llave]],'[5]Consolidación planes'!$A:$M,12,FALSE),0)</f>
        <v>3000</v>
      </c>
      <c r="BI192" s="20">
        <f>IFERROR(VLOOKUP(Tabla145[[#This Row],[Llave]],'[5]Consolidación planes'!$A:$M,13,FALSE),0)</f>
        <v>2500</v>
      </c>
      <c r="BJ192" s="20">
        <f>IFERROR(VLOOKUP(Tabla145[[#This Row],[Llave]],'[13]Base ultimos planes'!$A:$M,13,FALSE),0)</f>
        <v>0</v>
      </c>
      <c r="BK192" s="80">
        <f>IFERROR(VLOOKUP(Tabla145[[#This Row],[Llave]],'[13]Base ultimos planes'!$O:$AA,8,FALSE),0)</f>
        <v>0</v>
      </c>
      <c r="BL192" s="20">
        <f>IFERROR(VLOOKUP(Tabla145[[#This Row],[Llave]],'[13]Base ultimos planes'!$O:$AA,9,FALSE),0)</f>
        <v>0</v>
      </c>
      <c r="BM192" s="20">
        <f>IFERROR(VLOOKUP(Tabla145[[#This Row],[Llave]],'[13]Base ultimos planes'!$O:$AA,10,FALSE),0)</f>
        <v>0</v>
      </c>
      <c r="BN192" s="20">
        <f>IFERROR(VLOOKUP(Tabla145[[#This Row],[Llave]],'[13]Base ultimos planes'!$O:$AA,11,FALSE),0)</f>
        <v>11945</v>
      </c>
      <c r="BO192" s="20">
        <f>IFERROR(VLOOKUP(Tabla145[[#This Row],[Llave]],'[13]Base ultimos planes'!$O:$AA,12,FALSE),0)</f>
        <v>9324</v>
      </c>
      <c r="BP192" s="20">
        <f>IFERROR(VLOOKUP(Tabla145[[#This Row],[Llave]],'[13]Base ultimos planes'!$O:$AA,13,FALSE),0)</f>
        <v>0</v>
      </c>
      <c r="BQ192" s="20"/>
      <c r="BR192" s="20">
        <f>Tabla145[[#This Row],[ RV Producción mes n+1]]*(1-Tabla145[[#This Row],[% Uti. producción]])</f>
        <v>0</v>
      </c>
      <c r="BS192" s="20">
        <f>+Tabla145[[#This Row],[Producción disponible mes n-1]]+Tabla145[[#This Row],[Saldo Volumen disponible]]</f>
        <v>4393</v>
      </c>
      <c r="BT192" s="7">
        <f>IFERROR(VLOOKUP(Tabla145[[#This Row],[Llave]],'[21]RV n+2 y n+3'!$B:$F,4,FALSE),0)</f>
        <v>0</v>
      </c>
      <c r="BU192" s="7">
        <f>+Tabla145[[#This Row],[Asignación mes n+2]]*Tabla145[[#This Row],[% Uti. producción]]</f>
        <v>0</v>
      </c>
      <c r="BV192" s="7">
        <f>+Tabla145[[#This Row],[Ponderación mes n+2]]+Tabla145[[#This Row],[Saldo mes n-1]]</f>
        <v>4393</v>
      </c>
      <c r="BW192" s="7">
        <f>+Tabla145[[#This Row],[Asignación mes n+2]]-Tabla145[[#This Row],[Ponderación mes n+2]]</f>
        <v>0</v>
      </c>
      <c r="BX192" s="7">
        <f>IFERROR(VLOOKUP(Tabla145[[#This Row],[Llave]],'[21]RV n+2 y n+3'!$B:$F,5,FALSE),0)</f>
        <v>0</v>
      </c>
      <c r="BY192" s="7">
        <f>+Tabla145[[#This Row],[Asignación mes n+3]]*Tabla145[[#This Row],[% Uti. producción]]</f>
        <v>0</v>
      </c>
      <c r="BZ192" s="3">
        <f>+Tabla145[[#This Row],[Ponderación mes n+3]]+Tabla145[[#This Row],[Saldo mes n+2]]</f>
        <v>0</v>
      </c>
      <c r="CA192" s="3">
        <f>+Tabla145[[#This Row],[Asignación mes n+3]]-Tabla145[[#This Row],[Ponderación mes n+3]]</f>
        <v>0</v>
      </c>
      <c r="CB192" s="3">
        <f>+Tabla145[[#This Row],[Producción disponible mes n-1]]+Tabla145[[#This Row],[Producción disponible]]</f>
        <v>0</v>
      </c>
      <c r="CC192" s="3">
        <f>+Tabla145[[#This Row],[Saldo mes n+4]]-Tabla145[[#This Row],[ RV Producción mes n+1]]</f>
        <v>0</v>
      </c>
    </row>
    <row r="193" spans="1:81" ht="16" x14ac:dyDescent="0.2">
      <c r="A193">
        <v>1</v>
      </c>
      <c r="B193" t="str">
        <f>Tabla145[[#This Row],[Oficina]]&amp;Tabla145[[#This Row],[Material]]</f>
        <v>Exportacion Directa1023055</v>
      </c>
      <c r="C193" t="s">
        <v>6</v>
      </c>
      <c r="D193" t="s">
        <v>88</v>
      </c>
      <c r="E193">
        <v>1023055</v>
      </c>
      <c r="F193" t="s">
        <v>293</v>
      </c>
      <c r="G193" t="s">
        <v>50</v>
      </c>
      <c r="H193" t="s">
        <v>110</v>
      </c>
      <c r="I193" s="7">
        <f>IFERROR(VLOOKUP(Tabla145[[#This Row],[Llave]],'[7]RV Producción'!$C:$G,5,FALSE),0)</f>
        <v>1384</v>
      </c>
      <c r="J193" s="3">
        <f>IFERROR(IF(Tabla145[[#This Row],[Oficina]]=$I$7,VLOOKUP(Tabla145[[#This Row],[Llave]],'[7]Shangai (Tomas)'!$A:$F,6,FALSE),VLOOKUP(Tabla145[[#This Row],[Llave]],'[7]RV plan de ventas'!$A:$E,5,FALSE)),0)</f>
        <v>0</v>
      </c>
      <c r="K193" s="8">
        <f>IFERROR(VLOOKUP(Tabla145[[#This Row],[Oficina]],[15]Ponderación!$B$2:$E$9,4,FALSE),0)</f>
        <v>0.87158319035419651</v>
      </c>
      <c r="L193" s="7">
        <f>+Tabla145[[#This Row],[ RV Producción mes n+1]]*Tabla145[[#This Row],[% Uti. producción]]</f>
        <v>1206.271135450208</v>
      </c>
      <c r="M193" s="7">
        <f>IFERROR(VLOOKUP(Tabla145[[#This Row],[Material]],[16]Stock!$G:$K,5,FALSE),0)</f>
        <v>3616</v>
      </c>
      <c r="N193" s="7">
        <f>IFERROR(VLOOKUP(Tabla145[[#This Row],[Material]],[16]Produccion!$M:$N,2,FALSE),0)</f>
        <v>0</v>
      </c>
      <c r="O193" s="7">
        <f>IFERROR(VLOOKUP(Tabla145[[#This Row],[Llave]],'[16]TD Conf-AP'!$I:$M,4,FALSE),0)</f>
        <v>0</v>
      </c>
      <c r="P193" s="14">
        <f>SUM(Tabla145[[#This Row],[Producción disponible]],Tabla145[[#This Row],[Stock al día]],(Tabla145[[#This Row],[Por producir mes N]]*0.9))-Tabla145[[#This Row],[Producción por despachar mes N]]</f>
        <v>4822.271135450208</v>
      </c>
      <c r="Q193" s="7">
        <f>IFERROR(VLOOKUP(Tabla145[[#This Row],[Llave]],[17]DELAY!$A:$D,4,FALSE),0)</f>
        <v>10000</v>
      </c>
      <c r="R193" s="9">
        <v>3500</v>
      </c>
      <c r="S193" s="5">
        <f t="shared" si="7"/>
        <v>3500</v>
      </c>
      <c r="T193" s="76">
        <v>0</v>
      </c>
      <c r="U193" s="5">
        <f>+Tabla145[[#This Row],[Atraso a facturar]]+Tabla145[[#This Row],[Ajuste atraso]]</f>
        <v>3500</v>
      </c>
      <c r="V193" s="3">
        <f>+Tabla145[[#This Row],[Total disponible]]-Tabla145[[#This Row],[Facturación atraso]]</f>
        <v>1322.271135450208</v>
      </c>
      <c r="W193" s="6">
        <f>IFERROR(IF(AND(V193&gt;R193,J193&gt;=R193),ROUNDDOWN((Tabla145[[#This Row],[Producción para venta nueva]])/R193,0)*R193,0),0)</f>
        <v>0</v>
      </c>
      <c r="X193" s="76">
        <v>0</v>
      </c>
      <c r="Y193" s="6">
        <f>IF(Tabla145[[#This Row],[Venta del mes]]&gt;0,Tabla145[[#This Row],[Venta del mes]]+Tabla145[[#This Row],[Ajuste venta nueva]],0)</f>
        <v>0</v>
      </c>
      <c r="Z193" s="6">
        <f>+Tabla145[[#This Row],[Producción para venta nueva]]-Tabla145[[#This Row],[Facturación Venta nueva]]</f>
        <v>1322.271135450208</v>
      </c>
      <c r="AA193" s="6">
        <f>IF(AND(A193=1,Tabla145[[#This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3" s="6">
        <v>0</v>
      </c>
      <c r="AC193" s="6">
        <f>IF(Tabla145[[#This Row],[Disponible stock sin venta]]&gt;0,Tabla145[[#This Row],[Disponible stock sin venta]]+Tabla145[[#This Row],[Ajuste stock sin venta]],0)</f>
        <v>0</v>
      </c>
      <c r="AD193" s="3">
        <f>IFERROR(VLOOKUP(Tabla145[[#This Row],[Llave]],'[16]TD Puerto'!$A:$D,4,FALSE),0)</f>
        <v>0</v>
      </c>
      <c r="AE193" s="3">
        <v>0</v>
      </c>
      <c r="AF193" s="3">
        <f>+Tabla145[[#This Row],[Plan Irrestricto Inicial]]</f>
        <v>0</v>
      </c>
      <c r="AG193" s="3">
        <f>+Tabla145[[#This Row],[En puerto a facturar]]</f>
        <v>0</v>
      </c>
      <c r="AH193" s="3">
        <f>+Tabla145[[#This Row],[Facturación atraso]]</f>
        <v>3500</v>
      </c>
      <c r="AI193" s="3">
        <f>+Tabla145[[#This Row],[Plan Irrestricto]]-Tabla145[[#This Row],[Puerto ]]-Tabla145[[#This Row],[Atraso]]</f>
        <v>-3500</v>
      </c>
      <c r="AJ19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193" s="3">
        <f>+Tabla145[[#This Row],[Facturación atraso]]</f>
        <v>3500</v>
      </c>
      <c r="AL193" s="3">
        <f>+Tabla145[[#This Row],[Plan Ajustado]]-Tabla145[[#This Row],[ Atraso ajustado]]-Tabla145[[#This Row],[Puerto ]]</f>
        <v>-3500</v>
      </c>
      <c r="AM193" s="6">
        <f>IFERROR(VLOOKUP(Tabla145[[#This Row],[Llave]],[18]!Tabla14[#All],34,FALSE),0)</f>
        <v>0</v>
      </c>
      <c r="AN193" s="6">
        <f>IFERROR(VLOOKUP(Tabla145[[#This Row],[Llave]],[18]!Tabla14[#All],35,FALSE),0)</f>
        <v>0</v>
      </c>
      <c r="AO193" s="3" t="str">
        <f>IF(Tabla145[[#This Row],[Plan Ajustado]]&gt;Tabla145[[#This Row],[En puerto a facturar]],"Si","No")</f>
        <v>No</v>
      </c>
      <c r="AP19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193" s="3">
        <f>IF(Tabla145[[#This Row],[Necesidad]]&gt;=Tabla145[[#This Row],[Stock al día]],Tabla145[[#This Row],[Stock al día]],Tabla145[[#This Row],[Necesidad]])</f>
        <v>0</v>
      </c>
      <c r="AR193" s="3">
        <f>+Tabla145[[#This Row],[Necesidad]]-Tabla145[[#This Row],[Stock Plan]]</f>
        <v>0</v>
      </c>
      <c r="AS193" s="155">
        <f>IFERROR(VLOOKUP(Tabla145[[#This Row],[Oficina]],[19]Ponderación!$B$14:$E$21,4,FALSE),"")</f>
        <v>44800</v>
      </c>
      <c r="AT19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3.5226289691535433</v>
      </c>
      <c r="AU193" s="83">
        <f>IFERROR(VLOOKUP(Tabla145[[#This Row],[Llave]],[17]DELAY!$H:$W,16,FALSE),0)</f>
        <v>3.4865977499999992</v>
      </c>
      <c r="AV19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193" s="5">
        <f>Tabla145[[#This Row],[Ajuste precio IC]]*Tabla145[[#This Row],[Plan Ajustado]]</f>
        <v>0</v>
      </c>
      <c r="AX193" s="30">
        <f>IFERROR(VLOOKUP(Tabla145[[#This Row],[Llave]],'[13]Ultimos precios facturados'!$A:$G,7,FALSE),0)</f>
        <v>3.5226289691535433</v>
      </c>
      <c r="AY19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193" s="30">
        <f>IFERROR(VLOOKUP(Tabla145[[#This Row],[Llave]],Hoja2!B:K,10,FALSE),0)</f>
        <v>3.4865977499999992</v>
      </c>
      <c r="BA193" s="30">
        <f>IF(Tabla145[[#This Row],[Ajuste precio IC]]="",Tabla145[[#This Row],[Precio ponderado]],Tabla145[[#This Row],[Precio ponderado]])</f>
        <v>0</v>
      </c>
      <c r="BB193" s="82"/>
      <c r="BC193" s="82" t="str">
        <f>IF(AND(Tabla145[[#This Row],[Atraso a facturar]]&gt;0,Tabla145[[#This Row],[Precio Atraso]]=0),"Revisar","OK")</f>
        <v>OK</v>
      </c>
      <c r="BD193" s="82" t="str">
        <f>IF(AND(Tabla145[[#This Row],[Venta del mes]]&gt;0,Tabla145[[#This Row],[Precio venta nueva]]=0),"Revisar","OK")</f>
        <v>OK</v>
      </c>
      <c r="BE193" s="20">
        <f>IFERROR(VLOOKUP(Tabla145[[#This Row],[Llave]],'[5]Consolidación planes'!$A:$M,9,FALSE),0)</f>
        <v>0</v>
      </c>
      <c r="BF193" s="20">
        <f>IFERROR(VLOOKUP(Tabla145[[#This Row],[Llave]],'[5]Consolidación planes'!$A:$M,10,FALSE),0)</f>
        <v>0</v>
      </c>
      <c r="BG193" s="20">
        <f>IFERROR(VLOOKUP(Tabla145[[#This Row],[Llave]],'[5]Consolidación planes'!$A:$M,11,FALSE),0)</f>
        <v>5000</v>
      </c>
      <c r="BH193" s="20">
        <f>IFERROR(VLOOKUP(Tabla145[[#This Row],[Llave]],'[5]Consolidación planes'!$A:$M,12,FALSE),0)</f>
        <v>7000</v>
      </c>
      <c r="BI193" s="20">
        <f>IFERROR(VLOOKUP(Tabla145[[#This Row],[Llave]],'[5]Consolidación planes'!$A:$M,13,FALSE),0)</f>
        <v>5000</v>
      </c>
      <c r="BJ193" s="20">
        <f>IFERROR(VLOOKUP(Tabla145[[#This Row],[Llave]],'[13]Base ultimos planes'!$A:$M,13,FALSE),0)</f>
        <v>3500</v>
      </c>
      <c r="BK193" s="80">
        <f>IFERROR(VLOOKUP(Tabla145[[#This Row],[Llave]],'[13]Base ultimos planes'!$O:$AA,8,FALSE),0)</f>
        <v>0</v>
      </c>
      <c r="BL193" s="20">
        <f>IFERROR(VLOOKUP(Tabla145[[#This Row],[Llave]],'[13]Base ultimos planes'!$O:$AA,9,FALSE),0)</f>
        <v>0</v>
      </c>
      <c r="BM193" s="20">
        <f>IFERROR(VLOOKUP(Tabla145[[#This Row],[Llave]],'[13]Base ultimos planes'!$O:$AA,10,FALSE),0)</f>
        <v>9981</v>
      </c>
      <c r="BN193" s="20">
        <f>IFERROR(VLOOKUP(Tabla145[[#This Row],[Llave]],'[13]Base ultimos planes'!$O:$AA,11,FALSE),0)</f>
        <v>25759</v>
      </c>
      <c r="BO193" s="20">
        <f>IFERROR(VLOOKUP(Tabla145[[#This Row],[Llave]],'[13]Base ultimos planes'!$O:$AA,12,FALSE),0)</f>
        <v>17599</v>
      </c>
      <c r="BP193" s="20">
        <f>IFERROR(VLOOKUP(Tabla145[[#This Row],[Llave]],'[13]Base ultimos planes'!$O:$AA,13,FALSE),0)</f>
        <v>11967</v>
      </c>
      <c r="BQ193" s="20"/>
      <c r="BR193" s="20">
        <f>Tabla145[[#This Row],[ RV Producción mes n+1]]*(1-Tabla145[[#This Row],[% Uti. producción]])</f>
        <v>177.72886454979204</v>
      </c>
      <c r="BS193" s="20">
        <f>+Tabla145[[#This Row],[Producción disponible mes n-1]]+Tabla145[[#This Row],[Saldo Volumen disponible]]</f>
        <v>1500</v>
      </c>
      <c r="BT193" s="7">
        <f>IFERROR(VLOOKUP(Tabla145[[#This Row],[Llave]],'[21]RV n+2 y n+3'!$B:$F,4,FALSE),0)</f>
        <v>0</v>
      </c>
      <c r="BU193" s="7">
        <f>+Tabla145[[#This Row],[Asignación mes n+2]]*Tabla145[[#This Row],[% Uti. producción]]</f>
        <v>0</v>
      </c>
      <c r="BV193" s="7">
        <f>+Tabla145[[#This Row],[Ponderación mes n+2]]+Tabla145[[#This Row],[Saldo mes n-1]]</f>
        <v>1500</v>
      </c>
      <c r="BW193" s="7">
        <f>+Tabla145[[#This Row],[Asignación mes n+2]]-Tabla145[[#This Row],[Ponderación mes n+2]]</f>
        <v>0</v>
      </c>
      <c r="BX193" s="7">
        <f>IFERROR(VLOOKUP(Tabla145[[#This Row],[Llave]],'[21]RV n+2 y n+3'!$B:$F,5,FALSE),0)</f>
        <v>0</v>
      </c>
      <c r="BY193" s="7">
        <f>+Tabla145[[#This Row],[Asignación mes n+3]]*Tabla145[[#This Row],[% Uti. producción]]</f>
        <v>0</v>
      </c>
      <c r="BZ193" s="3">
        <f>+Tabla145[[#This Row],[Ponderación mes n+3]]+Tabla145[[#This Row],[Saldo mes n+2]]</f>
        <v>0</v>
      </c>
      <c r="CA193" s="3">
        <f>+Tabla145[[#This Row],[Asignación mes n+3]]-Tabla145[[#This Row],[Ponderación mes n+3]]</f>
        <v>0</v>
      </c>
      <c r="CB193" s="3">
        <f>+Tabla145[[#This Row],[Producción disponible mes n-1]]+Tabla145[[#This Row],[Producción disponible]]</f>
        <v>1384</v>
      </c>
      <c r="CC193" s="3">
        <f>+Tabla145[[#This Row],[Saldo mes n+4]]-Tabla145[[#This Row],[ RV Producción mes n+1]]</f>
        <v>0</v>
      </c>
    </row>
    <row r="194" spans="1:81" ht="16" x14ac:dyDescent="0.2">
      <c r="A194">
        <v>1</v>
      </c>
      <c r="B194" t="str">
        <f>Tabla145[[#This Row],[Oficina]]&amp;Tabla145[[#This Row],[Material]]</f>
        <v>Exportacion Directa1023163</v>
      </c>
      <c r="C194" t="s">
        <v>6</v>
      </c>
      <c r="D194" t="s">
        <v>88</v>
      </c>
      <c r="E194">
        <v>1023163</v>
      </c>
      <c r="F194" t="s">
        <v>116</v>
      </c>
      <c r="G194" t="s">
        <v>50</v>
      </c>
      <c r="H194" t="s">
        <v>110</v>
      </c>
      <c r="I194" s="7">
        <f>IFERROR(VLOOKUP(Tabla145[[#This Row],[Llave]],'[7]RV Producción'!$C:$G,5,FALSE),0)</f>
        <v>27526</v>
      </c>
      <c r="J194" s="3">
        <f>IFERROR(IF(Tabla145[[#This Row],[Oficina]]=$I$7,VLOOKUP(Tabla145[[#This Row],[Llave]],'[7]Shangai (Tomas)'!$A:$F,6,FALSE),VLOOKUP(Tabla145[[#This Row],[Llave]],'[7]RV plan de ventas'!$A:$E,5,FALSE)),0)</f>
        <v>25000</v>
      </c>
      <c r="K194" s="8">
        <f>IFERROR(VLOOKUP(Tabla145[[#This Row],[Oficina]],[15]Ponderación!$B$2:$E$9,4,FALSE),0)</f>
        <v>0.87158319035419651</v>
      </c>
      <c r="L194" s="7">
        <f>+Tabla145[[#This Row],[ RV Producción mes n+1]]*Tabla145[[#This Row],[% Uti. producción]]</f>
        <v>23991.198897689614</v>
      </c>
      <c r="M194" s="7">
        <f>IFERROR(VLOOKUP(Tabla145[[#This Row],[Material]],[16]Stock!$G:$K,5,FALSE),0)</f>
        <v>23427</v>
      </c>
      <c r="N194" s="7">
        <f>IFERROR(VLOOKUP(Tabla145[[#This Row],[Material]],[16]Produccion!$M:$N,2,FALSE),0)</f>
        <v>5162.4898641656464</v>
      </c>
      <c r="O194" s="7">
        <f>IFERROR(VLOOKUP(Tabla145[[#This Row],[Llave]],'[16]TD Conf-AP'!$I:$M,4,FALSE),0)</f>
        <v>0</v>
      </c>
      <c r="P194" s="14">
        <f>SUM(Tabla145[[#This Row],[Producción disponible]],Tabla145[[#This Row],[Stock al día]],(Tabla145[[#This Row],[Por producir mes N]]*0.9))-Tabla145[[#This Row],[Producción por despachar mes N]]</f>
        <v>52064.439775438688</v>
      </c>
      <c r="Q194" s="7">
        <f>IFERROR(VLOOKUP(Tabla145[[#This Row],[Llave]],[17]DELAY!$A:$D,4,FALSE),0)</f>
        <v>30000</v>
      </c>
      <c r="R194" s="9">
        <v>5000</v>
      </c>
      <c r="S194" s="5">
        <f t="shared" si="7"/>
        <v>30000</v>
      </c>
      <c r="T194" s="76">
        <v>-11080</v>
      </c>
      <c r="U194" s="5">
        <f>+Tabla145[[#This Row],[Atraso a facturar]]+Tabla145[[#This Row],[Ajuste atraso]]</f>
        <v>18920</v>
      </c>
      <c r="V194" s="3">
        <f>+Tabla145[[#This Row],[Total disponible]]-Tabla145[[#This Row],[Facturación atraso]]</f>
        <v>33144.439775438688</v>
      </c>
      <c r="W194" s="6">
        <f>IFERROR(IF(AND(V194&gt;R194,J194&gt;=R194),ROUNDDOWN((Tabla145[[#This Row],[Producción para venta nueva]])/R194,0)*R194,0),0)</f>
        <v>30000</v>
      </c>
      <c r="X194" s="76">
        <v>-16620</v>
      </c>
      <c r="Y194" s="6">
        <f>IF(Tabla145[[#This Row],[Venta del mes]]&gt;0,Tabla145[[#This Row],[Venta del mes]]+Tabla145[[#This Row],[Ajuste venta nueva]],0)</f>
        <v>13380</v>
      </c>
      <c r="Z194" s="6">
        <f>+Tabla145[[#This Row],[Producción para venta nueva]]-Tabla145[[#This Row],[Facturación Venta nueva]]</f>
        <v>19764.439775438688</v>
      </c>
      <c r="AA194" s="6">
        <f>IF(AND(A194=1,Tabla145[[#This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4" s="6">
        <v>0</v>
      </c>
      <c r="AC194" s="6">
        <f>IF(Tabla145[[#This Row],[Disponible stock sin venta]]&gt;0,Tabla145[[#This Row],[Disponible stock sin venta]]+Tabla145[[#This Row],[Ajuste stock sin venta]],0)</f>
        <v>0</v>
      </c>
      <c r="AD194" s="3">
        <f>IFERROR(VLOOKUP(Tabla145[[#This Row],[Llave]],'[16]TD Puerto'!$A:$D,4,FALSE),0)</f>
        <v>0</v>
      </c>
      <c r="AE194" s="3">
        <v>45000</v>
      </c>
      <c r="AF194" s="3">
        <f>+Tabla145[[#This Row],[Plan Irrestricto Inicial]]</f>
        <v>45000</v>
      </c>
      <c r="AG194" s="3">
        <f>+Tabla145[[#This Row],[En puerto a facturar]]</f>
        <v>0</v>
      </c>
      <c r="AH194" s="3">
        <f>+Tabla145[[#This Row],[Facturación atraso]]</f>
        <v>18920</v>
      </c>
      <c r="AI194" s="3">
        <f>+Tabla145[[#This Row],[Plan Irrestricto]]-Tabla145[[#This Row],[Puerto ]]-Tabla145[[#This Row],[Atraso]]</f>
        <v>26080</v>
      </c>
      <c r="AJ194" s="3">
        <f>IF(Tabla145[[#This Row],[Plan Irrestricto]]&gt;0,SUM(Tabla145[[#This Row],[Facturación atraso]],Tabla145[[#This Row],[Facturación Venta nueva]],Tabla145[[#This Row],[Facturación stock]],Tabla145[[#This Row],[En puerto a facturar]]),0)</f>
        <v>32300</v>
      </c>
      <c r="AK194" s="3">
        <f>+Tabla145[[#This Row],[Facturación atraso]]</f>
        <v>18920</v>
      </c>
      <c r="AL194" s="3">
        <f>+Tabla145[[#This Row],[Plan Ajustado]]-Tabla145[[#This Row],[ Atraso ajustado]]-Tabla145[[#This Row],[Puerto ]]</f>
        <v>13380</v>
      </c>
      <c r="AM194" s="6">
        <f>IFERROR(VLOOKUP(Tabla145[[#This Row],[Llave]],[18]!Tabla14[#All],34,FALSE),0)</f>
        <v>0</v>
      </c>
      <c r="AN194" s="6">
        <f>IFERROR(VLOOKUP(Tabla145[[#This Row],[Llave]],[18]!Tabla14[#All],35,FALSE),0)</f>
        <v>0</v>
      </c>
      <c r="AO194" s="3" t="str">
        <f>IF(Tabla145[[#This Row],[Plan Ajustado]]&gt;Tabla145[[#This Row],[En puerto a facturar]],"Si","No")</f>
        <v>Si</v>
      </c>
      <c r="AP194" s="3">
        <f>IF(AND(Tabla145[[#This Row],[Plan Ajustado]]&gt;0,Tabla145[[#This Row],[Plan Ajustado]]&gt;Tabla145[[#This Row],[En puerto a facturar]]),(Tabla145[[#This Row],[Plan Ajustado]]-Tabla145[[#This Row],[En puerto a facturar]]),0)</f>
        <v>32300</v>
      </c>
      <c r="AQ194" s="3">
        <f>IF(Tabla145[[#This Row],[Necesidad]]&gt;=Tabla145[[#This Row],[Stock al día]],Tabla145[[#This Row],[Stock al día]],Tabla145[[#This Row],[Necesidad]])</f>
        <v>23427</v>
      </c>
      <c r="AR194" s="3">
        <f>+Tabla145[[#This Row],[Necesidad]]-Tabla145[[#This Row],[Stock Plan]]</f>
        <v>8873</v>
      </c>
      <c r="AS194" s="155">
        <f>IFERROR(VLOOKUP(Tabla145[[#This Row],[Oficina]],[19]Ponderación!$B$14:$E$21,4,FALSE),"")</f>
        <v>44800</v>
      </c>
      <c r="AT19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3.6720000000000002</v>
      </c>
      <c r="AU194" s="83">
        <f>IFERROR(VLOOKUP(Tabla145[[#This Row],[Llave]],[17]DELAY!$H:$W,16,FALSE),0)</f>
        <v>3.7861838873333333</v>
      </c>
      <c r="AV19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3.7388841841593394</v>
      </c>
      <c r="AW194" s="5">
        <f>Tabla145[[#This Row],[Ajuste precio IC]]*Tabla145[[#This Row],[Plan Ajustado]]</f>
        <v>120765.95914834666</v>
      </c>
      <c r="AX194" s="30">
        <f>IFERROR(VLOOKUP(Tabla145[[#This Row],[Llave]],'[13]Ultimos precios facturados'!$A:$G,7,FALSE),0)</f>
        <v>3.5821976468831527</v>
      </c>
      <c r="AY19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4.3740338396045429E-2</v>
      </c>
      <c r="AZ194" s="30">
        <f>IFERROR(VLOOKUP(Tabla145[[#This Row],[Llave]],Hoja2!B:K,10,FALSE),0)</f>
        <v>3.7388841841593394</v>
      </c>
      <c r="BA194" s="30">
        <f>IF(Tabla145[[#This Row],[Ajuste precio IC]]="",Tabla145[[#This Row],[Precio ponderado]],Tabla145[[#This Row],[Precio ponderado]])</f>
        <v>3.7388841841593394</v>
      </c>
      <c r="BB194" s="82"/>
      <c r="BC194" s="82" t="str">
        <f>IF(AND(Tabla145[[#This Row],[Atraso a facturar]]&gt;0,Tabla145[[#This Row],[Precio Atraso]]=0),"Revisar","OK")</f>
        <v>OK</v>
      </c>
      <c r="BD194" s="82" t="str">
        <f>IF(AND(Tabla145[[#This Row],[Venta del mes]]&gt;0,Tabla145[[#This Row],[Precio venta nueva]]=0),"Revisar","OK")</f>
        <v>OK</v>
      </c>
      <c r="BE194" s="20">
        <f>IFERROR(VLOOKUP(Tabla145[[#This Row],[Llave]],'[5]Consolidación planes'!$A:$M,9,FALSE),0)</f>
        <v>15000</v>
      </c>
      <c r="BF194" s="20">
        <f>IFERROR(VLOOKUP(Tabla145[[#This Row],[Llave]],'[5]Consolidación planes'!$A:$M,10,FALSE),0)</f>
        <v>7000</v>
      </c>
      <c r="BG194" s="20">
        <f>IFERROR(VLOOKUP(Tabla145[[#This Row],[Llave]],'[5]Consolidación planes'!$A:$M,11,FALSE),0)</f>
        <v>4000</v>
      </c>
      <c r="BH194" s="20">
        <f>IFERROR(VLOOKUP(Tabla145[[#This Row],[Llave]],'[5]Consolidación planes'!$A:$M,12,FALSE),0)</f>
        <v>20000</v>
      </c>
      <c r="BI194" s="20">
        <f>IFERROR(VLOOKUP(Tabla145[[#This Row],[Llave]],'[5]Consolidación planes'!$A:$M,13,FALSE),0)</f>
        <v>15000</v>
      </c>
      <c r="BJ194" s="20">
        <f>IFERROR(VLOOKUP(Tabla145[[#This Row],[Llave]],'[13]Base ultimos planes'!$A:$M,13,FALSE),0)</f>
        <v>36000</v>
      </c>
      <c r="BK194" s="80">
        <f>IFERROR(VLOOKUP(Tabla145[[#This Row],[Llave]],'[13]Base ultimos planes'!$O:$AA,8,FALSE),0)</f>
        <v>65452.199099999998</v>
      </c>
      <c r="BL194" s="20">
        <f>IFERROR(VLOOKUP(Tabla145[[#This Row],[Llave]],'[13]Base ultimos planes'!$O:$AA,9,FALSE),0)</f>
        <v>28910</v>
      </c>
      <c r="BM194" s="20">
        <f>IFERROR(VLOOKUP(Tabla145[[#This Row],[Llave]],'[13]Base ultimos planes'!$O:$AA,10,FALSE),0)</f>
        <v>15584</v>
      </c>
      <c r="BN194" s="20">
        <f>IFERROR(VLOOKUP(Tabla145[[#This Row],[Llave]],'[13]Base ultimos planes'!$O:$AA,11,FALSE),0)</f>
        <v>76644</v>
      </c>
      <c r="BO194" s="20">
        <f>IFERROR(VLOOKUP(Tabla145[[#This Row],[Llave]],'[13]Base ultimos planes'!$O:$AA,12,FALSE),0)</f>
        <v>56279</v>
      </c>
      <c r="BP194" s="20">
        <f>IFERROR(VLOOKUP(Tabla145[[#This Row],[Llave]],'[13]Base ultimos planes'!$O:$AA,13,FALSE),0)</f>
        <v>128621</v>
      </c>
      <c r="BQ194" s="20"/>
      <c r="BR194" s="20">
        <f>Tabla145[[#This Row],[ RV Producción mes n+1]]*(1-Tabla145[[#This Row],[% Uti. producción]])</f>
        <v>3534.8011023103868</v>
      </c>
      <c r="BS194" s="20">
        <f>+Tabla145[[#This Row],[Producción disponible mes n-1]]+Tabla145[[#This Row],[Saldo Volumen disponible]]</f>
        <v>23299.240877749075</v>
      </c>
      <c r="BT194" s="7">
        <f>IFERROR(VLOOKUP(Tabla145[[#This Row],[Llave]],'[21]RV n+2 y n+3'!$B:$F,4,FALSE),0)</f>
        <v>25000</v>
      </c>
      <c r="BU194" s="7">
        <f>+Tabla145[[#This Row],[Asignación mes n+2]]*Tabla145[[#This Row],[% Uti. producción]]</f>
        <v>21789.579758854914</v>
      </c>
      <c r="BV194" s="7">
        <f>+Tabla145[[#This Row],[Ponderación mes n+2]]+Tabla145[[#This Row],[Saldo mes n-1]]</f>
        <v>45088.820636603989</v>
      </c>
      <c r="BW194" s="7">
        <f>+Tabla145[[#This Row],[Asignación mes n+2]]-Tabla145[[#This Row],[Ponderación mes n+2]]</f>
        <v>3210.420241145086</v>
      </c>
      <c r="BX194" s="7">
        <f>IFERROR(VLOOKUP(Tabla145[[#This Row],[Llave]],'[21]RV n+2 y n+3'!$B:$F,5,FALSE),0)</f>
        <v>20000</v>
      </c>
      <c r="BY194" s="7">
        <f>+Tabla145[[#This Row],[Asignación mes n+3]]*Tabla145[[#This Row],[% Uti. producción]]</f>
        <v>17431.663807083929</v>
      </c>
      <c r="BZ194" s="3">
        <f>+Tabla145[[#This Row],[Ponderación mes n+3]]+Tabla145[[#This Row],[Saldo mes n+2]]</f>
        <v>20642.084048229015</v>
      </c>
      <c r="CA194" s="3">
        <f>+Tabla145[[#This Row],[Asignación mes n+3]]-Tabla145[[#This Row],[Ponderación mes n+3]]</f>
        <v>2568.336192916071</v>
      </c>
      <c r="CB194" s="3">
        <f>+Tabla145[[#This Row],[Producción disponible mes n-1]]+Tabla145[[#This Row],[Producción disponible]]</f>
        <v>27526</v>
      </c>
      <c r="CC194" s="3">
        <f>+Tabla145[[#This Row],[Saldo mes n+4]]-Tabla145[[#This Row],[ RV Producción mes n+1]]</f>
        <v>0</v>
      </c>
    </row>
    <row r="195" spans="1:81" ht="16" x14ac:dyDescent="0.2">
      <c r="A195">
        <v>1</v>
      </c>
      <c r="B195" t="str">
        <f>Tabla145[[#This Row],[Oficina]]&amp;Tabla145[[#This Row],[Material]]</f>
        <v>Exportacion Directa1023194</v>
      </c>
      <c r="C195" t="s">
        <v>6</v>
      </c>
      <c r="D195" t="s">
        <v>88</v>
      </c>
      <c r="E195">
        <v>1023194</v>
      </c>
      <c r="F195" t="s">
        <v>128</v>
      </c>
      <c r="G195" t="s">
        <v>56</v>
      </c>
      <c r="H195" t="s">
        <v>57</v>
      </c>
      <c r="I195" s="7">
        <f>IFERROR(VLOOKUP(Tabla145[[#This Row],[Llave]],'[7]RV Producción'!$C:$G,5,FALSE),0)</f>
        <v>9298</v>
      </c>
      <c r="J195" s="3">
        <f>IFERROR(IF(Tabla145[[#This Row],[Oficina]]=$I$7,VLOOKUP(Tabla145[[#This Row],[Llave]],'[7]Shangai (Tomas)'!$A:$F,6,FALSE),VLOOKUP(Tabla145[[#This Row],[Llave]],'[7]RV plan de ventas'!$A:$E,5,FALSE)),0)</f>
        <v>10000</v>
      </c>
      <c r="K195" s="8">
        <f>IFERROR(VLOOKUP(Tabla145[[#This Row],[Oficina]],[15]Ponderación!$B$2:$E$9,4,FALSE),0)</f>
        <v>0.87158319035419651</v>
      </c>
      <c r="L195" s="7">
        <f>+Tabla145[[#This Row],[ RV Producción mes n+1]]*Tabla145[[#This Row],[% Uti. producción]]</f>
        <v>8103.9805039133189</v>
      </c>
      <c r="M195" s="7">
        <f>IFERROR(VLOOKUP(Tabla145[[#This Row],[Material]],[16]Stock!$G:$K,5,FALSE),0)</f>
        <v>13307</v>
      </c>
      <c r="N195" s="7">
        <f>IFERROR(VLOOKUP(Tabla145[[#This Row],[Material]],[16]Produccion!$M:$N,2,FALSE),0)</f>
        <v>5345</v>
      </c>
      <c r="O195" s="7">
        <f>IFERROR(VLOOKUP(Tabla145[[#This Row],[Llave]],'[16]TD Conf-AP'!$I:$M,4,FALSE),0)</f>
        <v>4500</v>
      </c>
      <c r="P195" s="14">
        <f>SUM(Tabla145[[#This Row],[Producción disponible]],Tabla145[[#This Row],[Stock al día]],(Tabla145[[#This Row],[Por producir mes N]]*0.9))-Tabla145[[#This Row],[Producción por despachar mes N]]</f>
        <v>21721.480503913321</v>
      </c>
      <c r="Q195" s="7">
        <f>IFERROR(VLOOKUP(Tabla145[[#This Row],[Llave]],[17]DELAY!$A:$D,4,FALSE),0)</f>
        <v>13500</v>
      </c>
      <c r="R195" s="9">
        <v>2000</v>
      </c>
      <c r="S195" s="5">
        <f t="shared" si="7"/>
        <v>13500</v>
      </c>
      <c r="T195" s="76">
        <v>-4432</v>
      </c>
      <c r="U195" s="5">
        <f>+Tabla145[[#This Row],[Atraso a facturar]]+Tabla145[[#This Row],[Ajuste atraso]]</f>
        <v>9068</v>
      </c>
      <c r="V195" s="3">
        <f>+Tabla145[[#This Row],[Total disponible]]-Tabla145[[#This Row],[Facturación atraso]]</f>
        <v>12653.480503913321</v>
      </c>
      <c r="W195" s="6">
        <f>IFERROR(IF(AND(V195&gt;R195,J195&gt;=R195),ROUNDDOWN((Tabla145[[#This Row],[Producción para venta nueva]])/R195,0)*R195,0),0)</f>
        <v>12000</v>
      </c>
      <c r="X195" s="76">
        <v>-2216</v>
      </c>
      <c r="Y195" s="6">
        <f>IF(Tabla145[[#This Row],[Venta del mes]]&gt;0,Tabla145[[#This Row],[Venta del mes]]+Tabla145[[#This Row],[Ajuste venta nueva]],0)</f>
        <v>9784</v>
      </c>
      <c r="Z195" s="6">
        <f>+Tabla145[[#This Row],[Producción para venta nueva]]-Tabla145[[#This Row],[Facturación Venta nueva]]</f>
        <v>2869.4805039133207</v>
      </c>
      <c r="AA195" s="6">
        <f>IF(AND(A195=1,Tabla145[[#This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5" s="6">
        <v>0</v>
      </c>
      <c r="AC195" s="6">
        <f>IF(Tabla145[[#This Row],[Disponible stock sin venta]]&gt;0,Tabla145[[#This Row],[Disponible stock sin venta]]+Tabla145[[#This Row],[Ajuste stock sin venta]],0)</f>
        <v>0</v>
      </c>
      <c r="AD195" s="3">
        <f>IFERROR(VLOOKUP(Tabla145[[#This Row],[Llave]],'[16]TD Puerto'!$A:$D,4,FALSE),0)</f>
        <v>0</v>
      </c>
      <c r="AE195" s="3">
        <v>13500</v>
      </c>
      <c r="AF195" s="3">
        <f>+Tabla145[[#This Row],[Plan Irrestricto Inicial]]</f>
        <v>13500</v>
      </c>
      <c r="AG195" s="3">
        <f>+Tabla145[[#This Row],[En puerto a facturar]]</f>
        <v>0</v>
      </c>
      <c r="AH195" s="3">
        <f>+Tabla145[[#This Row],[Facturación atraso]]</f>
        <v>9068</v>
      </c>
      <c r="AI195" s="3">
        <f>+Tabla145[[#This Row],[Plan Irrestricto]]-Tabla145[[#This Row],[Puerto ]]-Tabla145[[#This Row],[Atraso]]</f>
        <v>4432</v>
      </c>
      <c r="AJ195" s="3">
        <f>IF(Tabla145[[#This Row],[Plan Irrestricto]]&gt;0,SUM(Tabla145[[#This Row],[Facturación atraso]],Tabla145[[#This Row],[Facturación Venta nueva]],Tabla145[[#This Row],[Facturación stock]],Tabla145[[#This Row],[En puerto a facturar]]),0)</f>
        <v>18852</v>
      </c>
      <c r="AK195" s="3">
        <f>+Tabla145[[#This Row],[Facturación atraso]]</f>
        <v>9068</v>
      </c>
      <c r="AL195" s="3">
        <f>+Tabla145[[#This Row],[Plan Ajustado]]-Tabla145[[#This Row],[ Atraso ajustado]]-Tabla145[[#This Row],[Puerto ]]</f>
        <v>9784</v>
      </c>
      <c r="AM195" s="6">
        <f>IFERROR(VLOOKUP(Tabla145[[#This Row],[Llave]],[18]!Tabla14[#All],34,FALSE),0)</f>
        <v>0</v>
      </c>
      <c r="AN195" s="6">
        <f>IFERROR(VLOOKUP(Tabla145[[#This Row],[Llave]],[18]!Tabla14[#All],35,FALSE),0)</f>
        <v>0</v>
      </c>
      <c r="AO195" s="3" t="str">
        <f>IF(Tabla145[[#This Row],[Plan Ajustado]]&gt;Tabla145[[#This Row],[En puerto a facturar]],"Si","No")</f>
        <v>Si</v>
      </c>
      <c r="AP195" s="3">
        <f>IF(AND(Tabla145[[#This Row],[Plan Ajustado]]&gt;0,Tabla145[[#This Row],[Plan Ajustado]]&gt;Tabla145[[#This Row],[En puerto a facturar]]),(Tabla145[[#This Row],[Plan Ajustado]]-Tabla145[[#This Row],[En puerto a facturar]]),0)</f>
        <v>18852</v>
      </c>
      <c r="AQ195" s="3">
        <f>IF(Tabla145[[#This Row],[Necesidad]]&gt;=Tabla145[[#This Row],[Stock al día]],Tabla145[[#This Row],[Stock al día]],Tabla145[[#This Row],[Necesidad]])</f>
        <v>13307</v>
      </c>
      <c r="AR195" s="3">
        <f>+Tabla145[[#This Row],[Necesidad]]-Tabla145[[#This Row],[Stock Plan]]</f>
        <v>5545</v>
      </c>
      <c r="AS195" s="155">
        <f>IFERROR(VLOOKUP(Tabla145[[#This Row],[Oficina]],[19]Ponderación!$B$14:$E$21,4,FALSE),"")</f>
        <v>44800</v>
      </c>
      <c r="AT19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2.88</v>
      </c>
      <c r="AU195" s="83">
        <f>IFERROR(VLOOKUP(Tabla145[[#This Row],[Llave]],[17]DELAY!$H:$W,16,FALSE),0)</f>
        <v>2.97845876111111</v>
      </c>
      <c r="AV19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2.9273596459662397</v>
      </c>
      <c r="AW195" s="5">
        <f>Tabla145[[#This Row],[Ajuste precio IC]]*Tabla145[[#This Row],[Plan Ajustado]]</f>
        <v>55186.584045755553</v>
      </c>
      <c r="AX195" s="30">
        <f>IFERROR(VLOOKUP(Tabla145[[#This Row],[Llave]],'[13]Ultimos precios facturados'!$A:$G,7,FALSE),0)</f>
        <v>2.9803342754671172</v>
      </c>
      <c r="AY19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1.7774727464950093E-2</v>
      </c>
      <c r="AZ195" s="30">
        <f>IFERROR(VLOOKUP(Tabla145[[#This Row],[Llave]],Hoja2!B:K,10,FALSE),0)</f>
        <v>2.9273596459662397</v>
      </c>
      <c r="BA195" s="30">
        <f>IF(Tabla145[[#This Row],[Ajuste precio IC]]="",Tabla145[[#This Row],[Precio ponderado]],Tabla145[[#This Row],[Precio ponderado]])</f>
        <v>2.9273596459662397</v>
      </c>
      <c r="BB195" s="82" t="s">
        <v>759</v>
      </c>
      <c r="BC195" s="82" t="str">
        <f>IF(AND(Tabla145[[#This Row],[Atraso a facturar]]&gt;0,Tabla145[[#This Row],[Precio Atraso]]=0),"Revisar","OK")</f>
        <v>OK</v>
      </c>
      <c r="BD195" s="82" t="str">
        <f>IF(AND(Tabla145[[#This Row],[Venta del mes]]&gt;0,Tabla145[[#This Row],[Precio venta nueva]]=0),"Revisar","OK")</f>
        <v>OK</v>
      </c>
      <c r="BE195" s="20">
        <f>IFERROR(VLOOKUP(Tabla145[[#This Row],[Llave]],'[5]Consolidación planes'!$A:$M,9,FALSE),0)</f>
        <v>9000</v>
      </c>
      <c r="BF195" s="20">
        <f>IFERROR(VLOOKUP(Tabla145[[#This Row],[Llave]],'[5]Consolidación planes'!$A:$M,10,FALSE),0)</f>
        <v>5000</v>
      </c>
      <c r="BG195" s="20">
        <f>IFERROR(VLOOKUP(Tabla145[[#This Row],[Llave]],'[5]Consolidación planes'!$A:$M,11,FALSE),0)</f>
        <v>6000</v>
      </c>
      <c r="BH195" s="20">
        <f>IFERROR(VLOOKUP(Tabla145[[#This Row],[Llave]],'[5]Consolidación planes'!$A:$M,12,FALSE),0)</f>
        <v>12000</v>
      </c>
      <c r="BI195" s="20">
        <f>IFERROR(VLOOKUP(Tabla145[[#This Row],[Llave]],'[5]Consolidación planes'!$A:$M,13,FALSE),0)</f>
        <v>7000</v>
      </c>
      <c r="BJ195" s="20">
        <f>IFERROR(VLOOKUP(Tabla145[[#This Row],[Llave]],'[13]Base ultimos planes'!$A:$M,13,FALSE),0)</f>
        <v>12000</v>
      </c>
      <c r="BK195" s="80">
        <f>IFERROR(VLOOKUP(Tabla145[[#This Row],[Llave]],'[13]Base ultimos planes'!$O:$AA,8,FALSE),0)</f>
        <v>31228.744600000002</v>
      </c>
      <c r="BL195" s="20">
        <f>IFERROR(VLOOKUP(Tabla145[[#This Row],[Llave]],'[13]Base ultimos planes'!$O:$AA,9,FALSE),0)</f>
        <v>16284</v>
      </c>
      <c r="BM195" s="20">
        <f>IFERROR(VLOOKUP(Tabla145[[#This Row],[Llave]],'[13]Base ultimos planes'!$O:$AA,10,FALSE),0)</f>
        <v>19454</v>
      </c>
      <c r="BN195" s="20">
        <f>IFERROR(VLOOKUP(Tabla145[[#This Row],[Llave]],'[13]Base ultimos planes'!$O:$AA,11,FALSE),0)</f>
        <v>38303</v>
      </c>
      <c r="BO195" s="20">
        <f>IFERROR(VLOOKUP(Tabla145[[#This Row],[Llave]],'[13]Base ultimos planes'!$O:$AA,12,FALSE),0)</f>
        <v>21812</v>
      </c>
      <c r="BP195" s="20">
        <f>IFERROR(VLOOKUP(Tabla145[[#This Row],[Llave]],'[13]Base ultimos planes'!$O:$AA,13,FALSE),0)</f>
        <v>35498</v>
      </c>
      <c r="BQ195" s="20"/>
      <c r="BR195" s="20">
        <f>Tabla145[[#This Row],[ RV Producción mes n+1]]*(1-Tabla145[[#This Row],[% Uti. producción]])</f>
        <v>1194.0194960866809</v>
      </c>
      <c r="BS195" s="20">
        <f>+Tabla145[[#This Row],[Producción disponible mes n-1]]+Tabla145[[#This Row],[Saldo Volumen disponible]]</f>
        <v>4063.5000000000018</v>
      </c>
      <c r="BT195" s="7">
        <f>IFERROR(VLOOKUP(Tabla145[[#This Row],[Llave]],'[21]RV n+2 y n+3'!$B:$F,4,FALSE),0)</f>
        <v>10000</v>
      </c>
      <c r="BU195" s="7">
        <f>+Tabla145[[#This Row],[Asignación mes n+2]]*Tabla145[[#This Row],[% Uti. producción]]</f>
        <v>8715.8319035419645</v>
      </c>
      <c r="BV195" s="7">
        <f>+Tabla145[[#This Row],[Ponderación mes n+2]]+Tabla145[[#This Row],[Saldo mes n-1]]</f>
        <v>12779.331903541966</v>
      </c>
      <c r="BW195" s="7">
        <f>+Tabla145[[#This Row],[Asignación mes n+2]]-Tabla145[[#This Row],[Ponderación mes n+2]]</f>
        <v>1284.1680964580355</v>
      </c>
      <c r="BX195" s="7">
        <f>IFERROR(VLOOKUP(Tabla145[[#This Row],[Llave]],'[21]RV n+2 y n+3'!$B:$F,5,FALSE),0)</f>
        <v>10000</v>
      </c>
      <c r="BY195" s="7">
        <f>+Tabla145[[#This Row],[Asignación mes n+3]]*Tabla145[[#This Row],[% Uti. producción]]</f>
        <v>8715.8319035419645</v>
      </c>
      <c r="BZ195" s="3">
        <f>+Tabla145[[#This Row],[Ponderación mes n+3]]+Tabla145[[#This Row],[Saldo mes n+2]]</f>
        <v>10000</v>
      </c>
      <c r="CA195" s="3">
        <f>+Tabla145[[#This Row],[Asignación mes n+3]]-Tabla145[[#This Row],[Ponderación mes n+3]]</f>
        <v>1284.1680964580355</v>
      </c>
      <c r="CB195" s="3">
        <f>+Tabla145[[#This Row],[Producción disponible mes n-1]]+Tabla145[[#This Row],[Producción disponible]]</f>
        <v>9298</v>
      </c>
      <c r="CC195" s="3">
        <f>+Tabla145[[#This Row],[Saldo mes n+4]]-Tabla145[[#This Row],[ RV Producción mes n+1]]</f>
        <v>0</v>
      </c>
    </row>
    <row r="196" spans="1:81" ht="16" x14ac:dyDescent="0.2">
      <c r="A196">
        <v>1</v>
      </c>
      <c r="B196" t="str">
        <f>Tabla145[[#This Row],[Oficina]]&amp;Tabla145[[#This Row],[Material]]</f>
        <v>Exportacion Directa1023301</v>
      </c>
      <c r="C196" t="s">
        <v>6</v>
      </c>
      <c r="D196" t="s">
        <v>88</v>
      </c>
      <c r="E196">
        <v>1023301</v>
      </c>
      <c r="F196" t="s">
        <v>100</v>
      </c>
      <c r="G196" t="s">
        <v>50</v>
      </c>
      <c r="H196" t="s">
        <v>95</v>
      </c>
      <c r="I196" s="7">
        <f>IFERROR(VLOOKUP(Tabla145[[#This Row],[Llave]],'[7]RV Producción'!$C:$G,5,FALSE),0)</f>
        <v>1331</v>
      </c>
      <c r="J196" s="3">
        <f>IFERROR(IF(Tabla145[[#This Row],[Oficina]]=$I$7,VLOOKUP(Tabla145[[#This Row],[Llave]],'[7]Shangai (Tomas)'!$A:$F,6,FALSE),VLOOKUP(Tabla145[[#This Row],[Llave]],'[7]RV plan de ventas'!$A:$E,5,FALSE)),0)</f>
        <v>0</v>
      </c>
      <c r="K196" s="8">
        <f>IFERROR(VLOOKUP(Tabla145[[#This Row],[Oficina]],[15]Ponderación!$B$2:$E$9,4,FALSE),0)</f>
        <v>0.87158319035419651</v>
      </c>
      <c r="L196" s="7">
        <f>+Tabla145[[#This Row],[ RV Producción mes n+1]]*Tabla145[[#This Row],[% Uti. producción]]</f>
        <v>1160.0772263614356</v>
      </c>
      <c r="M196" s="7">
        <f>IFERROR(VLOOKUP(Tabla145[[#This Row],[Material]],[16]Stock!$G:$K,5,FALSE),0)</f>
        <v>23320</v>
      </c>
      <c r="N196" s="7">
        <f>IFERROR(VLOOKUP(Tabla145[[#This Row],[Material]],[16]Produccion!$M:$N,2,FALSE),0)</f>
        <v>5094.9000000000005</v>
      </c>
      <c r="O196" s="7">
        <f>IFERROR(VLOOKUP(Tabla145[[#This Row],[Llave]],'[16]TD Conf-AP'!$I:$M,4,FALSE),0)</f>
        <v>0</v>
      </c>
      <c r="P196" s="14">
        <f>SUM(Tabla145[[#This Row],[Producción disponible]],Tabla145[[#This Row],[Stock al día]],(Tabla145[[#This Row],[Por producir mes N]]*0.9))-Tabla145[[#This Row],[Producción por despachar mes N]]</f>
        <v>29065.487226361434</v>
      </c>
      <c r="Q196" s="7">
        <f>IFERROR(VLOOKUP(Tabla145[[#This Row],[Llave]],[17]DELAY!$A:$D,4,FALSE),0)</f>
        <v>23500</v>
      </c>
      <c r="R196" s="9">
        <v>23500</v>
      </c>
      <c r="S196" s="5">
        <f t="shared" si="7"/>
        <v>23500</v>
      </c>
      <c r="T196" s="76">
        <v>0</v>
      </c>
      <c r="U196" s="5">
        <f>+Tabla145[[#This Row],[Atraso a facturar]]+Tabla145[[#This Row],[Ajuste atraso]]</f>
        <v>23500</v>
      </c>
      <c r="V196" s="3">
        <f>+Tabla145[[#This Row],[Total disponible]]-Tabla145[[#This Row],[Facturación atraso]]</f>
        <v>5565.4872263614343</v>
      </c>
      <c r="W196" s="6">
        <f>IFERROR(IF(AND(V196&gt;R196,J196&gt;=R196),ROUNDDOWN((Tabla145[[#This Row],[Producción para venta nueva]])/R196,0)*R196,0),0)</f>
        <v>0</v>
      </c>
      <c r="X196" s="76">
        <v>0</v>
      </c>
      <c r="Y196" s="6">
        <f>IF(Tabla145[[#This Row],[Venta del mes]]&gt;0,Tabla145[[#This Row],[Venta del mes]]+Tabla145[[#This Row],[Ajuste venta nueva]],0)</f>
        <v>0</v>
      </c>
      <c r="Z196" s="6">
        <f>+Tabla145[[#This Row],[Producción para venta nueva]]-Tabla145[[#This Row],[Facturación Venta nueva]]</f>
        <v>5565.4872263614343</v>
      </c>
      <c r="AA196" s="6">
        <f>IF(AND(A196=1,Tabla145[[#This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6" s="6">
        <v>0</v>
      </c>
      <c r="AC196" s="6">
        <f>IF(Tabla145[[#This Row],[Disponible stock sin venta]]&gt;0,Tabla145[[#This Row],[Disponible stock sin venta]]+Tabla145[[#This Row],[Ajuste stock sin venta]],0)</f>
        <v>0</v>
      </c>
      <c r="AD196" s="3">
        <f>IFERROR(VLOOKUP(Tabla145[[#This Row],[Llave]],'[16]TD Puerto'!$A:$D,4,FALSE),0)</f>
        <v>0</v>
      </c>
      <c r="AE196" s="3">
        <v>23500</v>
      </c>
      <c r="AF196" s="3">
        <f>+Tabla145[[#This Row],[Plan Irrestricto Inicial]]</f>
        <v>23500</v>
      </c>
      <c r="AG196" s="3">
        <f>+Tabla145[[#This Row],[En puerto a facturar]]</f>
        <v>0</v>
      </c>
      <c r="AH196" s="3">
        <f>+Tabla145[[#This Row],[Facturación atraso]]</f>
        <v>23500</v>
      </c>
      <c r="AI196" s="3">
        <f>+Tabla145[[#This Row],[Plan Irrestricto]]-Tabla145[[#This Row],[Puerto ]]-Tabla145[[#This Row],[Atraso]]</f>
        <v>0</v>
      </c>
      <c r="AJ196" s="3">
        <f>IF(Tabla145[[#This Row],[Plan Irrestricto]]&gt;0,SUM(Tabla145[[#This Row],[Facturación atraso]],Tabla145[[#This Row],[Facturación Venta nueva]],Tabla145[[#This Row],[Facturación stock]],Tabla145[[#This Row],[En puerto a facturar]]),0)</f>
        <v>23500</v>
      </c>
      <c r="AK196" s="3">
        <f>+Tabla145[[#This Row],[Facturación atraso]]</f>
        <v>23500</v>
      </c>
      <c r="AL196" s="3">
        <f>+Tabla145[[#This Row],[Plan Ajustado]]-Tabla145[[#This Row],[ Atraso ajustado]]-Tabla145[[#This Row],[Puerto ]]</f>
        <v>0</v>
      </c>
      <c r="AM196" s="6">
        <f>IFERROR(VLOOKUP(Tabla145[[#This Row],[Llave]],[18]!Tabla14[#All],34,FALSE),0)</f>
        <v>0</v>
      </c>
      <c r="AN196" s="6">
        <f>IFERROR(VLOOKUP(Tabla145[[#This Row],[Llave]],[18]!Tabla14[#All],35,FALSE),0)</f>
        <v>0</v>
      </c>
      <c r="AO196" s="3" t="str">
        <f>IF(Tabla145[[#This Row],[Plan Ajustado]]&gt;Tabla145[[#This Row],[En puerto a facturar]],"Si","No")</f>
        <v>Si</v>
      </c>
      <c r="AP196" s="3">
        <f>IF(AND(Tabla145[[#This Row],[Plan Ajustado]]&gt;0,Tabla145[[#This Row],[Plan Ajustado]]&gt;Tabla145[[#This Row],[En puerto a facturar]]),(Tabla145[[#This Row],[Plan Ajustado]]-Tabla145[[#This Row],[En puerto a facturar]]),0)</f>
        <v>23500</v>
      </c>
      <c r="AQ196" s="3">
        <f>IF(Tabla145[[#This Row],[Necesidad]]&gt;=Tabla145[[#This Row],[Stock al día]],Tabla145[[#This Row],[Stock al día]],Tabla145[[#This Row],[Necesidad]])</f>
        <v>23320</v>
      </c>
      <c r="AR196" s="3">
        <f>+Tabla145[[#This Row],[Necesidad]]-Tabla145[[#This Row],[Stock Plan]]</f>
        <v>180</v>
      </c>
      <c r="AS196" s="155">
        <f>IFERROR(VLOOKUP(Tabla145[[#This Row],[Oficina]],[19]Ponderación!$B$14:$E$21,4,FALSE),"")</f>
        <v>44800</v>
      </c>
      <c r="AT19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3.8371083868837044</v>
      </c>
      <c r="AU196" s="83">
        <f>IFERROR(VLOOKUP(Tabla145[[#This Row],[Llave]],[17]DELAY!$H:$W,16,FALSE),0)</f>
        <v>3.6380178340425502</v>
      </c>
      <c r="AV19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3.6380178340425502</v>
      </c>
      <c r="AW196" s="5">
        <f>Tabla145[[#This Row],[Ajuste precio IC]]*Tabla145[[#This Row],[Plan Ajustado]]</f>
        <v>85493.419099999926</v>
      </c>
      <c r="AX196" s="30">
        <f>IFERROR(VLOOKUP(Tabla145[[#This Row],[Llave]],'[13]Ultimos precios facturados'!$A:$G,7,FALSE),0)</f>
        <v>3.8371083868837044</v>
      </c>
      <c r="AY19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5.1885569227520557E-2</v>
      </c>
      <c r="AZ196" s="30">
        <f>IFERROR(VLOOKUP(Tabla145[[#This Row],[Llave]],Hoja2!B:K,10,FALSE),0)</f>
        <v>3.6380178340425502</v>
      </c>
      <c r="BA196" s="30">
        <f>IF(Tabla145[[#This Row],[Ajuste precio IC]]="",Tabla145[[#This Row],[Precio ponderado]],Tabla145[[#This Row],[Precio ponderado]])</f>
        <v>3.6380178340425502</v>
      </c>
      <c r="BB196" s="82"/>
      <c r="BC196" s="82" t="str">
        <f>IF(AND(Tabla145[[#This Row],[Atraso a facturar]]&gt;0,Tabla145[[#This Row],[Precio Atraso]]=0),"Revisar","OK")</f>
        <v>OK</v>
      </c>
      <c r="BD196" s="82" t="str">
        <f>IF(AND(Tabla145[[#This Row],[Venta del mes]]&gt;0,Tabla145[[#This Row],[Precio venta nueva]]=0),"Revisar","OK")</f>
        <v>OK</v>
      </c>
      <c r="BE196" s="20">
        <f>IFERROR(VLOOKUP(Tabla145[[#This Row],[Llave]],'[5]Consolidación planes'!$A:$M,9,FALSE),0)</f>
        <v>60000</v>
      </c>
      <c r="BF196" s="20">
        <f>IFERROR(VLOOKUP(Tabla145[[#This Row],[Llave]],'[5]Consolidación planes'!$A:$M,10,FALSE),0)</f>
        <v>70000</v>
      </c>
      <c r="BG196" s="20">
        <f>IFERROR(VLOOKUP(Tabla145[[#This Row],[Llave]],'[5]Consolidación planes'!$A:$M,11,FALSE),0)</f>
        <v>35000</v>
      </c>
      <c r="BH196" s="20">
        <f>IFERROR(VLOOKUP(Tabla145[[#This Row],[Llave]],'[5]Consolidación planes'!$A:$M,12,FALSE),0)</f>
        <v>23500</v>
      </c>
      <c r="BI196" s="20">
        <f>IFERROR(VLOOKUP(Tabla145[[#This Row],[Llave]],'[5]Consolidación planes'!$A:$M,13,FALSE),0)</f>
        <v>23500</v>
      </c>
      <c r="BJ196" s="20">
        <f>IFERROR(VLOOKUP(Tabla145[[#This Row],[Llave]],'[13]Base ultimos planes'!$A:$M,13,FALSE),0)</f>
        <v>30000</v>
      </c>
      <c r="BK196" s="80">
        <f>IFERROR(VLOOKUP(Tabla145[[#This Row],[Llave]],'[13]Base ultimos planes'!$O:$AA,8,FALSE),0)</f>
        <v>249969.11989999999</v>
      </c>
      <c r="BL196" s="20">
        <f>IFERROR(VLOOKUP(Tabla145[[#This Row],[Llave]],'[13]Base ultimos planes'!$O:$AA,9,FALSE),0)</f>
        <v>294283</v>
      </c>
      <c r="BM196" s="20">
        <f>IFERROR(VLOOKUP(Tabla145[[#This Row],[Llave]],'[13]Base ultimos planes'!$O:$AA,10,FALSE),0)</f>
        <v>148549</v>
      </c>
      <c r="BN196" s="20">
        <f>IFERROR(VLOOKUP(Tabla145[[#This Row],[Llave]],'[13]Base ultimos planes'!$O:$AA,11,FALSE),0)</f>
        <v>96585</v>
      </c>
      <c r="BO196" s="20">
        <f>IFERROR(VLOOKUP(Tabla145[[#This Row],[Llave]],'[13]Base ultimos planes'!$O:$AA,12,FALSE),0)</f>
        <v>90551</v>
      </c>
      <c r="BP196" s="20">
        <f>IFERROR(VLOOKUP(Tabla145[[#This Row],[Llave]],'[13]Base ultimos planes'!$O:$AA,13,FALSE),0)</f>
        <v>111333</v>
      </c>
      <c r="BQ196" s="20"/>
      <c r="BR196" s="20">
        <f>Tabla145[[#This Row],[ RV Producción mes n+1]]*(1-Tabla145[[#This Row],[% Uti. producción]])</f>
        <v>170.92277363856445</v>
      </c>
      <c r="BS196" s="20">
        <f>+Tabla145[[#This Row],[Producción disponible mes n-1]]+Tabla145[[#This Row],[Saldo Volumen disponible]]</f>
        <v>5736.4099999999989</v>
      </c>
      <c r="BT196" s="7">
        <f>IFERROR(VLOOKUP(Tabla145[[#This Row],[Llave]],'[21]RV n+2 y n+3'!$B:$F,4,FALSE),0)</f>
        <v>34999.999899999995</v>
      </c>
      <c r="BU196" s="7">
        <f>+Tabla145[[#This Row],[Asignación mes n+2]]*Tabla145[[#This Row],[% Uti. producción]]</f>
        <v>30505.411575238555</v>
      </c>
      <c r="BV196" s="7">
        <f>+Tabla145[[#This Row],[Ponderación mes n+2]]+Tabla145[[#This Row],[Saldo mes n-1]]</f>
        <v>36241.821575238551</v>
      </c>
      <c r="BW196" s="7">
        <f>+Tabla145[[#This Row],[Asignación mes n+2]]-Tabla145[[#This Row],[Ponderación mes n+2]]</f>
        <v>4494.5883247614402</v>
      </c>
      <c r="BX196" s="7">
        <f>IFERROR(VLOOKUP(Tabla145[[#This Row],[Llave]],'[21]RV n+2 y n+3'!$B:$F,5,FALSE),0)</f>
        <v>52172.951999999997</v>
      </c>
      <c r="BY196" s="7">
        <f>+Tabla145[[#This Row],[Asignación mes n+3]]*Tabla145[[#This Row],[% Uti. producción]]</f>
        <v>45473.067954356353</v>
      </c>
      <c r="BZ196" s="3">
        <f>+Tabla145[[#This Row],[Ponderación mes n+3]]+Tabla145[[#This Row],[Saldo mes n+2]]</f>
        <v>49967.656279117793</v>
      </c>
      <c r="CA196" s="3">
        <f>+Tabla145[[#This Row],[Asignación mes n+3]]-Tabla145[[#This Row],[Ponderación mes n+3]]</f>
        <v>6699.8840456436446</v>
      </c>
      <c r="CB196" s="3">
        <f>+Tabla145[[#This Row],[Producción disponible mes n-1]]+Tabla145[[#This Row],[Producción disponible]]</f>
        <v>1331</v>
      </c>
      <c r="CC196" s="3">
        <f>+Tabla145[[#This Row],[Saldo mes n+4]]-Tabla145[[#This Row],[ RV Producción mes n+1]]</f>
        <v>0</v>
      </c>
    </row>
    <row r="197" spans="1:81" ht="16" x14ac:dyDescent="0.2">
      <c r="A197">
        <v>1</v>
      </c>
      <c r="B197" t="str">
        <f>Tabla145[[#This Row],[Oficina]]&amp;Tabla145[[#This Row],[Material]]</f>
        <v>Exportacion Directa1023349</v>
      </c>
      <c r="C197" t="s">
        <v>6</v>
      </c>
      <c r="D197" t="s">
        <v>88</v>
      </c>
      <c r="E197">
        <v>1023349</v>
      </c>
      <c r="F197" t="s">
        <v>301</v>
      </c>
      <c r="G197" t="s">
        <v>50</v>
      </c>
      <c r="H197" t="s">
        <v>51</v>
      </c>
      <c r="I197" s="7">
        <f>IFERROR(VLOOKUP(Tabla145[[#This Row],[Llave]],'[7]RV Producción'!$C:$G,5,FALSE),0)</f>
        <v>12866</v>
      </c>
      <c r="J197" s="3">
        <f>IFERROR(IF(Tabla145[[#This Row],[Oficina]]=$I$7,VLOOKUP(Tabla145[[#This Row],[Llave]],'[7]Shangai (Tomas)'!$A:$F,6,FALSE),VLOOKUP(Tabla145[[#This Row],[Llave]],'[7]RV plan de ventas'!$A:$E,5,FALSE)),0)</f>
        <v>5000</v>
      </c>
      <c r="K197" s="8">
        <f>IFERROR(VLOOKUP(Tabla145[[#This Row],[Oficina]],[15]Ponderación!$B$2:$E$9,4,FALSE),0)</f>
        <v>0.87158319035419651</v>
      </c>
      <c r="L197" s="7">
        <f>+Tabla145[[#This Row],[ RV Producción mes n+1]]*Tabla145[[#This Row],[% Uti. producción]]</f>
        <v>11213.789327097093</v>
      </c>
      <c r="M197" s="7">
        <f>IFERROR(VLOOKUP(Tabla145[[#This Row],[Material]],[16]Stock!$G:$K,5,FALSE),0)</f>
        <v>9171</v>
      </c>
      <c r="N197" s="7">
        <f>IFERROR(VLOOKUP(Tabla145[[#This Row],[Material]],[16]Produccion!$M:$N,2,FALSE),0)</f>
        <v>611.17269231705757</v>
      </c>
      <c r="O197" s="7">
        <f>IFERROR(VLOOKUP(Tabla145[[#This Row],[Llave]],'[16]TD Conf-AP'!$I:$M,4,FALSE),0)</f>
        <v>7500</v>
      </c>
      <c r="P197" s="14">
        <f>SUM(Tabla145[[#This Row],[Producción disponible]],Tabla145[[#This Row],[Stock al día]],(Tabla145[[#This Row],[Por producir mes N]]*0.9))-Tabla145[[#This Row],[Producción por despachar mes N]]</f>
        <v>13434.844750182445</v>
      </c>
      <c r="Q197" s="7">
        <f>IFERROR(VLOOKUP(Tabla145[[#This Row],[Llave]],[17]DELAY!$A:$D,4,FALSE),0)</f>
        <v>5000</v>
      </c>
      <c r="R197" s="9">
        <v>2500</v>
      </c>
      <c r="S197" s="5">
        <f t="shared" si="7"/>
        <v>5000</v>
      </c>
      <c r="T197" s="76">
        <v>0</v>
      </c>
      <c r="U197" s="5">
        <f>+Tabla145[[#This Row],[Atraso a facturar]]+Tabla145[[#This Row],[Ajuste atraso]]</f>
        <v>5000</v>
      </c>
      <c r="V197" s="3">
        <f>+Tabla145[[#This Row],[Total disponible]]-Tabla145[[#This Row],[Facturación atraso]]</f>
        <v>8434.8447501824448</v>
      </c>
      <c r="W197" s="6">
        <f>IFERROR(IF(AND(V197&gt;R197,J197&gt;=R197),ROUNDDOWN((Tabla145[[#This Row],[Producción para venta nueva]])/R197,0)*R197,0),0)</f>
        <v>7500</v>
      </c>
      <c r="X197" s="76">
        <v>0</v>
      </c>
      <c r="Y197" s="6">
        <f>IF(Tabla145[[#This Row],[Venta del mes]]&gt;0,Tabla145[[#This Row],[Venta del mes]]+Tabla145[[#This Row],[Ajuste venta nueva]],0)</f>
        <v>7500</v>
      </c>
      <c r="Z197" s="6">
        <f>+Tabla145[[#This Row],[Producción para venta nueva]]-Tabla145[[#This Row],[Facturación Venta nueva]]</f>
        <v>934.84475018244484</v>
      </c>
      <c r="AA197" s="6">
        <f>IF(AND(A197=1,Tabla145[[#This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7" s="6">
        <v>0</v>
      </c>
      <c r="AC197" s="6">
        <f>IF(Tabla145[[#This Row],[Disponible stock sin venta]]&gt;0,Tabla145[[#This Row],[Disponible stock sin venta]]+Tabla145[[#This Row],[Ajuste stock sin venta]],0)</f>
        <v>0</v>
      </c>
      <c r="AD197" s="3">
        <f>IFERROR(VLOOKUP(Tabla145[[#This Row],[Llave]],'[16]TD Puerto'!$A:$D,4,FALSE),0)</f>
        <v>0</v>
      </c>
      <c r="AE197" s="3">
        <v>10000</v>
      </c>
      <c r="AF197" s="3">
        <f>+Tabla145[[#This Row],[Plan Irrestricto Inicial]]</f>
        <v>10000</v>
      </c>
      <c r="AG197" s="3">
        <f>+Tabla145[[#This Row],[En puerto a facturar]]</f>
        <v>0</v>
      </c>
      <c r="AH197" s="3">
        <f>+Tabla145[[#This Row],[Facturación atraso]]</f>
        <v>5000</v>
      </c>
      <c r="AI197" s="3">
        <f>+Tabla145[[#This Row],[Plan Irrestricto]]-Tabla145[[#This Row],[Puerto ]]-Tabla145[[#This Row],[Atraso]]</f>
        <v>5000</v>
      </c>
      <c r="AJ197" s="3">
        <f>IF(Tabla145[[#This Row],[Plan Irrestricto]]&gt;0,SUM(Tabla145[[#This Row],[Facturación atraso]],Tabla145[[#This Row],[Facturación Venta nueva]],Tabla145[[#This Row],[Facturación stock]],Tabla145[[#This Row],[En puerto a facturar]]),0)</f>
        <v>12500</v>
      </c>
      <c r="AK197" s="3">
        <f>+Tabla145[[#This Row],[Facturación atraso]]</f>
        <v>5000</v>
      </c>
      <c r="AL197" s="3">
        <f>+Tabla145[[#This Row],[Plan Ajustado]]-Tabla145[[#This Row],[ Atraso ajustado]]-Tabla145[[#This Row],[Puerto ]]</f>
        <v>7500</v>
      </c>
      <c r="AM197" s="6">
        <f>IFERROR(VLOOKUP(Tabla145[[#This Row],[Llave]],[18]!Tabla14[#All],34,FALSE),0)</f>
        <v>0</v>
      </c>
      <c r="AN197" s="6">
        <f>IFERROR(VLOOKUP(Tabla145[[#This Row],[Llave]],[18]!Tabla14[#All],35,FALSE),0)</f>
        <v>0</v>
      </c>
      <c r="AO197" s="3" t="str">
        <f>IF(Tabla145[[#This Row],[Plan Ajustado]]&gt;Tabla145[[#This Row],[En puerto a facturar]],"Si","No")</f>
        <v>Si</v>
      </c>
      <c r="AP197" s="3">
        <f>IF(AND(Tabla145[[#This Row],[Plan Ajustado]]&gt;0,Tabla145[[#This Row],[Plan Ajustado]]&gt;Tabla145[[#This Row],[En puerto a facturar]]),(Tabla145[[#This Row],[Plan Ajustado]]-Tabla145[[#This Row],[En puerto a facturar]]),0)</f>
        <v>12500</v>
      </c>
      <c r="AQ197" s="3">
        <f>IF(Tabla145[[#This Row],[Necesidad]]&gt;=Tabla145[[#This Row],[Stock al día]],Tabla145[[#This Row],[Stock al día]],Tabla145[[#This Row],[Necesidad]])</f>
        <v>9171</v>
      </c>
      <c r="AR197" s="3">
        <f>+Tabla145[[#This Row],[Necesidad]]-Tabla145[[#This Row],[Stock Plan]]</f>
        <v>3329</v>
      </c>
      <c r="AS197" s="155">
        <f>IFERROR(VLOOKUP(Tabla145[[#This Row],[Oficina]],[19]Ponderación!$B$14:$E$21,4,FALSE),"")</f>
        <v>44800</v>
      </c>
      <c r="AT19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3.7440000000000002</v>
      </c>
      <c r="AU197" s="83">
        <f>IFERROR(VLOOKUP(Tabla145[[#This Row],[Llave]],[17]DELAY!$H:$W,16,FALSE),0)</f>
        <v>3.7015324399999998</v>
      </c>
      <c r="AV19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3.7270129759999997</v>
      </c>
      <c r="AW197" s="5">
        <f>Tabla145[[#This Row],[Ajuste precio IC]]*Tabla145[[#This Row],[Plan Ajustado]]</f>
        <v>46587.662199999999</v>
      </c>
      <c r="AX197" s="30">
        <f>IFERROR(VLOOKUP(Tabla145[[#This Row],[Llave]],'[13]Ultimos precios facturados'!$A:$G,7,FALSE),0)</f>
        <v>3.7802830970233039</v>
      </c>
      <c r="AY19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1.4091569243914699E-2</v>
      </c>
      <c r="AZ197" s="30">
        <f>IFERROR(VLOOKUP(Tabla145[[#This Row],[Llave]],Hoja2!B:K,10,FALSE),0)</f>
        <v>3.7270129759999997</v>
      </c>
      <c r="BA197" s="30">
        <f>IF(Tabla145[[#This Row],[Ajuste precio IC]]="",Tabla145[[#This Row],[Precio ponderado]],Tabla145[[#This Row],[Precio ponderado]])</f>
        <v>3.7270129759999997</v>
      </c>
      <c r="BB197" s="82"/>
      <c r="BC197" s="82" t="str">
        <f>IF(AND(Tabla145[[#This Row],[Atraso a facturar]]&gt;0,Tabla145[[#This Row],[Precio Atraso]]=0),"Revisar","OK")</f>
        <v>OK</v>
      </c>
      <c r="BD197" s="82" t="str">
        <f>IF(AND(Tabla145[[#This Row],[Venta del mes]]&gt;0,Tabla145[[#This Row],[Precio venta nueva]]=0),"Revisar","OK")</f>
        <v>OK</v>
      </c>
      <c r="BE197" s="20">
        <f>IFERROR(VLOOKUP(Tabla145[[#This Row],[Llave]],'[5]Consolidación planes'!$A:$M,9,FALSE),0)</f>
        <v>0</v>
      </c>
      <c r="BF197" s="20">
        <f>IFERROR(VLOOKUP(Tabla145[[#This Row],[Llave]],'[5]Consolidación planes'!$A:$M,10,FALSE),0)</f>
        <v>0</v>
      </c>
      <c r="BG197" s="20">
        <f>IFERROR(VLOOKUP(Tabla145[[#This Row],[Llave]],'[5]Consolidación planes'!$A:$M,11,FALSE),0)</f>
        <v>2000</v>
      </c>
      <c r="BH197" s="20">
        <f>IFERROR(VLOOKUP(Tabla145[[#This Row],[Llave]],'[5]Consolidación planes'!$A:$M,12,FALSE),0)</f>
        <v>5000</v>
      </c>
      <c r="BI197" s="20">
        <f>IFERROR(VLOOKUP(Tabla145[[#This Row],[Llave]],'[5]Consolidación planes'!$A:$M,13,FALSE),0)</f>
        <v>7500</v>
      </c>
      <c r="BJ197" s="20">
        <f>IFERROR(VLOOKUP(Tabla145[[#This Row],[Llave]],'[13]Base ultimos planes'!$A:$M,13,FALSE),0)</f>
        <v>12500</v>
      </c>
      <c r="BK197" s="80">
        <f>IFERROR(VLOOKUP(Tabla145[[#This Row],[Llave]],'[13]Base ultimos planes'!$O:$AA,8,FALSE),0)</f>
        <v>0</v>
      </c>
      <c r="BL197" s="20">
        <f>IFERROR(VLOOKUP(Tabla145[[#This Row],[Llave]],'[13]Base ultimos planes'!$O:$AA,9,FALSE),0)</f>
        <v>0</v>
      </c>
      <c r="BM197" s="20">
        <f>IFERROR(VLOOKUP(Tabla145[[#This Row],[Llave]],'[13]Base ultimos planes'!$O:$AA,10,FALSE),0)</f>
        <v>8694</v>
      </c>
      <c r="BN197" s="20">
        <f>IFERROR(VLOOKUP(Tabla145[[#This Row],[Llave]],'[13]Base ultimos planes'!$O:$AA,11,FALSE),0)</f>
        <v>20882</v>
      </c>
      <c r="BO197" s="20">
        <f>IFERROR(VLOOKUP(Tabla145[[#This Row],[Llave]],'[13]Base ultimos planes'!$O:$AA,12,FALSE),0)</f>
        <v>30493</v>
      </c>
      <c r="BP197" s="20">
        <f>IFERROR(VLOOKUP(Tabla145[[#This Row],[Llave]],'[13]Base ultimos planes'!$O:$AA,13,FALSE),0)</f>
        <v>47061</v>
      </c>
      <c r="BQ197" s="20"/>
      <c r="BR197" s="20">
        <f>Tabla145[[#This Row],[ RV Producción mes n+1]]*(1-Tabla145[[#This Row],[% Uti. producción]])</f>
        <v>1652.2106729029076</v>
      </c>
      <c r="BS197" s="20">
        <f>+Tabla145[[#This Row],[Producción disponible mes n-1]]+Tabla145[[#This Row],[Saldo Volumen disponible]]</f>
        <v>2587.0554230853522</v>
      </c>
      <c r="BT197" s="7">
        <f>IFERROR(VLOOKUP(Tabla145[[#This Row],[Llave]],'[21]RV n+2 y n+3'!$B:$F,4,FALSE),0)</f>
        <v>5000</v>
      </c>
      <c r="BU197" s="7">
        <f>+Tabla145[[#This Row],[Asignación mes n+2]]*Tabla145[[#This Row],[% Uti. producción]]</f>
        <v>4357.9159517709822</v>
      </c>
      <c r="BV197" s="7">
        <f>+Tabla145[[#This Row],[Ponderación mes n+2]]+Tabla145[[#This Row],[Saldo mes n-1]]</f>
        <v>6944.9713748563345</v>
      </c>
      <c r="BW197" s="7">
        <f>+Tabla145[[#This Row],[Asignación mes n+2]]-Tabla145[[#This Row],[Ponderación mes n+2]]</f>
        <v>642.08404822901775</v>
      </c>
      <c r="BX197" s="7">
        <f>IFERROR(VLOOKUP(Tabla145[[#This Row],[Llave]],'[21]RV n+2 y n+3'!$B:$F,5,FALSE),0)</f>
        <v>5000</v>
      </c>
      <c r="BY197" s="7">
        <f>+Tabla145[[#This Row],[Asignación mes n+3]]*Tabla145[[#This Row],[% Uti. producción]]</f>
        <v>4357.9159517709822</v>
      </c>
      <c r="BZ197" s="3">
        <f>+Tabla145[[#This Row],[Ponderación mes n+3]]+Tabla145[[#This Row],[Saldo mes n+2]]</f>
        <v>5000</v>
      </c>
      <c r="CA197" s="3">
        <f>+Tabla145[[#This Row],[Asignación mes n+3]]-Tabla145[[#This Row],[Ponderación mes n+3]]</f>
        <v>642.08404822901775</v>
      </c>
      <c r="CB197" s="3">
        <f>+Tabla145[[#This Row],[Producción disponible mes n-1]]+Tabla145[[#This Row],[Producción disponible]]</f>
        <v>12866</v>
      </c>
      <c r="CC197" s="3">
        <f>+Tabla145[[#This Row],[Saldo mes n+4]]-Tabla145[[#This Row],[ RV Producción mes n+1]]</f>
        <v>0</v>
      </c>
    </row>
    <row r="198" spans="1:81" ht="16" x14ac:dyDescent="0.2">
      <c r="A198">
        <v>1</v>
      </c>
      <c r="B198" t="str">
        <f>Tabla145[[#This Row],[Oficina]]&amp;Tabla145[[#This Row],[Material]]</f>
        <v>Exportacion Directa1023350</v>
      </c>
      <c r="C198" t="s">
        <v>6</v>
      </c>
      <c r="D198" t="s">
        <v>88</v>
      </c>
      <c r="E198">
        <v>1023350</v>
      </c>
      <c r="F198" t="s">
        <v>302</v>
      </c>
      <c r="G198" t="s">
        <v>50</v>
      </c>
      <c r="H198" t="s">
        <v>110</v>
      </c>
      <c r="I198" s="7">
        <f>IFERROR(VLOOKUP(Tabla145[[#This Row],[Llave]],'[7]RV Producción'!$C:$G,5,FALSE),0)</f>
        <v>15398</v>
      </c>
      <c r="J198" s="3">
        <f>IFERROR(IF(Tabla145[[#This Row],[Oficina]]=$I$7,VLOOKUP(Tabla145[[#This Row],[Llave]],'[7]Shangai (Tomas)'!$A:$F,6,FALSE),VLOOKUP(Tabla145[[#This Row],[Llave]],'[7]RV plan de ventas'!$A:$E,5,FALSE)),0)</f>
        <v>20000</v>
      </c>
      <c r="K198" s="8">
        <f>IFERROR(VLOOKUP(Tabla145[[#This Row],[Oficina]],[15]Ponderación!$B$2:$E$9,4,FALSE),0)</f>
        <v>0.87158319035419651</v>
      </c>
      <c r="L198" s="7">
        <f>+Tabla145[[#This Row],[ RV Producción mes n+1]]*Tabla145[[#This Row],[% Uti. producción]]</f>
        <v>13420.637965073918</v>
      </c>
      <c r="M198" s="7">
        <f>IFERROR(VLOOKUP(Tabla145[[#This Row],[Material]],[16]Stock!$G:$K,5,FALSE),0)</f>
        <v>13910</v>
      </c>
      <c r="N198" s="7">
        <f>IFERROR(VLOOKUP(Tabla145[[#This Row],[Material]],[16]Produccion!$M:$N,2,FALSE),0)</f>
        <v>12451.553339192336</v>
      </c>
      <c r="O198" s="7">
        <f>IFERROR(VLOOKUP(Tabla145[[#This Row],[Llave]],'[16]TD Conf-AP'!$I:$M,4,FALSE),0)</f>
        <v>5000</v>
      </c>
      <c r="P198" s="14">
        <f>SUM(Tabla145[[#This Row],[Producción disponible]],Tabla145[[#This Row],[Stock al día]],(Tabla145[[#This Row],[Por producir mes N]]*0.9))-Tabla145[[#This Row],[Producción por despachar mes N]]</f>
        <v>33537.035970347017</v>
      </c>
      <c r="Q198" s="7">
        <f>IFERROR(VLOOKUP(Tabla145[[#This Row],[Llave]],[17]DELAY!$A:$D,4,FALSE),0)</f>
        <v>20000</v>
      </c>
      <c r="R198" s="9">
        <v>5000</v>
      </c>
      <c r="S198" s="5">
        <f t="shared" si="7"/>
        <v>20000</v>
      </c>
      <c r="T198" s="76">
        <v>-11080</v>
      </c>
      <c r="U198" s="5">
        <f>+Tabla145[[#This Row],[Atraso a facturar]]+Tabla145[[#This Row],[Ajuste atraso]]</f>
        <v>8920</v>
      </c>
      <c r="V198" s="3">
        <f>+Tabla145[[#This Row],[Total disponible]]-Tabla145[[#This Row],[Facturación atraso]]</f>
        <v>24617.035970347017</v>
      </c>
      <c r="W198" s="6">
        <f>IFERROR(IF(AND(V198&gt;R198,J198&gt;=R198),ROUNDDOWN((Tabla145[[#This Row],[Producción para venta nueva]])/R198,0)*R198,0),0)</f>
        <v>20000</v>
      </c>
      <c r="X198" s="76">
        <v>-16620</v>
      </c>
      <c r="Y198" s="6">
        <f>IF(Tabla145[[#This Row],[Venta del mes]]&gt;0,Tabla145[[#This Row],[Venta del mes]]+Tabla145[[#This Row],[Ajuste venta nueva]],0)</f>
        <v>3380</v>
      </c>
      <c r="Z198" s="6">
        <f>+Tabla145[[#This Row],[Producción para venta nueva]]-Tabla145[[#This Row],[Facturación Venta nueva]]</f>
        <v>21237.035970347017</v>
      </c>
      <c r="AA198" s="6">
        <f>IF(AND(A198=1,Tabla145[[#This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8" s="6">
        <v>0</v>
      </c>
      <c r="AC198" s="6">
        <f>IF(Tabla145[[#This Row],[Disponible stock sin venta]]&gt;0,Tabla145[[#This Row],[Disponible stock sin venta]]+Tabla145[[#This Row],[Ajuste stock sin venta]],0)</f>
        <v>0</v>
      </c>
      <c r="AD198" s="3">
        <f>IFERROR(VLOOKUP(Tabla145[[#This Row],[Llave]],'[16]TD Puerto'!$A:$D,4,FALSE),0)</f>
        <v>0</v>
      </c>
      <c r="AE198" s="3">
        <v>35000</v>
      </c>
      <c r="AF198" s="3">
        <f>+Tabla145[[#This Row],[Plan Irrestricto Inicial]]</f>
        <v>35000</v>
      </c>
      <c r="AG198" s="3">
        <f>+Tabla145[[#This Row],[En puerto a facturar]]</f>
        <v>0</v>
      </c>
      <c r="AH198" s="3">
        <f>+Tabla145[[#This Row],[Facturación atraso]]</f>
        <v>8920</v>
      </c>
      <c r="AI198" s="3">
        <f>+Tabla145[[#This Row],[Plan Irrestricto]]-Tabla145[[#This Row],[Puerto ]]-Tabla145[[#This Row],[Atraso]]</f>
        <v>26080</v>
      </c>
      <c r="AJ198" s="3">
        <f>IF(Tabla145[[#This Row],[Plan Irrestricto]]&gt;0,SUM(Tabla145[[#This Row],[Facturación atraso]],Tabla145[[#This Row],[Facturación Venta nueva]],Tabla145[[#This Row],[Facturación stock]],Tabla145[[#This Row],[En puerto a facturar]]),0)</f>
        <v>12300</v>
      </c>
      <c r="AK198" s="3">
        <f>+Tabla145[[#This Row],[Facturación atraso]]</f>
        <v>8920</v>
      </c>
      <c r="AL198" s="3">
        <f>+Tabla145[[#This Row],[Plan Ajustado]]-Tabla145[[#This Row],[ Atraso ajustado]]-Tabla145[[#This Row],[Puerto ]]</f>
        <v>3380</v>
      </c>
      <c r="AM198" s="6">
        <f>IFERROR(VLOOKUP(Tabla145[[#This Row],[Llave]],[18]!Tabla14[#All],34,FALSE),0)</f>
        <v>0</v>
      </c>
      <c r="AN198" s="6">
        <f>IFERROR(VLOOKUP(Tabla145[[#This Row],[Llave]],[18]!Tabla14[#All],35,FALSE),0)</f>
        <v>0</v>
      </c>
      <c r="AO198" s="3" t="str">
        <f>IF(Tabla145[[#This Row],[Plan Ajustado]]&gt;Tabla145[[#This Row],[En puerto a facturar]],"Si","No")</f>
        <v>Si</v>
      </c>
      <c r="AP198" s="3">
        <f>IF(AND(Tabla145[[#This Row],[Plan Ajustado]]&gt;0,Tabla145[[#This Row],[Plan Ajustado]]&gt;Tabla145[[#This Row],[En puerto a facturar]]),(Tabla145[[#This Row],[Plan Ajustado]]-Tabla145[[#This Row],[En puerto a facturar]]),0)</f>
        <v>12300</v>
      </c>
      <c r="AQ198" s="3">
        <f>IF(Tabla145[[#This Row],[Necesidad]]&gt;=Tabla145[[#This Row],[Stock al día]],Tabla145[[#This Row],[Stock al día]],Tabla145[[#This Row],[Necesidad]])</f>
        <v>12300</v>
      </c>
      <c r="AR198" s="3">
        <f>+Tabla145[[#This Row],[Necesidad]]-Tabla145[[#This Row],[Stock Plan]]</f>
        <v>0</v>
      </c>
      <c r="AS198" s="155">
        <f>IFERROR(VLOOKUP(Tabla145[[#This Row],[Oficina]],[19]Ponderación!$B$14:$E$21,4,FALSE),"")</f>
        <v>44800</v>
      </c>
      <c r="AT19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3.3839999999999999</v>
      </c>
      <c r="AU198" s="83">
        <f>IFERROR(VLOOKUP(Tabla145[[#This Row],[Llave]],[17]DELAY!$H:$W,16,FALSE),0)</f>
        <v>3.5535312499999998</v>
      </c>
      <c r="AV19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3.5069446138211378</v>
      </c>
      <c r="AW198" s="5">
        <f>Tabla145[[#This Row],[Ajuste precio IC]]*Tabla145[[#This Row],[Plan Ajustado]]</f>
        <v>43135.418749999997</v>
      </c>
      <c r="AX198" s="30">
        <f>IFERROR(VLOOKUP(Tabla145[[#This Row],[Llave]],'[13]Ultimos precios facturados'!$A:$G,7,FALSE),0)</f>
        <v>3.4435291759521225</v>
      </c>
      <c r="AY19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1.8415827085734259E-2</v>
      </c>
      <c r="AZ198" s="30">
        <f>IFERROR(VLOOKUP(Tabla145[[#This Row],[Llave]],Hoja2!B:K,10,FALSE),0)</f>
        <v>3.5069446138211378</v>
      </c>
      <c r="BA198" s="30">
        <f>IF(Tabla145[[#This Row],[Ajuste precio IC]]="",Tabla145[[#This Row],[Precio ponderado]],Tabla145[[#This Row],[Precio ponderado]])</f>
        <v>3.5069446138211378</v>
      </c>
      <c r="BB198" s="82"/>
      <c r="BC198" s="82" t="str">
        <f>IF(AND(Tabla145[[#This Row],[Atraso a facturar]]&gt;0,Tabla145[[#This Row],[Precio Atraso]]=0),"Revisar","OK")</f>
        <v>OK</v>
      </c>
      <c r="BD198" s="82" t="str">
        <f>IF(AND(Tabla145[[#This Row],[Venta del mes]]&gt;0,Tabla145[[#This Row],[Precio venta nueva]]=0),"Revisar","OK")</f>
        <v>OK</v>
      </c>
      <c r="BE198" s="20">
        <f>IFERROR(VLOOKUP(Tabla145[[#This Row],[Llave]],'[5]Consolidación planes'!$A:$M,9,FALSE),0)</f>
        <v>0</v>
      </c>
      <c r="BF198" s="20">
        <f>IFERROR(VLOOKUP(Tabla145[[#This Row],[Llave]],'[5]Consolidación planes'!$A:$M,10,FALSE),0)</f>
        <v>0</v>
      </c>
      <c r="BG198" s="20">
        <f>IFERROR(VLOOKUP(Tabla145[[#This Row],[Llave]],'[5]Consolidación planes'!$A:$M,11,FALSE),0)</f>
        <v>35000</v>
      </c>
      <c r="BH198" s="20">
        <f>IFERROR(VLOOKUP(Tabla145[[#This Row],[Llave]],'[5]Consolidación planes'!$A:$M,12,FALSE),0)</f>
        <v>15000</v>
      </c>
      <c r="BI198" s="20">
        <f>IFERROR(VLOOKUP(Tabla145[[#This Row],[Llave]],'[5]Consolidación planes'!$A:$M,13,FALSE),0)</f>
        <v>41143</v>
      </c>
      <c r="BJ198" s="20">
        <f>IFERROR(VLOOKUP(Tabla145[[#This Row],[Llave]],'[13]Base ultimos planes'!$A:$M,13,FALSE),0)</f>
        <v>26000</v>
      </c>
      <c r="BK198" s="80">
        <f>IFERROR(VLOOKUP(Tabla145[[#This Row],[Llave]],'[13]Base ultimos planes'!$O:$AA,8,FALSE),0)</f>
        <v>0</v>
      </c>
      <c r="BL198" s="20">
        <f>IFERROR(VLOOKUP(Tabla145[[#This Row],[Llave]],'[13]Base ultimos planes'!$O:$AA,9,FALSE),0)</f>
        <v>0</v>
      </c>
      <c r="BM198" s="20">
        <f>IFERROR(VLOOKUP(Tabla145[[#This Row],[Llave]],'[13]Base ultimos planes'!$O:$AA,10,FALSE),0)</f>
        <v>138326</v>
      </c>
      <c r="BN198" s="20">
        <f>IFERROR(VLOOKUP(Tabla145[[#This Row],[Llave]],'[13]Base ultimos planes'!$O:$AA,11,FALSE),0)</f>
        <v>56520</v>
      </c>
      <c r="BO198" s="20">
        <f>IFERROR(VLOOKUP(Tabla145[[#This Row],[Llave]],'[13]Base ultimos planes'!$O:$AA,12,FALSE),0)</f>
        <v>150241</v>
      </c>
      <c r="BP198" s="20">
        <f>IFERROR(VLOOKUP(Tabla145[[#This Row],[Llave]],'[13]Base ultimos planes'!$O:$AA,13,FALSE),0)</f>
        <v>88897</v>
      </c>
      <c r="BQ198" s="20"/>
      <c r="BR198" s="20">
        <f>Tabla145[[#This Row],[ RV Producción mes n+1]]*(1-Tabla145[[#This Row],[% Uti. producción]])</f>
        <v>1977.3620349260821</v>
      </c>
      <c r="BS198" s="20">
        <f>+Tabla145[[#This Row],[Producción disponible mes n-1]]+Tabla145[[#This Row],[Saldo Volumen disponible]]</f>
        <v>23214.398005273099</v>
      </c>
      <c r="BT198" s="7">
        <f>IFERROR(VLOOKUP(Tabla145[[#This Row],[Llave]],'[21]RV n+2 y n+3'!$B:$F,4,FALSE),0)</f>
        <v>20000</v>
      </c>
      <c r="BU198" s="7">
        <f>+Tabla145[[#This Row],[Asignación mes n+2]]*Tabla145[[#This Row],[% Uti. producción]]</f>
        <v>17431.663807083929</v>
      </c>
      <c r="BV198" s="7">
        <f>+Tabla145[[#This Row],[Ponderación mes n+2]]+Tabla145[[#This Row],[Saldo mes n-1]]</f>
        <v>40646.061812357031</v>
      </c>
      <c r="BW198" s="7">
        <f>+Tabla145[[#This Row],[Asignación mes n+2]]-Tabla145[[#This Row],[Ponderación mes n+2]]</f>
        <v>2568.336192916071</v>
      </c>
      <c r="BX198" s="7">
        <f>IFERROR(VLOOKUP(Tabla145[[#This Row],[Llave]],'[21]RV n+2 y n+3'!$B:$F,5,FALSE),0)</f>
        <v>30000</v>
      </c>
      <c r="BY198" s="7">
        <f>+Tabla145[[#This Row],[Asignación mes n+3]]*Tabla145[[#This Row],[% Uti. producción]]</f>
        <v>26147.495710625895</v>
      </c>
      <c r="BZ198" s="3">
        <f>+Tabla145[[#This Row],[Ponderación mes n+3]]+Tabla145[[#This Row],[Saldo mes n+2]]</f>
        <v>28715.831903541966</v>
      </c>
      <c r="CA198" s="3">
        <f>+Tabla145[[#This Row],[Asignación mes n+3]]-Tabla145[[#This Row],[Ponderación mes n+3]]</f>
        <v>3852.5042893741047</v>
      </c>
      <c r="CB198" s="3">
        <f>+Tabla145[[#This Row],[Producción disponible mes n-1]]+Tabla145[[#This Row],[Producción disponible]]</f>
        <v>15398</v>
      </c>
      <c r="CC198" s="3">
        <f>+Tabla145[[#This Row],[Saldo mes n+4]]-Tabla145[[#This Row],[ RV Producción mes n+1]]</f>
        <v>0</v>
      </c>
    </row>
    <row r="199" spans="1:81" ht="16" x14ac:dyDescent="0.2">
      <c r="A199">
        <v>1</v>
      </c>
      <c r="B199" t="str">
        <f>Tabla145[[#This Row],[Oficina]]&amp;Tabla145[[#This Row],[Material]]</f>
        <v>Exportacion Directa1023351</v>
      </c>
      <c r="C199" t="s">
        <v>6</v>
      </c>
      <c r="D199" t="s">
        <v>88</v>
      </c>
      <c r="E199">
        <v>1023351</v>
      </c>
      <c r="F199" t="s">
        <v>303</v>
      </c>
      <c r="G199" t="s">
        <v>56</v>
      </c>
      <c r="H199" t="s">
        <v>57</v>
      </c>
      <c r="I199" s="7">
        <f>IFERROR(VLOOKUP(Tabla145[[#This Row],[Llave]],'[7]RV Producción'!$C:$G,5,FALSE),0)</f>
        <v>8327</v>
      </c>
      <c r="J199" s="3">
        <f>IFERROR(IF(Tabla145[[#This Row],[Oficina]]=$I$7,VLOOKUP(Tabla145[[#This Row],[Llave]],'[7]Shangai (Tomas)'!$A:$F,6,FALSE),VLOOKUP(Tabla145[[#This Row],[Llave]],'[7]RV plan de ventas'!$A:$E,5,FALSE)),0)</f>
        <v>5000</v>
      </c>
      <c r="K199" s="8">
        <f>IFERROR(VLOOKUP(Tabla145[[#This Row],[Oficina]],[15]Ponderación!$B$2:$E$9,4,FALSE),0)</f>
        <v>0.87158319035419651</v>
      </c>
      <c r="L199" s="7">
        <f>+Tabla145[[#This Row],[ RV Producción mes n+1]]*Tabla145[[#This Row],[% Uti. producción]]</f>
        <v>7257.6732260793942</v>
      </c>
      <c r="M199" s="7">
        <f>IFERROR(VLOOKUP(Tabla145[[#This Row],[Material]],[16]Stock!$G:$K,5,FALSE),0)</f>
        <v>1260</v>
      </c>
      <c r="N199" s="7">
        <f>IFERROR(VLOOKUP(Tabla145[[#This Row],[Material]],[16]Produccion!$M:$N,2,FALSE),0)</f>
        <v>11.868219998063868</v>
      </c>
      <c r="O199" s="7">
        <f>IFERROR(VLOOKUP(Tabla145[[#This Row],[Llave]],'[16]TD Conf-AP'!$I:$M,4,FALSE),0)</f>
        <v>0</v>
      </c>
      <c r="P199" s="14">
        <f>SUM(Tabla145[[#This Row],[Producción disponible]],Tabla145[[#This Row],[Stock al día]],(Tabla145[[#This Row],[Por producir mes N]]*0.9))-Tabla145[[#This Row],[Producción por despachar mes N]]</f>
        <v>8528.3546240776523</v>
      </c>
      <c r="Q199" s="7">
        <f>IFERROR(VLOOKUP(Tabla145[[#This Row],[Llave]],[17]DELAY!$A:$D,4,FALSE),0)</f>
        <v>5000</v>
      </c>
      <c r="R199" s="9">
        <v>10000</v>
      </c>
      <c r="S199" s="5">
        <f t="shared" si="7"/>
        <v>5000</v>
      </c>
      <c r="T199" s="76">
        <v>0</v>
      </c>
      <c r="U199" s="5">
        <f>+Tabla145[[#This Row],[Atraso a facturar]]+Tabla145[[#This Row],[Ajuste atraso]]</f>
        <v>5000</v>
      </c>
      <c r="V199" s="3">
        <f>+Tabla145[[#This Row],[Total disponible]]-Tabla145[[#This Row],[Facturación atraso]]</f>
        <v>3528.3546240776523</v>
      </c>
      <c r="W199" s="6">
        <f>IFERROR(IF(AND(V199&gt;R199,J199&gt;=R199),ROUNDDOWN((Tabla145[[#This Row],[Producción para venta nueva]])/R199,0)*R199,0),0)</f>
        <v>0</v>
      </c>
      <c r="X199" s="76">
        <v>0</v>
      </c>
      <c r="Y199" s="6">
        <f>IF(Tabla145[[#This Row],[Venta del mes]]&gt;0,Tabla145[[#This Row],[Venta del mes]]+Tabla145[[#This Row],[Ajuste venta nueva]],0)</f>
        <v>0</v>
      </c>
      <c r="Z199" s="6">
        <f>+Tabla145[[#This Row],[Producción para venta nueva]]-Tabla145[[#This Row],[Facturación Venta nueva]]</f>
        <v>3528.3546240776523</v>
      </c>
      <c r="AA199" s="6">
        <f>IF(AND(A199=1,Tabla145[[#This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199" s="6">
        <v>0</v>
      </c>
      <c r="AC199" s="6">
        <f>IF(Tabla145[[#This Row],[Disponible stock sin venta]]&gt;0,Tabla145[[#This Row],[Disponible stock sin venta]]+Tabla145[[#This Row],[Ajuste stock sin venta]],0)</f>
        <v>0</v>
      </c>
      <c r="AD199" s="3">
        <f>IFERROR(VLOOKUP(Tabla145[[#This Row],[Llave]],'[16]TD Puerto'!$A:$D,4,FALSE),0)</f>
        <v>0</v>
      </c>
      <c r="AE199" s="3">
        <v>5000</v>
      </c>
      <c r="AF199" s="3">
        <f>+Tabla145[[#This Row],[Plan Irrestricto Inicial]]</f>
        <v>5000</v>
      </c>
      <c r="AG199" s="3">
        <f>+Tabla145[[#This Row],[En puerto a facturar]]</f>
        <v>0</v>
      </c>
      <c r="AH199" s="3">
        <f>+Tabla145[[#This Row],[Facturación atraso]]</f>
        <v>5000</v>
      </c>
      <c r="AI199" s="3">
        <f>+Tabla145[[#This Row],[Plan Irrestricto]]-Tabla145[[#This Row],[Puerto ]]-Tabla145[[#This Row],[Atraso]]</f>
        <v>0</v>
      </c>
      <c r="AJ199" s="3">
        <f>IF(Tabla145[[#This Row],[Plan Irrestricto]]&gt;0,SUM(Tabla145[[#This Row],[Facturación atraso]],Tabla145[[#This Row],[Facturación Venta nueva]],Tabla145[[#This Row],[Facturación stock]],Tabla145[[#This Row],[En puerto a facturar]]),0)</f>
        <v>5000</v>
      </c>
      <c r="AK199" s="3">
        <f>+Tabla145[[#This Row],[Facturación atraso]]</f>
        <v>5000</v>
      </c>
      <c r="AL199" s="3">
        <f>+Tabla145[[#This Row],[Plan Ajustado]]-Tabla145[[#This Row],[ Atraso ajustado]]-Tabla145[[#This Row],[Puerto ]]</f>
        <v>0</v>
      </c>
      <c r="AM199" s="6">
        <f>IFERROR(VLOOKUP(Tabla145[[#This Row],[Llave]],[18]!Tabla14[#All],34,FALSE),0)</f>
        <v>0</v>
      </c>
      <c r="AN199" s="6">
        <f>IFERROR(VLOOKUP(Tabla145[[#This Row],[Llave]],[18]!Tabla14[#All],35,FALSE),0)</f>
        <v>0</v>
      </c>
      <c r="AO199" s="3" t="str">
        <f>IF(Tabla145[[#This Row],[Plan Ajustado]]&gt;Tabla145[[#This Row],[En puerto a facturar]],"Si","No")</f>
        <v>Si</v>
      </c>
      <c r="AP199" s="3">
        <f>IF(AND(Tabla145[[#This Row],[Plan Ajustado]]&gt;0,Tabla145[[#This Row],[Plan Ajustado]]&gt;Tabla145[[#This Row],[En puerto a facturar]]),(Tabla145[[#This Row],[Plan Ajustado]]-Tabla145[[#This Row],[En puerto a facturar]]),0)</f>
        <v>5000</v>
      </c>
      <c r="AQ199" s="3">
        <f>IF(Tabla145[[#This Row],[Necesidad]]&gt;=Tabla145[[#This Row],[Stock al día]],Tabla145[[#This Row],[Stock al día]],Tabla145[[#This Row],[Necesidad]])</f>
        <v>1260</v>
      </c>
      <c r="AR199" s="3">
        <f>+Tabla145[[#This Row],[Necesidad]]-Tabla145[[#This Row],[Stock Plan]]</f>
        <v>3740</v>
      </c>
      <c r="AS199" s="155">
        <f>IFERROR(VLOOKUP(Tabla145[[#This Row],[Oficina]],[19]Ponderación!$B$14:$E$21,4,FALSE),"")</f>
        <v>44800</v>
      </c>
      <c r="AT19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4.7519999999999998</v>
      </c>
      <c r="AU199" s="83">
        <f>IFERROR(VLOOKUP(Tabla145[[#This Row],[Llave]],[17]DELAY!$H:$W,16,FALSE),0)</f>
        <v>4.2384909400000002</v>
      </c>
      <c r="AV19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4.2384909400000002</v>
      </c>
      <c r="AW199" s="5">
        <f>Tabla145[[#This Row],[Ajuste precio IC]]*Tabla145[[#This Row],[Plan Ajustado]]</f>
        <v>21192.454700000002</v>
      </c>
      <c r="AX199" s="30">
        <f>IFERROR(VLOOKUP(Tabla145[[#This Row],[Llave]],'[13]Ultimos precios facturados'!$A:$G,7,FALSE),0)</f>
        <v>4.3200179318768388</v>
      </c>
      <c r="AY19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1.8871910525014676E-2</v>
      </c>
      <c r="AZ199" s="30">
        <f>IFERROR(VLOOKUP(Tabla145[[#This Row],[Llave]],Hoja2!B:K,10,FALSE),0)</f>
        <v>4.2384909400000002</v>
      </c>
      <c r="BA199" s="30">
        <f>IF(Tabla145[[#This Row],[Ajuste precio IC]]="",Tabla145[[#This Row],[Precio ponderado]],Tabla145[[#This Row],[Precio ponderado]])</f>
        <v>4.2384909400000002</v>
      </c>
      <c r="BB199" s="82"/>
      <c r="BC199" s="82" t="str">
        <f>IF(AND(Tabla145[[#This Row],[Atraso a facturar]]&gt;0,Tabla145[[#This Row],[Precio Atraso]]=0),"Revisar","OK")</f>
        <v>OK</v>
      </c>
      <c r="BD199" s="82" t="str">
        <f>IF(AND(Tabla145[[#This Row],[Venta del mes]]&gt;0,Tabla145[[#This Row],[Precio venta nueva]]=0),"Revisar","OK")</f>
        <v>OK</v>
      </c>
      <c r="BE199" s="20">
        <f>IFERROR(VLOOKUP(Tabla145[[#This Row],[Llave]],'[5]Consolidación planes'!$A:$M,9,FALSE),0)</f>
        <v>0</v>
      </c>
      <c r="BF199" s="20">
        <f>IFERROR(VLOOKUP(Tabla145[[#This Row],[Llave]],'[5]Consolidación planes'!$A:$M,10,FALSE),0)</f>
        <v>0</v>
      </c>
      <c r="BG199" s="20">
        <f>IFERROR(VLOOKUP(Tabla145[[#This Row],[Llave]],'[5]Consolidación planes'!$A:$M,11,FALSE),0)</f>
        <v>3000</v>
      </c>
      <c r="BH199" s="20">
        <f>IFERROR(VLOOKUP(Tabla145[[#This Row],[Llave]],'[5]Consolidación planes'!$A:$M,12,FALSE),0)</f>
        <v>8000</v>
      </c>
      <c r="BI199" s="20">
        <f>IFERROR(VLOOKUP(Tabla145[[#This Row],[Llave]],'[5]Consolidación planes'!$A:$M,13,FALSE),0)</f>
        <v>8214</v>
      </c>
      <c r="BJ199" s="20">
        <f>IFERROR(VLOOKUP(Tabla145[[#This Row],[Llave]],'[13]Base ultimos planes'!$A:$M,13,FALSE),0)</f>
        <v>5000</v>
      </c>
      <c r="BK199" s="80">
        <f>IFERROR(VLOOKUP(Tabla145[[#This Row],[Llave]],'[13]Base ultimos planes'!$O:$AA,8,FALSE),0)</f>
        <v>0</v>
      </c>
      <c r="BL199" s="20">
        <f>IFERROR(VLOOKUP(Tabla145[[#This Row],[Llave]],'[13]Base ultimos planes'!$O:$AA,9,FALSE),0)</f>
        <v>0</v>
      </c>
      <c r="BM199" s="20">
        <f>IFERROR(VLOOKUP(Tabla145[[#This Row],[Llave]],'[13]Base ultimos planes'!$O:$AA,10,FALSE),0)</f>
        <v>7484</v>
      </c>
      <c r="BN199" s="20">
        <f>IFERROR(VLOOKUP(Tabla145[[#This Row],[Llave]],'[13]Base ultimos planes'!$O:$AA,11,FALSE),0)</f>
        <v>37402</v>
      </c>
      <c r="BO199" s="20">
        <f>IFERROR(VLOOKUP(Tabla145[[#This Row],[Llave]],'[13]Base ultimos planes'!$O:$AA,12,FALSE),0)</f>
        <v>36664</v>
      </c>
      <c r="BP199" s="20">
        <f>IFERROR(VLOOKUP(Tabla145[[#This Row],[Llave]],'[13]Base ultimos planes'!$O:$AA,13,FALSE),0)</f>
        <v>20861</v>
      </c>
      <c r="BQ199" s="20"/>
      <c r="BR199" s="20">
        <f>Tabla145[[#This Row],[ RV Producción mes n+1]]*(1-Tabla145[[#This Row],[% Uti. producción]])</f>
        <v>1069.3267739206055</v>
      </c>
      <c r="BS199" s="20">
        <f>+Tabla145[[#This Row],[Producción disponible mes n-1]]+Tabla145[[#This Row],[Saldo Volumen disponible]]</f>
        <v>4597.681397998258</v>
      </c>
      <c r="BT199" s="7">
        <f>IFERROR(VLOOKUP(Tabla145[[#This Row],[Llave]],'[21]RV n+2 y n+3'!$B:$F,4,FALSE),0)</f>
        <v>0</v>
      </c>
      <c r="BU199" s="7">
        <f>+Tabla145[[#This Row],[Asignación mes n+2]]*Tabla145[[#This Row],[% Uti. producción]]</f>
        <v>0</v>
      </c>
      <c r="BV199" s="7">
        <f>+Tabla145[[#This Row],[Ponderación mes n+2]]+Tabla145[[#This Row],[Saldo mes n-1]]</f>
        <v>4597.681397998258</v>
      </c>
      <c r="BW199" s="7">
        <f>+Tabla145[[#This Row],[Asignación mes n+2]]-Tabla145[[#This Row],[Ponderación mes n+2]]</f>
        <v>0</v>
      </c>
      <c r="BX199" s="7">
        <f>IFERROR(VLOOKUP(Tabla145[[#This Row],[Llave]],'[21]RV n+2 y n+3'!$B:$F,5,FALSE),0)</f>
        <v>0</v>
      </c>
      <c r="BY199" s="7">
        <f>+Tabla145[[#This Row],[Asignación mes n+3]]*Tabla145[[#This Row],[% Uti. producción]]</f>
        <v>0</v>
      </c>
      <c r="BZ199" s="3">
        <f>+Tabla145[[#This Row],[Ponderación mes n+3]]+Tabla145[[#This Row],[Saldo mes n+2]]</f>
        <v>0</v>
      </c>
      <c r="CA199" s="3">
        <f>+Tabla145[[#This Row],[Asignación mes n+3]]-Tabla145[[#This Row],[Ponderación mes n+3]]</f>
        <v>0</v>
      </c>
      <c r="CB199" s="3">
        <f>+Tabla145[[#This Row],[Producción disponible mes n-1]]+Tabla145[[#This Row],[Producción disponible]]</f>
        <v>8327</v>
      </c>
      <c r="CC199" s="3">
        <f>+Tabla145[[#This Row],[Saldo mes n+4]]-Tabla145[[#This Row],[ RV Producción mes n+1]]</f>
        <v>0</v>
      </c>
    </row>
    <row r="200" spans="1:81" ht="16" x14ac:dyDescent="0.2">
      <c r="A200">
        <v>1</v>
      </c>
      <c r="B200" t="str">
        <f>Tabla145[[#This Row],[Oficina]]&amp;Tabla145[[#This Row],[Material]]</f>
        <v>Exportacion Directa1023352</v>
      </c>
      <c r="C200" t="s">
        <v>6</v>
      </c>
      <c r="D200" t="s">
        <v>88</v>
      </c>
      <c r="E200">
        <v>1023352</v>
      </c>
      <c r="F200" t="s">
        <v>304</v>
      </c>
      <c r="G200" t="s">
        <v>56</v>
      </c>
      <c r="H200" t="s">
        <v>57</v>
      </c>
      <c r="I200" s="7">
        <f>IFERROR(VLOOKUP(Tabla145[[#This Row],[Llave]],'[7]RV Producción'!$C:$G,5,FALSE),0)</f>
        <v>26631</v>
      </c>
      <c r="J200" s="3">
        <f>IFERROR(IF(Tabla145[[#This Row],[Oficina]]=$I$7,VLOOKUP(Tabla145[[#This Row],[Llave]],'[7]Shangai (Tomas)'!$A:$F,6,FALSE),VLOOKUP(Tabla145[[#This Row],[Llave]],'[7]RV plan de ventas'!$A:$E,5,FALSE)),0)</f>
        <v>40000</v>
      </c>
      <c r="K200" s="8">
        <f>IFERROR(VLOOKUP(Tabla145[[#This Row],[Oficina]],[15]Ponderación!$B$2:$E$9,4,FALSE),0)</f>
        <v>0.87158319035419651</v>
      </c>
      <c r="L200" s="7">
        <f>+Tabla145[[#This Row],[ RV Producción mes n+1]]*Tabla145[[#This Row],[% Uti. producción]]</f>
        <v>23211.131942322609</v>
      </c>
      <c r="M200" s="7">
        <f>IFERROR(VLOOKUP(Tabla145[[#This Row],[Material]],[16]Stock!$G:$K,5,FALSE),0)</f>
        <v>15606</v>
      </c>
      <c r="N200" s="7">
        <f>IFERROR(VLOOKUP(Tabla145[[#This Row],[Material]],[16]Produccion!$M:$N,2,FALSE),0)</f>
        <v>34321.68572210722</v>
      </c>
      <c r="O200" s="7">
        <f>IFERROR(VLOOKUP(Tabla145[[#This Row],[Llave]],'[16]TD Conf-AP'!$I:$M,4,FALSE),0)</f>
        <v>12500</v>
      </c>
      <c r="P200" s="14">
        <f>SUM(Tabla145[[#This Row],[Producción disponible]],Tabla145[[#This Row],[Stock al día]],(Tabla145[[#This Row],[Por producir mes N]]*0.9))-Tabla145[[#This Row],[Producción por despachar mes N]]</f>
        <v>57206.649092219101</v>
      </c>
      <c r="Q200" s="7">
        <f>IFERROR(VLOOKUP(Tabla145[[#This Row],[Llave]],[17]DELAY!$A:$D,4,FALSE),0)</f>
        <v>28000</v>
      </c>
      <c r="R200" s="9">
        <v>6470.588235294118</v>
      </c>
      <c r="S200" s="5">
        <f t="shared" si="7"/>
        <v>28000</v>
      </c>
      <c r="T200" s="76">
        <v>0</v>
      </c>
      <c r="U200" s="5">
        <f>+Tabla145[[#This Row],[Atraso a facturar]]+Tabla145[[#This Row],[Ajuste atraso]]</f>
        <v>28000</v>
      </c>
      <c r="V200" s="3">
        <f>+Tabla145[[#This Row],[Total disponible]]-Tabla145[[#This Row],[Facturación atraso]]</f>
        <v>29206.649092219101</v>
      </c>
      <c r="W200" s="6">
        <f>IFERROR(IF(AND(V200&gt;R200,J200&gt;=R200),ROUNDDOWN((Tabla145[[#This Row],[Producción para venta nueva]])/R200,0)*R200,0),0)</f>
        <v>25882.352941176472</v>
      </c>
      <c r="X200" s="76">
        <v>-16620</v>
      </c>
      <c r="Y200" s="6">
        <f>IF(Tabla145[[#This Row],[Venta del mes]]&gt;0,Tabla145[[#This Row],[Venta del mes]]+Tabla145[[#This Row],[Ajuste venta nueva]],0)</f>
        <v>9262.3529411764721</v>
      </c>
      <c r="Z200" s="6">
        <f>+Tabla145[[#This Row],[Producción para venta nueva]]-Tabla145[[#This Row],[Facturación Venta nueva]]</f>
        <v>19944.296151042628</v>
      </c>
      <c r="AA200" s="6">
        <f>IF(AND(A200=1,Tabla145[[#This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00" s="6">
        <v>0</v>
      </c>
      <c r="AC200" s="6">
        <f>IF(Tabla145[[#This Row],[Disponible stock sin venta]]&gt;0,Tabla145[[#This Row],[Disponible stock sin venta]]+Tabla145[[#This Row],[Ajuste stock sin venta]],0)</f>
        <v>0</v>
      </c>
      <c r="AD200" s="3">
        <f>IFERROR(VLOOKUP(Tabla145[[#This Row],[Llave]],'[16]TD Puerto'!$A:$D,4,FALSE),0)</f>
        <v>0</v>
      </c>
      <c r="AE200" s="3">
        <v>73294.117647058825</v>
      </c>
      <c r="AF200" s="3">
        <f>+Tabla145[[#This Row],[Plan Irrestricto Inicial]]</f>
        <v>73294.117647058825</v>
      </c>
      <c r="AG200" s="3">
        <f>+Tabla145[[#This Row],[En puerto a facturar]]</f>
        <v>0</v>
      </c>
      <c r="AH200" s="3">
        <f>+Tabla145[[#This Row],[Facturación atraso]]</f>
        <v>28000</v>
      </c>
      <c r="AI200" s="3">
        <f>+Tabla145[[#This Row],[Plan Irrestricto]]-Tabla145[[#This Row],[Puerto ]]-Tabla145[[#This Row],[Atraso]]</f>
        <v>45294.117647058825</v>
      </c>
      <c r="AJ200" s="3">
        <f>IF(Tabla145[[#This Row],[Plan Irrestricto]]&gt;0,SUM(Tabla145[[#This Row],[Facturación atraso]],Tabla145[[#This Row],[Facturación Venta nueva]],Tabla145[[#This Row],[Facturación stock]],Tabla145[[#This Row],[En puerto a facturar]]),0)</f>
        <v>37262.352941176476</v>
      </c>
      <c r="AK200" s="3">
        <f>+Tabla145[[#This Row],[Facturación atraso]]</f>
        <v>28000</v>
      </c>
      <c r="AL200" s="3">
        <f>+Tabla145[[#This Row],[Plan Ajustado]]-Tabla145[[#This Row],[ Atraso ajustado]]-Tabla145[[#This Row],[Puerto ]]</f>
        <v>9262.3529411764757</v>
      </c>
      <c r="AM200" s="6">
        <f>IFERROR(VLOOKUP(Tabla145[[#This Row],[Llave]],[18]!Tabla14[#All],34,FALSE),0)</f>
        <v>0</v>
      </c>
      <c r="AN200" s="6">
        <f>IFERROR(VLOOKUP(Tabla145[[#This Row],[Llave]],[18]!Tabla14[#All],35,FALSE),0)</f>
        <v>0</v>
      </c>
      <c r="AO200" s="3" t="str">
        <f>IF(Tabla145[[#This Row],[Plan Ajustado]]&gt;Tabla145[[#This Row],[En puerto a facturar]],"Si","No")</f>
        <v>Si</v>
      </c>
      <c r="AP200" s="3">
        <f>IF(AND(Tabla145[[#This Row],[Plan Ajustado]]&gt;0,Tabla145[[#This Row],[Plan Ajustado]]&gt;Tabla145[[#This Row],[En puerto a facturar]]),(Tabla145[[#This Row],[Plan Ajustado]]-Tabla145[[#This Row],[En puerto a facturar]]),0)</f>
        <v>37262.352941176476</v>
      </c>
      <c r="AQ200" s="3">
        <f>IF(Tabla145[[#This Row],[Necesidad]]&gt;=Tabla145[[#This Row],[Stock al día]],Tabla145[[#This Row],[Stock al día]],Tabla145[[#This Row],[Necesidad]])</f>
        <v>15606</v>
      </c>
      <c r="AR200" s="3">
        <f>+Tabla145[[#This Row],[Necesidad]]-Tabla145[[#This Row],[Stock Plan]]</f>
        <v>21656.352941176476</v>
      </c>
      <c r="AS200" s="155">
        <f>IFERROR(VLOOKUP(Tabla145[[#This Row],[Oficina]],[19]Ponderación!$B$14:$E$21,4,FALSE),"")</f>
        <v>44800</v>
      </c>
      <c r="AT20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5.04</v>
      </c>
      <c r="AU200" s="83">
        <f>IFERROR(VLOOKUP(Tabla145[[#This Row],[Llave]],[17]DELAY!$H:$W,16,FALSE),0)</f>
        <v>4.4167922974776781</v>
      </c>
      <c r="AV20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4.571703870172346</v>
      </c>
      <c r="AW200" s="5">
        <f>Tabla145[[#This Row],[Ajuste precio IC]]*Tabla145[[#This Row],[Plan Ajustado]]</f>
        <v>170352.44315290439</v>
      </c>
      <c r="AX200" s="30">
        <f>IFERROR(VLOOKUP(Tabla145[[#This Row],[Llave]],'[13]Ultimos precios facturados'!$A:$G,7,FALSE),0)</f>
        <v>4.4209225537576984</v>
      </c>
      <c r="AY20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3.41063012484773E-2</v>
      </c>
      <c r="AZ200" s="30">
        <f>IFERROR(VLOOKUP(Tabla145[[#This Row],[Llave]],Hoja2!B:K,10,FALSE),0)</f>
        <v>4.571703870172346</v>
      </c>
      <c r="BA200" s="30">
        <f>IF(Tabla145[[#This Row],[Ajuste precio IC]]="",Tabla145[[#This Row],[Precio ponderado]],Tabla145[[#This Row],[Precio ponderado]])</f>
        <v>4.571703870172346</v>
      </c>
      <c r="BB200" s="82"/>
      <c r="BC200" s="82" t="str">
        <f>IF(AND(Tabla145[[#This Row],[Atraso a facturar]]&gt;0,Tabla145[[#This Row],[Precio Atraso]]=0),"Revisar","OK")</f>
        <v>OK</v>
      </c>
      <c r="BD200" s="82" t="str">
        <f>IF(AND(Tabla145[[#This Row],[Venta del mes]]&gt;0,Tabla145[[#This Row],[Precio venta nueva]]=0),"Revisar","OK")</f>
        <v>OK</v>
      </c>
      <c r="BE200" s="20">
        <f>IFERROR(VLOOKUP(Tabla145[[#This Row],[Llave]],'[5]Consolidación planes'!$A:$M,9,FALSE),0)</f>
        <v>0</v>
      </c>
      <c r="BF200" s="20">
        <f>IFERROR(VLOOKUP(Tabla145[[#This Row],[Llave]],'[5]Consolidación planes'!$A:$M,10,FALSE),0)</f>
        <v>0</v>
      </c>
      <c r="BG200" s="20">
        <f>IFERROR(VLOOKUP(Tabla145[[#This Row],[Llave]],'[5]Consolidación planes'!$A:$M,11,FALSE),0)</f>
        <v>0</v>
      </c>
      <c r="BH200" s="20">
        <f>IFERROR(VLOOKUP(Tabla145[[#This Row],[Llave]],'[5]Consolidación planes'!$A:$M,12,FALSE),0)</f>
        <v>45000</v>
      </c>
      <c r="BI200" s="20">
        <f>IFERROR(VLOOKUP(Tabla145[[#This Row],[Llave]],'[5]Consolidación planes'!$A:$M,13,FALSE),0)</f>
        <v>118342</v>
      </c>
      <c r="BJ200" s="20">
        <f>IFERROR(VLOOKUP(Tabla145[[#This Row],[Llave]],'[13]Base ultimos planes'!$A:$M,13,FALSE),0)</f>
        <v>77647</v>
      </c>
      <c r="BK200" s="80">
        <f>IFERROR(VLOOKUP(Tabla145[[#This Row],[Llave]],'[13]Base ultimos planes'!$O:$AA,8,FALSE),0)</f>
        <v>0</v>
      </c>
      <c r="BL200" s="20">
        <f>IFERROR(VLOOKUP(Tabla145[[#This Row],[Llave]],'[13]Base ultimos planes'!$O:$AA,9,FALSE),0)</f>
        <v>0</v>
      </c>
      <c r="BM200" s="20">
        <f>IFERROR(VLOOKUP(Tabla145[[#This Row],[Llave]],'[13]Base ultimos planes'!$O:$AA,10,FALSE),0)</f>
        <v>0</v>
      </c>
      <c r="BN200" s="20">
        <f>IFERROR(VLOOKUP(Tabla145[[#This Row],[Llave]],'[13]Base ultimos planes'!$O:$AA,11,FALSE),0)</f>
        <v>217858</v>
      </c>
      <c r="BO200" s="20">
        <f>IFERROR(VLOOKUP(Tabla145[[#This Row],[Llave]],'[13]Base ultimos planes'!$O:$AA,12,FALSE),0)</f>
        <v>566146</v>
      </c>
      <c r="BP200" s="20">
        <f>IFERROR(VLOOKUP(Tabla145[[#This Row],[Llave]],'[13]Base ultimos planes'!$O:$AA,13,FALSE),0)</f>
        <v>344236</v>
      </c>
      <c r="BQ200" s="20"/>
      <c r="BR200" s="20">
        <f>Tabla145[[#This Row],[ RV Producción mes n+1]]*(1-Tabla145[[#This Row],[% Uti. producción]])</f>
        <v>3419.8680576773927</v>
      </c>
      <c r="BS200" s="20">
        <f>+Tabla145[[#This Row],[Producción disponible mes n-1]]+Tabla145[[#This Row],[Saldo Volumen disponible]]</f>
        <v>23364.16420872002</v>
      </c>
      <c r="BT200" s="7">
        <f>IFERROR(VLOOKUP(Tabla145[[#This Row],[Llave]],'[21]RV n+2 y n+3'!$B:$F,4,FALSE),0)</f>
        <v>0</v>
      </c>
      <c r="BU200" s="7">
        <f>+Tabla145[[#This Row],[Asignación mes n+2]]*Tabla145[[#This Row],[% Uti. producción]]</f>
        <v>0</v>
      </c>
      <c r="BV200" s="7">
        <f>+Tabla145[[#This Row],[Ponderación mes n+2]]+Tabla145[[#This Row],[Saldo mes n-1]]</f>
        <v>23364.16420872002</v>
      </c>
      <c r="BW200" s="7">
        <f>+Tabla145[[#This Row],[Asignación mes n+2]]-Tabla145[[#This Row],[Ponderación mes n+2]]</f>
        <v>0</v>
      </c>
      <c r="BX200" s="7">
        <f>IFERROR(VLOOKUP(Tabla145[[#This Row],[Llave]],'[21]RV n+2 y n+3'!$B:$F,5,FALSE),0)</f>
        <v>48873.96</v>
      </c>
      <c r="BY200" s="7">
        <f>+Tabla145[[#This Row],[Asignación mes n+3]]*Tabla145[[#This Row],[% Uti. producción]]</f>
        <v>42597.721982043382</v>
      </c>
      <c r="BZ200" s="3">
        <f>+Tabla145[[#This Row],[Ponderación mes n+3]]+Tabla145[[#This Row],[Saldo mes n+2]]</f>
        <v>42597.721982043382</v>
      </c>
      <c r="CA200" s="3">
        <f>+Tabla145[[#This Row],[Asignación mes n+3]]-Tabla145[[#This Row],[Ponderación mes n+3]]</f>
        <v>6276.2380179566171</v>
      </c>
      <c r="CB200" s="3">
        <f>+Tabla145[[#This Row],[Producción disponible mes n-1]]+Tabla145[[#This Row],[Producción disponible]]</f>
        <v>26631</v>
      </c>
      <c r="CC200" s="3">
        <f>+Tabla145[[#This Row],[Saldo mes n+4]]-Tabla145[[#This Row],[ RV Producción mes n+1]]</f>
        <v>0</v>
      </c>
    </row>
    <row r="201" spans="1:81" ht="16" x14ac:dyDescent="0.2">
      <c r="A201">
        <v>1</v>
      </c>
      <c r="B201" t="str">
        <f>Tabla145[[#This Row],[Oficina]]&amp;Tabla145[[#This Row],[Material]]</f>
        <v>Agro Sudamerica1030224</v>
      </c>
      <c r="C201" t="s">
        <v>204</v>
      </c>
      <c r="D201" t="s">
        <v>17</v>
      </c>
      <c r="E201">
        <v>1030224</v>
      </c>
      <c r="F201" t="s">
        <v>219</v>
      </c>
      <c r="G201" t="s">
        <v>217</v>
      </c>
      <c r="H201" t="s">
        <v>218</v>
      </c>
      <c r="I201" s="7">
        <f>IFERROR(VLOOKUP(Tabla145[[#This Row],[Llave]],'[7]RV Producción'!$C:$G,5,FALSE),0)</f>
        <v>7249</v>
      </c>
      <c r="J201" s="3">
        <f>IFERROR(IF(Tabla145[[#This Row],[Oficina]]=$I$7,VLOOKUP(Tabla145[[#This Row],[Llave]],'[7]Shangai (Tomas)'!$A:$F,6,FALSE),VLOOKUP(Tabla145[[#This Row],[Llave]],'[7]RV plan de ventas'!$A:$E,5,FALSE)),0)</f>
        <v>24000</v>
      </c>
      <c r="K201" s="8">
        <f>IFERROR(VLOOKUP(Tabla145[[#This Row],[Oficina]],[15]Ponderación!$B$2:$E$9,4,FALSE),0)</f>
        <v>0.45719439678473212</v>
      </c>
      <c r="L201" s="7">
        <f>+Tabla145[[#This Row],[ RV Producción mes n+1]]*Tabla145[[#This Row],[% Uti. producción]]</f>
        <v>3314.202182292523</v>
      </c>
      <c r="M201" s="7">
        <f>IFERROR(VLOOKUP(Tabla145[[#This Row],[Material]],[16]Stock!$G:$K,5,FALSE),0)</f>
        <v>10525</v>
      </c>
      <c r="N201" s="7">
        <f>IFERROR(VLOOKUP(Tabla145[[#This Row],[Material]],[16]Produccion!$M:$N,2,FALSE),0)</f>
        <v>0</v>
      </c>
      <c r="O201" s="7">
        <f>IFERROR(VLOOKUP(Tabla145[[#This Row],[Llave]],'[16]TD Conf-AP'!$I:$M,4,FALSE),0)</f>
        <v>0</v>
      </c>
      <c r="P201" s="14">
        <f>SUM(Tabla145[[#This Row],[Producción disponible]],Tabla145[[#This Row],[Stock al día]],(Tabla145[[#This Row],[Por producir mes N]]*0.9))-Tabla145[[#This Row],[Producción por despachar mes N]]</f>
        <v>13839.202182292524</v>
      </c>
      <c r="Q201" s="7">
        <f>IFERROR(VLOOKUP(Tabla145[[#This Row],[Llave]],[17]DELAY!$A:$D,4,FALSE),0)</f>
        <v>0</v>
      </c>
      <c r="R201" s="9">
        <v>24000</v>
      </c>
      <c r="S201" s="5">
        <f t="shared" si="7"/>
        <v>0</v>
      </c>
      <c r="T201" s="76">
        <v>0</v>
      </c>
      <c r="U201" s="5">
        <f>+Tabla145[[#This Row],[Atraso a facturar]]+Tabla145[[#This Row],[Ajuste atraso]]</f>
        <v>0</v>
      </c>
      <c r="V201" s="3">
        <f>+Tabla145[[#This Row],[Total disponible]]-Tabla145[[#This Row],[Facturación atraso]]</f>
        <v>13839.202182292524</v>
      </c>
      <c r="W201" s="6">
        <f>IFERROR(IF(AND(V201&gt;R201,J201&gt;=R201),ROUNDDOWN((Tabla145[[#This Row],[Producción para venta nueva]])/R201,0)*R201,0),0)</f>
        <v>0</v>
      </c>
      <c r="X201" s="76">
        <v>0</v>
      </c>
      <c r="Y201" s="6">
        <f>IF(Tabla145[[#This Row],[Venta del mes]]&gt;0,Tabla145[[#This Row],[Venta del mes]]+Tabla145[[#This Row],[Ajuste venta nueva]],0)</f>
        <v>0</v>
      </c>
      <c r="Z201" s="6">
        <f>+Tabla145[[#This Row],[Producción para venta nueva]]-Tabla145[[#This Row],[Facturación Venta nueva]]</f>
        <v>13839.202182292524</v>
      </c>
      <c r="AA201" s="6">
        <f>IF(AND(A201=1,Tabla145[[#This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01" s="6">
        <v>0</v>
      </c>
      <c r="AC201" s="6">
        <f>IF(Tabla145[[#This Row],[Disponible stock sin venta]]&gt;0,Tabla145[[#This Row],[Disponible stock sin venta]]+Tabla145[[#This Row],[Ajuste stock sin venta]],0)</f>
        <v>0</v>
      </c>
      <c r="AD201" s="3">
        <f>IFERROR(VLOOKUP(Tabla145[[#This Row],[Llave]],'[16]TD Puerto'!$A:$D,4,FALSE),0)</f>
        <v>0</v>
      </c>
      <c r="AE201" s="3">
        <v>72000</v>
      </c>
      <c r="AF201" s="3">
        <f>+Tabla145[[#This Row],[Plan Irrestricto Inicial]]</f>
        <v>72000</v>
      </c>
      <c r="AG201" s="3">
        <f>+Tabla145[[#This Row],[En puerto a facturar]]</f>
        <v>0</v>
      </c>
      <c r="AH201" s="3">
        <f>+Tabla145[[#This Row],[Facturación atraso]]</f>
        <v>0</v>
      </c>
      <c r="AI201" s="3">
        <f>+Tabla145[[#This Row],[Plan Irrestricto]]-Tabla145[[#This Row],[Puerto ]]-Tabla145[[#This Row],[Atraso]]</f>
        <v>72000</v>
      </c>
      <c r="AJ20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1" s="3">
        <f>+Tabla145[[#This Row],[Facturación atraso]]</f>
        <v>0</v>
      </c>
      <c r="AL201" s="3">
        <f>+Tabla145[[#This Row],[Plan Ajustado]]-Tabla145[[#This Row],[ Atraso ajustado]]-Tabla145[[#This Row],[Puerto ]]</f>
        <v>0</v>
      </c>
      <c r="AM201" s="6">
        <f>IFERROR(VLOOKUP(Tabla145[[#This Row],[Llave]],[18]!Tabla14[#All],34,FALSE),0)</f>
        <v>0</v>
      </c>
      <c r="AN201" s="6">
        <f>IFERROR(VLOOKUP(Tabla145[[#This Row],[Llave]],[18]!Tabla14[#All],35,FALSE),0)</f>
        <v>0</v>
      </c>
      <c r="AO201" s="3" t="str">
        <f>IF(Tabla145[[#This Row],[Plan Ajustado]]&gt;Tabla145[[#This Row],[En puerto a facturar]],"Si","No")</f>
        <v>No</v>
      </c>
      <c r="AP20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1" s="3">
        <f>IF(Tabla145[[#This Row],[Necesidad]]&gt;=Tabla145[[#This Row],[Stock al día]],Tabla145[[#This Row],[Stock al día]],Tabla145[[#This Row],[Necesidad]])</f>
        <v>0</v>
      </c>
      <c r="AR201" s="3">
        <f>+Tabla145[[#This Row],[Necesidad]]-Tabla145[[#This Row],[Stock Plan]]</f>
        <v>0</v>
      </c>
      <c r="AS201" s="155">
        <f>IFERROR(VLOOKUP(Tabla145[[#This Row],[Oficina]],[19]Ponderación!$B$14:$E$21,4,FALSE),"")</f>
        <v>44789</v>
      </c>
      <c r="AT20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2.1900416666666702</v>
      </c>
      <c r="AU201" s="83">
        <f>IFERROR(VLOOKUP(Tabla145[[#This Row],[Llave]],[17]DELAY!$H:$W,16,FALSE),0)</f>
        <v>0</v>
      </c>
      <c r="AV20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1" s="5">
        <f>Tabla145[[#This Row],[Ajuste precio IC]]*Tabla145[[#This Row],[Plan Ajustado]]</f>
        <v>0</v>
      </c>
      <c r="AX201" s="30">
        <f>IFERROR(VLOOKUP(Tabla145[[#This Row],[Llave]],'[13]Ultimos precios facturados'!$A:$G,7,FALSE),0)</f>
        <v>1.9830595639172326</v>
      </c>
      <c r="AY20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1" s="30">
        <f>IFERROR(VLOOKUP(Tabla145[[#This Row],[Llave]],Hoja2!B:K,10,FALSE),0)</f>
        <v>0</v>
      </c>
      <c r="BA201" s="30">
        <f>IF(Tabla145[[#This Row],[Ajuste precio IC]]="",Tabla145[[#This Row],[Precio ponderado]],Tabla145[[#This Row],[Precio ponderado]])</f>
        <v>0</v>
      </c>
      <c r="BB201" s="82"/>
      <c r="BC201" s="82" t="str">
        <f>IF(AND(Tabla145[[#This Row],[Atraso a facturar]]&gt;0,Tabla145[[#This Row],[Precio Atraso]]=0),"Revisar","OK")</f>
        <v>OK</v>
      </c>
      <c r="BD201" s="82" t="str">
        <f>IF(AND(Tabla145[[#This Row],[Venta del mes]]&gt;0,Tabla145[[#This Row],[Precio venta nueva]]=0),"Revisar","OK")</f>
        <v>OK</v>
      </c>
      <c r="BE201" s="20">
        <f>IFERROR(VLOOKUP(Tabla145[[#This Row],[Llave]],'[5]Consolidación planes'!$A:$M,9,FALSE),0)</f>
        <v>48000</v>
      </c>
      <c r="BF201" s="20">
        <f>IFERROR(VLOOKUP(Tabla145[[#This Row],[Llave]],'[5]Consolidación planes'!$A:$M,10,FALSE),0)</f>
        <v>72000</v>
      </c>
      <c r="BG201" s="20">
        <f>IFERROR(VLOOKUP(Tabla145[[#This Row],[Llave]],'[5]Consolidación planes'!$A:$M,11,FALSE),0)</f>
        <v>48000</v>
      </c>
      <c r="BH201" s="20">
        <f>IFERROR(VLOOKUP(Tabla145[[#This Row],[Llave]],'[5]Consolidación planes'!$A:$M,12,FALSE),0)</f>
        <v>48000</v>
      </c>
      <c r="BI201" s="20">
        <f>IFERROR(VLOOKUP(Tabla145[[#This Row],[Llave]],'[5]Consolidación planes'!$A:$M,13,FALSE),0)</f>
        <v>48000</v>
      </c>
      <c r="BJ201" s="20">
        <f>IFERROR(VLOOKUP(Tabla145[[#This Row],[Llave]],'[13]Base ultimos planes'!$A:$M,13,FALSE),0)</f>
        <v>168009</v>
      </c>
      <c r="BK201" s="80">
        <f>IFERROR(VLOOKUP(Tabla145[[#This Row],[Llave]],'[13]Base ultimos planes'!$O:$AA,8,FALSE),0)</f>
        <v>96960</v>
      </c>
      <c r="BL201" s="20">
        <f>IFERROR(VLOOKUP(Tabla145[[#This Row],[Llave]],'[13]Base ultimos planes'!$O:$AA,9,FALSE),0)</f>
        <v>151019</v>
      </c>
      <c r="BM201" s="20">
        <f>IFERROR(VLOOKUP(Tabla145[[#This Row],[Llave]],'[13]Base ultimos planes'!$O:$AA,10,FALSE),0)</f>
        <v>91200</v>
      </c>
      <c r="BN201" s="20">
        <f>IFERROR(VLOOKUP(Tabla145[[#This Row],[Llave]],'[13]Base ultimos planes'!$O:$AA,11,FALSE),0)</f>
        <v>89040</v>
      </c>
      <c r="BO201" s="20">
        <f>IFERROR(VLOOKUP(Tabla145[[#This Row],[Llave]],'[13]Base ultimos planes'!$O:$AA,12,FALSE),0)</f>
        <v>96480</v>
      </c>
      <c r="BP201" s="20">
        <f>IFERROR(VLOOKUP(Tabla145[[#This Row],[Llave]],'[13]Base ultimos planes'!$O:$AA,13,FALSE),0)</f>
        <v>363684</v>
      </c>
      <c r="BQ201" s="20"/>
      <c r="BR201" s="20">
        <f>Tabla145[[#This Row],[ RV Producción mes n+1]]*(1-Tabla145[[#This Row],[% Uti. producción]])</f>
        <v>3934.7978177074774</v>
      </c>
      <c r="BS201" s="20">
        <f>+Tabla145[[#This Row],[Producción disponible mes n-1]]+Tabla145[[#This Row],[Saldo Volumen disponible]]</f>
        <v>17774</v>
      </c>
      <c r="BT201" s="7">
        <f>IFERROR(VLOOKUP(Tabla145[[#This Row],[Llave]],'[21]RV n+2 y n+3'!$B:$F,4,FALSE),0)</f>
        <v>0</v>
      </c>
      <c r="BU201" s="7">
        <f>+Tabla145[[#This Row],[Asignación mes n+2]]*Tabla145[[#This Row],[% Uti. producción]]</f>
        <v>0</v>
      </c>
      <c r="BV201" s="7">
        <f>+Tabla145[[#This Row],[Ponderación mes n+2]]+Tabla145[[#This Row],[Saldo mes n-1]]</f>
        <v>17774</v>
      </c>
      <c r="BW201" s="7">
        <f>+Tabla145[[#This Row],[Asignación mes n+2]]-Tabla145[[#This Row],[Ponderación mes n+2]]</f>
        <v>0</v>
      </c>
      <c r="BX201" s="7">
        <f>IFERROR(VLOOKUP(Tabla145[[#This Row],[Llave]],'[21]RV n+2 y n+3'!$B:$F,5,FALSE),0)</f>
        <v>0</v>
      </c>
      <c r="BY201" s="7">
        <f>+Tabla145[[#This Row],[Asignación mes n+3]]*Tabla145[[#This Row],[% Uti. producción]]</f>
        <v>0</v>
      </c>
      <c r="BZ201" s="3">
        <f>+Tabla145[[#This Row],[Ponderación mes n+3]]+Tabla145[[#This Row],[Saldo mes n+2]]</f>
        <v>0</v>
      </c>
      <c r="CA201" s="3">
        <f>+Tabla145[[#This Row],[Asignación mes n+3]]-Tabla145[[#This Row],[Ponderación mes n+3]]</f>
        <v>0</v>
      </c>
      <c r="CB201" s="3">
        <f>+Tabla145[[#This Row],[Producción disponible mes n-1]]+Tabla145[[#This Row],[Producción disponible]]</f>
        <v>7249</v>
      </c>
      <c r="CC201" s="3">
        <f>+Tabla145[[#This Row],[Saldo mes n+4]]-Tabla145[[#This Row],[ RV Producción mes n+1]]</f>
        <v>0</v>
      </c>
    </row>
    <row r="202" spans="1:81" ht="16" x14ac:dyDescent="0.2">
      <c r="A202">
        <v>1</v>
      </c>
      <c r="B202" t="str">
        <f>Tabla145[[#This Row],[Oficina]]&amp;Tabla145[[#This Row],[Material]]</f>
        <v>Agro Sudamerica1030332</v>
      </c>
      <c r="C202" t="s">
        <v>204</v>
      </c>
      <c r="D202" t="s">
        <v>17</v>
      </c>
      <c r="E202">
        <v>1030332</v>
      </c>
      <c r="F202" t="s">
        <v>207</v>
      </c>
      <c r="G202" t="s">
        <v>205</v>
      </c>
      <c r="H202" t="s">
        <v>206</v>
      </c>
      <c r="I202" s="7">
        <f>IFERROR(VLOOKUP(Tabla145[[#This Row],[Llave]],'[7]RV Producción'!$C:$G,5,FALSE),0)</f>
        <v>0</v>
      </c>
      <c r="J202" s="3">
        <f>IFERROR(IF(Tabla145[[#This Row],[Oficina]]=$I$7,VLOOKUP(Tabla145[[#This Row],[Llave]],'[7]Shangai (Tomas)'!$A:$F,6,FALSE),VLOOKUP(Tabla145[[#This Row],[Llave]],'[7]RV plan de ventas'!$A:$E,5,FALSE)),0)</f>
        <v>38160</v>
      </c>
      <c r="K202" s="8">
        <f>IFERROR(VLOOKUP(Tabla145[[#This Row],[Oficina]],[15]Ponderación!$B$2:$E$9,4,FALSE),0)</f>
        <v>0.45719439678473212</v>
      </c>
      <c r="L202" s="7">
        <f>+Tabla145[[#This Row],[ RV Producción mes n+1]]*Tabla145[[#This Row],[% Uti. producción]]</f>
        <v>0</v>
      </c>
      <c r="M202" s="7">
        <f>IFERROR(VLOOKUP(Tabla145[[#This Row],[Material]],[16]Stock!$G:$K,5,FALSE),0)</f>
        <v>40160</v>
      </c>
      <c r="N202" s="7">
        <f>IFERROR(VLOOKUP(Tabla145[[#This Row],[Material]],[16]Produccion!$M:$N,2,FALSE),0)</f>
        <v>0</v>
      </c>
      <c r="O202" s="7">
        <f>IFERROR(VLOOKUP(Tabla145[[#This Row],[Llave]],'[16]TD Conf-AP'!$I:$M,4,FALSE),0)</f>
        <v>0</v>
      </c>
      <c r="P202" s="14">
        <f>SUM(Tabla145[[#This Row],[Producción disponible]],Tabla145[[#This Row],[Stock al día]],(Tabla145[[#This Row],[Por producir mes N]]*0.9))-Tabla145[[#This Row],[Producción por despachar mes N]]</f>
        <v>40160</v>
      </c>
      <c r="Q202" s="7">
        <f>IFERROR(VLOOKUP(Tabla145[[#This Row],[Llave]],[17]DELAY!$A:$D,4,FALSE),0)</f>
        <v>0</v>
      </c>
      <c r="R202" s="9">
        <v>24000</v>
      </c>
      <c r="S202" s="5">
        <f t="shared" ref="S202:S265" si="8">IF(AND(P202&gt;Q202,Q202&gt;0),Q202,IF(AND(P202&lt;Q202,Q202&gt;0),(ROUNDDOWN(P202/R202,0)*R202),0))</f>
        <v>0</v>
      </c>
      <c r="T202" s="76">
        <v>0</v>
      </c>
      <c r="U202" s="5">
        <f>+Tabla145[[#This Row],[Atraso a facturar]]+Tabla145[[#This Row],[Ajuste atraso]]</f>
        <v>0</v>
      </c>
      <c r="V202" s="3">
        <f>+Tabla145[[#This Row],[Total disponible]]-Tabla145[[#This Row],[Facturación atraso]]</f>
        <v>40160</v>
      </c>
      <c r="W202" s="6">
        <f>IFERROR(IF(AND(V202&gt;R202,J202&gt;=R202),ROUNDDOWN((Tabla145[[#This Row],[Producción para venta nueva]])/R202,0)*R202,0),0)</f>
        <v>24000</v>
      </c>
      <c r="X202" s="76">
        <v>-24000</v>
      </c>
      <c r="Y202" s="6">
        <f>IF(Tabla145[[#This Row],[Venta del mes]]&gt;0,Tabla145[[#This Row],[Venta del mes]]+Tabla145[[#This Row],[Ajuste venta nueva]],0)</f>
        <v>0</v>
      </c>
      <c r="Z202" s="6">
        <f>+Tabla145[[#This Row],[Producción para venta nueva]]-Tabla145[[#This Row],[Facturación Venta nueva]]</f>
        <v>40160</v>
      </c>
      <c r="AA202" s="6">
        <f>IF(AND(A202=1,Tabla145[[#This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02" s="6">
        <v>0</v>
      </c>
      <c r="AC202" s="6">
        <f>IF(Tabla145[[#This Row],[Disponible stock sin venta]]&gt;0,Tabla145[[#This Row],[Disponible stock sin venta]]+Tabla145[[#This Row],[Ajuste stock sin venta]],0)</f>
        <v>0</v>
      </c>
      <c r="AD202" s="3">
        <f>IFERROR(VLOOKUP(Tabla145[[#This Row],[Llave]],'[16]TD Puerto'!$A:$D,4,FALSE),0)</f>
        <v>0</v>
      </c>
      <c r="AE202" s="3">
        <v>24000</v>
      </c>
      <c r="AF202" s="3">
        <f>+Tabla145[[#This Row],[Plan Irrestricto Inicial]]</f>
        <v>24000</v>
      </c>
      <c r="AG202" s="3">
        <f>+Tabla145[[#This Row],[En puerto a facturar]]</f>
        <v>0</v>
      </c>
      <c r="AH202" s="3">
        <f>+Tabla145[[#This Row],[Facturación atraso]]</f>
        <v>0</v>
      </c>
      <c r="AI202" s="3">
        <f>+Tabla145[[#This Row],[Plan Irrestricto]]-Tabla145[[#This Row],[Puerto ]]-Tabla145[[#This Row],[Atraso]]</f>
        <v>24000</v>
      </c>
      <c r="AJ20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2" s="3">
        <f>+Tabla145[[#This Row],[Facturación atraso]]</f>
        <v>0</v>
      </c>
      <c r="AL202" s="3">
        <f>+Tabla145[[#This Row],[Plan Ajustado]]-Tabla145[[#This Row],[ Atraso ajustado]]-Tabla145[[#This Row],[Puerto ]]</f>
        <v>0</v>
      </c>
      <c r="AM202" s="6">
        <f>IFERROR(VLOOKUP(Tabla145[[#This Row],[Llave]],[18]!Tabla14[#All],34,FALSE),0)</f>
        <v>0</v>
      </c>
      <c r="AN202" s="6">
        <f>IFERROR(VLOOKUP(Tabla145[[#This Row],[Llave]],[18]!Tabla14[#All],35,FALSE),0)</f>
        <v>0</v>
      </c>
      <c r="AO202" s="3" t="str">
        <f>IF(Tabla145[[#This Row],[Plan Ajustado]]&gt;Tabla145[[#This Row],[En puerto a facturar]],"Si","No")</f>
        <v>No</v>
      </c>
      <c r="AP20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2" s="3">
        <f>IF(Tabla145[[#This Row],[Necesidad]]&gt;=Tabla145[[#This Row],[Stock al día]],Tabla145[[#This Row],[Stock al día]],Tabla145[[#This Row],[Necesidad]])</f>
        <v>0</v>
      </c>
      <c r="AR202" s="3">
        <f>+Tabla145[[#This Row],[Necesidad]]-Tabla145[[#This Row],[Stock Plan]]</f>
        <v>0</v>
      </c>
      <c r="AS202" s="155">
        <f>IFERROR(VLOOKUP(Tabla145[[#This Row],[Oficina]],[19]Ponderación!$B$14:$E$21,4,FALSE),"")</f>
        <v>44789</v>
      </c>
      <c r="AT20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1.5866614255765199</v>
      </c>
      <c r="AU202" s="83">
        <f>IFERROR(VLOOKUP(Tabla145[[#This Row],[Llave]],[17]DELAY!$H:$W,16,FALSE),0)</f>
        <v>0</v>
      </c>
      <c r="AV20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2" s="5">
        <f>Tabla145[[#This Row],[Ajuste precio IC]]*Tabla145[[#This Row],[Plan Ajustado]]</f>
        <v>0</v>
      </c>
      <c r="AX202" s="30">
        <f>IFERROR(VLOOKUP(Tabla145[[#This Row],[Llave]],'[13]Ultimos precios facturados'!$A:$G,7,FALSE),0)</f>
        <v>1.4685837500000001</v>
      </c>
      <c r="AY20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2" s="30">
        <f>IFERROR(VLOOKUP(Tabla145[[#This Row],[Llave]],Hoja2!B:K,10,FALSE),0)</f>
        <v>0</v>
      </c>
      <c r="BA202" s="30">
        <f>IF(Tabla145[[#This Row],[Ajuste precio IC]]="",Tabla145[[#This Row],[Precio ponderado]],Tabla145[[#This Row],[Precio ponderado]])</f>
        <v>0</v>
      </c>
      <c r="BB202" s="82"/>
      <c r="BC202" s="82" t="str">
        <f>IF(AND(Tabla145[[#This Row],[Atraso a facturar]]&gt;0,Tabla145[[#This Row],[Precio Atraso]]=0),"Revisar","OK")</f>
        <v>OK</v>
      </c>
      <c r="BD202" s="82" t="str">
        <f>IF(AND(Tabla145[[#This Row],[Venta del mes]]&gt;0,Tabla145[[#This Row],[Precio venta nueva]]=0),"Revisar","OK")</f>
        <v>OK</v>
      </c>
      <c r="BE202" s="20">
        <f>IFERROR(VLOOKUP(Tabla145[[#This Row],[Llave]],'[5]Consolidación planes'!$A:$M,9,FALSE),0)</f>
        <v>48000</v>
      </c>
      <c r="BF202" s="20">
        <f>IFERROR(VLOOKUP(Tabla145[[#This Row],[Llave]],'[5]Consolidación planes'!$A:$M,10,FALSE),0)</f>
        <v>168000</v>
      </c>
      <c r="BG202" s="20">
        <f>IFERROR(VLOOKUP(Tabla145[[#This Row],[Llave]],'[5]Consolidación planes'!$A:$M,11,FALSE),0)</f>
        <v>72000</v>
      </c>
      <c r="BH202" s="20">
        <f>IFERROR(VLOOKUP(Tabla145[[#This Row],[Llave]],'[5]Consolidación planes'!$A:$M,12,FALSE),0)</f>
        <v>48000</v>
      </c>
      <c r="BI202" s="20">
        <f>IFERROR(VLOOKUP(Tabla145[[#This Row],[Llave]],'[5]Consolidación planes'!$A:$M,13,FALSE),0)</f>
        <v>48000</v>
      </c>
      <c r="BJ202" s="20">
        <f>IFERROR(VLOOKUP(Tabla145[[#This Row],[Llave]],'[13]Base ultimos planes'!$A:$M,13,FALSE),0)</f>
        <v>0</v>
      </c>
      <c r="BK202" s="80">
        <f>IFERROR(VLOOKUP(Tabla145[[#This Row],[Llave]],'[13]Base ultimos planes'!$O:$AA,8,FALSE),0)</f>
        <v>72000</v>
      </c>
      <c r="BL202" s="20">
        <f>IFERROR(VLOOKUP(Tabla145[[#This Row],[Llave]],'[13]Base ultimos planes'!$O:$AA,9,FALSE),0)</f>
        <v>251769</v>
      </c>
      <c r="BM202" s="20">
        <f>IFERROR(VLOOKUP(Tabla145[[#This Row],[Llave]],'[13]Base ultimos planes'!$O:$AA,10,FALSE),0)</f>
        <v>111840</v>
      </c>
      <c r="BN202" s="20">
        <f>IFERROR(VLOOKUP(Tabla145[[#This Row],[Llave]],'[13]Base ultimos planes'!$O:$AA,11,FALSE),0)</f>
        <v>64800</v>
      </c>
      <c r="BO202" s="20">
        <f>IFERROR(VLOOKUP(Tabla145[[#This Row],[Llave]],'[13]Base ultimos planes'!$O:$AA,12,FALSE),0)</f>
        <v>72000</v>
      </c>
      <c r="BP202" s="20">
        <f>IFERROR(VLOOKUP(Tabla145[[#This Row],[Llave]],'[13]Base ultimos planes'!$O:$AA,13,FALSE),0)</f>
        <v>0</v>
      </c>
      <c r="BQ202" s="20"/>
      <c r="BR202" s="20">
        <f>Tabla145[[#This Row],[ RV Producción mes n+1]]*(1-Tabla145[[#This Row],[% Uti. producción]])</f>
        <v>0</v>
      </c>
      <c r="BS202" s="20">
        <f>+Tabla145[[#This Row],[Producción disponible mes n-1]]+Tabla145[[#This Row],[Saldo Volumen disponible]]</f>
        <v>40160</v>
      </c>
      <c r="BT202" s="7">
        <f>IFERROR(VLOOKUP(Tabla145[[#This Row],[Llave]],'[21]RV n+2 y n+3'!$B:$F,4,FALSE),0)</f>
        <v>72000</v>
      </c>
      <c r="BU202" s="7">
        <f>+Tabla145[[#This Row],[Asignación mes n+2]]*Tabla145[[#This Row],[% Uti. producción]]</f>
        <v>32917.996568500712</v>
      </c>
      <c r="BV202" s="7">
        <f>+Tabla145[[#This Row],[Ponderación mes n+2]]+Tabla145[[#This Row],[Saldo mes n-1]]</f>
        <v>73077.996568500705</v>
      </c>
      <c r="BW202" s="7">
        <f>+Tabla145[[#This Row],[Asignación mes n+2]]-Tabla145[[#This Row],[Ponderación mes n+2]]</f>
        <v>39082.003431499288</v>
      </c>
      <c r="BX202" s="7">
        <f>IFERROR(VLOOKUP(Tabla145[[#This Row],[Llave]],'[21]RV n+2 y n+3'!$B:$F,5,FALSE),0)</f>
        <v>72000</v>
      </c>
      <c r="BY202" s="7">
        <f>+Tabla145[[#This Row],[Asignación mes n+3]]*Tabla145[[#This Row],[% Uti. producción]]</f>
        <v>32917.996568500712</v>
      </c>
      <c r="BZ202" s="3">
        <f>+Tabla145[[#This Row],[Ponderación mes n+3]]+Tabla145[[#This Row],[Saldo mes n+2]]</f>
        <v>72000</v>
      </c>
      <c r="CA202" s="3">
        <f>+Tabla145[[#This Row],[Asignación mes n+3]]-Tabla145[[#This Row],[Ponderación mes n+3]]</f>
        <v>39082.003431499288</v>
      </c>
      <c r="CB202" s="3">
        <f>+Tabla145[[#This Row],[Producción disponible mes n-1]]+Tabla145[[#This Row],[Producción disponible]]</f>
        <v>0</v>
      </c>
      <c r="CC202" s="3">
        <f>+Tabla145[[#This Row],[Saldo mes n+4]]-Tabla145[[#This Row],[ RV Producción mes n+1]]</f>
        <v>0</v>
      </c>
    </row>
    <row r="203" spans="1:81" ht="16" x14ac:dyDescent="0.2">
      <c r="A203">
        <v>1</v>
      </c>
      <c r="B203" t="str">
        <f>Tabla145[[#This Row],[Oficina]]&amp;Tabla145[[#This Row],[Material]]</f>
        <v>Agro Sudamerica1030498</v>
      </c>
      <c r="C203" t="s">
        <v>204</v>
      </c>
      <c r="D203" t="s">
        <v>17</v>
      </c>
      <c r="E203">
        <v>1030498</v>
      </c>
      <c r="F203" t="s">
        <v>211</v>
      </c>
      <c r="G203" t="s">
        <v>209</v>
      </c>
      <c r="H203" t="s">
        <v>210</v>
      </c>
      <c r="I203" s="7">
        <f>IFERROR(VLOOKUP(Tabla145[[#This Row],[Llave]],'[7]RV Producción'!$C:$G,5,FALSE),0)</f>
        <v>0</v>
      </c>
      <c r="J203" s="3">
        <f>IFERROR(IF(Tabla145[[#This Row],[Oficina]]=$I$7,VLOOKUP(Tabla145[[#This Row],[Llave]],'[7]Shangai (Tomas)'!$A:$F,6,FALSE),VLOOKUP(Tabla145[[#This Row],[Llave]],'[7]RV plan de ventas'!$A:$E,5,FALSE)),0)</f>
        <v>0</v>
      </c>
      <c r="K203" s="8">
        <f>IFERROR(VLOOKUP(Tabla145[[#This Row],[Oficina]],[15]Ponderación!$B$2:$E$9,4,FALSE),0)</f>
        <v>0.45719439678473212</v>
      </c>
      <c r="L203" s="7">
        <f>+Tabla145[[#This Row],[ RV Producción mes n+1]]*Tabla145[[#This Row],[% Uti. producción]]</f>
        <v>0</v>
      </c>
      <c r="M203" s="7">
        <f>IFERROR(VLOOKUP(Tabla145[[#This Row],[Material]],[16]Stock!$G:$K,5,FALSE),0)</f>
        <v>24060</v>
      </c>
      <c r="N203" s="7">
        <f>IFERROR(VLOOKUP(Tabla145[[#This Row],[Material]],[16]Produccion!$M:$N,2,FALSE),0)</f>
        <v>4630.0856103238402</v>
      </c>
      <c r="O203" s="7">
        <f>IFERROR(VLOOKUP(Tabla145[[#This Row],[Llave]],'[16]TD Conf-AP'!$I:$M,4,FALSE),0)</f>
        <v>0</v>
      </c>
      <c r="P203" s="14">
        <f>SUM(Tabla145[[#This Row],[Producción disponible]],Tabla145[[#This Row],[Stock al día]],(Tabla145[[#This Row],[Por producir mes N]]*0.9))-Tabla145[[#This Row],[Producción por despachar mes N]]</f>
        <v>28227.077049291456</v>
      </c>
      <c r="Q203" s="7">
        <f>IFERROR(VLOOKUP(Tabla145[[#This Row],[Llave]],[17]DELAY!$A:$D,4,FALSE),0)</f>
        <v>0</v>
      </c>
      <c r="R203" s="9">
        <v>24000</v>
      </c>
      <c r="S203" s="5">
        <f t="shared" si="8"/>
        <v>0</v>
      </c>
      <c r="T203" s="76">
        <v>0</v>
      </c>
      <c r="U203" s="5">
        <f>+Tabla145[[#This Row],[Atraso a facturar]]+Tabla145[[#This Row],[Ajuste atraso]]</f>
        <v>0</v>
      </c>
      <c r="V203" s="3">
        <f>+Tabla145[[#This Row],[Total disponible]]-Tabla145[[#This Row],[Facturación atraso]]</f>
        <v>28227.077049291456</v>
      </c>
      <c r="W203" s="6">
        <f>IFERROR(IF(AND(V203&gt;R203,J203&gt;=R203),ROUNDDOWN((Tabla145[[#This Row],[Producción para venta nueva]])/R203,0)*R203,0),0)</f>
        <v>0</v>
      </c>
      <c r="X203" s="76">
        <v>0</v>
      </c>
      <c r="Y203" s="6">
        <f>IF(Tabla145[[#This Row],[Venta del mes]]&gt;0,Tabla145[[#This Row],[Venta del mes]]+Tabla145[[#This Row],[Ajuste venta nueva]],0)</f>
        <v>0</v>
      </c>
      <c r="Z203" s="6">
        <f>+Tabla145[[#This Row],[Producción para venta nueva]]-Tabla145[[#This Row],[Facturación Venta nueva]]</f>
        <v>28227.077049291456</v>
      </c>
      <c r="AA203" s="6">
        <f>IF(AND(A203=1,Tabla145[[#This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24000</v>
      </c>
      <c r="AB203" s="6">
        <v>-24000</v>
      </c>
      <c r="AC203" s="6">
        <f>IF(Tabla145[[#This Row],[Disponible stock sin venta]]&gt;0,Tabla145[[#This Row],[Disponible stock sin venta]]+Tabla145[[#This Row],[Ajuste stock sin venta]],0)</f>
        <v>0</v>
      </c>
      <c r="AD203" s="3">
        <f>IFERROR(VLOOKUP(Tabla145[[#This Row],[Llave]],'[16]TD Puerto'!$A:$D,4,FALSE),0)</f>
        <v>0</v>
      </c>
      <c r="AE203" s="3">
        <v>0</v>
      </c>
      <c r="AF203" s="3">
        <f>+Tabla145[[#This Row],[Plan Irrestricto Inicial]]</f>
        <v>0</v>
      </c>
      <c r="AG203" s="3">
        <f>+Tabla145[[#This Row],[En puerto a facturar]]</f>
        <v>0</v>
      </c>
      <c r="AH203" s="3">
        <f>+Tabla145[[#This Row],[Facturación atraso]]</f>
        <v>0</v>
      </c>
      <c r="AI203" s="3">
        <f>+Tabla145[[#This Row],[Plan Irrestricto]]-Tabla145[[#This Row],[Puerto ]]-Tabla145[[#This Row],[Atraso]]</f>
        <v>0</v>
      </c>
      <c r="AJ20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3" s="3">
        <f>+Tabla145[[#This Row],[Facturación atraso]]</f>
        <v>0</v>
      </c>
      <c r="AL203" s="3">
        <f>+Tabla145[[#This Row],[Plan Ajustado]]-Tabla145[[#This Row],[ Atraso ajustado]]-Tabla145[[#This Row],[Puerto ]]</f>
        <v>0</v>
      </c>
      <c r="AM203" s="6">
        <f>IFERROR(VLOOKUP(Tabla145[[#This Row],[Llave]],[18]!Tabla14[#All],34,FALSE),0)</f>
        <v>0</v>
      </c>
      <c r="AN203" s="6">
        <f>IFERROR(VLOOKUP(Tabla145[[#This Row],[Llave]],[18]!Tabla14[#All],35,FALSE),0)</f>
        <v>0</v>
      </c>
      <c r="AO203" s="3" t="str">
        <f>IF(Tabla145[[#This Row],[Plan Ajustado]]&gt;Tabla145[[#This Row],[En puerto a facturar]],"Si","No")</f>
        <v>No</v>
      </c>
      <c r="AP20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3" s="3">
        <f>IF(Tabla145[[#This Row],[Necesidad]]&gt;=Tabla145[[#This Row],[Stock al día]],Tabla145[[#This Row],[Stock al día]],Tabla145[[#This Row],[Necesidad]])</f>
        <v>0</v>
      </c>
      <c r="AR203" s="3">
        <f>+Tabla145[[#This Row],[Necesidad]]-Tabla145[[#This Row],[Stock Plan]]</f>
        <v>0</v>
      </c>
      <c r="AS203" s="155">
        <f>IFERROR(VLOOKUP(Tabla145[[#This Row],[Oficina]],[19]Ponderación!$B$14:$E$21,4,FALSE),"")</f>
        <v>44789</v>
      </c>
      <c r="AT20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1.8314070833333331</v>
      </c>
      <c r="AU203" s="83">
        <f>IFERROR(VLOOKUP(Tabla145[[#This Row],[Llave]],[17]DELAY!$H:$W,16,FALSE),0)</f>
        <v>0</v>
      </c>
      <c r="AV20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3" s="5">
        <f>Tabla145[[#This Row],[Ajuste precio IC]]*Tabla145[[#This Row],[Plan Ajustado]]</f>
        <v>0</v>
      </c>
      <c r="AX203" s="30">
        <f>IFERROR(VLOOKUP(Tabla145[[#This Row],[Llave]],'[13]Ultimos precios facturados'!$A:$G,7,FALSE),0)</f>
        <v>1.8314070833333331</v>
      </c>
      <c r="AY20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3" s="30">
        <f>IFERROR(VLOOKUP(Tabla145[[#This Row],[Llave]],Hoja2!B:K,10,FALSE),0)</f>
        <v>0</v>
      </c>
      <c r="BA203" s="30">
        <f>IF(Tabla145[[#This Row],[Ajuste precio IC]]="",Tabla145[[#This Row],[Precio ponderado]],Tabla145[[#This Row],[Precio ponderado]])</f>
        <v>0</v>
      </c>
      <c r="BB203" s="82"/>
      <c r="BC203" s="82" t="str">
        <f>IF(AND(Tabla145[[#This Row],[Atraso a facturar]]&gt;0,Tabla145[[#This Row],[Precio Atraso]]=0),"Revisar","OK")</f>
        <v>OK</v>
      </c>
      <c r="BD203" s="82" t="str">
        <f>IF(AND(Tabla145[[#This Row],[Venta del mes]]&gt;0,Tabla145[[#This Row],[Precio venta nueva]]=0),"Revisar","OK")</f>
        <v>OK</v>
      </c>
      <c r="BE203" s="20">
        <f>IFERROR(VLOOKUP(Tabla145[[#This Row],[Llave]],'[5]Consolidación planes'!$A:$M,9,FALSE),0)</f>
        <v>0</v>
      </c>
      <c r="BF203" s="20">
        <f>IFERROR(VLOOKUP(Tabla145[[#This Row],[Llave]],'[5]Consolidación planes'!$A:$M,10,FALSE),0)</f>
        <v>0</v>
      </c>
      <c r="BG203" s="20">
        <f>IFERROR(VLOOKUP(Tabla145[[#This Row],[Llave]],'[5]Consolidación planes'!$A:$M,11,FALSE),0)</f>
        <v>0</v>
      </c>
      <c r="BH203" s="20">
        <f>IFERROR(VLOOKUP(Tabla145[[#This Row],[Llave]],'[5]Consolidación planes'!$A:$M,12,FALSE),0)</f>
        <v>0</v>
      </c>
      <c r="BI203" s="20">
        <f>IFERROR(VLOOKUP(Tabla145[[#This Row],[Llave]],'[5]Consolidación planes'!$A:$M,13,FALSE),0)</f>
        <v>0</v>
      </c>
      <c r="BJ203" s="20">
        <f>IFERROR(VLOOKUP(Tabla145[[#This Row],[Llave]],'[13]Base ultimos planes'!$A:$M,13,FALSE),0)</f>
        <v>0</v>
      </c>
      <c r="BK203" s="80">
        <f>IFERROR(VLOOKUP(Tabla145[[#This Row],[Llave]],'[13]Base ultimos planes'!$O:$AA,8,FALSE),0)</f>
        <v>0</v>
      </c>
      <c r="BL203" s="20">
        <f>IFERROR(VLOOKUP(Tabla145[[#This Row],[Llave]],'[13]Base ultimos planes'!$O:$AA,9,FALSE),0)</f>
        <v>0</v>
      </c>
      <c r="BM203" s="20">
        <f>IFERROR(VLOOKUP(Tabla145[[#This Row],[Llave]],'[13]Base ultimos planes'!$O:$AA,10,FALSE),0)</f>
        <v>0</v>
      </c>
      <c r="BN203" s="20">
        <f>IFERROR(VLOOKUP(Tabla145[[#This Row],[Llave]],'[13]Base ultimos planes'!$O:$AA,11,FALSE),0)</f>
        <v>0</v>
      </c>
      <c r="BO203" s="20">
        <f>IFERROR(VLOOKUP(Tabla145[[#This Row],[Llave]],'[13]Base ultimos planes'!$O:$AA,12,FALSE),0)</f>
        <v>0</v>
      </c>
      <c r="BP203" s="20">
        <f>IFERROR(VLOOKUP(Tabla145[[#This Row],[Llave]],'[13]Base ultimos planes'!$O:$AA,13,FALSE),0)</f>
        <v>0</v>
      </c>
      <c r="BQ203" s="20"/>
      <c r="BR203" s="20">
        <f>Tabla145[[#This Row],[ RV Producción mes n+1]]*(1-Tabla145[[#This Row],[% Uti. producción]])</f>
        <v>0</v>
      </c>
      <c r="BS203" s="20">
        <f>+Tabla145[[#This Row],[Producción disponible mes n-1]]+Tabla145[[#This Row],[Saldo Volumen disponible]]</f>
        <v>28227.077049291456</v>
      </c>
      <c r="BT203" s="7">
        <f>IFERROR(VLOOKUP(Tabla145[[#This Row],[Llave]],'[21]RV n+2 y n+3'!$B:$F,4,FALSE),0)</f>
        <v>12000</v>
      </c>
      <c r="BU203" s="7">
        <f>+Tabla145[[#This Row],[Asignación mes n+2]]*Tabla145[[#This Row],[% Uti. producción]]</f>
        <v>5486.3327614167856</v>
      </c>
      <c r="BV203" s="7">
        <f>+Tabla145[[#This Row],[Ponderación mes n+2]]+Tabla145[[#This Row],[Saldo mes n-1]]</f>
        <v>33713.409810708239</v>
      </c>
      <c r="BW203" s="7">
        <f>+Tabla145[[#This Row],[Asignación mes n+2]]-Tabla145[[#This Row],[Ponderación mes n+2]]</f>
        <v>6513.6672385832144</v>
      </c>
      <c r="BX203" s="7">
        <f>IFERROR(VLOOKUP(Tabla145[[#This Row],[Llave]],'[21]RV n+2 y n+3'!$B:$F,5,FALSE),0)</f>
        <v>12000</v>
      </c>
      <c r="BY203" s="7">
        <f>+Tabla145[[#This Row],[Asignación mes n+3]]*Tabla145[[#This Row],[% Uti. producción]]</f>
        <v>5486.3327614167856</v>
      </c>
      <c r="BZ203" s="3">
        <f>+Tabla145[[#This Row],[Ponderación mes n+3]]+Tabla145[[#This Row],[Saldo mes n+2]]</f>
        <v>12000</v>
      </c>
      <c r="CA203" s="3">
        <f>+Tabla145[[#This Row],[Asignación mes n+3]]-Tabla145[[#This Row],[Ponderación mes n+3]]</f>
        <v>6513.6672385832144</v>
      </c>
      <c r="CB203" s="3">
        <f>+Tabla145[[#This Row],[Producción disponible mes n-1]]+Tabla145[[#This Row],[Producción disponible]]</f>
        <v>0</v>
      </c>
      <c r="CC203" s="3">
        <f>+Tabla145[[#This Row],[Saldo mes n+4]]-Tabla145[[#This Row],[ RV Producción mes n+1]]</f>
        <v>0</v>
      </c>
    </row>
    <row r="204" spans="1:81" ht="16" x14ac:dyDescent="0.2">
      <c r="A204">
        <v>1</v>
      </c>
      <c r="B204" t="str">
        <f>Tabla145[[#This Row],[Oficina]]&amp;Tabla145[[#This Row],[Material]]</f>
        <v>Agro Sudamerica1030545</v>
      </c>
      <c r="C204" t="s">
        <v>204</v>
      </c>
      <c r="D204" t="s">
        <v>17</v>
      </c>
      <c r="E204">
        <v>1030545</v>
      </c>
      <c r="F204" t="s">
        <v>222</v>
      </c>
      <c r="G204" t="s">
        <v>220</v>
      </c>
      <c r="H204" t="s">
        <v>221</v>
      </c>
      <c r="I204" s="7">
        <f>IFERROR(VLOOKUP(Tabla145[[#This Row],[Llave]],'[7]RV Producción'!$C:$G,5,FALSE),0)</f>
        <v>0</v>
      </c>
      <c r="J204" s="3">
        <f>IFERROR(IF(Tabla145[[#This Row],[Oficina]]=$I$7,VLOOKUP(Tabla145[[#This Row],[Llave]],'[7]Shangai (Tomas)'!$A:$F,6,FALSE),VLOOKUP(Tabla145[[#This Row],[Llave]],'[7]RV plan de ventas'!$A:$E,5,FALSE)),0)</f>
        <v>0</v>
      </c>
      <c r="K204" s="8">
        <f>IFERROR(VLOOKUP(Tabla145[[#This Row],[Oficina]],[15]Ponderación!$B$2:$E$9,4,FALSE),0)</f>
        <v>0.45719439678473212</v>
      </c>
      <c r="L204" s="7">
        <f>+Tabla145[[#This Row],[ RV Producción mes n+1]]*Tabla145[[#This Row],[% Uti. producción]]</f>
        <v>0</v>
      </c>
      <c r="M204" s="7">
        <f>IFERROR(VLOOKUP(Tabla145[[#This Row],[Material]],[16]Stock!$G:$K,5,FALSE),0)</f>
        <v>13920</v>
      </c>
      <c r="N204" s="7">
        <f>IFERROR(VLOOKUP(Tabla145[[#This Row],[Material]],[16]Produccion!$M:$N,2,FALSE),0)</f>
        <v>0</v>
      </c>
      <c r="O204" s="7">
        <f>IFERROR(VLOOKUP(Tabla145[[#This Row],[Llave]],'[16]TD Conf-AP'!$I:$M,4,FALSE),0)</f>
        <v>0</v>
      </c>
      <c r="P204" s="14">
        <f>SUM(Tabla145[[#This Row],[Producción disponible]],Tabla145[[#This Row],[Stock al día]],(Tabla145[[#This Row],[Por producir mes N]]*0.9))-Tabla145[[#This Row],[Producción por despachar mes N]]</f>
        <v>13920</v>
      </c>
      <c r="Q204" s="7">
        <f>IFERROR(VLOOKUP(Tabla145[[#This Row],[Llave]],[17]DELAY!$A:$D,4,FALSE),0)</f>
        <v>24000</v>
      </c>
      <c r="R204" s="9">
        <v>24000</v>
      </c>
      <c r="S204" s="5">
        <f t="shared" si="8"/>
        <v>0</v>
      </c>
      <c r="T204" s="76">
        <v>0</v>
      </c>
      <c r="U204" s="5">
        <f>+Tabla145[[#This Row],[Atraso a facturar]]+Tabla145[[#This Row],[Ajuste atraso]]</f>
        <v>0</v>
      </c>
      <c r="V204" s="3">
        <f>+Tabla145[[#This Row],[Total disponible]]-Tabla145[[#This Row],[Facturación atraso]]</f>
        <v>13920</v>
      </c>
      <c r="W204" s="6">
        <f>IFERROR(IF(AND(V204&gt;R204,J204&gt;=R204),ROUNDDOWN((Tabla145[[#This Row],[Producción para venta nueva]])/R204,0)*R204,0),0)</f>
        <v>0</v>
      </c>
      <c r="X204" s="76">
        <v>0</v>
      </c>
      <c r="Y204" s="6">
        <f>IF(Tabla145[[#This Row],[Venta del mes]]&gt;0,Tabla145[[#This Row],[Venta del mes]]+Tabla145[[#This Row],[Ajuste venta nueva]],0)</f>
        <v>0</v>
      </c>
      <c r="Z204" s="6">
        <f>+Tabla145[[#This Row],[Producción para venta nueva]]-Tabla145[[#This Row],[Facturación Venta nueva]]</f>
        <v>13920</v>
      </c>
      <c r="AA204" s="6">
        <f>IF(AND(A204=1,Tabla145[[#This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04" s="6">
        <v>0</v>
      </c>
      <c r="AC204" s="6">
        <f>IF(Tabla145[[#This Row],[Disponible stock sin venta]]&gt;0,Tabla145[[#This Row],[Disponible stock sin venta]]+Tabla145[[#This Row],[Ajuste stock sin venta]],0)</f>
        <v>0</v>
      </c>
      <c r="AD204" s="3">
        <f>IFERROR(VLOOKUP(Tabla145[[#This Row],[Llave]],'[16]TD Puerto'!$A:$D,4,FALSE),0)</f>
        <v>0</v>
      </c>
      <c r="AE204" s="3">
        <v>0</v>
      </c>
      <c r="AF204" s="3">
        <f>+Tabla145[[#This Row],[Plan Irrestricto Inicial]]</f>
        <v>0</v>
      </c>
      <c r="AG204" s="3">
        <f>+Tabla145[[#This Row],[En puerto a facturar]]</f>
        <v>0</v>
      </c>
      <c r="AH204" s="3">
        <f>+Tabla145[[#This Row],[Facturación atraso]]</f>
        <v>0</v>
      </c>
      <c r="AI204" s="3">
        <f>+Tabla145[[#This Row],[Plan Irrestricto]]-Tabla145[[#This Row],[Puerto ]]-Tabla145[[#This Row],[Atraso]]</f>
        <v>0</v>
      </c>
      <c r="AJ20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4" s="3">
        <f>+Tabla145[[#This Row],[Facturación atraso]]</f>
        <v>0</v>
      </c>
      <c r="AL204" s="3">
        <f>+Tabla145[[#This Row],[Plan Ajustado]]-Tabla145[[#This Row],[ Atraso ajustado]]-Tabla145[[#This Row],[Puerto ]]</f>
        <v>0</v>
      </c>
      <c r="AM204" s="6">
        <f>IFERROR(VLOOKUP(Tabla145[[#This Row],[Llave]],[18]!Tabla14[#All],34,FALSE),0)</f>
        <v>0</v>
      </c>
      <c r="AN204" s="6">
        <f>IFERROR(VLOOKUP(Tabla145[[#This Row],[Llave]],[18]!Tabla14[#All],35,FALSE),0)</f>
        <v>0</v>
      </c>
      <c r="AO204" s="3" t="str">
        <f>IF(Tabla145[[#This Row],[Plan Ajustado]]&gt;Tabla145[[#This Row],[En puerto a facturar]],"Si","No")</f>
        <v>No</v>
      </c>
      <c r="AP20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4" s="3">
        <f>IF(Tabla145[[#This Row],[Necesidad]]&gt;=Tabla145[[#This Row],[Stock al día]],Tabla145[[#This Row],[Stock al día]],Tabla145[[#This Row],[Necesidad]])</f>
        <v>0</v>
      </c>
      <c r="AR204" s="3">
        <f>+Tabla145[[#This Row],[Necesidad]]-Tabla145[[#This Row],[Stock Plan]]</f>
        <v>0</v>
      </c>
      <c r="AS204" s="155">
        <f>IFERROR(VLOOKUP(Tabla145[[#This Row],[Oficina]],[19]Ponderación!$B$14:$E$21,4,FALSE),"")</f>
        <v>44789</v>
      </c>
      <c r="AT20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4.434040416666666</v>
      </c>
      <c r="AU204" s="83">
        <f>IFERROR(VLOOKUP(Tabla145[[#This Row],[Llave]],[17]DELAY!$H:$W,16,FALSE),0)</f>
        <v>4.5999999999999996</v>
      </c>
      <c r="AV20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4" s="5">
        <f>Tabla145[[#This Row],[Ajuste precio IC]]*Tabla145[[#This Row],[Plan Ajustado]]</f>
        <v>0</v>
      </c>
      <c r="AX204" s="30">
        <f>IFERROR(VLOOKUP(Tabla145[[#This Row],[Llave]],'[13]Ultimos precios facturados'!$A:$G,7,FALSE),0)</f>
        <v>4.434040416666666</v>
      </c>
      <c r="AY20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4" s="30">
        <f>IFERROR(VLOOKUP(Tabla145[[#This Row],[Llave]],Hoja2!B:K,10,FALSE),0)</f>
        <v>0</v>
      </c>
      <c r="BA204" s="30">
        <f>IF(Tabla145[[#This Row],[Ajuste precio IC]]="",Tabla145[[#This Row],[Precio ponderado]],Tabla145[[#This Row],[Precio ponderado]])</f>
        <v>0</v>
      </c>
      <c r="BB204" s="82"/>
      <c r="BC204" s="82" t="str">
        <f>IF(AND(Tabla145[[#This Row],[Atraso a facturar]]&gt;0,Tabla145[[#This Row],[Precio Atraso]]=0),"Revisar","OK")</f>
        <v>OK</v>
      </c>
      <c r="BD204" s="82" t="str">
        <f>IF(AND(Tabla145[[#This Row],[Venta del mes]]&gt;0,Tabla145[[#This Row],[Precio venta nueva]]=0),"Revisar","OK")</f>
        <v>OK</v>
      </c>
      <c r="BE204" s="20">
        <f>IFERROR(VLOOKUP(Tabla145[[#This Row],[Llave]],'[5]Consolidación planes'!$A:$M,9,FALSE),0)</f>
        <v>24000</v>
      </c>
      <c r="BF204" s="20">
        <f>IFERROR(VLOOKUP(Tabla145[[#This Row],[Llave]],'[5]Consolidación planes'!$A:$M,10,FALSE),0)</f>
        <v>48000</v>
      </c>
      <c r="BG204" s="20">
        <f>IFERROR(VLOOKUP(Tabla145[[#This Row],[Llave]],'[5]Consolidación planes'!$A:$M,11,FALSE),0)</f>
        <v>44000</v>
      </c>
      <c r="BH204" s="20">
        <f>IFERROR(VLOOKUP(Tabla145[[#This Row],[Llave]],'[5]Consolidación planes'!$A:$M,12,FALSE),0)</f>
        <v>24000</v>
      </c>
      <c r="BI204" s="20">
        <f>IFERROR(VLOOKUP(Tabla145[[#This Row],[Llave]],'[5]Consolidación planes'!$A:$M,13,FALSE),0)</f>
        <v>72000</v>
      </c>
      <c r="BJ204" s="20">
        <f>IFERROR(VLOOKUP(Tabla145[[#This Row],[Llave]],'[13]Base ultimos planes'!$A:$M,13,FALSE),0)</f>
        <v>0</v>
      </c>
      <c r="BK204" s="80">
        <f>IFERROR(VLOOKUP(Tabla145[[#This Row],[Llave]],'[13]Base ultimos planes'!$O:$AA,8,FALSE),0)</f>
        <v>102960</v>
      </c>
      <c r="BL204" s="20">
        <f>IFERROR(VLOOKUP(Tabla145[[#This Row],[Llave]],'[13]Base ultimos planes'!$O:$AA,9,FALSE),0)</f>
        <v>198670</v>
      </c>
      <c r="BM204" s="20">
        <f>IFERROR(VLOOKUP(Tabla145[[#This Row],[Llave]],'[13]Base ultimos planes'!$O:$AA,10,FALSE),0)</f>
        <v>190200</v>
      </c>
      <c r="BN204" s="20">
        <f>IFERROR(VLOOKUP(Tabla145[[#This Row],[Llave]],'[13]Base ultimos planes'!$O:$AA,11,FALSE),0)</f>
        <v>104400</v>
      </c>
      <c r="BO204" s="20">
        <f>IFERROR(VLOOKUP(Tabla145[[#This Row],[Llave]],'[13]Base ultimos planes'!$O:$AA,12,FALSE),0)</f>
        <v>308400</v>
      </c>
      <c r="BP204" s="20">
        <f>IFERROR(VLOOKUP(Tabla145[[#This Row],[Llave]],'[13]Base ultimos planes'!$O:$AA,13,FALSE),0)</f>
        <v>0</v>
      </c>
      <c r="BQ204" s="20"/>
      <c r="BR204" s="20">
        <f>Tabla145[[#This Row],[ RV Producción mes n+1]]*(1-Tabla145[[#This Row],[% Uti. producción]])</f>
        <v>0</v>
      </c>
      <c r="BS204" s="20">
        <f>+Tabla145[[#This Row],[Producción disponible mes n-1]]+Tabla145[[#This Row],[Saldo Volumen disponible]]</f>
        <v>13920</v>
      </c>
      <c r="BT204" s="7">
        <f>IFERROR(VLOOKUP(Tabla145[[#This Row],[Llave]],'[21]RV n+2 y n+3'!$B:$F,4,FALSE),0)</f>
        <v>0</v>
      </c>
      <c r="BU204" s="7">
        <f>+Tabla145[[#This Row],[Asignación mes n+2]]*Tabla145[[#This Row],[% Uti. producción]]</f>
        <v>0</v>
      </c>
      <c r="BV204" s="7">
        <f>+Tabla145[[#This Row],[Ponderación mes n+2]]+Tabla145[[#This Row],[Saldo mes n-1]]</f>
        <v>13920</v>
      </c>
      <c r="BW204" s="7">
        <f>+Tabla145[[#This Row],[Asignación mes n+2]]-Tabla145[[#This Row],[Ponderación mes n+2]]</f>
        <v>0</v>
      </c>
      <c r="BX204" s="7">
        <f>IFERROR(VLOOKUP(Tabla145[[#This Row],[Llave]],'[21]RV n+2 y n+3'!$B:$F,5,FALSE),0)</f>
        <v>0</v>
      </c>
      <c r="BY204" s="7">
        <f>+Tabla145[[#This Row],[Asignación mes n+3]]*Tabla145[[#This Row],[% Uti. producción]]</f>
        <v>0</v>
      </c>
      <c r="BZ204" s="3">
        <f>+Tabla145[[#This Row],[Ponderación mes n+3]]+Tabla145[[#This Row],[Saldo mes n+2]]</f>
        <v>0</v>
      </c>
      <c r="CA204" s="3">
        <f>+Tabla145[[#This Row],[Asignación mes n+3]]-Tabla145[[#This Row],[Ponderación mes n+3]]</f>
        <v>0</v>
      </c>
      <c r="CB204" s="3">
        <f>+Tabla145[[#This Row],[Producción disponible mes n-1]]+Tabla145[[#This Row],[Producción disponible]]</f>
        <v>0</v>
      </c>
      <c r="CC204" s="3">
        <f>+Tabla145[[#This Row],[Saldo mes n+4]]-Tabla145[[#This Row],[ RV Producción mes n+1]]</f>
        <v>0</v>
      </c>
    </row>
    <row r="205" spans="1:81" ht="16" x14ac:dyDescent="0.2">
      <c r="A205">
        <v>1</v>
      </c>
      <c r="B205" t="str">
        <f>Tabla145[[#This Row],[Oficina]]&amp;Tabla145[[#This Row],[Material]]</f>
        <v>Agro Sudamerica1030670</v>
      </c>
      <c r="C205" t="s">
        <v>204</v>
      </c>
      <c r="D205" t="s">
        <v>17</v>
      </c>
      <c r="E205">
        <v>1030670</v>
      </c>
      <c r="F205" t="s">
        <v>214</v>
      </c>
      <c r="G205" t="s">
        <v>212</v>
      </c>
      <c r="H205" t="s">
        <v>213</v>
      </c>
      <c r="I205" s="7">
        <f>IFERROR(VLOOKUP(Tabla145[[#This Row],[Llave]],'[7]RV Producción'!$C:$G,5,FALSE),0)</f>
        <v>0</v>
      </c>
      <c r="J205" s="3">
        <f>IFERROR(IF(Tabla145[[#This Row],[Oficina]]=$I$7,VLOOKUP(Tabla145[[#This Row],[Llave]],'[7]Shangai (Tomas)'!$A:$F,6,FALSE),VLOOKUP(Tabla145[[#This Row],[Llave]],'[7]RV plan de ventas'!$A:$E,5,FALSE)),0)</f>
        <v>0</v>
      </c>
      <c r="K205" s="8">
        <f>IFERROR(VLOOKUP(Tabla145[[#This Row],[Oficina]],[15]Ponderación!$B$2:$E$9,4,FALSE),0)</f>
        <v>0.45719439678473212</v>
      </c>
      <c r="L205" s="7">
        <f>+Tabla145[[#This Row],[ RV Producción mes n+1]]*Tabla145[[#This Row],[% Uti. producción]]</f>
        <v>0</v>
      </c>
      <c r="M205" s="7">
        <f>IFERROR(VLOOKUP(Tabla145[[#This Row],[Material]],[16]Stock!$G:$K,5,FALSE),0)</f>
        <v>24915</v>
      </c>
      <c r="N205" s="7">
        <f>IFERROR(VLOOKUP(Tabla145[[#This Row],[Material]],[16]Produccion!$M:$N,2,FALSE),0)</f>
        <v>0</v>
      </c>
      <c r="O205" s="7">
        <f>IFERROR(VLOOKUP(Tabla145[[#This Row],[Llave]],'[16]TD Conf-AP'!$I:$M,4,FALSE),0)</f>
        <v>0</v>
      </c>
      <c r="P205" s="14">
        <f>SUM(Tabla145[[#This Row],[Producción disponible]],Tabla145[[#This Row],[Stock al día]],(Tabla145[[#This Row],[Por producir mes N]]*0.9))-Tabla145[[#This Row],[Producción por despachar mes N]]</f>
        <v>24915</v>
      </c>
      <c r="Q205" s="7">
        <f>IFERROR(VLOOKUP(Tabla145[[#This Row],[Llave]],[17]DELAY!$A:$D,4,FALSE),0)</f>
        <v>0</v>
      </c>
      <c r="R205" s="9">
        <v>24000</v>
      </c>
      <c r="S205" s="5">
        <f t="shared" si="8"/>
        <v>0</v>
      </c>
      <c r="T205" s="76">
        <v>0</v>
      </c>
      <c r="U205" s="5">
        <f>+Tabla145[[#This Row],[Atraso a facturar]]+Tabla145[[#This Row],[Ajuste atraso]]</f>
        <v>0</v>
      </c>
      <c r="V205" s="3">
        <f>+Tabla145[[#This Row],[Total disponible]]-Tabla145[[#This Row],[Facturación atraso]]</f>
        <v>24915</v>
      </c>
      <c r="W205" s="6">
        <f>IFERROR(IF(AND(V205&gt;R205,J205&gt;=R205),ROUNDDOWN((Tabla145[[#This Row],[Producción para venta nueva]])/R205,0)*R205,0),0)</f>
        <v>0</v>
      </c>
      <c r="X205" s="76">
        <v>0</v>
      </c>
      <c r="Y205" s="6">
        <f>IF(Tabla145[[#This Row],[Venta del mes]]&gt;0,Tabla145[[#This Row],[Venta del mes]]+Tabla145[[#This Row],[Ajuste venta nueva]],0)</f>
        <v>0</v>
      </c>
      <c r="Z205" s="6">
        <f>+Tabla145[[#This Row],[Producción para venta nueva]]-Tabla145[[#This Row],[Facturación Venta nueva]]</f>
        <v>24915</v>
      </c>
      <c r="AA205" s="6">
        <f>IF(AND(A205=1,Tabla145[[#This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24000</v>
      </c>
      <c r="AB205" s="6">
        <v>-24000</v>
      </c>
      <c r="AC205" s="6">
        <f>IF(Tabla145[[#This Row],[Disponible stock sin venta]]&gt;0,Tabla145[[#This Row],[Disponible stock sin venta]]+Tabla145[[#This Row],[Ajuste stock sin venta]],0)</f>
        <v>0</v>
      </c>
      <c r="AD205" s="3">
        <f>IFERROR(VLOOKUP(Tabla145[[#This Row],[Llave]],'[16]TD Puerto'!$A:$D,4,FALSE),0)</f>
        <v>0</v>
      </c>
      <c r="AE205" s="3">
        <v>48000</v>
      </c>
      <c r="AF205" s="3">
        <f>+Tabla145[[#This Row],[Plan Irrestricto Inicial]]</f>
        <v>48000</v>
      </c>
      <c r="AG205" s="3">
        <f>+Tabla145[[#This Row],[En puerto a facturar]]</f>
        <v>0</v>
      </c>
      <c r="AH205" s="3">
        <f>+Tabla145[[#This Row],[Facturación atraso]]</f>
        <v>0</v>
      </c>
      <c r="AI205" s="3">
        <f>+Tabla145[[#This Row],[Plan Irrestricto]]-Tabla145[[#This Row],[Puerto ]]-Tabla145[[#This Row],[Atraso]]</f>
        <v>48000</v>
      </c>
      <c r="AJ20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5" s="3">
        <f>+Tabla145[[#This Row],[Facturación atraso]]</f>
        <v>0</v>
      </c>
      <c r="AL205" s="3">
        <f>+Tabla145[[#This Row],[Plan Ajustado]]-Tabla145[[#This Row],[ Atraso ajustado]]-Tabla145[[#This Row],[Puerto ]]</f>
        <v>0</v>
      </c>
      <c r="AM205" s="6">
        <f>IFERROR(VLOOKUP(Tabla145[[#This Row],[Llave]],[18]!Tabla14[#All],34,FALSE),0)</f>
        <v>0</v>
      </c>
      <c r="AN205" s="6">
        <f>IFERROR(VLOOKUP(Tabla145[[#This Row],[Llave]],[18]!Tabla14[#All],35,FALSE),0)</f>
        <v>0</v>
      </c>
      <c r="AO205" s="3" t="str">
        <f>IF(Tabla145[[#This Row],[Plan Ajustado]]&gt;Tabla145[[#This Row],[En puerto a facturar]],"Si","No")</f>
        <v>No</v>
      </c>
      <c r="AP20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5" s="3">
        <f>IF(Tabla145[[#This Row],[Necesidad]]&gt;=Tabla145[[#This Row],[Stock al día]],Tabla145[[#This Row],[Stock al día]],Tabla145[[#This Row],[Necesidad]])</f>
        <v>0</v>
      </c>
      <c r="AR205" s="3">
        <f>+Tabla145[[#This Row],[Necesidad]]-Tabla145[[#This Row],[Stock Plan]]</f>
        <v>0</v>
      </c>
      <c r="AS205" s="155">
        <f>IFERROR(VLOOKUP(Tabla145[[#This Row],[Oficina]],[19]Ponderación!$B$14:$E$21,4,FALSE),"")</f>
        <v>44789</v>
      </c>
      <c r="AT20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9.2431968452380939</v>
      </c>
      <c r="AU205" s="84">
        <f>+Tabla145[[#This Row],[Precio venta nueva]]</f>
        <v>9.2431968452380939</v>
      </c>
      <c r="AV20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5" s="5">
        <f>Tabla145[[#This Row],[Ajuste precio IC]]*Tabla145[[#This Row],[Plan Ajustado]]</f>
        <v>0</v>
      </c>
      <c r="AX205" s="30">
        <f>IFERROR(VLOOKUP(Tabla145[[#This Row],[Llave]],'[13]Ultimos precios facturados'!$A:$G,7,FALSE),0)</f>
        <v>9.2431968452380939</v>
      </c>
      <c r="AY20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5" s="30">
        <f>IFERROR(VLOOKUP(Tabla145[[#This Row],[Llave]],Hoja2!B:K,10,FALSE),0)</f>
        <v>0</v>
      </c>
      <c r="BA205" s="30">
        <f>IF(Tabla145[[#This Row],[Ajuste precio IC]]="",Tabla145[[#This Row],[Precio ponderado]],Tabla145[[#This Row],[Precio ponderado]])</f>
        <v>0</v>
      </c>
      <c r="BB205" s="82"/>
      <c r="BC205" s="82" t="str">
        <f>IF(AND(Tabla145[[#This Row],[Atraso a facturar]]&gt;0,Tabla145[[#This Row],[Precio Atraso]]=0),"Revisar","OK")</f>
        <v>OK</v>
      </c>
      <c r="BD205" s="82" t="str">
        <f>IF(AND(Tabla145[[#This Row],[Venta del mes]]&gt;0,Tabla145[[#This Row],[Precio venta nueva]]=0),"Revisar","OK")</f>
        <v>OK</v>
      </c>
      <c r="BE205" s="20">
        <f>IFERROR(VLOOKUP(Tabla145[[#This Row],[Llave]],'[5]Consolidación planes'!$A:$M,9,FALSE),0)</f>
        <v>24000</v>
      </c>
      <c r="BF205" s="20">
        <f>IFERROR(VLOOKUP(Tabla145[[#This Row],[Llave]],'[5]Consolidación planes'!$A:$M,10,FALSE),0)</f>
        <v>96000</v>
      </c>
      <c r="BG205" s="20">
        <f>IFERROR(VLOOKUP(Tabla145[[#This Row],[Llave]],'[5]Consolidación planes'!$A:$M,11,FALSE),0)</f>
        <v>48000</v>
      </c>
      <c r="BH205" s="20">
        <f>IFERROR(VLOOKUP(Tabla145[[#This Row],[Llave]],'[5]Consolidación planes'!$A:$M,12,FALSE),0)</f>
        <v>72000</v>
      </c>
      <c r="BI205" s="20">
        <f>IFERROR(VLOOKUP(Tabla145[[#This Row],[Llave]],'[5]Consolidación planes'!$A:$M,13,FALSE),0)</f>
        <v>72000</v>
      </c>
      <c r="BJ205" s="20">
        <f>IFERROR(VLOOKUP(Tabla145[[#This Row],[Llave]],'[13]Base ultimos planes'!$A:$M,13,FALSE),0)</f>
        <v>48000</v>
      </c>
      <c r="BK205" s="80">
        <f>IFERROR(VLOOKUP(Tabla145[[#This Row],[Llave]],'[13]Base ultimos planes'!$O:$AA,8,FALSE),0)</f>
        <v>170400</v>
      </c>
      <c r="BL205" s="20">
        <f>IFERROR(VLOOKUP(Tabla145[[#This Row],[Llave]],'[13]Base ultimos planes'!$O:$AA,9,FALSE),0)</f>
        <v>703800</v>
      </c>
      <c r="BM205" s="20">
        <f>IFERROR(VLOOKUP(Tabla145[[#This Row],[Llave]],'[13]Base ultimos planes'!$O:$AA,10,FALSE),0)</f>
        <v>393280</v>
      </c>
      <c r="BN205" s="20">
        <f>IFERROR(VLOOKUP(Tabla145[[#This Row],[Llave]],'[13]Base ultimos planes'!$O:$AA,11,FALSE),0)</f>
        <v>579360</v>
      </c>
      <c r="BO205" s="20">
        <f>IFERROR(VLOOKUP(Tabla145[[#This Row],[Llave]],'[13]Base ultimos planes'!$O:$AA,12,FALSE),0)</f>
        <v>752400</v>
      </c>
      <c r="BP205" s="20">
        <f>IFERROR(VLOOKUP(Tabla145[[#This Row],[Llave]],'[13]Base ultimos planes'!$O:$AA,13,FALSE),0)</f>
        <v>572402</v>
      </c>
      <c r="BQ205" s="20"/>
      <c r="BR205" s="20">
        <f>Tabla145[[#This Row],[ RV Producción mes n+1]]*(1-Tabla145[[#This Row],[% Uti. producción]])</f>
        <v>0</v>
      </c>
      <c r="BS205" s="20">
        <f>+Tabla145[[#This Row],[Producción disponible mes n-1]]+Tabla145[[#This Row],[Saldo Volumen disponible]]</f>
        <v>24915</v>
      </c>
      <c r="BT205" s="7">
        <f>IFERROR(VLOOKUP(Tabla145[[#This Row],[Llave]],'[21]RV n+2 y n+3'!$B:$F,4,FALSE),0)</f>
        <v>0</v>
      </c>
      <c r="BU205" s="7">
        <f>+Tabla145[[#This Row],[Asignación mes n+2]]*Tabla145[[#This Row],[% Uti. producción]]</f>
        <v>0</v>
      </c>
      <c r="BV205" s="7">
        <f>+Tabla145[[#This Row],[Ponderación mes n+2]]+Tabla145[[#This Row],[Saldo mes n-1]]</f>
        <v>24915</v>
      </c>
      <c r="BW205" s="7">
        <f>+Tabla145[[#This Row],[Asignación mes n+2]]-Tabla145[[#This Row],[Ponderación mes n+2]]</f>
        <v>0</v>
      </c>
      <c r="BX205" s="7">
        <f>IFERROR(VLOOKUP(Tabla145[[#This Row],[Llave]],'[21]RV n+2 y n+3'!$B:$F,5,FALSE),0)</f>
        <v>0</v>
      </c>
      <c r="BY205" s="7">
        <f>+Tabla145[[#This Row],[Asignación mes n+3]]*Tabla145[[#This Row],[% Uti. producción]]</f>
        <v>0</v>
      </c>
      <c r="BZ205" s="3">
        <f>+Tabla145[[#This Row],[Ponderación mes n+3]]+Tabla145[[#This Row],[Saldo mes n+2]]</f>
        <v>0</v>
      </c>
      <c r="CA205" s="3">
        <f>+Tabla145[[#This Row],[Asignación mes n+3]]-Tabla145[[#This Row],[Ponderación mes n+3]]</f>
        <v>0</v>
      </c>
      <c r="CB205" s="3">
        <f>+Tabla145[[#This Row],[Producción disponible mes n-1]]+Tabla145[[#This Row],[Producción disponible]]</f>
        <v>0</v>
      </c>
      <c r="CC205" s="3">
        <f>+Tabla145[[#This Row],[Saldo mes n+4]]-Tabla145[[#This Row],[ RV Producción mes n+1]]</f>
        <v>0</v>
      </c>
    </row>
    <row r="206" spans="1:81" ht="16" x14ac:dyDescent="0.2">
      <c r="A206">
        <v>1</v>
      </c>
      <c r="B206" t="str">
        <f>Tabla145[[#This Row],[Oficina]]&amp;Tabla145[[#This Row],[Material]]</f>
        <v>Agro Sudamerica1030720</v>
      </c>
      <c r="C206" t="s">
        <v>204</v>
      </c>
      <c r="D206" t="s">
        <v>17</v>
      </c>
      <c r="E206">
        <v>1030720</v>
      </c>
      <c r="F206" t="s">
        <v>216</v>
      </c>
      <c r="G206" t="s">
        <v>71</v>
      </c>
      <c r="H206" t="s">
        <v>215</v>
      </c>
      <c r="I206" s="7">
        <f>IFERROR(VLOOKUP(Tabla145[[#This Row],[Llave]],'[7]RV Producción'!$C:$G,5,FALSE),0)</f>
        <v>0</v>
      </c>
      <c r="J206" s="3">
        <f>IFERROR(IF(Tabla145[[#This Row],[Oficina]]=$I$7,VLOOKUP(Tabla145[[#This Row],[Llave]],'[7]Shangai (Tomas)'!$A:$F,6,FALSE),VLOOKUP(Tabla145[[#This Row],[Llave]],'[7]RV plan de ventas'!$A:$E,5,FALSE)),0)</f>
        <v>0</v>
      </c>
      <c r="K206" s="8">
        <f>IFERROR(VLOOKUP(Tabla145[[#This Row],[Oficina]],[15]Ponderación!$B$2:$E$9,4,FALSE),0)</f>
        <v>0.45719439678473212</v>
      </c>
      <c r="L206" s="7">
        <f>+Tabla145[[#This Row],[ RV Producción mes n+1]]*Tabla145[[#This Row],[% Uti. producción]]</f>
        <v>0</v>
      </c>
      <c r="M206" s="7">
        <f>IFERROR(VLOOKUP(Tabla145[[#This Row],[Material]],[16]Stock!$G:$K,5,FALSE),0)</f>
        <v>15056</v>
      </c>
      <c r="N206" s="7">
        <f>IFERROR(VLOOKUP(Tabla145[[#This Row],[Material]],[16]Produccion!$M:$N,2,FALSE),0)</f>
        <v>6000</v>
      </c>
      <c r="O206" s="7">
        <f>IFERROR(VLOOKUP(Tabla145[[#This Row],[Llave]],'[16]TD Conf-AP'!$I:$M,4,FALSE),0)</f>
        <v>0</v>
      </c>
      <c r="P206" s="14">
        <f>SUM(Tabla145[[#This Row],[Producción disponible]],Tabla145[[#This Row],[Stock al día]],(Tabla145[[#This Row],[Por producir mes N]]*0.9))-Tabla145[[#This Row],[Producción por despachar mes N]]</f>
        <v>20456</v>
      </c>
      <c r="Q206" s="7">
        <f>IFERROR(VLOOKUP(Tabla145[[#This Row],[Llave]],[17]DELAY!$A:$D,4,FALSE),0)</f>
        <v>0</v>
      </c>
      <c r="R206" s="9">
        <v>24000</v>
      </c>
      <c r="S206" s="5">
        <f t="shared" si="8"/>
        <v>0</v>
      </c>
      <c r="T206" s="76">
        <v>0</v>
      </c>
      <c r="U206" s="5">
        <f>+Tabla145[[#This Row],[Atraso a facturar]]+Tabla145[[#This Row],[Ajuste atraso]]</f>
        <v>0</v>
      </c>
      <c r="V206" s="3">
        <f>+Tabla145[[#This Row],[Total disponible]]-Tabla145[[#This Row],[Facturación atraso]]</f>
        <v>20456</v>
      </c>
      <c r="W206" s="6">
        <f>IFERROR(IF(AND(V206&gt;R206,J206&gt;=R206),ROUNDDOWN((Tabla145[[#This Row],[Producción para venta nueva]])/R206,0)*R206,0),0)</f>
        <v>0</v>
      </c>
      <c r="X206" s="76">
        <v>0</v>
      </c>
      <c r="Y206" s="6">
        <f>IF(Tabla145[[#This Row],[Venta del mes]]&gt;0,Tabla145[[#This Row],[Venta del mes]]+Tabla145[[#This Row],[Ajuste venta nueva]],0)</f>
        <v>0</v>
      </c>
      <c r="Z206" s="6">
        <f>+Tabla145[[#This Row],[Producción para venta nueva]]-Tabla145[[#This Row],[Facturación Venta nueva]]</f>
        <v>20456</v>
      </c>
      <c r="AA206" s="6">
        <f>IF(AND(A206=1,Tabla145[[#This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06" s="6">
        <v>0</v>
      </c>
      <c r="AC206" s="6">
        <f>IF(Tabla145[[#This Row],[Disponible stock sin venta]]&gt;0,Tabla145[[#This Row],[Disponible stock sin venta]]+Tabla145[[#This Row],[Ajuste stock sin venta]],0)</f>
        <v>0</v>
      </c>
      <c r="AD206" s="3">
        <f>IFERROR(VLOOKUP(Tabla145[[#This Row],[Llave]],'[16]TD Puerto'!$A:$D,4,FALSE),0)</f>
        <v>0</v>
      </c>
      <c r="AE206" s="3">
        <v>24000</v>
      </c>
      <c r="AF206" s="3">
        <f>+Tabla145[[#This Row],[Plan Irrestricto Inicial]]</f>
        <v>24000</v>
      </c>
      <c r="AG206" s="3">
        <f>+Tabla145[[#This Row],[En puerto a facturar]]</f>
        <v>0</v>
      </c>
      <c r="AH206" s="3">
        <f>+Tabla145[[#This Row],[Facturación atraso]]</f>
        <v>0</v>
      </c>
      <c r="AI206" s="3">
        <f>+Tabla145[[#This Row],[Plan Irrestricto]]-Tabla145[[#This Row],[Puerto ]]-Tabla145[[#This Row],[Atraso]]</f>
        <v>24000</v>
      </c>
      <c r="AJ20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6" s="3">
        <f>+Tabla145[[#This Row],[Facturación atraso]]</f>
        <v>0</v>
      </c>
      <c r="AL206" s="3">
        <f>+Tabla145[[#This Row],[Plan Ajustado]]-Tabla145[[#This Row],[ Atraso ajustado]]-Tabla145[[#This Row],[Puerto ]]</f>
        <v>0</v>
      </c>
      <c r="AM206" s="6">
        <f>IFERROR(VLOOKUP(Tabla145[[#This Row],[Llave]],[18]!Tabla14[#All],34,FALSE),0)</f>
        <v>0</v>
      </c>
      <c r="AN206" s="6">
        <f>IFERROR(VLOOKUP(Tabla145[[#This Row],[Llave]],[18]!Tabla14[#All],35,FALSE),0)</f>
        <v>0</v>
      </c>
      <c r="AO206" s="3" t="str">
        <f>IF(Tabla145[[#This Row],[Plan Ajustado]]&gt;Tabla145[[#This Row],[En puerto a facturar]],"Si","No")</f>
        <v>No</v>
      </c>
      <c r="AP20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6" s="3">
        <f>IF(Tabla145[[#This Row],[Necesidad]]&gt;=Tabla145[[#This Row],[Stock al día]],Tabla145[[#This Row],[Stock al día]],Tabla145[[#This Row],[Necesidad]])</f>
        <v>0</v>
      </c>
      <c r="AR206" s="3">
        <f>+Tabla145[[#This Row],[Necesidad]]-Tabla145[[#This Row],[Stock Plan]]</f>
        <v>0</v>
      </c>
      <c r="AS206" s="155">
        <f>IFERROR(VLOOKUP(Tabla145[[#This Row],[Oficina]],[19]Ponderación!$B$14:$E$21,4,FALSE),"")</f>
        <v>44789</v>
      </c>
      <c r="AT20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0.55210199730274134</v>
      </c>
      <c r="AU206" s="84">
        <f>+Tabla145[[#This Row],[Precio venta nueva]]</f>
        <v>0.55210199730274134</v>
      </c>
      <c r="AV20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6" s="5">
        <f>Tabla145[[#This Row],[Ajuste precio IC]]*Tabla145[[#This Row],[Plan Ajustado]]</f>
        <v>0</v>
      </c>
      <c r="AX206" s="30">
        <f>IFERROR(VLOOKUP(Tabla145[[#This Row],[Llave]],'[13]Ultimos precios facturados'!$A:$G,7,FALSE),0)</f>
        <v>0.55210199730274134</v>
      </c>
      <c r="AY20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6" s="30">
        <f>IFERROR(VLOOKUP(Tabla145[[#This Row],[Llave]],Hoja2!B:K,10,FALSE),0)</f>
        <v>0</v>
      </c>
      <c r="BA206" s="30">
        <f>IF(Tabla145[[#This Row],[Ajuste precio IC]]="",Tabla145[[#This Row],[Precio ponderado]],Tabla145[[#This Row],[Precio ponderado]])</f>
        <v>0</v>
      </c>
      <c r="BB206" s="82"/>
      <c r="BC206" s="82" t="str">
        <f>IF(AND(Tabla145[[#This Row],[Atraso a facturar]]&gt;0,Tabla145[[#This Row],[Precio Atraso]]=0),"Revisar","OK")</f>
        <v>OK</v>
      </c>
      <c r="BD206" s="82" t="str">
        <f>IF(AND(Tabla145[[#This Row],[Venta del mes]]&gt;0,Tabla145[[#This Row],[Precio venta nueva]]=0),"Revisar","OK")</f>
        <v>OK</v>
      </c>
      <c r="BE206" s="20">
        <f>IFERROR(VLOOKUP(Tabla145[[#This Row],[Llave]],'[5]Consolidación planes'!$A:$M,9,FALSE),0)</f>
        <v>0</v>
      </c>
      <c r="BF206" s="20">
        <f>IFERROR(VLOOKUP(Tabla145[[#This Row],[Llave]],'[5]Consolidación planes'!$A:$M,10,FALSE),0)</f>
        <v>24000</v>
      </c>
      <c r="BG206" s="20">
        <f>IFERROR(VLOOKUP(Tabla145[[#This Row],[Llave]],'[5]Consolidación planes'!$A:$M,11,FALSE),0)</f>
        <v>24000</v>
      </c>
      <c r="BH206" s="20">
        <f>IFERROR(VLOOKUP(Tabla145[[#This Row],[Llave]],'[5]Consolidación planes'!$A:$M,12,FALSE),0)</f>
        <v>28001</v>
      </c>
      <c r="BI206" s="20">
        <f>IFERROR(VLOOKUP(Tabla145[[#This Row],[Llave]],'[5]Consolidación planes'!$A:$M,13,FALSE),0)</f>
        <v>48000</v>
      </c>
      <c r="BJ206" s="20">
        <f>IFERROR(VLOOKUP(Tabla145[[#This Row],[Llave]],'[13]Base ultimos planes'!$A:$M,13,FALSE),0)</f>
        <v>24000</v>
      </c>
      <c r="BK206" s="80">
        <f>IFERROR(VLOOKUP(Tabla145[[#This Row],[Llave]],'[13]Base ultimos planes'!$O:$AA,8,FALSE),0)</f>
        <v>0</v>
      </c>
      <c r="BL206" s="20">
        <f>IFERROR(VLOOKUP(Tabla145[[#This Row],[Llave]],'[13]Base ultimos planes'!$O:$AA,9,FALSE),0)</f>
        <v>12000</v>
      </c>
      <c r="BM206" s="20">
        <f>IFERROR(VLOOKUP(Tabla145[[#This Row],[Llave]],'[13]Base ultimos planes'!$O:$AA,10,FALSE),0)</f>
        <v>12469</v>
      </c>
      <c r="BN206" s="20">
        <f>IFERROR(VLOOKUP(Tabla145[[#This Row],[Llave]],'[13]Base ultimos planes'!$O:$AA,11,FALSE),0)</f>
        <v>12880</v>
      </c>
      <c r="BO206" s="20">
        <f>IFERROR(VLOOKUP(Tabla145[[#This Row],[Llave]],'[13]Base ultimos planes'!$O:$AA,12,FALSE),0)</f>
        <v>22427</v>
      </c>
      <c r="BP206" s="20">
        <f>IFERROR(VLOOKUP(Tabla145[[#This Row],[Llave]],'[13]Base ultimos planes'!$O:$AA,13,FALSE),0)</f>
        <v>12960</v>
      </c>
      <c r="BQ206" s="20"/>
      <c r="BR206" s="20">
        <f>Tabla145[[#This Row],[ RV Producción mes n+1]]*(1-Tabla145[[#This Row],[% Uti. producción]])</f>
        <v>0</v>
      </c>
      <c r="BS206" s="20">
        <f>+Tabla145[[#This Row],[Producción disponible mes n-1]]+Tabla145[[#This Row],[Saldo Volumen disponible]]</f>
        <v>20456</v>
      </c>
      <c r="BT206" s="7">
        <f>IFERROR(VLOOKUP(Tabla145[[#This Row],[Llave]],'[21]RV n+2 y n+3'!$B:$F,4,FALSE),0)</f>
        <v>48000</v>
      </c>
      <c r="BU206" s="7">
        <f>+Tabla145[[#This Row],[Asignación mes n+2]]*Tabla145[[#This Row],[% Uti. producción]]</f>
        <v>21945.331045667142</v>
      </c>
      <c r="BV206" s="7">
        <f>+Tabla145[[#This Row],[Ponderación mes n+2]]+Tabla145[[#This Row],[Saldo mes n-1]]</f>
        <v>42401.331045667146</v>
      </c>
      <c r="BW206" s="7">
        <f>+Tabla145[[#This Row],[Asignación mes n+2]]-Tabla145[[#This Row],[Ponderación mes n+2]]</f>
        <v>26054.668954332858</v>
      </c>
      <c r="BX206" s="7">
        <f>IFERROR(VLOOKUP(Tabla145[[#This Row],[Llave]],'[21]RV n+2 y n+3'!$B:$F,5,FALSE),0)</f>
        <v>24000</v>
      </c>
      <c r="BY206" s="7">
        <f>+Tabla145[[#This Row],[Asignación mes n+3]]*Tabla145[[#This Row],[% Uti. producción]]</f>
        <v>10972.665522833571</v>
      </c>
      <c r="BZ206" s="3">
        <f>+Tabla145[[#This Row],[Ponderación mes n+3]]+Tabla145[[#This Row],[Saldo mes n+2]]</f>
        <v>37027.334477166427</v>
      </c>
      <c r="CA206" s="3">
        <f>+Tabla145[[#This Row],[Asignación mes n+3]]-Tabla145[[#This Row],[Ponderación mes n+3]]</f>
        <v>13027.334477166429</v>
      </c>
      <c r="CB206" s="3">
        <f>+Tabla145[[#This Row],[Producción disponible mes n-1]]+Tabla145[[#This Row],[Producción disponible]]</f>
        <v>0</v>
      </c>
      <c r="CC206" s="3">
        <f>+Tabla145[[#This Row],[Saldo mes n+4]]-Tabla145[[#This Row],[ RV Producción mes n+1]]</f>
        <v>0</v>
      </c>
    </row>
    <row r="207" spans="1:81" ht="16" x14ac:dyDescent="0.2">
      <c r="A207">
        <v>1</v>
      </c>
      <c r="B207" t="str">
        <f>Tabla145[[#This Row],[Oficina]]&amp;Tabla145[[#This Row],[Material]]</f>
        <v>Agro Sudamerica1030732</v>
      </c>
      <c r="C207" t="s">
        <v>204</v>
      </c>
      <c r="D207" t="s">
        <v>17</v>
      </c>
      <c r="E207">
        <v>1030732</v>
      </c>
      <c r="F207" t="s">
        <v>320</v>
      </c>
      <c r="G207" t="s">
        <v>212</v>
      </c>
      <c r="H207" t="s">
        <v>319</v>
      </c>
      <c r="I207" s="7">
        <f>IFERROR(VLOOKUP(Tabla145[[#This Row],[Llave]],'[7]RV Producción'!$C:$G,5,FALSE),0)</f>
        <v>0</v>
      </c>
      <c r="J207" s="3">
        <f>IFERROR(IF(Tabla145[[#This Row],[Oficina]]=$I$7,VLOOKUP(Tabla145[[#This Row],[Llave]],'[7]Shangai (Tomas)'!$A:$F,6,FALSE),VLOOKUP(Tabla145[[#This Row],[Llave]],'[7]RV plan de ventas'!$A:$E,5,FALSE)),0)</f>
        <v>0</v>
      </c>
      <c r="K207" s="8">
        <f>IFERROR(VLOOKUP(Tabla145[[#This Row],[Oficina]],[15]Ponderación!$B$2:$E$9,4,FALSE),0)</f>
        <v>0.45719439678473212</v>
      </c>
      <c r="L207" s="7">
        <f>+Tabla145[[#This Row],[ RV Producción mes n+1]]*Tabla145[[#This Row],[% Uti. producción]]</f>
        <v>0</v>
      </c>
      <c r="M207" s="7">
        <f>IFERROR(VLOOKUP(Tabla145[[#This Row],[Material]],[16]Stock!$G:$K,5,FALSE),0)</f>
        <v>0</v>
      </c>
      <c r="N207" s="7">
        <f>IFERROR(VLOOKUP(Tabla145[[#This Row],[Material]],[16]Produccion!$M:$N,2,FALSE),0)</f>
        <v>0</v>
      </c>
      <c r="O207" s="7">
        <f>IFERROR(VLOOKUP(Tabla145[[#This Row],[Llave]],'[16]TD Conf-AP'!$I:$M,4,FALSE),0)</f>
        <v>0</v>
      </c>
      <c r="P207" s="14">
        <f>SUM(Tabla145[[#This Row],[Producción disponible]],Tabla145[[#This Row],[Stock al día]],(Tabla145[[#This Row],[Por producir mes N]]*0.9))-Tabla145[[#This Row],[Producción por despachar mes N]]</f>
        <v>0</v>
      </c>
      <c r="Q207" s="7">
        <f>IFERROR(VLOOKUP(Tabla145[[#This Row],[Llave]],[17]DELAY!$A:$D,4,FALSE),0)</f>
        <v>0</v>
      </c>
      <c r="R207" s="9">
        <v>24000</v>
      </c>
      <c r="S207" s="5">
        <f t="shared" si="8"/>
        <v>0</v>
      </c>
      <c r="T207" s="76">
        <v>0</v>
      </c>
      <c r="U207" s="5">
        <f>+Tabla145[[#This Row],[Atraso a facturar]]+Tabla145[[#This Row],[Ajuste atraso]]</f>
        <v>0</v>
      </c>
      <c r="V207" s="3">
        <f>+Tabla145[[#This Row],[Total disponible]]-Tabla145[[#This Row],[Facturación atraso]]</f>
        <v>0</v>
      </c>
      <c r="W207" s="6">
        <f>IFERROR(IF(AND(V207&gt;R207,J207&gt;=R207),ROUNDDOWN((Tabla145[[#This Row],[Producción para venta nueva]])/R207,0)*R207,0),0)</f>
        <v>0</v>
      </c>
      <c r="X207" s="76">
        <v>0</v>
      </c>
      <c r="Y207" s="6">
        <f>IF(Tabla145[[#This Row],[Venta del mes]]&gt;0,Tabla145[[#This Row],[Venta del mes]]+Tabla145[[#This Row],[Ajuste venta nueva]],0)</f>
        <v>0</v>
      </c>
      <c r="Z207" s="6">
        <f>+Tabla145[[#This Row],[Producción para venta nueva]]-Tabla145[[#This Row],[Facturación Venta nueva]]</f>
        <v>0</v>
      </c>
      <c r="AA207" s="6">
        <f>IF(AND(A207=1,Tabla145[[#This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07" s="6">
        <v>0</v>
      </c>
      <c r="AC207" s="6">
        <f>IF(Tabla145[[#This Row],[Disponible stock sin venta]]&gt;0,Tabla145[[#This Row],[Disponible stock sin venta]]+Tabla145[[#This Row],[Ajuste stock sin venta]],0)</f>
        <v>0</v>
      </c>
      <c r="AD207" s="3">
        <f>IFERROR(VLOOKUP(Tabla145[[#This Row],[Llave]],'[16]TD Puerto'!$A:$D,4,FALSE),0)</f>
        <v>0</v>
      </c>
      <c r="AE207" s="3">
        <v>0</v>
      </c>
      <c r="AF207" s="3">
        <f>+Tabla145[[#This Row],[Plan Irrestricto Inicial]]</f>
        <v>0</v>
      </c>
      <c r="AG207" s="3">
        <f>+Tabla145[[#This Row],[En puerto a facturar]]</f>
        <v>0</v>
      </c>
      <c r="AH207" s="3">
        <f>+Tabla145[[#This Row],[Facturación atraso]]</f>
        <v>0</v>
      </c>
      <c r="AI207" s="3">
        <f>+Tabla145[[#This Row],[Plan Irrestricto]]-Tabla145[[#This Row],[Puerto ]]-Tabla145[[#This Row],[Atraso]]</f>
        <v>0</v>
      </c>
      <c r="AJ20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7" s="3">
        <f>+Tabla145[[#This Row],[Facturación atraso]]</f>
        <v>0</v>
      </c>
      <c r="AL207" s="3">
        <f>+Tabla145[[#This Row],[Plan Ajustado]]-Tabla145[[#This Row],[ Atraso ajustado]]-Tabla145[[#This Row],[Puerto ]]</f>
        <v>0</v>
      </c>
      <c r="AM207" s="6">
        <f>IFERROR(VLOOKUP(Tabla145[[#This Row],[Llave]],[18]!Tabla14[#All],34,FALSE),0)</f>
        <v>0</v>
      </c>
      <c r="AN207" s="6">
        <f>IFERROR(VLOOKUP(Tabla145[[#This Row],[Llave]],[18]!Tabla14[#All],35,FALSE),0)</f>
        <v>0</v>
      </c>
      <c r="AO207" s="3" t="str">
        <f>IF(Tabla145[[#This Row],[Plan Ajustado]]&gt;Tabla145[[#This Row],[En puerto a facturar]],"Si","No")</f>
        <v>No</v>
      </c>
      <c r="AP20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7" s="3">
        <f>IF(Tabla145[[#This Row],[Necesidad]]&gt;=Tabla145[[#This Row],[Stock al día]],Tabla145[[#This Row],[Stock al día]],Tabla145[[#This Row],[Necesidad]])</f>
        <v>0</v>
      </c>
      <c r="AR207" s="3">
        <f>+Tabla145[[#This Row],[Necesidad]]-Tabla145[[#This Row],[Stock Plan]]</f>
        <v>0</v>
      </c>
      <c r="AS207" s="155">
        <f>IFERROR(VLOOKUP(Tabla145[[#This Row],[Oficina]],[19]Ponderación!$B$14:$E$21,4,FALSE),"")</f>
        <v>44789</v>
      </c>
      <c r="AT20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4.4073391337950358</v>
      </c>
      <c r="AU207" s="83">
        <f>IFERROR(VLOOKUP(Tabla145[[#This Row],[Llave]],[17]DELAY!$H:$W,16,FALSE),0)</f>
        <v>0</v>
      </c>
      <c r="AV20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7" s="5">
        <f>Tabla145[[#This Row],[Ajuste precio IC]]*Tabla145[[#This Row],[Plan Ajustado]]</f>
        <v>0</v>
      </c>
      <c r="AX207" s="30">
        <f>IFERROR(VLOOKUP(Tabla145[[#This Row],[Llave]],'[13]Ultimos precios facturados'!$A:$G,7,FALSE),0)</f>
        <v>4.4073391337950358</v>
      </c>
      <c r="AY20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7" s="30">
        <f>IFERROR(VLOOKUP(Tabla145[[#This Row],[Llave]],Hoja2!B:K,10,FALSE),0)</f>
        <v>0</v>
      </c>
      <c r="BA207" s="30">
        <f>IF(Tabla145[[#This Row],[Ajuste precio IC]]="",Tabla145[[#This Row],[Precio ponderado]],Tabla145[[#This Row],[Precio ponderado]])</f>
        <v>0</v>
      </c>
      <c r="BB207" s="82"/>
      <c r="BC207" s="82" t="str">
        <f>IF(AND(Tabla145[[#This Row],[Atraso a facturar]]&gt;0,Tabla145[[#This Row],[Precio Atraso]]=0),"Revisar","OK")</f>
        <v>OK</v>
      </c>
      <c r="BD207" s="82" t="str">
        <f>IF(AND(Tabla145[[#This Row],[Venta del mes]]&gt;0,Tabla145[[#This Row],[Precio venta nueva]]=0),"Revisar","OK")</f>
        <v>OK</v>
      </c>
      <c r="BE207" s="20">
        <f>IFERROR(VLOOKUP(Tabla145[[#This Row],[Llave]],'[5]Consolidación planes'!$A:$M,9,FALSE),0)</f>
        <v>0</v>
      </c>
      <c r="BF207" s="20">
        <f>IFERROR(VLOOKUP(Tabla145[[#This Row],[Llave]],'[5]Consolidación planes'!$A:$M,10,FALSE),0)</f>
        <v>0</v>
      </c>
      <c r="BG207" s="20">
        <f>IFERROR(VLOOKUP(Tabla145[[#This Row],[Llave]],'[5]Consolidación planes'!$A:$M,11,FALSE),0)</f>
        <v>0</v>
      </c>
      <c r="BH207" s="20">
        <f>IFERROR(VLOOKUP(Tabla145[[#This Row],[Llave]],'[5]Consolidación planes'!$A:$M,12,FALSE),0)</f>
        <v>0</v>
      </c>
      <c r="BI207" s="20">
        <f>IFERROR(VLOOKUP(Tabla145[[#This Row],[Llave]],'[5]Consolidación planes'!$A:$M,13,FALSE),0)</f>
        <v>0</v>
      </c>
      <c r="BJ207" s="20">
        <f>IFERROR(VLOOKUP(Tabla145[[#This Row],[Llave]],'[13]Base ultimos planes'!$A:$M,13,FALSE),0)</f>
        <v>0</v>
      </c>
      <c r="BK207" s="80">
        <f>IFERROR(VLOOKUP(Tabla145[[#This Row],[Llave]],'[13]Base ultimos planes'!$O:$AA,8,FALSE),0)</f>
        <v>0</v>
      </c>
      <c r="BL207" s="20">
        <f>IFERROR(VLOOKUP(Tabla145[[#This Row],[Llave]],'[13]Base ultimos planes'!$O:$AA,9,FALSE),0)</f>
        <v>0</v>
      </c>
      <c r="BM207" s="20">
        <f>IFERROR(VLOOKUP(Tabla145[[#This Row],[Llave]],'[13]Base ultimos planes'!$O:$AA,10,FALSE),0)</f>
        <v>0</v>
      </c>
      <c r="BN207" s="20">
        <f>IFERROR(VLOOKUP(Tabla145[[#This Row],[Llave]],'[13]Base ultimos planes'!$O:$AA,11,FALSE),0)</f>
        <v>0</v>
      </c>
      <c r="BO207" s="20">
        <f>IFERROR(VLOOKUP(Tabla145[[#This Row],[Llave]],'[13]Base ultimos planes'!$O:$AA,12,FALSE),0)</f>
        <v>0</v>
      </c>
      <c r="BP207" s="20">
        <f>IFERROR(VLOOKUP(Tabla145[[#This Row],[Llave]],'[13]Base ultimos planes'!$O:$AA,13,FALSE),0)</f>
        <v>0</v>
      </c>
      <c r="BQ207" s="20"/>
      <c r="BR207" s="20">
        <f>Tabla145[[#This Row],[ RV Producción mes n+1]]*(1-Tabla145[[#This Row],[% Uti. producción]])</f>
        <v>0</v>
      </c>
      <c r="BS207" s="20">
        <f>+Tabla145[[#This Row],[Producción disponible mes n-1]]+Tabla145[[#This Row],[Saldo Volumen disponible]]</f>
        <v>0</v>
      </c>
      <c r="BT207" s="7">
        <f>IFERROR(VLOOKUP(Tabla145[[#This Row],[Llave]],'[21]RV n+2 y n+3'!$B:$F,4,FALSE),0)</f>
        <v>0</v>
      </c>
      <c r="BU207" s="7">
        <f>+Tabla145[[#This Row],[Asignación mes n+2]]*Tabla145[[#This Row],[% Uti. producción]]</f>
        <v>0</v>
      </c>
      <c r="BV207" s="7">
        <f>+Tabla145[[#This Row],[Ponderación mes n+2]]+Tabla145[[#This Row],[Saldo mes n-1]]</f>
        <v>0</v>
      </c>
      <c r="BW207" s="7">
        <f>+Tabla145[[#This Row],[Asignación mes n+2]]-Tabla145[[#This Row],[Ponderación mes n+2]]</f>
        <v>0</v>
      </c>
      <c r="BX207" s="7">
        <f>IFERROR(VLOOKUP(Tabla145[[#This Row],[Llave]],'[21]RV n+2 y n+3'!$B:$F,5,FALSE),0)</f>
        <v>0</v>
      </c>
      <c r="BY207" s="7">
        <f>+Tabla145[[#This Row],[Asignación mes n+3]]*Tabla145[[#This Row],[% Uti. producción]]</f>
        <v>0</v>
      </c>
      <c r="BZ207" s="3">
        <f>+Tabla145[[#This Row],[Ponderación mes n+3]]+Tabla145[[#This Row],[Saldo mes n+2]]</f>
        <v>0</v>
      </c>
      <c r="CA207" s="3">
        <f>+Tabla145[[#This Row],[Asignación mes n+3]]-Tabla145[[#This Row],[Ponderación mes n+3]]</f>
        <v>0</v>
      </c>
      <c r="CB207" s="3">
        <f>+Tabla145[[#This Row],[Producción disponible mes n-1]]+Tabla145[[#This Row],[Producción disponible]]</f>
        <v>0</v>
      </c>
      <c r="CC207" s="3">
        <f>+Tabla145[[#This Row],[Saldo mes n+4]]-Tabla145[[#This Row],[ RV Producción mes n+1]]</f>
        <v>0</v>
      </c>
    </row>
    <row r="208" spans="1:81" ht="16" x14ac:dyDescent="0.2">
      <c r="A208">
        <v>1</v>
      </c>
      <c r="B208" t="str">
        <f>Tabla145[[#This Row],[Oficina]]&amp;Tabla145[[#This Row],[Material]]</f>
        <v>Agro Sudamerica1030739</v>
      </c>
      <c r="C208" t="s">
        <v>204</v>
      </c>
      <c r="D208" t="s">
        <v>17</v>
      </c>
      <c r="E208">
        <v>1030739</v>
      </c>
      <c r="F208" t="s">
        <v>208</v>
      </c>
      <c r="G208" t="s">
        <v>205</v>
      </c>
      <c r="H208" t="s">
        <v>206</v>
      </c>
      <c r="I208" s="7">
        <f>IFERROR(VLOOKUP(Tabla145[[#This Row],[Llave]],'[7]RV Producción'!$C:$G,5,FALSE),0)</f>
        <v>0</v>
      </c>
      <c r="J208" s="3">
        <f>IFERROR(IF(Tabla145[[#This Row],[Oficina]]=$I$7,VLOOKUP(Tabla145[[#This Row],[Llave]],'[7]Shangai (Tomas)'!$A:$F,6,FALSE),VLOOKUP(Tabla145[[#This Row],[Llave]],'[7]RV plan de ventas'!$A:$E,5,FALSE)),0)</f>
        <v>0</v>
      </c>
      <c r="K208" s="8">
        <f>IFERROR(VLOOKUP(Tabla145[[#This Row],[Oficina]],[15]Ponderación!$B$2:$E$9,4,FALSE),0)</f>
        <v>0.45719439678473212</v>
      </c>
      <c r="L208" s="7">
        <f>+Tabla145[[#This Row],[ RV Producción mes n+1]]*Tabla145[[#This Row],[% Uti. producción]]</f>
        <v>0</v>
      </c>
      <c r="M208" s="7">
        <f>IFERROR(VLOOKUP(Tabla145[[#This Row],[Material]],[16]Stock!$G:$K,5,FALSE),0)</f>
        <v>0</v>
      </c>
      <c r="N208" s="7">
        <f>IFERROR(VLOOKUP(Tabla145[[#This Row],[Material]],[16]Produccion!$M:$N,2,FALSE),0)</f>
        <v>0</v>
      </c>
      <c r="O208" s="7">
        <f>IFERROR(VLOOKUP(Tabla145[[#This Row],[Llave]],'[16]TD Conf-AP'!$I:$M,4,FALSE),0)</f>
        <v>0</v>
      </c>
      <c r="P208" s="14">
        <f>SUM(Tabla145[[#This Row],[Producción disponible]],Tabla145[[#This Row],[Stock al día]],(Tabla145[[#This Row],[Por producir mes N]]*0.9))-Tabla145[[#This Row],[Producción por despachar mes N]]</f>
        <v>0</v>
      </c>
      <c r="Q208" s="7">
        <f>IFERROR(VLOOKUP(Tabla145[[#This Row],[Llave]],[17]DELAY!$A:$D,4,FALSE),0)</f>
        <v>0</v>
      </c>
      <c r="R208" s="9">
        <v>24000</v>
      </c>
      <c r="S208" s="5">
        <f t="shared" si="8"/>
        <v>0</v>
      </c>
      <c r="T208" s="76">
        <v>0</v>
      </c>
      <c r="U208" s="5">
        <f>+Tabla145[[#This Row],[Atraso a facturar]]+Tabla145[[#This Row],[Ajuste atraso]]</f>
        <v>0</v>
      </c>
      <c r="V208" s="3">
        <f>+Tabla145[[#This Row],[Total disponible]]-Tabla145[[#This Row],[Facturación atraso]]</f>
        <v>0</v>
      </c>
      <c r="W208" s="6">
        <f>IFERROR(IF(AND(V208&gt;R208,J208&gt;=R208),ROUNDDOWN((Tabla145[[#This Row],[Producción para venta nueva]])/R208,0)*R208,0),0)</f>
        <v>0</v>
      </c>
      <c r="X208" s="76">
        <v>0</v>
      </c>
      <c r="Y208" s="6">
        <f>IF(Tabla145[[#This Row],[Venta del mes]]&gt;0,Tabla145[[#This Row],[Venta del mes]]+Tabla145[[#This Row],[Ajuste venta nueva]],0)</f>
        <v>0</v>
      </c>
      <c r="Z208" s="6">
        <f>+Tabla145[[#This Row],[Producción para venta nueva]]-Tabla145[[#This Row],[Facturación Venta nueva]]</f>
        <v>0</v>
      </c>
      <c r="AA208" s="6">
        <f>IF(AND(A208=1,Tabla145[[#This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08" s="6">
        <v>0</v>
      </c>
      <c r="AC208" s="6">
        <f>IF(Tabla145[[#This Row],[Disponible stock sin venta]]&gt;0,Tabla145[[#This Row],[Disponible stock sin venta]]+Tabla145[[#This Row],[Ajuste stock sin venta]],0)</f>
        <v>0</v>
      </c>
      <c r="AD208" s="3">
        <f>IFERROR(VLOOKUP(Tabla145[[#This Row],[Llave]],'[16]TD Puerto'!$A:$D,4,FALSE),0)</f>
        <v>0</v>
      </c>
      <c r="AE208" s="3">
        <v>0</v>
      </c>
      <c r="AF208" s="3">
        <f>+Tabla145[[#This Row],[Plan Irrestricto Inicial]]</f>
        <v>0</v>
      </c>
      <c r="AG208" s="3">
        <f>+Tabla145[[#This Row],[En puerto a facturar]]</f>
        <v>0</v>
      </c>
      <c r="AH208" s="3">
        <f>+Tabla145[[#This Row],[Facturación atraso]]</f>
        <v>0</v>
      </c>
      <c r="AI208" s="3">
        <f>+Tabla145[[#This Row],[Plan Irrestricto]]-Tabla145[[#This Row],[Puerto ]]-Tabla145[[#This Row],[Atraso]]</f>
        <v>0</v>
      </c>
      <c r="AJ20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8" s="3">
        <f>+Tabla145[[#This Row],[Facturación atraso]]</f>
        <v>0</v>
      </c>
      <c r="AL208" s="3">
        <f>+Tabla145[[#This Row],[Plan Ajustado]]-Tabla145[[#This Row],[ Atraso ajustado]]-Tabla145[[#This Row],[Puerto ]]</f>
        <v>0</v>
      </c>
      <c r="AM208" s="6">
        <f>IFERROR(VLOOKUP(Tabla145[[#This Row],[Llave]],[18]!Tabla14[#All],34,FALSE),0)</f>
        <v>0</v>
      </c>
      <c r="AN208" s="6">
        <f>IFERROR(VLOOKUP(Tabla145[[#This Row],[Llave]],[18]!Tabla14[#All],35,FALSE),0)</f>
        <v>0</v>
      </c>
      <c r="AO208" s="3" t="str">
        <f>IF(Tabla145[[#This Row],[Plan Ajustado]]&gt;Tabla145[[#This Row],[En puerto a facturar]],"Si","No")</f>
        <v>No</v>
      </c>
      <c r="AP20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8" s="3">
        <f>IF(Tabla145[[#This Row],[Necesidad]]&gt;=Tabla145[[#This Row],[Stock al día]],Tabla145[[#This Row],[Stock al día]],Tabla145[[#This Row],[Necesidad]])</f>
        <v>0</v>
      </c>
      <c r="AR208" s="3">
        <f>+Tabla145[[#This Row],[Necesidad]]-Tabla145[[#This Row],[Stock Plan]]</f>
        <v>0</v>
      </c>
      <c r="AS208" s="155">
        <f>IFERROR(VLOOKUP(Tabla145[[#This Row],[Oficina]],[19]Ponderación!$B$14:$E$21,4,FALSE),"")</f>
        <v>44789</v>
      </c>
      <c r="AT20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08" s="83">
        <f>IFERROR(VLOOKUP(Tabla145[[#This Row],[Llave]],[17]DELAY!$H:$W,16,FALSE),0)</f>
        <v>0</v>
      </c>
      <c r="AV20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8" s="5">
        <f>Tabla145[[#This Row],[Ajuste precio IC]]*Tabla145[[#This Row],[Plan Ajustado]]</f>
        <v>0</v>
      </c>
      <c r="AX208" s="30">
        <f>IFERROR(VLOOKUP(Tabla145[[#This Row],[Llave]],'[13]Ultimos precios facturados'!$A:$G,7,FALSE),0)</f>
        <v>0</v>
      </c>
      <c r="AY20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8" s="30">
        <f>IFERROR(VLOOKUP(Tabla145[[#This Row],[Llave]],Hoja2!B:K,10,FALSE),0)</f>
        <v>0</v>
      </c>
      <c r="BA208" s="30">
        <f>IF(Tabla145[[#This Row],[Ajuste precio IC]]="",Tabla145[[#This Row],[Precio ponderado]],Tabla145[[#This Row],[Precio ponderado]])</f>
        <v>0</v>
      </c>
      <c r="BB208" s="82"/>
      <c r="BC208" s="82" t="str">
        <f>IF(AND(Tabla145[[#This Row],[Atraso a facturar]]&gt;0,Tabla145[[#This Row],[Precio Atraso]]=0),"Revisar","OK")</f>
        <v>OK</v>
      </c>
      <c r="BD208" s="82" t="str">
        <f>IF(AND(Tabla145[[#This Row],[Venta del mes]]&gt;0,Tabla145[[#This Row],[Precio venta nueva]]=0),"Revisar","OK")</f>
        <v>OK</v>
      </c>
      <c r="BE208" s="20">
        <f>IFERROR(VLOOKUP(Tabla145[[#This Row],[Llave]],'[5]Consolidación planes'!$A:$M,9,FALSE),0)</f>
        <v>0</v>
      </c>
      <c r="BF208" s="20">
        <f>IFERROR(VLOOKUP(Tabla145[[#This Row],[Llave]],'[5]Consolidación planes'!$A:$M,10,FALSE),0)</f>
        <v>0</v>
      </c>
      <c r="BG208" s="20">
        <f>IFERROR(VLOOKUP(Tabla145[[#This Row],[Llave]],'[5]Consolidación planes'!$A:$M,11,FALSE),0)</f>
        <v>0</v>
      </c>
      <c r="BH208" s="20">
        <f>IFERROR(VLOOKUP(Tabla145[[#This Row],[Llave]],'[5]Consolidación planes'!$A:$M,12,FALSE),0)</f>
        <v>0</v>
      </c>
      <c r="BI208" s="20">
        <f>IFERROR(VLOOKUP(Tabla145[[#This Row],[Llave]],'[5]Consolidación planes'!$A:$M,13,FALSE),0)</f>
        <v>0</v>
      </c>
      <c r="BJ208" s="20">
        <f>IFERROR(VLOOKUP(Tabla145[[#This Row],[Llave]],'[13]Base ultimos planes'!$A:$M,13,FALSE),0)</f>
        <v>0</v>
      </c>
      <c r="BK208" s="80">
        <f>IFERROR(VLOOKUP(Tabla145[[#This Row],[Llave]],'[13]Base ultimos planes'!$O:$AA,8,FALSE),0)</f>
        <v>0</v>
      </c>
      <c r="BL208" s="20">
        <f>IFERROR(VLOOKUP(Tabla145[[#This Row],[Llave]],'[13]Base ultimos planes'!$O:$AA,9,FALSE),0)</f>
        <v>0</v>
      </c>
      <c r="BM208" s="20">
        <f>IFERROR(VLOOKUP(Tabla145[[#This Row],[Llave]],'[13]Base ultimos planes'!$O:$AA,10,FALSE),0)</f>
        <v>0</v>
      </c>
      <c r="BN208" s="20">
        <f>IFERROR(VLOOKUP(Tabla145[[#This Row],[Llave]],'[13]Base ultimos planes'!$O:$AA,11,FALSE),0)</f>
        <v>0</v>
      </c>
      <c r="BO208" s="20">
        <f>IFERROR(VLOOKUP(Tabla145[[#This Row],[Llave]],'[13]Base ultimos planes'!$O:$AA,12,FALSE),0)</f>
        <v>0</v>
      </c>
      <c r="BP208" s="20">
        <f>IFERROR(VLOOKUP(Tabla145[[#This Row],[Llave]],'[13]Base ultimos planes'!$O:$AA,13,FALSE),0)</f>
        <v>0</v>
      </c>
      <c r="BQ208" s="20"/>
      <c r="BR208" s="20">
        <f>Tabla145[[#This Row],[ RV Producción mes n+1]]*(1-Tabla145[[#This Row],[% Uti. producción]])</f>
        <v>0</v>
      </c>
      <c r="BS208" s="20">
        <f>+Tabla145[[#This Row],[Producción disponible mes n-1]]+Tabla145[[#This Row],[Saldo Volumen disponible]]</f>
        <v>0</v>
      </c>
      <c r="BT208" s="7">
        <f>IFERROR(VLOOKUP(Tabla145[[#This Row],[Llave]],'[21]RV n+2 y n+3'!$B:$F,4,FALSE),0)</f>
        <v>0</v>
      </c>
      <c r="BU208" s="7">
        <f>+Tabla145[[#This Row],[Asignación mes n+2]]*Tabla145[[#This Row],[% Uti. producción]]</f>
        <v>0</v>
      </c>
      <c r="BV208" s="7">
        <f>+Tabla145[[#This Row],[Ponderación mes n+2]]+Tabla145[[#This Row],[Saldo mes n-1]]</f>
        <v>0</v>
      </c>
      <c r="BW208" s="7">
        <f>+Tabla145[[#This Row],[Asignación mes n+2]]-Tabla145[[#This Row],[Ponderación mes n+2]]</f>
        <v>0</v>
      </c>
      <c r="BX208" s="7">
        <f>IFERROR(VLOOKUP(Tabla145[[#This Row],[Llave]],'[21]RV n+2 y n+3'!$B:$F,5,FALSE),0)</f>
        <v>0</v>
      </c>
      <c r="BY208" s="7">
        <f>+Tabla145[[#This Row],[Asignación mes n+3]]*Tabla145[[#This Row],[% Uti. producción]]</f>
        <v>0</v>
      </c>
      <c r="BZ208" s="3">
        <f>+Tabla145[[#This Row],[Ponderación mes n+3]]+Tabla145[[#This Row],[Saldo mes n+2]]</f>
        <v>0</v>
      </c>
      <c r="CA208" s="3">
        <f>+Tabla145[[#This Row],[Asignación mes n+3]]-Tabla145[[#This Row],[Ponderación mes n+3]]</f>
        <v>0</v>
      </c>
      <c r="CB208" s="3">
        <f>+Tabla145[[#This Row],[Producción disponible mes n-1]]+Tabla145[[#This Row],[Producción disponible]]</f>
        <v>0</v>
      </c>
      <c r="CC208" s="3">
        <f>+Tabla145[[#This Row],[Saldo mes n+4]]-Tabla145[[#This Row],[ RV Producción mes n+1]]</f>
        <v>0</v>
      </c>
    </row>
    <row r="209" spans="1:81" ht="16" x14ac:dyDescent="0.2">
      <c r="A209">
        <v>1</v>
      </c>
      <c r="B209" t="str">
        <f>Tabla145[[#This Row],[Oficina]]&amp;Tabla145[[#This Row],[Material]]</f>
        <v>Agro Sudamerica1030780</v>
      </c>
      <c r="C209" t="s">
        <v>204</v>
      </c>
      <c r="D209" t="s">
        <v>17</v>
      </c>
      <c r="E209">
        <v>1030780</v>
      </c>
      <c r="F209" t="s">
        <v>318</v>
      </c>
      <c r="G209" t="s">
        <v>316</v>
      </c>
      <c r="H209" t="s">
        <v>317</v>
      </c>
      <c r="I209" s="7">
        <f>IFERROR(VLOOKUP(Tabla145[[#This Row],[Llave]],'[7]RV Producción'!$C:$G,5,FALSE),0)</f>
        <v>0</v>
      </c>
      <c r="J209" s="3">
        <f>IFERROR(IF(Tabla145[[#This Row],[Oficina]]=$I$7,VLOOKUP(Tabla145[[#This Row],[Llave]],'[7]Shangai (Tomas)'!$A:$F,6,FALSE),VLOOKUP(Tabla145[[#This Row],[Llave]],'[7]RV plan de ventas'!$A:$E,5,FALSE)),0)</f>
        <v>0</v>
      </c>
      <c r="K209" s="8">
        <f>IFERROR(VLOOKUP(Tabla145[[#This Row],[Oficina]],[15]Ponderación!$B$2:$E$9,4,FALSE),0)</f>
        <v>0.45719439678473212</v>
      </c>
      <c r="L209" s="7">
        <f>+Tabla145[[#This Row],[ RV Producción mes n+1]]*Tabla145[[#This Row],[% Uti. producción]]</f>
        <v>0</v>
      </c>
      <c r="M209" s="7">
        <f>IFERROR(VLOOKUP(Tabla145[[#This Row],[Material]],[16]Stock!$G:$K,5,FALSE),0)</f>
        <v>0</v>
      </c>
      <c r="N209" s="7">
        <f>IFERROR(VLOOKUP(Tabla145[[#This Row],[Material]],[16]Produccion!$M:$N,2,FALSE),0)</f>
        <v>0</v>
      </c>
      <c r="O209" s="7">
        <f>IFERROR(VLOOKUP(Tabla145[[#This Row],[Llave]],'[16]TD Conf-AP'!$I:$M,4,FALSE),0)</f>
        <v>0</v>
      </c>
      <c r="P209" s="14">
        <f>SUM(Tabla145[[#This Row],[Producción disponible]],Tabla145[[#This Row],[Stock al día]],(Tabla145[[#This Row],[Por producir mes N]]*0.9))-Tabla145[[#This Row],[Producción por despachar mes N]]</f>
        <v>0</v>
      </c>
      <c r="Q209" s="7">
        <f>IFERROR(VLOOKUP(Tabla145[[#This Row],[Llave]],[17]DELAY!$A:$D,4,FALSE),0)</f>
        <v>0</v>
      </c>
      <c r="R209" s="9">
        <v>24000</v>
      </c>
      <c r="S209" s="5">
        <f t="shared" si="8"/>
        <v>0</v>
      </c>
      <c r="T209" s="76">
        <v>0</v>
      </c>
      <c r="U209" s="5">
        <f>+Tabla145[[#This Row],[Atraso a facturar]]+Tabla145[[#This Row],[Ajuste atraso]]</f>
        <v>0</v>
      </c>
      <c r="V209" s="3">
        <f>+Tabla145[[#This Row],[Total disponible]]-Tabla145[[#This Row],[Facturación atraso]]</f>
        <v>0</v>
      </c>
      <c r="W209" s="6">
        <f>IFERROR(IF(AND(V209&gt;R209,J209&gt;=R209),ROUNDDOWN((Tabla145[[#This Row],[Producción para venta nueva]])/R209,0)*R209,0),0)</f>
        <v>0</v>
      </c>
      <c r="X209" s="76">
        <v>0</v>
      </c>
      <c r="Y209" s="6">
        <f>IF(Tabla145[[#This Row],[Venta del mes]]&gt;0,Tabla145[[#This Row],[Venta del mes]]+Tabla145[[#This Row],[Ajuste venta nueva]],0)</f>
        <v>0</v>
      </c>
      <c r="Z209" s="6">
        <f>+Tabla145[[#This Row],[Producción para venta nueva]]-Tabla145[[#This Row],[Facturación Venta nueva]]</f>
        <v>0</v>
      </c>
      <c r="AA209" s="6">
        <f>IF(AND(A209=1,Tabla145[[#This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09" s="6">
        <v>0</v>
      </c>
      <c r="AC209" s="6">
        <f>IF(Tabla145[[#This Row],[Disponible stock sin venta]]&gt;0,Tabla145[[#This Row],[Disponible stock sin venta]]+Tabla145[[#This Row],[Ajuste stock sin venta]],0)</f>
        <v>0</v>
      </c>
      <c r="AD209" s="3">
        <f>IFERROR(VLOOKUP(Tabla145[[#This Row],[Llave]],'[16]TD Puerto'!$A:$D,4,FALSE),0)</f>
        <v>0</v>
      </c>
      <c r="AE209" s="3">
        <v>0</v>
      </c>
      <c r="AF209" s="3">
        <f>+Tabla145[[#This Row],[Plan Irrestricto Inicial]]</f>
        <v>0</v>
      </c>
      <c r="AG209" s="3">
        <f>+Tabla145[[#This Row],[En puerto a facturar]]</f>
        <v>0</v>
      </c>
      <c r="AH209" s="3">
        <f>+Tabla145[[#This Row],[Facturación atraso]]</f>
        <v>0</v>
      </c>
      <c r="AI209" s="3">
        <f>+Tabla145[[#This Row],[Plan Irrestricto]]-Tabla145[[#This Row],[Puerto ]]-Tabla145[[#This Row],[Atraso]]</f>
        <v>0</v>
      </c>
      <c r="AJ20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09" s="3">
        <f>+Tabla145[[#This Row],[Facturación atraso]]</f>
        <v>0</v>
      </c>
      <c r="AL209" s="3">
        <f>+Tabla145[[#This Row],[Plan Ajustado]]-Tabla145[[#This Row],[ Atraso ajustado]]-Tabla145[[#This Row],[Puerto ]]</f>
        <v>0</v>
      </c>
      <c r="AM209" s="6">
        <f>IFERROR(VLOOKUP(Tabla145[[#This Row],[Llave]],[18]!Tabla14[#All],34,FALSE),0)</f>
        <v>0</v>
      </c>
      <c r="AN209" s="6">
        <f>IFERROR(VLOOKUP(Tabla145[[#This Row],[Llave]],[18]!Tabla14[#All],35,FALSE),0)</f>
        <v>0</v>
      </c>
      <c r="AO209" s="3" t="str">
        <f>IF(Tabla145[[#This Row],[Plan Ajustado]]&gt;Tabla145[[#This Row],[En puerto a facturar]],"Si","No")</f>
        <v>No</v>
      </c>
      <c r="AP20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09" s="3">
        <f>IF(Tabla145[[#This Row],[Necesidad]]&gt;=Tabla145[[#This Row],[Stock al día]],Tabla145[[#This Row],[Stock al día]],Tabla145[[#This Row],[Necesidad]])</f>
        <v>0</v>
      </c>
      <c r="AR209" s="3">
        <f>+Tabla145[[#This Row],[Necesidad]]-Tabla145[[#This Row],[Stock Plan]]</f>
        <v>0</v>
      </c>
      <c r="AS209" s="155">
        <f>IFERROR(VLOOKUP(Tabla145[[#This Row],[Oficina]],[19]Ponderación!$B$14:$E$21,4,FALSE),"")</f>
        <v>44789</v>
      </c>
      <c r="AT20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4.4073392249438417</v>
      </c>
      <c r="AU209" s="83">
        <f>IFERROR(VLOOKUP(Tabla145[[#This Row],[Llave]],[17]DELAY!$H:$W,16,FALSE),0)</f>
        <v>0</v>
      </c>
      <c r="AV20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09" s="5">
        <f>Tabla145[[#This Row],[Ajuste precio IC]]*Tabla145[[#This Row],[Plan Ajustado]]</f>
        <v>0</v>
      </c>
      <c r="AX209" s="30">
        <f>IFERROR(VLOOKUP(Tabla145[[#This Row],[Llave]],'[13]Ultimos precios facturados'!$A:$G,7,FALSE),0)</f>
        <v>4.4073392249438417</v>
      </c>
      <c r="AY20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09" s="30">
        <f>IFERROR(VLOOKUP(Tabla145[[#This Row],[Llave]],Hoja2!B:K,10,FALSE),0)</f>
        <v>0</v>
      </c>
      <c r="BA209" s="30">
        <f>IF(Tabla145[[#This Row],[Ajuste precio IC]]="",Tabla145[[#This Row],[Precio ponderado]],Tabla145[[#This Row],[Precio ponderado]])</f>
        <v>0</v>
      </c>
      <c r="BB209" s="82"/>
      <c r="BC209" s="82" t="str">
        <f>IF(AND(Tabla145[[#This Row],[Atraso a facturar]]&gt;0,Tabla145[[#This Row],[Precio Atraso]]=0),"Revisar","OK")</f>
        <v>OK</v>
      </c>
      <c r="BD209" s="82" t="str">
        <f>IF(AND(Tabla145[[#This Row],[Venta del mes]]&gt;0,Tabla145[[#This Row],[Precio venta nueva]]=0),"Revisar","OK")</f>
        <v>OK</v>
      </c>
      <c r="BE209" s="20">
        <f>IFERROR(VLOOKUP(Tabla145[[#This Row],[Llave]],'[5]Consolidación planes'!$A:$M,9,FALSE),0)</f>
        <v>0</v>
      </c>
      <c r="BF209" s="20">
        <f>IFERROR(VLOOKUP(Tabla145[[#This Row],[Llave]],'[5]Consolidación planes'!$A:$M,10,FALSE),0)</f>
        <v>0</v>
      </c>
      <c r="BG209" s="20">
        <f>IFERROR(VLOOKUP(Tabla145[[#This Row],[Llave]],'[5]Consolidación planes'!$A:$M,11,FALSE),0)</f>
        <v>0</v>
      </c>
      <c r="BH209" s="20">
        <f>IFERROR(VLOOKUP(Tabla145[[#This Row],[Llave]],'[5]Consolidación planes'!$A:$M,12,FALSE),0)</f>
        <v>0</v>
      </c>
      <c r="BI209" s="20">
        <f>IFERROR(VLOOKUP(Tabla145[[#This Row],[Llave]],'[5]Consolidación planes'!$A:$M,13,FALSE),0)</f>
        <v>0</v>
      </c>
      <c r="BJ209" s="20">
        <f>IFERROR(VLOOKUP(Tabla145[[#This Row],[Llave]],'[13]Base ultimos planes'!$A:$M,13,FALSE),0)</f>
        <v>0</v>
      </c>
      <c r="BK209" s="80">
        <f>IFERROR(VLOOKUP(Tabla145[[#This Row],[Llave]],'[13]Base ultimos planes'!$O:$AA,8,FALSE),0)</f>
        <v>0</v>
      </c>
      <c r="BL209" s="20">
        <f>IFERROR(VLOOKUP(Tabla145[[#This Row],[Llave]],'[13]Base ultimos planes'!$O:$AA,9,FALSE),0)</f>
        <v>0</v>
      </c>
      <c r="BM209" s="20">
        <f>IFERROR(VLOOKUP(Tabla145[[#This Row],[Llave]],'[13]Base ultimos planes'!$O:$AA,10,FALSE),0)</f>
        <v>0</v>
      </c>
      <c r="BN209" s="20">
        <f>IFERROR(VLOOKUP(Tabla145[[#This Row],[Llave]],'[13]Base ultimos planes'!$O:$AA,11,FALSE),0)</f>
        <v>0</v>
      </c>
      <c r="BO209" s="20">
        <f>IFERROR(VLOOKUP(Tabla145[[#This Row],[Llave]],'[13]Base ultimos planes'!$O:$AA,12,FALSE),0)</f>
        <v>0</v>
      </c>
      <c r="BP209" s="20">
        <f>IFERROR(VLOOKUP(Tabla145[[#This Row],[Llave]],'[13]Base ultimos planes'!$O:$AA,13,FALSE),0)</f>
        <v>0</v>
      </c>
      <c r="BQ209" s="20"/>
      <c r="BR209" s="20">
        <f>Tabla145[[#This Row],[ RV Producción mes n+1]]*(1-Tabla145[[#This Row],[% Uti. producción]])</f>
        <v>0</v>
      </c>
      <c r="BS209" s="20">
        <f>+Tabla145[[#This Row],[Producción disponible mes n-1]]+Tabla145[[#This Row],[Saldo Volumen disponible]]</f>
        <v>0</v>
      </c>
      <c r="BT209" s="7">
        <f>IFERROR(VLOOKUP(Tabla145[[#This Row],[Llave]],'[21]RV n+2 y n+3'!$B:$F,4,FALSE),0)</f>
        <v>0</v>
      </c>
      <c r="BU209" s="7">
        <f>+Tabla145[[#This Row],[Asignación mes n+2]]*Tabla145[[#This Row],[% Uti. producción]]</f>
        <v>0</v>
      </c>
      <c r="BV209" s="7">
        <f>+Tabla145[[#This Row],[Ponderación mes n+2]]+Tabla145[[#This Row],[Saldo mes n-1]]</f>
        <v>0</v>
      </c>
      <c r="BW209" s="7">
        <f>+Tabla145[[#This Row],[Asignación mes n+2]]-Tabla145[[#This Row],[Ponderación mes n+2]]</f>
        <v>0</v>
      </c>
      <c r="BX209" s="7">
        <f>IFERROR(VLOOKUP(Tabla145[[#This Row],[Llave]],'[21]RV n+2 y n+3'!$B:$F,5,FALSE),0)</f>
        <v>0</v>
      </c>
      <c r="BY209" s="7">
        <f>+Tabla145[[#This Row],[Asignación mes n+3]]*Tabla145[[#This Row],[% Uti. producción]]</f>
        <v>0</v>
      </c>
      <c r="BZ209" s="3">
        <f>+Tabla145[[#This Row],[Ponderación mes n+3]]+Tabla145[[#This Row],[Saldo mes n+2]]</f>
        <v>0</v>
      </c>
      <c r="CA209" s="3">
        <f>+Tabla145[[#This Row],[Asignación mes n+3]]-Tabla145[[#This Row],[Ponderación mes n+3]]</f>
        <v>0</v>
      </c>
      <c r="CB209" s="3">
        <f>+Tabla145[[#This Row],[Producción disponible mes n-1]]+Tabla145[[#This Row],[Producción disponible]]</f>
        <v>0</v>
      </c>
      <c r="CC209" s="3">
        <f>+Tabla145[[#This Row],[Saldo mes n+4]]-Tabla145[[#This Row],[ RV Producción mes n+1]]</f>
        <v>0</v>
      </c>
    </row>
    <row r="210" spans="1:81" ht="16" x14ac:dyDescent="0.2">
      <c r="A210">
        <v>1</v>
      </c>
      <c r="B210" t="str">
        <f>Tabla145[[#This Row],[Oficina]]&amp;Tabla145[[#This Row],[Material]]</f>
        <v>Agrosuper Asia1030309</v>
      </c>
      <c r="C210" t="s">
        <v>204</v>
      </c>
      <c r="D210" t="s">
        <v>173</v>
      </c>
      <c r="E210">
        <v>1030309</v>
      </c>
      <c r="F210" t="s">
        <v>224</v>
      </c>
      <c r="G210" t="s">
        <v>209</v>
      </c>
      <c r="H210" t="s">
        <v>223</v>
      </c>
      <c r="I210" s="7">
        <f>IFERROR(VLOOKUP(Tabla145[[#This Row],[Llave]],'[7]RV Producción'!$C:$G,5,FALSE),0)</f>
        <v>0</v>
      </c>
      <c r="J210" s="3">
        <f>IFERROR(IF(Tabla145[[#This Row],[Oficina]]=$I$7,VLOOKUP(Tabla145[[#This Row],[Llave]],'[7]Shangai (Tomas)'!$A:$F,6,FALSE),VLOOKUP(Tabla145[[#This Row],[Llave]],'[7]RV plan de ventas'!$A:$E,5,FALSE)),0)</f>
        <v>0</v>
      </c>
      <c r="K210" s="8">
        <f>IFERROR(VLOOKUP(Tabla145[[#This Row],[Oficina]],[15]Ponderación!$B$2:$E$9,4,FALSE),0)</f>
        <v>0.45719439678473212</v>
      </c>
      <c r="L210" s="7">
        <f>+Tabla145[[#This Row],[ RV Producción mes n+1]]*Tabla145[[#This Row],[% Uti. producción]]</f>
        <v>0</v>
      </c>
      <c r="M210" s="7">
        <f>IFERROR(VLOOKUP(Tabla145[[#This Row],[Material]],[16]Stock!$G:$K,5,FALSE),0)</f>
        <v>0</v>
      </c>
      <c r="N210" s="7">
        <f>IFERROR(VLOOKUP(Tabla145[[#This Row],[Material]],[16]Produccion!$M:$N,2,FALSE),0)</f>
        <v>0</v>
      </c>
      <c r="O210" s="7">
        <f>IFERROR(VLOOKUP(Tabla145[[#This Row],[Llave]],'[16]TD Conf-AP'!$I:$M,4,FALSE),0)</f>
        <v>0</v>
      </c>
      <c r="P210" s="14">
        <f>SUM(Tabla145[[#This Row],[Producción disponible]],Tabla145[[#This Row],[Stock al día]],(Tabla145[[#This Row],[Por producir mes N]]*0.9))-Tabla145[[#This Row],[Producción por despachar mes N]]</f>
        <v>0</v>
      </c>
      <c r="Q210" s="7">
        <f>IFERROR(VLOOKUP(Tabla145[[#This Row],[Llave]],[17]DELAY!$A:$D,4,FALSE),0)</f>
        <v>0</v>
      </c>
      <c r="R210" s="9">
        <v>22000</v>
      </c>
      <c r="S210" s="5">
        <f t="shared" si="8"/>
        <v>0</v>
      </c>
      <c r="T210" s="76">
        <v>0</v>
      </c>
      <c r="U210" s="5">
        <f>+Tabla145[[#This Row],[Atraso a facturar]]+Tabla145[[#This Row],[Ajuste atraso]]</f>
        <v>0</v>
      </c>
      <c r="V210" s="3">
        <f>+Tabla145[[#This Row],[Total disponible]]-Tabla145[[#This Row],[Facturación atraso]]</f>
        <v>0</v>
      </c>
      <c r="W210" s="6">
        <f>IFERROR(IF(AND(V210&gt;R210,J210&gt;=R210),ROUNDDOWN((Tabla145[[#This Row],[Producción para venta nueva]])/R210,0)*R210,0),0)</f>
        <v>0</v>
      </c>
      <c r="X210" s="76">
        <v>0</v>
      </c>
      <c r="Y210" s="6">
        <f>IF(Tabla145[[#This Row],[Venta del mes]]&gt;0,Tabla145[[#This Row],[Venta del mes]]+Tabla145[[#This Row],[Ajuste venta nueva]],0)</f>
        <v>0</v>
      </c>
      <c r="Z210" s="6">
        <f>+Tabla145[[#This Row],[Producción para venta nueva]]-Tabla145[[#This Row],[Facturación Venta nueva]]</f>
        <v>0</v>
      </c>
      <c r="AA210" s="6">
        <f>IF(AND(A210=1,Tabla145[[#This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0" s="6">
        <v>0</v>
      </c>
      <c r="AC210" s="6">
        <f>IF(Tabla145[[#This Row],[Disponible stock sin venta]]&gt;0,Tabla145[[#This Row],[Disponible stock sin venta]]+Tabla145[[#This Row],[Ajuste stock sin venta]],0)</f>
        <v>0</v>
      </c>
      <c r="AD210" s="3">
        <f>IFERROR(VLOOKUP(Tabla145[[#This Row],[Llave]],'[16]TD Puerto'!$A:$D,4,FALSE),0)</f>
        <v>0</v>
      </c>
      <c r="AE210" s="3">
        <v>0</v>
      </c>
      <c r="AF210" s="3">
        <f>+Tabla145[[#This Row],[Plan Irrestricto Inicial]]</f>
        <v>0</v>
      </c>
      <c r="AG210" s="3">
        <f>+Tabla145[[#This Row],[En puerto a facturar]]</f>
        <v>0</v>
      </c>
      <c r="AH210" s="3">
        <f>+Tabla145[[#This Row],[Facturación atraso]]</f>
        <v>0</v>
      </c>
      <c r="AI210" s="3">
        <f>+Tabla145[[#This Row],[Plan Irrestricto]]-Tabla145[[#This Row],[Puerto ]]-Tabla145[[#This Row],[Atraso]]</f>
        <v>0</v>
      </c>
      <c r="AJ21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10" s="3">
        <f>+Tabla145[[#This Row],[Facturación atraso]]</f>
        <v>0</v>
      </c>
      <c r="AL210" s="3">
        <f>+Tabla145[[#This Row],[Plan Ajustado]]-Tabla145[[#This Row],[ Atraso ajustado]]-Tabla145[[#This Row],[Puerto ]]</f>
        <v>0</v>
      </c>
      <c r="AM210" s="6">
        <f>IFERROR(VLOOKUP(Tabla145[[#This Row],[Llave]],[18]!Tabla14[#All],34,FALSE),0)</f>
        <v>0</v>
      </c>
      <c r="AN210" s="6">
        <f>IFERROR(VLOOKUP(Tabla145[[#This Row],[Llave]],[18]!Tabla14[#All],35,FALSE),0)</f>
        <v>0</v>
      </c>
      <c r="AO210" s="3" t="str">
        <f>IF(Tabla145[[#This Row],[Plan Ajustado]]&gt;Tabla145[[#This Row],[En puerto a facturar]],"Si","No")</f>
        <v>No</v>
      </c>
      <c r="AP21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10" s="3">
        <f>IF(Tabla145[[#This Row],[Necesidad]]&gt;=Tabla145[[#This Row],[Stock al día]],Tabla145[[#This Row],[Stock al día]],Tabla145[[#This Row],[Necesidad]])</f>
        <v>0</v>
      </c>
      <c r="AR210" s="3">
        <f>+Tabla145[[#This Row],[Necesidad]]-Tabla145[[#This Row],[Stock Plan]]</f>
        <v>0</v>
      </c>
      <c r="AS210" s="155">
        <f>IFERROR(VLOOKUP(Tabla145[[#This Row],[Oficina]],[19]Ponderación!$B$14:$E$21,4,FALSE),"")</f>
        <v>44786</v>
      </c>
      <c r="AT21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1.3082260734693878</v>
      </c>
      <c r="AU210" s="83">
        <f>IFERROR(VLOOKUP(Tabla145[[#This Row],[Llave]],[17]DELAY!$H:$W,16,FALSE),0)</f>
        <v>0</v>
      </c>
      <c r="AV21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10" s="5">
        <f>Tabla145[[#This Row],[Ajuste precio IC]]*Tabla145[[#This Row],[Plan Ajustado]]</f>
        <v>0</v>
      </c>
      <c r="AX210" s="30">
        <f>IFERROR(VLOOKUP(Tabla145[[#This Row],[Llave]],'[13]Ultimos precios facturados'!$A:$G,7,FALSE),0)</f>
        <v>1.3082260734693878</v>
      </c>
      <c r="AY21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10" s="30">
        <f>IFERROR(VLOOKUP(Tabla145[[#This Row],[Llave]],Hoja2!B:K,10,FALSE),0)</f>
        <v>0</v>
      </c>
      <c r="BA210" s="30">
        <f>IF(Tabla145[[#This Row],[Ajuste precio IC]]="",Tabla145[[#This Row],[Precio ponderado]],Tabla145[[#This Row],[Precio ponderado]])</f>
        <v>0</v>
      </c>
      <c r="BB210" s="82"/>
      <c r="BC210" s="82" t="str">
        <f>IF(AND(Tabla145[[#This Row],[Atraso a facturar]]&gt;0,Tabla145[[#This Row],[Precio Atraso]]=0),"Revisar","OK")</f>
        <v>OK</v>
      </c>
      <c r="BD210" s="82" t="str">
        <f>IF(AND(Tabla145[[#This Row],[Venta del mes]]&gt;0,Tabla145[[#This Row],[Precio venta nueva]]=0),"Revisar","OK")</f>
        <v>OK</v>
      </c>
      <c r="BE210" s="20">
        <f>IFERROR(VLOOKUP(Tabla145[[#This Row],[Llave]],'[5]Consolidación planes'!$A:$M,9,FALSE),0)</f>
        <v>16000</v>
      </c>
      <c r="BF210" s="20">
        <f>IFERROR(VLOOKUP(Tabla145[[#This Row],[Llave]],'[5]Consolidación planes'!$A:$M,10,FALSE),0)</f>
        <v>0</v>
      </c>
      <c r="BG210" s="20">
        <f>IFERROR(VLOOKUP(Tabla145[[#This Row],[Llave]],'[5]Consolidación planes'!$A:$M,11,FALSE),0)</f>
        <v>22000</v>
      </c>
      <c r="BH210" s="20">
        <f>IFERROR(VLOOKUP(Tabla145[[#This Row],[Llave]],'[5]Consolidación planes'!$A:$M,12,FALSE),0)</f>
        <v>0</v>
      </c>
      <c r="BI210" s="20">
        <f>IFERROR(VLOOKUP(Tabla145[[#This Row],[Llave]],'[5]Consolidación planes'!$A:$M,13,FALSE),0)</f>
        <v>0</v>
      </c>
      <c r="BJ210" s="20">
        <f>IFERROR(VLOOKUP(Tabla145[[#This Row],[Llave]],'[13]Base ultimos planes'!$A:$M,13,FALSE),0)</f>
        <v>0</v>
      </c>
      <c r="BK210" s="80">
        <f>IFERROR(VLOOKUP(Tabla145[[#This Row],[Llave]],'[13]Base ultimos planes'!$O:$AA,8,FALSE),0)</f>
        <v>21120</v>
      </c>
      <c r="BL210" s="20">
        <f>IFERROR(VLOOKUP(Tabla145[[#This Row],[Llave]],'[13]Base ultimos planes'!$O:$AA,9,FALSE),0)</f>
        <v>0</v>
      </c>
      <c r="BM210" s="20">
        <f>IFERROR(VLOOKUP(Tabla145[[#This Row],[Llave]],'[13]Base ultimos planes'!$O:$AA,10,FALSE),0)</f>
        <v>28600</v>
      </c>
      <c r="BN210" s="20">
        <f>IFERROR(VLOOKUP(Tabla145[[#This Row],[Llave]],'[13]Base ultimos planes'!$O:$AA,11,FALSE),0)</f>
        <v>0</v>
      </c>
      <c r="BO210" s="20">
        <f>IFERROR(VLOOKUP(Tabla145[[#This Row],[Llave]],'[13]Base ultimos planes'!$O:$AA,12,FALSE),0)</f>
        <v>0</v>
      </c>
      <c r="BP210" s="20">
        <f>IFERROR(VLOOKUP(Tabla145[[#This Row],[Llave]],'[13]Base ultimos planes'!$O:$AA,13,FALSE),0)</f>
        <v>0</v>
      </c>
      <c r="BQ210" s="20"/>
      <c r="BR210" s="20">
        <f>Tabla145[[#This Row],[ RV Producción mes n+1]]*(1-Tabla145[[#This Row],[% Uti. producción]])</f>
        <v>0</v>
      </c>
      <c r="BS210" s="20">
        <f>+Tabla145[[#This Row],[Producción disponible mes n-1]]+Tabla145[[#This Row],[Saldo Volumen disponible]]</f>
        <v>0</v>
      </c>
      <c r="BT210" s="7">
        <f>IFERROR(VLOOKUP(Tabla145[[#This Row],[Llave]],'[21]RV n+2 y n+3'!$B:$F,4,FALSE),0)</f>
        <v>0</v>
      </c>
      <c r="BU210" s="7">
        <f>+Tabla145[[#This Row],[Asignación mes n+2]]*Tabla145[[#This Row],[% Uti. producción]]</f>
        <v>0</v>
      </c>
      <c r="BV210" s="7">
        <f>+Tabla145[[#This Row],[Ponderación mes n+2]]+Tabla145[[#This Row],[Saldo mes n-1]]</f>
        <v>0</v>
      </c>
      <c r="BW210" s="7">
        <f>+Tabla145[[#This Row],[Asignación mes n+2]]-Tabla145[[#This Row],[Ponderación mes n+2]]</f>
        <v>0</v>
      </c>
      <c r="BX210" s="7">
        <f>IFERROR(VLOOKUP(Tabla145[[#This Row],[Llave]],'[21]RV n+2 y n+3'!$B:$F,5,FALSE),0)</f>
        <v>0</v>
      </c>
      <c r="BY210" s="7">
        <f>+Tabla145[[#This Row],[Asignación mes n+3]]*Tabla145[[#This Row],[% Uti. producción]]</f>
        <v>0</v>
      </c>
      <c r="BZ210" s="3">
        <f>+Tabla145[[#This Row],[Ponderación mes n+3]]+Tabla145[[#This Row],[Saldo mes n+2]]</f>
        <v>0</v>
      </c>
      <c r="CA210" s="3">
        <f>+Tabla145[[#This Row],[Asignación mes n+3]]-Tabla145[[#This Row],[Ponderación mes n+3]]</f>
        <v>0</v>
      </c>
      <c r="CB210" s="3">
        <f>+Tabla145[[#This Row],[Producción disponible mes n-1]]+Tabla145[[#This Row],[Producción disponible]]</f>
        <v>0</v>
      </c>
      <c r="CC210" s="3">
        <f>+Tabla145[[#This Row],[Saldo mes n+4]]-Tabla145[[#This Row],[ RV Producción mes n+1]]</f>
        <v>0</v>
      </c>
    </row>
    <row r="211" spans="1:81" ht="16" x14ac:dyDescent="0.2">
      <c r="A211">
        <v>1</v>
      </c>
      <c r="B211" t="str">
        <f>Tabla145[[#This Row],[Oficina]]&amp;Tabla145[[#This Row],[Material]]</f>
        <v>Agrosuper Asia1030535</v>
      </c>
      <c r="C211" t="s">
        <v>204</v>
      </c>
      <c r="D211" t="s">
        <v>173</v>
      </c>
      <c r="E211">
        <v>1030535</v>
      </c>
      <c r="F211" t="s">
        <v>226</v>
      </c>
      <c r="G211" t="s">
        <v>217</v>
      </c>
      <c r="H211" t="s">
        <v>218</v>
      </c>
      <c r="I211" s="7">
        <f>IFERROR(VLOOKUP(Tabla145[[#This Row],[Llave]],'[7]RV Producción'!$C:$G,5,FALSE),0)</f>
        <v>0</v>
      </c>
      <c r="J211" s="3">
        <f>IFERROR(IF(Tabla145[[#This Row],[Oficina]]=$I$7,VLOOKUP(Tabla145[[#This Row],[Llave]],'[7]Shangai (Tomas)'!$A:$F,6,FALSE),VLOOKUP(Tabla145[[#This Row],[Llave]],'[7]RV plan de ventas'!$A:$E,5,FALSE)),0)</f>
        <v>0</v>
      </c>
      <c r="K211" s="8">
        <f>IFERROR(VLOOKUP(Tabla145[[#This Row],[Oficina]],[15]Ponderación!$B$2:$E$9,4,FALSE),0)</f>
        <v>0.45719439678473212</v>
      </c>
      <c r="L211" s="7">
        <f>+Tabla145[[#This Row],[ RV Producción mes n+1]]*Tabla145[[#This Row],[% Uti. producción]]</f>
        <v>0</v>
      </c>
      <c r="M211" s="7">
        <f>IFERROR(VLOOKUP(Tabla145[[#This Row],[Material]],[16]Stock!$G:$K,5,FALSE),0)</f>
        <v>15062</v>
      </c>
      <c r="N211" s="7">
        <f>IFERROR(VLOOKUP(Tabla145[[#This Row],[Material]],[16]Produccion!$M:$N,2,FALSE),0)</f>
        <v>0</v>
      </c>
      <c r="O211" s="7">
        <f>IFERROR(VLOOKUP(Tabla145[[#This Row],[Llave]],'[16]TD Conf-AP'!$I:$M,4,FALSE),0)</f>
        <v>0</v>
      </c>
      <c r="P211" s="14">
        <f>SUM(Tabla145[[#This Row],[Producción disponible]],Tabla145[[#This Row],[Stock al día]],(Tabla145[[#This Row],[Por producir mes N]]*0.9))-Tabla145[[#This Row],[Producción por despachar mes N]]</f>
        <v>15062</v>
      </c>
      <c r="Q211" s="7">
        <f>IFERROR(VLOOKUP(Tabla145[[#This Row],[Llave]],[17]DELAY!$A:$D,4,FALSE),0)</f>
        <v>19500</v>
      </c>
      <c r="R211" s="9">
        <v>22000</v>
      </c>
      <c r="S211" s="5">
        <f t="shared" si="8"/>
        <v>0</v>
      </c>
      <c r="T211" s="76">
        <v>0</v>
      </c>
      <c r="U211" s="5">
        <f>+Tabla145[[#This Row],[Atraso a facturar]]+Tabla145[[#This Row],[Ajuste atraso]]</f>
        <v>0</v>
      </c>
      <c r="V211" s="3">
        <f>+Tabla145[[#This Row],[Total disponible]]-Tabla145[[#This Row],[Facturación atraso]]</f>
        <v>15062</v>
      </c>
      <c r="W211" s="6">
        <f>IFERROR(IF(AND(V211&gt;R211,J211&gt;=R211),ROUNDDOWN((Tabla145[[#This Row],[Producción para venta nueva]])/R211,0)*R211,0),0)</f>
        <v>0</v>
      </c>
      <c r="X211" s="76">
        <v>0</v>
      </c>
      <c r="Y211" s="6">
        <f>IF(Tabla145[[#This Row],[Venta del mes]]&gt;0,Tabla145[[#This Row],[Venta del mes]]+Tabla145[[#This Row],[Ajuste venta nueva]],0)</f>
        <v>0</v>
      </c>
      <c r="Z211" s="6">
        <f>+Tabla145[[#This Row],[Producción para venta nueva]]-Tabla145[[#This Row],[Facturación Venta nueva]]</f>
        <v>15062</v>
      </c>
      <c r="AA211" s="6">
        <f>IF(AND(A211=1,Tabla145[[#This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1" s="6">
        <v>0</v>
      </c>
      <c r="AC211" s="6">
        <f>IF(Tabla145[[#This Row],[Disponible stock sin venta]]&gt;0,Tabla145[[#This Row],[Disponible stock sin venta]]+Tabla145[[#This Row],[Ajuste stock sin venta]],0)</f>
        <v>0</v>
      </c>
      <c r="AD211" s="3">
        <f>IFERROR(VLOOKUP(Tabla145[[#This Row],[Llave]],'[16]TD Puerto'!$A:$D,4,FALSE),0)</f>
        <v>0</v>
      </c>
      <c r="AE211" s="3">
        <v>0</v>
      </c>
      <c r="AF211" s="3">
        <f>+Tabla145[[#This Row],[Plan Irrestricto Inicial]]</f>
        <v>0</v>
      </c>
      <c r="AG211" s="3">
        <f>+Tabla145[[#This Row],[En puerto a facturar]]</f>
        <v>0</v>
      </c>
      <c r="AH211" s="3">
        <f>+Tabla145[[#This Row],[Facturación atraso]]</f>
        <v>0</v>
      </c>
      <c r="AI211" s="3">
        <f>+Tabla145[[#This Row],[Plan Irrestricto]]-Tabla145[[#This Row],[Puerto ]]-Tabla145[[#This Row],[Atraso]]</f>
        <v>0</v>
      </c>
      <c r="AJ21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11" s="3">
        <f>+Tabla145[[#This Row],[Facturación atraso]]</f>
        <v>0</v>
      </c>
      <c r="AL211" s="3">
        <f>+Tabla145[[#This Row],[Plan Ajustado]]-Tabla145[[#This Row],[ Atraso ajustado]]-Tabla145[[#This Row],[Puerto ]]</f>
        <v>0</v>
      </c>
      <c r="AM211" s="6">
        <f>IFERROR(VLOOKUP(Tabla145[[#This Row],[Llave]],[18]!Tabla14[#All],34,FALSE),0)</f>
        <v>0</v>
      </c>
      <c r="AN211" s="6">
        <f>IFERROR(VLOOKUP(Tabla145[[#This Row],[Llave]],[18]!Tabla14[#All],35,FALSE),0)</f>
        <v>0</v>
      </c>
      <c r="AO211" s="3" t="str">
        <f>IF(Tabla145[[#This Row],[Plan Ajustado]]&gt;Tabla145[[#This Row],[En puerto a facturar]],"Si","No")</f>
        <v>No</v>
      </c>
      <c r="AP21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11" s="3">
        <f>IF(Tabla145[[#This Row],[Necesidad]]&gt;=Tabla145[[#This Row],[Stock al día]],Tabla145[[#This Row],[Stock al día]],Tabla145[[#This Row],[Necesidad]])</f>
        <v>0</v>
      </c>
      <c r="AR211" s="3">
        <f>+Tabla145[[#This Row],[Necesidad]]-Tabla145[[#This Row],[Stock Plan]]</f>
        <v>0</v>
      </c>
      <c r="AS211" s="155">
        <f>IFERROR(VLOOKUP(Tabla145[[#This Row],[Oficina]],[19]Ponderación!$B$14:$E$21,4,FALSE),"")</f>
        <v>44786</v>
      </c>
      <c r="AT21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2.3329240227442081</v>
      </c>
      <c r="AU211" s="83">
        <f>IFERROR(VLOOKUP(Tabla145[[#This Row],[Llave]],[17]DELAY!$H:$W,16,FALSE),0)</f>
        <v>2.6</v>
      </c>
      <c r="AV21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11" s="5">
        <f>Tabla145[[#This Row],[Ajuste precio IC]]*Tabla145[[#This Row],[Plan Ajustado]]</f>
        <v>0</v>
      </c>
      <c r="AX211" s="30">
        <f>IFERROR(VLOOKUP(Tabla145[[#This Row],[Llave]],'[13]Ultimos precios facturados'!$A:$G,7,FALSE),0)</f>
        <v>2.3329240227442081</v>
      </c>
      <c r="AY21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11" s="30">
        <f>IFERROR(VLOOKUP(Tabla145[[#This Row],[Llave]],Hoja2!B:K,10,FALSE),0)</f>
        <v>0</v>
      </c>
      <c r="BA211" s="30">
        <f>IF(Tabla145[[#This Row],[Ajuste precio IC]]="",Tabla145[[#This Row],[Precio ponderado]],Tabla145[[#This Row],[Precio ponderado]])</f>
        <v>0</v>
      </c>
      <c r="BB211" s="82"/>
      <c r="BC211" s="82" t="str">
        <f>IF(AND(Tabla145[[#This Row],[Atraso a facturar]]&gt;0,Tabla145[[#This Row],[Precio Atraso]]=0),"Revisar","OK")</f>
        <v>OK</v>
      </c>
      <c r="BD211" s="82" t="str">
        <f>IF(AND(Tabla145[[#This Row],[Venta del mes]]&gt;0,Tabla145[[#This Row],[Precio venta nueva]]=0),"Revisar","OK")</f>
        <v>OK</v>
      </c>
      <c r="BE211" s="20">
        <f>IFERROR(VLOOKUP(Tabla145[[#This Row],[Llave]],'[5]Consolidación planes'!$A:$M,9,FALSE),0)</f>
        <v>6000</v>
      </c>
      <c r="BF211" s="20">
        <f>IFERROR(VLOOKUP(Tabla145[[#This Row],[Llave]],'[5]Consolidación planes'!$A:$M,10,FALSE),0)</f>
        <v>0</v>
      </c>
      <c r="BG211" s="20">
        <f>IFERROR(VLOOKUP(Tabla145[[#This Row],[Llave]],'[5]Consolidación planes'!$A:$M,11,FALSE),0)</f>
        <v>28000</v>
      </c>
      <c r="BH211" s="20">
        <f>IFERROR(VLOOKUP(Tabla145[[#This Row],[Llave]],'[5]Consolidación planes'!$A:$M,12,FALSE),0)</f>
        <v>44000</v>
      </c>
      <c r="BI211" s="20">
        <f>IFERROR(VLOOKUP(Tabla145[[#This Row],[Llave]],'[5]Consolidación planes'!$A:$M,13,FALSE),0)</f>
        <v>43998</v>
      </c>
      <c r="BJ211" s="20">
        <f>IFERROR(VLOOKUP(Tabla145[[#This Row],[Llave]],'[13]Base ultimos planes'!$A:$M,13,FALSE),0)</f>
        <v>22000</v>
      </c>
      <c r="BK211" s="80">
        <f>IFERROR(VLOOKUP(Tabla145[[#This Row],[Llave]],'[13]Base ultimos planes'!$O:$AA,8,FALSE),0)</f>
        <v>12420</v>
      </c>
      <c r="BL211" s="20">
        <f>IFERROR(VLOOKUP(Tabla145[[#This Row],[Llave]],'[13]Base ultimos planes'!$O:$AA,9,FALSE),0)</f>
        <v>0</v>
      </c>
      <c r="BM211" s="20">
        <f>IFERROR(VLOOKUP(Tabla145[[#This Row],[Llave]],'[13]Base ultimos planes'!$O:$AA,10,FALSE),0)</f>
        <v>58940</v>
      </c>
      <c r="BN211" s="20">
        <f>IFERROR(VLOOKUP(Tabla145[[#This Row],[Llave]],'[13]Base ultimos planes'!$O:$AA,11,FALSE),0)</f>
        <v>104751</v>
      </c>
      <c r="BO211" s="20">
        <f>IFERROR(VLOOKUP(Tabla145[[#This Row],[Llave]],'[13]Base ultimos planes'!$O:$AA,12,FALSE),0)</f>
        <v>49774</v>
      </c>
      <c r="BP211" s="20">
        <f>IFERROR(VLOOKUP(Tabla145[[#This Row],[Llave]],'[13]Base ultimos planes'!$O:$AA,13,FALSE),0)</f>
        <v>50891</v>
      </c>
      <c r="BQ211" s="20"/>
      <c r="BR211" s="20">
        <f>Tabla145[[#This Row],[ RV Producción mes n+1]]*(1-Tabla145[[#This Row],[% Uti. producción]])</f>
        <v>0</v>
      </c>
      <c r="BS211" s="20">
        <f>+Tabla145[[#This Row],[Producción disponible mes n-1]]+Tabla145[[#This Row],[Saldo Volumen disponible]]</f>
        <v>15062</v>
      </c>
      <c r="BT211" s="7">
        <f>IFERROR(VLOOKUP(Tabla145[[#This Row],[Llave]],'[21]RV n+2 y n+3'!$B:$F,4,FALSE),0)</f>
        <v>0</v>
      </c>
      <c r="BU211" s="7">
        <f>+Tabla145[[#This Row],[Asignación mes n+2]]*Tabla145[[#This Row],[% Uti. producción]]</f>
        <v>0</v>
      </c>
      <c r="BV211" s="7">
        <f>+Tabla145[[#This Row],[Ponderación mes n+2]]+Tabla145[[#This Row],[Saldo mes n-1]]</f>
        <v>15062</v>
      </c>
      <c r="BW211" s="7">
        <f>+Tabla145[[#This Row],[Asignación mes n+2]]-Tabla145[[#This Row],[Ponderación mes n+2]]</f>
        <v>0</v>
      </c>
      <c r="BX211" s="7">
        <f>IFERROR(VLOOKUP(Tabla145[[#This Row],[Llave]],'[21]RV n+2 y n+3'!$B:$F,5,FALSE),0)</f>
        <v>0</v>
      </c>
      <c r="BY211" s="7">
        <f>+Tabla145[[#This Row],[Asignación mes n+3]]*Tabla145[[#This Row],[% Uti. producción]]</f>
        <v>0</v>
      </c>
      <c r="BZ211" s="3">
        <f>+Tabla145[[#This Row],[Ponderación mes n+3]]+Tabla145[[#This Row],[Saldo mes n+2]]</f>
        <v>0</v>
      </c>
      <c r="CA211" s="3">
        <f>+Tabla145[[#This Row],[Asignación mes n+3]]-Tabla145[[#This Row],[Ponderación mes n+3]]</f>
        <v>0</v>
      </c>
      <c r="CB211" s="3">
        <f>+Tabla145[[#This Row],[Producción disponible mes n-1]]+Tabla145[[#This Row],[Producción disponible]]</f>
        <v>0</v>
      </c>
      <c r="CC211" s="3">
        <f>+Tabla145[[#This Row],[Saldo mes n+4]]-Tabla145[[#This Row],[ RV Producción mes n+1]]</f>
        <v>0</v>
      </c>
    </row>
    <row r="212" spans="1:81" ht="16" x14ac:dyDescent="0.2">
      <c r="A212">
        <v>1</v>
      </c>
      <c r="B212" t="str">
        <f>Tabla145[[#This Row],[Oficina]]&amp;Tabla145[[#This Row],[Material]]</f>
        <v>Agrosuper Asia1030542</v>
      </c>
      <c r="C212" t="s">
        <v>204</v>
      </c>
      <c r="D212" t="s">
        <v>173</v>
      </c>
      <c r="E212">
        <v>1030542</v>
      </c>
      <c r="F212" t="s">
        <v>225</v>
      </c>
      <c r="G212" t="s">
        <v>212</v>
      </c>
      <c r="H212" t="s">
        <v>213</v>
      </c>
      <c r="I212" s="7">
        <f>IFERROR(VLOOKUP(Tabla145[[#This Row],[Llave]],'[7]RV Producción'!$C:$G,5,FALSE),0)</f>
        <v>0</v>
      </c>
      <c r="J212" s="3">
        <f>IFERROR(IF(Tabla145[[#This Row],[Oficina]]=$I$7,VLOOKUP(Tabla145[[#This Row],[Llave]],'[7]Shangai (Tomas)'!$A:$F,6,FALSE),VLOOKUP(Tabla145[[#This Row],[Llave]],'[7]RV plan de ventas'!$A:$E,5,FALSE)),0)</f>
        <v>0</v>
      </c>
      <c r="K212" s="8">
        <f>IFERROR(VLOOKUP(Tabla145[[#This Row],[Oficina]],[15]Ponderación!$B$2:$E$9,4,FALSE),0)</f>
        <v>0.45719439678473212</v>
      </c>
      <c r="L212" s="7">
        <f>+Tabla145[[#This Row],[ RV Producción mes n+1]]*Tabla145[[#This Row],[% Uti. producción]]</f>
        <v>0</v>
      </c>
      <c r="M212" s="7">
        <f>IFERROR(VLOOKUP(Tabla145[[#This Row],[Material]],[16]Stock!$G:$K,5,FALSE),0)</f>
        <v>68910</v>
      </c>
      <c r="N212" s="7">
        <f>IFERROR(VLOOKUP(Tabla145[[#This Row],[Material]],[16]Produccion!$M:$N,2,FALSE),0)</f>
        <v>0</v>
      </c>
      <c r="O212" s="7">
        <f>IFERROR(VLOOKUP(Tabla145[[#This Row],[Llave]],'[16]TD Conf-AP'!$I:$M,4,FALSE),0)</f>
        <v>0</v>
      </c>
      <c r="P212" s="14">
        <f>SUM(Tabla145[[#This Row],[Producción disponible]],Tabla145[[#This Row],[Stock al día]],(Tabla145[[#This Row],[Por producir mes N]]*0.9))-Tabla145[[#This Row],[Producción por despachar mes N]]</f>
        <v>68910</v>
      </c>
      <c r="Q212" s="7">
        <f>IFERROR(VLOOKUP(Tabla145[[#This Row],[Llave]],[17]DELAY!$A:$D,4,FALSE),0)</f>
        <v>2500</v>
      </c>
      <c r="R212" s="9">
        <v>24000</v>
      </c>
      <c r="S212" s="5">
        <f t="shared" si="8"/>
        <v>2500</v>
      </c>
      <c r="T212" s="76">
        <v>0</v>
      </c>
      <c r="U212" s="5">
        <f>+Tabla145[[#This Row],[Atraso a facturar]]+Tabla145[[#This Row],[Ajuste atraso]]</f>
        <v>2500</v>
      </c>
      <c r="V212" s="3">
        <f>+Tabla145[[#This Row],[Total disponible]]-Tabla145[[#This Row],[Facturación atraso]]</f>
        <v>66410</v>
      </c>
      <c r="W212" s="6">
        <f>IFERROR(IF(AND(V212&gt;R212,J212&gt;=R212),ROUNDDOWN((Tabla145[[#This Row],[Producción para venta nueva]])/R212,0)*R212,0),0)</f>
        <v>0</v>
      </c>
      <c r="X212" s="76">
        <v>0</v>
      </c>
      <c r="Y212" s="6">
        <f>IF(Tabla145[[#This Row],[Venta del mes]]&gt;0,Tabla145[[#This Row],[Venta del mes]]+Tabla145[[#This Row],[Ajuste venta nueva]],0)</f>
        <v>0</v>
      </c>
      <c r="Z212" s="6">
        <f>+Tabla145[[#This Row],[Producción para venta nueva]]-Tabla145[[#This Row],[Facturación Venta nueva]]</f>
        <v>66410</v>
      </c>
      <c r="AA212" s="6">
        <f>IF(AND(A212=1,Tabla145[[#This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48000</v>
      </c>
      <c r="AB212" s="6">
        <v>0</v>
      </c>
      <c r="AC212" s="6">
        <f>IF(Tabla145[[#This Row],[Disponible stock sin venta]]&gt;0,Tabla145[[#This Row],[Disponible stock sin venta]]+Tabla145[[#This Row],[Ajuste stock sin venta]],0)</f>
        <v>48000</v>
      </c>
      <c r="AD212" s="3">
        <f>IFERROR(VLOOKUP(Tabla145[[#This Row],[Llave]],'[16]TD Puerto'!$A:$D,4,FALSE),0)</f>
        <v>0</v>
      </c>
      <c r="AE212" s="3">
        <v>0</v>
      </c>
      <c r="AF212" s="3">
        <f>+Tabla145[[#This Row],[Plan Irrestricto Inicial]]</f>
        <v>0</v>
      </c>
      <c r="AG212" s="3">
        <f>+Tabla145[[#This Row],[En puerto a facturar]]</f>
        <v>0</v>
      </c>
      <c r="AH212" s="3">
        <f>+Tabla145[[#This Row],[Facturación atraso]]</f>
        <v>2500</v>
      </c>
      <c r="AI212" s="3">
        <f>+Tabla145[[#This Row],[Plan Irrestricto]]-Tabla145[[#This Row],[Puerto ]]-Tabla145[[#This Row],[Atraso]]</f>
        <v>-2500</v>
      </c>
      <c r="AJ21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12" s="3">
        <f>+Tabla145[[#This Row],[Facturación atraso]]</f>
        <v>2500</v>
      </c>
      <c r="AL212" s="3">
        <f>+Tabla145[[#This Row],[Plan Ajustado]]-Tabla145[[#This Row],[ Atraso ajustado]]-Tabla145[[#This Row],[Puerto ]]</f>
        <v>-2500</v>
      </c>
      <c r="AM212" s="6">
        <f>IFERROR(VLOOKUP(Tabla145[[#This Row],[Llave]],[18]!Tabla14[#All],34,FALSE),0)</f>
        <v>0</v>
      </c>
      <c r="AN212" s="6">
        <f>IFERROR(VLOOKUP(Tabla145[[#This Row],[Llave]],[18]!Tabla14[#All],35,FALSE),0)</f>
        <v>0</v>
      </c>
      <c r="AO212" s="3" t="str">
        <f>IF(Tabla145[[#This Row],[Plan Ajustado]]&gt;Tabla145[[#This Row],[En puerto a facturar]],"Si","No")</f>
        <v>No</v>
      </c>
      <c r="AP21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12" s="3">
        <f>IF(Tabla145[[#This Row],[Necesidad]]&gt;=Tabla145[[#This Row],[Stock al día]],Tabla145[[#This Row],[Stock al día]],Tabla145[[#This Row],[Necesidad]])</f>
        <v>0</v>
      </c>
      <c r="AR212" s="3">
        <f>+Tabla145[[#This Row],[Necesidad]]-Tabla145[[#This Row],[Stock Plan]]</f>
        <v>0</v>
      </c>
      <c r="AS212" s="155">
        <f>IFERROR(VLOOKUP(Tabla145[[#This Row],[Oficina]],[19]Ponderación!$B$14:$E$21,4,FALSE),"")</f>
        <v>44786</v>
      </c>
      <c r="AT21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10.199214861847922</v>
      </c>
      <c r="AU212" s="83">
        <f>IFERROR(VLOOKUP(Tabla145[[#This Row],[Llave]],[17]DELAY!$H:$W,16,FALSE),0)</f>
        <v>12.580466530612201</v>
      </c>
      <c r="AV21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12" s="5">
        <f>Tabla145[[#This Row],[Ajuste precio IC]]*Tabla145[[#This Row],[Plan Ajustado]]</f>
        <v>0</v>
      </c>
      <c r="AX212" s="30">
        <f>IFERROR(VLOOKUP(Tabla145[[#This Row],[Llave]],'[13]Ultimos precios facturados'!$A:$G,7,FALSE),0)</f>
        <v>10.199214861847922</v>
      </c>
      <c r="AY21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12" s="30">
        <f>IFERROR(VLOOKUP(Tabla145[[#This Row],[Llave]],Hoja2!B:K,10,FALSE),0)</f>
        <v>12.580466530612203</v>
      </c>
      <c r="BA212" s="30">
        <f>IF(Tabla145[[#This Row],[Ajuste precio IC]]="",Tabla145[[#This Row],[Precio ponderado]],Tabla145[[#This Row],[Precio ponderado]])</f>
        <v>0</v>
      </c>
      <c r="BB212" s="82"/>
      <c r="BC212" s="82" t="str">
        <f>IF(AND(Tabla145[[#This Row],[Atraso a facturar]]&gt;0,Tabla145[[#This Row],[Precio Atraso]]=0),"Revisar","OK")</f>
        <v>OK</v>
      </c>
      <c r="BD212" s="82" t="str">
        <f>IF(AND(Tabla145[[#This Row],[Venta del mes]]&gt;0,Tabla145[[#This Row],[Precio venta nueva]]=0),"Revisar","OK")</f>
        <v>OK</v>
      </c>
      <c r="BE212" s="20">
        <f>IFERROR(VLOOKUP(Tabla145[[#This Row],[Llave]],'[5]Consolidación planes'!$A:$M,9,FALSE),0)</f>
        <v>0</v>
      </c>
      <c r="BF212" s="20">
        <f>IFERROR(VLOOKUP(Tabla145[[#This Row],[Llave]],'[5]Consolidación planes'!$A:$M,10,FALSE),0)</f>
        <v>0</v>
      </c>
      <c r="BG212" s="20">
        <f>IFERROR(VLOOKUP(Tabla145[[#This Row],[Llave]],'[5]Consolidación planes'!$A:$M,11,FALSE),0)</f>
        <v>0</v>
      </c>
      <c r="BH212" s="20">
        <f>IFERROR(VLOOKUP(Tabla145[[#This Row],[Llave]],'[5]Consolidación planes'!$A:$M,12,FALSE),0)</f>
        <v>0</v>
      </c>
      <c r="BI212" s="20">
        <f>IFERROR(VLOOKUP(Tabla145[[#This Row],[Llave]],'[5]Consolidación planes'!$A:$M,13,FALSE),0)</f>
        <v>0</v>
      </c>
      <c r="BJ212" s="20">
        <f>IFERROR(VLOOKUP(Tabla145[[#This Row],[Llave]],'[13]Base ultimos planes'!$A:$M,13,FALSE),0)</f>
        <v>0</v>
      </c>
      <c r="BK212" s="80">
        <f>IFERROR(VLOOKUP(Tabla145[[#This Row],[Llave]],'[13]Base ultimos planes'!$O:$AA,8,FALSE),0)</f>
        <v>0</v>
      </c>
      <c r="BL212" s="20">
        <f>IFERROR(VLOOKUP(Tabla145[[#This Row],[Llave]],'[13]Base ultimos planes'!$O:$AA,9,FALSE),0)</f>
        <v>0</v>
      </c>
      <c r="BM212" s="20">
        <f>IFERROR(VLOOKUP(Tabla145[[#This Row],[Llave]],'[13]Base ultimos planes'!$O:$AA,10,FALSE),0)</f>
        <v>0</v>
      </c>
      <c r="BN212" s="20">
        <f>IFERROR(VLOOKUP(Tabla145[[#This Row],[Llave]],'[13]Base ultimos planes'!$O:$AA,11,FALSE),0)</f>
        <v>0</v>
      </c>
      <c r="BO212" s="20">
        <f>IFERROR(VLOOKUP(Tabla145[[#This Row],[Llave]],'[13]Base ultimos planes'!$O:$AA,12,FALSE),0)</f>
        <v>0</v>
      </c>
      <c r="BP212" s="20">
        <f>IFERROR(VLOOKUP(Tabla145[[#This Row],[Llave]],'[13]Base ultimos planes'!$O:$AA,13,FALSE),0)</f>
        <v>0</v>
      </c>
      <c r="BQ212" s="20"/>
      <c r="BR212" s="20">
        <f>Tabla145[[#This Row],[ RV Producción mes n+1]]*(1-Tabla145[[#This Row],[% Uti. producción]])</f>
        <v>0</v>
      </c>
      <c r="BS212" s="20">
        <f>+Tabla145[[#This Row],[Producción disponible mes n-1]]+Tabla145[[#This Row],[Saldo Volumen disponible]]</f>
        <v>66410</v>
      </c>
      <c r="BT212" s="7">
        <f>IFERROR(VLOOKUP(Tabla145[[#This Row],[Llave]],'[21]RV n+2 y n+3'!$B:$F,4,FALSE),0)</f>
        <v>88000</v>
      </c>
      <c r="BU212" s="7">
        <f>+Tabla145[[#This Row],[Asignación mes n+2]]*Tabla145[[#This Row],[% Uti. producción]]</f>
        <v>40233.10691705643</v>
      </c>
      <c r="BV212" s="7">
        <f>+Tabla145[[#This Row],[Ponderación mes n+2]]+Tabla145[[#This Row],[Saldo mes n-1]]</f>
        <v>106643.10691705643</v>
      </c>
      <c r="BW212" s="7">
        <f>+Tabla145[[#This Row],[Asignación mes n+2]]-Tabla145[[#This Row],[Ponderación mes n+2]]</f>
        <v>47766.89308294357</v>
      </c>
      <c r="BX212" s="7">
        <f>IFERROR(VLOOKUP(Tabla145[[#This Row],[Llave]],'[21]RV n+2 y n+3'!$B:$F,5,FALSE),0)</f>
        <v>88000</v>
      </c>
      <c r="BY212" s="7">
        <f>+Tabla145[[#This Row],[Asignación mes n+3]]*Tabla145[[#This Row],[% Uti. producción]]</f>
        <v>40233.10691705643</v>
      </c>
      <c r="BZ212" s="3">
        <f>+Tabla145[[#This Row],[Ponderación mes n+3]]+Tabla145[[#This Row],[Saldo mes n+2]]</f>
        <v>88000</v>
      </c>
      <c r="CA212" s="3">
        <f>+Tabla145[[#This Row],[Asignación mes n+3]]-Tabla145[[#This Row],[Ponderación mes n+3]]</f>
        <v>47766.89308294357</v>
      </c>
      <c r="CB212" s="3">
        <f>+Tabla145[[#This Row],[Producción disponible mes n-1]]+Tabla145[[#This Row],[Producción disponible]]</f>
        <v>0</v>
      </c>
      <c r="CC212" s="3">
        <f>+Tabla145[[#This Row],[Saldo mes n+4]]-Tabla145[[#This Row],[ RV Producción mes n+1]]</f>
        <v>0</v>
      </c>
    </row>
    <row r="213" spans="1:81" ht="16" x14ac:dyDescent="0.2">
      <c r="A213">
        <v>1</v>
      </c>
      <c r="B213" t="str">
        <f>Tabla145[[#This Row],[Oficina]]&amp;Tabla145[[#This Row],[Material]]</f>
        <v>Agro Sudamerica1010877</v>
      </c>
      <c r="C213" t="s">
        <v>227</v>
      </c>
      <c r="D213" t="s">
        <v>17</v>
      </c>
      <c r="E213">
        <v>1010877</v>
      </c>
      <c r="F213" t="s">
        <v>243</v>
      </c>
      <c r="G213" t="s">
        <v>209</v>
      </c>
      <c r="H213" t="s">
        <v>210</v>
      </c>
      <c r="I213" s="7">
        <f>IFERROR(VLOOKUP(Tabla145[[#This Row],[Llave]],'[7]RV Producción'!$C:$G,5,FALSE),0)</f>
        <v>118400</v>
      </c>
      <c r="J213" s="3">
        <f>IFERROR(IF(Tabla145[[#This Row],[Oficina]]=$I$7,VLOOKUP(Tabla145[[#This Row],[Llave]],'[7]Shangai (Tomas)'!$A:$F,6,FALSE),VLOOKUP(Tabla145[[#This Row],[Llave]],'[7]RV plan de ventas'!$A:$E,5,FALSE)),0)</f>
        <v>96263</v>
      </c>
      <c r="K213" s="8">
        <f>IFERROR(VLOOKUP(Tabla145[[#This Row],[Oficina]],[15]Ponderación!$B$2:$E$9,4,FALSE),0)</f>
        <v>0.45719439678473212</v>
      </c>
      <c r="L213" s="7">
        <f>+Tabla145[[#This Row],[ RV Producción mes n+1]]*Tabla145[[#This Row],[% Uti. producción]]</f>
        <v>54131.816579312283</v>
      </c>
      <c r="M213" s="7">
        <f>IFERROR(VLOOKUP(Tabla145[[#This Row],[Material]],[16]Stock!$G:$K,5,FALSE),0)</f>
        <v>32170</v>
      </c>
      <c r="N213" s="7">
        <f>IFERROR(VLOOKUP(Tabla145[[#This Row],[Material]],[16]Produccion!$M:$N,2,FALSE),0)</f>
        <v>6660</v>
      </c>
      <c r="O213" s="7">
        <f>IFERROR(VLOOKUP(Tabla145[[#This Row],[Llave]],'[16]TD Conf-AP'!$I:$M,4,FALSE),0)</f>
        <v>0</v>
      </c>
      <c r="P213" s="14">
        <f>SUM(Tabla145[[#This Row],[Producción disponible]],Tabla145[[#This Row],[Stock al día]],(Tabla145[[#This Row],[Por producir mes N]]*0.9))-Tabla145[[#This Row],[Producción por despachar mes N]]</f>
        <v>92295.81657931229</v>
      </c>
      <c r="Q213" s="7">
        <f>IFERROR(VLOOKUP(Tabla145[[#This Row],[Llave]],[17]DELAY!$A:$D,4,FALSE),0)</f>
        <v>52590</v>
      </c>
      <c r="R213" s="9">
        <v>24000</v>
      </c>
      <c r="S213" s="5">
        <f t="shared" si="8"/>
        <v>52590</v>
      </c>
      <c r="T213" s="76">
        <v>0</v>
      </c>
      <c r="U213" s="5">
        <f>+Tabla145[[#This Row],[Atraso a facturar]]+Tabla145[[#This Row],[Ajuste atraso]]</f>
        <v>52590</v>
      </c>
      <c r="V213" s="3">
        <f>+Tabla145[[#This Row],[Total disponible]]-Tabla145[[#This Row],[Facturación atraso]]</f>
        <v>39705.81657931229</v>
      </c>
      <c r="W213" s="6">
        <f>IFERROR(IF(AND(V213&gt;R213,J213&gt;=R213),ROUNDDOWN((Tabla145[[#This Row],[Producción para venta nueva]])/R213,0)*R213,0),0)</f>
        <v>24000</v>
      </c>
      <c r="X213" s="76">
        <v>0</v>
      </c>
      <c r="Y213" s="6">
        <f>IF(Tabla145[[#This Row],[Venta del mes]]&gt;0,Tabla145[[#This Row],[Venta del mes]]+Tabla145[[#This Row],[Ajuste venta nueva]],0)</f>
        <v>24000</v>
      </c>
      <c r="Z213" s="6">
        <f>+Tabla145[[#This Row],[Producción para venta nueva]]-Tabla145[[#This Row],[Facturación Venta nueva]]</f>
        <v>15705.81657931229</v>
      </c>
      <c r="AA213" s="6">
        <f>IF(AND(A213=1,Tabla145[[#This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3" s="6">
        <v>0</v>
      </c>
      <c r="AC213" s="6">
        <f>IF(Tabla145[[#This Row],[Disponible stock sin venta]]&gt;0,Tabla145[[#This Row],[Disponible stock sin venta]]+Tabla145[[#This Row],[Ajuste stock sin venta]],0)</f>
        <v>0</v>
      </c>
      <c r="AD213" s="3">
        <f>IFERROR(VLOOKUP(Tabla145[[#This Row],[Llave]],'[16]TD Puerto'!$A:$D,4,FALSE),0)</f>
        <v>0</v>
      </c>
      <c r="AE213" s="3">
        <v>148590</v>
      </c>
      <c r="AF213" s="3">
        <f>+Tabla145[[#This Row],[Plan Irrestricto Inicial]]</f>
        <v>148590</v>
      </c>
      <c r="AG213" s="3">
        <f>+Tabla145[[#This Row],[En puerto a facturar]]</f>
        <v>0</v>
      </c>
      <c r="AH213" s="3">
        <f>+Tabla145[[#This Row],[Facturación atraso]]</f>
        <v>52590</v>
      </c>
      <c r="AI213" s="3">
        <f>+Tabla145[[#This Row],[Plan Irrestricto]]-Tabla145[[#This Row],[Puerto ]]-Tabla145[[#This Row],[Atraso]]</f>
        <v>96000</v>
      </c>
      <c r="AJ213" s="3">
        <f>IF(Tabla145[[#This Row],[Plan Irrestricto]]&gt;0,SUM(Tabla145[[#This Row],[Facturación atraso]],Tabla145[[#This Row],[Facturación Venta nueva]],Tabla145[[#This Row],[Facturación stock]],Tabla145[[#This Row],[En puerto a facturar]]),0)</f>
        <v>76590</v>
      </c>
      <c r="AK213" s="3">
        <f>+Tabla145[[#This Row],[Facturación atraso]]</f>
        <v>52590</v>
      </c>
      <c r="AL213" s="3">
        <f>+Tabla145[[#This Row],[Plan Ajustado]]-Tabla145[[#This Row],[ Atraso ajustado]]-Tabla145[[#This Row],[Puerto ]]</f>
        <v>24000</v>
      </c>
      <c r="AM213" s="6">
        <f>IFERROR(VLOOKUP(Tabla145[[#This Row],[Llave]],[18]!Tabla14[#All],34,FALSE),0)</f>
        <v>0</v>
      </c>
      <c r="AN213" s="6">
        <f>IFERROR(VLOOKUP(Tabla145[[#This Row],[Llave]],[18]!Tabla14[#All],35,FALSE),0)</f>
        <v>0</v>
      </c>
      <c r="AO213" s="3" t="str">
        <f>IF(Tabla145[[#This Row],[Plan Ajustado]]&gt;Tabla145[[#This Row],[En puerto a facturar]],"Si","No")</f>
        <v>Si</v>
      </c>
      <c r="AP213" s="3">
        <f>IF(AND(Tabla145[[#This Row],[Plan Ajustado]]&gt;0,Tabla145[[#This Row],[Plan Ajustado]]&gt;Tabla145[[#This Row],[En puerto a facturar]]),(Tabla145[[#This Row],[Plan Ajustado]]-Tabla145[[#This Row],[En puerto a facturar]]),0)</f>
        <v>76590</v>
      </c>
      <c r="AQ213" s="3">
        <f>IF(Tabla145[[#This Row],[Necesidad]]&gt;=Tabla145[[#This Row],[Stock al día]],Tabla145[[#This Row],[Stock al día]],Tabla145[[#This Row],[Necesidad]])</f>
        <v>32170</v>
      </c>
      <c r="AR213" s="3">
        <f>+Tabla145[[#This Row],[Necesidad]]-Tabla145[[#This Row],[Stock Plan]]</f>
        <v>44420</v>
      </c>
      <c r="AS213" s="155">
        <f>IFERROR(VLOOKUP(Tabla145[[#This Row],[Oficina]],[19]Ponderación!$B$14:$E$21,4,FALSE),"")</f>
        <v>44789</v>
      </c>
      <c r="AT21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1.08666881356284</v>
      </c>
      <c r="AU213" s="83">
        <f>IFERROR(VLOOKUP(Tabla145[[#This Row],[Llave]],[17]DELAY!$H:$W,16,FALSE),0)</f>
        <v>1.0866246355166032</v>
      </c>
      <c r="AV21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1.0866384790093526</v>
      </c>
      <c r="AW213" s="5">
        <f>Tabla145[[#This Row],[Ajuste precio IC]]*Tabla145[[#This Row],[Plan Ajustado]]</f>
        <v>76768.851525508246</v>
      </c>
      <c r="AX213" s="30">
        <f>IFERROR(VLOOKUP(Tabla145[[#This Row],[Llave]],'[13]Ultimos precios facturados'!$A:$G,7,FALSE),0)</f>
        <v>1.0253207113973615</v>
      </c>
      <c r="AY21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5.9803500436877002E-2</v>
      </c>
      <c r="AZ213" s="30">
        <f>IFERROR(VLOOKUP(Tabla145[[#This Row],[Llave]],Hoja2!B:K,10,FALSE),0)</f>
        <v>1.0023351811660561</v>
      </c>
      <c r="BA213" s="30">
        <f>IF(Tabla145[[#This Row],[Ajuste precio IC]]="",Tabla145[[#This Row],[Precio ponderado]],Tabla145[[#This Row],[Precio ponderado]])</f>
        <v>1.0866384790093526</v>
      </c>
      <c r="BB213" s="82"/>
      <c r="BC213" s="82" t="str">
        <f>IF(AND(Tabla145[[#This Row],[Atraso a facturar]]&gt;0,Tabla145[[#This Row],[Precio Atraso]]=0),"Revisar","OK")</f>
        <v>OK</v>
      </c>
      <c r="BD213" s="82" t="str">
        <f>IF(AND(Tabla145[[#This Row],[Venta del mes]]&gt;0,Tabla145[[#This Row],[Precio venta nueva]]=0),"Revisar","OK")</f>
        <v>OK</v>
      </c>
      <c r="BE213" s="20">
        <f>IFERROR(VLOOKUP(Tabla145[[#This Row],[Llave]],'[5]Consolidación planes'!$A:$M,9,FALSE),0)</f>
        <v>96000</v>
      </c>
      <c r="BF213" s="20">
        <f>IFERROR(VLOOKUP(Tabla145[[#This Row],[Llave]],'[5]Consolidación planes'!$A:$M,10,FALSE),0)</f>
        <v>123000</v>
      </c>
      <c r="BG213" s="20">
        <f>IFERROR(VLOOKUP(Tabla145[[#This Row],[Llave]],'[5]Consolidación planes'!$A:$M,11,FALSE),0)</f>
        <v>95960</v>
      </c>
      <c r="BH213" s="20">
        <f>IFERROR(VLOOKUP(Tabla145[[#This Row],[Llave]],'[5]Consolidación planes'!$A:$M,12,FALSE),0)</f>
        <v>48000</v>
      </c>
      <c r="BI213" s="20">
        <f>IFERROR(VLOOKUP(Tabla145[[#This Row],[Llave]],'[5]Consolidación planes'!$A:$M,13,FALSE),0)</f>
        <v>115000</v>
      </c>
      <c r="BJ213" s="20">
        <f>IFERROR(VLOOKUP(Tabla145[[#This Row],[Llave]],'[13]Base ultimos planes'!$A:$M,13,FALSE),0)</f>
        <v>162334</v>
      </c>
      <c r="BK213" s="80">
        <f>IFERROR(VLOOKUP(Tabla145[[#This Row],[Llave]],'[13]Base ultimos planes'!$O:$AA,8,FALSE),0)</f>
        <v>106278.39999999999</v>
      </c>
      <c r="BL213" s="20">
        <f>IFERROR(VLOOKUP(Tabla145[[#This Row],[Llave]],'[13]Base ultimos planes'!$O:$AA,9,FALSE),0)</f>
        <v>135580</v>
      </c>
      <c r="BM213" s="20">
        <f>IFERROR(VLOOKUP(Tabla145[[#This Row],[Llave]],'[13]Base ultimos planes'!$O:$AA,10,FALSE),0)</f>
        <v>95964</v>
      </c>
      <c r="BN213" s="20">
        <f>IFERROR(VLOOKUP(Tabla145[[#This Row],[Llave]],'[13]Base ultimos planes'!$O:$AA,11,FALSE),0)</f>
        <v>44149</v>
      </c>
      <c r="BO213" s="20">
        <f>IFERROR(VLOOKUP(Tabla145[[#This Row],[Llave]],'[13]Base ultimos planes'!$O:$AA,12,FALSE),0)</f>
        <v>123460</v>
      </c>
      <c r="BP213" s="20">
        <f>IFERROR(VLOOKUP(Tabla145[[#This Row],[Llave]],'[13]Base ultimos planes'!$O:$AA,13,FALSE),0)</f>
        <v>173356</v>
      </c>
      <c r="BQ213" s="20"/>
      <c r="BR213" s="20">
        <f>Tabla145[[#This Row],[ RV Producción mes n+1]]*(1-Tabla145[[#This Row],[% Uti. producción]])</f>
        <v>64268.183420687725</v>
      </c>
      <c r="BS213" s="20">
        <f>+Tabla145[[#This Row],[Producción disponible mes n-1]]+Tabla145[[#This Row],[Saldo Volumen disponible]]</f>
        <v>79974.000000000015</v>
      </c>
      <c r="BT213" s="7">
        <f>IFERROR(VLOOKUP(Tabla145[[#This Row],[Llave]],'[21]RV n+2 y n+3'!$B:$F,4,FALSE),0)</f>
        <v>108250</v>
      </c>
      <c r="BU213" s="7">
        <f>+Tabla145[[#This Row],[Asignación mes n+2]]*Tabla145[[#This Row],[% Uti. producción]]</f>
        <v>49491.293451947255</v>
      </c>
      <c r="BV213" s="7">
        <f>+Tabla145[[#This Row],[Ponderación mes n+2]]+Tabla145[[#This Row],[Saldo mes n-1]]</f>
        <v>129465.29345194728</v>
      </c>
      <c r="BW213" s="7">
        <f>+Tabla145[[#This Row],[Asignación mes n+2]]-Tabla145[[#This Row],[Ponderación mes n+2]]</f>
        <v>58758.706548052745</v>
      </c>
      <c r="BX213" s="7">
        <f>IFERROR(VLOOKUP(Tabla145[[#This Row],[Llave]],'[21]RV n+2 y n+3'!$B:$F,5,FALSE),0)</f>
        <v>99350</v>
      </c>
      <c r="BY213" s="7">
        <f>+Tabla145[[#This Row],[Asignación mes n+3]]*Tabla145[[#This Row],[% Uti. producción]]</f>
        <v>45422.263320563135</v>
      </c>
      <c r="BZ213" s="3">
        <f>+Tabla145[[#This Row],[Ponderación mes n+3]]+Tabla145[[#This Row],[Saldo mes n+2]]</f>
        <v>104180.96986861588</v>
      </c>
      <c r="CA213" s="3">
        <f>+Tabla145[[#This Row],[Asignación mes n+3]]-Tabla145[[#This Row],[Ponderación mes n+3]]</f>
        <v>53927.736679436865</v>
      </c>
      <c r="CB213" s="3">
        <f>+Tabla145[[#This Row],[Producción disponible mes n-1]]+Tabla145[[#This Row],[Producción disponible]]</f>
        <v>118400</v>
      </c>
      <c r="CC213" s="3">
        <f>+Tabla145[[#This Row],[Saldo mes n+4]]-Tabla145[[#This Row],[ RV Producción mes n+1]]</f>
        <v>0</v>
      </c>
    </row>
    <row r="214" spans="1:81" ht="16" x14ac:dyDescent="0.2">
      <c r="A214">
        <v>1</v>
      </c>
      <c r="B214" t="str">
        <f>Tabla145[[#This Row],[Oficina]]&amp;Tabla145[[#This Row],[Material]]</f>
        <v>Agro Sudamerica1011042</v>
      </c>
      <c r="C214" t="s">
        <v>227</v>
      </c>
      <c r="D214" t="s">
        <v>17</v>
      </c>
      <c r="E214">
        <v>1011042</v>
      </c>
      <c r="F214" t="s">
        <v>242</v>
      </c>
      <c r="G214" t="s">
        <v>240</v>
      </c>
      <c r="H214" t="s">
        <v>241</v>
      </c>
      <c r="I214" s="7">
        <f>IFERROR(VLOOKUP(Tabla145[[#This Row],[Llave]],'[7]RV Producción'!$C:$G,5,FALSE),0)</f>
        <v>0</v>
      </c>
      <c r="J214" s="3">
        <f>IFERROR(IF(Tabla145[[#This Row],[Oficina]]=$I$7,VLOOKUP(Tabla145[[#This Row],[Llave]],'[7]Shangai (Tomas)'!$A:$F,6,FALSE),VLOOKUP(Tabla145[[#This Row],[Llave]],'[7]RV plan de ventas'!$A:$E,5,FALSE)),0)</f>
        <v>0</v>
      </c>
      <c r="K214" s="8">
        <f>IFERROR(VLOOKUP(Tabla145[[#This Row],[Oficina]],[15]Ponderación!$B$2:$E$9,4,FALSE),0)</f>
        <v>0.45719439678473212</v>
      </c>
      <c r="L214" s="7">
        <f>+Tabla145[[#This Row],[ RV Producción mes n+1]]*Tabla145[[#This Row],[% Uti. producción]]</f>
        <v>0</v>
      </c>
      <c r="M214" s="7">
        <f>IFERROR(VLOOKUP(Tabla145[[#This Row],[Material]],[16]Stock!$G:$K,5,FALSE),0)</f>
        <v>68160</v>
      </c>
      <c r="N214" s="7">
        <f>IFERROR(VLOOKUP(Tabla145[[#This Row],[Material]],[16]Produccion!$M:$N,2,FALSE),0)</f>
        <v>0</v>
      </c>
      <c r="O214" s="7">
        <f>IFERROR(VLOOKUP(Tabla145[[#This Row],[Llave]],'[16]TD Conf-AP'!$I:$M,4,FALSE),0)</f>
        <v>0</v>
      </c>
      <c r="P214" s="14">
        <f>SUM(Tabla145[[#This Row],[Producción disponible]],Tabla145[[#This Row],[Stock al día]],(Tabla145[[#This Row],[Por producir mes N]]*0.9))-Tabla145[[#This Row],[Producción por despachar mes N]]</f>
        <v>68160</v>
      </c>
      <c r="Q214" s="7">
        <f>IFERROR(VLOOKUP(Tabla145[[#This Row],[Llave]],[17]DELAY!$A:$D,4,FALSE),0)</f>
        <v>55410</v>
      </c>
      <c r="R214" s="9">
        <v>24000</v>
      </c>
      <c r="S214" s="5">
        <f t="shared" si="8"/>
        <v>55410</v>
      </c>
      <c r="T214" s="76">
        <v>0</v>
      </c>
      <c r="U214" s="5">
        <f>+Tabla145[[#This Row],[Atraso a facturar]]+Tabla145[[#This Row],[Ajuste atraso]]</f>
        <v>55410</v>
      </c>
      <c r="V214" s="3">
        <f>+Tabla145[[#This Row],[Total disponible]]-Tabla145[[#This Row],[Facturación atraso]]</f>
        <v>12750</v>
      </c>
      <c r="W214" s="6">
        <f>IFERROR(IF(AND(V214&gt;R214,J214&gt;=R214),ROUNDDOWN((Tabla145[[#This Row],[Producción para venta nueva]])/R214,0)*R214,0),0)</f>
        <v>0</v>
      </c>
      <c r="X214" s="76">
        <v>0</v>
      </c>
      <c r="Y214" s="6">
        <f>IF(Tabla145[[#This Row],[Venta del mes]]&gt;0,Tabla145[[#This Row],[Venta del mes]]+Tabla145[[#This Row],[Ajuste venta nueva]],0)</f>
        <v>0</v>
      </c>
      <c r="Z214" s="6">
        <f>+Tabla145[[#This Row],[Producción para venta nueva]]-Tabla145[[#This Row],[Facturación Venta nueva]]</f>
        <v>12750</v>
      </c>
      <c r="AA214" s="6">
        <f>IF(AND(A214=1,Tabla145[[#This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4" s="6">
        <v>0</v>
      </c>
      <c r="AC214" s="6">
        <f>IF(Tabla145[[#This Row],[Disponible stock sin venta]]&gt;0,Tabla145[[#This Row],[Disponible stock sin venta]]+Tabla145[[#This Row],[Ajuste stock sin venta]],0)</f>
        <v>0</v>
      </c>
      <c r="AD214" s="3">
        <f>IFERROR(VLOOKUP(Tabla145[[#This Row],[Llave]],'[16]TD Puerto'!$A:$D,4,FALSE),0)</f>
        <v>0</v>
      </c>
      <c r="AE214" s="3">
        <v>24000</v>
      </c>
      <c r="AF214" s="3">
        <f>+Tabla145[[#This Row],[Plan Irrestricto Inicial]]</f>
        <v>24000</v>
      </c>
      <c r="AG214" s="3">
        <f>+Tabla145[[#This Row],[En puerto a facturar]]</f>
        <v>0</v>
      </c>
      <c r="AH214" s="3">
        <f>+Tabla145[[#This Row],[Facturación atraso]]</f>
        <v>55410</v>
      </c>
      <c r="AI214" s="3">
        <f>+Tabla145[[#This Row],[Plan Irrestricto]]-Tabla145[[#This Row],[Puerto ]]-Tabla145[[#This Row],[Atraso]]</f>
        <v>-31410</v>
      </c>
      <c r="AJ214" s="3">
        <f>IF(Tabla145[[#This Row],[Plan Irrestricto]]&gt;0,SUM(Tabla145[[#This Row],[Facturación atraso]],Tabla145[[#This Row],[Facturación Venta nueva]],Tabla145[[#This Row],[Facturación stock]],Tabla145[[#This Row],[En puerto a facturar]]),0)</f>
        <v>55410</v>
      </c>
      <c r="AK214" s="3">
        <f>+Tabla145[[#This Row],[Facturación atraso]]</f>
        <v>55410</v>
      </c>
      <c r="AL214" s="3">
        <f>+Tabla145[[#This Row],[Plan Ajustado]]-Tabla145[[#This Row],[ Atraso ajustado]]-Tabla145[[#This Row],[Puerto ]]</f>
        <v>0</v>
      </c>
      <c r="AM214" s="6">
        <f>IFERROR(VLOOKUP(Tabla145[[#This Row],[Llave]],[18]!Tabla14[#All],34,FALSE),0)</f>
        <v>0</v>
      </c>
      <c r="AN214" s="6">
        <f>IFERROR(VLOOKUP(Tabla145[[#This Row],[Llave]],[18]!Tabla14[#All],35,FALSE),0)</f>
        <v>0</v>
      </c>
      <c r="AO214" s="3" t="str">
        <f>IF(Tabla145[[#This Row],[Plan Ajustado]]&gt;Tabla145[[#This Row],[En puerto a facturar]],"Si","No")</f>
        <v>Si</v>
      </c>
      <c r="AP214" s="3">
        <f>IF(AND(Tabla145[[#This Row],[Plan Ajustado]]&gt;0,Tabla145[[#This Row],[Plan Ajustado]]&gt;Tabla145[[#This Row],[En puerto a facturar]]),(Tabla145[[#This Row],[Plan Ajustado]]-Tabla145[[#This Row],[En puerto a facturar]]),0)</f>
        <v>55410</v>
      </c>
      <c r="AQ214" s="3">
        <f>IF(Tabla145[[#This Row],[Necesidad]]&gt;=Tabla145[[#This Row],[Stock al día]],Tabla145[[#This Row],[Stock al día]],Tabla145[[#This Row],[Necesidad]])</f>
        <v>55410</v>
      </c>
      <c r="AR214" s="3">
        <f>+Tabla145[[#This Row],[Necesidad]]-Tabla145[[#This Row],[Stock Plan]]</f>
        <v>0</v>
      </c>
      <c r="AS214" s="155">
        <f>IFERROR(VLOOKUP(Tabla145[[#This Row],[Oficina]],[19]Ponderación!$B$14:$E$21,4,FALSE),"")</f>
        <v>44789</v>
      </c>
      <c r="AT21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0.50865314388899452</v>
      </c>
      <c r="AU214" s="83">
        <f>IFERROR(VLOOKUP(Tabla145[[#This Row],[Llave]],[17]DELAY!$H:$W,16,FALSE),0)</f>
        <v>0.68</v>
      </c>
      <c r="AV21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0.68</v>
      </c>
      <c r="AW214" s="5">
        <f>Tabla145[[#This Row],[Ajuste precio IC]]*Tabla145[[#This Row],[Plan Ajustado]]</f>
        <v>36016.5</v>
      </c>
      <c r="AX214" s="30">
        <f>IFERROR(VLOOKUP(Tabla145[[#This Row],[Llave]],'[13]Ultimos precios facturados'!$A:$G,7,FALSE),0)</f>
        <v>0.50865314388899452</v>
      </c>
      <c r="AY21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0.33686384950055331</v>
      </c>
      <c r="AZ214" s="30">
        <f>IFERROR(VLOOKUP(Tabla145[[#This Row],[Llave]],Hoja2!B:K,10,FALSE),0)</f>
        <v>0.65</v>
      </c>
      <c r="BA214" s="30">
        <f>IF(Tabla145[[#This Row],[Ajuste precio IC]]="",Tabla145[[#This Row],[Precio ponderado]],Tabla145[[#This Row],[Precio ponderado]])</f>
        <v>0.68</v>
      </c>
      <c r="BB214" s="82"/>
      <c r="BC214" s="82" t="str">
        <f>IF(AND(Tabla145[[#This Row],[Atraso a facturar]]&gt;0,Tabla145[[#This Row],[Precio Atraso]]=0),"Revisar","OK")</f>
        <v>OK</v>
      </c>
      <c r="BD214" s="82" t="str">
        <f>IF(AND(Tabla145[[#This Row],[Venta del mes]]&gt;0,Tabla145[[#This Row],[Precio venta nueva]]=0),"Revisar","OK")</f>
        <v>OK</v>
      </c>
      <c r="BE214" s="20">
        <f>IFERROR(VLOOKUP(Tabla145[[#This Row],[Llave]],'[5]Consolidación planes'!$A:$M,9,FALSE),0)</f>
        <v>24000</v>
      </c>
      <c r="BF214" s="20">
        <f>IFERROR(VLOOKUP(Tabla145[[#This Row],[Llave]],'[5]Consolidación planes'!$A:$M,10,FALSE),0)</f>
        <v>0</v>
      </c>
      <c r="BG214" s="20">
        <f>IFERROR(VLOOKUP(Tabla145[[#This Row],[Llave]],'[5]Consolidación planes'!$A:$M,11,FALSE),0)</f>
        <v>23960</v>
      </c>
      <c r="BH214" s="20">
        <f>IFERROR(VLOOKUP(Tabla145[[#This Row],[Llave]],'[5]Consolidación planes'!$A:$M,12,FALSE),0)</f>
        <v>0</v>
      </c>
      <c r="BI214" s="20">
        <f>IFERROR(VLOOKUP(Tabla145[[#This Row],[Llave]],'[5]Consolidación planes'!$A:$M,13,FALSE),0)</f>
        <v>72000</v>
      </c>
      <c r="BJ214" s="20">
        <f>IFERROR(VLOOKUP(Tabla145[[#This Row],[Llave]],'[13]Base ultimos planes'!$A:$M,13,FALSE),0)</f>
        <v>36000</v>
      </c>
      <c r="BK214" s="80">
        <f>IFERROR(VLOOKUP(Tabla145[[#This Row],[Llave]],'[13]Base ultimos planes'!$O:$AA,8,FALSE),0)</f>
        <v>10800</v>
      </c>
      <c r="BL214" s="20">
        <f>IFERROR(VLOOKUP(Tabla145[[#This Row],[Llave]],'[13]Base ultimos planes'!$O:$AA,9,FALSE),0)</f>
        <v>0</v>
      </c>
      <c r="BM214" s="20">
        <f>IFERROR(VLOOKUP(Tabla145[[#This Row],[Llave]],'[13]Base ultimos planes'!$O:$AA,10,FALSE),0)</f>
        <v>9584</v>
      </c>
      <c r="BN214" s="20">
        <f>IFERROR(VLOOKUP(Tabla145[[#This Row],[Llave]],'[13]Base ultimos planes'!$O:$AA,11,FALSE),0)</f>
        <v>0</v>
      </c>
      <c r="BO214" s="20">
        <f>IFERROR(VLOOKUP(Tabla145[[#This Row],[Llave]],'[13]Base ultimos planes'!$O:$AA,12,FALSE),0)</f>
        <v>36177</v>
      </c>
      <c r="BP214" s="20">
        <f>IFERROR(VLOOKUP(Tabla145[[#This Row],[Llave]],'[13]Base ultimos planes'!$O:$AA,13,FALSE),0)</f>
        <v>20036</v>
      </c>
      <c r="BQ214" s="20"/>
      <c r="BR214" s="20">
        <f>Tabla145[[#This Row],[ RV Producción mes n+1]]*(1-Tabla145[[#This Row],[% Uti. producción]])</f>
        <v>0</v>
      </c>
      <c r="BS214" s="20">
        <f>+Tabla145[[#This Row],[Producción disponible mes n-1]]+Tabla145[[#This Row],[Saldo Volumen disponible]]</f>
        <v>12750</v>
      </c>
      <c r="BT214" s="7">
        <f>IFERROR(VLOOKUP(Tabla145[[#This Row],[Llave]],'[21]RV n+2 y n+3'!$B:$F,4,FALSE),0)</f>
        <v>96000</v>
      </c>
      <c r="BU214" s="7">
        <f>+Tabla145[[#This Row],[Asignación mes n+2]]*Tabla145[[#This Row],[% Uti. producción]]</f>
        <v>43890.662091334285</v>
      </c>
      <c r="BV214" s="7">
        <f>+Tabla145[[#This Row],[Ponderación mes n+2]]+Tabla145[[#This Row],[Saldo mes n-1]]</f>
        <v>56640.662091334285</v>
      </c>
      <c r="BW214" s="7">
        <f>+Tabla145[[#This Row],[Asignación mes n+2]]-Tabla145[[#This Row],[Ponderación mes n+2]]</f>
        <v>52109.337908665715</v>
      </c>
      <c r="BX214" s="7">
        <f>IFERROR(VLOOKUP(Tabla145[[#This Row],[Llave]],'[21]RV n+2 y n+3'!$B:$F,5,FALSE),0)</f>
        <v>0</v>
      </c>
      <c r="BY214" s="7">
        <f>+Tabla145[[#This Row],[Asignación mes n+3]]*Tabla145[[#This Row],[% Uti. producción]]</f>
        <v>0</v>
      </c>
      <c r="BZ214" s="3">
        <f>+Tabla145[[#This Row],[Ponderación mes n+3]]+Tabla145[[#This Row],[Saldo mes n+2]]</f>
        <v>52109.337908665715</v>
      </c>
      <c r="CA214" s="3">
        <f>+Tabla145[[#This Row],[Asignación mes n+3]]-Tabla145[[#This Row],[Ponderación mes n+3]]</f>
        <v>0</v>
      </c>
      <c r="CB214" s="3">
        <f>+Tabla145[[#This Row],[Producción disponible mes n-1]]+Tabla145[[#This Row],[Producción disponible]]</f>
        <v>0</v>
      </c>
      <c r="CC214" s="3">
        <f>+Tabla145[[#This Row],[Saldo mes n+4]]-Tabla145[[#This Row],[ RV Producción mes n+1]]</f>
        <v>0</v>
      </c>
    </row>
    <row r="215" spans="1:81" ht="16" x14ac:dyDescent="0.2">
      <c r="A215">
        <v>1</v>
      </c>
      <c r="B215" t="str">
        <f>Tabla145[[#This Row],[Oficina]]&amp;Tabla145[[#This Row],[Material]]</f>
        <v>Agro Sudamerica1011047</v>
      </c>
      <c r="C215" t="s">
        <v>227</v>
      </c>
      <c r="D215" t="s">
        <v>17</v>
      </c>
      <c r="E215">
        <v>1011047</v>
      </c>
      <c r="F215" t="s">
        <v>249</v>
      </c>
      <c r="G215" t="s">
        <v>247</v>
      </c>
      <c r="H215" t="s">
        <v>248</v>
      </c>
      <c r="I215" s="7">
        <f>IFERROR(VLOOKUP(Tabla145[[#This Row],[Llave]],'[7]RV Producción'!$C:$G,5,FALSE),0)</f>
        <v>0</v>
      </c>
      <c r="J215" s="3">
        <f>IFERROR(IF(Tabla145[[#This Row],[Oficina]]=$I$7,VLOOKUP(Tabla145[[#This Row],[Llave]],'[7]Shangai (Tomas)'!$A:$F,6,FALSE),VLOOKUP(Tabla145[[#This Row],[Llave]],'[7]RV plan de ventas'!$A:$E,5,FALSE)),0)</f>
        <v>0</v>
      </c>
      <c r="K215" s="8">
        <f>IFERROR(VLOOKUP(Tabla145[[#This Row],[Oficina]],[15]Ponderación!$B$2:$E$9,4,FALSE),0)</f>
        <v>0.45719439678473212</v>
      </c>
      <c r="L215" s="7">
        <f>+Tabla145[[#This Row],[ RV Producción mes n+1]]*Tabla145[[#This Row],[% Uti. producción]]</f>
        <v>0</v>
      </c>
      <c r="M215" s="7">
        <f>IFERROR(VLOOKUP(Tabla145[[#This Row],[Material]],[16]Stock!$G:$K,5,FALSE),0)</f>
        <v>60</v>
      </c>
      <c r="N215" s="7">
        <f>IFERROR(VLOOKUP(Tabla145[[#This Row],[Material]],[16]Produccion!$M:$N,2,FALSE),0)</f>
        <v>0</v>
      </c>
      <c r="O215" s="7">
        <f>IFERROR(VLOOKUP(Tabla145[[#This Row],[Llave]],'[16]TD Conf-AP'!$I:$M,4,FALSE),0)</f>
        <v>0</v>
      </c>
      <c r="P215" s="14">
        <f>SUM(Tabla145[[#This Row],[Producción disponible]],Tabla145[[#This Row],[Stock al día]],(Tabla145[[#This Row],[Por producir mes N]]*0.9))-Tabla145[[#This Row],[Producción por despachar mes N]]</f>
        <v>60</v>
      </c>
      <c r="Q215" s="7">
        <f>IFERROR(VLOOKUP(Tabla145[[#This Row],[Llave]],[17]DELAY!$A:$D,4,FALSE),0)</f>
        <v>0</v>
      </c>
      <c r="R215" s="9">
        <v>24000</v>
      </c>
      <c r="S215" s="5">
        <f t="shared" si="8"/>
        <v>0</v>
      </c>
      <c r="T215" s="76">
        <v>0</v>
      </c>
      <c r="U215" s="5">
        <f>+Tabla145[[#This Row],[Atraso a facturar]]+Tabla145[[#This Row],[Ajuste atraso]]</f>
        <v>0</v>
      </c>
      <c r="V215" s="3">
        <f>+Tabla145[[#This Row],[Total disponible]]-Tabla145[[#This Row],[Facturación atraso]]</f>
        <v>60</v>
      </c>
      <c r="W215" s="6">
        <f>IFERROR(IF(AND(V215&gt;R215,J215&gt;=R215),ROUNDDOWN((Tabla145[[#This Row],[Producción para venta nueva]])/R215,0)*R215,0),0)</f>
        <v>0</v>
      </c>
      <c r="X215" s="76">
        <v>0</v>
      </c>
      <c r="Y215" s="6">
        <f>IF(Tabla145[[#This Row],[Venta del mes]]&gt;0,Tabla145[[#This Row],[Venta del mes]]+Tabla145[[#This Row],[Ajuste venta nueva]],0)</f>
        <v>0</v>
      </c>
      <c r="Z215" s="6">
        <f>+Tabla145[[#This Row],[Producción para venta nueva]]-Tabla145[[#This Row],[Facturación Venta nueva]]</f>
        <v>60</v>
      </c>
      <c r="AA215" s="6">
        <f>IF(AND(A215=1,Tabla145[[#This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5" s="6">
        <v>0</v>
      </c>
      <c r="AC215" s="6">
        <f>IF(Tabla145[[#This Row],[Disponible stock sin venta]]&gt;0,Tabla145[[#This Row],[Disponible stock sin venta]]+Tabla145[[#This Row],[Ajuste stock sin venta]],0)</f>
        <v>0</v>
      </c>
      <c r="AD215" s="3">
        <f>IFERROR(VLOOKUP(Tabla145[[#This Row],[Llave]],'[16]TD Puerto'!$A:$D,4,FALSE),0)</f>
        <v>0</v>
      </c>
      <c r="AE215" s="3">
        <v>0</v>
      </c>
      <c r="AF215" s="3">
        <f>+Tabla145[[#This Row],[Plan Irrestricto Inicial]]</f>
        <v>0</v>
      </c>
      <c r="AG215" s="3">
        <f>+Tabla145[[#This Row],[En puerto a facturar]]</f>
        <v>0</v>
      </c>
      <c r="AH215" s="3">
        <f>+Tabla145[[#This Row],[Facturación atraso]]</f>
        <v>0</v>
      </c>
      <c r="AI215" s="3">
        <f>+Tabla145[[#This Row],[Plan Irrestricto]]-Tabla145[[#This Row],[Puerto ]]-Tabla145[[#This Row],[Atraso]]</f>
        <v>0</v>
      </c>
      <c r="AJ21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15" s="3">
        <f>+Tabla145[[#This Row],[Facturación atraso]]</f>
        <v>0</v>
      </c>
      <c r="AL215" s="3">
        <f>+Tabla145[[#This Row],[Plan Ajustado]]-Tabla145[[#This Row],[ Atraso ajustado]]-Tabla145[[#This Row],[Puerto ]]</f>
        <v>0</v>
      </c>
      <c r="AM215" s="6">
        <f>IFERROR(VLOOKUP(Tabla145[[#This Row],[Llave]],[18]!Tabla14[#All],34,FALSE),0)</f>
        <v>0</v>
      </c>
      <c r="AN215" s="6">
        <f>IFERROR(VLOOKUP(Tabla145[[#This Row],[Llave]],[18]!Tabla14[#All],35,FALSE),0)</f>
        <v>0</v>
      </c>
      <c r="AO215" s="3" t="str">
        <f>IF(Tabla145[[#This Row],[Plan Ajustado]]&gt;Tabla145[[#This Row],[En puerto a facturar]],"Si","No")</f>
        <v>No</v>
      </c>
      <c r="AP21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15" s="3">
        <f>IF(Tabla145[[#This Row],[Necesidad]]&gt;=Tabla145[[#This Row],[Stock al día]],Tabla145[[#This Row],[Stock al día]],Tabla145[[#This Row],[Necesidad]])</f>
        <v>0</v>
      </c>
      <c r="AR215" s="3">
        <f>+Tabla145[[#This Row],[Necesidad]]-Tabla145[[#This Row],[Stock Plan]]</f>
        <v>0</v>
      </c>
      <c r="AS215" s="155">
        <f>IFERROR(VLOOKUP(Tabla145[[#This Row],[Oficina]],[19]Ponderación!$B$14:$E$21,4,FALSE),"")</f>
        <v>44789</v>
      </c>
      <c r="AT21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15" s="83">
        <f>IFERROR(VLOOKUP(Tabla145[[#This Row],[Llave]],[17]DELAY!$H:$W,16,FALSE),0)</f>
        <v>0</v>
      </c>
      <c r="AV21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15" s="5">
        <f>Tabla145[[#This Row],[Ajuste precio IC]]*Tabla145[[#This Row],[Plan Ajustado]]</f>
        <v>0</v>
      </c>
      <c r="AX215" s="30">
        <f>IFERROR(VLOOKUP(Tabla145[[#This Row],[Llave]],'[13]Ultimos precios facturados'!$A:$G,7,FALSE),0)</f>
        <v>0</v>
      </c>
      <c r="AY21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15" s="30">
        <f>IFERROR(VLOOKUP(Tabla145[[#This Row],[Llave]],Hoja2!B:K,10,FALSE),0)</f>
        <v>0</v>
      </c>
      <c r="BA215" s="30">
        <f>IF(Tabla145[[#This Row],[Ajuste precio IC]]="",Tabla145[[#This Row],[Precio ponderado]],Tabla145[[#This Row],[Precio ponderado]])</f>
        <v>0</v>
      </c>
      <c r="BB215" s="82"/>
      <c r="BC215" s="82" t="str">
        <f>IF(AND(Tabla145[[#This Row],[Atraso a facturar]]&gt;0,Tabla145[[#This Row],[Precio Atraso]]=0),"Revisar","OK")</f>
        <v>OK</v>
      </c>
      <c r="BD215" s="82" t="str">
        <f>IF(AND(Tabla145[[#This Row],[Venta del mes]]&gt;0,Tabla145[[#This Row],[Precio venta nueva]]=0),"Revisar","OK")</f>
        <v>OK</v>
      </c>
      <c r="BE215" s="20">
        <f>IFERROR(VLOOKUP(Tabla145[[#This Row],[Llave]],'[5]Consolidación planes'!$A:$M,9,FALSE),0)</f>
        <v>0</v>
      </c>
      <c r="BF215" s="20">
        <f>IFERROR(VLOOKUP(Tabla145[[#This Row],[Llave]],'[5]Consolidación planes'!$A:$M,10,FALSE),0)</f>
        <v>0</v>
      </c>
      <c r="BG215" s="20">
        <f>IFERROR(VLOOKUP(Tabla145[[#This Row],[Llave]],'[5]Consolidación planes'!$A:$M,11,FALSE),0)</f>
        <v>0</v>
      </c>
      <c r="BH215" s="20">
        <f>IFERROR(VLOOKUP(Tabla145[[#This Row],[Llave]],'[5]Consolidación planes'!$A:$M,12,FALSE),0)</f>
        <v>0</v>
      </c>
      <c r="BI215" s="20">
        <f>IFERROR(VLOOKUP(Tabla145[[#This Row],[Llave]],'[5]Consolidación planes'!$A:$M,13,FALSE),0)</f>
        <v>0</v>
      </c>
      <c r="BJ215" s="20">
        <f>IFERROR(VLOOKUP(Tabla145[[#This Row],[Llave]],'[13]Base ultimos planes'!$A:$M,13,FALSE),0)</f>
        <v>0</v>
      </c>
      <c r="BK215" s="80">
        <f>IFERROR(VLOOKUP(Tabla145[[#This Row],[Llave]],'[13]Base ultimos planes'!$O:$AA,8,FALSE),0)</f>
        <v>0</v>
      </c>
      <c r="BL215" s="20">
        <f>IFERROR(VLOOKUP(Tabla145[[#This Row],[Llave]],'[13]Base ultimos planes'!$O:$AA,9,FALSE),0)</f>
        <v>0</v>
      </c>
      <c r="BM215" s="20">
        <f>IFERROR(VLOOKUP(Tabla145[[#This Row],[Llave]],'[13]Base ultimos planes'!$O:$AA,10,FALSE),0)</f>
        <v>0</v>
      </c>
      <c r="BN215" s="20">
        <f>IFERROR(VLOOKUP(Tabla145[[#This Row],[Llave]],'[13]Base ultimos planes'!$O:$AA,11,FALSE),0)</f>
        <v>0</v>
      </c>
      <c r="BO215" s="20">
        <f>IFERROR(VLOOKUP(Tabla145[[#This Row],[Llave]],'[13]Base ultimos planes'!$O:$AA,12,FALSE),0)</f>
        <v>0</v>
      </c>
      <c r="BP215" s="20">
        <f>IFERROR(VLOOKUP(Tabla145[[#This Row],[Llave]],'[13]Base ultimos planes'!$O:$AA,13,FALSE),0)</f>
        <v>0</v>
      </c>
      <c r="BQ215" s="20"/>
      <c r="BR215" s="20">
        <f>Tabla145[[#This Row],[ RV Producción mes n+1]]*(1-Tabla145[[#This Row],[% Uti. producción]])</f>
        <v>0</v>
      </c>
      <c r="BS215" s="20">
        <f>+Tabla145[[#This Row],[Producción disponible mes n-1]]+Tabla145[[#This Row],[Saldo Volumen disponible]]</f>
        <v>60</v>
      </c>
      <c r="BT215" s="7">
        <f>IFERROR(VLOOKUP(Tabla145[[#This Row],[Llave]],'[21]RV n+2 y n+3'!$B:$F,4,FALSE),0)</f>
        <v>0</v>
      </c>
      <c r="BU215" s="7">
        <f>+Tabla145[[#This Row],[Asignación mes n+2]]*Tabla145[[#This Row],[% Uti. producción]]</f>
        <v>0</v>
      </c>
      <c r="BV215" s="7">
        <f>+Tabla145[[#This Row],[Ponderación mes n+2]]+Tabla145[[#This Row],[Saldo mes n-1]]</f>
        <v>60</v>
      </c>
      <c r="BW215" s="7">
        <f>+Tabla145[[#This Row],[Asignación mes n+2]]-Tabla145[[#This Row],[Ponderación mes n+2]]</f>
        <v>0</v>
      </c>
      <c r="BX215" s="7">
        <f>IFERROR(VLOOKUP(Tabla145[[#This Row],[Llave]],'[21]RV n+2 y n+3'!$B:$F,5,FALSE),0)</f>
        <v>0</v>
      </c>
      <c r="BY215" s="7">
        <f>+Tabla145[[#This Row],[Asignación mes n+3]]*Tabla145[[#This Row],[% Uti. producción]]</f>
        <v>0</v>
      </c>
      <c r="BZ215" s="3">
        <f>+Tabla145[[#This Row],[Ponderación mes n+3]]+Tabla145[[#This Row],[Saldo mes n+2]]</f>
        <v>0</v>
      </c>
      <c r="CA215" s="3">
        <f>+Tabla145[[#This Row],[Asignación mes n+3]]-Tabla145[[#This Row],[Ponderación mes n+3]]</f>
        <v>0</v>
      </c>
      <c r="CB215" s="3">
        <f>+Tabla145[[#This Row],[Producción disponible mes n-1]]+Tabla145[[#This Row],[Producción disponible]]</f>
        <v>0</v>
      </c>
      <c r="CC215" s="3">
        <f>+Tabla145[[#This Row],[Saldo mes n+4]]-Tabla145[[#This Row],[ RV Producción mes n+1]]</f>
        <v>0</v>
      </c>
    </row>
    <row r="216" spans="1:81" ht="16" x14ac:dyDescent="0.2">
      <c r="A216">
        <v>1</v>
      </c>
      <c r="B216" t="str">
        <f>Tabla145[[#This Row],[Oficina]]&amp;Tabla145[[#This Row],[Material]]</f>
        <v>Agro Sudamerica1011250</v>
      </c>
      <c r="C216" t="s">
        <v>227</v>
      </c>
      <c r="D216" t="s">
        <v>17</v>
      </c>
      <c r="E216">
        <v>1011250</v>
      </c>
      <c r="F216" t="s">
        <v>321</v>
      </c>
      <c r="G216" t="s">
        <v>247</v>
      </c>
      <c r="H216" t="s">
        <v>248</v>
      </c>
      <c r="I216" s="7">
        <f>IFERROR(VLOOKUP(Tabla145[[#This Row],[Llave]],'[7]RV Producción'!$C:$G,5,FALSE),0)</f>
        <v>0</v>
      </c>
      <c r="J216" s="3">
        <f>IFERROR(IF(Tabla145[[#This Row],[Oficina]]=$I$7,VLOOKUP(Tabla145[[#This Row],[Llave]],'[7]Shangai (Tomas)'!$A:$F,6,FALSE),VLOOKUP(Tabla145[[#This Row],[Llave]],'[7]RV plan de ventas'!$A:$E,5,FALSE)),0)</f>
        <v>0</v>
      </c>
      <c r="K216" s="8">
        <f>IFERROR(VLOOKUP(Tabla145[[#This Row],[Oficina]],[15]Ponderación!$B$2:$E$9,4,FALSE),0)</f>
        <v>0.45719439678473212</v>
      </c>
      <c r="L216" s="7">
        <f>+Tabla145[[#This Row],[ RV Producción mes n+1]]*Tabla145[[#This Row],[% Uti. producción]]</f>
        <v>0</v>
      </c>
      <c r="M216" s="7">
        <f>IFERROR(VLOOKUP(Tabla145[[#This Row],[Material]],[16]Stock!$G:$K,5,FALSE),0)</f>
        <v>1651</v>
      </c>
      <c r="N216" s="7">
        <f>IFERROR(VLOOKUP(Tabla145[[#This Row],[Material]],[16]Produccion!$M:$N,2,FALSE),0)</f>
        <v>0</v>
      </c>
      <c r="O216" s="7">
        <f>IFERROR(VLOOKUP(Tabla145[[#This Row],[Llave]],'[16]TD Conf-AP'!$I:$M,4,FALSE),0)</f>
        <v>0</v>
      </c>
      <c r="P216" s="14">
        <f>SUM(Tabla145[[#This Row],[Producción disponible]],Tabla145[[#This Row],[Stock al día]],(Tabla145[[#This Row],[Por producir mes N]]*0.9))-Tabla145[[#This Row],[Producción por despachar mes N]]</f>
        <v>1651</v>
      </c>
      <c r="Q216" s="7">
        <f>IFERROR(VLOOKUP(Tabla145[[#This Row],[Llave]],[17]DELAY!$A:$D,4,FALSE),0)</f>
        <v>0</v>
      </c>
      <c r="R216" s="9">
        <v>24000</v>
      </c>
      <c r="S216" s="5">
        <f t="shared" si="8"/>
        <v>0</v>
      </c>
      <c r="T216" s="76">
        <v>0</v>
      </c>
      <c r="U216" s="5">
        <f>+Tabla145[[#This Row],[Atraso a facturar]]+Tabla145[[#This Row],[Ajuste atraso]]</f>
        <v>0</v>
      </c>
      <c r="V216" s="3">
        <f>+Tabla145[[#This Row],[Total disponible]]-Tabla145[[#This Row],[Facturación atraso]]</f>
        <v>1651</v>
      </c>
      <c r="W216" s="6">
        <f>IFERROR(IF(AND(V216&gt;R216,J216&gt;=R216),ROUNDDOWN((Tabla145[[#This Row],[Producción para venta nueva]])/R216,0)*R216,0),0)</f>
        <v>0</v>
      </c>
      <c r="X216" s="76">
        <v>0</v>
      </c>
      <c r="Y216" s="6">
        <f>IF(Tabla145[[#This Row],[Venta del mes]]&gt;0,Tabla145[[#This Row],[Venta del mes]]+Tabla145[[#This Row],[Ajuste venta nueva]],0)</f>
        <v>0</v>
      </c>
      <c r="Z216" s="6">
        <f>+Tabla145[[#This Row],[Producción para venta nueva]]-Tabla145[[#This Row],[Facturación Venta nueva]]</f>
        <v>1651</v>
      </c>
      <c r="AA216" s="6">
        <f>IF(AND(A216=1,Tabla145[[#This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6" s="6">
        <v>0</v>
      </c>
      <c r="AC216" s="6">
        <f>IF(Tabla145[[#This Row],[Disponible stock sin venta]]&gt;0,Tabla145[[#This Row],[Disponible stock sin venta]]+Tabla145[[#This Row],[Ajuste stock sin venta]],0)</f>
        <v>0</v>
      </c>
      <c r="AD216" s="3">
        <f>IFERROR(VLOOKUP(Tabla145[[#This Row],[Llave]],'[16]TD Puerto'!$A:$D,4,FALSE),0)</f>
        <v>0</v>
      </c>
      <c r="AE216" s="3">
        <v>0</v>
      </c>
      <c r="AF216" s="3">
        <f>+Tabla145[[#This Row],[Plan Irrestricto Inicial]]</f>
        <v>0</v>
      </c>
      <c r="AG216" s="3">
        <f>+Tabla145[[#This Row],[En puerto a facturar]]</f>
        <v>0</v>
      </c>
      <c r="AH216" s="3">
        <f>+Tabla145[[#This Row],[Facturación atraso]]</f>
        <v>0</v>
      </c>
      <c r="AI216" s="3">
        <f>+Tabla145[[#This Row],[Plan Irrestricto]]-Tabla145[[#This Row],[Puerto ]]-Tabla145[[#This Row],[Atraso]]</f>
        <v>0</v>
      </c>
      <c r="AJ21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16" s="3">
        <f>+Tabla145[[#This Row],[Facturación atraso]]</f>
        <v>0</v>
      </c>
      <c r="AL216" s="3">
        <f>+Tabla145[[#This Row],[Plan Ajustado]]-Tabla145[[#This Row],[ Atraso ajustado]]-Tabla145[[#This Row],[Puerto ]]</f>
        <v>0</v>
      </c>
      <c r="AM216" s="6">
        <f>IFERROR(VLOOKUP(Tabla145[[#This Row],[Llave]],[18]!Tabla14[#All],34,FALSE),0)</f>
        <v>0</v>
      </c>
      <c r="AN216" s="6">
        <f>IFERROR(VLOOKUP(Tabla145[[#This Row],[Llave]],[18]!Tabla14[#All],35,FALSE),0)</f>
        <v>0</v>
      </c>
      <c r="AO216" s="3" t="str">
        <f>IF(Tabla145[[#This Row],[Plan Ajustado]]&gt;Tabla145[[#This Row],[En puerto a facturar]],"Si","No")</f>
        <v>No</v>
      </c>
      <c r="AP21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16" s="3">
        <f>IF(Tabla145[[#This Row],[Necesidad]]&gt;=Tabla145[[#This Row],[Stock al día]],Tabla145[[#This Row],[Stock al día]],Tabla145[[#This Row],[Necesidad]])</f>
        <v>0</v>
      </c>
      <c r="AR216" s="3">
        <f>+Tabla145[[#This Row],[Necesidad]]-Tabla145[[#This Row],[Stock Plan]]</f>
        <v>0</v>
      </c>
      <c r="AS216" s="155">
        <f>IFERROR(VLOOKUP(Tabla145[[#This Row],[Oficina]],[19]Ponderación!$B$14:$E$21,4,FALSE),"")</f>
        <v>44789</v>
      </c>
      <c r="AT21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3.3855725381418802</v>
      </c>
      <c r="AU216" s="83">
        <f>IFERROR(VLOOKUP(Tabla145[[#This Row],[Llave]],[17]DELAY!$H:$W,16,FALSE),0)</f>
        <v>0</v>
      </c>
      <c r="AV21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16" s="5">
        <f>Tabla145[[#This Row],[Ajuste precio IC]]*Tabla145[[#This Row],[Plan Ajustado]]</f>
        <v>0</v>
      </c>
      <c r="AX216" s="30">
        <f>IFERROR(VLOOKUP(Tabla145[[#This Row],[Llave]],'[13]Ultimos precios facturados'!$A:$G,7,FALSE),0)</f>
        <v>3.3855725381418802</v>
      </c>
      <c r="AY21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16" s="30">
        <f>IFERROR(VLOOKUP(Tabla145[[#This Row],[Llave]],Hoja2!B:K,10,FALSE),0)</f>
        <v>0</v>
      </c>
      <c r="BA216" s="30">
        <f>IF(Tabla145[[#This Row],[Ajuste precio IC]]="",Tabla145[[#This Row],[Precio ponderado]],Tabla145[[#This Row],[Precio ponderado]])</f>
        <v>0</v>
      </c>
      <c r="BB216" s="82"/>
      <c r="BC216" s="82" t="str">
        <f>IF(AND(Tabla145[[#This Row],[Atraso a facturar]]&gt;0,Tabla145[[#This Row],[Precio Atraso]]=0),"Revisar","OK")</f>
        <v>OK</v>
      </c>
      <c r="BD216" s="82" t="str">
        <f>IF(AND(Tabla145[[#This Row],[Venta del mes]]&gt;0,Tabla145[[#This Row],[Precio venta nueva]]=0),"Revisar","OK")</f>
        <v>OK</v>
      </c>
      <c r="BE216" s="20">
        <f>IFERROR(VLOOKUP(Tabla145[[#This Row],[Llave]],'[5]Consolidación planes'!$A:$M,9,FALSE),0)</f>
        <v>0</v>
      </c>
      <c r="BF216" s="20">
        <f>IFERROR(VLOOKUP(Tabla145[[#This Row],[Llave]],'[5]Consolidación planes'!$A:$M,10,FALSE),0)</f>
        <v>0</v>
      </c>
      <c r="BG216" s="20">
        <f>IFERROR(VLOOKUP(Tabla145[[#This Row],[Llave]],'[5]Consolidación planes'!$A:$M,11,FALSE),0)</f>
        <v>0</v>
      </c>
      <c r="BH216" s="20">
        <f>IFERROR(VLOOKUP(Tabla145[[#This Row],[Llave]],'[5]Consolidación planes'!$A:$M,12,FALSE),0)</f>
        <v>0</v>
      </c>
      <c r="BI216" s="20">
        <f>IFERROR(VLOOKUP(Tabla145[[#This Row],[Llave]],'[5]Consolidación planes'!$A:$M,13,FALSE),0)</f>
        <v>0</v>
      </c>
      <c r="BJ216" s="20">
        <f>IFERROR(VLOOKUP(Tabla145[[#This Row],[Llave]],'[13]Base ultimos planes'!$A:$M,13,FALSE),0)</f>
        <v>0</v>
      </c>
      <c r="BK216" s="80">
        <f>IFERROR(VLOOKUP(Tabla145[[#This Row],[Llave]],'[13]Base ultimos planes'!$O:$AA,8,FALSE),0)</f>
        <v>0</v>
      </c>
      <c r="BL216" s="20">
        <f>IFERROR(VLOOKUP(Tabla145[[#This Row],[Llave]],'[13]Base ultimos planes'!$O:$AA,9,FALSE),0)</f>
        <v>0</v>
      </c>
      <c r="BM216" s="20">
        <f>IFERROR(VLOOKUP(Tabla145[[#This Row],[Llave]],'[13]Base ultimos planes'!$O:$AA,10,FALSE),0)</f>
        <v>0</v>
      </c>
      <c r="BN216" s="20">
        <f>IFERROR(VLOOKUP(Tabla145[[#This Row],[Llave]],'[13]Base ultimos planes'!$O:$AA,11,FALSE),0)</f>
        <v>0</v>
      </c>
      <c r="BO216" s="20">
        <f>IFERROR(VLOOKUP(Tabla145[[#This Row],[Llave]],'[13]Base ultimos planes'!$O:$AA,12,FALSE),0)</f>
        <v>0</v>
      </c>
      <c r="BP216" s="20">
        <f>IFERROR(VLOOKUP(Tabla145[[#This Row],[Llave]],'[13]Base ultimos planes'!$O:$AA,13,FALSE),0)</f>
        <v>0</v>
      </c>
      <c r="BQ216" s="20"/>
      <c r="BR216" s="20">
        <f>Tabla145[[#This Row],[ RV Producción mes n+1]]*(1-Tabla145[[#This Row],[% Uti. producción]])</f>
        <v>0</v>
      </c>
      <c r="BS216" s="20">
        <f>+Tabla145[[#This Row],[Producción disponible mes n-1]]+Tabla145[[#This Row],[Saldo Volumen disponible]]</f>
        <v>1651</v>
      </c>
      <c r="BT216" s="7">
        <f>IFERROR(VLOOKUP(Tabla145[[#This Row],[Llave]],'[21]RV n+2 y n+3'!$B:$F,4,FALSE),0)</f>
        <v>0</v>
      </c>
      <c r="BU216" s="7">
        <f>+Tabla145[[#This Row],[Asignación mes n+2]]*Tabla145[[#This Row],[% Uti. producción]]</f>
        <v>0</v>
      </c>
      <c r="BV216" s="7">
        <f>+Tabla145[[#This Row],[Ponderación mes n+2]]+Tabla145[[#This Row],[Saldo mes n-1]]</f>
        <v>1651</v>
      </c>
      <c r="BW216" s="7">
        <f>+Tabla145[[#This Row],[Asignación mes n+2]]-Tabla145[[#This Row],[Ponderación mes n+2]]</f>
        <v>0</v>
      </c>
      <c r="BX216" s="7">
        <f>IFERROR(VLOOKUP(Tabla145[[#This Row],[Llave]],'[21]RV n+2 y n+3'!$B:$F,5,FALSE),0)</f>
        <v>0</v>
      </c>
      <c r="BY216" s="7">
        <f>+Tabla145[[#This Row],[Asignación mes n+3]]*Tabla145[[#This Row],[% Uti. producción]]</f>
        <v>0</v>
      </c>
      <c r="BZ216" s="3">
        <f>+Tabla145[[#This Row],[Ponderación mes n+3]]+Tabla145[[#This Row],[Saldo mes n+2]]</f>
        <v>0</v>
      </c>
      <c r="CA216" s="3">
        <f>+Tabla145[[#This Row],[Asignación mes n+3]]-Tabla145[[#This Row],[Ponderación mes n+3]]</f>
        <v>0</v>
      </c>
      <c r="CB216" s="3">
        <f>+Tabla145[[#This Row],[Producción disponible mes n-1]]+Tabla145[[#This Row],[Producción disponible]]</f>
        <v>0</v>
      </c>
      <c r="CC216" s="3">
        <f>+Tabla145[[#This Row],[Saldo mes n+4]]-Tabla145[[#This Row],[ RV Producción mes n+1]]</f>
        <v>0</v>
      </c>
    </row>
    <row r="217" spans="1:81" ht="16" x14ac:dyDescent="0.2">
      <c r="A217">
        <v>1</v>
      </c>
      <c r="B217" t="str">
        <f>Tabla145[[#This Row],[Oficina]]&amp;Tabla145[[#This Row],[Material]]</f>
        <v>Agro Sudamerica1011290</v>
      </c>
      <c r="C217" t="s">
        <v>227</v>
      </c>
      <c r="D217" t="s">
        <v>17</v>
      </c>
      <c r="E217">
        <v>1011290</v>
      </c>
      <c r="F217" t="s">
        <v>258</v>
      </c>
      <c r="G217" t="s">
        <v>76</v>
      </c>
      <c r="H217" t="s">
        <v>257</v>
      </c>
      <c r="I217" s="7">
        <f>IFERROR(VLOOKUP(Tabla145[[#This Row],[Llave]],'[7]RV Producción'!$C:$G,5,FALSE),0)</f>
        <v>0</v>
      </c>
      <c r="J217" s="3">
        <f>IFERROR(IF(Tabla145[[#This Row],[Oficina]]=$I$7,VLOOKUP(Tabla145[[#This Row],[Llave]],'[7]Shangai (Tomas)'!$A:$F,6,FALSE),VLOOKUP(Tabla145[[#This Row],[Llave]],'[7]RV plan de ventas'!$A:$E,5,FALSE)),0)</f>
        <v>0</v>
      </c>
      <c r="K217" s="8">
        <f>IFERROR(VLOOKUP(Tabla145[[#This Row],[Oficina]],[15]Ponderación!$B$2:$E$9,4,FALSE),0)</f>
        <v>0.45719439678473212</v>
      </c>
      <c r="L217" s="7">
        <f>+Tabla145[[#This Row],[ RV Producción mes n+1]]*Tabla145[[#This Row],[% Uti. producción]]</f>
        <v>0</v>
      </c>
      <c r="M217" s="7">
        <f>IFERROR(VLOOKUP(Tabla145[[#This Row],[Material]],[16]Stock!$G:$K,5,FALSE),0)</f>
        <v>0</v>
      </c>
      <c r="N217" s="7">
        <f>IFERROR(VLOOKUP(Tabla145[[#This Row],[Material]],[16]Produccion!$M:$N,2,FALSE),0)</f>
        <v>0</v>
      </c>
      <c r="O217" s="7">
        <f>IFERROR(VLOOKUP(Tabla145[[#This Row],[Llave]],'[16]TD Conf-AP'!$I:$M,4,FALSE),0)</f>
        <v>0</v>
      </c>
      <c r="P217" s="14">
        <f>SUM(Tabla145[[#This Row],[Producción disponible]],Tabla145[[#This Row],[Stock al día]],(Tabla145[[#This Row],[Por producir mes N]]*0.9))-Tabla145[[#This Row],[Producción por despachar mes N]]</f>
        <v>0</v>
      </c>
      <c r="Q217" s="7">
        <f>IFERROR(VLOOKUP(Tabla145[[#This Row],[Llave]],[17]DELAY!$A:$D,4,FALSE),0)</f>
        <v>0</v>
      </c>
      <c r="R217" s="9">
        <v>24000</v>
      </c>
      <c r="S217" s="5">
        <f t="shared" si="8"/>
        <v>0</v>
      </c>
      <c r="T217" s="76">
        <v>0</v>
      </c>
      <c r="U217" s="5">
        <f>+Tabla145[[#This Row],[Atraso a facturar]]+Tabla145[[#This Row],[Ajuste atraso]]</f>
        <v>0</v>
      </c>
      <c r="V217" s="3">
        <f>+Tabla145[[#This Row],[Total disponible]]-Tabla145[[#This Row],[Facturación atraso]]</f>
        <v>0</v>
      </c>
      <c r="W217" s="6">
        <f>IFERROR(IF(AND(V217&gt;R217,J217&gt;=R217),ROUNDDOWN((Tabla145[[#This Row],[Producción para venta nueva]])/R217,0)*R217,0),0)</f>
        <v>0</v>
      </c>
      <c r="X217" s="76">
        <v>0</v>
      </c>
      <c r="Y217" s="6">
        <f>IF(Tabla145[[#This Row],[Venta del mes]]&gt;0,Tabla145[[#This Row],[Venta del mes]]+Tabla145[[#This Row],[Ajuste venta nueva]],0)</f>
        <v>0</v>
      </c>
      <c r="Z217" s="6">
        <f>+Tabla145[[#This Row],[Producción para venta nueva]]-Tabla145[[#This Row],[Facturación Venta nueva]]</f>
        <v>0</v>
      </c>
      <c r="AA217" s="6">
        <f>IF(AND(A217=1,Tabla145[[#This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7" s="6">
        <v>0</v>
      </c>
      <c r="AC217" s="6">
        <f>IF(Tabla145[[#This Row],[Disponible stock sin venta]]&gt;0,Tabla145[[#This Row],[Disponible stock sin venta]]+Tabla145[[#This Row],[Ajuste stock sin venta]],0)</f>
        <v>0</v>
      </c>
      <c r="AD217" s="3">
        <f>IFERROR(VLOOKUP(Tabla145[[#This Row],[Llave]],'[16]TD Puerto'!$A:$D,4,FALSE),0)</f>
        <v>0</v>
      </c>
      <c r="AE217" s="3">
        <v>0</v>
      </c>
      <c r="AF217" s="3">
        <f>+Tabla145[[#This Row],[Plan Irrestricto Inicial]]</f>
        <v>0</v>
      </c>
      <c r="AG217" s="3">
        <f>+Tabla145[[#This Row],[En puerto a facturar]]</f>
        <v>0</v>
      </c>
      <c r="AH217" s="3">
        <f>+Tabla145[[#This Row],[Facturación atraso]]</f>
        <v>0</v>
      </c>
      <c r="AI217" s="3">
        <f>+Tabla145[[#This Row],[Plan Irrestricto]]-Tabla145[[#This Row],[Puerto ]]-Tabla145[[#This Row],[Atraso]]</f>
        <v>0</v>
      </c>
      <c r="AJ21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17" s="3">
        <f>+Tabla145[[#This Row],[Facturación atraso]]</f>
        <v>0</v>
      </c>
      <c r="AL217" s="3">
        <f>+Tabla145[[#This Row],[Plan Ajustado]]-Tabla145[[#This Row],[ Atraso ajustado]]-Tabla145[[#This Row],[Puerto ]]</f>
        <v>0</v>
      </c>
      <c r="AM217" s="6">
        <f>IFERROR(VLOOKUP(Tabla145[[#This Row],[Llave]],[18]!Tabla14[#All],34,FALSE),0)</f>
        <v>0</v>
      </c>
      <c r="AN217" s="6">
        <f>IFERROR(VLOOKUP(Tabla145[[#This Row],[Llave]],[18]!Tabla14[#All],35,FALSE),0)</f>
        <v>0</v>
      </c>
      <c r="AO217" s="3" t="str">
        <f>IF(Tabla145[[#This Row],[Plan Ajustado]]&gt;Tabla145[[#This Row],[En puerto a facturar]],"Si","No")</f>
        <v>No</v>
      </c>
      <c r="AP21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17" s="3">
        <f>IF(Tabla145[[#This Row],[Necesidad]]&gt;=Tabla145[[#This Row],[Stock al día]],Tabla145[[#This Row],[Stock al día]],Tabla145[[#This Row],[Necesidad]])</f>
        <v>0</v>
      </c>
      <c r="AR217" s="3">
        <f>+Tabla145[[#This Row],[Necesidad]]-Tabla145[[#This Row],[Stock Plan]]</f>
        <v>0</v>
      </c>
      <c r="AS217" s="155">
        <f>IFERROR(VLOOKUP(Tabla145[[#This Row],[Oficina]],[19]Ponderación!$B$14:$E$21,4,FALSE),"")</f>
        <v>44789</v>
      </c>
      <c r="AT21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0.33913127577993563</v>
      </c>
      <c r="AU217" s="83">
        <f>IFERROR(VLOOKUP(Tabla145[[#This Row],[Llave]],[17]DELAY!$H:$W,16,FALSE),0)</f>
        <v>0</v>
      </c>
      <c r="AV21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17" s="5">
        <f>Tabla145[[#This Row],[Ajuste precio IC]]*Tabla145[[#This Row],[Plan Ajustado]]</f>
        <v>0</v>
      </c>
      <c r="AX217" s="30">
        <f>IFERROR(VLOOKUP(Tabla145[[#This Row],[Llave]],'[13]Ultimos precios facturados'!$A:$G,7,FALSE),0)</f>
        <v>0.33913127577993563</v>
      </c>
      <c r="AY21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17" s="30">
        <f>IFERROR(VLOOKUP(Tabla145[[#This Row],[Llave]],Hoja2!B:K,10,FALSE),0)</f>
        <v>0</v>
      </c>
      <c r="BA217" s="30">
        <f>IF(Tabla145[[#This Row],[Ajuste precio IC]]="",Tabla145[[#This Row],[Precio ponderado]],Tabla145[[#This Row],[Precio ponderado]])</f>
        <v>0</v>
      </c>
      <c r="BB217" s="82"/>
      <c r="BC217" s="82" t="str">
        <f>IF(AND(Tabla145[[#This Row],[Atraso a facturar]]&gt;0,Tabla145[[#This Row],[Precio Atraso]]=0),"Revisar","OK")</f>
        <v>OK</v>
      </c>
      <c r="BD217" s="82" t="str">
        <f>IF(AND(Tabla145[[#This Row],[Venta del mes]]&gt;0,Tabla145[[#This Row],[Precio venta nueva]]=0),"Revisar","OK")</f>
        <v>OK</v>
      </c>
      <c r="BE217" s="20">
        <f>IFERROR(VLOOKUP(Tabla145[[#This Row],[Llave]],'[5]Consolidación planes'!$A:$M,9,FALSE),0)</f>
        <v>24000</v>
      </c>
      <c r="BF217" s="20">
        <f>IFERROR(VLOOKUP(Tabla145[[#This Row],[Llave]],'[5]Consolidación planes'!$A:$M,10,FALSE),0)</f>
        <v>23700</v>
      </c>
      <c r="BG217" s="20">
        <f>IFERROR(VLOOKUP(Tabla145[[#This Row],[Llave]],'[5]Consolidación planes'!$A:$M,11,FALSE),0)</f>
        <v>0</v>
      </c>
      <c r="BH217" s="20">
        <f>IFERROR(VLOOKUP(Tabla145[[#This Row],[Llave]],'[5]Consolidación planes'!$A:$M,12,FALSE),0)</f>
        <v>24000</v>
      </c>
      <c r="BI217" s="20">
        <f>IFERROR(VLOOKUP(Tabla145[[#This Row],[Llave]],'[5]Consolidación planes'!$A:$M,13,FALSE),0)</f>
        <v>0</v>
      </c>
      <c r="BJ217" s="20">
        <f>IFERROR(VLOOKUP(Tabla145[[#This Row],[Llave]],'[13]Base ultimos planes'!$A:$M,13,FALSE),0)</f>
        <v>8000</v>
      </c>
      <c r="BK217" s="80">
        <f>IFERROR(VLOOKUP(Tabla145[[#This Row],[Llave]],'[13]Base ultimos planes'!$O:$AA,8,FALSE),0)</f>
        <v>14800</v>
      </c>
      <c r="BL217" s="20">
        <f>IFERROR(VLOOKUP(Tabla145[[#This Row],[Llave]],'[13]Base ultimos planes'!$O:$AA,9,FALSE),0)</f>
        <v>14615</v>
      </c>
      <c r="BM217" s="20">
        <f>IFERROR(VLOOKUP(Tabla145[[#This Row],[Llave]],'[13]Base ultimos planes'!$O:$AA,10,FALSE),0)</f>
        <v>0</v>
      </c>
      <c r="BN217" s="20">
        <f>IFERROR(VLOOKUP(Tabla145[[#This Row],[Llave]],'[13]Base ultimos planes'!$O:$AA,11,FALSE),0)</f>
        <v>12000</v>
      </c>
      <c r="BO217" s="20">
        <f>IFERROR(VLOOKUP(Tabla145[[#This Row],[Llave]],'[13]Base ultimos planes'!$O:$AA,12,FALSE),0)</f>
        <v>0</v>
      </c>
      <c r="BP217" s="20">
        <f>IFERROR(VLOOKUP(Tabla145[[#This Row],[Llave]],'[13]Base ultimos planes'!$O:$AA,13,FALSE),0)</f>
        <v>3942</v>
      </c>
      <c r="BQ217" s="20"/>
      <c r="BR217" s="20">
        <f>Tabla145[[#This Row],[ RV Producción mes n+1]]*(1-Tabla145[[#This Row],[% Uti. producción]])</f>
        <v>0</v>
      </c>
      <c r="BS217" s="20">
        <f>+Tabla145[[#This Row],[Producción disponible mes n-1]]+Tabla145[[#This Row],[Saldo Volumen disponible]]</f>
        <v>0</v>
      </c>
      <c r="BT217" s="7">
        <f>IFERROR(VLOOKUP(Tabla145[[#This Row],[Llave]],'[21]RV n+2 y n+3'!$B:$F,4,FALSE),0)</f>
        <v>0</v>
      </c>
      <c r="BU217" s="7">
        <f>+Tabla145[[#This Row],[Asignación mes n+2]]*Tabla145[[#This Row],[% Uti. producción]]</f>
        <v>0</v>
      </c>
      <c r="BV217" s="7">
        <f>+Tabla145[[#This Row],[Ponderación mes n+2]]+Tabla145[[#This Row],[Saldo mes n-1]]</f>
        <v>0</v>
      </c>
      <c r="BW217" s="7">
        <f>+Tabla145[[#This Row],[Asignación mes n+2]]-Tabla145[[#This Row],[Ponderación mes n+2]]</f>
        <v>0</v>
      </c>
      <c r="BX217" s="7">
        <f>IFERROR(VLOOKUP(Tabla145[[#This Row],[Llave]],'[21]RV n+2 y n+3'!$B:$F,5,FALSE),0)</f>
        <v>0</v>
      </c>
      <c r="BY217" s="7">
        <f>+Tabla145[[#This Row],[Asignación mes n+3]]*Tabla145[[#This Row],[% Uti. producción]]</f>
        <v>0</v>
      </c>
      <c r="BZ217" s="3">
        <f>+Tabla145[[#This Row],[Ponderación mes n+3]]+Tabla145[[#This Row],[Saldo mes n+2]]</f>
        <v>0</v>
      </c>
      <c r="CA217" s="3">
        <f>+Tabla145[[#This Row],[Asignación mes n+3]]-Tabla145[[#This Row],[Ponderación mes n+3]]</f>
        <v>0</v>
      </c>
      <c r="CB217" s="3">
        <f>+Tabla145[[#This Row],[Producción disponible mes n-1]]+Tabla145[[#This Row],[Producción disponible]]</f>
        <v>0</v>
      </c>
      <c r="CC217" s="3">
        <f>+Tabla145[[#This Row],[Saldo mes n+4]]-Tabla145[[#This Row],[ RV Producción mes n+1]]</f>
        <v>0</v>
      </c>
    </row>
    <row r="218" spans="1:81" ht="16" x14ac:dyDescent="0.2">
      <c r="A218">
        <v>1</v>
      </c>
      <c r="B218" t="str">
        <f>Tabla145[[#This Row],[Oficina]]&amp;Tabla145[[#This Row],[Material]]</f>
        <v>Agro Sudamerica1011421</v>
      </c>
      <c r="C218" t="s">
        <v>227</v>
      </c>
      <c r="D218" t="s">
        <v>17</v>
      </c>
      <c r="E218">
        <v>1011421</v>
      </c>
      <c r="F218" t="s">
        <v>238</v>
      </c>
      <c r="G218" t="s">
        <v>233</v>
      </c>
      <c r="H218" t="s">
        <v>237</v>
      </c>
      <c r="I218" s="7">
        <f>IFERROR(VLOOKUP(Tabla145[[#This Row],[Llave]],'[7]RV Producción'!$C:$G,5,FALSE),0)</f>
        <v>912643</v>
      </c>
      <c r="J218" s="3">
        <f>IFERROR(IF(Tabla145[[#This Row],[Oficina]]=$I$7,VLOOKUP(Tabla145[[#This Row],[Llave]],'[7]Shangai (Tomas)'!$A:$F,6,FALSE),VLOOKUP(Tabla145[[#This Row],[Llave]],'[7]RV plan de ventas'!$A:$E,5,FALSE)),0)</f>
        <v>826199</v>
      </c>
      <c r="K218" s="8">
        <v>0.8</v>
      </c>
      <c r="L218" s="7">
        <f>+Tabla145[[#This Row],[ RV Producción mes n+1]]*Tabla145[[#This Row],[% Uti. producción]]</f>
        <v>730114.4</v>
      </c>
      <c r="M218" s="7">
        <f>IFERROR(VLOOKUP(Tabla145[[#This Row],[Material]],[16]Stock!$G:$K,5,FALSE),0)</f>
        <v>219393</v>
      </c>
      <c r="N218" s="7">
        <f>IFERROR(VLOOKUP(Tabla145[[#This Row],[Material]],[16]Produccion!$M:$N,2,FALSE),0)</f>
        <v>108000</v>
      </c>
      <c r="O218" s="7">
        <f>IFERROR(VLOOKUP(Tabla145[[#This Row],[Llave]],'[16]TD Conf-AP'!$I:$M,4,FALSE),0)</f>
        <v>0</v>
      </c>
      <c r="P218" s="14">
        <f>SUM(Tabla145[[#This Row],[Producción disponible]],Tabla145[[#This Row],[Stock al día]],(Tabla145[[#This Row],[Por producir mes N]]*0.9))-Tabla145[[#This Row],[Producción por despachar mes N]]</f>
        <v>1046707.4</v>
      </c>
      <c r="Q218" s="7">
        <f>IFERROR(VLOOKUP(Tabla145[[#This Row],[Llave]],[17]DELAY!$A:$D,4,FALSE),0)</f>
        <v>596000</v>
      </c>
      <c r="R218" s="9">
        <v>24000</v>
      </c>
      <c r="S218" s="5">
        <f t="shared" si="8"/>
        <v>596000</v>
      </c>
      <c r="T218" s="76">
        <v>0</v>
      </c>
      <c r="U218" s="5">
        <f>+Tabla145[[#This Row],[Atraso a facturar]]+Tabla145[[#This Row],[Ajuste atraso]]</f>
        <v>596000</v>
      </c>
      <c r="V218" s="3">
        <f>+Tabla145[[#This Row],[Total disponible]]-Tabla145[[#This Row],[Facturación atraso]]</f>
        <v>450707.4</v>
      </c>
      <c r="W218" s="6">
        <f>IFERROR(IF(AND(V218&gt;R218,J218&gt;=R218),ROUNDDOWN((Tabla145[[#This Row],[Producción para venta nueva]])/R218,0)*R218,0),0)</f>
        <v>432000</v>
      </c>
      <c r="X218" s="76">
        <v>0</v>
      </c>
      <c r="Y218" s="6">
        <f>IF(Tabla145[[#This Row],[Venta del mes]]&gt;0,Tabla145[[#This Row],[Venta del mes]]+Tabla145[[#This Row],[Ajuste venta nueva]],0)</f>
        <v>432000</v>
      </c>
      <c r="Z218" s="6">
        <f>+Tabla145[[#This Row],[Producción para venta nueva]]-Tabla145[[#This Row],[Facturación Venta nueva]]</f>
        <v>18707.400000000023</v>
      </c>
      <c r="AA218" s="6">
        <f>IF(AND(A218=1,Tabla145[[#This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8" s="6">
        <v>0</v>
      </c>
      <c r="AC218" s="6">
        <f>IF(Tabla145[[#This Row],[Disponible stock sin venta]]&gt;0,Tabla145[[#This Row],[Disponible stock sin venta]]+Tabla145[[#This Row],[Ajuste stock sin venta]],0)</f>
        <v>0</v>
      </c>
      <c r="AD218" s="3">
        <f>IFERROR(VLOOKUP(Tabla145[[#This Row],[Llave]],'[16]TD Puerto'!$A:$D,4,FALSE),0)</f>
        <v>24000</v>
      </c>
      <c r="AE218" s="3">
        <v>908000</v>
      </c>
      <c r="AF218" s="3">
        <f>+Tabla145[[#This Row],[Plan Irrestricto Inicial]]</f>
        <v>908000</v>
      </c>
      <c r="AG218" s="3">
        <f>+Tabla145[[#This Row],[En puerto a facturar]]</f>
        <v>24000</v>
      </c>
      <c r="AH218" s="3">
        <f>+Tabla145[[#This Row],[Facturación atraso]]</f>
        <v>596000</v>
      </c>
      <c r="AI218" s="3">
        <f>+Tabla145[[#This Row],[Plan Irrestricto]]-Tabla145[[#This Row],[Puerto ]]-Tabla145[[#This Row],[Atraso]]</f>
        <v>288000</v>
      </c>
      <c r="AJ218" s="3">
        <f>IF(Tabla145[[#This Row],[Plan Irrestricto]]&gt;0,SUM(Tabla145[[#This Row],[Facturación atraso]],Tabla145[[#This Row],[Facturación Venta nueva]],Tabla145[[#This Row],[Facturación stock]],Tabla145[[#This Row],[En puerto a facturar]]),0)</f>
        <v>1052000</v>
      </c>
      <c r="AK218" s="3">
        <f>+Tabla145[[#This Row],[Facturación atraso]]</f>
        <v>596000</v>
      </c>
      <c r="AL218" s="3">
        <f>+Tabla145[[#This Row],[Plan Ajustado]]-Tabla145[[#This Row],[ Atraso ajustado]]-Tabla145[[#This Row],[Puerto ]]</f>
        <v>432000</v>
      </c>
      <c r="AM218" s="6">
        <f>IFERROR(VLOOKUP(Tabla145[[#This Row],[Llave]],[18]!Tabla14[#All],34,FALSE),0)</f>
        <v>0</v>
      </c>
      <c r="AN218" s="6">
        <f>IFERROR(VLOOKUP(Tabla145[[#This Row],[Llave]],[18]!Tabla14[#All],35,FALSE),0)</f>
        <v>0</v>
      </c>
      <c r="AO218" s="3" t="str">
        <f>IF(Tabla145[[#This Row],[Plan Ajustado]]&gt;Tabla145[[#This Row],[En puerto a facturar]],"Si","No")</f>
        <v>Si</v>
      </c>
      <c r="AP218" s="3">
        <f>IF(AND(Tabla145[[#This Row],[Plan Ajustado]]&gt;0,Tabla145[[#This Row],[Plan Ajustado]]&gt;Tabla145[[#This Row],[En puerto a facturar]]),(Tabla145[[#This Row],[Plan Ajustado]]-Tabla145[[#This Row],[En puerto a facturar]]),0)</f>
        <v>1028000</v>
      </c>
      <c r="AQ218" s="3">
        <f>IF(Tabla145[[#This Row],[Necesidad]]&gt;=Tabla145[[#This Row],[Stock al día]],Tabla145[[#This Row],[Stock al día]],Tabla145[[#This Row],[Necesidad]])</f>
        <v>219393</v>
      </c>
      <c r="AR218" s="3">
        <f>+Tabla145[[#This Row],[Necesidad]]-Tabla145[[#This Row],[Stock Plan]]</f>
        <v>808607</v>
      </c>
      <c r="AS218" s="155">
        <f>IFERROR(VLOOKUP(Tabla145[[#This Row],[Oficina]],[19]Ponderación!$B$14:$E$21,4,FALSE),"")</f>
        <v>44789</v>
      </c>
      <c r="AT21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0.91999990317102798</v>
      </c>
      <c r="AU218" s="83">
        <f>IFERROR(VLOOKUP(Tabla145[[#This Row],[Llave]],[17]DELAY!$H:$W,16,FALSE),0)</f>
        <v>1.067787641236754</v>
      </c>
      <c r="AV21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1.0070991404340983</v>
      </c>
      <c r="AW218" s="5">
        <f>Tabla145[[#This Row],[Ajuste precio IC]]*Tabla145[[#This Row],[Plan Ajustado]]</f>
        <v>956577.15443156636</v>
      </c>
      <c r="AX218" s="30">
        <f>IFERROR(VLOOKUP(Tabla145[[#This Row],[Llave]],'[13]Ultimos precios facturados'!$A:$G,7,FALSE),0)</f>
        <v>0.88706680368727775</v>
      </c>
      <c r="AY21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0.13531375117170566</v>
      </c>
      <c r="AZ218" s="30">
        <f>IFERROR(VLOOKUP(Tabla145[[#This Row],[Llave]],Hoja2!B:K,10,FALSE),0)</f>
        <v>0.90929387303380838</v>
      </c>
      <c r="BA218" s="30">
        <f>IF(Tabla145[[#This Row],[Ajuste precio IC]]="",Tabla145[[#This Row],[Precio ponderado]],Tabla145[[#This Row],[Precio ponderado]])</f>
        <v>1.0070991404340983</v>
      </c>
      <c r="BB218" s="82"/>
      <c r="BC218" s="82" t="str">
        <f>IF(AND(Tabla145[[#This Row],[Atraso a facturar]]&gt;0,Tabla145[[#This Row],[Precio Atraso]]=0),"Revisar","OK")</f>
        <v>OK</v>
      </c>
      <c r="BD218" s="82" t="str">
        <f>IF(AND(Tabla145[[#This Row],[Venta del mes]]&gt;0,Tabla145[[#This Row],[Precio venta nueva]]=0),"Revisar","OK")</f>
        <v>OK</v>
      </c>
      <c r="BE218" s="20">
        <f>IFERROR(VLOOKUP(Tabla145[[#This Row],[Llave]],'[5]Consolidación planes'!$A:$M,9,FALSE),0)</f>
        <v>620000</v>
      </c>
      <c r="BF218" s="20">
        <f>IFERROR(VLOOKUP(Tabla145[[#This Row],[Llave]],'[5]Consolidación planes'!$A:$M,10,FALSE),0)</f>
        <v>696000</v>
      </c>
      <c r="BG218" s="20">
        <f>IFERROR(VLOOKUP(Tabla145[[#This Row],[Llave]],'[5]Consolidación planes'!$A:$M,11,FALSE),0)</f>
        <v>840000</v>
      </c>
      <c r="BH218" s="20">
        <f>IFERROR(VLOOKUP(Tabla145[[#This Row],[Llave]],'[5]Consolidación planes'!$A:$M,12,FALSE),0)</f>
        <v>720000</v>
      </c>
      <c r="BI218" s="20">
        <f>IFERROR(VLOOKUP(Tabla145[[#This Row],[Llave]],'[5]Consolidación planes'!$A:$M,13,FALSE),0)</f>
        <v>888000</v>
      </c>
      <c r="BJ218" s="20">
        <f>IFERROR(VLOOKUP(Tabla145[[#This Row],[Llave]],'[13]Base ultimos planes'!$A:$M,13,FALSE),0)</f>
        <v>647996</v>
      </c>
      <c r="BK218" s="80">
        <f>IFERROR(VLOOKUP(Tabla145[[#This Row],[Llave]],'[13]Base ultimos planes'!$O:$AA,8,FALSE),0)</f>
        <v>527000</v>
      </c>
      <c r="BL218" s="20">
        <f>IFERROR(VLOOKUP(Tabla145[[#This Row],[Llave]],'[13]Base ultimos planes'!$O:$AA,9,FALSE),0)</f>
        <v>487200</v>
      </c>
      <c r="BM218" s="20">
        <f>IFERROR(VLOOKUP(Tabla145[[#This Row],[Llave]],'[13]Base ultimos planes'!$O:$AA,10,FALSE),0)</f>
        <v>630000</v>
      </c>
      <c r="BN218" s="20">
        <f>IFERROR(VLOOKUP(Tabla145[[#This Row],[Llave]],'[13]Base ultimos planes'!$O:$AA,11,FALSE),0)</f>
        <v>562800</v>
      </c>
      <c r="BO218" s="20">
        <f>IFERROR(VLOOKUP(Tabla145[[#This Row],[Llave]],'[13]Base ultimos planes'!$O:$AA,12,FALSE),0)</f>
        <v>700080</v>
      </c>
      <c r="BP218" s="20">
        <f>IFERROR(VLOOKUP(Tabla145[[#This Row],[Llave]],'[13]Base ultimos planes'!$O:$AA,13,FALSE),0)</f>
        <v>639293</v>
      </c>
      <c r="BQ218" s="20"/>
      <c r="BR218" s="20">
        <f>Tabla145[[#This Row],[ RV Producción mes n+1]]*(1-Tabla145[[#This Row],[% Uti. producción]])</f>
        <v>182528.59999999995</v>
      </c>
      <c r="BS218" s="20">
        <f>+Tabla145[[#This Row],[Producción disponible mes n-1]]+Tabla145[[#This Row],[Saldo Volumen disponible]]</f>
        <v>201235.99999999997</v>
      </c>
      <c r="BT218" s="7">
        <f>IFERROR(VLOOKUP(Tabla145[[#This Row],[Llave]],'[21]RV n+2 y n+3'!$B:$F,4,FALSE),0)</f>
        <v>1000000</v>
      </c>
      <c r="BU218" s="7">
        <f>+Tabla145[[#This Row],[Asignación mes n+2]]*Tabla145[[#This Row],[% Uti. producción]]</f>
        <v>800000</v>
      </c>
      <c r="BV218" s="7">
        <f>+Tabla145[[#This Row],[Ponderación mes n+2]]+Tabla145[[#This Row],[Saldo mes n-1]]</f>
        <v>1001236</v>
      </c>
      <c r="BW218" s="7">
        <f>+Tabla145[[#This Row],[Asignación mes n+2]]-Tabla145[[#This Row],[Ponderación mes n+2]]</f>
        <v>200000</v>
      </c>
      <c r="BX218" s="7">
        <f>IFERROR(VLOOKUP(Tabla145[[#This Row],[Llave]],'[21]RV n+2 y n+3'!$B:$F,5,FALSE),0)</f>
        <v>900000</v>
      </c>
      <c r="BY218" s="7">
        <f>+Tabla145[[#This Row],[Asignación mes n+3]]*Tabla145[[#This Row],[% Uti. producción]]</f>
        <v>720000</v>
      </c>
      <c r="BZ218" s="3">
        <f>+Tabla145[[#This Row],[Ponderación mes n+3]]+Tabla145[[#This Row],[Saldo mes n+2]]</f>
        <v>920000</v>
      </c>
      <c r="CA218" s="3">
        <f>+Tabla145[[#This Row],[Asignación mes n+3]]-Tabla145[[#This Row],[Ponderación mes n+3]]</f>
        <v>180000</v>
      </c>
      <c r="CB218" s="3">
        <f>+Tabla145[[#This Row],[Producción disponible mes n-1]]+Tabla145[[#This Row],[Producción disponible]]</f>
        <v>912643</v>
      </c>
      <c r="CC218" s="3">
        <f>+Tabla145[[#This Row],[Saldo mes n+4]]-Tabla145[[#This Row],[ RV Producción mes n+1]]</f>
        <v>0</v>
      </c>
    </row>
    <row r="219" spans="1:81" ht="16" x14ac:dyDescent="0.2">
      <c r="A219">
        <v>1</v>
      </c>
      <c r="B219" t="str">
        <f>Tabla145[[#This Row],[Oficina]]&amp;Tabla145[[#This Row],[Material]]</f>
        <v>Agro Sudamerica1011422</v>
      </c>
      <c r="C219" t="s">
        <v>227</v>
      </c>
      <c r="D219" t="s">
        <v>17</v>
      </c>
      <c r="E219">
        <v>1011422</v>
      </c>
      <c r="F219" t="s">
        <v>259</v>
      </c>
      <c r="G219" t="s">
        <v>76</v>
      </c>
      <c r="H219" t="s">
        <v>257</v>
      </c>
      <c r="I219" s="7">
        <f>IFERROR(VLOOKUP(Tabla145[[#This Row],[Llave]],'[7]RV Producción'!$C:$G,5,FALSE),0)</f>
        <v>0</v>
      </c>
      <c r="J219" s="3">
        <f>IFERROR(IF(Tabla145[[#This Row],[Oficina]]=$I$7,VLOOKUP(Tabla145[[#This Row],[Llave]],'[7]Shangai (Tomas)'!$A:$F,6,FALSE),VLOOKUP(Tabla145[[#This Row],[Llave]],'[7]RV plan de ventas'!$A:$E,5,FALSE)),0)</f>
        <v>1403</v>
      </c>
      <c r="K219" s="8">
        <f>IFERROR(VLOOKUP(Tabla145[[#This Row],[Oficina]],[15]Ponderación!$B$2:$E$9,4,FALSE),0)</f>
        <v>0.45719439678473212</v>
      </c>
      <c r="L219" s="7">
        <f>+Tabla145[[#This Row],[ RV Producción mes n+1]]*Tabla145[[#This Row],[% Uti. producción]]</f>
        <v>0</v>
      </c>
      <c r="M219" s="7">
        <f>IFERROR(VLOOKUP(Tabla145[[#This Row],[Material]],[16]Stock!$G:$K,5,FALSE),0)</f>
        <v>0</v>
      </c>
      <c r="N219" s="7">
        <f>IFERROR(VLOOKUP(Tabla145[[#This Row],[Material]],[16]Produccion!$M:$N,2,FALSE),0)</f>
        <v>0</v>
      </c>
      <c r="O219" s="7">
        <f>IFERROR(VLOOKUP(Tabla145[[#This Row],[Llave]],'[16]TD Conf-AP'!$I:$M,4,FALSE),0)</f>
        <v>0</v>
      </c>
      <c r="P219" s="14">
        <f>SUM(Tabla145[[#This Row],[Producción disponible]],Tabla145[[#This Row],[Stock al día]],(Tabla145[[#This Row],[Por producir mes N]]*0.9))-Tabla145[[#This Row],[Producción por despachar mes N]]</f>
        <v>0</v>
      </c>
      <c r="Q219" s="7">
        <f>IFERROR(VLOOKUP(Tabla145[[#This Row],[Llave]],[17]DELAY!$A:$D,4,FALSE),0)</f>
        <v>0</v>
      </c>
      <c r="R219" s="9">
        <v>24000</v>
      </c>
      <c r="S219" s="5">
        <f t="shared" si="8"/>
        <v>0</v>
      </c>
      <c r="T219" s="76">
        <v>0</v>
      </c>
      <c r="U219" s="5">
        <f>+Tabla145[[#This Row],[Atraso a facturar]]+Tabla145[[#This Row],[Ajuste atraso]]</f>
        <v>0</v>
      </c>
      <c r="V219" s="3">
        <f>+Tabla145[[#This Row],[Total disponible]]-Tabla145[[#This Row],[Facturación atraso]]</f>
        <v>0</v>
      </c>
      <c r="W219" s="6">
        <f>IFERROR(IF(AND(V219&gt;R219,J219&gt;=R219),ROUNDDOWN((Tabla145[[#This Row],[Producción para venta nueva]])/R219,0)*R219,0),0)</f>
        <v>0</v>
      </c>
      <c r="X219" s="76">
        <v>0</v>
      </c>
      <c r="Y219" s="6">
        <f>IF(Tabla145[[#This Row],[Venta del mes]]&gt;0,Tabla145[[#This Row],[Venta del mes]]+Tabla145[[#This Row],[Ajuste venta nueva]],0)</f>
        <v>0</v>
      </c>
      <c r="Z219" s="6">
        <f>+Tabla145[[#This Row],[Producción para venta nueva]]-Tabla145[[#This Row],[Facturación Venta nueva]]</f>
        <v>0</v>
      </c>
      <c r="AA219" s="6">
        <f>IF(AND(A219=1,Tabla145[[#This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19" s="6">
        <v>0</v>
      </c>
      <c r="AC219" s="6">
        <f>IF(Tabla145[[#This Row],[Disponible stock sin venta]]&gt;0,Tabla145[[#This Row],[Disponible stock sin venta]]+Tabla145[[#This Row],[Ajuste stock sin venta]],0)</f>
        <v>0</v>
      </c>
      <c r="AD219" s="3">
        <f>IFERROR(VLOOKUP(Tabla145[[#This Row],[Llave]],'[16]TD Puerto'!$A:$D,4,FALSE),0)</f>
        <v>0</v>
      </c>
      <c r="AE219" s="3">
        <v>0</v>
      </c>
      <c r="AF219" s="3">
        <f>+Tabla145[[#This Row],[Plan Irrestricto Inicial]]</f>
        <v>0</v>
      </c>
      <c r="AG219" s="3">
        <f>+Tabla145[[#This Row],[En puerto a facturar]]</f>
        <v>0</v>
      </c>
      <c r="AH219" s="3">
        <f>+Tabla145[[#This Row],[Facturación atraso]]</f>
        <v>0</v>
      </c>
      <c r="AI219" s="3">
        <f>+Tabla145[[#This Row],[Plan Irrestricto]]-Tabla145[[#This Row],[Puerto ]]-Tabla145[[#This Row],[Atraso]]</f>
        <v>0</v>
      </c>
      <c r="AJ21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19" s="3">
        <f>+Tabla145[[#This Row],[Facturación atraso]]</f>
        <v>0</v>
      </c>
      <c r="AL219" s="3">
        <f>+Tabla145[[#This Row],[Plan Ajustado]]-Tabla145[[#This Row],[ Atraso ajustado]]-Tabla145[[#This Row],[Puerto ]]</f>
        <v>0</v>
      </c>
      <c r="AM219" s="6">
        <f>IFERROR(VLOOKUP(Tabla145[[#This Row],[Llave]],[18]!Tabla14[#All],34,FALSE),0)</f>
        <v>0</v>
      </c>
      <c r="AN219" s="6">
        <f>IFERROR(VLOOKUP(Tabla145[[#This Row],[Llave]],[18]!Tabla14[#All],35,FALSE),0)</f>
        <v>0</v>
      </c>
      <c r="AO219" s="3" t="str">
        <f>IF(Tabla145[[#This Row],[Plan Ajustado]]&gt;Tabla145[[#This Row],[En puerto a facturar]],"Si","No")</f>
        <v>No</v>
      </c>
      <c r="AP21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19" s="3">
        <f>IF(Tabla145[[#This Row],[Necesidad]]&gt;=Tabla145[[#This Row],[Stock al día]],Tabla145[[#This Row],[Stock al día]],Tabla145[[#This Row],[Necesidad]])</f>
        <v>0</v>
      </c>
      <c r="AR219" s="3">
        <f>+Tabla145[[#This Row],[Necesidad]]-Tabla145[[#This Row],[Stock Plan]]</f>
        <v>0</v>
      </c>
      <c r="AS219" s="155">
        <f>IFERROR(VLOOKUP(Tabla145[[#This Row],[Oficina]],[19]Ponderación!$B$14:$E$21,4,FALSE),"")</f>
        <v>44789</v>
      </c>
      <c r="AT21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0.58660014255167503</v>
      </c>
      <c r="AU219" s="83">
        <f>IFERROR(VLOOKUP(Tabla145[[#This Row],[Llave]],[17]DELAY!$H:$W,16,FALSE),0)</f>
        <v>0</v>
      </c>
      <c r="AV21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19" s="5">
        <f>Tabla145[[#This Row],[Ajuste precio IC]]*Tabla145[[#This Row],[Plan Ajustado]]</f>
        <v>0</v>
      </c>
      <c r="AX219" s="30">
        <f>IFERROR(VLOOKUP(Tabla145[[#This Row],[Llave]],'[13]Ultimos precios facturados'!$A:$G,7,FALSE),0)</f>
        <v>0.49996981893025388</v>
      </c>
      <c r="AY21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19" s="30">
        <f>IFERROR(VLOOKUP(Tabla145[[#This Row],[Llave]],Hoja2!B:K,10,FALSE),0)</f>
        <v>0</v>
      </c>
      <c r="BA219" s="30">
        <f>IF(Tabla145[[#This Row],[Ajuste precio IC]]="",Tabla145[[#This Row],[Precio ponderado]],Tabla145[[#This Row],[Precio ponderado]])</f>
        <v>0</v>
      </c>
      <c r="BB219" s="82"/>
      <c r="BC219" s="82" t="str">
        <f>IF(AND(Tabla145[[#This Row],[Atraso a facturar]]&gt;0,Tabla145[[#This Row],[Precio Atraso]]=0),"Revisar","OK")</f>
        <v>OK</v>
      </c>
      <c r="BD219" s="82" t="str">
        <f>IF(AND(Tabla145[[#This Row],[Venta del mes]]&gt;0,Tabla145[[#This Row],[Precio venta nueva]]=0),"Revisar","OK")</f>
        <v>OK</v>
      </c>
      <c r="BE219" s="20">
        <f>IFERROR(VLOOKUP(Tabla145[[#This Row],[Llave]],'[5]Consolidación planes'!$A:$M,9,FALSE),0)</f>
        <v>0</v>
      </c>
      <c r="BF219" s="20">
        <f>IFERROR(VLOOKUP(Tabla145[[#This Row],[Llave]],'[5]Consolidación planes'!$A:$M,10,FALSE),0)</f>
        <v>0</v>
      </c>
      <c r="BG219" s="20">
        <f>IFERROR(VLOOKUP(Tabla145[[#This Row],[Llave]],'[5]Consolidación planes'!$A:$M,11,FALSE),0)</f>
        <v>24000</v>
      </c>
      <c r="BH219" s="20">
        <f>IFERROR(VLOOKUP(Tabla145[[#This Row],[Llave]],'[5]Consolidación planes'!$A:$M,12,FALSE),0)</f>
        <v>0</v>
      </c>
      <c r="BI219" s="20">
        <f>IFERROR(VLOOKUP(Tabla145[[#This Row],[Llave]],'[5]Consolidación planes'!$A:$M,13,FALSE),0)</f>
        <v>0</v>
      </c>
      <c r="BJ219" s="20">
        <f>IFERROR(VLOOKUP(Tabla145[[#This Row],[Llave]],'[13]Base ultimos planes'!$A:$M,13,FALSE),0)</f>
        <v>0</v>
      </c>
      <c r="BK219" s="80">
        <f>IFERROR(VLOOKUP(Tabla145[[#This Row],[Llave]],'[13]Base ultimos planes'!$O:$AA,8,FALSE),0)</f>
        <v>0</v>
      </c>
      <c r="BL219" s="20">
        <f>IFERROR(VLOOKUP(Tabla145[[#This Row],[Llave]],'[13]Base ultimos planes'!$O:$AA,9,FALSE),0)</f>
        <v>0</v>
      </c>
      <c r="BM219" s="20">
        <f>IFERROR(VLOOKUP(Tabla145[[#This Row],[Llave]],'[13]Base ultimos planes'!$O:$AA,10,FALSE),0)</f>
        <v>12000</v>
      </c>
      <c r="BN219" s="20">
        <f>IFERROR(VLOOKUP(Tabla145[[#This Row],[Llave]],'[13]Base ultimos planes'!$O:$AA,11,FALSE),0)</f>
        <v>0</v>
      </c>
      <c r="BO219" s="20">
        <f>IFERROR(VLOOKUP(Tabla145[[#This Row],[Llave]],'[13]Base ultimos planes'!$O:$AA,12,FALSE),0)</f>
        <v>0</v>
      </c>
      <c r="BP219" s="20">
        <f>IFERROR(VLOOKUP(Tabla145[[#This Row],[Llave]],'[13]Base ultimos planes'!$O:$AA,13,FALSE),0)</f>
        <v>0</v>
      </c>
      <c r="BQ219" s="20"/>
      <c r="BR219" s="20">
        <f>Tabla145[[#This Row],[ RV Producción mes n+1]]*(1-Tabla145[[#This Row],[% Uti. producción]])</f>
        <v>0</v>
      </c>
      <c r="BS219" s="20">
        <f>+Tabla145[[#This Row],[Producción disponible mes n-1]]+Tabla145[[#This Row],[Saldo Volumen disponible]]</f>
        <v>0</v>
      </c>
      <c r="BT219" s="7">
        <f>IFERROR(VLOOKUP(Tabla145[[#This Row],[Llave]],'[21]RV n+2 y n+3'!$B:$F,4,FALSE),0)</f>
        <v>0</v>
      </c>
      <c r="BU219" s="7">
        <f>+Tabla145[[#This Row],[Asignación mes n+2]]*Tabla145[[#This Row],[% Uti. producción]]</f>
        <v>0</v>
      </c>
      <c r="BV219" s="7">
        <f>+Tabla145[[#This Row],[Ponderación mes n+2]]+Tabla145[[#This Row],[Saldo mes n-1]]</f>
        <v>0</v>
      </c>
      <c r="BW219" s="7">
        <f>+Tabla145[[#This Row],[Asignación mes n+2]]-Tabla145[[#This Row],[Ponderación mes n+2]]</f>
        <v>0</v>
      </c>
      <c r="BX219" s="7">
        <f>IFERROR(VLOOKUP(Tabla145[[#This Row],[Llave]],'[21]RV n+2 y n+3'!$B:$F,5,FALSE),0)</f>
        <v>24000</v>
      </c>
      <c r="BY219" s="7">
        <f>+Tabla145[[#This Row],[Asignación mes n+3]]*Tabla145[[#This Row],[% Uti. producción]]</f>
        <v>10972.665522833571</v>
      </c>
      <c r="BZ219" s="3">
        <f>+Tabla145[[#This Row],[Ponderación mes n+3]]+Tabla145[[#This Row],[Saldo mes n+2]]</f>
        <v>10972.665522833571</v>
      </c>
      <c r="CA219" s="3">
        <f>+Tabla145[[#This Row],[Asignación mes n+3]]-Tabla145[[#This Row],[Ponderación mes n+3]]</f>
        <v>13027.334477166429</v>
      </c>
      <c r="CB219" s="3">
        <f>+Tabla145[[#This Row],[Producción disponible mes n-1]]+Tabla145[[#This Row],[Producción disponible]]</f>
        <v>0</v>
      </c>
      <c r="CC219" s="3">
        <f>+Tabla145[[#This Row],[Saldo mes n+4]]-Tabla145[[#This Row],[ RV Producción mes n+1]]</f>
        <v>0</v>
      </c>
    </row>
    <row r="220" spans="1:81" ht="16" x14ac:dyDescent="0.2">
      <c r="A220">
        <v>1</v>
      </c>
      <c r="B220" t="str">
        <f>Tabla145[[#This Row],[Oficina]]&amp;Tabla145[[#This Row],[Material]]</f>
        <v>Agro Sudamerica1011558</v>
      </c>
      <c r="C220" t="s">
        <v>227</v>
      </c>
      <c r="D220" t="s">
        <v>17</v>
      </c>
      <c r="E220">
        <v>1011558</v>
      </c>
      <c r="F220" t="s">
        <v>239</v>
      </c>
      <c r="G220" t="s">
        <v>233</v>
      </c>
      <c r="H220" t="s">
        <v>237</v>
      </c>
      <c r="I220" s="7">
        <f>IFERROR(VLOOKUP(Tabla145[[#This Row],[Llave]],'[7]RV Producción'!$C:$G,5,FALSE),0)</f>
        <v>96000</v>
      </c>
      <c r="J220" s="3">
        <f>IFERROR(IF(Tabla145[[#This Row],[Oficina]]=$I$7,VLOOKUP(Tabla145[[#This Row],[Llave]],'[7]Shangai (Tomas)'!$A:$F,6,FALSE),VLOOKUP(Tabla145[[#This Row],[Llave]],'[7]RV plan de ventas'!$A:$E,5,FALSE)),0)</f>
        <v>102583</v>
      </c>
      <c r="K220" s="8">
        <v>0.8</v>
      </c>
      <c r="L220" s="7">
        <f>+Tabla145[[#This Row],[ RV Producción mes n+1]]*Tabla145[[#This Row],[% Uti. producción]]</f>
        <v>76800</v>
      </c>
      <c r="M220" s="7">
        <f>IFERROR(VLOOKUP(Tabla145[[#This Row],[Material]],[16]Stock!$G:$K,5,FALSE),0)</f>
        <v>363111</v>
      </c>
      <c r="N220" s="7">
        <f>IFERROR(VLOOKUP(Tabla145[[#This Row],[Material]],[16]Produccion!$M:$N,2,FALSE),0)</f>
        <v>0</v>
      </c>
      <c r="O220" s="7">
        <f>IFERROR(VLOOKUP(Tabla145[[#This Row],[Llave]],'[16]TD Conf-AP'!$I:$M,4,FALSE),0)</f>
        <v>0</v>
      </c>
      <c r="P220" s="14">
        <f>SUM(Tabla145[[#This Row],[Producción disponible]],Tabla145[[#This Row],[Stock al día]],(Tabla145[[#This Row],[Por producir mes N]]*0.9))-Tabla145[[#This Row],[Producción por despachar mes N]]</f>
        <v>439911</v>
      </c>
      <c r="Q220" s="7">
        <f>IFERROR(VLOOKUP(Tabla145[[#This Row],[Llave]],[17]DELAY!$A:$D,4,FALSE),0)</f>
        <v>55000</v>
      </c>
      <c r="R220" s="9">
        <v>24000</v>
      </c>
      <c r="S220" s="5">
        <f t="shared" si="8"/>
        <v>55000</v>
      </c>
      <c r="T220" s="76">
        <v>0</v>
      </c>
      <c r="U220" s="5">
        <f>+Tabla145[[#This Row],[Atraso a facturar]]+Tabla145[[#This Row],[Ajuste atraso]]</f>
        <v>55000</v>
      </c>
      <c r="V220" s="3">
        <f>+Tabla145[[#This Row],[Total disponible]]-Tabla145[[#This Row],[Facturación atraso]]</f>
        <v>384911</v>
      </c>
      <c r="W220" s="6">
        <f>IFERROR(IF(AND(V220&gt;R220,J220&gt;=R220),ROUNDDOWN((Tabla145[[#This Row],[Producción para venta nueva]])/R220,0)*R220,0),0)</f>
        <v>384000</v>
      </c>
      <c r="X220" s="76">
        <v>-190000</v>
      </c>
      <c r="Y220" s="6">
        <f>IF(Tabla145[[#This Row],[Venta del mes]]&gt;0,Tabla145[[#This Row],[Venta del mes]]+Tabla145[[#This Row],[Ajuste venta nueva]],0)</f>
        <v>194000</v>
      </c>
      <c r="Z220" s="6">
        <f>+Tabla145[[#This Row],[Producción para venta nueva]]-Tabla145[[#This Row],[Facturación Venta nueva]]</f>
        <v>190911</v>
      </c>
      <c r="AA220" s="6">
        <f>IF(AND(A220=1,Tabla145[[#This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0" s="6">
        <v>0</v>
      </c>
      <c r="AC220" s="6">
        <f>IF(Tabla145[[#This Row],[Disponible stock sin venta]]&gt;0,Tabla145[[#This Row],[Disponible stock sin venta]]+Tabla145[[#This Row],[Ajuste stock sin venta]],0)</f>
        <v>0</v>
      </c>
      <c r="AD220" s="3">
        <f>IFERROR(VLOOKUP(Tabla145[[#This Row],[Llave]],'[16]TD Puerto'!$A:$D,4,FALSE),0)</f>
        <v>0</v>
      </c>
      <c r="AE220" s="3">
        <v>367000</v>
      </c>
      <c r="AF220" s="3">
        <f>+Tabla145[[#This Row],[Plan Irrestricto Inicial]]</f>
        <v>367000</v>
      </c>
      <c r="AG220" s="3">
        <f>+Tabla145[[#This Row],[En puerto a facturar]]</f>
        <v>0</v>
      </c>
      <c r="AH220" s="3">
        <f>+Tabla145[[#This Row],[Facturación atraso]]</f>
        <v>55000</v>
      </c>
      <c r="AI220" s="3">
        <f>+Tabla145[[#This Row],[Plan Irrestricto]]-Tabla145[[#This Row],[Puerto ]]-Tabla145[[#This Row],[Atraso]]</f>
        <v>312000</v>
      </c>
      <c r="AJ220" s="3">
        <f>IF(Tabla145[[#This Row],[Plan Irrestricto]]&gt;0,SUM(Tabla145[[#This Row],[Facturación atraso]],Tabla145[[#This Row],[Facturación Venta nueva]],Tabla145[[#This Row],[Facturación stock]],Tabla145[[#This Row],[En puerto a facturar]]),0)</f>
        <v>249000</v>
      </c>
      <c r="AK220" s="3">
        <f>+Tabla145[[#This Row],[Facturación atraso]]</f>
        <v>55000</v>
      </c>
      <c r="AL220" s="3">
        <f>+Tabla145[[#This Row],[Plan Ajustado]]-Tabla145[[#This Row],[ Atraso ajustado]]-Tabla145[[#This Row],[Puerto ]]</f>
        <v>194000</v>
      </c>
      <c r="AM220" s="6">
        <f>IFERROR(VLOOKUP(Tabla145[[#This Row],[Llave]],[18]!Tabla14[#All],34,FALSE),0)</f>
        <v>0</v>
      </c>
      <c r="AN220" s="6">
        <f>IFERROR(VLOOKUP(Tabla145[[#This Row],[Llave]],[18]!Tabla14[#All],35,FALSE),0)</f>
        <v>0</v>
      </c>
      <c r="AO220" s="3" t="str">
        <f>IF(Tabla145[[#This Row],[Plan Ajustado]]&gt;Tabla145[[#This Row],[En puerto a facturar]],"Si","No")</f>
        <v>Si</v>
      </c>
      <c r="AP220" s="3">
        <f>IF(AND(Tabla145[[#This Row],[Plan Ajustado]]&gt;0,Tabla145[[#This Row],[Plan Ajustado]]&gt;Tabla145[[#This Row],[En puerto a facturar]]),(Tabla145[[#This Row],[Plan Ajustado]]-Tabla145[[#This Row],[En puerto a facturar]]),0)</f>
        <v>249000</v>
      </c>
      <c r="AQ220" s="3">
        <f>IF(Tabla145[[#This Row],[Necesidad]]&gt;=Tabla145[[#This Row],[Stock al día]],Tabla145[[#This Row],[Stock al día]],Tabla145[[#This Row],[Necesidad]])</f>
        <v>249000</v>
      </c>
      <c r="AR220" s="3">
        <f>+Tabla145[[#This Row],[Necesidad]]-Tabla145[[#This Row],[Stock Plan]]</f>
        <v>0</v>
      </c>
      <c r="AS220" s="155">
        <f>IFERROR(VLOOKUP(Tabla145[[#This Row],[Oficina]],[19]Ponderación!$B$14:$E$21,4,FALSE),"")</f>
        <v>44789</v>
      </c>
      <c r="AT22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0.93000789604515399</v>
      </c>
      <c r="AU220" s="83">
        <f>IFERROR(VLOOKUP(Tabla145[[#This Row],[Llave]],[17]DELAY!$H:$W,16,FALSE),0)</f>
        <v>0.96350607314421466</v>
      </c>
      <c r="AV22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0.93740709178992643</v>
      </c>
      <c r="AW220" s="5">
        <f>Tabla145[[#This Row],[Ajuste precio IC]]*Tabla145[[#This Row],[Plan Ajustado]]</f>
        <v>220889.64440527058</v>
      </c>
      <c r="AX220" s="30">
        <f>IFERROR(VLOOKUP(Tabla145[[#This Row],[Llave]],'[13]Ultimos precios facturados'!$A:$G,7,FALSE),0)</f>
        <v>0.8810934502253609</v>
      </c>
      <c r="AY22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6.3913358509431611E-2</v>
      </c>
      <c r="AZ220" s="30">
        <f>IFERROR(VLOOKUP(Tabla145[[#This Row],[Llave]],Hoja2!B:K,10,FALSE),0)</f>
        <v>0.88710700564365697</v>
      </c>
      <c r="BA220" s="30">
        <f>IF(Tabla145[[#This Row],[Ajuste precio IC]]="",Tabla145[[#This Row],[Precio ponderado]],Tabla145[[#This Row],[Precio ponderado]])</f>
        <v>0.93740709178992643</v>
      </c>
      <c r="BB220" s="82"/>
      <c r="BC220" s="82" t="str">
        <f>IF(AND(Tabla145[[#This Row],[Atraso a facturar]]&gt;0,Tabla145[[#This Row],[Precio Atraso]]=0),"Revisar","OK")</f>
        <v>OK</v>
      </c>
      <c r="BD220" s="82" t="str">
        <f>IF(AND(Tabla145[[#This Row],[Venta del mes]]&gt;0,Tabla145[[#This Row],[Precio venta nueva]]=0),"Revisar","OK")</f>
        <v>OK</v>
      </c>
      <c r="BE220" s="20">
        <f>IFERROR(VLOOKUP(Tabla145[[#This Row],[Llave]],'[5]Consolidación planes'!$A:$M,9,FALSE),0)</f>
        <v>192000</v>
      </c>
      <c r="BF220" s="20">
        <f>IFERROR(VLOOKUP(Tabla145[[#This Row],[Llave]],'[5]Consolidación planes'!$A:$M,10,FALSE),0)</f>
        <v>408000</v>
      </c>
      <c r="BG220" s="20">
        <f>IFERROR(VLOOKUP(Tabla145[[#This Row],[Llave]],'[5]Consolidación planes'!$A:$M,11,FALSE),0)</f>
        <v>288000</v>
      </c>
      <c r="BH220" s="20">
        <f>IFERROR(VLOOKUP(Tabla145[[#This Row],[Llave]],'[5]Consolidación planes'!$A:$M,12,FALSE),0)</f>
        <v>264000</v>
      </c>
      <c r="BI220" s="20">
        <f>IFERROR(VLOOKUP(Tabla145[[#This Row],[Llave]],'[5]Consolidación planes'!$A:$M,13,FALSE),0)</f>
        <v>168000</v>
      </c>
      <c r="BJ220" s="20">
        <f>IFERROR(VLOOKUP(Tabla145[[#This Row],[Llave]],'[13]Base ultimos planes'!$A:$M,13,FALSE),0)</f>
        <v>119997</v>
      </c>
      <c r="BK220" s="80">
        <f>IFERROR(VLOOKUP(Tabla145[[#This Row],[Llave]],'[13]Base ultimos planes'!$O:$AA,8,FALSE),0)</f>
        <v>172800</v>
      </c>
      <c r="BL220" s="20">
        <f>IFERROR(VLOOKUP(Tabla145[[#This Row],[Llave]],'[13]Base ultimos planes'!$O:$AA,9,FALSE),0)</f>
        <v>399280</v>
      </c>
      <c r="BM220" s="20">
        <f>IFERROR(VLOOKUP(Tabla145[[#This Row],[Llave]],'[13]Base ultimos planes'!$O:$AA,10,FALSE),0)</f>
        <v>225819</v>
      </c>
      <c r="BN220" s="20">
        <f>IFERROR(VLOOKUP(Tabla145[[#This Row],[Llave]],'[13]Base ultimos planes'!$O:$AA,11,FALSE),0)</f>
        <v>212400</v>
      </c>
      <c r="BO220" s="20">
        <f>IFERROR(VLOOKUP(Tabla145[[#This Row],[Llave]],'[13]Base ultimos planes'!$O:$AA,12,FALSE),0)</f>
        <v>115440</v>
      </c>
      <c r="BP220" s="20">
        <f>IFERROR(VLOOKUP(Tabla145[[#This Row],[Llave]],'[13]Base ultimos planes'!$O:$AA,13,FALSE),0)</f>
        <v>138381</v>
      </c>
      <c r="BQ220" s="20"/>
      <c r="BR220" s="20">
        <f>Tabla145[[#This Row],[ RV Producción mes n+1]]*(1-Tabla145[[#This Row],[% Uti. producción]])</f>
        <v>19199.999999999996</v>
      </c>
      <c r="BS220" s="20">
        <f>+Tabla145[[#This Row],[Producción disponible mes n-1]]+Tabla145[[#This Row],[Saldo Volumen disponible]]</f>
        <v>210111</v>
      </c>
      <c r="BT220" s="7">
        <f>IFERROR(VLOOKUP(Tabla145[[#This Row],[Llave]],'[21]RV n+2 y n+3'!$B:$F,4,FALSE),0)</f>
        <v>552000</v>
      </c>
      <c r="BU220" s="7">
        <f>+Tabla145[[#This Row],[Asignación mes n+2]]*Tabla145[[#This Row],[% Uti. producción]]</f>
        <v>441600</v>
      </c>
      <c r="BV220" s="7">
        <f>+Tabla145[[#This Row],[Ponderación mes n+2]]+Tabla145[[#This Row],[Saldo mes n-1]]</f>
        <v>651711</v>
      </c>
      <c r="BW220" s="7">
        <f>+Tabla145[[#This Row],[Asignación mes n+2]]-Tabla145[[#This Row],[Ponderación mes n+2]]</f>
        <v>110400</v>
      </c>
      <c r="BX220" s="7">
        <f>IFERROR(VLOOKUP(Tabla145[[#This Row],[Llave]],'[21]RV n+2 y n+3'!$B:$F,5,FALSE),0)</f>
        <v>312000</v>
      </c>
      <c r="BY220" s="7">
        <f>+Tabla145[[#This Row],[Asignación mes n+3]]*Tabla145[[#This Row],[% Uti. producción]]</f>
        <v>249600</v>
      </c>
      <c r="BZ220" s="3">
        <f>+Tabla145[[#This Row],[Ponderación mes n+3]]+Tabla145[[#This Row],[Saldo mes n+2]]</f>
        <v>360000</v>
      </c>
      <c r="CA220" s="3">
        <f>+Tabla145[[#This Row],[Asignación mes n+3]]-Tabla145[[#This Row],[Ponderación mes n+3]]</f>
        <v>62400</v>
      </c>
      <c r="CB220" s="3">
        <f>+Tabla145[[#This Row],[Producción disponible mes n-1]]+Tabla145[[#This Row],[Producción disponible]]</f>
        <v>96000</v>
      </c>
      <c r="CC220" s="3">
        <f>+Tabla145[[#This Row],[Saldo mes n+4]]-Tabla145[[#This Row],[ RV Producción mes n+1]]</f>
        <v>0</v>
      </c>
    </row>
    <row r="221" spans="1:81" ht="16" x14ac:dyDescent="0.2">
      <c r="A221">
        <v>1</v>
      </c>
      <c r="B221" t="str">
        <f>Tabla145[[#This Row],[Oficina]]&amp;Tabla145[[#This Row],[Material]]</f>
        <v>Agro Sudamerica1011582</v>
      </c>
      <c r="C221" t="s">
        <v>227</v>
      </c>
      <c r="D221" t="s">
        <v>17</v>
      </c>
      <c r="E221">
        <v>1011582</v>
      </c>
      <c r="F221" t="s">
        <v>255</v>
      </c>
      <c r="G221" t="s">
        <v>253</v>
      </c>
      <c r="H221" t="s">
        <v>254</v>
      </c>
      <c r="I221" s="7">
        <f>IFERROR(VLOOKUP(Tabla145[[#This Row],[Llave]],'[7]RV Producción'!$C:$G,5,FALSE),0)</f>
        <v>0</v>
      </c>
      <c r="J221" s="3">
        <f>IFERROR(IF(Tabla145[[#This Row],[Oficina]]=$I$7,VLOOKUP(Tabla145[[#This Row],[Llave]],'[7]Shangai (Tomas)'!$A:$F,6,FALSE),VLOOKUP(Tabla145[[#This Row],[Llave]],'[7]RV plan de ventas'!$A:$E,5,FALSE)),0)</f>
        <v>0</v>
      </c>
      <c r="K221" s="8">
        <f>IFERROR(VLOOKUP(Tabla145[[#This Row],[Oficina]],[15]Ponderación!$B$2:$E$9,4,FALSE),0)</f>
        <v>0.45719439678473212</v>
      </c>
      <c r="L221" s="7">
        <f>+Tabla145[[#This Row],[ RV Producción mes n+1]]*Tabla145[[#This Row],[% Uti. producción]]</f>
        <v>0</v>
      </c>
      <c r="M221" s="7">
        <f>IFERROR(VLOOKUP(Tabla145[[#This Row],[Material]],[16]Stock!$G:$K,5,FALSE),0)</f>
        <v>15</v>
      </c>
      <c r="N221" s="7">
        <f>IFERROR(VLOOKUP(Tabla145[[#This Row],[Material]],[16]Produccion!$M:$N,2,FALSE),0)</f>
        <v>0</v>
      </c>
      <c r="O221" s="7">
        <f>IFERROR(VLOOKUP(Tabla145[[#This Row],[Llave]],'[16]TD Conf-AP'!$I:$M,4,FALSE),0)</f>
        <v>0</v>
      </c>
      <c r="P221" s="14">
        <f>SUM(Tabla145[[#This Row],[Producción disponible]],Tabla145[[#This Row],[Stock al día]],(Tabla145[[#This Row],[Por producir mes N]]*0.9))-Tabla145[[#This Row],[Producción por despachar mes N]]</f>
        <v>15</v>
      </c>
      <c r="Q221" s="7">
        <f>IFERROR(VLOOKUP(Tabla145[[#This Row],[Llave]],[17]DELAY!$A:$D,4,FALSE),0)</f>
        <v>0</v>
      </c>
      <c r="R221" s="9">
        <v>24000</v>
      </c>
      <c r="S221" s="5">
        <f t="shared" si="8"/>
        <v>0</v>
      </c>
      <c r="T221" s="76">
        <v>0</v>
      </c>
      <c r="U221" s="5">
        <f>+Tabla145[[#This Row],[Atraso a facturar]]+Tabla145[[#This Row],[Ajuste atraso]]</f>
        <v>0</v>
      </c>
      <c r="V221" s="3">
        <f>+Tabla145[[#This Row],[Total disponible]]-Tabla145[[#This Row],[Facturación atraso]]</f>
        <v>15</v>
      </c>
      <c r="W221" s="6">
        <f>IFERROR(IF(AND(V221&gt;R221,J221&gt;=R221),ROUNDDOWN((Tabla145[[#This Row],[Producción para venta nueva]])/R221,0)*R221,0),0)</f>
        <v>0</v>
      </c>
      <c r="X221" s="76">
        <v>0</v>
      </c>
      <c r="Y221" s="6">
        <f>IF(Tabla145[[#This Row],[Venta del mes]]&gt;0,Tabla145[[#This Row],[Venta del mes]]+Tabla145[[#This Row],[Ajuste venta nueva]],0)</f>
        <v>0</v>
      </c>
      <c r="Z221" s="6">
        <f>+Tabla145[[#This Row],[Producción para venta nueva]]-Tabla145[[#This Row],[Facturación Venta nueva]]</f>
        <v>15</v>
      </c>
      <c r="AA221" s="6">
        <f>IF(AND(A221=1,Tabla145[[#This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1" s="6">
        <v>0</v>
      </c>
      <c r="AC221" s="6">
        <f>IF(Tabla145[[#This Row],[Disponible stock sin venta]]&gt;0,Tabla145[[#This Row],[Disponible stock sin venta]]+Tabla145[[#This Row],[Ajuste stock sin venta]],0)</f>
        <v>0</v>
      </c>
      <c r="AD221" s="3">
        <f>IFERROR(VLOOKUP(Tabla145[[#This Row],[Llave]],'[16]TD Puerto'!$A:$D,4,FALSE),0)</f>
        <v>0</v>
      </c>
      <c r="AE221" s="3">
        <v>0</v>
      </c>
      <c r="AF221" s="3">
        <f>+Tabla145[[#This Row],[Plan Irrestricto Inicial]]</f>
        <v>0</v>
      </c>
      <c r="AG221" s="3">
        <f>+Tabla145[[#This Row],[En puerto a facturar]]</f>
        <v>0</v>
      </c>
      <c r="AH221" s="3">
        <f>+Tabla145[[#This Row],[Facturación atraso]]</f>
        <v>0</v>
      </c>
      <c r="AI221" s="3">
        <f>+Tabla145[[#This Row],[Plan Irrestricto]]-Tabla145[[#This Row],[Puerto ]]-Tabla145[[#This Row],[Atraso]]</f>
        <v>0</v>
      </c>
      <c r="AJ22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21" s="3">
        <f>+Tabla145[[#This Row],[Facturación atraso]]</f>
        <v>0</v>
      </c>
      <c r="AL221" s="3">
        <f>+Tabla145[[#This Row],[Plan Ajustado]]-Tabla145[[#This Row],[ Atraso ajustado]]-Tabla145[[#This Row],[Puerto ]]</f>
        <v>0</v>
      </c>
      <c r="AM221" s="6">
        <f>IFERROR(VLOOKUP(Tabla145[[#This Row],[Llave]],[18]!Tabla14[#All],34,FALSE),0)</f>
        <v>0</v>
      </c>
      <c r="AN221" s="6">
        <f>IFERROR(VLOOKUP(Tabla145[[#This Row],[Llave]],[18]!Tabla14[#All],35,FALSE),0)</f>
        <v>0</v>
      </c>
      <c r="AO221" s="3" t="str">
        <f>IF(Tabla145[[#This Row],[Plan Ajustado]]&gt;Tabla145[[#This Row],[En puerto a facturar]],"Si","No")</f>
        <v>No</v>
      </c>
      <c r="AP22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21" s="3">
        <f>IF(Tabla145[[#This Row],[Necesidad]]&gt;=Tabla145[[#This Row],[Stock al día]],Tabla145[[#This Row],[Stock al día]],Tabla145[[#This Row],[Necesidad]])</f>
        <v>0</v>
      </c>
      <c r="AR221" s="3">
        <f>+Tabla145[[#This Row],[Necesidad]]-Tabla145[[#This Row],[Stock Plan]]</f>
        <v>0</v>
      </c>
      <c r="AS221" s="155">
        <f>IFERROR(VLOOKUP(Tabla145[[#This Row],[Oficina]],[19]Ponderación!$B$14:$E$21,4,FALSE),"")</f>
        <v>44789</v>
      </c>
      <c r="AT22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0.97356360829804833</v>
      </c>
      <c r="AU221" s="83">
        <f>IFERROR(VLOOKUP(Tabla145[[#This Row],[Llave]],[17]DELAY!$H:$W,16,FALSE),0)</f>
        <v>0</v>
      </c>
      <c r="AV22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21" s="5">
        <f>Tabla145[[#This Row],[Ajuste precio IC]]*Tabla145[[#This Row],[Plan Ajustado]]</f>
        <v>0</v>
      </c>
      <c r="AX221" s="30">
        <f>IFERROR(VLOOKUP(Tabla145[[#This Row],[Llave]],'[13]Ultimos precios facturados'!$A:$G,7,FALSE),0)</f>
        <v>0.97356360829804833</v>
      </c>
      <c r="AY22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21" s="30">
        <f>IFERROR(VLOOKUP(Tabla145[[#This Row],[Llave]],Hoja2!B:K,10,FALSE),0)</f>
        <v>0</v>
      </c>
      <c r="BA221" s="30">
        <f>IF(Tabla145[[#This Row],[Ajuste precio IC]]="",Tabla145[[#This Row],[Precio ponderado]],Tabla145[[#This Row],[Precio ponderado]])</f>
        <v>0</v>
      </c>
      <c r="BB221" s="82"/>
      <c r="BC221" s="82" t="str">
        <f>IF(AND(Tabla145[[#This Row],[Atraso a facturar]]&gt;0,Tabla145[[#This Row],[Precio Atraso]]=0),"Revisar","OK")</f>
        <v>OK</v>
      </c>
      <c r="BD221" s="82" t="str">
        <f>IF(AND(Tabla145[[#This Row],[Venta del mes]]&gt;0,Tabla145[[#This Row],[Precio venta nueva]]=0),"Revisar","OK")</f>
        <v>OK</v>
      </c>
      <c r="BE221" s="20">
        <f>IFERROR(VLOOKUP(Tabla145[[#This Row],[Llave]],'[5]Consolidación planes'!$A:$M,9,FALSE),0)</f>
        <v>24000</v>
      </c>
      <c r="BF221" s="20">
        <f>IFERROR(VLOOKUP(Tabla145[[#This Row],[Llave]],'[5]Consolidación planes'!$A:$M,10,FALSE),0)</f>
        <v>82000</v>
      </c>
      <c r="BG221" s="20">
        <f>IFERROR(VLOOKUP(Tabla145[[#This Row],[Llave]],'[5]Consolidación planes'!$A:$M,11,FALSE),0)</f>
        <v>60000</v>
      </c>
      <c r="BH221" s="20">
        <f>IFERROR(VLOOKUP(Tabla145[[#This Row],[Llave]],'[5]Consolidación planes'!$A:$M,12,FALSE),0)</f>
        <v>24000</v>
      </c>
      <c r="BI221" s="20">
        <f>IFERROR(VLOOKUP(Tabla145[[#This Row],[Llave]],'[5]Consolidación planes'!$A:$M,13,FALSE),0)</f>
        <v>46500</v>
      </c>
      <c r="BJ221" s="20">
        <f>IFERROR(VLOOKUP(Tabla145[[#This Row],[Llave]],'[13]Base ultimos planes'!$A:$M,13,FALSE),0)</f>
        <v>0</v>
      </c>
      <c r="BK221" s="80">
        <f>IFERROR(VLOOKUP(Tabla145[[#This Row],[Llave]],'[13]Base ultimos planes'!$O:$AA,8,FALSE),0)</f>
        <v>22240</v>
      </c>
      <c r="BL221" s="20">
        <f>IFERROR(VLOOKUP(Tabla145[[#This Row],[Llave]],'[13]Base ultimos planes'!$O:$AA,9,FALSE),0)</f>
        <v>79107</v>
      </c>
      <c r="BM221" s="20">
        <f>IFERROR(VLOOKUP(Tabla145[[#This Row],[Llave]],'[13]Base ultimos planes'!$O:$AA,10,FALSE),0)</f>
        <v>58200</v>
      </c>
      <c r="BN221" s="20">
        <f>IFERROR(VLOOKUP(Tabla145[[#This Row],[Llave]],'[13]Base ultimos planes'!$O:$AA,11,FALSE),0)</f>
        <v>19680</v>
      </c>
      <c r="BO221" s="20">
        <f>IFERROR(VLOOKUP(Tabla145[[#This Row],[Llave]],'[13]Base ultimos planes'!$O:$AA,12,FALSE),0)</f>
        <v>45105</v>
      </c>
      <c r="BP221" s="20">
        <f>IFERROR(VLOOKUP(Tabla145[[#This Row],[Llave]],'[13]Base ultimos planes'!$O:$AA,13,FALSE),0)</f>
        <v>0</v>
      </c>
      <c r="BQ221" s="20"/>
      <c r="BR221" s="20">
        <f>Tabla145[[#This Row],[ RV Producción mes n+1]]*(1-Tabla145[[#This Row],[% Uti. producción]])</f>
        <v>0</v>
      </c>
      <c r="BS221" s="20">
        <f>+Tabla145[[#This Row],[Producción disponible mes n-1]]+Tabla145[[#This Row],[Saldo Volumen disponible]]</f>
        <v>15</v>
      </c>
      <c r="BT221" s="7">
        <f>IFERROR(VLOOKUP(Tabla145[[#This Row],[Llave]],'[21]RV n+2 y n+3'!$B:$F,4,FALSE),0)</f>
        <v>0</v>
      </c>
      <c r="BU221" s="7">
        <f>+Tabla145[[#This Row],[Asignación mes n+2]]*Tabla145[[#This Row],[% Uti. producción]]</f>
        <v>0</v>
      </c>
      <c r="BV221" s="7">
        <f>+Tabla145[[#This Row],[Ponderación mes n+2]]+Tabla145[[#This Row],[Saldo mes n-1]]</f>
        <v>15</v>
      </c>
      <c r="BW221" s="7">
        <f>+Tabla145[[#This Row],[Asignación mes n+2]]-Tabla145[[#This Row],[Ponderación mes n+2]]</f>
        <v>0</v>
      </c>
      <c r="BX221" s="7">
        <f>IFERROR(VLOOKUP(Tabla145[[#This Row],[Llave]],'[21]RV n+2 y n+3'!$B:$F,5,FALSE),0)</f>
        <v>35829.241999999998</v>
      </c>
      <c r="BY221" s="7">
        <f>+Tabla145[[#This Row],[Asignación mes n+3]]*Tabla145[[#This Row],[% Uti. producción]]</f>
        <v>16380.928683444188</v>
      </c>
      <c r="BZ221" s="3">
        <f>+Tabla145[[#This Row],[Ponderación mes n+3]]+Tabla145[[#This Row],[Saldo mes n+2]]</f>
        <v>16380.928683444188</v>
      </c>
      <c r="CA221" s="3">
        <f>+Tabla145[[#This Row],[Asignación mes n+3]]-Tabla145[[#This Row],[Ponderación mes n+3]]</f>
        <v>19448.31331655581</v>
      </c>
      <c r="CB221" s="3">
        <f>+Tabla145[[#This Row],[Producción disponible mes n-1]]+Tabla145[[#This Row],[Producción disponible]]</f>
        <v>0</v>
      </c>
      <c r="CC221" s="3">
        <f>+Tabla145[[#This Row],[Saldo mes n+4]]-Tabla145[[#This Row],[ RV Producción mes n+1]]</f>
        <v>0</v>
      </c>
    </row>
    <row r="222" spans="1:81" ht="16" x14ac:dyDescent="0.2">
      <c r="A222">
        <v>1</v>
      </c>
      <c r="B222" t="str">
        <f>Tabla145[[#This Row],[Oficina]]&amp;Tabla145[[#This Row],[Material]]</f>
        <v>Agro Sudamerica1011888</v>
      </c>
      <c r="C222" t="s">
        <v>227</v>
      </c>
      <c r="D222" t="s">
        <v>17</v>
      </c>
      <c r="E222">
        <v>1011888</v>
      </c>
      <c r="F222" t="s">
        <v>260</v>
      </c>
      <c r="G222" t="s">
        <v>76</v>
      </c>
      <c r="H222" t="s">
        <v>257</v>
      </c>
      <c r="I222" s="7">
        <f>IFERROR(VLOOKUP(Tabla145[[#This Row],[Llave]],'[7]RV Producción'!$C:$G,5,FALSE),0)</f>
        <v>0</v>
      </c>
      <c r="J222" s="3">
        <f>IFERROR(IF(Tabla145[[#This Row],[Oficina]]=$I$7,VLOOKUP(Tabla145[[#This Row],[Llave]],'[7]Shangai (Tomas)'!$A:$F,6,FALSE),VLOOKUP(Tabla145[[#This Row],[Llave]],'[7]RV plan de ventas'!$A:$E,5,FALSE)),0)</f>
        <v>0</v>
      </c>
      <c r="K222" s="8">
        <f>IFERROR(VLOOKUP(Tabla145[[#This Row],[Oficina]],[15]Ponderación!$B$2:$E$9,4,FALSE),0)</f>
        <v>0.45719439678473212</v>
      </c>
      <c r="L222" s="7">
        <f>+Tabla145[[#This Row],[ RV Producción mes n+1]]*Tabla145[[#This Row],[% Uti. producción]]</f>
        <v>0</v>
      </c>
      <c r="M222" s="7">
        <f>IFERROR(VLOOKUP(Tabla145[[#This Row],[Material]],[16]Stock!$G:$K,5,FALSE),0)</f>
        <v>0</v>
      </c>
      <c r="N222" s="7">
        <f>IFERROR(VLOOKUP(Tabla145[[#This Row],[Material]],[16]Produccion!$M:$N,2,FALSE),0)</f>
        <v>0</v>
      </c>
      <c r="O222" s="7">
        <f>IFERROR(VLOOKUP(Tabla145[[#This Row],[Llave]],'[16]TD Conf-AP'!$I:$M,4,FALSE),0)</f>
        <v>0</v>
      </c>
      <c r="P222" s="14">
        <f>SUM(Tabla145[[#This Row],[Producción disponible]],Tabla145[[#This Row],[Stock al día]],(Tabla145[[#This Row],[Por producir mes N]]*0.9))-Tabla145[[#This Row],[Producción por despachar mes N]]</f>
        <v>0</v>
      </c>
      <c r="Q222" s="7">
        <f>IFERROR(VLOOKUP(Tabla145[[#This Row],[Llave]],[17]DELAY!$A:$D,4,FALSE),0)</f>
        <v>0</v>
      </c>
      <c r="R222" s="9">
        <v>24000</v>
      </c>
      <c r="S222" s="5">
        <f t="shared" si="8"/>
        <v>0</v>
      </c>
      <c r="T222" s="76">
        <v>0</v>
      </c>
      <c r="U222" s="5">
        <f>+Tabla145[[#This Row],[Atraso a facturar]]+Tabla145[[#This Row],[Ajuste atraso]]</f>
        <v>0</v>
      </c>
      <c r="V222" s="3">
        <f>+Tabla145[[#This Row],[Total disponible]]-Tabla145[[#This Row],[Facturación atraso]]</f>
        <v>0</v>
      </c>
      <c r="W222" s="6">
        <f>IFERROR(IF(AND(V222&gt;R222,J222&gt;=R222),ROUNDDOWN((Tabla145[[#This Row],[Producción para venta nueva]])/R222,0)*R222,0),0)</f>
        <v>0</v>
      </c>
      <c r="X222" s="76">
        <v>0</v>
      </c>
      <c r="Y222" s="6">
        <f>IF(Tabla145[[#This Row],[Venta del mes]]&gt;0,Tabla145[[#This Row],[Venta del mes]]+Tabla145[[#This Row],[Ajuste venta nueva]],0)</f>
        <v>0</v>
      </c>
      <c r="Z222" s="6">
        <f>+Tabla145[[#This Row],[Producción para venta nueva]]-Tabla145[[#This Row],[Facturación Venta nueva]]</f>
        <v>0</v>
      </c>
      <c r="AA222" s="6">
        <f>IF(AND(A222=1,Tabla145[[#This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2" s="6">
        <v>0</v>
      </c>
      <c r="AC222" s="6">
        <f>IF(Tabla145[[#This Row],[Disponible stock sin venta]]&gt;0,Tabla145[[#This Row],[Disponible stock sin venta]]+Tabla145[[#This Row],[Ajuste stock sin venta]],0)</f>
        <v>0</v>
      </c>
      <c r="AD222" s="3">
        <f>IFERROR(VLOOKUP(Tabla145[[#This Row],[Llave]],'[16]TD Puerto'!$A:$D,4,FALSE),0)</f>
        <v>0</v>
      </c>
      <c r="AE222" s="3">
        <v>0</v>
      </c>
      <c r="AF222" s="3">
        <f>+Tabla145[[#This Row],[Plan Irrestricto Inicial]]</f>
        <v>0</v>
      </c>
      <c r="AG222" s="3">
        <f>+Tabla145[[#This Row],[En puerto a facturar]]</f>
        <v>0</v>
      </c>
      <c r="AH222" s="3">
        <f>+Tabla145[[#This Row],[Facturación atraso]]</f>
        <v>0</v>
      </c>
      <c r="AI222" s="3">
        <f>+Tabla145[[#This Row],[Plan Irrestricto]]-Tabla145[[#This Row],[Puerto ]]-Tabla145[[#This Row],[Atraso]]</f>
        <v>0</v>
      </c>
      <c r="AJ22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22" s="3">
        <f>+Tabla145[[#This Row],[Facturación atraso]]</f>
        <v>0</v>
      </c>
      <c r="AL222" s="3">
        <f>+Tabla145[[#This Row],[Plan Ajustado]]-Tabla145[[#This Row],[ Atraso ajustado]]-Tabla145[[#This Row],[Puerto ]]</f>
        <v>0</v>
      </c>
      <c r="AM222" s="6">
        <f>IFERROR(VLOOKUP(Tabla145[[#This Row],[Llave]],[18]!Tabla14[#All],34,FALSE),0)</f>
        <v>0</v>
      </c>
      <c r="AN222" s="6">
        <f>IFERROR(VLOOKUP(Tabla145[[#This Row],[Llave]],[18]!Tabla14[#All],35,FALSE),0)</f>
        <v>0</v>
      </c>
      <c r="AO222" s="3" t="str">
        <f>IF(Tabla145[[#This Row],[Plan Ajustado]]&gt;Tabla145[[#This Row],[En puerto a facturar]],"Si","No")</f>
        <v>No</v>
      </c>
      <c r="AP22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22" s="3">
        <f>IF(Tabla145[[#This Row],[Necesidad]]&gt;=Tabla145[[#This Row],[Stock al día]],Tabla145[[#This Row],[Stock al día]],Tabla145[[#This Row],[Necesidad]])</f>
        <v>0</v>
      </c>
      <c r="AR222" s="3">
        <f>+Tabla145[[#This Row],[Necesidad]]-Tabla145[[#This Row],[Stock Plan]]</f>
        <v>0</v>
      </c>
      <c r="AS222" s="155">
        <f>IFERROR(VLOOKUP(Tabla145[[#This Row],[Oficina]],[19]Ponderación!$B$14:$E$21,4,FALSE),"")</f>
        <v>44789</v>
      </c>
      <c r="AT22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22" s="83">
        <f>IFERROR(VLOOKUP(Tabla145[[#This Row],[Llave]],[17]DELAY!$H:$W,16,FALSE),0)</f>
        <v>0</v>
      </c>
      <c r="AV22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22" s="5">
        <f>Tabla145[[#This Row],[Ajuste precio IC]]*Tabla145[[#This Row],[Plan Ajustado]]</f>
        <v>0</v>
      </c>
      <c r="AX222" s="30">
        <f>IFERROR(VLOOKUP(Tabla145[[#This Row],[Llave]],'[13]Ultimos precios facturados'!$A:$G,7,FALSE),0)</f>
        <v>0</v>
      </c>
      <c r="AY22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22" s="30">
        <f>IFERROR(VLOOKUP(Tabla145[[#This Row],[Llave]],Hoja2!B:K,10,FALSE),0)</f>
        <v>0</v>
      </c>
      <c r="BA222" s="30">
        <f>IF(Tabla145[[#This Row],[Ajuste precio IC]]="",Tabla145[[#This Row],[Precio ponderado]],Tabla145[[#This Row],[Precio ponderado]])</f>
        <v>0</v>
      </c>
      <c r="BB222" s="82"/>
      <c r="BC222" s="82" t="str">
        <f>IF(AND(Tabla145[[#This Row],[Atraso a facturar]]&gt;0,Tabla145[[#This Row],[Precio Atraso]]=0),"Revisar","OK")</f>
        <v>OK</v>
      </c>
      <c r="BD222" s="82" t="str">
        <f>IF(AND(Tabla145[[#This Row],[Venta del mes]]&gt;0,Tabla145[[#This Row],[Precio venta nueva]]=0),"Revisar","OK")</f>
        <v>OK</v>
      </c>
      <c r="BE222" s="20">
        <f>IFERROR(VLOOKUP(Tabla145[[#This Row],[Llave]],'[5]Consolidación planes'!$A:$M,9,FALSE),0)</f>
        <v>0</v>
      </c>
      <c r="BF222" s="20">
        <f>IFERROR(VLOOKUP(Tabla145[[#This Row],[Llave]],'[5]Consolidación planes'!$A:$M,10,FALSE),0)</f>
        <v>0</v>
      </c>
      <c r="BG222" s="20">
        <f>IFERROR(VLOOKUP(Tabla145[[#This Row],[Llave]],'[5]Consolidación planes'!$A:$M,11,FALSE),0)</f>
        <v>0</v>
      </c>
      <c r="BH222" s="20">
        <f>IFERROR(VLOOKUP(Tabla145[[#This Row],[Llave]],'[5]Consolidación planes'!$A:$M,12,FALSE),0)</f>
        <v>0</v>
      </c>
      <c r="BI222" s="20">
        <f>IFERROR(VLOOKUP(Tabla145[[#This Row],[Llave]],'[5]Consolidación planes'!$A:$M,13,FALSE),0)</f>
        <v>0</v>
      </c>
      <c r="BJ222" s="20">
        <f>IFERROR(VLOOKUP(Tabla145[[#This Row],[Llave]],'[13]Base ultimos planes'!$A:$M,13,FALSE),0)</f>
        <v>0</v>
      </c>
      <c r="BK222" s="80">
        <f>IFERROR(VLOOKUP(Tabla145[[#This Row],[Llave]],'[13]Base ultimos planes'!$O:$AA,8,FALSE),0)</f>
        <v>0</v>
      </c>
      <c r="BL222" s="20">
        <f>IFERROR(VLOOKUP(Tabla145[[#This Row],[Llave]],'[13]Base ultimos planes'!$O:$AA,9,FALSE),0)</f>
        <v>0</v>
      </c>
      <c r="BM222" s="20">
        <f>IFERROR(VLOOKUP(Tabla145[[#This Row],[Llave]],'[13]Base ultimos planes'!$O:$AA,10,FALSE),0)</f>
        <v>0</v>
      </c>
      <c r="BN222" s="20">
        <f>IFERROR(VLOOKUP(Tabla145[[#This Row],[Llave]],'[13]Base ultimos planes'!$O:$AA,11,FALSE),0)</f>
        <v>0</v>
      </c>
      <c r="BO222" s="20">
        <f>IFERROR(VLOOKUP(Tabla145[[#This Row],[Llave]],'[13]Base ultimos planes'!$O:$AA,12,FALSE),0)</f>
        <v>0</v>
      </c>
      <c r="BP222" s="20">
        <f>IFERROR(VLOOKUP(Tabla145[[#This Row],[Llave]],'[13]Base ultimos planes'!$O:$AA,13,FALSE),0)</f>
        <v>0</v>
      </c>
      <c r="BQ222" s="20"/>
      <c r="BR222" s="20">
        <f>Tabla145[[#This Row],[ RV Producción mes n+1]]*(1-Tabla145[[#This Row],[% Uti. producción]])</f>
        <v>0</v>
      </c>
      <c r="BS222" s="20">
        <f>+Tabla145[[#This Row],[Producción disponible mes n-1]]+Tabla145[[#This Row],[Saldo Volumen disponible]]</f>
        <v>0</v>
      </c>
      <c r="BT222" s="7">
        <f>IFERROR(VLOOKUP(Tabla145[[#This Row],[Llave]],'[21]RV n+2 y n+3'!$B:$F,4,FALSE),0)</f>
        <v>0</v>
      </c>
      <c r="BU222" s="7">
        <f>+Tabla145[[#This Row],[Asignación mes n+2]]*Tabla145[[#This Row],[% Uti. producción]]</f>
        <v>0</v>
      </c>
      <c r="BV222" s="7">
        <f>+Tabla145[[#This Row],[Ponderación mes n+2]]+Tabla145[[#This Row],[Saldo mes n-1]]</f>
        <v>0</v>
      </c>
      <c r="BW222" s="7">
        <f>+Tabla145[[#This Row],[Asignación mes n+2]]-Tabla145[[#This Row],[Ponderación mes n+2]]</f>
        <v>0</v>
      </c>
      <c r="BX222" s="7">
        <f>IFERROR(VLOOKUP(Tabla145[[#This Row],[Llave]],'[21]RV n+2 y n+3'!$B:$F,5,FALSE),0)</f>
        <v>0</v>
      </c>
      <c r="BY222" s="7">
        <f>+Tabla145[[#This Row],[Asignación mes n+3]]*Tabla145[[#This Row],[% Uti. producción]]</f>
        <v>0</v>
      </c>
      <c r="BZ222" s="3">
        <f>+Tabla145[[#This Row],[Ponderación mes n+3]]+Tabla145[[#This Row],[Saldo mes n+2]]</f>
        <v>0</v>
      </c>
      <c r="CA222" s="3">
        <f>+Tabla145[[#This Row],[Asignación mes n+3]]-Tabla145[[#This Row],[Ponderación mes n+3]]</f>
        <v>0</v>
      </c>
      <c r="CB222" s="3">
        <f>+Tabla145[[#This Row],[Producción disponible mes n-1]]+Tabla145[[#This Row],[Producción disponible]]</f>
        <v>0</v>
      </c>
      <c r="CC222" s="3">
        <f>+Tabla145[[#This Row],[Saldo mes n+4]]-Tabla145[[#This Row],[ RV Producción mes n+1]]</f>
        <v>0</v>
      </c>
    </row>
    <row r="223" spans="1:81" ht="16" x14ac:dyDescent="0.2">
      <c r="A223">
        <v>1</v>
      </c>
      <c r="B223" t="str">
        <f>Tabla145[[#This Row],[Oficina]]&amp;Tabla145[[#This Row],[Material]]</f>
        <v>Agro Sudamerica1011939</v>
      </c>
      <c r="C223" t="s">
        <v>227</v>
      </c>
      <c r="D223" t="s">
        <v>17</v>
      </c>
      <c r="E223">
        <v>1011939</v>
      </c>
      <c r="F223" t="s">
        <v>261</v>
      </c>
      <c r="G223" t="s">
        <v>217</v>
      </c>
      <c r="H223" t="s">
        <v>218</v>
      </c>
      <c r="I223" s="7">
        <f>IFERROR(VLOOKUP(Tabla145[[#This Row],[Llave]],'[7]RV Producción'!$C:$G,5,FALSE),0)</f>
        <v>0</v>
      </c>
      <c r="J223" s="3">
        <f>IFERROR(IF(Tabla145[[#This Row],[Oficina]]=$I$7,VLOOKUP(Tabla145[[#This Row],[Llave]],'[7]Shangai (Tomas)'!$A:$F,6,FALSE),VLOOKUP(Tabla145[[#This Row],[Llave]],'[7]RV plan de ventas'!$A:$E,5,FALSE)),0)</f>
        <v>0</v>
      </c>
      <c r="K223" s="8">
        <f>IFERROR(VLOOKUP(Tabla145[[#This Row],[Oficina]],[15]Ponderación!$B$2:$E$9,4,FALSE),0)</f>
        <v>0.45719439678473212</v>
      </c>
      <c r="L223" s="7">
        <f>+Tabla145[[#This Row],[ RV Producción mes n+1]]*Tabla145[[#This Row],[% Uti. producción]]</f>
        <v>0</v>
      </c>
      <c r="M223" s="7">
        <f>IFERROR(VLOOKUP(Tabla145[[#This Row],[Material]],[16]Stock!$G:$K,5,FALSE),0)</f>
        <v>0</v>
      </c>
      <c r="N223" s="7">
        <f>IFERROR(VLOOKUP(Tabla145[[#This Row],[Material]],[16]Produccion!$M:$N,2,FALSE),0)</f>
        <v>0</v>
      </c>
      <c r="O223" s="7">
        <f>IFERROR(VLOOKUP(Tabla145[[#This Row],[Llave]],'[16]TD Conf-AP'!$I:$M,4,FALSE),0)</f>
        <v>0</v>
      </c>
      <c r="P223" s="14">
        <f>SUM(Tabla145[[#This Row],[Producción disponible]],Tabla145[[#This Row],[Stock al día]],(Tabla145[[#This Row],[Por producir mes N]]*0.9))-Tabla145[[#This Row],[Producción por despachar mes N]]</f>
        <v>0</v>
      </c>
      <c r="Q223" s="7">
        <f>IFERROR(VLOOKUP(Tabla145[[#This Row],[Llave]],[17]DELAY!$A:$D,4,FALSE),0)</f>
        <v>0</v>
      </c>
      <c r="R223" s="9">
        <v>24000</v>
      </c>
      <c r="S223" s="5">
        <f t="shared" si="8"/>
        <v>0</v>
      </c>
      <c r="T223" s="76">
        <v>0</v>
      </c>
      <c r="U223" s="5">
        <f>+Tabla145[[#This Row],[Atraso a facturar]]+Tabla145[[#This Row],[Ajuste atraso]]</f>
        <v>0</v>
      </c>
      <c r="V223" s="3">
        <f>+Tabla145[[#This Row],[Total disponible]]-Tabla145[[#This Row],[Facturación atraso]]</f>
        <v>0</v>
      </c>
      <c r="W223" s="6">
        <f>IFERROR(IF(AND(V223&gt;R223,J223&gt;=R223),ROUNDDOWN((Tabla145[[#This Row],[Producción para venta nueva]])/R223,0)*R223,0),0)</f>
        <v>0</v>
      </c>
      <c r="X223" s="76">
        <v>0</v>
      </c>
      <c r="Y223" s="6">
        <f>IF(Tabla145[[#This Row],[Venta del mes]]&gt;0,Tabla145[[#This Row],[Venta del mes]]+Tabla145[[#This Row],[Ajuste venta nueva]],0)</f>
        <v>0</v>
      </c>
      <c r="Z223" s="6">
        <f>+Tabla145[[#This Row],[Producción para venta nueva]]-Tabla145[[#This Row],[Facturación Venta nueva]]</f>
        <v>0</v>
      </c>
      <c r="AA223" s="6">
        <f>IF(AND(A223=1,Tabla145[[#This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3" s="6">
        <v>0</v>
      </c>
      <c r="AC223" s="6">
        <f>IF(Tabla145[[#This Row],[Disponible stock sin venta]]&gt;0,Tabla145[[#This Row],[Disponible stock sin venta]]+Tabla145[[#This Row],[Ajuste stock sin venta]],0)</f>
        <v>0</v>
      </c>
      <c r="AD223" s="3">
        <f>IFERROR(VLOOKUP(Tabla145[[#This Row],[Llave]],'[16]TD Puerto'!$A:$D,4,FALSE),0)</f>
        <v>0</v>
      </c>
      <c r="AE223" s="3">
        <v>0</v>
      </c>
      <c r="AF223" s="3">
        <f>+Tabla145[[#This Row],[Plan Irrestricto Inicial]]</f>
        <v>0</v>
      </c>
      <c r="AG223" s="3">
        <f>+Tabla145[[#This Row],[En puerto a facturar]]</f>
        <v>0</v>
      </c>
      <c r="AH223" s="3">
        <f>+Tabla145[[#This Row],[Facturación atraso]]</f>
        <v>0</v>
      </c>
      <c r="AI223" s="3">
        <f>+Tabla145[[#This Row],[Plan Irrestricto]]-Tabla145[[#This Row],[Puerto ]]-Tabla145[[#This Row],[Atraso]]</f>
        <v>0</v>
      </c>
      <c r="AJ22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23" s="3">
        <f>+Tabla145[[#This Row],[Facturación atraso]]</f>
        <v>0</v>
      </c>
      <c r="AL223" s="3">
        <f>+Tabla145[[#This Row],[Plan Ajustado]]-Tabla145[[#This Row],[ Atraso ajustado]]-Tabla145[[#This Row],[Puerto ]]</f>
        <v>0</v>
      </c>
      <c r="AM223" s="6">
        <f>IFERROR(VLOOKUP(Tabla145[[#This Row],[Llave]],[18]!Tabla14[#All],34,FALSE),0)</f>
        <v>0</v>
      </c>
      <c r="AN223" s="6">
        <f>IFERROR(VLOOKUP(Tabla145[[#This Row],[Llave]],[18]!Tabla14[#All],35,FALSE),0)</f>
        <v>0</v>
      </c>
      <c r="AO223" s="3" t="str">
        <f>IF(Tabla145[[#This Row],[Plan Ajustado]]&gt;Tabla145[[#This Row],[En puerto a facturar]],"Si","No")</f>
        <v>No</v>
      </c>
      <c r="AP22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23" s="3">
        <f>IF(Tabla145[[#This Row],[Necesidad]]&gt;=Tabla145[[#This Row],[Stock al día]],Tabla145[[#This Row],[Stock al día]],Tabla145[[#This Row],[Necesidad]])</f>
        <v>0</v>
      </c>
      <c r="AR223" s="3">
        <f>+Tabla145[[#This Row],[Necesidad]]-Tabla145[[#This Row],[Stock Plan]]</f>
        <v>0</v>
      </c>
      <c r="AS223" s="155">
        <f>IFERROR(VLOOKUP(Tabla145[[#This Row],[Oficina]],[19]Ponderación!$B$14:$E$21,4,FALSE),"")</f>
        <v>44789</v>
      </c>
      <c r="AT22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23" s="83">
        <f>IFERROR(VLOOKUP(Tabla145[[#This Row],[Llave]],[17]DELAY!$H:$W,16,FALSE),0)</f>
        <v>0</v>
      </c>
      <c r="AV22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23" s="5">
        <f>Tabla145[[#This Row],[Ajuste precio IC]]*Tabla145[[#This Row],[Plan Ajustado]]</f>
        <v>0</v>
      </c>
      <c r="AX223" s="30">
        <f>IFERROR(VLOOKUP(Tabla145[[#This Row],[Llave]],'[13]Ultimos precios facturados'!$A:$G,7,FALSE),0)</f>
        <v>0</v>
      </c>
      <c r="AY22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23" s="30">
        <f>IFERROR(VLOOKUP(Tabla145[[#This Row],[Llave]],Hoja2!B:K,10,FALSE),0)</f>
        <v>0</v>
      </c>
      <c r="BA223" s="30">
        <f>IF(Tabla145[[#This Row],[Ajuste precio IC]]="",Tabla145[[#This Row],[Precio ponderado]],Tabla145[[#This Row],[Precio ponderado]])</f>
        <v>0</v>
      </c>
      <c r="BB223" s="82"/>
      <c r="BC223" s="82" t="str">
        <f>IF(AND(Tabla145[[#This Row],[Atraso a facturar]]&gt;0,Tabla145[[#This Row],[Precio Atraso]]=0),"Revisar","OK")</f>
        <v>OK</v>
      </c>
      <c r="BD223" s="82" t="str">
        <f>IF(AND(Tabla145[[#This Row],[Venta del mes]]&gt;0,Tabla145[[#This Row],[Precio venta nueva]]=0),"Revisar","OK")</f>
        <v>OK</v>
      </c>
      <c r="BE223" s="20">
        <f>IFERROR(VLOOKUP(Tabla145[[#This Row],[Llave]],'[5]Consolidación planes'!$A:$M,9,FALSE),0)</f>
        <v>0</v>
      </c>
      <c r="BF223" s="20">
        <f>IFERROR(VLOOKUP(Tabla145[[#This Row],[Llave]],'[5]Consolidación planes'!$A:$M,10,FALSE),0)</f>
        <v>0</v>
      </c>
      <c r="BG223" s="20">
        <f>IFERROR(VLOOKUP(Tabla145[[#This Row],[Llave]],'[5]Consolidación planes'!$A:$M,11,FALSE),0)</f>
        <v>0</v>
      </c>
      <c r="BH223" s="20">
        <f>IFERROR(VLOOKUP(Tabla145[[#This Row],[Llave]],'[5]Consolidación planes'!$A:$M,12,FALSE),0)</f>
        <v>0</v>
      </c>
      <c r="BI223" s="20">
        <f>IFERROR(VLOOKUP(Tabla145[[#This Row],[Llave]],'[5]Consolidación planes'!$A:$M,13,FALSE),0)</f>
        <v>0</v>
      </c>
      <c r="BJ223" s="20">
        <f>IFERROR(VLOOKUP(Tabla145[[#This Row],[Llave]],'[13]Base ultimos planes'!$A:$M,13,FALSE),0)</f>
        <v>0</v>
      </c>
      <c r="BK223" s="80">
        <f>IFERROR(VLOOKUP(Tabla145[[#This Row],[Llave]],'[13]Base ultimos planes'!$O:$AA,8,FALSE),0)</f>
        <v>0</v>
      </c>
      <c r="BL223" s="20">
        <f>IFERROR(VLOOKUP(Tabla145[[#This Row],[Llave]],'[13]Base ultimos planes'!$O:$AA,9,FALSE),0)</f>
        <v>0</v>
      </c>
      <c r="BM223" s="20">
        <f>IFERROR(VLOOKUP(Tabla145[[#This Row],[Llave]],'[13]Base ultimos planes'!$O:$AA,10,FALSE),0)</f>
        <v>0</v>
      </c>
      <c r="BN223" s="20">
        <f>IFERROR(VLOOKUP(Tabla145[[#This Row],[Llave]],'[13]Base ultimos planes'!$O:$AA,11,FALSE),0)</f>
        <v>0</v>
      </c>
      <c r="BO223" s="20">
        <f>IFERROR(VLOOKUP(Tabla145[[#This Row],[Llave]],'[13]Base ultimos planes'!$O:$AA,12,FALSE),0)</f>
        <v>0</v>
      </c>
      <c r="BP223" s="20">
        <f>IFERROR(VLOOKUP(Tabla145[[#This Row],[Llave]],'[13]Base ultimos planes'!$O:$AA,13,FALSE),0)</f>
        <v>0</v>
      </c>
      <c r="BQ223" s="20"/>
      <c r="BR223" s="20">
        <f>Tabla145[[#This Row],[ RV Producción mes n+1]]*(1-Tabla145[[#This Row],[% Uti. producción]])</f>
        <v>0</v>
      </c>
      <c r="BS223" s="20">
        <f>+Tabla145[[#This Row],[Producción disponible mes n-1]]+Tabla145[[#This Row],[Saldo Volumen disponible]]</f>
        <v>0</v>
      </c>
      <c r="BT223" s="7">
        <f>IFERROR(VLOOKUP(Tabla145[[#This Row],[Llave]],'[21]RV n+2 y n+3'!$B:$F,4,FALSE),0)</f>
        <v>0</v>
      </c>
      <c r="BU223" s="7">
        <f>+Tabla145[[#This Row],[Asignación mes n+2]]*Tabla145[[#This Row],[% Uti. producción]]</f>
        <v>0</v>
      </c>
      <c r="BV223" s="7">
        <f>+Tabla145[[#This Row],[Ponderación mes n+2]]+Tabla145[[#This Row],[Saldo mes n-1]]</f>
        <v>0</v>
      </c>
      <c r="BW223" s="7">
        <f>+Tabla145[[#This Row],[Asignación mes n+2]]-Tabla145[[#This Row],[Ponderación mes n+2]]</f>
        <v>0</v>
      </c>
      <c r="BX223" s="7">
        <f>IFERROR(VLOOKUP(Tabla145[[#This Row],[Llave]],'[21]RV n+2 y n+3'!$B:$F,5,FALSE),0)</f>
        <v>0</v>
      </c>
      <c r="BY223" s="7">
        <f>+Tabla145[[#This Row],[Asignación mes n+3]]*Tabla145[[#This Row],[% Uti. producción]]</f>
        <v>0</v>
      </c>
      <c r="BZ223" s="3">
        <f>+Tabla145[[#This Row],[Ponderación mes n+3]]+Tabla145[[#This Row],[Saldo mes n+2]]</f>
        <v>0</v>
      </c>
      <c r="CA223" s="3">
        <f>+Tabla145[[#This Row],[Asignación mes n+3]]-Tabla145[[#This Row],[Ponderación mes n+3]]</f>
        <v>0</v>
      </c>
      <c r="CB223" s="3">
        <f>+Tabla145[[#This Row],[Producción disponible mes n-1]]+Tabla145[[#This Row],[Producción disponible]]</f>
        <v>0</v>
      </c>
      <c r="CC223" s="3">
        <f>+Tabla145[[#This Row],[Saldo mes n+4]]-Tabla145[[#This Row],[ RV Producción mes n+1]]</f>
        <v>0</v>
      </c>
    </row>
    <row r="224" spans="1:81" ht="16" x14ac:dyDescent="0.2">
      <c r="A224">
        <v>1</v>
      </c>
      <c r="B224" t="str">
        <f>Tabla145[[#This Row],[Oficina]]&amp;Tabla145[[#This Row],[Material]]</f>
        <v>Agro Sudamerica1012207</v>
      </c>
      <c r="C224" t="s">
        <v>227</v>
      </c>
      <c r="D224" t="s">
        <v>17</v>
      </c>
      <c r="E224">
        <v>1012207</v>
      </c>
      <c r="F224" t="s">
        <v>244</v>
      </c>
      <c r="G224" t="s">
        <v>209</v>
      </c>
      <c r="H224" t="s">
        <v>210</v>
      </c>
      <c r="I224" s="7">
        <f>IFERROR(VLOOKUP(Tabla145[[#This Row],[Llave]],'[7]RV Producción'!$C:$G,5,FALSE),0)</f>
        <v>0</v>
      </c>
      <c r="J224" s="3">
        <f>IFERROR(IF(Tabla145[[#This Row],[Oficina]]=$I$7,VLOOKUP(Tabla145[[#This Row],[Llave]],'[7]Shangai (Tomas)'!$A:$F,6,FALSE),VLOOKUP(Tabla145[[#This Row],[Llave]],'[7]RV plan de ventas'!$A:$E,5,FALSE)),0)</f>
        <v>0</v>
      </c>
      <c r="K224" s="8">
        <f>IFERROR(VLOOKUP(Tabla145[[#This Row],[Oficina]],[15]Ponderación!$B$2:$E$9,4,FALSE),0)</f>
        <v>0.45719439678473212</v>
      </c>
      <c r="L224" s="7">
        <f>+Tabla145[[#This Row],[ RV Producción mes n+1]]*Tabla145[[#This Row],[% Uti. producción]]</f>
        <v>0</v>
      </c>
      <c r="M224" s="7">
        <f>IFERROR(VLOOKUP(Tabla145[[#This Row],[Material]],[16]Stock!$G:$K,5,FALSE),0)</f>
        <v>50436</v>
      </c>
      <c r="N224" s="7">
        <f>IFERROR(VLOOKUP(Tabla145[[#This Row],[Material]],[16]Produccion!$M:$N,2,FALSE),0)</f>
        <v>31107</v>
      </c>
      <c r="O224" s="7">
        <f>IFERROR(VLOOKUP(Tabla145[[#This Row],[Llave]],'[16]TD Conf-AP'!$I:$M,4,FALSE),0)</f>
        <v>0</v>
      </c>
      <c r="P224" s="14">
        <f>SUM(Tabla145[[#This Row],[Producción disponible]],Tabla145[[#This Row],[Stock al día]],(Tabla145[[#This Row],[Por producir mes N]]*0.9))-Tabla145[[#This Row],[Producción por despachar mes N]]</f>
        <v>78432.3</v>
      </c>
      <c r="Q224" s="7">
        <f>IFERROR(VLOOKUP(Tabla145[[#This Row],[Llave]],[17]DELAY!$A:$D,4,FALSE),0)</f>
        <v>24000</v>
      </c>
      <c r="R224" s="9">
        <v>24000</v>
      </c>
      <c r="S224" s="5">
        <f t="shared" si="8"/>
        <v>24000</v>
      </c>
      <c r="T224" s="76">
        <v>0</v>
      </c>
      <c r="U224" s="5">
        <f>+Tabla145[[#This Row],[Atraso a facturar]]+Tabla145[[#This Row],[Ajuste atraso]]</f>
        <v>24000</v>
      </c>
      <c r="V224" s="3">
        <f>+Tabla145[[#This Row],[Total disponible]]-Tabla145[[#This Row],[Facturación atraso]]</f>
        <v>54432.3</v>
      </c>
      <c r="W224" s="6">
        <f>IFERROR(IF(AND(V224&gt;R224,J224&gt;=R224),ROUNDDOWN((Tabla145[[#This Row],[Producción para venta nueva]])/R224,0)*R224,0),0)</f>
        <v>0</v>
      </c>
      <c r="X224" s="76">
        <v>0</v>
      </c>
      <c r="Y224" s="6">
        <f>IF(Tabla145[[#This Row],[Venta del mes]]&gt;0,Tabla145[[#This Row],[Venta del mes]]+Tabla145[[#This Row],[Ajuste venta nueva]],0)</f>
        <v>0</v>
      </c>
      <c r="Z224" s="6">
        <f>+Tabla145[[#This Row],[Producción para venta nueva]]-Tabla145[[#This Row],[Facturación Venta nueva]]</f>
        <v>54432.3</v>
      </c>
      <c r="AA224" s="6">
        <f>IF(AND(A224=1,Tabla145[[#This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48000</v>
      </c>
      <c r="AB224" s="6">
        <v>-30500</v>
      </c>
      <c r="AC224" s="6">
        <f>IF(Tabla145[[#This Row],[Disponible stock sin venta]]&gt;0,Tabla145[[#This Row],[Disponible stock sin venta]]+Tabla145[[#This Row],[Ajuste stock sin venta]],0)</f>
        <v>17500</v>
      </c>
      <c r="AD224" s="3">
        <f>IFERROR(VLOOKUP(Tabla145[[#This Row],[Llave]],'[16]TD Puerto'!$A:$D,4,FALSE),0)</f>
        <v>0</v>
      </c>
      <c r="AE224" s="3">
        <v>24000</v>
      </c>
      <c r="AF224" s="3">
        <f>+Tabla145[[#This Row],[Plan Irrestricto Inicial]]</f>
        <v>24000</v>
      </c>
      <c r="AG224" s="3">
        <f>+Tabla145[[#This Row],[En puerto a facturar]]</f>
        <v>0</v>
      </c>
      <c r="AH224" s="3">
        <f>+Tabla145[[#This Row],[Facturación atraso]]</f>
        <v>24000</v>
      </c>
      <c r="AI224" s="3">
        <f>+Tabla145[[#This Row],[Plan Irrestricto]]-Tabla145[[#This Row],[Puerto ]]-Tabla145[[#This Row],[Atraso]]</f>
        <v>0</v>
      </c>
      <c r="AJ224" s="3">
        <f>IF(Tabla145[[#This Row],[Plan Irrestricto]]&gt;0,SUM(Tabla145[[#This Row],[Facturación atraso]],Tabla145[[#This Row],[Facturación Venta nueva]],Tabla145[[#This Row],[Facturación stock]],Tabla145[[#This Row],[En puerto a facturar]]),0)</f>
        <v>41500</v>
      </c>
      <c r="AK224" s="3">
        <f>+Tabla145[[#This Row],[Facturación atraso]]</f>
        <v>24000</v>
      </c>
      <c r="AL224" s="3">
        <f>+Tabla145[[#This Row],[Plan Ajustado]]-Tabla145[[#This Row],[ Atraso ajustado]]-Tabla145[[#This Row],[Puerto ]]</f>
        <v>17500</v>
      </c>
      <c r="AM224" s="6">
        <f>IFERROR(VLOOKUP(Tabla145[[#This Row],[Llave]],[18]!Tabla14[#All],34,FALSE),0)</f>
        <v>0</v>
      </c>
      <c r="AN224" s="6">
        <f>IFERROR(VLOOKUP(Tabla145[[#This Row],[Llave]],[18]!Tabla14[#All],35,FALSE),0)</f>
        <v>0</v>
      </c>
      <c r="AO224" s="3" t="str">
        <f>IF(Tabla145[[#This Row],[Plan Ajustado]]&gt;Tabla145[[#This Row],[En puerto a facturar]],"Si","No")</f>
        <v>Si</v>
      </c>
      <c r="AP224" s="3">
        <f>IF(AND(Tabla145[[#This Row],[Plan Ajustado]]&gt;0,Tabla145[[#This Row],[Plan Ajustado]]&gt;Tabla145[[#This Row],[En puerto a facturar]]),(Tabla145[[#This Row],[Plan Ajustado]]-Tabla145[[#This Row],[En puerto a facturar]]),0)</f>
        <v>41500</v>
      </c>
      <c r="AQ224" s="3">
        <f>IF(Tabla145[[#This Row],[Necesidad]]&gt;=Tabla145[[#This Row],[Stock al día]],Tabla145[[#This Row],[Stock al día]],Tabla145[[#This Row],[Necesidad]])</f>
        <v>41500</v>
      </c>
      <c r="AR224" s="3">
        <f>+Tabla145[[#This Row],[Necesidad]]-Tabla145[[#This Row],[Stock Plan]]</f>
        <v>0</v>
      </c>
      <c r="AS224" s="155">
        <f>IFERROR(VLOOKUP(Tabla145[[#This Row],[Oficina]],[19]Ponderación!$B$14:$E$21,4,FALSE),"")</f>
        <v>44789</v>
      </c>
      <c r="AT22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1.2396354139619969</v>
      </c>
      <c r="AU224" s="83">
        <f>IFERROR(VLOOKUP(Tabla145[[#This Row],[Llave]],[17]DELAY!$H:$W,16,FALSE),0)</f>
        <v>1.20729166666667</v>
      </c>
      <c r="AV22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1.20729166666667</v>
      </c>
      <c r="AW224" s="5">
        <f>Tabla145[[#This Row],[Ajuste precio IC]]*Tabla145[[#This Row],[Plan Ajustado]]</f>
        <v>27604.999999999996</v>
      </c>
      <c r="AX224" s="30">
        <f>IFERROR(VLOOKUP(Tabla145[[#This Row],[Llave]],'[13]Ultimos precios facturados'!$A:$G,7,FALSE),0)</f>
        <v>1.2396354139619969</v>
      </c>
      <c r="AY224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2.609133857506794E-2</v>
      </c>
      <c r="AZ224" s="30">
        <f>IFERROR(VLOOKUP(Tabla145[[#This Row],[Llave]],Hoja2!B:K,10,FALSE),0)</f>
        <v>0.66518072289156616</v>
      </c>
      <c r="BA224" s="30">
        <f>IF(Tabla145[[#This Row],[Ajuste precio IC]]="",Tabla145[[#This Row],[Precio ponderado]],Tabla145[[#This Row],[Precio ponderado]])</f>
        <v>1.20729166666667</v>
      </c>
      <c r="BB224" s="82"/>
      <c r="BC224" s="82" t="str">
        <f>IF(AND(Tabla145[[#This Row],[Atraso a facturar]]&gt;0,Tabla145[[#This Row],[Precio Atraso]]=0),"Revisar","OK")</f>
        <v>OK</v>
      </c>
      <c r="BD224" s="82" t="str">
        <f>IF(AND(Tabla145[[#This Row],[Venta del mes]]&gt;0,Tabla145[[#This Row],[Precio venta nueva]]=0),"Revisar","OK")</f>
        <v>OK</v>
      </c>
      <c r="BE224" s="20">
        <f>IFERROR(VLOOKUP(Tabla145[[#This Row],[Llave]],'[5]Consolidación planes'!$A:$M,9,FALSE),0)</f>
        <v>24000</v>
      </c>
      <c r="BF224" s="20">
        <f>IFERROR(VLOOKUP(Tabla145[[#This Row],[Llave]],'[5]Consolidación planes'!$A:$M,10,FALSE),0)</f>
        <v>60000</v>
      </c>
      <c r="BG224" s="20">
        <f>IFERROR(VLOOKUP(Tabla145[[#This Row],[Llave]],'[5]Consolidación planes'!$A:$M,11,FALSE),0)</f>
        <v>55476</v>
      </c>
      <c r="BH224" s="20">
        <f>IFERROR(VLOOKUP(Tabla145[[#This Row],[Llave]],'[5]Consolidación planes'!$A:$M,12,FALSE),0)</f>
        <v>24000</v>
      </c>
      <c r="BI224" s="20">
        <f>IFERROR(VLOOKUP(Tabla145[[#This Row],[Llave]],'[5]Consolidación planes'!$A:$M,13,FALSE),0)</f>
        <v>48000</v>
      </c>
      <c r="BJ224" s="20">
        <f>IFERROR(VLOOKUP(Tabla145[[#This Row],[Llave]],'[13]Base ultimos planes'!$A:$M,13,FALSE),0)</f>
        <v>72000</v>
      </c>
      <c r="BK224" s="80">
        <f>IFERROR(VLOOKUP(Tabla145[[#This Row],[Llave]],'[13]Base ultimos planes'!$O:$AA,8,FALSE),0)</f>
        <v>31254.7673</v>
      </c>
      <c r="BL224" s="20">
        <f>IFERROR(VLOOKUP(Tabla145[[#This Row],[Llave]],'[13]Base ultimos planes'!$O:$AA,9,FALSE),0)</f>
        <v>73760</v>
      </c>
      <c r="BM224" s="20">
        <f>IFERROR(VLOOKUP(Tabla145[[#This Row],[Llave]],'[13]Base ultimos planes'!$O:$AA,10,FALSE),0)</f>
        <v>63571</v>
      </c>
      <c r="BN224" s="20">
        <f>IFERROR(VLOOKUP(Tabla145[[#This Row],[Llave]],'[13]Base ultimos planes'!$O:$AA,11,FALSE),0)</f>
        <v>22080</v>
      </c>
      <c r="BO224" s="20">
        <f>IFERROR(VLOOKUP(Tabla145[[#This Row],[Llave]],'[13]Base ultimos planes'!$O:$AA,12,FALSE),0)</f>
        <v>58667</v>
      </c>
      <c r="BP224" s="20">
        <f>IFERROR(VLOOKUP(Tabla145[[#This Row],[Llave]],'[13]Base ultimos planes'!$O:$AA,13,FALSE),0)</f>
        <v>90939</v>
      </c>
      <c r="BQ224" s="20"/>
      <c r="BR224" s="20">
        <f>Tabla145[[#This Row],[ RV Producción mes n+1]]*(1-Tabla145[[#This Row],[% Uti. producción]])</f>
        <v>0</v>
      </c>
      <c r="BS224" s="20">
        <f>+Tabla145[[#This Row],[Producción disponible mes n-1]]+Tabla145[[#This Row],[Saldo Volumen disponible]]</f>
        <v>54432.3</v>
      </c>
      <c r="BT224" s="7">
        <f>IFERROR(VLOOKUP(Tabla145[[#This Row],[Llave]],'[21]RV n+2 y n+3'!$B:$F,4,FALSE),0)</f>
        <v>44000</v>
      </c>
      <c r="BU224" s="7">
        <f>+Tabla145[[#This Row],[Asignación mes n+2]]*Tabla145[[#This Row],[% Uti. producción]]</f>
        <v>20116.553458528215</v>
      </c>
      <c r="BV224" s="7">
        <f>+Tabla145[[#This Row],[Ponderación mes n+2]]+Tabla145[[#This Row],[Saldo mes n-1]]</f>
        <v>74548.853458528218</v>
      </c>
      <c r="BW224" s="7">
        <f>+Tabla145[[#This Row],[Asignación mes n+2]]-Tabla145[[#This Row],[Ponderación mes n+2]]</f>
        <v>23883.446541471785</v>
      </c>
      <c r="BX224" s="7">
        <f>IFERROR(VLOOKUP(Tabla145[[#This Row],[Llave]],'[21]RV n+2 y n+3'!$B:$F,5,FALSE),0)</f>
        <v>40500</v>
      </c>
      <c r="BY224" s="7">
        <f>+Tabla145[[#This Row],[Asignación mes n+3]]*Tabla145[[#This Row],[% Uti. producción]]</f>
        <v>18516.37306978165</v>
      </c>
      <c r="BZ224" s="3">
        <f>+Tabla145[[#This Row],[Ponderación mes n+3]]+Tabla145[[#This Row],[Saldo mes n+2]]</f>
        <v>42399.819611253435</v>
      </c>
      <c r="CA224" s="3">
        <f>+Tabla145[[#This Row],[Asignación mes n+3]]-Tabla145[[#This Row],[Ponderación mes n+3]]</f>
        <v>21983.62693021835</v>
      </c>
      <c r="CB224" s="3">
        <f>+Tabla145[[#This Row],[Producción disponible mes n-1]]+Tabla145[[#This Row],[Producción disponible]]</f>
        <v>0</v>
      </c>
      <c r="CC224" s="3">
        <f>+Tabla145[[#This Row],[Saldo mes n+4]]-Tabla145[[#This Row],[ RV Producción mes n+1]]</f>
        <v>0</v>
      </c>
    </row>
    <row r="225" spans="1:81" ht="16" x14ac:dyDescent="0.2">
      <c r="A225">
        <v>1</v>
      </c>
      <c r="B225" t="str">
        <f>Tabla145[[#This Row],[Oficina]]&amp;Tabla145[[#This Row],[Material]]</f>
        <v>Agro Sudamerica1012208</v>
      </c>
      <c r="C225" t="s">
        <v>227</v>
      </c>
      <c r="D225" t="s">
        <v>17</v>
      </c>
      <c r="E225">
        <v>1012208</v>
      </c>
      <c r="F225" t="s">
        <v>256</v>
      </c>
      <c r="G225" t="s">
        <v>253</v>
      </c>
      <c r="H225" t="s">
        <v>254</v>
      </c>
      <c r="I225" s="7">
        <f>IFERROR(VLOOKUP(Tabla145[[#This Row],[Llave]],'[7]RV Producción'!$C:$G,5,FALSE),0)</f>
        <v>24000</v>
      </c>
      <c r="J225" s="3">
        <f>IFERROR(IF(Tabla145[[#This Row],[Oficina]]=$I$7,VLOOKUP(Tabla145[[#This Row],[Llave]],'[7]Shangai (Tomas)'!$A:$F,6,FALSE),VLOOKUP(Tabla145[[#This Row],[Llave]],'[7]RV plan de ventas'!$A:$E,5,FALSE)),0)</f>
        <v>6743</v>
      </c>
      <c r="K225" s="8">
        <f>IFERROR(VLOOKUP(Tabla145[[#This Row],[Oficina]],[15]Ponderación!$B$2:$E$9,4,FALSE),0)</f>
        <v>0.45719439678473212</v>
      </c>
      <c r="L225" s="7">
        <f>+Tabla145[[#This Row],[ RV Producción mes n+1]]*Tabla145[[#This Row],[% Uti. producción]]</f>
        <v>10972.665522833571</v>
      </c>
      <c r="M225" s="7">
        <f>IFERROR(VLOOKUP(Tabla145[[#This Row],[Material]],[16]Stock!$G:$K,5,FALSE),0)</f>
        <v>31602</v>
      </c>
      <c r="N225" s="7">
        <f>IFERROR(VLOOKUP(Tabla145[[#This Row],[Material]],[16]Produccion!$M:$N,2,FALSE),0)</f>
        <v>4000</v>
      </c>
      <c r="O225" s="7">
        <f>IFERROR(VLOOKUP(Tabla145[[#This Row],[Llave]],'[16]TD Conf-AP'!$I:$M,4,FALSE),0)</f>
        <v>0</v>
      </c>
      <c r="P225" s="14">
        <f>SUM(Tabla145[[#This Row],[Producción disponible]],Tabla145[[#This Row],[Stock al día]],(Tabla145[[#This Row],[Por producir mes N]]*0.9))-Tabla145[[#This Row],[Producción por despachar mes N]]</f>
        <v>46174.665522833573</v>
      </c>
      <c r="Q225" s="7">
        <f>IFERROR(VLOOKUP(Tabla145[[#This Row],[Llave]],[17]DELAY!$A:$D,4,FALSE),0)</f>
        <v>48000</v>
      </c>
      <c r="R225" s="9">
        <v>24000</v>
      </c>
      <c r="S225" s="5">
        <f t="shared" si="8"/>
        <v>24000</v>
      </c>
      <c r="T225" s="76">
        <v>0</v>
      </c>
      <c r="U225" s="5">
        <f>+Tabla145[[#This Row],[Atraso a facturar]]+Tabla145[[#This Row],[Ajuste atraso]]</f>
        <v>24000</v>
      </c>
      <c r="V225" s="3">
        <f>+Tabla145[[#This Row],[Total disponible]]-Tabla145[[#This Row],[Facturación atraso]]</f>
        <v>22174.665522833573</v>
      </c>
      <c r="W225" s="6">
        <f>IFERROR(IF(AND(V225&gt;R225,J225&gt;=R225),ROUNDDOWN((Tabla145[[#This Row],[Producción para venta nueva]])/R225,0)*R225,0),0)</f>
        <v>0</v>
      </c>
      <c r="X225" s="76">
        <v>0</v>
      </c>
      <c r="Y225" s="6">
        <f>IF(Tabla145[[#This Row],[Venta del mes]]&gt;0,Tabla145[[#This Row],[Venta del mes]]+Tabla145[[#This Row],[Ajuste venta nueva]],0)</f>
        <v>0</v>
      </c>
      <c r="Z225" s="6">
        <f>+Tabla145[[#This Row],[Producción para venta nueva]]-Tabla145[[#This Row],[Facturación Venta nueva]]</f>
        <v>22174.665522833573</v>
      </c>
      <c r="AA225" s="6">
        <f>IF(AND(A225=1,Tabla145[[#This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5" s="6">
        <v>0</v>
      </c>
      <c r="AC225" s="6">
        <f>IF(Tabla145[[#This Row],[Disponible stock sin venta]]&gt;0,Tabla145[[#This Row],[Disponible stock sin venta]]+Tabla145[[#This Row],[Ajuste stock sin venta]],0)</f>
        <v>0</v>
      </c>
      <c r="AD225" s="3">
        <f>IFERROR(VLOOKUP(Tabla145[[#This Row],[Llave]],'[16]TD Puerto'!$A:$D,4,FALSE),0)</f>
        <v>0</v>
      </c>
      <c r="AE225" s="3">
        <v>24000</v>
      </c>
      <c r="AF225" s="3">
        <f>+Tabla145[[#This Row],[Plan Irrestricto Inicial]]</f>
        <v>24000</v>
      </c>
      <c r="AG225" s="3">
        <f>+Tabla145[[#This Row],[En puerto a facturar]]</f>
        <v>0</v>
      </c>
      <c r="AH225" s="3">
        <f>+Tabla145[[#This Row],[Facturación atraso]]</f>
        <v>24000</v>
      </c>
      <c r="AI225" s="3">
        <f>+Tabla145[[#This Row],[Plan Irrestricto]]-Tabla145[[#This Row],[Puerto ]]-Tabla145[[#This Row],[Atraso]]</f>
        <v>0</v>
      </c>
      <c r="AJ225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225" s="3">
        <f>+Tabla145[[#This Row],[Facturación atraso]]</f>
        <v>24000</v>
      </c>
      <c r="AL225" s="3">
        <f>+Tabla145[[#This Row],[Plan Ajustado]]-Tabla145[[#This Row],[ Atraso ajustado]]-Tabla145[[#This Row],[Puerto ]]</f>
        <v>0</v>
      </c>
      <c r="AM225" s="6">
        <f>IFERROR(VLOOKUP(Tabla145[[#This Row],[Llave]],[18]!Tabla14[#All],34,FALSE),0)</f>
        <v>0</v>
      </c>
      <c r="AN225" s="6">
        <f>IFERROR(VLOOKUP(Tabla145[[#This Row],[Llave]],[18]!Tabla14[#All],35,FALSE),0)</f>
        <v>0</v>
      </c>
      <c r="AO225" s="3" t="str">
        <f>IF(Tabla145[[#This Row],[Plan Ajustado]]&gt;Tabla145[[#This Row],[En puerto a facturar]],"Si","No")</f>
        <v>Si</v>
      </c>
      <c r="AP225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225" s="3">
        <f>IF(Tabla145[[#This Row],[Necesidad]]&gt;=Tabla145[[#This Row],[Stock al día]],Tabla145[[#This Row],[Stock al día]],Tabla145[[#This Row],[Necesidad]])</f>
        <v>24000</v>
      </c>
      <c r="AR225" s="3">
        <f>+Tabla145[[#This Row],[Necesidad]]-Tabla145[[#This Row],[Stock Plan]]</f>
        <v>0</v>
      </c>
      <c r="AS225" s="155">
        <f>IFERROR(VLOOKUP(Tabla145[[#This Row],[Oficina]],[19]Ponderación!$B$14:$E$21,4,FALSE),"")</f>
        <v>44789</v>
      </c>
      <c r="AT22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1.5312175589500201</v>
      </c>
      <c r="AU225" s="83">
        <f>IFERROR(VLOOKUP(Tabla145[[#This Row],[Llave]],[17]DELAY!$H:$W,16,FALSE),0)</f>
        <v>1.5060833333333352</v>
      </c>
      <c r="AV22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1.5060833333333352</v>
      </c>
      <c r="AW225" s="5">
        <f>Tabla145[[#This Row],[Ajuste precio IC]]*Tabla145[[#This Row],[Plan Ajustado]]</f>
        <v>33279.999999999993</v>
      </c>
      <c r="AX225" s="30">
        <f>IFERROR(VLOOKUP(Tabla145[[#This Row],[Llave]],'[13]Ultimos precios facturados'!$A:$G,7,FALSE),0)</f>
        <v>1.451056198695132</v>
      </c>
      <c r="AY22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3.7922125061514884E-2</v>
      </c>
      <c r="AZ225" s="30">
        <f>IFERROR(VLOOKUP(Tabla145[[#This Row],[Llave]],Hoja2!B:K,10,FALSE),0)</f>
        <v>1.3866666666666663</v>
      </c>
      <c r="BA225" s="30">
        <f>IF(Tabla145[[#This Row],[Ajuste precio IC]]="",Tabla145[[#This Row],[Precio ponderado]],Tabla145[[#This Row],[Precio ponderado]])</f>
        <v>1.5060833333333352</v>
      </c>
      <c r="BB225" s="82"/>
      <c r="BC225" s="82" t="str">
        <f>IF(AND(Tabla145[[#This Row],[Atraso a facturar]]&gt;0,Tabla145[[#This Row],[Precio Atraso]]=0),"Revisar","OK")</f>
        <v>OK</v>
      </c>
      <c r="BD225" s="82" t="str">
        <f>IF(AND(Tabla145[[#This Row],[Venta del mes]]&gt;0,Tabla145[[#This Row],[Precio venta nueva]]=0),"Revisar","OK")</f>
        <v>OK</v>
      </c>
      <c r="BE225" s="20">
        <f>IFERROR(VLOOKUP(Tabla145[[#This Row],[Llave]],'[5]Consolidación planes'!$A:$M,9,FALSE),0)</f>
        <v>24000</v>
      </c>
      <c r="BF225" s="20">
        <f>IFERROR(VLOOKUP(Tabla145[[#This Row],[Llave]],'[5]Consolidación planes'!$A:$M,10,FALSE),0)</f>
        <v>120000</v>
      </c>
      <c r="BG225" s="20">
        <f>IFERROR(VLOOKUP(Tabla145[[#This Row],[Llave]],'[5]Consolidación planes'!$A:$M,11,FALSE),0)</f>
        <v>72000</v>
      </c>
      <c r="BH225" s="20">
        <f>IFERROR(VLOOKUP(Tabla145[[#This Row],[Llave]],'[5]Consolidación planes'!$A:$M,12,FALSE),0)</f>
        <v>0</v>
      </c>
      <c r="BI225" s="20">
        <f>IFERROR(VLOOKUP(Tabla145[[#This Row],[Llave]],'[5]Consolidación planes'!$A:$M,13,FALSE),0)</f>
        <v>24000</v>
      </c>
      <c r="BJ225" s="20">
        <f>IFERROR(VLOOKUP(Tabla145[[#This Row],[Llave]],'[13]Base ultimos planes'!$A:$M,13,FALSE),0)</f>
        <v>24000</v>
      </c>
      <c r="BK225" s="80">
        <f>IFERROR(VLOOKUP(Tabla145[[#This Row],[Llave]],'[13]Base ultimos planes'!$O:$AA,8,FALSE),0)</f>
        <v>34374.025999999998</v>
      </c>
      <c r="BL225" s="20">
        <f>IFERROR(VLOOKUP(Tabla145[[#This Row],[Llave]],'[13]Base ultimos planes'!$O:$AA,9,FALSE),0)</f>
        <v>172320</v>
      </c>
      <c r="BM225" s="20">
        <f>IFERROR(VLOOKUP(Tabla145[[#This Row],[Llave]],'[13]Base ultimos planes'!$O:$AA,10,FALSE),0)</f>
        <v>105840</v>
      </c>
      <c r="BN225" s="20">
        <f>IFERROR(VLOOKUP(Tabla145[[#This Row],[Llave]],'[13]Base ultimos planes'!$O:$AA,11,FALSE),0)</f>
        <v>0</v>
      </c>
      <c r="BO225" s="20">
        <f>IFERROR(VLOOKUP(Tabla145[[#This Row],[Llave]],'[13]Base ultimos planes'!$O:$AA,12,FALSE),0)</f>
        <v>34080</v>
      </c>
      <c r="BP225" s="20">
        <f>IFERROR(VLOOKUP(Tabla145[[#This Row],[Llave]],'[13]Base ultimos planes'!$O:$AA,13,FALSE),0)</f>
        <v>36052</v>
      </c>
      <c r="BQ225" s="20"/>
      <c r="BR225" s="20">
        <f>Tabla145[[#This Row],[ RV Producción mes n+1]]*(1-Tabla145[[#This Row],[% Uti. producción]])</f>
        <v>13027.334477166431</v>
      </c>
      <c r="BS225" s="20">
        <f>+Tabla145[[#This Row],[Producción disponible mes n-1]]+Tabla145[[#This Row],[Saldo Volumen disponible]]</f>
        <v>35202</v>
      </c>
      <c r="BT225" s="7">
        <f>IFERROR(VLOOKUP(Tabla145[[#This Row],[Llave]],'[21]RV n+2 y n+3'!$B:$F,4,FALSE),0)</f>
        <v>197523.37</v>
      </c>
      <c r="BU225" s="7">
        <f>+Tabla145[[#This Row],[Asignación mes n+2]]*Tabla145[[#This Row],[% Uti. producción]]</f>
        <v>90306.57799803745</v>
      </c>
      <c r="BV225" s="7">
        <f>+Tabla145[[#This Row],[Ponderación mes n+2]]+Tabla145[[#This Row],[Saldo mes n-1]]</f>
        <v>125508.57799803745</v>
      </c>
      <c r="BW225" s="7">
        <f>+Tabla145[[#This Row],[Asignación mes n+2]]-Tabla145[[#This Row],[Ponderación mes n+2]]</f>
        <v>107216.79200196255</v>
      </c>
      <c r="BX225" s="7">
        <f>IFERROR(VLOOKUP(Tabla145[[#This Row],[Llave]],'[21]RV n+2 y n+3'!$B:$F,5,FALSE),0)</f>
        <v>416000</v>
      </c>
      <c r="BY225" s="7">
        <f>+Tabla145[[#This Row],[Asignación mes n+3]]*Tabla145[[#This Row],[% Uti. producción]]</f>
        <v>190192.86906244856</v>
      </c>
      <c r="BZ225" s="3">
        <f>+Tabla145[[#This Row],[Ponderación mes n+3]]+Tabla145[[#This Row],[Saldo mes n+2]]</f>
        <v>297409.66106441111</v>
      </c>
      <c r="CA225" s="3">
        <f>+Tabla145[[#This Row],[Asignación mes n+3]]-Tabla145[[#This Row],[Ponderación mes n+3]]</f>
        <v>225807.13093755144</v>
      </c>
      <c r="CB225" s="3">
        <f>+Tabla145[[#This Row],[Producción disponible mes n-1]]+Tabla145[[#This Row],[Producción disponible]]</f>
        <v>24000</v>
      </c>
      <c r="CC225" s="3">
        <f>+Tabla145[[#This Row],[Saldo mes n+4]]-Tabla145[[#This Row],[ RV Producción mes n+1]]</f>
        <v>0</v>
      </c>
    </row>
    <row r="226" spans="1:81" ht="16" x14ac:dyDescent="0.2">
      <c r="A226">
        <v>1</v>
      </c>
      <c r="B226" t="str">
        <f>Tabla145[[#This Row],[Oficina]]&amp;Tabla145[[#This Row],[Material]]</f>
        <v>Agro Sudamerica1012283</v>
      </c>
      <c r="C226" t="s">
        <v>227</v>
      </c>
      <c r="D226" t="s">
        <v>17</v>
      </c>
      <c r="E226">
        <v>1012283</v>
      </c>
      <c r="F226" t="s">
        <v>246</v>
      </c>
      <c r="G226" t="s">
        <v>209</v>
      </c>
      <c r="H226" t="s">
        <v>245</v>
      </c>
      <c r="I226" s="7">
        <f>IFERROR(VLOOKUP(Tabla145[[#This Row],[Llave]],'[7]RV Producción'!$C:$G,5,FALSE),0)</f>
        <v>48021</v>
      </c>
      <c r="J226" s="3">
        <f>IFERROR(IF(Tabla145[[#This Row],[Oficina]]=$I$7,VLOOKUP(Tabla145[[#This Row],[Llave]],'[7]Shangai (Tomas)'!$A:$F,6,FALSE),VLOOKUP(Tabla145[[#This Row],[Llave]],'[7]RV plan de ventas'!$A:$E,5,FALSE)),0)</f>
        <v>49802</v>
      </c>
      <c r="K226" s="8">
        <f>IFERROR(VLOOKUP(Tabla145[[#This Row],[Oficina]],[15]Ponderación!$B$2:$E$9,4,FALSE),0)</f>
        <v>0.45719439678473212</v>
      </c>
      <c r="L226" s="7">
        <f>+Tabla145[[#This Row],[ RV Producción mes n+1]]*Tabla145[[#This Row],[% Uti. producción]]</f>
        <v>21954.932127999622</v>
      </c>
      <c r="M226" s="7">
        <f>IFERROR(VLOOKUP(Tabla145[[#This Row],[Material]],[16]Stock!$G:$K,5,FALSE),0)</f>
        <v>39188</v>
      </c>
      <c r="N226" s="7">
        <f>IFERROR(VLOOKUP(Tabla145[[#This Row],[Material]],[16]Produccion!$M:$N,2,FALSE),0)</f>
        <v>0</v>
      </c>
      <c r="O226" s="7">
        <f>IFERROR(VLOOKUP(Tabla145[[#This Row],[Llave]],'[16]TD Conf-AP'!$I:$M,4,FALSE),0)</f>
        <v>0</v>
      </c>
      <c r="P226" s="14">
        <f>SUM(Tabla145[[#This Row],[Producción disponible]],Tabla145[[#This Row],[Stock al día]],(Tabla145[[#This Row],[Por producir mes N]]*0.9))-Tabla145[[#This Row],[Producción por despachar mes N]]</f>
        <v>61142.932127999622</v>
      </c>
      <c r="Q226" s="7">
        <f>IFERROR(VLOOKUP(Tabla145[[#This Row],[Llave]],[17]DELAY!$A:$D,4,FALSE),0)</f>
        <v>23000</v>
      </c>
      <c r="R226" s="9">
        <v>24000</v>
      </c>
      <c r="S226" s="5">
        <f t="shared" si="8"/>
        <v>23000</v>
      </c>
      <c r="T226" s="76">
        <v>0</v>
      </c>
      <c r="U226" s="5">
        <f>+Tabla145[[#This Row],[Atraso a facturar]]+Tabla145[[#This Row],[Ajuste atraso]]</f>
        <v>23000</v>
      </c>
      <c r="V226" s="3">
        <f>+Tabla145[[#This Row],[Total disponible]]-Tabla145[[#This Row],[Facturación atraso]]</f>
        <v>38142.932127999622</v>
      </c>
      <c r="W226" s="6">
        <f>IFERROR(IF(AND(V226&gt;R226,J226&gt;=R226),ROUNDDOWN((Tabla145[[#This Row],[Producción para venta nueva]])/R226,0)*R226,0),0)</f>
        <v>24000</v>
      </c>
      <c r="X226" s="76">
        <v>0</v>
      </c>
      <c r="Y226" s="6">
        <f>IF(Tabla145[[#This Row],[Venta del mes]]&gt;0,Tabla145[[#This Row],[Venta del mes]]+Tabla145[[#This Row],[Ajuste venta nueva]],0)</f>
        <v>24000</v>
      </c>
      <c r="Z226" s="6">
        <f>+Tabla145[[#This Row],[Producción para venta nueva]]-Tabla145[[#This Row],[Facturación Venta nueva]]</f>
        <v>14142.932127999622</v>
      </c>
      <c r="AA226" s="6">
        <f>IF(AND(A226=1,Tabla145[[#This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6" s="6">
        <v>0</v>
      </c>
      <c r="AC226" s="6">
        <f>IF(Tabla145[[#This Row],[Disponible stock sin venta]]&gt;0,Tabla145[[#This Row],[Disponible stock sin venta]]+Tabla145[[#This Row],[Ajuste stock sin venta]],0)</f>
        <v>0</v>
      </c>
      <c r="AD226" s="3">
        <f>IFERROR(VLOOKUP(Tabla145[[#This Row],[Llave]],'[16]TD Puerto'!$A:$D,4,FALSE),0)</f>
        <v>0</v>
      </c>
      <c r="AE226" s="3">
        <v>47000</v>
      </c>
      <c r="AF226" s="3">
        <f>+Tabla145[[#This Row],[Plan Irrestricto Inicial]]</f>
        <v>47000</v>
      </c>
      <c r="AG226" s="3">
        <f>+Tabla145[[#This Row],[En puerto a facturar]]</f>
        <v>0</v>
      </c>
      <c r="AH226" s="3">
        <f>+Tabla145[[#This Row],[Facturación atraso]]</f>
        <v>23000</v>
      </c>
      <c r="AI226" s="3">
        <f>+Tabla145[[#This Row],[Plan Irrestricto]]-Tabla145[[#This Row],[Puerto ]]-Tabla145[[#This Row],[Atraso]]</f>
        <v>24000</v>
      </c>
      <c r="AJ226" s="3">
        <f>IF(Tabla145[[#This Row],[Plan Irrestricto]]&gt;0,SUM(Tabla145[[#This Row],[Facturación atraso]],Tabla145[[#This Row],[Facturación Venta nueva]],Tabla145[[#This Row],[Facturación stock]],Tabla145[[#This Row],[En puerto a facturar]]),0)</f>
        <v>47000</v>
      </c>
      <c r="AK226" s="3">
        <f>+Tabla145[[#This Row],[Facturación atraso]]</f>
        <v>23000</v>
      </c>
      <c r="AL226" s="3">
        <f>+Tabla145[[#This Row],[Plan Ajustado]]-Tabla145[[#This Row],[ Atraso ajustado]]-Tabla145[[#This Row],[Puerto ]]</f>
        <v>24000</v>
      </c>
      <c r="AM226" s="6">
        <f>IFERROR(VLOOKUP(Tabla145[[#This Row],[Llave]],[18]!Tabla14[#All],34,FALSE),0)</f>
        <v>0</v>
      </c>
      <c r="AN226" s="6">
        <f>IFERROR(VLOOKUP(Tabla145[[#This Row],[Llave]],[18]!Tabla14[#All],35,FALSE),0)</f>
        <v>0</v>
      </c>
      <c r="AO226" s="3" t="str">
        <f>IF(Tabla145[[#This Row],[Plan Ajustado]]&gt;Tabla145[[#This Row],[En puerto a facturar]],"Si","No")</f>
        <v>Si</v>
      </c>
      <c r="AP226" s="3">
        <f>IF(AND(Tabla145[[#This Row],[Plan Ajustado]]&gt;0,Tabla145[[#This Row],[Plan Ajustado]]&gt;Tabla145[[#This Row],[En puerto a facturar]]),(Tabla145[[#This Row],[Plan Ajustado]]-Tabla145[[#This Row],[En puerto a facturar]]),0)</f>
        <v>47000</v>
      </c>
      <c r="AQ226" s="3">
        <f>IF(Tabla145[[#This Row],[Necesidad]]&gt;=Tabla145[[#This Row],[Stock al día]],Tabla145[[#This Row],[Stock al día]],Tabla145[[#This Row],[Necesidad]])</f>
        <v>39188</v>
      </c>
      <c r="AR226" s="3">
        <f>+Tabla145[[#This Row],[Necesidad]]-Tabla145[[#This Row],[Stock Plan]]</f>
        <v>7812</v>
      </c>
      <c r="AS226" s="155">
        <f>IFERROR(VLOOKUP(Tabla145[[#This Row],[Oficina]],[19]Ponderación!$B$14:$E$21,4,FALSE),"")</f>
        <v>44789</v>
      </c>
      <c r="AT226" s="106">
        <v>0.786673611111111</v>
      </c>
      <c r="AU226" s="83">
        <f>IFERROR(VLOOKUP(Tabla145[[#This Row],[Llave]],[17]DELAY!$H:$W,16,FALSE),0)</f>
        <v>0.852281437125749</v>
      </c>
      <c r="AV22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0.81877956852252953</v>
      </c>
      <c r="AW226" s="5">
        <f>Tabla145[[#This Row],[Ajuste precio IC]]*Tabla145[[#This Row],[Plan Ajustado]]</f>
        <v>30550</v>
      </c>
      <c r="AX226" s="30">
        <f>IFERROR(VLOOKUP(Tabla145[[#This Row],[Llave]],'[13]Ultimos precios facturados'!$A:$G,7,FALSE),0)</f>
        <v>0.82966486310629084</v>
      </c>
      <c r="AY22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1.3120110381686442E-2</v>
      </c>
      <c r="AZ226" s="30">
        <f>IFERROR(VLOOKUP(Tabla145[[#This Row],[Llave]],Hoja2!B:K,10,FALSE),0)</f>
        <v>0.65</v>
      </c>
      <c r="BA226" s="30">
        <f>IF(Tabla145[[#This Row],[Ajuste precio IC]]="",Tabla145[[#This Row],[Precio ponderado]],Tabla145[[#This Row],[Precio ponderado]])</f>
        <v>0.81877956852252953</v>
      </c>
      <c r="BB226" s="82"/>
      <c r="BC226" s="82" t="str">
        <f>IF(AND(Tabla145[[#This Row],[Atraso a facturar]]&gt;0,Tabla145[[#This Row],[Precio Atraso]]=0),"Revisar","OK")</f>
        <v>OK</v>
      </c>
      <c r="BD226" s="82" t="str">
        <f>IF(AND(Tabla145[[#This Row],[Venta del mes]]&gt;0,Tabla145[[#This Row],[Precio venta nueva]]=0),"Revisar","OK")</f>
        <v>OK</v>
      </c>
      <c r="BE226" s="20">
        <f>IFERROR(VLOOKUP(Tabla145[[#This Row],[Llave]],'[5]Consolidación planes'!$A:$M,9,FALSE),0)</f>
        <v>72000</v>
      </c>
      <c r="BF226" s="20">
        <f>IFERROR(VLOOKUP(Tabla145[[#This Row],[Llave]],'[5]Consolidación planes'!$A:$M,10,FALSE),0)</f>
        <v>48000</v>
      </c>
      <c r="BG226" s="20">
        <f>IFERROR(VLOOKUP(Tabla145[[#This Row],[Llave]],'[5]Consolidación planes'!$A:$M,11,FALSE),0)</f>
        <v>60779</v>
      </c>
      <c r="BH226" s="20">
        <f>IFERROR(VLOOKUP(Tabla145[[#This Row],[Llave]],'[5]Consolidación planes'!$A:$M,12,FALSE),0)</f>
        <v>48000</v>
      </c>
      <c r="BI226" s="20">
        <f>IFERROR(VLOOKUP(Tabla145[[#This Row],[Llave]],'[5]Consolidación planes'!$A:$M,13,FALSE),0)</f>
        <v>48000</v>
      </c>
      <c r="BJ226" s="20">
        <f>IFERROR(VLOOKUP(Tabla145[[#This Row],[Llave]],'[13]Base ultimos planes'!$A:$M,13,FALSE),0)</f>
        <v>48000</v>
      </c>
      <c r="BK226" s="80">
        <f>IFERROR(VLOOKUP(Tabla145[[#This Row],[Llave]],'[13]Base ultimos planes'!$O:$AA,8,FALSE),0)</f>
        <v>50924.302000000003</v>
      </c>
      <c r="BL226" s="20">
        <f>IFERROR(VLOOKUP(Tabla145[[#This Row],[Llave]],'[13]Base ultimos planes'!$O:$AA,9,FALSE),0)</f>
        <v>34400</v>
      </c>
      <c r="BM226" s="20">
        <f>IFERROR(VLOOKUP(Tabla145[[#This Row],[Llave]],'[13]Base ultimos planes'!$O:$AA,10,FALSE),0)</f>
        <v>42545</v>
      </c>
      <c r="BN226" s="20">
        <f>IFERROR(VLOOKUP(Tabla145[[#This Row],[Llave]],'[13]Base ultimos planes'!$O:$AA,11,FALSE),0)</f>
        <v>36960</v>
      </c>
      <c r="BO226" s="20">
        <f>IFERROR(VLOOKUP(Tabla145[[#This Row],[Llave]],'[13]Base ultimos planes'!$O:$AA,12,FALSE),0)</f>
        <v>38133</v>
      </c>
      <c r="BP226" s="20">
        <f>IFERROR(VLOOKUP(Tabla145[[#This Row],[Llave]],'[13]Base ultimos planes'!$O:$AA,13,FALSE),0)</f>
        <v>38287</v>
      </c>
      <c r="BQ226" s="20"/>
      <c r="BR226" s="20">
        <f>Tabla145[[#This Row],[ RV Producción mes n+1]]*(1-Tabla145[[#This Row],[% Uti. producción]])</f>
        <v>26066.067872000382</v>
      </c>
      <c r="BS226" s="20">
        <f>+Tabla145[[#This Row],[Producción disponible mes n-1]]+Tabla145[[#This Row],[Saldo Volumen disponible]]</f>
        <v>40209</v>
      </c>
      <c r="BT226" s="7">
        <f>IFERROR(VLOOKUP(Tabla145[[#This Row],[Llave]],'[21]RV n+2 y n+3'!$B:$F,4,FALSE),0)</f>
        <v>42556</v>
      </c>
      <c r="BU226" s="7">
        <f>+Tabla145[[#This Row],[Asignación mes n+2]]*Tabla145[[#This Row],[% Uti. producción]]</f>
        <v>19456.364749571061</v>
      </c>
      <c r="BV226" s="7">
        <f>+Tabla145[[#This Row],[Ponderación mes n+2]]+Tabla145[[#This Row],[Saldo mes n-1]]</f>
        <v>59665.364749571061</v>
      </c>
      <c r="BW226" s="7">
        <f>+Tabla145[[#This Row],[Asignación mes n+2]]-Tabla145[[#This Row],[Ponderación mes n+2]]</f>
        <v>23099.635250428939</v>
      </c>
      <c r="BX226" s="7">
        <f>IFERROR(VLOOKUP(Tabla145[[#This Row],[Llave]],'[21]RV n+2 y n+3'!$B:$F,5,FALSE),0)</f>
        <v>32333</v>
      </c>
      <c r="BY226" s="7">
        <f>+Tabla145[[#This Row],[Asignación mes n+3]]*Tabla145[[#This Row],[% Uti. producción]]</f>
        <v>14782.466431240744</v>
      </c>
      <c r="BZ226" s="3">
        <f>+Tabla145[[#This Row],[Ponderación mes n+3]]+Tabla145[[#This Row],[Saldo mes n+2]]</f>
        <v>37882.101681669679</v>
      </c>
      <c r="CA226" s="3">
        <f>+Tabla145[[#This Row],[Asignación mes n+3]]-Tabla145[[#This Row],[Ponderación mes n+3]]</f>
        <v>17550.533568759256</v>
      </c>
      <c r="CB226" s="3">
        <f>+Tabla145[[#This Row],[Producción disponible mes n-1]]+Tabla145[[#This Row],[Producción disponible]]</f>
        <v>48021</v>
      </c>
      <c r="CC226" s="3">
        <f>+Tabla145[[#This Row],[Saldo mes n+4]]-Tabla145[[#This Row],[ RV Producción mes n+1]]</f>
        <v>0</v>
      </c>
    </row>
    <row r="227" spans="1:81" ht="16" x14ac:dyDescent="0.2">
      <c r="A227">
        <v>2</v>
      </c>
      <c r="B227" t="str">
        <f>Tabla145[[#This Row],[Oficina]]&amp;Tabla145[[#This Row],[Material]]</f>
        <v>Agro Sudamerica1012362</v>
      </c>
      <c r="C227" t="s">
        <v>227</v>
      </c>
      <c r="D227" t="s">
        <v>17</v>
      </c>
      <c r="E227">
        <v>1012362</v>
      </c>
      <c r="F227" t="s">
        <v>229</v>
      </c>
      <c r="G227" t="s">
        <v>209</v>
      </c>
      <c r="H227" t="s">
        <v>228</v>
      </c>
      <c r="I227" s="7">
        <f>IFERROR(VLOOKUP(Tabla145[[#This Row],[Llave]],'[7]RV Producción'!$C:$G,5,FALSE),0)</f>
        <v>0</v>
      </c>
      <c r="J227" s="3">
        <f>IFERROR(IF(Tabla145[[#This Row],[Oficina]]=$I$7,VLOOKUP(Tabla145[[#This Row],[Llave]],'[7]Shangai (Tomas)'!$A:$F,6,FALSE),VLOOKUP(Tabla145[[#This Row],[Llave]],'[7]RV plan de ventas'!$A:$E,5,FALSE)),0)</f>
        <v>0</v>
      </c>
      <c r="K227" s="8">
        <f>IFERROR(VLOOKUP(Tabla145[[#This Row],[Oficina]],[15]Ponderación!$B$2:$E$9,4,FALSE),0)</f>
        <v>0.45719439678473212</v>
      </c>
      <c r="L227" s="7">
        <f>+Tabla145[[#This Row],[ RV Producción mes n+1]]*Tabla145[[#This Row],[% Uti. producción]]</f>
        <v>0</v>
      </c>
      <c r="M227" s="7">
        <f>IFERROR(VLOOKUP(Tabla145[[#This Row],[Material]],[16]Stock!$G:$K,5,FALSE),0)</f>
        <v>66024</v>
      </c>
      <c r="N227" s="7">
        <f>IFERROR(VLOOKUP(Tabla145[[#This Row],[Material]],[16]Produccion!$M:$N,2,FALSE),0)</f>
        <v>9020</v>
      </c>
      <c r="O227" s="7">
        <f>IFERROR(VLOOKUP(Tabla145[[#This Row],[Llave]],'[16]TD Conf-AP'!$I:$M,4,FALSE),0)</f>
        <v>0</v>
      </c>
      <c r="P227" s="14">
        <f>SUM(Tabla145[[#This Row],[Producción disponible]],Tabla145[[#This Row],[Stock al día]],(Tabla145[[#This Row],[Por producir mes N]]*0.9))-Tabla145[[#This Row],[Producción por despachar mes N]]</f>
        <v>74142</v>
      </c>
      <c r="Q227" s="7">
        <f>IFERROR(VLOOKUP(Tabla145[[#This Row],[Llave]],[17]DELAY!$A:$D,4,FALSE),0)</f>
        <v>29000</v>
      </c>
      <c r="R227" s="9">
        <v>24000</v>
      </c>
      <c r="S227" s="5">
        <f t="shared" si="8"/>
        <v>29000</v>
      </c>
      <c r="T227" s="76">
        <v>0</v>
      </c>
      <c r="U227" s="5">
        <f>+Tabla145[[#This Row],[Atraso a facturar]]+Tabla145[[#This Row],[Ajuste atraso]]</f>
        <v>29000</v>
      </c>
      <c r="V227" s="3">
        <f>+Tabla145[[#This Row],[Total disponible]]-Tabla145[[#This Row],[Facturación atraso]]</f>
        <v>45142</v>
      </c>
      <c r="W227" s="6">
        <f>IFERROR(IF(AND(V227&gt;R227,J227&gt;=R227),ROUNDDOWN((Tabla145[[#This Row],[Producción para venta nueva]])/R227,0)*R227,0),0)</f>
        <v>0</v>
      </c>
      <c r="X227" s="76">
        <v>0</v>
      </c>
      <c r="Y227" s="6">
        <f>IF(Tabla145[[#This Row],[Venta del mes]]&gt;0,Tabla145[[#This Row],[Venta del mes]]+Tabla145[[#This Row],[Ajuste venta nueva]],0)</f>
        <v>0</v>
      </c>
      <c r="Z227" s="6">
        <f>+Tabla145[[#This Row],[Producción para venta nueva]]-Tabla145[[#This Row],[Facturación Venta nueva]]</f>
        <v>45142</v>
      </c>
      <c r="AA227" s="6">
        <f>IF(AND(A227=1,Tabla145[[#This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7" s="6">
        <v>0</v>
      </c>
      <c r="AC227" s="6">
        <f>IF(Tabla145[[#This Row],[Disponible stock sin venta]]&gt;0,Tabla145[[#This Row],[Disponible stock sin venta]]+Tabla145[[#This Row],[Ajuste stock sin venta]],0)</f>
        <v>0</v>
      </c>
      <c r="AD227" s="3">
        <f>IFERROR(VLOOKUP(Tabla145[[#This Row],[Llave]],'[16]TD Puerto'!$A:$D,4,FALSE),0)</f>
        <v>0</v>
      </c>
      <c r="AE227" s="3">
        <v>29000</v>
      </c>
      <c r="AF227" s="3">
        <f>+Tabla145[[#This Row],[Plan Irrestricto Inicial]]</f>
        <v>29000</v>
      </c>
      <c r="AG227" s="3">
        <f>+Tabla145[[#This Row],[En puerto a facturar]]</f>
        <v>0</v>
      </c>
      <c r="AH227" s="3">
        <f>+Tabla145[[#This Row],[Facturación atraso]]</f>
        <v>29000</v>
      </c>
      <c r="AI227" s="3">
        <f>+Tabla145[[#This Row],[Plan Irrestricto]]-Tabla145[[#This Row],[Puerto ]]-Tabla145[[#This Row],[Atraso]]</f>
        <v>0</v>
      </c>
      <c r="AJ227" s="3">
        <f>IF(Tabla145[[#This Row],[Plan Irrestricto]]&gt;0,SUM(Tabla145[[#This Row],[Facturación atraso]],Tabla145[[#This Row],[Facturación Venta nueva]],Tabla145[[#This Row],[Facturación stock]],Tabla145[[#This Row],[En puerto a facturar]]),0)</f>
        <v>29000</v>
      </c>
      <c r="AK227" s="3">
        <f>+Tabla145[[#This Row],[Facturación atraso]]</f>
        <v>29000</v>
      </c>
      <c r="AL227" s="3">
        <f>+Tabla145[[#This Row],[Plan Ajustado]]-Tabla145[[#This Row],[ Atraso ajustado]]-Tabla145[[#This Row],[Puerto ]]</f>
        <v>0</v>
      </c>
      <c r="AM227" s="6">
        <f>IFERROR(VLOOKUP(Tabla145[[#This Row],[Llave]],[18]!Tabla14[#All],34,FALSE),0)</f>
        <v>0</v>
      </c>
      <c r="AN227" s="6">
        <f>IFERROR(VLOOKUP(Tabla145[[#This Row],[Llave]],[18]!Tabla14[#All],35,FALSE),0)</f>
        <v>0</v>
      </c>
      <c r="AO227" s="3" t="str">
        <f>IF(Tabla145[[#This Row],[Plan Ajustado]]&gt;Tabla145[[#This Row],[En puerto a facturar]],"Si","No")</f>
        <v>Si</v>
      </c>
      <c r="AP227" s="3">
        <f>IF(AND(Tabla145[[#This Row],[Plan Ajustado]]&gt;0,Tabla145[[#This Row],[Plan Ajustado]]&gt;Tabla145[[#This Row],[En puerto a facturar]]),(Tabla145[[#This Row],[Plan Ajustado]]-Tabla145[[#This Row],[En puerto a facturar]]),0)</f>
        <v>29000</v>
      </c>
      <c r="AQ227" s="3">
        <f>IF(Tabla145[[#This Row],[Necesidad]]&gt;=Tabla145[[#This Row],[Stock al día]],Tabla145[[#This Row],[Stock al día]],Tabla145[[#This Row],[Necesidad]])</f>
        <v>29000</v>
      </c>
      <c r="AR227" s="3">
        <f>+Tabla145[[#This Row],[Necesidad]]-Tabla145[[#This Row],[Stock Plan]]</f>
        <v>0</v>
      </c>
      <c r="AS227" s="155">
        <f>IFERROR(VLOOKUP(Tabla145[[#This Row],[Oficina]],[19]Ponderación!$B$14:$E$21,4,FALSE),"")</f>
        <v>44789</v>
      </c>
      <c r="AT22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0.70593220424209169</v>
      </c>
      <c r="AU227" s="83">
        <f>IFERROR(VLOOKUP(Tabla145[[#This Row],[Llave]],[17]DELAY!$H:$W,16,FALSE),0)</f>
        <v>0.81251149310344795</v>
      </c>
      <c r="AV22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0.81251149310344795</v>
      </c>
      <c r="AW227" s="5">
        <f>Tabla145[[#This Row],[Ajuste precio IC]]*Tabla145[[#This Row],[Plan Ajustado]]</f>
        <v>22620</v>
      </c>
      <c r="AX227" s="30">
        <f>IFERROR(VLOOKUP(Tabla145[[#This Row],[Llave]],'[13]Ultimos precios facturados'!$A:$G,7,FALSE),0)</f>
        <v>0.70593220424209169</v>
      </c>
      <c r="AY22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0.1509766635108859</v>
      </c>
      <c r="AZ227" s="30">
        <f>IFERROR(VLOOKUP(Tabla145[[#This Row],[Llave]],Hoja2!B:K,10,FALSE),0)</f>
        <v>0.78</v>
      </c>
      <c r="BA227" s="30">
        <f>IF(Tabla145[[#This Row],[Ajuste precio IC]]="",Tabla145[[#This Row],[Precio ponderado]],Tabla145[[#This Row],[Precio ponderado]])</f>
        <v>0.81251149310344795</v>
      </c>
      <c r="BB227" s="82"/>
      <c r="BC227" s="82" t="str">
        <f>IF(AND(Tabla145[[#This Row],[Atraso a facturar]]&gt;0,Tabla145[[#This Row],[Precio Atraso]]=0),"Revisar","OK")</f>
        <v>OK</v>
      </c>
      <c r="BD227" s="82" t="str">
        <f>IF(AND(Tabla145[[#This Row],[Venta del mes]]&gt;0,Tabla145[[#This Row],[Precio venta nueva]]=0),"Revisar","OK")</f>
        <v>OK</v>
      </c>
      <c r="BE227" s="20">
        <f>IFERROR(VLOOKUP(Tabla145[[#This Row],[Llave]],'[5]Consolidación planes'!$A:$M,9,FALSE),0)</f>
        <v>0</v>
      </c>
      <c r="BF227" s="20">
        <f>IFERROR(VLOOKUP(Tabla145[[#This Row],[Llave]],'[5]Consolidación planes'!$A:$M,10,FALSE),0)</f>
        <v>3000</v>
      </c>
      <c r="BG227" s="20">
        <f>IFERROR(VLOOKUP(Tabla145[[#This Row],[Llave]],'[5]Consolidación planes'!$A:$M,11,FALSE),0)</f>
        <v>0</v>
      </c>
      <c r="BH227" s="20">
        <f>IFERROR(VLOOKUP(Tabla145[[#This Row],[Llave]],'[5]Consolidación planes'!$A:$M,12,FALSE),0)</f>
        <v>0</v>
      </c>
      <c r="BI227" s="20">
        <f>IFERROR(VLOOKUP(Tabla145[[#This Row],[Llave]],'[5]Consolidación planes'!$A:$M,13,FALSE),0)</f>
        <v>13000</v>
      </c>
      <c r="BJ227" s="20">
        <f>IFERROR(VLOOKUP(Tabla145[[#This Row],[Llave]],'[13]Base ultimos planes'!$A:$M,13,FALSE),0)</f>
        <v>10000</v>
      </c>
      <c r="BK227" s="80">
        <f>IFERROR(VLOOKUP(Tabla145[[#This Row],[Llave]],'[13]Base ultimos planes'!$O:$AA,8,FALSE),0)</f>
        <v>0</v>
      </c>
      <c r="BL227" s="20">
        <f>IFERROR(VLOOKUP(Tabla145[[#This Row],[Llave]],'[13]Base ultimos planes'!$O:$AA,9,FALSE),0)</f>
        <v>1790</v>
      </c>
      <c r="BM227" s="20">
        <f>IFERROR(VLOOKUP(Tabla145[[#This Row],[Llave]],'[13]Base ultimos planes'!$O:$AA,10,FALSE),0)</f>
        <v>0</v>
      </c>
      <c r="BN227" s="20">
        <f>IFERROR(VLOOKUP(Tabla145[[#This Row],[Llave]],'[13]Base ultimos planes'!$O:$AA,11,FALSE),0)</f>
        <v>0</v>
      </c>
      <c r="BO227" s="20">
        <f>IFERROR(VLOOKUP(Tabla145[[#This Row],[Llave]],'[13]Base ultimos planes'!$O:$AA,12,FALSE),0)</f>
        <v>10310</v>
      </c>
      <c r="BP227" s="20">
        <f>IFERROR(VLOOKUP(Tabla145[[#This Row],[Llave]],'[13]Base ultimos planes'!$O:$AA,13,FALSE),0)</f>
        <v>7859</v>
      </c>
      <c r="BQ227" s="20"/>
      <c r="BR227" s="20">
        <f>Tabla145[[#This Row],[ RV Producción mes n+1]]*(1-Tabla145[[#This Row],[% Uti. producción]])</f>
        <v>0</v>
      </c>
      <c r="BS227" s="20">
        <f>+Tabla145[[#This Row],[Producción disponible mes n-1]]+Tabla145[[#This Row],[Saldo Volumen disponible]]</f>
        <v>45142</v>
      </c>
      <c r="BT227" s="7">
        <f>IFERROR(VLOOKUP(Tabla145[[#This Row],[Llave]],'[21]RV n+2 y n+3'!$B:$F,4,FALSE),0)</f>
        <v>0</v>
      </c>
      <c r="BU227" s="7">
        <f>+Tabla145[[#This Row],[Asignación mes n+2]]*Tabla145[[#This Row],[% Uti. producción]]</f>
        <v>0</v>
      </c>
      <c r="BV227" s="7">
        <f>+Tabla145[[#This Row],[Ponderación mes n+2]]+Tabla145[[#This Row],[Saldo mes n-1]]</f>
        <v>45142</v>
      </c>
      <c r="BW227" s="7">
        <f>+Tabla145[[#This Row],[Asignación mes n+2]]-Tabla145[[#This Row],[Ponderación mes n+2]]</f>
        <v>0</v>
      </c>
      <c r="BX227" s="7">
        <f>IFERROR(VLOOKUP(Tabla145[[#This Row],[Llave]],'[21]RV n+2 y n+3'!$B:$F,5,FALSE),0)</f>
        <v>0</v>
      </c>
      <c r="BY227" s="7">
        <f>+Tabla145[[#This Row],[Asignación mes n+3]]*Tabla145[[#This Row],[% Uti. producción]]</f>
        <v>0</v>
      </c>
      <c r="BZ227" s="3">
        <f>+Tabla145[[#This Row],[Ponderación mes n+3]]+Tabla145[[#This Row],[Saldo mes n+2]]</f>
        <v>0</v>
      </c>
      <c r="CA227" s="3">
        <f>+Tabla145[[#This Row],[Asignación mes n+3]]-Tabla145[[#This Row],[Ponderación mes n+3]]</f>
        <v>0</v>
      </c>
      <c r="CB227" s="3">
        <f>+Tabla145[[#This Row],[Producción disponible mes n-1]]+Tabla145[[#This Row],[Producción disponible]]</f>
        <v>0</v>
      </c>
      <c r="CC227" s="3">
        <f>+Tabla145[[#This Row],[Saldo mes n+4]]-Tabla145[[#This Row],[ RV Producción mes n+1]]</f>
        <v>0</v>
      </c>
    </row>
    <row r="228" spans="1:81" ht="16" x14ac:dyDescent="0.2">
      <c r="A228">
        <v>1</v>
      </c>
      <c r="B228" t="str">
        <f>Tabla145[[#This Row],[Oficina]]&amp;Tabla145[[#This Row],[Material]]</f>
        <v>Agro Sudamerica1012552</v>
      </c>
      <c r="C228" t="s">
        <v>227</v>
      </c>
      <c r="D228" t="s">
        <v>17</v>
      </c>
      <c r="E228">
        <v>1012552</v>
      </c>
      <c r="F228" t="s">
        <v>251</v>
      </c>
      <c r="G228" t="s">
        <v>247</v>
      </c>
      <c r="H228" t="s">
        <v>248</v>
      </c>
      <c r="I228" s="7">
        <f>IFERROR(VLOOKUP(Tabla145[[#This Row],[Llave]],'[7]RV Producción'!$C:$G,5,FALSE),0)</f>
        <v>47900</v>
      </c>
      <c r="J228" s="3">
        <f>IFERROR(IF(Tabla145[[#This Row],[Oficina]]=$I$7,VLOOKUP(Tabla145[[#This Row],[Llave]],'[7]Shangai (Tomas)'!$A:$F,6,FALSE),VLOOKUP(Tabla145[[#This Row],[Llave]],'[7]RV plan de ventas'!$A:$E,5,FALSE)),0)</f>
        <v>48000</v>
      </c>
      <c r="K228" s="8">
        <f>IFERROR(VLOOKUP(Tabla145[[#This Row],[Oficina]],[15]Ponderación!$B$2:$E$9,4,FALSE),0)</f>
        <v>0.45719439678473212</v>
      </c>
      <c r="L228" s="7">
        <f>+Tabla145[[#This Row],[ RV Producción mes n+1]]*Tabla145[[#This Row],[% Uti. producción]]</f>
        <v>21899.61160598867</v>
      </c>
      <c r="M228" s="7">
        <f>IFERROR(VLOOKUP(Tabla145[[#This Row],[Material]],[16]Stock!$G:$K,5,FALSE),0)</f>
        <v>41260</v>
      </c>
      <c r="N228" s="7">
        <f>IFERROR(VLOOKUP(Tabla145[[#This Row],[Material]],[16]Produccion!$M:$N,2,FALSE),0)</f>
        <v>0</v>
      </c>
      <c r="O228" s="7">
        <f>IFERROR(VLOOKUP(Tabla145[[#This Row],[Llave]],'[16]TD Conf-AP'!$I:$M,4,FALSE),0)</f>
        <v>0</v>
      </c>
      <c r="P228" s="14">
        <f>SUM(Tabla145[[#This Row],[Producción disponible]],Tabla145[[#This Row],[Stock al día]],(Tabla145[[#This Row],[Por producir mes N]]*0.9))-Tabla145[[#This Row],[Producción por despachar mes N]]</f>
        <v>63159.61160598867</v>
      </c>
      <c r="Q228" s="7">
        <f>IFERROR(VLOOKUP(Tabla145[[#This Row],[Llave]],[17]DELAY!$A:$D,4,FALSE),0)</f>
        <v>47000</v>
      </c>
      <c r="R228" s="9">
        <v>24000</v>
      </c>
      <c r="S228" s="5">
        <f t="shared" si="8"/>
        <v>47000</v>
      </c>
      <c r="T228" s="76">
        <v>0</v>
      </c>
      <c r="U228" s="5">
        <f>+Tabla145[[#This Row],[Atraso a facturar]]+Tabla145[[#This Row],[Ajuste atraso]]</f>
        <v>47000</v>
      </c>
      <c r="V228" s="3">
        <f>+Tabla145[[#This Row],[Total disponible]]-Tabla145[[#This Row],[Facturación atraso]]</f>
        <v>16159.61160598867</v>
      </c>
      <c r="W228" s="6">
        <f>IFERROR(IF(AND(V228&gt;R228,J228&gt;=R228),ROUNDDOWN((Tabla145[[#This Row],[Producción para venta nueva]])/R228,0)*R228,0),0)</f>
        <v>0</v>
      </c>
      <c r="X228" s="76">
        <v>0</v>
      </c>
      <c r="Y228" s="6">
        <f>IF(Tabla145[[#This Row],[Venta del mes]]&gt;0,Tabla145[[#This Row],[Venta del mes]]+Tabla145[[#This Row],[Ajuste venta nueva]],0)</f>
        <v>0</v>
      </c>
      <c r="Z228" s="6">
        <f>+Tabla145[[#This Row],[Producción para venta nueva]]-Tabla145[[#This Row],[Facturación Venta nueva]]</f>
        <v>16159.61160598867</v>
      </c>
      <c r="AA228" s="6">
        <f>IF(AND(A228=1,Tabla145[[#This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8" s="6">
        <v>0</v>
      </c>
      <c r="AC228" s="6">
        <f>IF(Tabla145[[#This Row],[Disponible stock sin venta]]&gt;0,Tabla145[[#This Row],[Disponible stock sin venta]]+Tabla145[[#This Row],[Ajuste stock sin venta]],0)</f>
        <v>0</v>
      </c>
      <c r="AD228" s="3">
        <f>IFERROR(VLOOKUP(Tabla145[[#This Row],[Llave]],'[16]TD Puerto'!$A:$D,4,FALSE),0)</f>
        <v>0</v>
      </c>
      <c r="AE228" s="3">
        <v>47000</v>
      </c>
      <c r="AF228" s="3">
        <f>+Tabla145[[#This Row],[Plan Irrestricto Inicial]]</f>
        <v>47000</v>
      </c>
      <c r="AG228" s="3">
        <f>+Tabla145[[#This Row],[En puerto a facturar]]</f>
        <v>0</v>
      </c>
      <c r="AH228" s="3">
        <f>+Tabla145[[#This Row],[Facturación atraso]]</f>
        <v>47000</v>
      </c>
      <c r="AI228" s="3">
        <f>+Tabla145[[#This Row],[Plan Irrestricto]]-Tabla145[[#This Row],[Puerto ]]-Tabla145[[#This Row],[Atraso]]</f>
        <v>0</v>
      </c>
      <c r="AJ228" s="3">
        <f>IF(Tabla145[[#This Row],[Plan Irrestricto]]&gt;0,SUM(Tabla145[[#This Row],[Facturación atraso]],Tabla145[[#This Row],[Facturación Venta nueva]],Tabla145[[#This Row],[Facturación stock]],Tabla145[[#This Row],[En puerto a facturar]]),0)</f>
        <v>47000</v>
      </c>
      <c r="AK228" s="3">
        <f>+Tabla145[[#This Row],[Facturación atraso]]</f>
        <v>47000</v>
      </c>
      <c r="AL228" s="3">
        <f>+Tabla145[[#This Row],[Plan Ajustado]]-Tabla145[[#This Row],[ Atraso ajustado]]-Tabla145[[#This Row],[Puerto ]]</f>
        <v>0</v>
      </c>
      <c r="AM228" s="6">
        <f>IFERROR(VLOOKUP(Tabla145[[#This Row],[Llave]],[18]!Tabla14[#All],34,FALSE),0)</f>
        <v>0</v>
      </c>
      <c r="AN228" s="6">
        <f>IFERROR(VLOOKUP(Tabla145[[#This Row],[Llave]],[18]!Tabla14[#All],35,FALSE),0)</f>
        <v>0</v>
      </c>
      <c r="AO228" s="3" t="str">
        <f>IF(Tabla145[[#This Row],[Plan Ajustado]]&gt;Tabla145[[#This Row],[En puerto a facturar]],"Si","No")</f>
        <v>Si</v>
      </c>
      <c r="AP228" s="3">
        <f>IF(AND(Tabla145[[#This Row],[Plan Ajustado]]&gt;0,Tabla145[[#This Row],[Plan Ajustado]]&gt;Tabla145[[#This Row],[En puerto a facturar]]),(Tabla145[[#This Row],[Plan Ajustado]]-Tabla145[[#This Row],[En puerto a facturar]]),0)</f>
        <v>47000</v>
      </c>
      <c r="AQ228" s="3">
        <f>IF(Tabla145[[#This Row],[Necesidad]]&gt;=Tabla145[[#This Row],[Stock al día]],Tabla145[[#This Row],[Stock al día]],Tabla145[[#This Row],[Necesidad]])</f>
        <v>41260</v>
      </c>
      <c r="AR228" s="3">
        <f>+Tabla145[[#This Row],[Necesidad]]-Tabla145[[#This Row],[Stock Plan]]</f>
        <v>5740</v>
      </c>
      <c r="AS228" s="155">
        <f>IFERROR(VLOOKUP(Tabla145[[#This Row],[Oficina]],[19]Ponderación!$B$14:$E$21,4,FALSE),"")</f>
        <v>44789</v>
      </c>
      <c r="AT22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3.5</v>
      </c>
      <c r="AU228" s="83">
        <f>IFERROR(VLOOKUP(Tabla145[[#This Row],[Llave]],[17]DELAY!$H:$W,16,FALSE),0)</f>
        <v>4.2734042553191491</v>
      </c>
      <c r="AV22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4.2734042553191491</v>
      </c>
      <c r="AW228" s="5">
        <f>Tabla145[[#This Row],[Ajuste precio IC]]*Tabla145[[#This Row],[Plan Ajustado]]</f>
        <v>162150</v>
      </c>
      <c r="AX228" s="30">
        <f>IFERROR(VLOOKUP(Tabla145[[#This Row],[Llave]],'[13]Ultimos precios facturados'!$A:$G,7,FALSE),0)</f>
        <v>4.0301468478826594</v>
      </c>
      <c r="AY22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6.0359440144046164E-2</v>
      </c>
      <c r="AZ228" s="30">
        <f>IFERROR(VLOOKUP(Tabla145[[#This Row],[Llave]],Hoja2!B:K,10,FALSE),0)</f>
        <v>3.45</v>
      </c>
      <c r="BA228" s="30">
        <f>IF(Tabla145[[#This Row],[Ajuste precio IC]]="",Tabla145[[#This Row],[Precio ponderado]],Tabla145[[#This Row],[Precio ponderado]])</f>
        <v>4.2734042553191491</v>
      </c>
      <c r="BB228" s="82"/>
      <c r="BC228" s="82" t="str">
        <f>IF(AND(Tabla145[[#This Row],[Atraso a facturar]]&gt;0,Tabla145[[#This Row],[Precio Atraso]]=0),"Revisar","OK")</f>
        <v>OK</v>
      </c>
      <c r="BD228" s="82" t="str">
        <f>IF(AND(Tabla145[[#This Row],[Venta del mes]]&gt;0,Tabla145[[#This Row],[Precio venta nueva]]=0),"Revisar","OK")</f>
        <v>OK</v>
      </c>
      <c r="BE228" s="20">
        <f>IFERROR(VLOOKUP(Tabla145[[#This Row],[Llave]],'[5]Consolidación planes'!$A:$M,9,FALSE),0)</f>
        <v>48000</v>
      </c>
      <c r="BF228" s="20">
        <f>IFERROR(VLOOKUP(Tabla145[[#This Row],[Llave]],'[5]Consolidación planes'!$A:$M,10,FALSE),0)</f>
        <v>48000</v>
      </c>
      <c r="BG228" s="20">
        <f>IFERROR(VLOOKUP(Tabla145[[#This Row],[Llave]],'[5]Consolidación planes'!$A:$M,11,FALSE),0)</f>
        <v>48000</v>
      </c>
      <c r="BH228" s="20">
        <f>IFERROR(VLOOKUP(Tabla145[[#This Row],[Llave]],'[5]Consolidación planes'!$A:$M,12,FALSE),0)</f>
        <v>24000</v>
      </c>
      <c r="BI228" s="20">
        <f>IFERROR(VLOOKUP(Tabla145[[#This Row],[Llave]],'[5]Consolidación planes'!$A:$M,13,FALSE),0)</f>
        <v>72000</v>
      </c>
      <c r="BJ228" s="20">
        <f>IFERROR(VLOOKUP(Tabla145[[#This Row],[Llave]],'[13]Base ultimos planes'!$A:$M,13,FALSE),0)</f>
        <v>46000</v>
      </c>
      <c r="BK228" s="80">
        <f>IFERROR(VLOOKUP(Tabla145[[#This Row],[Llave]],'[13]Base ultimos planes'!$O:$AA,8,FALSE),0)</f>
        <v>168000</v>
      </c>
      <c r="BL228" s="20">
        <f>IFERROR(VLOOKUP(Tabla145[[#This Row],[Llave]],'[13]Base ultimos planes'!$O:$AA,9,FALSE),0)</f>
        <v>176400</v>
      </c>
      <c r="BM228" s="20">
        <f>IFERROR(VLOOKUP(Tabla145[[#This Row],[Llave]],'[13]Base ultimos planes'!$O:$AA,10,FALSE),0)</f>
        <v>194629</v>
      </c>
      <c r="BN228" s="20">
        <f>IFERROR(VLOOKUP(Tabla145[[#This Row],[Llave]],'[13]Base ultimos planes'!$O:$AA,11,FALSE),0)</f>
        <v>94080</v>
      </c>
      <c r="BO228" s="20">
        <f>IFERROR(VLOOKUP(Tabla145[[#This Row],[Llave]],'[13]Base ultimos planes'!$O:$AA,12,FALSE),0)</f>
        <v>321014</v>
      </c>
      <c r="BP228" s="20">
        <f>IFERROR(VLOOKUP(Tabla145[[#This Row],[Llave]],'[13]Base ultimos planes'!$O:$AA,13,FALSE),0)</f>
        <v>207000</v>
      </c>
      <c r="BQ228" s="20"/>
      <c r="BR228" s="20">
        <f>Tabla145[[#This Row],[ RV Producción mes n+1]]*(1-Tabla145[[#This Row],[% Uti. producción]])</f>
        <v>26000.388394011334</v>
      </c>
      <c r="BS228" s="20">
        <f>+Tabla145[[#This Row],[Producción disponible mes n-1]]+Tabla145[[#This Row],[Saldo Volumen disponible]]</f>
        <v>42160</v>
      </c>
      <c r="BT228" s="7">
        <f>IFERROR(VLOOKUP(Tabla145[[#This Row],[Llave]],'[21]RV n+2 y n+3'!$B:$F,4,FALSE),0)</f>
        <v>94000</v>
      </c>
      <c r="BU228" s="7">
        <f>+Tabla145[[#This Row],[Asignación mes n+2]]*Tabla145[[#This Row],[% Uti. producción]]</f>
        <v>42976.273297764819</v>
      </c>
      <c r="BV228" s="7">
        <f>+Tabla145[[#This Row],[Ponderación mes n+2]]+Tabla145[[#This Row],[Saldo mes n-1]]</f>
        <v>85136.273297764827</v>
      </c>
      <c r="BW228" s="7">
        <f>+Tabla145[[#This Row],[Asignación mes n+2]]-Tabla145[[#This Row],[Ponderación mes n+2]]</f>
        <v>51023.726702235181</v>
      </c>
      <c r="BX228" s="7">
        <f>IFERROR(VLOOKUP(Tabla145[[#This Row],[Llave]],'[21]RV n+2 y n+3'!$B:$F,5,FALSE),0)</f>
        <v>94000</v>
      </c>
      <c r="BY228" s="7">
        <f>+Tabla145[[#This Row],[Asignación mes n+3]]*Tabla145[[#This Row],[% Uti. producción]]</f>
        <v>42976.273297764819</v>
      </c>
      <c r="BZ228" s="3">
        <f>+Tabla145[[#This Row],[Ponderación mes n+3]]+Tabla145[[#This Row],[Saldo mes n+2]]</f>
        <v>94000</v>
      </c>
      <c r="CA228" s="3">
        <f>+Tabla145[[#This Row],[Asignación mes n+3]]-Tabla145[[#This Row],[Ponderación mes n+3]]</f>
        <v>51023.726702235181</v>
      </c>
      <c r="CB228" s="3">
        <f>+Tabla145[[#This Row],[Producción disponible mes n-1]]+Tabla145[[#This Row],[Producción disponible]]</f>
        <v>47900</v>
      </c>
      <c r="CC228" s="3">
        <f>+Tabla145[[#This Row],[Saldo mes n+4]]-Tabla145[[#This Row],[ RV Producción mes n+1]]</f>
        <v>0</v>
      </c>
    </row>
    <row r="229" spans="1:81" ht="16" x14ac:dyDescent="0.2">
      <c r="A229">
        <v>1</v>
      </c>
      <c r="B229" t="str">
        <f>Tabla145[[#This Row],[Oficina]]&amp;Tabla145[[#This Row],[Material]]</f>
        <v>Agro Sudamerica1012556</v>
      </c>
      <c r="C229" t="s">
        <v>227</v>
      </c>
      <c r="D229" t="s">
        <v>17</v>
      </c>
      <c r="E229">
        <v>1012556</v>
      </c>
      <c r="F229" t="s">
        <v>235</v>
      </c>
      <c r="G229" t="s">
        <v>233</v>
      </c>
      <c r="H229" t="s">
        <v>234</v>
      </c>
      <c r="I229" s="7">
        <f>IFERROR(VLOOKUP(Tabla145[[#This Row],[Llave]],'[7]RV Producción'!$C:$G,5,FALSE),0)</f>
        <v>270907</v>
      </c>
      <c r="J229" s="3">
        <f>IFERROR(IF(Tabla145[[#This Row],[Oficina]]=$I$7,VLOOKUP(Tabla145[[#This Row],[Llave]],'[7]Shangai (Tomas)'!$A:$F,6,FALSE),VLOOKUP(Tabla145[[#This Row],[Llave]],'[7]RV plan de ventas'!$A:$E,5,FALSE)),0)</f>
        <v>240000</v>
      </c>
      <c r="K229" s="8">
        <v>0.8</v>
      </c>
      <c r="L229" s="7">
        <f>+Tabla145[[#This Row],[ RV Producción mes n+1]]*Tabla145[[#This Row],[% Uti. producción]]</f>
        <v>216725.6</v>
      </c>
      <c r="M229" s="7">
        <f>IFERROR(VLOOKUP(Tabla145[[#This Row],[Material]],[16]Stock!$G:$K,5,FALSE),0)</f>
        <v>31534</v>
      </c>
      <c r="N229" s="7">
        <f>IFERROR(VLOOKUP(Tabla145[[#This Row],[Material]],[16]Produccion!$M:$N,2,FALSE),0)</f>
        <v>30000</v>
      </c>
      <c r="O229" s="7">
        <f>IFERROR(VLOOKUP(Tabla145[[#This Row],[Llave]],'[16]TD Conf-AP'!$I:$M,4,FALSE),0)</f>
        <v>0</v>
      </c>
      <c r="P229" s="14">
        <f>SUM(Tabla145[[#This Row],[Producción disponible]],Tabla145[[#This Row],[Stock al día]],(Tabla145[[#This Row],[Por producir mes N]]*0.9))-Tabla145[[#This Row],[Producción por despachar mes N]]</f>
        <v>275259.59999999998</v>
      </c>
      <c r="Q229" s="7">
        <f>IFERROR(VLOOKUP(Tabla145[[#This Row],[Llave]],[17]DELAY!$A:$D,4,FALSE),0)</f>
        <v>148000</v>
      </c>
      <c r="R229" s="9">
        <v>24000</v>
      </c>
      <c r="S229" s="5">
        <f t="shared" si="8"/>
        <v>148000</v>
      </c>
      <c r="T229" s="76">
        <v>0</v>
      </c>
      <c r="U229" s="5">
        <f>+Tabla145[[#This Row],[Atraso a facturar]]+Tabla145[[#This Row],[Ajuste atraso]]</f>
        <v>148000</v>
      </c>
      <c r="V229" s="3">
        <f>+Tabla145[[#This Row],[Total disponible]]-Tabla145[[#This Row],[Facturación atraso]]</f>
        <v>127259.59999999998</v>
      </c>
      <c r="W229" s="6">
        <f>IFERROR(IF(AND(V229&gt;R229,J229&gt;=R229),ROUNDDOWN((Tabla145[[#This Row],[Producción para venta nueva]])/R229,0)*R229,0),0)</f>
        <v>120000</v>
      </c>
      <c r="X229" s="76">
        <v>0</v>
      </c>
      <c r="Y229" s="6">
        <f>IF(Tabla145[[#This Row],[Venta del mes]]&gt;0,Tabla145[[#This Row],[Venta del mes]]+Tabla145[[#This Row],[Ajuste venta nueva]],0)</f>
        <v>120000</v>
      </c>
      <c r="Z229" s="6">
        <f>+Tabla145[[#This Row],[Producción para venta nueva]]-Tabla145[[#This Row],[Facturación Venta nueva]]</f>
        <v>7259.5999999999767</v>
      </c>
      <c r="AA229" s="6">
        <f>IF(AND(A229=1,Tabla145[[#This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29" s="6">
        <v>0</v>
      </c>
      <c r="AC229" s="6">
        <f>IF(Tabla145[[#This Row],[Disponible stock sin venta]]&gt;0,Tabla145[[#This Row],[Disponible stock sin venta]]+Tabla145[[#This Row],[Ajuste stock sin venta]],0)</f>
        <v>0</v>
      </c>
      <c r="AD229" s="3">
        <f>IFERROR(VLOOKUP(Tabla145[[#This Row],[Llave]],'[16]TD Puerto'!$A:$D,4,FALSE),0)</f>
        <v>0</v>
      </c>
      <c r="AE229" s="3">
        <v>220000</v>
      </c>
      <c r="AF229" s="3">
        <f>+Tabla145[[#This Row],[Plan Irrestricto Inicial]]</f>
        <v>220000</v>
      </c>
      <c r="AG229" s="3">
        <f>+Tabla145[[#This Row],[En puerto a facturar]]</f>
        <v>0</v>
      </c>
      <c r="AH229" s="3">
        <f>+Tabla145[[#This Row],[Facturación atraso]]</f>
        <v>148000</v>
      </c>
      <c r="AI229" s="3">
        <f>+Tabla145[[#This Row],[Plan Irrestricto]]-Tabla145[[#This Row],[Puerto ]]-Tabla145[[#This Row],[Atraso]]</f>
        <v>72000</v>
      </c>
      <c r="AJ229" s="3">
        <f>IF(Tabla145[[#This Row],[Plan Irrestricto]]&gt;0,SUM(Tabla145[[#This Row],[Facturación atraso]],Tabla145[[#This Row],[Facturación Venta nueva]],Tabla145[[#This Row],[Facturación stock]],Tabla145[[#This Row],[En puerto a facturar]]),0)</f>
        <v>268000</v>
      </c>
      <c r="AK229" s="3">
        <f>+Tabla145[[#This Row],[Facturación atraso]]</f>
        <v>148000</v>
      </c>
      <c r="AL229" s="3">
        <f>+Tabla145[[#This Row],[Plan Ajustado]]-Tabla145[[#This Row],[ Atraso ajustado]]-Tabla145[[#This Row],[Puerto ]]</f>
        <v>120000</v>
      </c>
      <c r="AM229" s="6">
        <f>IFERROR(VLOOKUP(Tabla145[[#This Row],[Llave]],[18]!Tabla14[#All],34,FALSE),0)</f>
        <v>0</v>
      </c>
      <c r="AN229" s="6">
        <f>IFERROR(VLOOKUP(Tabla145[[#This Row],[Llave]],[18]!Tabla14[#All],35,FALSE),0)</f>
        <v>0</v>
      </c>
      <c r="AO229" s="3" t="str">
        <f>IF(Tabla145[[#This Row],[Plan Ajustado]]&gt;Tabla145[[#This Row],[En puerto a facturar]],"Si","No")</f>
        <v>Si</v>
      </c>
      <c r="AP229" s="3">
        <f>IF(AND(Tabla145[[#This Row],[Plan Ajustado]]&gt;0,Tabla145[[#This Row],[Plan Ajustado]]&gt;Tabla145[[#This Row],[En puerto a facturar]]),(Tabla145[[#This Row],[Plan Ajustado]]-Tabla145[[#This Row],[En puerto a facturar]]),0)</f>
        <v>268000</v>
      </c>
      <c r="AQ229" s="3">
        <f>IF(Tabla145[[#This Row],[Necesidad]]&gt;=Tabla145[[#This Row],[Stock al día]],Tabla145[[#This Row],[Stock al día]],Tabla145[[#This Row],[Necesidad]])</f>
        <v>31534</v>
      </c>
      <c r="AR229" s="3">
        <f>+Tabla145[[#This Row],[Necesidad]]-Tabla145[[#This Row],[Stock Plan]]</f>
        <v>236466</v>
      </c>
      <c r="AS229" s="155">
        <f>IFERROR(VLOOKUP(Tabla145[[#This Row],[Oficina]],[19]Ponderación!$B$14:$E$21,4,FALSE),"")</f>
        <v>44789</v>
      </c>
      <c r="AT22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</v>
      </c>
      <c r="AU229" s="83">
        <f>IFERROR(VLOOKUP(Tabla145[[#This Row],[Llave]],[17]DELAY!$H:$W,16,FALSE),0)</f>
        <v>1.1676406040816301</v>
      </c>
      <c r="AV22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1.092577647030154</v>
      </c>
      <c r="AW229" s="5">
        <f>Tabla145[[#This Row],[Ajuste precio IC]]*Tabla145[[#This Row],[Plan Ajustado]]</f>
        <v>260027.4375</v>
      </c>
      <c r="AX229" s="30">
        <f>IFERROR(VLOOKUP(Tabla145[[#This Row],[Llave]],'[13]Ultimos precios facturados'!$A:$G,7,FALSE),0)</f>
        <v>1.0177098867856129</v>
      </c>
      <c r="AY22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7.3564933599109747E-2</v>
      </c>
      <c r="AZ229" s="30">
        <f>IFERROR(VLOOKUP(Tabla145[[#This Row],[Llave]],Hoja2!B:K,10,FALSE),0)</f>
        <v>0.97025163246268653</v>
      </c>
      <c r="BA229" s="30">
        <f>IF(Tabla145[[#This Row],[Ajuste precio IC]]="",Tabla145[[#This Row],[Precio ponderado]],Tabla145[[#This Row],[Precio ponderado]])</f>
        <v>1.092577647030154</v>
      </c>
      <c r="BB229" s="82"/>
      <c r="BC229" s="82" t="str">
        <f>IF(AND(Tabla145[[#This Row],[Atraso a facturar]]&gt;0,Tabla145[[#This Row],[Precio Atraso]]=0),"Revisar","OK")</f>
        <v>OK</v>
      </c>
      <c r="BD229" s="82" t="str">
        <f>IF(AND(Tabla145[[#This Row],[Venta del mes]]&gt;0,Tabla145[[#This Row],[Precio venta nueva]]=0),"Revisar","OK")</f>
        <v>OK</v>
      </c>
      <c r="BE229" s="20">
        <f>IFERROR(VLOOKUP(Tabla145[[#This Row],[Llave]],'[5]Consolidación planes'!$A:$M,9,FALSE),0)</f>
        <v>0</v>
      </c>
      <c r="BF229" s="20">
        <f>IFERROR(VLOOKUP(Tabla145[[#This Row],[Llave]],'[5]Consolidación planes'!$A:$M,10,FALSE),0)</f>
        <v>0</v>
      </c>
      <c r="BG229" s="20">
        <f>IFERROR(VLOOKUP(Tabla145[[#This Row],[Llave]],'[5]Consolidación planes'!$A:$M,11,FALSE),0)</f>
        <v>24000</v>
      </c>
      <c r="BH229" s="20">
        <f>IFERROR(VLOOKUP(Tabla145[[#This Row],[Llave]],'[5]Consolidación planes'!$A:$M,12,FALSE),0)</f>
        <v>72000</v>
      </c>
      <c r="BI229" s="20">
        <f>IFERROR(VLOOKUP(Tabla145[[#This Row],[Llave]],'[5]Consolidación planes'!$A:$M,13,FALSE),0)</f>
        <v>48000</v>
      </c>
      <c r="BJ229" s="20">
        <f>IFERROR(VLOOKUP(Tabla145[[#This Row],[Llave]],'[13]Base ultimos planes'!$A:$M,13,FALSE),0)</f>
        <v>0</v>
      </c>
      <c r="BK229" s="80">
        <f>IFERROR(VLOOKUP(Tabla145[[#This Row],[Llave]],'[13]Base ultimos planes'!$O:$AA,8,FALSE),0)</f>
        <v>0</v>
      </c>
      <c r="BL229" s="20">
        <f>IFERROR(VLOOKUP(Tabla145[[#This Row],[Llave]],'[13]Base ultimos planes'!$O:$AA,9,FALSE),0)</f>
        <v>0</v>
      </c>
      <c r="BM229" s="20">
        <f>IFERROR(VLOOKUP(Tabla145[[#This Row],[Llave]],'[13]Base ultimos planes'!$O:$AA,10,FALSE),0)</f>
        <v>18950</v>
      </c>
      <c r="BN229" s="20">
        <f>IFERROR(VLOOKUP(Tabla145[[#This Row],[Llave]],'[13]Base ultimos planes'!$O:$AA,11,FALSE),0)</f>
        <v>57600</v>
      </c>
      <c r="BO229" s="20">
        <f>IFERROR(VLOOKUP(Tabla145[[#This Row],[Llave]],'[13]Base ultimos planes'!$O:$AA,12,FALSE),0)</f>
        <v>38400</v>
      </c>
      <c r="BP229" s="20">
        <f>IFERROR(VLOOKUP(Tabla145[[#This Row],[Llave]],'[13]Base ultimos planes'!$O:$AA,13,FALSE),0)</f>
        <v>0</v>
      </c>
      <c r="BQ229" s="20"/>
      <c r="BR229" s="20">
        <f>Tabla145[[#This Row],[ RV Producción mes n+1]]*(1-Tabla145[[#This Row],[% Uti. producción]])</f>
        <v>54181.399999999987</v>
      </c>
      <c r="BS229" s="20">
        <f>+Tabla145[[#This Row],[Producción disponible mes n-1]]+Tabla145[[#This Row],[Saldo Volumen disponible]]</f>
        <v>61440.999999999964</v>
      </c>
      <c r="BT229" s="7">
        <f>IFERROR(VLOOKUP(Tabla145[[#This Row],[Llave]],'[21]RV n+2 y n+3'!$B:$F,4,FALSE),0)</f>
        <v>252000</v>
      </c>
      <c r="BU229" s="7">
        <f>+Tabla145[[#This Row],[Asignación mes n+2]]*Tabla145[[#This Row],[% Uti. producción]]</f>
        <v>201600</v>
      </c>
      <c r="BV229" s="7">
        <f>+Tabla145[[#This Row],[Ponderación mes n+2]]+Tabla145[[#This Row],[Saldo mes n-1]]</f>
        <v>263040.99999999994</v>
      </c>
      <c r="BW229" s="7">
        <f>+Tabla145[[#This Row],[Asignación mes n+2]]-Tabla145[[#This Row],[Ponderación mes n+2]]</f>
        <v>50400</v>
      </c>
      <c r="BX229" s="7">
        <f>IFERROR(VLOOKUP(Tabla145[[#This Row],[Llave]],'[21]RV n+2 y n+3'!$B:$F,5,FALSE),0)</f>
        <v>228000</v>
      </c>
      <c r="BY229" s="7">
        <f>+Tabla145[[#This Row],[Asignación mes n+3]]*Tabla145[[#This Row],[% Uti. producción]]</f>
        <v>182400</v>
      </c>
      <c r="BZ229" s="3">
        <f>+Tabla145[[#This Row],[Ponderación mes n+3]]+Tabla145[[#This Row],[Saldo mes n+2]]</f>
        <v>232800</v>
      </c>
      <c r="CA229" s="3">
        <f>+Tabla145[[#This Row],[Asignación mes n+3]]-Tabla145[[#This Row],[Ponderación mes n+3]]</f>
        <v>45600</v>
      </c>
      <c r="CB229" s="3">
        <f>+Tabla145[[#This Row],[Producción disponible mes n-1]]+Tabla145[[#This Row],[Producción disponible]]</f>
        <v>270907</v>
      </c>
      <c r="CC229" s="3">
        <f>+Tabla145[[#This Row],[Saldo mes n+4]]-Tabla145[[#This Row],[ RV Producción mes n+1]]</f>
        <v>0</v>
      </c>
    </row>
    <row r="230" spans="1:81" ht="16" x14ac:dyDescent="0.2">
      <c r="A230">
        <v>1</v>
      </c>
      <c r="B230" t="str">
        <f>Tabla145[[#This Row],[Oficina]]&amp;Tabla145[[#This Row],[Material]]</f>
        <v>Agro Sudamerica1012602</v>
      </c>
      <c r="C230" t="s">
        <v>227</v>
      </c>
      <c r="D230" t="s">
        <v>17</v>
      </c>
      <c r="E230">
        <v>1012602</v>
      </c>
      <c r="F230" t="s">
        <v>232</v>
      </c>
      <c r="G230" t="s">
        <v>205</v>
      </c>
      <c r="H230" t="s">
        <v>231</v>
      </c>
      <c r="I230" s="7">
        <f>IFERROR(VLOOKUP(Tabla145[[#This Row],[Llave]],'[7]RV Producción'!$C:$G,5,FALSE),0)</f>
        <v>0</v>
      </c>
      <c r="J230" s="3">
        <f>IFERROR(IF(Tabla145[[#This Row],[Oficina]]=$I$7,VLOOKUP(Tabla145[[#This Row],[Llave]],'[7]Shangai (Tomas)'!$A:$F,6,FALSE),VLOOKUP(Tabla145[[#This Row],[Llave]],'[7]RV plan de ventas'!$A:$E,5,FALSE)),0)</f>
        <v>0</v>
      </c>
      <c r="K230" s="8">
        <f>IFERROR(VLOOKUP(Tabla145[[#This Row],[Oficina]],[15]Ponderación!$B$2:$E$9,4,FALSE),0)</f>
        <v>0.45719439678473212</v>
      </c>
      <c r="L230" s="7">
        <f>+Tabla145[[#This Row],[ RV Producción mes n+1]]*Tabla145[[#This Row],[% Uti. producción]]</f>
        <v>0</v>
      </c>
      <c r="M230" s="7">
        <f>IFERROR(VLOOKUP(Tabla145[[#This Row],[Material]],[16]Stock!$G:$K,5,FALSE),0)</f>
        <v>0</v>
      </c>
      <c r="N230" s="7">
        <f>IFERROR(VLOOKUP(Tabla145[[#This Row],[Material]],[16]Produccion!$M:$N,2,FALSE),0)</f>
        <v>0</v>
      </c>
      <c r="O230" s="7">
        <f>IFERROR(VLOOKUP(Tabla145[[#This Row],[Llave]],'[16]TD Conf-AP'!$I:$M,4,FALSE),0)</f>
        <v>0</v>
      </c>
      <c r="P230" s="14">
        <f>SUM(Tabla145[[#This Row],[Producción disponible]],Tabla145[[#This Row],[Stock al día]],(Tabla145[[#This Row],[Por producir mes N]]*0.9))-Tabla145[[#This Row],[Producción por despachar mes N]]</f>
        <v>0</v>
      </c>
      <c r="Q230" s="7">
        <f>IFERROR(VLOOKUP(Tabla145[[#This Row],[Llave]],[17]DELAY!$A:$D,4,FALSE),0)</f>
        <v>0</v>
      </c>
      <c r="R230" s="9">
        <v>24000</v>
      </c>
      <c r="S230" s="5">
        <f t="shared" si="8"/>
        <v>0</v>
      </c>
      <c r="T230" s="76">
        <v>0</v>
      </c>
      <c r="U230" s="5">
        <f>+Tabla145[[#This Row],[Atraso a facturar]]+Tabla145[[#This Row],[Ajuste atraso]]</f>
        <v>0</v>
      </c>
      <c r="V230" s="3">
        <f>+Tabla145[[#This Row],[Total disponible]]-Tabla145[[#This Row],[Facturación atraso]]</f>
        <v>0</v>
      </c>
      <c r="W230" s="6">
        <f>IFERROR(IF(AND(V230&gt;R230,J230&gt;=R230),ROUNDDOWN((Tabla145[[#This Row],[Producción para venta nueva]])/R230,0)*R230,0),0)</f>
        <v>0</v>
      </c>
      <c r="X230" s="76">
        <v>0</v>
      </c>
      <c r="Y230" s="6">
        <f>IF(Tabla145[[#This Row],[Venta del mes]]&gt;0,Tabla145[[#This Row],[Venta del mes]]+Tabla145[[#This Row],[Ajuste venta nueva]],0)</f>
        <v>0</v>
      </c>
      <c r="Z230" s="6">
        <f>+Tabla145[[#This Row],[Producción para venta nueva]]-Tabla145[[#This Row],[Facturación Venta nueva]]</f>
        <v>0</v>
      </c>
      <c r="AA230" s="6">
        <f>IF(AND(A230=1,Tabla145[[#This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0" s="6">
        <v>0</v>
      </c>
      <c r="AC230" s="6">
        <f>IF(Tabla145[[#This Row],[Disponible stock sin venta]]&gt;0,Tabla145[[#This Row],[Disponible stock sin venta]]+Tabla145[[#This Row],[Ajuste stock sin venta]],0)</f>
        <v>0</v>
      </c>
      <c r="AD230" s="3">
        <f>IFERROR(VLOOKUP(Tabla145[[#This Row],[Llave]],'[16]TD Puerto'!$A:$D,4,FALSE),0)</f>
        <v>0</v>
      </c>
      <c r="AE230" s="3">
        <v>0</v>
      </c>
      <c r="AF230" s="3">
        <f>+Tabla145[[#This Row],[Plan Irrestricto Inicial]]</f>
        <v>0</v>
      </c>
      <c r="AG230" s="3">
        <f>+Tabla145[[#This Row],[En puerto a facturar]]</f>
        <v>0</v>
      </c>
      <c r="AH230" s="3">
        <f>+Tabla145[[#This Row],[Facturación atraso]]</f>
        <v>0</v>
      </c>
      <c r="AI230" s="3">
        <f>+Tabla145[[#This Row],[Plan Irrestricto]]-Tabla145[[#This Row],[Puerto ]]-Tabla145[[#This Row],[Atraso]]</f>
        <v>0</v>
      </c>
      <c r="AJ23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30" s="3">
        <f>+Tabla145[[#This Row],[Facturación atraso]]</f>
        <v>0</v>
      </c>
      <c r="AL230" s="3">
        <f>+Tabla145[[#This Row],[Plan Ajustado]]-Tabla145[[#This Row],[ Atraso ajustado]]-Tabla145[[#This Row],[Puerto ]]</f>
        <v>0</v>
      </c>
      <c r="AM230" s="6">
        <f>IFERROR(VLOOKUP(Tabla145[[#This Row],[Llave]],[18]!Tabla14[#All],34,FALSE),0)</f>
        <v>0</v>
      </c>
      <c r="AN230" s="6">
        <f>IFERROR(VLOOKUP(Tabla145[[#This Row],[Llave]],[18]!Tabla14[#All],35,FALSE),0)</f>
        <v>0</v>
      </c>
      <c r="AO230" s="3" t="str">
        <f>IF(Tabla145[[#This Row],[Plan Ajustado]]&gt;Tabla145[[#This Row],[En puerto a facturar]],"Si","No")</f>
        <v>No</v>
      </c>
      <c r="AP23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30" s="3">
        <f>IF(Tabla145[[#This Row],[Necesidad]]&gt;=Tabla145[[#This Row],[Stock al día]],Tabla145[[#This Row],[Stock al día]],Tabla145[[#This Row],[Necesidad]])</f>
        <v>0</v>
      </c>
      <c r="AR230" s="3">
        <f>+Tabla145[[#This Row],[Necesidad]]-Tabla145[[#This Row],[Stock Plan]]</f>
        <v>0</v>
      </c>
      <c r="AS230" s="155">
        <f>IFERROR(VLOOKUP(Tabla145[[#This Row],[Oficina]],[19]Ponderación!$B$14:$E$21,4,FALSE),"")</f>
        <v>44789</v>
      </c>
      <c r="AT23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30" s="83">
        <f>IFERROR(VLOOKUP(Tabla145[[#This Row],[Llave]],[17]DELAY!$H:$W,16,FALSE),0)</f>
        <v>0</v>
      </c>
      <c r="AV23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30" s="5">
        <f>Tabla145[[#This Row],[Ajuste precio IC]]*Tabla145[[#This Row],[Plan Ajustado]]</f>
        <v>0</v>
      </c>
      <c r="AX230" s="30">
        <f>IFERROR(VLOOKUP(Tabla145[[#This Row],[Llave]],'[13]Ultimos precios facturados'!$A:$G,7,FALSE),0)</f>
        <v>0</v>
      </c>
      <c r="AY23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30" s="30">
        <f>IFERROR(VLOOKUP(Tabla145[[#This Row],[Llave]],Hoja2!B:K,10,FALSE),0)</f>
        <v>0</v>
      </c>
      <c r="BA230" s="30">
        <f>IF(Tabla145[[#This Row],[Ajuste precio IC]]="",Tabla145[[#This Row],[Precio ponderado]],Tabla145[[#This Row],[Precio ponderado]])</f>
        <v>0</v>
      </c>
      <c r="BB230" s="82"/>
      <c r="BC230" s="82" t="str">
        <f>IF(AND(Tabla145[[#This Row],[Atraso a facturar]]&gt;0,Tabla145[[#This Row],[Precio Atraso]]=0),"Revisar","OK")</f>
        <v>OK</v>
      </c>
      <c r="BD230" s="82" t="str">
        <f>IF(AND(Tabla145[[#This Row],[Venta del mes]]&gt;0,Tabla145[[#This Row],[Precio venta nueva]]=0),"Revisar","OK")</f>
        <v>OK</v>
      </c>
      <c r="BE230" s="20">
        <f>IFERROR(VLOOKUP(Tabla145[[#This Row],[Llave]],'[5]Consolidación planes'!$A:$M,9,FALSE),0)</f>
        <v>0</v>
      </c>
      <c r="BF230" s="20">
        <f>IFERROR(VLOOKUP(Tabla145[[#This Row],[Llave]],'[5]Consolidación planes'!$A:$M,10,FALSE),0)</f>
        <v>0</v>
      </c>
      <c r="BG230" s="20">
        <f>IFERROR(VLOOKUP(Tabla145[[#This Row],[Llave]],'[5]Consolidación planes'!$A:$M,11,FALSE),0)</f>
        <v>0</v>
      </c>
      <c r="BH230" s="20">
        <f>IFERROR(VLOOKUP(Tabla145[[#This Row],[Llave]],'[5]Consolidación planes'!$A:$M,12,FALSE),0)</f>
        <v>0</v>
      </c>
      <c r="BI230" s="20">
        <f>IFERROR(VLOOKUP(Tabla145[[#This Row],[Llave]],'[5]Consolidación planes'!$A:$M,13,FALSE),0)</f>
        <v>0</v>
      </c>
      <c r="BJ230" s="20">
        <f>IFERROR(VLOOKUP(Tabla145[[#This Row],[Llave]],'[13]Base ultimos planes'!$A:$M,13,FALSE),0)</f>
        <v>0</v>
      </c>
      <c r="BK230" s="80">
        <f>IFERROR(VLOOKUP(Tabla145[[#This Row],[Llave]],'[13]Base ultimos planes'!$O:$AA,8,FALSE),0)</f>
        <v>0</v>
      </c>
      <c r="BL230" s="20">
        <f>IFERROR(VLOOKUP(Tabla145[[#This Row],[Llave]],'[13]Base ultimos planes'!$O:$AA,9,FALSE),0)</f>
        <v>0</v>
      </c>
      <c r="BM230" s="20">
        <f>IFERROR(VLOOKUP(Tabla145[[#This Row],[Llave]],'[13]Base ultimos planes'!$O:$AA,10,FALSE),0)</f>
        <v>0</v>
      </c>
      <c r="BN230" s="20">
        <f>IFERROR(VLOOKUP(Tabla145[[#This Row],[Llave]],'[13]Base ultimos planes'!$O:$AA,11,FALSE),0)</f>
        <v>0</v>
      </c>
      <c r="BO230" s="20">
        <f>IFERROR(VLOOKUP(Tabla145[[#This Row],[Llave]],'[13]Base ultimos planes'!$O:$AA,12,FALSE),0)</f>
        <v>0</v>
      </c>
      <c r="BP230" s="20">
        <f>IFERROR(VLOOKUP(Tabla145[[#This Row],[Llave]],'[13]Base ultimos planes'!$O:$AA,13,FALSE),0)</f>
        <v>0</v>
      </c>
      <c r="BQ230" s="20"/>
      <c r="BR230" s="20">
        <f>Tabla145[[#This Row],[ RV Producción mes n+1]]*(1-Tabla145[[#This Row],[% Uti. producción]])</f>
        <v>0</v>
      </c>
      <c r="BS230" s="20">
        <f>+Tabla145[[#This Row],[Producción disponible mes n-1]]+Tabla145[[#This Row],[Saldo Volumen disponible]]</f>
        <v>0</v>
      </c>
      <c r="BT230" s="7">
        <f>IFERROR(VLOOKUP(Tabla145[[#This Row],[Llave]],'[21]RV n+2 y n+3'!$B:$F,4,FALSE),0)</f>
        <v>0</v>
      </c>
      <c r="BU230" s="7">
        <f>+Tabla145[[#This Row],[Asignación mes n+2]]*Tabla145[[#This Row],[% Uti. producción]]</f>
        <v>0</v>
      </c>
      <c r="BV230" s="7">
        <f>+Tabla145[[#This Row],[Ponderación mes n+2]]+Tabla145[[#This Row],[Saldo mes n-1]]</f>
        <v>0</v>
      </c>
      <c r="BW230" s="7">
        <f>+Tabla145[[#This Row],[Asignación mes n+2]]-Tabla145[[#This Row],[Ponderación mes n+2]]</f>
        <v>0</v>
      </c>
      <c r="BX230" s="7">
        <f>IFERROR(VLOOKUP(Tabla145[[#This Row],[Llave]],'[21]RV n+2 y n+3'!$B:$F,5,FALSE),0)</f>
        <v>0</v>
      </c>
      <c r="BY230" s="7">
        <f>+Tabla145[[#This Row],[Asignación mes n+3]]*Tabla145[[#This Row],[% Uti. producción]]</f>
        <v>0</v>
      </c>
      <c r="BZ230" s="3">
        <f>+Tabla145[[#This Row],[Ponderación mes n+3]]+Tabla145[[#This Row],[Saldo mes n+2]]</f>
        <v>0</v>
      </c>
      <c r="CA230" s="3">
        <f>+Tabla145[[#This Row],[Asignación mes n+3]]-Tabla145[[#This Row],[Ponderación mes n+3]]</f>
        <v>0</v>
      </c>
      <c r="CB230" s="3">
        <f>+Tabla145[[#This Row],[Producción disponible mes n-1]]+Tabla145[[#This Row],[Producción disponible]]</f>
        <v>0</v>
      </c>
      <c r="CC230" s="3">
        <f>+Tabla145[[#This Row],[Saldo mes n+4]]-Tabla145[[#This Row],[ RV Producción mes n+1]]</f>
        <v>0</v>
      </c>
    </row>
    <row r="231" spans="1:81" ht="16" x14ac:dyDescent="0.2">
      <c r="A231">
        <v>1</v>
      </c>
      <c r="B231" t="str">
        <f>Tabla145[[#This Row],[Oficina]]&amp;Tabla145[[#This Row],[Material]]</f>
        <v>Agro Sudamerica1012698</v>
      </c>
      <c r="C231" t="s">
        <v>227</v>
      </c>
      <c r="D231" t="s">
        <v>17</v>
      </c>
      <c r="E231">
        <v>1012698</v>
      </c>
      <c r="F231" t="s">
        <v>308</v>
      </c>
      <c r="G231" t="s">
        <v>37</v>
      </c>
      <c r="H231" t="s">
        <v>37</v>
      </c>
      <c r="I231" s="7">
        <f>IFERROR(VLOOKUP(Tabla145[[#This Row],[Llave]],'[7]RV Producción'!$C:$G,5,FALSE),0)</f>
        <v>0</v>
      </c>
      <c r="J231" s="3">
        <f>IFERROR(IF(Tabla145[[#This Row],[Oficina]]=$I$7,VLOOKUP(Tabla145[[#This Row],[Llave]],'[7]Shangai (Tomas)'!$A:$F,6,FALSE),VLOOKUP(Tabla145[[#This Row],[Llave]],'[7]RV plan de ventas'!$A:$E,5,FALSE)),0)</f>
        <v>0</v>
      </c>
      <c r="K231" s="8">
        <f>IFERROR(VLOOKUP(Tabla145[[#This Row],[Oficina]],[15]Ponderación!$B$2:$E$9,4,FALSE),0)</f>
        <v>0.45719439678473212</v>
      </c>
      <c r="L231" s="7">
        <f>+Tabla145[[#This Row],[ RV Producción mes n+1]]*Tabla145[[#This Row],[% Uti. producción]]</f>
        <v>0</v>
      </c>
      <c r="M231" s="7">
        <f>IFERROR(VLOOKUP(Tabla145[[#This Row],[Material]],[16]Stock!$G:$K,5,FALSE),0)</f>
        <v>0</v>
      </c>
      <c r="N231" s="7">
        <f>IFERROR(VLOOKUP(Tabla145[[#This Row],[Material]],[16]Produccion!$M:$N,2,FALSE),0)</f>
        <v>0</v>
      </c>
      <c r="O231" s="7">
        <f>IFERROR(VLOOKUP(Tabla145[[#This Row],[Llave]],'[16]TD Conf-AP'!$I:$M,4,FALSE),0)</f>
        <v>0</v>
      </c>
      <c r="P231" s="14">
        <f>SUM(Tabla145[[#This Row],[Producción disponible]],Tabla145[[#This Row],[Stock al día]],(Tabla145[[#This Row],[Por producir mes N]]*0.9))-Tabla145[[#This Row],[Producción por despachar mes N]]</f>
        <v>0</v>
      </c>
      <c r="Q231" s="7">
        <f>IFERROR(VLOOKUP(Tabla145[[#This Row],[Llave]],[17]DELAY!$A:$D,4,FALSE),0)</f>
        <v>0</v>
      </c>
      <c r="R231" s="9">
        <v>24000</v>
      </c>
      <c r="S231" s="5">
        <f t="shared" si="8"/>
        <v>0</v>
      </c>
      <c r="T231" s="76">
        <v>0</v>
      </c>
      <c r="U231" s="5">
        <f>+Tabla145[[#This Row],[Atraso a facturar]]+Tabla145[[#This Row],[Ajuste atraso]]</f>
        <v>0</v>
      </c>
      <c r="V231" s="3">
        <f>+Tabla145[[#This Row],[Total disponible]]-Tabla145[[#This Row],[Facturación atraso]]</f>
        <v>0</v>
      </c>
      <c r="W231" s="6">
        <f>IFERROR(IF(AND(V231&gt;R231,J231&gt;=R231),ROUNDDOWN((Tabla145[[#This Row],[Producción para venta nueva]])/R231,0)*R231,0),0)</f>
        <v>0</v>
      </c>
      <c r="X231" s="76">
        <v>0</v>
      </c>
      <c r="Y231" s="6">
        <f>IF(Tabla145[[#This Row],[Venta del mes]]&gt;0,Tabla145[[#This Row],[Venta del mes]]+Tabla145[[#This Row],[Ajuste venta nueva]],0)</f>
        <v>0</v>
      </c>
      <c r="Z231" s="6">
        <f>+Tabla145[[#This Row],[Producción para venta nueva]]-Tabla145[[#This Row],[Facturación Venta nueva]]</f>
        <v>0</v>
      </c>
      <c r="AA231" s="6">
        <f>IF(AND(A231=1,Tabla145[[#This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1" s="6">
        <v>0</v>
      </c>
      <c r="AC231" s="6">
        <f>IF(Tabla145[[#This Row],[Disponible stock sin venta]]&gt;0,Tabla145[[#This Row],[Disponible stock sin venta]]+Tabla145[[#This Row],[Ajuste stock sin venta]],0)</f>
        <v>0</v>
      </c>
      <c r="AD231" s="3">
        <f>IFERROR(VLOOKUP(Tabla145[[#This Row],[Llave]],'[16]TD Puerto'!$A:$D,4,FALSE),0)</f>
        <v>0</v>
      </c>
      <c r="AE231" s="3">
        <v>0</v>
      </c>
      <c r="AF231" s="3">
        <f>+Tabla145[[#This Row],[Plan Irrestricto Inicial]]</f>
        <v>0</v>
      </c>
      <c r="AG231" s="3">
        <f>+Tabla145[[#This Row],[En puerto a facturar]]</f>
        <v>0</v>
      </c>
      <c r="AH231" s="3">
        <f>+Tabla145[[#This Row],[Facturación atraso]]</f>
        <v>0</v>
      </c>
      <c r="AI231" s="3">
        <f>+Tabla145[[#This Row],[Plan Irrestricto]]-Tabla145[[#This Row],[Puerto ]]-Tabla145[[#This Row],[Atraso]]</f>
        <v>0</v>
      </c>
      <c r="AJ23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31" s="3">
        <f>+Tabla145[[#This Row],[Facturación atraso]]</f>
        <v>0</v>
      </c>
      <c r="AL231" s="3">
        <f>+Tabla145[[#This Row],[Plan Ajustado]]-Tabla145[[#This Row],[ Atraso ajustado]]-Tabla145[[#This Row],[Puerto ]]</f>
        <v>0</v>
      </c>
      <c r="AM231" s="6">
        <f>IFERROR(VLOOKUP(Tabla145[[#This Row],[Llave]],[18]!Tabla14[#All],34,FALSE),0)</f>
        <v>0</v>
      </c>
      <c r="AN231" s="6">
        <f>IFERROR(VLOOKUP(Tabla145[[#This Row],[Llave]],[18]!Tabla14[#All],35,FALSE),0)</f>
        <v>0</v>
      </c>
      <c r="AO231" s="3" t="str">
        <f>IF(Tabla145[[#This Row],[Plan Ajustado]]&gt;Tabla145[[#This Row],[En puerto a facturar]],"Si","No")</f>
        <v>No</v>
      </c>
      <c r="AP23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31" s="3">
        <f>IF(Tabla145[[#This Row],[Necesidad]]&gt;=Tabla145[[#This Row],[Stock al día]],Tabla145[[#This Row],[Stock al día]],Tabla145[[#This Row],[Necesidad]])</f>
        <v>0</v>
      </c>
      <c r="AR231" s="3">
        <f>+Tabla145[[#This Row],[Necesidad]]-Tabla145[[#This Row],[Stock Plan]]</f>
        <v>0</v>
      </c>
      <c r="AS231" s="155">
        <f>IFERROR(VLOOKUP(Tabla145[[#This Row],[Oficina]],[19]Ponderación!$B$14:$E$21,4,FALSE),"")</f>
        <v>44789</v>
      </c>
      <c r="AT23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0.92774166666666658</v>
      </c>
      <c r="AU231" s="83">
        <f>IFERROR(VLOOKUP(Tabla145[[#This Row],[Llave]],[17]DELAY!$H:$W,16,FALSE),0)</f>
        <v>0</v>
      </c>
      <c r="AV23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31" s="5">
        <f>Tabla145[[#This Row],[Ajuste precio IC]]*Tabla145[[#This Row],[Plan Ajustado]]</f>
        <v>0</v>
      </c>
      <c r="AX231" s="30">
        <f>IFERROR(VLOOKUP(Tabla145[[#This Row],[Llave]],'[13]Ultimos precios facturados'!$A:$G,7,FALSE),0)</f>
        <v>0.92774166666666658</v>
      </c>
      <c r="AY23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31" s="30">
        <f>IFERROR(VLOOKUP(Tabla145[[#This Row],[Llave]],Hoja2!B:K,10,FALSE),0)</f>
        <v>0</v>
      </c>
      <c r="BA231" s="30">
        <f>IF(Tabla145[[#This Row],[Ajuste precio IC]]="",Tabla145[[#This Row],[Precio ponderado]],Tabla145[[#This Row],[Precio ponderado]])</f>
        <v>0</v>
      </c>
      <c r="BB231" s="82"/>
      <c r="BC231" s="82" t="str">
        <f>IF(AND(Tabla145[[#This Row],[Atraso a facturar]]&gt;0,Tabla145[[#This Row],[Precio Atraso]]=0),"Revisar","OK")</f>
        <v>OK</v>
      </c>
      <c r="BD231" s="82" t="str">
        <f>IF(AND(Tabla145[[#This Row],[Venta del mes]]&gt;0,Tabla145[[#This Row],[Precio venta nueva]]=0),"Revisar","OK")</f>
        <v>OK</v>
      </c>
      <c r="BE231" s="20">
        <f>IFERROR(VLOOKUP(Tabla145[[#This Row],[Llave]],'[5]Consolidación planes'!$A:$M,9,FALSE),0)</f>
        <v>0</v>
      </c>
      <c r="BF231" s="20">
        <f>IFERROR(VLOOKUP(Tabla145[[#This Row],[Llave]],'[5]Consolidación planes'!$A:$M,10,FALSE),0)</f>
        <v>0</v>
      </c>
      <c r="BG231" s="20">
        <f>IFERROR(VLOOKUP(Tabla145[[#This Row],[Llave]],'[5]Consolidación planes'!$A:$M,11,FALSE),0)</f>
        <v>80</v>
      </c>
      <c r="BH231" s="20">
        <f>IFERROR(VLOOKUP(Tabla145[[#This Row],[Llave]],'[5]Consolidación planes'!$A:$M,12,FALSE),0)</f>
        <v>0</v>
      </c>
      <c r="BI231" s="20">
        <f>IFERROR(VLOOKUP(Tabla145[[#This Row],[Llave]],'[5]Consolidación planes'!$A:$M,13,FALSE),0)</f>
        <v>0</v>
      </c>
      <c r="BJ231" s="20">
        <f>IFERROR(VLOOKUP(Tabla145[[#This Row],[Llave]],'[13]Base ultimos planes'!$A:$M,13,FALSE),0)</f>
        <v>0</v>
      </c>
      <c r="BK231" s="80">
        <f>IFERROR(VLOOKUP(Tabla145[[#This Row],[Llave]],'[13]Base ultimos planes'!$O:$AA,8,FALSE),0)</f>
        <v>0</v>
      </c>
      <c r="BL231" s="20">
        <f>IFERROR(VLOOKUP(Tabla145[[#This Row],[Llave]],'[13]Base ultimos planes'!$O:$AA,9,FALSE),0)</f>
        <v>0</v>
      </c>
      <c r="BM231" s="20">
        <f>IFERROR(VLOOKUP(Tabla145[[#This Row],[Llave]],'[13]Base ultimos planes'!$O:$AA,10,FALSE),0)</f>
        <v>480</v>
      </c>
      <c r="BN231" s="20">
        <f>IFERROR(VLOOKUP(Tabla145[[#This Row],[Llave]],'[13]Base ultimos planes'!$O:$AA,11,FALSE),0)</f>
        <v>0</v>
      </c>
      <c r="BO231" s="20">
        <f>IFERROR(VLOOKUP(Tabla145[[#This Row],[Llave]],'[13]Base ultimos planes'!$O:$AA,12,FALSE),0)</f>
        <v>0</v>
      </c>
      <c r="BP231" s="20">
        <f>IFERROR(VLOOKUP(Tabla145[[#This Row],[Llave]],'[13]Base ultimos planes'!$O:$AA,13,FALSE),0)</f>
        <v>0</v>
      </c>
      <c r="BQ231" s="20"/>
      <c r="BR231" s="20">
        <f>Tabla145[[#This Row],[ RV Producción mes n+1]]*(1-Tabla145[[#This Row],[% Uti. producción]])</f>
        <v>0</v>
      </c>
      <c r="BS231" s="20">
        <f>+Tabla145[[#This Row],[Producción disponible mes n-1]]+Tabla145[[#This Row],[Saldo Volumen disponible]]</f>
        <v>0</v>
      </c>
      <c r="BT231" s="7">
        <f>IFERROR(VLOOKUP(Tabla145[[#This Row],[Llave]],'[21]RV n+2 y n+3'!$B:$F,4,FALSE),0)</f>
        <v>0</v>
      </c>
      <c r="BU231" s="7">
        <f>+Tabla145[[#This Row],[Asignación mes n+2]]*Tabla145[[#This Row],[% Uti. producción]]</f>
        <v>0</v>
      </c>
      <c r="BV231" s="7">
        <f>+Tabla145[[#This Row],[Ponderación mes n+2]]+Tabla145[[#This Row],[Saldo mes n-1]]</f>
        <v>0</v>
      </c>
      <c r="BW231" s="7">
        <f>+Tabla145[[#This Row],[Asignación mes n+2]]-Tabla145[[#This Row],[Ponderación mes n+2]]</f>
        <v>0</v>
      </c>
      <c r="BX231" s="7">
        <f>IFERROR(VLOOKUP(Tabla145[[#This Row],[Llave]],'[21]RV n+2 y n+3'!$B:$F,5,FALSE),0)</f>
        <v>0</v>
      </c>
      <c r="BY231" s="7">
        <f>+Tabla145[[#This Row],[Asignación mes n+3]]*Tabla145[[#This Row],[% Uti. producción]]</f>
        <v>0</v>
      </c>
      <c r="BZ231" s="3">
        <f>+Tabla145[[#This Row],[Ponderación mes n+3]]+Tabla145[[#This Row],[Saldo mes n+2]]</f>
        <v>0</v>
      </c>
      <c r="CA231" s="3">
        <f>+Tabla145[[#This Row],[Asignación mes n+3]]-Tabla145[[#This Row],[Ponderación mes n+3]]</f>
        <v>0</v>
      </c>
      <c r="CB231" s="3">
        <f>+Tabla145[[#This Row],[Producción disponible mes n-1]]+Tabla145[[#This Row],[Producción disponible]]</f>
        <v>0</v>
      </c>
      <c r="CC231" s="3">
        <f>+Tabla145[[#This Row],[Saldo mes n+4]]-Tabla145[[#This Row],[ RV Producción mes n+1]]</f>
        <v>0</v>
      </c>
    </row>
    <row r="232" spans="1:81" ht="16" x14ac:dyDescent="0.2">
      <c r="A232">
        <v>1</v>
      </c>
      <c r="B232" t="str">
        <f>Tabla145[[#This Row],[Oficina]]&amp;Tabla145[[#This Row],[Material]]</f>
        <v>Agro Sudamerica1012699</v>
      </c>
      <c r="C232" t="s">
        <v>227</v>
      </c>
      <c r="D232" t="s">
        <v>17</v>
      </c>
      <c r="E232">
        <v>1012699</v>
      </c>
      <c r="F232" t="s">
        <v>307</v>
      </c>
      <c r="G232" t="s">
        <v>205</v>
      </c>
      <c r="H232" t="s">
        <v>206</v>
      </c>
      <c r="I232" s="7">
        <f>IFERROR(VLOOKUP(Tabla145[[#This Row],[Llave]],'[7]RV Producción'!$C:$G,5,FALSE),0)</f>
        <v>0</v>
      </c>
      <c r="J232" s="3">
        <f>IFERROR(IF(Tabla145[[#This Row],[Oficina]]=$I$7,VLOOKUP(Tabla145[[#This Row],[Llave]],'[7]Shangai (Tomas)'!$A:$F,6,FALSE),VLOOKUP(Tabla145[[#This Row],[Llave]],'[7]RV plan de ventas'!$A:$E,5,FALSE)),0)</f>
        <v>0</v>
      </c>
      <c r="K232" s="8">
        <f>IFERROR(VLOOKUP(Tabla145[[#This Row],[Oficina]],[15]Ponderación!$B$2:$E$9,4,FALSE),0)</f>
        <v>0.45719439678473212</v>
      </c>
      <c r="L232" s="7">
        <f>+Tabla145[[#This Row],[ RV Producción mes n+1]]*Tabla145[[#This Row],[% Uti. producción]]</f>
        <v>0</v>
      </c>
      <c r="M232" s="7">
        <f>IFERROR(VLOOKUP(Tabla145[[#This Row],[Material]],[16]Stock!$G:$K,5,FALSE),0)</f>
        <v>0</v>
      </c>
      <c r="N232" s="7">
        <f>IFERROR(VLOOKUP(Tabla145[[#This Row],[Material]],[16]Produccion!$M:$N,2,FALSE),0)</f>
        <v>0</v>
      </c>
      <c r="O232" s="7">
        <f>IFERROR(VLOOKUP(Tabla145[[#This Row],[Llave]],'[16]TD Conf-AP'!$I:$M,4,FALSE),0)</f>
        <v>0</v>
      </c>
      <c r="P232" s="14">
        <f>SUM(Tabla145[[#This Row],[Producción disponible]],Tabla145[[#This Row],[Stock al día]],(Tabla145[[#This Row],[Por producir mes N]]*0.9))-Tabla145[[#This Row],[Producción por despachar mes N]]</f>
        <v>0</v>
      </c>
      <c r="Q232" s="7">
        <f>IFERROR(VLOOKUP(Tabla145[[#This Row],[Llave]],[17]DELAY!$A:$D,4,FALSE),0)</f>
        <v>0</v>
      </c>
      <c r="R232" s="9">
        <v>24000</v>
      </c>
      <c r="S232" s="5">
        <f t="shared" si="8"/>
        <v>0</v>
      </c>
      <c r="T232" s="76">
        <v>0</v>
      </c>
      <c r="U232" s="5">
        <f>+Tabla145[[#This Row],[Atraso a facturar]]+Tabla145[[#This Row],[Ajuste atraso]]</f>
        <v>0</v>
      </c>
      <c r="V232" s="3">
        <f>+Tabla145[[#This Row],[Total disponible]]-Tabla145[[#This Row],[Facturación atraso]]</f>
        <v>0</v>
      </c>
      <c r="W232" s="6">
        <f>IFERROR(IF(AND(V232&gt;R232,J232&gt;=R232),ROUNDDOWN((Tabla145[[#This Row],[Producción para venta nueva]])/R232,0)*R232,0),0)</f>
        <v>0</v>
      </c>
      <c r="X232" s="76">
        <v>0</v>
      </c>
      <c r="Y232" s="6">
        <f>IF(Tabla145[[#This Row],[Venta del mes]]&gt;0,Tabla145[[#This Row],[Venta del mes]]+Tabla145[[#This Row],[Ajuste venta nueva]],0)</f>
        <v>0</v>
      </c>
      <c r="Z232" s="6">
        <f>+Tabla145[[#This Row],[Producción para venta nueva]]-Tabla145[[#This Row],[Facturación Venta nueva]]</f>
        <v>0</v>
      </c>
      <c r="AA232" s="6">
        <f>IF(AND(A232=1,Tabla145[[#This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2" s="6">
        <v>0</v>
      </c>
      <c r="AC232" s="6">
        <f>IF(Tabla145[[#This Row],[Disponible stock sin venta]]&gt;0,Tabla145[[#This Row],[Disponible stock sin venta]]+Tabla145[[#This Row],[Ajuste stock sin venta]],0)</f>
        <v>0</v>
      </c>
      <c r="AD232" s="3">
        <f>IFERROR(VLOOKUP(Tabla145[[#This Row],[Llave]],'[16]TD Puerto'!$A:$D,4,FALSE),0)</f>
        <v>0</v>
      </c>
      <c r="AE232" s="3">
        <v>0</v>
      </c>
      <c r="AF232" s="3">
        <f>+Tabla145[[#This Row],[Plan Irrestricto Inicial]]</f>
        <v>0</v>
      </c>
      <c r="AG232" s="3">
        <f>+Tabla145[[#This Row],[En puerto a facturar]]</f>
        <v>0</v>
      </c>
      <c r="AH232" s="3">
        <f>+Tabla145[[#This Row],[Facturación atraso]]</f>
        <v>0</v>
      </c>
      <c r="AI232" s="3">
        <f>+Tabla145[[#This Row],[Plan Irrestricto]]-Tabla145[[#This Row],[Puerto ]]-Tabla145[[#This Row],[Atraso]]</f>
        <v>0</v>
      </c>
      <c r="AJ23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32" s="3">
        <f>+Tabla145[[#This Row],[Facturación atraso]]</f>
        <v>0</v>
      </c>
      <c r="AL232" s="3">
        <f>+Tabla145[[#This Row],[Plan Ajustado]]-Tabla145[[#This Row],[ Atraso ajustado]]-Tabla145[[#This Row],[Puerto ]]</f>
        <v>0</v>
      </c>
      <c r="AM232" s="6">
        <f>IFERROR(VLOOKUP(Tabla145[[#This Row],[Llave]],[18]!Tabla14[#All],34,FALSE),0)</f>
        <v>0</v>
      </c>
      <c r="AN232" s="6">
        <f>IFERROR(VLOOKUP(Tabla145[[#This Row],[Llave]],[18]!Tabla14[#All],35,FALSE),0)</f>
        <v>0</v>
      </c>
      <c r="AO232" s="3" t="str">
        <f>IF(Tabla145[[#This Row],[Plan Ajustado]]&gt;Tabla145[[#This Row],[En puerto a facturar]],"Si","No")</f>
        <v>No</v>
      </c>
      <c r="AP23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32" s="3">
        <f>IF(Tabla145[[#This Row],[Necesidad]]&gt;=Tabla145[[#This Row],[Stock al día]],Tabla145[[#This Row],[Stock al día]],Tabla145[[#This Row],[Necesidad]])</f>
        <v>0</v>
      </c>
      <c r="AR232" s="3">
        <f>+Tabla145[[#This Row],[Necesidad]]-Tabla145[[#This Row],[Stock Plan]]</f>
        <v>0</v>
      </c>
      <c r="AS232" s="155">
        <f>IFERROR(VLOOKUP(Tabla145[[#This Row],[Oficina]],[19]Ponderación!$B$14:$E$21,4,FALSE),"")</f>
        <v>44789</v>
      </c>
      <c r="AT23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0.92774166666666658</v>
      </c>
      <c r="AU232" s="83">
        <f>IFERROR(VLOOKUP(Tabla145[[#This Row],[Llave]],[17]DELAY!$H:$W,16,FALSE),0)</f>
        <v>0</v>
      </c>
      <c r="AV23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32" s="5">
        <f>Tabla145[[#This Row],[Ajuste precio IC]]*Tabla145[[#This Row],[Plan Ajustado]]</f>
        <v>0</v>
      </c>
      <c r="AX232" s="30">
        <f>IFERROR(VLOOKUP(Tabla145[[#This Row],[Llave]],'[13]Ultimos precios facturados'!$A:$G,7,FALSE),0)</f>
        <v>0.92774166666666658</v>
      </c>
      <c r="AY23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32" s="30">
        <f>IFERROR(VLOOKUP(Tabla145[[#This Row],[Llave]],Hoja2!B:K,10,FALSE),0)</f>
        <v>0</v>
      </c>
      <c r="BA232" s="30">
        <f>IF(Tabla145[[#This Row],[Ajuste precio IC]]="",Tabla145[[#This Row],[Precio ponderado]],Tabla145[[#This Row],[Precio ponderado]])</f>
        <v>0</v>
      </c>
      <c r="BB232" s="82"/>
      <c r="BC232" s="82" t="str">
        <f>IF(AND(Tabla145[[#This Row],[Atraso a facturar]]&gt;0,Tabla145[[#This Row],[Precio Atraso]]=0),"Revisar","OK")</f>
        <v>OK</v>
      </c>
      <c r="BD232" s="82" t="str">
        <f>IF(AND(Tabla145[[#This Row],[Venta del mes]]&gt;0,Tabla145[[#This Row],[Precio venta nueva]]=0),"Revisar","OK")</f>
        <v>OK</v>
      </c>
      <c r="BE232" s="20">
        <f>IFERROR(VLOOKUP(Tabla145[[#This Row],[Llave]],'[5]Consolidación planes'!$A:$M,9,FALSE),0)</f>
        <v>0</v>
      </c>
      <c r="BF232" s="20">
        <f>IFERROR(VLOOKUP(Tabla145[[#This Row],[Llave]],'[5]Consolidación planes'!$A:$M,10,FALSE),0)</f>
        <v>0</v>
      </c>
      <c r="BG232" s="20">
        <f>IFERROR(VLOOKUP(Tabla145[[#This Row],[Llave]],'[5]Consolidación planes'!$A:$M,11,FALSE),0)</f>
        <v>80</v>
      </c>
      <c r="BH232" s="20">
        <f>IFERROR(VLOOKUP(Tabla145[[#This Row],[Llave]],'[5]Consolidación planes'!$A:$M,12,FALSE),0)</f>
        <v>0</v>
      </c>
      <c r="BI232" s="20">
        <f>IFERROR(VLOOKUP(Tabla145[[#This Row],[Llave]],'[5]Consolidación planes'!$A:$M,13,FALSE),0)</f>
        <v>0</v>
      </c>
      <c r="BJ232" s="20">
        <f>IFERROR(VLOOKUP(Tabla145[[#This Row],[Llave]],'[13]Base ultimos planes'!$A:$M,13,FALSE),0)</f>
        <v>0</v>
      </c>
      <c r="BK232" s="80">
        <f>IFERROR(VLOOKUP(Tabla145[[#This Row],[Llave]],'[13]Base ultimos planes'!$O:$AA,8,FALSE),0)</f>
        <v>0</v>
      </c>
      <c r="BL232" s="20">
        <f>IFERROR(VLOOKUP(Tabla145[[#This Row],[Llave]],'[13]Base ultimos planes'!$O:$AA,9,FALSE),0)</f>
        <v>0</v>
      </c>
      <c r="BM232" s="20">
        <f>IFERROR(VLOOKUP(Tabla145[[#This Row],[Llave]],'[13]Base ultimos planes'!$O:$AA,10,FALSE),0)</f>
        <v>520</v>
      </c>
      <c r="BN232" s="20">
        <f>IFERROR(VLOOKUP(Tabla145[[#This Row],[Llave]],'[13]Base ultimos planes'!$O:$AA,11,FALSE),0)</f>
        <v>0</v>
      </c>
      <c r="BO232" s="20">
        <f>IFERROR(VLOOKUP(Tabla145[[#This Row],[Llave]],'[13]Base ultimos planes'!$O:$AA,12,FALSE),0)</f>
        <v>0</v>
      </c>
      <c r="BP232" s="20">
        <f>IFERROR(VLOOKUP(Tabla145[[#This Row],[Llave]],'[13]Base ultimos planes'!$O:$AA,13,FALSE),0)</f>
        <v>0</v>
      </c>
      <c r="BQ232" s="20"/>
      <c r="BR232" s="20">
        <f>Tabla145[[#This Row],[ RV Producción mes n+1]]*(1-Tabla145[[#This Row],[% Uti. producción]])</f>
        <v>0</v>
      </c>
      <c r="BS232" s="20">
        <f>+Tabla145[[#This Row],[Producción disponible mes n-1]]+Tabla145[[#This Row],[Saldo Volumen disponible]]</f>
        <v>0</v>
      </c>
      <c r="BT232" s="7">
        <f>IFERROR(VLOOKUP(Tabla145[[#This Row],[Llave]],'[21]RV n+2 y n+3'!$B:$F,4,FALSE),0)</f>
        <v>0</v>
      </c>
      <c r="BU232" s="7">
        <f>+Tabla145[[#This Row],[Asignación mes n+2]]*Tabla145[[#This Row],[% Uti. producción]]</f>
        <v>0</v>
      </c>
      <c r="BV232" s="7">
        <f>+Tabla145[[#This Row],[Ponderación mes n+2]]+Tabla145[[#This Row],[Saldo mes n-1]]</f>
        <v>0</v>
      </c>
      <c r="BW232" s="7">
        <f>+Tabla145[[#This Row],[Asignación mes n+2]]-Tabla145[[#This Row],[Ponderación mes n+2]]</f>
        <v>0</v>
      </c>
      <c r="BX232" s="7">
        <f>IFERROR(VLOOKUP(Tabla145[[#This Row],[Llave]],'[21]RV n+2 y n+3'!$B:$F,5,FALSE),0)</f>
        <v>0</v>
      </c>
      <c r="BY232" s="7">
        <f>+Tabla145[[#This Row],[Asignación mes n+3]]*Tabla145[[#This Row],[% Uti. producción]]</f>
        <v>0</v>
      </c>
      <c r="BZ232" s="3">
        <f>+Tabla145[[#This Row],[Ponderación mes n+3]]+Tabla145[[#This Row],[Saldo mes n+2]]</f>
        <v>0</v>
      </c>
      <c r="CA232" s="3">
        <f>+Tabla145[[#This Row],[Asignación mes n+3]]-Tabla145[[#This Row],[Ponderación mes n+3]]</f>
        <v>0</v>
      </c>
      <c r="CB232" s="3">
        <f>+Tabla145[[#This Row],[Producción disponible mes n-1]]+Tabla145[[#This Row],[Producción disponible]]</f>
        <v>0</v>
      </c>
      <c r="CC232" s="3">
        <f>+Tabla145[[#This Row],[Saldo mes n+4]]-Tabla145[[#This Row],[ RV Producción mes n+1]]</f>
        <v>0</v>
      </c>
    </row>
    <row r="233" spans="1:81" ht="16" x14ac:dyDescent="0.2">
      <c r="A233">
        <v>1</v>
      </c>
      <c r="B233" t="str">
        <f>Tabla145[[#This Row],[Oficina]]&amp;Tabla145[[#This Row],[Material]]</f>
        <v>Agro Sudamerica1012719</v>
      </c>
      <c r="C233" t="s">
        <v>227</v>
      </c>
      <c r="D233" t="s">
        <v>17</v>
      </c>
      <c r="E233">
        <v>1012719</v>
      </c>
      <c r="F233" t="s">
        <v>236</v>
      </c>
      <c r="G233" t="s">
        <v>233</v>
      </c>
      <c r="H233" t="s">
        <v>234</v>
      </c>
      <c r="I233" s="7">
        <f>IFERROR(VLOOKUP(Tabla145[[#This Row],[Llave]],'[7]RV Producción'!$C:$G,5,FALSE),0)</f>
        <v>348886</v>
      </c>
      <c r="J233" s="3">
        <f>IFERROR(IF(Tabla145[[#This Row],[Oficina]]=$I$7,VLOOKUP(Tabla145[[#This Row],[Llave]],'[7]Shangai (Tomas)'!$A:$F,6,FALSE),VLOOKUP(Tabla145[[#This Row],[Llave]],'[7]RV plan de ventas'!$A:$E,5,FALSE)),0)</f>
        <v>434000</v>
      </c>
      <c r="K233" s="8">
        <v>0.8</v>
      </c>
      <c r="L233" s="7">
        <f>+Tabla145[[#This Row],[ RV Producción mes n+1]]*Tabla145[[#This Row],[% Uti. producción]]</f>
        <v>279108.8</v>
      </c>
      <c r="M233" s="7">
        <f>IFERROR(VLOOKUP(Tabla145[[#This Row],[Material]],[16]Stock!$G:$K,5,FALSE),0)</f>
        <v>35516</v>
      </c>
      <c r="N233" s="7">
        <f>IFERROR(VLOOKUP(Tabla145[[#This Row],[Material]],[16]Produccion!$M:$N,2,FALSE),0)</f>
        <v>78450</v>
      </c>
      <c r="O233" s="7">
        <f>IFERROR(VLOOKUP(Tabla145[[#This Row],[Llave]],'[16]TD Conf-AP'!$I:$M,4,FALSE),0)</f>
        <v>0</v>
      </c>
      <c r="P233" s="14">
        <f>SUM(Tabla145[[#This Row],[Producción disponible]],Tabla145[[#This Row],[Stock al día]],(Tabla145[[#This Row],[Por producir mes N]]*0.9))-Tabla145[[#This Row],[Producción por despachar mes N]]</f>
        <v>385229.8</v>
      </c>
      <c r="Q233" s="7">
        <f>IFERROR(VLOOKUP(Tabla145[[#This Row],[Llave]],[17]DELAY!$A:$D,4,FALSE),0)</f>
        <v>45880</v>
      </c>
      <c r="R233" s="9">
        <v>24000</v>
      </c>
      <c r="S233" s="5">
        <f t="shared" si="8"/>
        <v>45880</v>
      </c>
      <c r="T233" s="76">
        <v>-24000</v>
      </c>
      <c r="U233" s="5">
        <f>+Tabla145[[#This Row],[Atraso a facturar]]+Tabla145[[#This Row],[Ajuste atraso]]</f>
        <v>21880</v>
      </c>
      <c r="V233" s="3">
        <f>+Tabla145[[#This Row],[Total disponible]]-Tabla145[[#This Row],[Facturación atraso]]</f>
        <v>363349.8</v>
      </c>
      <c r="W233" s="6">
        <f>IFERROR(IF(AND(V233&gt;R233,J233&gt;=R233),ROUNDDOWN((Tabla145[[#This Row],[Producción para venta nueva]])/R233,0)*R233,0),0)</f>
        <v>360000</v>
      </c>
      <c r="X233" s="76">
        <v>-264000</v>
      </c>
      <c r="Y233" s="6">
        <f>IF(Tabla145[[#This Row],[Venta del mes]]&gt;0,Tabla145[[#This Row],[Venta del mes]]+Tabla145[[#This Row],[Ajuste venta nueva]],0)</f>
        <v>96000</v>
      </c>
      <c r="Z233" s="6">
        <f>+Tabla145[[#This Row],[Producción para venta nueva]]-Tabla145[[#This Row],[Facturación Venta nueva]]</f>
        <v>267349.8</v>
      </c>
      <c r="AA233" s="6">
        <f>IF(AND(A233=1,Tabla145[[#This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3" s="6">
        <v>0</v>
      </c>
      <c r="AC233" s="6">
        <f>IF(Tabla145[[#This Row],[Disponible stock sin venta]]&gt;0,Tabla145[[#This Row],[Disponible stock sin venta]]+Tabla145[[#This Row],[Ajuste stock sin venta]],0)</f>
        <v>0</v>
      </c>
      <c r="AD233" s="3">
        <f>IFERROR(VLOOKUP(Tabla145[[#This Row],[Llave]],'[16]TD Puerto'!$A:$D,4,FALSE),0)</f>
        <v>0</v>
      </c>
      <c r="AE233" s="3">
        <v>381880</v>
      </c>
      <c r="AF233" s="3">
        <f>+Tabla145[[#This Row],[Plan Irrestricto Inicial]]</f>
        <v>381880</v>
      </c>
      <c r="AG233" s="3">
        <f>+Tabla145[[#This Row],[En puerto a facturar]]</f>
        <v>0</v>
      </c>
      <c r="AH233" s="3">
        <f>+Tabla145[[#This Row],[Facturación atraso]]</f>
        <v>21880</v>
      </c>
      <c r="AI233" s="3">
        <f>+Tabla145[[#This Row],[Plan Irrestricto]]-Tabla145[[#This Row],[Puerto ]]-Tabla145[[#This Row],[Atraso]]</f>
        <v>360000</v>
      </c>
      <c r="AJ233" s="3">
        <f>IF(Tabla145[[#This Row],[Plan Irrestricto]]&gt;0,SUM(Tabla145[[#This Row],[Facturación atraso]],Tabla145[[#This Row],[Facturación Venta nueva]],Tabla145[[#This Row],[Facturación stock]],Tabla145[[#This Row],[En puerto a facturar]]),0)</f>
        <v>117880</v>
      </c>
      <c r="AK233" s="3">
        <f>+Tabla145[[#This Row],[Facturación atraso]]</f>
        <v>21880</v>
      </c>
      <c r="AL233" s="3">
        <f>+Tabla145[[#This Row],[Plan Ajustado]]-Tabla145[[#This Row],[ Atraso ajustado]]-Tabla145[[#This Row],[Puerto ]]</f>
        <v>96000</v>
      </c>
      <c r="AM233" s="6">
        <f>IFERROR(VLOOKUP(Tabla145[[#This Row],[Llave]],[18]!Tabla14[#All],34,FALSE),0)</f>
        <v>0</v>
      </c>
      <c r="AN233" s="6">
        <f>IFERROR(VLOOKUP(Tabla145[[#This Row],[Llave]],[18]!Tabla14[#All],35,FALSE),0)</f>
        <v>0</v>
      </c>
      <c r="AO233" s="3" t="str">
        <f>IF(Tabla145[[#This Row],[Plan Ajustado]]&gt;Tabla145[[#This Row],[En puerto a facturar]],"Si","No")</f>
        <v>Si</v>
      </c>
      <c r="AP233" s="3">
        <f>IF(AND(Tabla145[[#This Row],[Plan Ajustado]]&gt;0,Tabla145[[#This Row],[Plan Ajustado]]&gt;Tabla145[[#This Row],[En puerto a facturar]]),(Tabla145[[#This Row],[Plan Ajustado]]-Tabla145[[#This Row],[En puerto a facturar]]),0)</f>
        <v>117880</v>
      </c>
      <c r="AQ233" s="3">
        <f>IF(Tabla145[[#This Row],[Necesidad]]&gt;=Tabla145[[#This Row],[Stock al día]],Tabla145[[#This Row],[Stock al día]],Tabla145[[#This Row],[Necesidad]])</f>
        <v>35516</v>
      </c>
      <c r="AR233" s="3">
        <f>+Tabla145[[#This Row],[Necesidad]]-Tabla145[[#This Row],[Stock Plan]]</f>
        <v>82364</v>
      </c>
      <c r="AS233" s="155">
        <f>IFERROR(VLOOKUP(Tabla145[[#This Row],[Oficina]],[19]Ponderación!$B$14:$E$21,4,FALSE),"")</f>
        <v>44789</v>
      </c>
      <c r="AT23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0.92</v>
      </c>
      <c r="AU233" s="83">
        <f>IFERROR(VLOOKUP(Tabla145[[#This Row],[Llave]],[17]DELAY!$H:$W,16,FALSE),0)</f>
        <v>0.60986732532150889</v>
      </c>
      <c r="AV23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0.86243550286761639</v>
      </c>
      <c r="AW233" s="5">
        <f>Tabla145[[#This Row],[Ajuste precio IC]]*Tabla145[[#This Row],[Plan Ajustado]]</f>
        <v>103005.90632432527</v>
      </c>
      <c r="AX233" s="30">
        <f>IFERROR(VLOOKUP(Tabla145[[#This Row],[Llave]],'[13]Ultimos precios facturados'!$A:$G,7,FALSE),0)</f>
        <v>0.6535970937088772</v>
      </c>
      <c r="AY233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0.31952163063283023</v>
      </c>
      <c r="AZ233" s="30">
        <f>IFERROR(VLOOKUP(Tabla145[[#This Row],[Llave]],Hoja2!B:K,10,FALSE),0)</f>
        <v>0.87382004007741154</v>
      </c>
      <c r="BA233" s="30">
        <f>IF(Tabla145[[#This Row],[Ajuste precio IC]]="",Tabla145[[#This Row],[Precio ponderado]],Tabla145[[#This Row],[Precio ponderado]])</f>
        <v>0.86243550286761639</v>
      </c>
      <c r="BB233" s="82"/>
      <c r="BC233" s="82" t="str">
        <f>IF(AND(Tabla145[[#This Row],[Atraso a facturar]]&gt;0,Tabla145[[#This Row],[Precio Atraso]]=0),"Revisar","OK")</f>
        <v>OK</v>
      </c>
      <c r="BD233" s="82" t="str">
        <f>IF(AND(Tabla145[[#This Row],[Venta del mes]]&gt;0,Tabla145[[#This Row],[Precio venta nueva]]=0),"Revisar","OK")</f>
        <v>OK</v>
      </c>
      <c r="BE233" s="20">
        <f>IFERROR(VLOOKUP(Tabla145[[#This Row],[Llave]],'[5]Consolidación planes'!$A:$M,9,FALSE),0)</f>
        <v>192000</v>
      </c>
      <c r="BF233" s="20">
        <f>IFERROR(VLOOKUP(Tabla145[[#This Row],[Llave]],'[5]Consolidación planes'!$A:$M,10,FALSE),0)</f>
        <v>423600</v>
      </c>
      <c r="BG233" s="20">
        <f>IFERROR(VLOOKUP(Tabla145[[#This Row],[Llave]],'[5]Consolidación planes'!$A:$M,11,FALSE),0)</f>
        <v>357200</v>
      </c>
      <c r="BH233" s="20">
        <f>IFERROR(VLOOKUP(Tabla145[[#This Row],[Llave]],'[5]Consolidación planes'!$A:$M,12,FALSE),0)</f>
        <v>144000</v>
      </c>
      <c r="BI233" s="20">
        <f>IFERROR(VLOOKUP(Tabla145[[#This Row],[Llave]],'[5]Consolidación planes'!$A:$M,13,FALSE),0)</f>
        <v>358600</v>
      </c>
      <c r="BJ233" s="20">
        <f>IFERROR(VLOOKUP(Tabla145[[#This Row],[Llave]],'[13]Base ultimos planes'!$A:$M,13,FALSE),0)</f>
        <v>24000</v>
      </c>
      <c r="BK233" s="80">
        <f>IFERROR(VLOOKUP(Tabla145[[#This Row],[Llave]],'[13]Base ultimos planes'!$O:$AA,8,FALSE),0)</f>
        <v>134400</v>
      </c>
      <c r="BL233" s="20">
        <f>IFERROR(VLOOKUP(Tabla145[[#This Row],[Llave]],'[13]Base ultimos planes'!$O:$AA,9,FALSE),0)</f>
        <v>285844</v>
      </c>
      <c r="BM233" s="20">
        <f>IFERROR(VLOOKUP(Tabla145[[#This Row],[Llave]],'[13]Base ultimos planes'!$O:$AA,10,FALSE),0)</f>
        <v>241660</v>
      </c>
      <c r="BN233" s="20">
        <f>IFERROR(VLOOKUP(Tabla145[[#This Row],[Llave]],'[13]Base ultimos planes'!$O:$AA,11,FALSE),0)</f>
        <v>80640</v>
      </c>
      <c r="BO233" s="20">
        <f>IFERROR(VLOOKUP(Tabla145[[#This Row],[Llave]],'[13]Base ultimos planes'!$O:$AA,12,FALSE),0)</f>
        <v>251432</v>
      </c>
      <c r="BP233" s="20">
        <f>IFERROR(VLOOKUP(Tabla145[[#This Row],[Llave]],'[13]Base ultimos planes'!$O:$AA,13,FALSE),0)</f>
        <v>16965</v>
      </c>
      <c r="BQ233" s="20" t="s">
        <v>629</v>
      </c>
      <c r="BR233" s="20">
        <f>Tabla145[[#This Row],[ RV Producción mes n+1]]*(1-Tabla145[[#This Row],[% Uti. producción]])</f>
        <v>69777.199999999983</v>
      </c>
      <c r="BS233" s="20">
        <f>+Tabla145[[#This Row],[Producción disponible mes n-1]]+Tabla145[[#This Row],[Saldo Volumen disponible]]</f>
        <v>337127</v>
      </c>
      <c r="BT233" s="7">
        <f>IFERROR(VLOOKUP(Tabla145[[#This Row],[Llave]],'[21]RV n+2 y n+3'!$B:$F,4,FALSE),0)</f>
        <v>418551.72</v>
      </c>
      <c r="BU233" s="7">
        <f>+Tabla145[[#This Row],[Asignación mes n+2]]*Tabla145[[#This Row],[% Uti. producción]]</f>
        <v>334841.37599999999</v>
      </c>
      <c r="BV233" s="7">
        <f>+Tabla145[[#This Row],[Ponderación mes n+2]]+Tabla145[[#This Row],[Saldo mes n-1]]</f>
        <v>671968.37599999993</v>
      </c>
      <c r="BW233" s="7">
        <f>+Tabla145[[#This Row],[Asignación mes n+2]]-Tabla145[[#This Row],[Ponderación mes n+2]]</f>
        <v>83710.343999999983</v>
      </c>
      <c r="BX233" s="7">
        <f>IFERROR(VLOOKUP(Tabla145[[#This Row],[Llave]],'[21]RV n+2 y n+3'!$B:$F,5,FALSE),0)</f>
        <v>0</v>
      </c>
      <c r="BY233" s="7">
        <f>+Tabla145[[#This Row],[Asignación mes n+3]]*Tabla145[[#This Row],[% Uti. producción]]</f>
        <v>0</v>
      </c>
      <c r="BZ233" s="3">
        <f>+Tabla145[[#This Row],[Ponderación mes n+3]]+Tabla145[[#This Row],[Saldo mes n+2]]</f>
        <v>83710.343999999983</v>
      </c>
      <c r="CA233" s="3">
        <f>+Tabla145[[#This Row],[Asignación mes n+3]]-Tabla145[[#This Row],[Ponderación mes n+3]]</f>
        <v>0</v>
      </c>
      <c r="CB233" s="3">
        <f>+Tabla145[[#This Row],[Producción disponible mes n-1]]+Tabla145[[#This Row],[Producción disponible]]</f>
        <v>348886</v>
      </c>
      <c r="CC233" s="3">
        <f>+Tabla145[[#This Row],[Saldo mes n+4]]-Tabla145[[#This Row],[ RV Producción mes n+1]]</f>
        <v>0</v>
      </c>
    </row>
    <row r="234" spans="1:81" ht="16" x14ac:dyDescent="0.2">
      <c r="A234">
        <v>1</v>
      </c>
      <c r="B234" t="str">
        <f>Tabla145[[#This Row],[Oficina]]&amp;Tabla145[[#This Row],[Material]]</f>
        <v>Agro Sudamerica1012744</v>
      </c>
      <c r="C234" t="s">
        <v>227</v>
      </c>
      <c r="D234" t="s">
        <v>17</v>
      </c>
      <c r="E234">
        <v>1012744</v>
      </c>
      <c r="F234" t="s">
        <v>252</v>
      </c>
      <c r="G234" t="s">
        <v>247</v>
      </c>
      <c r="H234" t="s">
        <v>248</v>
      </c>
      <c r="I234" s="7">
        <f>IFERROR(VLOOKUP(Tabla145[[#This Row],[Llave]],'[7]RV Producción'!$C:$G,5,FALSE),0)</f>
        <v>0</v>
      </c>
      <c r="J234" s="3">
        <f>IFERROR(IF(Tabla145[[#This Row],[Oficina]]=$I$7,VLOOKUP(Tabla145[[#This Row],[Llave]],'[7]Shangai (Tomas)'!$A:$F,6,FALSE),VLOOKUP(Tabla145[[#This Row],[Llave]],'[7]RV plan de ventas'!$A:$E,5,FALSE)),0)</f>
        <v>0</v>
      </c>
      <c r="K234" s="8">
        <f>IFERROR(VLOOKUP(Tabla145[[#This Row],[Oficina]],[15]Ponderación!$B$2:$E$9,4,FALSE),0)</f>
        <v>0.45719439678473212</v>
      </c>
      <c r="L234" s="7">
        <f>+Tabla145[[#This Row],[ RV Producción mes n+1]]*Tabla145[[#This Row],[% Uti. producción]]</f>
        <v>0</v>
      </c>
      <c r="M234" s="7">
        <f>IFERROR(VLOOKUP(Tabla145[[#This Row],[Material]],[16]Stock!$G:$K,5,FALSE),0)</f>
        <v>0</v>
      </c>
      <c r="N234" s="7">
        <f>IFERROR(VLOOKUP(Tabla145[[#This Row],[Material]],[16]Produccion!$M:$N,2,FALSE),0)</f>
        <v>0</v>
      </c>
      <c r="O234" s="7">
        <f>IFERROR(VLOOKUP(Tabla145[[#This Row],[Llave]],'[16]TD Conf-AP'!$I:$M,4,FALSE),0)</f>
        <v>0</v>
      </c>
      <c r="P234" s="14">
        <f>SUM(Tabla145[[#This Row],[Producción disponible]],Tabla145[[#This Row],[Stock al día]],(Tabla145[[#This Row],[Por producir mes N]]*0.9))-Tabla145[[#This Row],[Producción por despachar mes N]]</f>
        <v>0</v>
      </c>
      <c r="Q234" s="7">
        <f>IFERROR(VLOOKUP(Tabla145[[#This Row],[Llave]],[17]DELAY!$A:$D,4,FALSE),0)</f>
        <v>0</v>
      </c>
      <c r="R234" s="9">
        <v>24000</v>
      </c>
      <c r="S234" s="5">
        <f t="shared" si="8"/>
        <v>0</v>
      </c>
      <c r="T234" s="76">
        <v>0</v>
      </c>
      <c r="U234" s="5">
        <f>+Tabla145[[#This Row],[Atraso a facturar]]+Tabla145[[#This Row],[Ajuste atraso]]</f>
        <v>0</v>
      </c>
      <c r="V234" s="3">
        <f>+Tabla145[[#This Row],[Total disponible]]-Tabla145[[#This Row],[Facturación atraso]]</f>
        <v>0</v>
      </c>
      <c r="W234" s="6">
        <f>IFERROR(IF(AND(V234&gt;R234,J234&gt;=R234),ROUNDDOWN((Tabla145[[#This Row],[Producción para venta nueva]])/R234,0)*R234,0),0)</f>
        <v>0</v>
      </c>
      <c r="X234" s="76">
        <v>0</v>
      </c>
      <c r="Y234" s="6">
        <f>IF(Tabla145[[#This Row],[Venta del mes]]&gt;0,Tabla145[[#This Row],[Venta del mes]]+Tabla145[[#This Row],[Ajuste venta nueva]],0)</f>
        <v>0</v>
      </c>
      <c r="Z234" s="6">
        <f>+Tabla145[[#This Row],[Producción para venta nueva]]-Tabla145[[#This Row],[Facturación Venta nueva]]</f>
        <v>0</v>
      </c>
      <c r="AA234" s="6">
        <f>IF(AND(A234=1,Tabla145[[#This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4" s="6">
        <v>0</v>
      </c>
      <c r="AC234" s="6">
        <f>IF(Tabla145[[#This Row],[Disponible stock sin venta]]&gt;0,Tabla145[[#This Row],[Disponible stock sin venta]]+Tabla145[[#This Row],[Ajuste stock sin venta]],0)</f>
        <v>0</v>
      </c>
      <c r="AD234" s="3">
        <f>IFERROR(VLOOKUP(Tabla145[[#This Row],[Llave]],'[16]TD Puerto'!$A:$D,4,FALSE),0)</f>
        <v>0</v>
      </c>
      <c r="AE234" s="3">
        <v>0</v>
      </c>
      <c r="AF234" s="3">
        <f>+Tabla145[[#This Row],[Plan Irrestricto Inicial]]</f>
        <v>0</v>
      </c>
      <c r="AG234" s="3">
        <f>+Tabla145[[#This Row],[En puerto a facturar]]</f>
        <v>0</v>
      </c>
      <c r="AH234" s="3">
        <f>+Tabla145[[#This Row],[Facturación atraso]]</f>
        <v>0</v>
      </c>
      <c r="AI234" s="3">
        <f>+Tabla145[[#This Row],[Plan Irrestricto]]-Tabla145[[#This Row],[Puerto ]]-Tabla145[[#This Row],[Atraso]]</f>
        <v>0</v>
      </c>
      <c r="AJ23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34" s="3">
        <f>+Tabla145[[#This Row],[Facturación atraso]]</f>
        <v>0</v>
      </c>
      <c r="AL234" s="3">
        <f>+Tabla145[[#This Row],[Plan Ajustado]]-Tabla145[[#This Row],[ Atraso ajustado]]-Tabla145[[#This Row],[Puerto ]]</f>
        <v>0</v>
      </c>
      <c r="AM234" s="6">
        <f>IFERROR(VLOOKUP(Tabla145[[#This Row],[Llave]],[18]!Tabla14[#All],34,FALSE),0)</f>
        <v>0</v>
      </c>
      <c r="AN234" s="6">
        <f>IFERROR(VLOOKUP(Tabla145[[#This Row],[Llave]],[18]!Tabla14[#All],35,FALSE),0)</f>
        <v>0</v>
      </c>
      <c r="AO234" s="3" t="str">
        <f>IF(Tabla145[[#This Row],[Plan Ajustado]]&gt;Tabla145[[#This Row],[En puerto a facturar]],"Si","No")</f>
        <v>No</v>
      </c>
      <c r="AP23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34" s="3">
        <f>IF(Tabla145[[#This Row],[Necesidad]]&gt;=Tabla145[[#This Row],[Stock al día]],Tabla145[[#This Row],[Stock al día]],Tabla145[[#This Row],[Necesidad]])</f>
        <v>0</v>
      </c>
      <c r="AR234" s="3">
        <f>+Tabla145[[#This Row],[Necesidad]]-Tabla145[[#This Row],[Stock Plan]]</f>
        <v>0</v>
      </c>
      <c r="AS234" s="155">
        <f>IFERROR(VLOOKUP(Tabla145[[#This Row],[Oficina]],[19]Ponderación!$B$14:$E$21,4,FALSE),"")</f>
        <v>44789</v>
      </c>
      <c r="AT23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3.4128200397882997</v>
      </c>
      <c r="AU234" s="83">
        <f>IFERROR(VLOOKUP(Tabla145[[#This Row],[Llave]],[17]DELAY!$H:$W,16,FALSE),0)</f>
        <v>0</v>
      </c>
      <c r="AV23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34" s="5">
        <f>Tabla145[[#This Row],[Ajuste precio IC]]*Tabla145[[#This Row],[Plan Ajustado]]</f>
        <v>0</v>
      </c>
      <c r="AX234" s="30">
        <f>IFERROR(VLOOKUP(Tabla145[[#This Row],[Llave]],'[13]Ultimos precios facturados'!$A:$G,7,FALSE),0)</f>
        <v>3.4128200397882997</v>
      </c>
      <c r="AY23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34" s="30">
        <f>IFERROR(VLOOKUP(Tabla145[[#This Row],[Llave]],Hoja2!B:K,10,FALSE),0)</f>
        <v>0</v>
      </c>
      <c r="BA234" s="30">
        <f>IF(Tabla145[[#This Row],[Ajuste precio IC]]="",Tabla145[[#This Row],[Precio ponderado]],Tabla145[[#This Row],[Precio ponderado]])</f>
        <v>0</v>
      </c>
      <c r="BB234" s="82"/>
      <c r="BC234" s="82" t="str">
        <f>IF(AND(Tabla145[[#This Row],[Atraso a facturar]]&gt;0,Tabla145[[#This Row],[Precio Atraso]]=0),"Revisar","OK")</f>
        <v>OK</v>
      </c>
      <c r="BD234" s="82" t="str">
        <f>IF(AND(Tabla145[[#This Row],[Venta del mes]]&gt;0,Tabla145[[#This Row],[Precio venta nueva]]=0),"Revisar","OK")</f>
        <v>OK</v>
      </c>
      <c r="BE234" s="20">
        <f>IFERROR(VLOOKUP(Tabla145[[#This Row],[Llave]],'[5]Consolidación planes'!$A:$M,9,FALSE),0)</f>
        <v>0</v>
      </c>
      <c r="BF234" s="20">
        <f>IFERROR(VLOOKUP(Tabla145[[#This Row],[Llave]],'[5]Consolidación planes'!$A:$M,10,FALSE),0)</f>
        <v>143000</v>
      </c>
      <c r="BG234" s="20">
        <f>IFERROR(VLOOKUP(Tabla145[[#This Row],[Llave]],'[5]Consolidación planes'!$A:$M,11,FALSE),0)</f>
        <v>72000</v>
      </c>
      <c r="BH234" s="20">
        <f>IFERROR(VLOOKUP(Tabla145[[#This Row],[Llave]],'[5]Consolidación planes'!$A:$M,12,FALSE),0)</f>
        <v>24000</v>
      </c>
      <c r="BI234" s="20">
        <f>IFERROR(VLOOKUP(Tabla145[[#This Row],[Llave]],'[5]Consolidación planes'!$A:$M,13,FALSE),0)</f>
        <v>24000</v>
      </c>
      <c r="BJ234" s="20">
        <f>IFERROR(VLOOKUP(Tabla145[[#This Row],[Llave]],'[13]Base ultimos planes'!$A:$M,13,FALSE),0)</f>
        <v>0</v>
      </c>
      <c r="BK234" s="80">
        <f>IFERROR(VLOOKUP(Tabla145[[#This Row],[Llave]],'[13]Base ultimos planes'!$O:$AA,8,FALSE),0)</f>
        <v>0</v>
      </c>
      <c r="BL234" s="20">
        <f>IFERROR(VLOOKUP(Tabla145[[#This Row],[Llave]],'[13]Base ultimos planes'!$O:$AA,9,FALSE),0)</f>
        <v>487469</v>
      </c>
      <c r="BM234" s="20">
        <f>IFERROR(VLOOKUP(Tabla145[[#This Row],[Llave]],'[13]Base ultimos planes'!$O:$AA,10,FALSE),0)</f>
        <v>249600</v>
      </c>
      <c r="BN234" s="20">
        <f>IFERROR(VLOOKUP(Tabla145[[#This Row],[Llave]],'[13]Base ultimos planes'!$O:$AA,11,FALSE),0)</f>
        <v>78000</v>
      </c>
      <c r="BO234" s="20">
        <f>IFERROR(VLOOKUP(Tabla145[[#This Row],[Llave]],'[13]Base ultimos planes'!$O:$AA,12,FALSE),0)</f>
        <v>81600</v>
      </c>
      <c r="BP234" s="20">
        <f>IFERROR(VLOOKUP(Tabla145[[#This Row],[Llave]],'[13]Base ultimos planes'!$O:$AA,13,FALSE),0)</f>
        <v>0</v>
      </c>
      <c r="BQ234" s="20"/>
      <c r="BR234" s="20">
        <f>Tabla145[[#This Row],[ RV Producción mes n+1]]*(1-Tabla145[[#This Row],[% Uti. producción]])</f>
        <v>0</v>
      </c>
      <c r="BS234" s="20">
        <f>+Tabla145[[#This Row],[Producción disponible mes n-1]]+Tabla145[[#This Row],[Saldo Volumen disponible]]</f>
        <v>0</v>
      </c>
      <c r="BT234" s="7">
        <f>IFERROR(VLOOKUP(Tabla145[[#This Row],[Llave]],'[21]RV n+2 y n+3'!$B:$F,4,FALSE),0)</f>
        <v>0</v>
      </c>
      <c r="BU234" s="7">
        <f>+Tabla145[[#This Row],[Asignación mes n+2]]*Tabla145[[#This Row],[% Uti. producción]]</f>
        <v>0</v>
      </c>
      <c r="BV234" s="7">
        <f>+Tabla145[[#This Row],[Ponderación mes n+2]]+Tabla145[[#This Row],[Saldo mes n-1]]</f>
        <v>0</v>
      </c>
      <c r="BW234" s="7">
        <f>+Tabla145[[#This Row],[Asignación mes n+2]]-Tabla145[[#This Row],[Ponderación mes n+2]]</f>
        <v>0</v>
      </c>
      <c r="BX234" s="7">
        <f>IFERROR(VLOOKUP(Tabla145[[#This Row],[Llave]],'[21]RV n+2 y n+3'!$B:$F,5,FALSE),0)</f>
        <v>0</v>
      </c>
      <c r="BY234" s="7">
        <f>+Tabla145[[#This Row],[Asignación mes n+3]]*Tabla145[[#This Row],[% Uti. producción]]</f>
        <v>0</v>
      </c>
      <c r="BZ234" s="3">
        <f>+Tabla145[[#This Row],[Ponderación mes n+3]]+Tabla145[[#This Row],[Saldo mes n+2]]</f>
        <v>0</v>
      </c>
      <c r="CA234" s="3">
        <f>+Tabla145[[#This Row],[Asignación mes n+3]]-Tabla145[[#This Row],[Ponderación mes n+3]]</f>
        <v>0</v>
      </c>
      <c r="CB234" s="3">
        <f>+Tabla145[[#This Row],[Producción disponible mes n-1]]+Tabla145[[#This Row],[Producción disponible]]</f>
        <v>0</v>
      </c>
      <c r="CC234" s="3">
        <f>+Tabla145[[#This Row],[Saldo mes n+4]]-Tabla145[[#This Row],[ RV Producción mes n+1]]</f>
        <v>0</v>
      </c>
    </row>
    <row r="235" spans="1:81" ht="16" x14ac:dyDescent="0.2">
      <c r="A235">
        <v>1</v>
      </c>
      <c r="B235" t="str">
        <f>Tabla145[[#This Row],[Oficina]]&amp;Tabla145[[#This Row],[Material]]</f>
        <v>Agro Sudamerica1012763</v>
      </c>
      <c r="C235" t="s">
        <v>227</v>
      </c>
      <c r="D235" t="s">
        <v>17</v>
      </c>
      <c r="E235">
        <v>1012763</v>
      </c>
      <c r="F235" t="s">
        <v>309</v>
      </c>
      <c r="G235" t="s">
        <v>209</v>
      </c>
      <c r="H235" t="s">
        <v>245</v>
      </c>
      <c r="I235" s="7">
        <f>IFERROR(VLOOKUP(Tabla145[[#This Row],[Llave]],'[7]RV Producción'!$C:$G,5,FALSE),0)</f>
        <v>63748</v>
      </c>
      <c r="J235" s="3">
        <f>IFERROR(IF(Tabla145[[#This Row],[Oficina]]=$I$7,VLOOKUP(Tabla145[[#This Row],[Llave]],'[7]Shangai (Tomas)'!$A:$F,6,FALSE),VLOOKUP(Tabla145[[#This Row],[Llave]],'[7]RV plan de ventas'!$A:$E,5,FALSE)),0)</f>
        <v>48000</v>
      </c>
      <c r="K235" s="8">
        <f>IFERROR(VLOOKUP(Tabla145[[#This Row],[Oficina]],[15]Ponderación!$B$2:$E$9,4,FALSE),0)</f>
        <v>0.45719439678473212</v>
      </c>
      <c r="L235" s="7">
        <f>+Tabla145[[#This Row],[ RV Producción mes n+1]]*Tabla145[[#This Row],[% Uti. producción]]</f>
        <v>29145.228406233102</v>
      </c>
      <c r="M235" s="7">
        <f>IFERROR(VLOOKUP(Tabla145[[#This Row],[Material]],[16]Stock!$G:$K,5,FALSE),0)</f>
        <v>15895</v>
      </c>
      <c r="N235" s="7">
        <f>IFERROR(VLOOKUP(Tabla145[[#This Row],[Material]],[16]Produccion!$M:$N,2,FALSE),0)</f>
        <v>15000</v>
      </c>
      <c r="O235" s="7">
        <f>IFERROR(VLOOKUP(Tabla145[[#This Row],[Llave]],'[16]TD Conf-AP'!$I:$M,4,FALSE),0)</f>
        <v>0</v>
      </c>
      <c r="P235" s="14">
        <f>SUM(Tabla145[[#This Row],[Producción disponible]],Tabla145[[#This Row],[Stock al día]],(Tabla145[[#This Row],[Por producir mes N]]*0.9))-Tabla145[[#This Row],[Producción por despachar mes N]]</f>
        <v>58540.228406233102</v>
      </c>
      <c r="Q235" s="7">
        <f>IFERROR(VLOOKUP(Tabla145[[#This Row],[Llave]],[17]DELAY!$A:$D,4,FALSE),0)</f>
        <v>48000</v>
      </c>
      <c r="R235" s="9">
        <v>24000</v>
      </c>
      <c r="S235" s="5">
        <f t="shared" si="8"/>
        <v>48000</v>
      </c>
      <c r="T235" s="76">
        <v>0</v>
      </c>
      <c r="U235" s="5">
        <f>+Tabla145[[#This Row],[Atraso a facturar]]+Tabla145[[#This Row],[Ajuste atraso]]</f>
        <v>48000</v>
      </c>
      <c r="V235" s="3">
        <f>+Tabla145[[#This Row],[Total disponible]]-Tabla145[[#This Row],[Facturación atraso]]</f>
        <v>10540.228406233102</v>
      </c>
      <c r="W235" s="6">
        <f>IFERROR(IF(AND(V235&gt;R235,J235&gt;=R235),ROUNDDOWN((Tabla145[[#This Row],[Producción para venta nueva]])/R235,0)*R235,0),0)</f>
        <v>0</v>
      </c>
      <c r="X235" s="76">
        <v>0</v>
      </c>
      <c r="Y235" s="6">
        <f>IF(Tabla145[[#This Row],[Venta del mes]]&gt;0,Tabla145[[#This Row],[Venta del mes]]+Tabla145[[#This Row],[Ajuste venta nueva]],0)</f>
        <v>0</v>
      </c>
      <c r="Z235" s="6">
        <f>+Tabla145[[#This Row],[Producción para venta nueva]]-Tabla145[[#This Row],[Facturación Venta nueva]]</f>
        <v>10540.228406233102</v>
      </c>
      <c r="AA235" s="6">
        <f>IF(AND(A235=1,Tabla145[[#This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5" s="6">
        <v>0</v>
      </c>
      <c r="AC235" s="6">
        <f>IF(Tabla145[[#This Row],[Disponible stock sin venta]]&gt;0,Tabla145[[#This Row],[Disponible stock sin venta]]+Tabla145[[#This Row],[Ajuste stock sin venta]],0)</f>
        <v>0</v>
      </c>
      <c r="AD235" s="3">
        <f>IFERROR(VLOOKUP(Tabla145[[#This Row],[Llave]],'[16]TD Puerto'!$A:$D,4,FALSE),0)</f>
        <v>0</v>
      </c>
      <c r="AE235" s="3">
        <v>48000</v>
      </c>
      <c r="AF235" s="3">
        <f>+Tabla145[[#This Row],[Plan Irrestricto Inicial]]</f>
        <v>48000</v>
      </c>
      <c r="AG235" s="3">
        <f>+Tabla145[[#This Row],[En puerto a facturar]]</f>
        <v>0</v>
      </c>
      <c r="AH235" s="3">
        <f>+Tabla145[[#This Row],[Facturación atraso]]</f>
        <v>48000</v>
      </c>
      <c r="AI235" s="3">
        <f>+Tabla145[[#This Row],[Plan Irrestricto]]-Tabla145[[#This Row],[Puerto ]]-Tabla145[[#This Row],[Atraso]]</f>
        <v>0</v>
      </c>
      <c r="AJ235" s="3">
        <f>IF(Tabla145[[#This Row],[Plan Irrestricto]]&gt;0,SUM(Tabla145[[#This Row],[Facturación atraso]],Tabla145[[#This Row],[Facturación Venta nueva]],Tabla145[[#This Row],[Facturación stock]],Tabla145[[#This Row],[En puerto a facturar]]),0)</f>
        <v>48000</v>
      </c>
      <c r="AK235" s="3">
        <f>+Tabla145[[#This Row],[Facturación atraso]]</f>
        <v>48000</v>
      </c>
      <c r="AL235" s="3">
        <f>+Tabla145[[#This Row],[Plan Ajustado]]-Tabla145[[#This Row],[ Atraso ajustado]]-Tabla145[[#This Row],[Puerto ]]</f>
        <v>0</v>
      </c>
      <c r="AM235" s="6">
        <f>IFERROR(VLOOKUP(Tabla145[[#This Row],[Llave]],[18]!Tabla14[#All],34,FALSE),0)</f>
        <v>0</v>
      </c>
      <c r="AN235" s="6">
        <f>IFERROR(VLOOKUP(Tabla145[[#This Row],[Llave]],[18]!Tabla14[#All],35,FALSE),0)</f>
        <v>0</v>
      </c>
      <c r="AO235" s="3" t="str">
        <f>IF(Tabla145[[#This Row],[Plan Ajustado]]&gt;Tabla145[[#This Row],[En puerto a facturar]],"Si","No")</f>
        <v>Si</v>
      </c>
      <c r="AP235" s="3">
        <f>IF(AND(Tabla145[[#This Row],[Plan Ajustado]]&gt;0,Tabla145[[#This Row],[Plan Ajustado]]&gt;Tabla145[[#This Row],[En puerto a facturar]]),(Tabla145[[#This Row],[Plan Ajustado]]-Tabla145[[#This Row],[En puerto a facturar]]),0)</f>
        <v>48000</v>
      </c>
      <c r="AQ235" s="3">
        <f>IF(Tabla145[[#This Row],[Necesidad]]&gt;=Tabla145[[#This Row],[Stock al día]],Tabla145[[#This Row],[Stock al día]],Tabla145[[#This Row],[Necesidad]])</f>
        <v>15895</v>
      </c>
      <c r="AR235" s="3">
        <f>+Tabla145[[#This Row],[Necesidad]]-Tabla145[[#This Row],[Stock Plan]]</f>
        <v>32105</v>
      </c>
      <c r="AS235" s="155">
        <f>IFERROR(VLOOKUP(Tabla145[[#This Row],[Oficina]],[19]Ponderación!$B$14:$E$21,4,FALSE),"")</f>
        <v>44789</v>
      </c>
      <c r="AT23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0.76666666666666705</v>
      </c>
      <c r="AU235" s="83">
        <f>IFERROR(VLOOKUP(Tabla145[[#This Row],[Llave]],[17]DELAY!$H:$W,16,FALSE),0)</f>
        <v>0.92248611111111101</v>
      </c>
      <c r="AV23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0.92248611111111101</v>
      </c>
      <c r="AW235" s="5">
        <f>Tabla145[[#This Row],[Ajuste precio IC]]*Tabla145[[#This Row],[Plan Ajustado]]</f>
        <v>29120</v>
      </c>
      <c r="AX235" s="30">
        <f>IFERROR(VLOOKUP(Tabla145[[#This Row],[Llave]],'[13]Ultimos precios facturados'!$A:$G,7,FALSE),0)</f>
        <v>0.74240492269485137</v>
      </c>
      <c r="AY235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0.24256464755457705</v>
      </c>
      <c r="AZ235" s="30">
        <f>IFERROR(VLOOKUP(Tabla145[[#This Row],[Llave]],Hoja2!B:K,10,FALSE),0)</f>
        <v>0.60666666666666669</v>
      </c>
      <c r="BA235" s="30">
        <f>IF(Tabla145[[#This Row],[Ajuste precio IC]]="",Tabla145[[#This Row],[Precio ponderado]],Tabla145[[#This Row],[Precio ponderado]])</f>
        <v>0.92248611111111101</v>
      </c>
      <c r="BB235" s="82"/>
      <c r="BC235" s="82" t="str">
        <f>IF(AND(Tabla145[[#This Row],[Atraso a facturar]]&gt;0,Tabla145[[#This Row],[Precio Atraso]]=0),"Revisar","OK")</f>
        <v>OK</v>
      </c>
      <c r="BD235" s="82" t="str">
        <f>IF(AND(Tabla145[[#This Row],[Venta del mes]]&gt;0,Tabla145[[#This Row],[Precio venta nueva]]=0),"Revisar","OK")</f>
        <v>OK</v>
      </c>
      <c r="BE235" s="20">
        <f>IFERROR(VLOOKUP(Tabla145[[#This Row],[Llave]],'[5]Consolidación planes'!$A:$M,9,FALSE),0)</f>
        <v>0</v>
      </c>
      <c r="BF235" s="20">
        <f>IFERROR(VLOOKUP(Tabla145[[#This Row],[Llave]],'[5]Consolidación planes'!$A:$M,10,FALSE),0)</f>
        <v>0</v>
      </c>
      <c r="BG235" s="20">
        <f>IFERROR(VLOOKUP(Tabla145[[#This Row],[Llave]],'[5]Consolidación planes'!$A:$M,11,FALSE),0)</f>
        <v>48000</v>
      </c>
      <c r="BH235" s="20">
        <f>IFERROR(VLOOKUP(Tabla145[[#This Row],[Llave]],'[5]Consolidación planes'!$A:$M,12,FALSE),0)</f>
        <v>48000</v>
      </c>
      <c r="BI235" s="20">
        <f>IFERROR(VLOOKUP(Tabla145[[#This Row],[Llave]],'[5]Consolidación planes'!$A:$M,13,FALSE),0)</f>
        <v>48000</v>
      </c>
      <c r="BJ235" s="20">
        <f>IFERROR(VLOOKUP(Tabla145[[#This Row],[Llave]],'[13]Base ultimos planes'!$A:$M,13,FALSE),0)</f>
        <v>48000</v>
      </c>
      <c r="BK235" s="80">
        <f>IFERROR(VLOOKUP(Tabla145[[#This Row],[Llave]],'[13]Base ultimos planes'!$O:$AA,8,FALSE),0)</f>
        <v>0</v>
      </c>
      <c r="BL235" s="20">
        <f>IFERROR(VLOOKUP(Tabla145[[#This Row],[Llave]],'[13]Base ultimos planes'!$O:$AA,9,FALSE),0)</f>
        <v>0</v>
      </c>
      <c r="BM235" s="20">
        <f>IFERROR(VLOOKUP(Tabla145[[#This Row],[Llave]],'[13]Base ultimos planes'!$O:$AA,10,FALSE),0)</f>
        <v>33600</v>
      </c>
      <c r="BN235" s="20">
        <f>IFERROR(VLOOKUP(Tabla145[[#This Row],[Llave]],'[13]Base ultimos planes'!$O:$AA,11,FALSE),0)</f>
        <v>35760</v>
      </c>
      <c r="BO235" s="20">
        <f>IFERROR(VLOOKUP(Tabla145[[#This Row],[Llave]],'[13]Base ultimos planes'!$O:$AA,12,FALSE),0)</f>
        <v>33334</v>
      </c>
      <c r="BP235" s="20">
        <f>IFERROR(VLOOKUP(Tabla145[[#This Row],[Llave]],'[13]Base ultimos planes'!$O:$AA,13,FALSE),0)</f>
        <v>33539</v>
      </c>
      <c r="BQ235" s="20"/>
      <c r="BR235" s="20">
        <f>Tabla145[[#This Row],[ RV Producción mes n+1]]*(1-Tabla145[[#This Row],[% Uti. producción]])</f>
        <v>34602.771593766898</v>
      </c>
      <c r="BS235" s="20">
        <f>+Tabla145[[#This Row],[Producción disponible mes n-1]]+Tabla145[[#This Row],[Saldo Volumen disponible]]</f>
        <v>45143</v>
      </c>
      <c r="BT235" s="7">
        <f>IFERROR(VLOOKUP(Tabla145[[#This Row],[Llave]],'[21]RV n+2 y n+3'!$B:$F,4,FALSE),0)</f>
        <v>48000</v>
      </c>
      <c r="BU235" s="7">
        <f>+Tabla145[[#This Row],[Asignación mes n+2]]*Tabla145[[#This Row],[% Uti. producción]]</f>
        <v>21945.331045667142</v>
      </c>
      <c r="BV235" s="7">
        <f>+Tabla145[[#This Row],[Ponderación mes n+2]]+Tabla145[[#This Row],[Saldo mes n-1]]</f>
        <v>67088.331045667146</v>
      </c>
      <c r="BW235" s="7">
        <f>+Tabla145[[#This Row],[Asignación mes n+2]]-Tabla145[[#This Row],[Ponderación mes n+2]]</f>
        <v>26054.668954332858</v>
      </c>
      <c r="BX235" s="7">
        <f>IFERROR(VLOOKUP(Tabla145[[#This Row],[Llave]],'[21]RV n+2 y n+3'!$B:$F,5,FALSE),0)</f>
        <v>48000</v>
      </c>
      <c r="BY235" s="7">
        <f>+Tabla145[[#This Row],[Asignación mes n+3]]*Tabla145[[#This Row],[% Uti. producción]]</f>
        <v>21945.331045667142</v>
      </c>
      <c r="BZ235" s="3">
        <f>+Tabla145[[#This Row],[Ponderación mes n+3]]+Tabla145[[#This Row],[Saldo mes n+2]]</f>
        <v>48000</v>
      </c>
      <c r="CA235" s="3">
        <f>+Tabla145[[#This Row],[Asignación mes n+3]]-Tabla145[[#This Row],[Ponderación mes n+3]]</f>
        <v>26054.668954332858</v>
      </c>
      <c r="CB235" s="3">
        <f>+Tabla145[[#This Row],[Producción disponible mes n-1]]+Tabla145[[#This Row],[Producción disponible]]</f>
        <v>63748</v>
      </c>
      <c r="CC235" s="3">
        <f>+Tabla145[[#This Row],[Saldo mes n+4]]-Tabla145[[#This Row],[ RV Producción mes n+1]]</f>
        <v>0</v>
      </c>
    </row>
    <row r="236" spans="1:81" ht="16" x14ac:dyDescent="0.2">
      <c r="A236">
        <v>1</v>
      </c>
      <c r="B236" t="str">
        <f>Tabla145[[#This Row],[Oficina]]&amp;Tabla145[[#This Row],[Material]]</f>
        <v>Agro Sudamerica1012778</v>
      </c>
      <c r="C236" t="s">
        <v>227</v>
      </c>
      <c r="D236" t="s">
        <v>17</v>
      </c>
      <c r="E236">
        <v>1012778</v>
      </c>
      <c r="F236" t="s">
        <v>327</v>
      </c>
      <c r="G236" t="s">
        <v>209</v>
      </c>
      <c r="H236" t="s">
        <v>228</v>
      </c>
      <c r="I236" s="7">
        <f>IFERROR(VLOOKUP(Tabla145[[#This Row],[Llave]],'[7]RV Producción'!$C:$G,5,FALSE),0)</f>
        <v>0</v>
      </c>
      <c r="J236" s="3">
        <f>IFERROR(IF(Tabla145[[#This Row],[Oficina]]=$I$7,VLOOKUP(Tabla145[[#This Row],[Llave]],'[7]Shangai (Tomas)'!$A:$F,6,FALSE),VLOOKUP(Tabla145[[#This Row],[Llave]],'[7]RV plan de ventas'!$A:$E,5,FALSE)),0)</f>
        <v>0</v>
      </c>
      <c r="K236" s="8">
        <f>IFERROR(VLOOKUP(Tabla145[[#This Row],[Oficina]],[15]Ponderación!$B$2:$E$9,4,FALSE),0)</f>
        <v>0.45719439678473212</v>
      </c>
      <c r="L236" s="7">
        <f>+Tabla145[[#This Row],[ RV Producción mes n+1]]*Tabla145[[#This Row],[% Uti. producción]]</f>
        <v>0</v>
      </c>
      <c r="M236" s="7">
        <f>IFERROR(VLOOKUP(Tabla145[[#This Row],[Material]],[16]Stock!$G:$K,5,FALSE),0)</f>
        <v>23250</v>
      </c>
      <c r="N236" s="7">
        <f>IFERROR(VLOOKUP(Tabla145[[#This Row],[Material]],[16]Produccion!$M:$N,2,FALSE),0)</f>
        <v>0</v>
      </c>
      <c r="O236" s="7">
        <f>IFERROR(VLOOKUP(Tabla145[[#This Row],[Llave]],'[16]TD Conf-AP'!$I:$M,4,FALSE),0)</f>
        <v>0</v>
      </c>
      <c r="P236" s="14">
        <f>SUM(Tabla145[[#This Row],[Producción disponible]],Tabla145[[#This Row],[Stock al día]],(Tabla145[[#This Row],[Por producir mes N]]*0.9))-Tabla145[[#This Row],[Producción por despachar mes N]]</f>
        <v>23250</v>
      </c>
      <c r="Q236" s="7">
        <f>IFERROR(VLOOKUP(Tabla145[[#This Row],[Llave]],[17]DELAY!$A:$D,4,FALSE),0)</f>
        <v>17000</v>
      </c>
      <c r="R236" s="9">
        <v>24000</v>
      </c>
      <c r="S236" s="5">
        <f t="shared" si="8"/>
        <v>17000</v>
      </c>
      <c r="T236" s="76">
        <v>0</v>
      </c>
      <c r="U236" s="5">
        <f>+Tabla145[[#This Row],[Atraso a facturar]]+Tabla145[[#This Row],[Ajuste atraso]]</f>
        <v>17000</v>
      </c>
      <c r="V236" s="3">
        <f>+Tabla145[[#This Row],[Total disponible]]-Tabla145[[#This Row],[Facturación atraso]]</f>
        <v>6250</v>
      </c>
      <c r="W236" s="6">
        <f>IFERROR(IF(AND(V236&gt;R236,J236&gt;=R236),ROUNDDOWN((Tabla145[[#This Row],[Producción para venta nueva]])/R236,0)*R236,0),0)</f>
        <v>0</v>
      </c>
      <c r="X236" s="76">
        <v>0</v>
      </c>
      <c r="Y236" s="6">
        <f>IF(Tabla145[[#This Row],[Venta del mes]]&gt;0,Tabla145[[#This Row],[Venta del mes]]+Tabla145[[#This Row],[Ajuste venta nueva]],0)</f>
        <v>0</v>
      </c>
      <c r="Z236" s="6">
        <f>+Tabla145[[#This Row],[Producción para venta nueva]]-Tabla145[[#This Row],[Facturación Venta nueva]]</f>
        <v>6250</v>
      </c>
      <c r="AA236" s="6">
        <f>IF(AND(A236=1,Tabla145[[#This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6" s="6">
        <v>0</v>
      </c>
      <c r="AC236" s="6">
        <f>IF(Tabla145[[#This Row],[Disponible stock sin venta]]&gt;0,Tabla145[[#This Row],[Disponible stock sin venta]]+Tabla145[[#This Row],[Ajuste stock sin venta]],0)</f>
        <v>0</v>
      </c>
      <c r="AD236" s="3">
        <f>IFERROR(VLOOKUP(Tabla145[[#This Row],[Llave]],'[16]TD Puerto'!$A:$D,4,FALSE),0)</f>
        <v>0</v>
      </c>
      <c r="AE236" s="3">
        <v>17000</v>
      </c>
      <c r="AF236" s="3">
        <f>+Tabla145[[#This Row],[Plan Irrestricto Inicial]]</f>
        <v>17000</v>
      </c>
      <c r="AG236" s="3">
        <f>+Tabla145[[#This Row],[En puerto a facturar]]</f>
        <v>0</v>
      </c>
      <c r="AH236" s="3">
        <f>+Tabla145[[#This Row],[Facturación atraso]]</f>
        <v>17000</v>
      </c>
      <c r="AI236" s="3">
        <f>+Tabla145[[#This Row],[Plan Irrestricto]]-Tabla145[[#This Row],[Puerto ]]-Tabla145[[#This Row],[Atraso]]</f>
        <v>0</v>
      </c>
      <c r="AJ236" s="3">
        <f>IF(Tabla145[[#This Row],[Plan Irrestricto]]&gt;0,SUM(Tabla145[[#This Row],[Facturación atraso]],Tabla145[[#This Row],[Facturación Venta nueva]],Tabla145[[#This Row],[Facturación stock]],Tabla145[[#This Row],[En puerto a facturar]]),0)</f>
        <v>17000</v>
      </c>
      <c r="AK236" s="3">
        <f>+Tabla145[[#This Row],[Facturación atraso]]</f>
        <v>17000</v>
      </c>
      <c r="AL236" s="3">
        <f>+Tabla145[[#This Row],[Plan Ajustado]]-Tabla145[[#This Row],[ Atraso ajustado]]-Tabla145[[#This Row],[Puerto ]]</f>
        <v>0</v>
      </c>
      <c r="AM236" s="6">
        <f>IFERROR(VLOOKUP(Tabla145[[#This Row],[Llave]],[18]!Tabla14[#All],34,FALSE),0)</f>
        <v>0</v>
      </c>
      <c r="AN236" s="6">
        <f>IFERROR(VLOOKUP(Tabla145[[#This Row],[Llave]],[18]!Tabla14[#All],35,FALSE),0)</f>
        <v>0</v>
      </c>
      <c r="AO236" s="3" t="str">
        <f>IF(Tabla145[[#This Row],[Plan Ajustado]]&gt;Tabla145[[#This Row],[En puerto a facturar]],"Si","No")</f>
        <v>Si</v>
      </c>
      <c r="AP236" s="3">
        <f>IF(AND(Tabla145[[#This Row],[Plan Ajustado]]&gt;0,Tabla145[[#This Row],[Plan Ajustado]]&gt;Tabla145[[#This Row],[En puerto a facturar]]),(Tabla145[[#This Row],[Plan Ajustado]]-Tabla145[[#This Row],[En puerto a facturar]]),0)</f>
        <v>17000</v>
      </c>
      <c r="AQ236" s="3">
        <f>IF(Tabla145[[#This Row],[Necesidad]]&gt;=Tabla145[[#This Row],[Stock al día]],Tabla145[[#This Row],[Stock al día]],Tabla145[[#This Row],[Necesidad]])</f>
        <v>17000</v>
      </c>
      <c r="AR236" s="3">
        <f>+Tabla145[[#This Row],[Necesidad]]-Tabla145[[#This Row],[Stock Plan]]</f>
        <v>0</v>
      </c>
      <c r="AS236" s="155">
        <f>IFERROR(VLOOKUP(Tabla145[[#This Row],[Oficina]],[19]Ponderación!$B$14:$E$21,4,FALSE),"")</f>
        <v>44789</v>
      </c>
      <c r="AT23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0.75885421527489794</v>
      </c>
      <c r="AU236" s="83">
        <f>IFERROR(VLOOKUP(Tabla145[[#This Row],[Llave]],[17]DELAY!$H:$W,16,FALSE),0)</f>
        <v>0.76630116829268302</v>
      </c>
      <c r="AV23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0.76630116829268302</v>
      </c>
      <c r="AW236" s="5">
        <f>Tabla145[[#This Row],[Ajuste precio IC]]*Tabla145[[#This Row],[Plan Ajustado]]</f>
        <v>12750</v>
      </c>
      <c r="AX236" s="30">
        <f>IFERROR(VLOOKUP(Tabla145[[#This Row],[Llave]],'[13]Ultimos precios facturados'!$A:$G,7,FALSE),0)</f>
        <v>0.75885421527489794</v>
      </c>
      <c r="AY236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9.8134172122736341E-3</v>
      </c>
      <c r="AZ236" s="30">
        <f>IFERROR(VLOOKUP(Tabla145[[#This Row],[Llave]],Hoja2!B:K,10,FALSE),0)</f>
        <v>0.75</v>
      </c>
      <c r="BA236" s="30">
        <f>IF(Tabla145[[#This Row],[Ajuste precio IC]]="",Tabla145[[#This Row],[Precio ponderado]],Tabla145[[#This Row],[Precio ponderado]])</f>
        <v>0.76630116829268302</v>
      </c>
      <c r="BB236" s="82"/>
      <c r="BC236" s="82" t="str">
        <f>IF(AND(Tabla145[[#This Row],[Atraso a facturar]]&gt;0,Tabla145[[#This Row],[Precio Atraso]]=0),"Revisar","OK")</f>
        <v>OK</v>
      </c>
      <c r="BD236" s="82" t="str">
        <f>IF(AND(Tabla145[[#This Row],[Venta del mes]]&gt;0,Tabla145[[#This Row],[Precio venta nueva]]=0),"Revisar","OK")</f>
        <v>OK</v>
      </c>
      <c r="BE236" s="20">
        <f>IFERROR(VLOOKUP(Tabla145[[#This Row],[Llave]],'[5]Consolidación planes'!$A:$M,9,FALSE),0)</f>
        <v>0</v>
      </c>
      <c r="BF236" s="20">
        <f>IFERROR(VLOOKUP(Tabla145[[#This Row],[Llave]],'[5]Consolidación planes'!$A:$M,10,FALSE),0)</f>
        <v>0</v>
      </c>
      <c r="BG236" s="20">
        <f>IFERROR(VLOOKUP(Tabla145[[#This Row],[Llave]],'[5]Consolidación planes'!$A:$M,11,FALSE),0)</f>
        <v>0</v>
      </c>
      <c r="BH236" s="20">
        <f>IFERROR(VLOOKUP(Tabla145[[#This Row],[Llave]],'[5]Consolidación planes'!$A:$M,12,FALSE),0)</f>
        <v>0</v>
      </c>
      <c r="BI236" s="20">
        <f>IFERROR(VLOOKUP(Tabla145[[#This Row],[Llave]],'[5]Consolidación planes'!$A:$M,13,FALSE),0)</f>
        <v>24000</v>
      </c>
      <c r="BJ236" s="20">
        <f>IFERROR(VLOOKUP(Tabla145[[#This Row],[Llave]],'[13]Base ultimos planes'!$A:$M,13,FALSE),0)</f>
        <v>24000</v>
      </c>
      <c r="BK236" s="80">
        <f>IFERROR(VLOOKUP(Tabla145[[#This Row],[Llave]],'[13]Base ultimos planes'!$O:$AA,8,FALSE),0)</f>
        <v>0</v>
      </c>
      <c r="BL236" s="20">
        <f>IFERROR(VLOOKUP(Tabla145[[#This Row],[Llave]],'[13]Base ultimos planes'!$O:$AA,9,FALSE),0)</f>
        <v>0</v>
      </c>
      <c r="BM236" s="20">
        <f>IFERROR(VLOOKUP(Tabla145[[#This Row],[Llave]],'[13]Base ultimos planes'!$O:$AA,10,FALSE),0)</f>
        <v>0</v>
      </c>
      <c r="BN236" s="20">
        <f>IFERROR(VLOOKUP(Tabla145[[#This Row],[Llave]],'[13]Base ultimos planes'!$O:$AA,11,FALSE),0)</f>
        <v>0</v>
      </c>
      <c r="BO236" s="20">
        <f>IFERROR(VLOOKUP(Tabla145[[#This Row],[Llave]],'[13]Base ultimos planes'!$O:$AA,12,FALSE),0)</f>
        <v>12000</v>
      </c>
      <c r="BP236" s="20">
        <f>IFERROR(VLOOKUP(Tabla145[[#This Row],[Llave]],'[13]Base ultimos planes'!$O:$AA,13,FALSE),0)</f>
        <v>16800</v>
      </c>
      <c r="BQ236" s="20"/>
      <c r="BR236" s="20">
        <f>Tabla145[[#This Row],[ RV Producción mes n+1]]*(1-Tabla145[[#This Row],[% Uti. producción]])</f>
        <v>0</v>
      </c>
      <c r="BS236" s="20">
        <f>+Tabla145[[#This Row],[Producción disponible mes n-1]]+Tabla145[[#This Row],[Saldo Volumen disponible]]</f>
        <v>6250</v>
      </c>
      <c r="BT236" s="7">
        <f>IFERROR(VLOOKUP(Tabla145[[#This Row],[Llave]],'[21]RV n+2 y n+3'!$B:$F,4,FALSE),0)</f>
        <v>0</v>
      </c>
      <c r="BU236" s="7">
        <f>+Tabla145[[#This Row],[Asignación mes n+2]]*Tabla145[[#This Row],[% Uti. producción]]</f>
        <v>0</v>
      </c>
      <c r="BV236" s="7">
        <f>+Tabla145[[#This Row],[Ponderación mes n+2]]+Tabla145[[#This Row],[Saldo mes n-1]]</f>
        <v>6250</v>
      </c>
      <c r="BW236" s="7">
        <f>+Tabla145[[#This Row],[Asignación mes n+2]]-Tabla145[[#This Row],[Ponderación mes n+2]]</f>
        <v>0</v>
      </c>
      <c r="BX236" s="7">
        <f>IFERROR(VLOOKUP(Tabla145[[#This Row],[Llave]],'[21]RV n+2 y n+3'!$B:$F,5,FALSE),0)</f>
        <v>0</v>
      </c>
      <c r="BY236" s="7">
        <f>+Tabla145[[#This Row],[Asignación mes n+3]]*Tabla145[[#This Row],[% Uti. producción]]</f>
        <v>0</v>
      </c>
      <c r="BZ236" s="3">
        <f>+Tabla145[[#This Row],[Ponderación mes n+3]]+Tabla145[[#This Row],[Saldo mes n+2]]</f>
        <v>0</v>
      </c>
      <c r="CA236" s="3">
        <f>+Tabla145[[#This Row],[Asignación mes n+3]]-Tabla145[[#This Row],[Ponderación mes n+3]]</f>
        <v>0</v>
      </c>
      <c r="CB236" s="3">
        <f>+Tabla145[[#This Row],[Producción disponible mes n-1]]+Tabla145[[#This Row],[Producción disponible]]</f>
        <v>0</v>
      </c>
      <c r="CC236" s="3">
        <f>+Tabla145[[#This Row],[Saldo mes n+4]]-Tabla145[[#This Row],[ RV Producción mes n+1]]</f>
        <v>0</v>
      </c>
    </row>
    <row r="237" spans="1:81" ht="16" x14ac:dyDescent="0.2">
      <c r="A237">
        <v>1</v>
      </c>
      <c r="B237" t="str">
        <f>Tabla145[[#This Row],[Oficina]]&amp;Tabla145[[#This Row],[Material]]</f>
        <v>Agrosuper Asia1012012</v>
      </c>
      <c r="C237" t="s">
        <v>227</v>
      </c>
      <c r="D237" t="s">
        <v>173</v>
      </c>
      <c r="E237">
        <v>1012012</v>
      </c>
      <c r="F237" t="s">
        <v>274</v>
      </c>
      <c r="G237" t="s">
        <v>205</v>
      </c>
      <c r="H237" t="s">
        <v>231</v>
      </c>
      <c r="I237" s="7">
        <f>IFERROR(VLOOKUP(Tabla145[[#This Row],[Llave]],'[7]RV Producción'!$C:$G,5,FALSE),0)</f>
        <v>19677</v>
      </c>
      <c r="J237" s="3">
        <f>IFERROR(IF(Tabla145[[#This Row],[Oficina]]=$I$7,VLOOKUP(Tabla145[[#This Row],[Llave]],'[7]Shangai (Tomas)'!$A:$F,6,FALSE),VLOOKUP(Tabla145[[#This Row],[Llave]],'[7]RV plan de ventas'!$A:$E,5,FALSE)),0)</f>
        <v>20000</v>
      </c>
      <c r="K237" s="8">
        <f>IFERROR(VLOOKUP(Tabla145[[#This Row],[Oficina]],[15]Ponderación!$B$2:$E$9,4,FALSE),0)</f>
        <v>0.45719439678473212</v>
      </c>
      <c r="L237" s="7">
        <f>+Tabla145[[#This Row],[ RV Producción mes n+1]]*Tabla145[[#This Row],[% Uti. producción]]</f>
        <v>8996.214145533173</v>
      </c>
      <c r="M237" s="7">
        <f>IFERROR(VLOOKUP(Tabla145[[#This Row],[Material]],[16]Stock!$G:$K,5,FALSE),0)</f>
        <v>23554</v>
      </c>
      <c r="N237" s="7">
        <f>IFERROR(VLOOKUP(Tabla145[[#This Row],[Material]],[16]Produccion!$M:$N,2,FALSE),0)</f>
        <v>0</v>
      </c>
      <c r="O237" s="7">
        <f>IFERROR(VLOOKUP(Tabla145[[#This Row],[Llave]],'[16]TD Conf-AP'!$I:$M,4,FALSE),0)</f>
        <v>0</v>
      </c>
      <c r="P237" s="14">
        <f>SUM(Tabla145[[#This Row],[Producción disponible]],Tabla145[[#This Row],[Stock al día]],(Tabla145[[#This Row],[Por producir mes N]]*0.9))-Tabla145[[#This Row],[Producción por despachar mes N]]</f>
        <v>32550.214145533173</v>
      </c>
      <c r="Q237" s="7">
        <f>IFERROR(VLOOKUP(Tabla145[[#This Row],[Llave]],[17]DELAY!$A:$D,4,FALSE),0)</f>
        <v>37000</v>
      </c>
      <c r="R237" s="9">
        <v>22000</v>
      </c>
      <c r="S237" s="5">
        <f t="shared" si="8"/>
        <v>22000</v>
      </c>
      <c r="T237" s="76">
        <v>-5000</v>
      </c>
      <c r="U237" s="5">
        <f>+Tabla145[[#This Row],[Atraso a facturar]]+Tabla145[[#This Row],[Ajuste atraso]]</f>
        <v>17000</v>
      </c>
      <c r="V237" s="3">
        <f>+Tabla145[[#This Row],[Total disponible]]-Tabla145[[#This Row],[Facturación atraso]]</f>
        <v>15550.214145533173</v>
      </c>
      <c r="W237" s="6">
        <f>IFERROR(IF(AND(V237&gt;R237,J237&gt;=R237),ROUNDDOWN((Tabla145[[#This Row],[Producción para venta nueva]])/R237,0)*R237,0),0)</f>
        <v>0</v>
      </c>
      <c r="X237" s="76">
        <v>0</v>
      </c>
      <c r="Y237" s="6">
        <f>IF(Tabla145[[#This Row],[Venta del mes]]&gt;0,Tabla145[[#This Row],[Venta del mes]]+Tabla145[[#This Row],[Ajuste venta nueva]],0)</f>
        <v>0</v>
      </c>
      <c r="Z237" s="6">
        <f>+Tabla145[[#This Row],[Producción para venta nueva]]-Tabla145[[#This Row],[Facturación Venta nueva]]</f>
        <v>15550.214145533173</v>
      </c>
      <c r="AA237" s="6">
        <f>IF(AND(A237=1,Tabla145[[#This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7" s="6">
        <v>0</v>
      </c>
      <c r="AC237" s="6">
        <f>IF(Tabla145[[#This Row],[Disponible stock sin venta]]&gt;0,Tabla145[[#This Row],[Disponible stock sin venta]]+Tabla145[[#This Row],[Ajuste stock sin venta]],0)</f>
        <v>0</v>
      </c>
      <c r="AD237" s="3">
        <f>IFERROR(VLOOKUP(Tabla145[[#This Row],[Llave]],'[16]TD Puerto'!$A:$D,4,FALSE),0)</f>
        <v>0</v>
      </c>
      <c r="AE237" s="3">
        <v>22000</v>
      </c>
      <c r="AF237" s="3">
        <f>+Tabla145[[#This Row],[Plan Irrestricto Inicial]]</f>
        <v>22000</v>
      </c>
      <c r="AG237" s="3">
        <f>+Tabla145[[#This Row],[En puerto a facturar]]</f>
        <v>0</v>
      </c>
      <c r="AH237" s="3">
        <f>+Tabla145[[#This Row],[Facturación atraso]]</f>
        <v>17000</v>
      </c>
      <c r="AI237" s="3">
        <f>+Tabla145[[#This Row],[Plan Irrestricto]]-Tabla145[[#This Row],[Puerto ]]-Tabla145[[#This Row],[Atraso]]</f>
        <v>5000</v>
      </c>
      <c r="AJ237" s="3">
        <f>IF(Tabla145[[#This Row],[Plan Irrestricto]]&gt;0,SUM(Tabla145[[#This Row],[Facturación atraso]],Tabla145[[#This Row],[Facturación Venta nueva]],Tabla145[[#This Row],[Facturación stock]],Tabla145[[#This Row],[En puerto a facturar]]),0)</f>
        <v>17000</v>
      </c>
      <c r="AK237" s="3">
        <f>+Tabla145[[#This Row],[Facturación atraso]]</f>
        <v>17000</v>
      </c>
      <c r="AL237" s="3">
        <f>+Tabla145[[#This Row],[Plan Ajustado]]-Tabla145[[#This Row],[ Atraso ajustado]]-Tabla145[[#This Row],[Puerto ]]</f>
        <v>0</v>
      </c>
      <c r="AM237" s="6">
        <f>IFERROR(VLOOKUP(Tabla145[[#This Row],[Llave]],[18]!Tabla14[#All],34,FALSE),0)</f>
        <v>0</v>
      </c>
      <c r="AN237" s="6">
        <f>IFERROR(VLOOKUP(Tabla145[[#This Row],[Llave]],[18]!Tabla14[#All],35,FALSE),0)</f>
        <v>0</v>
      </c>
      <c r="AO237" s="3" t="str">
        <f>IF(Tabla145[[#This Row],[Plan Ajustado]]&gt;Tabla145[[#This Row],[En puerto a facturar]],"Si","No")</f>
        <v>Si</v>
      </c>
      <c r="AP237" s="3">
        <f>IF(AND(Tabla145[[#This Row],[Plan Ajustado]]&gt;0,Tabla145[[#This Row],[Plan Ajustado]]&gt;Tabla145[[#This Row],[En puerto a facturar]]),(Tabla145[[#This Row],[Plan Ajustado]]-Tabla145[[#This Row],[En puerto a facturar]]),0)</f>
        <v>17000</v>
      </c>
      <c r="AQ237" s="3">
        <f>IF(Tabla145[[#This Row],[Necesidad]]&gt;=Tabla145[[#This Row],[Stock al día]],Tabla145[[#This Row],[Stock al día]],Tabla145[[#This Row],[Necesidad]])</f>
        <v>17000</v>
      </c>
      <c r="AR237" s="3">
        <f>+Tabla145[[#This Row],[Necesidad]]-Tabla145[[#This Row],[Stock Plan]]</f>
        <v>0</v>
      </c>
      <c r="AS237" s="155">
        <f>IFERROR(VLOOKUP(Tabla145[[#This Row],[Oficina]],[19]Ponderación!$B$14:$E$21,4,FALSE),"")</f>
        <v>44786</v>
      </c>
      <c r="AT23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6.4665499999999998</v>
      </c>
      <c r="AU237" s="83">
        <f>IFERROR(VLOOKUP(Tabla145[[#This Row],[Llave]],[17]DELAY!$H:$W,16,FALSE),0)</f>
        <v>6.5189189189189189</v>
      </c>
      <c r="AV23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6.5189189189189189</v>
      </c>
      <c r="AW237" s="5">
        <f>Tabla145[[#This Row],[Ajuste precio IC]]*Tabla145[[#This Row],[Plan Ajustado]]</f>
        <v>110821.62162162163</v>
      </c>
      <c r="AX237" s="30">
        <f>IFERROR(VLOOKUP(Tabla145[[#This Row],[Llave]],'[13]Ultimos precios facturados'!$A:$G,7,FALSE),0)</f>
        <v>7.2771865449742155</v>
      </c>
      <c r="AY23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0.10419790964118857</v>
      </c>
      <c r="AZ237" s="30">
        <f>IFERROR(VLOOKUP(Tabla145[[#This Row],[Llave]],Hoja2!B:K,10,FALSE),0)</f>
        <v>6.5189189189189189</v>
      </c>
      <c r="BA237" s="30">
        <f>IF(Tabla145[[#This Row],[Ajuste precio IC]]="",Tabla145[[#This Row],[Precio ponderado]],Tabla145[[#This Row],[Precio ponderado]])</f>
        <v>6.5189189189189189</v>
      </c>
      <c r="BB237" s="82"/>
      <c r="BC237" s="82" t="str">
        <f>IF(AND(Tabla145[[#This Row],[Atraso a facturar]]&gt;0,Tabla145[[#This Row],[Precio Atraso]]=0),"Revisar","OK")</f>
        <v>OK</v>
      </c>
      <c r="BD237" s="82" t="str">
        <f>IF(AND(Tabla145[[#This Row],[Venta del mes]]&gt;0,Tabla145[[#This Row],[Precio venta nueva]]=0),"Revisar","OK")</f>
        <v>OK</v>
      </c>
      <c r="BE237" s="20">
        <f>IFERROR(VLOOKUP(Tabla145[[#This Row],[Llave]],'[5]Consolidación planes'!$A:$M,9,FALSE),0)</f>
        <v>108000</v>
      </c>
      <c r="BF237" s="20">
        <f>IFERROR(VLOOKUP(Tabla145[[#This Row],[Llave]],'[5]Consolidación planes'!$A:$M,10,FALSE),0)</f>
        <v>88000</v>
      </c>
      <c r="BG237" s="20">
        <f>IFERROR(VLOOKUP(Tabla145[[#This Row],[Llave]],'[5]Consolidación planes'!$A:$M,11,FALSE),0)</f>
        <v>0</v>
      </c>
      <c r="BH237" s="20">
        <f>IFERROR(VLOOKUP(Tabla145[[#This Row],[Llave]],'[5]Consolidación planes'!$A:$M,12,FALSE),0)</f>
        <v>0</v>
      </c>
      <c r="BI237" s="20">
        <f>IFERROR(VLOOKUP(Tabla145[[#This Row],[Llave]],'[5]Consolidación planes'!$A:$M,13,FALSE),0)</f>
        <v>0</v>
      </c>
      <c r="BJ237" s="20">
        <f>IFERROR(VLOOKUP(Tabla145[[#This Row],[Llave]],'[13]Base ultimos planes'!$A:$M,13,FALSE),0)</f>
        <v>19958</v>
      </c>
      <c r="BK237" s="80">
        <f>IFERROR(VLOOKUP(Tabla145[[#This Row],[Llave]],'[13]Base ultimos planes'!$O:$AA,8,FALSE),0)</f>
        <v>851564.46669999999</v>
      </c>
      <c r="BL237" s="20">
        <f>IFERROR(VLOOKUP(Tabla145[[#This Row],[Llave]],'[13]Base ultimos planes'!$O:$AA,9,FALSE),0)</f>
        <v>445280</v>
      </c>
      <c r="BM237" s="20">
        <f>IFERROR(VLOOKUP(Tabla145[[#This Row],[Llave]],'[13]Base ultimos planes'!$O:$AA,10,FALSE),0)</f>
        <v>0</v>
      </c>
      <c r="BN237" s="20">
        <f>IFERROR(VLOOKUP(Tabla145[[#This Row],[Llave]],'[13]Base ultimos planes'!$O:$AA,11,FALSE),0)</f>
        <v>0</v>
      </c>
      <c r="BO237" s="20">
        <f>IFERROR(VLOOKUP(Tabla145[[#This Row],[Llave]],'[13]Base ultimos planes'!$O:$AA,12,FALSE),0)</f>
        <v>0</v>
      </c>
      <c r="BP237" s="20">
        <f>IFERROR(VLOOKUP(Tabla145[[#This Row],[Llave]],'[13]Base ultimos planes'!$O:$AA,13,FALSE),0)</f>
        <v>146960</v>
      </c>
      <c r="BQ237" s="20"/>
      <c r="BR237" s="20">
        <f>Tabla145[[#This Row],[ RV Producción mes n+1]]*(1-Tabla145[[#This Row],[% Uti. producción]])</f>
        <v>10680.785854466827</v>
      </c>
      <c r="BS237" s="20">
        <f>+Tabla145[[#This Row],[Producción disponible mes n-1]]+Tabla145[[#This Row],[Saldo Volumen disponible]]</f>
        <v>26231</v>
      </c>
      <c r="BT237" s="7">
        <f>IFERROR(VLOOKUP(Tabla145[[#This Row],[Llave]],'[21]RV n+2 y n+3'!$B:$F,4,FALSE),0)</f>
        <v>40000</v>
      </c>
      <c r="BU237" s="7">
        <f>+Tabla145[[#This Row],[Asignación mes n+2]]*Tabla145[[#This Row],[% Uti. producción]]</f>
        <v>18287.775871389284</v>
      </c>
      <c r="BV237" s="7">
        <f>+Tabla145[[#This Row],[Ponderación mes n+2]]+Tabla145[[#This Row],[Saldo mes n-1]]</f>
        <v>44518.775871389284</v>
      </c>
      <c r="BW237" s="7">
        <f>+Tabla145[[#This Row],[Asignación mes n+2]]-Tabla145[[#This Row],[Ponderación mes n+2]]</f>
        <v>21712.224128610716</v>
      </c>
      <c r="BX237" s="7">
        <f>IFERROR(VLOOKUP(Tabla145[[#This Row],[Llave]],'[21]RV n+2 y n+3'!$B:$F,5,FALSE),0)</f>
        <v>60000</v>
      </c>
      <c r="BY237" s="7">
        <f>+Tabla145[[#This Row],[Asignación mes n+3]]*Tabla145[[#This Row],[% Uti. producción]]</f>
        <v>27431.663807083925</v>
      </c>
      <c r="BZ237" s="3">
        <f>+Tabla145[[#This Row],[Ponderación mes n+3]]+Tabla145[[#This Row],[Saldo mes n+2]]</f>
        <v>49143.887935694642</v>
      </c>
      <c r="CA237" s="3">
        <f>+Tabla145[[#This Row],[Asignación mes n+3]]-Tabla145[[#This Row],[Ponderación mes n+3]]</f>
        <v>32568.336192916075</v>
      </c>
      <c r="CB237" s="3">
        <f>+Tabla145[[#This Row],[Producción disponible mes n-1]]+Tabla145[[#This Row],[Producción disponible]]</f>
        <v>19677</v>
      </c>
      <c r="CC237" s="3">
        <f>+Tabla145[[#This Row],[Saldo mes n+4]]-Tabla145[[#This Row],[ RV Producción mes n+1]]</f>
        <v>0</v>
      </c>
    </row>
    <row r="238" spans="1:81" ht="16" x14ac:dyDescent="0.2">
      <c r="A238">
        <v>1</v>
      </c>
      <c r="B238" t="str">
        <f>Tabla145[[#This Row],[Oficina]]&amp;Tabla145[[#This Row],[Material]]</f>
        <v>Agrosuper Asia1012612</v>
      </c>
      <c r="C238" t="s">
        <v>227</v>
      </c>
      <c r="D238" t="s">
        <v>173</v>
      </c>
      <c r="E238">
        <v>1012612</v>
      </c>
      <c r="F238" t="s">
        <v>275</v>
      </c>
      <c r="G238" t="s">
        <v>233</v>
      </c>
      <c r="H238" t="s">
        <v>237</v>
      </c>
      <c r="I238" s="7">
        <f>IFERROR(VLOOKUP(Tabla145[[#This Row],[Llave]],'[7]RV Producción'!$C:$G,5,FALSE),0)</f>
        <v>1503671</v>
      </c>
      <c r="J238" s="3">
        <f>IFERROR(IF(Tabla145[[#This Row],[Oficina]]=$I$7,VLOOKUP(Tabla145[[#This Row],[Llave]],'[7]Shangai (Tomas)'!$A:$F,6,FALSE),VLOOKUP(Tabla145[[#This Row],[Llave]],'[7]RV plan de ventas'!$A:$E,5,FALSE)),0)</f>
        <v>1300000</v>
      </c>
      <c r="K238" s="8">
        <v>0.45719439678473212</v>
      </c>
      <c r="L238" s="7">
        <f>+Tabla145[[#This Row],[ RV Producción mes n+1]]*Tabla145[[#This Row],[% Uti. producción]]</f>
        <v>687469.95580769493</v>
      </c>
      <c r="M238" s="7">
        <f>IFERROR(VLOOKUP(Tabla145[[#This Row],[Material]],[16]Stock!$G:$K,5,FALSE),0)</f>
        <v>64632</v>
      </c>
      <c r="N238" s="7">
        <f>IFERROR(VLOOKUP(Tabla145[[#This Row],[Material]],[16]Produccion!$M:$N,2,FALSE),0)</f>
        <v>440000</v>
      </c>
      <c r="O238" s="7">
        <f>IFERROR(VLOOKUP(Tabla145[[#This Row],[Llave]],'[16]TD Conf-AP'!$I:$M,4,FALSE),0)</f>
        <v>0</v>
      </c>
      <c r="P238" s="14">
        <f>SUM(Tabla145[[#This Row],[Producción disponible]],Tabla145[[#This Row],[Stock al día]],(Tabla145[[#This Row],[Por producir mes N]]*0.9))-Tabla145[[#This Row],[Producción por despachar mes N]]</f>
        <v>1148101.9558076949</v>
      </c>
      <c r="Q238" s="7">
        <f>IFERROR(VLOOKUP(Tabla145[[#This Row],[Llave]],[17]DELAY!$A:$D,4,FALSE),0)</f>
        <v>1100000</v>
      </c>
      <c r="R238" s="9">
        <v>25000</v>
      </c>
      <c r="S238" s="5">
        <f t="shared" si="8"/>
        <v>1100000</v>
      </c>
      <c r="T238" s="76">
        <v>-600000</v>
      </c>
      <c r="U238" s="5">
        <f>+Tabla145[[#This Row],[Atraso a facturar]]+Tabla145[[#This Row],[Ajuste atraso]]</f>
        <v>500000</v>
      </c>
      <c r="V238" s="3">
        <f>+Tabla145[[#This Row],[Total disponible]]-Tabla145[[#This Row],[Facturación atraso]]</f>
        <v>648101.95580769493</v>
      </c>
      <c r="W238" s="6">
        <f>IFERROR(IF(AND(V238&gt;R238,J238&gt;=R238),ROUNDDOWN((Tabla145[[#This Row],[Producción para venta nueva]])/R238,0)*R238,0),0)</f>
        <v>625000</v>
      </c>
      <c r="X238" s="76">
        <v>-200000</v>
      </c>
      <c r="Y238" s="6">
        <f>IF(Tabla145[[#This Row],[Venta del mes]]&gt;0,Tabla145[[#This Row],[Venta del mes]]+Tabla145[[#This Row],[Ajuste venta nueva]],0)</f>
        <v>425000</v>
      </c>
      <c r="Z238" s="6">
        <f>+Tabla145[[#This Row],[Producción para venta nueva]]-Tabla145[[#This Row],[Facturación Venta nueva]]</f>
        <v>223101.95580769493</v>
      </c>
      <c r="AA238" s="6">
        <f>IF(AND(A238=1,Tabla145[[#This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8" s="6">
        <v>0</v>
      </c>
      <c r="AC238" s="6">
        <f>IF(Tabla145[[#This Row],[Disponible stock sin venta]]&gt;0,Tabla145[[#This Row],[Disponible stock sin venta]]+Tabla145[[#This Row],[Ajuste stock sin venta]],0)</f>
        <v>0</v>
      </c>
      <c r="AD238" s="3">
        <f>IFERROR(VLOOKUP(Tabla145[[#This Row],[Llave]],'[16]TD Puerto'!$A:$D,4,FALSE),0)</f>
        <v>370324.5</v>
      </c>
      <c r="AE238" s="3">
        <v>1570324.5</v>
      </c>
      <c r="AF238" s="3">
        <f>+Tabla145[[#This Row],[Plan Irrestricto Inicial]]</f>
        <v>1570324.5</v>
      </c>
      <c r="AG238" s="3">
        <f>+Tabla145[[#This Row],[En puerto a facturar]]</f>
        <v>370324.5</v>
      </c>
      <c r="AH238" s="3">
        <f>+Tabla145[[#This Row],[Facturación atraso]]</f>
        <v>500000</v>
      </c>
      <c r="AI238" s="3">
        <f>+Tabla145[[#This Row],[Plan Irrestricto]]-Tabla145[[#This Row],[Puerto ]]-Tabla145[[#This Row],[Atraso]]</f>
        <v>700000</v>
      </c>
      <c r="AJ238" s="3">
        <f>IF(Tabla145[[#This Row],[Plan Irrestricto]]&gt;0,SUM(Tabla145[[#This Row],[Facturación atraso]],Tabla145[[#This Row],[Facturación Venta nueva]],Tabla145[[#This Row],[Facturación stock]],Tabla145[[#This Row],[En puerto a facturar]]),0)</f>
        <v>1295324.5</v>
      </c>
      <c r="AK238" s="3">
        <f>+Tabla145[[#This Row],[Facturación atraso]]</f>
        <v>500000</v>
      </c>
      <c r="AL238" s="3">
        <f>+Tabla145[[#This Row],[Plan Ajustado]]-Tabla145[[#This Row],[ Atraso ajustado]]-Tabla145[[#This Row],[Puerto ]]</f>
        <v>425000</v>
      </c>
      <c r="AM238" s="6">
        <f>IFERROR(VLOOKUP(Tabla145[[#This Row],[Llave]],[18]!Tabla14[#All],34,FALSE),0)</f>
        <v>0</v>
      </c>
      <c r="AN238" s="6">
        <f>IFERROR(VLOOKUP(Tabla145[[#This Row],[Llave]],[18]!Tabla14[#All],35,FALSE),0)</f>
        <v>0</v>
      </c>
      <c r="AO238" s="3" t="str">
        <f>IF(Tabla145[[#This Row],[Plan Ajustado]]&gt;Tabla145[[#This Row],[En puerto a facturar]],"Si","No")</f>
        <v>Si</v>
      </c>
      <c r="AP238" s="3">
        <f>IF(AND(Tabla145[[#This Row],[Plan Ajustado]]&gt;0,Tabla145[[#This Row],[Plan Ajustado]]&gt;Tabla145[[#This Row],[En puerto a facturar]]),(Tabla145[[#This Row],[Plan Ajustado]]-Tabla145[[#This Row],[En puerto a facturar]]),0)</f>
        <v>925000</v>
      </c>
      <c r="AQ238" s="3">
        <f>IF(Tabla145[[#This Row],[Necesidad]]&gt;=Tabla145[[#This Row],[Stock al día]],Tabla145[[#This Row],[Stock al día]],Tabla145[[#This Row],[Necesidad]])</f>
        <v>64632</v>
      </c>
      <c r="AR238" s="3">
        <f>+Tabla145[[#This Row],[Necesidad]]-Tabla145[[#This Row],[Stock Plan]]</f>
        <v>860368</v>
      </c>
      <c r="AS238" s="155">
        <f>IFERROR(VLOOKUP(Tabla145[[#This Row],[Oficina]],[19]Ponderación!$B$14:$E$21,4,FALSE),"")</f>
        <v>44786</v>
      </c>
      <c r="AT23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1.03592</v>
      </c>
      <c r="AU238" s="83">
        <f>IFERROR(VLOOKUP(Tabla145[[#This Row],[Llave]],[17]DELAY!$H:$W,16,FALSE),0)</f>
        <v>1.2275710285714301</v>
      </c>
      <c r="AV23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1.1646897296051419</v>
      </c>
      <c r="AW238" s="5">
        <f>Tabla145[[#This Row],[Ajuste precio IC]]*Tabla145[[#This Row],[Plan Ajustado]]</f>
        <v>1508651.1416559156</v>
      </c>
      <c r="AX238" s="30">
        <f>IFERROR(VLOOKUP(Tabla145[[#This Row],[Llave]],'[13]Ultimos precios facturados'!$A:$G,7,FALSE),0)</f>
        <v>0.94791242465055459</v>
      </c>
      <c r="AY23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0.22868916929166927</v>
      </c>
      <c r="AZ238" s="30">
        <f>IFERROR(VLOOKUP(Tabla145[[#This Row],[Llave]],Hoja2!B:K,10,FALSE),0)</f>
        <v>1.1646897296051419</v>
      </c>
      <c r="BA238" s="30">
        <f>IF(Tabla145[[#This Row],[Ajuste precio IC]]="",Tabla145[[#This Row],[Precio ponderado]],Tabla145[[#This Row],[Precio ponderado]])</f>
        <v>1.1646897296051419</v>
      </c>
      <c r="BB238" s="82"/>
      <c r="BC238" s="82" t="str">
        <f>IF(AND(Tabla145[[#This Row],[Atraso a facturar]]&gt;0,Tabla145[[#This Row],[Precio Atraso]]=0),"Revisar","OK")</f>
        <v>OK</v>
      </c>
      <c r="BD238" s="82" t="str">
        <f>IF(AND(Tabla145[[#This Row],[Venta del mes]]&gt;0,Tabla145[[#This Row],[Precio venta nueva]]=0),"Revisar","OK")</f>
        <v>OK</v>
      </c>
      <c r="BE238" s="20">
        <f>IFERROR(VLOOKUP(Tabla145[[#This Row],[Llave]],'[5]Consolidación planes'!$A:$M,9,FALSE),0)</f>
        <v>625000</v>
      </c>
      <c r="BF238" s="20">
        <f>IFERROR(VLOOKUP(Tabla145[[#This Row],[Llave]],'[5]Consolidación planes'!$A:$M,10,FALSE),0)</f>
        <v>625000</v>
      </c>
      <c r="BG238" s="20">
        <f>IFERROR(VLOOKUP(Tabla145[[#This Row],[Llave]],'[5]Consolidación planes'!$A:$M,11,FALSE),0)</f>
        <v>950000</v>
      </c>
      <c r="BH238" s="20">
        <f>IFERROR(VLOOKUP(Tabla145[[#This Row],[Llave]],'[5]Consolidación planes'!$A:$M,12,FALSE),0)</f>
        <v>1100000</v>
      </c>
      <c r="BI238" s="20">
        <f>IFERROR(VLOOKUP(Tabla145[[#This Row],[Llave]],'[5]Consolidación planes'!$A:$M,13,FALSE),0)</f>
        <v>1291866</v>
      </c>
      <c r="BJ238" s="20">
        <f>IFERROR(VLOOKUP(Tabla145[[#This Row],[Llave]],'[13]Base ultimos planes'!$A:$M,13,FALSE),0)</f>
        <v>1074071</v>
      </c>
      <c r="BK238" s="80">
        <f>IFERROR(VLOOKUP(Tabla145[[#This Row],[Llave]],'[13]Base ultimos planes'!$O:$AA,8,FALSE),0)</f>
        <v>354215.07679999998</v>
      </c>
      <c r="BL238" s="20">
        <f>IFERROR(VLOOKUP(Tabla145[[#This Row],[Llave]],'[13]Base ultimos planes'!$O:$AA,9,FALSE),0)</f>
        <v>420938</v>
      </c>
      <c r="BM238" s="20">
        <f>IFERROR(VLOOKUP(Tabla145[[#This Row],[Llave]],'[13]Base ultimos planes'!$O:$AA,10,FALSE),0)</f>
        <v>695083</v>
      </c>
      <c r="BN238" s="20">
        <f>IFERROR(VLOOKUP(Tabla145[[#This Row],[Llave]],'[13]Base ultimos planes'!$O:$AA,11,FALSE),0)</f>
        <v>1039305</v>
      </c>
      <c r="BO238" s="20">
        <f>IFERROR(VLOOKUP(Tabla145[[#This Row],[Llave]],'[13]Base ultimos planes'!$O:$AA,12,FALSE),0)</f>
        <v>1122892</v>
      </c>
      <c r="BP238" s="20">
        <f>IFERROR(VLOOKUP(Tabla145[[#This Row],[Llave]],'[13]Base ultimos planes'!$O:$AA,13,FALSE),0)</f>
        <v>1235238</v>
      </c>
      <c r="BQ238" s="20"/>
      <c r="BR238" s="20">
        <f>Tabla145[[#This Row],[ RV Producción mes n+1]]*(1-Tabla145[[#This Row],[% Uti. producción]])</f>
        <v>816201.04419230518</v>
      </c>
      <c r="BS238" s="20">
        <f>+Tabla145[[#This Row],[Producción disponible mes n-1]]+Tabla145[[#This Row],[Saldo Volumen disponible]]</f>
        <v>1039303.0000000001</v>
      </c>
      <c r="BT238" s="7">
        <f>IFERROR(VLOOKUP(Tabla145[[#This Row],[Llave]],'[21]RV n+2 y n+3'!$B:$F,4,FALSE),0)</f>
        <v>850000</v>
      </c>
      <c r="BU238" s="7">
        <f>+Tabla145[[#This Row],[Asignación mes n+2]]*Tabla145[[#This Row],[% Uti. producción]]</f>
        <v>388615.23726702231</v>
      </c>
      <c r="BV238" s="7">
        <f>+Tabla145[[#This Row],[Ponderación mes n+2]]+Tabla145[[#This Row],[Saldo mes n-1]]</f>
        <v>1427918.2372670225</v>
      </c>
      <c r="BW238" s="7">
        <f>+Tabla145[[#This Row],[Asignación mes n+2]]-Tabla145[[#This Row],[Ponderación mes n+2]]</f>
        <v>461384.76273297769</v>
      </c>
      <c r="BX238" s="7">
        <f>IFERROR(VLOOKUP(Tabla145[[#This Row],[Llave]],'[21]RV n+2 y n+3'!$B:$F,5,FALSE),0)</f>
        <v>971000</v>
      </c>
      <c r="BY238" s="7">
        <f>+Tabla145[[#This Row],[Asignación mes n+3]]*Tabla145[[#This Row],[% Uti. producción]]</f>
        <v>443935.7592779749</v>
      </c>
      <c r="BZ238" s="3">
        <f>+Tabla145[[#This Row],[Ponderación mes n+3]]+Tabla145[[#This Row],[Saldo mes n+2]]</f>
        <v>905320.52201095258</v>
      </c>
      <c r="CA238" s="3">
        <f>+Tabla145[[#This Row],[Asignación mes n+3]]-Tabla145[[#This Row],[Ponderación mes n+3]]</f>
        <v>527064.24072202505</v>
      </c>
      <c r="CB238" s="3">
        <f>+Tabla145[[#This Row],[Producción disponible mes n-1]]+Tabla145[[#This Row],[Producción disponible]]</f>
        <v>1503671</v>
      </c>
      <c r="CC238" s="3">
        <f>+Tabla145[[#This Row],[Saldo mes n+4]]-Tabla145[[#This Row],[ RV Producción mes n+1]]</f>
        <v>0</v>
      </c>
    </row>
    <row r="239" spans="1:81" ht="16" x14ac:dyDescent="0.2">
      <c r="A239">
        <v>1</v>
      </c>
      <c r="B239" t="str">
        <f>Tabla145[[#This Row],[Oficina]]&amp;Tabla145[[#This Row],[Material]]</f>
        <v>Agrosuper Brasil1011560</v>
      </c>
      <c r="C239" t="s">
        <v>227</v>
      </c>
      <c r="D239" t="s">
        <v>7</v>
      </c>
      <c r="E239">
        <v>1011560</v>
      </c>
      <c r="F239" t="s">
        <v>299</v>
      </c>
      <c r="G239" t="s">
        <v>209</v>
      </c>
      <c r="H239" t="s">
        <v>228</v>
      </c>
      <c r="I239" s="7">
        <f>IFERROR(VLOOKUP(Tabla145[[#This Row],[Llave]],'[7]RV Producción'!$C:$G,5,FALSE),0)</f>
        <v>17570</v>
      </c>
      <c r="J239" s="3">
        <f>IFERROR(IF(Tabla145[[#This Row],[Oficina]]=$I$7,VLOOKUP(Tabla145[[#This Row],[Llave]],'[7]Shangai (Tomas)'!$A:$F,6,FALSE),VLOOKUP(Tabla145[[#This Row],[Llave]],'[7]RV plan de ventas'!$A:$E,5,FALSE)),0)</f>
        <v>0</v>
      </c>
      <c r="K239" s="8">
        <f>IFERROR(VLOOKUP(Tabla145[[#This Row],[Oficina]],[15]Ponderación!$B$2:$E$9,4,FALSE),0)</f>
        <v>0.81420840482290169</v>
      </c>
      <c r="L239" s="7">
        <f>+Tabla145[[#This Row],[ RV Producción mes n+1]]*Tabla145[[#This Row],[% Uti. producción]]</f>
        <v>14305.641672738382</v>
      </c>
      <c r="M239" s="7">
        <f>IFERROR(VLOOKUP(Tabla145[[#This Row],[Material]],[16]Stock!$G:$K,5,FALSE),0)</f>
        <v>14328</v>
      </c>
      <c r="N239" s="7">
        <f>IFERROR(VLOOKUP(Tabla145[[#This Row],[Material]],[16]Produccion!$M:$N,2,FALSE),0)</f>
        <v>11643.236615</v>
      </c>
      <c r="O239" s="7">
        <f>IFERROR(VLOOKUP(Tabla145[[#This Row],[Llave]],'[16]TD Conf-AP'!$I:$M,4,FALSE),0)</f>
        <v>0</v>
      </c>
      <c r="P239" s="14">
        <f>SUM(Tabla145[[#This Row],[Producción disponible]],Tabla145[[#This Row],[Stock al día]],(Tabla145[[#This Row],[Por producir mes N]]*0.9))-Tabla145[[#This Row],[Producción por despachar mes N]]</f>
        <v>39112.554626238387</v>
      </c>
      <c r="Q239" s="7">
        <f>IFERROR(VLOOKUP(Tabla145[[#This Row],[Llave]],[17]DELAY!$A:$D,4,FALSE),0)</f>
        <v>48000</v>
      </c>
      <c r="R239" s="9">
        <v>24000</v>
      </c>
      <c r="S239" s="5">
        <f t="shared" si="8"/>
        <v>24000</v>
      </c>
      <c r="T239" s="76">
        <v>0</v>
      </c>
      <c r="U239" s="5">
        <f>+Tabla145[[#This Row],[Atraso a facturar]]+Tabla145[[#This Row],[Ajuste atraso]]</f>
        <v>24000</v>
      </c>
      <c r="V239" s="3">
        <f>+Tabla145[[#This Row],[Total disponible]]-Tabla145[[#This Row],[Facturación atraso]]</f>
        <v>15112.554626238387</v>
      </c>
      <c r="W239" s="6">
        <f>IFERROR(IF(AND(V239&gt;R239,J239&gt;=R239),ROUNDDOWN((Tabla145[[#This Row],[Producción para venta nueva]])/R239,0)*R239,0),0)</f>
        <v>0</v>
      </c>
      <c r="X239" s="76">
        <v>0</v>
      </c>
      <c r="Y239" s="6">
        <f>IF(Tabla145[[#This Row],[Venta del mes]]&gt;0,Tabla145[[#This Row],[Venta del mes]]+Tabla145[[#This Row],[Ajuste venta nueva]],0)</f>
        <v>0</v>
      </c>
      <c r="Z239" s="6">
        <f>+Tabla145[[#This Row],[Producción para venta nueva]]-Tabla145[[#This Row],[Facturación Venta nueva]]</f>
        <v>15112.554626238387</v>
      </c>
      <c r="AA239" s="6">
        <f>IF(AND(A239=1,Tabla145[[#This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39" s="6">
        <v>0</v>
      </c>
      <c r="AC239" s="6">
        <f>IF(Tabla145[[#This Row],[Disponible stock sin venta]]&gt;0,Tabla145[[#This Row],[Disponible stock sin venta]]+Tabla145[[#This Row],[Ajuste stock sin venta]],0)</f>
        <v>0</v>
      </c>
      <c r="AD239" s="3">
        <f>IFERROR(VLOOKUP(Tabla145[[#This Row],[Llave]],'[16]TD Puerto'!$A:$D,4,FALSE),0)</f>
        <v>0</v>
      </c>
      <c r="AE239" s="3">
        <v>24000</v>
      </c>
      <c r="AF239" s="3">
        <f>+Tabla145[[#This Row],[Plan Irrestricto Inicial]]</f>
        <v>24000</v>
      </c>
      <c r="AG239" s="3">
        <f>+Tabla145[[#This Row],[En puerto a facturar]]</f>
        <v>0</v>
      </c>
      <c r="AH239" s="3">
        <f>+Tabla145[[#This Row],[Facturación atraso]]</f>
        <v>24000</v>
      </c>
      <c r="AI239" s="3">
        <f>+Tabla145[[#This Row],[Plan Irrestricto]]-Tabla145[[#This Row],[Puerto ]]-Tabla145[[#This Row],[Atraso]]</f>
        <v>0</v>
      </c>
      <c r="AJ239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239" s="3">
        <f>+Tabla145[[#This Row],[Facturación atraso]]</f>
        <v>24000</v>
      </c>
      <c r="AL239" s="3">
        <f>+Tabla145[[#This Row],[Plan Ajustado]]-Tabla145[[#This Row],[ Atraso ajustado]]-Tabla145[[#This Row],[Puerto ]]</f>
        <v>0</v>
      </c>
      <c r="AM239" s="6">
        <f>IFERROR(VLOOKUP(Tabla145[[#This Row],[Llave]],[18]!Tabla14[#All],34,FALSE),0)</f>
        <v>0</v>
      </c>
      <c r="AN239" s="6">
        <f>IFERROR(VLOOKUP(Tabla145[[#This Row],[Llave]],[18]!Tabla14[#All],35,FALSE),0)</f>
        <v>0</v>
      </c>
      <c r="AO239" s="3" t="str">
        <f>IF(Tabla145[[#This Row],[Plan Ajustado]]&gt;Tabla145[[#This Row],[En puerto a facturar]],"Si","No")</f>
        <v>Si</v>
      </c>
      <c r="AP239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239" s="3">
        <f>IF(Tabla145[[#This Row],[Necesidad]]&gt;=Tabla145[[#This Row],[Stock al día]],Tabla145[[#This Row],[Stock al día]],Tabla145[[#This Row],[Necesidad]])</f>
        <v>14328</v>
      </c>
      <c r="AR239" s="3">
        <f>+Tabla145[[#This Row],[Necesidad]]-Tabla145[[#This Row],[Stock Plan]]</f>
        <v>9672</v>
      </c>
      <c r="AS239" s="155">
        <f>IFERROR(VLOOKUP(Tabla145[[#This Row],[Oficina]],[19]Ponderación!$B$14:$E$21,4,FALSE),"")</f>
        <v>44798</v>
      </c>
      <c r="AT23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2.601064701064701</v>
      </c>
      <c r="AU239" s="83">
        <f>IFERROR(VLOOKUP(Tabla145[[#This Row],[Llave]],[17]DELAY!$H:$W,16,FALSE),0)</f>
        <v>2.8</v>
      </c>
      <c r="AV23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2.8</v>
      </c>
      <c r="AW239" s="5">
        <f>Tabla145[[#This Row],[Ajuste precio IC]]*Tabla145[[#This Row],[Plan Ajustado]]</f>
        <v>64800.000000000007</v>
      </c>
      <c r="AX239" s="30">
        <f>IFERROR(VLOOKUP(Tabla145[[#This Row],[Llave]],'[13]Ultimos precios facturados'!$A:$G,7,FALSE),0)</f>
        <v>2.601064701064701</v>
      </c>
      <c r="AY23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7.6482256998016265E-2</v>
      </c>
      <c r="AZ239" s="30">
        <f>IFERROR(VLOOKUP(Tabla145[[#This Row],[Llave]],Hoja2!B:K,10,FALSE),0)</f>
        <v>2.7</v>
      </c>
      <c r="BA239" s="30">
        <f>IF(Tabla145[[#This Row],[Ajuste precio IC]]="",Tabla145[[#This Row],[Precio ponderado]],Tabla145[[#This Row],[Precio ponderado]])</f>
        <v>2.8</v>
      </c>
      <c r="BB239" s="82"/>
      <c r="BC239" s="82" t="str">
        <f>IF(AND(Tabla145[[#This Row],[Atraso a facturar]]&gt;0,Tabla145[[#This Row],[Precio Atraso]]=0),"Revisar","OK")</f>
        <v>OK</v>
      </c>
      <c r="BD239" s="82" t="str">
        <f>IF(AND(Tabla145[[#This Row],[Venta del mes]]&gt;0,Tabla145[[#This Row],[Precio venta nueva]]=0),"Revisar","OK")</f>
        <v>OK</v>
      </c>
      <c r="BE239" s="20">
        <f>IFERROR(VLOOKUP(Tabla145[[#This Row],[Llave]],'[5]Consolidación planes'!$A:$M,9,FALSE),0)</f>
        <v>0</v>
      </c>
      <c r="BF239" s="20">
        <f>IFERROR(VLOOKUP(Tabla145[[#This Row],[Llave]],'[5]Consolidación planes'!$A:$M,10,FALSE),0)</f>
        <v>24000</v>
      </c>
      <c r="BG239" s="20">
        <f>IFERROR(VLOOKUP(Tabla145[[#This Row],[Llave]],'[5]Consolidación planes'!$A:$M,11,FALSE),0)</f>
        <v>0</v>
      </c>
      <c r="BH239" s="20">
        <f>IFERROR(VLOOKUP(Tabla145[[#This Row],[Llave]],'[5]Consolidación planes'!$A:$M,12,FALSE),0)</f>
        <v>0</v>
      </c>
      <c r="BI239" s="20">
        <f>IFERROR(VLOOKUP(Tabla145[[#This Row],[Llave]],'[5]Consolidación planes'!$A:$M,13,FALSE),0)</f>
        <v>24000</v>
      </c>
      <c r="BJ239" s="20">
        <f>IFERROR(VLOOKUP(Tabla145[[#This Row],[Llave]],'[13]Base ultimos planes'!$A:$M,13,FALSE),0)</f>
        <v>24000</v>
      </c>
      <c r="BK239" s="80">
        <f>IFERROR(VLOOKUP(Tabla145[[#This Row],[Llave]],'[13]Base ultimos planes'!$O:$AA,8,FALSE),0)</f>
        <v>0</v>
      </c>
      <c r="BL239" s="20">
        <f>IFERROR(VLOOKUP(Tabla145[[#This Row],[Llave]],'[13]Base ultimos planes'!$O:$AA,9,FALSE),0)</f>
        <v>60000</v>
      </c>
      <c r="BM239" s="20">
        <f>IFERROR(VLOOKUP(Tabla145[[#This Row],[Llave]],'[13]Base ultimos planes'!$O:$AA,10,FALSE),0)</f>
        <v>0</v>
      </c>
      <c r="BN239" s="20">
        <f>IFERROR(VLOOKUP(Tabla145[[#This Row],[Llave]],'[13]Base ultimos planes'!$O:$AA,11,FALSE),0)</f>
        <v>0</v>
      </c>
      <c r="BO239" s="20">
        <f>IFERROR(VLOOKUP(Tabla145[[#This Row],[Llave]],'[13]Base ultimos planes'!$O:$AA,12,FALSE),0)</f>
        <v>60000</v>
      </c>
      <c r="BP239" s="20">
        <f>IFERROR(VLOOKUP(Tabla145[[#This Row],[Llave]],'[13]Base ultimos planes'!$O:$AA,13,FALSE),0)</f>
        <v>64134</v>
      </c>
      <c r="BQ239" s="20"/>
      <c r="BR239" s="20">
        <f>Tabla145[[#This Row],[ RV Producción mes n+1]]*(1-Tabla145[[#This Row],[% Uti. producción]])</f>
        <v>3264.3583272616174</v>
      </c>
      <c r="BS239" s="20">
        <f>+Tabla145[[#This Row],[Producción disponible mes n-1]]+Tabla145[[#This Row],[Saldo Volumen disponible]]</f>
        <v>18376.912953500003</v>
      </c>
      <c r="BT239" s="7">
        <f>IFERROR(VLOOKUP(Tabla145[[#This Row],[Llave]],'[21]RV n+2 y n+3'!$B:$F,4,FALSE),0)</f>
        <v>6700</v>
      </c>
      <c r="BU239" s="7">
        <f>+Tabla145[[#This Row],[Asignación mes n+2]]*Tabla145[[#This Row],[% Uti. producción]]</f>
        <v>5455.196312313441</v>
      </c>
      <c r="BV239" s="7">
        <f>+Tabla145[[#This Row],[Ponderación mes n+2]]+Tabla145[[#This Row],[Saldo mes n-1]]</f>
        <v>23832.109265813444</v>
      </c>
      <c r="BW239" s="7">
        <f>+Tabla145[[#This Row],[Asignación mes n+2]]-Tabla145[[#This Row],[Ponderación mes n+2]]</f>
        <v>1244.803687686559</v>
      </c>
      <c r="BX239" s="7">
        <f>IFERROR(VLOOKUP(Tabla145[[#This Row],[Llave]],'[21]RV n+2 y n+3'!$B:$F,5,FALSE),0)</f>
        <v>1000</v>
      </c>
      <c r="BY239" s="7">
        <f>+Tabla145[[#This Row],[Asignación mes n+3]]*Tabla145[[#This Row],[% Uti. producción]]</f>
        <v>814.20840482290168</v>
      </c>
      <c r="BZ239" s="3">
        <f>+Tabla145[[#This Row],[Ponderación mes n+3]]+Tabla145[[#This Row],[Saldo mes n+2]]</f>
        <v>2059.0120925094607</v>
      </c>
      <c r="CA239" s="3">
        <f>+Tabla145[[#This Row],[Asignación mes n+3]]-Tabla145[[#This Row],[Ponderación mes n+3]]</f>
        <v>185.79159517709832</v>
      </c>
      <c r="CB239" s="3">
        <f>+Tabla145[[#This Row],[Producción disponible mes n-1]]+Tabla145[[#This Row],[Producción disponible]]</f>
        <v>17570</v>
      </c>
      <c r="CC239" s="3">
        <f>+Tabla145[[#This Row],[Saldo mes n+4]]-Tabla145[[#This Row],[ RV Producción mes n+1]]</f>
        <v>0</v>
      </c>
    </row>
    <row r="240" spans="1:81" ht="16" x14ac:dyDescent="0.2">
      <c r="A240">
        <v>2</v>
      </c>
      <c r="B240" t="str">
        <f>Tabla145[[#This Row],[Oficina]]&amp;Tabla145[[#This Row],[Material]]</f>
        <v>Agrosuper Brasil1012362</v>
      </c>
      <c r="C240" t="s">
        <v>227</v>
      </c>
      <c r="D240" t="s">
        <v>7</v>
      </c>
      <c r="E240">
        <v>1012362</v>
      </c>
      <c r="F240" t="s">
        <v>229</v>
      </c>
      <c r="G240" t="s">
        <v>209</v>
      </c>
      <c r="H240" t="s">
        <v>228</v>
      </c>
      <c r="I240" s="7">
        <f>IFERROR(VLOOKUP(Tabla145[[#This Row],[Llave]],'[7]RV Producción'!$C:$G,5,FALSE),0)</f>
        <v>25923</v>
      </c>
      <c r="J240" s="3">
        <f>IFERROR(IF(Tabla145[[#This Row],[Oficina]]=$I$7,VLOOKUP(Tabla145[[#This Row],[Llave]],'[7]Shangai (Tomas)'!$A:$F,6,FALSE),VLOOKUP(Tabla145[[#This Row],[Llave]],'[7]RV plan de ventas'!$A:$E,5,FALSE)),0)</f>
        <v>0</v>
      </c>
      <c r="K240" s="8">
        <f>IFERROR(VLOOKUP(Tabla145[[#This Row],[Oficina]],[15]Ponderación!$B$2:$E$9,4,FALSE),0)</f>
        <v>0.81420840482290169</v>
      </c>
      <c r="L240" s="7">
        <f>+Tabla145[[#This Row],[ RV Producción mes n+1]]*Tabla145[[#This Row],[% Uti. producción]]</f>
        <v>21106.724478224081</v>
      </c>
      <c r="M240" s="7">
        <f>IFERROR(VLOOKUP(Tabla145[[#This Row],[Material]],[16]Stock!$G:$K,5,FALSE),0)</f>
        <v>66024</v>
      </c>
      <c r="N240" s="7">
        <f>IFERROR(VLOOKUP(Tabla145[[#This Row],[Material]],[16]Produccion!$M:$N,2,FALSE),0)</f>
        <v>9020</v>
      </c>
      <c r="O240" s="7">
        <f>IFERROR(VLOOKUP(Tabla145[[#This Row],[Llave]],'[16]TD Conf-AP'!$I:$M,4,FALSE),0)</f>
        <v>0</v>
      </c>
      <c r="P240" s="14">
        <f>SUM(Tabla145[[#This Row],[Producción disponible]],Tabla145[[#This Row],[Stock al día]],(Tabla145[[#This Row],[Por producir mes N]]*0.9))-Tabla145[[#This Row],[Producción por despachar mes N]]</f>
        <v>95248.724478224089</v>
      </c>
      <c r="Q240" s="7">
        <f>IFERROR(VLOOKUP(Tabla145[[#This Row],[Llave]],[17]DELAY!$A:$D,4,FALSE),0)</f>
        <v>71990</v>
      </c>
      <c r="R240" s="9">
        <v>24000</v>
      </c>
      <c r="S240" s="5">
        <f t="shared" si="8"/>
        <v>71990</v>
      </c>
      <c r="T240" s="76">
        <v>-48000</v>
      </c>
      <c r="U240" s="5">
        <f>+Tabla145[[#This Row],[Atraso a facturar]]+Tabla145[[#This Row],[Ajuste atraso]]</f>
        <v>23990</v>
      </c>
      <c r="V240" s="3">
        <f>+Tabla145[[#This Row],[Total disponible]]-Tabla145[[#This Row],[Facturación atraso]]</f>
        <v>71258.724478224089</v>
      </c>
      <c r="W240" s="6">
        <f>IFERROR(IF(AND(V240&gt;R240,J240&gt;=R240),ROUNDDOWN((Tabla145[[#This Row],[Producción para venta nueva]])/R240,0)*R240,0),0)</f>
        <v>0</v>
      </c>
      <c r="X240" s="76">
        <v>0</v>
      </c>
      <c r="Y240" s="6">
        <f>IF(Tabla145[[#This Row],[Venta del mes]]&gt;0,Tabla145[[#This Row],[Venta del mes]]+Tabla145[[#This Row],[Ajuste venta nueva]],0)</f>
        <v>0</v>
      </c>
      <c r="Z240" s="6">
        <f>+Tabla145[[#This Row],[Producción para venta nueva]]-Tabla145[[#This Row],[Facturación Venta nueva]]</f>
        <v>71258.724478224089</v>
      </c>
      <c r="AA240" s="6">
        <f>IF(AND(A240=1,Tabla145[[#This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0" s="6">
        <v>0</v>
      </c>
      <c r="AC240" s="6">
        <f>IF(Tabla145[[#This Row],[Disponible stock sin venta]]&gt;0,Tabla145[[#This Row],[Disponible stock sin venta]]+Tabla145[[#This Row],[Ajuste stock sin venta]],0)</f>
        <v>0</v>
      </c>
      <c r="AD240" s="3">
        <f>IFERROR(VLOOKUP(Tabla145[[#This Row],[Llave]],'[16]TD Puerto'!$A:$D,4,FALSE),0)</f>
        <v>0</v>
      </c>
      <c r="AE240" s="3">
        <v>48000</v>
      </c>
      <c r="AF240" s="3">
        <f>+Tabla145[[#This Row],[Plan Irrestricto Inicial]]</f>
        <v>48000</v>
      </c>
      <c r="AG240" s="3">
        <f>+Tabla145[[#This Row],[En puerto a facturar]]</f>
        <v>0</v>
      </c>
      <c r="AH240" s="3">
        <f>+Tabla145[[#This Row],[Facturación atraso]]</f>
        <v>23990</v>
      </c>
      <c r="AI240" s="3">
        <f>+Tabla145[[#This Row],[Plan Irrestricto]]-Tabla145[[#This Row],[Puerto ]]-Tabla145[[#This Row],[Atraso]]</f>
        <v>24010</v>
      </c>
      <c r="AJ240" s="3">
        <f>IF(Tabla145[[#This Row],[Plan Irrestricto]]&gt;0,SUM(Tabla145[[#This Row],[Facturación atraso]],Tabla145[[#This Row],[Facturación Venta nueva]],Tabla145[[#This Row],[Facturación stock]],Tabla145[[#This Row],[En puerto a facturar]]),0)</f>
        <v>23990</v>
      </c>
      <c r="AK240" s="3">
        <f>+Tabla145[[#This Row],[Facturación atraso]]</f>
        <v>23990</v>
      </c>
      <c r="AL240" s="3">
        <f>+Tabla145[[#This Row],[Plan Ajustado]]-Tabla145[[#This Row],[ Atraso ajustado]]-Tabla145[[#This Row],[Puerto ]]</f>
        <v>0</v>
      </c>
      <c r="AM240" s="6">
        <f>IFERROR(VLOOKUP(Tabla145[[#This Row],[Llave]],[18]!Tabla14[#All],34,FALSE),0)</f>
        <v>0</v>
      </c>
      <c r="AN240" s="6">
        <f>IFERROR(VLOOKUP(Tabla145[[#This Row],[Llave]],[18]!Tabla14[#All],35,FALSE),0)</f>
        <v>0</v>
      </c>
      <c r="AO240" s="3" t="str">
        <f>IF(Tabla145[[#This Row],[Plan Ajustado]]&gt;Tabla145[[#This Row],[En puerto a facturar]],"Si","No")</f>
        <v>Si</v>
      </c>
      <c r="AP240" s="3">
        <f>IF(AND(Tabla145[[#This Row],[Plan Ajustado]]&gt;0,Tabla145[[#This Row],[Plan Ajustado]]&gt;Tabla145[[#This Row],[En puerto a facturar]]),(Tabla145[[#This Row],[Plan Ajustado]]-Tabla145[[#This Row],[En puerto a facturar]]),0)</f>
        <v>23990</v>
      </c>
      <c r="AQ240" s="3">
        <f>IF(Tabla145[[#This Row],[Necesidad]]&gt;=Tabla145[[#This Row],[Stock al día]],Tabla145[[#This Row],[Stock al día]],Tabla145[[#This Row],[Necesidad]])</f>
        <v>23990</v>
      </c>
      <c r="AR240" s="3">
        <f>+Tabla145[[#This Row],[Necesidad]]-Tabla145[[#This Row],[Stock Plan]]</f>
        <v>0</v>
      </c>
      <c r="AS240" s="155">
        <f>IFERROR(VLOOKUP(Tabla145[[#This Row],[Oficina]],[19]Ponderación!$B$14:$E$21,4,FALSE),"")</f>
        <v>44798</v>
      </c>
      <c r="AT24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40" s="83">
        <f>IFERROR(VLOOKUP(Tabla145[[#This Row],[Llave]],[17]DELAY!$H:$W,16,FALSE),0)</f>
        <v>2.7000000000000006</v>
      </c>
      <c r="AV24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2.7000000000000006</v>
      </c>
      <c r="AW240" s="5">
        <f>Tabla145[[#This Row],[Ajuste precio IC]]*Tabla145[[#This Row],[Plan Ajustado]]</f>
        <v>63573.5</v>
      </c>
      <c r="AX240" s="30">
        <f>IFERROR(VLOOKUP(Tabla145[[#This Row],[Llave]],'[13]Ultimos precios facturados'!$A:$G,7,FALSE),0)</f>
        <v>2.7450484764542935</v>
      </c>
      <c r="AY24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1.6410812719956338E-2</v>
      </c>
      <c r="AZ240" s="30">
        <f>IFERROR(VLOOKUP(Tabla145[[#This Row],[Llave]],Hoja2!B:K,10,FALSE),0)</f>
        <v>2.65</v>
      </c>
      <c r="BA240" s="30">
        <f>IF(Tabla145[[#This Row],[Ajuste precio IC]]="",Tabla145[[#This Row],[Precio ponderado]],Tabla145[[#This Row],[Precio ponderado]])</f>
        <v>2.7000000000000006</v>
      </c>
      <c r="BB240" s="82"/>
      <c r="BC240" s="82" t="str">
        <f>IF(AND(Tabla145[[#This Row],[Atraso a facturar]]&gt;0,Tabla145[[#This Row],[Precio Atraso]]=0),"Revisar","OK")</f>
        <v>OK</v>
      </c>
      <c r="BD240" s="82" t="str">
        <f>IF(AND(Tabla145[[#This Row],[Venta del mes]]&gt;0,Tabla145[[#This Row],[Precio venta nueva]]=0),"Revisar","OK")</f>
        <v>OK</v>
      </c>
      <c r="BE240" s="20">
        <f>IFERROR(VLOOKUP(Tabla145[[#This Row],[Llave]],'[5]Consolidación planes'!$A:$M,9,FALSE),0)</f>
        <v>24000</v>
      </c>
      <c r="BF240" s="20">
        <f>IFERROR(VLOOKUP(Tabla145[[#This Row],[Llave]],'[5]Consolidación planes'!$A:$M,10,FALSE),0)</f>
        <v>24000</v>
      </c>
      <c r="BG240" s="20">
        <f>IFERROR(VLOOKUP(Tabla145[[#This Row],[Llave]],'[5]Consolidación planes'!$A:$M,11,FALSE),0)</f>
        <v>47990</v>
      </c>
      <c r="BH240" s="20">
        <f>IFERROR(VLOOKUP(Tabla145[[#This Row],[Llave]],'[5]Consolidación planes'!$A:$M,12,FALSE),0)</f>
        <v>23995</v>
      </c>
      <c r="BI240" s="20">
        <f>IFERROR(VLOOKUP(Tabla145[[#This Row],[Llave]],'[5]Consolidación planes'!$A:$M,13,FALSE),0)</f>
        <v>24000</v>
      </c>
      <c r="BJ240" s="20">
        <f>IFERROR(VLOOKUP(Tabla145[[#This Row],[Llave]],'[13]Base ultimos planes'!$A:$M,13,FALSE),0)</f>
        <v>24000</v>
      </c>
      <c r="BK240" s="80">
        <f>IFERROR(VLOOKUP(Tabla145[[#This Row],[Llave]],'[13]Base ultimos planes'!$O:$AA,8,FALSE),0)</f>
        <v>69600</v>
      </c>
      <c r="BL240" s="20">
        <f>IFERROR(VLOOKUP(Tabla145[[#This Row],[Llave]],'[13]Base ultimos planes'!$O:$AA,9,FALSE),0)</f>
        <v>66400</v>
      </c>
      <c r="BM240" s="20">
        <f>IFERROR(VLOOKUP(Tabla145[[#This Row],[Llave]],'[13]Base ultimos planes'!$O:$AA,10,FALSE),0)</f>
        <v>136772</v>
      </c>
      <c r="BN240" s="20">
        <f>IFERROR(VLOOKUP(Tabla145[[#This Row],[Llave]],'[13]Base ultimos planes'!$O:$AA,11,FALSE),0)</f>
        <v>70785</v>
      </c>
      <c r="BO240" s="20">
        <f>IFERROR(VLOOKUP(Tabla145[[#This Row],[Llave]],'[13]Base ultimos planes'!$O:$AA,12,FALSE),0)</f>
        <v>64800</v>
      </c>
      <c r="BP240" s="20">
        <f>IFERROR(VLOOKUP(Tabla145[[#This Row],[Llave]],'[13]Base ultimos planes'!$O:$AA,13,FALSE),0)</f>
        <v>64800</v>
      </c>
      <c r="BQ240" s="20"/>
      <c r="BR240" s="20">
        <f>Tabla145[[#This Row],[ RV Producción mes n+1]]*(1-Tabla145[[#This Row],[% Uti. producción]])</f>
        <v>4816.2755217759195</v>
      </c>
      <c r="BS240" s="20">
        <f>+Tabla145[[#This Row],[Producción disponible mes n-1]]+Tabla145[[#This Row],[Saldo Volumen disponible]]</f>
        <v>76075.000000000015</v>
      </c>
      <c r="BT240" s="7">
        <f>IFERROR(VLOOKUP(Tabla145[[#This Row],[Llave]],'[21]RV n+2 y n+3'!$B:$F,4,FALSE),0)</f>
        <v>72000</v>
      </c>
      <c r="BU240" s="7">
        <f>+Tabla145[[#This Row],[Asignación mes n+2]]*Tabla145[[#This Row],[% Uti. producción]]</f>
        <v>58623.005147248921</v>
      </c>
      <c r="BV240" s="7">
        <f>+Tabla145[[#This Row],[Ponderación mes n+2]]+Tabla145[[#This Row],[Saldo mes n-1]]</f>
        <v>134698.00514724894</v>
      </c>
      <c r="BW240" s="7">
        <f>+Tabla145[[#This Row],[Asignación mes n+2]]-Tabla145[[#This Row],[Ponderación mes n+2]]</f>
        <v>13376.994852751079</v>
      </c>
      <c r="BX240" s="7">
        <f>IFERROR(VLOOKUP(Tabla145[[#This Row],[Llave]],'[21]RV n+2 y n+3'!$B:$F,5,FALSE),0)</f>
        <v>72000</v>
      </c>
      <c r="BY240" s="7">
        <f>+Tabla145[[#This Row],[Asignación mes n+3]]*Tabla145[[#This Row],[% Uti. producción]]</f>
        <v>58623.005147248921</v>
      </c>
      <c r="BZ240" s="3">
        <f>+Tabla145[[#This Row],[Ponderación mes n+3]]+Tabla145[[#This Row],[Saldo mes n+2]]</f>
        <v>72000</v>
      </c>
      <c r="CA240" s="3">
        <f>+Tabla145[[#This Row],[Asignación mes n+3]]-Tabla145[[#This Row],[Ponderación mes n+3]]</f>
        <v>13376.994852751079</v>
      </c>
      <c r="CB240" s="3">
        <f>+Tabla145[[#This Row],[Producción disponible mes n-1]]+Tabla145[[#This Row],[Producción disponible]]</f>
        <v>25923</v>
      </c>
      <c r="CC240" s="3">
        <f>+Tabla145[[#This Row],[Saldo mes n+4]]-Tabla145[[#This Row],[ RV Producción mes n+1]]</f>
        <v>0</v>
      </c>
    </row>
    <row r="241" spans="1:81" ht="16" x14ac:dyDescent="0.2">
      <c r="A241">
        <v>1</v>
      </c>
      <c r="B241" t="str">
        <f>Tabla145[[#This Row],[Oficina]]&amp;Tabla145[[#This Row],[Material]]</f>
        <v>Agrosuper Brasil1012674</v>
      </c>
      <c r="C241" t="s">
        <v>227</v>
      </c>
      <c r="D241" t="s">
        <v>7</v>
      </c>
      <c r="E241">
        <v>1012674</v>
      </c>
      <c r="F241" t="s">
        <v>230</v>
      </c>
      <c r="G241" t="s">
        <v>209</v>
      </c>
      <c r="H241" t="s">
        <v>228</v>
      </c>
      <c r="I241" s="7">
        <f>IFERROR(VLOOKUP(Tabla145[[#This Row],[Llave]],'[7]RV Producción'!$C:$G,5,FALSE),0)</f>
        <v>56200</v>
      </c>
      <c r="J241" s="3">
        <f>IFERROR(IF(Tabla145[[#This Row],[Oficina]]=$I$7,VLOOKUP(Tabla145[[#This Row],[Llave]],'[7]Shangai (Tomas)'!$A:$F,6,FALSE),VLOOKUP(Tabla145[[#This Row],[Llave]],'[7]RV plan de ventas'!$A:$E,5,FALSE)),0)</f>
        <v>0</v>
      </c>
      <c r="K241" s="8">
        <f>IFERROR(VLOOKUP(Tabla145[[#This Row],[Oficina]],[15]Ponderación!$B$2:$E$9,4,FALSE),0)</f>
        <v>0.81420840482290169</v>
      </c>
      <c r="L241" s="7">
        <f>+Tabla145[[#This Row],[ RV Producción mes n+1]]*Tabla145[[#This Row],[% Uti. producción]]</f>
        <v>45758.512351047073</v>
      </c>
      <c r="M241" s="7">
        <f>IFERROR(VLOOKUP(Tabla145[[#This Row],[Material]],[16]Stock!$G:$K,5,FALSE),0)</f>
        <v>48540</v>
      </c>
      <c r="N241" s="7">
        <f>IFERROR(VLOOKUP(Tabla145[[#This Row],[Material]],[16]Produccion!$M:$N,2,FALSE),0)</f>
        <v>15000</v>
      </c>
      <c r="O241" s="7">
        <f>IFERROR(VLOOKUP(Tabla145[[#This Row],[Llave]],'[16]TD Conf-AP'!$I:$M,4,FALSE),0)</f>
        <v>0</v>
      </c>
      <c r="P241" s="14">
        <f>SUM(Tabla145[[#This Row],[Producción disponible]],Tabla145[[#This Row],[Stock al día]],(Tabla145[[#This Row],[Por producir mes N]]*0.9))-Tabla145[[#This Row],[Producción por despachar mes N]]</f>
        <v>107798.51235104707</v>
      </c>
      <c r="Q241" s="7">
        <f>IFERROR(VLOOKUP(Tabla145[[#This Row],[Llave]],[17]DELAY!$A:$D,4,FALSE),0)</f>
        <v>119980</v>
      </c>
      <c r="R241" s="9">
        <v>24000</v>
      </c>
      <c r="S241" s="5">
        <f t="shared" si="8"/>
        <v>96000</v>
      </c>
      <c r="T241" s="76">
        <f>-24000-48000</f>
        <v>-72000</v>
      </c>
      <c r="U241" s="5">
        <f>+Tabla145[[#This Row],[Atraso a facturar]]+Tabla145[[#This Row],[Ajuste atraso]]</f>
        <v>24000</v>
      </c>
      <c r="V241" s="3">
        <f>+Tabla145[[#This Row],[Total disponible]]-Tabla145[[#This Row],[Facturación atraso]]</f>
        <v>83798.512351047073</v>
      </c>
      <c r="W241" s="6">
        <f>IFERROR(IF(AND(V241&gt;R241,J241&gt;=R241),ROUNDDOWN((Tabla145[[#This Row],[Producción para venta nueva]])/R241,0)*R241,0),0)</f>
        <v>0</v>
      </c>
      <c r="X241" s="76">
        <v>0</v>
      </c>
      <c r="Y241" s="6">
        <f>IF(Tabla145[[#This Row],[Venta del mes]]&gt;0,Tabla145[[#This Row],[Venta del mes]]+Tabla145[[#This Row],[Ajuste venta nueva]],0)</f>
        <v>0</v>
      </c>
      <c r="Z241" s="6">
        <f>+Tabla145[[#This Row],[Producción para venta nueva]]-Tabla145[[#This Row],[Facturación Venta nueva]]</f>
        <v>83798.512351047073</v>
      </c>
      <c r="AA241" s="6">
        <f>IF(AND(A241=1,Tabla145[[#This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1" s="6">
        <v>0</v>
      </c>
      <c r="AC241" s="6">
        <f>IF(Tabla145[[#This Row],[Disponible stock sin venta]]&gt;0,Tabla145[[#This Row],[Disponible stock sin venta]]+Tabla145[[#This Row],[Ajuste stock sin venta]],0)</f>
        <v>0</v>
      </c>
      <c r="AD241" s="3">
        <f>IFERROR(VLOOKUP(Tabla145[[#This Row],[Llave]],'[16]TD Puerto'!$A:$D,4,FALSE),0)</f>
        <v>0</v>
      </c>
      <c r="AE241" s="3">
        <v>72000</v>
      </c>
      <c r="AF241" s="3">
        <f>+Tabla145[[#This Row],[Plan Irrestricto Inicial]]</f>
        <v>72000</v>
      </c>
      <c r="AG241" s="3">
        <f>+Tabla145[[#This Row],[En puerto a facturar]]</f>
        <v>0</v>
      </c>
      <c r="AH241" s="3">
        <f>+Tabla145[[#This Row],[Facturación atraso]]</f>
        <v>24000</v>
      </c>
      <c r="AI241" s="3">
        <f>+Tabla145[[#This Row],[Plan Irrestricto]]-Tabla145[[#This Row],[Puerto ]]-Tabla145[[#This Row],[Atraso]]</f>
        <v>48000</v>
      </c>
      <c r="AJ241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241" s="3">
        <f>+Tabla145[[#This Row],[Facturación atraso]]</f>
        <v>24000</v>
      </c>
      <c r="AL241" s="3">
        <f>+Tabla145[[#This Row],[Plan Ajustado]]-Tabla145[[#This Row],[ Atraso ajustado]]-Tabla145[[#This Row],[Puerto ]]</f>
        <v>0</v>
      </c>
      <c r="AM241" s="6">
        <f>IFERROR(VLOOKUP(Tabla145[[#This Row],[Llave]],[18]!Tabla14[#All],34,FALSE),0)</f>
        <v>0</v>
      </c>
      <c r="AN241" s="6">
        <f>IFERROR(VLOOKUP(Tabla145[[#This Row],[Llave]],[18]!Tabla14[#All],35,FALSE),0)</f>
        <v>0</v>
      </c>
      <c r="AO241" s="3" t="str">
        <f>IF(Tabla145[[#This Row],[Plan Ajustado]]&gt;Tabla145[[#This Row],[En puerto a facturar]],"Si","No")</f>
        <v>Si</v>
      </c>
      <c r="AP241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241" s="3">
        <f>IF(Tabla145[[#This Row],[Necesidad]]&gt;=Tabla145[[#This Row],[Stock al día]],Tabla145[[#This Row],[Stock al día]],Tabla145[[#This Row],[Necesidad]])</f>
        <v>24000</v>
      </c>
      <c r="AR241" s="3">
        <f>+Tabla145[[#This Row],[Necesidad]]-Tabla145[[#This Row],[Stock Plan]]</f>
        <v>0</v>
      </c>
      <c r="AS241" s="155">
        <f>IFERROR(VLOOKUP(Tabla145[[#This Row],[Oficina]],[19]Ponderación!$B$14:$E$21,4,FALSE),"")</f>
        <v>44798</v>
      </c>
      <c r="AT24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2.5971795312677273</v>
      </c>
      <c r="AU241" s="83">
        <f>IFERROR(VLOOKUP(Tabla145[[#This Row],[Llave]],[17]DELAY!$H:$W,16,FALSE),0)</f>
        <v>2.4800008334722454</v>
      </c>
      <c r="AV24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2.4800008334722454</v>
      </c>
      <c r="AW241" s="5">
        <f>Tabla145[[#This Row],[Ajuste precio IC]]*Tabla145[[#This Row],[Plan Ajustado]]</f>
        <v>57600</v>
      </c>
      <c r="AX241" s="30">
        <f>IFERROR(VLOOKUP(Tabla145[[#This Row],[Llave]],'[13]Ultimos precios facturados'!$A:$G,7,FALSE),0)</f>
        <v>2.5971795312677273</v>
      </c>
      <c r="AY241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4.5117673377891188E-2</v>
      </c>
      <c r="AZ241" s="30">
        <f>IFERROR(VLOOKUP(Tabla145[[#This Row],[Llave]],Hoja2!B:K,10,FALSE),0)</f>
        <v>2.4</v>
      </c>
      <c r="BA241" s="30">
        <f>IF(Tabla145[[#This Row],[Ajuste precio IC]]="",Tabla145[[#This Row],[Precio ponderado]],Tabla145[[#This Row],[Precio ponderado]])</f>
        <v>2.4800008334722454</v>
      </c>
      <c r="BB241" s="82"/>
      <c r="BC241" s="82" t="str">
        <f>IF(AND(Tabla145[[#This Row],[Atraso a facturar]]&gt;0,Tabla145[[#This Row],[Precio Atraso]]=0),"Revisar","OK")</f>
        <v>OK</v>
      </c>
      <c r="BD241" s="82" t="str">
        <f>IF(AND(Tabla145[[#This Row],[Venta del mes]]&gt;0,Tabla145[[#This Row],[Precio venta nueva]]=0),"Revisar","OK")</f>
        <v>OK</v>
      </c>
      <c r="BE241" s="20">
        <f>IFERROR(VLOOKUP(Tabla145[[#This Row],[Llave]],'[5]Consolidación planes'!$A:$M,9,FALSE),0)</f>
        <v>24000</v>
      </c>
      <c r="BF241" s="20">
        <f>IFERROR(VLOOKUP(Tabla145[[#This Row],[Llave]],'[5]Consolidación planes'!$A:$M,10,FALSE),0)</f>
        <v>72000</v>
      </c>
      <c r="BG241" s="20">
        <f>IFERROR(VLOOKUP(Tabla145[[#This Row],[Llave]],'[5]Consolidación planes'!$A:$M,11,FALSE),0)</f>
        <v>24000</v>
      </c>
      <c r="BH241" s="20">
        <f>IFERROR(VLOOKUP(Tabla145[[#This Row],[Llave]],'[5]Consolidación planes'!$A:$M,12,FALSE),0)</f>
        <v>23995</v>
      </c>
      <c r="BI241" s="20">
        <f>IFERROR(VLOOKUP(Tabla145[[#This Row],[Llave]],'[5]Consolidación planes'!$A:$M,13,FALSE),0)</f>
        <v>24000</v>
      </c>
      <c r="BJ241" s="20">
        <f>IFERROR(VLOOKUP(Tabla145[[#This Row],[Llave]],'[13]Base ultimos planes'!$A:$M,13,FALSE),0)</f>
        <v>48000</v>
      </c>
      <c r="BK241" s="80">
        <f>IFERROR(VLOOKUP(Tabla145[[#This Row],[Llave]],'[13]Base ultimos planes'!$O:$AA,8,FALSE),0)</f>
        <v>64800</v>
      </c>
      <c r="BL241" s="20">
        <f>IFERROR(VLOOKUP(Tabla145[[#This Row],[Llave]],'[13]Base ultimos planes'!$O:$AA,9,FALSE),0)</f>
        <v>184509</v>
      </c>
      <c r="BM241" s="20">
        <f>IFERROR(VLOOKUP(Tabla145[[#This Row],[Llave]],'[13]Base ultimos planes'!$O:$AA,10,FALSE),0)</f>
        <v>64800</v>
      </c>
      <c r="BN241" s="20">
        <f>IFERROR(VLOOKUP(Tabla145[[#This Row],[Llave]],'[13]Base ultimos planes'!$O:$AA,11,FALSE),0)</f>
        <v>63587</v>
      </c>
      <c r="BO241" s="20">
        <f>IFERROR(VLOOKUP(Tabla145[[#This Row],[Llave]],'[13]Base ultimos planes'!$O:$AA,12,FALSE),0)</f>
        <v>60000</v>
      </c>
      <c r="BP241" s="20">
        <f>IFERROR(VLOOKUP(Tabla145[[#This Row],[Llave]],'[13]Base ultimos planes'!$O:$AA,13,FALSE),0)</f>
        <v>119200</v>
      </c>
      <c r="BQ241" s="20"/>
      <c r="BR241" s="20">
        <f>Tabla145[[#This Row],[ RV Producción mes n+1]]*(1-Tabla145[[#This Row],[% Uti. producción]])</f>
        <v>10441.487648952925</v>
      </c>
      <c r="BS241" s="20">
        <f>+Tabla145[[#This Row],[Producción disponible mes n-1]]+Tabla145[[#This Row],[Saldo Volumen disponible]]</f>
        <v>94240</v>
      </c>
      <c r="BT241" s="7">
        <f>IFERROR(VLOOKUP(Tabla145[[#This Row],[Llave]],'[21]RV n+2 y n+3'!$B:$F,4,FALSE),0)</f>
        <v>53700</v>
      </c>
      <c r="BU241" s="7">
        <f>+Tabla145[[#This Row],[Asignación mes n+2]]*Tabla145[[#This Row],[% Uti. producción]]</f>
        <v>43722.991338989821</v>
      </c>
      <c r="BV241" s="7">
        <f>+Tabla145[[#This Row],[Ponderación mes n+2]]+Tabla145[[#This Row],[Saldo mes n-1]]</f>
        <v>137962.99133898981</v>
      </c>
      <c r="BW241" s="7">
        <f>+Tabla145[[#This Row],[Asignación mes n+2]]-Tabla145[[#This Row],[Ponderación mes n+2]]</f>
        <v>9977.0086610101789</v>
      </c>
      <c r="BX241" s="7">
        <f>IFERROR(VLOOKUP(Tabla145[[#This Row],[Llave]],'[21]RV n+2 y n+3'!$B:$F,5,FALSE),0)</f>
        <v>49000</v>
      </c>
      <c r="BY241" s="7">
        <f>+Tabla145[[#This Row],[Asignación mes n+3]]*Tabla145[[#This Row],[% Uti. producción]]</f>
        <v>39896.211836322182</v>
      </c>
      <c r="BZ241" s="3">
        <f>+Tabla145[[#This Row],[Ponderación mes n+3]]+Tabla145[[#This Row],[Saldo mes n+2]]</f>
        <v>49873.220497332361</v>
      </c>
      <c r="CA241" s="3">
        <f>+Tabla145[[#This Row],[Asignación mes n+3]]-Tabla145[[#This Row],[Ponderación mes n+3]]</f>
        <v>9103.7881636778184</v>
      </c>
      <c r="CB241" s="3">
        <f>+Tabla145[[#This Row],[Producción disponible mes n-1]]+Tabla145[[#This Row],[Producción disponible]]</f>
        <v>56200</v>
      </c>
      <c r="CC241" s="3">
        <f>+Tabla145[[#This Row],[Saldo mes n+4]]-Tabla145[[#This Row],[ RV Producción mes n+1]]</f>
        <v>0</v>
      </c>
    </row>
    <row r="242" spans="1:81" ht="16" x14ac:dyDescent="0.2">
      <c r="A242">
        <v>2</v>
      </c>
      <c r="B242" t="str">
        <f>Tabla145[[#This Row],[Oficina]]&amp;Tabla145[[#This Row],[Material]]</f>
        <v>Agrosuper Shanghai1011586</v>
      </c>
      <c r="C242" t="s">
        <v>227</v>
      </c>
      <c r="D242" t="s">
        <v>140</v>
      </c>
      <c r="E242">
        <v>1011586</v>
      </c>
      <c r="F242" t="s">
        <v>262</v>
      </c>
      <c r="G242" t="s">
        <v>205</v>
      </c>
      <c r="H242" t="s">
        <v>231</v>
      </c>
      <c r="I242" s="7">
        <f>IFERROR(VLOOKUP(Tabla145[[#This Row],[Llave]],'[7]RV Producción'!$C:$G,5,FALSE),0)</f>
        <v>0</v>
      </c>
      <c r="J242" s="3">
        <f>IFERROR(IF(Tabla145[[#This Row],[Oficina]]=$I$7,VLOOKUP(Tabla145[[#This Row],[Llave]],'[7]Shangai (Tomas)'!$A:$F,6,FALSE),VLOOKUP(Tabla145[[#This Row],[Llave]],'[7]RV plan de ventas'!$A:$E,5,FALSE)),0)</f>
        <v>0</v>
      </c>
      <c r="K242" s="8">
        <f>IFERROR(VLOOKUP(Tabla145[[#This Row],[Oficina]],[15]Ponderación!$B$2:$E$9,4,FALSE),0)</f>
        <v>0.45719439678473212</v>
      </c>
      <c r="L242" s="7">
        <f>+Tabla145[[#This Row],[ RV Producción mes n+1]]*Tabla145[[#This Row],[% Uti. producción]]</f>
        <v>0</v>
      </c>
      <c r="M242" s="7">
        <f>IFERROR(VLOOKUP(Tabla145[[#This Row],[Material]],[16]Stock!$G:$K,5,FALSE),0)</f>
        <v>34430</v>
      </c>
      <c r="N242" s="7">
        <f>IFERROR(VLOOKUP(Tabla145[[#This Row],[Material]],[16]Produccion!$M:$N,2,FALSE),0)</f>
        <v>10000</v>
      </c>
      <c r="O242" s="7">
        <f>IFERROR(VLOOKUP(Tabla145[[#This Row],[Llave]],'[16]TD Conf-AP'!$I:$M,4,FALSE),0)</f>
        <v>0</v>
      </c>
      <c r="P242" s="14">
        <f>SUM(Tabla145[[#This Row],[Producción disponible]],Tabla145[[#This Row],[Stock al día]],(Tabla145[[#This Row],[Por producir mes N]]*0.9))-Tabla145[[#This Row],[Producción por despachar mes N]]</f>
        <v>43430</v>
      </c>
      <c r="Q242" s="7">
        <f>IFERROR(VLOOKUP(Tabla145[[#This Row],[Llave]],[17]DELAY!$A:$D,4,FALSE),0)</f>
        <v>0</v>
      </c>
      <c r="R242" s="9">
        <v>24000</v>
      </c>
      <c r="S242" s="5">
        <f t="shared" si="8"/>
        <v>0</v>
      </c>
      <c r="T242" s="76"/>
      <c r="U242" s="5">
        <f>+Tabla145[[#This Row],[Atraso a facturar]]+Tabla145[[#This Row],[Ajuste atraso]]</f>
        <v>0</v>
      </c>
      <c r="V242" s="3">
        <f>+Tabla145[[#This Row],[Total disponible]]-Tabla145[[#This Row],[Facturación atraso]]</f>
        <v>43430</v>
      </c>
      <c r="W242" s="6">
        <f>IFERROR(IF(AND(V242&gt;R242,J242&gt;=R242),ROUNDDOWN((Tabla145[[#This Row],[Producción para venta nueva]])/R242,0)*R242,0),0)</f>
        <v>0</v>
      </c>
      <c r="X242" s="76">
        <v>0</v>
      </c>
      <c r="Y242" s="6">
        <f>IF(Tabla145[[#This Row],[Venta del mes]]&gt;0,Tabla145[[#This Row],[Venta del mes]]+Tabla145[[#This Row],[Ajuste venta nueva]],0)</f>
        <v>0</v>
      </c>
      <c r="Z242" s="6">
        <f>+Tabla145[[#This Row],[Producción para venta nueva]]-Tabla145[[#This Row],[Facturación Venta nueva]]</f>
        <v>43430</v>
      </c>
      <c r="AA242" s="6">
        <f>IF(AND(A242=1,Tabla145[[#This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2" s="6">
        <v>0</v>
      </c>
      <c r="AC242" s="6">
        <f>IF(Tabla145[[#This Row],[Disponible stock sin venta]]&gt;0,Tabla145[[#This Row],[Disponible stock sin venta]]+Tabla145[[#This Row],[Ajuste stock sin venta]],0)</f>
        <v>0</v>
      </c>
      <c r="AD242" s="3">
        <f>IFERROR(VLOOKUP(Tabla145[[#This Row],[Llave]],'[16]TD Puerto'!$A:$D,4,FALSE),0)</f>
        <v>0</v>
      </c>
      <c r="AE242" s="3">
        <v>0</v>
      </c>
      <c r="AF242" s="3">
        <f>+Tabla145[[#This Row],[Plan Irrestricto Inicial]]</f>
        <v>0</v>
      </c>
      <c r="AG242" s="3">
        <f>+Tabla145[[#This Row],[En puerto a facturar]]</f>
        <v>0</v>
      </c>
      <c r="AH242" s="3">
        <f>+Tabla145[[#This Row],[Facturación atraso]]</f>
        <v>0</v>
      </c>
      <c r="AI242" s="3">
        <f>+Tabla145[[#This Row],[Plan Irrestricto]]-Tabla145[[#This Row],[Puerto ]]-Tabla145[[#This Row],[Atraso]]</f>
        <v>0</v>
      </c>
      <c r="AJ24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42" s="3">
        <f>+Tabla145[[#This Row],[Facturación atraso]]</f>
        <v>0</v>
      </c>
      <c r="AL242" s="3">
        <f>+Tabla145[[#This Row],[Plan Ajustado]]-Tabla145[[#This Row],[ Atraso ajustado]]-Tabla145[[#This Row],[Puerto ]]</f>
        <v>0</v>
      </c>
      <c r="AM242" s="6">
        <f>IFERROR(VLOOKUP(Tabla145[[#This Row],[Llave]],[18]!Tabla14[#All],34,FALSE),0)</f>
        <v>0</v>
      </c>
      <c r="AN242" s="6">
        <f>IFERROR(VLOOKUP(Tabla145[[#This Row],[Llave]],[18]!Tabla14[#All],35,FALSE),0)</f>
        <v>0</v>
      </c>
      <c r="AO242" s="3" t="str">
        <f>IF(Tabla145[[#This Row],[Plan Ajustado]]&gt;Tabla145[[#This Row],[En puerto a facturar]],"Si","No")</f>
        <v>No</v>
      </c>
      <c r="AP24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42" s="3">
        <f>IF(Tabla145[[#This Row],[Necesidad]]&gt;=Tabla145[[#This Row],[Stock al día]],Tabla145[[#This Row],[Stock al día]],Tabla145[[#This Row],[Necesidad]])</f>
        <v>0</v>
      </c>
      <c r="AR242" s="3">
        <f>+Tabla145[[#This Row],[Necesidad]]-Tabla145[[#This Row],[Stock Plan]]</f>
        <v>0</v>
      </c>
      <c r="AS242" s="155">
        <f>IFERROR(VLOOKUP(Tabla145[[#This Row],[Oficina]],[19]Ponderación!$B$14:$E$21,4,FALSE),"")</f>
        <v>44786</v>
      </c>
      <c r="AT24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3.2645010141507287</v>
      </c>
      <c r="AU242" s="83">
        <f>IFERROR(VLOOKUP(Tabla145[[#This Row],[Llave]],[17]DELAY!$H:$W,16,FALSE),0)</f>
        <v>0</v>
      </c>
      <c r="AV24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42" s="5">
        <f>Tabla145[[#This Row],[Ajuste precio IC]]*Tabla145[[#This Row],[Plan Ajustado]]</f>
        <v>0</v>
      </c>
      <c r="AX242" s="30">
        <f>IFERROR(VLOOKUP(Tabla145[[#This Row],[Llave]],'[13]Ultimos precios facturados'!$A:$G,7,FALSE),0)</f>
        <v>3.2645010141507287</v>
      </c>
      <c r="AY24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42" s="30">
        <f>IFERROR(VLOOKUP(Tabla145[[#This Row],[Llave]],Hoja2!B:K,10,FALSE),0)</f>
        <v>0</v>
      </c>
      <c r="BA242" s="30">
        <f>IF(Tabla145[[#This Row],[Ajuste precio IC]]="",Tabla145[[#This Row],[Precio ponderado]],Tabla145[[#This Row],[Precio ponderado]])</f>
        <v>0</v>
      </c>
      <c r="BB242" s="82"/>
      <c r="BC242" s="82" t="str">
        <f>IF(AND(Tabla145[[#This Row],[Atraso a facturar]]&gt;0,Tabla145[[#This Row],[Precio Atraso]]=0),"Revisar","OK")</f>
        <v>OK</v>
      </c>
      <c r="BD242" s="82" t="str">
        <f>IF(AND(Tabla145[[#This Row],[Venta del mes]]&gt;0,Tabla145[[#This Row],[Precio venta nueva]]=0),"Revisar","OK")</f>
        <v>OK</v>
      </c>
      <c r="BE242" s="20">
        <f>IFERROR(VLOOKUP(Tabla145[[#This Row],[Llave]],'[5]Consolidación planes'!$A:$M,9,FALSE),0)</f>
        <v>96000</v>
      </c>
      <c r="BF242" s="20">
        <f>IFERROR(VLOOKUP(Tabla145[[#This Row],[Llave]],'[5]Consolidación planes'!$A:$M,10,FALSE),0)</f>
        <v>72000</v>
      </c>
      <c r="BG242" s="20">
        <f>IFERROR(VLOOKUP(Tabla145[[#This Row],[Llave]],'[5]Consolidación planes'!$A:$M,11,FALSE),0)</f>
        <v>48000</v>
      </c>
      <c r="BH242" s="20">
        <f>IFERROR(VLOOKUP(Tabla145[[#This Row],[Llave]],'[5]Consolidación planes'!$A:$M,12,FALSE),0)</f>
        <v>48000</v>
      </c>
      <c r="BI242" s="20">
        <f>IFERROR(VLOOKUP(Tabla145[[#This Row],[Llave]],'[5]Consolidación planes'!$A:$M,13,FALSE),0)</f>
        <v>48000</v>
      </c>
      <c r="BJ242" s="20">
        <f>IFERROR(VLOOKUP(Tabla145[[#This Row],[Llave]],'[13]Base ultimos planes'!$A:$M,13,FALSE),0)</f>
        <v>24000</v>
      </c>
      <c r="BK242" s="80">
        <f>IFERROR(VLOOKUP(Tabla145[[#This Row],[Llave]],'[13]Base ultimos planes'!$O:$AA,8,FALSE),0)</f>
        <v>231360</v>
      </c>
      <c r="BL242" s="20">
        <f>IFERROR(VLOOKUP(Tabla145[[#This Row],[Llave]],'[13]Base ultimos planes'!$O:$AA,9,FALSE),0)</f>
        <v>185400</v>
      </c>
      <c r="BM242" s="20">
        <f>IFERROR(VLOOKUP(Tabla145[[#This Row],[Llave]],'[13]Base ultimos planes'!$O:$AA,10,FALSE),0)</f>
        <v>112800</v>
      </c>
      <c r="BN242" s="20">
        <f>IFERROR(VLOOKUP(Tabla145[[#This Row],[Llave]],'[13]Base ultimos planes'!$O:$AA,11,FALSE),0)</f>
        <v>130080</v>
      </c>
      <c r="BO242" s="20">
        <f>IFERROR(VLOOKUP(Tabla145[[#This Row],[Llave]],'[13]Base ultimos planes'!$O:$AA,12,FALSE),0)</f>
        <v>145830</v>
      </c>
      <c r="BP242" s="20">
        <f>IFERROR(VLOOKUP(Tabla145[[#This Row],[Llave]],'[13]Base ultimos planes'!$O:$AA,13,FALSE),0)</f>
        <v>86400</v>
      </c>
      <c r="BQ242" s="20"/>
      <c r="BR242" s="20">
        <f>Tabla145[[#This Row],[ RV Producción mes n+1]]*(1-Tabla145[[#This Row],[% Uti. producción]])</f>
        <v>0</v>
      </c>
      <c r="BS242" s="20">
        <f>+Tabla145[[#This Row],[Producción disponible mes n-1]]+Tabla145[[#This Row],[Saldo Volumen disponible]]</f>
        <v>43430</v>
      </c>
      <c r="BT242" s="7">
        <f>IFERROR(VLOOKUP(Tabla145[[#This Row],[Llave]],'[21]RV n+2 y n+3'!$B:$F,4,FALSE),0)</f>
        <v>0</v>
      </c>
      <c r="BU242" s="7">
        <f>+Tabla145[[#This Row],[Asignación mes n+2]]*Tabla145[[#This Row],[% Uti. producción]]</f>
        <v>0</v>
      </c>
      <c r="BV242" s="7">
        <f>+Tabla145[[#This Row],[Ponderación mes n+2]]+Tabla145[[#This Row],[Saldo mes n-1]]</f>
        <v>43430</v>
      </c>
      <c r="BW242" s="7">
        <f>+Tabla145[[#This Row],[Asignación mes n+2]]-Tabla145[[#This Row],[Ponderación mes n+2]]</f>
        <v>0</v>
      </c>
      <c r="BX242" s="7">
        <f>IFERROR(VLOOKUP(Tabla145[[#This Row],[Llave]],'[21]RV n+2 y n+3'!$B:$F,5,FALSE),0)</f>
        <v>0</v>
      </c>
      <c r="BY242" s="7">
        <f>+Tabla145[[#This Row],[Asignación mes n+3]]*Tabla145[[#This Row],[% Uti. producción]]</f>
        <v>0</v>
      </c>
      <c r="BZ242" s="3">
        <f>+Tabla145[[#This Row],[Ponderación mes n+3]]+Tabla145[[#This Row],[Saldo mes n+2]]</f>
        <v>0</v>
      </c>
      <c r="CA242" s="3">
        <f>+Tabla145[[#This Row],[Asignación mes n+3]]-Tabla145[[#This Row],[Ponderación mes n+3]]</f>
        <v>0</v>
      </c>
      <c r="CB242" s="3">
        <f>+Tabla145[[#This Row],[Producción disponible mes n-1]]+Tabla145[[#This Row],[Producción disponible]]</f>
        <v>0</v>
      </c>
      <c r="CC242" s="3">
        <f>+Tabla145[[#This Row],[Saldo mes n+4]]-Tabla145[[#This Row],[ RV Producción mes n+1]]</f>
        <v>0</v>
      </c>
    </row>
    <row r="243" spans="1:81" ht="16" x14ac:dyDescent="0.2">
      <c r="A243">
        <v>2</v>
      </c>
      <c r="B243" t="str">
        <f>Tabla145[[#This Row],[Oficina]]&amp;Tabla145[[#This Row],[Material]]</f>
        <v>Agrosuper Shanghai1011968</v>
      </c>
      <c r="C243" t="s">
        <v>227</v>
      </c>
      <c r="D243" t="s">
        <v>140</v>
      </c>
      <c r="E243">
        <v>1011968</v>
      </c>
      <c r="F243" t="s">
        <v>270</v>
      </c>
      <c r="G243" t="s">
        <v>268</v>
      </c>
      <c r="H243" t="s">
        <v>269</v>
      </c>
      <c r="I243" s="7">
        <f>IFERROR(VLOOKUP(Tabla145[[#This Row],[Llave]],'[7]RV Producción'!$C:$G,5,FALSE),0)</f>
        <v>0</v>
      </c>
      <c r="J243" s="3">
        <f>IFERROR(IF(Tabla145[[#This Row],[Oficina]]=$I$7,VLOOKUP(Tabla145[[#This Row],[Llave]],'[7]Shangai (Tomas)'!$A:$F,6,FALSE),VLOOKUP(Tabla145[[#This Row],[Llave]],'[7]RV plan de ventas'!$A:$E,5,FALSE)),0)</f>
        <v>0</v>
      </c>
      <c r="K243" s="8">
        <f>IFERROR(VLOOKUP(Tabla145[[#This Row],[Oficina]],[15]Ponderación!$B$2:$E$9,4,FALSE),0)</f>
        <v>0.45719439678473212</v>
      </c>
      <c r="L243" s="7">
        <f>+Tabla145[[#This Row],[ RV Producción mes n+1]]*Tabla145[[#This Row],[% Uti. producción]]</f>
        <v>0</v>
      </c>
      <c r="M243" s="7">
        <f>IFERROR(VLOOKUP(Tabla145[[#This Row],[Material]],[16]Stock!$G:$K,5,FALSE),0)</f>
        <v>10320</v>
      </c>
      <c r="N243" s="7">
        <f>IFERROR(VLOOKUP(Tabla145[[#This Row],[Material]],[16]Produccion!$M:$N,2,FALSE),0)</f>
        <v>464</v>
      </c>
      <c r="O243" s="7">
        <f>IFERROR(VLOOKUP(Tabla145[[#This Row],[Llave]],'[16]TD Conf-AP'!$I:$M,4,FALSE),0)</f>
        <v>0</v>
      </c>
      <c r="P243" s="14">
        <f>SUM(Tabla145[[#This Row],[Producción disponible]],Tabla145[[#This Row],[Stock al día]],(Tabla145[[#This Row],[Por producir mes N]]*0.9))-Tabla145[[#This Row],[Producción por despachar mes N]]</f>
        <v>10737.6</v>
      </c>
      <c r="Q243" s="7">
        <f>IFERROR(VLOOKUP(Tabla145[[#This Row],[Llave]],[17]DELAY!$A:$D,4,FALSE),0)</f>
        <v>0</v>
      </c>
      <c r="R243" s="9">
        <v>24000</v>
      </c>
      <c r="S243" s="5">
        <f t="shared" si="8"/>
        <v>0</v>
      </c>
      <c r="T243" s="76"/>
      <c r="U243" s="5">
        <f>+Tabla145[[#This Row],[Atraso a facturar]]+Tabla145[[#This Row],[Ajuste atraso]]</f>
        <v>0</v>
      </c>
      <c r="V243" s="3">
        <f>+Tabla145[[#This Row],[Total disponible]]-Tabla145[[#This Row],[Facturación atraso]]</f>
        <v>10737.6</v>
      </c>
      <c r="W243" s="6">
        <f>IFERROR(IF(AND(V243&gt;R243,J243&gt;=R243),ROUNDDOWN((Tabla145[[#This Row],[Producción para venta nueva]])/R243,0)*R243,0),0)</f>
        <v>0</v>
      </c>
      <c r="X243" s="76">
        <v>0</v>
      </c>
      <c r="Y243" s="6">
        <f>IF(Tabla145[[#This Row],[Venta del mes]]&gt;0,Tabla145[[#This Row],[Venta del mes]]+Tabla145[[#This Row],[Ajuste venta nueva]],0)</f>
        <v>0</v>
      </c>
      <c r="Z243" s="6">
        <f>+Tabla145[[#This Row],[Producción para venta nueva]]-Tabla145[[#This Row],[Facturación Venta nueva]]</f>
        <v>10737.6</v>
      </c>
      <c r="AA243" s="6">
        <f>IF(AND(A243=1,Tabla145[[#This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3" s="6">
        <v>0</v>
      </c>
      <c r="AC243" s="6">
        <f>IF(Tabla145[[#This Row],[Disponible stock sin venta]]&gt;0,Tabla145[[#This Row],[Disponible stock sin venta]]+Tabla145[[#This Row],[Ajuste stock sin venta]],0)</f>
        <v>0</v>
      </c>
      <c r="AD243" s="3">
        <f>IFERROR(VLOOKUP(Tabla145[[#This Row],[Llave]],'[16]TD Puerto'!$A:$D,4,FALSE),0)</f>
        <v>0</v>
      </c>
      <c r="AE243" s="3">
        <v>0</v>
      </c>
      <c r="AF243" s="3">
        <f>+Tabla145[[#This Row],[Plan Irrestricto Inicial]]</f>
        <v>0</v>
      </c>
      <c r="AG243" s="3">
        <f>+Tabla145[[#This Row],[En puerto a facturar]]</f>
        <v>0</v>
      </c>
      <c r="AH243" s="3">
        <f>+Tabla145[[#This Row],[Facturación atraso]]</f>
        <v>0</v>
      </c>
      <c r="AI243" s="3">
        <f>+Tabla145[[#This Row],[Plan Irrestricto]]-Tabla145[[#This Row],[Puerto ]]-Tabla145[[#This Row],[Atraso]]</f>
        <v>0</v>
      </c>
      <c r="AJ24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43" s="3">
        <f>+Tabla145[[#This Row],[Facturación atraso]]</f>
        <v>0</v>
      </c>
      <c r="AL243" s="3">
        <f>+Tabla145[[#This Row],[Plan Ajustado]]-Tabla145[[#This Row],[ Atraso ajustado]]-Tabla145[[#This Row],[Puerto ]]</f>
        <v>0</v>
      </c>
      <c r="AM243" s="6">
        <f>IFERROR(VLOOKUP(Tabla145[[#This Row],[Llave]],[18]!Tabla14[#All],34,FALSE),0)</f>
        <v>0</v>
      </c>
      <c r="AN243" s="6">
        <f>IFERROR(VLOOKUP(Tabla145[[#This Row],[Llave]],[18]!Tabla14[#All],35,FALSE),0)</f>
        <v>0</v>
      </c>
      <c r="AO243" s="3" t="str">
        <f>IF(Tabla145[[#This Row],[Plan Ajustado]]&gt;Tabla145[[#This Row],[En puerto a facturar]],"Si","No")</f>
        <v>No</v>
      </c>
      <c r="AP24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43" s="3">
        <f>IF(Tabla145[[#This Row],[Necesidad]]&gt;=Tabla145[[#This Row],[Stock al día]],Tabla145[[#This Row],[Stock al día]],Tabla145[[#This Row],[Necesidad]])</f>
        <v>0</v>
      </c>
      <c r="AR243" s="3">
        <f>+Tabla145[[#This Row],[Necesidad]]-Tabla145[[#This Row],[Stock Plan]]</f>
        <v>0</v>
      </c>
      <c r="AS243" s="155">
        <f>IFERROR(VLOOKUP(Tabla145[[#This Row],[Oficina]],[19]Ponderación!$B$14:$E$21,4,FALSE),"")</f>
        <v>44786</v>
      </c>
      <c r="AT24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5.9127161015058549</v>
      </c>
      <c r="AU243" s="83">
        <f>IFERROR(VLOOKUP(Tabla145[[#This Row],[Llave]],[17]DELAY!$H:$W,16,FALSE),0)</f>
        <v>0</v>
      </c>
      <c r="AV24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43" s="5">
        <f>Tabla145[[#This Row],[Ajuste precio IC]]*Tabla145[[#This Row],[Plan Ajustado]]</f>
        <v>0</v>
      </c>
      <c r="AX243" s="30">
        <f>IFERROR(VLOOKUP(Tabla145[[#This Row],[Llave]],'[13]Ultimos precios facturados'!$A:$G,7,FALSE),0)</f>
        <v>5.9127161015058549</v>
      </c>
      <c r="AY24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43" s="30">
        <f>IFERROR(VLOOKUP(Tabla145[[#This Row],[Llave]],Hoja2!B:K,10,FALSE),0)</f>
        <v>0</v>
      </c>
      <c r="BA243" s="30">
        <f>IF(Tabla145[[#This Row],[Ajuste precio IC]]="",Tabla145[[#This Row],[Precio ponderado]],Tabla145[[#This Row],[Precio ponderado]])</f>
        <v>0</v>
      </c>
      <c r="BB243" s="82"/>
      <c r="BC243" s="82" t="str">
        <f>IF(AND(Tabla145[[#This Row],[Atraso a facturar]]&gt;0,Tabla145[[#This Row],[Precio Atraso]]=0),"Revisar","OK")</f>
        <v>OK</v>
      </c>
      <c r="BD243" s="82" t="str">
        <f>IF(AND(Tabla145[[#This Row],[Venta del mes]]&gt;0,Tabla145[[#This Row],[Precio venta nueva]]=0),"Revisar","OK")</f>
        <v>OK</v>
      </c>
      <c r="BE243" s="20">
        <f>IFERROR(VLOOKUP(Tabla145[[#This Row],[Llave]],'[5]Consolidación planes'!$A:$M,9,FALSE),0)</f>
        <v>5660</v>
      </c>
      <c r="BF243" s="20">
        <f>IFERROR(VLOOKUP(Tabla145[[#This Row],[Llave]],'[5]Consolidación planes'!$A:$M,10,FALSE),0)</f>
        <v>0</v>
      </c>
      <c r="BG243" s="20">
        <f>IFERROR(VLOOKUP(Tabla145[[#This Row],[Llave]],'[5]Consolidación planes'!$A:$M,11,FALSE),0)</f>
        <v>0</v>
      </c>
      <c r="BH243" s="20">
        <f>IFERROR(VLOOKUP(Tabla145[[#This Row],[Llave]],'[5]Consolidación planes'!$A:$M,12,FALSE),0)</f>
        <v>0</v>
      </c>
      <c r="BI243" s="20">
        <f>IFERROR(VLOOKUP(Tabla145[[#This Row],[Llave]],'[5]Consolidación planes'!$A:$M,13,FALSE),0)</f>
        <v>0</v>
      </c>
      <c r="BJ243" s="20">
        <f>IFERROR(VLOOKUP(Tabla145[[#This Row],[Llave]],'[13]Base ultimos planes'!$A:$M,13,FALSE),0)</f>
        <v>0</v>
      </c>
      <c r="BK243" s="80">
        <f>IFERROR(VLOOKUP(Tabla145[[#This Row],[Llave]],'[13]Base ultimos planes'!$O:$AA,8,FALSE),0)</f>
        <v>20942</v>
      </c>
      <c r="BL243" s="20">
        <f>IFERROR(VLOOKUP(Tabla145[[#This Row],[Llave]],'[13]Base ultimos planes'!$O:$AA,9,FALSE),0)</f>
        <v>0</v>
      </c>
      <c r="BM243" s="20">
        <f>IFERROR(VLOOKUP(Tabla145[[#This Row],[Llave]],'[13]Base ultimos planes'!$O:$AA,10,FALSE),0)</f>
        <v>0</v>
      </c>
      <c r="BN243" s="20">
        <f>IFERROR(VLOOKUP(Tabla145[[#This Row],[Llave]],'[13]Base ultimos planes'!$O:$AA,11,FALSE),0)</f>
        <v>0</v>
      </c>
      <c r="BO243" s="20">
        <f>IFERROR(VLOOKUP(Tabla145[[#This Row],[Llave]],'[13]Base ultimos planes'!$O:$AA,12,FALSE),0)</f>
        <v>0</v>
      </c>
      <c r="BP243" s="20">
        <f>IFERROR(VLOOKUP(Tabla145[[#This Row],[Llave]],'[13]Base ultimos planes'!$O:$AA,13,FALSE),0)</f>
        <v>0</v>
      </c>
      <c r="BQ243" s="20"/>
      <c r="BR243" s="20">
        <f>Tabla145[[#This Row],[ RV Producción mes n+1]]*(1-Tabla145[[#This Row],[% Uti. producción]])</f>
        <v>0</v>
      </c>
      <c r="BS243" s="20">
        <f>+Tabla145[[#This Row],[Producción disponible mes n-1]]+Tabla145[[#This Row],[Saldo Volumen disponible]]</f>
        <v>10737.6</v>
      </c>
      <c r="BT243" s="7">
        <f>IFERROR(VLOOKUP(Tabla145[[#This Row],[Llave]],'[21]RV n+2 y n+3'!$B:$F,4,FALSE),0)</f>
        <v>0</v>
      </c>
      <c r="BU243" s="7">
        <f>+Tabla145[[#This Row],[Asignación mes n+2]]*Tabla145[[#This Row],[% Uti. producción]]</f>
        <v>0</v>
      </c>
      <c r="BV243" s="7">
        <f>+Tabla145[[#This Row],[Ponderación mes n+2]]+Tabla145[[#This Row],[Saldo mes n-1]]</f>
        <v>10737.6</v>
      </c>
      <c r="BW243" s="7">
        <f>+Tabla145[[#This Row],[Asignación mes n+2]]-Tabla145[[#This Row],[Ponderación mes n+2]]</f>
        <v>0</v>
      </c>
      <c r="BX243" s="7">
        <f>IFERROR(VLOOKUP(Tabla145[[#This Row],[Llave]],'[21]RV n+2 y n+3'!$B:$F,5,FALSE),0)</f>
        <v>0</v>
      </c>
      <c r="BY243" s="7">
        <f>+Tabla145[[#This Row],[Asignación mes n+3]]*Tabla145[[#This Row],[% Uti. producción]]</f>
        <v>0</v>
      </c>
      <c r="BZ243" s="3">
        <f>+Tabla145[[#This Row],[Ponderación mes n+3]]+Tabla145[[#This Row],[Saldo mes n+2]]</f>
        <v>0</v>
      </c>
      <c r="CA243" s="3">
        <f>+Tabla145[[#This Row],[Asignación mes n+3]]-Tabla145[[#This Row],[Ponderación mes n+3]]</f>
        <v>0</v>
      </c>
      <c r="CB243" s="3">
        <f>+Tabla145[[#This Row],[Producción disponible mes n-1]]+Tabla145[[#This Row],[Producción disponible]]</f>
        <v>0</v>
      </c>
      <c r="CC243" s="3">
        <f>+Tabla145[[#This Row],[Saldo mes n+4]]-Tabla145[[#This Row],[ RV Producción mes n+1]]</f>
        <v>0</v>
      </c>
    </row>
    <row r="244" spans="1:81" ht="16" x14ac:dyDescent="0.2">
      <c r="A244">
        <v>2</v>
      </c>
      <c r="B244" t="str">
        <f>Tabla145[[#This Row],[Oficina]]&amp;Tabla145[[#This Row],[Material]]</f>
        <v>Agrosuper Shanghai1012312</v>
      </c>
      <c r="C244" t="s">
        <v>227</v>
      </c>
      <c r="D244" t="s">
        <v>140</v>
      </c>
      <c r="E244">
        <v>1012312</v>
      </c>
      <c r="F244" t="s">
        <v>267</v>
      </c>
      <c r="G244" t="s">
        <v>266</v>
      </c>
      <c r="H244" t="s">
        <v>266</v>
      </c>
      <c r="I244" s="7">
        <f>IFERROR(VLOOKUP(Tabla145[[#This Row],[Llave]],'[7]RV Producción'!$C:$G,5,FALSE),0)</f>
        <v>0</v>
      </c>
      <c r="J244" s="3">
        <f>IFERROR(IF(Tabla145[[#This Row],[Oficina]]=$I$7,VLOOKUP(Tabla145[[#This Row],[Llave]],'[7]Shangai (Tomas)'!$A:$F,6,FALSE),VLOOKUP(Tabla145[[#This Row],[Llave]],'[7]RV plan de ventas'!$A:$E,5,FALSE)),0)</f>
        <v>0</v>
      </c>
      <c r="K244" s="8">
        <f>IFERROR(VLOOKUP(Tabla145[[#This Row],[Oficina]],[15]Ponderación!$B$2:$E$9,4,FALSE),0)</f>
        <v>0.45719439678473212</v>
      </c>
      <c r="L244" s="7">
        <f>+Tabla145[[#This Row],[ RV Producción mes n+1]]*Tabla145[[#This Row],[% Uti. producción]]</f>
        <v>0</v>
      </c>
      <c r="M244" s="7">
        <f>IFERROR(VLOOKUP(Tabla145[[#This Row],[Material]],[16]Stock!$G:$K,5,FALSE),0)</f>
        <v>0</v>
      </c>
      <c r="N244" s="7">
        <f>IFERROR(VLOOKUP(Tabla145[[#This Row],[Material]],[16]Produccion!$M:$N,2,FALSE),0)</f>
        <v>0</v>
      </c>
      <c r="O244" s="7">
        <f>IFERROR(VLOOKUP(Tabla145[[#This Row],[Llave]],'[16]TD Conf-AP'!$I:$M,4,FALSE),0)</f>
        <v>0</v>
      </c>
      <c r="P244" s="14">
        <f>SUM(Tabla145[[#This Row],[Producción disponible]],Tabla145[[#This Row],[Stock al día]],(Tabla145[[#This Row],[Por producir mes N]]*0.9))-Tabla145[[#This Row],[Producción por despachar mes N]]</f>
        <v>0</v>
      </c>
      <c r="Q244" s="7">
        <f>IFERROR(VLOOKUP(Tabla145[[#This Row],[Llave]],[17]DELAY!$A:$D,4,FALSE),0)</f>
        <v>0</v>
      </c>
      <c r="R244" s="9">
        <v>24000</v>
      </c>
      <c r="S244" s="5">
        <f t="shared" si="8"/>
        <v>0</v>
      </c>
      <c r="T244" s="76"/>
      <c r="U244" s="5">
        <f>+Tabla145[[#This Row],[Atraso a facturar]]+Tabla145[[#This Row],[Ajuste atraso]]</f>
        <v>0</v>
      </c>
      <c r="V244" s="3">
        <f>+Tabla145[[#This Row],[Total disponible]]-Tabla145[[#This Row],[Facturación atraso]]</f>
        <v>0</v>
      </c>
      <c r="W244" s="6">
        <f>IFERROR(IF(AND(V244&gt;R244,J244&gt;=R244),ROUNDDOWN((Tabla145[[#This Row],[Producción para venta nueva]])/R244,0)*R244,0),0)</f>
        <v>0</v>
      </c>
      <c r="X244" s="76">
        <v>0</v>
      </c>
      <c r="Y244" s="6">
        <f>IF(Tabla145[[#This Row],[Venta del mes]]&gt;0,Tabla145[[#This Row],[Venta del mes]]+Tabla145[[#This Row],[Ajuste venta nueva]],0)</f>
        <v>0</v>
      </c>
      <c r="Z244" s="6">
        <f>+Tabla145[[#This Row],[Producción para venta nueva]]-Tabla145[[#This Row],[Facturación Venta nueva]]</f>
        <v>0</v>
      </c>
      <c r="AA244" s="6">
        <f>IF(AND(A244=1,Tabla145[[#This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4" s="6">
        <v>0</v>
      </c>
      <c r="AC244" s="6">
        <f>IF(Tabla145[[#This Row],[Disponible stock sin venta]]&gt;0,Tabla145[[#This Row],[Disponible stock sin venta]]+Tabla145[[#This Row],[Ajuste stock sin venta]],0)</f>
        <v>0</v>
      </c>
      <c r="AD244" s="3">
        <f>IFERROR(VLOOKUP(Tabla145[[#This Row],[Llave]],'[16]TD Puerto'!$A:$D,4,FALSE),0)</f>
        <v>0</v>
      </c>
      <c r="AE244" s="3">
        <v>0</v>
      </c>
      <c r="AF244" s="3">
        <f>+Tabla145[[#This Row],[Plan Irrestricto Inicial]]</f>
        <v>0</v>
      </c>
      <c r="AG244" s="3">
        <f>+Tabla145[[#This Row],[En puerto a facturar]]</f>
        <v>0</v>
      </c>
      <c r="AH244" s="3">
        <f>+Tabla145[[#This Row],[Facturación atraso]]</f>
        <v>0</v>
      </c>
      <c r="AI244" s="3">
        <f>+Tabla145[[#This Row],[Plan Irrestricto]]-Tabla145[[#This Row],[Puerto ]]-Tabla145[[#This Row],[Atraso]]</f>
        <v>0</v>
      </c>
      <c r="AJ24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44" s="3">
        <f>+Tabla145[[#This Row],[Facturación atraso]]</f>
        <v>0</v>
      </c>
      <c r="AL244" s="3">
        <f>+Tabla145[[#This Row],[Plan Ajustado]]-Tabla145[[#This Row],[ Atraso ajustado]]-Tabla145[[#This Row],[Puerto ]]</f>
        <v>0</v>
      </c>
      <c r="AM244" s="6">
        <f>IFERROR(VLOOKUP(Tabla145[[#This Row],[Llave]],[18]!Tabla14[#All],34,FALSE),0)</f>
        <v>0</v>
      </c>
      <c r="AN244" s="6">
        <f>IFERROR(VLOOKUP(Tabla145[[#This Row],[Llave]],[18]!Tabla14[#All],35,FALSE),0)</f>
        <v>0</v>
      </c>
      <c r="AO244" s="3" t="str">
        <f>IF(Tabla145[[#This Row],[Plan Ajustado]]&gt;Tabla145[[#This Row],[En puerto a facturar]],"Si","No")</f>
        <v>No</v>
      </c>
      <c r="AP24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44" s="3">
        <f>IF(Tabla145[[#This Row],[Necesidad]]&gt;=Tabla145[[#This Row],[Stock al día]],Tabla145[[#This Row],[Stock al día]],Tabla145[[#This Row],[Necesidad]])</f>
        <v>0</v>
      </c>
      <c r="AR244" s="3">
        <f>+Tabla145[[#This Row],[Necesidad]]-Tabla145[[#This Row],[Stock Plan]]</f>
        <v>0</v>
      </c>
      <c r="AS244" s="155">
        <f>IFERROR(VLOOKUP(Tabla145[[#This Row],[Oficina]],[19]Ponderación!$B$14:$E$21,4,FALSE),"")</f>
        <v>44786</v>
      </c>
      <c r="AT24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44" s="83">
        <f>IFERROR(VLOOKUP(Tabla145[[#This Row],[Llave]],[17]DELAY!$H:$W,16,FALSE),0)</f>
        <v>0</v>
      </c>
      <c r="AV24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44" s="5">
        <f>Tabla145[[#This Row],[Ajuste precio IC]]*Tabla145[[#This Row],[Plan Ajustado]]</f>
        <v>0</v>
      </c>
      <c r="AX244" s="30">
        <f>IFERROR(VLOOKUP(Tabla145[[#This Row],[Llave]],'[13]Ultimos precios facturados'!$A:$G,7,FALSE),0)</f>
        <v>0</v>
      </c>
      <c r="AY24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44" s="30">
        <f>IFERROR(VLOOKUP(Tabla145[[#This Row],[Llave]],Hoja2!B:K,10,FALSE),0)</f>
        <v>0</v>
      </c>
      <c r="BA244" s="30">
        <f>IF(Tabla145[[#This Row],[Ajuste precio IC]]="",Tabla145[[#This Row],[Precio ponderado]],Tabla145[[#This Row],[Precio ponderado]])</f>
        <v>0</v>
      </c>
      <c r="BB244" s="82"/>
      <c r="BC244" s="82" t="str">
        <f>IF(AND(Tabla145[[#This Row],[Atraso a facturar]]&gt;0,Tabla145[[#This Row],[Precio Atraso]]=0),"Revisar","OK")</f>
        <v>OK</v>
      </c>
      <c r="BD244" s="82" t="str">
        <f>IF(AND(Tabla145[[#This Row],[Venta del mes]]&gt;0,Tabla145[[#This Row],[Precio venta nueva]]=0),"Revisar","OK")</f>
        <v>OK</v>
      </c>
      <c r="BE244" s="20">
        <f>IFERROR(VLOOKUP(Tabla145[[#This Row],[Llave]],'[5]Consolidación planes'!$A:$M,9,FALSE),0)</f>
        <v>0</v>
      </c>
      <c r="BF244" s="20">
        <f>IFERROR(VLOOKUP(Tabla145[[#This Row],[Llave]],'[5]Consolidación planes'!$A:$M,10,FALSE),0)</f>
        <v>0</v>
      </c>
      <c r="BG244" s="20">
        <f>IFERROR(VLOOKUP(Tabla145[[#This Row],[Llave]],'[5]Consolidación planes'!$A:$M,11,FALSE),0)</f>
        <v>0</v>
      </c>
      <c r="BH244" s="20">
        <f>IFERROR(VLOOKUP(Tabla145[[#This Row],[Llave]],'[5]Consolidación planes'!$A:$M,12,FALSE),0)</f>
        <v>0</v>
      </c>
      <c r="BI244" s="20">
        <f>IFERROR(VLOOKUP(Tabla145[[#This Row],[Llave]],'[5]Consolidación planes'!$A:$M,13,FALSE),0)</f>
        <v>0</v>
      </c>
      <c r="BJ244" s="20">
        <f>IFERROR(VLOOKUP(Tabla145[[#This Row],[Llave]],'[13]Base ultimos planes'!$A:$M,13,FALSE),0)</f>
        <v>0</v>
      </c>
      <c r="BK244" s="80">
        <f>IFERROR(VLOOKUP(Tabla145[[#This Row],[Llave]],'[13]Base ultimos planes'!$O:$AA,8,FALSE),0)</f>
        <v>0</v>
      </c>
      <c r="BL244" s="20">
        <f>IFERROR(VLOOKUP(Tabla145[[#This Row],[Llave]],'[13]Base ultimos planes'!$O:$AA,9,FALSE),0)</f>
        <v>0</v>
      </c>
      <c r="BM244" s="20">
        <f>IFERROR(VLOOKUP(Tabla145[[#This Row],[Llave]],'[13]Base ultimos planes'!$O:$AA,10,FALSE),0)</f>
        <v>0</v>
      </c>
      <c r="BN244" s="20">
        <f>IFERROR(VLOOKUP(Tabla145[[#This Row],[Llave]],'[13]Base ultimos planes'!$O:$AA,11,FALSE),0)</f>
        <v>0</v>
      </c>
      <c r="BO244" s="20">
        <f>IFERROR(VLOOKUP(Tabla145[[#This Row],[Llave]],'[13]Base ultimos planes'!$O:$AA,12,FALSE),0)</f>
        <v>0</v>
      </c>
      <c r="BP244" s="20">
        <f>IFERROR(VLOOKUP(Tabla145[[#This Row],[Llave]],'[13]Base ultimos planes'!$O:$AA,13,FALSE),0)</f>
        <v>0</v>
      </c>
      <c r="BQ244" s="20"/>
      <c r="BR244" s="20">
        <f>Tabla145[[#This Row],[ RV Producción mes n+1]]*(1-Tabla145[[#This Row],[% Uti. producción]])</f>
        <v>0</v>
      </c>
      <c r="BS244" s="20">
        <f>+Tabla145[[#This Row],[Producción disponible mes n-1]]+Tabla145[[#This Row],[Saldo Volumen disponible]]</f>
        <v>0</v>
      </c>
      <c r="BT244" s="7">
        <f>IFERROR(VLOOKUP(Tabla145[[#This Row],[Llave]],'[21]RV n+2 y n+3'!$B:$F,4,FALSE),0)</f>
        <v>0</v>
      </c>
      <c r="BU244" s="7">
        <f>+Tabla145[[#This Row],[Asignación mes n+2]]*Tabla145[[#This Row],[% Uti. producción]]</f>
        <v>0</v>
      </c>
      <c r="BV244" s="7">
        <f>+Tabla145[[#This Row],[Ponderación mes n+2]]+Tabla145[[#This Row],[Saldo mes n-1]]</f>
        <v>0</v>
      </c>
      <c r="BW244" s="7">
        <f>+Tabla145[[#This Row],[Asignación mes n+2]]-Tabla145[[#This Row],[Ponderación mes n+2]]</f>
        <v>0</v>
      </c>
      <c r="BX244" s="7">
        <f>IFERROR(VLOOKUP(Tabla145[[#This Row],[Llave]],'[21]RV n+2 y n+3'!$B:$F,5,FALSE),0)</f>
        <v>0</v>
      </c>
      <c r="BY244" s="7">
        <f>+Tabla145[[#This Row],[Asignación mes n+3]]*Tabla145[[#This Row],[% Uti. producción]]</f>
        <v>0</v>
      </c>
      <c r="BZ244" s="3">
        <f>+Tabla145[[#This Row],[Ponderación mes n+3]]+Tabla145[[#This Row],[Saldo mes n+2]]</f>
        <v>0</v>
      </c>
      <c r="CA244" s="3">
        <f>+Tabla145[[#This Row],[Asignación mes n+3]]-Tabla145[[#This Row],[Ponderación mes n+3]]</f>
        <v>0</v>
      </c>
      <c r="CB244" s="3">
        <f>+Tabla145[[#This Row],[Producción disponible mes n-1]]+Tabla145[[#This Row],[Producción disponible]]</f>
        <v>0</v>
      </c>
      <c r="CC244" s="3">
        <f>+Tabla145[[#This Row],[Saldo mes n+4]]-Tabla145[[#This Row],[ RV Producción mes n+1]]</f>
        <v>0</v>
      </c>
    </row>
    <row r="245" spans="1:81" ht="16" x14ac:dyDescent="0.2">
      <c r="A245">
        <v>2</v>
      </c>
      <c r="B245" t="str">
        <f>Tabla145[[#This Row],[Oficina]]&amp;Tabla145[[#This Row],[Material]]</f>
        <v>Agrosuper Shanghai1012448</v>
      </c>
      <c r="C245" t="s">
        <v>227</v>
      </c>
      <c r="D245" t="s">
        <v>140</v>
      </c>
      <c r="E245">
        <v>1012448</v>
      </c>
      <c r="F245" t="s">
        <v>271</v>
      </c>
      <c r="G245" t="s">
        <v>268</v>
      </c>
      <c r="H245" t="s">
        <v>269</v>
      </c>
      <c r="I245" s="7">
        <f>IFERROR(VLOOKUP(Tabla145[[#This Row],[Llave]],'[7]RV Producción'!$C:$G,5,FALSE),0)</f>
        <v>0</v>
      </c>
      <c r="J245" s="3">
        <f>IFERROR(IF(Tabla145[[#This Row],[Oficina]]=$I$7,VLOOKUP(Tabla145[[#This Row],[Llave]],'[7]Shangai (Tomas)'!$A:$F,6,FALSE),VLOOKUP(Tabla145[[#This Row],[Llave]],'[7]RV plan de ventas'!$A:$E,5,FALSE)),0)</f>
        <v>0</v>
      </c>
      <c r="K245" s="8">
        <f>IFERROR(VLOOKUP(Tabla145[[#This Row],[Oficina]],[15]Ponderación!$B$2:$E$9,4,FALSE),0)</f>
        <v>0.45719439678473212</v>
      </c>
      <c r="L245" s="7">
        <f>+Tabla145[[#This Row],[ RV Producción mes n+1]]*Tabla145[[#This Row],[% Uti. producción]]</f>
        <v>0</v>
      </c>
      <c r="M245" s="7">
        <f>IFERROR(VLOOKUP(Tabla145[[#This Row],[Material]],[16]Stock!$G:$K,5,FALSE),0)</f>
        <v>48840</v>
      </c>
      <c r="N245" s="7">
        <f>IFERROR(VLOOKUP(Tabla145[[#This Row],[Material]],[16]Produccion!$M:$N,2,FALSE),0)</f>
        <v>94319</v>
      </c>
      <c r="O245" s="7">
        <f>IFERROR(VLOOKUP(Tabla145[[#This Row],[Llave]],'[16]TD Conf-AP'!$I:$M,4,FALSE),0)</f>
        <v>0</v>
      </c>
      <c r="P245" s="14">
        <f>SUM(Tabla145[[#This Row],[Producción disponible]],Tabla145[[#This Row],[Stock al día]],(Tabla145[[#This Row],[Por producir mes N]]*0.9))-Tabla145[[#This Row],[Producción por despachar mes N]]</f>
        <v>133727.1</v>
      </c>
      <c r="Q245" s="7">
        <f>IFERROR(VLOOKUP(Tabla145[[#This Row],[Llave]],[17]DELAY!$A:$D,4,FALSE),0)</f>
        <v>0</v>
      </c>
      <c r="R245" s="9">
        <v>24000</v>
      </c>
      <c r="S245" s="5">
        <f t="shared" si="8"/>
        <v>0</v>
      </c>
      <c r="T245" s="76"/>
      <c r="U245" s="5">
        <f>+Tabla145[[#This Row],[Atraso a facturar]]+Tabla145[[#This Row],[Ajuste atraso]]</f>
        <v>0</v>
      </c>
      <c r="V245" s="3">
        <f>+Tabla145[[#This Row],[Total disponible]]-Tabla145[[#This Row],[Facturación atraso]]</f>
        <v>133727.1</v>
      </c>
      <c r="W245" s="6">
        <f>IFERROR(IF(AND(V245&gt;R245,J245&gt;=R245),ROUNDDOWN((Tabla145[[#This Row],[Producción para venta nueva]])/R245,0)*R245,0),0)</f>
        <v>0</v>
      </c>
      <c r="X245" s="76">
        <v>0</v>
      </c>
      <c r="Y245" s="6">
        <f>IF(Tabla145[[#This Row],[Venta del mes]]&gt;0,Tabla145[[#This Row],[Venta del mes]]+Tabla145[[#This Row],[Ajuste venta nueva]],0)</f>
        <v>0</v>
      </c>
      <c r="Z245" s="6">
        <f>+Tabla145[[#This Row],[Producción para venta nueva]]-Tabla145[[#This Row],[Facturación Venta nueva]]</f>
        <v>133727.1</v>
      </c>
      <c r="AA245" s="6">
        <f>IF(AND(A245=1,Tabla145[[#This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5" s="6">
        <v>0</v>
      </c>
      <c r="AC245" s="6">
        <f>IF(Tabla145[[#This Row],[Disponible stock sin venta]]&gt;0,Tabla145[[#This Row],[Disponible stock sin venta]]+Tabla145[[#This Row],[Ajuste stock sin venta]],0)</f>
        <v>0</v>
      </c>
      <c r="AD245" s="3">
        <f>IFERROR(VLOOKUP(Tabla145[[#This Row],[Llave]],'[16]TD Puerto'!$A:$D,4,FALSE),0)</f>
        <v>0</v>
      </c>
      <c r="AE245" s="3">
        <v>0</v>
      </c>
      <c r="AF245" s="3">
        <f>+Tabla145[[#This Row],[Plan Irrestricto Inicial]]</f>
        <v>0</v>
      </c>
      <c r="AG245" s="3">
        <f>+Tabla145[[#This Row],[En puerto a facturar]]</f>
        <v>0</v>
      </c>
      <c r="AH245" s="3">
        <f>+Tabla145[[#This Row],[Facturación atraso]]</f>
        <v>0</v>
      </c>
      <c r="AI245" s="3">
        <f>+Tabla145[[#This Row],[Plan Irrestricto]]-Tabla145[[#This Row],[Puerto ]]-Tabla145[[#This Row],[Atraso]]</f>
        <v>0</v>
      </c>
      <c r="AJ24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45" s="3">
        <f>+Tabla145[[#This Row],[Facturación atraso]]</f>
        <v>0</v>
      </c>
      <c r="AL245" s="3">
        <f>+Tabla145[[#This Row],[Plan Ajustado]]-Tabla145[[#This Row],[ Atraso ajustado]]-Tabla145[[#This Row],[Puerto ]]</f>
        <v>0</v>
      </c>
      <c r="AM245" s="6">
        <f>IFERROR(VLOOKUP(Tabla145[[#This Row],[Llave]],[18]!Tabla14[#All],34,FALSE),0)</f>
        <v>0</v>
      </c>
      <c r="AN245" s="6">
        <f>IFERROR(VLOOKUP(Tabla145[[#This Row],[Llave]],[18]!Tabla14[#All],35,FALSE),0)</f>
        <v>0</v>
      </c>
      <c r="AO245" s="3" t="str">
        <f>IF(Tabla145[[#This Row],[Plan Ajustado]]&gt;Tabla145[[#This Row],[En puerto a facturar]],"Si","No")</f>
        <v>No</v>
      </c>
      <c r="AP24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45" s="3">
        <f>IF(Tabla145[[#This Row],[Necesidad]]&gt;=Tabla145[[#This Row],[Stock al día]],Tabla145[[#This Row],[Stock al día]],Tabla145[[#This Row],[Necesidad]])</f>
        <v>0</v>
      </c>
      <c r="AR245" s="3">
        <f>+Tabla145[[#This Row],[Necesidad]]-Tabla145[[#This Row],[Stock Plan]]</f>
        <v>0</v>
      </c>
      <c r="AS245" s="155">
        <f>IFERROR(VLOOKUP(Tabla145[[#This Row],[Oficina]],[19]Ponderación!$B$14:$E$21,4,FALSE),"")</f>
        <v>44786</v>
      </c>
      <c r="AT24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5.330158672610315</v>
      </c>
      <c r="AU245" s="83">
        <f>IFERROR(VLOOKUP(Tabla145[[#This Row],[Llave]],[17]DELAY!$H:$W,16,FALSE),0)</f>
        <v>0</v>
      </c>
      <c r="AV24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45" s="5">
        <f>Tabla145[[#This Row],[Ajuste precio IC]]*Tabla145[[#This Row],[Plan Ajustado]]</f>
        <v>0</v>
      </c>
      <c r="AX245" s="30">
        <f>IFERROR(VLOOKUP(Tabla145[[#This Row],[Llave]],'[13]Ultimos precios facturados'!$A:$G,7,FALSE),0)</f>
        <v>5.330158672610315</v>
      </c>
      <c r="AY24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45" s="30">
        <f>IFERROR(VLOOKUP(Tabla145[[#This Row],[Llave]],Hoja2!B:K,10,FALSE),0)</f>
        <v>0</v>
      </c>
      <c r="BA245" s="30">
        <f>IF(Tabla145[[#This Row],[Ajuste precio IC]]="",Tabla145[[#This Row],[Precio ponderado]],Tabla145[[#This Row],[Precio ponderado]])</f>
        <v>0</v>
      </c>
      <c r="BB245" s="82"/>
      <c r="BC245" s="82" t="str">
        <f>IF(AND(Tabla145[[#This Row],[Atraso a facturar]]&gt;0,Tabla145[[#This Row],[Precio Atraso]]=0),"Revisar","OK")</f>
        <v>OK</v>
      </c>
      <c r="BD245" s="82" t="str">
        <f>IF(AND(Tabla145[[#This Row],[Venta del mes]]&gt;0,Tabla145[[#This Row],[Precio venta nueva]]=0),"Revisar","OK")</f>
        <v>OK</v>
      </c>
      <c r="BE245" s="20">
        <f>IFERROR(VLOOKUP(Tabla145[[#This Row],[Llave]],'[5]Consolidación planes'!$A:$M,9,FALSE),0)</f>
        <v>168000</v>
      </c>
      <c r="BF245" s="20">
        <f>IFERROR(VLOOKUP(Tabla145[[#This Row],[Llave]],'[5]Consolidación planes'!$A:$M,10,FALSE),0)</f>
        <v>144000</v>
      </c>
      <c r="BG245" s="20">
        <f>IFERROR(VLOOKUP(Tabla145[[#This Row],[Llave]],'[5]Consolidación planes'!$A:$M,11,FALSE),0)</f>
        <v>96000</v>
      </c>
      <c r="BH245" s="20">
        <f>IFERROR(VLOOKUP(Tabla145[[#This Row],[Llave]],'[5]Consolidación planes'!$A:$M,12,FALSE),0)</f>
        <v>144000</v>
      </c>
      <c r="BI245" s="20">
        <f>IFERROR(VLOOKUP(Tabla145[[#This Row],[Llave]],'[5]Consolidación planes'!$A:$M,13,FALSE),0)</f>
        <v>168000</v>
      </c>
      <c r="BJ245" s="20">
        <f>IFERROR(VLOOKUP(Tabla145[[#This Row],[Llave]],'[13]Base ultimos planes'!$A:$M,13,FALSE),0)</f>
        <v>96000</v>
      </c>
      <c r="BK245" s="80">
        <f>IFERROR(VLOOKUP(Tabla145[[#This Row],[Llave]],'[13]Base ultimos planes'!$O:$AA,8,FALSE),0)</f>
        <v>609560</v>
      </c>
      <c r="BL245" s="20">
        <f>IFERROR(VLOOKUP(Tabla145[[#This Row],[Llave]],'[13]Base ultimos planes'!$O:$AA,9,FALSE),0)</f>
        <v>518400</v>
      </c>
      <c r="BM245" s="20">
        <f>IFERROR(VLOOKUP(Tabla145[[#This Row],[Llave]],'[13]Base ultimos planes'!$O:$AA,10,FALSE),0)</f>
        <v>393600</v>
      </c>
      <c r="BN245" s="20">
        <f>IFERROR(VLOOKUP(Tabla145[[#This Row],[Llave]],'[13]Base ultimos planes'!$O:$AA,11,FALSE),0)</f>
        <v>661338</v>
      </c>
      <c r="BO245" s="20">
        <f>IFERROR(VLOOKUP(Tabla145[[#This Row],[Llave]],'[13]Base ultimos planes'!$O:$AA,12,FALSE),0)</f>
        <v>885718</v>
      </c>
      <c r="BP245" s="20">
        <f>IFERROR(VLOOKUP(Tabla145[[#This Row],[Llave]],'[13]Base ultimos planes'!$O:$AA,13,FALSE),0)</f>
        <v>532800</v>
      </c>
      <c r="BQ245" s="20"/>
      <c r="BR245" s="20">
        <f>Tabla145[[#This Row],[ RV Producción mes n+1]]*(1-Tabla145[[#This Row],[% Uti. producción]])</f>
        <v>0</v>
      </c>
      <c r="BS245" s="20">
        <f>+Tabla145[[#This Row],[Producción disponible mes n-1]]+Tabla145[[#This Row],[Saldo Volumen disponible]]</f>
        <v>133727.1</v>
      </c>
      <c r="BT245" s="7">
        <f>IFERROR(VLOOKUP(Tabla145[[#This Row],[Llave]],'[21]RV n+2 y n+3'!$B:$F,4,FALSE),0)</f>
        <v>0</v>
      </c>
      <c r="BU245" s="7">
        <f>+Tabla145[[#This Row],[Asignación mes n+2]]*Tabla145[[#This Row],[% Uti. producción]]</f>
        <v>0</v>
      </c>
      <c r="BV245" s="7">
        <f>+Tabla145[[#This Row],[Ponderación mes n+2]]+Tabla145[[#This Row],[Saldo mes n-1]]</f>
        <v>133727.1</v>
      </c>
      <c r="BW245" s="7">
        <f>+Tabla145[[#This Row],[Asignación mes n+2]]-Tabla145[[#This Row],[Ponderación mes n+2]]</f>
        <v>0</v>
      </c>
      <c r="BX245" s="7">
        <f>IFERROR(VLOOKUP(Tabla145[[#This Row],[Llave]],'[21]RV n+2 y n+3'!$B:$F,5,FALSE),0)</f>
        <v>0</v>
      </c>
      <c r="BY245" s="7">
        <f>+Tabla145[[#This Row],[Asignación mes n+3]]*Tabla145[[#This Row],[% Uti. producción]]</f>
        <v>0</v>
      </c>
      <c r="BZ245" s="3">
        <f>+Tabla145[[#This Row],[Ponderación mes n+3]]+Tabla145[[#This Row],[Saldo mes n+2]]</f>
        <v>0</v>
      </c>
      <c r="CA245" s="3">
        <f>+Tabla145[[#This Row],[Asignación mes n+3]]-Tabla145[[#This Row],[Ponderación mes n+3]]</f>
        <v>0</v>
      </c>
      <c r="CB245" s="3">
        <f>+Tabla145[[#This Row],[Producción disponible mes n-1]]+Tabla145[[#This Row],[Producción disponible]]</f>
        <v>0</v>
      </c>
      <c r="CC245" s="3">
        <f>+Tabla145[[#This Row],[Saldo mes n+4]]-Tabla145[[#This Row],[ RV Producción mes n+1]]</f>
        <v>0</v>
      </c>
    </row>
    <row r="246" spans="1:81" ht="16" x14ac:dyDescent="0.2">
      <c r="A246">
        <v>2</v>
      </c>
      <c r="B246" t="str">
        <f>Tabla145[[#This Row],[Oficina]]&amp;Tabla145[[#This Row],[Material]]</f>
        <v>Agrosuper Shanghai1012452</v>
      </c>
      <c r="C246" t="s">
        <v>227</v>
      </c>
      <c r="D246" t="s">
        <v>140</v>
      </c>
      <c r="E246">
        <v>1012452</v>
      </c>
      <c r="F246" t="s">
        <v>263</v>
      </c>
      <c r="G246" t="s">
        <v>205</v>
      </c>
      <c r="H246" t="s">
        <v>231</v>
      </c>
      <c r="I246" s="7">
        <f>IFERROR(VLOOKUP(Tabla145[[#This Row],[Llave]],'[7]RV Producción'!$C:$G,5,FALSE),0)</f>
        <v>0</v>
      </c>
      <c r="J246" s="3">
        <f>IFERROR(IF(Tabla145[[#This Row],[Oficina]]=$I$7,VLOOKUP(Tabla145[[#This Row],[Llave]],'[7]Shangai (Tomas)'!$A:$F,6,FALSE),VLOOKUP(Tabla145[[#This Row],[Llave]],'[7]RV plan de ventas'!$A:$E,5,FALSE)),0)</f>
        <v>0</v>
      </c>
      <c r="K246" s="8">
        <f>IFERROR(VLOOKUP(Tabla145[[#This Row],[Oficina]],[15]Ponderación!$B$2:$E$9,4,FALSE),0)</f>
        <v>0.45719439678473212</v>
      </c>
      <c r="L246" s="7">
        <f>+Tabla145[[#This Row],[ RV Producción mes n+1]]*Tabla145[[#This Row],[% Uti. producción]]</f>
        <v>0</v>
      </c>
      <c r="M246" s="7">
        <f>IFERROR(VLOOKUP(Tabla145[[#This Row],[Material]],[16]Stock!$G:$K,5,FALSE),0)</f>
        <v>10097</v>
      </c>
      <c r="N246" s="7">
        <f>IFERROR(VLOOKUP(Tabla145[[#This Row],[Material]],[16]Produccion!$M:$N,2,FALSE),0)</f>
        <v>8000</v>
      </c>
      <c r="O246" s="7">
        <f>IFERROR(VLOOKUP(Tabla145[[#This Row],[Llave]],'[16]TD Conf-AP'!$I:$M,4,FALSE),0)</f>
        <v>0</v>
      </c>
      <c r="P246" s="14">
        <f>SUM(Tabla145[[#This Row],[Producción disponible]],Tabla145[[#This Row],[Stock al día]],(Tabla145[[#This Row],[Por producir mes N]]*0.9))-Tabla145[[#This Row],[Producción por despachar mes N]]</f>
        <v>17297</v>
      </c>
      <c r="Q246" s="7">
        <f>IFERROR(VLOOKUP(Tabla145[[#This Row],[Llave]],[17]DELAY!$A:$D,4,FALSE),0)</f>
        <v>0</v>
      </c>
      <c r="R246" s="9">
        <v>24000</v>
      </c>
      <c r="S246" s="5">
        <f t="shared" si="8"/>
        <v>0</v>
      </c>
      <c r="T246" s="76"/>
      <c r="U246" s="5">
        <f>+Tabla145[[#This Row],[Atraso a facturar]]+Tabla145[[#This Row],[Ajuste atraso]]</f>
        <v>0</v>
      </c>
      <c r="V246" s="3">
        <f>+Tabla145[[#This Row],[Total disponible]]-Tabla145[[#This Row],[Facturación atraso]]</f>
        <v>17297</v>
      </c>
      <c r="W246" s="6">
        <f>IFERROR(IF(AND(V246&gt;R246,J246&gt;=R246),ROUNDDOWN((Tabla145[[#This Row],[Producción para venta nueva]])/R246,0)*R246,0),0)</f>
        <v>0</v>
      </c>
      <c r="X246" s="76">
        <v>0</v>
      </c>
      <c r="Y246" s="6">
        <f>IF(Tabla145[[#This Row],[Venta del mes]]&gt;0,Tabla145[[#This Row],[Venta del mes]]+Tabla145[[#This Row],[Ajuste venta nueva]],0)</f>
        <v>0</v>
      </c>
      <c r="Z246" s="6">
        <f>+Tabla145[[#This Row],[Producción para venta nueva]]-Tabla145[[#This Row],[Facturación Venta nueva]]</f>
        <v>17297</v>
      </c>
      <c r="AA246" s="6">
        <f>IF(AND(A246=1,Tabla145[[#This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6" s="6">
        <v>0</v>
      </c>
      <c r="AC246" s="6">
        <f>IF(Tabla145[[#This Row],[Disponible stock sin venta]]&gt;0,Tabla145[[#This Row],[Disponible stock sin venta]]+Tabla145[[#This Row],[Ajuste stock sin venta]],0)</f>
        <v>0</v>
      </c>
      <c r="AD246" s="3">
        <f>IFERROR(VLOOKUP(Tabla145[[#This Row],[Llave]],'[16]TD Puerto'!$A:$D,4,FALSE),0)</f>
        <v>0</v>
      </c>
      <c r="AE246" s="3">
        <v>0</v>
      </c>
      <c r="AF246" s="3">
        <f>+Tabla145[[#This Row],[Plan Irrestricto Inicial]]</f>
        <v>0</v>
      </c>
      <c r="AG246" s="3">
        <f>+Tabla145[[#This Row],[En puerto a facturar]]</f>
        <v>0</v>
      </c>
      <c r="AH246" s="3">
        <f>+Tabla145[[#This Row],[Facturación atraso]]</f>
        <v>0</v>
      </c>
      <c r="AI246" s="3">
        <f>+Tabla145[[#This Row],[Plan Irrestricto]]-Tabla145[[#This Row],[Puerto ]]-Tabla145[[#This Row],[Atraso]]</f>
        <v>0</v>
      </c>
      <c r="AJ24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46" s="3">
        <f>+Tabla145[[#This Row],[Facturación atraso]]</f>
        <v>0</v>
      </c>
      <c r="AL246" s="3">
        <f>+Tabla145[[#This Row],[Plan Ajustado]]-Tabla145[[#This Row],[ Atraso ajustado]]-Tabla145[[#This Row],[Puerto ]]</f>
        <v>0</v>
      </c>
      <c r="AM246" s="6">
        <f>IFERROR(VLOOKUP(Tabla145[[#This Row],[Llave]],[18]!Tabla14[#All],34,FALSE),0)</f>
        <v>0</v>
      </c>
      <c r="AN246" s="6">
        <f>IFERROR(VLOOKUP(Tabla145[[#This Row],[Llave]],[18]!Tabla14[#All],35,FALSE),0)</f>
        <v>0</v>
      </c>
      <c r="AO246" s="3" t="str">
        <f>IF(Tabla145[[#This Row],[Plan Ajustado]]&gt;Tabla145[[#This Row],[En puerto a facturar]],"Si","No")</f>
        <v>No</v>
      </c>
      <c r="AP24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46" s="3">
        <f>IF(Tabla145[[#This Row],[Necesidad]]&gt;=Tabla145[[#This Row],[Stock al día]],Tabla145[[#This Row],[Stock al día]],Tabla145[[#This Row],[Necesidad]])</f>
        <v>0</v>
      </c>
      <c r="AR246" s="3">
        <f>+Tabla145[[#This Row],[Necesidad]]-Tabla145[[#This Row],[Stock Plan]]</f>
        <v>0</v>
      </c>
      <c r="AS246" s="155">
        <f>IFERROR(VLOOKUP(Tabla145[[#This Row],[Oficina]],[19]Ponderación!$B$14:$E$21,4,FALSE),"")</f>
        <v>44786</v>
      </c>
      <c r="AT24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2.5667479499063663</v>
      </c>
      <c r="AU246" s="83">
        <f>IFERROR(VLOOKUP(Tabla145[[#This Row],[Llave]],[17]DELAY!$H:$W,16,FALSE),0)</f>
        <v>0</v>
      </c>
      <c r="AV24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46" s="5">
        <f>Tabla145[[#This Row],[Ajuste precio IC]]*Tabla145[[#This Row],[Plan Ajustado]]</f>
        <v>0</v>
      </c>
      <c r="AX246" s="30">
        <f>IFERROR(VLOOKUP(Tabla145[[#This Row],[Llave]],'[13]Ultimos precios facturados'!$A:$G,7,FALSE),0)</f>
        <v>2.5667479499063663</v>
      </c>
      <c r="AY24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46" s="30">
        <f>IFERROR(VLOOKUP(Tabla145[[#This Row],[Llave]],Hoja2!B:K,10,FALSE),0)</f>
        <v>0</v>
      </c>
      <c r="BA246" s="30">
        <f>IF(Tabla145[[#This Row],[Ajuste precio IC]]="",Tabla145[[#This Row],[Precio ponderado]],Tabla145[[#This Row],[Precio ponderado]])</f>
        <v>0</v>
      </c>
      <c r="BB246" s="82"/>
      <c r="BC246" s="82" t="str">
        <f>IF(AND(Tabla145[[#This Row],[Atraso a facturar]]&gt;0,Tabla145[[#This Row],[Precio Atraso]]=0),"Revisar","OK")</f>
        <v>OK</v>
      </c>
      <c r="BD246" s="82" t="str">
        <f>IF(AND(Tabla145[[#This Row],[Venta del mes]]&gt;0,Tabla145[[#This Row],[Precio venta nueva]]=0),"Revisar","OK")</f>
        <v>OK</v>
      </c>
      <c r="BE246" s="20">
        <f>IFERROR(VLOOKUP(Tabla145[[#This Row],[Llave]],'[5]Consolidación planes'!$A:$M,9,FALSE),0)</f>
        <v>24000</v>
      </c>
      <c r="BF246" s="20">
        <f>IFERROR(VLOOKUP(Tabla145[[#This Row],[Llave]],'[5]Consolidación planes'!$A:$M,10,FALSE),0)</f>
        <v>72000</v>
      </c>
      <c r="BG246" s="20">
        <f>IFERROR(VLOOKUP(Tabla145[[#This Row],[Llave]],'[5]Consolidación planes'!$A:$M,11,FALSE),0)</f>
        <v>37721</v>
      </c>
      <c r="BH246" s="20">
        <f>IFERROR(VLOOKUP(Tabla145[[#This Row],[Llave]],'[5]Consolidación planes'!$A:$M,12,FALSE),0)</f>
        <v>0</v>
      </c>
      <c r="BI246" s="20">
        <f>IFERROR(VLOOKUP(Tabla145[[#This Row],[Llave]],'[5]Consolidación planes'!$A:$M,13,FALSE),0)</f>
        <v>24000</v>
      </c>
      <c r="BJ246" s="20">
        <f>IFERROR(VLOOKUP(Tabla145[[#This Row],[Llave]],'[13]Base ultimos planes'!$A:$M,13,FALSE),0)</f>
        <v>24000</v>
      </c>
      <c r="BK246" s="80">
        <f>IFERROR(VLOOKUP(Tabla145[[#This Row],[Llave]],'[13]Base ultimos planes'!$O:$AA,8,FALSE),0)</f>
        <v>59280</v>
      </c>
      <c r="BL246" s="20">
        <f>IFERROR(VLOOKUP(Tabla145[[#This Row],[Llave]],'[13]Base ultimos planes'!$O:$AA,9,FALSE),0)</f>
        <v>186120</v>
      </c>
      <c r="BM246" s="20">
        <f>IFERROR(VLOOKUP(Tabla145[[#This Row],[Llave]],'[13]Base ultimos planes'!$O:$AA,10,FALSE),0)</f>
        <v>99961</v>
      </c>
      <c r="BN246" s="20">
        <f>IFERROR(VLOOKUP(Tabla145[[#This Row],[Llave]],'[13]Base ultimos planes'!$O:$AA,11,FALSE),0)</f>
        <v>0</v>
      </c>
      <c r="BO246" s="20">
        <f>IFERROR(VLOOKUP(Tabla145[[#This Row],[Llave]],'[13]Base ultimos planes'!$O:$AA,12,FALSE),0)</f>
        <v>47293</v>
      </c>
      <c r="BP246" s="20">
        <f>IFERROR(VLOOKUP(Tabla145[[#This Row],[Llave]],'[13]Base ultimos planes'!$O:$AA,13,FALSE),0)</f>
        <v>63258</v>
      </c>
      <c r="BQ246" s="20"/>
      <c r="BR246" s="20">
        <f>Tabla145[[#This Row],[ RV Producción mes n+1]]*(1-Tabla145[[#This Row],[% Uti. producción]])</f>
        <v>0</v>
      </c>
      <c r="BS246" s="20">
        <f>+Tabla145[[#This Row],[Producción disponible mes n-1]]+Tabla145[[#This Row],[Saldo Volumen disponible]]</f>
        <v>17297</v>
      </c>
      <c r="BT246" s="7">
        <f>IFERROR(VLOOKUP(Tabla145[[#This Row],[Llave]],'[21]RV n+2 y n+3'!$B:$F,4,FALSE),0)</f>
        <v>0</v>
      </c>
      <c r="BU246" s="7">
        <f>+Tabla145[[#This Row],[Asignación mes n+2]]*Tabla145[[#This Row],[% Uti. producción]]</f>
        <v>0</v>
      </c>
      <c r="BV246" s="7">
        <f>+Tabla145[[#This Row],[Ponderación mes n+2]]+Tabla145[[#This Row],[Saldo mes n-1]]</f>
        <v>17297</v>
      </c>
      <c r="BW246" s="7">
        <f>+Tabla145[[#This Row],[Asignación mes n+2]]-Tabla145[[#This Row],[Ponderación mes n+2]]</f>
        <v>0</v>
      </c>
      <c r="BX246" s="7">
        <f>IFERROR(VLOOKUP(Tabla145[[#This Row],[Llave]],'[21]RV n+2 y n+3'!$B:$F,5,FALSE),0)</f>
        <v>0</v>
      </c>
      <c r="BY246" s="7">
        <f>+Tabla145[[#This Row],[Asignación mes n+3]]*Tabla145[[#This Row],[% Uti. producción]]</f>
        <v>0</v>
      </c>
      <c r="BZ246" s="3">
        <f>+Tabla145[[#This Row],[Ponderación mes n+3]]+Tabla145[[#This Row],[Saldo mes n+2]]</f>
        <v>0</v>
      </c>
      <c r="CA246" s="3">
        <f>+Tabla145[[#This Row],[Asignación mes n+3]]-Tabla145[[#This Row],[Ponderación mes n+3]]</f>
        <v>0</v>
      </c>
      <c r="CB246" s="3">
        <f>+Tabla145[[#This Row],[Producción disponible mes n-1]]+Tabla145[[#This Row],[Producción disponible]]</f>
        <v>0</v>
      </c>
      <c r="CC246" s="3">
        <f>+Tabla145[[#This Row],[Saldo mes n+4]]-Tabla145[[#This Row],[ RV Producción mes n+1]]</f>
        <v>0</v>
      </c>
    </row>
    <row r="247" spans="1:81" ht="16" x14ac:dyDescent="0.2">
      <c r="A247">
        <v>2</v>
      </c>
      <c r="B247" t="str">
        <f>Tabla145[[#This Row],[Oficina]]&amp;Tabla145[[#This Row],[Material]]</f>
        <v>Agrosuper Shanghai1012455</v>
      </c>
      <c r="C247" t="s">
        <v>227</v>
      </c>
      <c r="D247" t="s">
        <v>140</v>
      </c>
      <c r="E247">
        <v>1012455</v>
      </c>
      <c r="F247" t="s">
        <v>265</v>
      </c>
      <c r="G247" t="s">
        <v>205</v>
      </c>
      <c r="H247" t="s">
        <v>264</v>
      </c>
      <c r="I247" s="7">
        <f>IFERROR(VLOOKUP(Tabla145[[#This Row],[Llave]],'[7]RV Producción'!$C:$G,5,FALSE),0)</f>
        <v>0</v>
      </c>
      <c r="J247" s="3">
        <f>IFERROR(IF(Tabla145[[#This Row],[Oficina]]=$I$7,VLOOKUP(Tabla145[[#This Row],[Llave]],'[7]Shangai (Tomas)'!$A:$F,6,FALSE),VLOOKUP(Tabla145[[#This Row],[Llave]],'[7]RV plan de ventas'!$A:$E,5,FALSE)),0)</f>
        <v>0</v>
      </c>
      <c r="K247" s="8">
        <f>IFERROR(VLOOKUP(Tabla145[[#This Row],[Oficina]],[15]Ponderación!$B$2:$E$9,4,FALSE),0)</f>
        <v>0.45719439678473212</v>
      </c>
      <c r="L247" s="7">
        <f>+Tabla145[[#This Row],[ RV Producción mes n+1]]*Tabla145[[#This Row],[% Uti. producción]]</f>
        <v>0</v>
      </c>
      <c r="M247" s="7">
        <f>IFERROR(VLOOKUP(Tabla145[[#This Row],[Material]],[16]Stock!$G:$K,5,FALSE),0)</f>
        <v>67480</v>
      </c>
      <c r="N247" s="7">
        <f>IFERROR(VLOOKUP(Tabla145[[#This Row],[Material]],[16]Produccion!$M:$N,2,FALSE),0)</f>
        <v>50000</v>
      </c>
      <c r="O247" s="7">
        <f>IFERROR(VLOOKUP(Tabla145[[#This Row],[Llave]],'[16]TD Conf-AP'!$I:$M,4,FALSE),0)</f>
        <v>0</v>
      </c>
      <c r="P247" s="14">
        <f>SUM(Tabla145[[#This Row],[Producción disponible]],Tabla145[[#This Row],[Stock al día]],(Tabla145[[#This Row],[Por producir mes N]]*0.9))-Tabla145[[#This Row],[Producción por despachar mes N]]</f>
        <v>112480</v>
      </c>
      <c r="Q247" s="7">
        <f>IFERROR(VLOOKUP(Tabla145[[#This Row],[Llave]],[17]DELAY!$A:$D,4,FALSE),0)</f>
        <v>0</v>
      </c>
      <c r="R247" s="9">
        <v>24000</v>
      </c>
      <c r="S247" s="5">
        <f t="shared" si="8"/>
        <v>0</v>
      </c>
      <c r="T247" s="76"/>
      <c r="U247" s="5">
        <f>+Tabla145[[#This Row],[Atraso a facturar]]+Tabla145[[#This Row],[Ajuste atraso]]</f>
        <v>0</v>
      </c>
      <c r="V247" s="3">
        <f>+Tabla145[[#This Row],[Total disponible]]-Tabla145[[#This Row],[Facturación atraso]]</f>
        <v>112480</v>
      </c>
      <c r="W247" s="6">
        <f>IFERROR(IF(AND(V247&gt;R247,J247&gt;=R247),ROUNDDOWN((Tabla145[[#This Row],[Producción para venta nueva]])/R247,0)*R247,0),0)</f>
        <v>0</v>
      </c>
      <c r="X247" s="76">
        <v>0</v>
      </c>
      <c r="Y247" s="6">
        <f>IF(Tabla145[[#This Row],[Venta del mes]]&gt;0,Tabla145[[#This Row],[Venta del mes]]+Tabla145[[#This Row],[Ajuste venta nueva]],0)</f>
        <v>0</v>
      </c>
      <c r="Z247" s="6">
        <f>+Tabla145[[#This Row],[Producción para venta nueva]]-Tabla145[[#This Row],[Facturación Venta nueva]]</f>
        <v>112480</v>
      </c>
      <c r="AA247" s="6">
        <f>IF(AND(A247=1,Tabla145[[#This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7" s="6">
        <v>0</v>
      </c>
      <c r="AC247" s="6">
        <f>IF(Tabla145[[#This Row],[Disponible stock sin venta]]&gt;0,Tabla145[[#This Row],[Disponible stock sin venta]]+Tabla145[[#This Row],[Ajuste stock sin venta]],0)</f>
        <v>0</v>
      </c>
      <c r="AD247" s="3">
        <f>IFERROR(VLOOKUP(Tabla145[[#This Row],[Llave]],'[16]TD Puerto'!$A:$D,4,FALSE),0)</f>
        <v>0</v>
      </c>
      <c r="AE247" s="3">
        <v>0</v>
      </c>
      <c r="AF247" s="3">
        <f>+Tabla145[[#This Row],[Plan Irrestricto Inicial]]</f>
        <v>0</v>
      </c>
      <c r="AG247" s="3">
        <f>+Tabla145[[#This Row],[En puerto a facturar]]</f>
        <v>0</v>
      </c>
      <c r="AH247" s="3">
        <f>+Tabla145[[#This Row],[Facturación atraso]]</f>
        <v>0</v>
      </c>
      <c r="AI247" s="3">
        <f>+Tabla145[[#This Row],[Plan Irrestricto]]-Tabla145[[#This Row],[Puerto ]]-Tabla145[[#This Row],[Atraso]]</f>
        <v>0</v>
      </c>
      <c r="AJ24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47" s="3">
        <f>+Tabla145[[#This Row],[Facturación atraso]]</f>
        <v>0</v>
      </c>
      <c r="AL247" s="3">
        <f>+Tabla145[[#This Row],[Plan Ajustado]]-Tabla145[[#This Row],[ Atraso ajustado]]-Tabla145[[#This Row],[Puerto ]]</f>
        <v>0</v>
      </c>
      <c r="AM247" s="6">
        <f>IFERROR(VLOOKUP(Tabla145[[#This Row],[Llave]],[18]!Tabla14[#All],34,FALSE),0)</f>
        <v>0</v>
      </c>
      <c r="AN247" s="6">
        <f>IFERROR(VLOOKUP(Tabla145[[#This Row],[Llave]],[18]!Tabla14[#All],35,FALSE),0)</f>
        <v>0</v>
      </c>
      <c r="AO247" s="3" t="str">
        <f>IF(Tabla145[[#This Row],[Plan Ajustado]]&gt;Tabla145[[#This Row],[En puerto a facturar]],"Si","No")</f>
        <v>No</v>
      </c>
      <c r="AP24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47" s="3">
        <f>IF(Tabla145[[#This Row],[Necesidad]]&gt;=Tabla145[[#This Row],[Stock al día]],Tabla145[[#This Row],[Stock al día]],Tabla145[[#This Row],[Necesidad]])</f>
        <v>0</v>
      </c>
      <c r="AR247" s="3">
        <f>+Tabla145[[#This Row],[Necesidad]]-Tabla145[[#This Row],[Stock Plan]]</f>
        <v>0</v>
      </c>
      <c r="AS247" s="155">
        <f>IFERROR(VLOOKUP(Tabla145[[#This Row],[Oficina]],[19]Ponderación!$B$14:$E$21,4,FALSE),"")</f>
        <v>44786</v>
      </c>
      <c r="AT24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2.84789143552702</v>
      </c>
      <c r="AU247" s="83">
        <f>IFERROR(VLOOKUP(Tabla145[[#This Row],[Llave]],[17]DELAY!$H:$W,16,FALSE),0)</f>
        <v>0</v>
      </c>
      <c r="AV24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47" s="5">
        <f>Tabla145[[#This Row],[Ajuste precio IC]]*Tabla145[[#This Row],[Plan Ajustado]]</f>
        <v>0</v>
      </c>
      <c r="AX247" s="30">
        <f>IFERROR(VLOOKUP(Tabla145[[#This Row],[Llave]],'[13]Ultimos precios facturados'!$A:$G,7,FALSE),0)</f>
        <v>2.84789143552702</v>
      </c>
      <c r="AY24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47" s="30">
        <f>IFERROR(VLOOKUP(Tabla145[[#This Row],[Llave]],Hoja2!B:K,10,FALSE),0)</f>
        <v>0</v>
      </c>
      <c r="BA247" s="30">
        <f>IF(Tabla145[[#This Row],[Ajuste precio IC]]="",Tabla145[[#This Row],[Precio ponderado]],Tabla145[[#This Row],[Precio ponderado]])</f>
        <v>0</v>
      </c>
      <c r="BB247" s="82"/>
      <c r="BC247" s="82" t="str">
        <f>IF(AND(Tabla145[[#This Row],[Atraso a facturar]]&gt;0,Tabla145[[#This Row],[Precio Atraso]]=0),"Revisar","OK")</f>
        <v>OK</v>
      </c>
      <c r="BD247" s="82" t="str">
        <f>IF(AND(Tabla145[[#This Row],[Venta del mes]]&gt;0,Tabla145[[#This Row],[Precio venta nueva]]=0),"Revisar","OK")</f>
        <v>OK</v>
      </c>
      <c r="BE247" s="20">
        <f>IFERROR(VLOOKUP(Tabla145[[#This Row],[Llave]],'[5]Consolidación planes'!$A:$M,9,FALSE),0)</f>
        <v>144000</v>
      </c>
      <c r="BF247" s="20">
        <f>IFERROR(VLOOKUP(Tabla145[[#This Row],[Llave]],'[5]Consolidación planes'!$A:$M,10,FALSE),0)</f>
        <v>48000</v>
      </c>
      <c r="BG247" s="20">
        <f>IFERROR(VLOOKUP(Tabla145[[#This Row],[Llave]],'[5]Consolidación planes'!$A:$M,11,FALSE),0)</f>
        <v>48000</v>
      </c>
      <c r="BH247" s="20">
        <f>IFERROR(VLOOKUP(Tabla145[[#This Row],[Llave]],'[5]Consolidación planes'!$A:$M,12,FALSE),0)</f>
        <v>120000</v>
      </c>
      <c r="BI247" s="20">
        <f>IFERROR(VLOOKUP(Tabla145[[#This Row],[Llave]],'[5]Consolidación planes'!$A:$M,13,FALSE),0)</f>
        <v>120000</v>
      </c>
      <c r="BJ247" s="20">
        <f>IFERROR(VLOOKUP(Tabla145[[#This Row],[Llave]],'[13]Base ultimos planes'!$A:$M,13,FALSE),0)</f>
        <v>192000</v>
      </c>
      <c r="BK247" s="80">
        <f>IFERROR(VLOOKUP(Tabla145[[#This Row],[Llave]],'[13]Base ultimos planes'!$O:$AA,8,FALSE),0)</f>
        <v>312480</v>
      </c>
      <c r="BL247" s="20">
        <f>IFERROR(VLOOKUP(Tabla145[[#This Row],[Llave]],'[13]Base ultimos planes'!$O:$AA,9,FALSE),0)</f>
        <v>106800</v>
      </c>
      <c r="BM247" s="20">
        <f>IFERROR(VLOOKUP(Tabla145[[#This Row],[Llave]],'[13]Base ultimos planes'!$O:$AA,10,FALSE),0)</f>
        <v>115200</v>
      </c>
      <c r="BN247" s="20">
        <f>IFERROR(VLOOKUP(Tabla145[[#This Row],[Llave]],'[13]Base ultimos planes'!$O:$AA,11,FALSE),0)</f>
        <v>289800</v>
      </c>
      <c r="BO247" s="20">
        <f>IFERROR(VLOOKUP(Tabla145[[#This Row],[Llave]],'[13]Base ultimos planes'!$O:$AA,12,FALSE),0)</f>
        <v>323225</v>
      </c>
      <c r="BP247" s="20">
        <f>IFERROR(VLOOKUP(Tabla145[[#This Row],[Llave]],'[13]Base ultimos planes'!$O:$AA,13,FALSE),0)</f>
        <v>541042</v>
      </c>
      <c r="BQ247" s="20"/>
      <c r="BR247" s="20">
        <f>Tabla145[[#This Row],[ RV Producción mes n+1]]*(1-Tabla145[[#This Row],[% Uti. producción]])</f>
        <v>0</v>
      </c>
      <c r="BS247" s="20">
        <f>+Tabla145[[#This Row],[Producción disponible mes n-1]]+Tabla145[[#This Row],[Saldo Volumen disponible]]</f>
        <v>112480</v>
      </c>
      <c r="BT247" s="7">
        <f>IFERROR(VLOOKUP(Tabla145[[#This Row],[Llave]],'[21]RV n+2 y n+3'!$B:$F,4,FALSE),0)</f>
        <v>0</v>
      </c>
      <c r="BU247" s="7">
        <f>+Tabla145[[#This Row],[Asignación mes n+2]]*Tabla145[[#This Row],[% Uti. producción]]</f>
        <v>0</v>
      </c>
      <c r="BV247" s="7">
        <f>+Tabla145[[#This Row],[Ponderación mes n+2]]+Tabla145[[#This Row],[Saldo mes n-1]]</f>
        <v>112480</v>
      </c>
      <c r="BW247" s="7">
        <f>+Tabla145[[#This Row],[Asignación mes n+2]]-Tabla145[[#This Row],[Ponderación mes n+2]]</f>
        <v>0</v>
      </c>
      <c r="BX247" s="7">
        <f>IFERROR(VLOOKUP(Tabla145[[#This Row],[Llave]],'[21]RV n+2 y n+3'!$B:$F,5,FALSE),0)</f>
        <v>0</v>
      </c>
      <c r="BY247" s="7">
        <f>+Tabla145[[#This Row],[Asignación mes n+3]]*Tabla145[[#This Row],[% Uti. producción]]</f>
        <v>0</v>
      </c>
      <c r="BZ247" s="3">
        <f>+Tabla145[[#This Row],[Ponderación mes n+3]]+Tabla145[[#This Row],[Saldo mes n+2]]</f>
        <v>0</v>
      </c>
      <c r="CA247" s="3">
        <f>+Tabla145[[#This Row],[Asignación mes n+3]]-Tabla145[[#This Row],[Ponderación mes n+3]]</f>
        <v>0</v>
      </c>
      <c r="CB247" s="3">
        <f>+Tabla145[[#This Row],[Producción disponible mes n-1]]+Tabla145[[#This Row],[Producción disponible]]</f>
        <v>0</v>
      </c>
      <c r="CC247" s="3">
        <f>+Tabla145[[#This Row],[Saldo mes n+4]]-Tabla145[[#This Row],[ RV Producción mes n+1]]</f>
        <v>0</v>
      </c>
    </row>
    <row r="248" spans="1:81" ht="16" x14ac:dyDescent="0.2">
      <c r="A248">
        <v>2</v>
      </c>
      <c r="B248" t="str">
        <f>Tabla145[[#This Row],[Oficina]]&amp;Tabla145[[#This Row],[Material]]</f>
        <v>Agrosuper Shanghai1012502</v>
      </c>
      <c r="C248" t="s">
        <v>227</v>
      </c>
      <c r="D248" t="s">
        <v>140</v>
      </c>
      <c r="E248">
        <v>1012502</v>
      </c>
      <c r="F248" t="s">
        <v>328</v>
      </c>
      <c r="G248" t="s">
        <v>268</v>
      </c>
      <c r="H248" t="s">
        <v>269</v>
      </c>
      <c r="I248" s="7">
        <f>IFERROR(VLOOKUP(Tabla145[[#This Row],[Llave]],'[7]RV Producción'!$C:$G,5,FALSE),0)</f>
        <v>0</v>
      </c>
      <c r="J248" s="3">
        <f>IFERROR(IF(Tabla145[[#This Row],[Oficina]]=$I$7,VLOOKUP(Tabla145[[#This Row],[Llave]],'[7]Shangai (Tomas)'!$A:$F,6,FALSE),VLOOKUP(Tabla145[[#This Row],[Llave]],'[7]RV plan de ventas'!$A:$E,5,FALSE)),0)</f>
        <v>0</v>
      </c>
      <c r="K248" s="8">
        <f>IFERROR(VLOOKUP(Tabla145[[#This Row],[Oficina]],[15]Ponderación!$B$2:$E$9,4,FALSE),0)</f>
        <v>0.45719439678473212</v>
      </c>
      <c r="L248" s="7">
        <f>+Tabla145[[#This Row],[ RV Producción mes n+1]]*Tabla145[[#This Row],[% Uti. producción]]</f>
        <v>0</v>
      </c>
      <c r="M248" s="7">
        <f>IFERROR(VLOOKUP(Tabla145[[#This Row],[Material]],[16]Stock!$G:$K,5,FALSE),0)</f>
        <v>6940</v>
      </c>
      <c r="N248" s="7">
        <f>IFERROR(VLOOKUP(Tabla145[[#This Row],[Material]],[16]Produccion!$M:$N,2,FALSE),0)</f>
        <v>1800</v>
      </c>
      <c r="O248" s="7">
        <f>IFERROR(VLOOKUP(Tabla145[[#This Row],[Llave]],'[16]TD Conf-AP'!$I:$M,4,FALSE),0)</f>
        <v>0</v>
      </c>
      <c r="P248" s="14">
        <f>SUM(Tabla145[[#This Row],[Producción disponible]],Tabla145[[#This Row],[Stock al día]],(Tabla145[[#This Row],[Por producir mes N]]*0.9))-Tabla145[[#This Row],[Producción por despachar mes N]]</f>
        <v>8560</v>
      </c>
      <c r="Q248" s="7">
        <f>IFERROR(VLOOKUP(Tabla145[[#This Row],[Llave]],[17]DELAY!$A:$D,4,FALSE),0)</f>
        <v>0</v>
      </c>
      <c r="R248" s="9">
        <v>24000</v>
      </c>
      <c r="S248" s="5">
        <f t="shared" si="8"/>
        <v>0</v>
      </c>
      <c r="T248" s="76"/>
      <c r="U248" s="5">
        <f>+Tabla145[[#This Row],[Atraso a facturar]]+Tabla145[[#This Row],[Ajuste atraso]]</f>
        <v>0</v>
      </c>
      <c r="V248" s="3">
        <f>+Tabla145[[#This Row],[Total disponible]]-Tabla145[[#This Row],[Facturación atraso]]</f>
        <v>8560</v>
      </c>
      <c r="W248" s="6">
        <f>IFERROR(IF(AND(V248&gt;R248,J248&gt;=R248),ROUNDDOWN((Tabla145[[#This Row],[Producción para venta nueva]])/R248,0)*R248,0),0)</f>
        <v>0</v>
      </c>
      <c r="X248" s="76">
        <v>0</v>
      </c>
      <c r="Y248" s="6">
        <f>IF(Tabla145[[#This Row],[Venta del mes]]&gt;0,Tabla145[[#This Row],[Venta del mes]]+Tabla145[[#This Row],[Ajuste venta nueva]],0)</f>
        <v>0</v>
      </c>
      <c r="Z248" s="6">
        <f>+Tabla145[[#This Row],[Producción para venta nueva]]-Tabla145[[#This Row],[Facturación Venta nueva]]</f>
        <v>8560</v>
      </c>
      <c r="AA248" s="6">
        <f>IF(AND(A248=1,Tabla145[[#This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8" s="6">
        <v>0</v>
      </c>
      <c r="AC248" s="6">
        <f>IF(Tabla145[[#This Row],[Disponible stock sin venta]]&gt;0,Tabla145[[#This Row],[Disponible stock sin venta]]+Tabla145[[#This Row],[Ajuste stock sin venta]],0)</f>
        <v>0</v>
      </c>
      <c r="AD248" s="3">
        <f>IFERROR(VLOOKUP(Tabla145[[#This Row],[Llave]],'[16]TD Puerto'!$A:$D,4,FALSE),0)</f>
        <v>0</v>
      </c>
      <c r="AE248" s="3">
        <v>0</v>
      </c>
      <c r="AF248" s="3">
        <f>+Tabla145[[#This Row],[Plan Irrestricto Inicial]]</f>
        <v>0</v>
      </c>
      <c r="AG248" s="3">
        <f>+Tabla145[[#This Row],[En puerto a facturar]]</f>
        <v>0</v>
      </c>
      <c r="AH248" s="3">
        <f>+Tabla145[[#This Row],[Facturación atraso]]</f>
        <v>0</v>
      </c>
      <c r="AI248" s="3">
        <f>+Tabla145[[#This Row],[Plan Irrestricto]]-Tabla145[[#This Row],[Puerto ]]-Tabla145[[#This Row],[Atraso]]</f>
        <v>0</v>
      </c>
      <c r="AJ24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48" s="3">
        <f>+Tabla145[[#This Row],[Facturación atraso]]</f>
        <v>0</v>
      </c>
      <c r="AL248" s="3">
        <f>+Tabla145[[#This Row],[Plan Ajustado]]-Tabla145[[#This Row],[ Atraso ajustado]]-Tabla145[[#This Row],[Puerto ]]</f>
        <v>0</v>
      </c>
      <c r="AM248" s="6">
        <f>IFERROR(VLOOKUP(Tabla145[[#This Row],[Llave]],[18]!Tabla14[#All],34,FALSE),0)</f>
        <v>0</v>
      </c>
      <c r="AN248" s="6">
        <f>IFERROR(VLOOKUP(Tabla145[[#This Row],[Llave]],[18]!Tabla14[#All],35,FALSE),0)</f>
        <v>0</v>
      </c>
      <c r="AO248" s="3" t="str">
        <f>IF(Tabla145[[#This Row],[Plan Ajustado]]&gt;Tabla145[[#This Row],[En puerto a facturar]],"Si","No")</f>
        <v>No</v>
      </c>
      <c r="AP24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48" s="3">
        <f>IF(Tabla145[[#This Row],[Necesidad]]&gt;=Tabla145[[#This Row],[Stock al día]],Tabla145[[#This Row],[Stock al día]],Tabla145[[#This Row],[Necesidad]])</f>
        <v>0</v>
      </c>
      <c r="AR248" s="3">
        <f>+Tabla145[[#This Row],[Necesidad]]-Tabla145[[#This Row],[Stock Plan]]</f>
        <v>0</v>
      </c>
      <c r="AS248" s="155">
        <f>IFERROR(VLOOKUP(Tabla145[[#This Row],[Oficina]],[19]Ponderación!$B$14:$E$21,4,FALSE),"")</f>
        <v>44786</v>
      </c>
      <c r="AT24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5.3695260885045784</v>
      </c>
      <c r="AU248" s="83">
        <f>IFERROR(VLOOKUP(Tabla145[[#This Row],[Llave]],[17]DELAY!$H:$W,16,FALSE),0)</f>
        <v>0</v>
      </c>
      <c r="AV24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48" s="5">
        <f>Tabla145[[#This Row],[Ajuste precio IC]]*Tabla145[[#This Row],[Plan Ajustado]]</f>
        <v>0</v>
      </c>
      <c r="AX248" s="30">
        <f>IFERROR(VLOOKUP(Tabla145[[#This Row],[Llave]],'[13]Ultimos precios facturados'!$A:$G,7,FALSE),0)</f>
        <v>5.3695260885045784</v>
      </c>
      <c r="AY24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48" s="30">
        <f>IFERROR(VLOOKUP(Tabla145[[#This Row],[Llave]],Hoja2!B:K,10,FALSE),0)</f>
        <v>0</v>
      </c>
      <c r="BA248" s="30">
        <f>IF(Tabla145[[#This Row],[Ajuste precio IC]]="",Tabla145[[#This Row],[Precio ponderado]],Tabla145[[#This Row],[Precio ponderado]])</f>
        <v>0</v>
      </c>
      <c r="BB248" s="82"/>
      <c r="BC248" s="82" t="str">
        <f>IF(AND(Tabla145[[#This Row],[Atraso a facturar]]&gt;0,Tabla145[[#This Row],[Precio Atraso]]=0),"Revisar","OK")</f>
        <v>OK</v>
      </c>
      <c r="BD248" s="82" t="str">
        <f>IF(AND(Tabla145[[#This Row],[Venta del mes]]&gt;0,Tabla145[[#This Row],[Precio venta nueva]]=0),"Revisar","OK")</f>
        <v>OK</v>
      </c>
      <c r="BE248" s="20">
        <f>IFERROR(VLOOKUP(Tabla145[[#This Row],[Llave]],'[5]Consolidación planes'!$A:$M,9,FALSE),0)</f>
        <v>0</v>
      </c>
      <c r="BF248" s="20">
        <f>IFERROR(VLOOKUP(Tabla145[[#This Row],[Llave]],'[5]Consolidación planes'!$A:$M,10,FALSE),0)</f>
        <v>0</v>
      </c>
      <c r="BG248" s="20">
        <f>IFERROR(VLOOKUP(Tabla145[[#This Row],[Llave]],'[5]Consolidación planes'!$A:$M,11,FALSE),0)</f>
        <v>0</v>
      </c>
      <c r="BH248" s="20">
        <f>IFERROR(VLOOKUP(Tabla145[[#This Row],[Llave]],'[5]Consolidación planes'!$A:$M,12,FALSE),0)</f>
        <v>0</v>
      </c>
      <c r="BI248" s="20">
        <f>IFERROR(VLOOKUP(Tabla145[[#This Row],[Llave]],'[5]Consolidación planes'!$A:$M,13,FALSE),0)</f>
        <v>12000</v>
      </c>
      <c r="BJ248" s="20">
        <f>IFERROR(VLOOKUP(Tabla145[[#This Row],[Llave]],'[13]Base ultimos planes'!$A:$M,13,FALSE),0)</f>
        <v>0</v>
      </c>
      <c r="BK248" s="80">
        <f>IFERROR(VLOOKUP(Tabla145[[#This Row],[Llave]],'[13]Base ultimos planes'!$O:$AA,8,FALSE),0)</f>
        <v>0</v>
      </c>
      <c r="BL248" s="20">
        <f>IFERROR(VLOOKUP(Tabla145[[#This Row],[Llave]],'[13]Base ultimos planes'!$O:$AA,9,FALSE),0)</f>
        <v>0</v>
      </c>
      <c r="BM248" s="20">
        <f>IFERROR(VLOOKUP(Tabla145[[#This Row],[Llave]],'[13]Base ultimos planes'!$O:$AA,10,FALSE),0)</f>
        <v>0</v>
      </c>
      <c r="BN248" s="20">
        <f>IFERROR(VLOOKUP(Tabla145[[#This Row],[Llave]],'[13]Base ultimos planes'!$O:$AA,11,FALSE),0)</f>
        <v>0</v>
      </c>
      <c r="BO248" s="20">
        <f>IFERROR(VLOOKUP(Tabla145[[#This Row],[Llave]],'[13]Base ultimos planes'!$O:$AA,12,FALSE),0)</f>
        <v>52600</v>
      </c>
      <c r="BP248" s="20">
        <f>IFERROR(VLOOKUP(Tabla145[[#This Row],[Llave]],'[13]Base ultimos planes'!$O:$AA,13,FALSE),0)</f>
        <v>0</v>
      </c>
      <c r="BQ248" s="20"/>
      <c r="BR248" s="20">
        <f>Tabla145[[#This Row],[ RV Producción mes n+1]]*(1-Tabla145[[#This Row],[% Uti. producción]])</f>
        <v>0</v>
      </c>
      <c r="BS248" s="20">
        <f>+Tabla145[[#This Row],[Producción disponible mes n-1]]+Tabla145[[#This Row],[Saldo Volumen disponible]]</f>
        <v>8560</v>
      </c>
      <c r="BT248" s="7">
        <f>IFERROR(VLOOKUP(Tabla145[[#This Row],[Llave]],'[21]RV n+2 y n+3'!$B:$F,4,FALSE),0)</f>
        <v>0</v>
      </c>
      <c r="BU248" s="7">
        <f>+Tabla145[[#This Row],[Asignación mes n+2]]*Tabla145[[#This Row],[% Uti. producción]]</f>
        <v>0</v>
      </c>
      <c r="BV248" s="7">
        <f>+Tabla145[[#This Row],[Ponderación mes n+2]]+Tabla145[[#This Row],[Saldo mes n-1]]</f>
        <v>8560</v>
      </c>
      <c r="BW248" s="7">
        <f>+Tabla145[[#This Row],[Asignación mes n+2]]-Tabla145[[#This Row],[Ponderación mes n+2]]</f>
        <v>0</v>
      </c>
      <c r="BX248" s="7">
        <f>IFERROR(VLOOKUP(Tabla145[[#This Row],[Llave]],'[21]RV n+2 y n+3'!$B:$F,5,FALSE),0)</f>
        <v>0</v>
      </c>
      <c r="BY248" s="7">
        <f>+Tabla145[[#This Row],[Asignación mes n+3]]*Tabla145[[#This Row],[% Uti. producción]]</f>
        <v>0</v>
      </c>
      <c r="BZ248" s="3">
        <f>+Tabla145[[#This Row],[Ponderación mes n+3]]+Tabla145[[#This Row],[Saldo mes n+2]]</f>
        <v>0</v>
      </c>
      <c r="CA248" s="3">
        <f>+Tabla145[[#This Row],[Asignación mes n+3]]-Tabla145[[#This Row],[Ponderación mes n+3]]</f>
        <v>0</v>
      </c>
      <c r="CB248" s="3">
        <f>+Tabla145[[#This Row],[Producción disponible mes n-1]]+Tabla145[[#This Row],[Producción disponible]]</f>
        <v>0</v>
      </c>
      <c r="CC248" s="3">
        <f>+Tabla145[[#This Row],[Saldo mes n+4]]-Tabla145[[#This Row],[ RV Producción mes n+1]]</f>
        <v>0</v>
      </c>
    </row>
    <row r="249" spans="1:81" ht="16" x14ac:dyDescent="0.2">
      <c r="A249">
        <v>2</v>
      </c>
      <c r="B249" t="str">
        <f>Tabla145[[#This Row],[Oficina]]&amp;Tabla145[[#This Row],[Material]]</f>
        <v>Agrosuper Shanghai1012503</v>
      </c>
      <c r="C249" t="s">
        <v>227</v>
      </c>
      <c r="D249" t="s">
        <v>140</v>
      </c>
      <c r="E249">
        <v>1012503</v>
      </c>
      <c r="F249" t="s">
        <v>272</v>
      </c>
      <c r="G249" t="s">
        <v>268</v>
      </c>
      <c r="H249" t="s">
        <v>269</v>
      </c>
      <c r="I249" s="7">
        <f>IFERROR(VLOOKUP(Tabla145[[#This Row],[Llave]],'[7]RV Producción'!$C:$G,5,FALSE),0)</f>
        <v>0</v>
      </c>
      <c r="J249" s="3">
        <f>IFERROR(IF(Tabla145[[#This Row],[Oficina]]=$I$7,VLOOKUP(Tabla145[[#This Row],[Llave]],'[7]Shangai (Tomas)'!$A:$F,6,FALSE),VLOOKUP(Tabla145[[#This Row],[Llave]],'[7]RV plan de ventas'!$A:$E,5,FALSE)),0)</f>
        <v>0</v>
      </c>
      <c r="K249" s="8">
        <f>IFERROR(VLOOKUP(Tabla145[[#This Row],[Oficina]],[15]Ponderación!$B$2:$E$9,4,FALSE),0)</f>
        <v>0.45719439678473212</v>
      </c>
      <c r="L249" s="7">
        <f>+Tabla145[[#This Row],[ RV Producción mes n+1]]*Tabla145[[#This Row],[% Uti. producción]]</f>
        <v>0</v>
      </c>
      <c r="M249" s="7">
        <f>IFERROR(VLOOKUP(Tabla145[[#This Row],[Material]],[16]Stock!$G:$K,5,FALSE),0)</f>
        <v>8520</v>
      </c>
      <c r="N249" s="7">
        <f>IFERROR(VLOOKUP(Tabla145[[#This Row],[Material]],[16]Produccion!$M:$N,2,FALSE),0)</f>
        <v>64000</v>
      </c>
      <c r="O249" s="7">
        <f>IFERROR(VLOOKUP(Tabla145[[#This Row],[Llave]],'[16]TD Conf-AP'!$I:$M,4,FALSE),0)</f>
        <v>0</v>
      </c>
      <c r="P249" s="14">
        <f>SUM(Tabla145[[#This Row],[Producción disponible]],Tabla145[[#This Row],[Stock al día]],(Tabla145[[#This Row],[Por producir mes N]]*0.9))-Tabla145[[#This Row],[Producción por despachar mes N]]</f>
        <v>66120</v>
      </c>
      <c r="Q249" s="7">
        <f>IFERROR(VLOOKUP(Tabla145[[#This Row],[Llave]],[17]DELAY!$A:$D,4,FALSE),0)</f>
        <v>16500</v>
      </c>
      <c r="R249" s="9">
        <v>24000</v>
      </c>
      <c r="S249" s="5">
        <f t="shared" si="8"/>
        <v>16500</v>
      </c>
      <c r="T249" s="76"/>
      <c r="U249" s="5">
        <f>+Tabla145[[#This Row],[Atraso a facturar]]+Tabla145[[#This Row],[Ajuste atraso]]</f>
        <v>16500</v>
      </c>
      <c r="V249" s="3">
        <f>+Tabla145[[#This Row],[Total disponible]]-Tabla145[[#This Row],[Facturación atraso]]</f>
        <v>49620</v>
      </c>
      <c r="W249" s="6">
        <f>IFERROR(IF(AND(V249&gt;R249,J249&gt;=R249),ROUNDDOWN((Tabla145[[#This Row],[Producción para venta nueva]])/R249,0)*R249,0),0)</f>
        <v>0</v>
      </c>
      <c r="X249" s="76">
        <v>0</v>
      </c>
      <c r="Y249" s="6">
        <f>IF(Tabla145[[#This Row],[Venta del mes]]&gt;0,Tabla145[[#This Row],[Venta del mes]]+Tabla145[[#This Row],[Ajuste venta nueva]],0)</f>
        <v>0</v>
      </c>
      <c r="Z249" s="6">
        <f>+Tabla145[[#This Row],[Producción para venta nueva]]-Tabla145[[#This Row],[Facturación Venta nueva]]</f>
        <v>49620</v>
      </c>
      <c r="AA249" s="6">
        <f>IF(AND(A249=1,Tabla145[[#This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49" s="6">
        <v>0</v>
      </c>
      <c r="AC249" s="6">
        <f>IF(Tabla145[[#This Row],[Disponible stock sin venta]]&gt;0,Tabla145[[#This Row],[Disponible stock sin venta]]+Tabla145[[#This Row],[Ajuste stock sin venta]],0)</f>
        <v>0</v>
      </c>
      <c r="AD249" s="3">
        <f>IFERROR(VLOOKUP(Tabla145[[#This Row],[Llave]],'[16]TD Puerto'!$A:$D,4,FALSE),0)</f>
        <v>0</v>
      </c>
      <c r="AE249" s="3">
        <v>16500</v>
      </c>
      <c r="AF249" s="3">
        <f>+Tabla145[[#This Row],[Plan Irrestricto Inicial]]</f>
        <v>16500</v>
      </c>
      <c r="AG249" s="3">
        <f>+Tabla145[[#This Row],[En puerto a facturar]]</f>
        <v>0</v>
      </c>
      <c r="AH249" s="3">
        <f>+Tabla145[[#This Row],[Facturación atraso]]</f>
        <v>16500</v>
      </c>
      <c r="AI249" s="3">
        <f>+Tabla145[[#This Row],[Plan Irrestricto]]-Tabla145[[#This Row],[Puerto ]]-Tabla145[[#This Row],[Atraso]]</f>
        <v>0</v>
      </c>
      <c r="AJ249" s="3">
        <f>IF(Tabla145[[#This Row],[Plan Irrestricto]]&gt;0,SUM(Tabla145[[#This Row],[Facturación atraso]],Tabla145[[#This Row],[Facturación Venta nueva]],Tabla145[[#This Row],[Facturación stock]],Tabla145[[#This Row],[En puerto a facturar]]),0)</f>
        <v>16500</v>
      </c>
      <c r="AK249" s="3">
        <f>+Tabla145[[#This Row],[Facturación atraso]]</f>
        <v>16500</v>
      </c>
      <c r="AL249" s="3">
        <f>+Tabla145[[#This Row],[Plan Ajustado]]-Tabla145[[#This Row],[ Atraso ajustado]]-Tabla145[[#This Row],[Puerto ]]</f>
        <v>0</v>
      </c>
      <c r="AM249" s="6">
        <f>IFERROR(VLOOKUP(Tabla145[[#This Row],[Llave]],[18]!Tabla14[#All],34,FALSE),0)</f>
        <v>0</v>
      </c>
      <c r="AN249" s="6">
        <f>IFERROR(VLOOKUP(Tabla145[[#This Row],[Llave]],[18]!Tabla14[#All],35,FALSE),0)</f>
        <v>0</v>
      </c>
      <c r="AO249" s="3" t="str">
        <f>IF(Tabla145[[#This Row],[Plan Ajustado]]&gt;Tabla145[[#This Row],[En puerto a facturar]],"Si","No")</f>
        <v>Si</v>
      </c>
      <c r="AP249" s="3">
        <f>IF(AND(Tabla145[[#This Row],[Plan Ajustado]]&gt;0,Tabla145[[#This Row],[Plan Ajustado]]&gt;Tabla145[[#This Row],[En puerto a facturar]]),(Tabla145[[#This Row],[Plan Ajustado]]-Tabla145[[#This Row],[En puerto a facturar]]),0)</f>
        <v>16500</v>
      </c>
      <c r="AQ249" s="3">
        <f>IF(Tabla145[[#This Row],[Necesidad]]&gt;=Tabla145[[#This Row],[Stock al día]],Tabla145[[#This Row],[Stock al día]],Tabla145[[#This Row],[Necesidad]])</f>
        <v>8520</v>
      </c>
      <c r="AR249" s="3">
        <f>+Tabla145[[#This Row],[Necesidad]]-Tabla145[[#This Row],[Stock Plan]]</f>
        <v>7980</v>
      </c>
      <c r="AS249" s="155">
        <f>IFERROR(VLOOKUP(Tabla145[[#This Row],[Oficina]],[19]Ponderación!$B$14:$E$21,4,FALSE),"")</f>
        <v>44786</v>
      </c>
      <c r="AT24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5.1383078727756617</v>
      </c>
      <c r="AU249" s="83">
        <f>IFERROR(VLOOKUP(Tabla145[[#This Row],[Llave]],[17]DELAY!$H:$W,16,FALSE),0)</f>
        <v>4.3833333333333302</v>
      </c>
      <c r="AV24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4.3833333333333302</v>
      </c>
      <c r="AW249" s="5">
        <f>Tabla145[[#This Row],[Ajuste precio IC]]*Tabla145[[#This Row],[Plan Ajustado]]</f>
        <v>72324.999999999942</v>
      </c>
      <c r="AX249" s="30">
        <f>IFERROR(VLOOKUP(Tabla145[[#This Row],[Llave]],'[13]Ultimos precios facturados'!$A:$G,7,FALSE),0)</f>
        <v>5.1383078727756617</v>
      </c>
      <c r="AY249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0.14693057678431828</v>
      </c>
      <c r="AZ249" s="30">
        <f>IFERROR(VLOOKUP(Tabla145[[#This Row],[Llave]],Hoja2!B:K,10,FALSE),0)</f>
        <v>4.3833333333333302</v>
      </c>
      <c r="BA249" s="30">
        <f>IF(Tabla145[[#This Row],[Ajuste precio IC]]="",Tabla145[[#This Row],[Precio ponderado]],Tabla145[[#This Row],[Precio ponderado]])</f>
        <v>4.3833333333333302</v>
      </c>
      <c r="BB249" s="82"/>
      <c r="BC249" s="82" t="str">
        <f>IF(AND(Tabla145[[#This Row],[Atraso a facturar]]&gt;0,Tabla145[[#This Row],[Precio Atraso]]=0),"Revisar","OK")</f>
        <v>OK</v>
      </c>
      <c r="BD249" s="82" t="str">
        <f>IF(AND(Tabla145[[#This Row],[Venta del mes]]&gt;0,Tabla145[[#This Row],[Precio venta nueva]]=0),"Revisar","OK")</f>
        <v>OK</v>
      </c>
      <c r="BE249" s="20">
        <f>IFERROR(VLOOKUP(Tabla145[[#This Row],[Llave]],'[5]Consolidación planes'!$A:$M,9,FALSE),0)</f>
        <v>14000</v>
      </c>
      <c r="BF249" s="20">
        <f>IFERROR(VLOOKUP(Tabla145[[#This Row],[Llave]],'[5]Consolidación planes'!$A:$M,10,FALSE),0)</f>
        <v>0</v>
      </c>
      <c r="BG249" s="20">
        <f>IFERROR(VLOOKUP(Tabla145[[#This Row],[Llave]],'[5]Consolidación planes'!$A:$M,11,FALSE),0)</f>
        <v>0</v>
      </c>
      <c r="BH249" s="20">
        <f>IFERROR(VLOOKUP(Tabla145[[#This Row],[Llave]],'[5]Consolidación planes'!$A:$M,12,FALSE),0)</f>
        <v>0</v>
      </c>
      <c r="BI249" s="20">
        <f>IFERROR(VLOOKUP(Tabla145[[#This Row],[Llave]],'[5]Consolidación planes'!$A:$M,13,FALSE),0)</f>
        <v>12000</v>
      </c>
      <c r="BJ249" s="20">
        <f>IFERROR(VLOOKUP(Tabla145[[#This Row],[Llave]],'[13]Base ultimos planes'!$A:$M,13,FALSE),0)</f>
        <v>12000</v>
      </c>
      <c r="BK249" s="80">
        <f>IFERROR(VLOOKUP(Tabla145[[#This Row],[Llave]],'[13]Base ultimos planes'!$O:$AA,8,FALSE),0)</f>
        <v>46900</v>
      </c>
      <c r="BL249" s="20">
        <f>IFERROR(VLOOKUP(Tabla145[[#This Row],[Llave]],'[13]Base ultimos planes'!$O:$AA,9,FALSE),0)</f>
        <v>0</v>
      </c>
      <c r="BM249" s="20">
        <f>IFERROR(VLOOKUP(Tabla145[[#This Row],[Llave]],'[13]Base ultimos planes'!$O:$AA,10,FALSE),0)</f>
        <v>0</v>
      </c>
      <c r="BN249" s="20">
        <f>IFERROR(VLOOKUP(Tabla145[[#This Row],[Llave]],'[13]Base ultimos planes'!$O:$AA,11,FALSE),0)</f>
        <v>0</v>
      </c>
      <c r="BO249" s="20">
        <f>IFERROR(VLOOKUP(Tabla145[[#This Row],[Llave]],'[13]Base ultimos planes'!$O:$AA,12,FALSE),0)</f>
        <v>64578</v>
      </c>
      <c r="BP249" s="20">
        <f>IFERROR(VLOOKUP(Tabla145[[#This Row],[Llave]],'[13]Base ultimos planes'!$O:$AA,13,FALSE),0)</f>
        <v>56400</v>
      </c>
      <c r="BQ249" s="20"/>
      <c r="BR249" s="20">
        <f>Tabla145[[#This Row],[ RV Producción mes n+1]]*(1-Tabla145[[#This Row],[% Uti. producción]])</f>
        <v>0</v>
      </c>
      <c r="BS249" s="20">
        <f>+Tabla145[[#This Row],[Producción disponible mes n-1]]+Tabla145[[#This Row],[Saldo Volumen disponible]]</f>
        <v>49620</v>
      </c>
      <c r="BT249" s="7">
        <f>IFERROR(VLOOKUP(Tabla145[[#This Row],[Llave]],'[21]RV n+2 y n+3'!$B:$F,4,FALSE),0)</f>
        <v>0</v>
      </c>
      <c r="BU249" s="7">
        <f>+Tabla145[[#This Row],[Asignación mes n+2]]*Tabla145[[#This Row],[% Uti. producción]]</f>
        <v>0</v>
      </c>
      <c r="BV249" s="7">
        <f>+Tabla145[[#This Row],[Ponderación mes n+2]]+Tabla145[[#This Row],[Saldo mes n-1]]</f>
        <v>49620</v>
      </c>
      <c r="BW249" s="7">
        <f>+Tabla145[[#This Row],[Asignación mes n+2]]-Tabla145[[#This Row],[Ponderación mes n+2]]</f>
        <v>0</v>
      </c>
      <c r="BX249" s="7">
        <f>IFERROR(VLOOKUP(Tabla145[[#This Row],[Llave]],'[21]RV n+2 y n+3'!$B:$F,5,FALSE),0)</f>
        <v>0</v>
      </c>
      <c r="BY249" s="7">
        <f>+Tabla145[[#This Row],[Asignación mes n+3]]*Tabla145[[#This Row],[% Uti. producción]]</f>
        <v>0</v>
      </c>
      <c r="BZ249" s="3">
        <f>+Tabla145[[#This Row],[Ponderación mes n+3]]+Tabla145[[#This Row],[Saldo mes n+2]]</f>
        <v>0</v>
      </c>
      <c r="CA249" s="3">
        <f>+Tabla145[[#This Row],[Asignación mes n+3]]-Tabla145[[#This Row],[Ponderación mes n+3]]</f>
        <v>0</v>
      </c>
      <c r="CB249" s="3">
        <f>+Tabla145[[#This Row],[Producción disponible mes n-1]]+Tabla145[[#This Row],[Producción disponible]]</f>
        <v>0</v>
      </c>
      <c r="CC249" s="3">
        <f>+Tabla145[[#This Row],[Saldo mes n+4]]-Tabla145[[#This Row],[ RV Producción mes n+1]]</f>
        <v>0</v>
      </c>
    </row>
    <row r="250" spans="1:81" ht="16" x14ac:dyDescent="0.2">
      <c r="A250">
        <v>2</v>
      </c>
      <c r="B250" t="str">
        <f>Tabla145[[#This Row],[Oficina]]&amp;Tabla145[[#This Row],[Material]]</f>
        <v>Agrosuper Shanghai1012504</v>
      </c>
      <c r="C250" t="s">
        <v>227</v>
      </c>
      <c r="D250" t="s">
        <v>140</v>
      </c>
      <c r="E250">
        <v>1012504</v>
      </c>
      <c r="F250" t="s">
        <v>271</v>
      </c>
      <c r="G250" t="s">
        <v>268</v>
      </c>
      <c r="H250" t="s">
        <v>269</v>
      </c>
      <c r="I250" s="7">
        <f>IFERROR(VLOOKUP(Tabla145[[#This Row],[Llave]],'[7]RV Producción'!$C:$G,5,FALSE),0)</f>
        <v>0</v>
      </c>
      <c r="J250" s="3">
        <f>IFERROR(IF(Tabla145[[#This Row],[Oficina]]=$I$7,VLOOKUP(Tabla145[[#This Row],[Llave]],'[7]Shangai (Tomas)'!$A:$F,6,FALSE),VLOOKUP(Tabla145[[#This Row],[Llave]],'[7]RV plan de ventas'!$A:$E,5,FALSE)),0)</f>
        <v>0</v>
      </c>
      <c r="K250" s="8">
        <f>IFERROR(VLOOKUP(Tabla145[[#This Row],[Oficina]],[15]Ponderación!$B$2:$E$9,4,FALSE),0)</f>
        <v>0.45719439678473212</v>
      </c>
      <c r="L250" s="7">
        <f>+Tabla145[[#This Row],[ RV Producción mes n+1]]*Tabla145[[#This Row],[% Uti. producción]]</f>
        <v>0</v>
      </c>
      <c r="M250" s="7">
        <f>IFERROR(VLOOKUP(Tabla145[[#This Row],[Material]],[16]Stock!$G:$K,5,FALSE),0)</f>
        <v>78400</v>
      </c>
      <c r="N250" s="7">
        <f>IFERROR(VLOOKUP(Tabla145[[#This Row],[Material]],[16]Produccion!$M:$N,2,FALSE),0)</f>
        <v>11700</v>
      </c>
      <c r="O250" s="7">
        <f>IFERROR(VLOOKUP(Tabla145[[#This Row],[Llave]],'[16]TD Conf-AP'!$I:$M,4,FALSE),0)</f>
        <v>0</v>
      </c>
      <c r="P250" s="14">
        <f>SUM(Tabla145[[#This Row],[Producción disponible]],Tabla145[[#This Row],[Stock al día]],(Tabla145[[#This Row],[Por producir mes N]]*0.9))-Tabla145[[#This Row],[Producción por despachar mes N]]</f>
        <v>88930</v>
      </c>
      <c r="Q250" s="7">
        <f>IFERROR(VLOOKUP(Tabla145[[#This Row],[Llave]],[17]DELAY!$A:$D,4,FALSE),0)</f>
        <v>0</v>
      </c>
      <c r="R250" s="9">
        <v>24000</v>
      </c>
      <c r="S250" s="5">
        <f t="shared" si="8"/>
        <v>0</v>
      </c>
      <c r="T250" s="76"/>
      <c r="U250" s="5">
        <f>+Tabla145[[#This Row],[Atraso a facturar]]+Tabla145[[#This Row],[Ajuste atraso]]</f>
        <v>0</v>
      </c>
      <c r="V250" s="3">
        <f>+Tabla145[[#This Row],[Total disponible]]-Tabla145[[#This Row],[Facturación atraso]]</f>
        <v>88930</v>
      </c>
      <c r="W250" s="6">
        <f>IFERROR(IF(AND(V250&gt;R250,J250&gt;=R250),ROUNDDOWN((Tabla145[[#This Row],[Producción para venta nueva]])/R250,0)*R250,0),0)</f>
        <v>0</v>
      </c>
      <c r="X250" s="76">
        <v>0</v>
      </c>
      <c r="Y250" s="6">
        <f>IF(Tabla145[[#This Row],[Venta del mes]]&gt;0,Tabla145[[#This Row],[Venta del mes]]+Tabla145[[#This Row],[Ajuste venta nueva]],0)</f>
        <v>0</v>
      </c>
      <c r="Z250" s="6">
        <f>+Tabla145[[#This Row],[Producción para venta nueva]]-Tabla145[[#This Row],[Facturación Venta nueva]]</f>
        <v>88930</v>
      </c>
      <c r="AA250" s="6">
        <f>IF(AND(A250=1,Tabla145[[#This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0" s="6">
        <v>0</v>
      </c>
      <c r="AC250" s="6">
        <f>IF(Tabla145[[#This Row],[Disponible stock sin venta]]&gt;0,Tabla145[[#This Row],[Disponible stock sin venta]]+Tabla145[[#This Row],[Ajuste stock sin venta]],0)</f>
        <v>0</v>
      </c>
      <c r="AD250" s="3">
        <f>IFERROR(VLOOKUP(Tabla145[[#This Row],[Llave]],'[16]TD Puerto'!$A:$D,4,FALSE),0)</f>
        <v>0</v>
      </c>
      <c r="AE250" s="3">
        <v>0</v>
      </c>
      <c r="AF250" s="3">
        <f>+Tabla145[[#This Row],[Plan Irrestricto Inicial]]</f>
        <v>0</v>
      </c>
      <c r="AG250" s="3">
        <f>+Tabla145[[#This Row],[En puerto a facturar]]</f>
        <v>0</v>
      </c>
      <c r="AH250" s="3">
        <f>+Tabla145[[#This Row],[Facturación atraso]]</f>
        <v>0</v>
      </c>
      <c r="AI250" s="3">
        <f>+Tabla145[[#This Row],[Plan Irrestricto]]-Tabla145[[#This Row],[Puerto ]]-Tabla145[[#This Row],[Atraso]]</f>
        <v>0</v>
      </c>
      <c r="AJ25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50" s="3">
        <f>+Tabla145[[#This Row],[Facturación atraso]]</f>
        <v>0</v>
      </c>
      <c r="AL250" s="3">
        <f>+Tabla145[[#This Row],[Plan Ajustado]]-Tabla145[[#This Row],[ Atraso ajustado]]-Tabla145[[#This Row],[Puerto ]]</f>
        <v>0</v>
      </c>
      <c r="AM250" s="6">
        <f>IFERROR(VLOOKUP(Tabla145[[#This Row],[Llave]],[18]!Tabla14[#All],34,FALSE),0)</f>
        <v>0</v>
      </c>
      <c r="AN250" s="6">
        <f>IFERROR(VLOOKUP(Tabla145[[#This Row],[Llave]],[18]!Tabla14[#All],35,FALSE),0)</f>
        <v>0</v>
      </c>
      <c r="AO250" s="3" t="str">
        <f>IF(Tabla145[[#This Row],[Plan Ajustado]]&gt;Tabla145[[#This Row],[En puerto a facturar]],"Si","No")</f>
        <v>No</v>
      </c>
      <c r="AP25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50" s="3">
        <f>IF(Tabla145[[#This Row],[Necesidad]]&gt;=Tabla145[[#This Row],[Stock al día]],Tabla145[[#This Row],[Stock al día]],Tabla145[[#This Row],[Necesidad]])</f>
        <v>0</v>
      </c>
      <c r="AR250" s="3">
        <f>+Tabla145[[#This Row],[Necesidad]]-Tabla145[[#This Row],[Stock Plan]]</f>
        <v>0</v>
      </c>
      <c r="AS250" s="155">
        <f>IFERROR(VLOOKUP(Tabla145[[#This Row],[Oficina]],[19]Ponderación!$B$14:$E$21,4,FALSE),"")</f>
        <v>44786</v>
      </c>
      <c r="AT25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4.9304461587743731</v>
      </c>
      <c r="AU250" s="83">
        <f>IFERROR(VLOOKUP(Tabla145[[#This Row],[Llave]],[17]DELAY!$H:$W,16,FALSE),0)</f>
        <v>0</v>
      </c>
      <c r="AV25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50" s="5">
        <f>Tabla145[[#This Row],[Ajuste precio IC]]*Tabla145[[#This Row],[Plan Ajustado]]</f>
        <v>0</v>
      </c>
      <c r="AX250" s="30">
        <f>IFERROR(VLOOKUP(Tabla145[[#This Row],[Llave]],'[13]Ultimos precios facturados'!$A:$G,7,FALSE),0)</f>
        <v>4.9304461587743731</v>
      </c>
      <c r="AY25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50" s="30">
        <f>IFERROR(VLOOKUP(Tabla145[[#This Row],[Llave]],Hoja2!B:K,10,FALSE),0)</f>
        <v>0</v>
      </c>
      <c r="BA250" s="30">
        <f>IF(Tabla145[[#This Row],[Ajuste precio IC]]="",Tabla145[[#This Row],[Precio ponderado]],Tabla145[[#This Row],[Precio ponderado]])</f>
        <v>0</v>
      </c>
      <c r="BB250" s="82"/>
      <c r="BC250" s="82" t="str">
        <f>IF(AND(Tabla145[[#This Row],[Atraso a facturar]]&gt;0,Tabla145[[#This Row],[Precio Atraso]]=0),"Revisar","OK")</f>
        <v>OK</v>
      </c>
      <c r="BD250" s="82" t="str">
        <f>IF(AND(Tabla145[[#This Row],[Venta del mes]]&gt;0,Tabla145[[#This Row],[Precio venta nueva]]=0),"Revisar","OK")</f>
        <v>OK</v>
      </c>
      <c r="BE250" s="20">
        <f>IFERROR(VLOOKUP(Tabla145[[#This Row],[Llave]],'[5]Consolidación planes'!$A:$M,9,FALSE),0)</f>
        <v>48000</v>
      </c>
      <c r="BF250" s="20">
        <f>IFERROR(VLOOKUP(Tabla145[[#This Row],[Llave]],'[5]Consolidación planes'!$A:$M,10,FALSE),0)</f>
        <v>72000</v>
      </c>
      <c r="BG250" s="20">
        <f>IFERROR(VLOOKUP(Tabla145[[#This Row],[Llave]],'[5]Consolidación planes'!$A:$M,11,FALSE),0)</f>
        <v>24000</v>
      </c>
      <c r="BH250" s="20">
        <f>IFERROR(VLOOKUP(Tabla145[[#This Row],[Llave]],'[5]Consolidación planes'!$A:$M,12,FALSE),0)</f>
        <v>24000</v>
      </c>
      <c r="BI250" s="20">
        <f>IFERROR(VLOOKUP(Tabla145[[#This Row],[Llave]],'[5]Consolidación planes'!$A:$M,13,FALSE),0)</f>
        <v>72000</v>
      </c>
      <c r="BJ250" s="20">
        <f>IFERROR(VLOOKUP(Tabla145[[#This Row],[Llave]],'[13]Base ultimos planes'!$A:$M,13,FALSE),0)</f>
        <v>48000</v>
      </c>
      <c r="BK250" s="80">
        <f>IFERROR(VLOOKUP(Tabla145[[#This Row],[Llave]],'[13]Base ultimos planes'!$O:$AA,8,FALSE),0)</f>
        <v>168720</v>
      </c>
      <c r="BL250" s="20">
        <f>IFERROR(VLOOKUP(Tabla145[[#This Row],[Llave]],'[13]Base ultimos planes'!$O:$AA,9,FALSE),0)</f>
        <v>254520</v>
      </c>
      <c r="BM250" s="20">
        <f>IFERROR(VLOOKUP(Tabla145[[#This Row],[Llave]],'[13]Base ultimos planes'!$O:$AA,10,FALSE),0)</f>
        <v>90000</v>
      </c>
      <c r="BN250" s="20">
        <f>IFERROR(VLOOKUP(Tabla145[[#This Row],[Llave]],'[13]Base ultimos planes'!$O:$AA,11,FALSE),0)</f>
        <v>51375</v>
      </c>
      <c r="BO250" s="20">
        <f>IFERROR(VLOOKUP(Tabla145[[#This Row],[Llave]],'[13]Base ultimos planes'!$O:$AA,12,FALSE),0)</f>
        <v>373545</v>
      </c>
      <c r="BP250" s="20">
        <f>IFERROR(VLOOKUP(Tabla145[[#This Row],[Llave]],'[13]Base ultimos planes'!$O:$AA,13,FALSE),0)</f>
        <v>176000</v>
      </c>
      <c r="BQ250" s="20"/>
      <c r="BR250" s="20">
        <f>Tabla145[[#This Row],[ RV Producción mes n+1]]*(1-Tabla145[[#This Row],[% Uti. producción]])</f>
        <v>0</v>
      </c>
      <c r="BS250" s="20">
        <f>+Tabla145[[#This Row],[Producción disponible mes n-1]]+Tabla145[[#This Row],[Saldo Volumen disponible]]</f>
        <v>88930</v>
      </c>
      <c r="BT250" s="7">
        <f>IFERROR(VLOOKUP(Tabla145[[#This Row],[Llave]],'[21]RV n+2 y n+3'!$B:$F,4,FALSE),0)</f>
        <v>0</v>
      </c>
      <c r="BU250" s="7">
        <f>+Tabla145[[#This Row],[Asignación mes n+2]]*Tabla145[[#This Row],[% Uti. producción]]</f>
        <v>0</v>
      </c>
      <c r="BV250" s="7">
        <f>+Tabla145[[#This Row],[Ponderación mes n+2]]+Tabla145[[#This Row],[Saldo mes n-1]]</f>
        <v>88930</v>
      </c>
      <c r="BW250" s="7">
        <f>+Tabla145[[#This Row],[Asignación mes n+2]]-Tabla145[[#This Row],[Ponderación mes n+2]]</f>
        <v>0</v>
      </c>
      <c r="BX250" s="7">
        <f>IFERROR(VLOOKUP(Tabla145[[#This Row],[Llave]],'[21]RV n+2 y n+3'!$B:$F,5,FALSE),0)</f>
        <v>0</v>
      </c>
      <c r="BY250" s="7">
        <f>+Tabla145[[#This Row],[Asignación mes n+3]]*Tabla145[[#This Row],[% Uti. producción]]</f>
        <v>0</v>
      </c>
      <c r="BZ250" s="3">
        <f>+Tabla145[[#This Row],[Ponderación mes n+3]]+Tabla145[[#This Row],[Saldo mes n+2]]</f>
        <v>0</v>
      </c>
      <c r="CA250" s="3">
        <f>+Tabla145[[#This Row],[Asignación mes n+3]]-Tabla145[[#This Row],[Ponderación mes n+3]]</f>
        <v>0</v>
      </c>
      <c r="CB250" s="3">
        <f>+Tabla145[[#This Row],[Producción disponible mes n-1]]+Tabla145[[#This Row],[Producción disponible]]</f>
        <v>0</v>
      </c>
      <c r="CC250" s="3">
        <f>+Tabla145[[#This Row],[Saldo mes n+4]]-Tabla145[[#This Row],[ RV Producción mes n+1]]</f>
        <v>0</v>
      </c>
    </row>
    <row r="251" spans="1:81" ht="16" x14ac:dyDescent="0.2">
      <c r="A251">
        <v>2</v>
      </c>
      <c r="B251" t="str">
        <f>Tabla145[[#This Row],[Oficina]]&amp;Tabla145[[#This Row],[Material]]</f>
        <v>Agrosuper Shanghai1012598</v>
      </c>
      <c r="C251" t="s">
        <v>227</v>
      </c>
      <c r="D251" t="s">
        <v>140</v>
      </c>
      <c r="E251">
        <v>1012598</v>
      </c>
      <c r="F251" t="s">
        <v>273</v>
      </c>
      <c r="G251" t="s">
        <v>268</v>
      </c>
      <c r="H251" t="s">
        <v>269</v>
      </c>
      <c r="I251" s="7">
        <f>IFERROR(VLOOKUP(Tabla145[[#This Row],[Llave]],'[7]RV Producción'!$C:$G,5,FALSE),0)</f>
        <v>0</v>
      </c>
      <c r="J251" s="3">
        <f>IFERROR(IF(Tabla145[[#This Row],[Oficina]]=$I$7,VLOOKUP(Tabla145[[#This Row],[Llave]],'[7]Shangai (Tomas)'!$A:$F,6,FALSE),VLOOKUP(Tabla145[[#This Row],[Llave]],'[7]RV plan de ventas'!$A:$E,5,FALSE)),0)</f>
        <v>0</v>
      </c>
      <c r="K251" s="8">
        <f>IFERROR(VLOOKUP(Tabla145[[#This Row],[Oficina]],[15]Ponderación!$B$2:$E$9,4,FALSE),0)</f>
        <v>0.45719439678473212</v>
      </c>
      <c r="L251" s="7">
        <f>+Tabla145[[#This Row],[ RV Producción mes n+1]]*Tabla145[[#This Row],[% Uti. producción]]</f>
        <v>0</v>
      </c>
      <c r="M251" s="7">
        <f>IFERROR(VLOOKUP(Tabla145[[#This Row],[Material]],[16]Stock!$G:$K,5,FALSE),0)</f>
        <v>9860</v>
      </c>
      <c r="N251" s="7">
        <f>IFERROR(VLOOKUP(Tabla145[[#This Row],[Material]],[16]Produccion!$M:$N,2,FALSE),0)</f>
        <v>1000</v>
      </c>
      <c r="O251" s="7">
        <f>IFERROR(VLOOKUP(Tabla145[[#This Row],[Llave]],'[16]TD Conf-AP'!$I:$M,4,FALSE),0)</f>
        <v>0</v>
      </c>
      <c r="P251" s="14">
        <f>SUM(Tabla145[[#This Row],[Producción disponible]],Tabla145[[#This Row],[Stock al día]],(Tabla145[[#This Row],[Por producir mes N]]*0.9))-Tabla145[[#This Row],[Producción por despachar mes N]]</f>
        <v>10760</v>
      </c>
      <c r="Q251" s="7">
        <f>IFERROR(VLOOKUP(Tabla145[[#This Row],[Llave]],[17]DELAY!$A:$D,4,FALSE),0)</f>
        <v>7500</v>
      </c>
      <c r="R251" s="9">
        <v>24000</v>
      </c>
      <c r="S251" s="5">
        <f t="shared" si="8"/>
        <v>7500</v>
      </c>
      <c r="T251" s="76"/>
      <c r="U251" s="5">
        <f>+Tabla145[[#This Row],[Atraso a facturar]]+Tabla145[[#This Row],[Ajuste atraso]]</f>
        <v>7500</v>
      </c>
      <c r="V251" s="3">
        <f>+Tabla145[[#This Row],[Total disponible]]-Tabla145[[#This Row],[Facturación atraso]]</f>
        <v>3260</v>
      </c>
      <c r="W251" s="6">
        <f>IFERROR(IF(AND(V251&gt;R251,J251&gt;=R251),ROUNDDOWN((Tabla145[[#This Row],[Producción para venta nueva]])/R251,0)*R251,0),0)</f>
        <v>0</v>
      </c>
      <c r="X251" s="76">
        <v>0</v>
      </c>
      <c r="Y251" s="6">
        <f>IF(Tabla145[[#This Row],[Venta del mes]]&gt;0,Tabla145[[#This Row],[Venta del mes]]+Tabla145[[#This Row],[Ajuste venta nueva]],0)</f>
        <v>0</v>
      </c>
      <c r="Z251" s="6">
        <f>+Tabla145[[#This Row],[Producción para venta nueva]]-Tabla145[[#This Row],[Facturación Venta nueva]]</f>
        <v>3260</v>
      </c>
      <c r="AA251" s="6">
        <f>IF(AND(A251=1,Tabla145[[#This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1" s="6">
        <v>0</v>
      </c>
      <c r="AC251" s="6">
        <f>IF(Tabla145[[#This Row],[Disponible stock sin venta]]&gt;0,Tabla145[[#This Row],[Disponible stock sin venta]]+Tabla145[[#This Row],[Ajuste stock sin venta]],0)</f>
        <v>0</v>
      </c>
      <c r="AD251" s="3">
        <f>IFERROR(VLOOKUP(Tabla145[[#This Row],[Llave]],'[16]TD Puerto'!$A:$D,4,FALSE),0)</f>
        <v>0</v>
      </c>
      <c r="AE251" s="3">
        <v>0</v>
      </c>
      <c r="AF251" s="3">
        <f>+Tabla145[[#This Row],[Plan Irrestricto Inicial]]</f>
        <v>0</v>
      </c>
      <c r="AG251" s="3">
        <f>+Tabla145[[#This Row],[En puerto a facturar]]</f>
        <v>0</v>
      </c>
      <c r="AH251" s="3">
        <f>+Tabla145[[#This Row],[Facturación atraso]]</f>
        <v>7500</v>
      </c>
      <c r="AI251" s="3">
        <f>+Tabla145[[#This Row],[Plan Irrestricto]]-Tabla145[[#This Row],[Puerto ]]-Tabla145[[#This Row],[Atraso]]</f>
        <v>-7500</v>
      </c>
      <c r="AJ25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51" s="3">
        <f>+Tabla145[[#This Row],[Facturación atraso]]</f>
        <v>7500</v>
      </c>
      <c r="AL251" s="3">
        <f>+Tabla145[[#This Row],[Plan Ajustado]]-Tabla145[[#This Row],[ Atraso ajustado]]-Tabla145[[#This Row],[Puerto ]]</f>
        <v>-7500</v>
      </c>
      <c r="AM251" s="6">
        <f>IFERROR(VLOOKUP(Tabla145[[#This Row],[Llave]],[18]!Tabla14[#All],34,FALSE),0)</f>
        <v>0</v>
      </c>
      <c r="AN251" s="6">
        <f>IFERROR(VLOOKUP(Tabla145[[#This Row],[Llave]],[18]!Tabla14[#All],35,FALSE),0)</f>
        <v>0</v>
      </c>
      <c r="AO251" s="3" t="str">
        <f>IF(Tabla145[[#This Row],[Plan Ajustado]]&gt;Tabla145[[#This Row],[En puerto a facturar]],"Si","No")</f>
        <v>No</v>
      </c>
      <c r="AP25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51" s="3">
        <f>IF(Tabla145[[#This Row],[Necesidad]]&gt;=Tabla145[[#This Row],[Stock al día]],Tabla145[[#This Row],[Stock al día]],Tabla145[[#This Row],[Necesidad]])</f>
        <v>0</v>
      </c>
      <c r="AR251" s="3">
        <f>+Tabla145[[#This Row],[Necesidad]]-Tabla145[[#This Row],[Stock Plan]]</f>
        <v>0</v>
      </c>
      <c r="AS251" s="155">
        <f>IFERROR(VLOOKUP(Tabla145[[#This Row],[Oficina]],[19]Ponderación!$B$14:$E$21,4,FALSE),"")</f>
        <v>44786</v>
      </c>
      <c r="AT25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1.0796761375126389</v>
      </c>
      <c r="AU251" s="83">
        <f>IFERROR(VLOOKUP(Tabla145[[#This Row],[Llave]],[17]DELAY!$H:$W,16,FALSE),0)</f>
        <v>1.38333333333333</v>
      </c>
      <c r="AV25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51" s="5">
        <f>Tabla145[[#This Row],[Ajuste precio IC]]*Tabla145[[#This Row],[Plan Ajustado]]</f>
        <v>0</v>
      </c>
      <c r="AX251" s="30">
        <f>IFERROR(VLOOKUP(Tabla145[[#This Row],[Llave]],'[13]Ultimos precios facturados'!$A:$G,7,FALSE),0)</f>
        <v>1.0796761375126389</v>
      </c>
      <c r="AY25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51" s="30">
        <f>IFERROR(VLOOKUP(Tabla145[[#This Row],[Llave]],Hoja2!B:K,10,FALSE),0)</f>
        <v>1.38333333333333</v>
      </c>
      <c r="BA251" s="30">
        <f>IF(Tabla145[[#This Row],[Ajuste precio IC]]="",Tabla145[[#This Row],[Precio ponderado]],Tabla145[[#This Row],[Precio ponderado]])</f>
        <v>0</v>
      </c>
      <c r="BB251" s="82"/>
      <c r="BC251" s="82" t="str">
        <f>IF(AND(Tabla145[[#This Row],[Atraso a facturar]]&gt;0,Tabla145[[#This Row],[Precio Atraso]]=0),"Revisar","OK")</f>
        <v>OK</v>
      </c>
      <c r="BD251" s="82" t="str">
        <f>IF(AND(Tabla145[[#This Row],[Venta del mes]]&gt;0,Tabla145[[#This Row],[Precio venta nueva]]=0),"Revisar","OK")</f>
        <v>OK</v>
      </c>
      <c r="BE251" s="20">
        <f>IFERROR(VLOOKUP(Tabla145[[#This Row],[Llave]],'[5]Consolidación planes'!$A:$M,9,FALSE),0)</f>
        <v>4340</v>
      </c>
      <c r="BF251" s="20">
        <f>IFERROR(VLOOKUP(Tabla145[[#This Row],[Llave]],'[5]Consolidación planes'!$A:$M,10,FALSE),0)</f>
        <v>0</v>
      </c>
      <c r="BG251" s="20">
        <f>IFERROR(VLOOKUP(Tabla145[[#This Row],[Llave]],'[5]Consolidación planes'!$A:$M,11,FALSE),0)</f>
        <v>10660</v>
      </c>
      <c r="BH251" s="20">
        <f>IFERROR(VLOOKUP(Tabla145[[#This Row],[Llave]],'[5]Consolidación planes'!$A:$M,12,FALSE),0)</f>
        <v>0</v>
      </c>
      <c r="BI251" s="20">
        <f>IFERROR(VLOOKUP(Tabla145[[#This Row],[Llave]],'[5]Consolidación planes'!$A:$M,13,FALSE),0)</f>
        <v>0</v>
      </c>
      <c r="BJ251" s="20">
        <f>IFERROR(VLOOKUP(Tabla145[[#This Row],[Llave]],'[13]Base ultimos planes'!$A:$M,13,FALSE),0)</f>
        <v>0</v>
      </c>
      <c r="BK251" s="80">
        <f>IFERROR(VLOOKUP(Tabla145[[#This Row],[Llave]],'[13]Base ultimos planes'!$O:$AA,8,FALSE),0)</f>
        <v>3906</v>
      </c>
      <c r="BL251" s="20">
        <f>IFERROR(VLOOKUP(Tabla145[[#This Row],[Llave]],'[13]Base ultimos planes'!$O:$AA,9,FALSE),0)</f>
        <v>0</v>
      </c>
      <c r="BM251" s="20">
        <f>IFERROR(VLOOKUP(Tabla145[[#This Row],[Llave]],'[13]Base ultimos planes'!$O:$AA,10,FALSE),0)</f>
        <v>10660</v>
      </c>
      <c r="BN251" s="20">
        <f>IFERROR(VLOOKUP(Tabla145[[#This Row],[Llave]],'[13]Base ultimos planes'!$O:$AA,11,FALSE),0)</f>
        <v>0</v>
      </c>
      <c r="BO251" s="20">
        <f>IFERROR(VLOOKUP(Tabla145[[#This Row],[Llave]],'[13]Base ultimos planes'!$O:$AA,12,FALSE),0)</f>
        <v>0</v>
      </c>
      <c r="BP251" s="20">
        <f>IFERROR(VLOOKUP(Tabla145[[#This Row],[Llave]],'[13]Base ultimos planes'!$O:$AA,13,FALSE),0)</f>
        <v>0</v>
      </c>
      <c r="BQ251" s="20"/>
      <c r="BR251" s="20">
        <f>Tabla145[[#This Row],[ RV Producción mes n+1]]*(1-Tabla145[[#This Row],[% Uti. producción]])</f>
        <v>0</v>
      </c>
      <c r="BS251" s="20">
        <f>+Tabla145[[#This Row],[Producción disponible mes n-1]]+Tabla145[[#This Row],[Saldo Volumen disponible]]</f>
        <v>3260</v>
      </c>
      <c r="BT251" s="7">
        <f>IFERROR(VLOOKUP(Tabla145[[#This Row],[Llave]],'[21]RV n+2 y n+3'!$B:$F,4,FALSE),0)</f>
        <v>0</v>
      </c>
      <c r="BU251" s="7">
        <f>+Tabla145[[#This Row],[Asignación mes n+2]]*Tabla145[[#This Row],[% Uti. producción]]</f>
        <v>0</v>
      </c>
      <c r="BV251" s="7">
        <f>+Tabla145[[#This Row],[Ponderación mes n+2]]+Tabla145[[#This Row],[Saldo mes n-1]]</f>
        <v>3260</v>
      </c>
      <c r="BW251" s="7">
        <f>+Tabla145[[#This Row],[Asignación mes n+2]]-Tabla145[[#This Row],[Ponderación mes n+2]]</f>
        <v>0</v>
      </c>
      <c r="BX251" s="7">
        <f>IFERROR(VLOOKUP(Tabla145[[#This Row],[Llave]],'[21]RV n+2 y n+3'!$B:$F,5,FALSE),0)</f>
        <v>0</v>
      </c>
      <c r="BY251" s="7">
        <f>+Tabla145[[#This Row],[Asignación mes n+3]]*Tabla145[[#This Row],[% Uti. producción]]</f>
        <v>0</v>
      </c>
      <c r="BZ251" s="3">
        <f>+Tabla145[[#This Row],[Ponderación mes n+3]]+Tabla145[[#This Row],[Saldo mes n+2]]</f>
        <v>0</v>
      </c>
      <c r="CA251" s="3">
        <f>+Tabla145[[#This Row],[Asignación mes n+3]]-Tabla145[[#This Row],[Ponderación mes n+3]]</f>
        <v>0</v>
      </c>
      <c r="CB251" s="3">
        <f>+Tabla145[[#This Row],[Producción disponible mes n-1]]+Tabla145[[#This Row],[Producción disponible]]</f>
        <v>0</v>
      </c>
      <c r="CC251" s="3">
        <f>+Tabla145[[#This Row],[Saldo mes n+4]]-Tabla145[[#This Row],[ RV Producción mes n+1]]</f>
        <v>0</v>
      </c>
    </row>
    <row r="252" spans="1:81" ht="16" x14ac:dyDescent="0.2">
      <c r="A252">
        <v>1</v>
      </c>
      <c r="B252" t="str">
        <f>Tabla145[[#This Row],[Oficina]]&amp;Tabla145[[#This Row],[Material]]</f>
        <v>Agro Mexico1012764</v>
      </c>
      <c r="C252" t="s">
        <v>227</v>
      </c>
      <c r="D252" t="s">
        <v>370</v>
      </c>
      <c r="E252">
        <v>1012764</v>
      </c>
      <c r="F252" t="s">
        <v>369</v>
      </c>
      <c r="G252" t="s">
        <v>233</v>
      </c>
      <c r="H252" t="s">
        <v>371</v>
      </c>
      <c r="I252" s="15">
        <f>IFERROR(VLOOKUP(Tabla145[[#This Row],[Llave]],'[7]RV Producción'!$C:$G,5,FALSE),0)</f>
        <v>96000</v>
      </c>
      <c r="J252" s="3">
        <f>IFERROR(IF(Tabla145[[#This Row],[Oficina]]=$I$7,VLOOKUP(Tabla145[[#This Row],[Llave]],'[7]Shangai (Tomas)'!$A:$F,6,FALSE),VLOOKUP(Tabla145[[#This Row],[Llave]],'[7]RV plan de ventas'!$A:$E,5,FALSE)),0)</f>
        <v>135684</v>
      </c>
      <c r="K252" s="8">
        <v>0.8</v>
      </c>
      <c r="L252" s="7">
        <f>+Tabla145[[#This Row],[ RV Producción mes n+1]]*Tabla145[[#This Row],[% Uti. producción]]</f>
        <v>76800</v>
      </c>
      <c r="M252" s="7">
        <f>IFERROR(VLOOKUP(Tabla145[[#This Row],[Material]],[16]Stock!$G:$K,5,FALSE),0)</f>
        <v>70143</v>
      </c>
      <c r="N252" s="7">
        <f>IFERROR(VLOOKUP(Tabla145[[#This Row],[Material]],[16]Produccion!$M:$N,2,FALSE),0)</f>
        <v>66900</v>
      </c>
      <c r="O252" s="7">
        <f>IFERROR(VLOOKUP(Tabla145[[#This Row],[Llave]],'[16]TD Conf-AP'!$I:$M,4,FALSE),0)</f>
        <v>0</v>
      </c>
      <c r="P252" s="14">
        <f>SUM(Tabla145[[#This Row],[Producción disponible]],Tabla145[[#This Row],[Stock al día]],(Tabla145[[#This Row],[Por producir mes N]]*0.9))-Tabla145[[#This Row],[Producción por despachar mes N]]</f>
        <v>207153</v>
      </c>
      <c r="Q252" s="7">
        <f>IFERROR(VLOOKUP(Tabla145[[#This Row],[Llave]],[17]DELAY!$A:$D,4,FALSE),0)</f>
        <v>72000</v>
      </c>
      <c r="R252" s="9">
        <v>24000</v>
      </c>
      <c r="S252" s="5">
        <f t="shared" si="8"/>
        <v>72000</v>
      </c>
      <c r="T252" s="76"/>
      <c r="U252" s="5">
        <f>+Tabla145[[#This Row],[Atraso a facturar]]+Tabla145[[#This Row],[Ajuste atraso]]</f>
        <v>72000</v>
      </c>
      <c r="V252" s="3">
        <f>+Tabla145[[#This Row],[Total disponible]]-Tabla145[[#This Row],[Facturación atraso]]</f>
        <v>135153</v>
      </c>
      <c r="W252" s="6">
        <f>IFERROR(IF(AND(V252&gt;R252,J252&gt;=R252),ROUNDDOWN((Tabla145[[#This Row],[Producción para venta nueva]])/R252,0)*R252,0),0)</f>
        <v>120000</v>
      </c>
      <c r="X252" s="76">
        <v>144000</v>
      </c>
      <c r="Y252" s="6">
        <f>IF(Tabla145[[#This Row],[Venta del mes]]&gt;0,Tabla145[[#This Row],[Venta del mes]]+Tabla145[[#This Row],[Ajuste venta nueva]],0)</f>
        <v>264000</v>
      </c>
      <c r="Z252" s="6">
        <f>+Tabla145[[#This Row],[Producción para venta nueva]]-Tabla145[[#This Row],[Facturación Venta nueva]]</f>
        <v>-128847</v>
      </c>
      <c r="AA252" s="6">
        <f>IF(AND(A252=1,Tabla145[[#This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2" s="6">
        <v>0</v>
      </c>
      <c r="AC252" s="6">
        <f>IF(Tabla145[[#This Row],[Disponible stock sin venta]]&gt;0,Tabla145[[#This Row],[Disponible stock sin venta]]+Tabla145[[#This Row],[Ajuste stock sin venta]],0)</f>
        <v>0</v>
      </c>
      <c r="AD252" s="3">
        <f>IFERROR(VLOOKUP(Tabla145[[#This Row],[Llave]],'[16]TD Puerto'!$A:$D,4,FALSE),0)</f>
        <v>23989.05</v>
      </c>
      <c r="AE252" s="3">
        <v>215989.05</v>
      </c>
      <c r="AF252" s="3">
        <f>+Tabla145[[#This Row],[Plan Irrestricto Inicial]]</f>
        <v>215989.05</v>
      </c>
      <c r="AG252" s="3">
        <f>+Tabla145[[#This Row],[En puerto a facturar]]</f>
        <v>23989.05</v>
      </c>
      <c r="AH252" s="3">
        <f>+Tabla145[[#This Row],[Facturación atraso]]</f>
        <v>72000</v>
      </c>
      <c r="AI252" s="3">
        <f>+Tabla145[[#This Row],[Plan Irrestricto]]-Tabla145[[#This Row],[Puerto ]]-Tabla145[[#This Row],[Atraso]]</f>
        <v>120000</v>
      </c>
      <c r="AJ252" s="3">
        <f>IF(Tabla145[[#This Row],[Plan Irrestricto]]&gt;0,SUM(Tabla145[[#This Row],[Facturación atraso]],Tabla145[[#This Row],[Facturación Venta nueva]],Tabla145[[#This Row],[Facturación stock]],Tabla145[[#This Row],[En puerto a facturar]]),0)</f>
        <v>359989.05</v>
      </c>
      <c r="AK252" s="3">
        <f>+Tabla145[[#This Row],[Facturación atraso]]</f>
        <v>72000</v>
      </c>
      <c r="AL252" s="3">
        <f>+Tabla145[[#This Row],[Plan Ajustado]]-Tabla145[[#This Row],[ Atraso ajustado]]-Tabla145[[#This Row],[Puerto ]]</f>
        <v>264000</v>
      </c>
      <c r="AM252" s="6">
        <f>IFERROR(VLOOKUP(Tabla145[[#This Row],[Llave]],[18]!Tabla14[#All],34,FALSE),0)</f>
        <v>0</v>
      </c>
      <c r="AN252" s="6">
        <f>IFERROR(VLOOKUP(Tabla145[[#This Row],[Llave]],[18]!Tabla14[#All],35,FALSE),0)</f>
        <v>0</v>
      </c>
      <c r="AO252" s="3" t="str">
        <f>IF(Tabla145[[#This Row],[Plan Ajustado]]&gt;Tabla145[[#This Row],[En puerto a facturar]],"Si","No")</f>
        <v>Si</v>
      </c>
      <c r="AP252" s="3">
        <f>IF(AND(Tabla145[[#This Row],[Plan Ajustado]]&gt;0,Tabla145[[#This Row],[Plan Ajustado]]&gt;Tabla145[[#This Row],[En puerto a facturar]]),(Tabla145[[#This Row],[Plan Ajustado]]-Tabla145[[#This Row],[En puerto a facturar]]),0)</f>
        <v>336000</v>
      </c>
      <c r="AQ252" s="3">
        <f>IF(Tabla145[[#This Row],[Necesidad]]&gt;=Tabla145[[#This Row],[Stock al día]],Tabla145[[#This Row],[Stock al día]],Tabla145[[#This Row],[Necesidad]])</f>
        <v>70143</v>
      </c>
      <c r="AR252" s="3">
        <f>+Tabla145[[#This Row],[Necesidad]]-Tabla145[[#This Row],[Stock Plan]]</f>
        <v>265857</v>
      </c>
      <c r="AS252" s="155">
        <f>IFERROR(VLOOKUP(Tabla145[[#This Row],[Oficina]],[19]Ponderación!$B$14:$E$21,4,FALSE),"")</f>
        <v>44793</v>
      </c>
      <c r="AT25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0.72980601986969695</v>
      </c>
      <c r="AU252" s="83">
        <f>IFERROR(VLOOKUP(Tabla145[[#This Row],[Llave]],[17]DELAY!$H:$W,16,FALSE),0)</f>
        <v>0.793366666666667</v>
      </c>
      <c r="AV25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0.74675410788355934</v>
      </c>
      <c r="AW252" s="5">
        <f>Tabla145[[#This Row],[Ajuste precio IC]]*Tabla145[[#This Row],[Plan Ajustado]]</f>
        <v>268823.30188060005</v>
      </c>
      <c r="AX252" s="30">
        <f>IFERROR(VLOOKUP(Tabla145[[#This Row],[Llave]],'[13]Ultimos precios facturados'!$A:$G,7,FALSE),0)</f>
        <v>0.81651936514029222</v>
      </c>
      <c r="AY252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8.5442256773354056E-2</v>
      </c>
      <c r="AZ252" s="30">
        <f>IFERROR(VLOOKUP(Tabla145[[#This Row],[Llave]],Hoja2!B:K,10,FALSE),0)</f>
        <v>0.74675410788355934</v>
      </c>
      <c r="BA252" s="30">
        <f>IF(Tabla145[[#This Row],[Ajuste precio IC]]="",Tabla145[[#This Row],[Precio ponderado]],Tabla145[[#This Row],[Precio ponderado]])</f>
        <v>0.74675410788355934</v>
      </c>
      <c r="BB252" s="82"/>
      <c r="BC252" s="82" t="str">
        <f>IF(AND(Tabla145[[#This Row],[Atraso a facturar]]&gt;0,Tabla145[[#This Row],[Precio Atraso]]=0),"Revisar","OK")</f>
        <v>OK</v>
      </c>
      <c r="BD252" s="82" t="str">
        <f>IF(AND(Tabla145[[#This Row],[Venta del mes]]&gt;0,Tabla145[[#This Row],[Precio venta nueva]]=0),"Revisar","OK")</f>
        <v>OK</v>
      </c>
      <c r="BE252" s="20">
        <f>IFERROR(VLOOKUP(Tabla145[[#This Row],[Llave]],'[5]Consolidación planes'!$A:$M,9,FALSE),0)</f>
        <v>0</v>
      </c>
      <c r="BF252" s="20">
        <f>IFERROR(VLOOKUP(Tabla145[[#This Row],[Llave]],'[5]Consolidación planes'!$A:$M,10,FALSE),0)</f>
        <v>0</v>
      </c>
      <c r="BG252" s="20">
        <f>IFERROR(VLOOKUP(Tabla145[[#This Row],[Llave]],'[5]Consolidación planes'!$A:$M,11,FALSE),0)</f>
        <v>0</v>
      </c>
      <c r="BH252" s="20">
        <f>IFERROR(VLOOKUP(Tabla145[[#This Row],[Llave]],'[5]Consolidación planes'!$A:$M,12,FALSE),0)</f>
        <v>0</v>
      </c>
      <c r="BI252" s="20">
        <f>IFERROR(VLOOKUP(Tabla145[[#This Row],[Llave]],'[5]Consolidación planes'!$A:$M,13,FALSE),0)</f>
        <v>0</v>
      </c>
      <c r="BJ252" s="20">
        <f>IFERROR(VLOOKUP(Tabla145[[#This Row],[Llave]],'[13]Base ultimos planes'!$A:$M,13,FALSE),0)</f>
        <v>312001</v>
      </c>
      <c r="BK252" s="80">
        <f>IFERROR(VLOOKUP(Tabla145[[#This Row],[Llave]],'[13]Base ultimos planes'!$O:$AA,8,FALSE),0)</f>
        <v>0</v>
      </c>
      <c r="BL252" s="20">
        <f>IFERROR(VLOOKUP(Tabla145[[#This Row],[Llave]],'[13]Base ultimos planes'!$O:$AA,9,FALSE),0)</f>
        <v>0</v>
      </c>
      <c r="BM252" s="20">
        <f>IFERROR(VLOOKUP(Tabla145[[#This Row],[Llave]],'[13]Base ultimos planes'!$O:$AA,10,FALSE),0)</f>
        <v>0</v>
      </c>
      <c r="BN252" s="20">
        <f>IFERROR(VLOOKUP(Tabla145[[#This Row],[Llave]],'[13]Base ultimos planes'!$O:$AA,11,FALSE),0)</f>
        <v>0</v>
      </c>
      <c r="BO252" s="20">
        <f>IFERROR(VLOOKUP(Tabla145[[#This Row],[Llave]],'[13]Base ultimos planes'!$O:$AA,12,FALSE),0)</f>
        <v>0</v>
      </c>
      <c r="BP252" s="20">
        <f>IFERROR(VLOOKUP(Tabla145[[#This Row],[Llave]],'[13]Base ultimos planes'!$O:$AA,13,FALSE),0)</f>
        <v>303633.28684000002</v>
      </c>
      <c r="BQ252" s="20"/>
      <c r="BR252" s="20">
        <f>Tabla145[[#This Row],[ RV Producción mes n+1]]*(1-Tabla145[[#This Row],[% Uti. producción]])</f>
        <v>19199.999999999996</v>
      </c>
      <c r="BS252" s="20">
        <f>+Tabla145[[#This Row],[Producción disponible mes n-1]]+Tabla145[[#This Row],[Saldo Volumen disponible]]</f>
        <v>-109647</v>
      </c>
      <c r="BT252" s="7">
        <f>IFERROR(VLOOKUP(Tabla145[[#This Row],[Llave]],'[21]RV n+2 y n+3'!$B:$F,4,FALSE),0)</f>
        <v>0</v>
      </c>
      <c r="BU252" s="7">
        <f>+Tabla145[[#This Row],[Asignación mes n+2]]*Tabla145[[#This Row],[% Uti. producción]]</f>
        <v>0</v>
      </c>
      <c r="BV252" s="7">
        <f>+Tabla145[[#This Row],[Ponderación mes n+2]]+Tabla145[[#This Row],[Saldo mes n-1]]</f>
        <v>-109647</v>
      </c>
      <c r="BW252" s="7">
        <f>+Tabla145[[#This Row],[Asignación mes n+2]]-Tabla145[[#This Row],[Ponderación mes n+2]]</f>
        <v>0</v>
      </c>
      <c r="BX252" s="7">
        <f>IFERROR(VLOOKUP(Tabla145[[#This Row],[Llave]],'[21]RV n+2 y n+3'!$B:$F,5,FALSE),0)</f>
        <v>378689.66</v>
      </c>
      <c r="BY252" s="7">
        <f>+Tabla145[[#This Row],[Asignación mes n+3]]*Tabla145[[#This Row],[% Uti. producción]]</f>
        <v>302951.728</v>
      </c>
      <c r="BZ252" s="3">
        <f>+Tabla145[[#This Row],[Ponderación mes n+3]]+Tabla145[[#This Row],[Saldo mes n+2]]</f>
        <v>302951.728</v>
      </c>
      <c r="CA252" s="3">
        <f>+Tabla145[[#This Row],[Asignación mes n+3]]-Tabla145[[#This Row],[Ponderación mes n+3]]</f>
        <v>75737.931999999972</v>
      </c>
      <c r="CB252" s="3">
        <f>+Tabla145[[#This Row],[Producción disponible mes n-1]]+Tabla145[[#This Row],[Producción disponible]]</f>
        <v>96000</v>
      </c>
      <c r="CC252" s="3">
        <f>+Tabla145[[#This Row],[Saldo mes n+4]]-Tabla145[[#This Row],[ RV Producción mes n+1]]</f>
        <v>0</v>
      </c>
    </row>
    <row r="253" spans="1:81" ht="16" x14ac:dyDescent="0.2">
      <c r="A253">
        <v>2</v>
      </c>
      <c r="B253" t="str">
        <f>Tabla145[[#This Row],[Oficina]]&amp;Tabla145[[#This Row],[Material]]</f>
        <v>Agrosuper Shanghai1030525</v>
      </c>
      <c r="C253" t="s">
        <v>204</v>
      </c>
      <c r="D253" t="s">
        <v>140</v>
      </c>
      <c r="E253">
        <v>1030525</v>
      </c>
      <c r="F253" t="s">
        <v>374</v>
      </c>
      <c r="G253" t="s">
        <v>205</v>
      </c>
      <c r="H253" t="s">
        <v>206</v>
      </c>
      <c r="I253" s="15">
        <f>IFERROR(VLOOKUP(Tabla145[[#This Row],[Llave]],'[7]RV Producción'!$C:$G,5,FALSE),0)</f>
        <v>88280</v>
      </c>
      <c r="J253" s="3">
        <f>IFERROR(IF(Tabla145[[#This Row],[Oficina]]=$I$7,VLOOKUP(Tabla145[[#This Row],[Llave]],'[7]Shangai (Tomas)'!$A:$F,6,FALSE),VLOOKUP(Tabla145[[#This Row],[Llave]],'[7]RV plan de ventas'!$A:$E,5,FALSE)),0)</f>
        <v>0</v>
      </c>
      <c r="K253" s="17">
        <f>IFERROR(VLOOKUP(Tabla145[[#This Row],[Oficina]],[15]Ponderación!$B$2:$E$9,4,FALSE),0)</f>
        <v>0.45719439678473212</v>
      </c>
      <c r="L253" s="7">
        <f>+Tabla145[[#This Row],[ RV Producción mes n+1]]*Tabla145[[#This Row],[% Uti. producción]]</f>
        <v>40361.12134815615</v>
      </c>
      <c r="M253" s="7">
        <f>IFERROR(VLOOKUP(Tabla145[[#This Row],[Material]],[16]Stock!$G:$K,5,FALSE),0)</f>
        <v>43365</v>
      </c>
      <c r="N253" s="7">
        <f>IFERROR(VLOOKUP(Tabla145[[#This Row],[Material]],[16]Produccion!$M:$N,2,FALSE),0)</f>
        <v>20632.494135661931</v>
      </c>
      <c r="O253" s="7">
        <f>IFERROR(VLOOKUP(Tabla145[[#This Row],[Llave]],'[16]TD Conf-AP'!$I:$M,4,FALSE),0)</f>
        <v>0</v>
      </c>
      <c r="P253" s="14">
        <f>SUM(Tabla145[[#This Row],[Producción disponible]],Tabla145[[#This Row],[Stock al día]],(Tabla145[[#This Row],[Por producir mes N]]*0.9))-Tabla145[[#This Row],[Producción por despachar mes N]]</f>
        <v>102295.3660702519</v>
      </c>
      <c r="Q253" s="7">
        <f>IFERROR(VLOOKUP(Tabla145[[#This Row],[Llave]],[17]DELAY!$A:$D,4,FALSE),0)</f>
        <v>0</v>
      </c>
      <c r="R253" s="9">
        <v>24000</v>
      </c>
      <c r="S253" s="5">
        <f t="shared" si="8"/>
        <v>0</v>
      </c>
      <c r="T253" s="76"/>
      <c r="U253" s="5">
        <f>+Tabla145[[#This Row],[Atraso a facturar]]+Tabla145[[#This Row],[Ajuste atraso]]</f>
        <v>0</v>
      </c>
      <c r="V253" s="3">
        <f>+Tabla145[[#This Row],[Total disponible]]-Tabla145[[#This Row],[Facturación atraso]]</f>
        <v>102295.3660702519</v>
      </c>
      <c r="W253" s="6">
        <f>IFERROR(IF(AND(V253&gt;R253,J253&gt;=R253),ROUNDDOWN((Tabla145[[#This Row],[Producción para venta nueva]])/R253,0)*R253,0),0)</f>
        <v>0</v>
      </c>
      <c r="X253" s="76">
        <v>0</v>
      </c>
      <c r="Y253" s="6">
        <f>IF(Tabla145[[#This Row],[Venta del mes]]&gt;0,Tabla145[[#This Row],[Venta del mes]]+Tabla145[[#This Row],[Ajuste venta nueva]],0)</f>
        <v>0</v>
      </c>
      <c r="Z253" s="6">
        <f>+Tabla145[[#This Row],[Producción para venta nueva]]-Tabla145[[#This Row],[Facturación Venta nueva]]</f>
        <v>102295.3660702519</v>
      </c>
      <c r="AA253" s="6">
        <f>IF(AND(A253=1,Tabla145[[#This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3" s="6">
        <v>0</v>
      </c>
      <c r="AC253" s="6">
        <f>IF(Tabla145[[#This Row],[Disponible stock sin venta]]&gt;0,Tabla145[[#This Row],[Disponible stock sin venta]]+Tabla145[[#This Row],[Ajuste stock sin venta]],0)</f>
        <v>0</v>
      </c>
      <c r="AD253" s="3">
        <f>IFERROR(VLOOKUP(Tabla145[[#This Row],[Llave]],'[16]TD Puerto'!$A:$D,4,FALSE),0)</f>
        <v>0</v>
      </c>
      <c r="AE253" s="3">
        <v>0</v>
      </c>
      <c r="AF253" s="3">
        <f>+Tabla145[[#This Row],[Plan Irrestricto Inicial]]</f>
        <v>0</v>
      </c>
      <c r="AG253" s="3">
        <f>+Tabla145[[#This Row],[En puerto a facturar]]</f>
        <v>0</v>
      </c>
      <c r="AH253" s="3">
        <f>+Tabla145[[#This Row],[Facturación atraso]]</f>
        <v>0</v>
      </c>
      <c r="AI253" s="3">
        <f>+Tabla145[[#This Row],[Plan Irrestricto]]-Tabla145[[#This Row],[Puerto ]]-Tabla145[[#This Row],[Atraso]]</f>
        <v>0</v>
      </c>
      <c r="AJ25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53" s="3">
        <f>+Tabla145[[#This Row],[Facturación atraso]]</f>
        <v>0</v>
      </c>
      <c r="AL253" s="3">
        <f>+Tabla145[[#This Row],[Plan Ajustado]]-Tabla145[[#This Row],[ Atraso ajustado]]-Tabla145[[#This Row],[Puerto ]]</f>
        <v>0</v>
      </c>
      <c r="AM253" s="6">
        <f>IFERROR(VLOOKUP(Tabla145[[#This Row],[Llave]],[18]!Tabla14[#All],34,FALSE),0)</f>
        <v>0</v>
      </c>
      <c r="AN253" s="6">
        <f>IFERROR(VLOOKUP(Tabla145[[#This Row],[Llave]],[18]!Tabla14[#All],35,FALSE),0)</f>
        <v>0</v>
      </c>
      <c r="AO253" s="3" t="str">
        <f>IF(Tabla145[[#This Row],[Plan Ajustado]]&gt;Tabla145[[#This Row],[En puerto a facturar]],"Si","No")</f>
        <v>No</v>
      </c>
      <c r="AP25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53" s="3">
        <f>IF(Tabla145[[#This Row],[Necesidad]]&gt;=Tabla145[[#This Row],[Stock al día]],Tabla145[[#This Row],[Stock al día]],Tabla145[[#This Row],[Necesidad]])</f>
        <v>0</v>
      </c>
      <c r="AR253" s="3">
        <f>+Tabla145[[#This Row],[Necesidad]]-Tabla145[[#This Row],[Stock Plan]]</f>
        <v>0</v>
      </c>
      <c r="AS253" s="155">
        <f>IFERROR(VLOOKUP(Tabla145[[#This Row],[Oficina]],[19]Ponderación!$B$14:$E$21,4,FALSE),"")</f>
        <v>44786</v>
      </c>
      <c r="AT25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1.8726789500000001</v>
      </c>
      <c r="AU253" s="83">
        <f>IFERROR(VLOOKUP(Tabla145[[#This Row],[Llave]],[17]DELAY!$H:$W,16,FALSE),0)</f>
        <v>0</v>
      </c>
      <c r="AV25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53" s="5">
        <f>Tabla145[[#This Row],[Ajuste precio IC]]*Tabla145[[#This Row],[Plan Ajustado]]</f>
        <v>0</v>
      </c>
      <c r="AX253" s="30">
        <f>IFERROR(VLOOKUP(Tabla145[[#This Row],[Llave]],'[13]Ultimos precios facturados'!$A:$G,7,FALSE),0)</f>
        <v>1.8726789500000001</v>
      </c>
      <c r="AY25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53" s="30">
        <f>IFERROR(VLOOKUP(Tabla145[[#This Row],[Llave]],Hoja2!B:K,10,FALSE),0)</f>
        <v>0</v>
      </c>
      <c r="BA253" s="30">
        <f>IF(Tabla145[[#This Row],[Ajuste precio IC]]="",Tabla145[[#This Row],[Precio ponderado]],Tabla145[[#This Row],[Precio ponderado]])</f>
        <v>0</v>
      </c>
      <c r="BB253" s="82"/>
      <c r="BC253" s="82" t="str">
        <f>IF(AND(Tabla145[[#This Row],[Atraso a facturar]]&gt;0,Tabla145[[#This Row],[Precio Atraso]]=0),"Revisar","OK")</f>
        <v>OK</v>
      </c>
      <c r="BD253" s="82" t="str">
        <f>IF(AND(Tabla145[[#This Row],[Venta del mes]]&gt;0,Tabla145[[#This Row],[Precio venta nueva]]=0),"Revisar","OK")</f>
        <v>OK</v>
      </c>
      <c r="BE253" s="20">
        <f>IFERROR(VLOOKUP(Tabla145[[#This Row],[Llave]],'[5]Consolidación planes'!$A:$M,9,FALSE),0)</f>
        <v>0</v>
      </c>
      <c r="BF253" s="20">
        <f>IFERROR(VLOOKUP(Tabla145[[#This Row],[Llave]],'[5]Consolidación planes'!$A:$M,10,FALSE),0)</f>
        <v>0</v>
      </c>
      <c r="BG253" s="20">
        <f>IFERROR(VLOOKUP(Tabla145[[#This Row],[Llave]],'[5]Consolidación planes'!$A:$M,11,FALSE),0)</f>
        <v>0</v>
      </c>
      <c r="BH253" s="20">
        <f>IFERROR(VLOOKUP(Tabla145[[#This Row],[Llave]],'[5]Consolidación planes'!$A:$M,12,FALSE),0)</f>
        <v>0</v>
      </c>
      <c r="BI253" s="20">
        <f>IFERROR(VLOOKUP(Tabla145[[#This Row],[Llave]],'[5]Consolidación planes'!$A:$M,13,FALSE),0)</f>
        <v>0</v>
      </c>
      <c r="BJ253" s="20">
        <f>IFERROR(VLOOKUP(Tabla145[[#This Row],[Llave]],'[13]Base ultimos planes'!$A:$M,13,FALSE),0)</f>
        <v>0</v>
      </c>
      <c r="BK253" s="80">
        <f>IFERROR(VLOOKUP(Tabla145[[#This Row],[Llave]],'[13]Base ultimos planes'!$O:$AA,8,FALSE),0)</f>
        <v>0</v>
      </c>
      <c r="BL253" s="20">
        <f>IFERROR(VLOOKUP(Tabla145[[#This Row],[Llave]],'[13]Base ultimos planes'!$O:$AA,9,FALSE),0)</f>
        <v>0</v>
      </c>
      <c r="BM253" s="20">
        <f>IFERROR(VLOOKUP(Tabla145[[#This Row],[Llave]],'[13]Base ultimos planes'!$O:$AA,10,FALSE),0)</f>
        <v>0</v>
      </c>
      <c r="BN253" s="20">
        <f>IFERROR(VLOOKUP(Tabla145[[#This Row],[Llave]],'[13]Base ultimos planes'!$O:$AA,11,FALSE),0)</f>
        <v>0</v>
      </c>
      <c r="BO253" s="20">
        <f>IFERROR(VLOOKUP(Tabla145[[#This Row],[Llave]],'[13]Base ultimos planes'!$O:$AA,12,FALSE),0)</f>
        <v>0</v>
      </c>
      <c r="BP253" s="20">
        <f>IFERROR(VLOOKUP(Tabla145[[#This Row],[Llave]],'[13]Base ultimos planes'!$O:$AA,13,FALSE),0)</f>
        <v>0</v>
      </c>
      <c r="BQ253" s="20"/>
      <c r="BR253" s="20">
        <f>Tabla145[[#This Row],[ RV Producción mes n+1]]*(1-Tabla145[[#This Row],[% Uti. producción]])</f>
        <v>47918.878651843857</v>
      </c>
      <c r="BS253" s="20">
        <f>+Tabla145[[#This Row],[Producción disponible mes n-1]]+Tabla145[[#This Row],[Saldo Volumen disponible]]</f>
        <v>150214.24472209575</v>
      </c>
      <c r="BT253" s="7">
        <f>IFERROR(VLOOKUP(Tabla145[[#This Row],[Llave]],'[21]RV n+2 y n+3'!$B:$F,4,FALSE),0)</f>
        <v>65939.066999999995</v>
      </c>
      <c r="BU253" s="7">
        <f>+Tabla145[[#This Row],[Asignación mes n+2]]*Tabla145[[#This Row],[% Uti. producción]]</f>
        <v>30146.971961613035</v>
      </c>
      <c r="BV253" s="7">
        <f>+Tabla145[[#This Row],[Ponderación mes n+2]]+Tabla145[[#This Row],[Saldo mes n-1]]</f>
        <v>180361.2166837088</v>
      </c>
      <c r="BW253" s="7">
        <f>+Tabla145[[#This Row],[Asignación mes n+2]]-Tabla145[[#This Row],[Ponderación mes n+2]]</f>
        <v>35792.095038386964</v>
      </c>
      <c r="BX253" s="7">
        <f>IFERROR(VLOOKUP(Tabla145[[#This Row],[Llave]],'[21]RV n+2 y n+3'!$B:$F,5,FALSE),0)</f>
        <v>33984.358</v>
      </c>
      <c r="BY253" s="7">
        <f>+Tabla145[[#This Row],[Asignación mes n+3]]*Tabla145[[#This Row],[% Uti. producción]]</f>
        <v>15537.458055926385</v>
      </c>
      <c r="BZ253" s="3">
        <f>+Tabla145[[#This Row],[Ponderación mes n+3]]+Tabla145[[#This Row],[Saldo mes n+2]]</f>
        <v>51329.553094313349</v>
      </c>
      <c r="CA253" s="3">
        <f>+Tabla145[[#This Row],[Asignación mes n+3]]-Tabla145[[#This Row],[Ponderación mes n+3]]</f>
        <v>18446.899944073615</v>
      </c>
      <c r="CB253" s="3">
        <f>+Tabla145[[#This Row],[Producción disponible mes n-1]]+Tabla145[[#This Row],[Producción disponible]]</f>
        <v>88280</v>
      </c>
      <c r="CC253" s="3">
        <f>+Tabla145[[#This Row],[Saldo mes n+4]]-Tabla145[[#This Row],[ RV Producción mes n+1]]</f>
        <v>0</v>
      </c>
    </row>
    <row r="254" spans="1:81" ht="16" x14ac:dyDescent="0.2">
      <c r="A254">
        <v>1</v>
      </c>
      <c r="B254" t="str">
        <f>Tabla145[[#This Row],[Oficina]]&amp;Tabla145[[#This Row],[Material]]</f>
        <v>Agro Sudamerica1030230</v>
      </c>
      <c r="C254" t="s">
        <v>204</v>
      </c>
      <c r="D254" t="s">
        <v>17</v>
      </c>
      <c r="E254">
        <v>1030230</v>
      </c>
      <c r="F254" t="s">
        <v>378</v>
      </c>
      <c r="G254" t="s">
        <v>71</v>
      </c>
      <c r="H254" t="s">
        <v>215</v>
      </c>
      <c r="I254" s="15">
        <f>IFERROR(VLOOKUP(Tabla145[[#This Row],[Llave]],'[7]RV Producción'!$C:$G,5,FALSE),0)</f>
        <v>0</v>
      </c>
      <c r="J254" s="3">
        <f>IFERROR(IF(Tabla145[[#This Row],[Oficina]]=$I$7,VLOOKUP(Tabla145[[#This Row],[Llave]],'[7]Shangai (Tomas)'!$A:$F,6,FALSE),VLOOKUP(Tabla145[[#This Row],[Llave]],'[7]RV plan de ventas'!$A:$E,5,FALSE)),0)</f>
        <v>0</v>
      </c>
      <c r="K254" s="17">
        <f>IFERROR(VLOOKUP(Tabla145[[#This Row],[Oficina]],[15]Ponderación!$B$2:$E$9,4,FALSE),0)</f>
        <v>0.45719439678473212</v>
      </c>
      <c r="L254" s="7">
        <f>+Tabla145[[#This Row],[ RV Producción mes n+1]]*Tabla145[[#This Row],[% Uti. producción]]</f>
        <v>0</v>
      </c>
      <c r="M254" s="7">
        <f>IFERROR(VLOOKUP(Tabla145[[#This Row],[Material]],[16]Stock!$G:$K,5,FALSE),0)</f>
        <v>0</v>
      </c>
      <c r="N254" s="7">
        <f>IFERROR(VLOOKUP(Tabla145[[#This Row],[Material]],[16]Produccion!$M:$N,2,FALSE),0)</f>
        <v>0</v>
      </c>
      <c r="O254" s="7">
        <f>IFERROR(VLOOKUP(Tabla145[[#This Row],[Llave]],'[16]TD Conf-AP'!$I:$M,4,FALSE),0)</f>
        <v>0</v>
      </c>
      <c r="P254" s="14">
        <f>SUM(Tabla145[[#This Row],[Producción disponible]],Tabla145[[#This Row],[Stock al día]],(Tabla145[[#This Row],[Por producir mes N]]*0.9))-Tabla145[[#This Row],[Producción por despachar mes N]]</f>
        <v>0</v>
      </c>
      <c r="Q254" s="7">
        <f>IFERROR(VLOOKUP(Tabla145[[#This Row],[Llave]],[17]DELAY!$A:$D,4,FALSE),0)</f>
        <v>0</v>
      </c>
      <c r="R254" s="9">
        <v>24000</v>
      </c>
      <c r="S254" s="5">
        <f t="shared" si="8"/>
        <v>0</v>
      </c>
      <c r="T254" s="76">
        <v>0</v>
      </c>
      <c r="U254" s="5">
        <f>+Tabla145[[#This Row],[Atraso a facturar]]+Tabla145[[#This Row],[Ajuste atraso]]</f>
        <v>0</v>
      </c>
      <c r="V254" s="3">
        <f>+Tabla145[[#This Row],[Total disponible]]-Tabla145[[#This Row],[Facturación atraso]]</f>
        <v>0</v>
      </c>
      <c r="W254" s="6">
        <f>IFERROR(IF(AND(V254&gt;R254,J254&gt;=R254),ROUNDDOWN((Tabla145[[#This Row],[Producción para venta nueva]])/R254,0)*R254,0),0)</f>
        <v>0</v>
      </c>
      <c r="X254" s="76">
        <v>0</v>
      </c>
      <c r="Y254" s="6">
        <f>IF(Tabla145[[#This Row],[Venta del mes]]&gt;0,Tabla145[[#This Row],[Venta del mes]]+Tabla145[[#This Row],[Ajuste venta nueva]],0)</f>
        <v>0</v>
      </c>
      <c r="Z254" s="6">
        <f>+Tabla145[[#This Row],[Producción para venta nueva]]-Tabla145[[#This Row],[Facturación Venta nueva]]</f>
        <v>0</v>
      </c>
      <c r="AA254" s="6">
        <f>IF(AND(A254=1,Tabla145[[#This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4" s="6">
        <v>0</v>
      </c>
      <c r="AC254" s="6">
        <f>IF(Tabla145[[#This Row],[Disponible stock sin venta]]&gt;0,Tabla145[[#This Row],[Disponible stock sin venta]]+Tabla145[[#This Row],[Ajuste stock sin venta]],0)</f>
        <v>0</v>
      </c>
      <c r="AD254" s="3">
        <f>IFERROR(VLOOKUP(Tabla145[[#This Row],[Llave]],'[16]TD Puerto'!$A:$D,4,FALSE),0)</f>
        <v>0</v>
      </c>
      <c r="AE254" s="3">
        <v>0</v>
      </c>
      <c r="AF254" s="3">
        <f>+Tabla145[[#This Row],[Plan Irrestricto Inicial]]</f>
        <v>0</v>
      </c>
      <c r="AG254" s="3">
        <f>+Tabla145[[#This Row],[En puerto a facturar]]</f>
        <v>0</v>
      </c>
      <c r="AH254" s="3">
        <f>+Tabla145[[#This Row],[Facturación atraso]]</f>
        <v>0</v>
      </c>
      <c r="AI254" s="3">
        <f>+Tabla145[[#This Row],[Plan Irrestricto]]-Tabla145[[#This Row],[Puerto ]]-Tabla145[[#This Row],[Atraso]]</f>
        <v>0</v>
      </c>
      <c r="AJ25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54" s="3">
        <f>+Tabla145[[#This Row],[Facturación atraso]]</f>
        <v>0</v>
      </c>
      <c r="AL254" s="3">
        <f>+Tabla145[[#This Row],[Plan Ajustado]]-Tabla145[[#This Row],[ Atraso ajustado]]-Tabla145[[#This Row],[Puerto ]]</f>
        <v>0</v>
      </c>
      <c r="AM254" s="6">
        <f>IFERROR(VLOOKUP(Tabla145[[#This Row],[Llave]],[18]!Tabla14[#All],34,FALSE),0)</f>
        <v>0</v>
      </c>
      <c r="AN254" s="6">
        <f>IFERROR(VLOOKUP(Tabla145[[#This Row],[Llave]],[18]!Tabla14[#All],35,FALSE),0)</f>
        <v>0</v>
      </c>
      <c r="AO254" s="3" t="str">
        <f>IF(Tabla145[[#This Row],[Plan Ajustado]]&gt;Tabla145[[#This Row],[En puerto a facturar]],"Si","No")</f>
        <v>No</v>
      </c>
      <c r="AP25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54" s="3">
        <f>IF(Tabla145[[#This Row],[Necesidad]]&gt;=Tabla145[[#This Row],[Stock al día]],Tabla145[[#This Row],[Stock al día]],Tabla145[[#This Row],[Necesidad]])</f>
        <v>0</v>
      </c>
      <c r="AR254" s="3">
        <f>+Tabla145[[#This Row],[Necesidad]]-Tabla145[[#This Row],[Stock Plan]]</f>
        <v>0</v>
      </c>
      <c r="AS254" s="155">
        <f>IFERROR(VLOOKUP(Tabla145[[#This Row],[Oficina]],[19]Ponderación!$B$14:$E$21,4,FALSE),"")</f>
        <v>44789</v>
      </c>
      <c r="AT25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54" s="83">
        <f>IFERROR(VLOOKUP(Tabla145[[#This Row],[Llave]],[17]DELAY!$H:$W,16,FALSE),0)</f>
        <v>0</v>
      </c>
      <c r="AV25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54" s="5">
        <f>Tabla145[[#This Row],[Ajuste precio IC]]*Tabla145[[#This Row],[Plan Ajustado]]</f>
        <v>0</v>
      </c>
      <c r="AX254" s="30">
        <f>IFERROR(VLOOKUP(Tabla145[[#This Row],[Llave]],'[13]Ultimos precios facturados'!$A:$G,7,FALSE),0)</f>
        <v>0</v>
      </c>
      <c r="AY25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54" s="30">
        <f>IFERROR(VLOOKUP(Tabla145[[#This Row],[Llave]],Hoja2!B:K,10,FALSE),0)</f>
        <v>0</v>
      </c>
      <c r="BA254" s="30">
        <f>IF(Tabla145[[#This Row],[Ajuste precio IC]]="",Tabla145[[#This Row],[Precio ponderado]],Tabla145[[#This Row],[Precio ponderado]])</f>
        <v>0</v>
      </c>
      <c r="BB254" s="82"/>
      <c r="BC254" s="82" t="str">
        <f>IF(AND(Tabla145[[#This Row],[Atraso a facturar]]&gt;0,Tabla145[[#This Row],[Precio Atraso]]=0),"Revisar","OK")</f>
        <v>OK</v>
      </c>
      <c r="BD254" s="82" t="str">
        <f>IF(AND(Tabla145[[#This Row],[Venta del mes]]&gt;0,Tabla145[[#This Row],[Precio venta nueva]]=0),"Revisar","OK")</f>
        <v>OK</v>
      </c>
      <c r="BE254" s="20">
        <f>IFERROR(VLOOKUP(Tabla145[[#This Row],[Llave]],'[5]Consolidación planes'!$A:$M,9,FALSE),0)</f>
        <v>0</v>
      </c>
      <c r="BF254" s="20">
        <f>IFERROR(VLOOKUP(Tabla145[[#This Row],[Llave]],'[5]Consolidación planes'!$A:$M,10,FALSE),0)</f>
        <v>0</v>
      </c>
      <c r="BG254" s="20">
        <f>IFERROR(VLOOKUP(Tabla145[[#This Row],[Llave]],'[5]Consolidación planes'!$A:$M,11,FALSE),0)</f>
        <v>0</v>
      </c>
      <c r="BH254" s="20">
        <f>IFERROR(VLOOKUP(Tabla145[[#This Row],[Llave]],'[5]Consolidación planes'!$A:$M,12,FALSE),0)</f>
        <v>0</v>
      </c>
      <c r="BI254" s="20">
        <f>IFERROR(VLOOKUP(Tabla145[[#This Row],[Llave]],'[5]Consolidación planes'!$A:$M,13,FALSE),0)</f>
        <v>0</v>
      </c>
      <c r="BJ254" s="20">
        <f>IFERROR(VLOOKUP(Tabla145[[#This Row],[Llave]],'[13]Base ultimos planes'!$A:$M,13,FALSE),0)</f>
        <v>0</v>
      </c>
      <c r="BK254" s="80">
        <f>IFERROR(VLOOKUP(Tabla145[[#This Row],[Llave]],'[13]Base ultimos planes'!$O:$AA,8,FALSE),0)</f>
        <v>0</v>
      </c>
      <c r="BL254" s="20">
        <f>IFERROR(VLOOKUP(Tabla145[[#This Row],[Llave]],'[13]Base ultimos planes'!$O:$AA,9,FALSE),0)</f>
        <v>0</v>
      </c>
      <c r="BM254" s="20">
        <f>IFERROR(VLOOKUP(Tabla145[[#This Row],[Llave]],'[13]Base ultimos planes'!$O:$AA,10,FALSE),0)</f>
        <v>0</v>
      </c>
      <c r="BN254" s="20">
        <f>IFERROR(VLOOKUP(Tabla145[[#This Row],[Llave]],'[13]Base ultimos planes'!$O:$AA,11,FALSE),0)</f>
        <v>0</v>
      </c>
      <c r="BO254" s="20">
        <f>IFERROR(VLOOKUP(Tabla145[[#This Row],[Llave]],'[13]Base ultimos planes'!$O:$AA,12,FALSE),0)</f>
        <v>0</v>
      </c>
      <c r="BP254" s="20">
        <f>IFERROR(VLOOKUP(Tabla145[[#This Row],[Llave]],'[13]Base ultimos planes'!$O:$AA,13,FALSE),0)</f>
        <v>0</v>
      </c>
      <c r="BQ254" s="20"/>
      <c r="BR254" s="20">
        <f>Tabla145[[#This Row],[ RV Producción mes n+1]]*(1-Tabla145[[#This Row],[% Uti. producción]])</f>
        <v>0</v>
      </c>
      <c r="BS254" s="20">
        <f>+Tabla145[[#This Row],[Producción disponible mes n-1]]+Tabla145[[#This Row],[Saldo Volumen disponible]]</f>
        <v>0</v>
      </c>
      <c r="BT254" s="7">
        <f>IFERROR(VLOOKUP(Tabla145[[#This Row],[Llave]],'[21]RV n+2 y n+3'!$B:$F,4,FALSE),0)</f>
        <v>0</v>
      </c>
      <c r="BU254" s="7">
        <f>+Tabla145[[#This Row],[Asignación mes n+2]]*Tabla145[[#This Row],[% Uti. producción]]</f>
        <v>0</v>
      </c>
      <c r="BV254" s="7">
        <f>+Tabla145[[#This Row],[Ponderación mes n+2]]+Tabla145[[#This Row],[Saldo mes n-1]]</f>
        <v>0</v>
      </c>
      <c r="BW254" s="7">
        <f>+Tabla145[[#This Row],[Asignación mes n+2]]-Tabla145[[#This Row],[Ponderación mes n+2]]</f>
        <v>0</v>
      </c>
      <c r="BX254" s="7">
        <f>IFERROR(VLOOKUP(Tabla145[[#This Row],[Llave]],'[21]RV n+2 y n+3'!$B:$F,5,FALSE),0)</f>
        <v>0</v>
      </c>
      <c r="BY254" s="7">
        <f>+Tabla145[[#This Row],[Asignación mes n+3]]*Tabla145[[#This Row],[% Uti. producción]]</f>
        <v>0</v>
      </c>
      <c r="BZ254" s="3">
        <f>+Tabla145[[#This Row],[Ponderación mes n+3]]+Tabla145[[#This Row],[Saldo mes n+2]]</f>
        <v>0</v>
      </c>
      <c r="CA254" s="3">
        <f>+Tabla145[[#This Row],[Asignación mes n+3]]-Tabla145[[#This Row],[Ponderación mes n+3]]</f>
        <v>0</v>
      </c>
      <c r="CB254" s="3">
        <f>+Tabla145[[#This Row],[Producción disponible mes n-1]]+Tabla145[[#This Row],[Producción disponible]]</f>
        <v>0</v>
      </c>
      <c r="CC254" s="3">
        <f>+Tabla145[[#This Row],[Saldo mes n+4]]-Tabla145[[#This Row],[ RV Producción mes n+1]]</f>
        <v>0</v>
      </c>
    </row>
    <row r="255" spans="1:81" ht="16" x14ac:dyDescent="0.2">
      <c r="A255">
        <v>1</v>
      </c>
      <c r="B255" t="str">
        <f>Tabla145[[#This Row],[Oficina]]&amp;Tabla145[[#This Row],[Material]]</f>
        <v>Agro Sudamerica1030672</v>
      </c>
      <c r="C255" t="s">
        <v>204</v>
      </c>
      <c r="D255" t="s">
        <v>17</v>
      </c>
      <c r="E255">
        <v>1030672</v>
      </c>
      <c r="F255" t="s">
        <v>379</v>
      </c>
      <c r="G255" t="s">
        <v>217</v>
      </c>
      <c r="H255" t="s">
        <v>218</v>
      </c>
      <c r="I255" s="15">
        <f>IFERROR(VLOOKUP(Tabla145[[#This Row],[Llave]],'[7]RV Producción'!$C:$G,5,FALSE),0)</f>
        <v>0</v>
      </c>
      <c r="J255" s="3">
        <f>IFERROR(IF(Tabla145[[#This Row],[Oficina]]=$I$7,VLOOKUP(Tabla145[[#This Row],[Llave]],'[7]Shangai (Tomas)'!$A:$F,6,FALSE),VLOOKUP(Tabla145[[#This Row],[Llave]],'[7]RV plan de ventas'!$A:$E,5,FALSE)),0)</f>
        <v>0</v>
      </c>
      <c r="K255" s="17">
        <f>IFERROR(VLOOKUP(Tabla145[[#This Row],[Oficina]],[15]Ponderación!$B$2:$E$9,4,FALSE),0)</f>
        <v>0.45719439678473212</v>
      </c>
      <c r="L255" s="7">
        <f>+Tabla145[[#This Row],[ RV Producción mes n+1]]*Tabla145[[#This Row],[% Uti. producción]]</f>
        <v>0</v>
      </c>
      <c r="M255" s="7">
        <f>IFERROR(VLOOKUP(Tabla145[[#This Row],[Material]],[16]Stock!$G:$K,5,FALSE),0)</f>
        <v>0</v>
      </c>
      <c r="N255" s="7">
        <f>IFERROR(VLOOKUP(Tabla145[[#This Row],[Material]],[16]Produccion!$M:$N,2,FALSE),0)</f>
        <v>0</v>
      </c>
      <c r="O255" s="7">
        <f>IFERROR(VLOOKUP(Tabla145[[#This Row],[Llave]],'[16]TD Conf-AP'!$I:$M,4,FALSE),0)</f>
        <v>0</v>
      </c>
      <c r="P255" s="14">
        <f>SUM(Tabla145[[#This Row],[Producción disponible]],Tabla145[[#This Row],[Stock al día]],(Tabla145[[#This Row],[Por producir mes N]]*0.9))-Tabla145[[#This Row],[Producción por despachar mes N]]</f>
        <v>0</v>
      </c>
      <c r="Q255" s="7">
        <f>IFERROR(VLOOKUP(Tabla145[[#This Row],[Llave]],[17]DELAY!$A:$D,4,FALSE),0)</f>
        <v>0</v>
      </c>
      <c r="R255" s="9">
        <v>24000</v>
      </c>
      <c r="S255" s="5">
        <f t="shared" si="8"/>
        <v>0</v>
      </c>
      <c r="T255" s="76">
        <v>0</v>
      </c>
      <c r="U255" s="5">
        <f>+Tabla145[[#This Row],[Atraso a facturar]]+Tabla145[[#This Row],[Ajuste atraso]]</f>
        <v>0</v>
      </c>
      <c r="V255" s="3">
        <f>+Tabla145[[#This Row],[Total disponible]]-Tabla145[[#This Row],[Facturación atraso]]</f>
        <v>0</v>
      </c>
      <c r="W255" s="6">
        <f>IFERROR(IF(AND(V255&gt;R255,J255&gt;=R255),ROUNDDOWN((Tabla145[[#This Row],[Producción para venta nueva]])/R255,0)*R255,0),0)</f>
        <v>0</v>
      </c>
      <c r="X255" s="76">
        <v>0</v>
      </c>
      <c r="Y255" s="6">
        <f>IF(Tabla145[[#This Row],[Venta del mes]]&gt;0,Tabla145[[#This Row],[Venta del mes]]+Tabla145[[#This Row],[Ajuste venta nueva]],0)</f>
        <v>0</v>
      </c>
      <c r="Z255" s="6">
        <f>+Tabla145[[#This Row],[Producción para venta nueva]]-Tabla145[[#This Row],[Facturación Venta nueva]]</f>
        <v>0</v>
      </c>
      <c r="AA255" s="6">
        <f>IF(AND(A255=1,Tabla145[[#This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5" s="6">
        <v>0</v>
      </c>
      <c r="AC255" s="6">
        <f>IF(Tabla145[[#This Row],[Disponible stock sin venta]]&gt;0,Tabla145[[#This Row],[Disponible stock sin venta]]+Tabla145[[#This Row],[Ajuste stock sin venta]],0)</f>
        <v>0</v>
      </c>
      <c r="AD255" s="3">
        <f>IFERROR(VLOOKUP(Tabla145[[#This Row],[Llave]],'[16]TD Puerto'!$A:$D,4,FALSE),0)</f>
        <v>0</v>
      </c>
      <c r="AE255" s="3">
        <v>0</v>
      </c>
      <c r="AF255" s="3">
        <f>+Tabla145[[#This Row],[Plan Irrestricto Inicial]]</f>
        <v>0</v>
      </c>
      <c r="AG255" s="3">
        <f>+Tabla145[[#This Row],[En puerto a facturar]]</f>
        <v>0</v>
      </c>
      <c r="AH255" s="3">
        <f>+Tabla145[[#This Row],[Facturación atraso]]</f>
        <v>0</v>
      </c>
      <c r="AI255" s="3">
        <f>+Tabla145[[#This Row],[Plan Irrestricto]]-Tabla145[[#This Row],[Puerto ]]-Tabla145[[#This Row],[Atraso]]</f>
        <v>0</v>
      </c>
      <c r="AJ25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55" s="3">
        <f>+Tabla145[[#This Row],[Facturación atraso]]</f>
        <v>0</v>
      </c>
      <c r="AL255" s="3">
        <f>+Tabla145[[#This Row],[Plan Ajustado]]-Tabla145[[#This Row],[ Atraso ajustado]]-Tabla145[[#This Row],[Puerto ]]</f>
        <v>0</v>
      </c>
      <c r="AM255" s="6">
        <f>IFERROR(VLOOKUP(Tabla145[[#This Row],[Llave]],[18]!Tabla14[#All],34,FALSE),0)</f>
        <v>0</v>
      </c>
      <c r="AN255" s="6">
        <f>IFERROR(VLOOKUP(Tabla145[[#This Row],[Llave]],[18]!Tabla14[#All],35,FALSE),0)</f>
        <v>0</v>
      </c>
      <c r="AO255" s="3" t="str">
        <f>IF(Tabla145[[#This Row],[Plan Ajustado]]&gt;Tabla145[[#This Row],[En puerto a facturar]],"Si","No")</f>
        <v>No</v>
      </c>
      <c r="AP25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55" s="3">
        <f>IF(Tabla145[[#This Row],[Necesidad]]&gt;=Tabla145[[#This Row],[Stock al día]],Tabla145[[#This Row],[Stock al día]],Tabla145[[#This Row],[Necesidad]])</f>
        <v>0</v>
      </c>
      <c r="AR255" s="3">
        <f>+Tabla145[[#This Row],[Necesidad]]-Tabla145[[#This Row],[Stock Plan]]</f>
        <v>0</v>
      </c>
      <c r="AS255" s="155">
        <f>IFERROR(VLOOKUP(Tabla145[[#This Row],[Oficina]],[19]Ponderación!$B$14:$E$21,4,FALSE),"")</f>
        <v>44789</v>
      </c>
      <c r="AT25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55" s="83">
        <f>IFERROR(VLOOKUP(Tabla145[[#This Row],[Llave]],[17]DELAY!$H:$W,16,FALSE),0)</f>
        <v>0</v>
      </c>
      <c r="AV25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55" s="5">
        <f>Tabla145[[#This Row],[Ajuste precio IC]]*Tabla145[[#This Row],[Plan Ajustado]]</f>
        <v>0</v>
      </c>
      <c r="AX255" s="30">
        <f>IFERROR(VLOOKUP(Tabla145[[#This Row],[Llave]],'[13]Ultimos precios facturados'!$A:$G,7,FALSE),0)</f>
        <v>0</v>
      </c>
      <c r="AY25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55" s="30">
        <f>IFERROR(VLOOKUP(Tabla145[[#This Row],[Llave]],Hoja2!B:K,10,FALSE),0)</f>
        <v>0</v>
      </c>
      <c r="BA255" s="30">
        <f>IF(Tabla145[[#This Row],[Ajuste precio IC]]="",Tabla145[[#This Row],[Precio ponderado]],Tabla145[[#This Row],[Precio ponderado]])</f>
        <v>0</v>
      </c>
      <c r="BB255" s="82"/>
      <c r="BC255" s="82" t="str">
        <f>IF(AND(Tabla145[[#This Row],[Atraso a facturar]]&gt;0,Tabla145[[#This Row],[Precio Atraso]]=0),"Revisar","OK")</f>
        <v>OK</v>
      </c>
      <c r="BD255" s="82" t="str">
        <f>IF(AND(Tabla145[[#This Row],[Venta del mes]]&gt;0,Tabla145[[#This Row],[Precio venta nueva]]=0),"Revisar","OK")</f>
        <v>OK</v>
      </c>
      <c r="BE255" s="20">
        <f>IFERROR(VLOOKUP(Tabla145[[#This Row],[Llave]],'[5]Consolidación planes'!$A:$M,9,FALSE),0)</f>
        <v>0</v>
      </c>
      <c r="BF255" s="20">
        <f>IFERROR(VLOOKUP(Tabla145[[#This Row],[Llave]],'[5]Consolidación planes'!$A:$M,10,FALSE),0)</f>
        <v>0</v>
      </c>
      <c r="BG255" s="20">
        <f>IFERROR(VLOOKUP(Tabla145[[#This Row],[Llave]],'[5]Consolidación planes'!$A:$M,11,FALSE),0)</f>
        <v>0</v>
      </c>
      <c r="BH255" s="20">
        <f>IFERROR(VLOOKUP(Tabla145[[#This Row],[Llave]],'[5]Consolidación planes'!$A:$M,12,FALSE),0)</f>
        <v>0</v>
      </c>
      <c r="BI255" s="20">
        <f>IFERROR(VLOOKUP(Tabla145[[#This Row],[Llave]],'[5]Consolidación planes'!$A:$M,13,FALSE),0)</f>
        <v>0</v>
      </c>
      <c r="BJ255" s="20">
        <f>IFERROR(VLOOKUP(Tabla145[[#This Row],[Llave]],'[13]Base ultimos planes'!$A:$M,13,FALSE),0)</f>
        <v>0</v>
      </c>
      <c r="BK255" s="80">
        <f>IFERROR(VLOOKUP(Tabla145[[#This Row],[Llave]],'[13]Base ultimos planes'!$O:$AA,8,FALSE),0)</f>
        <v>0</v>
      </c>
      <c r="BL255" s="20">
        <f>IFERROR(VLOOKUP(Tabla145[[#This Row],[Llave]],'[13]Base ultimos planes'!$O:$AA,9,FALSE),0)</f>
        <v>0</v>
      </c>
      <c r="BM255" s="20">
        <f>IFERROR(VLOOKUP(Tabla145[[#This Row],[Llave]],'[13]Base ultimos planes'!$O:$AA,10,FALSE),0)</f>
        <v>0</v>
      </c>
      <c r="BN255" s="20">
        <f>IFERROR(VLOOKUP(Tabla145[[#This Row],[Llave]],'[13]Base ultimos planes'!$O:$AA,11,FALSE),0)</f>
        <v>0</v>
      </c>
      <c r="BO255" s="20">
        <f>IFERROR(VLOOKUP(Tabla145[[#This Row],[Llave]],'[13]Base ultimos planes'!$O:$AA,12,FALSE),0)</f>
        <v>0</v>
      </c>
      <c r="BP255" s="20">
        <f>IFERROR(VLOOKUP(Tabla145[[#This Row],[Llave]],'[13]Base ultimos planes'!$O:$AA,13,FALSE),0)</f>
        <v>0</v>
      </c>
      <c r="BQ255" s="20"/>
      <c r="BR255" s="20">
        <f>Tabla145[[#This Row],[ RV Producción mes n+1]]*(1-Tabla145[[#This Row],[% Uti. producción]])</f>
        <v>0</v>
      </c>
      <c r="BS255" s="20">
        <f>+Tabla145[[#This Row],[Producción disponible mes n-1]]+Tabla145[[#This Row],[Saldo Volumen disponible]]</f>
        <v>0</v>
      </c>
      <c r="BT255" s="7">
        <f>IFERROR(VLOOKUP(Tabla145[[#This Row],[Llave]],'[21]RV n+2 y n+3'!$B:$F,4,FALSE),0)</f>
        <v>0</v>
      </c>
      <c r="BU255" s="7">
        <f>+Tabla145[[#This Row],[Asignación mes n+2]]*Tabla145[[#This Row],[% Uti. producción]]</f>
        <v>0</v>
      </c>
      <c r="BV255" s="7">
        <f>+Tabla145[[#This Row],[Ponderación mes n+2]]+Tabla145[[#This Row],[Saldo mes n-1]]</f>
        <v>0</v>
      </c>
      <c r="BW255" s="7">
        <f>+Tabla145[[#This Row],[Asignación mes n+2]]-Tabla145[[#This Row],[Ponderación mes n+2]]</f>
        <v>0</v>
      </c>
      <c r="BX255" s="7">
        <f>IFERROR(VLOOKUP(Tabla145[[#This Row],[Llave]],'[21]RV n+2 y n+3'!$B:$F,5,FALSE),0)</f>
        <v>0</v>
      </c>
      <c r="BY255" s="7">
        <f>+Tabla145[[#This Row],[Asignación mes n+3]]*Tabla145[[#This Row],[% Uti. producción]]</f>
        <v>0</v>
      </c>
      <c r="BZ255" s="3">
        <f>+Tabla145[[#This Row],[Ponderación mes n+3]]+Tabla145[[#This Row],[Saldo mes n+2]]</f>
        <v>0</v>
      </c>
      <c r="CA255" s="3">
        <f>+Tabla145[[#This Row],[Asignación mes n+3]]-Tabla145[[#This Row],[Ponderación mes n+3]]</f>
        <v>0</v>
      </c>
      <c r="CB255" s="3">
        <f>+Tabla145[[#This Row],[Producción disponible mes n-1]]+Tabla145[[#This Row],[Producción disponible]]</f>
        <v>0</v>
      </c>
      <c r="CC255" s="3">
        <f>+Tabla145[[#This Row],[Saldo mes n+4]]-Tabla145[[#This Row],[ RV Producción mes n+1]]</f>
        <v>0</v>
      </c>
    </row>
    <row r="256" spans="1:81" ht="16" x14ac:dyDescent="0.2">
      <c r="A256">
        <v>2</v>
      </c>
      <c r="B256" t="str">
        <f>Tabla145[[#This Row],[Oficina]]&amp;Tabla145[[#This Row],[Material]]</f>
        <v>Agrosuper Shanghai1021905</v>
      </c>
      <c r="C256" t="s">
        <v>6</v>
      </c>
      <c r="D256" t="s">
        <v>140</v>
      </c>
      <c r="E256">
        <v>1021905</v>
      </c>
      <c r="F256" t="s">
        <v>283</v>
      </c>
      <c r="G256" t="s">
        <v>71</v>
      </c>
      <c r="H256" t="s">
        <v>72</v>
      </c>
      <c r="I256" s="15">
        <f>IFERROR(VLOOKUP(Tabla145[[#This Row],[Llave]],'[7]RV Producción'!$C:$G,5,FALSE),0)</f>
        <v>264991</v>
      </c>
      <c r="J256" s="3">
        <f>IFERROR(IF(Tabla145[[#This Row],[Oficina]]=$I$7,VLOOKUP(Tabla145[[#This Row],[Llave]],'[7]Shangai (Tomas)'!$A:$F,6,FALSE),VLOOKUP(Tabla145[[#This Row],[Llave]],'[7]RV plan de ventas'!$A:$E,5,FALSE)),0)</f>
        <v>0</v>
      </c>
      <c r="K256" s="17">
        <f>IFERROR(VLOOKUP(Tabla145[[#This Row],[Oficina]],[15]Ponderación!$B$2:$E$9,4,FALSE),0)</f>
        <v>0.45719439678473212</v>
      </c>
      <c r="L256" s="7">
        <f>+Tabla145[[#This Row],[ RV Producción mes n+1]]*Tabla145[[#This Row],[% Uti. producción]]</f>
        <v>121152.40039838295</v>
      </c>
      <c r="M256" s="7">
        <f>IFERROR(VLOOKUP(Tabla145[[#This Row],[Material]],[16]Stock!$G:$K,5,FALSE),0)</f>
        <v>9089</v>
      </c>
      <c r="N256" s="7">
        <f>IFERROR(VLOOKUP(Tabla145[[#This Row],[Material]],[16]Produccion!$M:$N,2,FALSE),0)</f>
        <v>0</v>
      </c>
      <c r="O256" s="7">
        <f>IFERROR(VLOOKUP(Tabla145[[#This Row],[Llave]],'[16]TD Conf-AP'!$I:$M,4,FALSE),0)</f>
        <v>0</v>
      </c>
      <c r="P256" s="14">
        <f>SUM(Tabla145[[#This Row],[Producción disponible]],Tabla145[[#This Row],[Stock al día]],(Tabla145[[#This Row],[Por producir mes N]]*0.9))-Tabla145[[#This Row],[Producción por despachar mes N]]</f>
        <v>130241.40039838295</v>
      </c>
      <c r="Q256" s="7">
        <f>IFERROR(VLOOKUP(Tabla145[[#This Row],[Llave]],[17]DELAY!$A:$D,4,FALSE),0)</f>
        <v>0</v>
      </c>
      <c r="R256" s="9">
        <v>24000</v>
      </c>
      <c r="S256" s="5">
        <f t="shared" si="8"/>
        <v>0</v>
      </c>
      <c r="T256" s="76"/>
      <c r="U256" s="5">
        <f>+Tabla145[[#This Row],[Atraso a facturar]]+Tabla145[[#This Row],[Ajuste atraso]]</f>
        <v>0</v>
      </c>
      <c r="V256" s="3">
        <f>+Tabla145[[#This Row],[Total disponible]]-Tabla145[[#This Row],[Facturación atraso]]</f>
        <v>130241.40039838295</v>
      </c>
      <c r="W256" s="6">
        <f>IFERROR(IF(AND(V256&gt;R256,J256&gt;=R256),ROUNDDOWN((Tabla145[[#This Row],[Producción para venta nueva]])/R256,0)*R256,0),0)</f>
        <v>0</v>
      </c>
      <c r="X256" s="76">
        <v>0</v>
      </c>
      <c r="Y256" s="6">
        <f>IF(Tabla145[[#This Row],[Venta del mes]]&gt;0,Tabla145[[#This Row],[Venta del mes]]+Tabla145[[#This Row],[Ajuste venta nueva]],0)</f>
        <v>0</v>
      </c>
      <c r="Z256" s="6">
        <f>+Tabla145[[#This Row],[Producción para venta nueva]]-Tabla145[[#This Row],[Facturación Venta nueva]]</f>
        <v>130241.40039838295</v>
      </c>
      <c r="AA256" s="6">
        <f>IF(AND(A256=1,Tabla145[[#This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6" s="6">
        <v>0</v>
      </c>
      <c r="AC256" s="6">
        <f>IF(Tabla145[[#This Row],[Disponible stock sin venta]]&gt;0,Tabla145[[#This Row],[Disponible stock sin venta]]+Tabla145[[#This Row],[Ajuste stock sin venta]],0)</f>
        <v>0</v>
      </c>
      <c r="AD256" s="3">
        <f>IFERROR(VLOOKUP(Tabla145[[#This Row],[Llave]],'[16]TD Puerto'!$A:$D,4,FALSE),0)</f>
        <v>0</v>
      </c>
      <c r="AE256" s="3">
        <v>0</v>
      </c>
      <c r="AF256" s="3">
        <f>+Tabla145[[#This Row],[Plan Irrestricto Inicial]]</f>
        <v>0</v>
      </c>
      <c r="AG256" s="3">
        <f>+Tabla145[[#This Row],[En puerto a facturar]]</f>
        <v>0</v>
      </c>
      <c r="AH256" s="3">
        <f>+Tabla145[[#This Row],[Facturación atraso]]</f>
        <v>0</v>
      </c>
      <c r="AI256" s="3">
        <f>+Tabla145[[#This Row],[Plan Irrestricto]]-Tabla145[[#This Row],[Puerto ]]-Tabla145[[#This Row],[Atraso]]</f>
        <v>0</v>
      </c>
      <c r="AJ25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56" s="3">
        <f>+Tabla145[[#This Row],[Facturación atraso]]</f>
        <v>0</v>
      </c>
      <c r="AL256" s="3">
        <f>+Tabla145[[#This Row],[Plan Ajustado]]-Tabla145[[#This Row],[ Atraso ajustado]]-Tabla145[[#This Row],[Puerto ]]</f>
        <v>0</v>
      </c>
      <c r="AM256" s="6">
        <f>IFERROR(VLOOKUP(Tabla145[[#This Row],[Llave]],[18]!Tabla14[#All],34,FALSE),0)</f>
        <v>0</v>
      </c>
      <c r="AN256" s="6">
        <f>IFERROR(VLOOKUP(Tabla145[[#This Row],[Llave]],[18]!Tabla14[#All],35,FALSE),0)</f>
        <v>0</v>
      </c>
      <c r="AO256" s="3" t="str">
        <f>IF(Tabla145[[#This Row],[Plan Ajustado]]&gt;Tabla145[[#This Row],[En puerto a facturar]],"Si","No")</f>
        <v>No</v>
      </c>
      <c r="AP25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56" s="3">
        <f>IF(Tabla145[[#This Row],[Necesidad]]&gt;=Tabla145[[#This Row],[Stock al día]],Tabla145[[#This Row],[Stock al día]],Tabla145[[#This Row],[Necesidad]])</f>
        <v>0</v>
      </c>
      <c r="AR256" s="3">
        <f>+Tabla145[[#This Row],[Necesidad]]-Tabla145[[#This Row],[Stock Plan]]</f>
        <v>0</v>
      </c>
      <c r="AS256" s="155">
        <f>IFERROR(VLOOKUP(Tabla145[[#This Row],[Oficina]],[19]Ponderación!$B$14:$E$21,4,FALSE),"")</f>
        <v>44786</v>
      </c>
      <c r="AT25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1.4083154265947304</v>
      </c>
      <c r="AU256" s="83">
        <f>IFERROR(VLOOKUP(Tabla145[[#This Row],[Llave]],[17]DELAY!$H:$W,16,FALSE),0)</f>
        <v>0</v>
      </c>
      <c r="AV25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56" s="5">
        <f>Tabla145[[#This Row],[Ajuste precio IC]]*Tabla145[[#This Row],[Plan Ajustado]]</f>
        <v>0</v>
      </c>
      <c r="AX256" s="30">
        <f>IFERROR(VLOOKUP(Tabla145[[#This Row],[Llave]],'[13]Ultimos precios facturados'!$A:$G,7,FALSE),0)</f>
        <v>1.4083154265947304</v>
      </c>
      <c r="AY25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56" s="30">
        <f>IFERROR(VLOOKUP(Tabla145[[#This Row],[Llave]],Hoja2!B:K,10,FALSE),0)</f>
        <v>0</v>
      </c>
      <c r="BA256" s="30">
        <f>IF(Tabla145[[#This Row],[Ajuste precio IC]]="",Tabla145[[#This Row],[Precio ponderado]],Tabla145[[#This Row],[Precio ponderado]])</f>
        <v>0</v>
      </c>
      <c r="BB256" s="82"/>
      <c r="BC256" s="82" t="str">
        <f>IF(AND(Tabla145[[#This Row],[Atraso a facturar]]&gt;0,Tabla145[[#This Row],[Precio Atraso]]=0),"Revisar","OK")</f>
        <v>OK</v>
      </c>
      <c r="BD256" s="82" t="str">
        <f>IF(AND(Tabla145[[#This Row],[Venta del mes]]&gt;0,Tabla145[[#This Row],[Precio venta nueva]]=0),"Revisar","OK")</f>
        <v>OK</v>
      </c>
      <c r="BE256" s="20">
        <f>IFERROR(VLOOKUP(Tabla145[[#This Row],[Llave]],'[5]Consolidación planes'!$A:$M,9,FALSE),0)</f>
        <v>0</v>
      </c>
      <c r="BF256" s="20">
        <f>IFERROR(VLOOKUP(Tabla145[[#This Row],[Llave]],'[5]Consolidación planes'!$A:$M,10,FALSE),0)</f>
        <v>0</v>
      </c>
      <c r="BG256" s="20">
        <f>IFERROR(VLOOKUP(Tabla145[[#This Row],[Llave]],'[5]Consolidación planes'!$A:$M,11,FALSE),0)</f>
        <v>0</v>
      </c>
      <c r="BH256" s="20">
        <f>IFERROR(VLOOKUP(Tabla145[[#This Row],[Llave]],'[5]Consolidación planes'!$A:$M,12,FALSE),0)</f>
        <v>0</v>
      </c>
      <c r="BI256" s="20">
        <f>IFERROR(VLOOKUP(Tabla145[[#This Row],[Llave]],'[5]Consolidación planes'!$A:$M,13,FALSE),0)</f>
        <v>0</v>
      </c>
      <c r="BJ256" s="20">
        <f>IFERROR(VLOOKUP(Tabla145[[#This Row],[Llave]],'[13]Base ultimos planes'!$A:$M,13,FALSE),0)</f>
        <v>0</v>
      </c>
      <c r="BK256" s="80">
        <f>IFERROR(VLOOKUP(Tabla145[[#This Row],[Llave]],'[13]Base ultimos planes'!$O:$AA,8,FALSE),0)</f>
        <v>0</v>
      </c>
      <c r="BL256" s="20">
        <f>IFERROR(VLOOKUP(Tabla145[[#This Row],[Llave]],'[13]Base ultimos planes'!$O:$AA,9,FALSE),0)</f>
        <v>0</v>
      </c>
      <c r="BM256" s="20">
        <f>IFERROR(VLOOKUP(Tabla145[[#This Row],[Llave]],'[13]Base ultimos planes'!$O:$AA,10,FALSE),0)</f>
        <v>0</v>
      </c>
      <c r="BN256" s="20">
        <f>IFERROR(VLOOKUP(Tabla145[[#This Row],[Llave]],'[13]Base ultimos planes'!$O:$AA,11,FALSE),0)</f>
        <v>0</v>
      </c>
      <c r="BO256" s="20">
        <f>IFERROR(VLOOKUP(Tabla145[[#This Row],[Llave]],'[13]Base ultimos planes'!$O:$AA,12,FALSE),0)</f>
        <v>0</v>
      </c>
      <c r="BP256" s="20">
        <f>IFERROR(VLOOKUP(Tabla145[[#This Row],[Llave]],'[13]Base ultimos planes'!$O:$AA,13,FALSE),0)</f>
        <v>0</v>
      </c>
      <c r="BQ256" s="20"/>
      <c r="BR256" s="20">
        <f>Tabla145[[#This Row],[ RV Producción mes n+1]]*(1-Tabla145[[#This Row],[% Uti. producción]])</f>
        <v>143838.59960161705</v>
      </c>
      <c r="BS256" s="20">
        <f>+Tabla145[[#This Row],[Producción disponible mes n-1]]+Tabla145[[#This Row],[Saldo Volumen disponible]]</f>
        <v>274080</v>
      </c>
      <c r="BT256" s="7">
        <f>IFERROR(VLOOKUP(Tabla145[[#This Row],[Llave]],'[21]RV n+2 y n+3'!$B:$F,4,FALSE),0)</f>
        <v>239999.99699999997</v>
      </c>
      <c r="BU256" s="7">
        <f>+Tabla145[[#This Row],[Asignación mes n+2]]*Tabla145[[#This Row],[% Uti. producción]]</f>
        <v>109726.6538567525</v>
      </c>
      <c r="BV256" s="7">
        <f>+Tabla145[[#This Row],[Ponderación mes n+2]]+Tabla145[[#This Row],[Saldo mes n-1]]</f>
        <v>383806.6538567525</v>
      </c>
      <c r="BW256" s="7">
        <f>+Tabla145[[#This Row],[Asignación mes n+2]]-Tabla145[[#This Row],[Ponderación mes n+2]]</f>
        <v>130273.34314324748</v>
      </c>
      <c r="BX256" s="7">
        <f>IFERROR(VLOOKUP(Tabla145[[#This Row],[Llave]],'[21]RV n+2 y n+3'!$B:$F,5,FALSE),0)</f>
        <v>240000</v>
      </c>
      <c r="BY256" s="7">
        <f>+Tabla145[[#This Row],[Asignación mes n+3]]*Tabla145[[#This Row],[% Uti. producción]]</f>
        <v>109726.6552283357</v>
      </c>
      <c r="BZ256" s="3">
        <f>+Tabla145[[#This Row],[Ponderación mes n+3]]+Tabla145[[#This Row],[Saldo mes n+2]]</f>
        <v>239999.99837158318</v>
      </c>
      <c r="CA256" s="3">
        <f>+Tabla145[[#This Row],[Asignación mes n+3]]-Tabla145[[#This Row],[Ponderación mes n+3]]</f>
        <v>130273.3447716643</v>
      </c>
      <c r="CB256" s="3">
        <f>+Tabla145[[#This Row],[Producción disponible mes n-1]]+Tabla145[[#This Row],[Producción disponible]]</f>
        <v>264991</v>
      </c>
      <c r="CC256" s="3">
        <f>+Tabla145[[#This Row],[Saldo mes n+4]]-Tabla145[[#This Row],[ RV Producción mes n+1]]</f>
        <v>0</v>
      </c>
    </row>
    <row r="257" spans="1:81" ht="16" x14ac:dyDescent="0.2">
      <c r="A257">
        <v>2</v>
      </c>
      <c r="B257" t="str">
        <f>Tabla145[[#This Row],[Oficina]]&amp;Tabla145[[#This Row],[Material]]</f>
        <v>Agrosuper Shanghai1021971</v>
      </c>
      <c r="C257" t="s">
        <v>6</v>
      </c>
      <c r="D257" t="s">
        <v>140</v>
      </c>
      <c r="E257">
        <v>1021971</v>
      </c>
      <c r="F257" t="s">
        <v>399</v>
      </c>
      <c r="G257" t="s">
        <v>8</v>
      </c>
      <c r="H257" t="s">
        <v>28</v>
      </c>
      <c r="I257" s="15">
        <f>IFERROR(VLOOKUP(Tabla145[[#This Row],[Llave]],'[7]RV Producción'!$C:$G,5,FALSE),0)</f>
        <v>0</v>
      </c>
      <c r="J257" s="3">
        <f>IFERROR(IF(Tabla145[[#This Row],[Oficina]]=$I$7,VLOOKUP(Tabla145[[#This Row],[Llave]],'[7]Shangai (Tomas)'!$A:$F,6,FALSE),VLOOKUP(Tabla145[[#This Row],[Llave]],'[7]RV plan de ventas'!$A:$E,5,FALSE)),0)</f>
        <v>0</v>
      </c>
      <c r="K257" s="17">
        <f>IFERROR(VLOOKUP(Tabla145[[#This Row],[Oficina]],[15]Ponderación!$B$2:$E$9,4,FALSE),0)</f>
        <v>0.45719439678473212</v>
      </c>
      <c r="L257" s="7">
        <f>+Tabla145[[#This Row],[ RV Producción mes n+1]]*Tabla145[[#This Row],[% Uti. producción]]</f>
        <v>0</v>
      </c>
      <c r="M257" s="7">
        <f>IFERROR(VLOOKUP(Tabla145[[#This Row],[Material]],[16]Stock!$G:$K,5,FALSE),0)</f>
        <v>11260</v>
      </c>
      <c r="N257" s="7">
        <f>IFERROR(VLOOKUP(Tabla145[[#This Row],[Material]],[16]Produccion!$M:$N,2,FALSE),0)</f>
        <v>0</v>
      </c>
      <c r="O257" s="7">
        <f>IFERROR(VLOOKUP(Tabla145[[#This Row],[Llave]],'[16]TD Conf-AP'!$I:$M,4,FALSE),0)</f>
        <v>0</v>
      </c>
      <c r="P257" s="14">
        <f>SUM(Tabla145[[#This Row],[Producción disponible]],Tabla145[[#This Row],[Stock al día]],(Tabla145[[#This Row],[Por producir mes N]]*0.9))-Tabla145[[#This Row],[Producción por despachar mes N]]</f>
        <v>11260</v>
      </c>
      <c r="Q257" s="7">
        <f>IFERROR(VLOOKUP(Tabla145[[#This Row],[Llave]],[17]DELAY!$A:$D,4,FALSE),0)</f>
        <v>0</v>
      </c>
      <c r="R257" s="9">
        <v>24000</v>
      </c>
      <c r="S257" s="5">
        <f t="shared" si="8"/>
        <v>0</v>
      </c>
      <c r="T257" s="76"/>
      <c r="U257" s="5">
        <f>+Tabla145[[#This Row],[Atraso a facturar]]+Tabla145[[#This Row],[Ajuste atraso]]</f>
        <v>0</v>
      </c>
      <c r="V257" s="3">
        <f>+Tabla145[[#This Row],[Total disponible]]-Tabla145[[#This Row],[Facturación atraso]]</f>
        <v>11260</v>
      </c>
      <c r="W257" s="6">
        <f>IFERROR(IF(AND(V257&gt;R257,J257&gt;=R257),ROUNDDOWN((Tabla145[[#This Row],[Producción para venta nueva]])/R257,0)*R257,0),0)</f>
        <v>0</v>
      </c>
      <c r="X257" s="76">
        <v>0</v>
      </c>
      <c r="Y257" s="6">
        <f>IF(Tabla145[[#This Row],[Venta del mes]]&gt;0,Tabla145[[#This Row],[Venta del mes]]+Tabla145[[#This Row],[Ajuste venta nueva]],0)</f>
        <v>0</v>
      </c>
      <c r="Z257" s="6">
        <f>+Tabla145[[#This Row],[Producción para venta nueva]]-Tabla145[[#This Row],[Facturación Venta nueva]]</f>
        <v>11260</v>
      </c>
      <c r="AA257" s="6">
        <f>IF(AND(A257=1,Tabla145[[#This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7" s="6">
        <v>0</v>
      </c>
      <c r="AC257" s="6">
        <f>IF(Tabla145[[#This Row],[Disponible stock sin venta]]&gt;0,Tabla145[[#This Row],[Disponible stock sin venta]]+Tabla145[[#This Row],[Ajuste stock sin venta]],0)</f>
        <v>0</v>
      </c>
      <c r="AD257" s="3">
        <f>IFERROR(VLOOKUP(Tabla145[[#This Row],[Llave]],'[16]TD Puerto'!$A:$D,4,FALSE),0)</f>
        <v>0</v>
      </c>
      <c r="AE257" s="3">
        <v>0</v>
      </c>
      <c r="AF257" s="3">
        <f>+Tabla145[[#This Row],[Plan Irrestricto Inicial]]</f>
        <v>0</v>
      </c>
      <c r="AG257" s="3">
        <f>+Tabla145[[#This Row],[En puerto a facturar]]</f>
        <v>0</v>
      </c>
      <c r="AH257" s="3">
        <f>+Tabla145[[#This Row],[Facturación atraso]]</f>
        <v>0</v>
      </c>
      <c r="AI257" s="3">
        <f>+Tabla145[[#This Row],[Plan Irrestricto]]-Tabla145[[#This Row],[Puerto ]]-Tabla145[[#This Row],[Atraso]]</f>
        <v>0</v>
      </c>
      <c r="AJ25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57" s="3">
        <f>+Tabla145[[#This Row],[Facturación atraso]]</f>
        <v>0</v>
      </c>
      <c r="AL257" s="3">
        <f>+Tabla145[[#This Row],[Plan Ajustado]]-Tabla145[[#This Row],[ Atraso ajustado]]-Tabla145[[#This Row],[Puerto ]]</f>
        <v>0</v>
      </c>
      <c r="AM257" s="6">
        <f>IFERROR(VLOOKUP(Tabla145[[#This Row],[Llave]],[18]!Tabla14[#All],34,FALSE),0)</f>
        <v>0</v>
      </c>
      <c r="AN257" s="6">
        <f>IFERROR(VLOOKUP(Tabla145[[#This Row],[Llave]],[18]!Tabla14[#All],35,FALSE),0)</f>
        <v>0</v>
      </c>
      <c r="AO257" s="3" t="str">
        <f>IF(Tabla145[[#This Row],[Plan Ajustado]]&gt;Tabla145[[#This Row],[En puerto a facturar]],"Si","No")</f>
        <v>No</v>
      </c>
      <c r="AP25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57" s="3">
        <f>IF(Tabla145[[#This Row],[Necesidad]]&gt;=Tabla145[[#This Row],[Stock al día]],Tabla145[[#This Row],[Stock al día]],Tabla145[[#This Row],[Necesidad]])</f>
        <v>0</v>
      </c>
      <c r="AR257" s="3">
        <f>+Tabla145[[#This Row],[Necesidad]]-Tabla145[[#This Row],[Stock Plan]]</f>
        <v>0</v>
      </c>
      <c r="AS257" s="155">
        <f>IFERROR(VLOOKUP(Tabla145[[#This Row],[Oficina]],[19]Ponderación!$B$14:$E$21,4,FALSE),"")</f>
        <v>44786</v>
      </c>
      <c r="AT25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1.8032367974564296</v>
      </c>
      <c r="AU257" s="83">
        <f>IFERROR(VLOOKUP(Tabla145[[#This Row],[Llave]],[17]DELAY!$H:$W,16,FALSE),0)</f>
        <v>0</v>
      </c>
      <c r="AV25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57" s="5">
        <f>Tabla145[[#This Row],[Ajuste precio IC]]*Tabla145[[#This Row],[Plan Ajustado]]</f>
        <v>0</v>
      </c>
      <c r="AX257" s="30">
        <f>IFERROR(VLOOKUP(Tabla145[[#This Row],[Llave]],'[13]Ultimos precios facturados'!$A:$G,7,FALSE),0)</f>
        <v>1.8032367974564296</v>
      </c>
      <c r="AY25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57" s="30">
        <f>IFERROR(VLOOKUP(Tabla145[[#This Row],[Llave]],Hoja2!B:K,10,FALSE),0)</f>
        <v>0</v>
      </c>
      <c r="BA257" s="30">
        <f>IF(Tabla145[[#This Row],[Ajuste precio IC]]="",Tabla145[[#This Row],[Precio ponderado]],Tabla145[[#This Row],[Precio ponderado]])</f>
        <v>0</v>
      </c>
      <c r="BB257" s="82"/>
      <c r="BC257" s="82" t="str">
        <f>IF(AND(Tabla145[[#This Row],[Atraso a facturar]]&gt;0,Tabla145[[#This Row],[Precio Atraso]]=0),"Revisar","OK")</f>
        <v>OK</v>
      </c>
      <c r="BD257" s="82" t="str">
        <f>IF(AND(Tabla145[[#This Row],[Venta del mes]]&gt;0,Tabla145[[#This Row],[Precio venta nueva]]=0),"Revisar","OK")</f>
        <v>OK</v>
      </c>
      <c r="BE257" s="20">
        <f>IFERROR(VLOOKUP(Tabla145[[#This Row],[Llave]],'[5]Consolidación planes'!$A:$M,9,FALSE),0)</f>
        <v>0</v>
      </c>
      <c r="BF257" s="20">
        <f>IFERROR(VLOOKUP(Tabla145[[#This Row],[Llave]],'[5]Consolidación planes'!$A:$M,10,FALSE),0)</f>
        <v>0</v>
      </c>
      <c r="BG257" s="20">
        <f>IFERROR(VLOOKUP(Tabla145[[#This Row],[Llave]],'[5]Consolidación planes'!$A:$M,11,FALSE),0)</f>
        <v>0</v>
      </c>
      <c r="BH257" s="20">
        <f>IFERROR(VLOOKUP(Tabla145[[#This Row],[Llave]],'[5]Consolidación planes'!$A:$M,12,FALSE),0)</f>
        <v>0</v>
      </c>
      <c r="BI257" s="20">
        <f>IFERROR(VLOOKUP(Tabla145[[#This Row],[Llave]],'[5]Consolidación planes'!$A:$M,13,FALSE),0)</f>
        <v>0</v>
      </c>
      <c r="BJ257" s="20">
        <f>IFERROR(VLOOKUP(Tabla145[[#This Row],[Llave]],'[13]Base ultimos planes'!$A:$M,13,FALSE),0)</f>
        <v>0</v>
      </c>
      <c r="BK257" s="80">
        <f>IFERROR(VLOOKUP(Tabla145[[#This Row],[Llave]],'[13]Base ultimos planes'!$O:$AA,8,FALSE),0)</f>
        <v>0</v>
      </c>
      <c r="BL257" s="20">
        <f>IFERROR(VLOOKUP(Tabla145[[#This Row],[Llave]],'[13]Base ultimos planes'!$O:$AA,9,FALSE),0)</f>
        <v>0</v>
      </c>
      <c r="BM257" s="20">
        <f>IFERROR(VLOOKUP(Tabla145[[#This Row],[Llave]],'[13]Base ultimos planes'!$O:$AA,10,FALSE),0)</f>
        <v>0</v>
      </c>
      <c r="BN257" s="20">
        <f>IFERROR(VLOOKUP(Tabla145[[#This Row],[Llave]],'[13]Base ultimos planes'!$O:$AA,11,FALSE),0)</f>
        <v>0</v>
      </c>
      <c r="BO257" s="20">
        <f>IFERROR(VLOOKUP(Tabla145[[#This Row],[Llave]],'[13]Base ultimos planes'!$O:$AA,12,FALSE),0)</f>
        <v>0</v>
      </c>
      <c r="BP257" s="20">
        <f>IFERROR(VLOOKUP(Tabla145[[#This Row],[Llave]],'[13]Base ultimos planes'!$O:$AA,13,FALSE),0)</f>
        <v>0</v>
      </c>
      <c r="BQ257" s="20"/>
      <c r="BR257" s="20">
        <f>Tabla145[[#This Row],[ RV Producción mes n+1]]*(1-Tabla145[[#This Row],[% Uti. producción]])</f>
        <v>0</v>
      </c>
      <c r="BS257" s="20">
        <f>+Tabla145[[#This Row],[Producción disponible mes n-1]]+Tabla145[[#This Row],[Saldo Volumen disponible]]</f>
        <v>11260</v>
      </c>
      <c r="BT257" s="7">
        <f>IFERROR(VLOOKUP(Tabla145[[#This Row],[Llave]],'[21]RV n+2 y n+3'!$B:$F,4,FALSE),0)</f>
        <v>0</v>
      </c>
      <c r="BU257" s="7">
        <f>+Tabla145[[#This Row],[Asignación mes n+2]]*Tabla145[[#This Row],[% Uti. producción]]</f>
        <v>0</v>
      </c>
      <c r="BV257" s="7">
        <f>+Tabla145[[#This Row],[Ponderación mes n+2]]+Tabla145[[#This Row],[Saldo mes n-1]]</f>
        <v>11260</v>
      </c>
      <c r="BW257" s="7">
        <f>+Tabla145[[#This Row],[Asignación mes n+2]]-Tabla145[[#This Row],[Ponderación mes n+2]]</f>
        <v>0</v>
      </c>
      <c r="BX257" s="7">
        <f>IFERROR(VLOOKUP(Tabla145[[#This Row],[Llave]],'[21]RV n+2 y n+3'!$B:$F,5,FALSE),0)</f>
        <v>0</v>
      </c>
      <c r="BY257" s="7">
        <f>+Tabla145[[#This Row],[Asignación mes n+3]]*Tabla145[[#This Row],[% Uti. producción]]</f>
        <v>0</v>
      </c>
      <c r="BZ257" s="3">
        <f>+Tabla145[[#This Row],[Ponderación mes n+3]]+Tabla145[[#This Row],[Saldo mes n+2]]</f>
        <v>0</v>
      </c>
      <c r="CA257" s="3">
        <f>+Tabla145[[#This Row],[Asignación mes n+3]]-Tabla145[[#This Row],[Ponderación mes n+3]]</f>
        <v>0</v>
      </c>
      <c r="CB257" s="3">
        <f>+Tabla145[[#This Row],[Producción disponible mes n-1]]+Tabla145[[#This Row],[Producción disponible]]</f>
        <v>0</v>
      </c>
      <c r="CC257" s="3">
        <f>+Tabla145[[#This Row],[Saldo mes n+4]]-Tabla145[[#This Row],[ RV Producción mes n+1]]</f>
        <v>0</v>
      </c>
    </row>
    <row r="258" spans="1:81" ht="16" x14ac:dyDescent="0.2">
      <c r="A258">
        <v>2</v>
      </c>
      <c r="B258" t="str">
        <f>Tabla145[[#This Row],[Oficina]]&amp;Tabla145[[#This Row],[Material]]</f>
        <v>Agrosuper Shanghai1022418</v>
      </c>
      <c r="C258" t="s">
        <v>6</v>
      </c>
      <c r="D258" t="s">
        <v>140</v>
      </c>
      <c r="E258">
        <v>1022418</v>
      </c>
      <c r="F258" t="s">
        <v>402</v>
      </c>
      <c r="G258" t="s">
        <v>76</v>
      </c>
      <c r="H258" t="s">
        <v>79</v>
      </c>
      <c r="I258" s="15">
        <f>IFERROR(VLOOKUP(Tabla145[[#This Row],[Llave]],'[7]RV Producción'!$C:$G,5,FALSE),0)</f>
        <v>27912</v>
      </c>
      <c r="J258" s="3">
        <f>IFERROR(IF(Tabla145[[#This Row],[Oficina]]=$I$7,VLOOKUP(Tabla145[[#This Row],[Llave]],'[7]Shangai (Tomas)'!$A:$F,6,FALSE),VLOOKUP(Tabla145[[#This Row],[Llave]],'[7]RV plan de ventas'!$A:$E,5,FALSE)),0)</f>
        <v>0</v>
      </c>
      <c r="K258" s="17">
        <f>IFERROR(VLOOKUP(Tabla145[[#This Row],[Oficina]],[15]Ponderación!$B$2:$E$9,4,FALSE),0)</f>
        <v>0.45719439678473212</v>
      </c>
      <c r="L258" s="7">
        <f>+Tabla145[[#This Row],[ RV Producción mes n+1]]*Tabla145[[#This Row],[% Uti. producción]]</f>
        <v>12761.210003055443</v>
      </c>
      <c r="M258" s="7">
        <f>IFERROR(VLOOKUP(Tabla145[[#This Row],[Material]],[16]Stock!$G:$K,5,FALSE),0)</f>
        <v>13860</v>
      </c>
      <c r="N258" s="7">
        <f>IFERROR(VLOOKUP(Tabla145[[#This Row],[Material]],[16]Produccion!$M:$N,2,FALSE),0)</f>
        <v>7134</v>
      </c>
      <c r="O258" s="7">
        <f>IFERROR(VLOOKUP(Tabla145[[#This Row],[Llave]],'[16]TD Conf-AP'!$I:$M,4,FALSE),0)</f>
        <v>0</v>
      </c>
      <c r="P258" s="14">
        <f>SUM(Tabla145[[#This Row],[Producción disponible]],Tabla145[[#This Row],[Stock al día]],(Tabla145[[#This Row],[Por producir mes N]]*0.9))-Tabla145[[#This Row],[Producción por despachar mes N]]</f>
        <v>33041.810003055441</v>
      </c>
      <c r="Q258" s="7">
        <f>IFERROR(VLOOKUP(Tabla145[[#This Row],[Llave]],[17]DELAY!$A:$D,4,FALSE),0)</f>
        <v>136800</v>
      </c>
      <c r="R258" s="9">
        <v>24000</v>
      </c>
      <c r="S258" s="5">
        <f t="shared" si="8"/>
        <v>24000</v>
      </c>
      <c r="T258" s="76"/>
      <c r="U258" s="5">
        <f>+Tabla145[[#This Row],[Atraso a facturar]]+Tabla145[[#This Row],[Ajuste atraso]]</f>
        <v>24000</v>
      </c>
      <c r="V258" s="3">
        <f>+Tabla145[[#This Row],[Total disponible]]-Tabla145[[#This Row],[Facturación atraso]]</f>
        <v>9041.8100030554415</v>
      </c>
      <c r="W258" s="6">
        <f>IFERROR(IF(AND(V258&gt;R258,J258&gt;=R258),ROUNDDOWN((Tabla145[[#This Row],[Producción para venta nueva]])/R258,0)*R258,0),0)</f>
        <v>0</v>
      </c>
      <c r="X258" s="76">
        <v>0</v>
      </c>
      <c r="Y258" s="6">
        <f>IF(Tabla145[[#This Row],[Venta del mes]]&gt;0,Tabla145[[#This Row],[Venta del mes]]+Tabla145[[#This Row],[Ajuste venta nueva]],0)</f>
        <v>0</v>
      </c>
      <c r="Z258" s="6">
        <f>+Tabla145[[#This Row],[Producción para venta nueva]]-Tabla145[[#This Row],[Facturación Venta nueva]]</f>
        <v>9041.8100030554415</v>
      </c>
      <c r="AA258" s="6">
        <f>IF(AND(A258=1,Tabla145[[#This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8" s="6">
        <v>0</v>
      </c>
      <c r="AC258" s="6">
        <f>IF(Tabla145[[#This Row],[Disponible stock sin venta]]&gt;0,Tabla145[[#This Row],[Disponible stock sin venta]]+Tabla145[[#This Row],[Ajuste stock sin venta]],0)</f>
        <v>0</v>
      </c>
      <c r="AD258" s="3">
        <f>IFERROR(VLOOKUP(Tabla145[[#This Row],[Llave]],'[16]TD Puerto'!$A:$D,4,FALSE),0)</f>
        <v>0</v>
      </c>
      <c r="AE258" s="3">
        <v>0</v>
      </c>
      <c r="AF258" s="3">
        <f>+Tabla145[[#This Row],[Plan Irrestricto Inicial]]</f>
        <v>0</v>
      </c>
      <c r="AG258" s="3">
        <f>+Tabla145[[#This Row],[En puerto a facturar]]</f>
        <v>0</v>
      </c>
      <c r="AH258" s="3">
        <f>+Tabla145[[#This Row],[Facturación atraso]]</f>
        <v>24000</v>
      </c>
      <c r="AI258" s="3">
        <f>+Tabla145[[#This Row],[Plan Irrestricto]]-Tabla145[[#This Row],[Puerto ]]-Tabla145[[#This Row],[Atraso]]</f>
        <v>-24000</v>
      </c>
      <c r="AJ25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58" s="3">
        <f>+Tabla145[[#This Row],[Facturación atraso]]</f>
        <v>24000</v>
      </c>
      <c r="AL258" s="3">
        <f>+Tabla145[[#This Row],[Plan Ajustado]]-Tabla145[[#This Row],[ Atraso ajustado]]-Tabla145[[#This Row],[Puerto ]]</f>
        <v>-24000</v>
      </c>
      <c r="AM258" s="6">
        <f>IFERROR(VLOOKUP(Tabla145[[#This Row],[Llave]],[18]!Tabla14[#All],34,FALSE),0)</f>
        <v>0</v>
      </c>
      <c r="AN258" s="6">
        <f>IFERROR(VLOOKUP(Tabla145[[#This Row],[Llave]],[18]!Tabla14[#All],35,FALSE),0)</f>
        <v>0</v>
      </c>
      <c r="AO258" s="3" t="str">
        <f>IF(Tabla145[[#This Row],[Plan Ajustado]]&gt;Tabla145[[#This Row],[En puerto a facturar]],"Si","No")</f>
        <v>No</v>
      </c>
      <c r="AP25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58" s="3">
        <f>IF(Tabla145[[#This Row],[Necesidad]]&gt;=Tabla145[[#This Row],[Stock al día]],Tabla145[[#This Row],[Stock al día]],Tabla145[[#This Row],[Necesidad]])</f>
        <v>0</v>
      </c>
      <c r="AR258" s="3">
        <f>+Tabla145[[#This Row],[Necesidad]]-Tabla145[[#This Row],[Stock Plan]]</f>
        <v>0</v>
      </c>
      <c r="AS258" s="155">
        <f>IFERROR(VLOOKUP(Tabla145[[#This Row],[Oficina]],[19]Ponderación!$B$14:$E$21,4,FALSE),"")</f>
        <v>44786</v>
      </c>
      <c r="AT25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58" s="83">
        <f>IFERROR(VLOOKUP(Tabla145[[#This Row],[Llave]],[17]DELAY!$H:$W,16,FALSE),0)</f>
        <v>5.4285714285714297</v>
      </c>
      <c r="AV25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58" s="5">
        <f>Tabla145[[#This Row],[Ajuste precio IC]]*Tabla145[[#This Row],[Plan Ajustado]]</f>
        <v>0</v>
      </c>
      <c r="AX258" s="30">
        <f>IFERROR(VLOOKUP(Tabla145[[#This Row],[Llave]],'[13]Ultimos precios facturados'!$A:$G,7,FALSE),0)</f>
        <v>0</v>
      </c>
      <c r="AY25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58" s="30">
        <f>IFERROR(VLOOKUP(Tabla145[[#This Row],[Llave]],Hoja2!B:K,10,FALSE),0)</f>
        <v>5.4285714285714297</v>
      </c>
      <c r="BA258" s="30">
        <f>IF(Tabla145[[#This Row],[Ajuste precio IC]]="",Tabla145[[#This Row],[Precio ponderado]],Tabla145[[#This Row],[Precio ponderado]])</f>
        <v>0</v>
      </c>
      <c r="BB258" s="82"/>
      <c r="BC258" s="82" t="str">
        <f>IF(AND(Tabla145[[#This Row],[Atraso a facturar]]&gt;0,Tabla145[[#This Row],[Precio Atraso]]=0),"Revisar","OK")</f>
        <v>OK</v>
      </c>
      <c r="BD258" s="82" t="str">
        <f>IF(AND(Tabla145[[#This Row],[Venta del mes]]&gt;0,Tabla145[[#This Row],[Precio venta nueva]]=0),"Revisar","OK")</f>
        <v>OK</v>
      </c>
      <c r="BE258" s="20">
        <f>IFERROR(VLOOKUP(Tabla145[[#This Row],[Llave]],'[5]Consolidación planes'!$A:$M,9,FALSE),0)</f>
        <v>0</v>
      </c>
      <c r="BF258" s="20">
        <f>IFERROR(VLOOKUP(Tabla145[[#This Row],[Llave]],'[5]Consolidación planes'!$A:$M,10,FALSE),0)</f>
        <v>0</v>
      </c>
      <c r="BG258" s="20">
        <f>IFERROR(VLOOKUP(Tabla145[[#This Row],[Llave]],'[5]Consolidación planes'!$A:$M,11,FALSE),0)</f>
        <v>0</v>
      </c>
      <c r="BH258" s="20">
        <f>IFERROR(VLOOKUP(Tabla145[[#This Row],[Llave]],'[5]Consolidación planes'!$A:$M,12,FALSE),0)</f>
        <v>0</v>
      </c>
      <c r="BI258" s="20">
        <f>IFERROR(VLOOKUP(Tabla145[[#This Row],[Llave]],'[5]Consolidación planes'!$A:$M,13,FALSE),0)</f>
        <v>0</v>
      </c>
      <c r="BJ258" s="20">
        <f>IFERROR(VLOOKUP(Tabla145[[#This Row],[Llave]],'[13]Base ultimos planes'!$A:$M,13,FALSE),0)</f>
        <v>0</v>
      </c>
      <c r="BK258" s="80">
        <f>IFERROR(VLOOKUP(Tabla145[[#This Row],[Llave]],'[13]Base ultimos planes'!$O:$AA,8,FALSE),0)</f>
        <v>0</v>
      </c>
      <c r="BL258" s="20">
        <f>IFERROR(VLOOKUP(Tabla145[[#This Row],[Llave]],'[13]Base ultimos planes'!$O:$AA,9,FALSE),0)</f>
        <v>0</v>
      </c>
      <c r="BM258" s="20">
        <f>IFERROR(VLOOKUP(Tabla145[[#This Row],[Llave]],'[13]Base ultimos planes'!$O:$AA,10,FALSE),0)</f>
        <v>0</v>
      </c>
      <c r="BN258" s="20">
        <f>IFERROR(VLOOKUP(Tabla145[[#This Row],[Llave]],'[13]Base ultimos planes'!$O:$AA,11,FALSE),0)</f>
        <v>0</v>
      </c>
      <c r="BO258" s="20">
        <f>IFERROR(VLOOKUP(Tabla145[[#This Row],[Llave]],'[13]Base ultimos planes'!$O:$AA,12,FALSE),0)</f>
        <v>0</v>
      </c>
      <c r="BP258" s="20">
        <f>IFERROR(VLOOKUP(Tabla145[[#This Row],[Llave]],'[13]Base ultimos planes'!$O:$AA,13,FALSE),0)</f>
        <v>0</v>
      </c>
      <c r="BQ258" s="20" t="s">
        <v>692</v>
      </c>
      <c r="BR258" s="20">
        <f>Tabla145[[#This Row],[ RV Producción mes n+1]]*(1-Tabla145[[#This Row],[% Uti. producción]])</f>
        <v>15150.789996944559</v>
      </c>
      <c r="BS258" s="20">
        <f>+Tabla145[[#This Row],[Producción disponible mes n-1]]+Tabla145[[#This Row],[Saldo Volumen disponible]]</f>
        <v>24192.6</v>
      </c>
      <c r="BT258" s="7">
        <f>IFERROR(VLOOKUP(Tabla145[[#This Row],[Llave]],'[21]RV n+2 y n+3'!$B:$F,4,FALSE),0)</f>
        <v>42589.826999999997</v>
      </c>
      <c r="BU258" s="7">
        <f>+Tabla145[[#This Row],[Asignación mes n+2]]*Tabla145[[#This Row],[% Uti. producción]]</f>
        <v>19471.830264431097</v>
      </c>
      <c r="BV258" s="7">
        <f>+Tabla145[[#This Row],[Ponderación mes n+2]]+Tabla145[[#This Row],[Saldo mes n-1]]</f>
        <v>43664.430264431096</v>
      </c>
      <c r="BW258" s="7">
        <f>+Tabla145[[#This Row],[Asignación mes n+2]]-Tabla145[[#This Row],[Ponderación mes n+2]]</f>
        <v>23117.9967355689</v>
      </c>
      <c r="BX258" s="7">
        <f>IFERROR(VLOOKUP(Tabla145[[#This Row],[Llave]],'[21]RV n+2 y n+3'!$B:$F,5,FALSE),0)</f>
        <v>39625.526599999997</v>
      </c>
      <c r="BY258" s="7">
        <f>+Tabla145[[#This Row],[Asignación mes n+3]]*Tabla145[[#This Row],[% Uti. producción]]</f>
        <v>18116.568731164356</v>
      </c>
      <c r="BZ258" s="3">
        <f>+Tabla145[[#This Row],[Ponderación mes n+3]]+Tabla145[[#This Row],[Saldo mes n+2]]</f>
        <v>41234.565466733256</v>
      </c>
      <c r="CA258" s="3">
        <f>+Tabla145[[#This Row],[Asignación mes n+3]]-Tabla145[[#This Row],[Ponderación mes n+3]]</f>
        <v>21508.957868835641</v>
      </c>
      <c r="CB258" s="3">
        <f>+Tabla145[[#This Row],[Producción disponible mes n-1]]+Tabla145[[#This Row],[Producción disponible]]</f>
        <v>27912</v>
      </c>
      <c r="CC258" s="3">
        <f>+Tabla145[[#This Row],[Saldo mes n+4]]-Tabla145[[#This Row],[ RV Producción mes n+1]]</f>
        <v>0</v>
      </c>
    </row>
    <row r="259" spans="1:81" ht="16" x14ac:dyDescent="0.2">
      <c r="A259">
        <v>1</v>
      </c>
      <c r="B259" t="str">
        <f>Tabla145[[#This Row],[Oficina]]&amp;Tabla145[[#This Row],[Material]]</f>
        <v>Agrosuper Asia1022605</v>
      </c>
      <c r="C259" t="s">
        <v>6</v>
      </c>
      <c r="D259" t="s">
        <v>173</v>
      </c>
      <c r="E259">
        <v>1022605</v>
      </c>
      <c r="F259" t="s">
        <v>403</v>
      </c>
      <c r="G259" t="s">
        <v>76</v>
      </c>
      <c r="H259" t="s">
        <v>79</v>
      </c>
      <c r="I259" s="15">
        <f>IFERROR(VLOOKUP(Tabla145[[#This Row],[Llave]],'[7]RV Producción'!$C:$G,5,FALSE),0)</f>
        <v>0</v>
      </c>
      <c r="J259" s="3">
        <f>IFERROR(IF(Tabla145[[#This Row],[Oficina]]=$I$7,VLOOKUP(Tabla145[[#This Row],[Llave]],'[7]Shangai (Tomas)'!$A:$F,6,FALSE),VLOOKUP(Tabla145[[#This Row],[Llave]],'[7]RV plan de ventas'!$A:$E,5,FALSE)),0)</f>
        <v>0</v>
      </c>
      <c r="K259" s="17">
        <f>IFERROR(VLOOKUP(Tabla145[[#This Row],[Oficina]],[15]Ponderación!$B$2:$E$9,4,FALSE),0)</f>
        <v>0.45719439678473212</v>
      </c>
      <c r="L259" s="7">
        <f>+Tabla145[[#This Row],[ RV Producción mes n+1]]*Tabla145[[#This Row],[% Uti. producción]]</f>
        <v>0</v>
      </c>
      <c r="M259" s="7">
        <f>IFERROR(VLOOKUP(Tabla145[[#This Row],[Material]],[16]Stock!$G:$K,5,FALSE),0)</f>
        <v>0</v>
      </c>
      <c r="N259" s="7">
        <f>IFERROR(VLOOKUP(Tabla145[[#This Row],[Material]],[16]Produccion!$M:$N,2,FALSE),0)</f>
        <v>0</v>
      </c>
      <c r="O259" s="7">
        <f>IFERROR(VLOOKUP(Tabla145[[#This Row],[Llave]],'[16]TD Conf-AP'!$I:$M,4,FALSE),0)</f>
        <v>0</v>
      </c>
      <c r="P259" s="14">
        <f>SUM(Tabla145[[#This Row],[Producción disponible]],Tabla145[[#This Row],[Stock al día]],(Tabla145[[#This Row],[Por producir mes N]]*0.9))-Tabla145[[#This Row],[Producción por despachar mes N]]</f>
        <v>0</v>
      </c>
      <c r="Q259" s="7">
        <f>IFERROR(VLOOKUP(Tabla145[[#This Row],[Llave]],[17]DELAY!$A:$D,4,FALSE),0)</f>
        <v>0</v>
      </c>
      <c r="R259" s="9">
        <v>7000</v>
      </c>
      <c r="S259" s="5">
        <f t="shared" si="8"/>
        <v>0</v>
      </c>
      <c r="T259" s="76">
        <v>0</v>
      </c>
      <c r="U259" s="5">
        <f>+Tabla145[[#This Row],[Atraso a facturar]]+Tabla145[[#This Row],[Ajuste atraso]]</f>
        <v>0</v>
      </c>
      <c r="V259" s="3">
        <f>+Tabla145[[#This Row],[Total disponible]]-Tabla145[[#This Row],[Facturación atraso]]</f>
        <v>0</v>
      </c>
      <c r="W259" s="6">
        <f>IFERROR(IF(AND(V259&gt;R259,J259&gt;=R259),ROUNDDOWN((Tabla145[[#This Row],[Producción para venta nueva]])/R259,0)*R259,0),0)</f>
        <v>0</v>
      </c>
      <c r="X259" s="76">
        <v>0</v>
      </c>
      <c r="Y259" s="6">
        <f>IF(Tabla145[[#This Row],[Venta del mes]]&gt;0,Tabla145[[#This Row],[Venta del mes]]+Tabla145[[#This Row],[Ajuste venta nueva]],0)</f>
        <v>0</v>
      </c>
      <c r="Z259" s="6">
        <f>+Tabla145[[#This Row],[Producción para venta nueva]]-Tabla145[[#This Row],[Facturación Venta nueva]]</f>
        <v>0</v>
      </c>
      <c r="AA259" s="6">
        <f>IF(AND(A259=1,Tabla145[[#This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59" s="6">
        <v>0</v>
      </c>
      <c r="AC259" s="6">
        <f>IF(Tabla145[[#This Row],[Disponible stock sin venta]]&gt;0,Tabla145[[#This Row],[Disponible stock sin venta]]+Tabla145[[#This Row],[Ajuste stock sin venta]],0)</f>
        <v>0</v>
      </c>
      <c r="AD259" s="3">
        <f>IFERROR(VLOOKUP(Tabla145[[#This Row],[Llave]],'[16]TD Puerto'!$A:$D,4,FALSE),0)</f>
        <v>0</v>
      </c>
      <c r="AE259" s="3">
        <v>0</v>
      </c>
      <c r="AF259" s="3">
        <f>+Tabla145[[#This Row],[Plan Irrestricto Inicial]]</f>
        <v>0</v>
      </c>
      <c r="AG259" s="3">
        <f>+Tabla145[[#This Row],[En puerto a facturar]]</f>
        <v>0</v>
      </c>
      <c r="AH259" s="3">
        <f>+Tabla145[[#This Row],[Facturación atraso]]</f>
        <v>0</v>
      </c>
      <c r="AI259" s="3">
        <f>+Tabla145[[#This Row],[Plan Irrestricto]]-Tabla145[[#This Row],[Puerto ]]-Tabla145[[#This Row],[Atraso]]</f>
        <v>0</v>
      </c>
      <c r="AJ25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59" s="3">
        <f>+Tabla145[[#This Row],[Facturación atraso]]</f>
        <v>0</v>
      </c>
      <c r="AL259" s="3">
        <f>+Tabla145[[#This Row],[Plan Ajustado]]-Tabla145[[#This Row],[ Atraso ajustado]]-Tabla145[[#This Row],[Puerto ]]</f>
        <v>0</v>
      </c>
      <c r="AM259" s="6">
        <f>IFERROR(VLOOKUP(Tabla145[[#This Row],[Llave]],[18]!Tabla14[#All],34,FALSE),0)</f>
        <v>0</v>
      </c>
      <c r="AN259" s="6">
        <f>IFERROR(VLOOKUP(Tabla145[[#This Row],[Llave]],[18]!Tabla14[#All],35,FALSE),0)</f>
        <v>0</v>
      </c>
      <c r="AO259" s="3" t="str">
        <f>IF(Tabla145[[#This Row],[Plan Ajustado]]&gt;Tabla145[[#This Row],[En puerto a facturar]],"Si","No")</f>
        <v>No</v>
      </c>
      <c r="AP25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59" s="3">
        <f>IF(Tabla145[[#This Row],[Necesidad]]&gt;=Tabla145[[#This Row],[Stock al día]],Tabla145[[#This Row],[Stock al día]],Tabla145[[#This Row],[Necesidad]])</f>
        <v>0</v>
      </c>
      <c r="AR259" s="3">
        <f>+Tabla145[[#This Row],[Necesidad]]-Tabla145[[#This Row],[Stock Plan]]</f>
        <v>0</v>
      </c>
      <c r="AS259" s="155">
        <f>IFERROR(VLOOKUP(Tabla145[[#This Row],[Oficina]],[19]Ponderación!$B$14:$E$21,4,FALSE),"")</f>
        <v>44786</v>
      </c>
      <c r="AT25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59" s="83">
        <f>IFERROR(VLOOKUP(Tabla145[[#This Row],[Llave]],[17]DELAY!$H:$W,16,FALSE),0)</f>
        <v>0</v>
      </c>
      <c r="AV25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59" s="5">
        <f>Tabla145[[#This Row],[Ajuste precio IC]]*Tabla145[[#This Row],[Plan Ajustado]]</f>
        <v>0</v>
      </c>
      <c r="AX259" s="30">
        <f>IFERROR(VLOOKUP(Tabla145[[#This Row],[Llave]],'[13]Ultimos precios facturados'!$A:$G,7,FALSE),0)</f>
        <v>0</v>
      </c>
      <c r="AY25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59" s="30">
        <f>IFERROR(VLOOKUP(Tabla145[[#This Row],[Llave]],Hoja2!B:K,10,FALSE),0)</f>
        <v>0</v>
      </c>
      <c r="BA259" s="30">
        <f>IF(Tabla145[[#This Row],[Ajuste precio IC]]="",Tabla145[[#This Row],[Precio ponderado]],Tabla145[[#This Row],[Precio ponderado]])</f>
        <v>0</v>
      </c>
      <c r="BB259" s="82"/>
      <c r="BC259" s="82" t="str">
        <f>IF(AND(Tabla145[[#This Row],[Atraso a facturar]]&gt;0,Tabla145[[#This Row],[Precio Atraso]]=0),"Revisar","OK")</f>
        <v>OK</v>
      </c>
      <c r="BD259" s="82" t="str">
        <f>IF(AND(Tabla145[[#This Row],[Venta del mes]]&gt;0,Tabla145[[#This Row],[Precio venta nueva]]=0),"Revisar","OK")</f>
        <v>OK</v>
      </c>
      <c r="BE259" s="20">
        <f>IFERROR(VLOOKUP(Tabla145[[#This Row],[Llave]],'[5]Consolidación planes'!$A:$M,9,FALSE),0)</f>
        <v>0</v>
      </c>
      <c r="BF259" s="20">
        <f>IFERROR(VLOOKUP(Tabla145[[#This Row],[Llave]],'[5]Consolidación planes'!$A:$M,10,FALSE),0)</f>
        <v>0</v>
      </c>
      <c r="BG259" s="20">
        <f>IFERROR(VLOOKUP(Tabla145[[#This Row],[Llave]],'[5]Consolidación planes'!$A:$M,11,FALSE),0)</f>
        <v>0</v>
      </c>
      <c r="BH259" s="20">
        <f>IFERROR(VLOOKUP(Tabla145[[#This Row],[Llave]],'[5]Consolidación planes'!$A:$M,12,FALSE),0)</f>
        <v>0</v>
      </c>
      <c r="BI259" s="20">
        <f>IFERROR(VLOOKUP(Tabla145[[#This Row],[Llave]],'[5]Consolidación planes'!$A:$M,13,FALSE),0)</f>
        <v>0</v>
      </c>
      <c r="BJ259" s="20">
        <f>IFERROR(VLOOKUP(Tabla145[[#This Row],[Llave]],'[13]Base ultimos planes'!$A:$M,13,FALSE),0)</f>
        <v>7000</v>
      </c>
      <c r="BK259" s="80">
        <f>IFERROR(VLOOKUP(Tabla145[[#This Row],[Llave]],'[13]Base ultimos planes'!$O:$AA,8,FALSE),0)</f>
        <v>0</v>
      </c>
      <c r="BL259" s="20">
        <f>IFERROR(VLOOKUP(Tabla145[[#This Row],[Llave]],'[13]Base ultimos planes'!$O:$AA,9,FALSE),0)</f>
        <v>0</v>
      </c>
      <c r="BM259" s="20">
        <f>IFERROR(VLOOKUP(Tabla145[[#This Row],[Llave]],'[13]Base ultimos planes'!$O:$AA,10,FALSE),0)</f>
        <v>0</v>
      </c>
      <c r="BN259" s="20">
        <f>IFERROR(VLOOKUP(Tabla145[[#This Row],[Llave]],'[13]Base ultimos planes'!$O:$AA,11,FALSE),0)</f>
        <v>0</v>
      </c>
      <c r="BO259" s="20">
        <f>IFERROR(VLOOKUP(Tabla145[[#This Row],[Llave]],'[13]Base ultimos planes'!$O:$AA,12,FALSE),0)</f>
        <v>0</v>
      </c>
      <c r="BP259" s="20">
        <f>IFERROR(VLOOKUP(Tabla145[[#This Row],[Llave]],'[13]Base ultimos planes'!$O:$AA,13,FALSE),0)</f>
        <v>30191</v>
      </c>
      <c r="BQ259" s="20"/>
      <c r="BR259" s="20">
        <f>Tabla145[[#This Row],[ RV Producción mes n+1]]*(1-Tabla145[[#This Row],[% Uti. producción]])</f>
        <v>0</v>
      </c>
      <c r="BS259" s="20">
        <f>+Tabla145[[#This Row],[Producción disponible mes n-1]]+Tabla145[[#This Row],[Saldo Volumen disponible]]</f>
        <v>0</v>
      </c>
      <c r="BT259" s="7">
        <f>IFERROR(VLOOKUP(Tabla145[[#This Row],[Llave]],'[21]RV n+2 y n+3'!$B:$F,4,FALSE),0)</f>
        <v>0</v>
      </c>
      <c r="BU259" s="7">
        <f>+Tabla145[[#This Row],[Asignación mes n+2]]*Tabla145[[#This Row],[% Uti. producción]]</f>
        <v>0</v>
      </c>
      <c r="BV259" s="7">
        <f>+Tabla145[[#This Row],[Ponderación mes n+2]]+Tabla145[[#This Row],[Saldo mes n-1]]</f>
        <v>0</v>
      </c>
      <c r="BW259" s="7">
        <f>+Tabla145[[#This Row],[Asignación mes n+2]]-Tabla145[[#This Row],[Ponderación mes n+2]]</f>
        <v>0</v>
      </c>
      <c r="BX259" s="7">
        <f>IFERROR(VLOOKUP(Tabla145[[#This Row],[Llave]],'[21]RV n+2 y n+3'!$B:$F,5,FALSE),0)</f>
        <v>0</v>
      </c>
      <c r="BY259" s="7">
        <f>+Tabla145[[#This Row],[Asignación mes n+3]]*Tabla145[[#This Row],[% Uti. producción]]</f>
        <v>0</v>
      </c>
      <c r="BZ259" s="3">
        <f>+Tabla145[[#This Row],[Ponderación mes n+3]]+Tabla145[[#This Row],[Saldo mes n+2]]</f>
        <v>0</v>
      </c>
      <c r="CA259" s="3">
        <f>+Tabla145[[#This Row],[Asignación mes n+3]]-Tabla145[[#This Row],[Ponderación mes n+3]]</f>
        <v>0</v>
      </c>
      <c r="CB259" s="3">
        <f>+Tabla145[[#This Row],[Producción disponible mes n-1]]+Tabla145[[#This Row],[Producción disponible]]</f>
        <v>0</v>
      </c>
      <c r="CC259" s="3">
        <f>+Tabla145[[#This Row],[Saldo mes n+4]]-Tabla145[[#This Row],[ RV Producción mes n+1]]</f>
        <v>0</v>
      </c>
    </row>
    <row r="260" spans="1:81" ht="16" x14ac:dyDescent="0.2">
      <c r="A260">
        <v>1</v>
      </c>
      <c r="B260" t="str">
        <f>Tabla145[[#This Row],[Oficina]]&amp;Tabla145[[#This Row],[Material]]</f>
        <v>Agro Sudamerica1022842</v>
      </c>
      <c r="C260" t="s">
        <v>6</v>
      </c>
      <c r="D260" t="s">
        <v>17</v>
      </c>
      <c r="E260">
        <v>1022842</v>
      </c>
      <c r="F260" t="s">
        <v>405</v>
      </c>
      <c r="G260" t="s">
        <v>71</v>
      </c>
      <c r="H260" t="s">
        <v>586</v>
      </c>
      <c r="I260" s="15">
        <f>IFERROR(VLOOKUP(Tabla145[[#This Row],[Llave]],'[7]RV Producción'!$C:$G,5,FALSE),0)</f>
        <v>2269</v>
      </c>
      <c r="J260" s="3">
        <f>IFERROR(IF(Tabla145[[#This Row],[Oficina]]=$I$7,VLOOKUP(Tabla145[[#This Row],[Llave]],'[7]Shangai (Tomas)'!$A:$F,6,FALSE),VLOOKUP(Tabla145[[#This Row],[Llave]],'[7]RV plan de ventas'!$A:$E,5,FALSE)),0)</f>
        <v>0</v>
      </c>
      <c r="K260" s="17">
        <f>IFERROR(VLOOKUP(Tabla145[[#This Row],[Oficina]],[15]Ponderación!$B$2:$E$9,4,FALSE),0)</f>
        <v>0.45719439678473212</v>
      </c>
      <c r="L260" s="7">
        <f>+Tabla145[[#This Row],[ RV Producción mes n+1]]*Tabla145[[#This Row],[% Uti. producción]]</f>
        <v>1037.3740863045571</v>
      </c>
      <c r="M260" s="7">
        <f>IFERROR(VLOOKUP(Tabla145[[#This Row],[Material]],[16]Stock!$G:$K,5,FALSE),0)</f>
        <v>777</v>
      </c>
      <c r="N260" s="7">
        <f>IFERROR(VLOOKUP(Tabla145[[#This Row],[Material]],[16]Produccion!$M:$N,2,FALSE),0)</f>
        <v>400</v>
      </c>
      <c r="O260" s="7">
        <f>IFERROR(VLOOKUP(Tabla145[[#This Row],[Llave]],'[16]TD Conf-AP'!$I:$M,4,FALSE),0)</f>
        <v>0</v>
      </c>
      <c r="P260" s="14">
        <f>SUM(Tabla145[[#This Row],[Producción disponible]],Tabla145[[#This Row],[Stock al día]],(Tabla145[[#This Row],[Por producir mes N]]*0.9))-Tabla145[[#This Row],[Producción por despachar mes N]]</f>
        <v>2174.3740863045568</v>
      </c>
      <c r="Q260" s="7">
        <f>IFERROR(VLOOKUP(Tabla145[[#This Row],[Llave]],[17]DELAY!$A:$D,4,FALSE),0)</f>
        <v>72000</v>
      </c>
      <c r="R260" s="9">
        <v>24000</v>
      </c>
      <c r="S260" s="5">
        <f t="shared" si="8"/>
        <v>0</v>
      </c>
      <c r="T260" s="76">
        <v>0</v>
      </c>
      <c r="U260" s="5">
        <f>+Tabla145[[#This Row],[Atraso a facturar]]+Tabla145[[#This Row],[Ajuste atraso]]</f>
        <v>0</v>
      </c>
      <c r="V260" s="3">
        <f>+Tabla145[[#This Row],[Total disponible]]-Tabla145[[#This Row],[Facturación atraso]]</f>
        <v>2174.3740863045568</v>
      </c>
      <c r="W260" s="6">
        <f>IFERROR(IF(AND(V260&gt;R260,J260&gt;=R260),ROUNDDOWN((Tabla145[[#This Row],[Producción para venta nueva]])/R260,0)*R260,0),0)</f>
        <v>0</v>
      </c>
      <c r="X260" s="76">
        <v>0</v>
      </c>
      <c r="Y260" s="6">
        <f>IF(Tabla145[[#This Row],[Venta del mes]]&gt;0,Tabla145[[#This Row],[Venta del mes]]+Tabla145[[#This Row],[Ajuste venta nueva]],0)</f>
        <v>0</v>
      </c>
      <c r="Z260" s="6">
        <f>+Tabla145[[#This Row],[Producción para venta nueva]]-Tabla145[[#This Row],[Facturación Venta nueva]]</f>
        <v>2174.3740863045568</v>
      </c>
      <c r="AA260" s="6">
        <f>IF(AND(A260=1,Tabla145[[#This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0" s="6">
        <v>0</v>
      </c>
      <c r="AC260" s="6">
        <f>IF(Tabla145[[#This Row],[Disponible stock sin venta]]&gt;0,Tabla145[[#This Row],[Disponible stock sin venta]]+Tabla145[[#This Row],[Ajuste stock sin venta]],0)</f>
        <v>0</v>
      </c>
      <c r="AD260" s="3">
        <f>IFERROR(VLOOKUP(Tabla145[[#This Row],[Llave]],'[16]TD Puerto'!$A:$D,4,FALSE),0)</f>
        <v>0</v>
      </c>
      <c r="AE260" s="3">
        <v>0</v>
      </c>
      <c r="AF260" s="3">
        <f>+Tabla145[[#This Row],[Plan Irrestricto Inicial]]</f>
        <v>0</v>
      </c>
      <c r="AG260" s="3">
        <f>+Tabla145[[#This Row],[En puerto a facturar]]</f>
        <v>0</v>
      </c>
      <c r="AH260" s="3">
        <f>+Tabla145[[#This Row],[Facturación atraso]]</f>
        <v>0</v>
      </c>
      <c r="AI260" s="3">
        <f>+Tabla145[[#This Row],[Plan Irrestricto]]-Tabla145[[#This Row],[Puerto ]]-Tabla145[[#This Row],[Atraso]]</f>
        <v>0</v>
      </c>
      <c r="AJ26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60" s="3">
        <f>+Tabla145[[#This Row],[Facturación atraso]]</f>
        <v>0</v>
      </c>
      <c r="AL260" s="3">
        <f>+Tabla145[[#This Row],[Plan Ajustado]]-Tabla145[[#This Row],[ Atraso ajustado]]-Tabla145[[#This Row],[Puerto ]]</f>
        <v>0</v>
      </c>
      <c r="AM260" s="6">
        <f>IFERROR(VLOOKUP(Tabla145[[#This Row],[Llave]],[18]!Tabla14[#All],34,FALSE),0)</f>
        <v>0</v>
      </c>
      <c r="AN260" s="6">
        <f>IFERROR(VLOOKUP(Tabla145[[#This Row],[Llave]],[18]!Tabla14[#All],35,FALSE),0)</f>
        <v>0</v>
      </c>
      <c r="AO260" s="3" t="str">
        <f>IF(Tabla145[[#This Row],[Plan Ajustado]]&gt;Tabla145[[#This Row],[En puerto a facturar]],"Si","No")</f>
        <v>No</v>
      </c>
      <c r="AP26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60" s="3">
        <f>IF(Tabla145[[#This Row],[Necesidad]]&gt;=Tabla145[[#This Row],[Stock al día]],Tabla145[[#This Row],[Stock al día]],Tabla145[[#This Row],[Necesidad]])</f>
        <v>0</v>
      </c>
      <c r="AR260" s="3">
        <f>+Tabla145[[#This Row],[Necesidad]]-Tabla145[[#This Row],[Stock Plan]]</f>
        <v>0</v>
      </c>
      <c r="AS260" s="155">
        <f>IFERROR(VLOOKUP(Tabla145[[#This Row],[Oficina]],[19]Ponderación!$B$14:$E$21,4,FALSE),"")</f>
        <v>44789</v>
      </c>
      <c r="AT26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60" s="83">
        <f>IFERROR(VLOOKUP(Tabla145[[#This Row],[Llave]],[17]DELAY!$H:$W,16,FALSE),0)</f>
        <v>2.5499999999999998</v>
      </c>
      <c r="AV26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60" s="5">
        <f>Tabla145[[#This Row],[Ajuste precio IC]]*Tabla145[[#This Row],[Plan Ajustado]]</f>
        <v>0</v>
      </c>
      <c r="AX260" s="30">
        <f>IFERROR(VLOOKUP(Tabla145[[#This Row],[Llave]],'[13]Ultimos precios facturados'!$A:$G,7,FALSE),0)</f>
        <v>0</v>
      </c>
      <c r="AY26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60" s="30">
        <f>IFERROR(VLOOKUP(Tabla145[[#This Row],[Llave]],Hoja2!B:K,10,FALSE),0)</f>
        <v>0</v>
      </c>
      <c r="BA260" s="30">
        <f>IF(Tabla145[[#This Row],[Ajuste precio IC]]="",Tabla145[[#This Row],[Precio ponderado]],Tabla145[[#This Row],[Precio ponderado]])</f>
        <v>0</v>
      </c>
      <c r="BB260" s="82"/>
      <c r="BC260" s="82" t="str">
        <f>IF(AND(Tabla145[[#This Row],[Atraso a facturar]]&gt;0,Tabla145[[#This Row],[Precio Atraso]]=0),"Revisar","OK")</f>
        <v>OK</v>
      </c>
      <c r="BD260" s="82" t="str">
        <f>IF(AND(Tabla145[[#This Row],[Venta del mes]]&gt;0,Tabla145[[#This Row],[Precio venta nueva]]=0),"Revisar","OK")</f>
        <v>OK</v>
      </c>
      <c r="BE260" s="20">
        <f>IFERROR(VLOOKUP(Tabla145[[#This Row],[Llave]],'[5]Consolidación planes'!$A:$M,9,FALSE),0)</f>
        <v>0</v>
      </c>
      <c r="BF260" s="20">
        <f>IFERROR(VLOOKUP(Tabla145[[#This Row],[Llave]],'[5]Consolidación planes'!$A:$M,10,FALSE),0)</f>
        <v>0</v>
      </c>
      <c r="BG260" s="20">
        <f>IFERROR(VLOOKUP(Tabla145[[#This Row],[Llave]],'[5]Consolidación planes'!$A:$M,11,FALSE),0)</f>
        <v>0</v>
      </c>
      <c r="BH260" s="20">
        <f>IFERROR(VLOOKUP(Tabla145[[#This Row],[Llave]],'[5]Consolidación planes'!$A:$M,12,FALSE),0)</f>
        <v>0</v>
      </c>
      <c r="BI260" s="20">
        <f>IFERROR(VLOOKUP(Tabla145[[#This Row],[Llave]],'[5]Consolidación planes'!$A:$M,13,FALSE),0)</f>
        <v>0</v>
      </c>
      <c r="BJ260" s="20">
        <f>IFERROR(VLOOKUP(Tabla145[[#This Row],[Llave]],'[13]Base ultimos planes'!$A:$M,13,FALSE),0)</f>
        <v>0</v>
      </c>
      <c r="BK260" s="80">
        <f>IFERROR(VLOOKUP(Tabla145[[#This Row],[Llave]],'[13]Base ultimos planes'!$O:$AA,8,FALSE),0)</f>
        <v>0</v>
      </c>
      <c r="BL260" s="20">
        <f>IFERROR(VLOOKUP(Tabla145[[#This Row],[Llave]],'[13]Base ultimos planes'!$O:$AA,9,FALSE),0)</f>
        <v>0</v>
      </c>
      <c r="BM260" s="20">
        <f>IFERROR(VLOOKUP(Tabla145[[#This Row],[Llave]],'[13]Base ultimos planes'!$O:$AA,10,FALSE),0)</f>
        <v>0</v>
      </c>
      <c r="BN260" s="20">
        <f>IFERROR(VLOOKUP(Tabla145[[#This Row],[Llave]],'[13]Base ultimos planes'!$O:$AA,11,FALSE),0)</f>
        <v>0</v>
      </c>
      <c r="BO260" s="20">
        <f>IFERROR(VLOOKUP(Tabla145[[#This Row],[Llave]],'[13]Base ultimos planes'!$O:$AA,12,FALSE),0)</f>
        <v>0</v>
      </c>
      <c r="BP260" s="20">
        <f>IFERROR(VLOOKUP(Tabla145[[#This Row],[Llave]],'[13]Base ultimos planes'!$O:$AA,13,FALSE),0)</f>
        <v>0</v>
      </c>
      <c r="BQ260" s="20"/>
      <c r="BR260" s="20">
        <f>Tabla145[[#This Row],[ RV Producción mes n+1]]*(1-Tabla145[[#This Row],[% Uti. producción]])</f>
        <v>1231.6259136954429</v>
      </c>
      <c r="BS260" s="20">
        <f>+Tabla145[[#This Row],[Producción disponible mes n-1]]+Tabla145[[#This Row],[Saldo Volumen disponible]]</f>
        <v>3406</v>
      </c>
      <c r="BT260" s="7">
        <f>IFERROR(VLOOKUP(Tabla145[[#This Row],[Llave]],'[21]RV n+2 y n+3'!$B:$F,4,FALSE),0)</f>
        <v>24000</v>
      </c>
      <c r="BU260" s="7">
        <f>+Tabla145[[#This Row],[Asignación mes n+2]]*Tabla145[[#This Row],[% Uti. producción]]</f>
        <v>10972.665522833571</v>
      </c>
      <c r="BV260" s="7">
        <f>+Tabla145[[#This Row],[Ponderación mes n+2]]+Tabla145[[#This Row],[Saldo mes n-1]]</f>
        <v>14378.665522833571</v>
      </c>
      <c r="BW260" s="7">
        <f>+Tabla145[[#This Row],[Asignación mes n+2]]-Tabla145[[#This Row],[Ponderación mes n+2]]</f>
        <v>13027.334477166429</v>
      </c>
      <c r="BX260" s="7">
        <f>IFERROR(VLOOKUP(Tabla145[[#This Row],[Llave]],'[21]RV n+2 y n+3'!$B:$F,5,FALSE),0)</f>
        <v>24000</v>
      </c>
      <c r="BY260" s="7">
        <f>+Tabla145[[#This Row],[Asignación mes n+3]]*Tabla145[[#This Row],[% Uti. producción]]</f>
        <v>10972.665522833571</v>
      </c>
      <c r="BZ260" s="3">
        <f>+Tabla145[[#This Row],[Ponderación mes n+3]]+Tabla145[[#This Row],[Saldo mes n+2]]</f>
        <v>24000</v>
      </c>
      <c r="CA260" s="3">
        <f>+Tabla145[[#This Row],[Asignación mes n+3]]-Tabla145[[#This Row],[Ponderación mes n+3]]</f>
        <v>13027.334477166429</v>
      </c>
      <c r="CB260" s="3">
        <f>+Tabla145[[#This Row],[Producción disponible mes n-1]]+Tabla145[[#This Row],[Producción disponible]]</f>
        <v>2269</v>
      </c>
      <c r="CC260" s="3">
        <f>+Tabla145[[#This Row],[Saldo mes n+4]]-Tabla145[[#This Row],[ RV Producción mes n+1]]</f>
        <v>0</v>
      </c>
    </row>
    <row r="261" spans="1:81" ht="16" x14ac:dyDescent="0.2">
      <c r="A261">
        <v>1</v>
      </c>
      <c r="B261" t="str">
        <f>Tabla145[[#This Row],[Oficina]]&amp;Tabla145[[#This Row],[Material]]</f>
        <v>Agro Sudamerica1022844</v>
      </c>
      <c r="C261" t="s">
        <v>6</v>
      </c>
      <c r="D261" t="s">
        <v>17</v>
      </c>
      <c r="E261">
        <v>1022844</v>
      </c>
      <c r="F261" t="s">
        <v>406</v>
      </c>
      <c r="G261" t="s">
        <v>71</v>
      </c>
      <c r="H261" t="s">
        <v>72</v>
      </c>
      <c r="I261" s="15">
        <f>IFERROR(VLOOKUP(Tabla145[[#This Row],[Llave]],'[7]RV Producción'!$C:$G,5,FALSE),0)</f>
        <v>17466</v>
      </c>
      <c r="J261" s="3">
        <f>IFERROR(IF(Tabla145[[#This Row],[Oficina]]=$I$7,VLOOKUP(Tabla145[[#This Row],[Llave]],'[7]Shangai (Tomas)'!$A:$F,6,FALSE),VLOOKUP(Tabla145[[#This Row],[Llave]],'[7]RV plan de ventas'!$A:$E,5,FALSE)),0)</f>
        <v>0</v>
      </c>
      <c r="K261" s="17">
        <f>IFERROR(VLOOKUP(Tabla145[[#This Row],[Oficina]],[15]Ponderación!$B$2:$E$9,4,FALSE),0)</f>
        <v>0.45719439678473212</v>
      </c>
      <c r="L261" s="7">
        <f>+Tabla145[[#This Row],[ RV Producción mes n+1]]*Tabla145[[#This Row],[% Uti. producción]]</f>
        <v>7985.3573342421314</v>
      </c>
      <c r="M261" s="7">
        <f>IFERROR(VLOOKUP(Tabla145[[#This Row],[Material]],[16]Stock!$G:$K,5,FALSE),0)</f>
        <v>6285</v>
      </c>
      <c r="N261" s="7">
        <f>IFERROR(VLOOKUP(Tabla145[[#This Row],[Material]],[16]Produccion!$M:$N,2,FALSE),0)</f>
        <v>0</v>
      </c>
      <c r="O261" s="7">
        <f>IFERROR(VLOOKUP(Tabla145[[#This Row],[Llave]],'[16]TD Conf-AP'!$I:$M,4,FALSE),0)</f>
        <v>0</v>
      </c>
      <c r="P261" s="14">
        <f>SUM(Tabla145[[#This Row],[Producción disponible]],Tabla145[[#This Row],[Stock al día]],(Tabla145[[#This Row],[Por producir mes N]]*0.9))-Tabla145[[#This Row],[Producción por despachar mes N]]</f>
        <v>14270.357334242131</v>
      </c>
      <c r="Q261" s="7">
        <f>IFERROR(VLOOKUP(Tabla145[[#This Row],[Llave]],[17]DELAY!$A:$D,4,FALSE),0)</f>
        <v>24000</v>
      </c>
      <c r="R261" s="9">
        <v>24000</v>
      </c>
      <c r="S261" s="5">
        <f t="shared" si="8"/>
        <v>0</v>
      </c>
      <c r="T261" s="76">
        <v>0</v>
      </c>
      <c r="U261" s="5">
        <f>+Tabla145[[#This Row],[Atraso a facturar]]+Tabla145[[#This Row],[Ajuste atraso]]</f>
        <v>0</v>
      </c>
      <c r="V261" s="3">
        <f>+Tabla145[[#This Row],[Total disponible]]-Tabla145[[#This Row],[Facturación atraso]]</f>
        <v>14270.357334242131</v>
      </c>
      <c r="W261" s="6">
        <f>IFERROR(IF(AND(V261&gt;R261,J261&gt;=R261),ROUNDDOWN((Tabla145[[#This Row],[Producción para venta nueva]])/R261,0)*R261,0),0)</f>
        <v>0</v>
      </c>
      <c r="X261" s="76">
        <v>0</v>
      </c>
      <c r="Y261" s="6">
        <f>IF(Tabla145[[#This Row],[Venta del mes]]&gt;0,Tabla145[[#This Row],[Venta del mes]]+Tabla145[[#This Row],[Ajuste venta nueva]],0)</f>
        <v>0</v>
      </c>
      <c r="Z261" s="6">
        <f>+Tabla145[[#This Row],[Producción para venta nueva]]-Tabla145[[#This Row],[Facturación Venta nueva]]</f>
        <v>14270.357334242131</v>
      </c>
      <c r="AA261" s="6">
        <f>IF(AND(A261=1,Tabla145[[#This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1" s="6">
        <v>0</v>
      </c>
      <c r="AC261" s="6">
        <f>IF(Tabla145[[#This Row],[Disponible stock sin venta]]&gt;0,Tabla145[[#This Row],[Disponible stock sin venta]]+Tabla145[[#This Row],[Ajuste stock sin venta]],0)</f>
        <v>0</v>
      </c>
      <c r="AD261" s="3">
        <f>IFERROR(VLOOKUP(Tabla145[[#This Row],[Llave]],'[16]TD Puerto'!$A:$D,4,FALSE),0)</f>
        <v>0</v>
      </c>
      <c r="AE261" s="3">
        <v>0</v>
      </c>
      <c r="AF261" s="3">
        <f>+Tabla145[[#This Row],[Plan Irrestricto Inicial]]</f>
        <v>0</v>
      </c>
      <c r="AG261" s="3">
        <f>+Tabla145[[#This Row],[En puerto a facturar]]</f>
        <v>0</v>
      </c>
      <c r="AH261" s="3">
        <f>+Tabla145[[#This Row],[Facturación atraso]]</f>
        <v>0</v>
      </c>
      <c r="AI261" s="3">
        <f>+Tabla145[[#This Row],[Plan Irrestricto]]-Tabla145[[#This Row],[Puerto ]]-Tabla145[[#This Row],[Atraso]]</f>
        <v>0</v>
      </c>
      <c r="AJ26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61" s="3">
        <f>+Tabla145[[#This Row],[Facturación atraso]]</f>
        <v>0</v>
      </c>
      <c r="AL261" s="3">
        <f>+Tabla145[[#This Row],[Plan Ajustado]]-Tabla145[[#This Row],[ Atraso ajustado]]-Tabla145[[#This Row],[Puerto ]]</f>
        <v>0</v>
      </c>
      <c r="AM261" s="6">
        <f>IFERROR(VLOOKUP(Tabla145[[#This Row],[Llave]],[18]!Tabla14[#All],34,FALSE),0)</f>
        <v>0</v>
      </c>
      <c r="AN261" s="6">
        <f>IFERROR(VLOOKUP(Tabla145[[#This Row],[Llave]],[18]!Tabla14[#All],35,FALSE),0)</f>
        <v>0</v>
      </c>
      <c r="AO261" s="3" t="str">
        <f>IF(Tabla145[[#This Row],[Plan Ajustado]]&gt;Tabla145[[#This Row],[En puerto a facturar]],"Si","No")</f>
        <v>No</v>
      </c>
      <c r="AP26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61" s="3">
        <f>IF(Tabla145[[#This Row],[Necesidad]]&gt;=Tabla145[[#This Row],[Stock al día]],Tabla145[[#This Row],[Stock al día]],Tabla145[[#This Row],[Necesidad]])</f>
        <v>0</v>
      </c>
      <c r="AR261" s="3">
        <f>+Tabla145[[#This Row],[Necesidad]]-Tabla145[[#This Row],[Stock Plan]]</f>
        <v>0</v>
      </c>
      <c r="AS261" s="155">
        <f>IFERROR(VLOOKUP(Tabla145[[#This Row],[Oficina]],[19]Ponderación!$B$14:$E$21,4,FALSE),"")</f>
        <v>44789</v>
      </c>
      <c r="AT26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61" s="83">
        <f>IFERROR(VLOOKUP(Tabla145[[#This Row],[Llave]],[17]DELAY!$H:$W,16,FALSE),0)</f>
        <v>1.9</v>
      </c>
      <c r="AV26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61" s="5">
        <f>Tabla145[[#This Row],[Ajuste precio IC]]*Tabla145[[#This Row],[Plan Ajustado]]</f>
        <v>0</v>
      </c>
      <c r="AX261" s="30">
        <f>IFERROR(VLOOKUP(Tabla145[[#This Row],[Llave]],'[13]Ultimos precios facturados'!$A:$G,7,FALSE),0)</f>
        <v>0</v>
      </c>
      <c r="AY26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61" s="30">
        <f>IFERROR(VLOOKUP(Tabla145[[#This Row],[Llave]],Hoja2!B:K,10,FALSE),0)</f>
        <v>0</v>
      </c>
      <c r="BA261" s="30">
        <f>IF(Tabla145[[#This Row],[Ajuste precio IC]]="",Tabla145[[#This Row],[Precio ponderado]],Tabla145[[#This Row],[Precio ponderado]])</f>
        <v>0</v>
      </c>
      <c r="BB261" s="82"/>
      <c r="BC261" s="82" t="str">
        <f>IF(AND(Tabla145[[#This Row],[Atraso a facturar]]&gt;0,Tabla145[[#This Row],[Precio Atraso]]=0),"Revisar","OK")</f>
        <v>OK</v>
      </c>
      <c r="BD261" s="82" t="str">
        <f>IF(AND(Tabla145[[#This Row],[Venta del mes]]&gt;0,Tabla145[[#This Row],[Precio venta nueva]]=0),"Revisar","OK")</f>
        <v>OK</v>
      </c>
      <c r="BE261" s="20">
        <f>IFERROR(VLOOKUP(Tabla145[[#This Row],[Llave]],'[5]Consolidación planes'!$A:$M,9,FALSE),0)</f>
        <v>0</v>
      </c>
      <c r="BF261" s="20">
        <f>IFERROR(VLOOKUP(Tabla145[[#This Row],[Llave]],'[5]Consolidación planes'!$A:$M,10,FALSE),0)</f>
        <v>0</v>
      </c>
      <c r="BG261" s="20">
        <f>IFERROR(VLOOKUP(Tabla145[[#This Row],[Llave]],'[5]Consolidación planes'!$A:$M,11,FALSE),0)</f>
        <v>0</v>
      </c>
      <c r="BH261" s="20">
        <f>IFERROR(VLOOKUP(Tabla145[[#This Row],[Llave]],'[5]Consolidación planes'!$A:$M,12,FALSE),0)</f>
        <v>0</v>
      </c>
      <c r="BI261" s="20">
        <f>IFERROR(VLOOKUP(Tabla145[[#This Row],[Llave]],'[5]Consolidación planes'!$A:$M,13,FALSE),0)</f>
        <v>0</v>
      </c>
      <c r="BJ261" s="20">
        <f>IFERROR(VLOOKUP(Tabla145[[#This Row],[Llave]],'[13]Base ultimos planes'!$A:$M,13,FALSE),0)</f>
        <v>0</v>
      </c>
      <c r="BK261" s="80">
        <f>IFERROR(VLOOKUP(Tabla145[[#This Row],[Llave]],'[13]Base ultimos planes'!$O:$AA,8,FALSE),0)</f>
        <v>0</v>
      </c>
      <c r="BL261" s="20">
        <f>IFERROR(VLOOKUP(Tabla145[[#This Row],[Llave]],'[13]Base ultimos planes'!$O:$AA,9,FALSE),0)</f>
        <v>0</v>
      </c>
      <c r="BM261" s="20">
        <f>IFERROR(VLOOKUP(Tabla145[[#This Row],[Llave]],'[13]Base ultimos planes'!$O:$AA,10,FALSE),0)</f>
        <v>0</v>
      </c>
      <c r="BN261" s="20">
        <f>IFERROR(VLOOKUP(Tabla145[[#This Row],[Llave]],'[13]Base ultimos planes'!$O:$AA,11,FALSE),0)</f>
        <v>0</v>
      </c>
      <c r="BO261" s="20">
        <f>IFERROR(VLOOKUP(Tabla145[[#This Row],[Llave]],'[13]Base ultimos planes'!$O:$AA,12,FALSE),0)</f>
        <v>0</v>
      </c>
      <c r="BP261" s="20">
        <f>IFERROR(VLOOKUP(Tabla145[[#This Row],[Llave]],'[13]Base ultimos planes'!$O:$AA,13,FALSE),0)</f>
        <v>0</v>
      </c>
      <c r="BQ261" s="20"/>
      <c r="BR261" s="20">
        <f>Tabla145[[#This Row],[ RV Producción mes n+1]]*(1-Tabla145[[#This Row],[% Uti. producción]])</f>
        <v>9480.6426657578704</v>
      </c>
      <c r="BS261" s="20">
        <f>+Tabla145[[#This Row],[Producción disponible mes n-1]]+Tabla145[[#This Row],[Saldo Volumen disponible]]</f>
        <v>23751</v>
      </c>
      <c r="BT261" s="7">
        <f>IFERROR(VLOOKUP(Tabla145[[#This Row],[Llave]],'[21]RV n+2 y n+3'!$B:$F,4,FALSE),0)</f>
        <v>24000</v>
      </c>
      <c r="BU261" s="7">
        <f>+Tabla145[[#This Row],[Asignación mes n+2]]*Tabla145[[#This Row],[% Uti. producción]]</f>
        <v>10972.665522833571</v>
      </c>
      <c r="BV261" s="7">
        <f>+Tabla145[[#This Row],[Ponderación mes n+2]]+Tabla145[[#This Row],[Saldo mes n-1]]</f>
        <v>34723.665522833573</v>
      </c>
      <c r="BW261" s="7">
        <f>+Tabla145[[#This Row],[Asignación mes n+2]]-Tabla145[[#This Row],[Ponderación mes n+2]]</f>
        <v>13027.334477166429</v>
      </c>
      <c r="BX261" s="7">
        <f>IFERROR(VLOOKUP(Tabla145[[#This Row],[Llave]],'[21]RV n+2 y n+3'!$B:$F,5,FALSE),0)</f>
        <v>44957.567999999999</v>
      </c>
      <c r="BY261" s="7">
        <f>+Tabla145[[#This Row],[Asignación mes n+3]]*Tabla145[[#This Row],[% Uti. producción]]</f>
        <v>20554.348182668575</v>
      </c>
      <c r="BZ261" s="3">
        <f>+Tabla145[[#This Row],[Ponderación mes n+3]]+Tabla145[[#This Row],[Saldo mes n+2]]</f>
        <v>33581.682659835002</v>
      </c>
      <c r="CA261" s="3">
        <f>+Tabla145[[#This Row],[Asignación mes n+3]]-Tabla145[[#This Row],[Ponderación mes n+3]]</f>
        <v>24403.219817331425</v>
      </c>
      <c r="CB261" s="3">
        <f>+Tabla145[[#This Row],[Producción disponible mes n-1]]+Tabla145[[#This Row],[Producción disponible]]</f>
        <v>17466</v>
      </c>
      <c r="CC261" s="3">
        <f>+Tabla145[[#This Row],[Saldo mes n+4]]-Tabla145[[#This Row],[ RV Producción mes n+1]]</f>
        <v>0</v>
      </c>
    </row>
    <row r="262" spans="1:81" ht="16" x14ac:dyDescent="0.2">
      <c r="A262">
        <v>2</v>
      </c>
      <c r="B262" t="str">
        <f>Tabla145[[#This Row],[Oficina]]&amp;Tabla145[[#This Row],[Material]]</f>
        <v>Agrosuper Shanghai1022943</v>
      </c>
      <c r="C262" t="s">
        <v>6</v>
      </c>
      <c r="D262" t="s">
        <v>140</v>
      </c>
      <c r="E262">
        <v>1022943</v>
      </c>
      <c r="F262" t="s">
        <v>400</v>
      </c>
      <c r="G262" t="s">
        <v>50</v>
      </c>
      <c r="H262" t="s">
        <v>51</v>
      </c>
      <c r="I262" s="15">
        <f>IFERROR(VLOOKUP(Tabla145[[#This Row],[Llave]],'[7]RV Producción'!$C:$G,5,FALSE),0)</f>
        <v>0</v>
      </c>
      <c r="J262" s="3">
        <f>IFERROR(IF(Tabla145[[#This Row],[Oficina]]=$I$7,VLOOKUP(Tabla145[[#This Row],[Llave]],'[7]Shangai (Tomas)'!$A:$F,6,FALSE),VLOOKUP(Tabla145[[#This Row],[Llave]],'[7]RV plan de ventas'!$A:$E,5,FALSE)),0)</f>
        <v>0</v>
      </c>
      <c r="K262" s="17">
        <f>IFERROR(VLOOKUP(Tabla145[[#This Row],[Oficina]],[15]Ponderación!$B$2:$E$9,4,FALSE),0)</f>
        <v>0.45719439678473212</v>
      </c>
      <c r="L262" s="7">
        <f>+Tabla145[[#This Row],[ RV Producción mes n+1]]*Tabla145[[#This Row],[% Uti. producción]]</f>
        <v>0</v>
      </c>
      <c r="M262" s="7">
        <f>IFERROR(VLOOKUP(Tabla145[[#This Row],[Material]],[16]Stock!$G:$K,5,FALSE),0)</f>
        <v>56</v>
      </c>
      <c r="N262" s="7">
        <f>IFERROR(VLOOKUP(Tabla145[[#This Row],[Material]],[16]Produccion!$M:$N,2,FALSE),0)</f>
        <v>0</v>
      </c>
      <c r="O262" s="7">
        <f>IFERROR(VLOOKUP(Tabla145[[#This Row],[Llave]],'[16]TD Conf-AP'!$I:$M,4,FALSE),0)</f>
        <v>0</v>
      </c>
      <c r="P262" s="14">
        <f>SUM(Tabla145[[#This Row],[Producción disponible]],Tabla145[[#This Row],[Stock al día]],(Tabla145[[#This Row],[Por producir mes N]]*0.9))-Tabla145[[#This Row],[Producción por despachar mes N]]</f>
        <v>56</v>
      </c>
      <c r="Q262" s="7">
        <f>IFERROR(VLOOKUP(Tabla145[[#This Row],[Llave]],[17]DELAY!$A:$D,4,FALSE),0)</f>
        <v>0</v>
      </c>
      <c r="R262" s="9">
        <v>24000</v>
      </c>
      <c r="S262" s="5">
        <f t="shared" si="8"/>
        <v>0</v>
      </c>
      <c r="T262" s="76"/>
      <c r="U262" s="5">
        <f>+Tabla145[[#This Row],[Atraso a facturar]]+Tabla145[[#This Row],[Ajuste atraso]]</f>
        <v>0</v>
      </c>
      <c r="V262" s="3">
        <f>+Tabla145[[#This Row],[Total disponible]]-Tabla145[[#This Row],[Facturación atraso]]</f>
        <v>56</v>
      </c>
      <c r="W262" s="6">
        <f>IFERROR(IF(AND(V262&gt;R262,J262&gt;=R262),ROUNDDOWN((Tabla145[[#This Row],[Producción para venta nueva]])/R262,0)*R262,0),0)</f>
        <v>0</v>
      </c>
      <c r="X262" s="76">
        <v>0</v>
      </c>
      <c r="Y262" s="6">
        <f>IF(Tabla145[[#This Row],[Venta del mes]]&gt;0,Tabla145[[#This Row],[Venta del mes]]+Tabla145[[#This Row],[Ajuste venta nueva]],0)</f>
        <v>0</v>
      </c>
      <c r="Z262" s="6">
        <f>+Tabla145[[#This Row],[Producción para venta nueva]]-Tabla145[[#This Row],[Facturación Venta nueva]]</f>
        <v>56</v>
      </c>
      <c r="AA262" s="6">
        <f>IF(AND(A262=1,Tabla145[[#This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2" s="6">
        <v>0</v>
      </c>
      <c r="AC262" s="6">
        <f>IF(Tabla145[[#This Row],[Disponible stock sin venta]]&gt;0,Tabla145[[#This Row],[Disponible stock sin venta]]+Tabla145[[#This Row],[Ajuste stock sin venta]],0)</f>
        <v>0</v>
      </c>
      <c r="AD262" s="3">
        <f>IFERROR(VLOOKUP(Tabla145[[#This Row],[Llave]],'[16]TD Puerto'!$A:$D,4,FALSE),0)</f>
        <v>0</v>
      </c>
      <c r="AE262" s="3">
        <v>0</v>
      </c>
      <c r="AF262" s="3">
        <f>+Tabla145[[#This Row],[Plan Irrestricto Inicial]]</f>
        <v>0</v>
      </c>
      <c r="AG262" s="3">
        <f>+Tabla145[[#This Row],[En puerto a facturar]]</f>
        <v>0</v>
      </c>
      <c r="AH262" s="3">
        <f>+Tabla145[[#This Row],[Facturación atraso]]</f>
        <v>0</v>
      </c>
      <c r="AI262" s="3">
        <f>+Tabla145[[#This Row],[Plan Irrestricto]]-Tabla145[[#This Row],[Puerto ]]-Tabla145[[#This Row],[Atraso]]</f>
        <v>0</v>
      </c>
      <c r="AJ26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62" s="3">
        <f>+Tabla145[[#This Row],[Facturación atraso]]</f>
        <v>0</v>
      </c>
      <c r="AL262" s="3">
        <f>+Tabla145[[#This Row],[Plan Ajustado]]-Tabla145[[#This Row],[ Atraso ajustado]]-Tabla145[[#This Row],[Puerto ]]</f>
        <v>0</v>
      </c>
      <c r="AM262" s="6">
        <f>IFERROR(VLOOKUP(Tabla145[[#This Row],[Llave]],[18]!Tabla14[#All],34,FALSE),0)</f>
        <v>0</v>
      </c>
      <c r="AN262" s="6">
        <f>IFERROR(VLOOKUP(Tabla145[[#This Row],[Llave]],[18]!Tabla14[#All],35,FALSE),0)</f>
        <v>0</v>
      </c>
      <c r="AO262" s="3" t="str">
        <f>IF(Tabla145[[#This Row],[Plan Ajustado]]&gt;Tabla145[[#This Row],[En puerto a facturar]],"Si","No")</f>
        <v>No</v>
      </c>
      <c r="AP26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62" s="3">
        <f>IF(Tabla145[[#This Row],[Necesidad]]&gt;=Tabla145[[#This Row],[Stock al día]],Tabla145[[#This Row],[Stock al día]],Tabla145[[#This Row],[Necesidad]])</f>
        <v>0</v>
      </c>
      <c r="AR262" s="3">
        <f>+Tabla145[[#This Row],[Necesidad]]-Tabla145[[#This Row],[Stock Plan]]</f>
        <v>0</v>
      </c>
      <c r="AS262" s="155">
        <f>IFERROR(VLOOKUP(Tabla145[[#This Row],[Oficina]],[19]Ponderación!$B$14:$E$21,4,FALSE),"")</f>
        <v>44786</v>
      </c>
      <c r="AT26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2.4003255462422346</v>
      </c>
      <c r="AU262" s="83">
        <f>IFERROR(VLOOKUP(Tabla145[[#This Row],[Llave]],[17]DELAY!$H:$W,16,FALSE),0)</f>
        <v>0</v>
      </c>
      <c r="AV26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62" s="5">
        <f>Tabla145[[#This Row],[Ajuste precio IC]]*Tabla145[[#This Row],[Plan Ajustado]]</f>
        <v>0</v>
      </c>
      <c r="AX262" s="30">
        <f>IFERROR(VLOOKUP(Tabla145[[#This Row],[Llave]],'[13]Ultimos precios facturados'!$A:$G,7,FALSE),0)</f>
        <v>2.4003255462422346</v>
      </c>
      <c r="AY26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62" s="30">
        <f>IFERROR(VLOOKUP(Tabla145[[#This Row],[Llave]],Hoja2!B:K,10,FALSE),0)</f>
        <v>0</v>
      </c>
      <c r="BA262" s="30">
        <f>IF(Tabla145[[#This Row],[Ajuste precio IC]]="",Tabla145[[#This Row],[Precio ponderado]],Tabla145[[#This Row],[Precio ponderado]])</f>
        <v>0</v>
      </c>
      <c r="BB262" s="82"/>
      <c r="BC262" s="82" t="str">
        <f>IF(AND(Tabla145[[#This Row],[Atraso a facturar]]&gt;0,Tabla145[[#This Row],[Precio Atraso]]=0),"Revisar","OK")</f>
        <v>OK</v>
      </c>
      <c r="BD262" s="82" t="str">
        <f>IF(AND(Tabla145[[#This Row],[Venta del mes]]&gt;0,Tabla145[[#This Row],[Precio venta nueva]]=0),"Revisar","OK")</f>
        <v>OK</v>
      </c>
      <c r="BE262" s="20">
        <f>IFERROR(VLOOKUP(Tabla145[[#This Row],[Llave]],'[5]Consolidación planes'!$A:$M,9,FALSE),0)</f>
        <v>0</v>
      </c>
      <c r="BF262" s="20">
        <f>IFERROR(VLOOKUP(Tabla145[[#This Row],[Llave]],'[5]Consolidación planes'!$A:$M,10,FALSE),0)</f>
        <v>0</v>
      </c>
      <c r="BG262" s="20">
        <f>IFERROR(VLOOKUP(Tabla145[[#This Row],[Llave]],'[5]Consolidación planes'!$A:$M,11,FALSE),0)</f>
        <v>0</v>
      </c>
      <c r="BH262" s="20">
        <f>IFERROR(VLOOKUP(Tabla145[[#This Row],[Llave]],'[5]Consolidación planes'!$A:$M,12,FALSE),0)</f>
        <v>0</v>
      </c>
      <c r="BI262" s="20">
        <f>IFERROR(VLOOKUP(Tabla145[[#This Row],[Llave]],'[5]Consolidación planes'!$A:$M,13,FALSE),0)</f>
        <v>0</v>
      </c>
      <c r="BJ262" s="20">
        <f>IFERROR(VLOOKUP(Tabla145[[#This Row],[Llave]],'[13]Base ultimos planes'!$A:$M,13,FALSE),0)</f>
        <v>0</v>
      </c>
      <c r="BK262" s="80">
        <f>IFERROR(VLOOKUP(Tabla145[[#This Row],[Llave]],'[13]Base ultimos planes'!$O:$AA,8,FALSE),0)</f>
        <v>0</v>
      </c>
      <c r="BL262" s="20">
        <f>IFERROR(VLOOKUP(Tabla145[[#This Row],[Llave]],'[13]Base ultimos planes'!$O:$AA,9,FALSE),0)</f>
        <v>0</v>
      </c>
      <c r="BM262" s="20">
        <f>IFERROR(VLOOKUP(Tabla145[[#This Row],[Llave]],'[13]Base ultimos planes'!$O:$AA,10,FALSE),0)</f>
        <v>0</v>
      </c>
      <c r="BN262" s="20">
        <f>IFERROR(VLOOKUP(Tabla145[[#This Row],[Llave]],'[13]Base ultimos planes'!$O:$AA,11,FALSE),0)</f>
        <v>0</v>
      </c>
      <c r="BO262" s="20">
        <f>IFERROR(VLOOKUP(Tabla145[[#This Row],[Llave]],'[13]Base ultimos planes'!$O:$AA,12,FALSE),0)</f>
        <v>0</v>
      </c>
      <c r="BP262" s="20">
        <f>IFERROR(VLOOKUP(Tabla145[[#This Row],[Llave]],'[13]Base ultimos planes'!$O:$AA,13,FALSE),0)</f>
        <v>0</v>
      </c>
      <c r="BQ262" s="20"/>
      <c r="BR262" s="20">
        <f>Tabla145[[#This Row],[ RV Producción mes n+1]]*(1-Tabla145[[#This Row],[% Uti. producción]])</f>
        <v>0</v>
      </c>
      <c r="BS262" s="20">
        <f>+Tabla145[[#This Row],[Producción disponible mes n-1]]+Tabla145[[#This Row],[Saldo Volumen disponible]]</f>
        <v>56</v>
      </c>
      <c r="BT262" s="7">
        <f>IFERROR(VLOOKUP(Tabla145[[#This Row],[Llave]],'[21]RV n+2 y n+3'!$B:$F,4,FALSE),0)</f>
        <v>0</v>
      </c>
      <c r="BU262" s="7">
        <f>+Tabla145[[#This Row],[Asignación mes n+2]]*Tabla145[[#This Row],[% Uti. producción]]</f>
        <v>0</v>
      </c>
      <c r="BV262" s="7">
        <f>+Tabla145[[#This Row],[Ponderación mes n+2]]+Tabla145[[#This Row],[Saldo mes n-1]]</f>
        <v>56</v>
      </c>
      <c r="BW262" s="7">
        <f>+Tabla145[[#This Row],[Asignación mes n+2]]-Tabla145[[#This Row],[Ponderación mes n+2]]</f>
        <v>0</v>
      </c>
      <c r="BX262" s="7">
        <f>IFERROR(VLOOKUP(Tabla145[[#This Row],[Llave]],'[21]RV n+2 y n+3'!$B:$F,5,FALSE),0)</f>
        <v>0</v>
      </c>
      <c r="BY262" s="7">
        <f>+Tabla145[[#This Row],[Asignación mes n+3]]*Tabla145[[#This Row],[% Uti. producción]]</f>
        <v>0</v>
      </c>
      <c r="BZ262" s="3">
        <f>+Tabla145[[#This Row],[Ponderación mes n+3]]+Tabla145[[#This Row],[Saldo mes n+2]]</f>
        <v>0</v>
      </c>
      <c r="CA262" s="3">
        <f>+Tabla145[[#This Row],[Asignación mes n+3]]-Tabla145[[#This Row],[Ponderación mes n+3]]</f>
        <v>0</v>
      </c>
      <c r="CB262" s="3">
        <f>+Tabla145[[#This Row],[Producción disponible mes n-1]]+Tabla145[[#This Row],[Producción disponible]]</f>
        <v>0</v>
      </c>
      <c r="CC262" s="3">
        <f>+Tabla145[[#This Row],[Saldo mes n+4]]-Tabla145[[#This Row],[ RV Producción mes n+1]]</f>
        <v>0</v>
      </c>
    </row>
    <row r="263" spans="1:81" ht="16" x14ac:dyDescent="0.2">
      <c r="A263">
        <v>2</v>
      </c>
      <c r="B263" t="str">
        <f>Tabla145[[#This Row],[Oficina]]&amp;Tabla145[[#This Row],[Material]]</f>
        <v>Agrosuper Shanghai1022995</v>
      </c>
      <c r="C263" t="s">
        <v>6</v>
      </c>
      <c r="D263" t="s">
        <v>140</v>
      </c>
      <c r="E263">
        <v>1022995</v>
      </c>
      <c r="F263" t="s">
        <v>407</v>
      </c>
      <c r="G263" t="s">
        <v>56</v>
      </c>
      <c r="H263" t="s">
        <v>118</v>
      </c>
      <c r="I263" s="15">
        <f>IFERROR(VLOOKUP(Tabla145[[#This Row],[Llave]],'[7]RV Producción'!$C:$G,5,FALSE),0)</f>
        <v>0</v>
      </c>
      <c r="J263" s="3">
        <f>IFERROR(IF(Tabla145[[#This Row],[Oficina]]=$I$7,VLOOKUP(Tabla145[[#This Row],[Llave]],'[7]Shangai (Tomas)'!$A:$F,6,FALSE),VLOOKUP(Tabla145[[#This Row],[Llave]],'[7]RV plan de ventas'!$A:$E,5,FALSE)),0)</f>
        <v>0</v>
      </c>
      <c r="K263" s="17">
        <f>IFERROR(VLOOKUP(Tabla145[[#This Row],[Oficina]],[15]Ponderación!$B$2:$E$9,4,FALSE),0)</f>
        <v>0.45719439678473212</v>
      </c>
      <c r="L263" s="7">
        <f>+Tabla145[[#This Row],[ RV Producción mes n+1]]*Tabla145[[#This Row],[% Uti. producción]]</f>
        <v>0</v>
      </c>
      <c r="M263" s="7">
        <f>IFERROR(VLOOKUP(Tabla145[[#This Row],[Material]],[16]Stock!$G:$K,5,FALSE),0)</f>
        <v>964</v>
      </c>
      <c r="N263" s="7">
        <f>IFERROR(VLOOKUP(Tabla145[[#This Row],[Material]],[16]Produccion!$M:$N,2,FALSE),0)</f>
        <v>0</v>
      </c>
      <c r="O263" s="7">
        <f>IFERROR(VLOOKUP(Tabla145[[#This Row],[Llave]],'[16]TD Conf-AP'!$I:$M,4,FALSE),0)</f>
        <v>0</v>
      </c>
      <c r="P263" s="14">
        <f>SUM(Tabla145[[#This Row],[Producción disponible]],Tabla145[[#This Row],[Stock al día]],(Tabla145[[#This Row],[Por producir mes N]]*0.9))-Tabla145[[#This Row],[Producción por despachar mes N]]</f>
        <v>964</v>
      </c>
      <c r="Q263" s="7">
        <f>IFERROR(VLOOKUP(Tabla145[[#This Row],[Llave]],[17]DELAY!$A:$D,4,FALSE),0)</f>
        <v>0</v>
      </c>
      <c r="R263" s="9">
        <v>24000</v>
      </c>
      <c r="S263" s="5">
        <f t="shared" si="8"/>
        <v>0</v>
      </c>
      <c r="T263" s="76"/>
      <c r="U263" s="5">
        <f>+Tabla145[[#This Row],[Atraso a facturar]]+Tabla145[[#This Row],[Ajuste atraso]]</f>
        <v>0</v>
      </c>
      <c r="V263" s="3">
        <f>+Tabla145[[#This Row],[Total disponible]]-Tabla145[[#This Row],[Facturación atraso]]</f>
        <v>964</v>
      </c>
      <c r="W263" s="6">
        <f>IFERROR(IF(AND(V263&gt;R263,J263&gt;=R263),ROUNDDOWN((Tabla145[[#This Row],[Producción para venta nueva]])/R263,0)*R263,0),0)</f>
        <v>0</v>
      </c>
      <c r="X263" s="76">
        <v>0</v>
      </c>
      <c r="Y263" s="6">
        <f>IF(Tabla145[[#This Row],[Venta del mes]]&gt;0,Tabla145[[#This Row],[Venta del mes]]+Tabla145[[#This Row],[Ajuste venta nueva]],0)</f>
        <v>0</v>
      </c>
      <c r="Z263" s="6">
        <f>+Tabla145[[#This Row],[Producción para venta nueva]]-Tabla145[[#This Row],[Facturación Venta nueva]]</f>
        <v>964</v>
      </c>
      <c r="AA263" s="6">
        <f>IF(AND(A263=1,Tabla145[[#This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3" s="6">
        <v>0</v>
      </c>
      <c r="AC263" s="6">
        <f>IF(Tabla145[[#This Row],[Disponible stock sin venta]]&gt;0,Tabla145[[#This Row],[Disponible stock sin venta]]+Tabla145[[#This Row],[Ajuste stock sin venta]],0)</f>
        <v>0</v>
      </c>
      <c r="AD263" s="3">
        <f>IFERROR(VLOOKUP(Tabla145[[#This Row],[Llave]],'[16]TD Puerto'!$A:$D,4,FALSE),0)</f>
        <v>0</v>
      </c>
      <c r="AE263" s="3">
        <v>0</v>
      </c>
      <c r="AF263" s="3">
        <f>+Tabla145[[#This Row],[Plan Irrestricto Inicial]]</f>
        <v>0</v>
      </c>
      <c r="AG263" s="3">
        <f>+Tabla145[[#This Row],[En puerto a facturar]]</f>
        <v>0</v>
      </c>
      <c r="AH263" s="3">
        <f>+Tabla145[[#This Row],[Facturación atraso]]</f>
        <v>0</v>
      </c>
      <c r="AI263" s="3">
        <f>+Tabla145[[#This Row],[Plan Irrestricto]]-Tabla145[[#This Row],[Puerto ]]-Tabla145[[#This Row],[Atraso]]</f>
        <v>0</v>
      </c>
      <c r="AJ26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63" s="3">
        <f>+Tabla145[[#This Row],[Facturación atraso]]</f>
        <v>0</v>
      </c>
      <c r="AL263" s="3">
        <f>+Tabla145[[#This Row],[Plan Ajustado]]-Tabla145[[#This Row],[ Atraso ajustado]]-Tabla145[[#This Row],[Puerto ]]</f>
        <v>0</v>
      </c>
      <c r="AM263" s="6">
        <f>IFERROR(VLOOKUP(Tabla145[[#This Row],[Llave]],[18]!Tabla14[#All],34,FALSE),0)</f>
        <v>0</v>
      </c>
      <c r="AN263" s="6">
        <f>IFERROR(VLOOKUP(Tabla145[[#This Row],[Llave]],[18]!Tabla14[#All],35,FALSE),0)</f>
        <v>0</v>
      </c>
      <c r="AO263" s="3" t="str">
        <f>IF(Tabla145[[#This Row],[Plan Ajustado]]&gt;Tabla145[[#This Row],[En puerto a facturar]],"Si","No")</f>
        <v>No</v>
      </c>
      <c r="AP26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63" s="3">
        <f>IF(Tabla145[[#This Row],[Necesidad]]&gt;=Tabla145[[#This Row],[Stock al día]],Tabla145[[#This Row],[Stock al día]],Tabla145[[#This Row],[Necesidad]])</f>
        <v>0</v>
      </c>
      <c r="AR263" s="3">
        <f>+Tabla145[[#This Row],[Necesidad]]-Tabla145[[#This Row],[Stock Plan]]</f>
        <v>0</v>
      </c>
      <c r="AS263" s="155">
        <f>IFERROR(VLOOKUP(Tabla145[[#This Row],[Oficina]],[19]Ponderación!$B$14:$E$21,4,FALSE),"")</f>
        <v>44786</v>
      </c>
      <c r="AT26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63" s="83">
        <f>IFERROR(VLOOKUP(Tabla145[[#This Row],[Llave]],[17]DELAY!$H:$W,16,FALSE),0)</f>
        <v>0</v>
      </c>
      <c r="AV26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63" s="5">
        <f>Tabla145[[#This Row],[Ajuste precio IC]]*Tabla145[[#This Row],[Plan Ajustado]]</f>
        <v>0</v>
      </c>
      <c r="AX263" s="30">
        <f>IFERROR(VLOOKUP(Tabla145[[#This Row],[Llave]],'[13]Ultimos precios facturados'!$A:$G,7,FALSE),0)</f>
        <v>0</v>
      </c>
      <c r="AY26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63" s="30">
        <f>IFERROR(VLOOKUP(Tabla145[[#This Row],[Llave]],Hoja2!B:K,10,FALSE),0)</f>
        <v>0</v>
      </c>
      <c r="BA263" s="30">
        <f>IF(Tabla145[[#This Row],[Ajuste precio IC]]="",Tabla145[[#This Row],[Precio ponderado]],Tabla145[[#This Row],[Precio ponderado]])</f>
        <v>0</v>
      </c>
      <c r="BB263" s="82"/>
      <c r="BC263" s="82" t="str">
        <f>IF(AND(Tabla145[[#This Row],[Atraso a facturar]]&gt;0,Tabla145[[#This Row],[Precio Atraso]]=0),"Revisar","OK")</f>
        <v>OK</v>
      </c>
      <c r="BD263" s="82" t="str">
        <f>IF(AND(Tabla145[[#This Row],[Venta del mes]]&gt;0,Tabla145[[#This Row],[Precio venta nueva]]=0),"Revisar","OK")</f>
        <v>OK</v>
      </c>
      <c r="BE263" s="20">
        <f>IFERROR(VLOOKUP(Tabla145[[#This Row],[Llave]],'[5]Consolidación planes'!$A:$M,9,FALSE),0)</f>
        <v>0</v>
      </c>
      <c r="BF263" s="20">
        <f>IFERROR(VLOOKUP(Tabla145[[#This Row],[Llave]],'[5]Consolidación planes'!$A:$M,10,FALSE),0)</f>
        <v>0</v>
      </c>
      <c r="BG263" s="20">
        <f>IFERROR(VLOOKUP(Tabla145[[#This Row],[Llave]],'[5]Consolidación planes'!$A:$M,11,FALSE),0)</f>
        <v>0</v>
      </c>
      <c r="BH263" s="20">
        <f>IFERROR(VLOOKUP(Tabla145[[#This Row],[Llave]],'[5]Consolidación planes'!$A:$M,12,FALSE),0)</f>
        <v>0</v>
      </c>
      <c r="BI263" s="20">
        <f>IFERROR(VLOOKUP(Tabla145[[#This Row],[Llave]],'[5]Consolidación planes'!$A:$M,13,FALSE),0)</f>
        <v>0</v>
      </c>
      <c r="BJ263" s="20">
        <f>IFERROR(VLOOKUP(Tabla145[[#This Row],[Llave]],'[13]Base ultimos planes'!$A:$M,13,FALSE),0)</f>
        <v>0</v>
      </c>
      <c r="BK263" s="80">
        <f>IFERROR(VLOOKUP(Tabla145[[#This Row],[Llave]],'[13]Base ultimos planes'!$O:$AA,8,FALSE),0)</f>
        <v>0</v>
      </c>
      <c r="BL263" s="20">
        <f>IFERROR(VLOOKUP(Tabla145[[#This Row],[Llave]],'[13]Base ultimos planes'!$O:$AA,9,FALSE),0)</f>
        <v>0</v>
      </c>
      <c r="BM263" s="20">
        <f>IFERROR(VLOOKUP(Tabla145[[#This Row],[Llave]],'[13]Base ultimos planes'!$O:$AA,10,FALSE),0)</f>
        <v>0</v>
      </c>
      <c r="BN263" s="20">
        <f>IFERROR(VLOOKUP(Tabla145[[#This Row],[Llave]],'[13]Base ultimos planes'!$O:$AA,11,FALSE),0)</f>
        <v>0</v>
      </c>
      <c r="BO263" s="20">
        <f>IFERROR(VLOOKUP(Tabla145[[#This Row],[Llave]],'[13]Base ultimos planes'!$O:$AA,12,FALSE),0)</f>
        <v>0</v>
      </c>
      <c r="BP263" s="20">
        <f>IFERROR(VLOOKUP(Tabla145[[#This Row],[Llave]],'[13]Base ultimos planes'!$O:$AA,13,FALSE),0)</f>
        <v>0</v>
      </c>
      <c r="BQ263" s="20"/>
      <c r="BR263" s="20">
        <f>Tabla145[[#This Row],[ RV Producción mes n+1]]*(1-Tabla145[[#This Row],[% Uti. producción]])</f>
        <v>0</v>
      </c>
      <c r="BS263" s="20">
        <f>+Tabla145[[#This Row],[Producción disponible mes n-1]]+Tabla145[[#This Row],[Saldo Volumen disponible]]</f>
        <v>964</v>
      </c>
      <c r="BT263" s="7">
        <f>IFERROR(VLOOKUP(Tabla145[[#This Row],[Llave]],'[21]RV n+2 y n+3'!$B:$F,4,FALSE),0)</f>
        <v>0</v>
      </c>
      <c r="BU263" s="7">
        <f>+Tabla145[[#This Row],[Asignación mes n+2]]*Tabla145[[#This Row],[% Uti. producción]]</f>
        <v>0</v>
      </c>
      <c r="BV263" s="7">
        <f>+Tabla145[[#This Row],[Ponderación mes n+2]]+Tabla145[[#This Row],[Saldo mes n-1]]</f>
        <v>964</v>
      </c>
      <c r="BW263" s="7">
        <f>+Tabla145[[#This Row],[Asignación mes n+2]]-Tabla145[[#This Row],[Ponderación mes n+2]]</f>
        <v>0</v>
      </c>
      <c r="BX263" s="7">
        <f>IFERROR(VLOOKUP(Tabla145[[#This Row],[Llave]],'[21]RV n+2 y n+3'!$B:$F,5,FALSE),0)</f>
        <v>0</v>
      </c>
      <c r="BY263" s="7">
        <f>+Tabla145[[#This Row],[Asignación mes n+3]]*Tabla145[[#This Row],[% Uti. producción]]</f>
        <v>0</v>
      </c>
      <c r="BZ263" s="3">
        <f>+Tabla145[[#This Row],[Ponderación mes n+3]]+Tabla145[[#This Row],[Saldo mes n+2]]</f>
        <v>0</v>
      </c>
      <c r="CA263" s="3">
        <f>+Tabla145[[#This Row],[Asignación mes n+3]]-Tabla145[[#This Row],[Ponderación mes n+3]]</f>
        <v>0</v>
      </c>
      <c r="CB263" s="3">
        <f>+Tabla145[[#This Row],[Producción disponible mes n-1]]+Tabla145[[#This Row],[Producción disponible]]</f>
        <v>0</v>
      </c>
      <c r="CC263" s="3">
        <f>+Tabla145[[#This Row],[Saldo mes n+4]]-Tabla145[[#This Row],[ RV Producción mes n+1]]</f>
        <v>0</v>
      </c>
    </row>
    <row r="264" spans="1:81" ht="16" x14ac:dyDescent="0.2">
      <c r="A264">
        <v>2</v>
      </c>
      <c r="B264" t="str">
        <f>Tabla145[[#This Row],[Oficina]]&amp;Tabla145[[#This Row],[Material]]</f>
        <v>Agrosuper Shanghai1023110</v>
      </c>
      <c r="C264" t="s">
        <v>6</v>
      </c>
      <c r="D264" t="s">
        <v>140</v>
      </c>
      <c r="E264">
        <v>1023110</v>
      </c>
      <c r="F264" t="s">
        <v>401</v>
      </c>
      <c r="G264" t="s">
        <v>11</v>
      </c>
      <c r="H264" t="s">
        <v>30</v>
      </c>
      <c r="I264" s="15">
        <f>IFERROR(VLOOKUP(Tabla145[[#This Row],[Llave]],'[7]RV Producción'!$C:$G,5,FALSE),0)</f>
        <v>0</v>
      </c>
      <c r="J264" s="3">
        <f>IFERROR(IF(Tabla145[[#This Row],[Oficina]]=$I$7,VLOOKUP(Tabla145[[#This Row],[Llave]],'[7]Shangai (Tomas)'!$A:$F,6,FALSE),VLOOKUP(Tabla145[[#This Row],[Llave]],'[7]RV plan de ventas'!$A:$E,5,FALSE)),0)</f>
        <v>0</v>
      </c>
      <c r="K264" s="17">
        <f>IFERROR(VLOOKUP(Tabla145[[#This Row],[Oficina]],[15]Ponderación!$B$2:$E$9,4,FALSE),0)</f>
        <v>0.45719439678473212</v>
      </c>
      <c r="L264" s="7">
        <f>+Tabla145[[#This Row],[ RV Producción mes n+1]]*Tabla145[[#This Row],[% Uti. producción]]</f>
        <v>0</v>
      </c>
      <c r="M264" s="7">
        <f>IFERROR(VLOOKUP(Tabla145[[#This Row],[Material]],[16]Stock!$G:$K,5,FALSE),0)</f>
        <v>35696</v>
      </c>
      <c r="N264" s="7">
        <f>IFERROR(VLOOKUP(Tabla145[[#This Row],[Material]],[16]Produccion!$M:$N,2,FALSE),0)</f>
        <v>49909</v>
      </c>
      <c r="O264" s="7">
        <f>IFERROR(VLOOKUP(Tabla145[[#This Row],[Llave]],'[16]TD Conf-AP'!$I:$M,4,FALSE),0)</f>
        <v>0</v>
      </c>
      <c r="P264" s="14">
        <f>SUM(Tabla145[[#This Row],[Producción disponible]],Tabla145[[#This Row],[Stock al día]],(Tabla145[[#This Row],[Por producir mes N]]*0.9))-Tabla145[[#This Row],[Producción por despachar mes N]]</f>
        <v>80614.100000000006</v>
      </c>
      <c r="Q264" s="7">
        <f>IFERROR(VLOOKUP(Tabla145[[#This Row],[Llave]],[17]DELAY!$A:$D,4,FALSE),0)</f>
        <v>0</v>
      </c>
      <c r="R264" s="9">
        <v>24000</v>
      </c>
      <c r="S264" s="5">
        <f t="shared" si="8"/>
        <v>0</v>
      </c>
      <c r="T264" s="76"/>
      <c r="U264" s="5">
        <f>+Tabla145[[#This Row],[Atraso a facturar]]+Tabla145[[#This Row],[Ajuste atraso]]</f>
        <v>0</v>
      </c>
      <c r="V264" s="3">
        <f>+Tabla145[[#This Row],[Total disponible]]-Tabla145[[#This Row],[Facturación atraso]]</f>
        <v>80614.100000000006</v>
      </c>
      <c r="W264" s="6">
        <f>IFERROR(IF(AND(V264&gt;R264,J264&gt;=R264),ROUNDDOWN((Tabla145[[#This Row],[Producción para venta nueva]])/R264,0)*R264,0),0)</f>
        <v>0</v>
      </c>
      <c r="X264" s="76">
        <v>0</v>
      </c>
      <c r="Y264" s="6">
        <f>IF(Tabla145[[#This Row],[Venta del mes]]&gt;0,Tabla145[[#This Row],[Venta del mes]]+Tabla145[[#This Row],[Ajuste venta nueva]],0)</f>
        <v>0</v>
      </c>
      <c r="Z264" s="6">
        <f>+Tabla145[[#This Row],[Producción para venta nueva]]-Tabla145[[#This Row],[Facturación Venta nueva]]</f>
        <v>80614.100000000006</v>
      </c>
      <c r="AA264" s="6">
        <f>IF(AND(A264=1,Tabla145[[#This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4" s="6">
        <v>0</v>
      </c>
      <c r="AC264" s="6">
        <f>IF(Tabla145[[#This Row],[Disponible stock sin venta]]&gt;0,Tabla145[[#This Row],[Disponible stock sin venta]]+Tabla145[[#This Row],[Ajuste stock sin venta]],0)</f>
        <v>0</v>
      </c>
      <c r="AD264" s="3">
        <f>IFERROR(VLOOKUP(Tabla145[[#This Row],[Llave]],'[16]TD Puerto'!$A:$D,4,FALSE),0)</f>
        <v>0</v>
      </c>
      <c r="AE264" s="3">
        <v>0</v>
      </c>
      <c r="AF264" s="3">
        <f>+Tabla145[[#This Row],[Plan Irrestricto Inicial]]</f>
        <v>0</v>
      </c>
      <c r="AG264" s="3">
        <f>+Tabla145[[#This Row],[En puerto a facturar]]</f>
        <v>0</v>
      </c>
      <c r="AH264" s="3">
        <f>+Tabla145[[#This Row],[Facturación atraso]]</f>
        <v>0</v>
      </c>
      <c r="AI264" s="3">
        <f>+Tabla145[[#This Row],[Plan Irrestricto]]-Tabla145[[#This Row],[Puerto ]]-Tabla145[[#This Row],[Atraso]]</f>
        <v>0</v>
      </c>
      <c r="AJ26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64" s="3">
        <f>+Tabla145[[#This Row],[Facturación atraso]]</f>
        <v>0</v>
      </c>
      <c r="AL264" s="3">
        <f>+Tabla145[[#This Row],[Plan Ajustado]]-Tabla145[[#This Row],[ Atraso ajustado]]-Tabla145[[#This Row],[Puerto ]]</f>
        <v>0</v>
      </c>
      <c r="AM264" s="6">
        <f>IFERROR(VLOOKUP(Tabla145[[#This Row],[Llave]],[18]!Tabla14[#All],34,FALSE),0)</f>
        <v>0</v>
      </c>
      <c r="AN264" s="6">
        <f>IFERROR(VLOOKUP(Tabla145[[#This Row],[Llave]],[18]!Tabla14[#All],35,FALSE),0)</f>
        <v>0</v>
      </c>
      <c r="AO264" s="3" t="str">
        <f>IF(Tabla145[[#This Row],[Plan Ajustado]]&gt;Tabla145[[#This Row],[En puerto a facturar]],"Si","No")</f>
        <v>No</v>
      </c>
      <c r="AP26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64" s="3">
        <f>IF(Tabla145[[#This Row],[Necesidad]]&gt;=Tabla145[[#This Row],[Stock al día]],Tabla145[[#This Row],[Stock al día]],Tabla145[[#This Row],[Necesidad]])</f>
        <v>0</v>
      </c>
      <c r="AR264" s="3">
        <f>+Tabla145[[#This Row],[Necesidad]]-Tabla145[[#This Row],[Stock Plan]]</f>
        <v>0</v>
      </c>
      <c r="AS264" s="155">
        <f>IFERROR(VLOOKUP(Tabla145[[#This Row],[Oficina]],[19]Ponderación!$B$14:$E$21,4,FALSE),"")</f>
        <v>44786</v>
      </c>
      <c r="AT26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0.86936289702296099</v>
      </c>
      <c r="AU264" s="83">
        <f>IFERROR(VLOOKUP(Tabla145[[#This Row],[Llave]],[17]DELAY!$H:$W,16,FALSE),0)</f>
        <v>0</v>
      </c>
      <c r="AV26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64" s="5">
        <f>Tabla145[[#This Row],[Ajuste precio IC]]*Tabla145[[#This Row],[Plan Ajustado]]</f>
        <v>0</v>
      </c>
      <c r="AX264" s="30">
        <f>IFERROR(VLOOKUP(Tabla145[[#This Row],[Llave]],'[13]Ultimos precios facturados'!$A:$G,7,FALSE),0)</f>
        <v>0.86936289702296099</v>
      </c>
      <c r="AY26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64" s="30">
        <f>IFERROR(VLOOKUP(Tabla145[[#This Row],[Llave]],Hoja2!B:K,10,FALSE),0)</f>
        <v>0</v>
      </c>
      <c r="BA264" s="30">
        <f>IF(Tabla145[[#This Row],[Ajuste precio IC]]="",Tabla145[[#This Row],[Precio ponderado]],Tabla145[[#This Row],[Precio ponderado]])</f>
        <v>0</v>
      </c>
      <c r="BB264" s="82"/>
      <c r="BC264" s="82" t="str">
        <f>IF(AND(Tabla145[[#This Row],[Atraso a facturar]]&gt;0,Tabla145[[#This Row],[Precio Atraso]]=0),"Revisar","OK")</f>
        <v>OK</v>
      </c>
      <c r="BD264" s="82" t="str">
        <f>IF(AND(Tabla145[[#This Row],[Venta del mes]]&gt;0,Tabla145[[#This Row],[Precio venta nueva]]=0),"Revisar","OK")</f>
        <v>OK</v>
      </c>
      <c r="BE264" s="20">
        <f>IFERROR(VLOOKUP(Tabla145[[#This Row],[Llave]],'[5]Consolidación planes'!$A:$M,9,FALSE),0)</f>
        <v>0</v>
      </c>
      <c r="BF264" s="20">
        <f>IFERROR(VLOOKUP(Tabla145[[#This Row],[Llave]],'[5]Consolidación planes'!$A:$M,10,FALSE),0)</f>
        <v>0</v>
      </c>
      <c r="BG264" s="20">
        <f>IFERROR(VLOOKUP(Tabla145[[#This Row],[Llave]],'[5]Consolidación planes'!$A:$M,11,FALSE),0)</f>
        <v>0</v>
      </c>
      <c r="BH264" s="20">
        <f>IFERROR(VLOOKUP(Tabla145[[#This Row],[Llave]],'[5]Consolidación planes'!$A:$M,12,FALSE),0)</f>
        <v>0</v>
      </c>
      <c r="BI264" s="20">
        <f>IFERROR(VLOOKUP(Tabla145[[#This Row],[Llave]],'[5]Consolidación planes'!$A:$M,13,FALSE),0)</f>
        <v>0</v>
      </c>
      <c r="BJ264" s="20">
        <f>IFERROR(VLOOKUP(Tabla145[[#This Row],[Llave]],'[13]Base ultimos planes'!$A:$M,13,FALSE),0)</f>
        <v>48000</v>
      </c>
      <c r="BK264" s="80">
        <f>IFERROR(VLOOKUP(Tabla145[[#This Row],[Llave]],'[13]Base ultimos planes'!$O:$AA,8,FALSE),0)</f>
        <v>0</v>
      </c>
      <c r="BL264" s="20">
        <f>IFERROR(VLOOKUP(Tabla145[[#This Row],[Llave]],'[13]Base ultimos planes'!$O:$AA,9,FALSE),0)</f>
        <v>0</v>
      </c>
      <c r="BM264" s="20">
        <f>IFERROR(VLOOKUP(Tabla145[[#This Row],[Llave]],'[13]Base ultimos planes'!$O:$AA,10,FALSE),0)</f>
        <v>0</v>
      </c>
      <c r="BN264" s="20">
        <f>IFERROR(VLOOKUP(Tabla145[[#This Row],[Llave]],'[13]Base ultimos planes'!$O:$AA,11,FALSE),0)</f>
        <v>0</v>
      </c>
      <c r="BO264" s="20">
        <f>IFERROR(VLOOKUP(Tabla145[[#This Row],[Llave]],'[13]Base ultimos planes'!$O:$AA,12,FALSE),0)</f>
        <v>0</v>
      </c>
      <c r="BP264" s="20">
        <f>IFERROR(VLOOKUP(Tabla145[[#This Row],[Llave]],'[13]Base ultimos planes'!$O:$AA,13,FALSE),0)</f>
        <v>36000</v>
      </c>
      <c r="BQ264" s="20"/>
      <c r="BR264" s="20">
        <f>Tabla145[[#This Row],[ RV Producción mes n+1]]*(1-Tabla145[[#This Row],[% Uti. producción]])</f>
        <v>0</v>
      </c>
      <c r="BS264" s="20">
        <f>+Tabla145[[#This Row],[Producción disponible mes n-1]]+Tabla145[[#This Row],[Saldo Volumen disponible]]</f>
        <v>80614.100000000006</v>
      </c>
      <c r="BT264" s="7">
        <f>IFERROR(VLOOKUP(Tabla145[[#This Row],[Llave]],'[21]RV n+2 y n+3'!$B:$F,4,FALSE),0)</f>
        <v>0</v>
      </c>
      <c r="BU264" s="7">
        <f>+Tabla145[[#This Row],[Asignación mes n+2]]*Tabla145[[#This Row],[% Uti. producción]]</f>
        <v>0</v>
      </c>
      <c r="BV264" s="7">
        <f>+Tabla145[[#This Row],[Ponderación mes n+2]]+Tabla145[[#This Row],[Saldo mes n-1]]</f>
        <v>80614.100000000006</v>
      </c>
      <c r="BW264" s="7">
        <f>+Tabla145[[#This Row],[Asignación mes n+2]]-Tabla145[[#This Row],[Ponderación mes n+2]]</f>
        <v>0</v>
      </c>
      <c r="BX264" s="7">
        <f>IFERROR(VLOOKUP(Tabla145[[#This Row],[Llave]],'[21]RV n+2 y n+3'!$B:$F,5,FALSE),0)</f>
        <v>0</v>
      </c>
      <c r="BY264" s="7">
        <f>+Tabla145[[#This Row],[Asignación mes n+3]]*Tabla145[[#This Row],[% Uti. producción]]</f>
        <v>0</v>
      </c>
      <c r="BZ264" s="3">
        <f>+Tabla145[[#This Row],[Ponderación mes n+3]]+Tabla145[[#This Row],[Saldo mes n+2]]</f>
        <v>0</v>
      </c>
      <c r="CA264" s="3">
        <f>+Tabla145[[#This Row],[Asignación mes n+3]]-Tabla145[[#This Row],[Ponderación mes n+3]]</f>
        <v>0</v>
      </c>
      <c r="CB264" s="3">
        <f>+Tabla145[[#This Row],[Producción disponible mes n-1]]+Tabla145[[#This Row],[Producción disponible]]</f>
        <v>0</v>
      </c>
      <c r="CC264" s="3">
        <f>+Tabla145[[#This Row],[Saldo mes n+4]]-Tabla145[[#This Row],[ RV Producción mes n+1]]</f>
        <v>0</v>
      </c>
    </row>
    <row r="265" spans="1:81" ht="16" x14ac:dyDescent="0.2">
      <c r="A265">
        <v>1</v>
      </c>
      <c r="B265" t="str">
        <f>Tabla145[[#This Row],[Oficina]]&amp;Tabla145[[#This Row],[Material]]</f>
        <v>Agrosuper Asia1023370</v>
      </c>
      <c r="C265" t="s">
        <v>6</v>
      </c>
      <c r="D265" t="s">
        <v>173</v>
      </c>
      <c r="E265">
        <v>1023370</v>
      </c>
      <c r="F265" t="s">
        <v>408</v>
      </c>
      <c r="G265" t="s">
        <v>59</v>
      </c>
      <c r="H265" t="s">
        <v>60</v>
      </c>
      <c r="I265" s="15">
        <f>IFERROR(VLOOKUP(Tabla145[[#This Row],[Llave]],'[7]RV Producción'!$C:$G,5,FALSE),0)</f>
        <v>0</v>
      </c>
      <c r="J265" s="3">
        <f>IFERROR(IF(Tabla145[[#This Row],[Oficina]]=$I$7,VLOOKUP(Tabla145[[#This Row],[Llave]],'[7]Shangai (Tomas)'!$A:$F,6,FALSE),VLOOKUP(Tabla145[[#This Row],[Llave]],'[7]RV plan de ventas'!$A:$E,5,FALSE)),0)</f>
        <v>0</v>
      </c>
      <c r="K265" s="17">
        <f>IFERROR(VLOOKUP(Tabla145[[#This Row],[Oficina]],[15]Ponderación!$B$2:$E$9,4,FALSE),0)</f>
        <v>0.45719439678473212</v>
      </c>
      <c r="L265" s="7">
        <f>+Tabla145[[#This Row],[ RV Producción mes n+1]]*Tabla145[[#This Row],[% Uti. producción]]</f>
        <v>0</v>
      </c>
      <c r="M265" s="7">
        <f>IFERROR(VLOOKUP(Tabla145[[#This Row],[Material]],[16]Stock!$G:$K,5,FALSE),0)</f>
        <v>0</v>
      </c>
      <c r="N265" s="7">
        <f>IFERROR(VLOOKUP(Tabla145[[#This Row],[Material]],[16]Produccion!$M:$N,2,FALSE),0)</f>
        <v>0</v>
      </c>
      <c r="O265" s="7">
        <f>IFERROR(VLOOKUP(Tabla145[[#This Row],[Llave]],'[16]TD Conf-AP'!$I:$M,4,FALSE),0)</f>
        <v>0</v>
      </c>
      <c r="P265" s="14">
        <f>SUM(Tabla145[[#This Row],[Producción disponible]],Tabla145[[#This Row],[Stock al día]],(Tabla145[[#This Row],[Por producir mes N]]*0.9))-Tabla145[[#This Row],[Producción por despachar mes N]]</f>
        <v>0</v>
      </c>
      <c r="Q265" s="7">
        <f>IFERROR(VLOOKUP(Tabla145[[#This Row],[Llave]],[17]DELAY!$A:$D,4,FALSE),0)</f>
        <v>0</v>
      </c>
      <c r="R265" s="9">
        <v>24000</v>
      </c>
      <c r="S265" s="5">
        <f t="shared" si="8"/>
        <v>0</v>
      </c>
      <c r="T265" s="76">
        <v>0</v>
      </c>
      <c r="U265" s="5">
        <f>+Tabla145[[#This Row],[Atraso a facturar]]+Tabla145[[#This Row],[Ajuste atraso]]</f>
        <v>0</v>
      </c>
      <c r="V265" s="3">
        <f>+Tabla145[[#This Row],[Total disponible]]-Tabla145[[#This Row],[Facturación atraso]]</f>
        <v>0</v>
      </c>
      <c r="W265" s="6">
        <f>IFERROR(IF(AND(V265&gt;R265,J265&gt;=R265),ROUNDDOWN((Tabla145[[#This Row],[Producción para venta nueva]])/R265,0)*R265,0),0)</f>
        <v>0</v>
      </c>
      <c r="X265" s="76">
        <v>0</v>
      </c>
      <c r="Y265" s="6">
        <f>IF(Tabla145[[#This Row],[Venta del mes]]&gt;0,Tabla145[[#This Row],[Venta del mes]]+Tabla145[[#This Row],[Ajuste venta nueva]],0)</f>
        <v>0</v>
      </c>
      <c r="Z265" s="6">
        <f>+Tabla145[[#This Row],[Producción para venta nueva]]-Tabla145[[#This Row],[Facturación Venta nueva]]</f>
        <v>0</v>
      </c>
      <c r="AA265" s="6">
        <f>IF(AND(A265=1,Tabla145[[#This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5" s="6">
        <v>0</v>
      </c>
      <c r="AC265" s="6">
        <f>IF(Tabla145[[#This Row],[Disponible stock sin venta]]&gt;0,Tabla145[[#This Row],[Disponible stock sin venta]]+Tabla145[[#This Row],[Ajuste stock sin venta]],0)</f>
        <v>0</v>
      </c>
      <c r="AD265" s="3">
        <f>IFERROR(VLOOKUP(Tabla145[[#This Row],[Llave]],'[16]TD Puerto'!$A:$D,4,FALSE),0)</f>
        <v>0</v>
      </c>
      <c r="AE265" s="3">
        <v>0</v>
      </c>
      <c r="AF265" s="3">
        <f>+Tabla145[[#This Row],[Plan Irrestricto Inicial]]</f>
        <v>0</v>
      </c>
      <c r="AG265" s="3">
        <f>+Tabla145[[#This Row],[En puerto a facturar]]</f>
        <v>0</v>
      </c>
      <c r="AH265" s="3">
        <f>+Tabla145[[#This Row],[Facturación atraso]]</f>
        <v>0</v>
      </c>
      <c r="AI265" s="3">
        <f>+Tabla145[[#This Row],[Plan Irrestricto]]-Tabla145[[#This Row],[Puerto ]]-Tabla145[[#This Row],[Atraso]]</f>
        <v>0</v>
      </c>
      <c r="AJ26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65" s="3">
        <f>+Tabla145[[#This Row],[Facturación atraso]]</f>
        <v>0</v>
      </c>
      <c r="AL265" s="3">
        <f>+Tabla145[[#This Row],[Plan Ajustado]]-Tabla145[[#This Row],[ Atraso ajustado]]-Tabla145[[#This Row],[Puerto ]]</f>
        <v>0</v>
      </c>
      <c r="AM265" s="6">
        <f>IFERROR(VLOOKUP(Tabla145[[#This Row],[Llave]],[18]!Tabla14[#All],34,FALSE),0)</f>
        <v>0</v>
      </c>
      <c r="AN265" s="6">
        <f>IFERROR(VLOOKUP(Tabla145[[#This Row],[Llave]],[18]!Tabla14[#All],35,FALSE),0)</f>
        <v>0</v>
      </c>
      <c r="AO265" s="3" t="str">
        <f>IF(Tabla145[[#This Row],[Plan Ajustado]]&gt;Tabla145[[#This Row],[En puerto a facturar]],"Si","No")</f>
        <v>No</v>
      </c>
      <c r="AP26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65" s="3">
        <f>IF(Tabla145[[#This Row],[Necesidad]]&gt;=Tabla145[[#This Row],[Stock al día]],Tabla145[[#This Row],[Stock al día]],Tabla145[[#This Row],[Necesidad]])</f>
        <v>0</v>
      </c>
      <c r="AR265" s="3">
        <f>+Tabla145[[#This Row],[Necesidad]]-Tabla145[[#This Row],[Stock Plan]]</f>
        <v>0</v>
      </c>
      <c r="AS265" s="155">
        <f>IFERROR(VLOOKUP(Tabla145[[#This Row],[Oficina]],[19]Ponderación!$B$14:$E$21,4,FALSE),"")</f>
        <v>44786</v>
      </c>
      <c r="AT26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65" s="83">
        <f>IFERROR(VLOOKUP(Tabla145[[#This Row],[Llave]],[17]DELAY!$H:$W,16,FALSE),0)</f>
        <v>0</v>
      </c>
      <c r="AV26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65" s="5">
        <f>Tabla145[[#This Row],[Ajuste precio IC]]*Tabla145[[#This Row],[Plan Ajustado]]</f>
        <v>0</v>
      </c>
      <c r="AX265" s="30">
        <f>IFERROR(VLOOKUP(Tabla145[[#This Row],[Llave]],'[13]Ultimos precios facturados'!$A:$G,7,FALSE),0)</f>
        <v>0</v>
      </c>
      <c r="AY26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65" s="30">
        <f>IFERROR(VLOOKUP(Tabla145[[#This Row],[Llave]],Hoja2!B:K,10,FALSE),0)</f>
        <v>0</v>
      </c>
      <c r="BA265" s="30">
        <f>IF(Tabla145[[#This Row],[Ajuste precio IC]]="",Tabla145[[#This Row],[Precio ponderado]],Tabla145[[#This Row],[Precio ponderado]])</f>
        <v>0</v>
      </c>
      <c r="BB265" s="82"/>
      <c r="BC265" s="82" t="str">
        <f>IF(AND(Tabla145[[#This Row],[Atraso a facturar]]&gt;0,Tabla145[[#This Row],[Precio Atraso]]=0),"Revisar","OK")</f>
        <v>OK</v>
      </c>
      <c r="BD265" s="82" t="str">
        <f>IF(AND(Tabla145[[#This Row],[Venta del mes]]&gt;0,Tabla145[[#This Row],[Precio venta nueva]]=0),"Revisar","OK")</f>
        <v>OK</v>
      </c>
      <c r="BE265" s="20">
        <f>IFERROR(VLOOKUP(Tabla145[[#This Row],[Llave]],'[5]Consolidación planes'!$A:$M,9,FALSE),0)</f>
        <v>0</v>
      </c>
      <c r="BF265" s="20">
        <f>IFERROR(VLOOKUP(Tabla145[[#This Row],[Llave]],'[5]Consolidación planes'!$A:$M,10,FALSE),0)</f>
        <v>0</v>
      </c>
      <c r="BG265" s="20">
        <f>IFERROR(VLOOKUP(Tabla145[[#This Row],[Llave]],'[5]Consolidación planes'!$A:$M,11,FALSE),0)</f>
        <v>0</v>
      </c>
      <c r="BH265" s="20">
        <f>IFERROR(VLOOKUP(Tabla145[[#This Row],[Llave]],'[5]Consolidación planes'!$A:$M,12,FALSE),0)</f>
        <v>0</v>
      </c>
      <c r="BI265" s="20">
        <f>IFERROR(VLOOKUP(Tabla145[[#This Row],[Llave]],'[5]Consolidación planes'!$A:$M,13,FALSE),0)</f>
        <v>0</v>
      </c>
      <c r="BJ265" s="20">
        <f>IFERROR(VLOOKUP(Tabla145[[#This Row],[Llave]],'[13]Base ultimos planes'!$A:$M,13,FALSE),0)</f>
        <v>24000</v>
      </c>
      <c r="BK265" s="80">
        <f>IFERROR(VLOOKUP(Tabla145[[#This Row],[Llave]],'[13]Base ultimos planes'!$O:$AA,8,FALSE),0)</f>
        <v>0</v>
      </c>
      <c r="BL265" s="20">
        <f>IFERROR(VLOOKUP(Tabla145[[#This Row],[Llave]],'[13]Base ultimos planes'!$O:$AA,9,FALSE),0)</f>
        <v>0</v>
      </c>
      <c r="BM265" s="20">
        <f>IFERROR(VLOOKUP(Tabla145[[#This Row],[Llave]],'[13]Base ultimos planes'!$O:$AA,10,FALSE),0)</f>
        <v>0</v>
      </c>
      <c r="BN265" s="20">
        <f>IFERROR(VLOOKUP(Tabla145[[#This Row],[Llave]],'[13]Base ultimos planes'!$O:$AA,11,FALSE),0)</f>
        <v>0</v>
      </c>
      <c r="BO265" s="20">
        <f>IFERROR(VLOOKUP(Tabla145[[#This Row],[Llave]],'[13]Base ultimos planes'!$O:$AA,12,FALSE),0)</f>
        <v>0</v>
      </c>
      <c r="BP265" s="20">
        <f>IFERROR(VLOOKUP(Tabla145[[#This Row],[Llave]],'[13]Base ultimos planes'!$O:$AA,13,FALSE),0)</f>
        <v>33325</v>
      </c>
      <c r="BQ265" s="20"/>
      <c r="BR265" s="20">
        <f>Tabla145[[#This Row],[ RV Producción mes n+1]]*(1-Tabla145[[#This Row],[% Uti. producción]])</f>
        <v>0</v>
      </c>
      <c r="BS265" s="20">
        <f>+Tabla145[[#This Row],[Producción disponible mes n-1]]+Tabla145[[#This Row],[Saldo Volumen disponible]]</f>
        <v>0</v>
      </c>
      <c r="BT265" s="7">
        <f>IFERROR(VLOOKUP(Tabla145[[#This Row],[Llave]],'[21]RV n+2 y n+3'!$B:$F,4,FALSE),0)</f>
        <v>0</v>
      </c>
      <c r="BU265" s="7">
        <f>+Tabla145[[#This Row],[Asignación mes n+2]]*Tabla145[[#This Row],[% Uti. producción]]</f>
        <v>0</v>
      </c>
      <c r="BV265" s="7">
        <f>+Tabla145[[#This Row],[Ponderación mes n+2]]+Tabla145[[#This Row],[Saldo mes n-1]]</f>
        <v>0</v>
      </c>
      <c r="BW265" s="7">
        <f>+Tabla145[[#This Row],[Asignación mes n+2]]-Tabla145[[#This Row],[Ponderación mes n+2]]</f>
        <v>0</v>
      </c>
      <c r="BX265" s="7">
        <f>IFERROR(VLOOKUP(Tabla145[[#This Row],[Llave]],'[21]RV n+2 y n+3'!$B:$F,5,FALSE),0)</f>
        <v>0</v>
      </c>
      <c r="BY265" s="7">
        <f>+Tabla145[[#This Row],[Asignación mes n+3]]*Tabla145[[#This Row],[% Uti. producción]]</f>
        <v>0</v>
      </c>
      <c r="BZ265" s="3">
        <f>+Tabla145[[#This Row],[Ponderación mes n+3]]+Tabla145[[#This Row],[Saldo mes n+2]]</f>
        <v>0</v>
      </c>
      <c r="CA265" s="3">
        <f>+Tabla145[[#This Row],[Asignación mes n+3]]-Tabla145[[#This Row],[Ponderación mes n+3]]</f>
        <v>0</v>
      </c>
      <c r="CB265" s="3">
        <f>+Tabla145[[#This Row],[Producción disponible mes n-1]]+Tabla145[[#This Row],[Producción disponible]]</f>
        <v>0</v>
      </c>
      <c r="CC265" s="3">
        <f>+Tabla145[[#This Row],[Saldo mes n+4]]-Tabla145[[#This Row],[ RV Producción mes n+1]]</f>
        <v>0</v>
      </c>
    </row>
    <row r="266" spans="1:81" ht="16" x14ac:dyDescent="0.2">
      <c r="A266">
        <v>1</v>
      </c>
      <c r="B266" t="str">
        <f>Tabla145[[#This Row],[Oficina]]&amp;Tabla145[[#This Row],[Material]]</f>
        <v>Agrosuper Asia1023371</v>
      </c>
      <c r="C266" t="s">
        <v>6</v>
      </c>
      <c r="D266" t="s">
        <v>173</v>
      </c>
      <c r="E266">
        <v>1023371</v>
      </c>
      <c r="F266" t="s">
        <v>157</v>
      </c>
      <c r="G266" t="s">
        <v>53</v>
      </c>
      <c r="H266" t="s">
        <v>156</v>
      </c>
      <c r="I266" s="15">
        <f>IFERROR(VLOOKUP(Tabla145[[#This Row],[Llave]],'[7]RV Producción'!$C:$G,5,FALSE),0)</f>
        <v>0</v>
      </c>
      <c r="J266" s="3">
        <f>IFERROR(IF(Tabla145[[#This Row],[Oficina]]=$I$7,VLOOKUP(Tabla145[[#This Row],[Llave]],'[7]Shangai (Tomas)'!$A:$F,6,FALSE),VLOOKUP(Tabla145[[#This Row],[Llave]],'[7]RV plan de ventas'!$A:$E,5,FALSE)),0)</f>
        <v>0</v>
      </c>
      <c r="K266" s="17">
        <f>IFERROR(VLOOKUP(Tabla145[[#This Row],[Oficina]],[15]Ponderación!$B$2:$E$9,4,FALSE),0)</f>
        <v>0.45719439678473212</v>
      </c>
      <c r="L266" s="7">
        <f>+Tabla145[[#This Row],[ RV Producción mes n+1]]*Tabla145[[#This Row],[% Uti. producción]]</f>
        <v>0</v>
      </c>
      <c r="M266" s="7">
        <f>IFERROR(VLOOKUP(Tabla145[[#This Row],[Material]],[16]Stock!$G:$K,5,FALSE),0)</f>
        <v>0</v>
      </c>
      <c r="N266" s="7">
        <f>IFERROR(VLOOKUP(Tabla145[[#This Row],[Material]],[16]Produccion!$M:$N,2,FALSE),0)</f>
        <v>0</v>
      </c>
      <c r="O266" s="7">
        <f>IFERROR(VLOOKUP(Tabla145[[#This Row],[Llave]],'[16]TD Conf-AP'!$I:$M,4,FALSE),0)</f>
        <v>0</v>
      </c>
      <c r="P266" s="14">
        <f>SUM(Tabla145[[#This Row],[Producción disponible]],Tabla145[[#This Row],[Stock al día]],(Tabla145[[#This Row],[Por producir mes N]]*0.9))-Tabla145[[#This Row],[Producción por despachar mes N]]</f>
        <v>0</v>
      </c>
      <c r="Q266" s="7">
        <f>IFERROR(VLOOKUP(Tabla145[[#This Row],[Llave]],[17]DELAY!$A:$D,4,FALSE),0)</f>
        <v>0</v>
      </c>
      <c r="R266" s="9">
        <v>24000</v>
      </c>
      <c r="S266" s="5">
        <f t="shared" ref="S266:S308" si="9">IF(AND(P266&gt;Q266,Q266&gt;0),Q266,IF(AND(P266&lt;Q266,Q266&gt;0),(ROUNDDOWN(P266/R266,0)*R266),0))</f>
        <v>0</v>
      </c>
      <c r="T266" s="76">
        <v>0</v>
      </c>
      <c r="U266" s="5">
        <f>+Tabla145[[#This Row],[Atraso a facturar]]+Tabla145[[#This Row],[Ajuste atraso]]</f>
        <v>0</v>
      </c>
      <c r="V266" s="3">
        <f>+Tabla145[[#This Row],[Total disponible]]-Tabla145[[#This Row],[Facturación atraso]]</f>
        <v>0</v>
      </c>
      <c r="W266" s="6">
        <f>IFERROR(IF(AND(V266&gt;R266,J266&gt;=R266),ROUNDDOWN((Tabla145[[#This Row],[Producción para venta nueva]])/R266,0)*R266,0),0)</f>
        <v>0</v>
      </c>
      <c r="X266" s="76">
        <v>0</v>
      </c>
      <c r="Y266" s="6">
        <f>IF(Tabla145[[#This Row],[Venta del mes]]&gt;0,Tabla145[[#This Row],[Venta del mes]]+Tabla145[[#This Row],[Ajuste venta nueva]],0)</f>
        <v>0</v>
      </c>
      <c r="Z266" s="6">
        <f>+Tabla145[[#This Row],[Producción para venta nueva]]-Tabla145[[#This Row],[Facturación Venta nueva]]</f>
        <v>0</v>
      </c>
      <c r="AA266" s="6">
        <f>IF(AND(A266=1,Tabla145[[#This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6" s="6">
        <v>0</v>
      </c>
      <c r="AC266" s="6">
        <f>IF(Tabla145[[#This Row],[Disponible stock sin venta]]&gt;0,Tabla145[[#This Row],[Disponible stock sin venta]]+Tabla145[[#This Row],[Ajuste stock sin venta]],0)</f>
        <v>0</v>
      </c>
      <c r="AD266" s="3">
        <f>IFERROR(VLOOKUP(Tabla145[[#This Row],[Llave]],'[16]TD Puerto'!$A:$D,4,FALSE),0)</f>
        <v>0</v>
      </c>
      <c r="AE266" s="3">
        <v>0</v>
      </c>
      <c r="AF266" s="3">
        <f>+Tabla145[[#This Row],[Plan Irrestricto Inicial]]</f>
        <v>0</v>
      </c>
      <c r="AG266" s="3">
        <f>+Tabla145[[#This Row],[En puerto a facturar]]</f>
        <v>0</v>
      </c>
      <c r="AH266" s="3">
        <f>+Tabla145[[#This Row],[Facturación atraso]]</f>
        <v>0</v>
      </c>
      <c r="AI266" s="3">
        <f>+Tabla145[[#This Row],[Plan Irrestricto]]-Tabla145[[#This Row],[Puerto ]]-Tabla145[[#This Row],[Atraso]]</f>
        <v>0</v>
      </c>
      <c r="AJ26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66" s="3">
        <f>+Tabla145[[#This Row],[Facturación atraso]]</f>
        <v>0</v>
      </c>
      <c r="AL266" s="3">
        <f>+Tabla145[[#This Row],[Plan Ajustado]]-Tabla145[[#This Row],[ Atraso ajustado]]-Tabla145[[#This Row],[Puerto ]]</f>
        <v>0</v>
      </c>
      <c r="AM266" s="6">
        <f>IFERROR(VLOOKUP(Tabla145[[#This Row],[Llave]],[18]!Tabla14[#All],34,FALSE),0)</f>
        <v>0</v>
      </c>
      <c r="AN266" s="6">
        <f>IFERROR(VLOOKUP(Tabla145[[#This Row],[Llave]],[18]!Tabla14[#All],35,FALSE),0)</f>
        <v>0</v>
      </c>
      <c r="AO266" s="3" t="str">
        <f>IF(Tabla145[[#This Row],[Plan Ajustado]]&gt;Tabla145[[#This Row],[En puerto a facturar]],"Si","No")</f>
        <v>No</v>
      </c>
      <c r="AP26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66" s="3">
        <f>IF(Tabla145[[#This Row],[Necesidad]]&gt;=Tabla145[[#This Row],[Stock al día]],Tabla145[[#This Row],[Stock al día]],Tabla145[[#This Row],[Necesidad]])</f>
        <v>0</v>
      </c>
      <c r="AR266" s="3">
        <f>+Tabla145[[#This Row],[Necesidad]]-Tabla145[[#This Row],[Stock Plan]]</f>
        <v>0</v>
      </c>
      <c r="AS266" s="155">
        <f>IFERROR(VLOOKUP(Tabla145[[#This Row],[Oficina]],[19]Ponderación!$B$14:$E$21,4,FALSE),"")</f>
        <v>44786</v>
      </c>
      <c r="AT26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66" s="83">
        <f>IFERROR(VLOOKUP(Tabla145[[#This Row],[Llave]],[17]DELAY!$H:$W,16,FALSE),0)</f>
        <v>0</v>
      </c>
      <c r="AV26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66" s="5">
        <f>Tabla145[[#This Row],[Ajuste precio IC]]*Tabla145[[#This Row],[Plan Ajustado]]</f>
        <v>0</v>
      </c>
      <c r="AX266" s="30">
        <f>IFERROR(VLOOKUP(Tabla145[[#This Row],[Llave]],'[13]Ultimos precios facturados'!$A:$G,7,FALSE),0)</f>
        <v>0</v>
      </c>
      <c r="AY26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66" s="30">
        <f>IFERROR(VLOOKUP(Tabla145[[#This Row],[Llave]],Hoja2!B:K,10,FALSE),0)</f>
        <v>0</v>
      </c>
      <c r="BA266" s="30">
        <f>IF(Tabla145[[#This Row],[Ajuste precio IC]]="",Tabla145[[#This Row],[Precio ponderado]],Tabla145[[#This Row],[Precio ponderado]])</f>
        <v>0</v>
      </c>
      <c r="BB266" s="82"/>
      <c r="BC266" s="82" t="str">
        <f>IF(AND(Tabla145[[#This Row],[Atraso a facturar]]&gt;0,Tabla145[[#This Row],[Precio Atraso]]=0),"Revisar","OK")</f>
        <v>OK</v>
      </c>
      <c r="BD266" s="82" t="str">
        <f>IF(AND(Tabla145[[#This Row],[Venta del mes]]&gt;0,Tabla145[[#This Row],[Precio venta nueva]]=0),"Revisar","OK")</f>
        <v>OK</v>
      </c>
      <c r="BE266" s="20">
        <f>IFERROR(VLOOKUP(Tabla145[[#This Row],[Llave]],'[5]Consolidación planes'!$A:$M,9,FALSE),0)</f>
        <v>0</v>
      </c>
      <c r="BF266" s="20">
        <f>IFERROR(VLOOKUP(Tabla145[[#This Row],[Llave]],'[5]Consolidación planes'!$A:$M,10,FALSE),0)</f>
        <v>0</v>
      </c>
      <c r="BG266" s="20">
        <f>IFERROR(VLOOKUP(Tabla145[[#This Row],[Llave]],'[5]Consolidación planes'!$A:$M,11,FALSE),0)</f>
        <v>0</v>
      </c>
      <c r="BH266" s="20">
        <f>IFERROR(VLOOKUP(Tabla145[[#This Row],[Llave]],'[5]Consolidación planes'!$A:$M,12,FALSE),0)</f>
        <v>0</v>
      </c>
      <c r="BI266" s="20">
        <f>IFERROR(VLOOKUP(Tabla145[[#This Row],[Llave]],'[5]Consolidación planes'!$A:$M,13,FALSE),0)</f>
        <v>0</v>
      </c>
      <c r="BJ266" s="20">
        <f>IFERROR(VLOOKUP(Tabla145[[#This Row],[Llave]],'[13]Base ultimos planes'!$A:$M,13,FALSE),0)</f>
        <v>24000</v>
      </c>
      <c r="BK266" s="80">
        <f>IFERROR(VLOOKUP(Tabla145[[#This Row],[Llave]],'[13]Base ultimos planes'!$O:$AA,8,FALSE),0)</f>
        <v>0</v>
      </c>
      <c r="BL266" s="20">
        <f>IFERROR(VLOOKUP(Tabla145[[#This Row],[Llave]],'[13]Base ultimos planes'!$O:$AA,9,FALSE),0)</f>
        <v>0</v>
      </c>
      <c r="BM266" s="20">
        <f>IFERROR(VLOOKUP(Tabla145[[#This Row],[Llave]],'[13]Base ultimos planes'!$O:$AA,10,FALSE),0)</f>
        <v>0</v>
      </c>
      <c r="BN266" s="20">
        <f>IFERROR(VLOOKUP(Tabla145[[#This Row],[Llave]],'[13]Base ultimos planes'!$O:$AA,11,FALSE),0)</f>
        <v>0</v>
      </c>
      <c r="BO266" s="20">
        <f>IFERROR(VLOOKUP(Tabla145[[#This Row],[Llave]],'[13]Base ultimos planes'!$O:$AA,12,FALSE),0)</f>
        <v>0</v>
      </c>
      <c r="BP266" s="20">
        <f>IFERROR(VLOOKUP(Tabla145[[#This Row],[Llave]],'[13]Base ultimos planes'!$O:$AA,13,FALSE),0)</f>
        <v>28525</v>
      </c>
      <c r="BQ266" s="20"/>
      <c r="BR266" s="20">
        <f>Tabla145[[#This Row],[ RV Producción mes n+1]]*(1-Tabla145[[#This Row],[% Uti. producción]])</f>
        <v>0</v>
      </c>
      <c r="BS266" s="20">
        <f>+Tabla145[[#This Row],[Producción disponible mes n-1]]+Tabla145[[#This Row],[Saldo Volumen disponible]]</f>
        <v>0</v>
      </c>
      <c r="BT266" s="7">
        <f>IFERROR(VLOOKUP(Tabla145[[#This Row],[Llave]],'[21]RV n+2 y n+3'!$B:$F,4,FALSE),0)</f>
        <v>0</v>
      </c>
      <c r="BU266" s="7">
        <f>+Tabla145[[#This Row],[Asignación mes n+2]]*Tabla145[[#This Row],[% Uti. producción]]</f>
        <v>0</v>
      </c>
      <c r="BV266" s="7">
        <f>+Tabla145[[#This Row],[Ponderación mes n+2]]+Tabla145[[#This Row],[Saldo mes n-1]]</f>
        <v>0</v>
      </c>
      <c r="BW266" s="7">
        <f>+Tabla145[[#This Row],[Asignación mes n+2]]-Tabla145[[#This Row],[Ponderación mes n+2]]</f>
        <v>0</v>
      </c>
      <c r="BX266" s="7">
        <f>IFERROR(VLOOKUP(Tabla145[[#This Row],[Llave]],'[21]RV n+2 y n+3'!$B:$F,5,FALSE),0)</f>
        <v>0</v>
      </c>
      <c r="BY266" s="7">
        <f>+Tabla145[[#This Row],[Asignación mes n+3]]*Tabla145[[#This Row],[% Uti. producción]]</f>
        <v>0</v>
      </c>
      <c r="BZ266" s="3">
        <f>+Tabla145[[#This Row],[Ponderación mes n+3]]+Tabla145[[#This Row],[Saldo mes n+2]]</f>
        <v>0</v>
      </c>
      <c r="CA266" s="3">
        <f>+Tabla145[[#This Row],[Asignación mes n+3]]-Tabla145[[#This Row],[Ponderación mes n+3]]</f>
        <v>0</v>
      </c>
      <c r="CB266" s="3">
        <f>+Tabla145[[#This Row],[Producción disponible mes n-1]]+Tabla145[[#This Row],[Producción disponible]]</f>
        <v>0</v>
      </c>
      <c r="CC266" s="3">
        <f>+Tabla145[[#This Row],[Saldo mes n+4]]-Tabla145[[#This Row],[ RV Producción mes n+1]]</f>
        <v>0</v>
      </c>
    </row>
    <row r="267" spans="1:81" ht="16" x14ac:dyDescent="0.2">
      <c r="A267">
        <v>1</v>
      </c>
      <c r="B267" t="str">
        <f>Tabla145[[#This Row],[Oficina]]&amp;Tabla145[[#This Row],[Material]]</f>
        <v>Agrosuper Asia1023372</v>
      </c>
      <c r="C267" t="s">
        <v>6</v>
      </c>
      <c r="D267" t="s">
        <v>173</v>
      </c>
      <c r="E267">
        <v>1023372</v>
      </c>
      <c r="F267" t="s">
        <v>311</v>
      </c>
      <c r="G267" t="s">
        <v>409</v>
      </c>
      <c r="H267" t="s">
        <v>51</v>
      </c>
      <c r="I267" s="15">
        <f>IFERROR(VLOOKUP(Tabla145[[#This Row],[Llave]],'[7]RV Producción'!$C:$G,5,FALSE),0)</f>
        <v>27371</v>
      </c>
      <c r="J267" s="3">
        <f>IFERROR(IF(Tabla145[[#This Row],[Oficina]]=$I$7,VLOOKUP(Tabla145[[#This Row],[Llave]],'[7]Shangai (Tomas)'!$A:$F,6,FALSE),VLOOKUP(Tabla145[[#This Row],[Llave]],'[7]RV plan de ventas'!$A:$E,5,FALSE)),0)</f>
        <v>24000</v>
      </c>
      <c r="K267" s="17">
        <f>IFERROR(VLOOKUP(Tabla145[[#This Row],[Oficina]],[15]Ponderación!$B$2:$E$9,4,FALSE),0)</f>
        <v>0.45719439678473212</v>
      </c>
      <c r="L267" s="7">
        <f>+Tabla145[[#This Row],[ RV Producción mes n+1]]*Tabla145[[#This Row],[% Uti. producción]]</f>
        <v>12513.867834394903</v>
      </c>
      <c r="M267" s="7">
        <f>IFERROR(VLOOKUP(Tabla145[[#This Row],[Material]],[16]Stock!$G:$K,5,FALSE),0)</f>
        <v>52111</v>
      </c>
      <c r="N267" s="7">
        <f>IFERROR(VLOOKUP(Tabla145[[#This Row],[Material]],[16]Produccion!$M:$N,2,FALSE),0)</f>
        <v>0</v>
      </c>
      <c r="O267" s="7">
        <f>IFERROR(VLOOKUP(Tabla145[[#This Row],[Llave]],'[16]TD Conf-AP'!$I:$M,4,FALSE),0)</f>
        <v>0</v>
      </c>
      <c r="P267" s="14">
        <f>SUM(Tabla145[[#This Row],[Producción disponible]],Tabla145[[#This Row],[Stock al día]],(Tabla145[[#This Row],[Por producir mes N]]*0.9))-Tabla145[[#This Row],[Producción por despachar mes N]]</f>
        <v>64624.8678343949</v>
      </c>
      <c r="Q267" s="7">
        <f>IFERROR(VLOOKUP(Tabla145[[#This Row],[Llave]],[17]DELAY!$A:$D,4,FALSE),0)</f>
        <v>48000</v>
      </c>
      <c r="R267" s="9">
        <v>24000</v>
      </c>
      <c r="S267" s="5">
        <f t="shared" si="9"/>
        <v>48000</v>
      </c>
      <c r="T267" s="76">
        <v>-24000</v>
      </c>
      <c r="U267" s="5">
        <f>+Tabla145[[#This Row],[Atraso a facturar]]+Tabla145[[#This Row],[Ajuste atraso]]</f>
        <v>24000</v>
      </c>
      <c r="V267" s="3">
        <f>+Tabla145[[#This Row],[Total disponible]]-Tabla145[[#This Row],[Facturación atraso]]</f>
        <v>40624.8678343949</v>
      </c>
      <c r="W267" s="6">
        <f>IFERROR(IF(AND(V267&gt;R267,J267&gt;=R267),ROUNDDOWN((Tabla145[[#This Row],[Producción para venta nueva]])/R267,0)*R267,0),0)</f>
        <v>24000</v>
      </c>
      <c r="X267" s="76">
        <v>-24000</v>
      </c>
      <c r="Y267" s="6">
        <f>IF(Tabla145[[#This Row],[Venta del mes]]&gt;0,Tabla145[[#This Row],[Venta del mes]]+Tabla145[[#This Row],[Ajuste venta nueva]],0)</f>
        <v>0</v>
      </c>
      <c r="Z267" s="6">
        <f>+Tabla145[[#This Row],[Producción para venta nueva]]-Tabla145[[#This Row],[Facturación Venta nueva]]</f>
        <v>40624.8678343949</v>
      </c>
      <c r="AA267" s="6">
        <f>IF(AND(A267=1,Tabla145[[#This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7" s="6">
        <v>0</v>
      </c>
      <c r="AC267" s="6">
        <f>IF(Tabla145[[#This Row],[Disponible stock sin venta]]&gt;0,Tabla145[[#This Row],[Disponible stock sin venta]]+Tabla145[[#This Row],[Ajuste stock sin venta]],0)</f>
        <v>0</v>
      </c>
      <c r="AD267" s="3">
        <f>IFERROR(VLOOKUP(Tabla145[[#This Row],[Llave]],'[16]TD Puerto'!$A:$D,4,FALSE),0)</f>
        <v>24000</v>
      </c>
      <c r="AE267" s="3">
        <v>24000</v>
      </c>
      <c r="AF267" s="3">
        <f>+Tabla145[[#This Row],[Plan Irrestricto Inicial]]</f>
        <v>24000</v>
      </c>
      <c r="AG267" s="3">
        <f>+Tabla145[[#This Row],[En puerto a facturar]]</f>
        <v>24000</v>
      </c>
      <c r="AH267" s="3">
        <f>+Tabla145[[#This Row],[Facturación atraso]]</f>
        <v>24000</v>
      </c>
      <c r="AI267" s="3">
        <f>+Tabla145[[#This Row],[Plan Irrestricto]]-Tabla145[[#This Row],[Puerto ]]-Tabla145[[#This Row],[Atraso]]</f>
        <v>-24000</v>
      </c>
      <c r="AJ267" s="3">
        <f>IF(Tabla145[[#This Row],[Plan Irrestricto]]&gt;0,SUM(Tabla145[[#This Row],[Facturación atraso]],Tabla145[[#This Row],[Facturación Venta nueva]],Tabla145[[#This Row],[Facturación stock]],Tabla145[[#This Row],[En puerto a facturar]]),0)</f>
        <v>48000</v>
      </c>
      <c r="AK267" s="3">
        <f>+Tabla145[[#This Row],[Facturación atraso]]</f>
        <v>24000</v>
      </c>
      <c r="AL267" s="3">
        <f>+Tabla145[[#This Row],[Plan Ajustado]]-Tabla145[[#This Row],[ Atraso ajustado]]-Tabla145[[#This Row],[Puerto ]]</f>
        <v>0</v>
      </c>
      <c r="AM267" s="6">
        <f>IFERROR(VLOOKUP(Tabla145[[#This Row],[Llave]],[18]!Tabla14[#All],34,FALSE),0)</f>
        <v>0</v>
      </c>
      <c r="AN267" s="6">
        <f>IFERROR(VLOOKUP(Tabla145[[#This Row],[Llave]],[18]!Tabla14[#All],35,FALSE),0)</f>
        <v>0</v>
      </c>
      <c r="AO267" s="3" t="str">
        <f>IF(Tabla145[[#This Row],[Plan Ajustado]]&gt;Tabla145[[#This Row],[En puerto a facturar]],"Si","No")</f>
        <v>Si</v>
      </c>
      <c r="AP267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267" s="3">
        <f>IF(Tabla145[[#This Row],[Necesidad]]&gt;=Tabla145[[#This Row],[Stock al día]],Tabla145[[#This Row],[Stock al día]],Tabla145[[#This Row],[Necesidad]])</f>
        <v>24000</v>
      </c>
      <c r="AR267" s="3">
        <f>+Tabla145[[#This Row],[Necesidad]]-Tabla145[[#This Row],[Stock Plan]]</f>
        <v>0</v>
      </c>
      <c r="AS267" s="155">
        <f>IFERROR(VLOOKUP(Tabla145[[#This Row],[Oficina]],[19]Ponderación!$B$14:$E$21,4,FALSE),"")</f>
        <v>44786</v>
      </c>
      <c r="AT26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2.89</v>
      </c>
      <c r="AU267" s="83">
        <f>IFERROR(VLOOKUP(Tabla145[[#This Row],[Llave]],[17]DELAY!$H:$W,16,FALSE),0)</f>
        <v>2.8</v>
      </c>
      <c r="AV26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2.8</v>
      </c>
      <c r="AW267" s="5">
        <f>Tabla145[[#This Row],[Ajuste precio IC]]*Tabla145[[#This Row],[Plan Ajustado]]</f>
        <v>134400</v>
      </c>
      <c r="AX267" s="30">
        <f>IFERROR(VLOOKUP(Tabla145[[#This Row],[Llave]],'[13]Ultimos precios facturados'!$A:$G,7,FALSE),0)</f>
        <v>2.5999999999999996</v>
      </c>
      <c r="AY267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7.6923076923076997E-2</v>
      </c>
      <c r="AZ267" s="30">
        <f>IFERROR(VLOOKUP(Tabla145[[#This Row],[Llave]],Hoja2!B:K,10,FALSE),0)</f>
        <v>2.8</v>
      </c>
      <c r="BA267" s="30">
        <f>IF(Tabla145[[#This Row],[Ajuste precio IC]]="",Tabla145[[#This Row],[Precio ponderado]],Tabla145[[#This Row],[Precio ponderado]])</f>
        <v>2.8</v>
      </c>
      <c r="BB267" s="82"/>
      <c r="BC267" s="82" t="str">
        <f>IF(AND(Tabla145[[#This Row],[Atraso a facturar]]&gt;0,Tabla145[[#This Row],[Precio Atraso]]=0),"Revisar","OK")</f>
        <v>OK</v>
      </c>
      <c r="BD267" s="82" t="str">
        <f>IF(AND(Tabla145[[#This Row],[Venta del mes]]&gt;0,Tabla145[[#This Row],[Precio venta nueva]]=0),"Revisar","OK")</f>
        <v>OK</v>
      </c>
      <c r="BE267" s="20">
        <f>IFERROR(VLOOKUP(Tabla145[[#This Row],[Llave]],'[5]Consolidación planes'!$A:$M,9,FALSE),0)</f>
        <v>0</v>
      </c>
      <c r="BF267" s="20">
        <f>IFERROR(VLOOKUP(Tabla145[[#This Row],[Llave]],'[5]Consolidación planes'!$A:$M,10,FALSE),0)</f>
        <v>0</v>
      </c>
      <c r="BG267" s="20">
        <f>IFERROR(VLOOKUP(Tabla145[[#This Row],[Llave]],'[5]Consolidación planes'!$A:$M,11,FALSE),0)</f>
        <v>0</v>
      </c>
      <c r="BH267" s="20">
        <f>IFERROR(VLOOKUP(Tabla145[[#This Row],[Llave]],'[5]Consolidación planes'!$A:$M,12,FALSE),0)</f>
        <v>0</v>
      </c>
      <c r="BI267" s="20">
        <f>IFERROR(VLOOKUP(Tabla145[[#This Row],[Llave]],'[5]Consolidación planes'!$A:$M,13,FALSE),0)</f>
        <v>0</v>
      </c>
      <c r="BJ267" s="20">
        <f>IFERROR(VLOOKUP(Tabla145[[#This Row],[Llave]],'[13]Base ultimos planes'!$A:$M,13,FALSE),0)</f>
        <v>0</v>
      </c>
      <c r="BK267" s="80">
        <f>IFERROR(VLOOKUP(Tabla145[[#This Row],[Llave]],'[13]Base ultimos planes'!$O:$AA,8,FALSE),0)</f>
        <v>0</v>
      </c>
      <c r="BL267" s="20">
        <f>IFERROR(VLOOKUP(Tabla145[[#This Row],[Llave]],'[13]Base ultimos planes'!$O:$AA,9,FALSE),0)</f>
        <v>0</v>
      </c>
      <c r="BM267" s="20">
        <f>IFERROR(VLOOKUP(Tabla145[[#This Row],[Llave]],'[13]Base ultimos planes'!$O:$AA,10,FALSE),0)</f>
        <v>0</v>
      </c>
      <c r="BN267" s="20">
        <f>IFERROR(VLOOKUP(Tabla145[[#This Row],[Llave]],'[13]Base ultimos planes'!$O:$AA,11,FALSE),0)</f>
        <v>0</v>
      </c>
      <c r="BO267" s="20">
        <f>IFERROR(VLOOKUP(Tabla145[[#This Row],[Llave]],'[13]Base ultimos planes'!$O:$AA,12,FALSE),0)</f>
        <v>0</v>
      </c>
      <c r="BP267" s="20">
        <f>IFERROR(VLOOKUP(Tabla145[[#This Row],[Llave]],'[13]Base ultimos planes'!$O:$AA,13,FALSE),0)</f>
        <v>0</v>
      </c>
      <c r="BQ267" s="20"/>
      <c r="BR267" s="20">
        <f>Tabla145[[#This Row],[ RV Producción mes n+1]]*(1-Tabla145[[#This Row],[% Uti. producción]])</f>
        <v>14857.132165605099</v>
      </c>
      <c r="BS267" s="20">
        <f>+Tabla145[[#This Row],[Producción disponible mes n-1]]+Tabla145[[#This Row],[Saldo Volumen disponible]]</f>
        <v>55482</v>
      </c>
      <c r="BT267" s="7">
        <f>IFERROR(VLOOKUP(Tabla145[[#This Row],[Llave]],'[21]RV n+2 y n+3'!$B:$F,4,FALSE),0)</f>
        <v>40516.012000000002</v>
      </c>
      <c r="BU267" s="7">
        <f>+Tabla145[[#This Row],[Asignación mes n+2]]*Tabla145[[#This Row],[% Uti. producción]]</f>
        <v>18523.693666462968</v>
      </c>
      <c r="BV267" s="7">
        <f>+Tabla145[[#This Row],[Ponderación mes n+2]]+Tabla145[[#This Row],[Saldo mes n-1]]</f>
        <v>74005.693666462961</v>
      </c>
      <c r="BW267" s="7">
        <f>+Tabla145[[#This Row],[Asignación mes n+2]]-Tabla145[[#This Row],[Ponderación mes n+2]]</f>
        <v>21992.318333537034</v>
      </c>
      <c r="BX267" s="7">
        <f>IFERROR(VLOOKUP(Tabla145[[#This Row],[Llave]],'[21]RV n+2 y n+3'!$B:$F,5,FALSE),0)</f>
        <v>48000</v>
      </c>
      <c r="BY267" s="7">
        <f>+Tabla145[[#This Row],[Asignación mes n+3]]*Tabla145[[#This Row],[% Uti. producción]]</f>
        <v>21945.331045667142</v>
      </c>
      <c r="BZ267" s="3">
        <f>+Tabla145[[#This Row],[Ponderación mes n+3]]+Tabla145[[#This Row],[Saldo mes n+2]]</f>
        <v>43937.649379204173</v>
      </c>
      <c r="CA267" s="3">
        <f>+Tabla145[[#This Row],[Asignación mes n+3]]-Tabla145[[#This Row],[Ponderación mes n+3]]</f>
        <v>26054.668954332858</v>
      </c>
      <c r="CB267" s="3">
        <f>+Tabla145[[#This Row],[Producción disponible mes n-1]]+Tabla145[[#This Row],[Producción disponible]]</f>
        <v>27371</v>
      </c>
      <c r="CC267" s="3">
        <f>+Tabla145[[#This Row],[Saldo mes n+4]]-Tabla145[[#This Row],[ RV Producción mes n+1]]</f>
        <v>0</v>
      </c>
    </row>
    <row r="268" spans="1:81" ht="16" x14ac:dyDescent="0.2">
      <c r="A268">
        <v>1</v>
      </c>
      <c r="B268" t="str">
        <f>Tabla145[[#This Row],[Oficina]]&amp;Tabla145[[#This Row],[Material]]</f>
        <v>Agrosuper Asia1023397</v>
      </c>
      <c r="C268" t="s">
        <v>6</v>
      </c>
      <c r="D268" t="s">
        <v>173</v>
      </c>
      <c r="E268">
        <v>1023397</v>
      </c>
      <c r="F268" t="s">
        <v>44</v>
      </c>
      <c r="G268" t="s">
        <v>11</v>
      </c>
      <c r="H268" t="s">
        <v>41</v>
      </c>
      <c r="I268" s="15">
        <f>IFERROR(VLOOKUP(Tabla145[[#This Row],[Llave]],'[7]RV Producción'!$C:$G,5,FALSE),0)</f>
        <v>0</v>
      </c>
      <c r="J268" s="3">
        <f>IFERROR(IF(Tabla145[[#This Row],[Oficina]]=$I$7,VLOOKUP(Tabla145[[#This Row],[Llave]],'[7]Shangai (Tomas)'!$A:$F,6,FALSE),VLOOKUP(Tabla145[[#This Row],[Llave]],'[7]RV plan de ventas'!$A:$E,5,FALSE)),0)</f>
        <v>0</v>
      </c>
      <c r="K268" s="17">
        <f>IFERROR(VLOOKUP(Tabla145[[#This Row],[Oficina]],[15]Ponderación!$B$2:$E$9,4,FALSE),0)</f>
        <v>0.45719439678473212</v>
      </c>
      <c r="L268" s="7">
        <f>+Tabla145[[#This Row],[ RV Producción mes n+1]]*Tabla145[[#This Row],[% Uti. producción]]</f>
        <v>0</v>
      </c>
      <c r="M268" s="7">
        <f>IFERROR(VLOOKUP(Tabla145[[#This Row],[Material]],[16]Stock!$G:$K,5,FALSE),0)</f>
        <v>64320</v>
      </c>
      <c r="N268" s="7">
        <f>IFERROR(VLOOKUP(Tabla145[[#This Row],[Material]],[16]Produccion!$M:$N,2,FALSE),0)</f>
        <v>0</v>
      </c>
      <c r="O268" s="7">
        <f>IFERROR(VLOOKUP(Tabla145[[#This Row],[Llave]],'[16]TD Conf-AP'!$I:$M,4,FALSE),0)</f>
        <v>0</v>
      </c>
      <c r="P268" s="14">
        <f>SUM(Tabla145[[#This Row],[Producción disponible]],Tabla145[[#This Row],[Stock al día]],(Tabla145[[#This Row],[Por producir mes N]]*0.9))-Tabla145[[#This Row],[Producción por despachar mes N]]</f>
        <v>64320</v>
      </c>
      <c r="Q268" s="7">
        <f>IFERROR(VLOOKUP(Tabla145[[#This Row],[Llave]],[17]DELAY!$A:$D,4,FALSE),0)</f>
        <v>96000</v>
      </c>
      <c r="R268" s="9">
        <v>24000</v>
      </c>
      <c r="S268" s="5">
        <f t="shared" si="9"/>
        <v>48000</v>
      </c>
      <c r="T268" s="76">
        <v>0</v>
      </c>
      <c r="U268" s="5">
        <f>+Tabla145[[#This Row],[Atraso a facturar]]+Tabla145[[#This Row],[Ajuste atraso]]</f>
        <v>48000</v>
      </c>
      <c r="V268" s="3">
        <f>+Tabla145[[#This Row],[Total disponible]]-Tabla145[[#This Row],[Facturación atraso]]</f>
        <v>16320</v>
      </c>
      <c r="W268" s="6">
        <f>IFERROR(IF(AND(V268&gt;R268,J268&gt;=R268),ROUNDDOWN((Tabla145[[#This Row],[Producción para venta nueva]])/R268,0)*R268,0),0)</f>
        <v>0</v>
      </c>
      <c r="X268" s="76">
        <v>0</v>
      </c>
      <c r="Y268" s="6">
        <f>IF(Tabla145[[#This Row],[Venta del mes]]&gt;0,Tabla145[[#This Row],[Venta del mes]]+Tabla145[[#This Row],[Ajuste venta nueva]],0)</f>
        <v>0</v>
      </c>
      <c r="Z268" s="6">
        <f>+Tabla145[[#This Row],[Producción para venta nueva]]-Tabla145[[#This Row],[Facturación Venta nueva]]</f>
        <v>16320</v>
      </c>
      <c r="AA268" s="6">
        <f>IF(AND(A268=1,Tabla145[[#This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8" s="6">
        <v>0</v>
      </c>
      <c r="AC268" s="6">
        <f>IF(Tabla145[[#This Row],[Disponible stock sin venta]]&gt;0,Tabla145[[#This Row],[Disponible stock sin venta]]+Tabla145[[#This Row],[Ajuste stock sin venta]],0)</f>
        <v>0</v>
      </c>
      <c r="AD268" s="3">
        <f>IFERROR(VLOOKUP(Tabla145[[#This Row],[Llave]],'[16]TD Puerto'!$A:$D,4,FALSE),0)</f>
        <v>0</v>
      </c>
      <c r="AE268" s="3">
        <v>24000</v>
      </c>
      <c r="AF268" s="3">
        <f>+Tabla145[[#This Row],[Plan Irrestricto Inicial]]</f>
        <v>24000</v>
      </c>
      <c r="AG268" s="3">
        <f>+Tabla145[[#This Row],[En puerto a facturar]]</f>
        <v>0</v>
      </c>
      <c r="AH268" s="3">
        <f>+Tabla145[[#This Row],[Facturación atraso]]</f>
        <v>48000</v>
      </c>
      <c r="AI268" s="3">
        <f>+Tabla145[[#This Row],[Plan Irrestricto]]-Tabla145[[#This Row],[Puerto ]]-Tabla145[[#This Row],[Atraso]]</f>
        <v>-24000</v>
      </c>
      <c r="AJ268" s="3">
        <f>IF(Tabla145[[#This Row],[Plan Irrestricto]]&gt;0,SUM(Tabla145[[#This Row],[Facturación atraso]],Tabla145[[#This Row],[Facturación Venta nueva]],Tabla145[[#This Row],[Facturación stock]],Tabla145[[#This Row],[En puerto a facturar]]),0)</f>
        <v>48000</v>
      </c>
      <c r="AK268" s="3">
        <f>+Tabla145[[#This Row],[Facturación atraso]]</f>
        <v>48000</v>
      </c>
      <c r="AL268" s="3">
        <f>+Tabla145[[#This Row],[Plan Ajustado]]-Tabla145[[#This Row],[ Atraso ajustado]]-Tabla145[[#This Row],[Puerto ]]</f>
        <v>0</v>
      </c>
      <c r="AM268" s="6">
        <f>IFERROR(VLOOKUP(Tabla145[[#This Row],[Llave]],[18]!Tabla14[#All],34,FALSE),0)</f>
        <v>0</v>
      </c>
      <c r="AN268" s="6">
        <f>IFERROR(VLOOKUP(Tabla145[[#This Row],[Llave]],[18]!Tabla14[#All],35,FALSE),0)</f>
        <v>0</v>
      </c>
      <c r="AO268" s="3" t="str">
        <f>IF(Tabla145[[#This Row],[Plan Ajustado]]&gt;Tabla145[[#This Row],[En puerto a facturar]],"Si","No")</f>
        <v>Si</v>
      </c>
      <c r="AP268" s="3">
        <f>IF(AND(Tabla145[[#This Row],[Plan Ajustado]]&gt;0,Tabla145[[#This Row],[Plan Ajustado]]&gt;Tabla145[[#This Row],[En puerto a facturar]]),(Tabla145[[#This Row],[Plan Ajustado]]-Tabla145[[#This Row],[En puerto a facturar]]),0)</f>
        <v>48000</v>
      </c>
      <c r="AQ268" s="3">
        <f>IF(Tabla145[[#This Row],[Necesidad]]&gt;=Tabla145[[#This Row],[Stock al día]],Tabla145[[#This Row],[Stock al día]],Tabla145[[#This Row],[Necesidad]])</f>
        <v>48000</v>
      </c>
      <c r="AR268" s="3">
        <f>+Tabla145[[#This Row],[Necesidad]]-Tabla145[[#This Row],[Stock Plan]]</f>
        <v>0</v>
      </c>
      <c r="AS268" s="155">
        <f>IFERROR(VLOOKUP(Tabla145[[#This Row],[Oficina]],[19]Ponderación!$B$14:$E$21,4,FALSE),"")</f>
        <v>44786</v>
      </c>
      <c r="AT26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68" s="83">
        <f>IFERROR(VLOOKUP(Tabla145[[#This Row],[Llave]],[17]DELAY!$H:$W,16,FALSE),0)</f>
        <v>1.1532326041666674</v>
      </c>
      <c r="AV26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1.1532326041666674</v>
      </c>
      <c r="AW268" s="5">
        <f>Tabla145[[#This Row],[Ajuste precio IC]]*Tabla145[[#This Row],[Plan Ajustado]]</f>
        <v>50400</v>
      </c>
      <c r="AX268" s="30">
        <f>IFERROR(VLOOKUP(Tabla145[[#This Row],[Llave]],'[13]Ultimos precios facturados'!$A:$G,7,FALSE),0)</f>
        <v>0.98973912625172378</v>
      </c>
      <c r="AY26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0.1651884558046276</v>
      </c>
      <c r="AZ268" s="30">
        <f>IFERROR(VLOOKUP(Tabla145[[#This Row],[Llave]],Hoja2!B:K,10,FALSE),0)</f>
        <v>1.05</v>
      </c>
      <c r="BA268" s="30">
        <f>IF(Tabla145[[#This Row],[Ajuste precio IC]]="",Tabla145[[#This Row],[Precio ponderado]],Tabla145[[#This Row],[Precio ponderado]])</f>
        <v>1.1532326041666674</v>
      </c>
      <c r="BB268" s="82"/>
      <c r="BC268" s="82" t="str">
        <f>IF(AND(Tabla145[[#This Row],[Atraso a facturar]]&gt;0,Tabla145[[#This Row],[Precio Atraso]]=0),"Revisar","OK")</f>
        <v>OK</v>
      </c>
      <c r="BD268" s="82" t="str">
        <f>IF(AND(Tabla145[[#This Row],[Venta del mes]]&gt;0,Tabla145[[#This Row],[Precio venta nueva]]=0),"Revisar","OK")</f>
        <v>OK</v>
      </c>
      <c r="BE268" s="20">
        <f>IFERROR(VLOOKUP(Tabla145[[#This Row],[Llave]],'[5]Consolidación planes'!$A:$M,9,FALSE),0)</f>
        <v>0</v>
      </c>
      <c r="BF268" s="20">
        <f>IFERROR(VLOOKUP(Tabla145[[#This Row],[Llave]],'[5]Consolidación planes'!$A:$M,10,FALSE),0)</f>
        <v>0</v>
      </c>
      <c r="BG268" s="20">
        <f>IFERROR(VLOOKUP(Tabla145[[#This Row],[Llave]],'[5]Consolidación planes'!$A:$M,11,FALSE),0)</f>
        <v>0</v>
      </c>
      <c r="BH268" s="20">
        <f>IFERROR(VLOOKUP(Tabla145[[#This Row],[Llave]],'[5]Consolidación planes'!$A:$M,12,FALSE),0)</f>
        <v>0</v>
      </c>
      <c r="BI268" s="20">
        <f>IFERROR(VLOOKUP(Tabla145[[#This Row],[Llave]],'[5]Consolidación planes'!$A:$M,13,FALSE),0)</f>
        <v>0</v>
      </c>
      <c r="BJ268" s="20">
        <f>IFERROR(VLOOKUP(Tabla145[[#This Row],[Llave]],'[13]Base ultimos planes'!$A:$M,13,FALSE),0)</f>
        <v>48000</v>
      </c>
      <c r="BK268" s="80">
        <f>IFERROR(VLOOKUP(Tabla145[[#This Row],[Llave]],'[13]Base ultimos planes'!$O:$AA,8,FALSE),0)</f>
        <v>0</v>
      </c>
      <c r="BL268" s="20">
        <f>IFERROR(VLOOKUP(Tabla145[[#This Row],[Llave]],'[13]Base ultimos planes'!$O:$AA,9,FALSE),0)</f>
        <v>0</v>
      </c>
      <c r="BM268" s="20">
        <f>IFERROR(VLOOKUP(Tabla145[[#This Row],[Llave]],'[13]Base ultimos planes'!$O:$AA,10,FALSE),0)</f>
        <v>0</v>
      </c>
      <c r="BN268" s="20">
        <f>IFERROR(VLOOKUP(Tabla145[[#This Row],[Llave]],'[13]Base ultimos planes'!$O:$AA,11,FALSE),0)</f>
        <v>0</v>
      </c>
      <c r="BO268" s="20">
        <f>IFERROR(VLOOKUP(Tabla145[[#This Row],[Llave]],'[13]Base ultimos planes'!$O:$AA,12,FALSE),0)</f>
        <v>0</v>
      </c>
      <c r="BP268" s="20">
        <f>IFERROR(VLOOKUP(Tabla145[[#This Row],[Llave]],'[13]Base ultimos planes'!$O:$AA,13,FALSE),0)</f>
        <v>51325</v>
      </c>
      <c r="BQ268" s="20"/>
      <c r="BR268" s="20">
        <f>Tabla145[[#This Row],[ RV Producción mes n+1]]*(1-Tabla145[[#This Row],[% Uti. producción]])</f>
        <v>0</v>
      </c>
      <c r="BS268" s="20">
        <f>+Tabla145[[#This Row],[Producción disponible mes n-1]]+Tabla145[[#This Row],[Saldo Volumen disponible]]</f>
        <v>16320</v>
      </c>
      <c r="BT268" s="7">
        <f>IFERROR(VLOOKUP(Tabla145[[#This Row],[Llave]],'[21]RV n+2 y n+3'!$B:$F,4,FALSE),0)</f>
        <v>5240.7560000000003</v>
      </c>
      <c r="BU268" s="7">
        <f>+Tabla145[[#This Row],[Asignación mes n+2]]*Tabla145[[#This Row],[% Uti. producción]]</f>
        <v>2396.0442781159659</v>
      </c>
      <c r="BV268" s="7">
        <f>+Tabla145[[#This Row],[Ponderación mes n+2]]+Tabla145[[#This Row],[Saldo mes n-1]]</f>
        <v>18716.044278115965</v>
      </c>
      <c r="BW268" s="7">
        <f>+Tabla145[[#This Row],[Asignación mes n+2]]-Tabla145[[#This Row],[Ponderación mes n+2]]</f>
        <v>2844.7117218840344</v>
      </c>
      <c r="BX268" s="7">
        <f>IFERROR(VLOOKUP(Tabla145[[#This Row],[Llave]],'[21]RV n+2 y n+3'!$B:$F,5,FALSE),0)</f>
        <v>28594.669400000002</v>
      </c>
      <c r="BY268" s="7">
        <f>+Tabla145[[#This Row],[Asignación mes n+3]]*Tabla145[[#This Row],[% Uti. producción]]</f>
        <v>13073.322627591839</v>
      </c>
      <c r="BZ268" s="3">
        <f>+Tabla145[[#This Row],[Ponderación mes n+3]]+Tabla145[[#This Row],[Saldo mes n+2]]</f>
        <v>15918.034349475873</v>
      </c>
      <c r="CA268" s="3">
        <f>+Tabla145[[#This Row],[Asignación mes n+3]]-Tabla145[[#This Row],[Ponderación mes n+3]]</f>
        <v>15521.346772408164</v>
      </c>
      <c r="CB268" s="3">
        <f>+Tabla145[[#This Row],[Producción disponible mes n-1]]+Tabla145[[#This Row],[Producción disponible]]</f>
        <v>0</v>
      </c>
      <c r="CC268" s="3">
        <f>+Tabla145[[#This Row],[Saldo mes n+4]]-Tabla145[[#This Row],[ RV Producción mes n+1]]</f>
        <v>0</v>
      </c>
    </row>
    <row r="269" spans="1:81" ht="16" x14ac:dyDescent="0.2">
      <c r="A269">
        <v>1</v>
      </c>
      <c r="B269" t="str">
        <f>Tabla145[[#This Row],[Oficina]]&amp;Tabla145[[#This Row],[Material]]</f>
        <v>Agro Sudamerica1100407</v>
      </c>
      <c r="C269" t="s">
        <v>587</v>
      </c>
      <c r="D269" t="s">
        <v>17</v>
      </c>
      <c r="E269">
        <v>1100407</v>
      </c>
      <c r="F269" t="s">
        <v>588</v>
      </c>
      <c r="G269" t="s">
        <v>593</v>
      </c>
      <c r="H269" t="s">
        <v>594</v>
      </c>
      <c r="I269" s="15">
        <f>IFERROR(VLOOKUP(Tabla145[[#This Row],[Llave]],'[7]RV Producción'!$C:$G,5,FALSE),0)</f>
        <v>0</v>
      </c>
      <c r="J269" s="3">
        <f>IFERROR(IF(Tabla145[[#This Row],[Oficina]]=$I$7,VLOOKUP(Tabla145[[#This Row],[Llave]],'[7]Shangai (Tomas)'!$A:$F,6,FALSE),VLOOKUP(Tabla145[[#This Row],[Llave]],'[7]RV plan de ventas'!$A:$E,5,FALSE)),0)</f>
        <v>0</v>
      </c>
      <c r="K269" s="17">
        <f>IFERROR(VLOOKUP(Tabla145[[#This Row],[Oficina]],[15]Ponderación!$B$2:$E$9,4,FALSE),0)</f>
        <v>0.45719439678473212</v>
      </c>
      <c r="L269" s="7">
        <f>+Tabla145[[#This Row],[ RV Producción mes n+1]]*Tabla145[[#This Row],[% Uti. producción]]</f>
        <v>0</v>
      </c>
      <c r="M269" s="7">
        <f>IFERROR(VLOOKUP(Tabla145[[#This Row],[Material]],[16]Stock!$G:$K,5,FALSE),0)</f>
        <v>13776</v>
      </c>
      <c r="N269" s="7">
        <f>IFERROR(VLOOKUP(Tabla145[[#This Row],[Material]],[16]Produccion!$M:$N,2,FALSE),0)</f>
        <v>0</v>
      </c>
      <c r="O269" s="7">
        <f>IFERROR(VLOOKUP(Tabla145[[#This Row],[Llave]],'[16]TD Conf-AP'!$I:$M,4,FALSE),0)</f>
        <v>0</v>
      </c>
      <c r="P269" s="37">
        <f>SUM(Tabla145[[#This Row],[Producción disponible]],Tabla145[[#This Row],[Stock al día]],(Tabla145[[#This Row],[Por producir mes N]]*0.9))-Tabla145[[#This Row],[Producción por despachar mes N]]</f>
        <v>13776</v>
      </c>
      <c r="Q269" s="7">
        <f>IFERROR(VLOOKUP(Tabla145[[#This Row],[Llave]],[17]DELAY!$A:$D,4,FALSE),0)</f>
        <v>12000</v>
      </c>
      <c r="R269" s="9">
        <v>12000</v>
      </c>
      <c r="S269" s="5">
        <f t="shared" si="9"/>
        <v>12000</v>
      </c>
      <c r="T269" s="76">
        <v>0</v>
      </c>
      <c r="U269" s="5">
        <f>+Tabla145[[#This Row],[Atraso a facturar]]+Tabla145[[#This Row],[Ajuste atraso]]</f>
        <v>12000</v>
      </c>
      <c r="V269" s="3">
        <f>+Tabla145[[#This Row],[Total disponible]]-Tabla145[[#This Row],[Facturación atraso]]</f>
        <v>1776</v>
      </c>
      <c r="W269" s="6">
        <f>IFERROR(IF(AND(V269&gt;R269,J269&gt;=R269),ROUNDDOWN((Tabla145[[#This Row],[Producción para venta nueva]])/R269,0)*R269,0),0)</f>
        <v>0</v>
      </c>
      <c r="X269" s="76">
        <v>0</v>
      </c>
      <c r="Y269" s="6">
        <f>IF(Tabla145[[#This Row],[Venta del mes]]&gt;0,Tabla145[[#This Row],[Venta del mes]]+Tabla145[[#This Row],[Ajuste venta nueva]],0)</f>
        <v>0</v>
      </c>
      <c r="Z269" s="6">
        <f>+Tabla145[[#This Row],[Producción para venta nueva]]-Tabla145[[#This Row],[Facturación Venta nueva]]</f>
        <v>1776</v>
      </c>
      <c r="AA269" s="6">
        <f>IF(AND(A269=1,Tabla145[[#This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69" s="6">
        <v>0</v>
      </c>
      <c r="AC269" s="6">
        <f>IF(Tabla145[[#This Row],[Disponible stock sin venta]]&gt;0,Tabla145[[#This Row],[Disponible stock sin venta]]+Tabla145[[#This Row],[Ajuste stock sin venta]],0)</f>
        <v>0</v>
      </c>
      <c r="AD269" s="3">
        <f>IFERROR(VLOOKUP(Tabla145[[#This Row],[Llave]],'[16]TD Puerto'!$A:$D,4,FALSE),0)</f>
        <v>0</v>
      </c>
      <c r="AE269" s="3">
        <v>0</v>
      </c>
      <c r="AF269" s="3">
        <f>+Tabla145[[#This Row],[Plan Irrestricto Inicial]]</f>
        <v>0</v>
      </c>
      <c r="AG269" s="3">
        <f>+Tabla145[[#This Row],[En puerto a facturar]]</f>
        <v>0</v>
      </c>
      <c r="AH269" s="3">
        <f>+Tabla145[[#This Row],[Facturación atraso]]</f>
        <v>12000</v>
      </c>
      <c r="AI269" s="3">
        <f>+Tabla145[[#This Row],[Plan Irrestricto]]-Tabla145[[#This Row],[Puerto ]]-Tabla145[[#This Row],[Atraso]]</f>
        <v>-12000</v>
      </c>
      <c r="AJ26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69" s="3">
        <f>+Tabla145[[#This Row],[Facturación atraso]]</f>
        <v>12000</v>
      </c>
      <c r="AL269" s="3">
        <f>+Tabla145[[#This Row],[Plan Ajustado]]-Tabla145[[#This Row],[ Atraso ajustado]]-Tabla145[[#This Row],[Puerto ]]</f>
        <v>-12000</v>
      </c>
      <c r="AM269" s="6">
        <f>IFERROR(VLOOKUP(Tabla145[[#This Row],[Llave]],[18]!Tabla14[#All],34,FALSE),0)</f>
        <v>0</v>
      </c>
      <c r="AN269" s="6">
        <f>IFERROR(VLOOKUP(Tabla145[[#This Row],[Llave]],[18]!Tabla14[#All],35,FALSE),0)</f>
        <v>0</v>
      </c>
      <c r="AO269" s="3" t="str">
        <f>IF(Tabla145[[#This Row],[Plan Ajustado]]&gt;Tabla145[[#This Row],[En puerto a facturar]],"Si","No")</f>
        <v>No</v>
      </c>
      <c r="AP26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69" s="3">
        <f>IF(Tabla145[[#This Row],[Necesidad]]&gt;=Tabla145[[#This Row],[Stock al día]],Tabla145[[#This Row],[Stock al día]],Tabla145[[#This Row],[Necesidad]])</f>
        <v>0</v>
      </c>
      <c r="AR269" s="3">
        <f>+Tabla145[[#This Row],[Necesidad]]-Tabla145[[#This Row],[Stock Plan]]</f>
        <v>0</v>
      </c>
      <c r="AS269" s="155">
        <f>IFERROR(VLOOKUP(Tabla145[[#This Row],[Oficina]],[19]Ponderación!$B$14:$E$21,4,FALSE),"")</f>
        <v>44789</v>
      </c>
      <c r="AT26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69" s="83">
        <f>IFERROR(VLOOKUP(Tabla145[[#This Row],[Llave]],[17]DELAY!$H:$W,16,FALSE),0)</f>
        <v>3.9</v>
      </c>
      <c r="AV26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69" s="5">
        <f>Tabla145[[#This Row],[Ajuste precio IC]]*Tabla145[[#This Row],[Plan Ajustado]]</f>
        <v>0</v>
      </c>
      <c r="AX269" s="30">
        <f>IFERROR(VLOOKUP(Tabla145[[#This Row],[Llave]],'[13]Ultimos precios facturados'!$A:$G,7,FALSE),0)</f>
        <v>3.5806491192982453</v>
      </c>
      <c r="AY26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69" s="30">
        <f>IFERROR(VLOOKUP(Tabla145[[#This Row],[Llave]],Hoja2!B:K,10,FALSE),0)</f>
        <v>3.6</v>
      </c>
      <c r="BA269" s="30">
        <f>IF(Tabla145[[#This Row],[Ajuste precio IC]]="",Tabla145[[#This Row],[Precio ponderado]],Tabla145[[#This Row],[Precio ponderado]])</f>
        <v>0</v>
      </c>
      <c r="BB269" s="82"/>
      <c r="BC269" s="82" t="str">
        <f>IF(AND(Tabla145[[#This Row],[Atraso a facturar]]&gt;0,Tabla145[[#This Row],[Precio Atraso]]=0),"Revisar","OK")</f>
        <v>OK</v>
      </c>
      <c r="BD269" s="82" t="str">
        <f>IF(AND(Tabla145[[#This Row],[Venta del mes]]&gt;0,Tabla145[[#This Row],[Precio venta nueva]]=0),"Revisar","OK")</f>
        <v>OK</v>
      </c>
      <c r="BE269" s="20">
        <f>IFERROR(VLOOKUP(Tabla145[[#This Row],[Llave]],'[5]Consolidación planes'!$A:$M,9,FALSE),0)</f>
        <v>0</v>
      </c>
      <c r="BF269" s="20">
        <f>IFERROR(VLOOKUP(Tabla145[[#This Row],[Llave]],'[5]Consolidación planes'!$A:$M,10,FALSE),0)</f>
        <v>0</v>
      </c>
      <c r="BG269" s="20">
        <f>IFERROR(VLOOKUP(Tabla145[[#This Row],[Llave]],'[5]Consolidación planes'!$A:$M,11,FALSE),0)</f>
        <v>9000</v>
      </c>
      <c r="BH269" s="20">
        <f>IFERROR(VLOOKUP(Tabla145[[#This Row],[Llave]],'[5]Consolidación planes'!$A:$M,12,FALSE),0)</f>
        <v>12000</v>
      </c>
      <c r="BI269" s="20">
        <f>IFERROR(VLOOKUP(Tabla145[[#This Row],[Llave]],'[5]Consolidación planes'!$A:$M,13,FALSE),0)</f>
        <v>0</v>
      </c>
      <c r="BJ269" s="20">
        <f>IFERROR(VLOOKUP(Tabla145[[#This Row],[Llave]],'[13]Base ultimos planes'!$A:$M,13,FALSE),0)</f>
        <v>0</v>
      </c>
      <c r="BK269" s="80">
        <f>IFERROR(VLOOKUP(Tabla145[[#This Row],[Llave]],'[13]Base ultimos planes'!$O:$AA,8,FALSE),0)</f>
        <v>34512.5</v>
      </c>
      <c r="BL269" s="20">
        <f>IFERROR(VLOOKUP(Tabla145[[#This Row],[Llave]],'[13]Base ultimos planes'!$O:$AA,9,FALSE),0)</f>
        <v>0</v>
      </c>
      <c r="BM269" s="20">
        <f>IFERROR(VLOOKUP(Tabla145[[#This Row],[Llave]],'[13]Base ultimos planes'!$O:$AA,10,FALSE),0)</f>
        <v>26100</v>
      </c>
      <c r="BN269" s="20">
        <f>IFERROR(VLOOKUP(Tabla145[[#This Row],[Llave]],'[13]Base ultimos planes'!$O:$AA,11,FALSE),0)</f>
        <v>0</v>
      </c>
      <c r="BO269" s="20">
        <f>IFERROR(VLOOKUP(Tabla145[[#This Row],[Llave]],'[13]Base ultimos planes'!$O:$AA,12,FALSE),0)</f>
        <v>0</v>
      </c>
      <c r="BP269" s="20">
        <f>IFERROR(VLOOKUP(Tabla145[[#This Row],[Llave]],'[13]Base ultimos planes'!$O:$AA,13,FALSE),0)</f>
        <v>0</v>
      </c>
      <c r="BQ269" s="35"/>
      <c r="BR269" s="20">
        <f>Tabla145[[#This Row],[ RV Producción mes n+1]]*(1-Tabla145[[#This Row],[% Uti. producción]])</f>
        <v>0</v>
      </c>
      <c r="BS269" s="20">
        <f>+Tabla145[[#This Row],[Producción disponible mes n-1]]+Tabla145[[#This Row],[Saldo Volumen disponible]]</f>
        <v>1776</v>
      </c>
      <c r="BT269" s="7">
        <f>IFERROR(VLOOKUP(Tabla145[[#This Row],[Llave]],'[21]RV n+2 y n+3'!$B:$F,4,FALSE),0)</f>
        <v>0</v>
      </c>
      <c r="BU269" s="7">
        <f>+Tabla145[[#This Row],[Asignación mes n+2]]*Tabla145[[#This Row],[% Uti. producción]]</f>
        <v>0</v>
      </c>
      <c r="BV269" s="7">
        <f>+Tabla145[[#This Row],[Ponderación mes n+2]]+Tabla145[[#This Row],[Saldo mes n-1]]</f>
        <v>1776</v>
      </c>
      <c r="BW269" s="7">
        <f>+Tabla145[[#This Row],[Asignación mes n+2]]-Tabla145[[#This Row],[Ponderación mes n+2]]</f>
        <v>0</v>
      </c>
      <c r="BX269" s="7">
        <f>IFERROR(VLOOKUP(Tabla145[[#This Row],[Llave]],'[21]RV n+2 y n+3'!$B:$F,5,FALSE),0)</f>
        <v>0</v>
      </c>
      <c r="BY269" s="7">
        <f>+Tabla145[[#This Row],[Asignación mes n+3]]*Tabla145[[#This Row],[% Uti. producción]]</f>
        <v>0</v>
      </c>
      <c r="BZ269" s="3">
        <f>+Tabla145[[#This Row],[Ponderación mes n+3]]+Tabla145[[#This Row],[Saldo mes n+2]]</f>
        <v>0</v>
      </c>
      <c r="CA269" s="3">
        <f>+Tabla145[[#This Row],[Asignación mes n+3]]-Tabla145[[#This Row],[Ponderación mes n+3]]</f>
        <v>0</v>
      </c>
      <c r="CB269" s="3">
        <f>+Tabla145[[#This Row],[Producción disponible mes n-1]]+Tabla145[[#This Row],[Producción disponible]]</f>
        <v>0</v>
      </c>
      <c r="CC269" s="3">
        <f>+Tabla145[[#This Row],[Saldo mes n+4]]-Tabla145[[#This Row],[ RV Producción mes n+1]]</f>
        <v>0</v>
      </c>
    </row>
    <row r="270" spans="1:81" ht="16" x14ac:dyDescent="0.2">
      <c r="A270">
        <v>1</v>
      </c>
      <c r="B270" t="str">
        <f>Tabla145[[#This Row],[Oficina]]&amp;Tabla145[[#This Row],[Material]]</f>
        <v>Agro Sudamerica1100408</v>
      </c>
      <c r="C270" t="s">
        <v>587</v>
      </c>
      <c r="D270" t="s">
        <v>17</v>
      </c>
      <c r="E270">
        <v>1100408</v>
      </c>
      <c r="F270" t="s">
        <v>589</v>
      </c>
      <c r="G270" t="s">
        <v>593</v>
      </c>
      <c r="H270" t="s">
        <v>594</v>
      </c>
      <c r="I270" s="15">
        <f>IFERROR(VLOOKUP(Tabla145[[#This Row],[Llave]],'[7]RV Producción'!$C:$G,5,FALSE),0)</f>
        <v>0</v>
      </c>
      <c r="J270" s="3">
        <f>IFERROR(IF(Tabla145[[#This Row],[Oficina]]=$I$7,VLOOKUP(Tabla145[[#This Row],[Llave]],'[7]Shangai (Tomas)'!$A:$F,6,FALSE),VLOOKUP(Tabla145[[#This Row],[Llave]],'[7]RV plan de ventas'!$A:$E,5,FALSE)),0)</f>
        <v>0</v>
      </c>
      <c r="K270" s="17">
        <f>IFERROR(VLOOKUP(Tabla145[[#This Row],[Oficina]],[15]Ponderación!$B$2:$E$9,4,FALSE),0)</f>
        <v>0.45719439678473212</v>
      </c>
      <c r="L270" s="7">
        <f>+Tabla145[[#This Row],[ RV Producción mes n+1]]*Tabla145[[#This Row],[% Uti. producción]]</f>
        <v>0</v>
      </c>
      <c r="M270" s="7">
        <f>IFERROR(VLOOKUP(Tabla145[[#This Row],[Material]],[16]Stock!$G:$K,5,FALSE),0)</f>
        <v>9210</v>
      </c>
      <c r="N270" s="7">
        <f>IFERROR(VLOOKUP(Tabla145[[#This Row],[Material]],[16]Produccion!$M:$N,2,FALSE),0)</f>
        <v>0</v>
      </c>
      <c r="O270" s="7">
        <f>IFERROR(VLOOKUP(Tabla145[[#This Row],[Llave]],'[16]TD Conf-AP'!$I:$M,4,FALSE),0)</f>
        <v>0</v>
      </c>
      <c r="P270" s="37">
        <f>SUM(Tabla145[[#This Row],[Producción disponible]],Tabla145[[#This Row],[Stock al día]],(Tabla145[[#This Row],[Por producir mes N]]*0.9))-Tabla145[[#This Row],[Producción por despachar mes N]]</f>
        <v>9210</v>
      </c>
      <c r="Q270" s="7">
        <f>IFERROR(VLOOKUP(Tabla145[[#This Row],[Llave]],[17]DELAY!$A:$D,4,FALSE),0)</f>
        <v>6000</v>
      </c>
      <c r="R270" s="9">
        <v>6000</v>
      </c>
      <c r="S270" s="5">
        <f t="shared" si="9"/>
        <v>6000</v>
      </c>
      <c r="T270" s="76">
        <v>0</v>
      </c>
      <c r="U270" s="5">
        <f>+Tabla145[[#This Row],[Atraso a facturar]]+Tabla145[[#This Row],[Ajuste atraso]]</f>
        <v>6000</v>
      </c>
      <c r="V270" s="3">
        <f>+Tabla145[[#This Row],[Total disponible]]-Tabla145[[#This Row],[Facturación atraso]]</f>
        <v>3210</v>
      </c>
      <c r="W270" s="6">
        <f>IFERROR(IF(AND(V270&gt;R270,J270&gt;=R270),ROUNDDOWN((Tabla145[[#This Row],[Producción para venta nueva]])/R270,0)*R270,0),0)</f>
        <v>0</v>
      </c>
      <c r="X270" s="76">
        <v>0</v>
      </c>
      <c r="Y270" s="6">
        <f>IF(Tabla145[[#This Row],[Venta del mes]]&gt;0,Tabla145[[#This Row],[Venta del mes]]+Tabla145[[#This Row],[Ajuste venta nueva]],0)</f>
        <v>0</v>
      </c>
      <c r="Z270" s="6">
        <f>+Tabla145[[#This Row],[Producción para venta nueva]]-Tabla145[[#This Row],[Facturación Venta nueva]]</f>
        <v>3210</v>
      </c>
      <c r="AA270" s="6">
        <f>IF(AND(A270=1,Tabla145[[#This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0" s="6">
        <v>0</v>
      </c>
      <c r="AC270" s="6">
        <f>IF(Tabla145[[#This Row],[Disponible stock sin venta]]&gt;0,Tabla145[[#This Row],[Disponible stock sin venta]]+Tabla145[[#This Row],[Ajuste stock sin venta]],0)</f>
        <v>0</v>
      </c>
      <c r="AD270" s="3">
        <f>IFERROR(VLOOKUP(Tabla145[[#This Row],[Llave]],'[16]TD Puerto'!$A:$D,4,FALSE),0)</f>
        <v>0</v>
      </c>
      <c r="AE270" s="3">
        <v>18000</v>
      </c>
      <c r="AF270" s="3">
        <f>+Tabla145[[#This Row],[Plan Irrestricto Inicial]]</f>
        <v>18000</v>
      </c>
      <c r="AG270" s="3">
        <f>+Tabla145[[#This Row],[En puerto a facturar]]</f>
        <v>0</v>
      </c>
      <c r="AH270" s="3">
        <f>+Tabla145[[#This Row],[Facturación atraso]]</f>
        <v>6000</v>
      </c>
      <c r="AI270" s="3">
        <f>+Tabla145[[#This Row],[Plan Irrestricto]]-Tabla145[[#This Row],[Puerto ]]-Tabla145[[#This Row],[Atraso]]</f>
        <v>12000</v>
      </c>
      <c r="AJ270" s="3">
        <f>IF(Tabla145[[#This Row],[Plan Irrestricto]]&gt;0,SUM(Tabla145[[#This Row],[Facturación atraso]],Tabla145[[#This Row],[Facturación Venta nueva]],Tabla145[[#This Row],[Facturación stock]],Tabla145[[#This Row],[En puerto a facturar]]),0)</f>
        <v>6000</v>
      </c>
      <c r="AK270" s="3">
        <f>+Tabla145[[#This Row],[Facturación atraso]]</f>
        <v>6000</v>
      </c>
      <c r="AL270" s="3">
        <f>+Tabla145[[#This Row],[Plan Ajustado]]-Tabla145[[#This Row],[ Atraso ajustado]]-Tabla145[[#This Row],[Puerto ]]</f>
        <v>0</v>
      </c>
      <c r="AM270" s="6">
        <f>IFERROR(VLOOKUP(Tabla145[[#This Row],[Llave]],[18]!Tabla14[#All],34,FALSE),0)</f>
        <v>0</v>
      </c>
      <c r="AN270" s="6">
        <f>IFERROR(VLOOKUP(Tabla145[[#This Row],[Llave]],[18]!Tabla14[#All],35,FALSE),0)</f>
        <v>0</v>
      </c>
      <c r="AO270" s="3" t="str">
        <f>IF(Tabla145[[#This Row],[Plan Ajustado]]&gt;Tabla145[[#This Row],[En puerto a facturar]],"Si","No")</f>
        <v>Si</v>
      </c>
      <c r="AP270" s="3">
        <f>IF(AND(Tabla145[[#This Row],[Plan Ajustado]]&gt;0,Tabla145[[#This Row],[Plan Ajustado]]&gt;Tabla145[[#This Row],[En puerto a facturar]]),(Tabla145[[#This Row],[Plan Ajustado]]-Tabla145[[#This Row],[En puerto a facturar]]),0)</f>
        <v>6000</v>
      </c>
      <c r="AQ270" s="3">
        <f>IF(Tabla145[[#This Row],[Necesidad]]&gt;=Tabla145[[#This Row],[Stock al día]],Tabla145[[#This Row],[Stock al día]],Tabla145[[#This Row],[Necesidad]])</f>
        <v>6000</v>
      </c>
      <c r="AR270" s="3">
        <f>+Tabla145[[#This Row],[Necesidad]]-Tabla145[[#This Row],[Stock Plan]]</f>
        <v>0</v>
      </c>
      <c r="AS270" s="155">
        <f>IFERROR(VLOOKUP(Tabla145[[#This Row],[Oficina]],[19]Ponderación!$B$14:$E$21,4,FALSE),"")</f>
        <v>44789</v>
      </c>
      <c r="AT27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70" s="83">
        <f>IFERROR(VLOOKUP(Tabla145[[#This Row],[Llave]],[17]DELAY!$H:$W,16,FALSE),0)</f>
        <v>3.9</v>
      </c>
      <c r="AV27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3.9</v>
      </c>
      <c r="AW270" s="5">
        <f>Tabla145[[#This Row],[Ajuste precio IC]]*Tabla145[[#This Row],[Plan Ajustado]]</f>
        <v>21600</v>
      </c>
      <c r="AX270" s="30">
        <f>IFERROR(VLOOKUP(Tabla145[[#This Row],[Llave]],'[13]Ultimos precios facturados'!$A:$G,7,FALSE),0)</f>
        <v>3.4833666740740741</v>
      </c>
      <c r="AY27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0.11960650856162669</v>
      </c>
      <c r="AZ270" s="30">
        <f>IFERROR(VLOOKUP(Tabla145[[#This Row],[Llave]],Hoja2!B:K,10,FALSE),0)</f>
        <v>3.6</v>
      </c>
      <c r="BA270" s="30">
        <f>IF(Tabla145[[#This Row],[Ajuste precio IC]]="",Tabla145[[#This Row],[Precio ponderado]],Tabla145[[#This Row],[Precio ponderado]])</f>
        <v>3.9</v>
      </c>
      <c r="BB270" s="82"/>
      <c r="BC270" s="82" t="str">
        <f>IF(AND(Tabla145[[#This Row],[Atraso a facturar]]&gt;0,Tabla145[[#This Row],[Precio Atraso]]=0),"Revisar","OK")</f>
        <v>OK</v>
      </c>
      <c r="BD270" s="82" t="str">
        <f>IF(AND(Tabla145[[#This Row],[Venta del mes]]&gt;0,Tabla145[[#This Row],[Precio venta nueva]]=0),"Revisar","OK")</f>
        <v>OK</v>
      </c>
      <c r="BE270" s="20">
        <f>IFERROR(VLOOKUP(Tabla145[[#This Row],[Llave]],'[5]Consolidación planes'!$A:$M,9,FALSE),0)</f>
        <v>0</v>
      </c>
      <c r="BF270" s="20">
        <f>IFERROR(VLOOKUP(Tabla145[[#This Row],[Llave]],'[5]Consolidación planes'!$A:$M,10,FALSE),0)</f>
        <v>0</v>
      </c>
      <c r="BG270" s="20">
        <f>IFERROR(VLOOKUP(Tabla145[[#This Row],[Llave]],'[5]Consolidación planes'!$A:$M,11,FALSE),0)</f>
        <v>9000</v>
      </c>
      <c r="BH270" s="20">
        <f>IFERROR(VLOOKUP(Tabla145[[#This Row],[Llave]],'[5]Consolidación planes'!$A:$M,12,FALSE),0)</f>
        <v>6000</v>
      </c>
      <c r="BI270" s="20">
        <f>IFERROR(VLOOKUP(Tabla145[[#This Row],[Llave]],'[5]Consolidación planes'!$A:$M,13,FALSE),0)</f>
        <v>0</v>
      </c>
      <c r="BJ270" s="20">
        <f>IFERROR(VLOOKUP(Tabla145[[#This Row],[Llave]],'[13]Base ultimos planes'!$A:$M,13,FALSE),0)</f>
        <v>6000</v>
      </c>
      <c r="BK270" s="80">
        <f>IFERROR(VLOOKUP(Tabla145[[#This Row],[Llave]],'[13]Base ultimos planes'!$O:$AA,8,FALSE),0)</f>
        <v>21962.5</v>
      </c>
      <c r="BL270" s="20">
        <f>IFERROR(VLOOKUP(Tabla145[[#This Row],[Llave]],'[13]Base ultimos planes'!$O:$AA,9,FALSE),0)</f>
        <v>0</v>
      </c>
      <c r="BM270" s="20">
        <f>IFERROR(VLOOKUP(Tabla145[[#This Row],[Llave]],'[13]Base ultimos planes'!$O:$AA,10,FALSE),0)</f>
        <v>26100</v>
      </c>
      <c r="BN270" s="20">
        <f>IFERROR(VLOOKUP(Tabla145[[#This Row],[Llave]],'[13]Base ultimos planes'!$O:$AA,11,FALSE),0)</f>
        <v>0</v>
      </c>
      <c r="BO270" s="20">
        <f>IFERROR(VLOOKUP(Tabla145[[#This Row],[Llave]],'[13]Base ultimos planes'!$O:$AA,12,FALSE),0)</f>
        <v>0</v>
      </c>
      <c r="BP270" s="20">
        <f>IFERROR(VLOOKUP(Tabla145[[#This Row],[Llave]],'[13]Base ultimos planes'!$O:$AA,13,FALSE),0)</f>
        <v>23400</v>
      </c>
      <c r="BQ270" s="43" t="s">
        <v>628</v>
      </c>
      <c r="BR270" s="20">
        <f>Tabla145[[#This Row],[ RV Producción mes n+1]]*(1-Tabla145[[#This Row],[% Uti. producción]])</f>
        <v>0</v>
      </c>
      <c r="BS270" s="20">
        <f>+Tabla145[[#This Row],[Producción disponible mes n-1]]+Tabla145[[#This Row],[Saldo Volumen disponible]]</f>
        <v>3210</v>
      </c>
      <c r="BT270" s="7">
        <f>IFERROR(VLOOKUP(Tabla145[[#This Row],[Llave]],'[21]RV n+2 y n+3'!$B:$F,4,FALSE),0)</f>
        <v>0</v>
      </c>
      <c r="BU270" s="7">
        <f>+Tabla145[[#This Row],[Asignación mes n+2]]*Tabla145[[#This Row],[% Uti. producción]]</f>
        <v>0</v>
      </c>
      <c r="BV270" s="7">
        <f>+Tabla145[[#This Row],[Ponderación mes n+2]]+Tabla145[[#This Row],[Saldo mes n-1]]</f>
        <v>3210</v>
      </c>
      <c r="BW270" s="7">
        <f>+Tabla145[[#This Row],[Asignación mes n+2]]-Tabla145[[#This Row],[Ponderación mes n+2]]</f>
        <v>0</v>
      </c>
      <c r="BX270" s="7">
        <f>IFERROR(VLOOKUP(Tabla145[[#This Row],[Llave]],'[21]RV n+2 y n+3'!$B:$F,5,FALSE),0)</f>
        <v>0</v>
      </c>
      <c r="BY270" s="7">
        <f>+Tabla145[[#This Row],[Asignación mes n+3]]*Tabla145[[#This Row],[% Uti. producción]]</f>
        <v>0</v>
      </c>
      <c r="BZ270" s="3">
        <f>+Tabla145[[#This Row],[Ponderación mes n+3]]+Tabla145[[#This Row],[Saldo mes n+2]]</f>
        <v>0</v>
      </c>
      <c r="CA270" s="3">
        <f>+Tabla145[[#This Row],[Asignación mes n+3]]-Tabla145[[#This Row],[Ponderación mes n+3]]</f>
        <v>0</v>
      </c>
      <c r="CB270" s="3">
        <f>+Tabla145[[#This Row],[Producción disponible mes n-1]]+Tabla145[[#This Row],[Producción disponible]]</f>
        <v>0</v>
      </c>
      <c r="CC270" s="3">
        <f>+Tabla145[[#This Row],[Saldo mes n+4]]-Tabla145[[#This Row],[ RV Producción mes n+1]]</f>
        <v>0</v>
      </c>
    </row>
    <row r="271" spans="1:81" ht="16" x14ac:dyDescent="0.2">
      <c r="A271">
        <v>2</v>
      </c>
      <c r="B271" t="str">
        <f>Tabla145[[#This Row],[Oficina]]&amp;Tabla145[[#This Row],[Material]]</f>
        <v>Agrosuper Shanghai1030419</v>
      </c>
      <c r="C271" t="s">
        <v>204</v>
      </c>
      <c r="D271" t="s">
        <v>140</v>
      </c>
      <c r="E271">
        <v>1030419</v>
      </c>
      <c r="F271" t="s">
        <v>590</v>
      </c>
      <c r="G271" t="s">
        <v>209</v>
      </c>
      <c r="H271" t="s">
        <v>595</v>
      </c>
      <c r="I271" s="15">
        <f>IFERROR(VLOOKUP(Tabla145[[#This Row],[Llave]],'[7]RV Producción'!$C:$G,5,FALSE),0)</f>
        <v>0</v>
      </c>
      <c r="J271" s="3">
        <f>IFERROR(IF(Tabla145[[#This Row],[Oficina]]=$I$7,VLOOKUP(Tabla145[[#This Row],[Llave]],'[7]Shangai (Tomas)'!$A:$F,6,FALSE),VLOOKUP(Tabla145[[#This Row],[Llave]],'[7]RV plan de ventas'!$A:$E,5,FALSE)),0)</f>
        <v>0</v>
      </c>
      <c r="K271" s="17">
        <f>IFERROR(VLOOKUP(Tabla145[[#This Row],[Oficina]],[15]Ponderación!$B$2:$E$9,4,FALSE),0)</f>
        <v>0.45719439678473212</v>
      </c>
      <c r="L271" s="7">
        <f>+Tabla145[[#This Row],[ RV Producción mes n+1]]*Tabla145[[#This Row],[% Uti. producción]]</f>
        <v>0</v>
      </c>
      <c r="M271" s="7">
        <f>IFERROR(VLOOKUP(Tabla145[[#This Row],[Material]],[16]Stock!$G:$K,5,FALSE),0)</f>
        <v>21360</v>
      </c>
      <c r="N271" s="7">
        <f>IFERROR(VLOOKUP(Tabla145[[#This Row],[Material]],[16]Produccion!$M:$N,2,FALSE),0)</f>
        <v>4000</v>
      </c>
      <c r="O271" s="7">
        <f>IFERROR(VLOOKUP(Tabla145[[#This Row],[Llave]],'[16]TD Conf-AP'!$I:$M,4,FALSE),0)</f>
        <v>0</v>
      </c>
      <c r="P271" s="37">
        <f>SUM(Tabla145[[#This Row],[Producción disponible]],Tabla145[[#This Row],[Stock al día]],(Tabla145[[#This Row],[Por producir mes N]]*0.9))-Tabla145[[#This Row],[Producción por despachar mes N]]</f>
        <v>24960</v>
      </c>
      <c r="Q271" s="7">
        <f>IFERROR(VLOOKUP(Tabla145[[#This Row],[Llave]],[17]DELAY!$A:$D,4,FALSE),0)</f>
        <v>48000</v>
      </c>
      <c r="R271" s="9">
        <v>24000</v>
      </c>
      <c r="S271" s="5">
        <f t="shared" si="9"/>
        <v>24000</v>
      </c>
      <c r="T271" s="76"/>
      <c r="U271" s="5">
        <f>+Tabla145[[#This Row],[Atraso a facturar]]+Tabla145[[#This Row],[Ajuste atraso]]</f>
        <v>24000</v>
      </c>
      <c r="V271" s="3">
        <f>+Tabla145[[#This Row],[Total disponible]]-Tabla145[[#This Row],[Facturación atraso]]</f>
        <v>960</v>
      </c>
      <c r="W271" s="6">
        <f>IFERROR(IF(AND(V271&gt;R271,J271&gt;=R271),ROUNDDOWN((Tabla145[[#This Row],[Producción para venta nueva]])/R271,0)*R271,0),0)</f>
        <v>0</v>
      </c>
      <c r="X271" s="76">
        <v>0</v>
      </c>
      <c r="Y271" s="6">
        <f>IF(Tabla145[[#This Row],[Venta del mes]]&gt;0,Tabla145[[#This Row],[Venta del mes]]+Tabla145[[#This Row],[Ajuste venta nueva]],0)</f>
        <v>0</v>
      </c>
      <c r="Z271" s="6">
        <f>+Tabla145[[#This Row],[Producción para venta nueva]]-Tabla145[[#This Row],[Facturación Venta nueva]]</f>
        <v>960</v>
      </c>
      <c r="AA271" s="6">
        <f>IF(AND(A271=1,Tabla145[[#This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1" s="6">
        <v>0</v>
      </c>
      <c r="AC271" s="6">
        <f>IF(Tabla145[[#This Row],[Disponible stock sin venta]]&gt;0,Tabla145[[#This Row],[Disponible stock sin venta]]+Tabla145[[#This Row],[Ajuste stock sin venta]],0)</f>
        <v>0</v>
      </c>
      <c r="AD271" s="3">
        <f>IFERROR(VLOOKUP(Tabla145[[#This Row],[Llave]],'[16]TD Puerto'!$A:$D,4,FALSE),0)</f>
        <v>0</v>
      </c>
      <c r="AE271" s="3">
        <v>0</v>
      </c>
      <c r="AF271" s="3">
        <f>+Tabla145[[#This Row],[Plan Irrestricto Inicial]]</f>
        <v>0</v>
      </c>
      <c r="AG271" s="3">
        <f>+Tabla145[[#This Row],[En puerto a facturar]]</f>
        <v>0</v>
      </c>
      <c r="AH271" s="3">
        <f>+Tabla145[[#This Row],[Facturación atraso]]</f>
        <v>24000</v>
      </c>
      <c r="AI271" s="3">
        <f>+Tabla145[[#This Row],[Plan Irrestricto]]-Tabla145[[#This Row],[Puerto ]]-Tabla145[[#This Row],[Atraso]]</f>
        <v>-24000</v>
      </c>
      <c r="AJ27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71" s="3">
        <f>+Tabla145[[#This Row],[Facturación atraso]]</f>
        <v>24000</v>
      </c>
      <c r="AL271" s="3">
        <f>+Tabla145[[#This Row],[Plan Ajustado]]-Tabla145[[#This Row],[ Atraso ajustado]]-Tabla145[[#This Row],[Puerto ]]</f>
        <v>-24000</v>
      </c>
      <c r="AM271" s="6">
        <f>IFERROR(VLOOKUP(Tabla145[[#This Row],[Llave]],[18]!Tabla14[#All],34,FALSE),0)</f>
        <v>0</v>
      </c>
      <c r="AN271" s="6">
        <f>IFERROR(VLOOKUP(Tabla145[[#This Row],[Llave]],[18]!Tabla14[#All],35,FALSE),0)</f>
        <v>0</v>
      </c>
      <c r="AO271" s="3" t="str">
        <f>IF(Tabla145[[#This Row],[Plan Ajustado]]&gt;Tabla145[[#This Row],[En puerto a facturar]],"Si","No")</f>
        <v>No</v>
      </c>
      <c r="AP27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71" s="3">
        <f>IF(Tabla145[[#This Row],[Necesidad]]&gt;=Tabla145[[#This Row],[Stock al día]],Tabla145[[#This Row],[Stock al día]],Tabla145[[#This Row],[Necesidad]])</f>
        <v>0</v>
      </c>
      <c r="AR271" s="3">
        <f>+Tabla145[[#This Row],[Necesidad]]-Tabla145[[#This Row],[Stock Plan]]</f>
        <v>0</v>
      </c>
      <c r="AS271" s="155">
        <f>IFERROR(VLOOKUP(Tabla145[[#This Row],[Oficina]],[19]Ponderación!$B$14:$E$21,4,FALSE),"")</f>
        <v>44786</v>
      </c>
      <c r="AT27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1.7749999999999999</v>
      </c>
      <c r="AU271" s="83">
        <f>IFERROR(VLOOKUP(Tabla145[[#This Row],[Llave]],[17]DELAY!$H:$W,16,FALSE),0)</f>
        <v>1.9</v>
      </c>
      <c r="AV27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71" s="5">
        <f>Tabla145[[#This Row],[Ajuste precio IC]]*Tabla145[[#This Row],[Plan Ajustado]]</f>
        <v>0</v>
      </c>
      <c r="AX271" s="30">
        <f>IFERROR(VLOOKUP(Tabla145[[#This Row],[Llave]],'[13]Ultimos precios facturados'!$A:$G,7,FALSE),0)</f>
        <v>1.7749999999999999</v>
      </c>
      <c r="AY27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71" s="30">
        <f>IFERROR(VLOOKUP(Tabla145[[#This Row],[Llave]],Hoja2!B:K,10,FALSE),0)</f>
        <v>1.9</v>
      </c>
      <c r="BA271" s="30">
        <f>IF(Tabla145[[#This Row],[Ajuste precio IC]]="",Tabla145[[#This Row],[Precio ponderado]],Tabla145[[#This Row],[Precio ponderado]])</f>
        <v>0</v>
      </c>
      <c r="BB271" s="82"/>
      <c r="BC271" s="82" t="str">
        <f>IF(AND(Tabla145[[#This Row],[Atraso a facturar]]&gt;0,Tabla145[[#This Row],[Precio Atraso]]=0),"Revisar","OK")</f>
        <v>OK</v>
      </c>
      <c r="BD271" s="82" t="str">
        <f>IF(AND(Tabla145[[#This Row],[Venta del mes]]&gt;0,Tabla145[[#This Row],[Precio venta nueva]]=0),"Revisar","OK")</f>
        <v>OK</v>
      </c>
      <c r="BE271" s="20">
        <f>IFERROR(VLOOKUP(Tabla145[[#This Row],[Llave]],'[5]Consolidación planes'!$A:$M,9,FALSE),0)</f>
        <v>0</v>
      </c>
      <c r="BF271" s="20">
        <f>IFERROR(VLOOKUP(Tabla145[[#This Row],[Llave]],'[5]Consolidación planes'!$A:$M,10,FALSE),0)</f>
        <v>0</v>
      </c>
      <c r="BG271" s="20">
        <f>IFERROR(VLOOKUP(Tabla145[[#This Row],[Llave]],'[5]Consolidación planes'!$A:$M,11,FALSE),0)</f>
        <v>0</v>
      </c>
      <c r="BH271" s="20">
        <f>IFERROR(VLOOKUP(Tabla145[[#This Row],[Llave]],'[5]Consolidación planes'!$A:$M,12,FALSE),0)</f>
        <v>0</v>
      </c>
      <c r="BI271" s="20">
        <f>IFERROR(VLOOKUP(Tabla145[[#This Row],[Llave]],'[5]Consolidación planes'!$A:$M,13,FALSE),0)</f>
        <v>0</v>
      </c>
      <c r="BJ271" s="20">
        <f>IFERROR(VLOOKUP(Tabla145[[#This Row],[Llave]],'[13]Base ultimos planes'!$A:$M,13,FALSE),0)</f>
        <v>0</v>
      </c>
      <c r="BK271" s="80">
        <f>IFERROR(VLOOKUP(Tabla145[[#This Row],[Llave]],'[13]Base ultimos planes'!$O:$AA,8,FALSE),0)</f>
        <v>0</v>
      </c>
      <c r="BL271" s="20">
        <f>IFERROR(VLOOKUP(Tabla145[[#This Row],[Llave]],'[13]Base ultimos planes'!$O:$AA,9,FALSE),0)</f>
        <v>0</v>
      </c>
      <c r="BM271" s="20">
        <f>IFERROR(VLOOKUP(Tabla145[[#This Row],[Llave]],'[13]Base ultimos planes'!$O:$AA,10,FALSE),0)</f>
        <v>0</v>
      </c>
      <c r="BN271" s="20">
        <f>IFERROR(VLOOKUP(Tabla145[[#This Row],[Llave]],'[13]Base ultimos planes'!$O:$AA,11,FALSE),0)</f>
        <v>0</v>
      </c>
      <c r="BO271" s="20">
        <f>IFERROR(VLOOKUP(Tabla145[[#This Row],[Llave]],'[13]Base ultimos planes'!$O:$AA,12,FALSE),0)</f>
        <v>0</v>
      </c>
      <c r="BP271" s="20">
        <f>IFERROR(VLOOKUP(Tabla145[[#This Row],[Llave]],'[13]Base ultimos planes'!$O:$AA,13,FALSE),0)</f>
        <v>0</v>
      </c>
      <c r="BQ271" s="35"/>
      <c r="BR271" s="20">
        <f>Tabla145[[#This Row],[ RV Producción mes n+1]]*(1-Tabla145[[#This Row],[% Uti. producción]])</f>
        <v>0</v>
      </c>
      <c r="BS271" s="20">
        <f>+Tabla145[[#This Row],[Producción disponible mes n-1]]+Tabla145[[#This Row],[Saldo Volumen disponible]]</f>
        <v>960</v>
      </c>
      <c r="BT271" s="7">
        <f>IFERROR(VLOOKUP(Tabla145[[#This Row],[Llave]],'[21]RV n+2 y n+3'!$B:$F,4,FALSE),0)</f>
        <v>0</v>
      </c>
      <c r="BU271" s="7">
        <f>+Tabla145[[#This Row],[Asignación mes n+2]]*Tabla145[[#This Row],[% Uti. producción]]</f>
        <v>0</v>
      </c>
      <c r="BV271" s="7">
        <f>+Tabla145[[#This Row],[Ponderación mes n+2]]+Tabla145[[#This Row],[Saldo mes n-1]]</f>
        <v>960</v>
      </c>
      <c r="BW271" s="7">
        <f>+Tabla145[[#This Row],[Asignación mes n+2]]-Tabla145[[#This Row],[Ponderación mes n+2]]</f>
        <v>0</v>
      </c>
      <c r="BX271" s="7">
        <f>IFERROR(VLOOKUP(Tabla145[[#This Row],[Llave]],'[21]RV n+2 y n+3'!$B:$F,5,FALSE),0)</f>
        <v>0</v>
      </c>
      <c r="BY271" s="7">
        <f>+Tabla145[[#This Row],[Asignación mes n+3]]*Tabla145[[#This Row],[% Uti. producción]]</f>
        <v>0</v>
      </c>
      <c r="BZ271" s="3">
        <f>+Tabla145[[#This Row],[Ponderación mes n+3]]+Tabla145[[#This Row],[Saldo mes n+2]]</f>
        <v>0</v>
      </c>
      <c r="CA271" s="3">
        <f>+Tabla145[[#This Row],[Asignación mes n+3]]-Tabla145[[#This Row],[Ponderación mes n+3]]</f>
        <v>0</v>
      </c>
      <c r="CB271" s="3">
        <f>+Tabla145[[#This Row],[Producción disponible mes n-1]]+Tabla145[[#This Row],[Producción disponible]]</f>
        <v>0</v>
      </c>
      <c r="CC271" s="3">
        <f>+Tabla145[[#This Row],[Saldo mes n+4]]-Tabla145[[#This Row],[ RV Producción mes n+1]]</f>
        <v>0</v>
      </c>
    </row>
    <row r="272" spans="1:81" ht="16" x14ac:dyDescent="0.2">
      <c r="A272">
        <v>2</v>
      </c>
      <c r="B272" t="str">
        <f>Tabla145[[#This Row],[Oficina]]&amp;Tabla145[[#This Row],[Material]]</f>
        <v>Agrosuper Shanghai1012424</v>
      </c>
      <c r="C272" t="s">
        <v>227</v>
      </c>
      <c r="D272" t="s">
        <v>140</v>
      </c>
      <c r="E272">
        <v>1012424</v>
      </c>
      <c r="F272" t="s">
        <v>591</v>
      </c>
      <c r="G272" t="s">
        <v>205</v>
      </c>
      <c r="H272" t="s">
        <v>264</v>
      </c>
      <c r="I272" s="15">
        <f>IFERROR(VLOOKUP(Tabla145[[#This Row],[Llave]],'[7]RV Producción'!$C:$G,5,FALSE),0)</f>
        <v>0</v>
      </c>
      <c r="J272" s="3">
        <f>IFERROR(IF(Tabla145[[#This Row],[Oficina]]=$I$7,VLOOKUP(Tabla145[[#This Row],[Llave]],'[7]Shangai (Tomas)'!$A:$F,6,FALSE),VLOOKUP(Tabla145[[#This Row],[Llave]],'[7]RV plan de ventas'!$A:$E,5,FALSE)),0)</f>
        <v>0</v>
      </c>
      <c r="K272" s="17">
        <f>IFERROR(VLOOKUP(Tabla145[[#This Row],[Oficina]],[15]Ponderación!$B$2:$E$9,4,FALSE),0)</f>
        <v>0.45719439678473212</v>
      </c>
      <c r="L272" s="7">
        <f>+Tabla145[[#This Row],[ RV Producción mes n+1]]*Tabla145[[#This Row],[% Uti. producción]]</f>
        <v>0</v>
      </c>
      <c r="M272" s="7">
        <f>IFERROR(VLOOKUP(Tabla145[[#This Row],[Material]],[16]Stock!$G:$K,5,FALSE),0)</f>
        <v>0</v>
      </c>
      <c r="N272" s="7">
        <f>IFERROR(VLOOKUP(Tabla145[[#This Row],[Material]],[16]Produccion!$M:$N,2,FALSE),0)</f>
        <v>0</v>
      </c>
      <c r="O272" s="7">
        <f>IFERROR(VLOOKUP(Tabla145[[#This Row],[Llave]],'[16]TD Conf-AP'!$I:$M,4,FALSE),0)</f>
        <v>0</v>
      </c>
      <c r="P272" s="37">
        <f>SUM(Tabla145[[#This Row],[Producción disponible]],Tabla145[[#This Row],[Stock al día]],(Tabla145[[#This Row],[Por producir mes N]]*0.9))-Tabla145[[#This Row],[Producción por despachar mes N]]</f>
        <v>0</v>
      </c>
      <c r="Q272" s="7">
        <f>IFERROR(VLOOKUP(Tabla145[[#This Row],[Llave]],[17]DELAY!$A:$D,4,FALSE),0)</f>
        <v>0</v>
      </c>
      <c r="R272" s="9">
        <v>24000</v>
      </c>
      <c r="S272" s="5">
        <f t="shared" si="9"/>
        <v>0</v>
      </c>
      <c r="T272" s="76"/>
      <c r="U272" s="5">
        <f>+Tabla145[[#This Row],[Atraso a facturar]]+Tabla145[[#This Row],[Ajuste atraso]]</f>
        <v>0</v>
      </c>
      <c r="V272" s="3">
        <f>+Tabla145[[#This Row],[Total disponible]]-Tabla145[[#This Row],[Facturación atraso]]</f>
        <v>0</v>
      </c>
      <c r="W272" s="6">
        <f>IFERROR(IF(AND(V272&gt;R272,J272&gt;=R272),ROUNDDOWN((Tabla145[[#This Row],[Producción para venta nueva]])/R272,0)*R272,0),0)</f>
        <v>0</v>
      </c>
      <c r="X272" s="76">
        <v>0</v>
      </c>
      <c r="Y272" s="6">
        <f>IF(Tabla145[[#This Row],[Venta del mes]]&gt;0,Tabla145[[#This Row],[Venta del mes]]+Tabla145[[#This Row],[Ajuste venta nueva]],0)</f>
        <v>0</v>
      </c>
      <c r="Z272" s="6">
        <f>+Tabla145[[#This Row],[Producción para venta nueva]]-Tabla145[[#This Row],[Facturación Venta nueva]]</f>
        <v>0</v>
      </c>
      <c r="AA272" s="6">
        <f>IF(AND(A272=1,Tabla145[[#This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2" s="6">
        <v>0</v>
      </c>
      <c r="AC272" s="6">
        <f>IF(Tabla145[[#This Row],[Disponible stock sin venta]]&gt;0,Tabla145[[#This Row],[Disponible stock sin venta]]+Tabla145[[#This Row],[Ajuste stock sin venta]],0)</f>
        <v>0</v>
      </c>
      <c r="AD272" s="3">
        <f>IFERROR(VLOOKUP(Tabla145[[#This Row],[Llave]],'[16]TD Puerto'!$A:$D,4,FALSE),0)</f>
        <v>0</v>
      </c>
      <c r="AE272" s="3">
        <v>0</v>
      </c>
      <c r="AF272" s="3">
        <f>+Tabla145[[#This Row],[Plan Irrestricto Inicial]]</f>
        <v>0</v>
      </c>
      <c r="AG272" s="3">
        <f>+Tabla145[[#This Row],[En puerto a facturar]]</f>
        <v>0</v>
      </c>
      <c r="AH272" s="3">
        <f>+Tabla145[[#This Row],[Facturación atraso]]</f>
        <v>0</v>
      </c>
      <c r="AI272" s="3">
        <f>+Tabla145[[#This Row],[Plan Irrestricto]]-Tabla145[[#This Row],[Puerto ]]-Tabla145[[#This Row],[Atraso]]</f>
        <v>0</v>
      </c>
      <c r="AJ27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72" s="3">
        <f>+Tabla145[[#This Row],[Facturación atraso]]</f>
        <v>0</v>
      </c>
      <c r="AL272" s="3">
        <f>+Tabla145[[#This Row],[Plan Ajustado]]-Tabla145[[#This Row],[ Atraso ajustado]]-Tabla145[[#This Row],[Puerto ]]</f>
        <v>0</v>
      </c>
      <c r="AM272" s="6">
        <f>IFERROR(VLOOKUP(Tabla145[[#This Row],[Llave]],[18]!Tabla14[#All],34,FALSE),0)</f>
        <v>0</v>
      </c>
      <c r="AN272" s="6">
        <f>IFERROR(VLOOKUP(Tabla145[[#This Row],[Llave]],[18]!Tabla14[#All],35,FALSE),0)</f>
        <v>0</v>
      </c>
      <c r="AO272" s="3" t="str">
        <f>IF(Tabla145[[#This Row],[Plan Ajustado]]&gt;Tabla145[[#This Row],[En puerto a facturar]],"Si","No")</f>
        <v>No</v>
      </c>
      <c r="AP27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72" s="3">
        <f>IF(Tabla145[[#This Row],[Necesidad]]&gt;=Tabla145[[#This Row],[Stock al día]],Tabla145[[#This Row],[Stock al día]],Tabla145[[#This Row],[Necesidad]])</f>
        <v>0</v>
      </c>
      <c r="AR272" s="3">
        <f>+Tabla145[[#This Row],[Necesidad]]-Tabla145[[#This Row],[Stock Plan]]</f>
        <v>0</v>
      </c>
      <c r="AS272" s="155">
        <f>IFERROR(VLOOKUP(Tabla145[[#This Row],[Oficina]],[19]Ponderación!$B$14:$E$21,4,FALSE),"")</f>
        <v>44786</v>
      </c>
      <c r="AT27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72" s="83">
        <f>IFERROR(VLOOKUP(Tabla145[[#This Row],[Llave]],[17]DELAY!$H:$W,16,FALSE),0)</f>
        <v>0</v>
      </c>
      <c r="AV27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72" s="5">
        <f>Tabla145[[#This Row],[Ajuste precio IC]]*Tabla145[[#This Row],[Plan Ajustado]]</f>
        <v>0</v>
      </c>
      <c r="AX272" s="30">
        <f>IFERROR(VLOOKUP(Tabla145[[#This Row],[Llave]],'[13]Ultimos precios facturados'!$A:$G,7,FALSE),0)</f>
        <v>0</v>
      </c>
      <c r="AY27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72" s="30">
        <f>IFERROR(VLOOKUP(Tabla145[[#This Row],[Llave]],Hoja2!B:K,10,FALSE),0)</f>
        <v>0</v>
      </c>
      <c r="BA272" s="30">
        <f>IF(Tabla145[[#This Row],[Ajuste precio IC]]="",Tabla145[[#This Row],[Precio ponderado]],Tabla145[[#This Row],[Precio ponderado]])</f>
        <v>0</v>
      </c>
      <c r="BB272" s="82"/>
      <c r="BC272" s="82" t="str">
        <f>IF(AND(Tabla145[[#This Row],[Atraso a facturar]]&gt;0,Tabla145[[#This Row],[Precio Atraso]]=0),"Revisar","OK")</f>
        <v>OK</v>
      </c>
      <c r="BD272" s="82" t="str">
        <f>IF(AND(Tabla145[[#This Row],[Venta del mes]]&gt;0,Tabla145[[#This Row],[Precio venta nueva]]=0),"Revisar","OK")</f>
        <v>OK</v>
      </c>
      <c r="BE272" s="20">
        <f>IFERROR(VLOOKUP(Tabla145[[#This Row],[Llave]],'[5]Consolidación planes'!$A:$M,9,FALSE),0)</f>
        <v>0</v>
      </c>
      <c r="BF272" s="20">
        <f>IFERROR(VLOOKUP(Tabla145[[#This Row],[Llave]],'[5]Consolidación planes'!$A:$M,10,FALSE),0)</f>
        <v>0</v>
      </c>
      <c r="BG272" s="20">
        <f>IFERROR(VLOOKUP(Tabla145[[#This Row],[Llave]],'[5]Consolidación planes'!$A:$M,11,FALSE),0)</f>
        <v>0</v>
      </c>
      <c r="BH272" s="20">
        <f>IFERROR(VLOOKUP(Tabla145[[#This Row],[Llave]],'[5]Consolidación planes'!$A:$M,12,FALSE),0)</f>
        <v>0</v>
      </c>
      <c r="BI272" s="20">
        <f>IFERROR(VLOOKUP(Tabla145[[#This Row],[Llave]],'[5]Consolidación planes'!$A:$M,13,FALSE),0)</f>
        <v>0</v>
      </c>
      <c r="BJ272" s="20">
        <f>IFERROR(VLOOKUP(Tabla145[[#This Row],[Llave]],'[13]Base ultimos planes'!$A:$M,13,FALSE),0)</f>
        <v>0</v>
      </c>
      <c r="BK272" s="80">
        <f>IFERROR(VLOOKUP(Tabla145[[#This Row],[Llave]],'[13]Base ultimos planes'!$O:$AA,8,FALSE),0)</f>
        <v>0</v>
      </c>
      <c r="BL272" s="20">
        <f>IFERROR(VLOOKUP(Tabla145[[#This Row],[Llave]],'[13]Base ultimos planes'!$O:$AA,9,FALSE),0)</f>
        <v>0</v>
      </c>
      <c r="BM272" s="20">
        <f>IFERROR(VLOOKUP(Tabla145[[#This Row],[Llave]],'[13]Base ultimos planes'!$O:$AA,10,FALSE),0)</f>
        <v>0</v>
      </c>
      <c r="BN272" s="20">
        <f>IFERROR(VLOOKUP(Tabla145[[#This Row],[Llave]],'[13]Base ultimos planes'!$O:$AA,11,FALSE),0)</f>
        <v>0</v>
      </c>
      <c r="BO272" s="20">
        <f>IFERROR(VLOOKUP(Tabla145[[#This Row],[Llave]],'[13]Base ultimos planes'!$O:$AA,12,FALSE),0)</f>
        <v>0</v>
      </c>
      <c r="BP272" s="20">
        <f>IFERROR(VLOOKUP(Tabla145[[#This Row],[Llave]],'[13]Base ultimos planes'!$O:$AA,13,FALSE),0)</f>
        <v>0</v>
      </c>
      <c r="BQ272" s="35"/>
      <c r="BR272" s="20">
        <f>Tabla145[[#This Row],[ RV Producción mes n+1]]*(1-Tabla145[[#This Row],[% Uti. producción]])</f>
        <v>0</v>
      </c>
      <c r="BS272" s="20">
        <f>+Tabla145[[#This Row],[Producción disponible mes n-1]]+Tabla145[[#This Row],[Saldo Volumen disponible]]</f>
        <v>0</v>
      </c>
      <c r="BT272" s="7">
        <f>IFERROR(VLOOKUP(Tabla145[[#This Row],[Llave]],'[21]RV n+2 y n+3'!$B:$F,4,FALSE),0)</f>
        <v>0</v>
      </c>
      <c r="BU272" s="7">
        <f>+Tabla145[[#This Row],[Asignación mes n+2]]*Tabla145[[#This Row],[% Uti. producción]]</f>
        <v>0</v>
      </c>
      <c r="BV272" s="7">
        <f>+Tabla145[[#This Row],[Ponderación mes n+2]]+Tabla145[[#This Row],[Saldo mes n-1]]</f>
        <v>0</v>
      </c>
      <c r="BW272" s="7">
        <f>+Tabla145[[#This Row],[Asignación mes n+2]]-Tabla145[[#This Row],[Ponderación mes n+2]]</f>
        <v>0</v>
      </c>
      <c r="BX272" s="7">
        <f>IFERROR(VLOOKUP(Tabla145[[#This Row],[Llave]],'[21]RV n+2 y n+3'!$B:$F,5,FALSE),0)</f>
        <v>0</v>
      </c>
      <c r="BY272" s="7">
        <f>+Tabla145[[#This Row],[Asignación mes n+3]]*Tabla145[[#This Row],[% Uti. producción]]</f>
        <v>0</v>
      </c>
      <c r="BZ272" s="3">
        <f>+Tabla145[[#This Row],[Ponderación mes n+3]]+Tabla145[[#This Row],[Saldo mes n+2]]</f>
        <v>0</v>
      </c>
      <c r="CA272" s="3">
        <f>+Tabla145[[#This Row],[Asignación mes n+3]]-Tabla145[[#This Row],[Ponderación mes n+3]]</f>
        <v>0</v>
      </c>
      <c r="CB272" s="3">
        <f>+Tabla145[[#This Row],[Producción disponible mes n-1]]+Tabla145[[#This Row],[Producción disponible]]</f>
        <v>0</v>
      </c>
      <c r="CC272" s="3">
        <f>+Tabla145[[#This Row],[Saldo mes n+4]]-Tabla145[[#This Row],[ RV Producción mes n+1]]</f>
        <v>0</v>
      </c>
    </row>
    <row r="273" spans="1:81" ht="16" x14ac:dyDescent="0.2">
      <c r="A273">
        <v>2</v>
      </c>
      <c r="B273" t="str">
        <f>Tabla145[[#This Row],[Oficina]]&amp;Tabla145[[#This Row],[Material]]</f>
        <v>Agrosuper Shanghai1012454</v>
      </c>
      <c r="C273" t="s">
        <v>227</v>
      </c>
      <c r="D273" t="s">
        <v>140</v>
      </c>
      <c r="E273">
        <v>1012454</v>
      </c>
      <c r="F273" t="s">
        <v>592</v>
      </c>
      <c r="G273" t="s">
        <v>205</v>
      </c>
      <c r="H273" t="s">
        <v>264</v>
      </c>
      <c r="I273" s="15">
        <f>IFERROR(VLOOKUP(Tabla145[[#This Row],[Llave]],'[7]RV Producción'!$C:$G,5,FALSE),0)</f>
        <v>0</v>
      </c>
      <c r="J273" s="3">
        <f>IFERROR(IF(Tabla145[[#This Row],[Oficina]]=$I$7,VLOOKUP(Tabla145[[#This Row],[Llave]],'[7]Shangai (Tomas)'!$A:$F,6,FALSE),VLOOKUP(Tabla145[[#This Row],[Llave]],'[7]RV plan de ventas'!$A:$E,5,FALSE)),0)</f>
        <v>0</v>
      </c>
      <c r="K273" s="17">
        <f>IFERROR(VLOOKUP(Tabla145[[#This Row],[Oficina]],[15]Ponderación!$B$2:$E$9,4,FALSE),0)</f>
        <v>0.45719439678473212</v>
      </c>
      <c r="L273" s="7">
        <f>+Tabla145[[#This Row],[ RV Producción mes n+1]]*Tabla145[[#This Row],[% Uti. producción]]</f>
        <v>0</v>
      </c>
      <c r="M273" s="7">
        <f>IFERROR(VLOOKUP(Tabla145[[#This Row],[Material]],[16]Stock!$G:$K,5,FALSE),0)</f>
        <v>0</v>
      </c>
      <c r="N273" s="7">
        <f>IFERROR(VLOOKUP(Tabla145[[#This Row],[Material]],[16]Produccion!$M:$N,2,FALSE),0)</f>
        <v>0</v>
      </c>
      <c r="O273" s="7">
        <f>IFERROR(VLOOKUP(Tabla145[[#This Row],[Llave]],'[16]TD Conf-AP'!$I:$M,4,FALSE),0)</f>
        <v>0</v>
      </c>
      <c r="P273" s="37">
        <f>SUM(Tabla145[[#This Row],[Producción disponible]],Tabla145[[#This Row],[Stock al día]],(Tabla145[[#This Row],[Por producir mes N]]*0.9))-Tabla145[[#This Row],[Producción por despachar mes N]]</f>
        <v>0</v>
      </c>
      <c r="Q273" s="7">
        <f>IFERROR(VLOOKUP(Tabla145[[#This Row],[Llave]],[17]DELAY!$A:$D,4,FALSE),0)</f>
        <v>0</v>
      </c>
      <c r="R273" s="9">
        <v>24000</v>
      </c>
      <c r="S273" s="5">
        <f t="shared" si="9"/>
        <v>0</v>
      </c>
      <c r="T273" s="76"/>
      <c r="U273" s="5">
        <f>+Tabla145[[#This Row],[Atraso a facturar]]+Tabla145[[#This Row],[Ajuste atraso]]</f>
        <v>0</v>
      </c>
      <c r="V273" s="3">
        <f>+Tabla145[[#This Row],[Total disponible]]-Tabla145[[#This Row],[Facturación atraso]]</f>
        <v>0</v>
      </c>
      <c r="W273" s="6">
        <f>IFERROR(IF(AND(V273&gt;R273,J273&gt;=R273),ROUNDDOWN((Tabla145[[#This Row],[Producción para venta nueva]])/R273,0)*R273,0),0)</f>
        <v>0</v>
      </c>
      <c r="X273" s="76">
        <v>0</v>
      </c>
      <c r="Y273" s="6">
        <f>IF(Tabla145[[#This Row],[Venta del mes]]&gt;0,Tabla145[[#This Row],[Venta del mes]]+Tabla145[[#This Row],[Ajuste venta nueva]],0)</f>
        <v>0</v>
      </c>
      <c r="Z273" s="6">
        <f>+Tabla145[[#This Row],[Producción para venta nueva]]-Tabla145[[#This Row],[Facturación Venta nueva]]</f>
        <v>0</v>
      </c>
      <c r="AA273" s="6">
        <f>IF(AND(A273=1,Tabla145[[#This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3" s="6">
        <v>0</v>
      </c>
      <c r="AC273" s="6">
        <f>IF(Tabla145[[#This Row],[Disponible stock sin venta]]&gt;0,Tabla145[[#This Row],[Disponible stock sin venta]]+Tabla145[[#This Row],[Ajuste stock sin venta]],0)</f>
        <v>0</v>
      </c>
      <c r="AD273" s="3">
        <f>IFERROR(VLOOKUP(Tabla145[[#This Row],[Llave]],'[16]TD Puerto'!$A:$D,4,FALSE),0)</f>
        <v>0</v>
      </c>
      <c r="AE273" s="3">
        <v>0</v>
      </c>
      <c r="AF273" s="3">
        <f>+Tabla145[[#This Row],[Plan Irrestricto Inicial]]</f>
        <v>0</v>
      </c>
      <c r="AG273" s="3">
        <f>+Tabla145[[#This Row],[En puerto a facturar]]</f>
        <v>0</v>
      </c>
      <c r="AH273" s="3">
        <f>+Tabla145[[#This Row],[Facturación atraso]]</f>
        <v>0</v>
      </c>
      <c r="AI273" s="3">
        <f>+Tabla145[[#This Row],[Plan Irrestricto]]-Tabla145[[#This Row],[Puerto ]]-Tabla145[[#This Row],[Atraso]]</f>
        <v>0</v>
      </c>
      <c r="AJ27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73" s="3">
        <f>+Tabla145[[#This Row],[Facturación atraso]]</f>
        <v>0</v>
      </c>
      <c r="AL273" s="3">
        <f>+Tabla145[[#This Row],[Plan Ajustado]]-Tabla145[[#This Row],[ Atraso ajustado]]-Tabla145[[#This Row],[Puerto ]]</f>
        <v>0</v>
      </c>
      <c r="AM273" s="6">
        <f>IFERROR(VLOOKUP(Tabla145[[#This Row],[Llave]],[18]!Tabla14[#All],34,FALSE),0)</f>
        <v>0</v>
      </c>
      <c r="AN273" s="6">
        <f>IFERROR(VLOOKUP(Tabla145[[#This Row],[Llave]],[18]!Tabla14[#All],35,FALSE),0)</f>
        <v>0</v>
      </c>
      <c r="AO273" s="3" t="str">
        <f>IF(Tabla145[[#This Row],[Plan Ajustado]]&gt;Tabla145[[#This Row],[En puerto a facturar]],"Si","No")</f>
        <v>No</v>
      </c>
      <c r="AP27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73" s="3">
        <f>IF(Tabla145[[#This Row],[Necesidad]]&gt;=Tabla145[[#This Row],[Stock al día]],Tabla145[[#This Row],[Stock al día]],Tabla145[[#This Row],[Necesidad]])</f>
        <v>0</v>
      </c>
      <c r="AR273" s="3">
        <f>+Tabla145[[#This Row],[Necesidad]]-Tabla145[[#This Row],[Stock Plan]]</f>
        <v>0</v>
      </c>
      <c r="AS273" s="155">
        <f>IFERROR(VLOOKUP(Tabla145[[#This Row],[Oficina]],[19]Ponderación!$B$14:$E$21,4,FALSE),"")</f>
        <v>44786</v>
      </c>
      <c r="AT27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73" s="83">
        <f>IFERROR(VLOOKUP(Tabla145[[#This Row],[Llave]],[17]DELAY!$H:$W,16,FALSE),0)</f>
        <v>0</v>
      </c>
      <c r="AV27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73" s="5">
        <f>Tabla145[[#This Row],[Ajuste precio IC]]*Tabla145[[#This Row],[Plan Ajustado]]</f>
        <v>0</v>
      </c>
      <c r="AX273" s="30">
        <f>IFERROR(VLOOKUP(Tabla145[[#This Row],[Llave]],'[13]Ultimos precios facturados'!$A:$G,7,FALSE),0)</f>
        <v>0</v>
      </c>
      <c r="AY27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73" s="30">
        <f>IFERROR(VLOOKUP(Tabla145[[#This Row],[Llave]],Hoja2!B:K,10,FALSE),0)</f>
        <v>0</v>
      </c>
      <c r="BA273" s="30">
        <f>IF(Tabla145[[#This Row],[Ajuste precio IC]]="",Tabla145[[#This Row],[Precio ponderado]],Tabla145[[#This Row],[Precio ponderado]])</f>
        <v>0</v>
      </c>
      <c r="BB273" s="82"/>
      <c r="BC273" s="82" t="str">
        <f>IF(AND(Tabla145[[#This Row],[Atraso a facturar]]&gt;0,Tabla145[[#This Row],[Precio Atraso]]=0),"Revisar","OK")</f>
        <v>OK</v>
      </c>
      <c r="BD273" s="82" t="str">
        <f>IF(AND(Tabla145[[#This Row],[Venta del mes]]&gt;0,Tabla145[[#This Row],[Precio venta nueva]]=0),"Revisar","OK")</f>
        <v>OK</v>
      </c>
      <c r="BE273" s="20">
        <f>IFERROR(VLOOKUP(Tabla145[[#This Row],[Llave]],'[5]Consolidación planes'!$A:$M,9,FALSE),0)</f>
        <v>0</v>
      </c>
      <c r="BF273" s="20">
        <f>IFERROR(VLOOKUP(Tabla145[[#This Row],[Llave]],'[5]Consolidación planes'!$A:$M,10,FALSE),0)</f>
        <v>0</v>
      </c>
      <c r="BG273" s="20">
        <f>IFERROR(VLOOKUP(Tabla145[[#This Row],[Llave]],'[5]Consolidación planes'!$A:$M,11,FALSE),0)</f>
        <v>0</v>
      </c>
      <c r="BH273" s="20">
        <f>IFERROR(VLOOKUP(Tabla145[[#This Row],[Llave]],'[5]Consolidación planes'!$A:$M,12,FALSE),0)</f>
        <v>0</v>
      </c>
      <c r="BI273" s="20">
        <f>IFERROR(VLOOKUP(Tabla145[[#This Row],[Llave]],'[5]Consolidación planes'!$A:$M,13,FALSE),0)</f>
        <v>0</v>
      </c>
      <c r="BJ273" s="20">
        <f>IFERROR(VLOOKUP(Tabla145[[#This Row],[Llave]],'[13]Base ultimos planes'!$A:$M,13,FALSE),0)</f>
        <v>0</v>
      </c>
      <c r="BK273" s="80">
        <f>IFERROR(VLOOKUP(Tabla145[[#This Row],[Llave]],'[13]Base ultimos planes'!$O:$AA,8,FALSE),0)</f>
        <v>0</v>
      </c>
      <c r="BL273" s="20">
        <f>IFERROR(VLOOKUP(Tabla145[[#This Row],[Llave]],'[13]Base ultimos planes'!$O:$AA,9,FALSE),0)</f>
        <v>0</v>
      </c>
      <c r="BM273" s="20">
        <f>IFERROR(VLOOKUP(Tabla145[[#This Row],[Llave]],'[13]Base ultimos planes'!$O:$AA,10,FALSE),0)</f>
        <v>0</v>
      </c>
      <c r="BN273" s="20">
        <f>IFERROR(VLOOKUP(Tabla145[[#This Row],[Llave]],'[13]Base ultimos planes'!$O:$AA,11,FALSE),0)</f>
        <v>0</v>
      </c>
      <c r="BO273" s="20">
        <f>IFERROR(VLOOKUP(Tabla145[[#This Row],[Llave]],'[13]Base ultimos planes'!$O:$AA,12,FALSE),0)</f>
        <v>0</v>
      </c>
      <c r="BP273" s="20">
        <f>IFERROR(VLOOKUP(Tabla145[[#This Row],[Llave]],'[13]Base ultimos planes'!$O:$AA,13,FALSE),0)</f>
        <v>0</v>
      </c>
      <c r="BQ273" s="35"/>
      <c r="BR273" s="20">
        <f>Tabla145[[#This Row],[ RV Producción mes n+1]]*(1-Tabla145[[#This Row],[% Uti. producción]])</f>
        <v>0</v>
      </c>
      <c r="BS273" s="20">
        <f>+Tabla145[[#This Row],[Producción disponible mes n-1]]+Tabla145[[#This Row],[Saldo Volumen disponible]]</f>
        <v>0</v>
      </c>
      <c r="BT273" s="7">
        <f>IFERROR(VLOOKUP(Tabla145[[#This Row],[Llave]],'[21]RV n+2 y n+3'!$B:$F,4,FALSE),0)</f>
        <v>0</v>
      </c>
      <c r="BU273" s="7">
        <f>+Tabla145[[#This Row],[Asignación mes n+2]]*Tabla145[[#This Row],[% Uti. producción]]</f>
        <v>0</v>
      </c>
      <c r="BV273" s="7">
        <f>+Tabla145[[#This Row],[Ponderación mes n+2]]+Tabla145[[#This Row],[Saldo mes n-1]]</f>
        <v>0</v>
      </c>
      <c r="BW273" s="7">
        <f>+Tabla145[[#This Row],[Asignación mes n+2]]-Tabla145[[#This Row],[Ponderación mes n+2]]</f>
        <v>0</v>
      </c>
      <c r="BX273" s="7">
        <f>IFERROR(VLOOKUP(Tabla145[[#This Row],[Llave]],'[21]RV n+2 y n+3'!$B:$F,5,FALSE),0)</f>
        <v>0</v>
      </c>
      <c r="BY273" s="7">
        <f>+Tabla145[[#This Row],[Asignación mes n+3]]*Tabla145[[#This Row],[% Uti. producción]]</f>
        <v>0</v>
      </c>
      <c r="BZ273" s="3">
        <f>+Tabla145[[#This Row],[Ponderación mes n+3]]+Tabla145[[#This Row],[Saldo mes n+2]]</f>
        <v>0</v>
      </c>
      <c r="CA273" s="3">
        <f>+Tabla145[[#This Row],[Asignación mes n+3]]-Tabla145[[#This Row],[Ponderación mes n+3]]</f>
        <v>0</v>
      </c>
      <c r="CB273" s="3">
        <f>+Tabla145[[#This Row],[Producción disponible mes n-1]]+Tabla145[[#This Row],[Producción disponible]]</f>
        <v>0</v>
      </c>
      <c r="CC273" s="3">
        <f>+Tabla145[[#This Row],[Saldo mes n+4]]-Tabla145[[#This Row],[ RV Producción mes n+1]]</f>
        <v>0</v>
      </c>
    </row>
    <row r="274" spans="1:81" ht="16" x14ac:dyDescent="0.2">
      <c r="A274">
        <v>1</v>
      </c>
      <c r="B274" t="str">
        <f>Tabla145[[#This Row],[Oficina]]&amp;Tabla145[[#This Row],[Material]]</f>
        <v>Agro Sudamerica1021005</v>
      </c>
      <c r="C274" t="s">
        <v>6</v>
      </c>
      <c r="D274" t="s">
        <v>17</v>
      </c>
      <c r="E274">
        <v>1021005</v>
      </c>
      <c r="F274" t="s">
        <v>596</v>
      </c>
      <c r="G274" t="s">
        <v>53</v>
      </c>
      <c r="H274" t="s">
        <v>54</v>
      </c>
      <c r="I274" s="15">
        <f>IFERROR(VLOOKUP(Tabla145[[#This Row],[Llave]],'[7]RV Producción'!$C:$G,5,FALSE),0)</f>
        <v>0</v>
      </c>
      <c r="J274" s="3">
        <f>IFERROR(IF(Tabla145[[#This Row],[Oficina]]=$I$7,VLOOKUP(Tabla145[[#This Row],[Llave]],'[7]Shangai (Tomas)'!$A:$F,6,FALSE),VLOOKUP(Tabla145[[#This Row],[Llave]],'[7]RV plan de ventas'!$A:$E,5,FALSE)),0)</f>
        <v>0</v>
      </c>
      <c r="K274" s="17">
        <f>IFERROR(VLOOKUP(Tabla145[[#This Row],[Oficina]],[15]Ponderación!$B$2:$E$9,4,FALSE),0)</f>
        <v>0.45719439678473212</v>
      </c>
      <c r="L274" s="7">
        <f>+Tabla145[[#This Row],[ RV Producción mes n+1]]*Tabla145[[#This Row],[% Uti. producción]]</f>
        <v>0</v>
      </c>
      <c r="M274" s="7">
        <f>IFERROR(VLOOKUP(Tabla145[[#This Row],[Material]],[16]Stock!$G:$K,5,FALSE),0)</f>
        <v>0</v>
      </c>
      <c r="N274" s="7">
        <f>IFERROR(VLOOKUP(Tabla145[[#This Row],[Material]],[16]Produccion!$M:$N,2,FALSE),0)</f>
        <v>0</v>
      </c>
      <c r="O274" s="7">
        <f>IFERROR(VLOOKUP(Tabla145[[#This Row],[Llave]],'[16]TD Conf-AP'!$I:$M,4,FALSE),0)</f>
        <v>0</v>
      </c>
      <c r="P274" s="37">
        <f>SUM(Tabla145[[#This Row],[Producción disponible]],Tabla145[[#This Row],[Stock al día]],(Tabla145[[#This Row],[Por producir mes N]]*0.9))-Tabla145[[#This Row],[Producción por despachar mes N]]</f>
        <v>0</v>
      </c>
      <c r="Q274" s="7">
        <f>IFERROR(VLOOKUP(Tabla145[[#This Row],[Llave]],[17]DELAY!$A:$D,4,FALSE),0)</f>
        <v>10000</v>
      </c>
      <c r="R274" s="9">
        <v>24000</v>
      </c>
      <c r="S274" s="5">
        <f t="shared" si="9"/>
        <v>0</v>
      </c>
      <c r="T274" s="76">
        <v>0</v>
      </c>
      <c r="U274" s="5">
        <f>+Tabla145[[#This Row],[Atraso a facturar]]+Tabla145[[#This Row],[Ajuste atraso]]</f>
        <v>0</v>
      </c>
      <c r="V274" s="3">
        <f>+Tabla145[[#This Row],[Total disponible]]-Tabla145[[#This Row],[Facturación atraso]]</f>
        <v>0</v>
      </c>
      <c r="W274" s="6">
        <f>IFERROR(IF(AND(V274&gt;R274,J274&gt;=R274),ROUNDDOWN((Tabla145[[#This Row],[Producción para venta nueva]])/R274,0)*R274,0),0)</f>
        <v>0</v>
      </c>
      <c r="X274" s="76">
        <v>0</v>
      </c>
      <c r="Y274" s="6">
        <f>IF(Tabla145[[#This Row],[Venta del mes]]&gt;0,Tabla145[[#This Row],[Venta del mes]]+Tabla145[[#This Row],[Ajuste venta nueva]],0)</f>
        <v>0</v>
      </c>
      <c r="Z274" s="6">
        <f>+Tabla145[[#This Row],[Producción para venta nueva]]-Tabla145[[#This Row],[Facturación Venta nueva]]</f>
        <v>0</v>
      </c>
      <c r="AA274" s="6">
        <f>IF(AND(A274=1,Tabla145[[#This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4" s="6">
        <v>0</v>
      </c>
      <c r="AC274" s="6">
        <f>IF(Tabla145[[#This Row],[Disponible stock sin venta]]&gt;0,Tabla145[[#This Row],[Disponible stock sin venta]]+Tabla145[[#This Row],[Ajuste stock sin venta]],0)</f>
        <v>0</v>
      </c>
      <c r="AD274" s="3">
        <f>IFERROR(VLOOKUP(Tabla145[[#This Row],[Llave]],'[16]TD Puerto'!$A:$D,4,FALSE),0)</f>
        <v>0</v>
      </c>
      <c r="AE274" s="3">
        <v>0</v>
      </c>
      <c r="AF274" s="3">
        <f>+Tabla145[[#This Row],[Plan Irrestricto Inicial]]</f>
        <v>0</v>
      </c>
      <c r="AG274" s="3">
        <f>+Tabla145[[#This Row],[En puerto a facturar]]</f>
        <v>0</v>
      </c>
      <c r="AH274" s="3">
        <f>+Tabla145[[#This Row],[Facturación atraso]]</f>
        <v>0</v>
      </c>
      <c r="AI274" s="3">
        <f>+Tabla145[[#This Row],[Plan Irrestricto]]-Tabla145[[#This Row],[Puerto ]]-Tabla145[[#This Row],[Atraso]]</f>
        <v>0</v>
      </c>
      <c r="AJ27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74" s="3">
        <f>+Tabla145[[#This Row],[Facturación atraso]]</f>
        <v>0</v>
      </c>
      <c r="AL274" s="3">
        <f>+Tabla145[[#This Row],[Plan Ajustado]]-Tabla145[[#This Row],[ Atraso ajustado]]-Tabla145[[#This Row],[Puerto ]]</f>
        <v>0</v>
      </c>
      <c r="AM274" s="6">
        <f>IFERROR(VLOOKUP(Tabla145[[#This Row],[Llave]],[18]!Tabla14[#All],34,FALSE),0)</f>
        <v>0</v>
      </c>
      <c r="AN274" s="6">
        <f>IFERROR(VLOOKUP(Tabla145[[#This Row],[Llave]],[18]!Tabla14[#All],35,FALSE),0)</f>
        <v>0</v>
      </c>
      <c r="AO274" s="3" t="str">
        <f>IF(Tabla145[[#This Row],[Plan Ajustado]]&gt;Tabla145[[#This Row],[En puerto a facturar]],"Si","No")</f>
        <v>No</v>
      </c>
      <c r="AP27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74" s="3">
        <f>IF(Tabla145[[#This Row],[Necesidad]]&gt;=Tabla145[[#This Row],[Stock al día]],Tabla145[[#This Row],[Stock al día]],Tabla145[[#This Row],[Necesidad]])</f>
        <v>0</v>
      </c>
      <c r="AR274" s="3">
        <f>+Tabla145[[#This Row],[Necesidad]]-Tabla145[[#This Row],[Stock Plan]]</f>
        <v>0</v>
      </c>
      <c r="AS274" s="155">
        <f>IFERROR(VLOOKUP(Tabla145[[#This Row],[Oficina]],[19]Ponderación!$B$14:$E$21,4,FALSE),"")</f>
        <v>44789</v>
      </c>
      <c r="AT27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74" s="83">
        <f>IFERROR(VLOOKUP(Tabla145[[#This Row],[Llave]],[17]DELAY!$H:$W,16,FALSE),0)</f>
        <v>1.9</v>
      </c>
      <c r="AV27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74" s="5">
        <f>Tabla145[[#This Row],[Ajuste precio IC]]*Tabla145[[#This Row],[Plan Ajustado]]</f>
        <v>0</v>
      </c>
      <c r="AX274" s="30">
        <f>IFERROR(VLOOKUP(Tabla145[[#This Row],[Llave]],'[13]Ultimos precios facturados'!$A:$G,7,FALSE),0)</f>
        <v>0</v>
      </c>
      <c r="AY27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74" s="30">
        <f>IFERROR(VLOOKUP(Tabla145[[#This Row],[Llave]],Hoja2!B:K,10,FALSE),0)</f>
        <v>0</v>
      </c>
      <c r="BA274" s="30">
        <f>IF(Tabla145[[#This Row],[Ajuste precio IC]]="",Tabla145[[#This Row],[Precio ponderado]],Tabla145[[#This Row],[Precio ponderado]])</f>
        <v>0</v>
      </c>
      <c r="BB274" s="82"/>
      <c r="BC274" s="82" t="str">
        <f>IF(AND(Tabla145[[#This Row],[Atraso a facturar]]&gt;0,Tabla145[[#This Row],[Precio Atraso]]=0),"Revisar","OK")</f>
        <v>OK</v>
      </c>
      <c r="BD274" s="82" t="str">
        <f>IF(AND(Tabla145[[#This Row],[Venta del mes]]&gt;0,Tabla145[[#This Row],[Precio venta nueva]]=0),"Revisar","OK")</f>
        <v>OK</v>
      </c>
      <c r="BE274" s="20">
        <f>IFERROR(VLOOKUP(Tabla145[[#This Row],[Llave]],'[5]Consolidación planes'!$A:$M,9,FALSE),0)</f>
        <v>0</v>
      </c>
      <c r="BF274" s="20">
        <f>IFERROR(VLOOKUP(Tabla145[[#This Row],[Llave]],'[5]Consolidación planes'!$A:$M,10,FALSE),0)</f>
        <v>0</v>
      </c>
      <c r="BG274" s="20">
        <f>IFERROR(VLOOKUP(Tabla145[[#This Row],[Llave]],'[5]Consolidación planes'!$A:$M,11,FALSE),0)</f>
        <v>0</v>
      </c>
      <c r="BH274" s="20">
        <f>IFERROR(VLOOKUP(Tabla145[[#This Row],[Llave]],'[5]Consolidación planes'!$A:$M,12,FALSE),0)</f>
        <v>0</v>
      </c>
      <c r="BI274" s="20">
        <f>IFERROR(VLOOKUP(Tabla145[[#This Row],[Llave]],'[5]Consolidación planes'!$A:$M,13,FALSE),0)</f>
        <v>0</v>
      </c>
      <c r="BJ274" s="20">
        <f>IFERROR(VLOOKUP(Tabla145[[#This Row],[Llave]],'[13]Base ultimos planes'!$A:$M,13,FALSE),0)</f>
        <v>0</v>
      </c>
      <c r="BK274" s="80">
        <f>IFERROR(VLOOKUP(Tabla145[[#This Row],[Llave]],'[13]Base ultimos planes'!$O:$AA,8,FALSE),0)</f>
        <v>0</v>
      </c>
      <c r="BL274" s="20">
        <f>IFERROR(VLOOKUP(Tabla145[[#This Row],[Llave]],'[13]Base ultimos planes'!$O:$AA,9,FALSE),0)</f>
        <v>0</v>
      </c>
      <c r="BM274" s="20">
        <f>IFERROR(VLOOKUP(Tabla145[[#This Row],[Llave]],'[13]Base ultimos planes'!$O:$AA,10,FALSE),0)</f>
        <v>0</v>
      </c>
      <c r="BN274" s="20">
        <f>IFERROR(VLOOKUP(Tabla145[[#This Row],[Llave]],'[13]Base ultimos planes'!$O:$AA,11,FALSE),0)</f>
        <v>0</v>
      </c>
      <c r="BO274" s="20">
        <f>IFERROR(VLOOKUP(Tabla145[[#This Row],[Llave]],'[13]Base ultimos planes'!$O:$AA,12,FALSE),0)</f>
        <v>0</v>
      </c>
      <c r="BP274" s="20">
        <f>IFERROR(VLOOKUP(Tabla145[[#This Row],[Llave]],'[13]Base ultimos planes'!$O:$AA,13,FALSE),0)</f>
        <v>0</v>
      </c>
      <c r="BQ274" s="35"/>
      <c r="BR274" s="20">
        <f>Tabla145[[#This Row],[ RV Producción mes n+1]]*(1-Tabla145[[#This Row],[% Uti. producción]])</f>
        <v>0</v>
      </c>
      <c r="BS274" s="20">
        <f>+Tabla145[[#This Row],[Producción disponible mes n-1]]+Tabla145[[#This Row],[Saldo Volumen disponible]]</f>
        <v>0</v>
      </c>
      <c r="BT274" s="7">
        <f>IFERROR(VLOOKUP(Tabla145[[#This Row],[Llave]],'[21]RV n+2 y n+3'!$B:$F,4,FALSE),0)</f>
        <v>0</v>
      </c>
      <c r="BU274" s="7">
        <f>+Tabla145[[#This Row],[Asignación mes n+2]]*Tabla145[[#This Row],[% Uti. producción]]</f>
        <v>0</v>
      </c>
      <c r="BV274" s="7">
        <f>+Tabla145[[#This Row],[Ponderación mes n+2]]+Tabla145[[#This Row],[Saldo mes n-1]]</f>
        <v>0</v>
      </c>
      <c r="BW274" s="7">
        <f>+Tabla145[[#This Row],[Asignación mes n+2]]-Tabla145[[#This Row],[Ponderación mes n+2]]</f>
        <v>0</v>
      </c>
      <c r="BX274" s="7">
        <f>IFERROR(VLOOKUP(Tabla145[[#This Row],[Llave]],'[21]RV n+2 y n+3'!$B:$F,5,FALSE),0)</f>
        <v>0</v>
      </c>
      <c r="BY274" s="7">
        <f>+Tabla145[[#This Row],[Asignación mes n+3]]*Tabla145[[#This Row],[% Uti. producción]]</f>
        <v>0</v>
      </c>
      <c r="BZ274" s="3">
        <f>+Tabla145[[#This Row],[Ponderación mes n+3]]+Tabla145[[#This Row],[Saldo mes n+2]]</f>
        <v>0</v>
      </c>
      <c r="CA274" s="3">
        <f>+Tabla145[[#This Row],[Asignación mes n+3]]-Tabla145[[#This Row],[Ponderación mes n+3]]</f>
        <v>0</v>
      </c>
      <c r="CB274" s="3">
        <f>+Tabla145[[#This Row],[Producción disponible mes n-1]]+Tabla145[[#This Row],[Producción disponible]]</f>
        <v>0</v>
      </c>
      <c r="CC274" s="3">
        <f>+Tabla145[[#This Row],[Saldo mes n+4]]-Tabla145[[#This Row],[ RV Producción mes n+1]]</f>
        <v>0</v>
      </c>
    </row>
    <row r="275" spans="1:81" ht="16" x14ac:dyDescent="0.2">
      <c r="A275">
        <v>1</v>
      </c>
      <c r="B275" t="str">
        <f>Tabla145[[#This Row],[Oficina]]&amp;Tabla145[[#This Row],[Material]]</f>
        <v>Agro Sudamerica1022102</v>
      </c>
      <c r="C275" t="s">
        <v>6</v>
      </c>
      <c r="D275" t="s">
        <v>17</v>
      </c>
      <c r="E275">
        <v>1022102</v>
      </c>
      <c r="F275" t="s">
        <v>597</v>
      </c>
      <c r="G275" t="s">
        <v>25</v>
      </c>
      <c r="H275" t="s">
        <v>26</v>
      </c>
      <c r="I275" s="15">
        <f>IFERROR(VLOOKUP(Tabla145[[#This Row],[Llave]],'[7]RV Producción'!$C:$G,5,FALSE),0)</f>
        <v>0</v>
      </c>
      <c r="J275" s="3">
        <f>IFERROR(IF(Tabla145[[#This Row],[Oficina]]=$I$7,VLOOKUP(Tabla145[[#This Row],[Llave]],'[7]Shangai (Tomas)'!$A:$F,6,FALSE),VLOOKUP(Tabla145[[#This Row],[Llave]],'[7]RV plan de ventas'!$A:$E,5,FALSE)),0)</f>
        <v>0</v>
      </c>
      <c r="K275" s="17">
        <f>IFERROR(VLOOKUP(Tabla145[[#This Row],[Oficina]],[15]Ponderación!$B$2:$E$9,4,FALSE),0)</f>
        <v>0.45719439678473212</v>
      </c>
      <c r="L275" s="7">
        <f>+Tabla145[[#This Row],[ RV Producción mes n+1]]*Tabla145[[#This Row],[% Uti. producción]]</f>
        <v>0</v>
      </c>
      <c r="M275" s="7">
        <f>IFERROR(VLOOKUP(Tabla145[[#This Row],[Material]],[16]Stock!$G:$K,5,FALSE),0)</f>
        <v>0</v>
      </c>
      <c r="N275" s="7">
        <f>IFERROR(VLOOKUP(Tabla145[[#This Row],[Material]],[16]Produccion!$M:$N,2,FALSE),0)</f>
        <v>0</v>
      </c>
      <c r="O275" s="7">
        <f>IFERROR(VLOOKUP(Tabla145[[#This Row],[Llave]],'[16]TD Conf-AP'!$I:$M,4,FALSE),0)</f>
        <v>0</v>
      </c>
      <c r="P275" s="37">
        <f>SUM(Tabla145[[#This Row],[Producción disponible]],Tabla145[[#This Row],[Stock al día]],(Tabla145[[#This Row],[Por producir mes N]]*0.9))-Tabla145[[#This Row],[Producción por despachar mes N]]</f>
        <v>0</v>
      </c>
      <c r="Q275" s="7">
        <f>IFERROR(VLOOKUP(Tabla145[[#This Row],[Llave]],[17]DELAY!$A:$D,4,FALSE),0)</f>
        <v>0</v>
      </c>
      <c r="R275" s="9">
        <v>0</v>
      </c>
      <c r="S275" s="5">
        <f t="shared" si="9"/>
        <v>0</v>
      </c>
      <c r="T275" s="76">
        <v>0</v>
      </c>
      <c r="U275" s="5">
        <f>+Tabla145[[#This Row],[Atraso a facturar]]+Tabla145[[#This Row],[Ajuste atraso]]</f>
        <v>0</v>
      </c>
      <c r="V275" s="3">
        <f>+Tabla145[[#This Row],[Total disponible]]-Tabla145[[#This Row],[Facturación atraso]]</f>
        <v>0</v>
      </c>
      <c r="W275" s="6">
        <f>IFERROR(IF(AND(V275&gt;R275,J275&gt;=R275),ROUNDDOWN((Tabla145[[#This Row],[Producción para venta nueva]])/R275,0)*R275,0),0)</f>
        <v>0</v>
      </c>
      <c r="X275" s="76">
        <v>0</v>
      </c>
      <c r="Y275" s="6">
        <f>IF(Tabla145[[#This Row],[Venta del mes]]&gt;0,Tabla145[[#This Row],[Venta del mes]]+Tabla145[[#This Row],[Ajuste venta nueva]],0)</f>
        <v>0</v>
      </c>
      <c r="Z275" s="6">
        <f>+Tabla145[[#This Row],[Producción para venta nueva]]-Tabla145[[#This Row],[Facturación Venta nueva]]</f>
        <v>0</v>
      </c>
      <c r="AA275" s="6">
        <f>IF(AND(A275=1,Tabla145[[#This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5" s="6">
        <v>0</v>
      </c>
      <c r="AC275" s="6">
        <f>IF(Tabla145[[#This Row],[Disponible stock sin venta]]&gt;0,Tabla145[[#This Row],[Disponible stock sin venta]]+Tabla145[[#This Row],[Ajuste stock sin venta]],0)</f>
        <v>0</v>
      </c>
      <c r="AD275" s="3">
        <f>IFERROR(VLOOKUP(Tabla145[[#This Row],[Llave]],'[16]TD Puerto'!$A:$D,4,FALSE),0)</f>
        <v>0</v>
      </c>
      <c r="AE275" s="3">
        <v>0</v>
      </c>
      <c r="AF275" s="3">
        <f>+Tabla145[[#This Row],[Plan Irrestricto Inicial]]</f>
        <v>0</v>
      </c>
      <c r="AG275" s="3">
        <f>+Tabla145[[#This Row],[En puerto a facturar]]</f>
        <v>0</v>
      </c>
      <c r="AH275" s="3">
        <f>+Tabla145[[#This Row],[Facturación atraso]]</f>
        <v>0</v>
      </c>
      <c r="AI275" s="3">
        <f>+Tabla145[[#This Row],[Plan Irrestricto]]-Tabla145[[#This Row],[Puerto ]]-Tabla145[[#This Row],[Atraso]]</f>
        <v>0</v>
      </c>
      <c r="AJ27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75" s="3">
        <f>+Tabla145[[#This Row],[Facturación atraso]]</f>
        <v>0</v>
      </c>
      <c r="AL275" s="3">
        <f>+Tabla145[[#This Row],[Plan Ajustado]]-Tabla145[[#This Row],[ Atraso ajustado]]-Tabla145[[#This Row],[Puerto ]]</f>
        <v>0</v>
      </c>
      <c r="AM275" s="6">
        <f>IFERROR(VLOOKUP(Tabla145[[#This Row],[Llave]],[18]!Tabla14[#All],34,FALSE),0)</f>
        <v>0</v>
      </c>
      <c r="AN275" s="6">
        <f>IFERROR(VLOOKUP(Tabla145[[#This Row],[Llave]],[18]!Tabla14[#All],35,FALSE),0)</f>
        <v>0</v>
      </c>
      <c r="AO275" s="3" t="str">
        <f>IF(Tabla145[[#This Row],[Plan Ajustado]]&gt;Tabla145[[#This Row],[En puerto a facturar]],"Si","No")</f>
        <v>No</v>
      </c>
      <c r="AP27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75" s="3">
        <f>IF(Tabla145[[#This Row],[Necesidad]]&gt;=Tabla145[[#This Row],[Stock al día]],Tabla145[[#This Row],[Stock al día]],Tabla145[[#This Row],[Necesidad]])</f>
        <v>0</v>
      </c>
      <c r="AR275" s="3">
        <f>+Tabla145[[#This Row],[Necesidad]]-Tabla145[[#This Row],[Stock Plan]]</f>
        <v>0</v>
      </c>
      <c r="AS275" s="155">
        <f>IFERROR(VLOOKUP(Tabla145[[#This Row],[Oficina]],[19]Ponderación!$B$14:$E$21,4,FALSE),"")</f>
        <v>44789</v>
      </c>
      <c r="AT27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75" s="83">
        <f>IFERROR(VLOOKUP(Tabla145[[#This Row],[Llave]],[17]DELAY!$H:$W,16,FALSE),0)</f>
        <v>0</v>
      </c>
      <c r="AV27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75" s="5">
        <f>Tabla145[[#This Row],[Ajuste precio IC]]*Tabla145[[#This Row],[Plan Ajustado]]</f>
        <v>0</v>
      </c>
      <c r="AX275" s="30">
        <f>IFERROR(VLOOKUP(Tabla145[[#This Row],[Llave]],'[13]Ultimos precios facturados'!$A:$G,7,FALSE),0)</f>
        <v>0</v>
      </c>
      <c r="AY27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75" s="30">
        <f>IFERROR(VLOOKUP(Tabla145[[#This Row],[Llave]],Hoja2!B:K,10,FALSE),0)</f>
        <v>0</v>
      </c>
      <c r="BA275" s="30">
        <f>IF(Tabla145[[#This Row],[Ajuste precio IC]]="",Tabla145[[#This Row],[Precio ponderado]],Tabla145[[#This Row],[Precio ponderado]])</f>
        <v>0</v>
      </c>
      <c r="BB275" s="82"/>
      <c r="BC275" s="82" t="str">
        <f>IF(AND(Tabla145[[#This Row],[Atraso a facturar]]&gt;0,Tabla145[[#This Row],[Precio Atraso]]=0),"Revisar","OK")</f>
        <v>OK</v>
      </c>
      <c r="BD275" s="82" t="str">
        <f>IF(AND(Tabla145[[#This Row],[Venta del mes]]&gt;0,Tabla145[[#This Row],[Precio venta nueva]]=0),"Revisar","OK")</f>
        <v>OK</v>
      </c>
      <c r="BE275" s="20">
        <f>IFERROR(VLOOKUP(Tabla145[[#This Row],[Llave]],'[5]Consolidación planes'!$A:$M,9,FALSE),0)</f>
        <v>0</v>
      </c>
      <c r="BF275" s="20">
        <f>IFERROR(VLOOKUP(Tabla145[[#This Row],[Llave]],'[5]Consolidación planes'!$A:$M,10,FALSE),0)</f>
        <v>0</v>
      </c>
      <c r="BG275" s="20">
        <f>IFERROR(VLOOKUP(Tabla145[[#This Row],[Llave]],'[5]Consolidación planes'!$A:$M,11,FALSE),0)</f>
        <v>0</v>
      </c>
      <c r="BH275" s="20">
        <f>IFERROR(VLOOKUP(Tabla145[[#This Row],[Llave]],'[5]Consolidación planes'!$A:$M,12,FALSE),0)</f>
        <v>0</v>
      </c>
      <c r="BI275" s="20">
        <f>IFERROR(VLOOKUP(Tabla145[[#This Row],[Llave]],'[5]Consolidación planes'!$A:$M,13,FALSE),0)</f>
        <v>0</v>
      </c>
      <c r="BJ275" s="20">
        <f>IFERROR(VLOOKUP(Tabla145[[#This Row],[Llave]],'[13]Base ultimos planes'!$A:$M,13,FALSE),0)</f>
        <v>0</v>
      </c>
      <c r="BK275" s="80">
        <f>IFERROR(VLOOKUP(Tabla145[[#This Row],[Llave]],'[13]Base ultimos planes'!$O:$AA,8,FALSE),0)</f>
        <v>0</v>
      </c>
      <c r="BL275" s="20">
        <f>IFERROR(VLOOKUP(Tabla145[[#This Row],[Llave]],'[13]Base ultimos planes'!$O:$AA,9,FALSE),0)</f>
        <v>0</v>
      </c>
      <c r="BM275" s="20">
        <f>IFERROR(VLOOKUP(Tabla145[[#This Row],[Llave]],'[13]Base ultimos planes'!$O:$AA,10,FALSE),0)</f>
        <v>0</v>
      </c>
      <c r="BN275" s="20">
        <f>IFERROR(VLOOKUP(Tabla145[[#This Row],[Llave]],'[13]Base ultimos planes'!$O:$AA,11,FALSE),0)</f>
        <v>0</v>
      </c>
      <c r="BO275" s="20">
        <f>IFERROR(VLOOKUP(Tabla145[[#This Row],[Llave]],'[13]Base ultimos planes'!$O:$AA,12,FALSE),0)</f>
        <v>0</v>
      </c>
      <c r="BP275" s="20">
        <f>IFERROR(VLOOKUP(Tabla145[[#This Row],[Llave]],'[13]Base ultimos planes'!$O:$AA,13,FALSE),0)</f>
        <v>0</v>
      </c>
      <c r="BQ275" s="35"/>
      <c r="BR275" s="20">
        <f>Tabla145[[#This Row],[ RV Producción mes n+1]]*(1-Tabla145[[#This Row],[% Uti. producción]])</f>
        <v>0</v>
      </c>
      <c r="BS275" s="20">
        <f>+Tabla145[[#This Row],[Producción disponible mes n-1]]+Tabla145[[#This Row],[Saldo Volumen disponible]]</f>
        <v>0</v>
      </c>
      <c r="BT275" s="7">
        <f>IFERROR(VLOOKUP(Tabla145[[#This Row],[Llave]],'[21]RV n+2 y n+3'!$B:$F,4,FALSE),0)</f>
        <v>0</v>
      </c>
      <c r="BU275" s="7">
        <f>+Tabla145[[#This Row],[Asignación mes n+2]]*Tabla145[[#This Row],[% Uti. producción]]</f>
        <v>0</v>
      </c>
      <c r="BV275" s="7">
        <f>+Tabla145[[#This Row],[Ponderación mes n+2]]+Tabla145[[#This Row],[Saldo mes n-1]]</f>
        <v>0</v>
      </c>
      <c r="BW275" s="7">
        <f>+Tabla145[[#This Row],[Asignación mes n+2]]-Tabla145[[#This Row],[Ponderación mes n+2]]</f>
        <v>0</v>
      </c>
      <c r="BX275" s="7">
        <f>IFERROR(VLOOKUP(Tabla145[[#This Row],[Llave]],'[21]RV n+2 y n+3'!$B:$F,5,FALSE),0)</f>
        <v>0</v>
      </c>
      <c r="BY275" s="7">
        <f>+Tabla145[[#This Row],[Asignación mes n+3]]*Tabla145[[#This Row],[% Uti. producción]]</f>
        <v>0</v>
      </c>
      <c r="BZ275" s="3">
        <f>+Tabla145[[#This Row],[Ponderación mes n+3]]+Tabla145[[#This Row],[Saldo mes n+2]]</f>
        <v>0</v>
      </c>
      <c r="CA275" s="3">
        <f>+Tabla145[[#This Row],[Asignación mes n+3]]-Tabla145[[#This Row],[Ponderación mes n+3]]</f>
        <v>0</v>
      </c>
      <c r="CB275" s="3">
        <f>+Tabla145[[#This Row],[Producción disponible mes n-1]]+Tabla145[[#This Row],[Producción disponible]]</f>
        <v>0</v>
      </c>
      <c r="CC275" s="3">
        <f>+Tabla145[[#This Row],[Saldo mes n+4]]-Tabla145[[#This Row],[ RV Producción mes n+1]]</f>
        <v>0</v>
      </c>
    </row>
    <row r="276" spans="1:81" ht="16" x14ac:dyDescent="0.2">
      <c r="A276">
        <v>1</v>
      </c>
      <c r="B276" t="str">
        <f>Tabla145[[#This Row],[Oficina]]&amp;Tabla145[[#This Row],[Material]]</f>
        <v>Agro Sudamerica1020993</v>
      </c>
      <c r="C276" t="s">
        <v>6</v>
      </c>
      <c r="D276" t="s">
        <v>17</v>
      </c>
      <c r="E276">
        <v>1020993</v>
      </c>
      <c r="F276" t="s">
        <v>157</v>
      </c>
      <c r="G276" t="s">
        <v>53</v>
      </c>
      <c r="H276" t="s">
        <v>156</v>
      </c>
      <c r="I276" s="15">
        <f>IFERROR(VLOOKUP(Tabla145[[#This Row],[Llave]],'[7]RV Producción'!$C:$G,5,FALSE),0)</f>
        <v>8100</v>
      </c>
      <c r="J276" s="3">
        <f>IFERROR(IF(Tabla145[[#This Row],[Oficina]]=$I$7,VLOOKUP(Tabla145[[#This Row],[Llave]],'[7]Shangai (Tomas)'!$A:$F,6,FALSE),VLOOKUP(Tabla145[[#This Row],[Llave]],'[7]RV plan de ventas'!$A:$E,5,FALSE)),0)</f>
        <v>0</v>
      </c>
      <c r="K276" s="17">
        <f>IFERROR(VLOOKUP(Tabla145[[#This Row],[Oficina]],[15]Ponderación!$B$2:$E$9,4,FALSE),0)</f>
        <v>0.45719439678473212</v>
      </c>
      <c r="L276" s="7">
        <f>+Tabla145[[#This Row],[ RV Producción mes n+1]]*Tabla145[[#This Row],[% Uti. producción]]</f>
        <v>3703.2746139563301</v>
      </c>
      <c r="M276" s="7">
        <f>IFERROR(VLOOKUP(Tabla145[[#This Row],[Material]],[16]Stock!$G:$K,5,FALSE),0)</f>
        <v>0</v>
      </c>
      <c r="N276" s="7">
        <f>IFERROR(VLOOKUP(Tabla145[[#This Row],[Material]],[16]Produccion!$M:$N,2,FALSE),0)</f>
        <v>0</v>
      </c>
      <c r="O276" s="7">
        <f>IFERROR(VLOOKUP(Tabla145[[#This Row],[Llave]],'[16]TD Conf-AP'!$I:$M,4,FALSE),0)</f>
        <v>0</v>
      </c>
      <c r="P276" s="37">
        <f>SUM(Tabla145[[#This Row],[Producción disponible]],Tabla145[[#This Row],[Stock al día]],(Tabla145[[#This Row],[Por producir mes N]]*0.9))-Tabla145[[#This Row],[Producción por despachar mes N]]</f>
        <v>3703.2746139563301</v>
      </c>
      <c r="Q276" s="7">
        <f>IFERROR(VLOOKUP(Tabla145[[#This Row],[Llave]],[17]DELAY!$A:$D,4,FALSE),0)</f>
        <v>8100</v>
      </c>
      <c r="R276" s="9">
        <v>24000</v>
      </c>
      <c r="S276" s="5">
        <f t="shared" si="9"/>
        <v>0</v>
      </c>
      <c r="T276" s="76">
        <v>0</v>
      </c>
      <c r="U276" s="5">
        <f>+Tabla145[[#This Row],[Atraso a facturar]]+Tabla145[[#This Row],[Ajuste atraso]]</f>
        <v>0</v>
      </c>
      <c r="V276" s="3">
        <f>+Tabla145[[#This Row],[Total disponible]]-Tabla145[[#This Row],[Facturación atraso]]</f>
        <v>3703.2746139563301</v>
      </c>
      <c r="W276" s="6">
        <f>IFERROR(IF(AND(V276&gt;R276,J276&gt;=R276),ROUNDDOWN((Tabla145[[#This Row],[Producción para venta nueva]])/R276,0)*R276,0),0)</f>
        <v>0</v>
      </c>
      <c r="X276" s="76">
        <v>0</v>
      </c>
      <c r="Y276" s="6">
        <f>IF(Tabla145[[#This Row],[Venta del mes]]&gt;0,Tabla145[[#This Row],[Venta del mes]]+Tabla145[[#This Row],[Ajuste venta nueva]],0)</f>
        <v>0</v>
      </c>
      <c r="Z276" s="6">
        <f>+Tabla145[[#This Row],[Producción para venta nueva]]-Tabla145[[#This Row],[Facturación Venta nueva]]</f>
        <v>3703.2746139563301</v>
      </c>
      <c r="AA276" s="6">
        <f>IF(AND(A276=1,Tabla145[[#This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6" s="6">
        <v>0</v>
      </c>
      <c r="AC276" s="6">
        <f>IF(Tabla145[[#This Row],[Disponible stock sin venta]]&gt;0,Tabla145[[#This Row],[Disponible stock sin venta]]+Tabla145[[#This Row],[Ajuste stock sin venta]],0)</f>
        <v>0</v>
      </c>
      <c r="AD276" s="3">
        <f>IFERROR(VLOOKUP(Tabla145[[#This Row],[Llave]],'[16]TD Puerto'!$A:$D,4,FALSE),0)</f>
        <v>0</v>
      </c>
      <c r="AE276" s="3">
        <v>0</v>
      </c>
      <c r="AF276" s="3">
        <f>+Tabla145[[#This Row],[Plan Irrestricto Inicial]]</f>
        <v>0</v>
      </c>
      <c r="AG276" s="3">
        <f>+Tabla145[[#This Row],[En puerto a facturar]]</f>
        <v>0</v>
      </c>
      <c r="AH276" s="3">
        <f>+Tabla145[[#This Row],[Facturación atraso]]</f>
        <v>0</v>
      </c>
      <c r="AI276" s="3">
        <f>+Tabla145[[#This Row],[Plan Irrestricto]]-Tabla145[[#This Row],[Puerto ]]-Tabla145[[#This Row],[Atraso]]</f>
        <v>0</v>
      </c>
      <c r="AJ27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76" s="3">
        <f>+Tabla145[[#This Row],[Facturación atraso]]</f>
        <v>0</v>
      </c>
      <c r="AL276" s="3">
        <f>+Tabla145[[#This Row],[Plan Ajustado]]-Tabla145[[#This Row],[ Atraso ajustado]]-Tabla145[[#This Row],[Puerto ]]</f>
        <v>0</v>
      </c>
      <c r="AM276" s="6">
        <f>IFERROR(VLOOKUP(Tabla145[[#This Row],[Llave]],[18]!Tabla14[#All],34,FALSE),0)</f>
        <v>0</v>
      </c>
      <c r="AN276" s="6">
        <f>IFERROR(VLOOKUP(Tabla145[[#This Row],[Llave]],[18]!Tabla14[#All],35,FALSE),0)</f>
        <v>0</v>
      </c>
      <c r="AO276" s="3" t="str">
        <f>IF(Tabla145[[#This Row],[Plan Ajustado]]&gt;Tabla145[[#This Row],[En puerto a facturar]],"Si","No")</f>
        <v>No</v>
      </c>
      <c r="AP27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76" s="3">
        <f>IF(Tabla145[[#This Row],[Necesidad]]&gt;=Tabla145[[#This Row],[Stock al día]],Tabla145[[#This Row],[Stock al día]],Tabla145[[#This Row],[Necesidad]])</f>
        <v>0</v>
      </c>
      <c r="AR276" s="3">
        <f>+Tabla145[[#This Row],[Necesidad]]-Tabla145[[#This Row],[Stock Plan]]</f>
        <v>0</v>
      </c>
      <c r="AS276" s="155">
        <f>IFERROR(VLOOKUP(Tabla145[[#This Row],[Oficina]],[19]Ponderación!$B$14:$E$21,4,FALSE),"")</f>
        <v>44789</v>
      </c>
      <c r="AT27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1.3138131134145701</v>
      </c>
      <c r="AU276" s="83">
        <f>IFERROR(VLOOKUP(Tabla145[[#This Row],[Llave]],[17]DELAY!$H:$W,16,FALSE),0)</f>
        <v>1.3941750987654309</v>
      </c>
      <c r="AV27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76" s="5">
        <f>Tabla145[[#This Row],[Ajuste precio IC]]*Tabla145[[#This Row],[Plan Ajustado]]</f>
        <v>0</v>
      </c>
      <c r="AX276" s="30">
        <f>IFERROR(VLOOKUP(Tabla145[[#This Row],[Llave]],'[13]Ultimos precios facturados'!$A:$G,7,FALSE),0)</f>
        <v>1.3138131134145701</v>
      </c>
      <c r="AY27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76" s="30">
        <f>IFERROR(VLOOKUP(Tabla145[[#This Row],[Llave]],Hoja2!B:K,10,FALSE),0)</f>
        <v>0</v>
      </c>
      <c r="BA276" s="30">
        <f>IF(Tabla145[[#This Row],[Ajuste precio IC]]="",Tabla145[[#This Row],[Precio ponderado]],Tabla145[[#This Row],[Precio ponderado]])</f>
        <v>0</v>
      </c>
      <c r="BB276" s="82"/>
      <c r="BC276" s="82" t="str">
        <f>IF(AND(Tabla145[[#This Row],[Atraso a facturar]]&gt;0,Tabla145[[#This Row],[Precio Atraso]]=0),"Revisar","OK")</f>
        <v>OK</v>
      </c>
      <c r="BD276" s="82" t="str">
        <f>IF(AND(Tabla145[[#This Row],[Venta del mes]]&gt;0,Tabla145[[#This Row],[Precio venta nueva]]=0),"Revisar","OK")</f>
        <v>OK</v>
      </c>
      <c r="BE276" s="20">
        <f>IFERROR(VLOOKUP(Tabla145[[#This Row],[Llave]],'[5]Consolidación planes'!$A:$M,9,FALSE),0)</f>
        <v>0</v>
      </c>
      <c r="BF276" s="20">
        <f>IFERROR(VLOOKUP(Tabla145[[#This Row],[Llave]],'[5]Consolidación planes'!$A:$M,10,FALSE),0)</f>
        <v>0</v>
      </c>
      <c r="BG276" s="20">
        <f>IFERROR(VLOOKUP(Tabla145[[#This Row],[Llave]],'[5]Consolidación planes'!$A:$M,11,FALSE),0)</f>
        <v>0</v>
      </c>
      <c r="BH276" s="20">
        <f>IFERROR(VLOOKUP(Tabla145[[#This Row],[Llave]],'[5]Consolidación planes'!$A:$M,12,FALSE),0)</f>
        <v>0</v>
      </c>
      <c r="BI276" s="20">
        <f>IFERROR(VLOOKUP(Tabla145[[#This Row],[Llave]],'[5]Consolidación planes'!$A:$M,13,FALSE),0)</f>
        <v>0</v>
      </c>
      <c r="BJ276" s="20">
        <f>IFERROR(VLOOKUP(Tabla145[[#This Row],[Llave]],'[13]Base ultimos planes'!$A:$M,13,FALSE),0)</f>
        <v>0</v>
      </c>
      <c r="BK276" s="80">
        <f>IFERROR(VLOOKUP(Tabla145[[#This Row],[Llave]],'[13]Base ultimos planes'!$O:$AA,8,FALSE),0)</f>
        <v>0</v>
      </c>
      <c r="BL276" s="20">
        <f>IFERROR(VLOOKUP(Tabla145[[#This Row],[Llave]],'[13]Base ultimos planes'!$O:$AA,9,FALSE),0)</f>
        <v>0</v>
      </c>
      <c r="BM276" s="20">
        <f>IFERROR(VLOOKUP(Tabla145[[#This Row],[Llave]],'[13]Base ultimos planes'!$O:$AA,10,FALSE),0)</f>
        <v>0</v>
      </c>
      <c r="BN276" s="20">
        <f>IFERROR(VLOOKUP(Tabla145[[#This Row],[Llave]],'[13]Base ultimos planes'!$O:$AA,11,FALSE),0)</f>
        <v>0</v>
      </c>
      <c r="BO276" s="20">
        <f>IFERROR(VLOOKUP(Tabla145[[#This Row],[Llave]],'[13]Base ultimos planes'!$O:$AA,12,FALSE),0)</f>
        <v>0</v>
      </c>
      <c r="BP276" s="20">
        <f>IFERROR(VLOOKUP(Tabla145[[#This Row],[Llave]],'[13]Base ultimos planes'!$O:$AA,13,FALSE),0)</f>
        <v>0</v>
      </c>
      <c r="BQ276" s="35"/>
      <c r="BR276" s="20">
        <f>Tabla145[[#This Row],[ RV Producción mes n+1]]*(1-Tabla145[[#This Row],[% Uti. producción]])</f>
        <v>4396.7253860436704</v>
      </c>
      <c r="BS276" s="20">
        <f>+Tabla145[[#This Row],[Producción disponible mes n-1]]+Tabla145[[#This Row],[Saldo Volumen disponible]]</f>
        <v>8100</v>
      </c>
      <c r="BT276" s="7">
        <f>IFERROR(VLOOKUP(Tabla145[[#This Row],[Llave]],'[21]RV n+2 y n+3'!$B:$F,4,FALSE),0)</f>
        <v>0</v>
      </c>
      <c r="BU276" s="7">
        <f>+Tabla145[[#This Row],[Asignación mes n+2]]*Tabla145[[#This Row],[% Uti. producción]]</f>
        <v>0</v>
      </c>
      <c r="BV276" s="7">
        <f>+Tabla145[[#This Row],[Ponderación mes n+2]]+Tabla145[[#This Row],[Saldo mes n-1]]</f>
        <v>8100</v>
      </c>
      <c r="BW276" s="7">
        <f>+Tabla145[[#This Row],[Asignación mes n+2]]-Tabla145[[#This Row],[Ponderación mes n+2]]</f>
        <v>0</v>
      </c>
      <c r="BX276" s="7">
        <f>IFERROR(VLOOKUP(Tabla145[[#This Row],[Llave]],'[21]RV n+2 y n+3'!$B:$F,5,FALSE),0)</f>
        <v>0</v>
      </c>
      <c r="BY276" s="7">
        <f>+Tabla145[[#This Row],[Asignación mes n+3]]*Tabla145[[#This Row],[% Uti. producción]]</f>
        <v>0</v>
      </c>
      <c r="BZ276" s="3">
        <f>+Tabla145[[#This Row],[Ponderación mes n+3]]+Tabla145[[#This Row],[Saldo mes n+2]]</f>
        <v>0</v>
      </c>
      <c r="CA276" s="3">
        <f>+Tabla145[[#This Row],[Asignación mes n+3]]-Tabla145[[#This Row],[Ponderación mes n+3]]</f>
        <v>0</v>
      </c>
      <c r="CB276" s="3">
        <f>+Tabla145[[#This Row],[Producción disponible mes n-1]]+Tabla145[[#This Row],[Producción disponible]]</f>
        <v>8100</v>
      </c>
      <c r="CC276" s="3">
        <f>+Tabla145[[#This Row],[Saldo mes n+4]]-Tabla145[[#This Row],[ RV Producción mes n+1]]</f>
        <v>0</v>
      </c>
    </row>
    <row r="277" spans="1:81" ht="16" x14ac:dyDescent="0.2">
      <c r="A277">
        <v>1</v>
      </c>
      <c r="B277" t="str">
        <f>Tabla145[[#This Row],[Oficina]]&amp;Tabla145[[#This Row],[Material]]</f>
        <v>Agrosuper Asia1022767</v>
      </c>
      <c r="C277" t="s">
        <v>6</v>
      </c>
      <c r="D277" t="s">
        <v>173</v>
      </c>
      <c r="E277">
        <v>1022767</v>
      </c>
      <c r="F277" t="s">
        <v>598</v>
      </c>
      <c r="G277" t="s">
        <v>11</v>
      </c>
      <c r="H277" t="s">
        <v>41</v>
      </c>
      <c r="I277" s="15">
        <f>IFERROR(VLOOKUP(Tabla145[[#This Row],[Llave]],'[7]RV Producción'!$C:$G,5,FALSE),0)</f>
        <v>0</v>
      </c>
      <c r="J277" s="3">
        <f>IFERROR(IF(Tabla145[[#This Row],[Oficina]]=$I$7,VLOOKUP(Tabla145[[#This Row],[Llave]],'[7]Shangai (Tomas)'!$A:$F,6,FALSE),VLOOKUP(Tabla145[[#This Row],[Llave]],'[7]RV plan de ventas'!$A:$E,5,FALSE)),0)</f>
        <v>0</v>
      </c>
      <c r="K277" s="17">
        <f>IFERROR(VLOOKUP(Tabla145[[#This Row],[Oficina]],[15]Ponderación!$B$2:$E$9,4,FALSE),0)</f>
        <v>0.45719439678473212</v>
      </c>
      <c r="L277" s="7">
        <f>+Tabla145[[#This Row],[ RV Producción mes n+1]]*Tabla145[[#This Row],[% Uti. producción]]</f>
        <v>0</v>
      </c>
      <c r="M277" s="7">
        <f>IFERROR(VLOOKUP(Tabla145[[#This Row],[Material]],[16]Stock!$G:$K,5,FALSE),0)</f>
        <v>1000</v>
      </c>
      <c r="N277" s="7">
        <f>IFERROR(VLOOKUP(Tabla145[[#This Row],[Material]],[16]Produccion!$M:$N,2,FALSE),0)</f>
        <v>0</v>
      </c>
      <c r="O277" s="7">
        <f>IFERROR(VLOOKUP(Tabla145[[#This Row],[Llave]],'[16]TD Conf-AP'!$I:$M,4,FALSE),0)</f>
        <v>0</v>
      </c>
      <c r="P277" s="37">
        <f>SUM(Tabla145[[#This Row],[Producción disponible]],Tabla145[[#This Row],[Stock al día]],(Tabla145[[#This Row],[Por producir mes N]]*0.9))-Tabla145[[#This Row],[Producción por despachar mes N]]</f>
        <v>1000</v>
      </c>
      <c r="Q277" s="7">
        <f>IFERROR(VLOOKUP(Tabla145[[#This Row],[Llave]],[17]DELAY!$A:$D,4,FALSE),0)</f>
        <v>0</v>
      </c>
      <c r="R277" s="9">
        <v>24000</v>
      </c>
      <c r="S277" s="5">
        <f t="shared" si="9"/>
        <v>0</v>
      </c>
      <c r="T277" s="76">
        <v>0</v>
      </c>
      <c r="U277" s="5">
        <f>+Tabla145[[#This Row],[Atraso a facturar]]+Tabla145[[#This Row],[Ajuste atraso]]</f>
        <v>0</v>
      </c>
      <c r="V277" s="3">
        <f>+Tabla145[[#This Row],[Total disponible]]-Tabla145[[#This Row],[Facturación atraso]]</f>
        <v>1000</v>
      </c>
      <c r="W277" s="6">
        <f>IFERROR(IF(AND(V277&gt;R277,J277&gt;=R277),ROUNDDOWN((Tabla145[[#This Row],[Producción para venta nueva]])/R277,0)*R277,0),0)</f>
        <v>0</v>
      </c>
      <c r="X277" s="76">
        <v>0</v>
      </c>
      <c r="Y277" s="6">
        <f>IF(Tabla145[[#This Row],[Venta del mes]]&gt;0,Tabla145[[#This Row],[Venta del mes]]+Tabla145[[#This Row],[Ajuste venta nueva]],0)</f>
        <v>0</v>
      </c>
      <c r="Z277" s="6">
        <f>+Tabla145[[#This Row],[Producción para venta nueva]]-Tabla145[[#This Row],[Facturación Venta nueva]]</f>
        <v>1000</v>
      </c>
      <c r="AA277" s="6">
        <f>IF(AND(A277=1,Tabla145[[#This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7" s="6">
        <v>0</v>
      </c>
      <c r="AC277" s="6">
        <f>IF(Tabla145[[#This Row],[Disponible stock sin venta]]&gt;0,Tabla145[[#This Row],[Disponible stock sin venta]]+Tabla145[[#This Row],[Ajuste stock sin venta]],0)</f>
        <v>0</v>
      </c>
      <c r="AD277" s="3">
        <f>IFERROR(VLOOKUP(Tabla145[[#This Row],[Llave]],'[16]TD Puerto'!$A:$D,4,FALSE),0)</f>
        <v>0</v>
      </c>
      <c r="AE277" s="3">
        <v>0</v>
      </c>
      <c r="AF277" s="3">
        <f>+Tabla145[[#This Row],[Plan Irrestricto Inicial]]</f>
        <v>0</v>
      </c>
      <c r="AG277" s="3">
        <f>+Tabla145[[#This Row],[En puerto a facturar]]</f>
        <v>0</v>
      </c>
      <c r="AH277" s="3">
        <f>+Tabla145[[#This Row],[Facturación atraso]]</f>
        <v>0</v>
      </c>
      <c r="AI277" s="3">
        <f>+Tabla145[[#This Row],[Plan Irrestricto]]-Tabla145[[#This Row],[Puerto ]]-Tabla145[[#This Row],[Atraso]]</f>
        <v>0</v>
      </c>
      <c r="AJ27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77" s="3">
        <f>+Tabla145[[#This Row],[Facturación atraso]]</f>
        <v>0</v>
      </c>
      <c r="AL277" s="3">
        <f>+Tabla145[[#This Row],[Plan Ajustado]]-Tabla145[[#This Row],[ Atraso ajustado]]-Tabla145[[#This Row],[Puerto ]]</f>
        <v>0</v>
      </c>
      <c r="AM277" s="6">
        <f>IFERROR(VLOOKUP(Tabla145[[#This Row],[Llave]],[18]!Tabla14[#All],34,FALSE),0)</f>
        <v>0</v>
      </c>
      <c r="AN277" s="6">
        <f>IFERROR(VLOOKUP(Tabla145[[#This Row],[Llave]],[18]!Tabla14[#All],35,FALSE),0)</f>
        <v>0</v>
      </c>
      <c r="AO277" s="3" t="str">
        <f>IF(Tabla145[[#This Row],[Plan Ajustado]]&gt;Tabla145[[#This Row],[En puerto a facturar]],"Si","No")</f>
        <v>No</v>
      </c>
      <c r="AP27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77" s="3">
        <f>IF(Tabla145[[#This Row],[Necesidad]]&gt;=Tabla145[[#This Row],[Stock al día]],Tabla145[[#This Row],[Stock al día]],Tabla145[[#This Row],[Necesidad]])</f>
        <v>0</v>
      </c>
      <c r="AR277" s="3">
        <f>+Tabla145[[#This Row],[Necesidad]]-Tabla145[[#This Row],[Stock Plan]]</f>
        <v>0</v>
      </c>
      <c r="AS277" s="155">
        <f>IFERROR(VLOOKUP(Tabla145[[#This Row],[Oficina]],[19]Ponderación!$B$14:$E$21,4,FALSE),"")</f>
        <v>44786</v>
      </c>
      <c r="AT27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77" s="83">
        <f>IFERROR(VLOOKUP(Tabla145[[#This Row],[Llave]],[17]DELAY!$H:$W,16,FALSE),0)</f>
        <v>0</v>
      </c>
      <c r="AV27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77" s="5">
        <f>Tabla145[[#This Row],[Ajuste precio IC]]*Tabla145[[#This Row],[Plan Ajustado]]</f>
        <v>0</v>
      </c>
      <c r="AX277" s="30">
        <f>IFERROR(VLOOKUP(Tabla145[[#This Row],[Llave]],'[13]Ultimos precios facturados'!$A:$G,7,FALSE),0)</f>
        <v>0</v>
      </c>
      <c r="AY27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77" s="30">
        <f>IFERROR(VLOOKUP(Tabla145[[#This Row],[Llave]],Hoja2!B:K,10,FALSE),0)</f>
        <v>0</v>
      </c>
      <c r="BA277" s="30">
        <f>IF(Tabla145[[#This Row],[Ajuste precio IC]]="",Tabla145[[#This Row],[Precio ponderado]],Tabla145[[#This Row],[Precio ponderado]])</f>
        <v>0</v>
      </c>
      <c r="BB277" s="82"/>
      <c r="BC277" s="82" t="str">
        <f>IF(AND(Tabla145[[#This Row],[Atraso a facturar]]&gt;0,Tabla145[[#This Row],[Precio Atraso]]=0),"Revisar","OK")</f>
        <v>OK</v>
      </c>
      <c r="BD277" s="82" t="str">
        <f>IF(AND(Tabla145[[#This Row],[Venta del mes]]&gt;0,Tabla145[[#This Row],[Precio venta nueva]]=0),"Revisar","OK")</f>
        <v>OK</v>
      </c>
      <c r="BE277" s="20">
        <f>IFERROR(VLOOKUP(Tabla145[[#This Row],[Llave]],'[5]Consolidación planes'!$A:$M,9,FALSE),0)</f>
        <v>0</v>
      </c>
      <c r="BF277" s="20">
        <f>IFERROR(VLOOKUP(Tabla145[[#This Row],[Llave]],'[5]Consolidación planes'!$A:$M,10,FALSE),0)</f>
        <v>0</v>
      </c>
      <c r="BG277" s="20">
        <f>IFERROR(VLOOKUP(Tabla145[[#This Row],[Llave]],'[5]Consolidación planes'!$A:$M,11,FALSE),0)</f>
        <v>0</v>
      </c>
      <c r="BH277" s="20">
        <f>IFERROR(VLOOKUP(Tabla145[[#This Row],[Llave]],'[5]Consolidación planes'!$A:$M,12,FALSE),0)</f>
        <v>0</v>
      </c>
      <c r="BI277" s="20">
        <f>IFERROR(VLOOKUP(Tabla145[[#This Row],[Llave]],'[5]Consolidación planes'!$A:$M,13,FALSE),0)</f>
        <v>0</v>
      </c>
      <c r="BJ277" s="20">
        <f>IFERROR(VLOOKUP(Tabla145[[#This Row],[Llave]],'[13]Base ultimos planes'!$A:$M,13,FALSE),0)</f>
        <v>0</v>
      </c>
      <c r="BK277" s="80">
        <f>IFERROR(VLOOKUP(Tabla145[[#This Row],[Llave]],'[13]Base ultimos planes'!$O:$AA,8,FALSE),0)</f>
        <v>0</v>
      </c>
      <c r="BL277" s="20">
        <f>IFERROR(VLOOKUP(Tabla145[[#This Row],[Llave]],'[13]Base ultimos planes'!$O:$AA,9,FALSE),0)</f>
        <v>0</v>
      </c>
      <c r="BM277" s="20">
        <f>IFERROR(VLOOKUP(Tabla145[[#This Row],[Llave]],'[13]Base ultimos planes'!$O:$AA,10,FALSE),0)</f>
        <v>0</v>
      </c>
      <c r="BN277" s="20">
        <f>IFERROR(VLOOKUP(Tabla145[[#This Row],[Llave]],'[13]Base ultimos planes'!$O:$AA,11,FALSE),0)</f>
        <v>0</v>
      </c>
      <c r="BO277" s="20">
        <f>IFERROR(VLOOKUP(Tabla145[[#This Row],[Llave]],'[13]Base ultimos planes'!$O:$AA,12,FALSE),0)</f>
        <v>0</v>
      </c>
      <c r="BP277" s="20">
        <f>IFERROR(VLOOKUP(Tabla145[[#This Row],[Llave]],'[13]Base ultimos planes'!$O:$AA,13,FALSE),0)</f>
        <v>0</v>
      </c>
      <c r="BQ277" s="35"/>
      <c r="BR277" s="20">
        <f>Tabla145[[#This Row],[ RV Producción mes n+1]]*(1-Tabla145[[#This Row],[% Uti. producción]])</f>
        <v>0</v>
      </c>
      <c r="BS277" s="20">
        <f>+Tabla145[[#This Row],[Producción disponible mes n-1]]+Tabla145[[#This Row],[Saldo Volumen disponible]]</f>
        <v>1000</v>
      </c>
      <c r="BT277" s="7">
        <f>IFERROR(VLOOKUP(Tabla145[[#This Row],[Llave]],'[21]RV n+2 y n+3'!$B:$F,4,FALSE),0)</f>
        <v>0</v>
      </c>
      <c r="BU277" s="7">
        <f>+Tabla145[[#This Row],[Asignación mes n+2]]*Tabla145[[#This Row],[% Uti. producción]]</f>
        <v>0</v>
      </c>
      <c r="BV277" s="7">
        <f>+Tabla145[[#This Row],[Ponderación mes n+2]]+Tabla145[[#This Row],[Saldo mes n-1]]</f>
        <v>1000</v>
      </c>
      <c r="BW277" s="7">
        <f>+Tabla145[[#This Row],[Asignación mes n+2]]-Tabla145[[#This Row],[Ponderación mes n+2]]</f>
        <v>0</v>
      </c>
      <c r="BX277" s="7">
        <f>IFERROR(VLOOKUP(Tabla145[[#This Row],[Llave]],'[21]RV n+2 y n+3'!$B:$F,5,FALSE),0)</f>
        <v>0</v>
      </c>
      <c r="BY277" s="7">
        <f>+Tabla145[[#This Row],[Asignación mes n+3]]*Tabla145[[#This Row],[% Uti. producción]]</f>
        <v>0</v>
      </c>
      <c r="BZ277" s="3">
        <f>+Tabla145[[#This Row],[Ponderación mes n+3]]+Tabla145[[#This Row],[Saldo mes n+2]]</f>
        <v>0</v>
      </c>
      <c r="CA277" s="3">
        <f>+Tabla145[[#This Row],[Asignación mes n+3]]-Tabla145[[#This Row],[Ponderación mes n+3]]</f>
        <v>0</v>
      </c>
      <c r="CB277" s="3">
        <f>+Tabla145[[#This Row],[Producción disponible mes n-1]]+Tabla145[[#This Row],[Producción disponible]]</f>
        <v>0</v>
      </c>
      <c r="CC277" s="3">
        <f>+Tabla145[[#This Row],[Saldo mes n+4]]-Tabla145[[#This Row],[ RV Producción mes n+1]]</f>
        <v>0</v>
      </c>
    </row>
    <row r="278" spans="1:81" ht="16" x14ac:dyDescent="0.2">
      <c r="A278">
        <v>2</v>
      </c>
      <c r="B278" t="str">
        <f>Tabla145[[#This Row],[Oficina]]&amp;Tabla145[[#This Row],[Material]]</f>
        <v>Agrosuper Shanghai1021740</v>
      </c>
      <c r="C278" t="s">
        <v>6</v>
      </c>
      <c r="D278" t="s">
        <v>140</v>
      </c>
      <c r="E278">
        <v>1021740</v>
      </c>
      <c r="F278" t="s">
        <v>87</v>
      </c>
      <c r="G278" t="s">
        <v>76</v>
      </c>
      <c r="H278" t="s">
        <v>84</v>
      </c>
      <c r="I278" s="15">
        <f>IFERROR(VLOOKUP(Tabla145[[#This Row],[Llave]],'[7]RV Producción'!$C:$G,5,FALSE),0)</f>
        <v>0</v>
      </c>
      <c r="J278" s="3">
        <f>IFERROR(IF(Tabla145[[#This Row],[Oficina]]=$I$7,VLOOKUP(Tabla145[[#This Row],[Llave]],'[7]Shangai (Tomas)'!$A:$F,6,FALSE),VLOOKUP(Tabla145[[#This Row],[Llave]],'[7]RV plan de ventas'!$A:$E,5,FALSE)),0)</f>
        <v>0</v>
      </c>
      <c r="K278" s="17">
        <f>IFERROR(VLOOKUP(Tabla145[[#This Row],[Oficina]],[15]Ponderación!$B$2:$E$9,4,FALSE),0)</f>
        <v>0.45719439678473212</v>
      </c>
      <c r="L278" s="7">
        <f>+Tabla145[[#This Row],[ RV Producción mes n+1]]*Tabla145[[#This Row],[% Uti. producción]]</f>
        <v>0</v>
      </c>
      <c r="M278" s="7">
        <f>IFERROR(VLOOKUP(Tabla145[[#This Row],[Material]],[16]Stock!$G:$K,5,FALSE),0)</f>
        <v>55750</v>
      </c>
      <c r="N278" s="7">
        <f>IFERROR(VLOOKUP(Tabla145[[#This Row],[Material]],[16]Produccion!$M:$N,2,FALSE),0)</f>
        <v>94730</v>
      </c>
      <c r="O278" s="7">
        <f>IFERROR(VLOOKUP(Tabla145[[#This Row],[Llave]],'[16]TD Conf-AP'!$I:$M,4,FALSE),0)</f>
        <v>0</v>
      </c>
      <c r="P278" s="37">
        <f>SUM(Tabla145[[#This Row],[Producción disponible]],Tabla145[[#This Row],[Stock al día]],(Tabla145[[#This Row],[Por producir mes N]]*0.9))-Tabla145[[#This Row],[Producción por despachar mes N]]</f>
        <v>141007</v>
      </c>
      <c r="Q278" s="7">
        <f>IFERROR(VLOOKUP(Tabla145[[#This Row],[Llave]],[17]DELAY!$A:$D,4,FALSE),0)</f>
        <v>33000</v>
      </c>
      <c r="R278" s="9">
        <v>24000</v>
      </c>
      <c r="S278" s="5">
        <f t="shared" si="9"/>
        <v>33000</v>
      </c>
      <c r="T278" s="76"/>
      <c r="U278" s="5">
        <f>+Tabla145[[#This Row],[Atraso a facturar]]+Tabla145[[#This Row],[Ajuste atraso]]</f>
        <v>33000</v>
      </c>
      <c r="V278" s="3">
        <f>+Tabla145[[#This Row],[Total disponible]]-Tabla145[[#This Row],[Facturación atraso]]</f>
        <v>108007</v>
      </c>
      <c r="W278" s="6">
        <f>IFERROR(IF(AND(V278&gt;R278,J278&gt;=R278),ROUNDDOWN((Tabla145[[#This Row],[Producción para venta nueva]])/R278,0)*R278,0),0)</f>
        <v>0</v>
      </c>
      <c r="X278" s="76">
        <v>0</v>
      </c>
      <c r="Y278" s="6">
        <f>IF(Tabla145[[#This Row],[Venta del mes]]&gt;0,Tabla145[[#This Row],[Venta del mes]]+Tabla145[[#This Row],[Ajuste venta nueva]],0)</f>
        <v>0</v>
      </c>
      <c r="Z278" s="6">
        <f>+Tabla145[[#This Row],[Producción para venta nueva]]-Tabla145[[#This Row],[Facturación Venta nueva]]</f>
        <v>108007</v>
      </c>
      <c r="AA278" s="6">
        <f>IF(AND(A278=1,Tabla145[[#This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8" s="6">
        <v>0</v>
      </c>
      <c r="AC278" s="6">
        <f>IF(Tabla145[[#This Row],[Disponible stock sin venta]]&gt;0,Tabla145[[#This Row],[Disponible stock sin venta]]+Tabla145[[#This Row],[Ajuste stock sin venta]],0)</f>
        <v>0</v>
      </c>
      <c r="AD278" s="3">
        <f>IFERROR(VLOOKUP(Tabla145[[#This Row],[Llave]],'[16]TD Puerto'!$A:$D,4,FALSE),0)</f>
        <v>0</v>
      </c>
      <c r="AE278" s="3">
        <v>33000</v>
      </c>
      <c r="AF278" s="3">
        <f>+Tabla145[[#This Row],[Plan Irrestricto Inicial]]</f>
        <v>33000</v>
      </c>
      <c r="AG278" s="3">
        <f>+Tabla145[[#This Row],[En puerto a facturar]]</f>
        <v>0</v>
      </c>
      <c r="AH278" s="3">
        <f>+Tabla145[[#This Row],[Facturación atraso]]</f>
        <v>33000</v>
      </c>
      <c r="AI278" s="3">
        <f>+Tabla145[[#This Row],[Plan Irrestricto]]-Tabla145[[#This Row],[Puerto ]]-Tabla145[[#This Row],[Atraso]]</f>
        <v>0</v>
      </c>
      <c r="AJ278" s="3">
        <f>IF(Tabla145[[#This Row],[Plan Irrestricto]]&gt;0,SUM(Tabla145[[#This Row],[Facturación atraso]],Tabla145[[#This Row],[Facturación Venta nueva]],Tabla145[[#This Row],[Facturación stock]],Tabla145[[#This Row],[En puerto a facturar]]),0)</f>
        <v>33000</v>
      </c>
      <c r="AK278" s="3">
        <f>+Tabla145[[#This Row],[Facturación atraso]]</f>
        <v>33000</v>
      </c>
      <c r="AL278" s="3">
        <f>+Tabla145[[#This Row],[Plan Ajustado]]-Tabla145[[#This Row],[ Atraso ajustado]]-Tabla145[[#This Row],[Puerto ]]</f>
        <v>0</v>
      </c>
      <c r="AM278" s="6">
        <f>IFERROR(VLOOKUP(Tabla145[[#This Row],[Llave]],[18]!Tabla14[#All],34,FALSE),0)</f>
        <v>0</v>
      </c>
      <c r="AN278" s="6">
        <f>IFERROR(VLOOKUP(Tabla145[[#This Row],[Llave]],[18]!Tabla14[#All],35,FALSE),0)</f>
        <v>0</v>
      </c>
      <c r="AO278" s="3" t="str">
        <f>IF(Tabla145[[#This Row],[Plan Ajustado]]&gt;Tabla145[[#This Row],[En puerto a facturar]],"Si","No")</f>
        <v>Si</v>
      </c>
      <c r="AP278" s="3">
        <f>IF(AND(Tabla145[[#This Row],[Plan Ajustado]]&gt;0,Tabla145[[#This Row],[Plan Ajustado]]&gt;Tabla145[[#This Row],[En puerto a facturar]]),(Tabla145[[#This Row],[Plan Ajustado]]-Tabla145[[#This Row],[En puerto a facturar]]),0)</f>
        <v>33000</v>
      </c>
      <c r="AQ278" s="3">
        <f>IF(Tabla145[[#This Row],[Necesidad]]&gt;=Tabla145[[#This Row],[Stock al día]],Tabla145[[#This Row],[Stock al día]],Tabla145[[#This Row],[Necesidad]])</f>
        <v>33000</v>
      </c>
      <c r="AR278" s="3">
        <f>+Tabla145[[#This Row],[Necesidad]]-Tabla145[[#This Row],[Stock Plan]]</f>
        <v>0</v>
      </c>
      <c r="AS278" s="155">
        <f>IFERROR(VLOOKUP(Tabla145[[#This Row],[Oficina]],[19]Ponderación!$B$14:$E$21,4,FALSE),"")</f>
        <v>44786</v>
      </c>
      <c r="AT27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0.43339239832268295</v>
      </c>
      <c r="AU278" s="83">
        <f>IFERROR(VLOOKUP(Tabla145[[#This Row],[Llave]],[17]DELAY!$H:$W,16,FALSE),0)</f>
        <v>0.41875000000000001</v>
      </c>
      <c r="AV27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0.41875000000000001</v>
      </c>
      <c r="AW278" s="5">
        <f>Tabla145[[#This Row],[Ajuste precio IC]]*Tabla145[[#This Row],[Plan Ajustado]]</f>
        <v>13818.75</v>
      </c>
      <c r="AX278" s="30">
        <f>IFERROR(VLOOKUP(Tabla145[[#This Row],[Llave]],'[13]Ultimos precios facturados'!$A:$G,7,FALSE),0)</f>
        <v>0.43339239832268295</v>
      </c>
      <c r="AY27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3.3785544876541458E-2</v>
      </c>
      <c r="AZ278" s="30">
        <f>IFERROR(VLOOKUP(Tabla145[[#This Row],[Llave]],Hoja2!B:K,10,FALSE),0)</f>
        <v>0.41875000000000001</v>
      </c>
      <c r="BA278" s="30">
        <f>IF(Tabla145[[#This Row],[Ajuste precio IC]]="",Tabla145[[#This Row],[Precio ponderado]],Tabla145[[#This Row],[Precio ponderado]])</f>
        <v>0.41875000000000001</v>
      </c>
      <c r="BB278" s="82"/>
      <c r="BC278" s="82" t="str">
        <f>IF(AND(Tabla145[[#This Row],[Atraso a facturar]]&gt;0,Tabla145[[#This Row],[Precio Atraso]]=0),"Revisar","OK")</f>
        <v>OK</v>
      </c>
      <c r="BD278" s="82" t="str">
        <f>IF(AND(Tabla145[[#This Row],[Venta del mes]]&gt;0,Tabla145[[#This Row],[Precio venta nueva]]=0),"Revisar","OK")</f>
        <v>OK</v>
      </c>
      <c r="BE278" s="20">
        <f>IFERROR(VLOOKUP(Tabla145[[#This Row],[Llave]],'[5]Consolidación planes'!$A:$M,9,FALSE),0)</f>
        <v>0</v>
      </c>
      <c r="BF278" s="20">
        <f>IFERROR(VLOOKUP(Tabla145[[#This Row],[Llave]],'[5]Consolidación planes'!$A:$M,10,FALSE),0)</f>
        <v>0</v>
      </c>
      <c r="BG278" s="20">
        <f>IFERROR(VLOOKUP(Tabla145[[#This Row],[Llave]],'[5]Consolidación planes'!$A:$M,11,FALSE),0)</f>
        <v>0</v>
      </c>
      <c r="BH278" s="20">
        <f>IFERROR(VLOOKUP(Tabla145[[#This Row],[Llave]],'[5]Consolidación planes'!$A:$M,12,FALSE),0)</f>
        <v>0</v>
      </c>
      <c r="BI278" s="20">
        <f>IFERROR(VLOOKUP(Tabla145[[#This Row],[Llave]],'[5]Consolidación planes'!$A:$M,13,FALSE),0)</f>
        <v>0</v>
      </c>
      <c r="BJ278" s="20">
        <f>IFERROR(VLOOKUP(Tabla145[[#This Row],[Llave]],'[13]Base ultimos planes'!$A:$M,13,FALSE),0)</f>
        <v>0</v>
      </c>
      <c r="BK278" s="80">
        <f>IFERROR(VLOOKUP(Tabla145[[#This Row],[Llave]],'[13]Base ultimos planes'!$O:$AA,8,FALSE),0)</f>
        <v>0</v>
      </c>
      <c r="BL278" s="20">
        <f>IFERROR(VLOOKUP(Tabla145[[#This Row],[Llave]],'[13]Base ultimos planes'!$O:$AA,9,FALSE),0)</f>
        <v>0</v>
      </c>
      <c r="BM278" s="20">
        <f>IFERROR(VLOOKUP(Tabla145[[#This Row],[Llave]],'[13]Base ultimos planes'!$O:$AA,10,FALSE),0)</f>
        <v>0</v>
      </c>
      <c r="BN278" s="20">
        <f>IFERROR(VLOOKUP(Tabla145[[#This Row],[Llave]],'[13]Base ultimos planes'!$O:$AA,11,FALSE),0)</f>
        <v>0</v>
      </c>
      <c r="BO278" s="20">
        <f>IFERROR(VLOOKUP(Tabla145[[#This Row],[Llave]],'[13]Base ultimos planes'!$O:$AA,12,FALSE),0)</f>
        <v>0</v>
      </c>
      <c r="BP278" s="20">
        <f>IFERROR(VLOOKUP(Tabla145[[#This Row],[Llave]],'[13]Base ultimos planes'!$O:$AA,13,FALSE),0)</f>
        <v>0</v>
      </c>
      <c r="BQ278" s="35"/>
      <c r="BR278" s="20">
        <f>Tabla145[[#This Row],[ RV Producción mes n+1]]*(1-Tabla145[[#This Row],[% Uti. producción]])</f>
        <v>0</v>
      </c>
      <c r="BS278" s="20">
        <f>+Tabla145[[#This Row],[Producción disponible mes n-1]]+Tabla145[[#This Row],[Saldo Volumen disponible]]</f>
        <v>108007</v>
      </c>
      <c r="BT278" s="7">
        <f>IFERROR(VLOOKUP(Tabla145[[#This Row],[Llave]],'[21]RV n+2 y n+3'!$B:$F,4,FALSE),0)</f>
        <v>0</v>
      </c>
      <c r="BU278" s="7">
        <f>+Tabla145[[#This Row],[Asignación mes n+2]]*Tabla145[[#This Row],[% Uti. producción]]</f>
        <v>0</v>
      </c>
      <c r="BV278" s="7">
        <f>+Tabla145[[#This Row],[Ponderación mes n+2]]+Tabla145[[#This Row],[Saldo mes n-1]]</f>
        <v>108007</v>
      </c>
      <c r="BW278" s="7">
        <f>+Tabla145[[#This Row],[Asignación mes n+2]]-Tabla145[[#This Row],[Ponderación mes n+2]]</f>
        <v>0</v>
      </c>
      <c r="BX278" s="7">
        <f>IFERROR(VLOOKUP(Tabla145[[#This Row],[Llave]],'[21]RV n+2 y n+3'!$B:$F,5,FALSE),0)</f>
        <v>0</v>
      </c>
      <c r="BY278" s="7">
        <f>+Tabla145[[#This Row],[Asignación mes n+3]]*Tabla145[[#This Row],[% Uti. producción]]</f>
        <v>0</v>
      </c>
      <c r="BZ278" s="3">
        <f>+Tabla145[[#This Row],[Ponderación mes n+3]]+Tabla145[[#This Row],[Saldo mes n+2]]</f>
        <v>0</v>
      </c>
      <c r="CA278" s="3">
        <f>+Tabla145[[#This Row],[Asignación mes n+3]]-Tabla145[[#This Row],[Ponderación mes n+3]]</f>
        <v>0</v>
      </c>
      <c r="CB278" s="3">
        <f>+Tabla145[[#This Row],[Producción disponible mes n-1]]+Tabla145[[#This Row],[Producción disponible]]</f>
        <v>0</v>
      </c>
      <c r="CC278" s="3">
        <f>+Tabla145[[#This Row],[Saldo mes n+4]]-Tabla145[[#This Row],[ RV Producción mes n+1]]</f>
        <v>0</v>
      </c>
    </row>
    <row r="279" spans="1:81" ht="16" x14ac:dyDescent="0.2">
      <c r="A279">
        <v>2</v>
      </c>
      <c r="B279" t="str">
        <f>Tabla145[[#This Row],[Oficina]]&amp;Tabla145[[#This Row],[Material]]</f>
        <v>Agrosuper Shanghai1022388</v>
      </c>
      <c r="C279" t="s">
        <v>6</v>
      </c>
      <c r="D279" t="s">
        <v>140</v>
      </c>
      <c r="E279">
        <v>1022388</v>
      </c>
      <c r="F279" t="s">
        <v>599</v>
      </c>
      <c r="G279" t="s">
        <v>92</v>
      </c>
      <c r="H279" t="s">
        <v>93</v>
      </c>
      <c r="I279" s="15">
        <f>IFERROR(VLOOKUP(Tabla145[[#This Row],[Llave]],'[7]RV Producción'!$C:$G,5,FALSE),0)</f>
        <v>0</v>
      </c>
      <c r="J279" s="3">
        <f>IFERROR(IF(Tabla145[[#This Row],[Oficina]]=$I$7,VLOOKUP(Tabla145[[#This Row],[Llave]],'[7]Shangai (Tomas)'!$A:$F,6,FALSE),VLOOKUP(Tabla145[[#This Row],[Llave]],'[7]RV plan de ventas'!$A:$E,5,FALSE)),0)</f>
        <v>0</v>
      </c>
      <c r="K279" s="17">
        <f>IFERROR(VLOOKUP(Tabla145[[#This Row],[Oficina]],[15]Ponderación!$B$2:$E$9,4,FALSE),0)</f>
        <v>0.45719439678473212</v>
      </c>
      <c r="L279" s="7">
        <f>+Tabla145[[#This Row],[ RV Producción mes n+1]]*Tabla145[[#This Row],[% Uti. producción]]</f>
        <v>0</v>
      </c>
      <c r="M279" s="7">
        <f>IFERROR(VLOOKUP(Tabla145[[#This Row],[Material]],[16]Stock!$G:$K,5,FALSE),0)</f>
        <v>76856</v>
      </c>
      <c r="N279" s="7">
        <f>IFERROR(VLOOKUP(Tabla145[[#This Row],[Material]],[16]Produccion!$M:$N,2,FALSE),0)</f>
        <v>34142</v>
      </c>
      <c r="O279" s="7">
        <f>IFERROR(VLOOKUP(Tabla145[[#This Row],[Llave]],'[16]TD Conf-AP'!$I:$M,4,FALSE),0)</f>
        <v>0</v>
      </c>
      <c r="P279" s="37">
        <f>SUM(Tabla145[[#This Row],[Producción disponible]],Tabla145[[#This Row],[Stock al día]],(Tabla145[[#This Row],[Por producir mes N]]*0.9))-Tabla145[[#This Row],[Producción por despachar mes N]]</f>
        <v>107583.8</v>
      </c>
      <c r="Q279" s="7">
        <f>IFERROR(VLOOKUP(Tabla145[[#This Row],[Llave]],[17]DELAY!$A:$D,4,FALSE),0)</f>
        <v>0</v>
      </c>
      <c r="R279" s="9">
        <v>24000</v>
      </c>
      <c r="S279" s="5">
        <f t="shared" si="9"/>
        <v>0</v>
      </c>
      <c r="T279" s="76"/>
      <c r="U279" s="5">
        <f>+Tabla145[[#This Row],[Atraso a facturar]]+Tabla145[[#This Row],[Ajuste atraso]]</f>
        <v>0</v>
      </c>
      <c r="V279" s="3">
        <f>+Tabla145[[#This Row],[Total disponible]]-Tabla145[[#This Row],[Facturación atraso]]</f>
        <v>107583.8</v>
      </c>
      <c r="W279" s="6">
        <f>IFERROR(IF(AND(V279&gt;R279,J279&gt;=R279),ROUNDDOWN((Tabla145[[#This Row],[Producción para venta nueva]])/R279,0)*R279,0),0)</f>
        <v>0</v>
      </c>
      <c r="X279" s="76">
        <v>0</v>
      </c>
      <c r="Y279" s="6">
        <f>IF(Tabla145[[#This Row],[Venta del mes]]&gt;0,Tabla145[[#This Row],[Venta del mes]]+Tabla145[[#This Row],[Ajuste venta nueva]],0)</f>
        <v>0</v>
      </c>
      <c r="Z279" s="6">
        <f>+Tabla145[[#This Row],[Producción para venta nueva]]-Tabla145[[#This Row],[Facturación Venta nueva]]</f>
        <v>107583.8</v>
      </c>
      <c r="AA279" s="6">
        <f>IF(AND(A279=1,Tabla145[[#This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79" s="6">
        <v>0</v>
      </c>
      <c r="AC279" s="6">
        <f>IF(Tabla145[[#This Row],[Disponible stock sin venta]]&gt;0,Tabla145[[#This Row],[Disponible stock sin venta]]+Tabla145[[#This Row],[Ajuste stock sin venta]],0)</f>
        <v>0</v>
      </c>
      <c r="AD279" s="3">
        <f>IFERROR(VLOOKUP(Tabla145[[#This Row],[Llave]],'[16]TD Puerto'!$A:$D,4,FALSE),0)</f>
        <v>0</v>
      </c>
      <c r="AE279" s="3">
        <v>0</v>
      </c>
      <c r="AF279" s="3">
        <f>+Tabla145[[#This Row],[Plan Irrestricto Inicial]]</f>
        <v>0</v>
      </c>
      <c r="AG279" s="3">
        <f>+Tabla145[[#This Row],[En puerto a facturar]]</f>
        <v>0</v>
      </c>
      <c r="AH279" s="3">
        <f>+Tabla145[[#This Row],[Facturación atraso]]</f>
        <v>0</v>
      </c>
      <c r="AI279" s="3">
        <f>+Tabla145[[#This Row],[Plan Irrestricto]]-Tabla145[[#This Row],[Puerto ]]-Tabla145[[#This Row],[Atraso]]</f>
        <v>0</v>
      </c>
      <c r="AJ27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79" s="3">
        <f>+Tabla145[[#This Row],[Facturación atraso]]</f>
        <v>0</v>
      </c>
      <c r="AL279" s="3">
        <f>+Tabla145[[#This Row],[Plan Ajustado]]-Tabla145[[#This Row],[ Atraso ajustado]]-Tabla145[[#This Row],[Puerto ]]</f>
        <v>0</v>
      </c>
      <c r="AM279" s="6">
        <f>IFERROR(VLOOKUP(Tabla145[[#This Row],[Llave]],[18]!Tabla14[#All],34,FALSE),0)</f>
        <v>0</v>
      </c>
      <c r="AN279" s="6">
        <f>IFERROR(VLOOKUP(Tabla145[[#This Row],[Llave]],[18]!Tabla14[#All],35,FALSE),0)</f>
        <v>0</v>
      </c>
      <c r="AO279" s="3" t="str">
        <f>IF(Tabla145[[#This Row],[Plan Ajustado]]&gt;Tabla145[[#This Row],[En puerto a facturar]],"Si","No")</f>
        <v>No</v>
      </c>
      <c r="AP27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79" s="3">
        <f>IF(Tabla145[[#This Row],[Necesidad]]&gt;=Tabla145[[#This Row],[Stock al día]],Tabla145[[#This Row],[Stock al día]],Tabla145[[#This Row],[Necesidad]])</f>
        <v>0</v>
      </c>
      <c r="AR279" s="3">
        <f>+Tabla145[[#This Row],[Necesidad]]-Tabla145[[#This Row],[Stock Plan]]</f>
        <v>0</v>
      </c>
      <c r="AS279" s="155">
        <f>IFERROR(VLOOKUP(Tabla145[[#This Row],[Oficina]],[19]Ponderación!$B$14:$E$21,4,FALSE),"")</f>
        <v>44786</v>
      </c>
      <c r="AT27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1.5884216940914322</v>
      </c>
      <c r="AU279" s="83">
        <f>IFERROR(VLOOKUP(Tabla145[[#This Row],[Llave]],[17]DELAY!$H:$W,16,FALSE),0)</f>
        <v>0</v>
      </c>
      <c r="AV27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79" s="5">
        <f>Tabla145[[#This Row],[Ajuste precio IC]]*Tabla145[[#This Row],[Plan Ajustado]]</f>
        <v>0</v>
      </c>
      <c r="AX279" s="30">
        <f>IFERROR(VLOOKUP(Tabla145[[#This Row],[Llave]],'[13]Ultimos precios facturados'!$A:$G,7,FALSE),0)</f>
        <v>1.5884216940914322</v>
      </c>
      <c r="AY27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79" s="30">
        <f>IFERROR(VLOOKUP(Tabla145[[#This Row],[Llave]],Hoja2!B:K,10,FALSE),0)</f>
        <v>0</v>
      </c>
      <c r="BA279" s="30">
        <f>IF(Tabla145[[#This Row],[Ajuste precio IC]]="",Tabla145[[#This Row],[Precio ponderado]],Tabla145[[#This Row],[Precio ponderado]])</f>
        <v>0</v>
      </c>
      <c r="BB279" s="82"/>
      <c r="BC279" s="82" t="str">
        <f>IF(AND(Tabla145[[#This Row],[Atraso a facturar]]&gt;0,Tabla145[[#This Row],[Precio Atraso]]=0),"Revisar","OK")</f>
        <v>OK</v>
      </c>
      <c r="BD279" s="82" t="str">
        <f>IF(AND(Tabla145[[#This Row],[Venta del mes]]&gt;0,Tabla145[[#This Row],[Precio venta nueva]]=0),"Revisar","OK")</f>
        <v>OK</v>
      </c>
      <c r="BE279" s="20">
        <f>IFERROR(VLOOKUP(Tabla145[[#This Row],[Llave]],'[5]Consolidación planes'!$A:$M,9,FALSE),0)</f>
        <v>0</v>
      </c>
      <c r="BF279" s="20">
        <f>IFERROR(VLOOKUP(Tabla145[[#This Row],[Llave]],'[5]Consolidación planes'!$A:$M,10,FALSE),0)</f>
        <v>0</v>
      </c>
      <c r="BG279" s="20">
        <f>IFERROR(VLOOKUP(Tabla145[[#This Row],[Llave]],'[5]Consolidación planes'!$A:$M,11,FALSE),0)</f>
        <v>0</v>
      </c>
      <c r="BH279" s="20">
        <f>IFERROR(VLOOKUP(Tabla145[[#This Row],[Llave]],'[5]Consolidación planes'!$A:$M,12,FALSE),0)</f>
        <v>0</v>
      </c>
      <c r="BI279" s="20">
        <f>IFERROR(VLOOKUP(Tabla145[[#This Row],[Llave]],'[5]Consolidación planes'!$A:$M,13,FALSE),0)</f>
        <v>0</v>
      </c>
      <c r="BJ279" s="20">
        <f>IFERROR(VLOOKUP(Tabla145[[#This Row],[Llave]],'[13]Base ultimos planes'!$A:$M,13,FALSE),0)</f>
        <v>0</v>
      </c>
      <c r="BK279" s="80">
        <f>IFERROR(VLOOKUP(Tabla145[[#This Row],[Llave]],'[13]Base ultimos planes'!$O:$AA,8,FALSE),0)</f>
        <v>0</v>
      </c>
      <c r="BL279" s="20">
        <f>IFERROR(VLOOKUP(Tabla145[[#This Row],[Llave]],'[13]Base ultimos planes'!$O:$AA,9,FALSE),0)</f>
        <v>0</v>
      </c>
      <c r="BM279" s="20">
        <f>IFERROR(VLOOKUP(Tabla145[[#This Row],[Llave]],'[13]Base ultimos planes'!$O:$AA,10,FALSE),0)</f>
        <v>0</v>
      </c>
      <c r="BN279" s="20">
        <f>IFERROR(VLOOKUP(Tabla145[[#This Row],[Llave]],'[13]Base ultimos planes'!$O:$AA,11,FALSE),0)</f>
        <v>0</v>
      </c>
      <c r="BO279" s="20">
        <f>IFERROR(VLOOKUP(Tabla145[[#This Row],[Llave]],'[13]Base ultimos planes'!$O:$AA,12,FALSE),0)</f>
        <v>0</v>
      </c>
      <c r="BP279" s="20">
        <f>IFERROR(VLOOKUP(Tabla145[[#This Row],[Llave]],'[13]Base ultimos planes'!$O:$AA,13,FALSE),0)</f>
        <v>0</v>
      </c>
      <c r="BQ279" s="35"/>
      <c r="BR279" s="20">
        <f>Tabla145[[#This Row],[ RV Producción mes n+1]]*(1-Tabla145[[#This Row],[% Uti. producción]])</f>
        <v>0</v>
      </c>
      <c r="BS279" s="20">
        <f>+Tabla145[[#This Row],[Producción disponible mes n-1]]+Tabla145[[#This Row],[Saldo Volumen disponible]]</f>
        <v>107583.8</v>
      </c>
      <c r="BT279" s="7">
        <f>IFERROR(VLOOKUP(Tabla145[[#This Row],[Llave]],'[21]RV n+2 y n+3'!$B:$F,4,FALSE),0)</f>
        <v>0</v>
      </c>
      <c r="BU279" s="7">
        <f>+Tabla145[[#This Row],[Asignación mes n+2]]*Tabla145[[#This Row],[% Uti. producción]]</f>
        <v>0</v>
      </c>
      <c r="BV279" s="7">
        <f>+Tabla145[[#This Row],[Ponderación mes n+2]]+Tabla145[[#This Row],[Saldo mes n-1]]</f>
        <v>107583.8</v>
      </c>
      <c r="BW279" s="7">
        <f>+Tabla145[[#This Row],[Asignación mes n+2]]-Tabla145[[#This Row],[Ponderación mes n+2]]</f>
        <v>0</v>
      </c>
      <c r="BX279" s="7">
        <f>IFERROR(VLOOKUP(Tabla145[[#This Row],[Llave]],'[21]RV n+2 y n+3'!$B:$F,5,FALSE),0)</f>
        <v>0</v>
      </c>
      <c r="BY279" s="7">
        <f>+Tabla145[[#This Row],[Asignación mes n+3]]*Tabla145[[#This Row],[% Uti. producción]]</f>
        <v>0</v>
      </c>
      <c r="BZ279" s="3">
        <f>+Tabla145[[#This Row],[Ponderación mes n+3]]+Tabla145[[#This Row],[Saldo mes n+2]]</f>
        <v>0</v>
      </c>
      <c r="CA279" s="3">
        <f>+Tabla145[[#This Row],[Asignación mes n+3]]-Tabla145[[#This Row],[Ponderación mes n+3]]</f>
        <v>0</v>
      </c>
      <c r="CB279" s="3">
        <f>+Tabla145[[#This Row],[Producción disponible mes n-1]]+Tabla145[[#This Row],[Producción disponible]]</f>
        <v>0</v>
      </c>
      <c r="CC279" s="3">
        <f>+Tabla145[[#This Row],[Saldo mes n+4]]-Tabla145[[#This Row],[ RV Producción mes n+1]]</f>
        <v>0</v>
      </c>
    </row>
    <row r="280" spans="1:81" ht="16" x14ac:dyDescent="0.2">
      <c r="A280">
        <v>2</v>
      </c>
      <c r="B280" t="str">
        <f>Tabla145[[#This Row],[Oficina]]&amp;Tabla145[[#This Row],[Material]]</f>
        <v>Agrosuper Shanghai1022646</v>
      </c>
      <c r="C280" t="s">
        <v>6</v>
      </c>
      <c r="D280" t="s">
        <v>140</v>
      </c>
      <c r="E280">
        <v>1022646</v>
      </c>
      <c r="F280" t="s">
        <v>600</v>
      </c>
      <c r="G280" t="s">
        <v>56</v>
      </c>
      <c r="H280" t="s">
        <v>57</v>
      </c>
      <c r="I280" s="15">
        <f>IFERROR(VLOOKUP(Tabla145[[#This Row],[Llave]],'[7]RV Producción'!$C:$G,5,FALSE),0)</f>
        <v>0</v>
      </c>
      <c r="J280" s="3">
        <f>IFERROR(IF(Tabla145[[#This Row],[Oficina]]=$I$7,VLOOKUP(Tabla145[[#This Row],[Llave]],'[7]Shangai (Tomas)'!$A:$F,6,FALSE),VLOOKUP(Tabla145[[#This Row],[Llave]],'[7]RV plan de ventas'!$A:$E,5,FALSE)),0)</f>
        <v>0</v>
      </c>
      <c r="K280" s="17">
        <f>IFERROR(VLOOKUP(Tabla145[[#This Row],[Oficina]],[15]Ponderación!$B$2:$E$9,4,FALSE),0)</f>
        <v>0.45719439678473212</v>
      </c>
      <c r="L280" s="7">
        <f>+Tabla145[[#This Row],[ RV Producción mes n+1]]*Tabla145[[#This Row],[% Uti. producción]]</f>
        <v>0</v>
      </c>
      <c r="M280" s="7">
        <f>IFERROR(VLOOKUP(Tabla145[[#This Row],[Material]],[16]Stock!$G:$K,5,FALSE),0)</f>
        <v>11894</v>
      </c>
      <c r="N280" s="7">
        <f>IFERROR(VLOOKUP(Tabla145[[#This Row],[Material]],[16]Produccion!$M:$N,2,FALSE),0)</f>
        <v>4943.3286714544147</v>
      </c>
      <c r="O280" s="7">
        <f>IFERROR(VLOOKUP(Tabla145[[#This Row],[Llave]],'[16]TD Conf-AP'!$I:$M,4,FALSE),0)</f>
        <v>0</v>
      </c>
      <c r="P280" s="37">
        <f>SUM(Tabla145[[#This Row],[Producción disponible]],Tabla145[[#This Row],[Stock al día]],(Tabla145[[#This Row],[Por producir mes N]]*0.9))-Tabla145[[#This Row],[Producción por despachar mes N]]</f>
        <v>16342.995804308974</v>
      </c>
      <c r="Q280" s="7">
        <f>IFERROR(VLOOKUP(Tabla145[[#This Row],[Llave]],[17]DELAY!$A:$D,4,FALSE),0)</f>
        <v>0</v>
      </c>
      <c r="R280" s="9">
        <v>24000</v>
      </c>
      <c r="S280" s="5">
        <f t="shared" si="9"/>
        <v>0</v>
      </c>
      <c r="T280" s="76"/>
      <c r="U280" s="5">
        <f>+Tabla145[[#This Row],[Atraso a facturar]]+Tabla145[[#This Row],[Ajuste atraso]]</f>
        <v>0</v>
      </c>
      <c r="V280" s="3">
        <f>+Tabla145[[#This Row],[Total disponible]]-Tabla145[[#This Row],[Facturación atraso]]</f>
        <v>16342.995804308974</v>
      </c>
      <c r="W280" s="6">
        <f>IFERROR(IF(AND(V280&gt;R280,J280&gt;=R280),ROUNDDOWN((Tabla145[[#This Row],[Producción para venta nueva]])/R280,0)*R280,0),0)</f>
        <v>0</v>
      </c>
      <c r="X280" s="76">
        <v>0</v>
      </c>
      <c r="Y280" s="6">
        <f>IF(Tabla145[[#This Row],[Venta del mes]]&gt;0,Tabla145[[#This Row],[Venta del mes]]+Tabla145[[#This Row],[Ajuste venta nueva]],0)</f>
        <v>0</v>
      </c>
      <c r="Z280" s="6">
        <f>+Tabla145[[#This Row],[Producción para venta nueva]]-Tabla145[[#This Row],[Facturación Venta nueva]]</f>
        <v>16342.995804308974</v>
      </c>
      <c r="AA280" s="6">
        <f>IF(AND(A280=1,Tabla145[[#This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0" s="6">
        <v>0</v>
      </c>
      <c r="AC280" s="6">
        <f>IF(Tabla145[[#This Row],[Disponible stock sin venta]]&gt;0,Tabla145[[#This Row],[Disponible stock sin venta]]+Tabla145[[#This Row],[Ajuste stock sin venta]],0)</f>
        <v>0</v>
      </c>
      <c r="AD280" s="3">
        <f>IFERROR(VLOOKUP(Tabla145[[#This Row],[Llave]],'[16]TD Puerto'!$A:$D,4,FALSE),0)</f>
        <v>0</v>
      </c>
      <c r="AE280" s="3">
        <v>0</v>
      </c>
      <c r="AF280" s="3">
        <f>+Tabla145[[#This Row],[Plan Irrestricto Inicial]]</f>
        <v>0</v>
      </c>
      <c r="AG280" s="3">
        <f>+Tabla145[[#This Row],[En puerto a facturar]]</f>
        <v>0</v>
      </c>
      <c r="AH280" s="3">
        <f>+Tabla145[[#This Row],[Facturación atraso]]</f>
        <v>0</v>
      </c>
      <c r="AI280" s="3">
        <f>+Tabla145[[#This Row],[Plan Irrestricto]]-Tabla145[[#This Row],[Puerto ]]-Tabla145[[#This Row],[Atraso]]</f>
        <v>0</v>
      </c>
      <c r="AJ28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0" s="3">
        <f>+Tabla145[[#This Row],[Facturación atraso]]</f>
        <v>0</v>
      </c>
      <c r="AL280" s="3">
        <f>+Tabla145[[#This Row],[Plan Ajustado]]-Tabla145[[#This Row],[ Atraso ajustado]]-Tabla145[[#This Row],[Puerto ]]</f>
        <v>0</v>
      </c>
      <c r="AM280" s="6">
        <f>IFERROR(VLOOKUP(Tabla145[[#This Row],[Llave]],[18]!Tabla14[#All],34,FALSE),0)</f>
        <v>0</v>
      </c>
      <c r="AN280" s="6">
        <f>IFERROR(VLOOKUP(Tabla145[[#This Row],[Llave]],[18]!Tabla14[#All],35,FALSE),0)</f>
        <v>0</v>
      </c>
      <c r="AO280" s="3" t="str">
        <f>IF(Tabla145[[#This Row],[Plan Ajustado]]&gt;Tabla145[[#This Row],[En puerto a facturar]],"Si","No")</f>
        <v>No</v>
      </c>
      <c r="AP28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0" s="3">
        <f>IF(Tabla145[[#This Row],[Necesidad]]&gt;=Tabla145[[#This Row],[Stock al día]],Tabla145[[#This Row],[Stock al día]],Tabla145[[#This Row],[Necesidad]])</f>
        <v>0</v>
      </c>
      <c r="AR280" s="3">
        <f>+Tabla145[[#This Row],[Necesidad]]-Tabla145[[#This Row],[Stock Plan]]</f>
        <v>0</v>
      </c>
      <c r="AS280" s="155">
        <f>IFERROR(VLOOKUP(Tabla145[[#This Row],[Oficina]],[19]Ponderación!$B$14:$E$21,4,FALSE),"")</f>
        <v>44786</v>
      </c>
      <c r="AT28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5.4547211780949603</v>
      </c>
      <c r="AU280" s="83">
        <f>IFERROR(VLOOKUP(Tabla145[[#This Row],[Llave]],[17]DELAY!$H:$W,16,FALSE),0)</f>
        <v>0</v>
      </c>
      <c r="AV28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0" s="5">
        <f>Tabla145[[#This Row],[Ajuste precio IC]]*Tabla145[[#This Row],[Plan Ajustado]]</f>
        <v>0</v>
      </c>
      <c r="AX280" s="30">
        <f>IFERROR(VLOOKUP(Tabla145[[#This Row],[Llave]],'[13]Ultimos precios facturados'!$A:$G,7,FALSE),0)</f>
        <v>5.4547211780949603</v>
      </c>
      <c r="AY28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0" s="30">
        <f>IFERROR(VLOOKUP(Tabla145[[#This Row],[Llave]],Hoja2!B:K,10,FALSE),0)</f>
        <v>0</v>
      </c>
      <c r="BA280" s="30">
        <f>IF(Tabla145[[#This Row],[Ajuste precio IC]]="",Tabla145[[#This Row],[Precio ponderado]],Tabla145[[#This Row],[Precio ponderado]])</f>
        <v>0</v>
      </c>
      <c r="BB280" s="82"/>
      <c r="BC280" s="82" t="str">
        <f>IF(AND(Tabla145[[#This Row],[Atraso a facturar]]&gt;0,Tabla145[[#This Row],[Precio Atraso]]=0),"Revisar","OK")</f>
        <v>OK</v>
      </c>
      <c r="BD280" s="82" t="str">
        <f>IF(AND(Tabla145[[#This Row],[Venta del mes]]&gt;0,Tabla145[[#This Row],[Precio venta nueva]]=0),"Revisar","OK")</f>
        <v>OK</v>
      </c>
      <c r="BE280" s="20">
        <f>IFERROR(VLOOKUP(Tabla145[[#This Row],[Llave]],'[5]Consolidación planes'!$A:$M,9,FALSE),0)</f>
        <v>0</v>
      </c>
      <c r="BF280" s="20">
        <f>IFERROR(VLOOKUP(Tabla145[[#This Row],[Llave]],'[5]Consolidación planes'!$A:$M,10,FALSE),0)</f>
        <v>0</v>
      </c>
      <c r="BG280" s="20">
        <f>IFERROR(VLOOKUP(Tabla145[[#This Row],[Llave]],'[5]Consolidación planes'!$A:$M,11,FALSE),0)</f>
        <v>0</v>
      </c>
      <c r="BH280" s="20">
        <f>IFERROR(VLOOKUP(Tabla145[[#This Row],[Llave]],'[5]Consolidación planes'!$A:$M,12,FALSE),0)</f>
        <v>0</v>
      </c>
      <c r="BI280" s="20">
        <f>IFERROR(VLOOKUP(Tabla145[[#This Row],[Llave]],'[5]Consolidación planes'!$A:$M,13,FALSE),0)</f>
        <v>0</v>
      </c>
      <c r="BJ280" s="20">
        <f>IFERROR(VLOOKUP(Tabla145[[#This Row],[Llave]],'[13]Base ultimos planes'!$A:$M,13,FALSE),0)</f>
        <v>0</v>
      </c>
      <c r="BK280" s="80">
        <f>IFERROR(VLOOKUP(Tabla145[[#This Row],[Llave]],'[13]Base ultimos planes'!$O:$AA,8,FALSE),0)</f>
        <v>0</v>
      </c>
      <c r="BL280" s="20">
        <f>IFERROR(VLOOKUP(Tabla145[[#This Row],[Llave]],'[13]Base ultimos planes'!$O:$AA,9,FALSE),0)</f>
        <v>0</v>
      </c>
      <c r="BM280" s="20">
        <f>IFERROR(VLOOKUP(Tabla145[[#This Row],[Llave]],'[13]Base ultimos planes'!$O:$AA,10,FALSE),0)</f>
        <v>0</v>
      </c>
      <c r="BN280" s="20">
        <f>IFERROR(VLOOKUP(Tabla145[[#This Row],[Llave]],'[13]Base ultimos planes'!$O:$AA,11,FALSE),0)</f>
        <v>0</v>
      </c>
      <c r="BO280" s="20">
        <f>IFERROR(VLOOKUP(Tabla145[[#This Row],[Llave]],'[13]Base ultimos planes'!$O:$AA,12,FALSE),0)</f>
        <v>0</v>
      </c>
      <c r="BP280" s="20">
        <f>IFERROR(VLOOKUP(Tabla145[[#This Row],[Llave]],'[13]Base ultimos planes'!$O:$AA,13,FALSE),0)</f>
        <v>0</v>
      </c>
      <c r="BQ280" s="35"/>
      <c r="BR280" s="20">
        <f>Tabla145[[#This Row],[ RV Producción mes n+1]]*(1-Tabla145[[#This Row],[% Uti. producción]])</f>
        <v>0</v>
      </c>
      <c r="BS280" s="20">
        <f>+Tabla145[[#This Row],[Producción disponible mes n-1]]+Tabla145[[#This Row],[Saldo Volumen disponible]]</f>
        <v>16342.995804308974</v>
      </c>
      <c r="BT280" s="7">
        <f>IFERROR(VLOOKUP(Tabla145[[#This Row],[Llave]],'[21]RV n+2 y n+3'!$B:$F,4,FALSE),0)</f>
        <v>0</v>
      </c>
      <c r="BU280" s="7">
        <f>+Tabla145[[#This Row],[Asignación mes n+2]]*Tabla145[[#This Row],[% Uti. producción]]</f>
        <v>0</v>
      </c>
      <c r="BV280" s="7">
        <f>+Tabla145[[#This Row],[Ponderación mes n+2]]+Tabla145[[#This Row],[Saldo mes n-1]]</f>
        <v>16342.995804308974</v>
      </c>
      <c r="BW280" s="7">
        <f>+Tabla145[[#This Row],[Asignación mes n+2]]-Tabla145[[#This Row],[Ponderación mes n+2]]</f>
        <v>0</v>
      </c>
      <c r="BX280" s="7">
        <f>IFERROR(VLOOKUP(Tabla145[[#This Row],[Llave]],'[21]RV n+2 y n+3'!$B:$F,5,FALSE),0)</f>
        <v>0</v>
      </c>
      <c r="BY280" s="7">
        <f>+Tabla145[[#This Row],[Asignación mes n+3]]*Tabla145[[#This Row],[% Uti. producción]]</f>
        <v>0</v>
      </c>
      <c r="BZ280" s="3">
        <f>+Tabla145[[#This Row],[Ponderación mes n+3]]+Tabla145[[#This Row],[Saldo mes n+2]]</f>
        <v>0</v>
      </c>
      <c r="CA280" s="3">
        <f>+Tabla145[[#This Row],[Asignación mes n+3]]-Tabla145[[#This Row],[Ponderación mes n+3]]</f>
        <v>0</v>
      </c>
      <c r="CB280" s="3">
        <f>+Tabla145[[#This Row],[Producción disponible mes n-1]]+Tabla145[[#This Row],[Producción disponible]]</f>
        <v>0</v>
      </c>
      <c r="CC280" s="3">
        <f>+Tabla145[[#This Row],[Saldo mes n+4]]-Tabla145[[#This Row],[ RV Producción mes n+1]]</f>
        <v>0</v>
      </c>
    </row>
    <row r="281" spans="1:81" ht="16" x14ac:dyDescent="0.2">
      <c r="A281">
        <v>2</v>
      </c>
      <c r="B281" t="str">
        <f>Tabla145[[#This Row],[Oficina]]&amp;Tabla145[[#This Row],[Material]]</f>
        <v>Agrosuper Shanghai1023035</v>
      </c>
      <c r="C281" t="s">
        <v>6</v>
      </c>
      <c r="D281" t="s">
        <v>140</v>
      </c>
      <c r="E281">
        <v>1023035</v>
      </c>
      <c r="F281" t="s">
        <v>601</v>
      </c>
      <c r="G281" t="s">
        <v>71</v>
      </c>
      <c r="H281" t="s">
        <v>72</v>
      </c>
      <c r="I281" s="15">
        <f>IFERROR(VLOOKUP(Tabla145[[#This Row],[Llave]],'[7]RV Producción'!$C:$G,5,FALSE),0)</f>
        <v>0</v>
      </c>
      <c r="J281" s="3">
        <f>IFERROR(IF(Tabla145[[#This Row],[Oficina]]=$I$7,VLOOKUP(Tabla145[[#This Row],[Llave]],'[7]Shangai (Tomas)'!$A:$F,6,FALSE),VLOOKUP(Tabla145[[#This Row],[Llave]],'[7]RV plan de ventas'!$A:$E,5,FALSE)),0)</f>
        <v>0</v>
      </c>
      <c r="K281" s="17">
        <f>IFERROR(VLOOKUP(Tabla145[[#This Row],[Oficina]],[15]Ponderación!$B$2:$E$9,4,FALSE),0)</f>
        <v>0.45719439678473212</v>
      </c>
      <c r="L281" s="7">
        <f>+Tabla145[[#This Row],[ RV Producción mes n+1]]*Tabla145[[#This Row],[% Uti. producción]]</f>
        <v>0</v>
      </c>
      <c r="M281" s="7">
        <f>IFERROR(VLOOKUP(Tabla145[[#This Row],[Material]],[16]Stock!$G:$K,5,FALSE),0)</f>
        <v>22278</v>
      </c>
      <c r="N281" s="7">
        <f>IFERROR(VLOOKUP(Tabla145[[#This Row],[Material]],[16]Produccion!$M:$N,2,FALSE),0)</f>
        <v>2468</v>
      </c>
      <c r="O281" s="7">
        <f>IFERROR(VLOOKUP(Tabla145[[#This Row],[Llave]],'[16]TD Conf-AP'!$I:$M,4,FALSE),0)</f>
        <v>0</v>
      </c>
      <c r="P281" s="37">
        <f>SUM(Tabla145[[#This Row],[Producción disponible]],Tabla145[[#This Row],[Stock al día]],(Tabla145[[#This Row],[Por producir mes N]]*0.9))-Tabla145[[#This Row],[Producción por despachar mes N]]</f>
        <v>24499.200000000001</v>
      </c>
      <c r="Q281" s="7">
        <f>IFERROR(VLOOKUP(Tabla145[[#This Row],[Llave]],[17]DELAY!$A:$D,4,FALSE),0)</f>
        <v>24000</v>
      </c>
      <c r="R281" s="9">
        <v>24000</v>
      </c>
      <c r="S281" s="5">
        <f t="shared" si="9"/>
        <v>24000</v>
      </c>
      <c r="T281" s="76"/>
      <c r="U281" s="5">
        <f>+Tabla145[[#This Row],[Atraso a facturar]]+Tabla145[[#This Row],[Ajuste atraso]]</f>
        <v>24000</v>
      </c>
      <c r="V281" s="3">
        <f>+Tabla145[[#This Row],[Total disponible]]-Tabla145[[#This Row],[Facturación atraso]]</f>
        <v>499.20000000000073</v>
      </c>
      <c r="W281" s="6">
        <f>IFERROR(IF(AND(V281&gt;R281,J281&gt;=R281),ROUNDDOWN((Tabla145[[#This Row],[Producción para venta nueva]])/R281,0)*R281,0),0)</f>
        <v>0</v>
      </c>
      <c r="X281" s="76">
        <v>0</v>
      </c>
      <c r="Y281" s="6">
        <f>IF(Tabla145[[#This Row],[Venta del mes]]&gt;0,Tabla145[[#This Row],[Venta del mes]]+Tabla145[[#This Row],[Ajuste venta nueva]],0)</f>
        <v>0</v>
      </c>
      <c r="Z281" s="6">
        <f>+Tabla145[[#This Row],[Producción para venta nueva]]-Tabla145[[#This Row],[Facturación Venta nueva]]</f>
        <v>499.20000000000073</v>
      </c>
      <c r="AA281" s="6">
        <f>IF(AND(A281=1,Tabla145[[#This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1" s="6">
        <v>0</v>
      </c>
      <c r="AC281" s="6">
        <f>IF(Tabla145[[#This Row],[Disponible stock sin venta]]&gt;0,Tabla145[[#This Row],[Disponible stock sin venta]]+Tabla145[[#This Row],[Ajuste stock sin venta]],0)</f>
        <v>0</v>
      </c>
      <c r="AD281" s="3">
        <f>IFERROR(VLOOKUP(Tabla145[[#This Row],[Llave]],'[16]TD Puerto'!$A:$D,4,FALSE),0)</f>
        <v>0</v>
      </c>
      <c r="AE281" s="3">
        <v>0</v>
      </c>
      <c r="AF281" s="3">
        <f>+Tabla145[[#This Row],[Plan Irrestricto Inicial]]</f>
        <v>0</v>
      </c>
      <c r="AG281" s="3">
        <f>+Tabla145[[#This Row],[En puerto a facturar]]</f>
        <v>0</v>
      </c>
      <c r="AH281" s="3">
        <f>+Tabla145[[#This Row],[Facturación atraso]]</f>
        <v>24000</v>
      </c>
      <c r="AI281" s="3">
        <f>+Tabla145[[#This Row],[Plan Irrestricto]]-Tabla145[[#This Row],[Puerto ]]-Tabla145[[#This Row],[Atraso]]</f>
        <v>-24000</v>
      </c>
      <c r="AJ28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1" s="3">
        <f>+Tabla145[[#This Row],[Facturación atraso]]</f>
        <v>24000</v>
      </c>
      <c r="AL281" s="3">
        <f>+Tabla145[[#This Row],[Plan Ajustado]]-Tabla145[[#This Row],[ Atraso ajustado]]-Tabla145[[#This Row],[Puerto ]]</f>
        <v>-24000</v>
      </c>
      <c r="AM281" s="6">
        <f>IFERROR(VLOOKUP(Tabla145[[#This Row],[Llave]],[18]!Tabla14[#All],34,FALSE),0)</f>
        <v>0</v>
      </c>
      <c r="AN281" s="6">
        <f>IFERROR(VLOOKUP(Tabla145[[#This Row],[Llave]],[18]!Tabla14[#All],35,FALSE),0)</f>
        <v>0</v>
      </c>
      <c r="AO281" s="3" t="str">
        <f>IF(Tabla145[[#This Row],[Plan Ajustado]]&gt;Tabla145[[#This Row],[En puerto a facturar]],"Si","No")</f>
        <v>No</v>
      </c>
      <c r="AP28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1" s="3">
        <f>IF(Tabla145[[#This Row],[Necesidad]]&gt;=Tabla145[[#This Row],[Stock al día]],Tabla145[[#This Row],[Stock al día]],Tabla145[[#This Row],[Necesidad]])</f>
        <v>0</v>
      </c>
      <c r="AR281" s="3">
        <f>+Tabla145[[#This Row],[Necesidad]]-Tabla145[[#This Row],[Stock Plan]]</f>
        <v>0</v>
      </c>
      <c r="AS281" s="155">
        <f>IFERROR(VLOOKUP(Tabla145[[#This Row],[Oficina]],[19]Ponderación!$B$14:$E$21,4,FALSE),"")</f>
        <v>44786</v>
      </c>
      <c r="AT28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81" s="83">
        <f>IFERROR(VLOOKUP(Tabla145[[#This Row],[Llave]],[17]DELAY!$H:$W,16,FALSE),0)</f>
        <v>0.93333333333333302</v>
      </c>
      <c r="AV28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1" s="5">
        <f>Tabla145[[#This Row],[Ajuste precio IC]]*Tabla145[[#This Row],[Plan Ajustado]]</f>
        <v>0</v>
      </c>
      <c r="AX281" s="30">
        <f>IFERROR(VLOOKUP(Tabla145[[#This Row],[Llave]],'[13]Ultimos precios facturados'!$A:$G,7,FALSE),0)</f>
        <v>0</v>
      </c>
      <c r="AY28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1" s="30">
        <f>IFERROR(VLOOKUP(Tabla145[[#This Row],[Llave]],Hoja2!B:K,10,FALSE),0)</f>
        <v>0.93333333333333302</v>
      </c>
      <c r="BA281" s="30">
        <f>IF(Tabla145[[#This Row],[Ajuste precio IC]]="",Tabla145[[#This Row],[Precio ponderado]],Tabla145[[#This Row],[Precio ponderado]])</f>
        <v>0</v>
      </c>
      <c r="BB281" s="82"/>
      <c r="BC281" s="82" t="str">
        <f>IF(AND(Tabla145[[#This Row],[Atraso a facturar]]&gt;0,Tabla145[[#This Row],[Precio Atraso]]=0),"Revisar","OK")</f>
        <v>OK</v>
      </c>
      <c r="BD281" s="82" t="str">
        <f>IF(AND(Tabla145[[#This Row],[Venta del mes]]&gt;0,Tabla145[[#This Row],[Precio venta nueva]]=0),"Revisar","OK")</f>
        <v>OK</v>
      </c>
      <c r="BE281" s="20">
        <f>IFERROR(VLOOKUP(Tabla145[[#This Row],[Llave]],'[5]Consolidación planes'!$A:$M,9,FALSE),0)</f>
        <v>0</v>
      </c>
      <c r="BF281" s="20">
        <f>IFERROR(VLOOKUP(Tabla145[[#This Row],[Llave]],'[5]Consolidación planes'!$A:$M,10,FALSE),0)</f>
        <v>0</v>
      </c>
      <c r="BG281" s="20">
        <f>IFERROR(VLOOKUP(Tabla145[[#This Row],[Llave]],'[5]Consolidación planes'!$A:$M,11,FALSE),0)</f>
        <v>0</v>
      </c>
      <c r="BH281" s="20">
        <f>IFERROR(VLOOKUP(Tabla145[[#This Row],[Llave]],'[5]Consolidación planes'!$A:$M,12,FALSE),0)</f>
        <v>0</v>
      </c>
      <c r="BI281" s="20">
        <f>IFERROR(VLOOKUP(Tabla145[[#This Row],[Llave]],'[5]Consolidación planes'!$A:$M,13,FALSE),0)</f>
        <v>0</v>
      </c>
      <c r="BJ281" s="20">
        <f>IFERROR(VLOOKUP(Tabla145[[#This Row],[Llave]],'[13]Base ultimos planes'!$A:$M,13,FALSE),0)</f>
        <v>0</v>
      </c>
      <c r="BK281" s="80">
        <f>IFERROR(VLOOKUP(Tabla145[[#This Row],[Llave]],'[13]Base ultimos planes'!$O:$AA,8,FALSE),0)</f>
        <v>0</v>
      </c>
      <c r="BL281" s="20">
        <f>IFERROR(VLOOKUP(Tabla145[[#This Row],[Llave]],'[13]Base ultimos planes'!$O:$AA,9,FALSE),0)</f>
        <v>0</v>
      </c>
      <c r="BM281" s="20">
        <f>IFERROR(VLOOKUP(Tabla145[[#This Row],[Llave]],'[13]Base ultimos planes'!$O:$AA,10,FALSE),0)</f>
        <v>0</v>
      </c>
      <c r="BN281" s="20">
        <f>IFERROR(VLOOKUP(Tabla145[[#This Row],[Llave]],'[13]Base ultimos planes'!$O:$AA,11,FALSE),0)</f>
        <v>0</v>
      </c>
      <c r="BO281" s="20">
        <f>IFERROR(VLOOKUP(Tabla145[[#This Row],[Llave]],'[13]Base ultimos planes'!$O:$AA,12,FALSE),0)</f>
        <v>0</v>
      </c>
      <c r="BP281" s="20">
        <f>IFERROR(VLOOKUP(Tabla145[[#This Row],[Llave]],'[13]Base ultimos planes'!$O:$AA,13,FALSE),0)</f>
        <v>0</v>
      </c>
      <c r="BQ281" s="35"/>
      <c r="BR281" s="20">
        <f>Tabla145[[#This Row],[ RV Producción mes n+1]]*(1-Tabla145[[#This Row],[% Uti. producción]])</f>
        <v>0</v>
      </c>
      <c r="BS281" s="20">
        <f>+Tabla145[[#This Row],[Producción disponible mes n-1]]+Tabla145[[#This Row],[Saldo Volumen disponible]]</f>
        <v>499.20000000000073</v>
      </c>
      <c r="BT281" s="7">
        <f>IFERROR(VLOOKUP(Tabla145[[#This Row],[Llave]],'[21]RV n+2 y n+3'!$B:$F,4,FALSE),0)</f>
        <v>0</v>
      </c>
      <c r="BU281" s="7">
        <f>+Tabla145[[#This Row],[Asignación mes n+2]]*Tabla145[[#This Row],[% Uti. producción]]</f>
        <v>0</v>
      </c>
      <c r="BV281" s="7">
        <f>+Tabla145[[#This Row],[Ponderación mes n+2]]+Tabla145[[#This Row],[Saldo mes n-1]]</f>
        <v>499.20000000000073</v>
      </c>
      <c r="BW281" s="7">
        <f>+Tabla145[[#This Row],[Asignación mes n+2]]-Tabla145[[#This Row],[Ponderación mes n+2]]</f>
        <v>0</v>
      </c>
      <c r="BX281" s="7">
        <f>IFERROR(VLOOKUP(Tabla145[[#This Row],[Llave]],'[21]RV n+2 y n+3'!$B:$F,5,FALSE),0)</f>
        <v>0</v>
      </c>
      <c r="BY281" s="7">
        <f>+Tabla145[[#This Row],[Asignación mes n+3]]*Tabla145[[#This Row],[% Uti. producción]]</f>
        <v>0</v>
      </c>
      <c r="BZ281" s="3">
        <f>+Tabla145[[#This Row],[Ponderación mes n+3]]+Tabla145[[#This Row],[Saldo mes n+2]]</f>
        <v>0</v>
      </c>
      <c r="CA281" s="3">
        <f>+Tabla145[[#This Row],[Asignación mes n+3]]-Tabla145[[#This Row],[Ponderación mes n+3]]</f>
        <v>0</v>
      </c>
      <c r="CB281" s="3">
        <f>+Tabla145[[#This Row],[Producción disponible mes n-1]]+Tabla145[[#This Row],[Producción disponible]]</f>
        <v>0</v>
      </c>
      <c r="CC281" s="3">
        <f>+Tabla145[[#This Row],[Saldo mes n+4]]-Tabla145[[#This Row],[ RV Producción mes n+1]]</f>
        <v>0</v>
      </c>
    </row>
    <row r="282" spans="1:81" ht="16" x14ac:dyDescent="0.2">
      <c r="A282">
        <v>2</v>
      </c>
      <c r="B282" t="str">
        <f>Tabla145[[#This Row],[Oficina]]&amp;Tabla145[[#This Row],[Material]]</f>
        <v>Agrosuper Shanghai1023362</v>
      </c>
      <c r="C282" t="s">
        <v>6</v>
      </c>
      <c r="D282" t="s">
        <v>140</v>
      </c>
      <c r="E282">
        <v>1023362</v>
      </c>
      <c r="F282" t="s">
        <v>602</v>
      </c>
      <c r="G282" t="s">
        <v>603</v>
      </c>
      <c r="H282" t="s">
        <v>604</v>
      </c>
      <c r="I282" s="15">
        <f>IFERROR(VLOOKUP(Tabla145[[#This Row],[Llave]],'[7]RV Producción'!$C:$G,5,FALSE),0)</f>
        <v>0</v>
      </c>
      <c r="J282" s="3">
        <f>IFERROR(IF(Tabla145[[#This Row],[Oficina]]=$I$7,VLOOKUP(Tabla145[[#This Row],[Llave]],'[7]Shangai (Tomas)'!$A:$F,6,FALSE),VLOOKUP(Tabla145[[#This Row],[Llave]],'[7]RV plan de ventas'!$A:$E,5,FALSE)),0)</f>
        <v>0</v>
      </c>
      <c r="K282" s="17">
        <f>IFERROR(VLOOKUP(Tabla145[[#This Row],[Oficina]],[15]Ponderación!$B$2:$E$9,4,FALSE),0)</f>
        <v>0.45719439678473212</v>
      </c>
      <c r="L282" s="7">
        <f>+Tabla145[[#This Row],[ RV Producción mes n+1]]*Tabla145[[#This Row],[% Uti. producción]]</f>
        <v>0</v>
      </c>
      <c r="M282" s="7">
        <f>IFERROR(VLOOKUP(Tabla145[[#This Row],[Material]],[16]Stock!$G:$K,5,FALSE),0)</f>
        <v>19</v>
      </c>
      <c r="N282" s="7">
        <f>IFERROR(VLOOKUP(Tabla145[[#This Row],[Material]],[16]Produccion!$M:$N,2,FALSE),0)</f>
        <v>0</v>
      </c>
      <c r="O282" s="7">
        <f>IFERROR(VLOOKUP(Tabla145[[#This Row],[Llave]],'[16]TD Conf-AP'!$I:$M,4,FALSE),0)</f>
        <v>0</v>
      </c>
      <c r="P282" s="37">
        <f>SUM(Tabla145[[#This Row],[Producción disponible]],Tabla145[[#This Row],[Stock al día]],(Tabla145[[#This Row],[Por producir mes N]]*0.9))-Tabla145[[#This Row],[Producción por despachar mes N]]</f>
        <v>19</v>
      </c>
      <c r="Q282" s="7">
        <f>IFERROR(VLOOKUP(Tabla145[[#This Row],[Llave]],[17]DELAY!$A:$D,4,FALSE),0)</f>
        <v>6949</v>
      </c>
      <c r="R282" s="9">
        <v>7761</v>
      </c>
      <c r="S282" s="5">
        <f t="shared" si="9"/>
        <v>0</v>
      </c>
      <c r="T282" s="76"/>
      <c r="U282" s="5">
        <f>+Tabla145[[#This Row],[Atraso a facturar]]+Tabla145[[#This Row],[Ajuste atraso]]</f>
        <v>0</v>
      </c>
      <c r="V282" s="3">
        <f>+Tabla145[[#This Row],[Total disponible]]-Tabla145[[#This Row],[Facturación atraso]]</f>
        <v>19</v>
      </c>
      <c r="W282" s="6">
        <f>IFERROR(IF(AND(V282&gt;R282,J282&gt;=R282),ROUNDDOWN((Tabla145[[#This Row],[Producción para venta nueva]])/R282,0)*R282,0),0)</f>
        <v>0</v>
      </c>
      <c r="X282" s="76">
        <v>0</v>
      </c>
      <c r="Y282" s="6">
        <f>IF(Tabla145[[#This Row],[Venta del mes]]&gt;0,Tabla145[[#This Row],[Venta del mes]]+Tabla145[[#This Row],[Ajuste venta nueva]],0)</f>
        <v>0</v>
      </c>
      <c r="Z282" s="6">
        <f>+Tabla145[[#This Row],[Producción para venta nueva]]-Tabla145[[#This Row],[Facturación Venta nueva]]</f>
        <v>19</v>
      </c>
      <c r="AA282" s="6">
        <f>IF(AND(A282=1,Tabla145[[#This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2" s="6">
        <v>0</v>
      </c>
      <c r="AC282" s="6">
        <f>IF(Tabla145[[#This Row],[Disponible stock sin venta]]&gt;0,Tabla145[[#This Row],[Disponible stock sin venta]]+Tabla145[[#This Row],[Ajuste stock sin venta]],0)</f>
        <v>0</v>
      </c>
      <c r="AD282" s="3">
        <f>IFERROR(VLOOKUP(Tabla145[[#This Row],[Llave]],'[16]TD Puerto'!$A:$D,4,FALSE),0)</f>
        <v>0</v>
      </c>
      <c r="AE282" s="3">
        <v>6949</v>
      </c>
      <c r="AF282" s="3">
        <f>+Tabla145[[#This Row],[Plan Irrestricto Inicial]]</f>
        <v>6949</v>
      </c>
      <c r="AG282" s="3">
        <f>+Tabla145[[#This Row],[En puerto a facturar]]</f>
        <v>0</v>
      </c>
      <c r="AH282" s="3">
        <f>+Tabla145[[#This Row],[Facturación atraso]]</f>
        <v>0</v>
      </c>
      <c r="AI282" s="3">
        <f>+Tabla145[[#This Row],[Plan Irrestricto]]-Tabla145[[#This Row],[Puerto ]]-Tabla145[[#This Row],[Atraso]]</f>
        <v>6949</v>
      </c>
      <c r="AJ28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2" s="3">
        <f>+Tabla145[[#This Row],[Facturación atraso]]</f>
        <v>0</v>
      </c>
      <c r="AL282" s="3">
        <f>+Tabla145[[#This Row],[Plan Ajustado]]-Tabla145[[#This Row],[ Atraso ajustado]]-Tabla145[[#This Row],[Puerto ]]</f>
        <v>0</v>
      </c>
      <c r="AM282" s="6">
        <f>IFERROR(VLOOKUP(Tabla145[[#This Row],[Llave]],[18]!Tabla14[#All],34,FALSE),0)</f>
        <v>0</v>
      </c>
      <c r="AN282" s="6">
        <f>IFERROR(VLOOKUP(Tabla145[[#This Row],[Llave]],[18]!Tabla14[#All],35,FALSE),0)</f>
        <v>0</v>
      </c>
      <c r="AO282" s="3" t="str">
        <f>IF(Tabla145[[#This Row],[Plan Ajustado]]&gt;Tabla145[[#This Row],[En puerto a facturar]],"Si","No")</f>
        <v>No</v>
      </c>
      <c r="AP28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2" s="3">
        <f>IF(Tabla145[[#This Row],[Necesidad]]&gt;=Tabla145[[#This Row],[Stock al día]],Tabla145[[#This Row],[Stock al día]],Tabla145[[#This Row],[Necesidad]])</f>
        <v>0</v>
      </c>
      <c r="AR282" s="3">
        <f>+Tabla145[[#This Row],[Necesidad]]-Tabla145[[#This Row],[Stock Plan]]</f>
        <v>0</v>
      </c>
      <c r="AS282" s="155">
        <f>IFERROR(VLOOKUP(Tabla145[[#This Row],[Oficina]],[19]Ponderación!$B$14:$E$21,4,FALSE),"")</f>
        <v>44786</v>
      </c>
      <c r="AT28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1.6326066589652759</v>
      </c>
      <c r="AU282" s="83">
        <f>IFERROR(VLOOKUP(Tabla145[[#This Row],[Llave]],[17]DELAY!$H:$W,16,FALSE),0)</f>
        <v>1.6671556537924599</v>
      </c>
      <c r="AV28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2" s="5">
        <f>Tabla145[[#This Row],[Ajuste precio IC]]*Tabla145[[#This Row],[Plan Ajustado]]</f>
        <v>0</v>
      </c>
      <c r="AX282" s="30">
        <f>IFERROR(VLOOKUP(Tabla145[[#This Row],[Llave]],'[13]Ultimos precios facturados'!$A:$G,7,FALSE),0)</f>
        <v>1.6326066589652759</v>
      </c>
      <c r="AY28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2" s="30">
        <f>IFERROR(VLOOKUP(Tabla145[[#This Row],[Llave]],Hoja2!B:K,10,FALSE),0)</f>
        <v>0</v>
      </c>
      <c r="BA282" s="30">
        <f>IF(Tabla145[[#This Row],[Ajuste precio IC]]="",Tabla145[[#This Row],[Precio ponderado]],Tabla145[[#This Row],[Precio ponderado]])</f>
        <v>0</v>
      </c>
      <c r="BB282" s="82"/>
      <c r="BC282" s="82" t="str">
        <f>IF(AND(Tabla145[[#This Row],[Atraso a facturar]]&gt;0,Tabla145[[#This Row],[Precio Atraso]]=0),"Revisar","OK")</f>
        <v>OK</v>
      </c>
      <c r="BD282" s="82" t="str">
        <f>IF(AND(Tabla145[[#This Row],[Venta del mes]]&gt;0,Tabla145[[#This Row],[Precio venta nueva]]=0),"Revisar","OK")</f>
        <v>OK</v>
      </c>
      <c r="BE282" s="20">
        <f>IFERROR(VLOOKUP(Tabla145[[#This Row],[Llave]],'[5]Consolidación planes'!$A:$M,9,FALSE),0)</f>
        <v>0</v>
      </c>
      <c r="BF282" s="20">
        <f>IFERROR(VLOOKUP(Tabla145[[#This Row],[Llave]],'[5]Consolidación planes'!$A:$M,10,FALSE),0)</f>
        <v>0</v>
      </c>
      <c r="BG282" s="20">
        <f>IFERROR(VLOOKUP(Tabla145[[#This Row],[Llave]],'[5]Consolidación planes'!$A:$M,11,FALSE),0)</f>
        <v>0</v>
      </c>
      <c r="BH282" s="20">
        <f>IFERROR(VLOOKUP(Tabla145[[#This Row],[Llave]],'[5]Consolidación planes'!$A:$M,12,FALSE),0)</f>
        <v>0</v>
      </c>
      <c r="BI282" s="20">
        <f>IFERROR(VLOOKUP(Tabla145[[#This Row],[Llave]],'[5]Consolidación planes'!$A:$M,13,FALSE),0)</f>
        <v>0</v>
      </c>
      <c r="BJ282" s="20">
        <f>IFERROR(VLOOKUP(Tabla145[[#This Row],[Llave]],'[13]Base ultimos planes'!$A:$M,13,FALSE),0)</f>
        <v>7761</v>
      </c>
      <c r="BK282" s="80">
        <f>IFERROR(VLOOKUP(Tabla145[[#This Row],[Llave]],'[13]Base ultimos planes'!$O:$AA,8,FALSE),0)</f>
        <v>0</v>
      </c>
      <c r="BL282" s="20">
        <f>IFERROR(VLOOKUP(Tabla145[[#This Row],[Llave]],'[13]Base ultimos planes'!$O:$AA,9,FALSE),0)</f>
        <v>0</v>
      </c>
      <c r="BM282" s="20">
        <f>IFERROR(VLOOKUP(Tabla145[[#This Row],[Llave]],'[13]Base ultimos planes'!$O:$AA,10,FALSE),0)</f>
        <v>0</v>
      </c>
      <c r="BN282" s="20">
        <f>IFERROR(VLOOKUP(Tabla145[[#This Row],[Llave]],'[13]Base ultimos planes'!$O:$AA,11,FALSE),0)</f>
        <v>0</v>
      </c>
      <c r="BO282" s="20">
        <f>IFERROR(VLOOKUP(Tabla145[[#This Row],[Llave]],'[13]Base ultimos planes'!$O:$AA,12,FALSE),0)</f>
        <v>0</v>
      </c>
      <c r="BP282" s="20">
        <f>IFERROR(VLOOKUP(Tabla145[[#This Row],[Llave]],'[13]Base ultimos planes'!$O:$AA,13,FALSE),0)</f>
        <v>12805</v>
      </c>
      <c r="BQ282" s="35"/>
      <c r="BR282" s="20">
        <f>Tabla145[[#This Row],[ RV Producción mes n+1]]*(1-Tabla145[[#This Row],[% Uti. producción]])</f>
        <v>0</v>
      </c>
      <c r="BS282" s="20">
        <f>+Tabla145[[#This Row],[Producción disponible mes n-1]]+Tabla145[[#This Row],[Saldo Volumen disponible]]</f>
        <v>19</v>
      </c>
      <c r="BT282" s="7">
        <f>IFERROR(VLOOKUP(Tabla145[[#This Row],[Llave]],'[21]RV n+2 y n+3'!$B:$F,4,FALSE),0)</f>
        <v>0</v>
      </c>
      <c r="BU282" s="7">
        <f>+Tabla145[[#This Row],[Asignación mes n+2]]*Tabla145[[#This Row],[% Uti. producción]]</f>
        <v>0</v>
      </c>
      <c r="BV282" s="7">
        <f>+Tabla145[[#This Row],[Ponderación mes n+2]]+Tabla145[[#This Row],[Saldo mes n-1]]</f>
        <v>19</v>
      </c>
      <c r="BW282" s="7">
        <f>+Tabla145[[#This Row],[Asignación mes n+2]]-Tabla145[[#This Row],[Ponderación mes n+2]]</f>
        <v>0</v>
      </c>
      <c r="BX282" s="7">
        <f>IFERROR(VLOOKUP(Tabla145[[#This Row],[Llave]],'[21]RV n+2 y n+3'!$B:$F,5,FALSE),0)</f>
        <v>0</v>
      </c>
      <c r="BY282" s="7">
        <f>+Tabla145[[#This Row],[Asignación mes n+3]]*Tabla145[[#This Row],[% Uti. producción]]</f>
        <v>0</v>
      </c>
      <c r="BZ282" s="3">
        <f>+Tabla145[[#This Row],[Ponderación mes n+3]]+Tabla145[[#This Row],[Saldo mes n+2]]</f>
        <v>0</v>
      </c>
      <c r="CA282" s="3">
        <f>+Tabla145[[#This Row],[Asignación mes n+3]]-Tabla145[[#This Row],[Ponderación mes n+3]]</f>
        <v>0</v>
      </c>
      <c r="CB282" s="3">
        <f>+Tabla145[[#This Row],[Producción disponible mes n-1]]+Tabla145[[#This Row],[Producción disponible]]</f>
        <v>0</v>
      </c>
      <c r="CC282" s="3">
        <f>+Tabla145[[#This Row],[Saldo mes n+4]]-Tabla145[[#This Row],[ RV Producción mes n+1]]</f>
        <v>0</v>
      </c>
    </row>
    <row r="283" spans="1:81" ht="16" x14ac:dyDescent="0.2">
      <c r="A283">
        <v>2</v>
      </c>
      <c r="B283" t="str">
        <f>Tabla145[[#This Row],[Oficina]]&amp;Tabla145[[#This Row],[Material]]</f>
        <v>Agrosuper Shanghai1023363</v>
      </c>
      <c r="C283" t="s">
        <v>6</v>
      </c>
      <c r="D283" t="s">
        <v>140</v>
      </c>
      <c r="E283">
        <v>1023363</v>
      </c>
      <c r="F283" t="s">
        <v>605</v>
      </c>
      <c r="G283" t="s">
        <v>603</v>
      </c>
      <c r="H283" t="s">
        <v>606</v>
      </c>
      <c r="I283" s="15">
        <f>IFERROR(VLOOKUP(Tabla145[[#This Row],[Llave]],'[7]RV Producción'!$C:$G,5,FALSE),0)</f>
        <v>0</v>
      </c>
      <c r="J283" s="3">
        <f>IFERROR(IF(Tabla145[[#This Row],[Oficina]]=$I$7,VLOOKUP(Tabla145[[#This Row],[Llave]],'[7]Shangai (Tomas)'!$A:$F,6,FALSE),VLOOKUP(Tabla145[[#This Row],[Llave]],'[7]RV plan de ventas'!$A:$E,5,FALSE)),0)</f>
        <v>0</v>
      </c>
      <c r="K283" s="17">
        <f>IFERROR(VLOOKUP(Tabla145[[#This Row],[Oficina]],[15]Ponderación!$B$2:$E$9,4,FALSE),0)</f>
        <v>0.45719439678473212</v>
      </c>
      <c r="L283" s="7">
        <f>+Tabla145[[#This Row],[ RV Producción mes n+1]]*Tabla145[[#This Row],[% Uti. producción]]</f>
        <v>0</v>
      </c>
      <c r="M283" s="7">
        <f>IFERROR(VLOOKUP(Tabla145[[#This Row],[Material]],[16]Stock!$G:$K,5,FALSE),0)</f>
        <v>30</v>
      </c>
      <c r="N283" s="7">
        <f>IFERROR(VLOOKUP(Tabla145[[#This Row],[Material]],[16]Produccion!$M:$N,2,FALSE),0)</f>
        <v>0</v>
      </c>
      <c r="O283" s="7">
        <f>IFERROR(VLOOKUP(Tabla145[[#This Row],[Llave]],'[16]TD Conf-AP'!$I:$M,4,FALSE),0)</f>
        <v>0</v>
      </c>
      <c r="P283" s="37">
        <f>SUM(Tabla145[[#This Row],[Producción disponible]],Tabla145[[#This Row],[Stock al día]],(Tabla145[[#This Row],[Por producir mes N]]*0.9))-Tabla145[[#This Row],[Producción por despachar mes N]]</f>
        <v>30</v>
      </c>
      <c r="Q283" s="7">
        <f>IFERROR(VLOOKUP(Tabla145[[#This Row],[Llave]],[17]DELAY!$A:$D,4,FALSE),0)</f>
        <v>6127</v>
      </c>
      <c r="R283" s="9">
        <v>6843</v>
      </c>
      <c r="S283" s="5">
        <f t="shared" si="9"/>
        <v>0</v>
      </c>
      <c r="T283" s="76"/>
      <c r="U283" s="5">
        <f>+Tabla145[[#This Row],[Atraso a facturar]]+Tabla145[[#This Row],[Ajuste atraso]]</f>
        <v>0</v>
      </c>
      <c r="V283" s="3">
        <f>+Tabla145[[#This Row],[Total disponible]]-Tabla145[[#This Row],[Facturación atraso]]</f>
        <v>30</v>
      </c>
      <c r="W283" s="6">
        <f>IFERROR(IF(AND(V283&gt;R283,J283&gt;=R283),ROUNDDOWN((Tabla145[[#This Row],[Producción para venta nueva]])/R283,0)*R283,0),0)</f>
        <v>0</v>
      </c>
      <c r="X283" s="76">
        <v>0</v>
      </c>
      <c r="Y283" s="6">
        <f>IF(Tabla145[[#This Row],[Venta del mes]]&gt;0,Tabla145[[#This Row],[Venta del mes]]+Tabla145[[#This Row],[Ajuste venta nueva]],0)</f>
        <v>0</v>
      </c>
      <c r="Z283" s="6">
        <f>+Tabla145[[#This Row],[Producción para venta nueva]]-Tabla145[[#This Row],[Facturación Venta nueva]]</f>
        <v>30</v>
      </c>
      <c r="AA283" s="6">
        <f>IF(AND(A283=1,Tabla145[[#This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3" s="6">
        <v>0</v>
      </c>
      <c r="AC283" s="6">
        <f>IF(Tabla145[[#This Row],[Disponible stock sin venta]]&gt;0,Tabla145[[#This Row],[Disponible stock sin venta]]+Tabla145[[#This Row],[Ajuste stock sin venta]],0)</f>
        <v>0</v>
      </c>
      <c r="AD283" s="3">
        <f>IFERROR(VLOOKUP(Tabla145[[#This Row],[Llave]],'[16]TD Puerto'!$A:$D,4,FALSE),0)</f>
        <v>0</v>
      </c>
      <c r="AE283" s="3">
        <v>6127</v>
      </c>
      <c r="AF283" s="3">
        <f>+Tabla145[[#This Row],[Plan Irrestricto Inicial]]</f>
        <v>6127</v>
      </c>
      <c r="AG283" s="3">
        <f>+Tabla145[[#This Row],[En puerto a facturar]]</f>
        <v>0</v>
      </c>
      <c r="AH283" s="3">
        <f>+Tabla145[[#This Row],[Facturación atraso]]</f>
        <v>0</v>
      </c>
      <c r="AI283" s="3">
        <f>+Tabla145[[#This Row],[Plan Irrestricto]]-Tabla145[[#This Row],[Puerto ]]-Tabla145[[#This Row],[Atraso]]</f>
        <v>6127</v>
      </c>
      <c r="AJ28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3" s="3">
        <f>+Tabla145[[#This Row],[Facturación atraso]]</f>
        <v>0</v>
      </c>
      <c r="AL283" s="3">
        <f>+Tabla145[[#This Row],[Plan Ajustado]]-Tabla145[[#This Row],[ Atraso ajustado]]-Tabla145[[#This Row],[Puerto ]]</f>
        <v>0</v>
      </c>
      <c r="AM283" s="6">
        <f>IFERROR(VLOOKUP(Tabla145[[#This Row],[Llave]],[18]!Tabla14[#All],34,FALSE),0)</f>
        <v>0</v>
      </c>
      <c r="AN283" s="6">
        <f>IFERROR(VLOOKUP(Tabla145[[#This Row],[Llave]],[18]!Tabla14[#All],35,FALSE),0)</f>
        <v>0</v>
      </c>
      <c r="AO283" s="3" t="str">
        <f>IF(Tabla145[[#This Row],[Plan Ajustado]]&gt;Tabla145[[#This Row],[En puerto a facturar]],"Si","No")</f>
        <v>No</v>
      </c>
      <c r="AP28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3" s="3">
        <f>IF(Tabla145[[#This Row],[Necesidad]]&gt;=Tabla145[[#This Row],[Stock al día]],Tabla145[[#This Row],[Stock al día]],Tabla145[[#This Row],[Necesidad]])</f>
        <v>0</v>
      </c>
      <c r="AR283" s="3">
        <f>+Tabla145[[#This Row],[Necesidad]]-Tabla145[[#This Row],[Stock Plan]]</f>
        <v>0</v>
      </c>
      <c r="AS283" s="155">
        <f>IFERROR(VLOOKUP(Tabla145[[#This Row],[Oficina]],[19]Ponderación!$B$14:$E$21,4,FALSE),"")</f>
        <v>44786</v>
      </c>
      <c r="AT28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1.6320950278744659</v>
      </c>
      <c r="AU283" s="83">
        <f>IFERROR(VLOOKUP(Tabla145[[#This Row],[Llave]],[17]DELAY!$H:$W,16,FALSE),0)</f>
        <v>1.6651828334916503</v>
      </c>
      <c r="AV28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3" s="5">
        <f>Tabla145[[#This Row],[Ajuste precio IC]]*Tabla145[[#This Row],[Plan Ajustado]]</f>
        <v>0</v>
      </c>
      <c r="AX283" s="30">
        <f>IFERROR(VLOOKUP(Tabla145[[#This Row],[Llave]],'[13]Ultimos precios facturados'!$A:$G,7,FALSE),0)</f>
        <v>1.6320950278744659</v>
      </c>
      <c r="AY28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3" s="30">
        <f>IFERROR(VLOOKUP(Tabla145[[#This Row],[Llave]],Hoja2!B:K,10,FALSE),0)</f>
        <v>0</v>
      </c>
      <c r="BA283" s="30">
        <f>IF(Tabla145[[#This Row],[Ajuste precio IC]]="",Tabla145[[#This Row],[Precio ponderado]],Tabla145[[#This Row],[Precio ponderado]])</f>
        <v>0</v>
      </c>
      <c r="BB283" s="82"/>
      <c r="BC283" s="82" t="str">
        <f>IF(AND(Tabla145[[#This Row],[Atraso a facturar]]&gt;0,Tabla145[[#This Row],[Precio Atraso]]=0),"Revisar","OK")</f>
        <v>OK</v>
      </c>
      <c r="BD283" s="82" t="str">
        <f>IF(AND(Tabla145[[#This Row],[Venta del mes]]&gt;0,Tabla145[[#This Row],[Precio venta nueva]]=0),"Revisar","OK")</f>
        <v>OK</v>
      </c>
      <c r="BE283" s="20">
        <f>IFERROR(VLOOKUP(Tabla145[[#This Row],[Llave]],'[5]Consolidación planes'!$A:$M,9,FALSE),0)</f>
        <v>0</v>
      </c>
      <c r="BF283" s="20">
        <f>IFERROR(VLOOKUP(Tabla145[[#This Row],[Llave]],'[5]Consolidación planes'!$A:$M,10,FALSE),0)</f>
        <v>0</v>
      </c>
      <c r="BG283" s="20">
        <f>IFERROR(VLOOKUP(Tabla145[[#This Row],[Llave]],'[5]Consolidación planes'!$A:$M,11,FALSE),0)</f>
        <v>0</v>
      </c>
      <c r="BH283" s="20">
        <f>IFERROR(VLOOKUP(Tabla145[[#This Row],[Llave]],'[5]Consolidación planes'!$A:$M,12,FALSE),0)</f>
        <v>0</v>
      </c>
      <c r="BI283" s="20">
        <f>IFERROR(VLOOKUP(Tabla145[[#This Row],[Llave]],'[5]Consolidación planes'!$A:$M,13,FALSE),0)</f>
        <v>0</v>
      </c>
      <c r="BJ283" s="20">
        <f>IFERROR(VLOOKUP(Tabla145[[#This Row],[Llave]],'[13]Base ultimos planes'!$A:$M,13,FALSE),0)</f>
        <v>6843</v>
      </c>
      <c r="BK283" s="80">
        <f>IFERROR(VLOOKUP(Tabla145[[#This Row],[Llave]],'[13]Base ultimos planes'!$O:$AA,8,FALSE),0)</f>
        <v>0</v>
      </c>
      <c r="BL283" s="20">
        <f>IFERROR(VLOOKUP(Tabla145[[#This Row],[Llave]],'[13]Base ultimos planes'!$O:$AA,9,FALSE),0)</f>
        <v>0</v>
      </c>
      <c r="BM283" s="20">
        <f>IFERROR(VLOOKUP(Tabla145[[#This Row],[Llave]],'[13]Base ultimos planes'!$O:$AA,10,FALSE),0)</f>
        <v>0</v>
      </c>
      <c r="BN283" s="20">
        <f>IFERROR(VLOOKUP(Tabla145[[#This Row],[Llave]],'[13]Base ultimos planes'!$O:$AA,11,FALSE),0)</f>
        <v>0</v>
      </c>
      <c r="BO283" s="20">
        <f>IFERROR(VLOOKUP(Tabla145[[#This Row],[Llave]],'[13]Base ultimos planes'!$O:$AA,12,FALSE),0)</f>
        <v>0</v>
      </c>
      <c r="BP283" s="20">
        <f>IFERROR(VLOOKUP(Tabla145[[#This Row],[Llave]],'[13]Base ultimos planes'!$O:$AA,13,FALSE),0)</f>
        <v>11302</v>
      </c>
      <c r="BQ283" s="35"/>
      <c r="BR283" s="20">
        <f>Tabla145[[#This Row],[ RV Producción mes n+1]]*(1-Tabla145[[#This Row],[% Uti. producción]])</f>
        <v>0</v>
      </c>
      <c r="BS283" s="20">
        <f>+Tabla145[[#This Row],[Producción disponible mes n-1]]+Tabla145[[#This Row],[Saldo Volumen disponible]]</f>
        <v>30</v>
      </c>
      <c r="BT283" s="7">
        <f>IFERROR(VLOOKUP(Tabla145[[#This Row],[Llave]],'[21]RV n+2 y n+3'!$B:$F,4,FALSE),0)</f>
        <v>0</v>
      </c>
      <c r="BU283" s="7">
        <f>+Tabla145[[#This Row],[Asignación mes n+2]]*Tabla145[[#This Row],[% Uti. producción]]</f>
        <v>0</v>
      </c>
      <c r="BV283" s="7">
        <f>+Tabla145[[#This Row],[Ponderación mes n+2]]+Tabla145[[#This Row],[Saldo mes n-1]]</f>
        <v>30</v>
      </c>
      <c r="BW283" s="7">
        <f>+Tabla145[[#This Row],[Asignación mes n+2]]-Tabla145[[#This Row],[Ponderación mes n+2]]</f>
        <v>0</v>
      </c>
      <c r="BX283" s="7">
        <f>IFERROR(VLOOKUP(Tabla145[[#This Row],[Llave]],'[21]RV n+2 y n+3'!$B:$F,5,FALSE),0)</f>
        <v>0</v>
      </c>
      <c r="BY283" s="7">
        <f>+Tabla145[[#This Row],[Asignación mes n+3]]*Tabla145[[#This Row],[% Uti. producción]]</f>
        <v>0</v>
      </c>
      <c r="BZ283" s="3">
        <f>+Tabla145[[#This Row],[Ponderación mes n+3]]+Tabla145[[#This Row],[Saldo mes n+2]]</f>
        <v>0</v>
      </c>
      <c r="CA283" s="3">
        <f>+Tabla145[[#This Row],[Asignación mes n+3]]-Tabla145[[#This Row],[Ponderación mes n+3]]</f>
        <v>0</v>
      </c>
      <c r="CB283" s="3">
        <f>+Tabla145[[#This Row],[Producción disponible mes n-1]]+Tabla145[[#This Row],[Producción disponible]]</f>
        <v>0</v>
      </c>
      <c r="CC283" s="3">
        <f>+Tabla145[[#This Row],[Saldo mes n+4]]-Tabla145[[#This Row],[ RV Producción mes n+1]]</f>
        <v>0</v>
      </c>
    </row>
    <row r="284" spans="1:81" ht="16" x14ac:dyDescent="0.2">
      <c r="A284">
        <v>2</v>
      </c>
      <c r="B284" t="str">
        <f>Tabla145[[#This Row],[Oficina]]&amp;Tabla145[[#This Row],[Material]]</f>
        <v>Agrosuper Shanghai1023364</v>
      </c>
      <c r="C284" t="s">
        <v>6</v>
      </c>
      <c r="D284" t="s">
        <v>140</v>
      </c>
      <c r="E284">
        <v>1023364</v>
      </c>
      <c r="F284" t="s">
        <v>607</v>
      </c>
      <c r="G284" t="s">
        <v>76</v>
      </c>
      <c r="H284" t="s">
        <v>77</v>
      </c>
      <c r="I284" s="15">
        <f>IFERROR(VLOOKUP(Tabla145[[#This Row],[Llave]],'[7]RV Producción'!$C:$G,5,FALSE),0)</f>
        <v>0</v>
      </c>
      <c r="J284" s="3">
        <f>IFERROR(IF(Tabla145[[#This Row],[Oficina]]=$I$7,VLOOKUP(Tabla145[[#This Row],[Llave]],'[7]Shangai (Tomas)'!$A:$F,6,FALSE),VLOOKUP(Tabla145[[#This Row],[Llave]],'[7]RV plan de ventas'!$A:$E,5,FALSE)),0)</f>
        <v>0</v>
      </c>
      <c r="K284" s="17">
        <f>IFERROR(VLOOKUP(Tabla145[[#This Row],[Oficina]],[15]Ponderación!$B$2:$E$9,4,FALSE),0)</f>
        <v>0.45719439678473212</v>
      </c>
      <c r="L284" s="7">
        <f>+Tabla145[[#This Row],[ RV Producción mes n+1]]*Tabla145[[#This Row],[% Uti. producción]]</f>
        <v>0</v>
      </c>
      <c r="M284" s="7">
        <f>IFERROR(VLOOKUP(Tabla145[[#This Row],[Material]],[16]Stock!$G:$K,5,FALSE),0)</f>
        <v>436</v>
      </c>
      <c r="N284" s="7">
        <f>IFERROR(VLOOKUP(Tabla145[[#This Row],[Material]],[16]Produccion!$M:$N,2,FALSE),0)</f>
        <v>0</v>
      </c>
      <c r="O284" s="7">
        <f>IFERROR(VLOOKUP(Tabla145[[#This Row],[Llave]],'[16]TD Conf-AP'!$I:$M,4,FALSE),0)</f>
        <v>0</v>
      </c>
      <c r="P284" s="37">
        <f>SUM(Tabla145[[#This Row],[Producción disponible]],Tabla145[[#This Row],[Stock al día]],(Tabla145[[#This Row],[Por producir mes N]]*0.9))-Tabla145[[#This Row],[Producción por despachar mes N]]</f>
        <v>436</v>
      </c>
      <c r="Q284" s="7">
        <f>IFERROR(VLOOKUP(Tabla145[[#This Row],[Llave]],[17]DELAY!$A:$D,4,FALSE),0)</f>
        <v>500</v>
      </c>
      <c r="R284" s="9">
        <v>500</v>
      </c>
      <c r="S284" s="5">
        <f t="shared" si="9"/>
        <v>0</v>
      </c>
      <c r="T284" s="76"/>
      <c r="U284" s="5">
        <f>+Tabla145[[#This Row],[Atraso a facturar]]+Tabla145[[#This Row],[Ajuste atraso]]</f>
        <v>0</v>
      </c>
      <c r="V284" s="3">
        <f>+Tabla145[[#This Row],[Total disponible]]-Tabla145[[#This Row],[Facturación atraso]]</f>
        <v>436</v>
      </c>
      <c r="W284" s="6">
        <f>IFERROR(IF(AND(V284&gt;R284,J284&gt;=R284),ROUNDDOWN((Tabla145[[#This Row],[Producción para venta nueva]])/R284,0)*R284,0),0)</f>
        <v>0</v>
      </c>
      <c r="X284" s="76">
        <v>0</v>
      </c>
      <c r="Y284" s="6">
        <f>IF(Tabla145[[#This Row],[Venta del mes]]&gt;0,Tabla145[[#This Row],[Venta del mes]]+Tabla145[[#This Row],[Ajuste venta nueva]],0)</f>
        <v>0</v>
      </c>
      <c r="Z284" s="6">
        <f>+Tabla145[[#This Row],[Producción para venta nueva]]-Tabla145[[#This Row],[Facturación Venta nueva]]</f>
        <v>436</v>
      </c>
      <c r="AA284" s="6">
        <f>IF(AND(A284=1,Tabla145[[#This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4" s="6">
        <v>0</v>
      </c>
      <c r="AC284" s="6">
        <f>IF(Tabla145[[#This Row],[Disponible stock sin venta]]&gt;0,Tabla145[[#This Row],[Disponible stock sin venta]]+Tabla145[[#This Row],[Ajuste stock sin venta]],0)</f>
        <v>0</v>
      </c>
      <c r="AD284" s="3">
        <f>IFERROR(VLOOKUP(Tabla145[[#This Row],[Llave]],'[16]TD Puerto'!$A:$D,4,FALSE),0)</f>
        <v>0</v>
      </c>
      <c r="AE284" s="3">
        <v>0</v>
      </c>
      <c r="AF284" s="3">
        <f>+Tabla145[[#This Row],[Plan Irrestricto Inicial]]</f>
        <v>0</v>
      </c>
      <c r="AG284" s="3">
        <f>+Tabla145[[#This Row],[En puerto a facturar]]</f>
        <v>0</v>
      </c>
      <c r="AH284" s="3">
        <f>+Tabla145[[#This Row],[Facturación atraso]]</f>
        <v>0</v>
      </c>
      <c r="AI284" s="3">
        <f>+Tabla145[[#This Row],[Plan Irrestricto]]-Tabla145[[#This Row],[Puerto ]]-Tabla145[[#This Row],[Atraso]]</f>
        <v>0</v>
      </c>
      <c r="AJ28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4" s="3">
        <f>+Tabla145[[#This Row],[Facturación atraso]]</f>
        <v>0</v>
      </c>
      <c r="AL284" s="3">
        <f>+Tabla145[[#This Row],[Plan Ajustado]]-Tabla145[[#This Row],[ Atraso ajustado]]-Tabla145[[#This Row],[Puerto ]]</f>
        <v>0</v>
      </c>
      <c r="AM284" s="6">
        <f>IFERROR(VLOOKUP(Tabla145[[#This Row],[Llave]],[18]!Tabla14[#All],34,FALSE),0)</f>
        <v>0</v>
      </c>
      <c r="AN284" s="6">
        <f>IFERROR(VLOOKUP(Tabla145[[#This Row],[Llave]],[18]!Tabla14[#All],35,FALSE),0)</f>
        <v>0</v>
      </c>
      <c r="AO284" s="3" t="str">
        <f>IF(Tabla145[[#This Row],[Plan Ajustado]]&gt;Tabla145[[#This Row],[En puerto a facturar]],"Si","No")</f>
        <v>No</v>
      </c>
      <c r="AP28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4" s="3">
        <f>IF(Tabla145[[#This Row],[Necesidad]]&gt;=Tabla145[[#This Row],[Stock al día]],Tabla145[[#This Row],[Stock al día]],Tabla145[[#This Row],[Necesidad]])</f>
        <v>0</v>
      </c>
      <c r="AR284" s="3">
        <f>+Tabla145[[#This Row],[Necesidad]]-Tabla145[[#This Row],[Stock Plan]]</f>
        <v>0</v>
      </c>
      <c r="AS284" s="155">
        <f>IFERROR(VLOOKUP(Tabla145[[#This Row],[Oficina]],[19]Ponderación!$B$14:$E$21,4,FALSE),"")</f>
        <v>44786</v>
      </c>
      <c r="AT28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84" s="83">
        <f>IFERROR(VLOOKUP(Tabla145[[#This Row],[Llave]],[17]DELAY!$H:$W,16,FALSE),0)</f>
        <v>4.75</v>
      </c>
      <c r="AV28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4" s="5">
        <f>Tabla145[[#This Row],[Ajuste precio IC]]*Tabla145[[#This Row],[Plan Ajustado]]</f>
        <v>0</v>
      </c>
      <c r="AX284" s="30">
        <f>IFERROR(VLOOKUP(Tabla145[[#This Row],[Llave]],'[13]Ultimos precios facturados'!$A:$G,7,FALSE),0)</f>
        <v>0</v>
      </c>
      <c r="AY28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4" s="30">
        <f>IFERROR(VLOOKUP(Tabla145[[#This Row],[Llave]],Hoja2!B:K,10,FALSE),0)</f>
        <v>0</v>
      </c>
      <c r="BA284" s="30">
        <f>IF(Tabla145[[#This Row],[Ajuste precio IC]]="",Tabla145[[#This Row],[Precio ponderado]],Tabla145[[#This Row],[Precio ponderado]])</f>
        <v>0</v>
      </c>
      <c r="BB284" s="82"/>
      <c r="BC284" s="82" t="str">
        <f>IF(AND(Tabla145[[#This Row],[Atraso a facturar]]&gt;0,Tabla145[[#This Row],[Precio Atraso]]=0),"Revisar","OK")</f>
        <v>OK</v>
      </c>
      <c r="BD284" s="82" t="str">
        <f>IF(AND(Tabla145[[#This Row],[Venta del mes]]&gt;0,Tabla145[[#This Row],[Precio venta nueva]]=0),"Revisar","OK")</f>
        <v>OK</v>
      </c>
      <c r="BE284" s="20">
        <f>IFERROR(VLOOKUP(Tabla145[[#This Row],[Llave]],'[5]Consolidación planes'!$A:$M,9,FALSE),0)</f>
        <v>0</v>
      </c>
      <c r="BF284" s="20">
        <f>IFERROR(VLOOKUP(Tabla145[[#This Row],[Llave]],'[5]Consolidación planes'!$A:$M,10,FALSE),0)</f>
        <v>0</v>
      </c>
      <c r="BG284" s="20">
        <f>IFERROR(VLOOKUP(Tabla145[[#This Row],[Llave]],'[5]Consolidación planes'!$A:$M,11,FALSE),0)</f>
        <v>0</v>
      </c>
      <c r="BH284" s="20">
        <f>IFERROR(VLOOKUP(Tabla145[[#This Row],[Llave]],'[5]Consolidación planes'!$A:$M,12,FALSE),0)</f>
        <v>0</v>
      </c>
      <c r="BI284" s="20">
        <f>IFERROR(VLOOKUP(Tabla145[[#This Row],[Llave]],'[5]Consolidación planes'!$A:$M,13,FALSE),0)</f>
        <v>0</v>
      </c>
      <c r="BJ284" s="20">
        <f>IFERROR(VLOOKUP(Tabla145[[#This Row],[Llave]],'[13]Base ultimos planes'!$A:$M,13,FALSE),0)</f>
        <v>0</v>
      </c>
      <c r="BK284" s="80">
        <f>IFERROR(VLOOKUP(Tabla145[[#This Row],[Llave]],'[13]Base ultimos planes'!$O:$AA,8,FALSE),0)</f>
        <v>0</v>
      </c>
      <c r="BL284" s="20">
        <f>IFERROR(VLOOKUP(Tabla145[[#This Row],[Llave]],'[13]Base ultimos planes'!$O:$AA,9,FALSE),0)</f>
        <v>0</v>
      </c>
      <c r="BM284" s="20">
        <f>IFERROR(VLOOKUP(Tabla145[[#This Row],[Llave]],'[13]Base ultimos planes'!$O:$AA,10,FALSE),0)</f>
        <v>0</v>
      </c>
      <c r="BN284" s="20">
        <f>IFERROR(VLOOKUP(Tabla145[[#This Row],[Llave]],'[13]Base ultimos planes'!$O:$AA,11,FALSE),0)</f>
        <v>0</v>
      </c>
      <c r="BO284" s="20">
        <f>IFERROR(VLOOKUP(Tabla145[[#This Row],[Llave]],'[13]Base ultimos planes'!$O:$AA,12,FALSE),0)</f>
        <v>0</v>
      </c>
      <c r="BP284" s="20">
        <f>IFERROR(VLOOKUP(Tabla145[[#This Row],[Llave]],'[13]Base ultimos planes'!$O:$AA,13,FALSE),0)</f>
        <v>0</v>
      </c>
      <c r="BQ284" s="35"/>
      <c r="BR284" s="20">
        <f>Tabla145[[#This Row],[ RV Producción mes n+1]]*(1-Tabla145[[#This Row],[% Uti. producción]])</f>
        <v>0</v>
      </c>
      <c r="BS284" s="20">
        <f>+Tabla145[[#This Row],[Producción disponible mes n-1]]+Tabla145[[#This Row],[Saldo Volumen disponible]]</f>
        <v>436</v>
      </c>
      <c r="BT284" s="7">
        <f>IFERROR(VLOOKUP(Tabla145[[#This Row],[Llave]],'[21]RV n+2 y n+3'!$B:$F,4,FALSE),0)</f>
        <v>0</v>
      </c>
      <c r="BU284" s="7">
        <f>+Tabla145[[#This Row],[Asignación mes n+2]]*Tabla145[[#This Row],[% Uti. producción]]</f>
        <v>0</v>
      </c>
      <c r="BV284" s="7">
        <f>+Tabla145[[#This Row],[Ponderación mes n+2]]+Tabla145[[#This Row],[Saldo mes n-1]]</f>
        <v>436</v>
      </c>
      <c r="BW284" s="7">
        <f>+Tabla145[[#This Row],[Asignación mes n+2]]-Tabla145[[#This Row],[Ponderación mes n+2]]</f>
        <v>0</v>
      </c>
      <c r="BX284" s="7">
        <f>IFERROR(VLOOKUP(Tabla145[[#This Row],[Llave]],'[21]RV n+2 y n+3'!$B:$F,5,FALSE),0)</f>
        <v>0</v>
      </c>
      <c r="BY284" s="7">
        <f>+Tabla145[[#This Row],[Asignación mes n+3]]*Tabla145[[#This Row],[% Uti. producción]]</f>
        <v>0</v>
      </c>
      <c r="BZ284" s="3">
        <f>+Tabla145[[#This Row],[Ponderación mes n+3]]+Tabla145[[#This Row],[Saldo mes n+2]]</f>
        <v>0</v>
      </c>
      <c r="CA284" s="3">
        <f>+Tabla145[[#This Row],[Asignación mes n+3]]-Tabla145[[#This Row],[Ponderación mes n+3]]</f>
        <v>0</v>
      </c>
      <c r="CB284" s="3">
        <f>+Tabla145[[#This Row],[Producción disponible mes n-1]]+Tabla145[[#This Row],[Producción disponible]]</f>
        <v>0</v>
      </c>
      <c r="CC284" s="3">
        <f>+Tabla145[[#This Row],[Saldo mes n+4]]-Tabla145[[#This Row],[ RV Producción mes n+1]]</f>
        <v>0</v>
      </c>
    </row>
    <row r="285" spans="1:81" ht="16" x14ac:dyDescent="0.2">
      <c r="A285">
        <v>2</v>
      </c>
      <c r="B285" t="str">
        <f>Tabla145[[#This Row],[Oficina]]&amp;Tabla145[[#This Row],[Material]]</f>
        <v>Agrosuper Shanghai1023365</v>
      </c>
      <c r="C285" t="s">
        <v>6</v>
      </c>
      <c r="D285" t="s">
        <v>140</v>
      </c>
      <c r="E285">
        <v>1023365</v>
      </c>
      <c r="F285" t="s">
        <v>608</v>
      </c>
      <c r="G285" t="s">
        <v>11</v>
      </c>
      <c r="H285" t="s">
        <v>47</v>
      </c>
      <c r="I285" s="15">
        <f>IFERROR(VLOOKUP(Tabla145[[#This Row],[Llave]],'[7]RV Producción'!$C:$G,5,FALSE),0)</f>
        <v>0</v>
      </c>
      <c r="J285" s="3">
        <f>IFERROR(IF(Tabla145[[#This Row],[Oficina]]=$I$7,VLOOKUP(Tabla145[[#This Row],[Llave]],'[7]Shangai (Tomas)'!$A:$F,6,FALSE),VLOOKUP(Tabla145[[#This Row],[Llave]],'[7]RV plan de ventas'!$A:$E,5,FALSE)),0)</f>
        <v>0</v>
      </c>
      <c r="K285" s="17">
        <f>IFERROR(VLOOKUP(Tabla145[[#This Row],[Oficina]],[15]Ponderación!$B$2:$E$9,4,FALSE),0)</f>
        <v>0.45719439678473212</v>
      </c>
      <c r="L285" s="7">
        <f>+Tabla145[[#This Row],[ RV Producción mes n+1]]*Tabla145[[#This Row],[% Uti. producción]]</f>
        <v>0</v>
      </c>
      <c r="M285" s="7">
        <f>IFERROR(VLOOKUP(Tabla145[[#This Row],[Material]],[16]Stock!$G:$K,5,FALSE),0)</f>
        <v>499</v>
      </c>
      <c r="N285" s="7">
        <f>IFERROR(VLOOKUP(Tabla145[[#This Row],[Material]],[16]Produccion!$M:$N,2,FALSE),0)</f>
        <v>0</v>
      </c>
      <c r="O285" s="7">
        <f>IFERROR(VLOOKUP(Tabla145[[#This Row],[Llave]],'[16]TD Conf-AP'!$I:$M,4,FALSE),0)</f>
        <v>0</v>
      </c>
      <c r="P285" s="37">
        <f>SUM(Tabla145[[#This Row],[Producción disponible]],Tabla145[[#This Row],[Stock al día]],(Tabla145[[#This Row],[Por producir mes N]]*0.9))-Tabla145[[#This Row],[Producción por despachar mes N]]</f>
        <v>499</v>
      </c>
      <c r="Q285" s="7">
        <f>IFERROR(VLOOKUP(Tabla145[[#This Row],[Llave]],[17]DELAY!$A:$D,4,FALSE),0)</f>
        <v>313</v>
      </c>
      <c r="R285" s="9">
        <v>313</v>
      </c>
      <c r="S285" s="5">
        <f t="shared" si="9"/>
        <v>313</v>
      </c>
      <c r="T285" s="76"/>
      <c r="U285" s="5">
        <f>+Tabla145[[#This Row],[Atraso a facturar]]+Tabla145[[#This Row],[Ajuste atraso]]</f>
        <v>313</v>
      </c>
      <c r="V285" s="3">
        <f>+Tabla145[[#This Row],[Total disponible]]-Tabla145[[#This Row],[Facturación atraso]]</f>
        <v>186</v>
      </c>
      <c r="W285" s="6">
        <f>IFERROR(IF(AND(V285&gt;R285,J285&gt;=R285),ROUNDDOWN((Tabla145[[#This Row],[Producción para venta nueva]])/R285,0)*R285,0),0)</f>
        <v>0</v>
      </c>
      <c r="X285" s="76">
        <v>0</v>
      </c>
      <c r="Y285" s="6">
        <f>IF(Tabla145[[#This Row],[Venta del mes]]&gt;0,Tabla145[[#This Row],[Venta del mes]]+Tabla145[[#This Row],[Ajuste venta nueva]],0)</f>
        <v>0</v>
      </c>
      <c r="Z285" s="6">
        <f>+Tabla145[[#This Row],[Producción para venta nueva]]-Tabla145[[#This Row],[Facturación Venta nueva]]</f>
        <v>186</v>
      </c>
      <c r="AA285" s="6">
        <f>IF(AND(A285=1,Tabla145[[#This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5" s="6">
        <v>0</v>
      </c>
      <c r="AC285" s="6">
        <f>IF(Tabla145[[#This Row],[Disponible stock sin venta]]&gt;0,Tabla145[[#This Row],[Disponible stock sin venta]]+Tabla145[[#This Row],[Ajuste stock sin venta]],0)</f>
        <v>0</v>
      </c>
      <c r="AD285" s="3">
        <f>IFERROR(VLOOKUP(Tabla145[[#This Row],[Llave]],'[16]TD Puerto'!$A:$D,4,FALSE),0)</f>
        <v>0</v>
      </c>
      <c r="AE285" s="3">
        <v>0</v>
      </c>
      <c r="AF285" s="3">
        <f>+Tabla145[[#This Row],[Plan Irrestricto Inicial]]</f>
        <v>0</v>
      </c>
      <c r="AG285" s="3">
        <f>+Tabla145[[#This Row],[En puerto a facturar]]</f>
        <v>0</v>
      </c>
      <c r="AH285" s="3">
        <f>+Tabla145[[#This Row],[Facturación atraso]]</f>
        <v>313</v>
      </c>
      <c r="AI285" s="3">
        <f>+Tabla145[[#This Row],[Plan Irrestricto]]-Tabla145[[#This Row],[Puerto ]]-Tabla145[[#This Row],[Atraso]]</f>
        <v>-313</v>
      </c>
      <c r="AJ28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5" s="3">
        <f>+Tabla145[[#This Row],[Facturación atraso]]</f>
        <v>313</v>
      </c>
      <c r="AL285" s="3">
        <f>+Tabla145[[#This Row],[Plan Ajustado]]-Tabla145[[#This Row],[ Atraso ajustado]]-Tabla145[[#This Row],[Puerto ]]</f>
        <v>-313</v>
      </c>
      <c r="AM285" s="6">
        <f>IFERROR(VLOOKUP(Tabla145[[#This Row],[Llave]],[18]!Tabla14[#All],34,FALSE),0)</f>
        <v>0</v>
      </c>
      <c r="AN285" s="6">
        <f>IFERROR(VLOOKUP(Tabla145[[#This Row],[Llave]],[18]!Tabla14[#All],35,FALSE),0)</f>
        <v>0</v>
      </c>
      <c r="AO285" s="3" t="str">
        <f>IF(Tabla145[[#This Row],[Plan Ajustado]]&gt;Tabla145[[#This Row],[En puerto a facturar]],"Si","No")</f>
        <v>No</v>
      </c>
      <c r="AP28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5" s="3">
        <f>IF(Tabla145[[#This Row],[Necesidad]]&gt;=Tabla145[[#This Row],[Stock al día]],Tabla145[[#This Row],[Stock al día]],Tabla145[[#This Row],[Necesidad]])</f>
        <v>0</v>
      </c>
      <c r="AR285" s="3">
        <f>+Tabla145[[#This Row],[Necesidad]]-Tabla145[[#This Row],[Stock Plan]]</f>
        <v>0</v>
      </c>
      <c r="AS285" s="155">
        <f>IFERROR(VLOOKUP(Tabla145[[#This Row],[Oficina]],[19]Ponderación!$B$14:$E$21,4,FALSE),"")</f>
        <v>44786</v>
      </c>
      <c r="AT28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85" s="83">
        <f>IFERROR(VLOOKUP(Tabla145[[#This Row],[Llave]],[17]DELAY!$H:$W,16,FALSE),0)</f>
        <v>0.89999999999999991</v>
      </c>
      <c r="AV28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5" s="5">
        <f>Tabla145[[#This Row],[Ajuste precio IC]]*Tabla145[[#This Row],[Plan Ajustado]]</f>
        <v>0</v>
      </c>
      <c r="AX285" s="30">
        <f>IFERROR(VLOOKUP(Tabla145[[#This Row],[Llave]],'[13]Ultimos precios facturados'!$A:$G,7,FALSE),0)</f>
        <v>0</v>
      </c>
      <c r="AY28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5" s="30">
        <f>IFERROR(VLOOKUP(Tabla145[[#This Row],[Llave]],Hoja2!B:K,10,FALSE),0)</f>
        <v>0.89999999999999991</v>
      </c>
      <c r="BA285" s="30">
        <f>IF(Tabla145[[#This Row],[Ajuste precio IC]]="",Tabla145[[#This Row],[Precio ponderado]],Tabla145[[#This Row],[Precio ponderado]])</f>
        <v>0</v>
      </c>
      <c r="BB285" s="82"/>
      <c r="BC285" s="82" t="str">
        <f>IF(AND(Tabla145[[#This Row],[Atraso a facturar]]&gt;0,Tabla145[[#This Row],[Precio Atraso]]=0),"Revisar","OK")</f>
        <v>OK</v>
      </c>
      <c r="BD285" s="82" t="str">
        <f>IF(AND(Tabla145[[#This Row],[Venta del mes]]&gt;0,Tabla145[[#This Row],[Precio venta nueva]]=0),"Revisar","OK")</f>
        <v>OK</v>
      </c>
      <c r="BE285" s="20">
        <f>IFERROR(VLOOKUP(Tabla145[[#This Row],[Llave]],'[5]Consolidación planes'!$A:$M,9,FALSE),0)</f>
        <v>0</v>
      </c>
      <c r="BF285" s="20">
        <f>IFERROR(VLOOKUP(Tabla145[[#This Row],[Llave]],'[5]Consolidación planes'!$A:$M,10,FALSE),0)</f>
        <v>0</v>
      </c>
      <c r="BG285" s="20">
        <f>IFERROR(VLOOKUP(Tabla145[[#This Row],[Llave]],'[5]Consolidación planes'!$A:$M,11,FALSE),0)</f>
        <v>0</v>
      </c>
      <c r="BH285" s="20">
        <f>IFERROR(VLOOKUP(Tabla145[[#This Row],[Llave]],'[5]Consolidación planes'!$A:$M,12,FALSE),0)</f>
        <v>0</v>
      </c>
      <c r="BI285" s="20">
        <f>IFERROR(VLOOKUP(Tabla145[[#This Row],[Llave]],'[5]Consolidación planes'!$A:$M,13,FALSE),0)</f>
        <v>0</v>
      </c>
      <c r="BJ285" s="20">
        <f>IFERROR(VLOOKUP(Tabla145[[#This Row],[Llave]],'[13]Base ultimos planes'!$A:$M,13,FALSE),0)</f>
        <v>313</v>
      </c>
      <c r="BK285" s="80">
        <f>IFERROR(VLOOKUP(Tabla145[[#This Row],[Llave]],'[13]Base ultimos planes'!$O:$AA,8,FALSE),0)</f>
        <v>0</v>
      </c>
      <c r="BL285" s="20">
        <f>IFERROR(VLOOKUP(Tabla145[[#This Row],[Llave]],'[13]Base ultimos planes'!$O:$AA,9,FALSE),0)</f>
        <v>0</v>
      </c>
      <c r="BM285" s="20">
        <f>IFERROR(VLOOKUP(Tabla145[[#This Row],[Llave]],'[13]Base ultimos planes'!$O:$AA,10,FALSE),0)</f>
        <v>0</v>
      </c>
      <c r="BN285" s="20">
        <f>IFERROR(VLOOKUP(Tabla145[[#This Row],[Llave]],'[13]Base ultimos planes'!$O:$AA,11,FALSE),0)</f>
        <v>0</v>
      </c>
      <c r="BO285" s="20">
        <f>IFERROR(VLOOKUP(Tabla145[[#This Row],[Llave]],'[13]Base ultimos planes'!$O:$AA,12,FALSE),0)</f>
        <v>0</v>
      </c>
      <c r="BP285" s="20">
        <f>IFERROR(VLOOKUP(Tabla145[[#This Row],[Llave]],'[13]Base ultimos planes'!$O:$AA,13,FALSE),0)</f>
        <v>282</v>
      </c>
      <c r="BQ285" s="35"/>
      <c r="BR285" s="20">
        <f>Tabla145[[#This Row],[ RV Producción mes n+1]]*(1-Tabla145[[#This Row],[% Uti. producción]])</f>
        <v>0</v>
      </c>
      <c r="BS285" s="20">
        <f>+Tabla145[[#This Row],[Producción disponible mes n-1]]+Tabla145[[#This Row],[Saldo Volumen disponible]]</f>
        <v>186</v>
      </c>
      <c r="BT285" s="7">
        <f>IFERROR(VLOOKUP(Tabla145[[#This Row],[Llave]],'[21]RV n+2 y n+3'!$B:$F,4,FALSE),0)</f>
        <v>0</v>
      </c>
      <c r="BU285" s="7">
        <f>+Tabla145[[#This Row],[Asignación mes n+2]]*Tabla145[[#This Row],[% Uti. producción]]</f>
        <v>0</v>
      </c>
      <c r="BV285" s="7">
        <f>+Tabla145[[#This Row],[Ponderación mes n+2]]+Tabla145[[#This Row],[Saldo mes n-1]]</f>
        <v>186</v>
      </c>
      <c r="BW285" s="7">
        <f>+Tabla145[[#This Row],[Asignación mes n+2]]-Tabla145[[#This Row],[Ponderación mes n+2]]</f>
        <v>0</v>
      </c>
      <c r="BX285" s="7">
        <f>IFERROR(VLOOKUP(Tabla145[[#This Row],[Llave]],'[21]RV n+2 y n+3'!$B:$F,5,FALSE),0)</f>
        <v>0</v>
      </c>
      <c r="BY285" s="7">
        <f>+Tabla145[[#This Row],[Asignación mes n+3]]*Tabla145[[#This Row],[% Uti. producción]]</f>
        <v>0</v>
      </c>
      <c r="BZ285" s="3">
        <f>+Tabla145[[#This Row],[Ponderación mes n+3]]+Tabla145[[#This Row],[Saldo mes n+2]]</f>
        <v>0</v>
      </c>
      <c r="CA285" s="3">
        <f>+Tabla145[[#This Row],[Asignación mes n+3]]-Tabla145[[#This Row],[Ponderación mes n+3]]</f>
        <v>0</v>
      </c>
      <c r="CB285" s="3">
        <f>+Tabla145[[#This Row],[Producción disponible mes n-1]]+Tabla145[[#This Row],[Producción disponible]]</f>
        <v>0</v>
      </c>
      <c r="CC285" s="3">
        <f>+Tabla145[[#This Row],[Saldo mes n+4]]-Tabla145[[#This Row],[ RV Producción mes n+1]]</f>
        <v>0</v>
      </c>
    </row>
    <row r="286" spans="1:81" ht="16" x14ac:dyDescent="0.2">
      <c r="A286">
        <v>2</v>
      </c>
      <c r="B286" t="str">
        <f>Tabla145[[#This Row],[Oficina]]&amp;Tabla145[[#This Row],[Material]]</f>
        <v>Agrosuper Shanghai1023366</v>
      </c>
      <c r="C286" t="s">
        <v>6</v>
      </c>
      <c r="D286" t="s">
        <v>140</v>
      </c>
      <c r="E286">
        <v>1023366</v>
      </c>
      <c r="F286" t="s">
        <v>609</v>
      </c>
      <c r="G286" t="s">
        <v>76</v>
      </c>
      <c r="H286" t="s">
        <v>77</v>
      </c>
      <c r="I286" s="15">
        <f>IFERROR(VLOOKUP(Tabla145[[#This Row],[Llave]],'[7]RV Producción'!$C:$G,5,FALSE),0)</f>
        <v>0</v>
      </c>
      <c r="J286" s="3">
        <f>IFERROR(IF(Tabla145[[#This Row],[Oficina]]=$I$7,VLOOKUP(Tabla145[[#This Row],[Llave]],'[7]Shangai (Tomas)'!$A:$F,6,FALSE),VLOOKUP(Tabla145[[#This Row],[Llave]],'[7]RV plan de ventas'!$A:$E,5,FALSE)),0)</f>
        <v>0</v>
      </c>
      <c r="K286" s="17">
        <f>IFERROR(VLOOKUP(Tabla145[[#This Row],[Oficina]],[15]Ponderación!$B$2:$E$9,4,FALSE),0)</f>
        <v>0.45719439678473212</v>
      </c>
      <c r="L286" s="7">
        <f>+Tabla145[[#This Row],[ RV Producción mes n+1]]*Tabla145[[#This Row],[% Uti. producción]]</f>
        <v>0</v>
      </c>
      <c r="M286" s="7">
        <f>IFERROR(VLOOKUP(Tabla145[[#This Row],[Material]],[16]Stock!$G:$K,5,FALSE),0)</f>
        <v>370</v>
      </c>
      <c r="N286" s="7">
        <f>IFERROR(VLOOKUP(Tabla145[[#This Row],[Material]],[16]Produccion!$M:$N,2,FALSE),0)</f>
        <v>0</v>
      </c>
      <c r="O286" s="7">
        <f>IFERROR(VLOOKUP(Tabla145[[#This Row],[Llave]],'[16]TD Conf-AP'!$I:$M,4,FALSE),0)</f>
        <v>0</v>
      </c>
      <c r="P286" s="37">
        <f>SUM(Tabla145[[#This Row],[Producción disponible]],Tabla145[[#This Row],[Stock al día]],(Tabla145[[#This Row],[Por producir mes N]]*0.9))-Tabla145[[#This Row],[Producción por despachar mes N]]</f>
        <v>370</v>
      </c>
      <c r="Q286" s="7">
        <f>IFERROR(VLOOKUP(Tabla145[[#This Row],[Llave]],[17]DELAY!$A:$D,4,FALSE),0)</f>
        <v>557</v>
      </c>
      <c r="R286" s="9">
        <v>557</v>
      </c>
      <c r="S286" s="5">
        <f t="shared" si="9"/>
        <v>0</v>
      </c>
      <c r="T286" s="76"/>
      <c r="U286" s="5">
        <f>+Tabla145[[#This Row],[Atraso a facturar]]+Tabla145[[#This Row],[Ajuste atraso]]</f>
        <v>0</v>
      </c>
      <c r="V286" s="3">
        <f>+Tabla145[[#This Row],[Total disponible]]-Tabla145[[#This Row],[Facturación atraso]]</f>
        <v>370</v>
      </c>
      <c r="W286" s="6">
        <f>IFERROR(IF(AND(V286&gt;R286,J286&gt;=R286),ROUNDDOWN((Tabla145[[#This Row],[Producción para venta nueva]])/R286,0)*R286,0),0)</f>
        <v>0</v>
      </c>
      <c r="X286" s="76">
        <v>0</v>
      </c>
      <c r="Y286" s="6">
        <f>IF(Tabla145[[#This Row],[Venta del mes]]&gt;0,Tabla145[[#This Row],[Venta del mes]]+Tabla145[[#This Row],[Ajuste venta nueva]],0)</f>
        <v>0</v>
      </c>
      <c r="Z286" s="6">
        <f>+Tabla145[[#This Row],[Producción para venta nueva]]-Tabla145[[#This Row],[Facturación Venta nueva]]</f>
        <v>370</v>
      </c>
      <c r="AA286" s="6">
        <f>IF(AND(A286=1,Tabla145[[#This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6" s="6">
        <v>0</v>
      </c>
      <c r="AC286" s="6">
        <f>IF(Tabla145[[#This Row],[Disponible stock sin venta]]&gt;0,Tabla145[[#This Row],[Disponible stock sin venta]]+Tabla145[[#This Row],[Ajuste stock sin venta]],0)</f>
        <v>0</v>
      </c>
      <c r="AD286" s="3">
        <f>IFERROR(VLOOKUP(Tabla145[[#This Row],[Llave]],'[16]TD Puerto'!$A:$D,4,FALSE),0)</f>
        <v>0</v>
      </c>
      <c r="AE286" s="3">
        <v>0</v>
      </c>
      <c r="AF286" s="3">
        <f>+Tabla145[[#This Row],[Plan Irrestricto Inicial]]</f>
        <v>0</v>
      </c>
      <c r="AG286" s="3">
        <f>+Tabla145[[#This Row],[En puerto a facturar]]</f>
        <v>0</v>
      </c>
      <c r="AH286" s="3">
        <f>+Tabla145[[#This Row],[Facturación atraso]]</f>
        <v>0</v>
      </c>
      <c r="AI286" s="3">
        <f>+Tabla145[[#This Row],[Plan Irrestricto]]-Tabla145[[#This Row],[Puerto ]]-Tabla145[[#This Row],[Atraso]]</f>
        <v>0</v>
      </c>
      <c r="AJ28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6" s="3">
        <f>+Tabla145[[#This Row],[Facturación atraso]]</f>
        <v>0</v>
      </c>
      <c r="AL286" s="3">
        <f>+Tabla145[[#This Row],[Plan Ajustado]]-Tabla145[[#This Row],[ Atraso ajustado]]-Tabla145[[#This Row],[Puerto ]]</f>
        <v>0</v>
      </c>
      <c r="AM286" s="6">
        <f>IFERROR(VLOOKUP(Tabla145[[#This Row],[Llave]],[18]!Tabla14[#All],34,FALSE),0)</f>
        <v>0</v>
      </c>
      <c r="AN286" s="6">
        <f>IFERROR(VLOOKUP(Tabla145[[#This Row],[Llave]],[18]!Tabla14[#All],35,FALSE),0)</f>
        <v>0</v>
      </c>
      <c r="AO286" s="3" t="str">
        <f>IF(Tabla145[[#This Row],[Plan Ajustado]]&gt;Tabla145[[#This Row],[En puerto a facturar]],"Si","No")</f>
        <v>No</v>
      </c>
      <c r="AP28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6" s="3">
        <f>IF(Tabla145[[#This Row],[Necesidad]]&gt;=Tabla145[[#This Row],[Stock al día]],Tabla145[[#This Row],[Stock al día]],Tabla145[[#This Row],[Necesidad]])</f>
        <v>0</v>
      </c>
      <c r="AR286" s="3">
        <f>+Tabla145[[#This Row],[Necesidad]]-Tabla145[[#This Row],[Stock Plan]]</f>
        <v>0</v>
      </c>
      <c r="AS286" s="155">
        <f>IFERROR(VLOOKUP(Tabla145[[#This Row],[Oficina]],[19]Ponderación!$B$14:$E$21,4,FALSE),"")</f>
        <v>44786</v>
      </c>
      <c r="AT28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86" s="83">
        <f>IFERROR(VLOOKUP(Tabla145[[#This Row],[Llave]],[17]DELAY!$H:$W,16,FALSE),0)</f>
        <v>4.5</v>
      </c>
      <c r="AV28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6" s="5">
        <f>Tabla145[[#This Row],[Ajuste precio IC]]*Tabla145[[#This Row],[Plan Ajustado]]</f>
        <v>0</v>
      </c>
      <c r="AX286" s="30">
        <f>IFERROR(VLOOKUP(Tabla145[[#This Row],[Llave]],'[13]Ultimos precios facturados'!$A:$G,7,FALSE),0)</f>
        <v>0</v>
      </c>
      <c r="AY28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6" s="30">
        <f>IFERROR(VLOOKUP(Tabla145[[#This Row],[Llave]],Hoja2!B:K,10,FALSE),0)</f>
        <v>0</v>
      </c>
      <c r="BA286" s="30">
        <f>IF(Tabla145[[#This Row],[Ajuste precio IC]]="",Tabla145[[#This Row],[Precio ponderado]],Tabla145[[#This Row],[Precio ponderado]])</f>
        <v>0</v>
      </c>
      <c r="BB286" s="82"/>
      <c r="BC286" s="82" t="str">
        <f>IF(AND(Tabla145[[#This Row],[Atraso a facturar]]&gt;0,Tabla145[[#This Row],[Precio Atraso]]=0),"Revisar","OK")</f>
        <v>OK</v>
      </c>
      <c r="BD286" s="82" t="str">
        <f>IF(AND(Tabla145[[#This Row],[Venta del mes]]&gt;0,Tabla145[[#This Row],[Precio venta nueva]]=0),"Revisar","OK")</f>
        <v>OK</v>
      </c>
      <c r="BE286" s="20">
        <f>IFERROR(VLOOKUP(Tabla145[[#This Row],[Llave]],'[5]Consolidación planes'!$A:$M,9,FALSE),0)</f>
        <v>0</v>
      </c>
      <c r="BF286" s="20">
        <f>IFERROR(VLOOKUP(Tabla145[[#This Row],[Llave]],'[5]Consolidación planes'!$A:$M,10,FALSE),0)</f>
        <v>0</v>
      </c>
      <c r="BG286" s="20">
        <f>IFERROR(VLOOKUP(Tabla145[[#This Row],[Llave]],'[5]Consolidación planes'!$A:$M,11,FALSE),0)</f>
        <v>0</v>
      </c>
      <c r="BH286" s="20">
        <f>IFERROR(VLOOKUP(Tabla145[[#This Row],[Llave]],'[5]Consolidación planes'!$A:$M,12,FALSE),0)</f>
        <v>0</v>
      </c>
      <c r="BI286" s="20">
        <f>IFERROR(VLOOKUP(Tabla145[[#This Row],[Llave]],'[5]Consolidación planes'!$A:$M,13,FALSE),0)</f>
        <v>0</v>
      </c>
      <c r="BJ286" s="20">
        <f>IFERROR(VLOOKUP(Tabla145[[#This Row],[Llave]],'[13]Base ultimos planes'!$A:$M,13,FALSE),0)</f>
        <v>0</v>
      </c>
      <c r="BK286" s="80">
        <f>IFERROR(VLOOKUP(Tabla145[[#This Row],[Llave]],'[13]Base ultimos planes'!$O:$AA,8,FALSE),0)</f>
        <v>0</v>
      </c>
      <c r="BL286" s="20">
        <f>IFERROR(VLOOKUP(Tabla145[[#This Row],[Llave]],'[13]Base ultimos planes'!$O:$AA,9,FALSE),0)</f>
        <v>0</v>
      </c>
      <c r="BM286" s="20">
        <f>IFERROR(VLOOKUP(Tabla145[[#This Row],[Llave]],'[13]Base ultimos planes'!$O:$AA,10,FALSE),0)</f>
        <v>0</v>
      </c>
      <c r="BN286" s="20">
        <f>IFERROR(VLOOKUP(Tabla145[[#This Row],[Llave]],'[13]Base ultimos planes'!$O:$AA,11,FALSE),0)</f>
        <v>0</v>
      </c>
      <c r="BO286" s="20">
        <f>IFERROR(VLOOKUP(Tabla145[[#This Row],[Llave]],'[13]Base ultimos planes'!$O:$AA,12,FALSE),0)</f>
        <v>0</v>
      </c>
      <c r="BP286" s="20">
        <f>IFERROR(VLOOKUP(Tabla145[[#This Row],[Llave]],'[13]Base ultimos planes'!$O:$AA,13,FALSE),0)</f>
        <v>0</v>
      </c>
      <c r="BQ286" s="35"/>
      <c r="BR286" s="20">
        <f>Tabla145[[#This Row],[ RV Producción mes n+1]]*(1-Tabla145[[#This Row],[% Uti. producción]])</f>
        <v>0</v>
      </c>
      <c r="BS286" s="20">
        <f>+Tabla145[[#This Row],[Producción disponible mes n-1]]+Tabla145[[#This Row],[Saldo Volumen disponible]]</f>
        <v>370</v>
      </c>
      <c r="BT286" s="7">
        <f>IFERROR(VLOOKUP(Tabla145[[#This Row],[Llave]],'[21]RV n+2 y n+3'!$B:$F,4,FALSE),0)</f>
        <v>0</v>
      </c>
      <c r="BU286" s="7">
        <f>+Tabla145[[#This Row],[Asignación mes n+2]]*Tabla145[[#This Row],[% Uti. producción]]</f>
        <v>0</v>
      </c>
      <c r="BV286" s="7">
        <f>+Tabla145[[#This Row],[Ponderación mes n+2]]+Tabla145[[#This Row],[Saldo mes n-1]]</f>
        <v>370</v>
      </c>
      <c r="BW286" s="7">
        <f>+Tabla145[[#This Row],[Asignación mes n+2]]-Tabla145[[#This Row],[Ponderación mes n+2]]</f>
        <v>0</v>
      </c>
      <c r="BX286" s="7">
        <f>IFERROR(VLOOKUP(Tabla145[[#This Row],[Llave]],'[21]RV n+2 y n+3'!$B:$F,5,FALSE),0)</f>
        <v>0</v>
      </c>
      <c r="BY286" s="7">
        <f>+Tabla145[[#This Row],[Asignación mes n+3]]*Tabla145[[#This Row],[% Uti. producción]]</f>
        <v>0</v>
      </c>
      <c r="BZ286" s="3">
        <f>+Tabla145[[#This Row],[Ponderación mes n+3]]+Tabla145[[#This Row],[Saldo mes n+2]]</f>
        <v>0</v>
      </c>
      <c r="CA286" s="3">
        <f>+Tabla145[[#This Row],[Asignación mes n+3]]-Tabla145[[#This Row],[Ponderación mes n+3]]</f>
        <v>0</v>
      </c>
      <c r="CB286" s="3">
        <f>+Tabla145[[#This Row],[Producción disponible mes n-1]]+Tabla145[[#This Row],[Producción disponible]]</f>
        <v>0</v>
      </c>
      <c r="CC286" s="3">
        <f>+Tabla145[[#This Row],[Saldo mes n+4]]-Tabla145[[#This Row],[ RV Producción mes n+1]]</f>
        <v>0</v>
      </c>
    </row>
    <row r="287" spans="1:81" ht="16" x14ac:dyDescent="0.2">
      <c r="A287">
        <v>2</v>
      </c>
      <c r="B287" t="str">
        <f>Tabla145[[#This Row],[Oficina]]&amp;Tabla145[[#This Row],[Material]]</f>
        <v>Agrosuper Shanghai1023367</v>
      </c>
      <c r="C287" t="s">
        <v>6</v>
      </c>
      <c r="D287" t="s">
        <v>140</v>
      </c>
      <c r="E287">
        <v>1023367</v>
      </c>
      <c r="F287" t="s">
        <v>610</v>
      </c>
      <c r="G287" t="s">
        <v>611</v>
      </c>
      <c r="H287" t="s">
        <v>612</v>
      </c>
      <c r="I287" s="15">
        <f>IFERROR(VLOOKUP(Tabla145[[#This Row],[Llave]],'[7]RV Producción'!$C:$G,5,FALSE),0)</f>
        <v>0</v>
      </c>
      <c r="J287" s="3">
        <f>IFERROR(IF(Tabla145[[#This Row],[Oficina]]=$I$7,VLOOKUP(Tabla145[[#This Row],[Llave]],'[7]Shangai (Tomas)'!$A:$F,6,FALSE),VLOOKUP(Tabla145[[#This Row],[Llave]],'[7]RV plan de ventas'!$A:$E,5,FALSE)),0)</f>
        <v>0</v>
      </c>
      <c r="K287" s="17">
        <f>IFERROR(VLOOKUP(Tabla145[[#This Row],[Oficina]],[15]Ponderación!$B$2:$E$9,4,FALSE),0)</f>
        <v>0.45719439678473212</v>
      </c>
      <c r="L287" s="7">
        <f>+Tabla145[[#This Row],[ RV Producción mes n+1]]*Tabla145[[#This Row],[% Uti. producción]]</f>
        <v>0</v>
      </c>
      <c r="M287" s="7">
        <f>IFERROR(VLOOKUP(Tabla145[[#This Row],[Material]],[16]Stock!$G:$K,5,FALSE),0)</f>
        <v>2935</v>
      </c>
      <c r="N287" s="7">
        <f>IFERROR(VLOOKUP(Tabla145[[#This Row],[Material]],[16]Produccion!$M:$N,2,FALSE),0)</f>
        <v>0</v>
      </c>
      <c r="O287" s="7">
        <f>IFERROR(VLOOKUP(Tabla145[[#This Row],[Llave]],'[16]TD Conf-AP'!$I:$M,4,FALSE),0)</f>
        <v>0</v>
      </c>
      <c r="P287" s="37">
        <f>SUM(Tabla145[[#This Row],[Producción disponible]],Tabla145[[#This Row],[Stock al día]],(Tabla145[[#This Row],[Por producir mes N]]*0.9))-Tabla145[[#This Row],[Producción por despachar mes N]]</f>
        <v>2935</v>
      </c>
      <c r="Q287" s="7">
        <f>IFERROR(VLOOKUP(Tabla145[[#This Row],[Llave]],[17]DELAY!$A:$D,4,FALSE),0)</f>
        <v>3177</v>
      </c>
      <c r="R287" s="9">
        <v>3177</v>
      </c>
      <c r="S287" s="5">
        <f t="shared" si="9"/>
        <v>0</v>
      </c>
      <c r="T287" s="76"/>
      <c r="U287" s="5">
        <f>+Tabla145[[#This Row],[Atraso a facturar]]+Tabla145[[#This Row],[Ajuste atraso]]</f>
        <v>0</v>
      </c>
      <c r="V287" s="3">
        <f>+Tabla145[[#This Row],[Total disponible]]-Tabla145[[#This Row],[Facturación atraso]]</f>
        <v>2935</v>
      </c>
      <c r="W287" s="6">
        <f>IFERROR(IF(AND(V287&gt;R287,J287&gt;=R287),ROUNDDOWN((Tabla145[[#This Row],[Producción para venta nueva]])/R287,0)*R287,0),0)</f>
        <v>0</v>
      </c>
      <c r="X287" s="76">
        <v>0</v>
      </c>
      <c r="Y287" s="6">
        <f>IF(Tabla145[[#This Row],[Venta del mes]]&gt;0,Tabla145[[#This Row],[Venta del mes]]+Tabla145[[#This Row],[Ajuste venta nueva]],0)</f>
        <v>0</v>
      </c>
      <c r="Z287" s="6">
        <f>+Tabla145[[#This Row],[Producción para venta nueva]]-Tabla145[[#This Row],[Facturación Venta nueva]]</f>
        <v>2935</v>
      </c>
      <c r="AA287" s="6">
        <f>IF(AND(A287=1,Tabla145[[#This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7" s="6">
        <v>0</v>
      </c>
      <c r="AC287" s="6">
        <f>IF(Tabla145[[#This Row],[Disponible stock sin venta]]&gt;0,Tabla145[[#This Row],[Disponible stock sin venta]]+Tabla145[[#This Row],[Ajuste stock sin venta]],0)</f>
        <v>0</v>
      </c>
      <c r="AD287" s="3">
        <f>IFERROR(VLOOKUP(Tabla145[[#This Row],[Llave]],'[16]TD Puerto'!$A:$D,4,FALSE),0)</f>
        <v>0</v>
      </c>
      <c r="AE287" s="3">
        <v>0</v>
      </c>
      <c r="AF287" s="3">
        <f>+Tabla145[[#This Row],[Plan Irrestricto Inicial]]</f>
        <v>0</v>
      </c>
      <c r="AG287" s="3">
        <f>+Tabla145[[#This Row],[En puerto a facturar]]</f>
        <v>0</v>
      </c>
      <c r="AH287" s="3">
        <f>+Tabla145[[#This Row],[Facturación atraso]]</f>
        <v>0</v>
      </c>
      <c r="AI287" s="3">
        <f>+Tabla145[[#This Row],[Plan Irrestricto]]-Tabla145[[#This Row],[Puerto ]]-Tabla145[[#This Row],[Atraso]]</f>
        <v>0</v>
      </c>
      <c r="AJ28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7" s="3">
        <f>+Tabla145[[#This Row],[Facturación atraso]]</f>
        <v>0</v>
      </c>
      <c r="AL287" s="3">
        <f>+Tabla145[[#This Row],[Plan Ajustado]]-Tabla145[[#This Row],[ Atraso ajustado]]-Tabla145[[#This Row],[Puerto ]]</f>
        <v>0</v>
      </c>
      <c r="AM287" s="6">
        <f>IFERROR(VLOOKUP(Tabla145[[#This Row],[Llave]],[18]!Tabla14[#All],34,FALSE),0)</f>
        <v>0</v>
      </c>
      <c r="AN287" s="6">
        <f>IFERROR(VLOOKUP(Tabla145[[#This Row],[Llave]],[18]!Tabla14[#All],35,FALSE),0)</f>
        <v>0</v>
      </c>
      <c r="AO287" s="3" t="str">
        <f>IF(Tabla145[[#This Row],[Plan Ajustado]]&gt;Tabla145[[#This Row],[En puerto a facturar]],"Si","No")</f>
        <v>No</v>
      </c>
      <c r="AP28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7" s="3">
        <f>IF(Tabla145[[#This Row],[Necesidad]]&gt;=Tabla145[[#This Row],[Stock al día]],Tabla145[[#This Row],[Stock al día]],Tabla145[[#This Row],[Necesidad]])</f>
        <v>0</v>
      </c>
      <c r="AR287" s="3">
        <f>+Tabla145[[#This Row],[Necesidad]]-Tabla145[[#This Row],[Stock Plan]]</f>
        <v>0</v>
      </c>
      <c r="AS287" s="155">
        <f>IFERROR(VLOOKUP(Tabla145[[#This Row],[Oficina]],[19]Ponderación!$B$14:$E$21,4,FALSE),"")</f>
        <v>44786</v>
      </c>
      <c r="AT28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87" s="83">
        <f>IFERROR(VLOOKUP(Tabla145[[#This Row],[Llave]],[17]DELAY!$H:$W,16,FALSE),0)</f>
        <v>1.55</v>
      </c>
      <c r="AV28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7" s="5">
        <f>Tabla145[[#This Row],[Ajuste precio IC]]*Tabla145[[#This Row],[Plan Ajustado]]</f>
        <v>0</v>
      </c>
      <c r="AX287" s="30">
        <f>IFERROR(VLOOKUP(Tabla145[[#This Row],[Llave]],'[13]Ultimos precios facturados'!$A:$G,7,FALSE),0)</f>
        <v>0</v>
      </c>
      <c r="AY28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7" s="30">
        <f>IFERROR(VLOOKUP(Tabla145[[#This Row],[Llave]],Hoja2!B:K,10,FALSE),0)</f>
        <v>0</v>
      </c>
      <c r="BA287" s="30">
        <f>IF(Tabla145[[#This Row],[Ajuste precio IC]]="",Tabla145[[#This Row],[Precio ponderado]],Tabla145[[#This Row],[Precio ponderado]])</f>
        <v>0</v>
      </c>
      <c r="BB287" s="82"/>
      <c r="BC287" s="82" t="str">
        <f>IF(AND(Tabla145[[#This Row],[Atraso a facturar]]&gt;0,Tabla145[[#This Row],[Precio Atraso]]=0),"Revisar","OK")</f>
        <v>OK</v>
      </c>
      <c r="BD287" s="82" t="str">
        <f>IF(AND(Tabla145[[#This Row],[Venta del mes]]&gt;0,Tabla145[[#This Row],[Precio venta nueva]]=0),"Revisar","OK")</f>
        <v>OK</v>
      </c>
      <c r="BE287" s="20">
        <f>IFERROR(VLOOKUP(Tabla145[[#This Row],[Llave]],'[5]Consolidación planes'!$A:$M,9,FALSE),0)</f>
        <v>0</v>
      </c>
      <c r="BF287" s="20">
        <f>IFERROR(VLOOKUP(Tabla145[[#This Row],[Llave]],'[5]Consolidación planes'!$A:$M,10,FALSE),0)</f>
        <v>0</v>
      </c>
      <c r="BG287" s="20">
        <f>IFERROR(VLOOKUP(Tabla145[[#This Row],[Llave]],'[5]Consolidación planes'!$A:$M,11,FALSE),0)</f>
        <v>0</v>
      </c>
      <c r="BH287" s="20">
        <f>IFERROR(VLOOKUP(Tabla145[[#This Row],[Llave]],'[5]Consolidación planes'!$A:$M,12,FALSE),0)</f>
        <v>0</v>
      </c>
      <c r="BI287" s="20">
        <f>IFERROR(VLOOKUP(Tabla145[[#This Row],[Llave]],'[5]Consolidación planes'!$A:$M,13,FALSE),0)</f>
        <v>0</v>
      </c>
      <c r="BJ287" s="20">
        <f>IFERROR(VLOOKUP(Tabla145[[#This Row],[Llave]],'[13]Base ultimos planes'!$A:$M,13,FALSE),0)</f>
        <v>0</v>
      </c>
      <c r="BK287" s="80">
        <f>IFERROR(VLOOKUP(Tabla145[[#This Row],[Llave]],'[13]Base ultimos planes'!$O:$AA,8,FALSE),0)</f>
        <v>0</v>
      </c>
      <c r="BL287" s="20">
        <f>IFERROR(VLOOKUP(Tabla145[[#This Row],[Llave]],'[13]Base ultimos planes'!$O:$AA,9,FALSE),0)</f>
        <v>0</v>
      </c>
      <c r="BM287" s="20">
        <f>IFERROR(VLOOKUP(Tabla145[[#This Row],[Llave]],'[13]Base ultimos planes'!$O:$AA,10,FALSE),0)</f>
        <v>0</v>
      </c>
      <c r="BN287" s="20">
        <f>IFERROR(VLOOKUP(Tabla145[[#This Row],[Llave]],'[13]Base ultimos planes'!$O:$AA,11,FALSE),0)</f>
        <v>0</v>
      </c>
      <c r="BO287" s="20">
        <f>IFERROR(VLOOKUP(Tabla145[[#This Row],[Llave]],'[13]Base ultimos planes'!$O:$AA,12,FALSE),0)</f>
        <v>0</v>
      </c>
      <c r="BP287" s="20">
        <f>IFERROR(VLOOKUP(Tabla145[[#This Row],[Llave]],'[13]Base ultimos planes'!$O:$AA,13,FALSE),0)</f>
        <v>0</v>
      </c>
      <c r="BQ287" s="35"/>
      <c r="BR287" s="20">
        <f>Tabla145[[#This Row],[ RV Producción mes n+1]]*(1-Tabla145[[#This Row],[% Uti. producción]])</f>
        <v>0</v>
      </c>
      <c r="BS287" s="20">
        <f>+Tabla145[[#This Row],[Producción disponible mes n-1]]+Tabla145[[#This Row],[Saldo Volumen disponible]]</f>
        <v>2935</v>
      </c>
      <c r="BT287" s="7">
        <f>IFERROR(VLOOKUP(Tabla145[[#This Row],[Llave]],'[21]RV n+2 y n+3'!$B:$F,4,FALSE),0)</f>
        <v>0</v>
      </c>
      <c r="BU287" s="7">
        <f>+Tabla145[[#This Row],[Asignación mes n+2]]*Tabla145[[#This Row],[% Uti. producción]]</f>
        <v>0</v>
      </c>
      <c r="BV287" s="7">
        <f>+Tabla145[[#This Row],[Ponderación mes n+2]]+Tabla145[[#This Row],[Saldo mes n-1]]</f>
        <v>2935</v>
      </c>
      <c r="BW287" s="7">
        <f>+Tabla145[[#This Row],[Asignación mes n+2]]-Tabla145[[#This Row],[Ponderación mes n+2]]</f>
        <v>0</v>
      </c>
      <c r="BX287" s="7">
        <f>IFERROR(VLOOKUP(Tabla145[[#This Row],[Llave]],'[21]RV n+2 y n+3'!$B:$F,5,FALSE),0)</f>
        <v>0</v>
      </c>
      <c r="BY287" s="7">
        <f>+Tabla145[[#This Row],[Asignación mes n+3]]*Tabla145[[#This Row],[% Uti. producción]]</f>
        <v>0</v>
      </c>
      <c r="BZ287" s="3">
        <f>+Tabla145[[#This Row],[Ponderación mes n+3]]+Tabla145[[#This Row],[Saldo mes n+2]]</f>
        <v>0</v>
      </c>
      <c r="CA287" s="3">
        <f>+Tabla145[[#This Row],[Asignación mes n+3]]-Tabla145[[#This Row],[Ponderación mes n+3]]</f>
        <v>0</v>
      </c>
      <c r="CB287" s="3">
        <f>+Tabla145[[#This Row],[Producción disponible mes n-1]]+Tabla145[[#This Row],[Producción disponible]]</f>
        <v>0</v>
      </c>
      <c r="CC287" s="3">
        <f>+Tabla145[[#This Row],[Saldo mes n+4]]-Tabla145[[#This Row],[ RV Producción mes n+1]]</f>
        <v>0</v>
      </c>
    </row>
    <row r="288" spans="1:81" ht="16" x14ac:dyDescent="0.2">
      <c r="A288">
        <v>2</v>
      </c>
      <c r="B288" t="str">
        <f>Tabla145[[#This Row],[Oficina]]&amp;Tabla145[[#This Row],[Material]]</f>
        <v>Agrosuper Shanghai1023368</v>
      </c>
      <c r="C288" t="s">
        <v>6</v>
      </c>
      <c r="D288" t="s">
        <v>140</v>
      </c>
      <c r="E288">
        <v>1023368</v>
      </c>
      <c r="F288" t="s">
        <v>613</v>
      </c>
      <c r="G288" t="s">
        <v>603</v>
      </c>
      <c r="H288" t="s">
        <v>614</v>
      </c>
      <c r="I288" s="15">
        <f>IFERROR(VLOOKUP(Tabla145[[#This Row],[Llave]],'[7]RV Producción'!$C:$G,5,FALSE),0)</f>
        <v>0</v>
      </c>
      <c r="J288" s="3">
        <f>IFERROR(IF(Tabla145[[#This Row],[Oficina]]=$I$7,VLOOKUP(Tabla145[[#This Row],[Llave]],'[7]Shangai (Tomas)'!$A:$F,6,FALSE),VLOOKUP(Tabla145[[#This Row],[Llave]],'[7]RV plan de ventas'!$A:$E,5,FALSE)),0)</f>
        <v>0</v>
      </c>
      <c r="K288" s="17">
        <f>IFERROR(VLOOKUP(Tabla145[[#This Row],[Oficina]],[15]Ponderación!$B$2:$E$9,4,FALSE),0)</f>
        <v>0.45719439678473212</v>
      </c>
      <c r="L288" s="7">
        <f>+Tabla145[[#This Row],[ RV Producción mes n+1]]*Tabla145[[#This Row],[% Uti. producción]]</f>
        <v>0</v>
      </c>
      <c r="M288" s="7">
        <f>IFERROR(VLOOKUP(Tabla145[[#This Row],[Material]],[16]Stock!$G:$K,5,FALSE),0)</f>
        <v>551</v>
      </c>
      <c r="N288" s="7">
        <f>IFERROR(VLOOKUP(Tabla145[[#This Row],[Material]],[16]Produccion!$M:$N,2,FALSE),0)</f>
        <v>0</v>
      </c>
      <c r="O288" s="7">
        <f>IFERROR(VLOOKUP(Tabla145[[#This Row],[Llave]],'[16]TD Conf-AP'!$I:$M,4,FALSE),0)</f>
        <v>0</v>
      </c>
      <c r="P288" s="37">
        <f>SUM(Tabla145[[#This Row],[Producción disponible]],Tabla145[[#This Row],[Stock al día]],(Tabla145[[#This Row],[Por producir mes N]]*0.9))-Tabla145[[#This Row],[Producción por despachar mes N]]</f>
        <v>551</v>
      </c>
      <c r="Q288" s="7">
        <f>IFERROR(VLOOKUP(Tabla145[[#This Row],[Llave]],[17]DELAY!$A:$D,4,FALSE),0)</f>
        <v>6377</v>
      </c>
      <c r="R288" s="9">
        <v>7122</v>
      </c>
      <c r="S288" s="5">
        <f t="shared" si="9"/>
        <v>0</v>
      </c>
      <c r="T288" s="76"/>
      <c r="U288" s="5">
        <f>+Tabla145[[#This Row],[Atraso a facturar]]+Tabla145[[#This Row],[Ajuste atraso]]</f>
        <v>0</v>
      </c>
      <c r="V288" s="3">
        <f>+Tabla145[[#This Row],[Total disponible]]-Tabla145[[#This Row],[Facturación atraso]]</f>
        <v>551</v>
      </c>
      <c r="W288" s="6">
        <f>IFERROR(IF(AND(V288&gt;R288,J288&gt;=R288),ROUNDDOWN((Tabla145[[#This Row],[Producción para venta nueva]])/R288,0)*R288,0),0)</f>
        <v>0</v>
      </c>
      <c r="X288" s="76">
        <v>0</v>
      </c>
      <c r="Y288" s="6">
        <f>IF(Tabla145[[#This Row],[Venta del mes]]&gt;0,Tabla145[[#This Row],[Venta del mes]]+Tabla145[[#This Row],[Ajuste venta nueva]],0)</f>
        <v>0</v>
      </c>
      <c r="Z288" s="6">
        <f>+Tabla145[[#This Row],[Producción para venta nueva]]-Tabla145[[#This Row],[Facturación Venta nueva]]</f>
        <v>551</v>
      </c>
      <c r="AA288" s="6">
        <f>IF(AND(A288=1,Tabla145[[#This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8" s="6">
        <v>0</v>
      </c>
      <c r="AC288" s="6">
        <f>IF(Tabla145[[#This Row],[Disponible stock sin venta]]&gt;0,Tabla145[[#This Row],[Disponible stock sin venta]]+Tabla145[[#This Row],[Ajuste stock sin venta]],0)</f>
        <v>0</v>
      </c>
      <c r="AD288" s="3">
        <f>IFERROR(VLOOKUP(Tabla145[[#This Row],[Llave]],'[16]TD Puerto'!$A:$D,4,FALSE),0)</f>
        <v>0</v>
      </c>
      <c r="AE288" s="3">
        <v>6377</v>
      </c>
      <c r="AF288" s="3">
        <f>+Tabla145[[#This Row],[Plan Irrestricto Inicial]]</f>
        <v>6377</v>
      </c>
      <c r="AG288" s="3">
        <f>+Tabla145[[#This Row],[En puerto a facturar]]</f>
        <v>0</v>
      </c>
      <c r="AH288" s="3">
        <f>+Tabla145[[#This Row],[Facturación atraso]]</f>
        <v>0</v>
      </c>
      <c r="AI288" s="3">
        <f>+Tabla145[[#This Row],[Plan Irrestricto]]-Tabla145[[#This Row],[Puerto ]]-Tabla145[[#This Row],[Atraso]]</f>
        <v>6377</v>
      </c>
      <c r="AJ28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8" s="3">
        <f>+Tabla145[[#This Row],[Facturación atraso]]</f>
        <v>0</v>
      </c>
      <c r="AL288" s="3">
        <f>+Tabla145[[#This Row],[Plan Ajustado]]-Tabla145[[#This Row],[ Atraso ajustado]]-Tabla145[[#This Row],[Puerto ]]</f>
        <v>0</v>
      </c>
      <c r="AM288" s="6">
        <f>IFERROR(VLOOKUP(Tabla145[[#This Row],[Llave]],[18]!Tabla14[#All],34,FALSE),0)</f>
        <v>0</v>
      </c>
      <c r="AN288" s="6">
        <f>IFERROR(VLOOKUP(Tabla145[[#This Row],[Llave]],[18]!Tabla14[#All],35,FALSE),0)</f>
        <v>0</v>
      </c>
      <c r="AO288" s="3" t="str">
        <f>IF(Tabla145[[#This Row],[Plan Ajustado]]&gt;Tabla145[[#This Row],[En puerto a facturar]],"Si","No")</f>
        <v>No</v>
      </c>
      <c r="AP28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8" s="3">
        <f>IF(Tabla145[[#This Row],[Necesidad]]&gt;=Tabla145[[#This Row],[Stock al día]],Tabla145[[#This Row],[Stock al día]],Tabla145[[#This Row],[Necesidad]])</f>
        <v>0</v>
      </c>
      <c r="AR288" s="3">
        <f>+Tabla145[[#This Row],[Necesidad]]-Tabla145[[#This Row],[Stock Plan]]</f>
        <v>0</v>
      </c>
      <c r="AS288" s="155">
        <f>IFERROR(VLOOKUP(Tabla145[[#This Row],[Oficina]],[19]Ponderación!$B$14:$E$21,4,FALSE),"")</f>
        <v>44786</v>
      </c>
      <c r="AT28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1.6334451142837718</v>
      </c>
      <c r="AU288" s="83">
        <f>IFERROR(VLOOKUP(Tabla145[[#This Row],[Llave]],[17]DELAY!$H:$W,16,FALSE),0)</f>
        <v>1.6675858256324101</v>
      </c>
      <c r="AV28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8" s="5">
        <f>Tabla145[[#This Row],[Ajuste precio IC]]*Tabla145[[#This Row],[Plan Ajustado]]</f>
        <v>0</v>
      </c>
      <c r="AX288" s="30">
        <f>IFERROR(VLOOKUP(Tabla145[[#This Row],[Llave]],'[13]Ultimos precios facturados'!$A:$G,7,FALSE),0)</f>
        <v>1.6334451142837718</v>
      </c>
      <c r="AY28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8" s="30">
        <f>IFERROR(VLOOKUP(Tabla145[[#This Row],[Llave]],Hoja2!B:K,10,FALSE),0)</f>
        <v>0</v>
      </c>
      <c r="BA288" s="30">
        <f>IF(Tabla145[[#This Row],[Ajuste precio IC]]="",Tabla145[[#This Row],[Precio ponderado]],Tabla145[[#This Row],[Precio ponderado]])</f>
        <v>0</v>
      </c>
      <c r="BB288" s="82"/>
      <c r="BC288" s="82" t="str">
        <f>IF(AND(Tabla145[[#This Row],[Atraso a facturar]]&gt;0,Tabla145[[#This Row],[Precio Atraso]]=0),"Revisar","OK")</f>
        <v>OK</v>
      </c>
      <c r="BD288" s="82" t="str">
        <f>IF(AND(Tabla145[[#This Row],[Venta del mes]]&gt;0,Tabla145[[#This Row],[Precio venta nueva]]=0),"Revisar","OK")</f>
        <v>OK</v>
      </c>
      <c r="BE288" s="20">
        <f>IFERROR(VLOOKUP(Tabla145[[#This Row],[Llave]],'[5]Consolidación planes'!$A:$M,9,FALSE),0)</f>
        <v>0</v>
      </c>
      <c r="BF288" s="20">
        <f>IFERROR(VLOOKUP(Tabla145[[#This Row],[Llave]],'[5]Consolidación planes'!$A:$M,10,FALSE),0)</f>
        <v>0</v>
      </c>
      <c r="BG288" s="20">
        <f>IFERROR(VLOOKUP(Tabla145[[#This Row],[Llave]],'[5]Consolidación planes'!$A:$M,11,FALSE),0)</f>
        <v>0</v>
      </c>
      <c r="BH288" s="20">
        <f>IFERROR(VLOOKUP(Tabla145[[#This Row],[Llave]],'[5]Consolidación planes'!$A:$M,12,FALSE),0)</f>
        <v>0</v>
      </c>
      <c r="BI288" s="20">
        <f>IFERROR(VLOOKUP(Tabla145[[#This Row],[Llave]],'[5]Consolidación planes'!$A:$M,13,FALSE),0)</f>
        <v>0</v>
      </c>
      <c r="BJ288" s="20">
        <f>IFERROR(VLOOKUP(Tabla145[[#This Row],[Llave]],'[13]Base ultimos planes'!$A:$M,13,FALSE),0)</f>
        <v>7122</v>
      </c>
      <c r="BK288" s="80">
        <f>IFERROR(VLOOKUP(Tabla145[[#This Row],[Llave]],'[13]Base ultimos planes'!$O:$AA,8,FALSE),0)</f>
        <v>0</v>
      </c>
      <c r="BL288" s="20">
        <f>IFERROR(VLOOKUP(Tabla145[[#This Row],[Llave]],'[13]Base ultimos planes'!$O:$AA,9,FALSE),0)</f>
        <v>0</v>
      </c>
      <c r="BM288" s="20">
        <f>IFERROR(VLOOKUP(Tabla145[[#This Row],[Llave]],'[13]Base ultimos planes'!$O:$AA,10,FALSE),0)</f>
        <v>0</v>
      </c>
      <c r="BN288" s="20">
        <f>IFERROR(VLOOKUP(Tabla145[[#This Row],[Llave]],'[13]Base ultimos planes'!$O:$AA,11,FALSE),0)</f>
        <v>0</v>
      </c>
      <c r="BO288" s="20">
        <f>IFERROR(VLOOKUP(Tabla145[[#This Row],[Llave]],'[13]Base ultimos planes'!$O:$AA,12,FALSE),0)</f>
        <v>0</v>
      </c>
      <c r="BP288" s="20">
        <f>IFERROR(VLOOKUP(Tabla145[[#This Row],[Llave]],'[13]Base ultimos planes'!$O:$AA,13,FALSE),0)</f>
        <v>11754</v>
      </c>
      <c r="BQ288" s="35"/>
      <c r="BR288" s="20">
        <f>Tabla145[[#This Row],[ RV Producción mes n+1]]*(1-Tabla145[[#This Row],[% Uti. producción]])</f>
        <v>0</v>
      </c>
      <c r="BS288" s="20">
        <f>+Tabla145[[#This Row],[Producción disponible mes n-1]]+Tabla145[[#This Row],[Saldo Volumen disponible]]</f>
        <v>551</v>
      </c>
      <c r="BT288" s="7">
        <f>IFERROR(VLOOKUP(Tabla145[[#This Row],[Llave]],'[21]RV n+2 y n+3'!$B:$F,4,FALSE),0)</f>
        <v>0</v>
      </c>
      <c r="BU288" s="7">
        <f>+Tabla145[[#This Row],[Asignación mes n+2]]*Tabla145[[#This Row],[% Uti. producción]]</f>
        <v>0</v>
      </c>
      <c r="BV288" s="7">
        <f>+Tabla145[[#This Row],[Ponderación mes n+2]]+Tabla145[[#This Row],[Saldo mes n-1]]</f>
        <v>551</v>
      </c>
      <c r="BW288" s="7">
        <f>+Tabla145[[#This Row],[Asignación mes n+2]]-Tabla145[[#This Row],[Ponderación mes n+2]]</f>
        <v>0</v>
      </c>
      <c r="BX288" s="7">
        <f>IFERROR(VLOOKUP(Tabla145[[#This Row],[Llave]],'[21]RV n+2 y n+3'!$B:$F,5,FALSE),0)</f>
        <v>0</v>
      </c>
      <c r="BY288" s="7">
        <f>+Tabla145[[#This Row],[Asignación mes n+3]]*Tabla145[[#This Row],[% Uti. producción]]</f>
        <v>0</v>
      </c>
      <c r="BZ288" s="3">
        <f>+Tabla145[[#This Row],[Ponderación mes n+3]]+Tabla145[[#This Row],[Saldo mes n+2]]</f>
        <v>0</v>
      </c>
      <c r="CA288" s="3">
        <f>+Tabla145[[#This Row],[Asignación mes n+3]]-Tabla145[[#This Row],[Ponderación mes n+3]]</f>
        <v>0</v>
      </c>
      <c r="CB288" s="3">
        <f>+Tabla145[[#This Row],[Producción disponible mes n-1]]+Tabla145[[#This Row],[Producción disponible]]</f>
        <v>0</v>
      </c>
      <c r="CC288" s="3">
        <f>+Tabla145[[#This Row],[Saldo mes n+4]]-Tabla145[[#This Row],[ RV Producción mes n+1]]</f>
        <v>0</v>
      </c>
    </row>
    <row r="289" spans="1:81" ht="16" x14ac:dyDescent="0.2">
      <c r="A289">
        <v>1</v>
      </c>
      <c r="B289" t="str">
        <f>Tabla145[[#This Row],[Oficina]]&amp;Tabla145[[#This Row],[Material]]</f>
        <v>Exportacion Directa1023166</v>
      </c>
      <c r="C289" t="s">
        <v>6</v>
      </c>
      <c r="D289" t="s">
        <v>88</v>
      </c>
      <c r="E289">
        <v>1023166</v>
      </c>
      <c r="F289" t="s">
        <v>295</v>
      </c>
      <c r="G289" t="s">
        <v>56</v>
      </c>
      <c r="H289" t="s">
        <v>57</v>
      </c>
      <c r="I289" s="15">
        <f>IFERROR(VLOOKUP(Tabla145[[#This Row],[Llave]],'[7]RV Producción'!$C:$G,5,FALSE),0)</f>
        <v>0</v>
      </c>
      <c r="J289" s="3">
        <f>IFERROR(IF(Tabla145[[#This Row],[Oficina]]=$I$7,VLOOKUP(Tabla145[[#This Row],[Llave]],'[7]Shangai (Tomas)'!$A:$F,6,FALSE),VLOOKUP(Tabla145[[#This Row],[Llave]],'[7]RV plan de ventas'!$A:$E,5,FALSE)),0)</f>
        <v>0</v>
      </c>
      <c r="K289" s="17">
        <f>IFERROR(VLOOKUP(Tabla145[[#This Row],[Oficina]],[15]Ponderación!$B$2:$E$9,4,FALSE),0)</f>
        <v>0.87158319035419651</v>
      </c>
      <c r="L289" s="7">
        <f>+Tabla145[[#This Row],[ RV Producción mes n+1]]*Tabla145[[#This Row],[% Uti. producción]]</f>
        <v>0</v>
      </c>
      <c r="M289" s="7">
        <f>IFERROR(VLOOKUP(Tabla145[[#This Row],[Material]],[16]Stock!$G:$K,5,FALSE),0)</f>
        <v>5</v>
      </c>
      <c r="N289" s="7">
        <f>IFERROR(VLOOKUP(Tabla145[[#This Row],[Material]],[16]Produccion!$M:$N,2,FALSE),0)</f>
        <v>0</v>
      </c>
      <c r="O289" s="7">
        <f>IFERROR(VLOOKUP(Tabla145[[#This Row],[Llave]],'[16]TD Conf-AP'!$I:$M,4,FALSE),0)</f>
        <v>0</v>
      </c>
      <c r="P289" s="37">
        <f>SUM(Tabla145[[#This Row],[Producción disponible]],Tabla145[[#This Row],[Stock al día]],(Tabla145[[#This Row],[Por producir mes N]]*0.9))-Tabla145[[#This Row],[Producción por despachar mes N]]</f>
        <v>5</v>
      </c>
      <c r="Q289" s="7">
        <f>IFERROR(VLOOKUP(Tabla145[[#This Row],[Llave]],[17]DELAY!$A:$D,4,FALSE),0)</f>
        <v>0</v>
      </c>
      <c r="R289" s="9">
        <v>24000</v>
      </c>
      <c r="S289" s="5">
        <f t="shared" si="9"/>
        <v>0</v>
      </c>
      <c r="T289" s="76">
        <v>0</v>
      </c>
      <c r="U289" s="5">
        <f>+Tabla145[[#This Row],[Atraso a facturar]]+Tabla145[[#This Row],[Ajuste atraso]]</f>
        <v>0</v>
      </c>
      <c r="V289" s="3">
        <f>+Tabla145[[#This Row],[Total disponible]]-Tabla145[[#This Row],[Facturación atraso]]</f>
        <v>5</v>
      </c>
      <c r="W289" s="6">
        <f>IFERROR(IF(AND(V289&gt;R289,J289&gt;=R289),ROUNDDOWN((Tabla145[[#This Row],[Producción para venta nueva]])/R289,0)*R289,0),0)</f>
        <v>0</v>
      </c>
      <c r="X289" s="76">
        <v>0</v>
      </c>
      <c r="Y289" s="6">
        <f>IF(Tabla145[[#This Row],[Venta del mes]]&gt;0,Tabla145[[#This Row],[Venta del mes]]+Tabla145[[#This Row],[Ajuste venta nueva]],0)</f>
        <v>0</v>
      </c>
      <c r="Z289" s="6">
        <f>+Tabla145[[#This Row],[Producción para venta nueva]]-Tabla145[[#This Row],[Facturación Venta nueva]]</f>
        <v>5</v>
      </c>
      <c r="AA289" s="6">
        <f>IF(AND(A289=1,Tabla145[[#This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89" s="6">
        <v>0</v>
      </c>
      <c r="AC289" s="6">
        <f>IF(Tabla145[[#This Row],[Disponible stock sin venta]]&gt;0,Tabla145[[#This Row],[Disponible stock sin venta]]+Tabla145[[#This Row],[Ajuste stock sin venta]],0)</f>
        <v>0</v>
      </c>
      <c r="AD289" s="3">
        <f>IFERROR(VLOOKUP(Tabla145[[#This Row],[Llave]],'[16]TD Puerto'!$A:$D,4,FALSE),0)</f>
        <v>0</v>
      </c>
      <c r="AE289" s="3">
        <v>0</v>
      </c>
      <c r="AF289" s="3">
        <f>+Tabla145[[#This Row],[Plan Irrestricto Inicial]]</f>
        <v>0</v>
      </c>
      <c r="AG289" s="3">
        <f>+Tabla145[[#This Row],[En puerto a facturar]]</f>
        <v>0</v>
      </c>
      <c r="AH289" s="3">
        <f>+Tabla145[[#This Row],[Facturación atraso]]</f>
        <v>0</v>
      </c>
      <c r="AI289" s="3">
        <f>+Tabla145[[#This Row],[Plan Irrestricto]]-Tabla145[[#This Row],[Puerto ]]-Tabla145[[#This Row],[Atraso]]</f>
        <v>0</v>
      </c>
      <c r="AJ28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89" s="3">
        <f>+Tabla145[[#This Row],[Facturación atraso]]</f>
        <v>0</v>
      </c>
      <c r="AL289" s="3">
        <f>+Tabla145[[#This Row],[Plan Ajustado]]-Tabla145[[#This Row],[ Atraso ajustado]]-Tabla145[[#This Row],[Puerto ]]</f>
        <v>0</v>
      </c>
      <c r="AM289" s="6">
        <f>IFERROR(VLOOKUP(Tabla145[[#This Row],[Llave]],[18]!Tabla14[#All],34,FALSE),0)</f>
        <v>0</v>
      </c>
      <c r="AN289" s="6">
        <f>IFERROR(VLOOKUP(Tabla145[[#This Row],[Llave]],[18]!Tabla14[#All],35,FALSE),0)</f>
        <v>0</v>
      </c>
      <c r="AO289" s="3" t="str">
        <f>IF(Tabla145[[#This Row],[Plan Ajustado]]&gt;Tabla145[[#This Row],[En puerto a facturar]],"Si","No")</f>
        <v>No</v>
      </c>
      <c r="AP28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89" s="3">
        <f>IF(Tabla145[[#This Row],[Necesidad]]&gt;=Tabla145[[#This Row],[Stock al día]],Tabla145[[#This Row],[Stock al día]],Tabla145[[#This Row],[Necesidad]])</f>
        <v>0</v>
      </c>
      <c r="AR289" s="3">
        <f>+Tabla145[[#This Row],[Necesidad]]-Tabla145[[#This Row],[Stock Plan]]</f>
        <v>0</v>
      </c>
      <c r="AS289" s="155">
        <f>IFERROR(VLOOKUP(Tabla145[[#This Row],[Oficina]],[19]Ponderación!$B$14:$E$21,4,FALSE),"")</f>
        <v>44800</v>
      </c>
      <c r="AT28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1.365764</v>
      </c>
      <c r="AU289" s="83">
        <f>IFERROR(VLOOKUP(Tabla145[[#This Row],[Llave]],[17]DELAY!$H:$W,16,FALSE),0)</f>
        <v>0</v>
      </c>
      <c r="AV28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89" s="5">
        <f>Tabla145[[#This Row],[Ajuste precio IC]]*Tabla145[[#This Row],[Plan Ajustado]]</f>
        <v>0</v>
      </c>
      <c r="AX289" s="30">
        <f>IFERROR(VLOOKUP(Tabla145[[#This Row],[Llave]],'[13]Ultimos precios facturados'!$A:$G,7,FALSE),0)</f>
        <v>1.365764</v>
      </c>
      <c r="AY28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89" s="30">
        <f>IFERROR(VLOOKUP(Tabla145[[#This Row],[Llave]],Hoja2!B:K,10,FALSE),0)</f>
        <v>0</v>
      </c>
      <c r="BA289" s="30">
        <f>IF(Tabla145[[#This Row],[Ajuste precio IC]]="",Tabla145[[#This Row],[Precio ponderado]],Tabla145[[#This Row],[Precio ponderado]])</f>
        <v>0</v>
      </c>
      <c r="BB289" s="82"/>
      <c r="BC289" s="82" t="str">
        <f>IF(AND(Tabla145[[#This Row],[Atraso a facturar]]&gt;0,Tabla145[[#This Row],[Precio Atraso]]=0),"Revisar","OK")</f>
        <v>OK</v>
      </c>
      <c r="BD289" s="82" t="str">
        <f>IF(AND(Tabla145[[#This Row],[Venta del mes]]&gt;0,Tabla145[[#This Row],[Precio venta nueva]]=0),"Revisar","OK")</f>
        <v>OK</v>
      </c>
      <c r="BE289" s="20">
        <f>IFERROR(VLOOKUP(Tabla145[[#This Row],[Llave]],'[5]Consolidación planes'!$A:$M,9,FALSE),0)</f>
        <v>0</v>
      </c>
      <c r="BF289" s="20">
        <f>IFERROR(VLOOKUP(Tabla145[[#This Row],[Llave]],'[5]Consolidación planes'!$A:$M,10,FALSE),0)</f>
        <v>0</v>
      </c>
      <c r="BG289" s="20">
        <f>IFERROR(VLOOKUP(Tabla145[[#This Row],[Llave]],'[5]Consolidación planes'!$A:$M,11,FALSE),0)</f>
        <v>0</v>
      </c>
      <c r="BH289" s="20">
        <f>IFERROR(VLOOKUP(Tabla145[[#This Row],[Llave]],'[5]Consolidación planes'!$A:$M,12,FALSE),0)</f>
        <v>0</v>
      </c>
      <c r="BI289" s="20">
        <f>IFERROR(VLOOKUP(Tabla145[[#This Row],[Llave]],'[5]Consolidación planes'!$A:$M,13,FALSE),0)</f>
        <v>0</v>
      </c>
      <c r="BJ289" s="20">
        <f>IFERROR(VLOOKUP(Tabla145[[#This Row],[Llave]],'[13]Base ultimos planes'!$A:$M,13,FALSE),0)</f>
        <v>0</v>
      </c>
      <c r="BK289" s="80">
        <f>IFERROR(VLOOKUP(Tabla145[[#This Row],[Llave]],'[13]Base ultimos planes'!$O:$AA,8,FALSE),0)</f>
        <v>0</v>
      </c>
      <c r="BL289" s="20">
        <f>IFERROR(VLOOKUP(Tabla145[[#This Row],[Llave]],'[13]Base ultimos planes'!$O:$AA,9,FALSE),0)</f>
        <v>0</v>
      </c>
      <c r="BM289" s="20">
        <f>IFERROR(VLOOKUP(Tabla145[[#This Row],[Llave]],'[13]Base ultimos planes'!$O:$AA,10,FALSE),0)</f>
        <v>0</v>
      </c>
      <c r="BN289" s="20">
        <f>IFERROR(VLOOKUP(Tabla145[[#This Row],[Llave]],'[13]Base ultimos planes'!$O:$AA,11,FALSE),0)</f>
        <v>0</v>
      </c>
      <c r="BO289" s="20">
        <f>IFERROR(VLOOKUP(Tabla145[[#This Row],[Llave]],'[13]Base ultimos planes'!$O:$AA,12,FALSE),0)</f>
        <v>0</v>
      </c>
      <c r="BP289" s="20">
        <f>IFERROR(VLOOKUP(Tabla145[[#This Row],[Llave]],'[13]Base ultimos planes'!$O:$AA,13,FALSE),0)</f>
        <v>0</v>
      </c>
      <c r="BQ289" s="35"/>
      <c r="BR289" s="20">
        <f>Tabla145[[#This Row],[ RV Producción mes n+1]]*(1-Tabla145[[#This Row],[% Uti. producción]])</f>
        <v>0</v>
      </c>
      <c r="BS289" s="20">
        <f>+Tabla145[[#This Row],[Producción disponible mes n-1]]+Tabla145[[#This Row],[Saldo Volumen disponible]]</f>
        <v>5</v>
      </c>
      <c r="BT289" s="7">
        <f>IFERROR(VLOOKUP(Tabla145[[#This Row],[Llave]],'[21]RV n+2 y n+3'!$B:$F,4,FALSE),0)</f>
        <v>0</v>
      </c>
      <c r="BU289" s="7">
        <f>+Tabla145[[#This Row],[Asignación mes n+2]]*Tabla145[[#This Row],[% Uti. producción]]</f>
        <v>0</v>
      </c>
      <c r="BV289" s="7">
        <f>+Tabla145[[#This Row],[Ponderación mes n+2]]+Tabla145[[#This Row],[Saldo mes n-1]]</f>
        <v>5</v>
      </c>
      <c r="BW289" s="7">
        <f>+Tabla145[[#This Row],[Asignación mes n+2]]-Tabla145[[#This Row],[Ponderación mes n+2]]</f>
        <v>0</v>
      </c>
      <c r="BX289" s="7">
        <f>IFERROR(VLOOKUP(Tabla145[[#This Row],[Llave]],'[21]RV n+2 y n+3'!$B:$F,5,FALSE),0)</f>
        <v>0</v>
      </c>
      <c r="BY289" s="7">
        <f>+Tabla145[[#This Row],[Asignación mes n+3]]*Tabla145[[#This Row],[% Uti. producción]]</f>
        <v>0</v>
      </c>
      <c r="BZ289" s="3">
        <f>+Tabla145[[#This Row],[Ponderación mes n+3]]+Tabla145[[#This Row],[Saldo mes n+2]]</f>
        <v>0</v>
      </c>
      <c r="CA289" s="3">
        <f>+Tabla145[[#This Row],[Asignación mes n+3]]-Tabla145[[#This Row],[Ponderación mes n+3]]</f>
        <v>0</v>
      </c>
      <c r="CB289" s="3">
        <f>+Tabla145[[#This Row],[Producción disponible mes n-1]]+Tabla145[[#This Row],[Producción disponible]]</f>
        <v>0</v>
      </c>
      <c r="CC289" s="3">
        <f>+Tabla145[[#This Row],[Saldo mes n+4]]-Tabla145[[#This Row],[ RV Producción mes n+1]]</f>
        <v>0</v>
      </c>
    </row>
    <row r="290" spans="1:81" ht="16" x14ac:dyDescent="0.2">
      <c r="A290">
        <v>1</v>
      </c>
      <c r="B290" t="str">
        <f>Tabla145[[#This Row],[Oficina]]&amp;Tabla145[[#This Row],[Material]]</f>
        <v>Agro Sudamerica1011105</v>
      </c>
      <c r="C290" t="s">
        <v>227</v>
      </c>
      <c r="D290" t="s">
        <v>17</v>
      </c>
      <c r="E290">
        <v>1011105</v>
      </c>
      <c r="F290" t="s">
        <v>672</v>
      </c>
      <c r="G290" t="s">
        <v>217</v>
      </c>
      <c r="H290" t="s">
        <v>218</v>
      </c>
      <c r="I290" s="15">
        <f>IFERROR(VLOOKUP(Tabla145[[#This Row],[Llave]],'[7]RV Producción'!$C:$G,5,FALSE),0)</f>
        <v>6000</v>
      </c>
      <c r="J290" s="3">
        <f>IFERROR(IF(Tabla145[[#This Row],[Oficina]]=$I$7,VLOOKUP(Tabla145[[#This Row],[Llave]],'[7]Shangai (Tomas)'!$A:$F,6,FALSE),VLOOKUP(Tabla145[[#This Row],[Llave]],'[7]RV plan de ventas'!$A:$E,5,FALSE)),0)</f>
        <v>6000</v>
      </c>
      <c r="K290" s="17">
        <f>IFERROR(VLOOKUP(Tabla145[[#This Row],[Oficina]],[15]Ponderación!$B$2:$E$9,4,FALSE),0)</f>
        <v>0.45719439678473212</v>
      </c>
      <c r="L290" s="7">
        <f>+Tabla145[[#This Row],[ RV Producción mes n+1]]*Tabla145[[#This Row],[% Uti. producción]]</f>
        <v>2743.1663807083928</v>
      </c>
      <c r="M290" s="7">
        <f>IFERROR(VLOOKUP(Tabla145[[#This Row],[Material]],[16]Stock!$G:$K,5,FALSE),0)</f>
        <v>9868</v>
      </c>
      <c r="N290" s="7">
        <f>IFERROR(VLOOKUP(Tabla145[[#This Row],[Material]],[16]Produccion!$M:$N,2,FALSE),0)</f>
        <v>5000</v>
      </c>
      <c r="O290" s="7">
        <f>IFERROR(VLOOKUP(Tabla145[[#This Row],[Llave]],'[16]TD Conf-AP'!$I:$M,4,FALSE),0)</f>
        <v>0</v>
      </c>
      <c r="P290" s="37">
        <f>SUM(Tabla145[[#This Row],[Producción disponible]],Tabla145[[#This Row],[Stock al día]],(Tabla145[[#This Row],[Por producir mes N]]*0.9))-Tabla145[[#This Row],[Producción por despachar mes N]]</f>
        <v>17111.166380708393</v>
      </c>
      <c r="Q290" s="7">
        <f>IFERROR(VLOOKUP(Tabla145[[#This Row],[Llave]],[17]DELAY!$A:$D,4,FALSE),0)</f>
        <v>20000</v>
      </c>
      <c r="R290" s="9">
        <v>24000</v>
      </c>
      <c r="S290" s="5">
        <f t="shared" si="9"/>
        <v>0</v>
      </c>
      <c r="T290" s="76">
        <v>0</v>
      </c>
      <c r="U290" s="5">
        <f>+Tabla145[[#This Row],[Atraso a facturar]]+Tabla145[[#This Row],[Ajuste atraso]]</f>
        <v>0</v>
      </c>
      <c r="V290" s="3">
        <f>+Tabla145[[#This Row],[Total disponible]]-Tabla145[[#This Row],[Facturación atraso]]</f>
        <v>17111.166380708393</v>
      </c>
      <c r="W290" s="6">
        <f>IFERROR(IF(AND(V290&gt;R290,J290&gt;=R290),ROUNDDOWN((Tabla145[[#This Row],[Producción para venta nueva]])/R290,0)*R290,0),0)</f>
        <v>0</v>
      </c>
      <c r="X290" s="76">
        <v>0</v>
      </c>
      <c r="Y290" s="6">
        <f>IF(Tabla145[[#This Row],[Venta del mes]]&gt;0,Tabla145[[#This Row],[Venta del mes]]+Tabla145[[#This Row],[Ajuste venta nueva]],0)</f>
        <v>0</v>
      </c>
      <c r="Z290" s="6">
        <f>+Tabla145[[#This Row],[Producción para venta nueva]]-Tabla145[[#This Row],[Facturación Venta nueva]]</f>
        <v>17111.166380708393</v>
      </c>
      <c r="AA290" s="6">
        <f>IF(AND(A290=1,Tabla145[[#This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0" s="6">
        <v>0</v>
      </c>
      <c r="AC290" s="6">
        <f>IF(Tabla145[[#This Row],[Disponible stock sin venta]]&gt;0,Tabla145[[#This Row],[Disponible stock sin venta]]+Tabla145[[#This Row],[Ajuste stock sin venta]],0)</f>
        <v>0</v>
      </c>
      <c r="AD290" s="3">
        <f>IFERROR(VLOOKUP(Tabla145[[#This Row],[Llave]],'[16]TD Puerto'!$A:$D,4,FALSE),0)</f>
        <v>0</v>
      </c>
      <c r="AE290" s="3">
        <v>0</v>
      </c>
      <c r="AF290" s="3">
        <f>+Tabla145[[#This Row],[Plan Irrestricto Inicial]]</f>
        <v>0</v>
      </c>
      <c r="AG290" s="3">
        <f>+Tabla145[[#This Row],[En puerto a facturar]]</f>
        <v>0</v>
      </c>
      <c r="AH290" s="3">
        <f>+Tabla145[[#This Row],[Facturación atraso]]</f>
        <v>0</v>
      </c>
      <c r="AI290" s="3">
        <f>+Tabla145[[#This Row],[Plan Irrestricto]]-Tabla145[[#This Row],[Puerto ]]-Tabla145[[#This Row],[Atraso]]</f>
        <v>0</v>
      </c>
      <c r="AJ290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0" s="3">
        <f>+Tabla145[[#This Row],[Facturación atraso]]</f>
        <v>0</v>
      </c>
      <c r="AL290" s="3">
        <f>+Tabla145[[#This Row],[Plan Ajustado]]-Tabla145[[#This Row],[ Atraso ajustado]]-Tabla145[[#This Row],[Puerto ]]</f>
        <v>0</v>
      </c>
      <c r="AM290" s="6">
        <f>IFERROR(VLOOKUP(Tabla145[[#This Row],[Llave]],[18]!Tabla14[#All],34,FALSE),0)</f>
        <v>0</v>
      </c>
      <c r="AN290" s="6">
        <f>IFERROR(VLOOKUP(Tabla145[[#This Row],[Llave]],[18]!Tabla14[#All],35,FALSE),0)</f>
        <v>0</v>
      </c>
      <c r="AO290" s="3" t="str">
        <f>IF(Tabla145[[#This Row],[Plan Ajustado]]&gt;Tabla145[[#This Row],[En puerto a facturar]],"Si","No")</f>
        <v>No</v>
      </c>
      <c r="AP29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0" s="3">
        <f>IF(Tabla145[[#This Row],[Necesidad]]&gt;=Tabla145[[#This Row],[Stock al día]],Tabla145[[#This Row],[Stock al día]],Tabla145[[#This Row],[Necesidad]])</f>
        <v>0</v>
      </c>
      <c r="AR290" s="3">
        <f>+Tabla145[[#This Row],[Necesidad]]-Tabla145[[#This Row],[Stock Plan]]</f>
        <v>0</v>
      </c>
      <c r="AS290" s="155">
        <f>IFERROR(VLOOKUP(Tabla145[[#This Row],[Oficina]],[19]Ponderación!$B$14:$E$21,4,FALSE),"")</f>
        <v>44789</v>
      </c>
      <c r="AT29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3.08666666666667</v>
      </c>
      <c r="AU290" s="83">
        <f>IFERROR(VLOOKUP(Tabla145[[#This Row],[Llave]],[17]DELAY!$H:$W,16,FALSE),0)</f>
        <v>2.8348314700000001</v>
      </c>
      <c r="AV29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0" s="5">
        <f>Tabla145[[#This Row],[Ajuste precio IC]]*Tabla145[[#This Row],[Plan Ajustado]]</f>
        <v>0</v>
      </c>
      <c r="AX290" s="30">
        <f>IFERROR(VLOOKUP(Tabla145[[#This Row],[Llave]],'[13]Ultimos precios facturados'!$A:$G,7,FALSE),0)</f>
        <v>2.9489460476487226</v>
      </c>
      <c r="AY290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0" s="30">
        <f>IFERROR(VLOOKUP(Tabla145[[#This Row],[Llave]],Hoja2!B:K,10,FALSE),0)</f>
        <v>0</v>
      </c>
      <c r="BA290" s="30">
        <f>IF(Tabla145[[#This Row],[Ajuste precio IC]]="",Tabla145[[#This Row],[Precio ponderado]],Tabla145[[#This Row],[Precio ponderado]])</f>
        <v>0</v>
      </c>
      <c r="BB290" s="82"/>
      <c r="BC290" s="82" t="str">
        <f>IF(AND(Tabla145[[#This Row],[Atraso a facturar]]&gt;0,Tabla145[[#This Row],[Precio Atraso]]=0),"Revisar","OK")</f>
        <v>OK</v>
      </c>
      <c r="BD290" s="82" t="str">
        <f>IF(AND(Tabla145[[#This Row],[Venta del mes]]&gt;0,Tabla145[[#This Row],[Precio venta nueva]]=0),"Revisar","OK")</f>
        <v>OK</v>
      </c>
      <c r="BE290" s="20">
        <f>IFERROR(VLOOKUP(Tabla145[[#This Row],[Llave]],'[5]Consolidación planes'!$A:$M,9,FALSE),0)</f>
        <v>0</v>
      </c>
      <c r="BF290" s="20">
        <f>IFERROR(VLOOKUP(Tabla145[[#This Row],[Llave]],'[5]Consolidación planes'!$A:$M,10,FALSE),0)</f>
        <v>0</v>
      </c>
      <c r="BG290" s="20">
        <f>IFERROR(VLOOKUP(Tabla145[[#This Row],[Llave]],'[5]Consolidación planes'!$A:$M,11,FALSE),0)</f>
        <v>0</v>
      </c>
      <c r="BH290" s="20">
        <f>IFERROR(VLOOKUP(Tabla145[[#This Row],[Llave]],'[5]Consolidación planes'!$A:$M,12,FALSE),0)</f>
        <v>0</v>
      </c>
      <c r="BI290" s="20">
        <f>IFERROR(VLOOKUP(Tabla145[[#This Row],[Llave]],'[5]Consolidación planes'!$A:$M,13,FALSE),0)</f>
        <v>0</v>
      </c>
      <c r="BJ290" s="20">
        <f>IFERROR(VLOOKUP(Tabla145[[#This Row],[Llave]],'[13]Base ultimos planes'!$A:$M,13,FALSE),0)</f>
        <v>0</v>
      </c>
      <c r="BK290" s="80">
        <f>IFERROR(VLOOKUP(Tabla145[[#This Row],[Llave]],'[13]Base ultimos planes'!$O:$AA,8,FALSE),0)</f>
        <v>0</v>
      </c>
      <c r="BL290" s="20">
        <f>IFERROR(VLOOKUP(Tabla145[[#This Row],[Llave]],'[13]Base ultimos planes'!$O:$AA,9,FALSE),0)</f>
        <v>0</v>
      </c>
      <c r="BM290" s="20">
        <f>IFERROR(VLOOKUP(Tabla145[[#This Row],[Llave]],'[13]Base ultimos planes'!$O:$AA,10,FALSE),0)</f>
        <v>0</v>
      </c>
      <c r="BN290" s="20">
        <f>IFERROR(VLOOKUP(Tabla145[[#This Row],[Llave]],'[13]Base ultimos planes'!$O:$AA,11,FALSE),0)</f>
        <v>0</v>
      </c>
      <c r="BO290" s="20">
        <f>IFERROR(VLOOKUP(Tabla145[[#This Row],[Llave]],'[13]Base ultimos planes'!$O:$AA,12,FALSE),0)</f>
        <v>0</v>
      </c>
      <c r="BP290" s="20">
        <f>IFERROR(VLOOKUP(Tabla145[[#This Row],[Llave]],'[13]Base ultimos planes'!$O:$AA,13,FALSE),0)</f>
        <v>0</v>
      </c>
      <c r="BQ290" s="35"/>
      <c r="BR290" s="20">
        <f>Tabla145[[#This Row],[ RV Producción mes n+1]]*(1-Tabla145[[#This Row],[% Uti. producción]])</f>
        <v>3256.8336192916076</v>
      </c>
      <c r="BS290" s="20">
        <f>+Tabla145[[#This Row],[Producción disponible mes n-1]]+Tabla145[[#This Row],[Saldo Volumen disponible]]</f>
        <v>20368</v>
      </c>
      <c r="BT290" s="7">
        <f>IFERROR(VLOOKUP(Tabla145[[#This Row],[Llave]],'[21]RV n+2 y n+3'!$B:$F,4,FALSE),0)</f>
        <v>6000</v>
      </c>
      <c r="BU290" s="7">
        <f>+Tabla145[[#This Row],[Asignación mes n+2]]*Tabla145[[#This Row],[% Uti. producción]]</f>
        <v>2743.1663807083928</v>
      </c>
      <c r="BV290" s="7">
        <f>+Tabla145[[#This Row],[Ponderación mes n+2]]+Tabla145[[#This Row],[Saldo mes n-1]]</f>
        <v>23111.166380708393</v>
      </c>
      <c r="BW290" s="7">
        <f>+Tabla145[[#This Row],[Asignación mes n+2]]-Tabla145[[#This Row],[Ponderación mes n+2]]</f>
        <v>3256.8336192916072</v>
      </c>
      <c r="BX290" s="7">
        <f>IFERROR(VLOOKUP(Tabla145[[#This Row],[Llave]],'[21]RV n+2 y n+3'!$B:$F,5,FALSE),0)</f>
        <v>6000</v>
      </c>
      <c r="BY290" s="7">
        <f>+Tabla145[[#This Row],[Asignación mes n+3]]*Tabla145[[#This Row],[% Uti. producción]]</f>
        <v>2743.1663807083928</v>
      </c>
      <c r="BZ290" s="3">
        <f>+Tabla145[[#This Row],[Ponderación mes n+3]]+Tabla145[[#This Row],[Saldo mes n+2]]</f>
        <v>6000</v>
      </c>
      <c r="CA290" s="3">
        <f>+Tabla145[[#This Row],[Asignación mes n+3]]-Tabla145[[#This Row],[Ponderación mes n+3]]</f>
        <v>3256.8336192916072</v>
      </c>
      <c r="CB290" s="3">
        <f>+Tabla145[[#This Row],[Producción disponible mes n-1]]+Tabla145[[#This Row],[Producción disponible]]</f>
        <v>6000</v>
      </c>
      <c r="CC290" s="3">
        <f>+Tabla145[[#This Row],[Saldo mes n+4]]-Tabla145[[#This Row],[ RV Producción mes n+1]]</f>
        <v>0</v>
      </c>
    </row>
    <row r="291" spans="1:81" ht="16" x14ac:dyDescent="0.2">
      <c r="A291">
        <v>1</v>
      </c>
      <c r="B291" t="str">
        <f>Tabla145[[#This Row],[Oficina]]&amp;Tabla145[[#This Row],[Material]]</f>
        <v>Agro Sudamerica1030661</v>
      </c>
      <c r="C291" t="s">
        <v>204</v>
      </c>
      <c r="D291" t="s">
        <v>17</v>
      </c>
      <c r="E291">
        <v>1030661</v>
      </c>
      <c r="F291" t="s">
        <v>615</v>
      </c>
      <c r="G291" t="s">
        <v>212</v>
      </c>
      <c r="H291" t="s">
        <v>319</v>
      </c>
      <c r="I291" s="15">
        <f>IFERROR(VLOOKUP(Tabla145[[#This Row],[Llave]],'[7]RV Producción'!$C:$G,5,FALSE),0)</f>
        <v>0</v>
      </c>
      <c r="J291" s="3">
        <f>IFERROR(IF(Tabla145[[#This Row],[Oficina]]=$I$7,VLOOKUP(Tabla145[[#This Row],[Llave]],'[7]Shangai (Tomas)'!$A:$F,6,FALSE),VLOOKUP(Tabla145[[#This Row],[Llave]],'[7]RV plan de ventas'!$A:$E,5,FALSE)),0)</f>
        <v>0</v>
      </c>
      <c r="K291" s="17">
        <f>IFERROR(VLOOKUP(Tabla145[[#This Row],[Oficina]],[15]Ponderación!$B$2:$E$9,4,FALSE),0)</f>
        <v>0.45719439678473212</v>
      </c>
      <c r="L291" s="7">
        <f>+Tabla145[[#This Row],[ RV Producción mes n+1]]*Tabla145[[#This Row],[% Uti. producción]]</f>
        <v>0</v>
      </c>
      <c r="M291" s="7">
        <f>IFERROR(VLOOKUP(Tabla145[[#This Row],[Material]],[16]Stock!$G:$K,5,FALSE),0)</f>
        <v>0</v>
      </c>
      <c r="N291" s="7">
        <f>IFERROR(VLOOKUP(Tabla145[[#This Row],[Material]],[16]Produccion!$M:$N,2,FALSE),0)</f>
        <v>0</v>
      </c>
      <c r="O291" s="7">
        <f>IFERROR(VLOOKUP(Tabla145[[#This Row],[Llave]],'[16]TD Conf-AP'!$I:$M,4,FALSE),0)</f>
        <v>0</v>
      </c>
      <c r="P291" s="37">
        <f>SUM(Tabla145[[#This Row],[Producción disponible]],Tabla145[[#This Row],[Stock al día]],(Tabla145[[#This Row],[Por producir mes N]]*0.9))-Tabla145[[#This Row],[Producción por despachar mes N]]</f>
        <v>0</v>
      </c>
      <c r="Q291" s="7">
        <f>IFERROR(VLOOKUP(Tabla145[[#This Row],[Llave]],[17]DELAY!$A:$D,4,FALSE),0)</f>
        <v>0</v>
      </c>
      <c r="R291" s="9">
        <v>0</v>
      </c>
      <c r="S291" s="5">
        <f t="shared" si="9"/>
        <v>0</v>
      </c>
      <c r="T291" s="76">
        <v>0</v>
      </c>
      <c r="U291" s="5">
        <f>+Tabla145[[#This Row],[Atraso a facturar]]+Tabla145[[#This Row],[Ajuste atraso]]</f>
        <v>0</v>
      </c>
      <c r="V291" s="3">
        <f>+Tabla145[[#This Row],[Total disponible]]-Tabla145[[#This Row],[Facturación atraso]]</f>
        <v>0</v>
      </c>
      <c r="W291" s="6">
        <f>IFERROR(IF(AND(V291&gt;R291,J291&gt;=R291),ROUNDDOWN((Tabla145[[#This Row],[Producción para venta nueva]])/R291,0)*R291,0),0)</f>
        <v>0</v>
      </c>
      <c r="X291" s="76">
        <v>0</v>
      </c>
      <c r="Y291" s="6">
        <f>IF(Tabla145[[#This Row],[Venta del mes]]&gt;0,Tabla145[[#This Row],[Venta del mes]]+Tabla145[[#This Row],[Ajuste venta nueva]],0)</f>
        <v>0</v>
      </c>
      <c r="Z291" s="6">
        <f>+Tabla145[[#This Row],[Producción para venta nueva]]-Tabla145[[#This Row],[Facturación Venta nueva]]</f>
        <v>0</v>
      </c>
      <c r="AA291" s="6">
        <f>IF(AND(A291=1,Tabla145[[#This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1" s="6">
        <v>0</v>
      </c>
      <c r="AC291" s="6">
        <f>IF(Tabla145[[#This Row],[Disponible stock sin venta]]&gt;0,Tabla145[[#This Row],[Disponible stock sin venta]]+Tabla145[[#This Row],[Ajuste stock sin venta]],0)</f>
        <v>0</v>
      </c>
      <c r="AD291" s="3">
        <f>IFERROR(VLOOKUP(Tabla145[[#This Row],[Llave]],'[16]TD Puerto'!$A:$D,4,FALSE),0)</f>
        <v>0</v>
      </c>
      <c r="AE291" s="3">
        <v>0</v>
      </c>
      <c r="AF291" s="3">
        <f>+Tabla145[[#This Row],[Plan Irrestricto Inicial]]</f>
        <v>0</v>
      </c>
      <c r="AG291" s="3">
        <f>+Tabla145[[#This Row],[En puerto a facturar]]</f>
        <v>0</v>
      </c>
      <c r="AH291" s="3">
        <f>+Tabla145[[#This Row],[Facturación atraso]]</f>
        <v>0</v>
      </c>
      <c r="AI291" s="3">
        <f>+Tabla145[[#This Row],[Plan Irrestricto]]-Tabla145[[#This Row],[Puerto ]]-Tabla145[[#This Row],[Atraso]]</f>
        <v>0</v>
      </c>
      <c r="AJ29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1" s="3">
        <f>+Tabla145[[#This Row],[Facturación atraso]]</f>
        <v>0</v>
      </c>
      <c r="AL291" s="3">
        <f>+Tabla145[[#This Row],[Plan Ajustado]]-Tabla145[[#This Row],[ Atraso ajustado]]-Tabla145[[#This Row],[Puerto ]]</f>
        <v>0</v>
      </c>
      <c r="AM291" s="6">
        <f>IFERROR(VLOOKUP(Tabla145[[#This Row],[Llave]],[18]!Tabla14[#All],34,FALSE),0)</f>
        <v>0</v>
      </c>
      <c r="AN291" s="6">
        <f>IFERROR(VLOOKUP(Tabla145[[#This Row],[Llave]],[18]!Tabla14[#All],35,FALSE),0)</f>
        <v>0</v>
      </c>
      <c r="AO291" s="3" t="str">
        <f>IF(Tabla145[[#This Row],[Plan Ajustado]]&gt;Tabla145[[#This Row],[En puerto a facturar]],"Si","No")</f>
        <v>No</v>
      </c>
      <c r="AP29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1" s="3">
        <f>IF(Tabla145[[#This Row],[Necesidad]]&gt;=Tabla145[[#This Row],[Stock al día]],Tabla145[[#This Row],[Stock al día]],Tabla145[[#This Row],[Necesidad]])</f>
        <v>0</v>
      </c>
      <c r="AR291" s="3">
        <f>+Tabla145[[#This Row],[Necesidad]]-Tabla145[[#This Row],[Stock Plan]]</f>
        <v>0</v>
      </c>
      <c r="AS291" s="155">
        <f>IFERROR(VLOOKUP(Tabla145[[#This Row],[Oficina]],[19]Ponderación!$B$14:$E$21,4,FALSE),"")</f>
        <v>44789</v>
      </c>
      <c r="AT29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91" s="83">
        <f>IFERROR(VLOOKUP(Tabla145[[#This Row],[Llave]],[17]DELAY!$H:$W,16,FALSE),0)</f>
        <v>0</v>
      </c>
      <c r="AV29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1" s="5">
        <f>Tabla145[[#This Row],[Ajuste precio IC]]*Tabla145[[#This Row],[Plan Ajustado]]</f>
        <v>0</v>
      </c>
      <c r="AX291" s="30">
        <f>IFERROR(VLOOKUP(Tabla145[[#This Row],[Llave]],'[13]Ultimos precios facturados'!$A:$G,7,FALSE),0)</f>
        <v>0</v>
      </c>
      <c r="AY29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1" s="30">
        <f>IFERROR(VLOOKUP(Tabla145[[#This Row],[Llave]],Hoja2!B:K,10,FALSE),0)</f>
        <v>0</v>
      </c>
      <c r="BA291" s="30">
        <f>IF(Tabla145[[#This Row],[Ajuste precio IC]]="",Tabla145[[#This Row],[Precio ponderado]],Tabla145[[#This Row],[Precio ponderado]])</f>
        <v>0</v>
      </c>
      <c r="BB291" s="82"/>
      <c r="BC291" s="82" t="str">
        <f>IF(AND(Tabla145[[#This Row],[Atraso a facturar]]&gt;0,Tabla145[[#This Row],[Precio Atraso]]=0),"Revisar","OK")</f>
        <v>OK</v>
      </c>
      <c r="BD291" s="82" t="str">
        <f>IF(AND(Tabla145[[#This Row],[Venta del mes]]&gt;0,Tabla145[[#This Row],[Precio venta nueva]]=0),"Revisar","OK")</f>
        <v>OK</v>
      </c>
      <c r="BE291" s="20">
        <f>IFERROR(VLOOKUP(Tabla145[[#This Row],[Llave]],'[5]Consolidación planes'!$A:$M,9,FALSE),0)</f>
        <v>0</v>
      </c>
      <c r="BF291" s="20">
        <f>IFERROR(VLOOKUP(Tabla145[[#This Row],[Llave]],'[5]Consolidación planes'!$A:$M,10,FALSE),0)</f>
        <v>0</v>
      </c>
      <c r="BG291" s="20">
        <f>IFERROR(VLOOKUP(Tabla145[[#This Row],[Llave]],'[5]Consolidación planes'!$A:$M,11,FALSE),0)</f>
        <v>0</v>
      </c>
      <c r="BH291" s="20">
        <f>IFERROR(VLOOKUP(Tabla145[[#This Row],[Llave]],'[5]Consolidación planes'!$A:$M,12,FALSE),0)</f>
        <v>0</v>
      </c>
      <c r="BI291" s="20">
        <f>IFERROR(VLOOKUP(Tabla145[[#This Row],[Llave]],'[5]Consolidación planes'!$A:$M,13,FALSE),0)</f>
        <v>0</v>
      </c>
      <c r="BJ291" s="20">
        <f>IFERROR(VLOOKUP(Tabla145[[#This Row],[Llave]],'[13]Base ultimos planes'!$A:$M,13,FALSE),0)</f>
        <v>0</v>
      </c>
      <c r="BK291" s="80">
        <f>IFERROR(VLOOKUP(Tabla145[[#This Row],[Llave]],'[13]Base ultimos planes'!$O:$AA,8,FALSE),0)</f>
        <v>0</v>
      </c>
      <c r="BL291" s="20">
        <f>IFERROR(VLOOKUP(Tabla145[[#This Row],[Llave]],'[13]Base ultimos planes'!$O:$AA,9,FALSE),0)</f>
        <v>0</v>
      </c>
      <c r="BM291" s="20">
        <f>IFERROR(VLOOKUP(Tabla145[[#This Row],[Llave]],'[13]Base ultimos planes'!$O:$AA,10,FALSE),0)</f>
        <v>0</v>
      </c>
      <c r="BN291" s="20">
        <f>IFERROR(VLOOKUP(Tabla145[[#This Row],[Llave]],'[13]Base ultimos planes'!$O:$AA,11,FALSE),0)</f>
        <v>0</v>
      </c>
      <c r="BO291" s="20">
        <f>IFERROR(VLOOKUP(Tabla145[[#This Row],[Llave]],'[13]Base ultimos planes'!$O:$AA,12,FALSE),0)</f>
        <v>0</v>
      </c>
      <c r="BP291" s="20">
        <f>IFERROR(VLOOKUP(Tabla145[[#This Row],[Llave]],'[13]Base ultimos planes'!$O:$AA,13,FALSE),0)</f>
        <v>0</v>
      </c>
      <c r="BQ291" s="35"/>
      <c r="BR291" s="20">
        <f>Tabla145[[#This Row],[ RV Producción mes n+1]]*(1-Tabla145[[#This Row],[% Uti. producción]])</f>
        <v>0</v>
      </c>
      <c r="BS291" s="20">
        <f>+Tabla145[[#This Row],[Producción disponible mes n-1]]+Tabla145[[#This Row],[Saldo Volumen disponible]]</f>
        <v>0</v>
      </c>
      <c r="BT291" s="7">
        <f>IFERROR(VLOOKUP(Tabla145[[#This Row],[Llave]],'[21]RV n+2 y n+3'!$B:$F,4,FALSE),0)</f>
        <v>0</v>
      </c>
      <c r="BU291" s="7">
        <f>+Tabla145[[#This Row],[Asignación mes n+2]]*Tabla145[[#This Row],[% Uti. producción]]</f>
        <v>0</v>
      </c>
      <c r="BV291" s="7">
        <f>+Tabla145[[#This Row],[Ponderación mes n+2]]+Tabla145[[#This Row],[Saldo mes n-1]]</f>
        <v>0</v>
      </c>
      <c r="BW291" s="7">
        <f>+Tabla145[[#This Row],[Asignación mes n+2]]-Tabla145[[#This Row],[Ponderación mes n+2]]</f>
        <v>0</v>
      </c>
      <c r="BX291" s="7">
        <f>IFERROR(VLOOKUP(Tabla145[[#This Row],[Llave]],'[21]RV n+2 y n+3'!$B:$F,5,FALSE),0)</f>
        <v>0</v>
      </c>
      <c r="BY291" s="7">
        <f>+Tabla145[[#This Row],[Asignación mes n+3]]*Tabla145[[#This Row],[% Uti. producción]]</f>
        <v>0</v>
      </c>
      <c r="BZ291" s="3">
        <f>+Tabla145[[#This Row],[Ponderación mes n+3]]+Tabla145[[#This Row],[Saldo mes n+2]]</f>
        <v>0</v>
      </c>
      <c r="CA291" s="3">
        <f>+Tabla145[[#This Row],[Asignación mes n+3]]-Tabla145[[#This Row],[Ponderación mes n+3]]</f>
        <v>0</v>
      </c>
      <c r="CB291" s="3">
        <f>+Tabla145[[#This Row],[Producción disponible mes n-1]]+Tabla145[[#This Row],[Producción disponible]]</f>
        <v>0</v>
      </c>
      <c r="CC291" s="3">
        <f>+Tabla145[[#This Row],[Saldo mes n+4]]-Tabla145[[#This Row],[ RV Producción mes n+1]]</f>
        <v>0</v>
      </c>
    </row>
    <row r="292" spans="1:81" ht="16" x14ac:dyDescent="0.2">
      <c r="A292">
        <v>1</v>
      </c>
      <c r="B292" t="str">
        <f>Tabla145[[#This Row],[Oficina]]&amp;Tabla145[[#This Row],[Material]]</f>
        <v>Agro Sudamerica1030736</v>
      </c>
      <c r="C292" t="s">
        <v>204</v>
      </c>
      <c r="D292" t="s">
        <v>17</v>
      </c>
      <c r="E292">
        <v>1030736</v>
      </c>
      <c r="F292" t="s">
        <v>616</v>
      </c>
      <c r="G292" t="s">
        <v>212</v>
      </c>
      <c r="H292" t="s">
        <v>319</v>
      </c>
      <c r="I292" s="15">
        <f>IFERROR(VLOOKUP(Tabla145[[#This Row],[Llave]],'[7]RV Producción'!$C:$G,5,FALSE),0)</f>
        <v>0</v>
      </c>
      <c r="J292" s="3">
        <f>IFERROR(IF(Tabla145[[#This Row],[Oficina]]=$I$7,VLOOKUP(Tabla145[[#This Row],[Llave]],'[7]Shangai (Tomas)'!$A:$F,6,FALSE),VLOOKUP(Tabla145[[#This Row],[Llave]],'[7]RV plan de ventas'!$A:$E,5,FALSE)),0)</f>
        <v>0</v>
      </c>
      <c r="K292" s="17">
        <f>IFERROR(VLOOKUP(Tabla145[[#This Row],[Oficina]],[15]Ponderación!$B$2:$E$9,4,FALSE),0)</f>
        <v>0.45719439678473212</v>
      </c>
      <c r="L292" s="7">
        <f>+Tabla145[[#This Row],[ RV Producción mes n+1]]*Tabla145[[#This Row],[% Uti. producción]]</f>
        <v>0</v>
      </c>
      <c r="M292" s="7">
        <f>IFERROR(VLOOKUP(Tabla145[[#This Row],[Material]],[16]Stock!$G:$K,5,FALSE),0)</f>
        <v>0</v>
      </c>
      <c r="N292" s="7">
        <f>IFERROR(VLOOKUP(Tabla145[[#This Row],[Material]],[16]Produccion!$M:$N,2,FALSE),0)</f>
        <v>0</v>
      </c>
      <c r="O292" s="7">
        <f>IFERROR(VLOOKUP(Tabla145[[#This Row],[Llave]],'[16]TD Conf-AP'!$I:$M,4,FALSE),0)</f>
        <v>0</v>
      </c>
      <c r="P292" s="37">
        <f>SUM(Tabla145[[#This Row],[Producción disponible]],Tabla145[[#This Row],[Stock al día]],(Tabla145[[#This Row],[Por producir mes N]]*0.9))-Tabla145[[#This Row],[Producción por despachar mes N]]</f>
        <v>0</v>
      </c>
      <c r="Q292" s="7">
        <f>IFERROR(VLOOKUP(Tabla145[[#This Row],[Llave]],[17]DELAY!$A:$D,4,FALSE),0)</f>
        <v>0</v>
      </c>
      <c r="R292" s="9">
        <v>0</v>
      </c>
      <c r="S292" s="5">
        <f t="shared" si="9"/>
        <v>0</v>
      </c>
      <c r="T292" s="76">
        <v>0</v>
      </c>
      <c r="U292" s="5">
        <f>+Tabla145[[#This Row],[Atraso a facturar]]+Tabla145[[#This Row],[Ajuste atraso]]</f>
        <v>0</v>
      </c>
      <c r="V292" s="3">
        <f>+Tabla145[[#This Row],[Total disponible]]-Tabla145[[#This Row],[Facturación atraso]]</f>
        <v>0</v>
      </c>
      <c r="W292" s="6">
        <f>IFERROR(IF(AND(V292&gt;R292,J292&gt;=R292),ROUNDDOWN((Tabla145[[#This Row],[Producción para venta nueva]])/R292,0)*R292,0),0)</f>
        <v>0</v>
      </c>
      <c r="X292" s="76">
        <v>0</v>
      </c>
      <c r="Y292" s="6">
        <f>IF(Tabla145[[#This Row],[Venta del mes]]&gt;0,Tabla145[[#This Row],[Venta del mes]]+Tabla145[[#This Row],[Ajuste venta nueva]],0)</f>
        <v>0</v>
      </c>
      <c r="Z292" s="6">
        <f>+Tabla145[[#This Row],[Producción para venta nueva]]-Tabla145[[#This Row],[Facturación Venta nueva]]</f>
        <v>0</v>
      </c>
      <c r="AA292" s="6">
        <f>IF(AND(A292=1,Tabla145[[#This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2" s="6">
        <v>0</v>
      </c>
      <c r="AC292" s="6">
        <f>IF(Tabla145[[#This Row],[Disponible stock sin venta]]&gt;0,Tabla145[[#This Row],[Disponible stock sin venta]]+Tabla145[[#This Row],[Ajuste stock sin venta]],0)</f>
        <v>0</v>
      </c>
      <c r="AD292" s="3">
        <f>IFERROR(VLOOKUP(Tabla145[[#This Row],[Llave]],'[16]TD Puerto'!$A:$D,4,FALSE),0)</f>
        <v>0</v>
      </c>
      <c r="AE292" s="3">
        <v>0</v>
      </c>
      <c r="AF292" s="3">
        <f>+Tabla145[[#This Row],[Plan Irrestricto Inicial]]</f>
        <v>0</v>
      </c>
      <c r="AG292" s="3">
        <f>+Tabla145[[#This Row],[En puerto a facturar]]</f>
        <v>0</v>
      </c>
      <c r="AH292" s="3">
        <f>+Tabla145[[#This Row],[Facturación atraso]]</f>
        <v>0</v>
      </c>
      <c r="AI292" s="3">
        <f>+Tabla145[[#This Row],[Plan Irrestricto]]-Tabla145[[#This Row],[Puerto ]]-Tabla145[[#This Row],[Atraso]]</f>
        <v>0</v>
      </c>
      <c r="AJ29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2" s="3">
        <f>+Tabla145[[#This Row],[Facturación atraso]]</f>
        <v>0</v>
      </c>
      <c r="AL292" s="3">
        <f>+Tabla145[[#This Row],[Plan Ajustado]]-Tabla145[[#This Row],[ Atraso ajustado]]-Tabla145[[#This Row],[Puerto ]]</f>
        <v>0</v>
      </c>
      <c r="AM292" s="6">
        <f>IFERROR(VLOOKUP(Tabla145[[#This Row],[Llave]],[18]!Tabla14[#All],34,FALSE),0)</f>
        <v>0</v>
      </c>
      <c r="AN292" s="6">
        <f>IFERROR(VLOOKUP(Tabla145[[#This Row],[Llave]],[18]!Tabla14[#All],35,FALSE),0)</f>
        <v>0</v>
      </c>
      <c r="AO292" s="3" t="str">
        <f>IF(Tabla145[[#This Row],[Plan Ajustado]]&gt;Tabla145[[#This Row],[En puerto a facturar]],"Si","No")</f>
        <v>No</v>
      </c>
      <c r="AP29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2" s="3">
        <f>IF(Tabla145[[#This Row],[Necesidad]]&gt;=Tabla145[[#This Row],[Stock al día]],Tabla145[[#This Row],[Stock al día]],Tabla145[[#This Row],[Necesidad]])</f>
        <v>0</v>
      </c>
      <c r="AR292" s="3">
        <f>+Tabla145[[#This Row],[Necesidad]]-Tabla145[[#This Row],[Stock Plan]]</f>
        <v>0</v>
      </c>
      <c r="AS292" s="155">
        <f>IFERROR(VLOOKUP(Tabla145[[#This Row],[Oficina]],[19]Ponderación!$B$14:$E$21,4,FALSE),"")</f>
        <v>44789</v>
      </c>
      <c r="AT29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92" s="83">
        <f>IFERROR(VLOOKUP(Tabla145[[#This Row],[Llave]],[17]DELAY!$H:$W,16,FALSE),0)</f>
        <v>0</v>
      </c>
      <c r="AV29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2" s="5">
        <f>Tabla145[[#This Row],[Ajuste precio IC]]*Tabla145[[#This Row],[Plan Ajustado]]</f>
        <v>0</v>
      </c>
      <c r="AX292" s="30">
        <f>IFERROR(VLOOKUP(Tabla145[[#This Row],[Llave]],'[13]Ultimos precios facturados'!$A:$G,7,FALSE),0)</f>
        <v>0</v>
      </c>
      <c r="AY29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2" s="30">
        <f>IFERROR(VLOOKUP(Tabla145[[#This Row],[Llave]],Hoja2!B:K,10,FALSE),0)</f>
        <v>0</v>
      </c>
      <c r="BA292" s="30">
        <f>IF(Tabla145[[#This Row],[Ajuste precio IC]]="",Tabla145[[#This Row],[Precio ponderado]],Tabla145[[#This Row],[Precio ponderado]])</f>
        <v>0</v>
      </c>
      <c r="BB292" s="82"/>
      <c r="BC292" s="82" t="str">
        <f>IF(AND(Tabla145[[#This Row],[Atraso a facturar]]&gt;0,Tabla145[[#This Row],[Precio Atraso]]=0),"Revisar","OK")</f>
        <v>OK</v>
      </c>
      <c r="BD292" s="82" t="str">
        <f>IF(AND(Tabla145[[#This Row],[Venta del mes]]&gt;0,Tabla145[[#This Row],[Precio venta nueva]]=0),"Revisar","OK")</f>
        <v>OK</v>
      </c>
      <c r="BE292" s="20">
        <f>IFERROR(VLOOKUP(Tabla145[[#This Row],[Llave]],'[5]Consolidación planes'!$A:$M,9,FALSE),0)</f>
        <v>0</v>
      </c>
      <c r="BF292" s="20">
        <f>IFERROR(VLOOKUP(Tabla145[[#This Row],[Llave]],'[5]Consolidación planes'!$A:$M,10,FALSE),0)</f>
        <v>0</v>
      </c>
      <c r="BG292" s="20">
        <f>IFERROR(VLOOKUP(Tabla145[[#This Row],[Llave]],'[5]Consolidación planes'!$A:$M,11,FALSE),0)</f>
        <v>0</v>
      </c>
      <c r="BH292" s="20">
        <f>IFERROR(VLOOKUP(Tabla145[[#This Row],[Llave]],'[5]Consolidación planes'!$A:$M,12,FALSE),0)</f>
        <v>0</v>
      </c>
      <c r="BI292" s="20">
        <f>IFERROR(VLOOKUP(Tabla145[[#This Row],[Llave]],'[5]Consolidación planes'!$A:$M,13,FALSE),0)</f>
        <v>0</v>
      </c>
      <c r="BJ292" s="20">
        <f>IFERROR(VLOOKUP(Tabla145[[#This Row],[Llave]],'[13]Base ultimos planes'!$A:$M,13,FALSE),0)</f>
        <v>0</v>
      </c>
      <c r="BK292" s="80">
        <f>IFERROR(VLOOKUP(Tabla145[[#This Row],[Llave]],'[13]Base ultimos planes'!$O:$AA,8,FALSE),0)</f>
        <v>0</v>
      </c>
      <c r="BL292" s="20">
        <f>IFERROR(VLOOKUP(Tabla145[[#This Row],[Llave]],'[13]Base ultimos planes'!$O:$AA,9,FALSE),0)</f>
        <v>0</v>
      </c>
      <c r="BM292" s="20">
        <f>IFERROR(VLOOKUP(Tabla145[[#This Row],[Llave]],'[13]Base ultimos planes'!$O:$AA,10,FALSE),0)</f>
        <v>0</v>
      </c>
      <c r="BN292" s="20">
        <f>IFERROR(VLOOKUP(Tabla145[[#This Row],[Llave]],'[13]Base ultimos planes'!$O:$AA,11,FALSE),0)</f>
        <v>0</v>
      </c>
      <c r="BO292" s="20">
        <f>IFERROR(VLOOKUP(Tabla145[[#This Row],[Llave]],'[13]Base ultimos planes'!$O:$AA,12,FALSE),0)</f>
        <v>0</v>
      </c>
      <c r="BP292" s="20">
        <f>IFERROR(VLOOKUP(Tabla145[[#This Row],[Llave]],'[13]Base ultimos planes'!$O:$AA,13,FALSE),0)</f>
        <v>0</v>
      </c>
      <c r="BQ292" s="35"/>
      <c r="BR292" s="20">
        <f>Tabla145[[#This Row],[ RV Producción mes n+1]]*(1-Tabla145[[#This Row],[% Uti. producción]])</f>
        <v>0</v>
      </c>
      <c r="BS292" s="20">
        <f>+Tabla145[[#This Row],[Producción disponible mes n-1]]+Tabla145[[#This Row],[Saldo Volumen disponible]]</f>
        <v>0</v>
      </c>
      <c r="BT292" s="7">
        <f>IFERROR(VLOOKUP(Tabla145[[#This Row],[Llave]],'[21]RV n+2 y n+3'!$B:$F,4,FALSE),0)</f>
        <v>0</v>
      </c>
      <c r="BU292" s="7">
        <f>+Tabla145[[#This Row],[Asignación mes n+2]]*Tabla145[[#This Row],[% Uti. producción]]</f>
        <v>0</v>
      </c>
      <c r="BV292" s="7">
        <f>+Tabla145[[#This Row],[Ponderación mes n+2]]+Tabla145[[#This Row],[Saldo mes n-1]]</f>
        <v>0</v>
      </c>
      <c r="BW292" s="7">
        <f>+Tabla145[[#This Row],[Asignación mes n+2]]-Tabla145[[#This Row],[Ponderación mes n+2]]</f>
        <v>0</v>
      </c>
      <c r="BX292" s="7">
        <f>IFERROR(VLOOKUP(Tabla145[[#This Row],[Llave]],'[21]RV n+2 y n+3'!$B:$F,5,FALSE),0)</f>
        <v>0</v>
      </c>
      <c r="BY292" s="7">
        <f>+Tabla145[[#This Row],[Asignación mes n+3]]*Tabla145[[#This Row],[% Uti. producción]]</f>
        <v>0</v>
      </c>
      <c r="BZ292" s="3">
        <f>+Tabla145[[#This Row],[Ponderación mes n+3]]+Tabla145[[#This Row],[Saldo mes n+2]]</f>
        <v>0</v>
      </c>
      <c r="CA292" s="3">
        <f>+Tabla145[[#This Row],[Asignación mes n+3]]-Tabla145[[#This Row],[Ponderación mes n+3]]</f>
        <v>0</v>
      </c>
      <c r="CB292" s="3">
        <f>+Tabla145[[#This Row],[Producción disponible mes n-1]]+Tabla145[[#This Row],[Producción disponible]]</f>
        <v>0</v>
      </c>
      <c r="CC292" s="3">
        <f>+Tabla145[[#This Row],[Saldo mes n+4]]-Tabla145[[#This Row],[ RV Producción mes n+1]]</f>
        <v>0</v>
      </c>
    </row>
    <row r="293" spans="1:81" ht="16" x14ac:dyDescent="0.2">
      <c r="A293">
        <v>1</v>
      </c>
      <c r="B293" t="str">
        <f>Tabla145[[#This Row],[Oficina]]&amp;Tabla145[[#This Row],[Material]]</f>
        <v>Agro Sudamerica1030755</v>
      </c>
      <c r="C293" t="s">
        <v>204</v>
      </c>
      <c r="D293" t="s">
        <v>17</v>
      </c>
      <c r="E293">
        <v>1030755</v>
      </c>
      <c r="F293" t="s">
        <v>617</v>
      </c>
      <c r="G293" t="s">
        <v>217</v>
      </c>
      <c r="H293" t="s">
        <v>618</v>
      </c>
      <c r="I293" s="15">
        <f>IFERROR(VLOOKUP(Tabla145[[#This Row],[Llave]],'[7]RV Producción'!$C:$G,5,FALSE),0)</f>
        <v>0</v>
      </c>
      <c r="J293" s="3">
        <f>IFERROR(IF(Tabla145[[#This Row],[Oficina]]=$I$7,VLOOKUP(Tabla145[[#This Row],[Llave]],'[7]Shangai (Tomas)'!$A:$F,6,FALSE),VLOOKUP(Tabla145[[#This Row],[Llave]],'[7]RV plan de ventas'!$A:$E,5,FALSE)),0)</f>
        <v>0</v>
      </c>
      <c r="K293" s="17">
        <f>IFERROR(VLOOKUP(Tabla145[[#This Row],[Oficina]],[15]Ponderación!$B$2:$E$9,4,FALSE),0)</f>
        <v>0.45719439678473212</v>
      </c>
      <c r="L293" s="7">
        <f>+Tabla145[[#This Row],[ RV Producción mes n+1]]*Tabla145[[#This Row],[% Uti. producción]]</f>
        <v>0</v>
      </c>
      <c r="M293" s="7">
        <f>IFERROR(VLOOKUP(Tabla145[[#This Row],[Material]],[16]Stock!$G:$K,5,FALSE),0)</f>
        <v>0</v>
      </c>
      <c r="N293" s="7">
        <f>IFERROR(VLOOKUP(Tabla145[[#This Row],[Material]],[16]Produccion!$M:$N,2,FALSE),0)</f>
        <v>0</v>
      </c>
      <c r="O293" s="7">
        <f>IFERROR(VLOOKUP(Tabla145[[#This Row],[Llave]],'[16]TD Conf-AP'!$I:$M,4,FALSE),0)</f>
        <v>0</v>
      </c>
      <c r="P293" s="37">
        <f>SUM(Tabla145[[#This Row],[Producción disponible]],Tabla145[[#This Row],[Stock al día]],(Tabla145[[#This Row],[Por producir mes N]]*0.9))-Tabla145[[#This Row],[Producción por despachar mes N]]</f>
        <v>0</v>
      </c>
      <c r="Q293" s="7">
        <f>IFERROR(VLOOKUP(Tabla145[[#This Row],[Llave]],[17]DELAY!$A:$D,4,FALSE),0)</f>
        <v>0</v>
      </c>
      <c r="R293" s="9">
        <v>0</v>
      </c>
      <c r="S293" s="5">
        <f t="shared" si="9"/>
        <v>0</v>
      </c>
      <c r="T293" s="76">
        <v>0</v>
      </c>
      <c r="U293" s="5">
        <f>+Tabla145[[#This Row],[Atraso a facturar]]+Tabla145[[#This Row],[Ajuste atraso]]</f>
        <v>0</v>
      </c>
      <c r="V293" s="3">
        <f>+Tabla145[[#This Row],[Total disponible]]-Tabla145[[#This Row],[Facturación atraso]]</f>
        <v>0</v>
      </c>
      <c r="W293" s="6">
        <f>IFERROR(IF(AND(V293&gt;R293,J293&gt;=R293),ROUNDDOWN((Tabla145[[#This Row],[Producción para venta nueva]])/R293,0)*R293,0),0)</f>
        <v>0</v>
      </c>
      <c r="X293" s="76">
        <v>0</v>
      </c>
      <c r="Y293" s="6">
        <f>IF(Tabla145[[#This Row],[Venta del mes]]&gt;0,Tabla145[[#This Row],[Venta del mes]]+Tabla145[[#This Row],[Ajuste venta nueva]],0)</f>
        <v>0</v>
      </c>
      <c r="Z293" s="6">
        <f>+Tabla145[[#This Row],[Producción para venta nueva]]-Tabla145[[#This Row],[Facturación Venta nueva]]</f>
        <v>0</v>
      </c>
      <c r="AA293" s="6">
        <f>IF(AND(A293=1,Tabla145[[#This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3" s="6">
        <v>0</v>
      </c>
      <c r="AC293" s="6">
        <f>IF(Tabla145[[#This Row],[Disponible stock sin venta]]&gt;0,Tabla145[[#This Row],[Disponible stock sin venta]]+Tabla145[[#This Row],[Ajuste stock sin venta]],0)</f>
        <v>0</v>
      </c>
      <c r="AD293" s="3">
        <f>IFERROR(VLOOKUP(Tabla145[[#This Row],[Llave]],'[16]TD Puerto'!$A:$D,4,FALSE),0)</f>
        <v>0</v>
      </c>
      <c r="AE293" s="3">
        <v>0</v>
      </c>
      <c r="AF293" s="3">
        <f>+Tabla145[[#This Row],[Plan Irrestricto Inicial]]</f>
        <v>0</v>
      </c>
      <c r="AG293" s="3">
        <f>+Tabla145[[#This Row],[En puerto a facturar]]</f>
        <v>0</v>
      </c>
      <c r="AH293" s="3">
        <f>+Tabla145[[#This Row],[Facturación atraso]]</f>
        <v>0</v>
      </c>
      <c r="AI293" s="3">
        <f>+Tabla145[[#This Row],[Plan Irrestricto]]-Tabla145[[#This Row],[Puerto ]]-Tabla145[[#This Row],[Atraso]]</f>
        <v>0</v>
      </c>
      <c r="AJ29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3" s="3">
        <f>+Tabla145[[#This Row],[Facturación atraso]]</f>
        <v>0</v>
      </c>
      <c r="AL293" s="3">
        <f>+Tabla145[[#This Row],[Plan Ajustado]]-Tabla145[[#This Row],[ Atraso ajustado]]-Tabla145[[#This Row],[Puerto ]]</f>
        <v>0</v>
      </c>
      <c r="AM293" s="6">
        <f>IFERROR(VLOOKUP(Tabla145[[#This Row],[Llave]],[18]!Tabla14[#All],34,FALSE),0)</f>
        <v>0</v>
      </c>
      <c r="AN293" s="6">
        <f>IFERROR(VLOOKUP(Tabla145[[#This Row],[Llave]],[18]!Tabla14[#All],35,FALSE),0)</f>
        <v>0</v>
      </c>
      <c r="AO293" s="3" t="str">
        <f>IF(Tabla145[[#This Row],[Plan Ajustado]]&gt;Tabla145[[#This Row],[En puerto a facturar]],"Si","No")</f>
        <v>No</v>
      </c>
      <c r="AP29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3" s="3">
        <f>IF(Tabla145[[#This Row],[Necesidad]]&gt;=Tabla145[[#This Row],[Stock al día]],Tabla145[[#This Row],[Stock al día]],Tabla145[[#This Row],[Necesidad]])</f>
        <v>0</v>
      </c>
      <c r="AR293" s="3">
        <f>+Tabla145[[#This Row],[Necesidad]]-Tabla145[[#This Row],[Stock Plan]]</f>
        <v>0</v>
      </c>
      <c r="AS293" s="155">
        <f>IFERROR(VLOOKUP(Tabla145[[#This Row],[Oficina]],[19]Ponderación!$B$14:$E$21,4,FALSE),"")</f>
        <v>44789</v>
      </c>
      <c r="AT29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93" s="83">
        <f>IFERROR(VLOOKUP(Tabla145[[#This Row],[Llave]],[17]DELAY!$H:$W,16,FALSE),0)</f>
        <v>0</v>
      </c>
      <c r="AV29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3" s="5">
        <f>Tabla145[[#This Row],[Ajuste precio IC]]*Tabla145[[#This Row],[Plan Ajustado]]</f>
        <v>0</v>
      </c>
      <c r="AX293" s="30">
        <f>IFERROR(VLOOKUP(Tabla145[[#This Row],[Llave]],'[13]Ultimos precios facturados'!$A:$G,7,FALSE),0)</f>
        <v>0</v>
      </c>
      <c r="AY29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3" s="30">
        <f>IFERROR(VLOOKUP(Tabla145[[#This Row],[Llave]],Hoja2!B:K,10,FALSE),0)</f>
        <v>0</v>
      </c>
      <c r="BA293" s="30">
        <f>IF(Tabla145[[#This Row],[Ajuste precio IC]]="",Tabla145[[#This Row],[Precio ponderado]],Tabla145[[#This Row],[Precio ponderado]])</f>
        <v>0</v>
      </c>
      <c r="BB293" s="82"/>
      <c r="BC293" s="82" t="str">
        <f>IF(AND(Tabla145[[#This Row],[Atraso a facturar]]&gt;0,Tabla145[[#This Row],[Precio Atraso]]=0),"Revisar","OK")</f>
        <v>OK</v>
      </c>
      <c r="BD293" s="82" t="str">
        <f>IF(AND(Tabla145[[#This Row],[Venta del mes]]&gt;0,Tabla145[[#This Row],[Precio venta nueva]]=0),"Revisar","OK")</f>
        <v>OK</v>
      </c>
      <c r="BE293" s="20">
        <f>IFERROR(VLOOKUP(Tabla145[[#This Row],[Llave]],'[5]Consolidación planes'!$A:$M,9,FALSE),0)</f>
        <v>0</v>
      </c>
      <c r="BF293" s="20">
        <f>IFERROR(VLOOKUP(Tabla145[[#This Row],[Llave]],'[5]Consolidación planes'!$A:$M,10,FALSE),0)</f>
        <v>0</v>
      </c>
      <c r="BG293" s="20">
        <f>IFERROR(VLOOKUP(Tabla145[[#This Row],[Llave]],'[5]Consolidación planes'!$A:$M,11,FALSE),0)</f>
        <v>0</v>
      </c>
      <c r="BH293" s="20">
        <f>IFERROR(VLOOKUP(Tabla145[[#This Row],[Llave]],'[5]Consolidación planes'!$A:$M,12,FALSE),0)</f>
        <v>0</v>
      </c>
      <c r="BI293" s="20">
        <f>IFERROR(VLOOKUP(Tabla145[[#This Row],[Llave]],'[5]Consolidación planes'!$A:$M,13,FALSE),0)</f>
        <v>0</v>
      </c>
      <c r="BJ293" s="20">
        <f>IFERROR(VLOOKUP(Tabla145[[#This Row],[Llave]],'[13]Base ultimos planes'!$A:$M,13,FALSE),0)</f>
        <v>0</v>
      </c>
      <c r="BK293" s="80">
        <f>IFERROR(VLOOKUP(Tabla145[[#This Row],[Llave]],'[13]Base ultimos planes'!$O:$AA,8,FALSE),0)</f>
        <v>0</v>
      </c>
      <c r="BL293" s="20">
        <f>IFERROR(VLOOKUP(Tabla145[[#This Row],[Llave]],'[13]Base ultimos planes'!$O:$AA,9,FALSE),0)</f>
        <v>0</v>
      </c>
      <c r="BM293" s="20">
        <f>IFERROR(VLOOKUP(Tabla145[[#This Row],[Llave]],'[13]Base ultimos planes'!$O:$AA,10,FALSE),0)</f>
        <v>0</v>
      </c>
      <c r="BN293" s="20">
        <f>IFERROR(VLOOKUP(Tabla145[[#This Row],[Llave]],'[13]Base ultimos planes'!$O:$AA,11,FALSE),0)</f>
        <v>0</v>
      </c>
      <c r="BO293" s="20">
        <f>IFERROR(VLOOKUP(Tabla145[[#This Row],[Llave]],'[13]Base ultimos planes'!$O:$AA,12,FALSE),0)</f>
        <v>0</v>
      </c>
      <c r="BP293" s="20">
        <f>IFERROR(VLOOKUP(Tabla145[[#This Row],[Llave]],'[13]Base ultimos planes'!$O:$AA,13,FALSE),0)</f>
        <v>0</v>
      </c>
      <c r="BQ293" s="35"/>
      <c r="BR293" s="20">
        <f>Tabla145[[#This Row],[ RV Producción mes n+1]]*(1-Tabla145[[#This Row],[% Uti. producción]])</f>
        <v>0</v>
      </c>
      <c r="BS293" s="20">
        <f>+Tabla145[[#This Row],[Producción disponible mes n-1]]+Tabla145[[#This Row],[Saldo Volumen disponible]]</f>
        <v>0</v>
      </c>
      <c r="BT293" s="7">
        <f>IFERROR(VLOOKUP(Tabla145[[#This Row],[Llave]],'[21]RV n+2 y n+3'!$B:$F,4,FALSE),0)</f>
        <v>0</v>
      </c>
      <c r="BU293" s="7">
        <f>+Tabla145[[#This Row],[Asignación mes n+2]]*Tabla145[[#This Row],[% Uti. producción]]</f>
        <v>0</v>
      </c>
      <c r="BV293" s="7">
        <f>+Tabla145[[#This Row],[Ponderación mes n+2]]+Tabla145[[#This Row],[Saldo mes n-1]]</f>
        <v>0</v>
      </c>
      <c r="BW293" s="7">
        <f>+Tabla145[[#This Row],[Asignación mes n+2]]-Tabla145[[#This Row],[Ponderación mes n+2]]</f>
        <v>0</v>
      </c>
      <c r="BX293" s="7">
        <f>IFERROR(VLOOKUP(Tabla145[[#This Row],[Llave]],'[21]RV n+2 y n+3'!$B:$F,5,FALSE),0)</f>
        <v>0</v>
      </c>
      <c r="BY293" s="7">
        <f>+Tabla145[[#This Row],[Asignación mes n+3]]*Tabla145[[#This Row],[% Uti. producción]]</f>
        <v>0</v>
      </c>
      <c r="BZ293" s="3">
        <f>+Tabla145[[#This Row],[Ponderación mes n+3]]+Tabla145[[#This Row],[Saldo mes n+2]]</f>
        <v>0</v>
      </c>
      <c r="CA293" s="3">
        <f>+Tabla145[[#This Row],[Asignación mes n+3]]-Tabla145[[#This Row],[Ponderación mes n+3]]</f>
        <v>0</v>
      </c>
      <c r="CB293" s="3">
        <f>+Tabla145[[#This Row],[Producción disponible mes n-1]]+Tabla145[[#This Row],[Producción disponible]]</f>
        <v>0</v>
      </c>
      <c r="CC293" s="3">
        <f>+Tabla145[[#This Row],[Saldo mes n+4]]-Tabla145[[#This Row],[ RV Producción mes n+1]]</f>
        <v>0</v>
      </c>
    </row>
    <row r="294" spans="1:81" ht="16" x14ac:dyDescent="0.2">
      <c r="A294">
        <v>1</v>
      </c>
      <c r="B294" t="str">
        <f>Tabla145[[#This Row],[Oficina]]&amp;Tabla145[[#This Row],[Material]]</f>
        <v>Agrosuper Asia1030576</v>
      </c>
      <c r="C294" t="s">
        <v>204</v>
      </c>
      <c r="D294" t="s">
        <v>173</v>
      </c>
      <c r="E294">
        <v>1030576</v>
      </c>
      <c r="F294" t="s">
        <v>619</v>
      </c>
      <c r="G294" t="s">
        <v>620</v>
      </c>
      <c r="H294" t="s">
        <v>620</v>
      </c>
      <c r="I294" s="15">
        <f>IFERROR(VLOOKUP(Tabla145[[#This Row],[Llave]],'[7]RV Producción'!$C:$G,5,FALSE),0)</f>
        <v>0</v>
      </c>
      <c r="J294" s="3">
        <f>IFERROR(IF(Tabla145[[#This Row],[Oficina]]=$I$7,VLOOKUP(Tabla145[[#This Row],[Llave]],'[7]Shangai (Tomas)'!$A:$F,6,FALSE),VLOOKUP(Tabla145[[#This Row],[Llave]],'[7]RV plan de ventas'!$A:$E,5,FALSE)),0)</f>
        <v>0</v>
      </c>
      <c r="K294" s="17">
        <f>IFERROR(VLOOKUP(Tabla145[[#This Row],[Oficina]],[15]Ponderación!$B$2:$E$9,4,FALSE),0)</f>
        <v>0.45719439678473212</v>
      </c>
      <c r="L294" s="7">
        <f>+Tabla145[[#This Row],[ RV Producción mes n+1]]*Tabla145[[#This Row],[% Uti. producción]]</f>
        <v>0</v>
      </c>
      <c r="M294" s="7">
        <f>IFERROR(VLOOKUP(Tabla145[[#This Row],[Material]],[16]Stock!$G:$K,5,FALSE),0)</f>
        <v>0</v>
      </c>
      <c r="N294" s="7">
        <f>IFERROR(VLOOKUP(Tabla145[[#This Row],[Material]],[16]Produccion!$M:$N,2,FALSE),0)</f>
        <v>0</v>
      </c>
      <c r="O294" s="7">
        <f>IFERROR(VLOOKUP(Tabla145[[#This Row],[Llave]],'[16]TD Conf-AP'!$I:$M,4,FALSE),0)</f>
        <v>0</v>
      </c>
      <c r="P294" s="37">
        <f>SUM(Tabla145[[#This Row],[Producción disponible]],Tabla145[[#This Row],[Stock al día]],(Tabla145[[#This Row],[Por producir mes N]]*0.9))-Tabla145[[#This Row],[Producción por despachar mes N]]</f>
        <v>0</v>
      </c>
      <c r="Q294" s="7">
        <f>IFERROR(VLOOKUP(Tabla145[[#This Row],[Llave]],[17]DELAY!$A:$D,4,FALSE),0)</f>
        <v>0</v>
      </c>
      <c r="R294" s="9">
        <v>0</v>
      </c>
      <c r="S294" s="5">
        <f t="shared" si="9"/>
        <v>0</v>
      </c>
      <c r="T294" s="76">
        <v>0</v>
      </c>
      <c r="U294" s="5">
        <f>+Tabla145[[#This Row],[Atraso a facturar]]+Tabla145[[#This Row],[Ajuste atraso]]</f>
        <v>0</v>
      </c>
      <c r="V294" s="3">
        <f>+Tabla145[[#This Row],[Total disponible]]-Tabla145[[#This Row],[Facturación atraso]]</f>
        <v>0</v>
      </c>
      <c r="W294" s="6">
        <f>IFERROR(IF(AND(V294&gt;R294,J294&gt;=R294),ROUNDDOWN((Tabla145[[#This Row],[Producción para venta nueva]])/R294,0)*R294,0),0)</f>
        <v>0</v>
      </c>
      <c r="X294" s="76">
        <v>0</v>
      </c>
      <c r="Y294" s="6">
        <f>IF(Tabla145[[#This Row],[Venta del mes]]&gt;0,Tabla145[[#This Row],[Venta del mes]]+Tabla145[[#This Row],[Ajuste venta nueva]],0)</f>
        <v>0</v>
      </c>
      <c r="Z294" s="6">
        <f>+Tabla145[[#This Row],[Producción para venta nueva]]-Tabla145[[#This Row],[Facturación Venta nueva]]</f>
        <v>0</v>
      </c>
      <c r="AA294" s="6">
        <f>IF(AND(A294=1,Tabla145[[#This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4" s="6">
        <v>0</v>
      </c>
      <c r="AC294" s="6">
        <f>IF(Tabla145[[#This Row],[Disponible stock sin venta]]&gt;0,Tabla145[[#This Row],[Disponible stock sin venta]]+Tabla145[[#This Row],[Ajuste stock sin venta]],0)</f>
        <v>0</v>
      </c>
      <c r="AD294" s="3">
        <f>IFERROR(VLOOKUP(Tabla145[[#This Row],[Llave]],'[16]TD Puerto'!$A:$D,4,FALSE),0)</f>
        <v>0</v>
      </c>
      <c r="AE294" s="3">
        <v>0</v>
      </c>
      <c r="AF294" s="3">
        <f>+Tabla145[[#This Row],[Plan Irrestricto Inicial]]</f>
        <v>0</v>
      </c>
      <c r="AG294" s="3">
        <f>+Tabla145[[#This Row],[En puerto a facturar]]</f>
        <v>0</v>
      </c>
      <c r="AH294" s="3">
        <f>+Tabla145[[#This Row],[Facturación atraso]]</f>
        <v>0</v>
      </c>
      <c r="AI294" s="3">
        <f>+Tabla145[[#This Row],[Plan Irrestricto]]-Tabla145[[#This Row],[Puerto ]]-Tabla145[[#This Row],[Atraso]]</f>
        <v>0</v>
      </c>
      <c r="AJ29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4" s="3">
        <f>+Tabla145[[#This Row],[Facturación atraso]]</f>
        <v>0</v>
      </c>
      <c r="AL294" s="3">
        <f>+Tabla145[[#This Row],[Plan Ajustado]]-Tabla145[[#This Row],[ Atraso ajustado]]-Tabla145[[#This Row],[Puerto ]]</f>
        <v>0</v>
      </c>
      <c r="AM294" s="6">
        <f>IFERROR(VLOOKUP(Tabla145[[#This Row],[Llave]],[18]!Tabla14[#All],34,FALSE),0)</f>
        <v>0</v>
      </c>
      <c r="AN294" s="6">
        <f>IFERROR(VLOOKUP(Tabla145[[#This Row],[Llave]],[18]!Tabla14[#All],35,FALSE),0)</f>
        <v>0</v>
      </c>
      <c r="AO294" s="3" t="str">
        <f>IF(Tabla145[[#This Row],[Plan Ajustado]]&gt;Tabla145[[#This Row],[En puerto a facturar]],"Si","No")</f>
        <v>No</v>
      </c>
      <c r="AP29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4" s="3">
        <f>IF(Tabla145[[#This Row],[Necesidad]]&gt;=Tabla145[[#This Row],[Stock al día]],Tabla145[[#This Row],[Stock al día]],Tabla145[[#This Row],[Necesidad]])</f>
        <v>0</v>
      </c>
      <c r="AR294" s="3">
        <f>+Tabla145[[#This Row],[Necesidad]]-Tabla145[[#This Row],[Stock Plan]]</f>
        <v>0</v>
      </c>
      <c r="AS294" s="155">
        <f>IFERROR(VLOOKUP(Tabla145[[#This Row],[Oficina]],[19]Ponderación!$B$14:$E$21,4,FALSE),"")</f>
        <v>44786</v>
      </c>
      <c r="AT29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</v>
      </c>
      <c r="AU294" s="83">
        <f>IFERROR(VLOOKUP(Tabla145[[#This Row],[Llave]],[17]DELAY!$H:$W,16,FALSE),0)</f>
        <v>0</v>
      </c>
      <c r="AV29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4" s="5">
        <f>Tabla145[[#This Row],[Ajuste precio IC]]*Tabla145[[#This Row],[Plan Ajustado]]</f>
        <v>0</v>
      </c>
      <c r="AX294" s="30">
        <f>IFERROR(VLOOKUP(Tabla145[[#This Row],[Llave]],'[13]Ultimos precios facturados'!$A:$G,7,FALSE),0)</f>
        <v>1</v>
      </c>
      <c r="AY29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4" s="30">
        <f>IFERROR(VLOOKUP(Tabla145[[#This Row],[Llave]],Hoja2!B:K,10,FALSE),0)</f>
        <v>0</v>
      </c>
      <c r="BA294" s="30">
        <f>IF(Tabla145[[#This Row],[Ajuste precio IC]]="",Tabla145[[#This Row],[Precio ponderado]],Tabla145[[#This Row],[Precio ponderado]])</f>
        <v>0</v>
      </c>
      <c r="BB294" s="82"/>
      <c r="BC294" s="82" t="str">
        <f>IF(AND(Tabla145[[#This Row],[Atraso a facturar]]&gt;0,Tabla145[[#This Row],[Precio Atraso]]=0),"Revisar","OK")</f>
        <v>OK</v>
      </c>
      <c r="BD294" s="82" t="str">
        <f>IF(AND(Tabla145[[#This Row],[Venta del mes]]&gt;0,Tabla145[[#This Row],[Precio venta nueva]]=0),"Revisar","OK")</f>
        <v>OK</v>
      </c>
      <c r="BE294" s="20">
        <f>IFERROR(VLOOKUP(Tabla145[[#This Row],[Llave]],'[5]Consolidación planes'!$A:$M,9,FALSE),0)</f>
        <v>0</v>
      </c>
      <c r="BF294" s="20">
        <f>IFERROR(VLOOKUP(Tabla145[[#This Row],[Llave]],'[5]Consolidación planes'!$A:$M,10,FALSE),0)</f>
        <v>0</v>
      </c>
      <c r="BG294" s="20">
        <f>IFERROR(VLOOKUP(Tabla145[[#This Row],[Llave]],'[5]Consolidación planes'!$A:$M,11,FALSE),0)</f>
        <v>0</v>
      </c>
      <c r="BH294" s="20">
        <f>IFERROR(VLOOKUP(Tabla145[[#This Row],[Llave]],'[5]Consolidación planes'!$A:$M,12,FALSE),0)</f>
        <v>0</v>
      </c>
      <c r="BI294" s="20">
        <f>IFERROR(VLOOKUP(Tabla145[[#This Row],[Llave]],'[5]Consolidación planes'!$A:$M,13,FALSE),0)</f>
        <v>0</v>
      </c>
      <c r="BJ294" s="20">
        <f>IFERROR(VLOOKUP(Tabla145[[#This Row],[Llave]],'[13]Base ultimos planes'!$A:$M,13,FALSE),0)</f>
        <v>0</v>
      </c>
      <c r="BK294" s="80">
        <f>IFERROR(VLOOKUP(Tabla145[[#This Row],[Llave]],'[13]Base ultimos planes'!$O:$AA,8,FALSE),0)</f>
        <v>0</v>
      </c>
      <c r="BL294" s="20">
        <f>IFERROR(VLOOKUP(Tabla145[[#This Row],[Llave]],'[13]Base ultimos planes'!$O:$AA,9,FALSE),0)</f>
        <v>0</v>
      </c>
      <c r="BM294" s="20">
        <f>IFERROR(VLOOKUP(Tabla145[[#This Row],[Llave]],'[13]Base ultimos planes'!$O:$AA,10,FALSE),0)</f>
        <v>0</v>
      </c>
      <c r="BN294" s="20">
        <f>IFERROR(VLOOKUP(Tabla145[[#This Row],[Llave]],'[13]Base ultimos planes'!$O:$AA,11,FALSE),0)</f>
        <v>0</v>
      </c>
      <c r="BO294" s="20">
        <f>IFERROR(VLOOKUP(Tabla145[[#This Row],[Llave]],'[13]Base ultimos planes'!$O:$AA,12,FALSE),0)</f>
        <v>0</v>
      </c>
      <c r="BP294" s="20">
        <f>IFERROR(VLOOKUP(Tabla145[[#This Row],[Llave]],'[13]Base ultimos planes'!$O:$AA,13,FALSE),0)</f>
        <v>0</v>
      </c>
      <c r="BQ294" s="35"/>
      <c r="BR294" s="20">
        <f>Tabla145[[#This Row],[ RV Producción mes n+1]]*(1-Tabla145[[#This Row],[% Uti. producción]])</f>
        <v>0</v>
      </c>
      <c r="BS294" s="20">
        <f>+Tabla145[[#This Row],[Producción disponible mes n-1]]+Tabla145[[#This Row],[Saldo Volumen disponible]]</f>
        <v>0</v>
      </c>
      <c r="BT294" s="7">
        <f>IFERROR(VLOOKUP(Tabla145[[#This Row],[Llave]],'[21]RV n+2 y n+3'!$B:$F,4,FALSE),0)</f>
        <v>0</v>
      </c>
      <c r="BU294" s="7">
        <f>+Tabla145[[#This Row],[Asignación mes n+2]]*Tabla145[[#This Row],[% Uti. producción]]</f>
        <v>0</v>
      </c>
      <c r="BV294" s="7">
        <f>+Tabla145[[#This Row],[Ponderación mes n+2]]+Tabla145[[#This Row],[Saldo mes n-1]]</f>
        <v>0</v>
      </c>
      <c r="BW294" s="7">
        <f>+Tabla145[[#This Row],[Asignación mes n+2]]-Tabla145[[#This Row],[Ponderación mes n+2]]</f>
        <v>0</v>
      </c>
      <c r="BX294" s="7">
        <f>IFERROR(VLOOKUP(Tabla145[[#This Row],[Llave]],'[21]RV n+2 y n+3'!$B:$F,5,FALSE),0)</f>
        <v>0</v>
      </c>
      <c r="BY294" s="7">
        <f>+Tabla145[[#This Row],[Asignación mes n+3]]*Tabla145[[#This Row],[% Uti. producción]]</f>
        <v>0</v>
      </c>
      <c r="BZ294" s="3">
        <f>+Tabla145[[#This Row],[Ponderación mes n+3]]+Tabla145[[#This Row],[Saldo mes n+2]]</f>
        <v>0</v>
      </c>
      <c r="CA294" s="3">
        <f>+Tabla145[[#This Row],[Asignación mes n+3]]-Tabla145[[#This Row],[Ponderación mes n+3]]</f>
        <v>0</v>
      </c>
      <c r="CB294" s="3">
        <f>+Tabla145[[#This Row],[Producción disponible mes n-1]]+Tabla145[[#This Row],[Producción disponible]]</f>
        <v>0</v>
      </c>
      <c r="CC294" s="3">
        <f>+Tabla145[[#This Row],[Saldo mes n+4]]-Tabla145[[#This Row],[ RV Producción mes n+1]]</f>
        <v>0</v>
      </c>
    </row>
    <row r="295" spans="1:81" ht="16" x14ac:dyDescent="0.2">
      <c r="A295">
        <v>1</v>
      </c>
      <c r="B295" t="str">
        <f>Tabla145[[#This Row],[Oficina]]&amp;Tabla145[[#This Row],[Material]]</f>
        <v>Agrosuper Brasil1030740</v>
      </c>
      <c r="C295" t="s">
        <v>204</v>
      </c>
      <c r="D295" t="s">
        <v>7</v>
      </c>
      <c r="E295">
        <v>1030740</v>
      </c>
      <c r="F295" t="s">
        <v>621</v>
      </c>
      <c r="G295" t="s">
        <v>212</v>
      </c>
      <c r="H295" t="s">
        <v>319</v>
      </c>
      <c r="I295" s="15">
        <f>IFERROR(VLOOKUP(Tabla145[[#This Row],[Llave]],'[7]RV Producción'!$C:$G,5,FALSE),0)</f>
        <v>0</v>
      </c>
      <c r="J295" s="3">
        <f>IFERROR(IF(Tabla145[[#This Row],[Oficina]]=$I$7,VLOOKUP(Tabla145[[#This Row],[Llave]],'[7]Shangai (Tomas)'!$A:$F,6,FALSE),VLOOKUP(Tabla145[[#This Row],[Llave]],'[7]RV plan de ventas'!$A:$E,5,FALSE)),0)</f>
        <v>0</v>
      </c>
      <c r="K295" s="17">
        <f>IFERROR(VLOOKUP(Tabla145[[#This Row],[Oficina]],[15]Ponderación!$B$2:$E$9,4,FALSE),0)</f>
        <v>0.81420840482290169</v>
      </c>
      <c r="L295" s="7">
        <f>+Tabla145[[#This Row],[ RV Producción mes n+1]]*Tabla145[[#This Row],[% Uti. producción]]</f>
        <v>0</v>
      </c>
      <c r="M295" s="7">
        <f>IFERROR(VLOOKUP(Tabla145[[#This Row],[Material]],[16]Stock!$G:$K,5,FALSE),0)</f>
        <v>0</v>
      </c>
      <c r="N295" s="7">
        <f>IFERROR(VLOOKUP(Tabla145[[#This Row],[Material]],[16]Produccion!$M:$N,2,FALSE),0)</f>
        <v>0</v>
      </c>
      <c r="O295" s="7">
        <f>IFERROR(VLOOKUP(Tabla145[[#This Row],[Llave]],'[16]TD Conf-AP'!$I:$M,4,FALSE),0)</f>
        <v>0</v>
      </c>
      <c r="P295" s="37">
        <f>SUM(Tabla145[[#This Row],[Producción disponible]],Tabla145[[#This Row],[Stock al día]],(Tabla145[[#This Row],[Por producir mes N]]*0.9))-Tabla145[[#This Row],[Producción por despachar mes N]]</f>
        <v>0</v>
      </c>
      <c r="Q295" s="7">
        <f>IFERROR(VLOOKUP(Tabla145[[#This Row],[Llave]],[17]DELAY!$A:$D,4,FALSE),0)</f>
        <v>0</v>
      </c>
      <c r="R295" s="9">
        <v>0</v>
      </c>
      <c r="S295" s="5">
        <f t="shared" si="9"/>
        <v>0</v>
      </c>
      <c r="T295" s="76">
        <v>0</v>
      </c>
      <c r="U295" s="5">
        <f>+Tabla145[[#This Row],[Atraso a facturar]]+Tabla145[[#This Row],[Ajuste atraso]]</f>
        <v>0</v>
      </c>
      <c r="V295" s="3">
        <f>+Tabla145[[#This Row],[Total disponible]]-Tabla145[[#This Row],[Facturación atraso]]</f>
        <v>0</v>
      </c>
      <c r="W295" s="6">
        <f>IFERROR(IF(AND(V295&gt;R295,J295&gt;=R295),ROUNDDOWN((Tabla145[[#This Row],[Producción para venta nueva]])/R295,0)*R295,0),0)</f>
        <v>0</v>
      </c>
      <c r="X295" s="76"/>
      <c r="Y295" s="6">
        <f>IF(Tabla145[[#This Row],[Venta del mes]]&gt;0,Tabla145[[#This Row],[Venta del mes]]+Tabla145[[#This Row],[Ajuste venta nueva]],0)</f>
        <v>0</v>
      </c>
      <c r="Z295" s="6">
        <f>+Tabla145[[#This Row],[Producción para venta nueva]]-Tabla145[[#This Row],[Facturación Venta nueva]]</f>
        <v>0</v>
      </c>
      <c r="AA295" s="6">
        <f>IF(AND(A295=1,Tabla145[[#This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5" s="6">
        <v>0</v>
      </c>
      <c r="AC295" s="6">
        <f>IF(Tabla145[[#This Row],[Disponible stock sin venta]]&gt;0,Tabla145[[#This Row],[Disponible stock sin venta]]+Tabla145[[#This Row],[Ajuste stock sin venta]],0)</f>
        <v>0</v>
      </c>
      <c r="AD295" s="3">
        <f>IFERROR(VLOOKUP(Tabla145[[#This Row],[Llave]],'[16]TD Puerto'!$A:$D,4,FALSE),0)</f>
        <v>0</v>
      </c>
      <c r="AE295" s="3">
        <v>0</v>
      </c>
      <c r="AF295" s="3">
        <f>+Tabla145[[#This Row],[Plan Irrestricto Inicial]]</f>
        <v>0</v>
      </c>
      <c r="AG295" s="3">
        <f>+Tabla145[[#This Row],[En puerto a facturar]]</f>
        <v>0</v>
      </c>
      <c r="AH295" s="3">
        <f>+Tabla145[[#This Row],[Facturación atraso]]</f>
        <v>0</v>
      </c>
      <c r="AI295" s="3">
        <f>+Tabla145[[#This Row],[Plan Irrestricto]]-Tabla145[[#This Row],[Puerto ]]-Tabla145[[#This Row],[Atraso]]</f>
        <v>0</v>
      </c>
      <c r="AJ29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5" s="3">
        <f>+Tabla145[[#This Row],[Facturación atraso]]</f>
        <v>0</v>
      </c>
      <c r="AL295" s="3">
        <f>+Tabla145[[#This Row],[Plan Ajustado]]-Tabla145[[#This Row],[ Atraso ajustado]]-Tabla145[[#This Row],[Puerto ]]</f>
        <v>0</v>
      </c>
      <c r="AM295" s="6">
        <f>IFERROR(VLOOKUP(Tabla145[[#This Row],[Llave]],[18]!Tabla14[#All],34,FALSE),0)</f>
        <v>0</v>
      </c>
      <c r="AN295" s="6">
        <f>IFERROR(VLOOKUP(Tabla145[[#This Row],[Llave]],[18]!Tabla14[#All],35,FALSE),0)</f>
        <v>0</v>
      </c>
      <c r="AO295" s="3" t="str">
        <f>IF(Tabla145[[#This Row],[Plan Ajustado]]&gt;Tabla145[[#This Row],[En puerto a facturar]],"Si","No")</f>
        <v>No</v>
      </c>
      <c r="AP29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5" s="3">
        <f>IF(Tabla145[[#This Row],[Necesidad]]&gt;=Tabla145[[#This Row],[Stock al día]],Tabla145[[#This Row],[Stock al día]],Tabla145[[#This Row],[Necesidad]])</f>
        <v>0</v>
      </c>
      <c r="AR295" s="3">
        <f>+Tabla145[[#This Row],[Necesidad]]-Tabla145[[#This Row],[Stock Plan]]</f>
        <v>0</v>
      </c>
      <c r="AS295" s="155">
        <f>IFERROR(VLOOKUP(Tabla145[[#This Row],[Oficina]],[19]Ponderación!$B$14:$E$21,4,FALSE),"")</f>
        <v>44798</v>
      </c>
      <c r="AT29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95" s="83">
        <f>IFERROR(VLOOKUP(Tabla145[[#This Row],[Llave]],[17]DELAY!$H:$W,16,FALSE),0)</f>
        <v>0</v>
      </c>
      <c r="AV29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5" s="5">
        <f>Tabla145[[#This Row],[Ajuste precio IC]]*Tabla145[[#This Row],[Plan Ajustado]]</f>
        <v>0</v>
      </c>
      <c r="AX295" s="30">
        <f>IFERROR(VLOOKUP(Tabla145[[#This Row],[Llave]],'[13]Ultimos precios facturados'!$A:$G,7,FALSE),0)</f>
        <v>0</v>
      </c>
      <c r="AY29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5" s="30">
        <f>IFERROR(VLOOKUP(Tabla145[[#This Row],[Llave]],Hoja2!B:K,10,FALSE),0)</f>
        <v>0</v>
      </c>
      <c r="BA295" s="30">
        <f>IF(Tabla145[[#This Row],[Ajuste precio IC]]="",Tabla145[[#This Row],[Precio ponderado]],Tabla145[[#This Row],[Precio ponderado]])</f>
        <v>0</v>
      </c>
      <c r="BB295" s="82"/>
      <c r="BC295" s="82" t="str">
        <f>IF(AND(Tabla145[[#This Row],[Atraso a facturar]]&gt;0,Tabla145[[#This Row],[Precio Atraso]]=0),"Revisar","OK")</f>
        <v>OK</v>
      </c>
      <c r="BD295" s="82" t="str">
        <f>IF(AND(Tabla145[[#This Row],[Venta del mes]]&gt;0,Tabla145[[#This Row],[Precio venta nueva]]=0),"Revisar","OK")</f>
        <v>OK</v>
      </c>
      <c r="BE295" s="20">
        <f>IFERROR(VLOOKUP(Tabla145[[#This Row],[Llave]],'[5]Consolidación planes'!$A:$M,9,FALSE),0)</f>
        <v>0</v>
      </c>
      <c r="BF295" s="20">
        <f>IFERROR(VLOOKUP(Tabla145[[#This Row],[Llave]],'[5]Consolidación planes'!$A:$M,10,FALSE),0)</f>
        <v>0</v>
      </c>
      <c r="BG295" s="20">
        <f>IFERROR(VLOOKUP(Tabla145[[#This Row],[Llave]],'[5]Consolidación planes'!$A:$M,11,FALSE),0)</f>
        <v>0</v>
      </c>
      <c r="BH295" s="20">
        <f>IFERROR(VLOOKUP(Tabla145[[#This Row],[Llave]],'[5]Consolidación planes'!$A:$M,12,FALSE),0)</f>
        <v>0</v>
      </c>
      <c r="BI295" s="20">
        <f>IFERROR(VLOOKUP(Tabla145[[#This Row],[Llave]],'[5]Consolidación planes'!$A:$M,13,FALSE),0)</f>
        <v>0</v>
      </c>
      <c r="BJ295" s="20">
        <f>IFERROR(VLOOKUP(Tabla145[[#This Row],[Llave]],'[13]Base ultimos planes'!$A:$M,13,FALSE),0)</f>
        <v>0</v>
      </c>
      <c r="BK295" s="80">
        <f>IFERROR(VLOOKUP(Tabla145[[#This Row],[Llave]],'[13]Base ultimos planes'!$O:$AA,8,FALSE),0)</f>
        <v>0</v>
      </c>
      <c r="BL295" s="20">
        <f>IFERROR(VLOOKUP(Tabla145[[#This Row],[Llave]],'[13]Base ultimos planes'!$O:$AA,9,FALSE),0)</f>
        <v>0</v>
      </c>
      <c r="BM295" s="20">
        <f>IFERROR(VLOOKUP(Tabla145[[#This Row],[Llave]],'[13]Base ultimos planes'!$O:$AA,10,FALSE),0)</f>
        <v>0</v>
      </c>
      <c r="BN295" s="20">
        <f>IFERROR(VLOOKUP(Tabla145[[#This Row],[Llave]],'[13]Base ultimos planes'!$O:$AA,11,FALSE),0)</f>
        <v>0</v>
      </c>
      <c r="BO295" s="20">
        <f>IFERROR(VLOOKUP(Tabla145[[#This Row],[Llave]],'[13]Base ultimos planes'!$O:$AA,12,FALSE),0)</f>
        <v>0</v>
      </c>
      <c r="BP295" s="20">
        <f>IFERROR(VLOOKUP(Tabla145[[#This Row],[Llave]],'[13]Base ultimos planes'!$O:$AA,13,FALSE),0)</f>
        <v>0</v>
      </c>
      <c r="BQ295" s="35"/>
      <c r="BR295" s="20">
        <f>Tabla145[[#This Row],[ RV Producción mes n+1]]*(1-Tabla145[[#This Row],[% Uti. producción]])</f>
        <v>0</v>
      </c>
      <c r="BS295" s="20">
        <f>+Tabla145[[#This Row],[Producción disponible mes n-1]]+Tabla145[[#This Row],[Saldo Volumen disponible]]</f>
        <v>0</v>
      </c>
      <c r="BT295" s="7">
        <f>IFERROR(VLOOKUP(Tabla145[[#This Row],[Llave]],'[21]RV n+2 y n+3'!$B:$F,4,FALSE),0)</f>
        <v>0</v>
      </c>
      <c r="BU295" s="7">
        <f>+Tabla145[[#This Row],[Asignación mes n+2]]*Tabla145[[#This Row],[% Uti. producción]]</f>
        <v>0</v>
      </c>
      <c r="BV295" s="7">
        <f>+Tabla145[[#This Row],[Ponderación mes n+2]]+Tabla145[[#This Row],[Saldo mes n-1]]</f>
        <v>0</v>
      </c>
      <c r="BW295" s="7">
        <f>+Tabla145[[#This Row],[Asignación mes n+2]]-Tabla145[[#This Row],[Ponderación mes n+2]]</f>
        <v>0</v>
      </c>
      <c r="BX295" s="7">
        <f>IFERROR(VLOOKUP(Tabla145[[#This Row],[Llave]],'[21]RV n+2 y n+3'!$B:$F,5,FALSE),0)</f>
        <v>0</v>
      </c>
      <c r="BY295" s="7">
        <f>+Tabla145[[#This Row],[Asignación mes n+3]]*Tabla145[[#This Row],[% Uti. producción]]</f>
        <v>0</v>
      </c>
      <c r="BZ295" s="3">
        <f>+Tabla145[[#This Row],[Ponderación mes n+3]]+Tabla145[[#This Row],[Saldo mes n+2]]</f>
        <v>0</v>
      </c>
      <c r="CA295" s="3">
        <f>+Tabla145[[#This Row],[Asignación mes n+3]]-Tabla145[[#This Row],[Ponderación mes n+3]]</f>
        <v>0</v>
      </c>
      <c r="CB295" s="3">
        <f>+Tabla145[[#This Row],[Producción disponible mes n-1]]+Tabla145[[#This Row],[Producción disponible]]</f>
        <v>0</v>
      </c>
      <c r="CC295" s="3">
        <f>+Tabla145[[#This Row],[Saldo mes n+4]]-Tabla145[[#This Row],[ RV Producción mes n+1]]</f>
        <v>0</v>
      </c>
    </row>
    <row r="296" spans="1:81" ht="16" x14ac:dyDescent="0.2">
      <c r="A296">
        <v>1</v>
      </c>
      <c r="B296" t="str">
        <f>Tabla145[[#This Row],[Oficina]]&amp;Tabla145[[#This Row],[Material]]</f>
        <v>Agro Sudamerica1012342</v>
      </c>
      <c r="C296" t="s">
        <v>227</v>
      </c>
      <c r="D296" t="s">
        <v>17</v>
      </c>
      <c r="E296">
        <v>1012342</v>
      </c>
      <c r="F296" t="s">
        <v>229</v>
      </c>
      <c r="G296" t="s">
        <v>209</v>
      </c>
      <c r="H296" t="s">
        <v>228</v>
      </c>
      <c r="I296" s="15">
        <f>IFERROR(VLOOKUP(Tabla145[[#This Row],[Llave]],'[7]RV Producción'!$C:$G,5,FALSE),0)</f>
        <v>0</v>
      </c>
      <c r="J296" s="3">
        <f>IFERROR(IF(Tabla145[[#This Row],[Oficina]]=$I$7,VLOOKUP(Tabla145[[#This Row],[Llave]],'[7]Shangai (Tomas)'!$A:$F,6,FALSE),VLOOKUP(Tabla145[[#This Row],[Llave]],'[7]RV plan de ventas'!$A:$E,5,FALSE)),0)</f>
        <v>0</v>
      </c>
      <c r="K296" s="17">
        <f>IFERROR(VLOOKUP(Tabla145[[#This Row],[Oficina]],[15]Ponderación!$B$2:$E$9,4,FALSE),0)</f>
        <v>0.45719439678473212</v>
      </c>
      <c r="L296" s="7">
        <f>+Tabla145[[#This Row],[ RV Producción mes n+1]]*Tabla145[[#This Row],[% Uti. producción]]</f>
        <v>0</v>
      </c>
      <c r="M296" s="7">
        <f>IFERROR(VLOOKUP(Tabla145[[#This Row],[Material]],[16]Stock!$G:$K,5,FALSE),0)</f>
        <v>0</v>
      </c>
      <c r="N296" s="7">
        <f>IFERROR(VLOOKUP(Tabla145[[#This Row],[Material]],[16]Produccion!$M:$N,2,FALSE),0)</f>
        <v>0</v>
      </c>
      <c r="O296" s="7">
        <f>IFERROR(VLOOKUP(Tabla145[[#This Row],[Llave]],'[16]TD Conf-AP'!$I:$M,4,FALSE),0)</f>
        <v>0</v>
      </c>
      <c r="P296" s="37">
        <f>SUM(Tabla145[[#This Row],[Producción disponible]],Tabla145[[#This Row],[Stock al día]],(Tabla145[[#This Row],[Por producir mes N]]*0.9))-Tabla145[[#This Row],[Producción por despachar mes N]]</f>
        <v>0</v>
      </c>
      <c r="Q296" s="7">
        <f>IFERROR(VLOOKUP(Tabla145[[#This Row],[Llave]],[17]DELAY!$A:$D,4,FALSE),0)</f>
        <v>0</v>
      </c>
      <c r="R296" s="9">
        <v>0</v>
      </c>
      <c r="S296" s="5">
        <f t="shared" si="9"/>
        <v>0</v>
      </c>
      <c r="T296" s="76">
        <v>0</v>
      </c>
      <c r="U296" s="5">
        <f>+Tabla145[[#This Row],[Atraso a facturar]]+Tabla145[[#This Row],[Ajuste atraso]]</f>
        <v>0</v>
      </c>
      <c r="V296" s="3">
        <f>+Tabla145[[#This Row],[Total disponible]]-Tabla145[[#This Row],[Facturación atraso]]</f>
        <v>0</v>
      </c>
      <c r="W296" s="6">
        <f>IFERROR(IF(AND(V296&gt;R296,J296&gt;=R296),ROUNDDOWN((Tabla145[[#This Row],[Producción para venta nueva]])/R296,0)*R296,0),0)</f>
        <v>0</v>
      </c>
      <c r="X296" s="76"/>
      <c r="Y296" s="6">
        <f>IF(Tabla145[[#This Row],[Venta del mes]]&gt;0,Tabla145[[#This Row],[Venta del mes]]+Tabla145[[#This Row],[Ajuste venta nueva]],0)</f>
        <v>0</v>
      </c>
      <c r="Z296" s="6">
        <f>+Tabla145[[#This Row],[Producción para venta nueva]]-Tabla145[[#This Row],[Facturación Venta nueva]]</f>
        <v>0</v>
      </c>
      <c r="AA296" s="6">
        <f>IF(AND(A296=1,Tabla145[[#This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6" s="6">
        <v>0</v>
      </c>
      <c r="AC296" s="6">
        <f>IF(Tabla145[[#This Row],[Disponible stock sin venta]]&gt;0,Tabla145[[#This Row],[Disponible stock sin venta]]+Tabla145[[#This Row],[Ajuste stock sin venta]],0)</f>
        <v>0</v>
      </c>
      <c r="AD296" s="3">
        <f>IFERROR(VLOOKUP(Tabla145[[#This Row],[Llave]],'[16]TD Puerto'!$A:$D,4,FALSE),0)</f>
        <v>0</v>
      </c>
      <c r="AE296" s="3">
        <v>0</v>
      </c>
      <c r="AF296" s="3">
        <f>+Tabla145[[#This Row],[Plan Irrestricto Inicial]]</f>
        <v>0</v>
      </c>
      <c r="AG296" s="3">
        <f>+Tabla145[[#This Row],[En puerto a facturar]]</f>
        <v>0</v>
      </c>
      <c r="AH296" s="3">
        <f>+Tabla145[[#This Row],[Facturación atraso]]</f>
        <v>0</v>
      </c>
      <c r="AI296" s="3">
        <f>+Tabla145[[#This Row],[Plan Irrestricto]]-Tabla145[[#This Row],[Puerto ]]-Tabla145[[#This Row],[Atraso]]</f>
        <v>0</v>
      </c>
      <c r="AJ29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6" s="3">
        <f>+Tabla145[[#This Row],[Facturación atraso]]</f>
        <v>0</v>
      </c>
      <c r="AL296" s="3">
        <f>+Tabla145[[#This Row],[Plan Ajustado]]-Tabla145[[#This Row],[ Atraso ajustado]]-Tabla145[[#This Row],[Puerto ]]</f>
        <v>0</v>
      </c>
      <c r="AM296" s="6">
        <f>IFERROR(VLOOKUP(Tabla145[[#This Row],[Llave]],[18]!Tabla14[#All],34,FALSE),0)</f>
        <v>0</v>
      </c>
      <c r="AN296" s="6">
        <f>IFERROR(VLOOKUP(Tabla145[[#This Row],[Llave]],[18]!Tabla14[#All],35,FALSE),0)</f>
        <v>0</v>
      </c>
      <c r="AO296" s="3" t="str">
        <f>IF(Tabla145[[#This Row],[Plan Ajustado]]&gt;Tabla145[[#This Row],[En puerto a facturar]],"Si","No")</f>
        <v>No</v>
      </c>
      <c r="AP29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6" s="3">
        <f>IF(Tabla145[[#This Row],[Necesidad]]&gt;=Tabla145[[#This Row],[Stock al día]],Tabla145[[#This Row],[Stock al día]],Tabla145[[#This Row],[Necesidad]])</f>
        <v>0</v>
      </c>
      <c r="AR296" s="3">
        <f>+Tabla145[[#This Row],[Necesidad]]-Tabla145[[#This Row],[Stock Plan]]</f>
        <v>0</v>
      </c>
      <c r="AS296" s="155">
        <f>IFERROR(VLOOKUP(Tabla145[[#This Row],[Oficina]],[19]Ponderación!$B$14:$E$21,4,FALSE),"")</f>
        <v>44789</v>
      </c>
      <c r="AT29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96" s="83">
        <f>IFERROR(VLOOKUP(Tabla145[[#This Row],[Llave]],[17]DELAY!$H:$W,16,FALSE),0)</f>
        <v>0</v>
      </c>
      <c r="AV29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6" s="5">
        <f>Tabla145[[#This Row],[Ajuste precio IC]]*Tabla145[[#This Row],[Plan Ajustado]]</f>
        <v>0</v>
      </c>
      <c r="AX296" s="30">
        <f>IFERROR(VLOOKUP(Tabla145[[#This Row],[Llave]],'[13]Ultimos precios facturados'!$A:$G,7,FALSE),0)</f>
        <v>0</v>
      </c>
      <c r="AY29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6" s="30">
        <f>IFERROR(VLOOKUP(Tabla145[[#This Row],[Llave]],Hoja2!B:K,10,FALSE),0)</f>
        <v>0</v>
      </c>
      <c r="BA296" s="30">
        <f>IF(Tabla145[[#This Row],[Ajuste precio IC]]="",Tabla145[[#This Row],[Precio ponderado]],Tabla145[[#This Row],[Precio ponderado]])</f>
        <v>0</v>
      </c>
      <c r="BB296" s="82"/>
      <c r="BC296" s="82" t="str">
        <f>IF(AND(Tabla145[[#This Row],[Atraso a facturar]]&gt;0,Tabla145[[#This Row],[Precio Atraso]]=0),"Revisar","OK")</f>
        <v>OK</v>
      </c>
      <c r="BD296" s="82" t="str">
        <f>IF(AND(Tabla145[[#This Row],[Venta del mes]]&gt;0,Tabla145[[#This Row],[Precio venta nueva]]=0),"Revisar","OK")</f>
        <v>OK</v>
      </c>
      <c r="BE296" s="20">
        <f>IFERROR(VLOOKUP(Tabla145[[#This Row],[Llave]],'[5]Consolidación planes'!$A:$M,9,FALSE),0)</f>
        <v>0</v>
      </c>
      <c r="BF296" s="20">
        <f>IFERROR(VLOOKUP(Tabla145[[#This Row],[Llave]],'[5]Consolidación planes'!$A:$M,10,FALSE),0)</f>
        <v>0</v>
      </c>
      <c r="BG296" s="20">
        <f>IFERROR(VLOOKUP(Tabla145[[#This Row],[Llave]],'[5]Consolidación planes'!$A:$M,11,FALSE),0)</f>
        <v>0</v>
      </c>
      <c r="BH296" s="20">
        <f>IFERROR(VLOOKUP(Tabla145[[#This Row],[Llave]],'[5]Consolidación planes'!$A:$M,12,FALSE),0)</f>
        <v>0</v>
      </c>
      <c r="BI296" s="20">
        <f>IFERROR(VLOOKUP(Tabla145[[#This Row],[Llave]],'[5]Consolidación planes'!$A:$M,13,FALSE),0)</f>
        <v>0</v>
      </c>
      <c r="BJ296" s="20">
        <f>IFERROR(VLOOKUP(Tabla145[[#This Row],[Llave]],'[13]Base ultimos planes'!$A:$M,13,FALSE),0)</f>
        <v>0</v>
      </c>
      <c r="BK296" s="80">
        <f>IFERROR(VLOOKUP(Tabla145[[#This Row],[Llave]],'[13]Base ultimos planes'!$O:$AA,8,FALSE),0)</f>
        <v>0</v>
      </c>
      <c r="BL296" s="20">
        <f>IFERROR(VLOOKUP(Tabla145[[#This Row],[Llave]],'[13]Base ultimos planes'!$O:$AA,9,FALSE),0)</f>
        <v>0</v>
      </c>
      <c r="BM296" s="20">
        <f>IFERROR(VLOOKUP(Tabla145[[#This Row],[Llave]],'[13]Base ultimos planes'!$O:$AA,10,FALSE),0)</f>
        <v>0</v>
      </c>
      <c r="BN296" s="20">
        <f>IFERROR(VLOOKUP(Tabla145[[#This Row],[Llave]],'[13]Base ultimos planes'!$O:$AA,11,FALSE),0)</f>
        <v>0</v>
      </c>
      <c r="BO296" s="20">
        <f>IFERROR(VLOOKUP(Tabla145[[#This Row],[Llave]],'[13]Base ultimos planes'!$O:$AA,12,FALSE),0)</f>
        <v>0</v>
      </c>
      <c r="BP296" s="20">
        <f>IFERROR(VLOOKUP(Tabla145[[#This Row],[Llave]],'[13]Base ultimos planes'!$O:$AA,13,FALSE),0)</f>
        <v>0</v>
      </c>
      <c r="BQ296" s="35"/>
      <c r="BR296" s="20">
        <f>Tabla145[[#This Row],[ RV Producción mes n+1]]*(1-Tabla145[[#This Row],[% Uti. producción]])</f>
        <v>0</v>
      </c>
      <c r="BS296" s="20">
        <f>+Tabla145[[#This Row],[Producción disponible mes n-1]]+Tabla145[[#This Row],[Saldo Volumen disponible]]</f>
        <v>0</v>
      </c>
      <c r="BT296" s="7">
        <f>IFERROR(VLOOKUP(Tabla145[[#This Row],[Llave]],'[21]RV n+2 y n+3'!$B:$F,4,FALSE),0)</f>
        <v>0</v>
      </c>
      <c r="BU296" s="7">
        <f>+Tabla145[[#This Row],[Asignación mes n+2]]*Tabla145[[#This Row],[% Uti. producción]]</f>
        <v>0</v>
      </c>
      <c r="BV296" s="7">
        <f>+Tabla145[[#This Row],[Ponderación mes n+2]]+Tabla145[[#This Row],[Saldo mes n-1]]</f>
        <v>0</v>
      </c>
      <c r="BW296" s="7">
        <f>+Tabla145[[#This Row],[Asignación mes n+2]]-Tabla145[[#This Row],[Ponderación mes n+2]]</f>
        <v>0</v>
      </c>
      <c r="BX296" s="7">
        <f>IFERROR(VLOOKUP(Tabla145[[#This Row],[Llave]],'[21]RV n+2 y n+3'!$B:$F,5,FALSE),0)</f>
        <v>0</v>
      </c>
      <c r="BY296" s="7">
        <f>+Tabla145[[#This Row],[Asignación mes n+3]]*Tabla145[[#This Row],[% Uti. producción]]</f>
        <v>0</v>
      </c>
      <c r="BZ296" s="3">
        <f>+Tabla145[[#This Row],[Ponderación mes n+3]]+Tabla145[[#This Row],[Saldo mes n+2]]</f>
        <v>0</v>
      </c>
      <c r="CA296" s="3">
        <f>+Tabla145[[#This Row],[Asignación mes n+3]]-Tabla145[[#This Row],[Ponderación mes n+3]]</f>
        <v>0</v>
      </c>
      <c r="CB296" s="3">
        <f>+Tabla145[[#This Row],[Producción disponible mes n-1]]+Tabla145[[#This Row],[Producción disponible]]</f>
        <v>0</v>
      </c>
      <c r="CC296" s="3">
        <f>+Tabla145[[#This Row],[Saldo mes n+4]]-Tabla145[[#This Row],[ RV Producción mes n+1]]</f>
        <v>0</v>
      </c>
    </row>
    <row r="297" spans="1:81" ht="16" x14ac:dyDescent="0.2">
      <c r="A297">
        <v>1</v>
      </c>
      <c r="B297" t="str">
        <f>Tabla145[[#This Row],[Oficina]]&amp;Tabla145[[#This Row],[Material]]</f>
        <v>Agro Sudamerica1011431</v>
      </c>
      <c r="C297" t="s">
        <v>227</v>
      </c>
      <c r="D297" t="s">
        <v>17</v>
      </c>
      <c r="E297">
        <v>1011431</v>
      </c>
      <c r="F297" t="s">
        <v>622</v>
      </c>
      <c r="G297" t="s">
        <v>209</v>
      </c>
      <c r="H297" t="s">
        <v>228</v>
      </c>
      <c r="I297" s="15">
        <f>IFERROR(VLOOKUP(Tabla145[[#This Row],[Llave]],'[7]RV Producción'!$C:$G,5,FALSE),0)</f>
        <v>0</v>
      </c>
      <c r="J297" s="3">
        <f>IFERROR(IF(Tabla145[[#This Row],[Oficina]]=$I$7,VLOOKUP(Tabla145[[#This Row],[Llave]],'[7]Shangai (Tomas)'!$A:$F,6,FALSE),VLOOKUP(Tabla145[[#This Row],[Llave]],'[7]RV plan de ventas'!$A:$E,5,FALSE)),0)</f>
        <v>0</v>
      </c>
      <c r="K297" s="17">
        <f>IFERROR(VLOOKUP(Tabla145[[#This Row],[Oficina]],[15]Ponderación!$B$2:$E$9,4,FALSE),0)</f>
        <v>0.45719439678473212</v>
      </c>
      <c r="L297" s="7">
        <f>+Tabla145[[#This Row],[ RV Producción mes n+1]]*Tabla145[[#This Row],[% Uti. producción]]</f>
        <v>0</v>
      </c>
      <c r="M297" s="7">
        <f>IFERROR(VLOOKUP(Tabla145[[#This Row],[Material]],[16]Stock!$G:$K,5,FALSE),0)</f>
        <v>0</v>
      </c>
      <c r="N297" s="7">
        <f>IFERROR(VLOOKUP(Tabla145[[#This Row],[Material]],[16]Produccion!$M:$N,2,FALSE),0)</f>
        <v>0</v>
      </c>
      <c r="O297" s="7">
        <f>IFERROR(VLOOKUP(Tabla145[[#This Row],[Llave]],'[16]TD Conf-AP'!$I:$M,4,FALSE),0)</f>
        <v>0</v>
      </c>
      <c r="P297" s="37">
        <f>SUM(Tabla145[[#This Row],[Producción disponible]],Tabla145[[#This Row],[Stock al día]],(Tabla145[[#This Row],[Por producir mes N]]*0.9))-Tabla145[[#This Row],[Producción por despachar mes N]]</f>
        <v>0</v>
      </c>
      <c r="Q297" s="7">
        <f>IFERROR(VLOOKUP(Tabla145[[#This Row],[Llave]],[17]DELAY!$A:$D,4,FALSE),0)</f>
        <v>0</v>
      </c>
      <c r="R297" s="9">
        <v>0</v>
      </c>
      <c r="S297" s="5">
        <f t="shared" si="9"/>
        <v>0</v>
      </c>
      <c r="T297" s="76">
        <v>0</v>
      </c>
      <c r="U297" s="5">
        <f>+Tabla145[[#This Row],[Atraso a facturar]]+Tabla145[[#This Row],[Ajuste atraso]]</f>
        <v>0</v>
      </c>
      <c r="V297" s="3">
        <f>+Tabla145[[#This Row],[Total disponible]]-Tabla145[[#This Row],[Facturación atraso]]</f>
        <v>0</v>
      </c>
      <c r="W297" s="6">
        <f>IFERROR(IF(AND(V297&gt;R297,J297&gt;=R297),ROUNDDOWN((Tabla145[[#This Row],[Producción para venta nueva]])/R297,0)*R297,0),0)</f>
        <v>0</v>
      </c>
      <c r="X297" s="76"/>
      <c r="Y297" s="6">
        <f>IF(Tabla145[[#This Row],[Venta del mes]]&gt;0,Tabla145[[#This Row],[Venta del mes]]+Tabla145[[#This Row],[Ajuste venta nueva]],0)</f>
        <v>0</v>
      </c>
      <c r="Z297" s="6">
        <f>+Tabla145[[#This Row],[Producción para venta nueva]]-Tabla145[[#This Row],[Facturación Venta nueva]]</f>
        <v>0</v>
      </c>
      <c r="AA297" s="6">
        <f>IF(AND(A297=1,Tabla145[[#This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7" s="6">
        <v>0</v>
      </c>
      <c r="AC297" s="6">
        <f>IF(Tabla145[[#This Row],[Disponible stock sin venta]]&gt;0,Tabla145[[#This Row],[Disponible stock sin venta]]+Tabla145[[#This Row],[Ajuste stock sin venta]],0)</f>
        <v>0</v>
      </c>
      <c r="AD297" s="3">
        <f>IFERROR(VLOOKUP(Tabla145[[#This Row],[Llave]],'[16]TD Puerto'!$A:$D,4,FALSE),0)</f>
        <v>0</v>
      </c>
      <c r="AE297" s="3">
        <v>0</v>
      </c>
      <c r="AF297" s="3">
        <f>+Tabla145[[#This Row],[Plan Irrestricto Inicial]]</f>
        <v>0</v>
      </c>
      <c r="AG297" s="3">
        <f>+Tabla145[[#This Row],[En puerto a facturar]]</f>
        <v>0</v>
      </c>
      <c r="AH297" s="3">
        <f>+Tabla145[[#This Row],[Facturación atraso]]</f>
        <v>0</v>
      </c>
      <c r="AI297" s="3">
        <f>+Tabla145[[#This Row],[Plan Irrestricto]]-Tabla145[[#This Row],[Puerto ]]-Tabla145[[#This Row],[Atraso]]</f>
        <v>0</v>
      </c>
      <c r="AJ29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7" s="3">
        <f>+Tabla145[[#This Row],[Facturación atraso]]</f>
        <v>0</v>
      </c>
      <c r="AL297" s="3">
        <f>+Tabla145[[#This Row],[Plan Ajustado]]-Tabla145[[#This Row],[ Atraso ajustado]]-Tabla145[[#This Row],[Puerto ]]</f>
        <v>0</v>
      </c>
      <c r="AM297" s="6">
        <f>IFERROR(VLOOKUP(Tabla145[[#This Row],[Llave]],[18]!Tabla14[#All],34,FALSE),0)</f>
        <v>0</v>
      </c>
      <c r="AN297" s="6">
        <f>IFERROR(VLOOKUP(Tabla145[[#This Row],[Llave]],[18]!Tabla14[#All],35,FALSE),0)</f>
        <v>0</v>
      </c>
      <c r="AO297" s="3" t="str">
        <f>IF(Tabla145[[#This Row],[Plan Ajustado]]&gt;Tabla145[[#This Row],[En puerto a facturar]],"Si","No")</f>
        <v>No</v>
      </c>
      <c r="AP29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7" s="3">
        <f>IF(Tabla145[[#This Row],[Necesidad]]&gt;=Tabla145[[#This Row],[Stock al día]],Tabla145[[#This Row],[Stock al día]],Tabla145[[#This Row],[Necesidad]])</f>
        <v>0</v>
      </c>
      <c r="AR297" s="3">
        <f>+Tabla145[[#This Row],[Necesidad]]-Tabla145[[#This Row],[Stock Plan]]</f>
        <v>0</v>
      </c>
      <c r="AS297" s="155">
        <f>IFERROR(VLOOKUP(Tabla145[[#This Row],[Oficina]],[19]Ponderación!$B$14:$E$21,4,FALSE),"")</f>
        <v>44789</v>
      </c>
      <c r="AT29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97" s="83">
        <f>IFERROR(VLOOKUP(Tabla145[[#This Row],[Llave]],[17]DELAY!$H:$W,16,FALSE),0)</f>
        <v>0</v>
      </c>
      <c r="AV29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7" s="5">
        <f>Tabla145[[#This Row],[Ajuste precio IC]]*Tabla145[[#This Row],[Plan Ajustado]]</f>
        <v>0</v>
      </c>
      <c r="AX297" s="30">
        <f>IFERROR(VLOOKUP(Tabla145[[#This Row],[Llave]],'[13]Ultimos precios facturados'!$A:$G,7,FALSE),0)</f>
        <v>0</v>
      </c>
      <c r="AY29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7" s="30">
        <f>IFERROR(VLOOKUP(Tabla145[[#This Row],[Llave]],Hoja2!B:K,10,FALSE),0)</f>
        <v>0</v>
      </c>
      <c r="BA297" s="30">
        <f>IF(Tabla145[[#This Row],[Ajuste precio IC]]="",Tabla145[[#This Row],[Precio ponderado]],Tabla145[[#This Row],[Precio ponderado]])</f>
        <v>0</v>
      </c>
      <c r="BB297" s="82"/>
      <c r="BC297" s="82" t="str">
        <f>IF(AND(Tabla145[[#This Row],[Atraso a facturar]]&gt;0,Tabla145[[#This Row],[Precio Atraso]]=0),"Revisar","OK")</f>
        <v>OK</v>
      </c>
      <c r="BD297" s="82" t="str">
        <f>IF(AND(Tabla145[[#This Row],[Venta del mes]]&gt;0,Tabla145[[#This Row],[Precio venta nueva]]=0),"Revisar","OK")</f>
        <v>OK</v>
      </c>
      <c r="BE297" s="20">
        <f>IFERROR(VLOOKUP(Tabla145[[#This Row],[Llave]],'[5]Consolidación planes'!$A:$M,9,FALSE),0)</f>
        <v>0</v>
      </c>
      <c r="BF297" s="20">
        <f>IFERROR(VLOOKUP(Tabla145[[#This Row],[Llave]],'[5]Consolidación planes'!$A:$M,10,FALSE),0)</f>
        <v>0</v>
      </c>
      <c r="BG297" s="20">
        <f>IFERROR(VLOOKUP(Tabla145[[#This Row],[Llave]],'[5]Consolidación planes'!$A:$M,11,FALSE),0)</f>
        <v>0</v>
      </c>
      <c r="BH297" s="20">
        <f>IFERROR(VLOOKUP(Tabla145[[#This Row],[Llave]],'[5]Consolidación planes'!$A:$M,12,FALSE),0)</f>
        <v>0</v>
      </c>
      <c r="BI297" s="20">
        <f>IFERROR(VLOOKUP(Tabla145[[#This Row],[Llave]],'[5]Consolidación planes'!$A:$M,13,FALSE),0)</f>
        <v>0</v>
      </c>
      <c r="BJ297" s="20">
        <f>IFERROR(VLOOKUP(Tabla145[[#This Row],[Llave]],'[13]Base ultimos planes'!$A:$M,13,FALSE),0)</f>
        <v>0</v>
      </c>
      <c r="BK297" s="80">
        <f>IFERROR(VLOOKUP(Tabla145[[#This Row],[Llave]],'[13]Base ultimos planes'!$O:$AA,8,FALSE),0)</f>
        <v>0</v>
      </c>
      <c r="BL297" s="20">
        <f>IFERROR(VLOOKUP(Tabla145[[#This Row],[Llave]],'[13]Base ultimos planes'!$O:$AA,9,FALSE),0)</f>
        <v>0</v>
      </c>
      <c r="BM297" s="20">
        <f>IFERROR(VLOOKUP(Tabla145[[#This Row],[Llave]],'[13]Base ultimos planes'!$O:$AA,10,FALSE),0)</f>
        <v>0</v>
      </c>
      <c r="BN297" s="20">
        <f>IFERROR(VLOOKUP(Tabla145[[#This Row],[Llave]],'[13]Base ultimos planes'!$O:$AA,11,FALSE),0)</f>
        <v>0</v>
      </c>
      <c r="BO297" s="20">
        <f>IFERROR(VLOOKUP(Tabla145[[#This Row],[Llave]],'[13]Base ultimos planes'!$O:$AA,12,FALSE),0)</f>
        <v>0</v>
      </c>
      <c r="BP297" s="20">
        <f>IFERROR(VLOOKUP(Tabla145[[#This Row],[Llave]],'[13]Base ultimos planes'!$O:$AA,13,FALSE),0)</f>
        <v>0</v>
      </c>
      <c r="BQ297" s="35"/>
      <c r="BR297" s="20">
        <f>Tabla145[[#This Row],[ RV Producción mes n+1]]*(1-Tabla145[[#This Row],[% Uti. producción]])</f>
        <v>0</v>
      </c>
      <c r="BS297" s="20">
        <f>+Tabla145[[#This Row],[Producción disponible mes n-1]]+Tabla145[[#This Row],[Saldo Volumen disponible]]</f>
        <v>0</v>
      </c>
      <c r="BT297" s="7">
        <f>IFERROR(VLOOKUP(Tabla145[[#This Row],[Llave]],'[21]RV n+2 y n+3'!$B:$F,4,FALSE),0)</f>
        <v>0</v>
      </c>
      <c r="BU297" s="7">
        <f>+Tabla145[[#This Row],[Asignación mes n+2]]*Tabla145[[#This Row],[% Uti. producción]]</f>
        <v>0</v>
      </c>
      <c r="BV297" s="7">
        <f>+Tabla145[[#This Row],[Ponderación mes n+2]]+Tabla145[[#This Row],[Saldo mes n-1]]</f>
        <v>0</v>
      </c>
      <c r="BW297" s="7">
        <f>+Tabla145[[#This Row],[Asignación mes n+2]]-Tabla145[[#This Row],[Ponderación mes n+2]]</f>
        <v>0</v>
      </c>
      <c r="BX297" s="7">
        <f>IFERROR(VLOOKUP(Tabla145[[#This Row],[Llave]],'[21]RV n+2 y n+3'!$B:$F,5,FALSE),0)</f>
        <v>0</v>
      </c>
      <c r="BY297" s="7">
        <f>+Tabla145[[#This Row],[Asignación mes n+3]]*Tabla145[[#This Row],[% Uti. producción]]</f>
        <v>0</v>
      </c>
      <c r="BZ297" s="3">
        <f>+Tabla145[[#This Row],[Ponderación mes n+3]]+Tabla145[[#This Row],[Saldo mes n+2]]</f>
        <v>0</v>
      </c>
      <c r="CA297" s="3">
        <f>+Tabla145[[#This Row],[Asignación mes n+3]]-Tabla145[[#This Row],[Ponderación mes n+3]]</f>
        <v>0</v>
      </c>
      <c r="CB297" s="3">
        <f>+Tabla145[[#This Row],[Producción disponible mes n-1]]+Tabla145[[#This Row],[Producción disponible]]</f>
        <v>0</v>
      </c>
      <c r="CC297" s="3">
        <f>+Tabla145[[#This Row],[Saldo mes n+4]]-Tabla145[[#This Row],[ RV Producción mes n+1]]</f>
        <v>0</v>
      </c>
    </row>
    <row r="298" spans="1:81" ht="16" x14ac:dyDescent="0.2">
      <c r="A298">
        <v>1</v>
      </c>
      <c r="B298" t="str">
        <f>Tabla145[[#This Row],[Oficina]]&amp;Tabla145[[#This Row],[Material]]</f>
        <v>Agro Sudamerica1011566</v>
      </c>
      <c r="C298" t="s">
        <v>227</v>
      </c>
      <c r="D298" t="s">
        <v>17</v>
      </c>
      <c r="E298">
        <v>1011566</v>
      </c>
      <c r="F298" t="s">
        <v>623</v>
      </c>
      <c r="G298" t="s">
        <v>266</v>
      </c>
      <c r="H298" t="s">
        <v>266</v>
      </c>
      <c r="I298" s="15">
        <f>IFERROR(VLOOKUP(Tabla145[[#This Row],[Llave]],'[7]RV Producción'!$C:$G,5,FALSE),0)</f>
        <v>0</v>
      </c>
      <c r="J298" s="3">
        <f>IFERROR(IF(Tabla145[[#This Row],[Oficina]]=$I$7,VLOOKUP(Tabla145[[#This Row],[Llave]],'[7]Shangai (Tomas)'!$A:$F,6,FALSE),VLOOKUP(Tabla145[[#This Row],[Llave]],'[7]RV plan de ventas'!$A:$E,5,FALSE)),0)</f>
        <v>0</v>
      </c>
      <c r="K298" s="17">
        <f>IFERROR(VLOOKUP(Tabla145[[#This Row],[Oficina]],[15]Ponderación!$B$2:$E$9,4,FALSE),0)</f>
        <v>0.45719439678473212</v>
      </c>
      <c r="L298" s="7">
        <f>+Tabla145[[#This Row],[ RV Producción mes n+1]]*Tabla145[[#This Row],[% Uti. producción]]</f>
        <v>0</v>
      </c>
      <c r="M298" s="7">
        <f>IFERROR(VLOOKUP(Tabla145[[#This Row],[Material]],[16]Stock!$G:$K,5,FALSE),0)</f>
        <v>0</v>
      </c>
      <c r="N298" s="7">
        <f>IFERROR(VLOOKUP(Tabla145[[#This Row],[Material]],[16]Produccion!$M:$N,2,FALSE),0)</f>
        <v>0</v>
      </c>
      <c r="O298" s="7">
        <f>IFERROR(VLOOKUP(Tabla145[[#This Row],[Llave]],'[16]TD Conf-AP'!$I:$M,4,FALSE),0)</f>
        <v>0</v>
      </c>
      <c r="P298" s="37">
        <f>SUM(Tabla145[[#This Row],[Producción disponible]],Tabla145[[#This Row],[Stock al día]],(Tabla145[[#This Row],[Por producir mes N]]*0.9))-Tabla145[[#This Row],[Producción por despachar mes N]]</f>
        <v>0</v>
      </c>
      <c r="Q298" s="7">
        <f>IFERROR(VLOOKUP(Tabla145[[#This Row],[Llave]],[17]DELAY!$A:$D,4,FALSE),0)</f>
        <v>0</v>
      </c>
      <c r="R298" s="9">
        <v>2100</v>
      </c>
      <c r="S298" s="5">
        <f t="shared" si="9"/>
        <v>0</v>
      </c>
      <c r="T298" s="76">
        <v>0</v>
      </c>
      <c r="U298" s="5">
        <f>+Tabla145[[#This Row],[Atraso a facturar]]+Tabla145[[#This Row],[Ajuste atraso]]</f>
        <v>0</v>
      </c>
      <c r="V298" s="3">
        <f>+Tabla145[[#This Row],[Total disponible]]-Tabla145[[#This Row],[Facturación atraso]]</f>
        <v>0</v>
      </c>
      <c r="W298" s="6">
        <f>IFERROR(IF(AND(V298&gt;R298,J298&gt;=R298),ROUNDDOWN((Tabla145[[#This Row],[Producción para venta nueva]])/R298,0)*R298,0),0)</f>
        <v>0</v>
      </c>
      <c r="X298" s="76"/>
      <c r="Y298" s="6">
        <f>IF(Tabla145[[#This Row],[Venta del mes]]&gt;0,Tabla145[[#This Row],[Venta del mes]]+Tabla145[[#This Row],[Ajuste venta nueva]],0)</f>
        <v>0</v>
      </c>
      <c r="Z298" s="6">
        <f>+Tabla145[[#This Row],[Producción para venta nueva]]-Tabla145[[#This Row],[Facturación Venta nueva]]</f>
        <v>0</v>
      </c>
      <c r="AA298" s="6">
        <f>IF(AND(A298=1,Tabla145[[#This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8" s="6">
        <v>0</v>
      </c>
      <c r="AC298" s="6">
        <f>IF(Tabla145[[#This Row],[Disponible stock sin venta]]&gt;0,Tabla145[[#This Row],[Disponible stock sin venta]]+Tabla145[[#This Row],[Ajuste stock sin venta]],0)</f>
        <v>0</v>
      </c>
      <c r="AD298" s="3">
        <f>IFERROR(VLOOKUP(Tabla145[[#This Row],[Llave]],'[16]TD Puerto'!$A:$D,4,FALSE),0)</f>
        <v>0</v>
      </c>
      <c r="AE298" s="3">
        <v>0</v>
      </c>
      <c r="AF298" s="3">
        <f>+Tabla145[[#This Row],[Plan Irrestricto Inicial]]</f>
        <v>0</v>
      </c>
      <c r="AG298" s="3">
        <f>+Tabla145[[#This Row],[En puerto a facturar]]</f>
        <v>0</v>
      </c>
      <c r="AH298" s="3">
        <f>+Tabla145[[#This Row],[Facturación atraso]]</f>
        <v>0</v>
      </c>
      <c r="AI298" s="3">
        <f>+Tabla145[[#This Row],[Plan Irrestricto]]-Tabla145[[#This Row],[Puerto ]]-Tabla145[[#This Row],[Atraso]]</f>
        <v>0</v>
      </c>
      <c r="AJ29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8" s="3">
        <f>+Tabla145[[#This Row],[Facturación atraso]]</f>
        <v>0</v>
      </c>
      <c r="AL298" s="3">
        <f>+Tabla145[[#This Row],[Plan Ajustado]]-Tabla145[[#This Row],[ Atraso ajustado]]-Tabla145[[#This Row],[Puerto ]]</f>
        <v>0</v>
      </c>
      <c r="AM298" s="6">
        <f>IFERROR(VLOOKUP(Tabla145[[#This Row],[Llave]],[18]!Tabla14[#All],34,FALSE),0)</f>
        <v>0</v>
      </c>
      <c r="AN298" s="6">
        <f>IFERROR(VLOOKUP(Tabla145[[#This Row],[Llave]],[18]!Tabla14[#All],35,FALSE),0)</f>
        <v>0</v>
      </c>
      <c r="AO298" s="3" t="str">
        <f>IF(Tabla145[[#This Row],[Plan Ajustado]]&gt;Tabla145[[#This Row],[En puerto a facturar]],"Si","No")</f>
        <v>No</v>
      </c>
      <c r="AP29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8" s="3">
        <f>IF(Tabla145[[#This Row],[Necesidad]]&gt;=Tabla145[[#This Row],[Stock al día]],Tabla145[[#This Row],[Stock al día]],Tabla145[[#This Row],[Necesidad]])</f>
        <v>0</v>
      </c>
      <c r="AR298" s="3">
        <f>+Tabla145[[#This Row],[Necesidad]]-Tabla145[[#This Row],[Stock Plan]]</f>
        <v>0</v>
      </c>
      <c r="AS298" s="155">
        <f>IFERROR(VLOOKUP(Tabla145[[#This Row],[Oficina]],[19]Ponderación!$B$14:$E$21,4,FALSE),"")</f>
        <v>44789</v>
      </c>
      <c r="AT29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0.58101484042553198</v>
      </c>
      <c r="AU298" s="83">
        <f>IFERROR(VLOOKUP(Tabla145[[#This Row],[Llave]],[17]DELAY!$H:$W,16,FALSE),0)</f>
        <v>0</v>
      </c>
      <c r="AV29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8" s="5">
        <f>Tabla145[[#This Row],[Ajuste precio IC]]*Tabla145[[#This Row],[Plan Ajustado]]</f>
        <v>0</v>
      </c>
      <c r="AX298" s="30">
        <f>IFERROR(VLOOKUP(Tabla145[[#This Row],[Llave]],'[13]Ultimos precios facturados'!$A:$G,7,FALSE),0)</f>
        <v>0.58101484042553198</v>
      </c>
      <c r="AY298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8" s="30">
        <f>IFERROR(VLOOKUP(Tabla145[[#This Row],[Llave]],Hoja2!B:K,10,FALSE),0)</f>
        <v>0</v>
      </c>
      <c r="BA298" s="30">
        <f>IF(Tabla145[[#This Row],[Ajuste precio IC]]="",Tabla145[[#This Row],[Precio ponderado]],Tabla145[[#This Row],[Precio ponderado]])</f>
        <v>0</v>
      </c>
      <c r="BB298" s="82"/>
      <c r="BC298" s="82" t="str">
        <f>IF(AND(Tabla145[[#This Row],[Atraso a facturar]]&gt;0,Tabla145[[#This Row],[Precio Atraso]]=0),"Revisar","OK")</f>
        <v>OK</v>
      </c>
      <c r="BD298" s="82" t="str">
        <f>IF(AND(Tabla145[[#This Row],[Venta del mes]]&gt;0,Tabla145[[#This Row],[Precio venta nueva]]=0),"Revisar","OK")</f>
        <v>OK</v>
      </c>
      <c r="BE298" s="20">
        <f>IFERROR(VLOOKUP(Tabla145[[#This Row],[Llave]],'[5]Consolidación planes'!$A:$M,9,FALSE),0)</f>
        <v>0</v>
      </c>
      <c r="BF298" s="20">
        <f>IFERROR(VLOOKUP(Tabla145[[#This Row],[Llave]],'[5]Consolidación planes'!$A:$M,10,FALSE),0)</f>
        <v>0</v>
      </c>
      <c r="BG298" s="20">
        <f>IFERROR(VLOOKUP(Tabla145[[#This Row],[Llave]],'[5]Consolidación planes'!$A:$M,11,FALSE),0)</f>
        <v>0</v>
      </c>
      <c r="BH298" s="20">
        <f>IFERROR(VLOOKUP(Tabla145[[#This Row],[Llave]],'[5]Consolidación planes'!$A:$M,12,FALSE),0)</f>
        <v>0</v>
      </c>
      <c r="BI298" s="20">
        <f>IFERROR(VLOOKUP(Tabla145[[#This Row],[Llave]],'[5]Consolidación planes'!$A:$M,13,FALSE),0)</f>
        <v>0</v>
      </c>
      <c r="BJ298" s="20">
        <f>IFERROR(VLOOKUP(Tabla145[[#This Row],[Llave]],'[13]Base ultimos planes'!$A:$M,13,FALSE),0)</f>
        <v>0</v>
      </c>
      <c r="BK298" s="80">
        <f>IFERROR(VLOOKUP(Tabla145[[#This Row],[Llave]],'[13]Base ultimos planes'!$O:$AA,8,FALSE),0)</f>
        <v>0</v>
      </c>
      <c r="BL298" s="20">
        <f>IFERROR(VLOOKUP(Tabla145[[#This Row],[Llave]],'[13]Base ultimos planes'!$O:$AA,9,FALSE),0)</f>
        <v>0</v>
      </c>
      <c r="BM298" s="20">
        <f>IFERROR(VLOOKUP(Tabla145[[#This Row],[Llave]],'[13]Base ultimos planes'!$O:$AA,10,FALSE),0)</f>
        <v>0</v>
      </c>
      <c r="BN298" s="20">
        <f>IFERROR(VLOOKUP(Tabla145[[#This Row],[Llave]],'[13]Base ultimos planes'!$O:$AA,11,FALSE),0)</f>
        <v>0</v>
      </c>
      <c r="BO298" s="20">
        <f>IFERROR(VLOOKUP(Tabla145[[#This Row],[Llave]],'[13]Base ultimos planes'!$O:$AA,12,FALSE),0)</f>
        <v>0</v>
      </c>
      <c r="BP298" s="20">
        <f>IFERROR(VLOOKUP(Tabla145[[#This Row],[Llave]],'[13]Base ultimos planes'!$O:$AA,13,FALSE),0)</f>
        <v>0</v>
      </c>
      <c r="BQ298" s="35"/>
      <c r="BR298" s="20">
        <f>Tabla145[[#This Row],[ RV Producción mes n+1]]*(1-Tabla145[[#This Row],[% Uti. producción]])</f>
        <v>0</v>
      </c>
      <c r="BS298" s="20">
        <f>+Tabla145[[#This Row],[Producción disponible mes n-1]]+Tabla145[[#This Row],[Saldo Volumen disponible]]</f>
        <v>0</v>
      </c>
      <c r="BT298" s="7">
        <f>IFERROR(VLOOKUP(Tabla145[[#This Row],[Llave]],'[21]RV n+2 y n+3'!$B:$F,4,FALSE),0)</f>
        <v>0</v>
      </c>
      <c r="BU298" s="7">
        <f>+Tabla145[[#This Row],[Asignación mes n+2]]*Tabla145[[#This Row],[% Uti. producción]]</f>
        <v>0</v>
      </c>
      <c r="BV298" s="7">
        <f>+Tabla145[[#This Row],[Ponderación mes n+2]]+Tabla145[[#This Row],[Saldo mes n-1]]</f>
        <v>0</v>
      </c>
      <c r="BW298" s="7">
        <f>+Tabla145[[#This Row],[Asignación mes n+2]]-Tabla145[[#This Row],[Ponderación mes n+2]]</f>
        <v>0</v>
      </c>
      <c r="BX298" s="7">
        <f>IFERROR(VLOOKUP(Tabla145[[#This Row],[Llave]],'[21]RV n+2 y n+3'!$B:$F,5,FALSE),0)</f>
        <v>0</v>
      </c>
      <c r="BY298" s="7">
        <f>+Tabla145[[#This Row],[Asignación mes n+3]]*Tabla145[[#This Row],[% Uti. producción]]</f>
        <v>0</v>
      </c>
      <c r="BZ298" s="3">
        <f>+Tabla145[[#This Row],[Ponderación mes n+3]]+Tabla145[[#This Row],[Saldo mes n+2]]</f>
        <v>0</v>
      </c>
      <c r="CA298" s="3">
        <f>+Tabla145[[#This Row],[Asignación mes n+3]]-Tabla145[[#This Row],[Ponderación mes n+3]]</f>
        <v>0</v>
      </c>
      <c r="CB298" s="3">
        <f>+Tabla145[[#This Row],[Producción disponible mes n-1]]+Tabla145[[#This Row],[Producción disponible]]</f>
        <v>0</v>
      </c>
      <c r="CC298" s="3">
        <f>+Tabla145[[#This Row],[Saldo mes n+4]]-Tabla145[[#This Row],[ RV Producción mes n+1]]</f>
        <v>0</v>
      </c>
    </row>
    <row r="299" spans="1:81" ht="16" x14ac:dyDescent="0.2">
      <c r="A299">
        <v>2</v>
      </c>
      <c r="B299" t="str">
        <f>Tabla145[[#This Row],[Oficina]]&amp;Tabla145[[#This Row],[Material]]</f>
        <v>Agrosuper Shanghai1012423</v>
      </c>
      <c r="C299" t="s">
        <v>227</v>
      </c>
      <c r="D299" t="s">
        <v>140</v>
      </c>
      <c r="E299">
        <v>1012423</v>
      </c>
      <c r="F299" t="s">
        <v>624</v>
      </c>
      <c r="G299" t="s">
        <v>205</v>
      </c>
      <c r="H299" t="s">
        <v>264</v>
      </c>
      <c r="I299" s="15">
        <f>IFERROR(VLOOKUP(Tabla145[[#This Row],[Llave]],'[7]RV Producción'!$C:$G,5,FALSE),0)</f>
        <v>0</v>
      </c>
      <c r="J299" s="3">
        <f>IFERROR(IF(Tabla145[[#This Row],[Oficina]]=$I$7,VLOOKUP(Tabla145[[#This Row],[Llave]],'[7]Shangai (Tomas)'!$A:$F,6,FALSE),VLOOKUP(Tabla145[[#This Row],[Llave]],'[7]RV plan de ventas'!$A:$E,5,FALSE)),0)</f>
        <v>0</v>
      </c>
      <c r="K299" s="17">
        <f>IFERROR(VLOOKUP(Tabla145[[#This Row],[Oficina]],[15]Ponderación!$B$2:$E$9,4,FALSE),0)</f>
        <v>0.45719439678473212</v>
      </c>
      <c r="L299" s="7">
        <f>+Tabla145[[#This Row],[ RV Producción mes n+1]]*Tabla145[[#This Row],[% Uti. producción]]</f>
        <v>0</v>
      </c>
      <c r="M299" s="7">
        <f>IFERROR(VLOOKUP(Tabla145[[#This Row],[Material]],[16]Stock!$G:$K,5,FALSE),0)</f>
        <v>0</v>
      </c>
      <c r="N299" s="7">
        <f>IFERROR(VLOOKUP(Tabla145[[#This Row],[Material]],[16]Produccion!$M:$N,2,FALSE),0)</f>
        <v>0</v>
      </c>
      <c r="O299" s="7">
        <f>IFERROR(VLOOKUP(Tabla145[[#This Row],[Llave]],'[16]TD Conf-AP'!$I:$M,4,FALSE),0)</f>
        <v>0</v>
      </c>
      <c r="P299" s="37">
        <f>SUM(Tabla145[[#This Row],[Producción disponible]],Tabla145[[#This Row],[Stock al día]],(Tabla145[[#This Row],[Por producir mes N]]*0.9))-Tabla145[[#This Row],[Producción por despachar mes N]]</f>
        <v>0</v>
      </c>
      <c r="Q299" s="7">
        <f>IFERROR(VLOOKUP(Tabla145[[#This Row],[Llave]],[17]DELAY!$A:$D,4,FALSE),0)</f>
        <v>0</v>
      </c>
      <c r="R299" s="9">
        <v>0</v>
      </c>
      <c r="S299" s="5">
        <f t="shared" si="9"/>
        <v>0</v>
      </c>
      <c r="T299" s="76"/>
      <c r="U299" s="5">
        <f>+Tabla145[[#This Row],[Atraso a facturar]]+Tabla145[[#This Row],[Ajuste atraso]]</f>
        <v>0</v>
      </c>
      <c r="V299" s="3">
        <f>+Tabla145[[#This Row],[Total disponible]]-Tabla145[[#This Row],[Facturación atraso]]</f>
        <v>0</v>
      </c>
      <c r="W299" s="6">
        <f>IFERROR(IF(AND(V299&gt;R299,J299&gt;=R299),ROUNDDOWN((Tabla145[[#This Row],[Producción para venta nueva]])/R299,0)*R299,0),0)</f>
        <v>0</v>
      </c>
      <c r="X299" s="76"/>
      <c r="Y299" s="6">
        <f>IF(Tabla145[[#This Row],[Venta del mes]]&gt;0,Tabla145[[#This Row],[Venta del mes]]+Tabla145[[#This Row],[Ajuste venta nueva]],0)</f>
        <v>0</v>
      </c>
      <c r="Z299" s="6">
        <f>+Tabla145[[#This Row],[Producción para venta nueva]]-Tabla145[[#This Row],[Facturación Venta nueva]]</f>
        <v>0</v>
      </c>
      <c r="AA299" s="6">
        <f>IF(AND(A299=1,Tabla145[[#This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299" s="6">
        <v>0</v>
      </c>
      <c r="AC299" s="6">
        <f>IF(Tabla145[[#This Row],[Disponible stock sin venta]]&gt;0,Tabla145[[#This Row],[Disponible stock sin venta]]+Tabla145[[#This Row],[Ajuste stock sin venta]],0)</f>
        <v>0</v>
      </c>
      <c r="AD299" s="3">
        <f>IFERROR(VLOOKUP(Tabla145[[#This Row],[Llave]],'[16]TD Puerto'!$A:$D,4,FALSE),0)</f>
        <v>0</v>
      </c>
      <c r="AE299" s="3">
        <v>0</v>
      </c>
      <c r="AF299" s="3">
        <f>+Tabla145[[#This Row],[Plan Irrestricto Inicial]]</f>
        <v>0</v>
      </c>
      <c r="AG299" s="3">
        <f>+Tabla145[[#This Row],[En puerto a facturar]]</f>
        <v>0</v>
      </c>
      <c r="AH299" s="3">
        <f>+Tabla145[[#This Row],[Facturación atraso]]</f>
        <v>0</v>
      </c>
      <c r="AI299" s="3">
        <f>+Tabla145[[#This Row],[Plan Irrestricto]]-Tabla145[[#This Row],[Puerto ]]-Tabla145[[#This Row],[Atraso]]</f>
        <v>0</v>
      </c>
      <c r="AJ29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299" s="3">
        <f>+Tabla145[[#This Row],[Facturación atraso]]</f>
        <v>0</v>
      </c>
      <c r="AL299" s="3">
        <f>+Tabla145[[#This Row],[Plan Ajustado]]-Tabla145[[#This Row],[ Atraso ajustado]]-Tabla145[[#This Row],[Puerto ]]</f>
        <v>0</v>
      </c>
      <c r="AM299" s="6">
        <f>IFERROR(VLOOKUP(Tabla145[[#This Row],[Llave]],[18]!Tabla14[#All],34,FALSE),0)</f>
        <v>0</v>
      </c>
      <c r="AN299" s="6">
        <f>IFERROR(VLOOKUP(Tabla145[[#This Row],[Llave]],[18]!Tabla14[#All],35,FALSE),0)</f>
        <v>0</v>
      </c>
      <c r="AO299" s="3" t="str">
        <f>IF(Tabla145[[#This Row],[Plan Ajustado]]&gt;Tabla145[[#This Row],[En puerto a facturar]],"Si","No")</f>
        <v>No</v>
      </c>
      <c r="AP29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299" s="3">
        <f>IF(Tabla145[[#This Row],[Necesidad]]&gt;=Tabla145[[#This Row],[Stock al día]],Tabla145[[#This Row],[Stock al día]],Tabla145[[#This Row],[Necesidad]])</f>
        <v>0</v>
      </c>
      <c r="AR299" s="3">
        <f>+Tabla145[[#This Row],[Necesidad]]-Tabla145[[#This Row],[Stock Plan]]</f>
        <v>0</v>
      </c>
      <c r="AS299" s="155">
        <f>IFERROR(VLOOKUP(Tabla145[[#This Row],[Oficina]],[19]Ponderación!$B$14:$E$21,4,FALSE),"")</f>
        <v>44786</v>
      </c>
      <c r="AT29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299" s="83">
        <f>IFERROR(VLOOKUP(Tabla145[[#This Row],[Llave]],[17]DELAY!$H:$W,16,FALSE),0)</f>
        <v>0</v>
      </c>
      <c r="AV29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299" s="5">
        <f>Tabla145[[#This Row],[Ajuste precio IC]]*Tabla145[[#This Row],[Plan Ajustado]]</f>
        <v>0</v>
      </c>
      <c r="AX299" s="30">
        <f>IFERROR(VLOOKUP(Tabla145[[#This Row],[Llave]],'[13]Ultimos precios facturados'!$A:$G,7,FALSE),0)</f>
        <v>0</v>
      </c>
      <c r="AY299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299" s="30">
        <f>IFERROR(VLOOKUP(Tabla145[[#This Row],[Llave]],Hoja2!B:K,10,FALSE),0)</f>
        <v>0</v>
      </c>
      <c r="BA299" s="30">
        <f>IF(Tabla145[[#This Row],[Ajuste precio IC]]="",Tabla145[[#This Row],[Precio ponderado]],Tabla145[[#This Row],[Precio ponderado]])</f>
        <v>0</v>
      </c>
      <c r="BB299" s="82"/>
      <c r="BC299" s="82" t="str">
        <f>IF(AND(Tabla145[[#This Row],[Atraso a facturar]]&gt;0,Tabla145[[#This Row],[Precio Atraso]]=0),"Revisar","OK")</f>
        <v>OK</v>
      </c>
      <c r="BD299" s="82" t="str">
        <f>IF(AND(Tabla145[[#This Row],[Venta del mes]]&gt;0,Tabla145[[#This Row],[Precio venta nueva]]=0),"Revisar","OK")</f>
        <v>OK</v>
      </c>
      <c r="BE299" s="20">
        <f>IFERROR(VLOOKUP(Tabla145[[#This Row],[Llave]],'[5]Consolidación planes'!$A:$M,9,FALSE),0)</f>
        <v>0</v>
      </c>
      <c r="BF299" s="20">
        <f>IFERROR(VLOOKUP(Tabla145[[#This Row],[Llave]],'[5]Consolidación planes'!$A:$M,10,FALSE),0)</f>
        <v>0</v>
      </c>
      <c r="BG299" s="20">
        <f>IFERROR(VLOOKUP(Tabla145[[#This Row],[Llave]],'[5]Consolidación planes'!$A:$M,11,FALSE),0)</f>
        <v>0</v>
      </c>
      <c r="BH299" s="20">
        <f>IFERROR(VLOOKUP(Tabla145[[#This Row],[Llave]],'[5]Consolidación planes'!$A:$M,12,FALSE),0)</f>
        <v>0</v>
      </c>
      <c r="BI299" s="20">
        <f>IFERROR(VLOOKUP(Tabla145[[#This Row],[Llave]],'[5]Consolidación planes'!$A:$M,13,FALSE),0)</f>
        <v>0</v>
      </c>
      <c r="BJ299" s="20">
        <f>IFERROR(VLOOKUP(Tabla145[[#This Row],[Llave]],'[13]Base ultimos planes'!$A:$M,13,FALSE),0)</f>
        <v>0</v>
      </c>
      <c r="BK299" s="80">
        <f>IFERROR(VLOOKUP(Tabla145[[#This Row],[Llave]],'[13]Base ultimos planes'!$O:$AA,8,FALSE),0)</f>
        <v>0</v>
      </c>
      <c r="BL299" s="20">
        <f>IFERROR(VLOOKUP(Tabla145[[#This Row],[Llave]],'[13]Base ultimos planes'!$O:$AA,9,FALSE),0)</f>
        <v>0</v>
      </c>
      <c r="BM299" s="20">
        <f>IFERROR(VLOOKUP(Tabla145[[#This Row],[Llave]],'[13]Base ultimos planes'!$O:$AA,10,FALSE),0)</f>
        <v>0</v>
      </c>
      <c r="BN299" s="20">
        <f>IFERROR(VLOOKUP(Tabla145[[#This Row],[Llave]],'[13]Base ultimos planes'!$O:$AA,11,FALSE),0)</f>
        <v>0</v>
      </c>
      <c r="BO299" s="20">
        <f>IFERROR(VLOOKUP(Tabla145[[#This Row],[Llave]],'[13]Base ultimos planes'!$O:$AA,12,FALSE),0)</f>
        <v>0</v>
      </c>
      <c r="BP299" s="20">
        <f>IFERROR(VLOOKUP(Tabla145[[#This Row],[Llave]],'[13]Base ultimos planes'!$O:$AA,13,FALSE),0)</f>
        <v>0</v>
      </c>
      <c r="BQ299" s="35"/>
      <c r="BR299" s="20">
        <f>Tabla145[[#This Row],[ RV Producción mes n+1]]*(1-Tabla145[[#This Row],[% Uti. producción]])</f>
        <v>0</v>
      </c>
      <c r="BS299" s="20">
        <f>+Tabla145[[#This Row],[Producción disponible mes n-1]]+Tabla145[[#This Row],[Saldo Volumen disponible]]</f>
        <v>0</v>
      </c>
      <c r="BT299" s="7">
        <f>IFERROR(VLOOKUP(Tabla145[[#This Row],[Llave]],'[21]RV n+2 y n+3'!$B:$F,4,FALSE),0)</f>
        <v>0</v>
      </c>
      <c r="BU299" s="7">
        <f>+Tabla145[[#This Row],[Asignación mes n+2]]*Tabla145[[#This Row],[% Uti. producción]]</f>
        <v>0</v>
      </c>
      <c r="BV299" s="7">
        <f>+Tabla145[[#This Row],[Ponderación mes n+2]]+Tabla145[[#This Row],[Saldo mes n-1]]</f>
        <v>0</v>
      </c>
      <c r="BW299" s="7">
        <f>+Tabla145[[#This Row],[Asignación mes n+2]]-Tabla145[[#This Row],[Ponderación mes n+2]]</f>
        <v>0</v>
      </c>
      <c r="BX299" s="7">
        <f>IFERROR(VLOOKUP(Tabla145[[#This Row],[Llave]],'[21]RV n+2 y n+3'!$B:$F,5,FALSE),0)</f>
        <v>0</v>
      </c>
      <c r="BY299" s="7">
        <f>+Tabla145[[#This Row],[Asignación mes n+3]]*Tabla145[[#This Row],[% Uti. producción]]</f>
        <v>0</v>
      </c>
      <c r="BZ299" s="3">
        <f>+Tabla145[[#This Row],[Ponderación mes n+3]]+Tabla145[[#This Row],[Saldo mes n+2]]</f>
        <v>0</v>
      </c>
      <c r="CA299" s="3">
        <f>+Tabla145[[#This Row],[Asignación mes n+3]]-Tabla145[[#This Row],[Ponderación mes n+3]]</f>
        <v>0</v>
      </c>
      <c r="CB299" s="3">
        <f>+Tabla145[[#This Row],[Producción disponible mes n-1]]+Tabla145[[#This Row],[Producción disponible]]</f>
        <v>0</v>
      </c>
      <c r="CC299" s="3">
        <f>+Tabla145[[#This Row],[Saldo mes n+4]]-Tabla145[[#This Row],[ RV Producción mes n+1]]</f>
        <v>0</v>
      </c>
    </row>
    <row r="300" spans="1:81" ht="16" x14ac:dyDescent="0.2">
      <c r="A300">
        <v>1</v>
      </c>
      <c r="B300" t="str">
        <f>Tabla145[[#This Row],[Oficina]]&amp;Tabla145[[#This Row],[Material]]</f>
        <v>Agro Sudamerica1022781</v>
      </c>
      <c r="C300" t="s">
        <v>6</v>
      </c>
      <c r="D300" t="s">
        <v>17</v>
      </c>
      <c r="E300">
        <v>1022781</v>
      </c>
      <c r="F300" t="s">
        <v>656</v>
      </c>
      <c r="G300" t="s">
        <v>76</v>
      </c>
      <c r="H300" t="s">
        <v>79</v>
      </c>
      <c r="I300" s="15">
        <f>IFERROR(VLOOKUP(Tabla145[[#This Row],[Llave]],'[7]RV Producción'!$C:$G,5,FALSE),0)</f>
        <v>8118</v>
      </c>
      <c r="J300" s="3">
        <f>IFERROR(IF(Tabla145[[#This Row],[Oficina]]=$I$7,VLOOKUP(Tabla145[[#This Row],[Llave]],'[7]Shangai (Tomas)'!$A:$F,6,FALSE),VLOOKUP(Tabla145[[#This Row],[Llave]],'[7]RV plan de ventas'!$A:$E,5,FALSE)),0)</f>
        <v>7000</v>
      </c>
      <c r="K300" s="17">
        <f>IFERROR(VLOOKUP(Tabla145[[#This Row],[Oficina]],[15]Ponderación!$B$2:$E$9,4,FALSE),0)</f>
        <v>0.45719439678473212</v>
      </c>
      <c r="L300" s="7">
        <f>+Tabla145[[#This Row],[ RV Producción mes n+1]]*Tabla145[[#This Row],[% Uti. producción]]</f>
        <v>3711.5041130984555</v>
      </c>
      <c r="M300" s="7">
        <f>IFERROR(VLOOKUP(Tabla145[[#This Row],[Material]],[16]Stock!$G:$K,5,FALSE),0)</f>
        <v>0</v>
      </c>
      <c r="N300" s="15">
        <f>IFERROR(VLOOKUP(Tabla145[[#This Row],[Material]],[16]Produccion!$M:$N,2,FALSE),0)</f>
        <v>0</v>
      </c>
      <c r="O300" s="7">
        <f>IFERROR(VLOOKUP(Tabla145[[#This Row],[Llave]],'[16]TD Conf-AP'!$I:$M,4,FALSE),0)</f>
        <v>0</v>
      </c>
      <c r="P300" s="37">
        <f>SUM(Tabla145[[#This Row],[Producción disponible]],Tabla145[[#This Row],[Stock al día]],(Tabla145[[#This Row],[Por producir mes N]]*0.9))-Tabla145[[#This Row],[Producción por despachar mes N]]</f>
        <v>3711.5041130984555</v>
      </c>
      <c r="Q300" s="15">
        <f>IFERROR(VLOOKUP(Tabla145[[#This Row],[Llave]],[17]DELAY!$A:$D,4,FALSE),0)</f>
        <v>15555</v>
      </c>
      <c r="R300" s="75">
        <v>24000</v>
      </c>
      <c r="S300" s="5">
        <f t="shared" si="9"/>
        <v>0</v>
      </c>
      <c r="T300" s="76">
        <v>0</v>
      </c>
      <c r="U300" s="5">
        <f>+Tabla145[[#This Row],[Atraso a facturar]]+Tabla145[[#This Row],[Ajuste atraso]]</f>
        <v>0</v>
      </c>
      <c r="V300" s="3">
        <f>+Tabla145[[#This Row],[Total disponible]]-Tabla145[[#This Row],[Facturación atraso]]</f>
        <v>3711.5041130984555</v>
      </c>
      <c r="W300" s="6">
        <f>IFERROR(IF(AND(V300&gt;R300,J300&gt;=R300),ROUNDDOWN((Tabla145[[#This Row],[Producción para venta nueva]])/R300,0)*R300,0),0)</f>
        <v>0</v>
      </c>
      <c r="X300" s="76"/>
      <c r="Y300" s="6">
        <f>IF(Tabla145[[#This Row],[Venta del mes]]&gt;0,Tabla145[[#This Row],[Venta del mes]]+Tabla145[[#This Row],[Ajuste venta nueva]],0)</f>
        <v>0</v>
      </c>
      <c r="Z300" s="6">
        <f>+Tabla145[[#This Row],[Producción para venta nueva]]-Tabla145[[#This Row],[Facturación Venta nueva]]</f>
        <v>3711.5041130984555</v>
      </c>
      <c r="AA300" s="6">
        <f>IF(AND(A300=1,Tabla145[[#This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0" s="6">
        <v>0</v>
      </c>
      <c r="AC300" s="6">
        <f>IF(Tabla145[[#This Row],[Disponible stock sin venta]]&gt;0,Tabla145[[#This Row],[Disponible stock sin venta]]+Tabla145[[#This Row],[Ajuste stock sin venta]],0)</f>
        <v>0</v>
      </c>
      <c r="AD300" s="3">
        <f>IFERROR(VLOOKUP(Tabla145[[#This Row],[Llave]],'[16]TD Puerto'!$A:$D,4,FALSE),0)</f>
        <v>6120</v>
      </c>
      <c r="AE300" s="3">
        <v>6120</v>
      </c>
      <c r="AF300" s="3">
        <f>+Tabla145[[#This Row],[Plan Irrestricto Inicial]]</f>
        <v>6120</v>
      </c>
      <c r="AG300" s="3">
        <f>+Tabla145[[#This Row],[En puerto a facturar]]</f>
        <v>6120</v>
      </c>
      <c r="AH300" s="3">
        <f>+Tabla145[[#This Row],[Facturación atraso]]</f>
        <v>0</v>
      </c>
      <c r="AI300" s="3">
        <f>+Tabla145[[#This Row],[Plan Irrestricto]]-Tabla145[[#This Row],[Puerto ]]-Tabla145[[#This Row],[Atraso]]</f>
        <v>0</v>
      </c>
      <c r="AJ300" s="3">
        <f>IF(Tabla145[[#This Row],[Plan Irrestricto]]&gt;0,SUM(Tabla145[[#This Row],[Facturación atraso]],Tabla145[[#This Row],[Facturación Venta nueva]],Tabla145[[#This Row],[Facturación stock]],Tabla145[[#This Row],[En puerto a facturar]]),0)</f>
        <v>6120</v>
      </c>
      <c r="AK300" s="3">
        <f>+Tabla145[[#This Row],[Facturación atraso]]</f>
        <v>0</v>
      </c>
      <c r="AL300" s="3">
        <f>+Tabla145[[#This Row],[Plan Ajustado]]-Tabla145[[#This Row],[ Atraso ajustado]]-Tabla145[[#This Row],[Puerto ]]</f>
        <v>0</v>
      </c>
      <c r="AM300" s="6">
        <f>IFERROR(VLOOKUP(Tabla145[[#This Row],[Llave]],[18]!Tabla14[#All],34,FALSE),0)</f>
        <v>0</v>
      </c>
      <c r="AN300" s="6">
        <f>IFERROR(VLOOKUP(Tabla145[[#This Row],[Llave]],[18]!Tabla14[#All],35,FALSE),0)</f>
        <v>0</v>
      </c>
      <c r="AO300" s="3" t="str">
        <f>IF(Tabla145[[#This Row],[Plan Ajustado]]&gt;Tabla145[[#This Row],[En puerto a facturar]],"Si","No")</f>
        <v>No</v>
      </c>
      <c r="AP300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00" s="3">
        <f>IF(Tabla145[[#This Row],[Necesidad]]&gt;=Tabla145[[#This Row],[Stock al día]],Tabla145[[#This Row],[Stock al día]],Tabla145[[#This Row],[Necesidad]])</f>
        <v>0</v>
      </c>
      <c r="AR300" s="3">
        <f>+Tabla145[[#This Row],[Necesidad]]-Tabla145[[#This Row],[Stock Plan]]</f>
        <v>0</v>
      </c>
      <c r="AS300" s="155">
        <f>IFERROR(VLOOKUP(Tabla145[[#This Row],[Oficina]],[19]Ponderación!$B$14:$E$21,4,FALSE),"")</f>
        <v>44789</v>
      </c>
      <c r="AT30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13.401</v>
      </c>
      <c r="AU300" s="83">
        <f>IFERROR(VLOOKUP(Tabla145[[#This Row],[Llave]],[17]DELAY!$H:$W,16,FALSE),0)</f>
        <v>10.576208531078084</v>
      </c>
      <c r="AV30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10.576208531078084</v>
      </c>
      <c r="AW300" s="5">
        <f>Tabla145[[#This Row],[Ajuste precio IC]]*Tabla145[[#This Row],[Plan Ajustado]]</f>
        <v>64260</v>
      </c>
      <c r="AX300" s="30">
        <f>IFERROR(VLOOKUP(Tabla145[[#This Row],[Llave]],'[13]Ultimos precios facturados'!$A:$G,7,FALSE),0)</f>
        <v>10.083610299857648</v>
      </c>
      <c r="AY300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4.8851375308245487E-2</v>
      </c>
      <c r="AZ300" s="30">
        <f>IFERROR(VLOOKUP(Tabla145[[#This Row],[Llave]],Hoja2!B:K,10,FALSE),0)</f>
        <v>10.5</v>
      </c>
      <c r="BA300" s="30">
        <f>IF(Tabla145[[#This Row],[Ajuste precio IC]]="",Tabla145[[#This Row],[Precio ponderado]],Tabla145[[#This Row],[Precio ponderado]])</f>
        <v>10.576208531078084</v>
      </c>
      <c r="BB300" s="82"/>
      <c r="BC300" s="82" t="str">
        <f>IF(AND(Tabla145[[#This Row],[Atraso a facturar]]&gt;0,Tabla145[[#This Row],[Precio Atraso]]=0),"Revisar","OK")</f>
        <v>OK</v>
      </c>
      <c r="BD300" s="82" t="str">
        <f>IF(AND(Tabla145[[#This Row],[Venta del mes]]&gt;0,Tabla145[[#This Row],[Precio venta nueva]]=0),"Revisar","OK")</f>
        <v>OK</v>
      </c>
      <c r="BE300" s="20">
        <f>IFERROR(VLOOKUP(Tabla145[[#This Row],[Llave]],'[5]Consolidación planes'!$A:$M,9,FALSE),0)</f>
        <v>7067</v>
      </c>
      <c r="BF300" s="20">
        <f>IFERROR(VLOOKUP(Tabla145[[#This Row],[Llave]],'[5]Consolidación planes'!$A:$M,10,FALSE),0)</f>
        <v>3060</v>
      </c>
      <c r="BG300" s="20">
        <f>IFERROR(VLOOKUP(Tabla145[[#This Row],[Llave]],'[5]Consolidación planes'!$A:$M,11,FALSE),0)</f>
        <v>10282</v>
      </c>
      <c r="BH300" s="20">
        <f>IFERROR(VLOOKUP(Tabla145[[#This Row],[Llave]],'[5]Consolidación planes'!$A:$M,12,FALSE),0)</f>
        <v>1500</v>
      </c>
      <c r="BI300" s="20">
        <f>IFERROR(VLOOKUP(Tabla145[[#This Row],[Llave]],'[5]Consolidación planes'!$A:$M,13,FALSE),0)</f>
        <v>6600</v>
      </c>
      <c r="BJ300" s="20">
        <f>IFERROR(VLOOKUP(Tabla145[[#This Row],[Llave]],'[13]Base ultimos planes'!$A:$M,13,FALSE),0)</f>
        <v>15300</v>
      </c>
      <c r="BK300" s="80">
        <f>IFERROR(VLOOKUP(Tabla145[[#This Row],[Llave]],'[13]Base ultimos planes'!$O:$AA,8,FALSE),0)</f>
        <v>79009.06</v>
      </c>
      <c r="BL300" s="20">
        <f>IFERROR(VLOOKUP(Tabla145[[#This Row],[Llave]],'[13]Base ultimos planes'!$O:$AA,9,FALSE),0)</f>
        <v>39589</v>
      </c>
      <c r="BM300" s="20">
        <f>IFERROR(VLOOKUP(Tabla145[[#This Row],[Llave]],'[13]Base ultimos planes'!$O:$AA,10,FALSE),0)</f>
        <v>108578</v>
      </c>
      <c r="BN300" s="20">
        <f>IFERROR(VLOOKUP(Tabla145[[#This Row],[Llave]],'[13]Base ultimos planes'!$O:$AA,11,FALSE),0)</f>
        <v>22170</v>
      </c>
      <c r="BO300" s="20">
        <f>IFERROR(VLOOKUP(Tabla145[[#This Row],[Llave]],'[13]Base ultimos planes'!$O:$AA,12,FALSE),0)</f>
        <v>88521</v>
      </c>
      <c r="BP300" s="20">
        <f>IFERROR(VLOOKUP(Tabla145[[#This Row],[Llave]],'[13]Base ultimos planes'!$O:$AA,13,FALSE),0)</f>
        <v>198441</v>
      </c>
      <c r="BQ300" s="35"/>
      <c r="BR300" s="20">
        <f>Tabla145[[#This Row],[ RV Producción mes n+1]]*(1-Tabla145[[#This Row],[% Uti. producción]])</f>
        <v>4406.4958869015454</v>
      </c>
      <c r="BS300" s="20">
        <f>+Tabla145[[#This Row],[Producción disponible mes n-1]]+Tabla145[[#This Row],[Saldo Volumen disponible]]</f>
        <v>8118.0000000000009</v>
      </c>
      <c r="BT300" s="7">
        <f>IFERROR(VLOOKUP(Tabla145[[#This Row],[Llave]],'[21]RV n+2 y n+3'!$B:$F,4,FALSE),0)</f>
        <v>8200</v>
      </c>
      <c r="BU300" s="7">
        <f>+Tabla145[[#This Row],[Asignación mes n+2]]*Tabla145[[#This Row],[% Uti. producción]]</f>
        <v>3748.9940536348035</v>
      </c>
      <c r="BV300" s="7">
        <f>+Tabla145[[#This Row],[Ponderación mes n+2]]+Tabla145[[#This Row],[Saldo mes n-1]]</f>
        <v>11866.994053634804</v>
      </c>
      <c r="BW300" s="7">
        <f>+Tabla145[[#This Row],[Asignación mes n+2]]-Tabla145[[#This Row],[Ponderación mes n+2]]</f>
        <v>4451.005946365196</v>
      </c>
      <c r="BX300" s="7">
        <f>IFERROR(VLOOKUP(Tabla145[[#This Row],[Llave]],'[21]RV n+2 y n+3'!$B:$F,5,FALSE),0)</f>
        <v>5411.1871999999994</v>
      </c>
      <c r="BY300" s="7">
        <f>+Tabla145[[#This Row],[Asignación mes n+3]]*Tabla145[[#This Row],[% Uti. producción]]</f>
        <v>2473.9644677932633</v>
      </c>
      <c r="BZ300" s="3">
        <f>+Tabla145[[#This Row],[Ponderación mes n+3]]+Tabla145[[#This Row],[Saldo mes n+2]]</f>
        <v>6924.9704141584589</v>
      </c>
      <c r="CA300" s="3">
        <f>+Tabla145[[#This Row],[Asignación mes n+3]]-Tabla145[[#This Row],[Ponderación mes n+3]]</f>
        <v>2937.2227322067361</v>
      </c>
      <c r="CB300" s="3">
        <f>+Tabla145[[#This Row],[Producción disponible mes n-1]]+Tabla145[[#This Row],[Producción disponible]]</f>
        <v>8118.0000000000009</v>
      </c>
      <c r="CC300" s="3">
        <f>+Tabla145[[#This Row],[Saldo mes n+4]]-Tabla145[[#This Row],[ RV Producción mes n+1]]</f>
        <v>0</v>
      </c>
    </row>
    <row r="301" spans="1:81" ht="16" x14ac:dyDescent="0.2">
      <c r="A301">
        <v>2</v>
      </c>
      <c r="B301" t="str">
        <f>Tabla145[[#This Row],[Oficina]]&amp;Tabla145[[#This Row],[Material]]</f>
        <v>Agro Sudamerica1022782</v>
      </c>
      <c r="C301" t="s">
        <v>6</v>
      </c>
      <c r="D301" t="s">
        <v>17</v>
      </c>
      <c r="E301">
        <v>1022782</v>
      </c>
      <c r="F301" t="s">
        <v>657</v>
      </c>
      <c r="G301" t="s">
        <v>76</v>
      </c>
      <c r="H301" t="s">
        <v>79</v>
      </c>
      <c r="I301" s="15">
        <f>IFERROR(VLOOKUP(Tabla145[[#This Row],[Llave]],'[7]RV Producción'!$C:$G,5,FALSE),0)</f>
        <v>0</v>
      </c>
      <c r="J301" s="3">
        <f>IFERROR(IF(Tabla145[[#This Row],[Oficina]]=$I$7,VLOOKUP(Tabla145[[#This Row],[Llave]],'[7]Shangai (Tomas)'!$A:$F,6,FALSE),VLOOKUP(Tabla145[[#This Row],[Llave]],'[7]RV plan de ventas'!$A:$E,5,FALSE)),0)</f>
        <v>0</v>
      </c>
      <c r="K301" s="17">
        <f>IFERROR(VLOOKUP(Tabla145[[#This Row],[Oficina]],[15]Ponderación!$B$2:$E$9,4,FALSE),0)</f>
        <v>0.45719439678473212</v>
      </c>
      <c r="L301" s="7">
        <f>+Tabla145[[#This Row],[ RV Producción mes n+1]]*Tabla145[[#This Row],[% Uti. producción]]</f>
        <v>0</v>
      </c>
      <c r="M301" s="7">
        <f>IFERROR(VLOOKUP(Tabla145[[#This Row],[Material]],[16]Stock!$G:$K,5,FALSE),0)</f>
        <v>0</v>
      </c>
      <c r="N301" s="15">
        <f>IFERROR(VLOOKUP(Tabla145[[#This Row],[Material]],[16]Produccion!$M:$N,2,FALSE),0)</f>
        <v>0</v>
      </c>
      <c r="O301" s="7">
        <f>IFERROR(VLOOKUP(Tabla145[[#This Row],[Llave]],'[16]TD Conf-AP'!$I:$M,4,FALSE),0)</f>
        <v>0</v>
      </c>
      <c r="P301" s="37">
        <f>SUM(Tabla145[[#This Row],[Producción disponible]],Tabla145[[#This Row],[Stock al día]],(Tabla145[[#This Row],[Por producir mes N]]*0.9))-Tabla145[[#This Row],[Producción por despachar mes N]]</f>
        <v>0</v>
      </c>
      <c r="Q301" s="15">
        <f>IFERROR(VLOOKUP(Tabla145[[#This Row],[Llave]],[17]DELAY!$A:$D,4,FALSE),0)</f>
        <v>15600</v>
      </c>
      <c r="R301" s="75">
        <v>24000</v>
      </c>
      <c r="S301" s="5">
        <f t="shared" si="9"/>
        <v>0</v>
      </c>
      <c r="T301" s="76">
        <v>0</v>
      </c>
      <c r="U301" s="5">
        <f>+Tabla145[[#This Row],[Atraso a facturar]]+Tabla145[[#This Row],[Ajuste atraso]]</f>
        <v>0</v>
      </c>
      <c r="V301" s="3">
        <f>+Tabla145[[#This Row],[Total disponible]]-Tabla145[[#This Row],[Facturación atraso]]</f>
        <v>0</v>
      </c>
      <c r="W301" s="6">
        <f>IFERROR(IF(AND(V301&gt;R301,J301&gt;=R301),ROUNDDOWN((Tabla145[[#This Row],[Producción para venta nueva]])/R301,0)*R301,0),0)</f>
        <v>0</v>
      </c>
      <c r="X301" s="76"/>
      <c r="Y301" s="6">
        <f>IF(Tabla145[[#This Row],[Venta del mes]]&gt;0,Tabla145[[#This Row],[Venta del mes]]+Tabla145[[#This Row],[Ajuste venta nueva]],0)</f>
        <v>0</v>
      </c>
      <c r="Z301" s="6">
        <f>+Tabla145[[#This Row],[Producción para venta nueva]]-Tabla145[[#This Row],[Facturación Venta nueva]]</f>
        <v>0</v>
      </c>
      <c r="AA301" s="6">
        <f>IF(AND(A301=1,Tabla145[[#This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1" s="6">
        <v>0</v>
      </c>
      <c r="AC301" s="6">
        <f>IF(Tabla145[[#This Row],[Disponible stock sin venta]]&gt;0,Tabla145[[#This Row],[Disponible stock sin venta]]+Tabla145[[#This Row],[Ajuste stock sin venta]],0)</f>
        <v>0</v>
      </c>
      <c r="AD301" s="3">
        <f>IFERROR(VLOOKUP(Tabla145[[#This Row],[Llave]],'[16]TD Puerto'!$A:$D,4,FALSE),0)</f>
        <v>0</v>
      </c>
      <c r="AE301" s="3">
        <v>0</v>
      </c>
      <c r="AF301" s="3">
        <f>+Tabla145[[#This Row],[Plan Irrestricto Inicial]]</f>
        <v>0</v>
      </c>
      <c r="AG301" s="3">
        <f>+Tabla145[[#This Row],[En puerto a facturar]]</f>
        <v>0</v>
      </c>
      <c r="AH301" s="3">
        <f>+Tabla145[[#This Row],[Facturación atraso]]</f>
        <v>0</v>
      </c>
      <c r="AI301" s="3">
        <f>+Tabla145[[#This Row],[Plan Irrestricto]]-Tabla145[[#This Row],[Puerto ]]-Tabla145[[#This Row],[Atraso]]</f>
        <v>0</v>
      </c>
      <c r="AJ301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01" s="3">
        <f>+Tabla145[[#This Row],[Facturación atraso]]</f>
        <v>0</v>
      </c>
      <c r="AL301" s="3">
        <f>+Tabla145[[#This Row],[Plan Ajustado]]-Tabla145[[#This Row],[ Atraso ajustado]]-Tabla145[[#This Row],[Puerto ]]</f>
        <v>0</v>
      </c>
      <c r="AM301" s="6">
        <f>IFERROR(VLOOKUP(Tabla145[[#This Row],[Llave]],[18]!Tabla14[#All],34,FALSE),0)</f>
        <v>0</v>
      </c>
      <c r="AN301" s="6">
        <f>IFERROR(VLOOKUP(Tabla145[[#This Row],[Llave]],[18]!Tabla14[#All],35,FALSE),0)</f>
        <v>0</v>
      </c>
      <c r="AO301" s="3" t="str">
        <f>IF(Tabla145[[#This Row],[Plan Ajustado]]&gt;Tabla145[[#This Row],[En puerto a facturar]],"Si","No")</f>
        <v>No</v>
      </c>
      <c r="AP301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01" s="3">
        <f>IF(Tabla145[[#This Row],[Necesidad]]&gt;=Tabla145[[#This Row],[Stock al día]],Tabla145[[#This Row],[Stock al día]],Tabla145[[#This Row],[Necesidad]])</f>
        <v>0</v>
      </c>
      <c r="AR301" s="3">
        <f>+Tabla145[[#This Row],[Necesidad]]-Tabla145[[#This Row],[Stock Plan]]</f>
        <v>0</v>
      </c>
      <c r="AS301" s="155">
        <f>IFERROR(VLOOKUP(Tabla145[[#This Row],[Oficina]],[19]Ponderación!$B$14:$E$21,4,FALSE),"")</f>
        <v>44789</v>
      </c>
      <c r="AT30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301" s="83">
        <f>IFERROR(VLOOKUP(Tabla145[[#This Row],[Llave]],[17]DELAY!$H:$W,16,FALSE),0)</f>
        <v>7.9970181242137652</v>
      </c>
      <c r="AV30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01" s="5">
        <f>Tabla145[[#This Row],[Ajuste precio IC]]*Tabla145[[#This Row],[Plan Ajustado]]</f>
        <v>0</v>
      </c>
      <c r="AX301" s="30">
        <f>IFERROR(VLOOKUP(Tabla145[[#This Row],[Llave]],'[13]Ultimos precios facturados'!$A:$G,7,FALSE),0)</f>
        <v>8.0710707864912834</v>
      </c>
      <c r="AY301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01" s="30">
        <f>IFERROR(VLOOKUP(Tabla145[[#This Row],[Llave]],Hoja2!B:K,10,FALSE),0)</f>
        <v>0</v>
      </c>
      <c r="BA301" s="30">
        <f>IF(Tabla145[[#This Row],[Ajuste precio IC]]="",Tabla145[[#This Row],[Precio ponderado]],Tabla145[[#This Row],[Precio ponderado]])</f>
        <v>0</v>
      </c>
      <c r="BB301" s="82"/>
      <c r="BC301" s="82" t="str">
        <f>IF(AND(Tabla145[[#This Row],[Atraso a facturar]]&gt;0,Tabla145[[#This Row],[Precio Atraso]]=0),"Revisar","OK")</f>
        <v>OK</v>
      </c>
      <c r="BD301" s="82" t="str">
        <f>IF(AND(Tabla145[[#This Row],[Venta del mes]]&gt;0,Tabla145[[#This Row],[Precio venta nueva]]=0),"Revisar","OK")</f>
        <v>OK</v>
      </c>
      <c r="BE301" s="20">
        <f>IFERROR(VLOOKUP(Tabla145[[#This Row],[Llave]],'[5]Consolidación planes'!$A:$M,9,FALSE),0)</f>
        <v>18796</v>
      </c>
      <c r="BF301" s="20">
        <f>IFERROR(VLOOKUP(Tabla145[[#This Row],[Llave]],'[5]Consolidación planes'!$A:$M,10,FALSE),0)</f>
        <v>3600</v>
      </c>
      <c r="BG301" s="20">
        <f>IFERROR(VLOOKUP(Tabla145[[#This Row],[Llave]],'[5]Consolidación planes'!$A:$M,11,FALSE),0)</f>
        <v>0</v>
      </c>
      <c r="BH301" s="20">
        <f>IFERROR(VLOOKUP(Tabla145[[#This Row],[Llave]],'[5]Consolidación planes'!$A:$M,12,FALSE),0)</f>
        <v>0</v>
      </c>
      <c r="BI301" s="20">
        <f>IFERROR(VLOOKUP(Tabla145[[#This Row],[Llave]],'[5]Consolidación planes'!$A:$M,13,FALSE),0)</f>
        <v>3600</v>
      </c>
      <c r="BJ301" s="20">
        <f>IFERROR(VLOOKUP(Tabla145[[#This Row],[Llave]],'[13]Base ultimos planes'!$A:$M,13,FALSE),0)</f>
        <v>11520</v>
      </c>
      <c r="BK301" s="80">
        <f>IFERROR(VLOOKUP(Tabla145[[#This Row],[Llave]],'[13]Base ultimos planes'!$O:$AA,8,FALSE),0)</f>
        <v>156946.6</v>
      </c>
      <c r="BL301" s="20">
        <f>IFERROR(VLOOKUP(Tabla145[[#This Row],[Llave]],'[13]Base ultimos planes'!$O:$AA,9,FALSE),0)</f>
        <v>36108</v>
      </c>
      <c r="BM301" s="20">
        <f>IFERROR(VLOOKUP(Tabla145[[#This Row],[Llave]],'[13]Base ultimos planes'!$O:$AA,10,FALSE),0)</f>
        <v>0</v>
      </c>
      <c r="BN301" s="20">
        <f>IFERROR(VLOOKUP(Tabla145[[#This Row],[Llave]],'[13]Base ultimos planes'!$O:$AA,11,FALSE),0)</f>
        <v>0</v>
      </c>
      <c r="BO301" s="20">
        <f>IFERROR(VLOOKUP(Tabla145[[#This Row],[Llave]],'[13]Base ultimos planes'!$O:$AA,12,FALSE),0)</f>
        <v>36360</v>
      </c>
      <c r="BP301" s="20">
        <f>IFERROR(VLOOKUP(Tabla145[[#This Row],[Llave]],'[13]Base ultimos planes'!$O:$AA,13,FALSE),0)</f>
        <v>120730</v>
      </c>
      <c r="BQ301" s="35"/>
      <c r="BR301" s="20">
        <f>Tabla145[[#This Row],[ RV Producción mes n+1]]*(1-Tabla145[[#This Row],[% Uti. producción]])</f>
        <v>0</v>
      </c>
      <c r="BS301" s="20">
        <f>+Tabla145[[#This Row],[Producción disponible mes n-1]]+Tabla145[[#This Row],[Saldo Volumen disponible]]</f>
        <v>0</v>
      </c>
      <c r="BT301" s="7">
        <f>IFERROR(VLOOKUP(Tabla145[[#This Row],[Llave]],'[21]RV n+2 y n+3'!$B:$F,4,FALSE),0)</f>
        <v>0</v>
      </c>
      <c r="BU301" s="7">
        <f>+Tabla145[[#This Row],[Asignación mes n+2]]*Tabla145[[#This Row],[% Uti. producción]]</f>
        <v>0</v>
      </c>
      <c r="BV301" s="7">
        <f>+Tabla145[[#This Row],[Ponderación mes n+2]]+Tabla145[[#This Row],[Saldo mes n-1]]</f>
        <v>0</v>
      </c>
      <c r="BW301" s="7">
        <f>+Tabla145[[#This Row],[Asignación mes n+2]]-Tabla145[[#This Row],[Ponderación mes n+2]]</f>
        <v>0</v>
      </c>
      <c r="BX301" s="7">
        <f>IFERROR(VLOOKUP(Tabla145[[#This Row],[Llave]],'[21]RV n+2 y n+3'!$B:$F,5,FALSE),0)</f>
        <v>0</v>
      </c>
      <c r="BY301" s="7">
        <f>+Tabla145[[#This Row],[Asignación mes n+3]]*Tabla145[[#This Row],[% Uti. producción]]</f>
        <v>0</v>
      </c>
      <c r="BZ301" s="3">
        <f>+Tabla145[[#This Row],[Ponderación mes n+3]]+Tabla145[[#This Row],[Saldo mes n+2]]</f>
        <v>0</v>
      </c>
      <c r="CA301" s="3">
        <f>+Tabla145[[#This Row],[Asignación mes n+3]]-Tabla145[[#This Row],[Ponderación mes n+3]]</f>
        <v>0</v>
      </c>
      <c r="CB301" s="3">
        <f>+Tabla145[[#This Row],[Producción disponible mes n-1]]+Tabla145[[#This Row],[Producción disponible]]</f>
        <v>0</v>
      </c>
      <c r="CC301" s="3">
        <f>+Tabla145[[#This Row],[Saldo mes n+4]]-Tabla145[[#This Row],[ RV Producción mes n+1]]</f>
        <v>0</v>
      </c>
    </row>
    <row r="302" spans="1:81" ht="16" x14ac:dyDescent="0.2">
      <c r="A302">
        <v>2</v>
      </c>
      <c r="B302" t="str">
        <f>Tabla145[[#This Row],[Oficina]]&amp;Tabla145[[#This Row],[Material]]</f>
        <v>Agro Sudamerica1022783</v>
      </c>
      <c r="C302" t="s">
        <v>6</v>
      </c>
      <c r="D302" t="s">
        <v>17</v>
      </c>
      <c r="E302">
        <v>1022783</v>
      </c>
      <c r="F302" t="s">
        <v>658</v>
      </c>
      <c r="G302" t="s">
        <v>76</v>
      </c>
      <c r="H302" t="s">
        <v>79</v>
      </c>
      <c r="I302" s="15">
        <f>IFERROR(VLOOKUP(Tabla145[[#This Row],[Llave]],'[7]RV Producción'!$C:$G,5,FALSE),0)</f>
        <v>0</v>
      </c>
      <c r="J302" s="3">
        <f>IFERROR(IF(Tabla145[[#This Row],[Oficina]]=$I$7,VLOOKUP(Tabla145[[#This Row],[Llave]],'[7]Shangai (Tomas)'!$A:$F,6,FALSE),VLOOKUP(Tabla145[[#This Row],[Llave]],'[7]RV plan de ventas'!$A:$E,5,FALSE)),0)</f>
        <v>0</v>
      </c>
      <c r="K302" s="17">
        <f>IFERROR(VLOOKUP(Tabla145[[#This Row],[Oficina]],[15]Ponderación!$B$2:$E$9,4,FALSE),0)</f>
        <v>0.45719439678473212</v>
      </c>
      <c r="L302" s="7">
        <f>+Tabla145[[#This Row],[ RV Producción mes n+1]]*Tabla145[[#This Row],[% Uti. producción]]</f>
        <v>0</v>
      </c>
      <c r="M302" s="7">
        <f>IFERROR(VLOOKUP(Tabla145[[#This Row],[Material]],[16]Stock!$G:$K,5,FALSE),0)</f>
        <v>0</v>
      </c>
      <c r="N302" s="15">
        <f>IFERROR(VLOOKUP(Tabla145[[#This Row],[Material]],[16]Produccion!$M:$N,2,FALSE),0)</f>
        <v>0</v>
      </c>
      <c r="O302" s="7">
        <f>IFERROR(VLOOKUP(Tabla145[[#This Row],[Llave]],'[16]TD Conf-AP'!$I:$M,4,FALSE),0)</f>
        <v>0</v>
      </c>
      <c r="P302" s="37">
        <f>SUM(Tabla145[[#This Row],[Producción disponible]],Tabla145[[#This Row],[Stock al día]],(Tabla145[[#This Row],[Por producir mes N]]*0.9))-Tabla145[[#This Row],[Producción por despachar mes N]]</f>
        <v>0</v>
      </c>
      <c r="Q302" s="15">
        <f>IFERROR(VLOOKUP(Tabla145[[#This Row],[Llave]],[17]DELAY!$A:$D,4,FALSE),0)</f>
        <v>7200</v>
      </c>
      <c r="R302" s="75">
        <v>24000</v>
      </c>
      <c r="S302" s="5">
        <f t="shared" si="9"/>
        <v>0</v>
      </c>
      <c r="T302" s="76">
        <v>0</v>
      </c>
      <c r="U302" s="5">
        <f>+Tabla145[[#This Row],[Atraso a facturar]]+Tabla145[[#This Row],[Ajuste atraso]]</f>
        <v>0</v>
      </c>
      <c r="V302" s="3">
        <f>+Tabla145[[#This Row],[Total disponible]]-Tabla145[[#This Row],[Facturación atraso]]</f>
        <v>0</v>
      </c>
      <c r="W302" s="6">
        <f>IFERROR(IF(AND(V302&gt;R302,J302&gt;=R302),ROUNDDOWN((Tabla145[[#This Row],[Producción para venta nueva]])/R302,0)*R302,0),0)</f>
        <v>0</v>
      </c>
      <c r="X302" s="76"/>
      <c r="Y302" s="6">
        <f>IF(Tabla145[[#This Row],[Venta del mes]]&gt;0,Tabla145[[#This Row],[Venta del mes]]+Tabla145[[#This Row],[Ajuste venta nueva]],0)</f>
        <v>0</v>
      </c>
      <c r="Z302" s="6">
        <f>+Tabla145[[#This Row],[Producción para venta nueva]]-Tabla145[[#This Row],[Facturación Venta nueva]]</f>
        <v>0</v>
      </c>
      <c r="AA302" s="6">
        <f>IF(AND(A302=1,Tabla145[[#This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2" s="6">
        <v>0</v>
      </c>
      <c r="AC302" s="6">
        <f>IF(Tabla145[[#This Row],[Disponible stock sin venta]]&gt;0,Tabla145[[#This Row],[Disponible stock sin venta]]+Tabla145[[#This Row],[Ajuste stock sin venta]],0)</f>
        <v>0</v>
      </c>
      <c r="AD302" s="3">
        <f>IFERROR(VLOOKUP(Tabla145[[#This Row],[Llave]],'[16]TD Puerto'!$A:$D,4,FALSE),0)</f>
        <v>0</v>
      </c>
      <c r="AE302" s="3">
        <v>0</v>
      </c>
      <c r="AF302" s="3">
        <f>+Tabla145[[#This Row],[Plan Irrestricto Inicial]]</f>
        <v>0</v>
      </c>
      <c r="AG302" s="3">
        <f>+Tabla145[[#This Row],[En puerto a facturar]]</f>
        <v>0</v>
      </c>
      <c r="AH302" s="3">
        <f>+Tabla145[[#This Row],[Facturación atraso]]</f>
        <v>0</v>
      </c>
      <c r="AI302" s="3">
        <f>+Tabla145[[#This Row],[Plan Irrestricto]]-Tabla145[[#This Row],[Puerto ]]-Tabla145[[#This Row],[Atraso]]</f>
        <v>0</v>
      </c>
      <c r="AJ30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02" s="3">
        <f>+Tabla145[[#This Row],[Facturación atraso]]</f>
        <v>0</v>
      </c>
      <c r="AL302" s="3">
        <f>+Tabla145[[#This Row],[Plan Ajustado]]-Tabla145[[#This Row],[ Atraso ajustado]]-Tabla145[[#This Row],[Puerto ]]</f>
        <v>0</v>
      </c>
      <c r="AM302" s="6">
        <f>IFERROR(VLOOKUP(Tabla145[[#This Row],[Llave]],[18]!Tabla14[#All],34,FALSE),0)</f>
        <v>0</v>
      </c>
      <c r="AN302" s="6">
        <f>IFERROR(VLOOKUP(Tabla145[[#This Row],[Llave]],[18]!Tabla14[#All],35,FALSE),0)</f>
        <v>0</v>
      </c>
      <c r="AO302" s="3" t="str">
        <f>IF(Tabla145[[#This Row],[Plan Ajustado]]&gt;Tabla145[[#This Row],[En puerto a facturar]],"Si","No")</f>
        <v>No</v>
      </c>
      <c r="AP30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02" s="3">
        <f>IF(Tabla145[[#This Row],[Necesidad]]&gt;=Tabla145[[#This Row],[Stock al día]],Tabla145[[#This Row],[Stock al día]],Tabla145[[#This Row],[Necesidad]])</f>
        <v>0</v>
      </c>
      <c r="AR302" s="3">
        <f>+Tabla145[[#This Row],[Necesidad]]-Tabla145[[#This Row],[Stock Plan]]</f>
        <v>0</v>
      </c>
      <c r="AS302" s="155">
        <f>IFERROR(VLOOKUP(Tabla145[[#This Row],[Oficina]],[19]Ponderación!$B$14:$E$21,4,FALSE),"")</f>
        <v>44789</v>
      </c>
      <c r="AT30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302" s="83">
        <f>IFERROR(VLOOKUP(Tabla145[[#This Row],[Llave]],[17]DELAY!$H:$W,16,FALSE),0)</f>
        <v>7.8294573643410796</v>
      </c>
      <c r="AV30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02" s="5">
        <f>Tabla145[[#This Row],[Ajuste precio IC]]*Tabla145[[#This Row],[Plan Ajustado]]</f>
        <v>0</v>
      </c>
      <c r="AX302" s="30">
        <f>IFERROR(VLOOKUP(Tabla145[[#This Row],[Llave]],'[13]Ultimos precios facturados'!$A:$G,7,FALSE),0)</f>
        <v>7.8038713556981198</v>
      </c>
      <c r="AY302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02" s="30">
        <f>IFERROR(VLOOKUP(Tabla145[[#This Row],[Llave]],Hoja2!B:K,10,FALSE),0)</f>
        <v>0</v>
      </c>
      <c r="BA302" s="30">
        <f>IF(Tabla145[[#This Row],[Ajuste precio IC]]="",Tabla145[[#This Row],[Precio ponderado]],Tabla145[[#This Row],[Precio ponderado]])</f>
        <v>0</v>
      </c>
      <c r="BB302" s="82"/>
      <c r="BC302" s="82" t="str">
        <f>IF(AND(Tabla145[[#This Row],[Atraso a facturar]]&gt;0,Tabla145[[#This Row],[Precio Atraso]]=0),"Revisar","OK")</f>
        <v>OK</v>
      </c>
      <c r="BD302" s="82" t="str">
        <f>IF(AND(Tabla145[[#This Row],[Venta del mes]]&gt;0,Tabla145[[#This Row],[Precio venta nueva]]=0),"Revisar","OK")</f>
        <v>OK</v>
      </c>
      <c r="BE302" s="20">
        <f>IFERROR(VLOOKUP(Tabla145[[#This Row],[Llave]],'[5]Consolidación planes'!$A:$M,9,FALSE),0)</f>
        <v>0</v>
      </c>
      <c r="BF302" s="20">
        <f>IFERROR(VLOOKUP(Tabla145[[#This Row],[Llave]],'[5]Consolidación planes'!$A:$M,10,FALSE),0)</f>
        <v>15600</v>
      </c>
      <c r="BG302" s="20">
        <f>IFERROR(VLOOKUP(Tabla145[[#This Row],[Llave]],'[5]Consolidación planes'!$A:$M,11,FALSE),0)</f>
        <v>0</v>
      </c>
      <c r="BH302" s="20">
        <f>IFERROR(VLOOKUP(Tabla145[[#This Row],[Llave]],'[5]Consolidación planes'!$A:$M,12,FALSE),0)</f>
        <v>0</v>
      </c>
      <c r="BI302" s="20">
        <f>IFERROR(VLOOKUP(Tabla145[[#This Row],[Llave]],'[5]Consolidación planes'!$A:$M,13,FALSE),0)</f>
        <v>0</v>
      </c>
      <c r="BJ302" s="20">
        <f>IFERROR(VLOOKUP(Tabla145[[#This Row],[Llave]],'[13]Base ultimos planes'!$A:$M,13,FALSE),0)</f>
        <v>4800</v>
      </c>
      <c r="BK302" s="80">
        <f>IFERROR(VLOOKUP(Tabla145[[#This Row],[Llave]],'[13]Base ultimos planes'!$O:$AA,8,FALSE),0)</f>
        <v>0</v>
      </c>
      <c r="BL302" s="20">
        <f>IFERROR(VLOOKUP(Tabla145[[#This Row],[Llave]],'[13]Base ultimos planes'!$O:$AA,9,FALSE),0)</f>
        <v>156468</v>
      </c>
      <c r="BM302" s="20">
        <f>IFERROR(VLOOKUP(Tabla145[[#This Row],[Llave]],'[13]Base ultimos planes'!$O:$AA,10,FALSE),0)</f>
        <v>0</v>
      </c>
      <c r="BN302" s="20">
        <f>IFERROR(VLOOKUP(Tabla145[[#This Row],[Llave]],'[13]Base ultimos planes'!$O:$AA,11,FALSE),0)</f>
        <v>0</v>
      </c>
      <c r="BO302" s="20">
        <f>IFERROR(VLOOKUP(Tabla145[[#This Row],[Llave]],'[13]Base ultimos planes'!$O:$AA,12,FALSE),0)</f>
        <v>0</v>
      </c>
      <c r="BP302" s="20">
        <f>IFERROR(VLOOKUP(Tabla145[[#This Row],[Llave]],'[13]Base ultimos planes'!$O:$AA,13,FALSE),0)</f>
        <v>48384</v>
      </c>
      <c r="BQ302" s="35"/>
      <c r="BR302" s="20">
        <f>Tabla145[[#This Row],[ RV Producción mes n+1]]*(1-Tabla145[[#This Row],[% Uti. producción]])</f>
        <v>0</v>
      </c>
      <c r="BS302" s="20">
        <f>+Tabla145[[#This Row],[Producción disponible mes n-1]]+Tabla145[[#This Row],[Saldo Volumen disponible]]</f>
        <v>0</v>
      </c>
      <c r="BT302" s="7">
        <f>IFERROR(VLOOKUP(Tabla145[[#This Row],[Llave]],'[21]RV n+2 y n+3'!$B:$F,4,FALSE),0)</f>
        <v>1532.3462999999999</v>
      </c>
      <c r="BU302" s="7">
        <f>+Tabla145[[#This Row],[Asignación mes n+2]]*Tabla145[[#This Row],[% Uti. producción]]</f>
        <v>700.58014229381615</v>
      </c>
      <c r="BV302" s="7">
        <f>+Tabla145[[#This Row],[Ponderación mes n+2]]+Tabla145[[#This Row],[Saldo mes n-1]]</f>
        <v>700.58014229381615</v>
      </c>
      <c r="BW302" s="7">
        <f>+Tabla145[[#This Row],[Asignación mes n+2]]-Tabla145[[#This Row],[Ponderación mes n+2]]</f>
        <v>831.76615770618378</v>
      </c>
      <c r="BX302" s="7">
        <f>IFERROR(VLOOKUP(Tabla145[[#This Row],[Llave]],'[21]RV n+2 y n+3'!$B:$F,5,FALSE),0)</f>
        <v>16989.378400000001</v>
      </c>
      <c r="BY302" s="7">
        <f>+Tabla145[[#This Row],[Asignación mes n+3]]*Tabla145[[#This Row],[% Uti. producción]]</f>
        <v>7767.4486093355581</v>
      </c>
      <c r="BZ302" s="3">
        <f>+Tabla145[[#This Row],[Ponderación mes n+3]]+Tabla145[[#This Row],[Saldo mes n+2]]</f>
        <v>8599.2147670417417</v>
      </c>
      <c r="CA302" s="3">
        <f>+Tabla145[[#This Row],[Asignación mes n+3]]-Tabla145[[#This Row],[Ponderación mes n+3]]</f>
        <v>9221.9297906644424</v>
      </c>
      <c r="CB302" s="3">
        <f>+Tabla145[[#This Row],[Producción disponible mes n-1]]+Tabla145[[#This Row],[Producción disponible]]</f>
        <v>0</v>
      </c>
      <c r="CC302" s="3">
        <f>+Tabla145[[#This Row],[Saldo mes n+4]]-Tabla145[[#This Row],[ RV Producción mes n+1]]</f>
        <v>0</v>
      </c>
    </row>
    <row r="303" spans="1:81" ht="16" x14ac:dyDescent="0.2">
      <c r="A303">
        <v>2</v>
      </c>
      <c r="B303" t="str">
        <f>Tabla145[[#This Row],[Oficina]]&amp;Tabla145[[#This Row],[Material]]</f>
        <v>Agro Sudamerica1022784</v>
      </c>
      <c r="C303" t="s">
        <v>6</v>
      </c>
      <c r="D303" t="s">
        <v>17</v>
      </c>
      <c r="E303">
        <v>1022784</v>
      </c>
      <c r="F303" t="s">
        <v>659</v>
      </c>
      <c r="G303" t="s">
        <v>76</v>
      </c>
      <c r="H303" t="s">
        <v>79</v>
      </c>
      <c r="I303" s="15">
        <f>IFERROR(VLOOKUP(Tabla145[[#This Row],[Llave]],'[7]RV Producción'!$C:$G,5,FALSE),0)</f>
        <v>0</v>
      </c>
      <c r="J303" s="3">
        <f>IFERROR(IF(Tabla145[[#This Row],[Oficina]]=$I$7,VLOOKUP(Tabla145[[#This Row],[Llave]],'[7]Shangai (Tomas)'!$A:$F,6,FALSE),VLOOKUP(Tabla145[[#This Row],[Llave]],'[7]RV plan de ventas'!$A:$E,5,FALSE)),0)</f>
        <v>0</v>
      </c>
      <c r="K303" s="17">
        <f>IFERROR(VLOOKUP(Tabla145[[#This Row],[Oficina]],[15]Ponderación!$B$2:$E$9,4,FALSE),0)</f>
        <v>0.45719439678473212</v>
      </c>
      <c r="L303" s="7">
        <f>+Tabla145[[#This Row],[ RV Producción mes n+1]]*Tabla145[[#This Row],[% Uti. producción]]</f>
        <v>0</v>
      </c>
      <c r="M303" s="7">
        <f>IFERROR(VLOOKUP(Tabla145[[#This Row],[Material]],[16]Stock!$G:$K,5,FALSE),0)</f>
        <v>0</v>
      </c>
      <c r="N303" s="15">
        <f>IFERROR(VLOOKUP(Tabla145[[#This Row],[Material]],[16]Produccion!$M:$N,2,FALSE),0)</f>
        <v>0</v>
      </c>
      <c r="O303" s="7">
        <f>IFERROR(VLOOKUP(Tabla145[[#This Row],[Llave]],'[16]TD Conf-AP'!$I:$M,4,FALSE),0)</f>
        <v>0</v>
      </c>
      <c r="P303" s="37">
        <f>SUM(Tabla145[[#This Row],[Producción disponible]],Tabla145[[#This Row],[Stock al día]],(Tabla145[[#This Row],[Por producir mes N]]*0.9))-Tabla145[[#This Row],[Producción por despachar mes N]]</f>
        <v>0</v>
      </c>
      <c r="Q303" s="15">
        <f>IFERROR(VLOOKUP(Tabla145[[#This Row],[Llave]],[17]DELAY!$A:$D,4,FALSE),0)</f>
        <v>0</v>
      </c>
      <c r="R303" s="75">
        <v>3500</v>
      </c>
      <c r="S303" s="5">
        <f t="shared" si="9"/>
        <v>0</v>
      </c>
      <c r="T303" s="76">
        <v>0</v>
      </c>
      <c r="U303" s="5">
        <f>+Tabla145[[#This Row],[Atraso a facturar]]+Tabla145[[#This Row],[Ajuste atraso]]</f>
        <v>0</v>
      </c>
      <c r="V303" s="3">
        <f>+Tabla145[[#This Row],[Total disponible]]-Tabla145[[#This Row],[Facturación atraso]]</f>
        <v>0</v>
      </c>
      <c r="W303" s="6">
        <f>IFERROR(IF(AND(V303&gt;R303,J303&gt;=R303),ROUNDDOWN((Tabla145[[#This Row],[Producción para venta nueva]])/R303,0)*R303,0),0)</f>
        <v>0</v>
      </c>
      <c r="X303" s="76"/>
      <c r="Y303" s="6">
        <f>IF(Tabla145[[#This Row],[Venta del mes]]&gt;0,Tabla145[[#This Row],[Venta del mes]]+Tabla145[[#This Row],[Ajuste venta nueva]],0)</f>
        <v>0</v>
      </c>
      <c r="Z303" s="6">
        <f>+Tabla145[[#This Row],[Producción para venta nueva]]-Tabla145[[#This Row],[Facturación Venta nueva]]</f>
        <v>0</v>
      </c>
      <c r="AA303" s="6">
        <f>IF(AND(A303=1,Tabla145[[#This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3" s="6">
        <v>0</v>
      </c>
      <c r="AC303" s="6">
        <f>IF(Tabla145[[#This Row],[Disponible stock sin venta]]&gt;0,Tabla145[[#This Row],[Disponible stock sin venta]]+Tabla145[[#This Row],[Ajuste stock sin venta]],0)</f>
        <v>0</v>
      </c>
      <c r="AD303" s="3">
        <f>IFERROR(VLOOKUP(Tabla145[[#This Row],[Llave]],'[16]TD Puerto'!$A:$D,4,FALSE),0)</f>
        <v>0</v>
      </c>
      <c r="AE303" s="3">
        <v>0</v>
      </c>
      <c r="AF303" s="3">
        <f>+Tabla145[[#This Row],[Plan Irrestricto Inicial]]</f>
        <v>0</v>
      </c>
      <c r="AG303" s="3">
        <f>+Tabla145[[#This Row],[En puerto a facturar]]</f>
        <v>0</v>
      </c>
      <c r="AH303" s="3">
        <f>+Tabla145[[#This Row],[Facturación atraso]]</f>
        <v>0</v>
      </c>
      <c r="AI303" s="3">
        <f>+Tabla145[[#This Row],[Plan Irrestricto]]-Tabla145[[#This Row],[Puerto ]]-Tabla145[[#This Row],[Atraso]]</f>
        <v>0</v>
      </c>
      <c r="AJ30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03" s="3">
        <f>+Tabla145[[#This Row],[Facturación atraso]]</f>
        <v>0</v>
      </c>
      <c r="AL303" s="3">
        <f>+Tabla145[[#This Row],[Plan Ajustado]]-Tabla145[[#This Row],[ Atraso ajustado]]-Tabla145[[#This Row],[Puerto ]]</f>
        <v>0</v>
      </c>
      <c r="AM303" s="6">
        <f>IFERROR(VLOOKUP(Tabla145[[#This Row],[Llave]],[18]!Tabla14[#All],34,FALSE),0)</f>
        <v>0</v>
      </c>
      <c r="AN303" s="6">
        <f>IFERROR(VLOOKUP(Tabla145[[#This Row],[Llave]],[18]!Tabla14[#All],35,FALSE),0)</f>
        <v>0</v>
      </c>
      <c r="AO303" s="3" t="str">
        <f>IF(Tabla145[[#This Row],[Plan Ajustado]]&gt;Tabla145[[#This Row],[En puerto a facturar]],"Si","No")</f>
        <v>No</v>
      </c>
      <c r="AP30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03" s="3">
        <f>IF(Tabla145[[#This Row],[Necesidad]]&gt;=Tabla145[[#This Row],[Stock al día]],Tabla145[[#This Row],[Stock al día]],Tabla145[[#This Row],[Necesidad]])</f>
        <v>0</v>
      </c>
      <c r="AR303" s="3">
        <f>+Tabla145[[#This Row],[Necesidad]]-Tabla145[[#This Row],[Stock Plan]]</f>
        <v>0</v>
      </c>
      <c r="AS303" s="155">
        <f>IFERROR(VLOOKUP(Tabla145[[#This Row],[Oficina]],[19]Ponderación!$B$14:$E$21,4,FALSE),"")</f>
        <v>44789</v>
      </c>
      <c r="AT30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7.6725485156912638</v>
      </c>
      <c r="AU303" s="83">
        <f>IFERROR(VLOOKUP(Tabla145[[#This Row],[Llave]],[17]DELAY!$H:$W,16,FALSE),0)</f>
        <v>0</v>
      </c>
      <c r="AV30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03" s="5">
        <f>Tabla145[[#This Row],[Ajuste precio IC]]*Tabla145[[#This Row],[Plan Ajustado]]</f>
        <v>0</v>
      </c>
      <c r="AX303" s="30">
        <f>IFERROR(VLOOKUP(Tabla145[[#This Row],[Llave]],'[13]Ultimos precios facturados'!$A:$G,7,FALSE),0)</f>
        <v>7.6725485156912638</v>
      </c>
      <c r="AY303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03" s="30">
        <f>IFERROR(VLOOKUP(Tabla145[[#This Row],[Llave]],Hoja2!B:K,10,FALSE),0)</f>
        <v>0</v>
      </c>
      <c r="BA303" s="30">
        <f>IF(Tabla145[[#This Row],[Ajuste precio IC]]="",Tabla145[[#This Row],[Precio ponderado]],Tabla145[[#This Row],[Precio ponderado]])</f>
        <v>0</v>
      </c>
      <c r="BB303" s="82"/>
      <c r="BC303" s="82" t="str">
        <f>IF(AND(Tabla145[[#This Row],[Atraso a facturar]]&gt;0,Tabla145[[#This Row],[Precio Atraso]]=0),"Revisar","OK")</f>
        <v>OK</v>
      </c>
      <c r="BD303" s="82" t="str">
        <f>IF(AND(Tabla145[[#This Row],[Venta del mes]]&gt;0,Tabla145[[#This Row],[Precio venta nueva]]=0),"Revisar","OK")</f>
        <v>OK</v>
      </c>
      <c r="BE303" s="20">
        <f>IFERROR(VLOOKUP(Tabla145[[#This Row],[Llave]],'[5]Consolidación planes'!$A:$M,9,FALSE),0)</f>
        <v>0</v>
      </c>
      <c r="BF303" s="20">
        <f>IFERROR(VLOOKUP(Tabla145[[#This Row],[Llave]],'[5]Consolidación planes'!$A:$M,10,FALSE),0)</f>
        <v>0</v>
      </c>
      <c r="BG303" s="20">
        <f>IFERROR(VLOOKUP(Tabla145[[#This Row],[Llave]],'[5]Consolidación planes'!$A:$M,11,FALSE),0)</f>
        <v>0</v>
      </c>
      <c r="BH303" s="20">
        <f>IFERROR(VLOOKUP(Tabla145[[#This Row],[Llave]],'[5]Consolidación planes'!$A:$M,12,FALSE),0)</f>
        <v>0</v>
      </c>
      <c r="BI303" s="20">
        <f>IFERROR(VLOOKUP(Tabla145[[#This Row],[Llave]],'[5]Consolidación planes'!$A:$M,13,FALSE),0)</f>
        <v>0</v>
      </c>
      <c r="BJ303" s="20">
        <f>IFERROR(VLOOKUP(Tabla145[[#This Row],[Llave]],'[13]Base ultimos planes'!$A:$M,13,FALSE),0)</f>
        <v>900</v>
      </c>
      <c r="BK303" s="80">
        <f>IFERROR(VLOOKUP(Tabla145[[#This Row],[Llave]],'[13]Base ultimos planes'!$O:$AA,8,FALSE),0)</f>
        <v>0</v>
      </c>
      <c r="BL303" s="20">
        <f>IFERROR(VLOOKUP(Tabla145[[#This Row],[Llave]],'[13]Base ultimos planes'!$O:$AA,9,FALSE),0)</f>
        <v>0</v>
      </c>
      <c r="BM303" s="20">
        <f>IFERROR(VLOOKUP(Tabla145[[#This Row],[Llave]],'[13]Base ultimos planes'!$O:$AA,10,FALSE),0)</f>
        <v>0</v>
      </c>
      <c r="BN303" s="20">
        <f>IFERROR(VLOOKUP(Tabla145[[#This Row],[Llave]],'[13]Base ultimos planes'!$O:$AA,11,FALSE),0)</f>
        <v>0</v>
      </c>
      <c r="BO303" s="20">
        <f>IFERROR(VLOOKUP(Tabla145[[#This Row],[Llave]],'[13]Base ultimos planes'!$O:$AA,12,FALSE),0)</f>
        <v>0</v>
      </c>
      <c r="BP303" s="20">
        <f>IFERROR(VLOOKUP(Tabla145[[#This Row],[Llave]],'[13]Base ultimos planes'!$O:$AA,13,FALSE),0)</f>
        <v>9072</v>
      </c>
      <c r="BQ303" s="35"/>
      <c r="BR303" s="20">
        <f>Tabla145[[#This Row],[ RV Producción mes n+1]]*(1-Tabla145[[#This Row],[% Uti. producción]])</f>
        <v>0</v>
      </c>
      <c r="BS303" s="20">
        <f>+Tabla145[[#This Row],[Producción disponible mes n-1]]+Tabla145[[#This Row],[Saldo Volumen disponible]]</f>
        <v>0</v>
      </c>
      <c r="BT303" s="7">
        <f>IFERROR(VLOOKUP(Tabla145[[#This Row],[Llave]],'[21]RV n+2 y n+3'!$B:$F,4,FALSE),0)</f>
        <v>0</v>
      </c>
      <c r="BU303" s="7">
        <f>+Tabla145[[#This Row],[Asignación mes n+2]]*Tabla145[[#This Row],[% Uti. producción]]</f>
        <v>0</v>
      </c>
      <c r="BV303" s="7">
        <f>+Tabla145[[#This Row],[Ponderación mes n+2]]+Tabla145[[#This Row],[Saldo mes n-1]]</f>
        <v>0</v>
      </c>
      <c r="BW303" s="7">
        <f>+Tabla145[[#This Row],[Asignación mes n+2]]-Tabla145[[#This Row],[Ponderación mes n+2]]</f>
        <v>0</v>
      </c>
      <c r="BX303" s="7">
        <f>IFERROR(VLOOKUP(Tabla145[[#This Row],[Llave]],'[21]RV n+2 y n+3'!$B:$F,5,FALSE),0)</f>
        <v>0</v>
      </c>
      <c r="BY303" s="7">
        <f>+Tabla145[[#This Row],[Asignación mes n+3]]*Tabla145[[#This Row],[% Uti. producción]]</f>
        <v>0</v>
      </c>
      <c r="BZ303" s="3">
        <f>+Tabla145[[#This Row],[Ponderación mes n+3]]+Tabla145[[#This Row],[Saldo mes n+2]]</f>
        <v>0</v>
      </c>
      <c r="CA303" s="3">
        <f>+Tabla145[[#This Row],[Asignación mes n+3]]-Tabla145[[#This Row],[Ponderación mes n+3]]</f>
        <v>0</v>
      </c>
      <c r="CB303" s="3">
        <f>+Tabla145[[#This Row],[Producción disponible mes n-1]]+Tabla145[[#This Row],[Producción disponible]]</f>
        <v>0</v>
      </c>
      <c r="CC303" s="3">
        <f>+Tabla145[[#This Row],[Saldo mes n+4]]-Tabla145[[#This Row],[ RV Producción mes n+1]]</f>
        <v>0</v>
      </c>
    </row>
    <row r="304" spans="1:81" ht="16" x14ac:dyDescent="0.2">
      <c r="A304">
        <v>2</v>
      </c>
      <c r="B304" t="str">
        <f>Tabla145[[#This Row],[Oficina]]&amp;Tabla145[[#This Row],[Material]]</f>
        <v>Agrosuper Brasil1022782</v>
      </c>
      <c r="C304" t="s">
        <v>6</v>
      </c>
      <c r="D304" t="s">
        <v>7</v>
      </c>
      <c r="E304">
        <v>1022782</v>
      </c>
      <c r="F304" t="s">
        <v>657</v>
      </c>
      <c r="G304" t="s">
        <v>76</v>
      </c>
      <c r="H304" t="s">
        <v>79</v>
      </c>
      <c r="I304" s="15">
        <f>IFERROR(VLOOKUP(Tabla145[[#This Row],[Llave]],'[7]RV Producción'!$C:$G,5,FALSE),0)</f>
        <v>9180</v>
      </c>
      <c r="J304" s="3">
        <f>IFERROR(IF(Tabla145[[#This Row],[Oficina]]=$I$7,VLOOKUP(Tabla145[[#This Row],[Llave]],'[7]Shangai (Tomas)'!$A:$F,6,FALSE),VLOOKUP(Tabla145[[#This Row],[Llave]],'[7]RV plan de ventas'!$A:$E,5,FALSE)),0)</f>
        <v>0</v>
      </c>
      <c r="K304" s="17">
        <f>IFERROR(VLOOKUP(Tabla145[[#This Row],[Oficina]],[15]Ponderación!$B$2:$E$9,4,FALSE),0)</f>
        <v>0.81420840482290169</v>
      </c>
      <c r="L304" s="7">
        <f>+Tabla145[[#This Row],[ RV Producción mes n+1]]*Tabla145[[#This Row],[% Uti. producción]]</f>
        <v>7474.4331562742373</v>
      </c>
      <c r="M304" s="7">
        <f>IFERROR(VLOOKUP(Tabla145[[#This Row],[Material]],[16]Stock!$G:$K,5,FALSE),0)</f>
        <v>0</v>
      </c>
      <c r="N304" s="15">
        <f>IFERROR(VLOOKUP(Tabla145[[#This Row],[Material]],[16]Produccion!$M:$N,2,FALSE),0)</f>
        <v>0</v>
      </c>
      <c r="O304" s="7">
        <f>IFERROR(VLOOKUP(Tabla145[[#This Row],[Llave]],'[16]TD Conf-AP'!$I:$M,4,FALSE),0)</f>
        <v>0</v>
      </c>
      <c r="P304" s="37">
        <f>SUM(Tabla145[[#This Row],[Producción disponible]],Tabla145[[#This Row],[Stock al día]],(Tabla145[[#This Row],[Por producir mes N]]*0.9))-Tabla145[[#This Row],[Producción por despachar mes N]]</f>
        <v>7474.4331562742373</v>
      </c>
      <c r="Q304" s="15">
        <f>IFERROR(VLOOKUP(Tabla145[[#This Row],[Llave]],[17]DELAY!$A:$D,4,FALSE),0)</f>
        <v>0</v>
      </c>
      <c r="R304" s="75">
        <v>24000</v>
      </c>
      <c r="S304" s="5">
        <f t="shared" si="9"/>
        <v>0</v>
      </c>
      <c r="T304" s="76">
        <v>0</v>
      </c>
      <c r="U304" s="5">
        <f>+Tabla145[[#This Row],[Atraso a facturar]]+Tabla145[[#This Row],[Ajuste atraso]]</f>
        <v>0</v>
      </c>
      <c r="V304" s="3">
        <f>+Tabla145[[#This Row],[Total disponible]]-Tabla145[[#This Row],[Facturación atraso]]</f>
        <v>7474.4331562742373</v>
      </c>
      <c r="W304" s="6">
        <f>IFERROR(IF(AND(V304&gt;R304,J304&gt;=R304),ROUNDDOWN((Tabla145[[#This Row],[Producción para venta nueva]])/R304,0)*R304,0),0)</f>
        <v>0</v>
      </c>
      <c r="X304" s="76"/>
      <c r="Y304" s="6">
        <f>IF(Tabla145[[#This Row],[Venta del mes]]&gt;0,Tabla145[[#This Row],[Venta del mes]]+Tabla145[[#This Row],[Ajuste venta nueva]],0)</f>
        <v>0</v>
      </c>
      <c r="Z304" s="6">
        <f>+Tabla145[[#This Row],[Producción para venta nueva]]-Tabla145[[#This Row],[Facturación Venta nueva]]</f>
        <v>7474.4331562742373</v>
      </c>
      <c r="AA304" s="6">
        <f>IF(AND(A304=1,Tabla145[[#This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4" s="6">
        <v>0</v>
      </c>
      <c r="AC304" s="6">
        <f>IF(Tabla145[[#This Row],[Disponible stock sin venta]]&gt;0,Tabla145[[#This Row],[Disponible stock sin venta]]+Tabla145[[#This Row],[Ajuste stock sin venta]],0)</f>
        <v>0</v>
      </c>
      <c r="AD304" s="3">
        <f>IFERROR(VLOOKUP(Tabla145[[#This Row],[Llave]],'[16]TD Puerto'!$A:$D,4,FALSE),0)</f>
        <v>0</v>
      </c>
      <c r="AE304" s="3">
        <v>0</v>
      </c>
      <c r="AF304" s="3">
        <f>+Tabla145[[#This Row],[Plan Irrestricto Inicial]]</f>
        <v>0</v>
      </c>
      <c r="AG304" s="3">
        <f>+Tabla145[[#This Row],[En puerto a facturar]]</f>
        <v>0</v>
      </c>
      <c r="AH304" s="3">
        <f>+Tabla145[[#This Row],[Facturación atraso]]</f>
        <v>0</v>
      </c>
      <c r="AI304" s="3">
        <f>+Tabla145[[#This Row],[Plan Irrestricto]]-Tabla145[[#This Row],[Puerto ]]-Tabla145[[#This Row],[Atraso]]</f>
        <v>0</v>
      </c>
      <c r="AJ30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04" s="3">
        <f>+Tabla145[[#This Row],[Facturación atraso]]</f>
        <v>0</v>
      </c>
      <c r="AL304" s="3">
        <f>+Tabla145[[#This Row],[Plan Ajustado]]-Tabla145[[#This Row],[ Atraso ajustado]]-Tabla145[[#This Row],[Puerto ]]</f>
        <v>0</v>
      </c>
      <c r="AM304" s="6">
        <f>IFERROR(VLOOKUP(Tabla145[[#This Row],[Llave]],[18]!Tabla14[#All],34,FALSE),0)</f>
        <v>0</v>
      </c>
      <c r="AN304" s="6">
        <f>IFERROR(VLOOKUP(Tabla145[[#This Row],[Llave]],[18]!Tabla14[#All],35,FALSE),0)</f>
        <v>0</v>
      </c>
      <c r="AO304" s="3" t="str">
        <f>IF(Tabla145[[#This Row],[Plan Ajustado]]&gt;Tabla145[[#This Row],[En puerto a facturar]],"Si","No")</f>
        <v>No</v>
      </c>
      <c r="AP30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04" s="3">
        <f>IF(Tabla145[[#This Row],[Necesidad]]&gt;=Tabla145[[#This Row],[Stock al día]],Tabla145[[#This Row],[Stock al día]],Tabla145[[#This Row],[Necesidad]])</f>
        <v>0</v>
      </c>
      <c r="AR304" s="3">
        <f>+Tabla145[[#This Row],[Necesidad]]-Tabla145[[#This Row],[Stock Plan]]</f>
        <v>0</v>
      </c>
      <c r="AS304" s="155">
        <f>IFERROR(VLOOKUP(Tabla145[[#This Row],[Oficina]],[19]Ponderación!$B$14:$E$21,4,FALSE),"")</f>
        <v>44798</v>
      </c>
      <c r="AT30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8.3464566929133852</v>
      </c>
      <c r="AU304" s="83">
        <f>IFERROR(VLOOKUP(Tabla145[[#This Row],[Llave]],[17]DELAY!$H:$W,16,FALSE),0)</f>
        <v>0</v>
      </c>
      <c r="AV30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04" s="5">
        <f>Tabla145[[#This Row],[Ajuste precio IC]]*Tabla145[[#This Row],[Plan Ajustado]]</f>
        <v>0</v>
      </c>
      <c r="AX304" s="30">
        <f>IFERROR(VLOOKUP(Tabla145[[#This Row],[Llave]],'[13]Ultimos precios facturados'!$A:$G,7,FALSE),0)</f>
        <v>8.3464566929133852</v>
      </c>
      <c r="AY304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04" s="30">
        <f>IFERROR(VLOOKUP(Tabla145[[#This Row],[Llave]],Hoja2!B:K,10,FALSE),0)</f>
        <v>0</v>
      </c>
      <c r="BA304" s="30">
        <f>IF(Tabla145[[#This Row],[Ajuste precio IC]]="",Tabla145[[#This Row],[Precio ponderado]],Tabla145[[#This Row],[Precio ponderado]])</f>
        <v>0</v>
      </c>
      <c r="BB304" s="82"/>
      <c r="BC304" s="82" t="str">
        <f>IF(AND(Tabla145[[#This Row],[Atraso a facturar]]&gt;0,Tabla145[[#This Row],[Precio Atraso]]=0),"Revisar","OK")</f>
        <v>OK</v>
      </c>
      <c r="BD304" s="82" t="str">
        <f>IF(AND(Tabla145[[#This Row],[Venta del mes]]&gt;0,Tabla145[[#This Row],[Precio venta nueva]]=0),"Revisar","OK")</f>
        <v>OK</v>
      </c>
      <c r="BE304" s="20">
        <f>IFERROR(VLOOKUP(Tabla145[[#This Row],[Llave]],'[5]Consolidación planes'!$A:$M,9,FALSE),0)</f>
        <v>0</v>
      </c>
      <c r="BF304" s="20">
        <f>IFERROR(VLOOKUP(Tabla145[[#This Row],[Llave]],'[5]Consolidación planes'!$A:$M,10,FALSE),0)</f>
        <v>0</v>
      </c>
      <c r="BG304" s="20">
        <f>IFERROR(VLOOKUP(Tabla145[[#This Row],[Llave]],'[5]Consolidación planes'!$A:$M,11,FALSE),0)</f>
        <v>0</v>
      </c>
      <c r="BH304" s="20">
        <f>IFERROR(VLOOKUP(Tabla145[[#This Row],[Llave]],'[5]Consolidación planes'!$A:$M,12,FALSE),0)</f>
        <v>0</v>
      </c>
      <c r="BI304" s="20">
        <f>IFERROR(VLOOKUP(Tabla145[[#This Row],[Llave]],'[5]Consolidación planes'!$A:$M,13,FALSE),0)</f>
        <v>0</v>
      </c>
      <c r="BJ304" s="20">
        <f>IFERROR(VLOOKUP(Tabla145[[#This Row],[Llave]],'[13]Base ultimos planes'!$A:$M,13,FALSE),0)</f>
        <v>6240</v>
      </c>
      <c r="BK304" s="80">
        <f>IFERROR(VLOOKUP(Tabla145[[#This Row],[Llave]],'[13]Base ultimos planes'!$O:$AA,8,FALSE),0)</f>
        <v>0</v>
      </c>
      <c r="BL304" s="20">
        <f>IFERROR(VLOOKUP(Tabla145[[#This Row],[Llave]],'[13]Base ultimos planes'!$O:$AA,9,FALSE),0)</f>
        <v>0</v>
      </c>
      <c r="BM304" s="20">
        <f>IFERROR(VLOOKUP(Tabla145[[#This Row],[Llave]],'[13]Base ultimos planes'!$O:$AA,10,FALSE),0)</f>
        <v>0</v>
      </c>
      <c r="BN304" s="20">
        <f>IFERROR(VLOOKUP(Tabla145[[#This Row],[Llave]],'[13]Base ultimos planes'!$O:$AA,11,FALSE),0)</f>
        <v>0</v>
      </c>
      <c r="BO304" s="20">
        <f>IFERROR(VLOOKUP(Tabla145[[#This Row],[Llave]],'[13]Base ultimos planes'!$O:$AA,12,FALSE),0)</f>
        <v>0</v>
      </c>
      <c r="BP304" s="20">
        <f>IFERROR(VLOOKUP(Tabla145[[#This Row],[Llave]],'[13]Base ultimos planes'!$O:$AA,13,FALSE),0)</f>
        <v>66144</v>
      </c>
      <c r="BQ304" s="35"/>
      <c r="BR304" s="20">
        <f>Tabla145[[#This Row],[ RV Producción mes n+1]]*(1-Tabla145[[#This Row],[% Uti. producción]])</f>
        <v>1705.5668437257625</v>
      </c>
      <c r="BS304" s="20">
        <f>+Tabla145[[#This Row],[Producción disponible mes n-1]]+Tabla145[[#This Row],[Saldo Volumen disponible]]</f>
        <v>9180</v>
      </c>
      <c r="BT304" s="7">
        <f>IFERROR(VLOOKUP(Tabla145[[#This Row],[Llave]],'[21]RV n+2 y n+3'!$B:$F,4,FALSE),0)</f>
        <v>10336.284900000001</v>
      </c>
      <c r="BU304" s="7">
        <f>+Tabla145[[#This Row],[Asignación mes n+2]]*Tabla145[[#This Row],[% Uti. producción]]</f>
        <v>8415.890040224047</v>
      </c>
      <c r="BV304" s="7">
        <f>+Tabla145[[#This Row],[Ponderación mes n+2]]+Tabla145[[#This Row],[Saldo mes n-1]]</f>
        <v>17595.890040224047</v>
      </c>
      <c r="BW304" s="7">
        <f>+Tabla145[[#This Row],[Asignación mes n+2]]-Tabla145[[#This Row],[Ponderación mes n+2]]</f>
        <v>1920.3948597759536</v>
      </c>
      <c r="BX304" s="7">
        <f>IFERROR(VLOOKUP(Tabla145[[#This Row],[Llave]],'[21]RV n+2 y n+3'!$B:$F,5,FALSE),0)</f>
        <v>0</v>
      </c>
      <c r="BY304" s="7">
        <f>+Tabla145[[#This Row],[Asignación mes n+3]]*Tabla145[[#This Row],[% Uti. producción]]</f>
        <v>0</v>
      </c>
      <c r="BZ304" s="3">
        <f>+Tabla145[[#This Row],[Ponderación mes n+3]]+Tabla145[[#This Row],[Saldo mes n+2]]</f>
        <v>1920.3948597759536</v>
      </c>
      <c r="CA304" s="3">
        <f>+Tabla145[[#This Row],[Asignación mes n+3]]-Tabla145[[#This Row],[Ponderación mes n+3]]</f>
        <v>0</v>
      </c>
      <c r="CB304" s="3">
        <f>+Tabla145[[#This Row],[Producción disponible mes n-1]]+Tabla145[[#This Row],[Producción disponible]]</f>
        <v>9180</v>
      </c>
      <c r="CC304" s="3">
        <f>+Tabla145[[#This Row],[Saldo mes n+4]]-Tabla145[[#This Row],[ RV Producción mes n+1]]</f>
        <v>0</v>
      </c>
    </row>
    <row r="305" spans="1:81" ht="16" x14ac:dyDescent="0.2">
      <c r="A305">
        <v>2</v>
      </c>
      <c r="B305" t="str">
        <f>Tabla145[[#This Row],[Oficina]]&amp;Tabla145[[#This Row],[Material]]</f>
        <v>Agrosuper Brasil1022783</v>
      </c>
      <c r="C305" t="s">
        <v>6</v>
      </c>
      <c r="D305" t="s">
        <v>7</v>
      </c>
      <c r="E305">
        <v>1022783</v>
      </c>
      <c r="F305" t="s">
        <v>658</v>
      </c>
      <c r="G305" t="s">
        <v>76</v>
      </c>
      <c r="H305" t="s">
        <v>79</v>
      </c>
      <c r="I305" s="15">
        <f>IFERROR(VLOOKUP(Tabla145[[#This Row],[Llave]],'[7]RV Producción'!$C:$G,5,FALSE),0)</f>
        <v>7200</v>
      </c>
      <c r="J305" s="3">
        <f>IFERROR(IF(Tabla145[[#This Row],[Oficina]]=$I$7,VLOOKUP(Tabla145[[#This Row],[Llave]],'[7]Shangai (Tomas)'!$A:$F,6,FALSE),VLOOKUP(Tabla145[[#This Row],[Llave]],'[7]RV plan de ventas'!$A:$E,5,FALSE)),0)</f>
        <v>0</v>
      </c>
      <c r="K305" s="17">
        <f>IFERROR(VLOOKUP(Tabla145[[#This Row],[Oficina]],[15]Ponderación!$B$2:$E$9,4,FALSE),0)</f>
        <v>0.81420840482290169</v>
      </c>
      <c r="L305" s="7">
        <f>+Tabla145[[#This Row],[ RV Producción mes n+1]]*Tabla145[[#This Row],[% Uti. producción]]</f>
        <v>5862.3005147248923</v>
      </c>
      <c r="M305" s="7">
        <f>IFERROR(VLOOKUP(Tabla145[[#This Row],[Material]],[16]Stock!$G:$K,5,FALSE),0)</f>
        <v>0</v>
      </c>
      <c r="N305" s="15">
        <f>IFERROR(VLOOKUP(Tabla145[[#This Row],[Material]],[16]Produccion!$M:$N,2,FALSE),0)</f>
        <v>0</v>
      </c>
      <c r="O305" s="7">
        <f>IFERROR(VLOOKUP(Tabla145[[#This Row],[Llave]],'[16]TD Conf-AP'!$I:$M,4,FALSE),0)</f>
        <v>0</v>
      </c>
      <c r="P305" s="37">
        <f>SUM(Tabla145[[#This Row],[Producción disponible]],Tabla145[[#This Row],[Stock al día]],(Tabla145[[#This Row],[Por producir mes N]]*0.9))-Tabla145[[#This Row],[Producción por despachar mes N]]</f>
        <v>5862.3005147248923</v>
      </c>
      <c r="Q305" s="15">
        <f>IFERROR(VLOOKUP(Tabla145[[#This Row],[Llave]],[17]DELAY!$A:$D,4,FALSE),0)</f>
        <v>0</v>
      </c>
      <c r="R305" s="75">
        <v>24000</v>
      </c>
      <c r="S305" s="5">
        <f t="shared" si="9"/>
        <v>0</v>
      </c>
      <c r="T305" s="76">
        <v>0</v>
      </c>
      <c r="U305" s="5">
        <f>+Tabla145[[#This Row],[Atraso a facturar]]+Tabla145[[#This Row],[Ajuste atraso]]</f>
        <v>0</v>
      </c>
      <c r="V305" s="3">
        <f>+Tabla145[[#This Row],[Total disponible]]-Tabla145[[#This Row],[Facturación atraso]]</f>
        <v>5862.3005147248923</v>
      </c>
      <c r="W305" s="6">
        <f>IFERROR(IF(AND(V305&gt;R305,J305&gt;=R305),ROUNDDOWN((Tabla145[[#This Row],[Producción para venta nueva]])/R305,0)*R305,0),0)</f>
        <v>0</v>
      </c>
      <c r="X305" s="76"/>
      <c r="Y305" s="6">
        <f>IF(Tabla145[[#This Row],[Venta del mes]]&gt;0,Tabla145[[#This Row],[Venta del mes]]+Tabla145[[#This Row],[Ajuste venta nueva]],0)</f>
        <v>0</v>
      </c>
      <c r="Z305" s="6">
        <f>+Tabla145[[#This Row],[Producción para venta nueva]]-Tabla145[[#This Row],[Facturación Venta nueva]]</f>
        <v>5862.3005147248923</v>
      </c>
      <c r="AA305" s="6">
        <f>IF(AND(A305=1,Tabla145[[#This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5" s="6">
        <v>0</v>
      </c>
      <c r="AC305" s="6">
        <f>IF(Tabla145[[#This Row],[Disponible stock sin venta]]&gt;0,Tabla145[[#This Row],[Disponible stock sin venta]]+Tabla145[[#This Row],[Ajuste stock sin venta]],0)</f>
        <v>0</v>
      </c>
      <c r="AD305" s="3">
        <f>IFERROR(VLOOKUP(Tabla145[[#This Row],[Llave]],'[16]TD Puerto'!$A:$D,4,FALSE),0)</f>
        <v>0</v>
      </c>
      <c r="AE305" s="3">
        <v>0</v>
      </c>
      <c r="AF305" s="3">
        <f>+Tabla145[[#This Row],[Plan Irrestricto Inicial]]</f>
        <v>0</v>
      </c>
      <c r="AG305" s="3">
        <f>+Tabla145[[#This Row],[En puerto a facturar]]</f>
        <v>0</v>
      </c>
      <c r="AH305" s="3">
        <f>+Tabla145[[#This Row],[Facturación atraso]]</f>
        <v>0</v>
      </c>
      <c r="AI305" s="3">
        <f>+Tabla145[[#This Row],[Plan Irrestricto]]-Tabla145[[#This Row],[Puerto ]]-Tabla145[[#This Row],[Atraso]]</f>
        <v>0</v>
      </c>
      <c r="AJ30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05" s="3">
        <f>+Tabla145[[#This Row],[Facturación atraso]]</f>
        <v>0</v>
      </c>
      <c r="AL305" s="3">
        <f>+Tabla145[[#This Row],[Plan Ajustado]]-Tabla145[[#This Row],[ Atraso ajustado]]-Tabla145[[#This Row],[Puerto ]]</f>
        <v>0</v>
      </c>
      <c r="AM305" s="6">
        <f>IFERROR(VLOOKUP(Tabla145[[#This Row],[Llave]],[18]!Tabla14[#All],34,FALSE),0)</f>
        <v>0</v>
      </c>
      <c r="AN305" s="6">
        <f>IFERROR(VLOOKUP(Tabla145[[#This Row],[Llave]],[18]!Tabla14[#All],35,FALSE),0)</f>
        <v>0</v>
      </c>
      <c r="AO305" s="3" t="str">
        <f>IF(Tabla145[[#This Row],[Plan Ajustado]]&gt;Tabla145[[#This Row],[En puerto a facturar]],"Si","No")</f>
        <v>No</v>
      </c>
      <c r="AP30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05" s="3">
        <f>IF(Tabla145[[#This Row],[Necesidad]]&gt;=Tabla145[[#This Row],[Stock al día]],Tabla145[[#This Row],[Stock al día]],Tabla145[[#This Row],[Necesidad]])</f>
        <v>0</v>
      </c>
      <c r="AR305" s="3">
        <f>+Tabla145[[#This Row],[Necesidad]]-Tabla145[[#This Row],[Stock Plan]]</f>
        <v>0</v>
      </c>
      <c r="AS305" s="155">
        <f>IFERROR(VLOOKUP(Tabla145[[#This Row],[Oficina]],[19]Ponderación!$B$14:$E$21,4,FALSE),"")</f>
        <v>44798</v>
      </c>
      <c r="AT30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8.2170542635658901</v>
      </c>
      <c r="AU305" s="83">
        <f>IFERROR(VLOOKUP(Tabla145[[#This Row],[Llave]],[17]DELAY!$H:$W,16,FALSE),0)</f>
        <v>0</v>
      </c>
      <c r="AV30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05" s="5">
        <f>Tabla145[[#This Row],[Ajuste precio IC]]*Tabla145[[#This Row],[Plan Ajustado]]</f>
        <v>0</v>
      </c>
      <c r="AX305" s="30">
        <f>IFERROR(VLOOKUP(Tabla145[[#This Row],[Llave]],'[13]Ultimos precios facturados'!$A:$G,7,FALSE),0)</f>
        <v>8.2170542635658901</v>
      </c>
      <c r="AY305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05" s="30">
        <f>IFERROR(VLOOKUP(Tabla145[[#This Row],[Llave]],Hoja2!B:K,10,FALSE),0)</f>
        <v>0</v>
      </c>
      <c r="BA305" s="30">
        <f>IF(Tabla145[[#This Row],[Ajuste precio IC]]="",Tabla145[[#This Row],[Precio ponderado]],Tabla145[[#This Row],[Precio ponderado]])</f>
        <v>0</v>
      </c>
      <c r="BB305" s="82"/>
      <c r="BC305" s="82" t="str">
        <f>IF(AND(Tabla145[[#This Row],[Atraso a facturar]]&gt;0,Tabla145[[#This Row],[Precio Atraso]]=0),"Revisar","OK")</f>
        <v>OK</v>
      </c>
      <c r="BD305" s="82" t="str">
        <f>IF(AND(Tabla145[[#This Row],[Venta del mes]]&gt;0,Tabla145[[#This Row],[Precio venta nueva]]=0),"Revisar","OK")</f>
        <v>OK</v>
      </c>
      <c r="BE305" s="20">
        <f>IFERROR(VLOOKUP(Tabla145[[#This Row],[Llave]],'[5]Consolidación planes'!$A:$M,9,FALSE),0)</f>
        <v>0</v>
      </c>
      <c r="BF305" s="20">
        <f>IFERROR(VLOOKUP(Tabla145[[#This Row],[Llave]],'[5]Consolidación planes'!$A:$M,10,FALSE),0)</f>
        <v>0</v>
      </c>
      <c r="BG305" s="20">
        <f>IFERROR(VLOOKUP(Tabla145[[#This Row],[Llave]],'[5]Consolidación planes'!$A:$M,11,FALSE),0)</f>
        <v>0</v>
      </c>
      <c r="BH305" s="20">
        <f>IFERROR(VLOOKUP(Tabla145[[#This Row],[Llave]],'[5]Consolidación planes'!$A:$M,12,FALSE),0)</f>
        <v>0</v>
      </c>
      <c r="BI305" s="20">
        <f>IFERROR(VLOOKUP(Tabla145[[#This Row],[Llave]],'[5]Consolidación planes'!$A:$M,13,FALSE),0)</f>
        <v>0</v>
      </c>
      <c r="BJ305" s="20">
        <f>IFERROR(VLOOKUP(Tabla145[[#This Row],[Llave]],'[13]Base ultimos planes'!$A:$M,13,FALSE),0)</f>
        <v>6480</v>
      </c>
      <c r="BK305" s="80">
        <f>IFERROR(VLOOKUP(Tabla145[[#This Row],[Llave]],'[13]Base ultimos planes'!$O:$AA,8,FALSE),0)</f>
        <v>0</v>
      </c>
      <c r="BL305" s="20">
        <f>IFERROR(VLOOKUP(Tabla145[[#This Row],[Llave]],'[13]Base ultimos planes'!$O:$AA,9,FALSE),0)</f>
        <v>0</v>
      </c>
      <c r="BM305" s="20">
        <f>IFERROR(VLOOKUP(Tabla145[[#This Row],[Llave]],'[13]Base ultimos planes'!$O:$AA,10,FALSE),0)</f>
        <v>0</v>
      </c>
      <c r="BN305" s="20">
        <f>IFERROR(VLOOKUP(Tabla145[[#This Row],[Llave]],'[13]Base ultimos planes'!$O:$AA,11,FALSE),0)</f>
        <v>0</v>
      </c>
      <c r="BO305" s="20">
        <f>IFERROR(VLOOKUP(Tabla145[[#This Row],[Llave]],'[13]Base ultimos planes'!$O:$AA,12,FALSE),0)</f>
        <v>0</v>
      </c>
      <c r="BP305" s="20">
        <f>IFERROR(VLOOKUP(Tabla145[[#This Row],[Llave]],'[13]Base ultimos planes'!$O:$AA,13,FALSE),0)</f>
        <v>68688</v>
      </c>
      <c r="BQ305" s="35"/>
      <c r="BR305" s="20">
        <f>Tabla145[[#This Row],[ RV Producción mes n+1]]*(1-Tabla145[[#This Row],[% Uti. producción]])</f>
        <v>1337.6994852751079</v>
      </c>
      <c r="BS305" s="20">
        <f>+Tabla145[[#This Row],[Producción disponible mes n-1]]+Tabla145[[#This Row],[Saldo Volumen disponible]]</f>
        <v>7200</v>
      </c>
      <c r="BT305" s="7">
        <f>IFERROR(VLOOKUP(Tabla145[[#This Row],[Llave]],'[21]RV n+2 y n+3'!$B:$F,4,FALSE),0)</f>
        <v>2512.4488000000001</v>
      </c>
      <c r="BU305" s="7">
        <f>+Tabla145[[#This Row],[Asignación mes n+2]]*Tabla145[[#This Row],[% Uti. producción]]</f>
        <v>2045.6569296472137</v>
      </c>
      <c r="BV305" s="7">
        <f>+Tabla145[[#This Row],[Ponderación mes n+2]]+Tabla145[[#This Row],[Saldo mes n-1]]</f>
        <v>9245.6569296472135</v>
      </c>
      <c r="BW305" s="7">
        <f>+Tabla145[[#This Row],[Asignación mes n+2]]-Tabla145[[#This Row],[Ponderación mes n+2]]</f>
        <v>466.79187035278642</v>
      </c>
      <c r="BX305" s="7">
        <f>IFERROR(VLOOKUP(Tabla145[[#This Row],[Llave]],'[21]RV n+2 y n+3'!$B:$F,5,FALSE),0)</f>
        <v>0</v>
      </c>
      <c r="BY305" s="7">
        <f>+Tabla145[[#This Row],[Asignación mes n+3]]*Tabla145[[#This Row],[% Uti. producción]]</f>
        <v>0</v>
      </c>
      <c r="BZ305" s="3">
        <f>+Tabla145[[#This Row],[Ponderación mes n+3]]+Tabla145[[#This Row],[Saldo mes n+2]]</f>
        <v>466.79187035278642</v>
      </c>
      <c r="CA305" s="3">
        <f>+Tabla145[[#This Row],[Asignación mes n+3]]-Tabla145[[#This Row],[Ponderación mes n+3]]</f>
        <v>0</v>
      </c>
      <c r="CB305" s="3">
        <f>+Tabla145[[#This Row],[Producción disponible mes n-1]]+Tabla145[[#This Row],[Producción disponible]]</f>
        <v>7200</v>
      </c>
      <c r="CC305" s="3">
        <f>+Tabla145[[#This Row],[Saldo mes n+4]]-Tabla145[[#This Row],[ RV Producción mes n+1]]</f>
        <v>0</v>
      </c>
    </row>
    <row r="306" spans="1:81" ht="16" x14ac:dyDescent="0.2">
      <c r="A306">
        <v>2</v>
      </c>
      <c r="B306" t="str">
        <f>Tabla145[[#This Row],[Oficina]]&amp;Tabla145[[#This Row],[Material]]</f>
        <v>Agrosuper Brasil1022784</v>
      </c>
      <c r="C306" t="s">
        <v>6</v>
      </c>
      <c r="D306" t="s">
        <v>7</v>
      </c>
      <c r="E306">
        <v>1022784</v>
      </c>
      <c r="F306" t="s">
        <v>659</v>
      </c>
      <c r="G306" t="s">
        <v>76</v>
      </c>
      <c r="H306" t="s">
        <v>79</v>
      </c>
      <c r="I306" s="15">
        <f>IFERROR(VLOOKUP(Tabla145[[#This Row],[Llave]],'[7]RV Producción'!$C:$G,5,FALSE),0)</f>
        <v>0</v>
      </c>
      <c r="J306" s="3">
        <f>IFERROR(IF(Tabla145[[#This Row],[Oficina]]=$I$7,VLOOKUP(Tabla145[[#This Row],[Llave]],'[7]Shangai (Tomas)'!$A:$F,6,FALSE),VLOOKUP(Tabla145[[#This Row],[Llave]],'[7]RV plan de ventas'!$A:$E,5,FALSE)),0)</f>
        <v>0</v>
      </c>
      <c r="K306" s="17">
        <f>IFERROR(VLOOKUP(Tabla145[[#This Row],[Oficina]],[15]Ponderación!$B$2:$E$9,4,FALSE),0)</f>
        <v>0.81420840482290169</v>
      </c>
      <c r="L306" s="7">
        <f>+Tabla145[[#This Row],[ RV Producción mes n+1]]*Tabla145[[#This Row],[% Uti. producción]]</f>
        <v>0</v>
      </c>
      <c r="M306" s="7">
        <f>IFERROR(VLOOKUP(Tabla145[[#This Row],[Material]],[16]Stock!$G:$K,5,FALSE),0)</f>
        <v>0</v>
      </c>
      <c r="N306" s="15">
        <f>IFERROR(VLOOKUP(Tabla145[[#This Row],[Material]],[16]Produccion!$M:$N,2,FALSE),0)</f>
        <v>0</v>
      </c>
      <c r="O306" s="7">
        <f>IFERROR(VLOOKUP(Tabla145[[#This Row],[Llave]],'[16]TD Conf-AP'!$I:$M,4,FALSE),0)</f>
        <v>0</v>
      </c>
      <c r="P306" s="37">
        <f>SUM(Tabla145[[#This Row],[Producción disponible]],Tabla145[[#This Row],[Stock al día]],(Tabla145[[#This Row],[Por producir mes N]]*0.9))-Tabla145[[#This Row],[Producción por despachar mes N]]</f>
        <v>0</v>
      </c>
      <c r="Q306" s="15">
        <f>IFERROR(VLOOKUP(Tabla145[[#This Row],[Llave]],[17]DELAY!$A:$D,4,FALSE),0)</f>
        <v>0</v>
      </c>
      <c r="R306" s="75">
        <v>3500</v>
      </c>
      <c r="S306" s="5">
        <f t="shared" si="9"/>
        <v>0</v>
      </c>
      <c r="T306" s="76">
        <v>0</v>
      </c>
      <c r="U306" s="5">
        <f>+Tabla145[[#This Row],[Atraso a facturar]]+Tabla145[[#This Row],[Ajuste atraso]]</f>
        <v>0</v>
      </c>
      <c r="V306" s="3">
        <f>+Tabla145[[#This Row],[Total disponible]]-Tabla145[[#This Row],[Facturación atraso]]</f>
        <v>0</v>
      </c>
      <c r="W306" s="6">
        <f>IFERROR(IF(AND(V306&gt;R306,J306&gt;=R306),ROUNDDOWN((Tabla145[[#This Row],[Producción para venta nueva]])/R306,0)*R306,0),0)</f>
        <v>0</v>
      </c>
      <c r="X306" s="76"/>
      <c r="Y306" s="6">
        <f>IF(Tabla145[[#This Row],[Venta del mes]]&gt;0,Tabla145[[#This Row],[Venta del mes]]+Tabla145[[#This Row],[Ajuste venta nueva]],0)</f>
        <v>0</v>
      </c>
      <c r="Z306" s="6">
        <f>+Tabla145[[#This Row],[Producción para venta nueva]]-Tabla145[[#This Row],[Facturación Venta nueva]]</f>
        <v>0</v>
      </c>
      <c r="AA306" s="6">
        <f>IF(AND(A306=1,Tabla145[[#This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6" s="6">
        <v>0</v>
      </c>
      <c r="AC306" s="6">
        <f>IF(Tabla145[[#This Row],[Disponible stock sin venta]]&gt;0,Tabla145[[#This Row],[Disponible stock sin venta]]+Tabla145[[#This Row],[Ajuste stock sin venta]],0)</f>
        <v>0</v>
      </c>
      <c r="AD306" s="3">
        <f>IFERROR(VLOOKUP(Tabla145[[#This Row],[Llave]],'[16]TD Puerto'!$A:$D,4,FALSE),0)</f>
        <v>0</v>
      </c>
      <c r="AE306" s="3">
        <v>0</v>
      </c>
      <c r="AF306" s="3">
        <f>+Tabla145[[#This Row],[Plan Irrestricto Inicial]]</f>
        <v>0</v>
      </c>
      <c r="AG306" s="3">
        <f>+Tabla145[[#This Row],[En puerto a facturar]]</f>
        <v>0</v>
      </c>
      <c r="AH306" s="3">
        <f>+Tabla145[[#This Row],[Facturación atraso]]</f>
        <v>0</v>
      </c>
      <c r="AI306" s="3">
        <f>+Tabla145[[#This Row],[Plan Irrestricto]]-Tabla145[[#This Row],[Puerto ]]-Tabla145[[#This Row],[Atraso]]</f>
        <v>0</v>
      </c>
      <c r="AJ30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06" s="3">
        <f>+Tabla145[[#This Row],[Facturación atraso]]</f>
        <v>0</v>
      </c>
      <c r="AL306" s="3">
        <f>+Tabla145[[#This Row],[Plan Ajustado]]-Tabla145[[#This Row],[ Atraso ajustado]]-Tabla145[[#This Row],[Puerto ]]</f>
        <v>0</v>
      </c>
      <c r="AM306" s="6">
        <f>IFERROR(VLOOKUP(Tabla145[[#This Row],[Llave]],[18]!Tabla14[#All],34,FALSE),0)</f>
        <v>0</v>
      </c>
      <c r="AN306" s="6">
        <f>IFERROR(VLOOKUP(Tabla145[[#This Row],[Llave]],[18]!Tabla14[#All],35,FALSE),0)</f>
        <v>0</v>
      </c>
      <c r="AO306" s="3" t="str">
        <f>IF(Tabla145[[#This Row],[Plan Ajustado]]&gt;Tabla145[[#This Row],[En puerto a facturar]],"Si","No")</f>
        <v>No</v>
      </c>
      <c r="AP30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06" s="3">
        <f>IF(Tabla145[[#This Row],[Necesidad]]&gt;=Tabla145[[#This Row],[Stock al día]],Tabla145[[#This Row],[Stock al día]],Tabla145[[#This Row],[Necesidad]])</f>
        <v>0</v>
      </c>
      <c r="AR306" s="3">
        <f>+Tabla145[[#This Row],[Necesidad]]-Tabla145[[#This Row],[Stock Plan]]</f>
        <v>0</v>
      </c>
      <c r="AS306" s="155">
        <f>IFERROR(VLOOKUP(Tabla145[[#This Row],[Oficina]],[19]Ponderación!$B$14:$E$21,4,FALSE),"")</f>
        <v>44798</v>
      </c>
      <c r="AT30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8.0916030534351151</v>
      </c>
      <c r="AU306" s="83">
        <f>IFERROR(VLOOKUP(Tabla145[[#This Row],[Llave]],[17]DELAY!$H:$W,16,FALSE),0)</f>
        <v>0</v>
      </c>
      <c r="AV30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06" s="5">
        <f>Tabla145[[#This Row],[Ajuste precio IC]]*Tabla145[[#This Row],[Plan Ajustado]]</f>
        <v>0</v>
      </c>
      <c r="AX306" s="30">
        <f>IFERROR(VLOOKUP(Tabla145[[#This Row],[Llave]],'[13]Ultimos precios facturados'!$A:$G,7,FALSE),0)</f>
        <v>8.0916030534351151</v>
      </c>
      <c r="AY306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06" s="30">
        <f>IFERROR(VLOOKUP(Tabla145[[#This Row],[Llave]],Hoja2!B:K,10,FALSE),0)</f>
        <v>0</v>
      </c>
      <c r="BA306" s="30">
        <f>IF(Tabla145[[#This Row],[Ajuste precio IC]]="",Tabla145[[#This Row],[Precio ponderado]],Tabla145[[#This Row],[Precio ponderado]])</f>
        <v>0</v>
      </c>
      <c r="BB306" s="82"/>
      <c r="BC306" s="82" t="str">
        <f>IF(AND(Tabla145[[#This Row],[Atraso a facturar]]&gt;0,Tabla145[[#This Row],[Precio Atraso]]=0),"Revisar","OK")</f>
        <v>OK</v>
      </c>
      <c r="BD306" s="82" t="str">
        <f>IF(AND(Tabla145[[#This Row],[Venta del mes]]&gt;0,Tabla145[[#This Row],[Precio venta nueva]]=0),"Revisar","OK")</f>
        <v>OK</v>
      </c>
      <c r="BE306" s="20">
        <f>IFERROR(VLOOKUP(Tabla145[[#This Row],[Llave]],'[5]Consolidación planes'!$A:$M,9,FALSE),0)</f>
        <v>0</v>
      </c>
      <c r="BF306" s="20">
        <f>IFERROR(VLOOKUP(Tabla145[[#This Row],[Llave]],'[5]Consolidación planes'!$A:$M,10,FALSE),0)</f>
        <v>0</v>
      </c>
      <c r="BG306" s="20">
        <f>IFERROR(VLOOKUP(Tabla145[[#This Row],[Llave]],'[5]Consolidación planes'!$A:$M,11,FALSE),0)</f>
        <v>0</v>
      </c>
      <c r="BH306" s="20">
        <f>IFERROR(VLOOKUP(Tabla145[[#This Row],[Llave]],'[5]Consolidación planes'!$A:$M,12,FALSE),0)</f>
        <v>0</v>
      </c>
      <c r="BI306" s="20">
        <f>IFERROR(VLOOKUP(Tabla145[[#This Row],[Llave]],'[5]Consolidación planes'!$A:$M,13,FALSE),0)</f>
        <v>0</v>
      </c>
      <c r="BJ306" s="20">
        <f>IFERROR(VLOOKUP(Tabla145[[#This Row],[Llave]],'[13]Base ultimos planes'!$A:$M,13,FALSE),0)</f>
        <v>5175</v>
      </c>
      <c r="BK306" s="80">
        <f>IFERROR(VLOOKUP(Tabla145[[#This Row],[Llave]],'[13]Base ultimos planes'!$O:$AA,8,FALSE),0)</f>
        <v>0</v>
      </c>
      <c r="BL306" s="20">
        <f>IFERROR(VLOOKUP(Tabla145[[#This Row],[Llave]],'[13]Base ultimos planes'!$O:$AA,9,FALSE),0)</f>
        <v>0</v>
      </c>
      <c r="BM306" s="20">
        <f>IFERROR(VLOOKUP(Tabla145[[#This Row],[Llave]],'[13]Base ultimos planes'!$O:$AA,10,FALSE),0)</f>
        <v>0</v>
      </c>
      <c r="BN306" s="20">
        <f>IFERROR(VLOOKUP(Tabla145[[#This Row],[Llave]],'[13]Base ultimos planes'!$O:$AA,11,FALSE),0)</f>
        <v>0</v>
      </c>
      <c r="BO306" s="20">
        <f>IFERROR(VLOOKUP(Tabla145[[#This Row],[Llave]],'[13]Base ultimos planes'!$O:$AA,12,FALSE),0)</f>
        <v>0</v>
      </c>
      <c r="BP306" s="20">
        <f>IFERROR(VLOOKUP(Tabla145[[#This Row],[Llave]],'[13]Base ultimos planes'!$O:$AA,13,FALSE),0)</f>
        <v>54855</v>
      </c>
      <c r="BQ306" s="35"/>
      <c r="BR306" s="20">
        <f>Tabla145[[#This Row],[ RV Producción mes n+1]]*(1-Tabla145[[#This Row],[% Uti. producción]])</f>
        <v>0</v>
      </c>
      <c r="BS306" s="20">
        <f>+Tabla145[[#This Row],[Producción disponible mes n-1]]+Tabla145[[#This Row],[Saldo Volumen disponible]]</f>
        <v>0</v>
      </c>
      <c r="BT306" s="7">
        <f>IFERROR(VLOOKUP(Tabla145[[#This Row],[Llave]],'[21]RV n+2 y n+3'!$B:$F,4,FALSE),0)</f>
        <v>0</v>
      </c>
      <c r="BU306" s="7">
        <f>+Tabla145[[#This Row],[Asignación mes n+2]]*Tabla145[[#This Row],[% Uti. producción]]</f>
        <v>0</v>
      </c>
      <c r="BV306" s="7">
        <f>+Tabla145[[#This Row],[Ponderación mes n+2]]+Tabla145[[#This Row],[Saldo mes n-1]]</f>
        <v>0</v>
      </c>
      <c r="BW306" s="7">
        <f>+Tabla145[[#This Row],[Asignación mes n+2]]-Tabla145[[#This Row],[Ponderación mes n+2]]</f>
        <v>0</v>
      </c>
      <c r="BX306" s="7">
        <f>IFERROR(VLOOKUP(Tabla145[[#This Row],[Llave]],'[21]RV n+2 y n+3'!$B:$F,5,FALSE),0)</f>
        <v>0</v>
      </c>
      <c r="BY306" s="7">
        <f>+Tabla145[[#This Row],[Asignación mes n+3]]*Tabla145[[#This Row],[% Uti. producción]]</f>
        <v>0</v>
      </c>
      <c r="BZ306" s="3">
        <f>+Tabla145[[#This Row],[Ponderación mes n+3]]+Tabla145[[#This Row],[Saldo mes n+2]]</f>
        <v>0</v>
      </c>
      <c r="CA306" s="3">
        <f>+Tabla145[[#This Row],[Asignación mes n+3]]-Tabla145[[#This Row],[Ponderación mes n+3]]</f>
        <v>0</v>
      </c>
      <c r="CB306" s="3">
        <f>+Tabla145[[#This Row],[Producción disponible mes n-1]]+Tabla145[[#This Row],[Producción disponible]]</f>
        <v>0</v>
      </c>
      <c r="CC306" s="3">
        <f>+Tabla145[[#This Row],[Saldo mes n+4]]-Tabla145[[#This Row],[ RV Producción mes n+1]]</f>
        <v>0</v>
      </c>
    </row>
    <row r="307" spans="1:81" ht="16" x14ac:dyDescent="0.2">
      <c r="A307">
        <v>1</v>
      </c>
      <c r="B307" t="str">
        <f>Tabla145[[#This Row],[Oficina]]&amp;Tabla145[[#This Row],[Material]]</f>
        <v>Agro Sudamerica1022786</v>
      </c>
      <c r="C307" t="s">
        <v>6</v>
      </c>
      <c r="D307" t="s">
        <v>17</v>
      </c>
      <c r="E307">
        <v>1022786</v>
      </c>
      <c r="F307" t="s">
        <v>288</v>
      </c>
      <c r="G307" t="s">
        <v>76</v>
      </c>
      <c r="H307" t="s">
        <v>79</v>
      </c>
      <c r="I307" s="15">
        <f>IFERROR(VLOOKUP(Tabla145[[#This Row],[Llave]],'[7]RV Producción'!$C:$G,5,FALSE),0)</f>
        <v>1200</v>
      </c>
      <c r="J307" s="3">
        <f>IFERROR(IF(Tabla145[[#This Row],[Oficina]]=$I$7,VLOOKUP(Tabla145[[#This Row],[Llave]],'[7]Shangai (Tomas)'!$A:$F,6,FALSE),VLOOKUP(Tabla145[[#This Row],[Llave]],'[7]RV plan de ventas'!$A:$E,5,FALSE)),0)</f>
        <v>0</v>
      </c>
      <c r="K307" s="17">
        <f>IFERROR(VLOOKUP(Tabla145[[#This Row],[Oficina]],[15]Ponderación!$B$2:$E$9,4,FALSE),0)</f>
        <v>0.45719439678473212</v>
      </c>
      <c r="L307" s="7">
        <f>+Tabla145[[#This Row],[ RV Producción mes n+1]]*Tabla145[[#This Row],[% Uti. producción]]</f>
        <v>548.63327614167849</v>
      </c>
      <c r="M307" s="7">
        <f>IFERROR(VLOOKUP(Tabla145[[#This Row],[Material]],[16]Stock!$G:$K,5,FALSE),0)</f>
        <v>0</v>
      </c>
      <c r="N307" s="15">
        <f>IFERROR(VLOOKUP(Tabla145[[#This Row],[Material]],[16]Produccion!$M:$N,2,FALSE),0)</f>
        <v>0</v>
      </c>
      <c r="O307" s="7">
        <f>IFERROR(VLOOKUP(Tabla145[[#This Row],[Llave]],'[16]TD Conf-AP'!$I:$M,4,FALSE),0)</f>
        <v>0</v>
      </c>
      <c r="P307" s="37">
        <f>SUM(Tabla145[[#This Row],[Producción disponible]],Tabla145[[#This Row],[Stock al día]],(Tabla145[[#This Row],[Por producir mes N]]*0.9))-Tabla145[[#This Row],[Producción por despachar mes N]]</f>
        <v>548.63327614167849</v>
      </c>
      <c r="Q307" s="15">
        <f>IFERROR(VLOOKUP(Tabla145[[#This Row],[Llave]],[17]DELAY!$A:$D,4,FALSE),0)</f>
        <v>1200</v>
      </c>
      <c r="R307" s="75">
        <v>24000</v>
      </c>
      <c r="S307" s="5">
        <f t="shared" si="9"/>
        <v>0</v>
      </c>
      <c r="T307" s="76">
        <v>0</v>
      </c>
      <c r="U307" s="5">
        <f>+Tabla145[[#This Row],[Atraso a facturar]]+Tabla145[[#This Row],[Ajuste atraso]]</f>
        <v>0</v>
      </c>
      <c r="V307" s="3">
        <f>+Tabla145[[#This Row],[Total disponible]]-Tabla145[[#This Row],[Facturación atraso]]</f>
        <v>548.63327614167849</v>
      </c>
      <c r="W307" s="6">
        <f>IFERROR(IF(AND(V307&gt;R307,J307&gt;=R307),ROUNDDOWN((Tabla145[[#This Row],[Producción para venta nueva]])/R307,0)*R307,0),0)</f>
        <v>0</v>
      </c>
      <c r="X307" s="76"/>
      <c r="Y307" s="6">
        <f>IF(Tabla145[[#This Row],[Venta del mes]]&gt;0,Tabla145[[#This Row],[Venta del mes]]+Tabla145[[#This Row],[Ajuste venta nueva]],0)</f>
        <v>0</v>
      </c>
      <c r="Z307" s="6">
        <f>+Tabla145[[#This Row],[Producción para venta nueva]]-Tabla145[[#This Row],[Facturación Venta nueva]]</f>
        <v>548.63327614167849</v>
      </c>
      <c r="AA307" s="6">
        <f>IF(AND(A307=1,Tabla145[[#This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7" s="6">
        <v>0</v>
      </c>
      <c r="AC307" s="6">
        <f>IF(Tabla145[[#This Row],[Disponible stock sin venta]]&gt;0,Tabla145[[#This Row],[Disponible stock sin venta]]+Tabla145[[#This Row],[Ajuste stock sin venta]],0)</f>
        <v>0</v>
      </c>
      <c r="AD307" s="3">
        <f>IFERROR(VLOOKUP(Tabla145[[#This Row],[Llave]],'[16]TD Puerto'!$A:$D,4,FALSE),0)</f>
        <v>0</v>
      </c>
      <c r="AE307" s="3">
        <v>0</v>
      </c>
      <c r="AF307" s="3">
        <f>+Tabla145[[#This Row],[Plan Irrestricto Inicial]]</f>
        <v>0</v>
      </c>
      <c r="AG307" s="3">
        <f>+Tabla145[[#This Row],[En puerto a facturar]]</f>
        <v>0</v>
      </c>
      <c r="AH307" s="3">
        <f>+Tabla145[[#This Row],[Facturación atraso]]</f>
        <v>0</v>
      </c>
      <c r="AI307" s="3">
        <f>+Tabla145[[#This Row],[Plan Irrestricto]]-Tabla145[[#This Row],[Puerto ]]-Tabla145[[#This Row],[Atraso]]</f>
        <v>0</v>
      </c>
      <c r="AJ30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07" s="3">
        <f>+Tabla145[[#This Row],[Facturación atraso]]</f>
        <v>0</v>
      </c>
      <c r="AL307" s="3">
        <f>+Tabla145[[#This Row],[Plan Ajustado]]-Tabla145[[#This Row],[ Atraso ajustado]]-Tabla145[[#This Row],[Puerto ]]</f>
        <v>0</v>
      </c>
      <c r="AM307" s="6">
        <f>IFERROR(VLOOKUP(Tabla145[[#This Row],[Llave]],[18]!Tabla14[#All],34,FALSE),0)</f>
        <v>0</v>
      </c>
      <c r="AN307" s="6">
        <f>IFERROR(VLOOKUP(Tabla145[[#This Row],[Llave]],[18]!Tabla14[#All],35,FALSE),0)</f>
        <v>0</v>
      </c>
      <c r="AO307" s="3" t="str">
        <f>IF(Tabla145[[#This Row],[Plan Ajustado]]&gt;Tabla145[[#This Row],[En puerto a facturar]],"Si","No")</f>
        <v>No</v>
      </c>
      <c r="AP30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07" s="3">
        <f>IF(Tabla145[[#This Row],[Necesidad]]&gt;=Tabla145[[#This Row],[Stock al día]],Tabla145[[#This Row],[Stock al día]],Tabla145[[#This Row],[Necesidad]])</f>
        <v>0</v>
      </c>
      <c r="AR307" s="3">
        <f>+Tabla145[[#This Row],[Necesidad]]-Tabla145[[#This Row],[Stock Plan]]</f>
        <v>0</v>
      </c>
      <c r="AS307" s="155">
        <f>IFERROR(VLOOKUP(Tabla145[[#This Row],[Oficina]],[19]Ponderación!$B$14:$E$21,4,FALSE),"")</f>
        <v>44789</v>
      </c>
      <c r="AT30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307" s="83">
        <f>IFERROR(VLOOKUP(Tabla145[[#This Row],[Llave]],[17]DELAY!$H:$W,16,FALSE),0)</f>
        <v>13.964497041420099</v>
      </c>
      <c r="AV30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07" s="5">
        <f>Tabla145[[#This Row],[Ajuste precio IC]]*Tabla145[[#This Row],[Plan Ajustado]]</f>
        <v>0</v>
      </c>
      <c r="AX307" s="30">
        <f>IFERROR(VLOOKUP(Tabla145[[#This Row],[Llave]],'[13]Ultimos precios facturados'!$A:$G,7,FALSE),0)</f>
        <v>17.385145364891518</v>
      </c>
      <c r="AY307" s="82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07" s="30">
        <f>IFERROR(VLOOKUP(Tabla145[[#This Row],[Llave]],Hoja2!B:K,10,FALSE),0)</f>
        <v>0</v>
      </c>
      <c r="BA307" s="30">
        <f>IF(Tabla145[[#This Row],[Ajuste precio IC]]="",Tabla145[[#This Row],[Precio ponderado]],Tabla145[[#This Row],[Precio ponderado]])</f>
        <v>0</v>
      </c>
      <c r="BB307" s="82"/>
      <c r="BC307" s="82" t="str">
        <f>IF(AND(Tabla145[[#This Row],[Atraso a facturar]]&gt;0,Tabla145[[#This Row],[Precio Atraso]]=0),"Revisar","OK")</f>
        <v>OK</v>
      </c>
      <c r="BD307" s="82" t="str">
        <f>IF(AND(Tabla145[[#This Row],[Venta del mes]]&gt;0,Tabla145[[#This Row],[Precio venta nueva]]=0),"Revisar","OK")</f>
        <v>OK</v>
      </c>
      <c r="BE307" s="20">
        <f>IFERROR(VLOOKUP(Tabla145[[#This Row],[Llave]],'[5]Consolidación planes'!$A:$M,9,FALSE),0)</f>
        <v>0</v>
      </c>
      <c r="BF307" s="20">
        <f>IFERROR(VLOOKUP(Tabla145[[#This Row],[Llave]],'[5]Consolidación planes'!$A:$M,10,FALSE),0)</f>
        <v>300</v>
      </c>
      <c r="BG307" s="20">
        <f>IFERROR(VLOOKUP(Tabla145[[#This Row],[Llave]],'[5]Consolidación planes'!$A:$M,11,FALSE),0)</f>
        <v>0</v>
      </c>
      <c r="BH307" s="20">
        <f>IFERROR(VLOOKUP(Tabla145[[#This Row],[Llave]],'[5]Consolidación planes'!$A:$M,12,FALSE),0)</f>
        <v>1500</v>
      </c>
      <c r="BI307" s="20">
        <f>IFERROR(VLOOKUP(Tabla145[[#This Row],[Llave]],'[5]Consolidación planes'!$A:$M,13,FALSE),0)</f>
        <v>1500</v>
      </c>
      <c r="BJ307" s="20">
        <f>IFERROR(VLOOKUP(Tabla145[[#This Row],[Llave]],'[13]Base ultimos planes'!$A:$M,13,FALSE),0)</f>
        <v>0</v>
      </c>
      <c r="BK307" s="80">
        <f>IFERROR(VLOOKUP(Tabla145[[#This Row],[Llave]],'[13]Base ultimos planes'!$O:$AA,8,FALSE),0)</f>
        <v>0</v>
      </c>
      <c r="BL307" s="20">
        <f>IFERROR(VLOOKUP(Tabla145[[#This Row],[Llave]],'[13]Base ultimos planes'!$O:$AA,9,FALSE),0)</f>
        <v>3450</v>
      </c>
      <c r="BM307" s="20">
        <f>IFERROR(VLOOKUP(Tabla145[[#This Row],[Llave]],'[13]Base ultimos planes'!$O:$AA,10,FALSE),0)</f>
        <v>0</v>
      </c>
      <c r="BN307" s="20">
        <f>IFERROR(VLOOKUP(Tabla145[[#This Row],[Llave]],'[13]Base ultimos planes'!$O:$AA,11,FALSE),0)</f>
        <v>22965</v>
      </c>
      <c r="BO307" s="20">
        <f>IFERROR(VLOOKUP(Tabla145[[#This Row],[Llave]],'[13]Base ultimos planes'!$O:$AA,12,FALSE),0)</f>
        <v>22965</v>
      </c>
      <c r="BP307" s="20">
        <f>IFERROR(VLOOKUP(Tabla145[[#This Row],[Llave]],'[13]Base ultimos planes'!$O:$AA,13,FALSE),0)</f>
        <v>0</v>
      </c>
      <c r="BQ307" s="35"/>
      <c r="BR307" s="20">
        <f>Tabla145[[#This Row],[ RV Producción mes n+1]]*(1-Tabla145[[#This Row],[% Uti. producción]])</f>
        <v>651.36672385832151</v>
      </c>
      <c r="BS307" s="20">
        <f>+Tabla145[[#This Row],[Producción disponible mes n-1]]+Tabla145[[#This Row],[Saldo Volumen disponible]]</f>
        <v>1200</v>
      </c>
      <c r="BT307" s="7">
        <f>IFERROR(VLOOKUP(Tabla145[[#This Row],[Llave]],'[21]RV n+2 y n+3'!$B:$F,4,FALSE),0)</f>
        <v>300</v>
      </c>
      <c r="BU307" s="7">
        <f>+Tabla145[[#This Row],[Asignación mes n+2]]*Tabla145[[#This Row],[% Uti. producción]]</f>
        <v>137.15831903541962</v>
      </c>
      <c r="BV307" s="7">
        <f>+Tabla145[[#This Row],[Ponderación mes n+2]]+Tabla145[[#This Row],[Saldo mes n-1]]</f>
        <v>1337.1583190354197</v>
      </c>
      <c r="BW307" s="7">
        <f>+Tabla145[[#This Row],[Asignación mes n+2]]-Tabla145[[#This Row],[Ponderación mes n+2]]</f>
        <v>162.84168096458038</v>
      </c>
      <c r="BX307" s="7">
        <f>IFERROR(VLOOKUP(Tabla145[[#This Row],[Llave]],'[21]RV n+2 y n+3'!$B:$F,5,FALSE),0)</f>
        <v>312.18388000000004</v>
      </c>
      <c r="BY307" s="7">
        <f>+Tabla145[[#This Row],[Asignación mes n+3]]*Tabla145[[#This Row],[% Uti. producción]]</f>
        <v>142.72872070251722</v>
      </c>
      <c r="BZ307" s="3">
        <f>+Tabla145[[#This Row],[Ponderación mes n+3]]+Tabla145[[#This Row],[Saldo mes n+2]]</f>
        <v>305.5704016670976</v>
      </c>
      <c r="CA307" s="3">
        <f>+Tabla145[[#This Row],[Asignación mes n+3]]-Tabla145[[#This Row],[Ponderación mes n+3]]</f>
        <v>169.45515929748282</v>
      </c>
      <c r="CB307" s="3">
        <f>+Tabla145[[#This Row],[Producción disponible mes n-1]]+Tabla145[[#This Row],[Producción disponible]]</f>
        <v>1200</v>
      </c>
      <c r="CC307" s="3">
        <f>+Tabla145[[#This Row],[Saldo mes n+4]]-Tabla145[[#This Row],[ RV Producción mes n+1]]</f>
        <v>0</v>
      </c>
    </row>
    <row r="308" spans="1:81" ht="16" x14ac:dyDescent="0.2">
      <c r="A308">
        <v>1</v>
      </c>
      <c r="B308" t="str">
        <f>Tabla145[[#This Row],[Oficina]]&amp;Tabla145[[#This Row],[Material]]</f>
        <v>Agro Sudamerica1023295</v>
      </c>
      <c r="C308" t="s">
        <v>6</v>
      </c>
      <c r="D308" t="s">
        <v>17</v>
      </c>
      <c r="E308">
        <v>1023295</v>
      </c>
      <c r="F308" t="s">
        <v>289</v>
      </c>
      <c r="G308" t="s">
        <v>76</v>
      </c>
      <c r="H308" t="s">
        <v>79</v>
      </c>
      <c r="I308" s="15">
        <f>IFERROR(VLOOKUP(Tabla145[[#This Row],[Llave]],'[7]RV Producción'!$C:$G,5,FALSE),0)</f>
        <v>1000</v>
      </c>
      <c r="J308" s="3">
        <f>IFERROR(IF(Tabla145[[#This Row],[Oficina]]=$I$7,VLOOKUP(Tabla145[[#This Row],[Llave]],'[7]Shangai (Tomas)'!$A:$F,6,FALSE),VLOOKUP(Tabla145[[#This Row],[Llave]],'[7]RV plan de ventas'!$A:$E,5,FALSE)),0)</f>
        <v>1000</v>
      </c>
      <c r="K308" s="17">
        <f>IFERROR(VLOOKUP(Tabla145[[#This Row],[Oficina]],[15]Ponderación!$B$2:$E$9,4,FALSE),0)</f>
        <v>0.45719439678473212</v>
      </c>
      <c r="L308" s="7">
        <f>+Tabla145[[#This Row],[ RV Producción mes n+1]]*Tabla145[[#This Row],[% Uti. producción]]</f>
        <v>457.19439678473213</v>
      </c>
      <c r="M308" s="7">
        <f>IFERROR(VLOOKUP(Tabla145[[#This Row],[Material]],[16]Stock!$G:$K,5,FALSE),0)</f>
        <v>2282</v>
      </c>
      <c r="N308" s="15">
        <f>IFERROR(VLOOKUP(Tabla145[[#This Row],[Material]],[16]Produccion!$M:$N,2,FALSE),0)</f>
        <v>0</v>
      </c>
      <c r="O308" s="7">
        <f>IFERROR(VLOOKUP(Tabla145[[#This Row],[Llave]],'[16]TD Conf-AP'!$I:$M,4,FALSE),0)</f>
        <v>0</v>
      </c>
      <c r="P308" s="37">
        <f>SUM(Tabla145[[#This Row],[Producción disponible]],Tabla145[[#This Row],[Stock al día]],(Tabla145[[#This Row],[Por producir mes N]]*0.9))-Tabla145[[#This Row],[Producción por despachar mes N]]</f>
        <v>2739.1943967847319</v>
      </c>
      <c r="Q308" s="15">
        <f>IFERROR(VLOOKUP(Tabla145[[#This Row],[Llave]],[17]DELAY!$A:$D,4,FALSE),0)</f>
        <v>450</v>
      </c>
      <c r="R308" s="75">
        <v>24000</v>
      </c>
      <c r="S308" s="5">
        <f t="shared" si="9"/>
        <v>450</v>
      </c>
      <c r="T308" s="76">
        <v>0</v>
      </c>
      <c r="U308" s="5">
        <f>+Tabla145[[#This Row],[Atraso a facturar]]+Tabla145[[#This Row],[Ajuste atraso]]</f>
        <v>450</v>
      </c>
      <c r="V308" s="3">
        <f>+Tabla145[[#This Row],[Total disponible]]-Tabla145[[#This Row],[Facturación atraso]]</f>
        <v>2289.1943967847319</v>
      </c>
      <c r="W308" s="6">
        <f>IFERROR(IF(AND(V308&gt;R308,J308&gt;=R308),ROUNDDOWN((Tabla145[[#This Row],[Producción para venta nueva]])/R308,0)*R308,0),0)</f>
        <v>0</v>
      </c>
      <c r="X308" s="76"/>
      <c r="Y308" s="6">
        <f>IF(Tabla145[[#This Row],[Venta del mes]]&gt;0,Tabla145[[#This Row],[Venta del mes]]+Tabla145[[#This Row],[Ajuste venta nueva]],0)</f>
        <v>0</v>
      </c>
      <c r="Z308" s="6">
        <f>+Tabla145[[#This Row],[Producción para venta nueva]]-Tabla145[[#This Row],[Facturación Venta nueva]]</f>
        <v>2289.1943967847319</v>
      </c>
      <c r="AA308" s="6">
        <f>IF(AND(A308=1,Tabla145[[#This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8" s="6">
        <v>0</v>
      </c>
      <c r="AC308" s="6">
        <f>IF(Tabla145[[#This Row],[Disponible stock sin venta]]&gt;0,Tabla145[[#This Row],[Disponible stock sin venta]]+Tabla145[[#This Row],[Ajuste stock sin venta]],0)</f>
        <v>0</v>
      </c>
      <c r="AD308" s="3">
        <f>IFERROR(VLOOKUP(Tabla145[[#This Row],[Llave]],'[16]TD Puerto'!$A:$D,4,FALSE),0)</f>
        <v>0</v>
      </c>
      <c r="AE308" s="3">
        <v>450</v>
      </c>
      <c r="AF308" s="3">
        <f>+Tabla145[[#This Row],[Plan Irrestricto Inicial]]</f>
        <v>450</v>
      </c>
      <c r="AG308" s="3">
        <f>+Tabla145[[#This Row],[En puerto a facturar]]</f>
        <v>0</v>
      </c>
      <c r="AH308" s="3">
        <f>+Tabla145[[#This Row],[Facturación atraso]]</f>
        <v>450</v>
      </c>
      <c r="AI308" s="3">
        <f>+Tabla145[[#This Row],[Plan Irrestricto]]-Tabla145[[#This Row],[Puerto ]]-Tabla145[[#This Row],[Atraso]]</f>
        <v>0</v>
      </c>
      <c r="AJ308" s="3">
        <f>IF(Tabla145[[#This Row],[Plan Irrestricto]]&gt;0,SUM(Tabla145[[#This Row],[Facturación atraso]],Tabla145[[#This Row],[Facturación Venta nueva]],Tabla145[[#This Row],[Facturación stock]],Tabla145[[#This Row],[En puerto a facturar]]),0)</f>
        <v>450</v>
      </c>
      <c r="AK308" s="3">
        <f>+Tabla145[[#This Row],[Facturación atraso]]</f>
        <v>450</v>
      </c>
      <c r="AL308" s="3">
        <f>+Tabla145[[#This Row],[Plan Ajustado]]-Tabla145[[#This Row],[ Atraso ajustado]]-Tabla145[[#This Row],[Puerto ]]</f>
        <v>0</v>
      </c>
      <c r="AM308" s="6">
        <f>IFERROR(VLOOKUP(Tabla145[[#This Row],[Llave]],[18]!Tabla14[#All],34,FALSE),0)</f>
        <v>0</v>
      </c>
      <c r="AN308" s="6">
        <f>IFERROR(VLOOKUP(Tabla145[[#This Row],[Llave]],[18]!Tabla14[#All],35,FALSE),0)</f>
        <v>0</v>
      </c>
      <c r="AO308" s="3" t="str">
        <f>IF(Tabla145[[#This Row],[Plan Ajustado]]&gt;Tabla145[[#This Row],[En puerto a facturar]],"Si","No")</f>
        <v>Si</v>
      </c>
      <c r="AP308" s="3">
        <f>IF(AND(Tabla145[[#This Row],[Plan Ajustado]]&gt;0,Tabla145[[#This Row],[Plan Ajustado]]&gt;Tabla145[[#This Row],[En puerto a facturar]]),(Tabla145[[#This Row],[Plan Ajustado]]-Tabla145[[#This Row],[En puerto a facturar]]),0)</f>
        <v>450</v>
      </c>
      <c r="AQ308" s="3">
        <f>IF(Tabla145[[#This Row],[Necesidad]]&gt;=Tabla145[[#This Row],[Stock al día]],Tabla145[[#This Row],[Stock al día]],Tabla145[[#This Row],[Necesidad]])</f>
        <v>450</v>
      </c>
      <c r="AR308" s="3">
        <f>+Tabla145[[#This Row],[Necesidad]]-Tabla145[[#This Row],[Stock Plan]]</f>
        <v>0</v>
      </c>
      <c r="AS308" s="155">
        <f>IFERROR(VLOOKUP(Tabla145[[#This Row],[Oficina]],[19]Ponderación!$B$14:$E$21,4,FALSE),"")</f>
        <v>44789</v>
      </c>
      <c r="AT30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12.287000000000001</v>
      </c>
      <c r="AU308" s="83">
        <f>IFERROR(VLOOKUP(Tabla145[[#This Row],[Llave]],[17]DELAY!$H:$W,16,FALSE),0)</f>
        <v>14.556213017751501</v>
      </c>
      <c r="AV30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14.556213017751501</v>
      </c>
      <c r="AW308" s="5">
        <f>Tabla145[[#This Row],[Ajuste precio IC]]*Tabla145[[#This Row],[Plan Ajustado]]</f>
        <v>5484.1500000000005</v>
      </c>
      <c r="AX308" s="30">
        <f>IFERROR(VLOOKUP(Tabla145[[#This Row],[Llave]],'[13]Ultimos precios facturados'!$A:$G,7,FALSE),0)</f>
        <v>14.505494505494505</v>
      </c>
      <c r="AY308" s="82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3.49650349650501E-3</v>
      </c>
      <c r="AZ308" s="30">
        <f>IFERROR(VLOOKUP(Tabla145[[#This Row],[Llave]],Hoja2!B:K,10,FALSE),0)</f>
        <v>12.187000000000001</v>
      </c>
      <c r="BA308" s="30">
        <f>IF(Tabla145[[#This Row],[Ajuste precio IC]]="",Tabla145[[#This Row],[Precio ponderado]],Tabla145[[#This Row],[Precio ponderado]])</f>
        <v>14.556213017751501</v>
      </c>
      <c r="BB308" s="82"/>
      <c r="BC308" s="82" t="str">
        <f>IF(AND(Tabla145[[#This Row],[Atraso a facturar]]&gt;0,Tabla145[[#This Row],[Precio Atraso]]=0),"Revisar","OK")</f>
        <v>OK</v>
      </c>
      <c r="BD308" s="82" t="str">
        <f>IF(AND(Tabla145[[#This Row],[Venta del mes]]&gt;0,Tabla145[[#This Row],[Precio venta nueva]]=0),"Revisar","OK")</f>
        <v>OK</v>
      </c>
      <c r="BE308" s="20">
        <f>IFERROR(VLOOKUP(Tabla145[[#This Row],[Llave]],'[5]Consolidación planes'!$A:$M,9,FALSE),0)</f>
        <v>0</v>
      </c>
      <c r="BF308" s="20">
        <f>IFERROR(VLOOKUP(Tabla145[[#This Row],[Llave]],'[5]Consolidación planes'!$A:$M,10,FALSE),0)</f>
        <v>2700</v>
      </c>
      <c r="BG308" s="20">
        <f>IFERROR(VLOOKUP(Tabla145[[#This Row],[Llave]],'[5]Consolidación planes'!$A:$M,11,FALSE),0)</f>
        <v>0</v>
      </c>
      <c r="BH308" s="20">
        <f>IFERROR(VLOOKUP(Tabla145[[#This Row],[Llave]],'[5]Consolidación planes'!$A:$M,12,FALSE),0)</f>
        <v>0</v>
      </c>
      <c r="BI308" s="20">
        <f>IFERROR(VLOOKUP(Tabla145[[#This Row],[Llave]],'[5]Consolidación planes'!$A:$M,13,FALSE),0)</f>
        <v>0</v>
      </c>
      <c r="BJ308" s="20">
        <f>IFERROR(VLOOKUP(Tabla145[[#This Row],[Llave]],'[13]Base ultimos planes'!$A:$M,13,FALSE),0)</f>
        <v>0</v>
      </c>
      <c r="BK308" s="80">
        <f>IFERROR(VLOOKUP(Tabla145[[#This Row],[Llave]],'[13]Base ultimos planes'!$O:$AA,8,FALSE),0)</f>
        <v>0</v>
      </c>
      <c r="BL308" s="20">
        <f>IFERROR(VLOOKUP(Tabla145[[#This Row],[Llave]],'[13]Base ultimos planes'!$O:$AA,9,FALSE),0)</f>
        <v>33075</v>
      </c>
      <c r="BM308" s="20">
        <f>IFERROR(VLOOKUP(Tabla145[[#This Row],[Llave]],'[13]Base ultimos planes'!$O:$AA,10,FALSE),0)</f>
        <v>0</v>
      </c>
      <c r="BN308" s="20">
        <f>IFERROR(VLOOKUP(Tabla145[[#This Row],[Llave]],'[13]Base ultimos planes'!$O:$AA,11,FALSE),0)</f>
        <v>0</v>
      </c>
      <c r="BO308" s="20">
        <f>IFERROR(VLOOKUP(Tabla145[[#This Row],[Llave]],'[13]Base ultimos planes'!$O:$AA,12,FALSE),0)</f>
        <v>0</v>
      </c>
      <c r="BP308" s="20">
        <f>IFERROR(VLOOKUP(Tabla145[[#This Row],[Llave]],'[13]Base ultimos planes'!$O:$AA,13,FALSE),0)</f>
        <v>0</v>
      </c>
      <c r="BQ308" s="35"/>
      <c r="BR308" s="20">
        <f>Tabla145[[#This Row],[ RV Producción mes n+1]]*(1-Tabla145[[#This Row],[% Uti. producción]])</f>
        <v>542.80560321526798</v>
      </c>
      <c r="BS308" s="20">
        <f>+Tabla145[[#This Row],[Producción disponible mes n-1]]+Tabla145[[#This Row],[Saldo Volumen disponible]]</f>
        <v>2832</v>
      </c>
      <c r="BT308" s="7">
        <f>IFERROR(VLOOKUP(Tabla145[[#This Row],[Llave]],'[21]RV n+2 y n+3'!$B:$F,4,FALSE),0)</f>
        <v>1000</v>
      </c>
      <c r="BU308" s="7">
        <f>+Tabla145[[#This Row],[Asignación mes n+2]]*Tabla145[[#This Row],[% Uti. producción]]</f>
        <v>457.19439678473213</v>
      </c>
      <c r="BV308" s="7">
        <f>+Tabla145[[#This Row],[Ponderación mes n+2]]+Tabla145[[#This Row],[Saldo mes n-1]]</f>
        <v>3289.1943967847319</v>
      </c>
      <c r="BW308" s="7">
        <f>+Tabla145[[#This Row],[Asignación mes n+2]]-Tabla145[[#This Row],[Ponderación mes n+2]]</f>
        <v>542.80560321526787</v>
      </c>
      <c r="BX308" s="7">
        <f>IFERROR(VLOOKUP(Tabla145[[#This Row],[Llave]],'[21]RV n+2 y n+3'!$B:$F,5,FALSE),0)</f>
        <v>1040.6128999999999</v>
      </c>
      <c r="BY308" s="7">
        <f>+Tabla145[[#This Row],[Asignación mes n+3]]*Tabla145[[#This Row],[% Uti. producción]]</f>
        <v>475.76238710191069</v>
      </c>
      <c r="BZ308" s="3">
        <f>+Tabla145[[#This Row],[Ponderación mes n+3]]+Tabla145[[#This Row],[Saldo mes n+2]]</f>
        <v>1018.5679903171786</v>
      </c>
      <c r="CA308" s="3">
        <f>+Tabla145[[#This Row],[Asignación mes n+3]]-Tabla145[[#This Row],[Ponderación mes n+3]]</f>
        <v>564.85051289808916</v>
      </c>
      <c r="CB308" s="3">
        <f>+Tabla145[[#This Row],[Producción disponible mes n-1]]+Tabla145[[#This Row],[Producción disponible]]</f>
        <v>1000.0000000000001</v>
      </c>
      <c r="CC308" s="3">
        <f>+Tabla145[[#This Row],[Saldo mes n+4]]-Tabla145[[#This Row],[ RV Producción mes n+1]]</f>
        <v>0</v>
      </c>
    </row>
    <row r="309" spans="1:81" ht="16" x14ac:dyDescent="0.2">
      <c r="A309">
        <v>1</v>
      </c>
      <c r="B309" t="str">
        <f>Tabla145[[#This Row],[Oficina]]&amp;Tabla145[[#This Row],[Material]]</f>
        <v>Agro Sudamerica1012782</v>
      </c>
      <c r="C309" t="s">
        <v>227</v>
      </c>
      <c r="D309" t="s">
        <v>17</v>
      </c>
      <c r="E309">
        <v>1012782</v>
      </c>
      <c r="F309" t="s">
        <v>705</v>
      </c>
      <c r="G309" t="s">
        <v>76</v>
      </c>
      <c r="H309" t="s">
        <v>257</v>
      </c>
      <c r="I309" s="15">
        <f>IFERROR(VLOOKUP(Tabla145[[#This Row],[Llave]],'[7]RV Producción'!$C:$G,5,FALSE),0)</f>
        <v>0</v>
      </c>
      <c r="J309" s="3">
        <f>IFERROR(IF(Tabla145[[#This Row],[Oficina]]=$I$7,VLOOKUP(Tabla145[[#This Row],[Llave]],'[7]Shangai (Tomas)'!$A:$F,6,FALSE),VLOOKUP(Tabla145[[#This Row],[Llave]],'[7]RV plan de ventas'!$A:$E,5,FALSE)),0)</f>
        <v>0</v>
      </c>
      <c r="K309" s="17">
        <f>IFERROR(VLOOKUP(Tabla145[[#This Row],[Oficina]],[15]Ponderación!$B$2:$E$9,4,FALSE),0)</f>
        <v>0.45719439678473212</v>
      </c>
      <c r="L309" s="7">
        <f>+Tabla145[[#This Row],[ RV Producción mes n+1]]*Tabla145[[#This Row],[% Uti. producción]]</f>
        <v>0</v>
      </c>
      <c r="M309" s="7">
        <f>IFERROR(VLOOKUP(Tabla145[[#This Row],[Material]],[16]Stock!$G:$K,5,FALSE),0)</f>
        <v>0</v>
      </c>
      <c r="N309" s="15">
        <f>IFERROR(VLOOKUP(Tabla145[[#This Row],[Material]],[16]Produccion!$M:$N,2,FALSE),0)</f>
        <v>0</v>
      </c>
      <c r="O309" s="7">
        <f>IFERROR(VLOOKUP(Tabla145[[#This Row],[Llave]],'[16]TD Conf-AP'!$I:$M,4,FALSE),0)</f>
        <v>0</v>
      </c>
      <c r="P309" s="37">
        <f>SUM(Tabla145[[#This Row],[Producción disponible]],Tabla145[[#This Row],[Stock al día]],(Tabla145[[#This Row],[Por producir mes N]]*0.9))-Tabla145[[#This Row],[Producción por despachar mes N]]</f>
        <v>0</v>
      </c>
      <c r="Q309" s="15">
        <f>IFERROR(VLOOKUP(Tabla145[[#This Row],[Llave]],[17]DELAY!$A:$D,4,FALSE),0)</f>
        <v>0</v>
      </c>
      <c r="R309" s="75">
        <v>24000</v>
      </c>
      <c r="S309" s="98">
        <f>IF(AND(P309&gt;Q309,Q309&gt;0),Q309,IF(AND(P309&lt;Q309,Q309&gt;0),(ROUNDDOWN(P309/R309,0)*R309),0))</f>
        <v>0</v>
      </c>
      <c r="T309" s="76">
        <v>0</v>
      </c>
      <c r="U309" s="98">
        <f>+Tabla145[[#This Row],[Atraso a facturar]]+Tabla145[[#This Row],[Ajuste atraso]]</f>
        <v>0</v>
      </c>
      <c r="V309" s="3">
        <f>+Tabla145[[#This Row],[Total disponible]]-Tabla145[[#This Row],[Facturación atraso]]</f>
        <v>0</v>
      </c>
      <c r="W309" s="6">
        <f>IFERROR(IF(AND(V309&gt;R309,J309&gt;=R309),ROUNDDOWN((Tabla145[[#This Row],[Producción para venta nueva]])/R309,0)*R309,0),0)</f>
        <v>0</v>
      </c>
      <c r="X309" s="76"/>
      <c r="Y309" s="6">
        <f>IF(Tabla145[[#This Row],[Venta del mes]]&gt;0,Tabla145[[#This Row],[Venta del mes]]+Tabla145[[#This Row],[Ajuste venta nueva]],0)</f>
        <v>0</v>
      </c>
      <c r="Z309" s="6">
        <f>+Tabla145[[#This Row],[Producción para venta nueva]]-Tabla145[[#This Row],[Facturación Venta nueva]]</f>
        <v>0</v>
      </c>
      <c r="AA309" s="6">
        <f>IF(AND(A309=1,Tabla145[[#This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09" s="6">
        <v>0</v>
      </c>
      <c r="AC309" s="6">
        <f>IF(Tabla145[[#This Row],[Disponible stock sin venta]]&gt;0,Tabla145[[#This Row],[Disponible stock sin venta]]+Tabla145[[#This Row],[Ajuste stock sin venta]],0)</f>
        <v>0</v>
      </c>
      <c r="AD309" s="3">
        <f>IFERROR(VLOOKUP(Tabla145[[#This Row],[Llave]],'[16]TD Puerto'!$A:$D,4,FALSE),0)</f>
        <v>0</v>
      </c>
      <c r="AE309" s="3">
        <v>0</v>
      </c>
      <c r="AF309" s="3">
        <f>+Tabla145[[#This Row],[Plan Irrestricto Inicial]]</f>
        <v>0</v>
      </c>
      <c r="AG309" s="3">
        <f>+Tabla145[[#This Row],[En puerto a facturar]]</f>
        <v>0</v>
      </c>
      <c r="AH309" s="3">
        <f>+Tabla145[[#This Row],[Facturación atraso]]</f>
        <v>0</v>
      </c>
      <c r="AI309" s="3">
        <f>+Tabla145[[#This Row],[Plan Irrestricto]]-Tabla145[[#This Row],[Puerto ]]-Tabla145[[#This Row],[Atraso]]</f>
        <v>0</v>
      </c>
      <c r="AJ309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09" s="3">
        <f>+Tabla145[[#This Row],[Facturación atraso]]</f>
        <v>0</v>
      </c>
      <c r="AL309" s="3">
        <f>+Tabla145[[#This Row],[Plan Ajustado]]-Tabla145[[#This Row],[ Atraso ajustado]]-Tabla145[[#This Row],[Puerto ]]</f>
        <v>0</v>
      </c>
      <c r="AM309" s="6">
        <f>IFERROR(VLOOKUP(Tabla145[[#This Row],[Llave]],[18]!Tabla14[#All],34,FALSE),0)</f>
        <v>0</v>
      </c>
      <c r="AN309" s="6">
        <f>IFERROR(VLOOKUP(Tabla145[[#This Row],[Llave]],[18]!Tabla14[#All],35,FALSE),0)</f>
        <v>0</v>
      </c>
      <c r="AO309" s="3" t="str">
        <f>IF(Tabla145[[#This Row],[Plan Ajustado]]&gt;Tabla145[[#This Row],[En puerto a facturar]],"Si","No")</f>
        <v>No</v>
      </c>
      <c r="AP309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09" s="3">
        <f>IF(Tabla145[[#This Row],[Necesidad]]&gt;=Tabla145[[#This Row],[Stock al día]],Tabla145[[#This Row],[Stock al día]],Tabla145[[#This Row],[Necesidad]])</f>
        <v>0</v>
      </c>
      <c r="AR309" s="3">
        <f>+Tabla145[[#This Row],[Necesidad]]-Tabla145[[#This Row],[Stock Plan]]</f>
        <v>0</v>
      </c>
      <c r="AS309" s="155">
        <f>IFERROR(VLOOKUP(Tabla145[[#This Row],[Oficina]],[19]Ponderación!$B$14:$E$21,4,FALSE),"")</f>
        <v>44789</v>
      </c>
      <c r="AT309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0.4753130482769119</v>
      </c>
      <c r="AU309" s="83">
        <f>IFERROR(VLOOKUP(Tabla145[[#This Row],[Llave]],[17]DELAY!$H:$W,16,FALSE),0)</f>
        <v>0</v>
      </c>
      <c r="AV30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09" s="5">
        <f>Tabla145[[#This Row],[Ajuste precio IC]]*Tabla145[[#This Row],[Plan Ajustado]]</f>
        <v>0</v>
      </c>
      <c r="AX309" s="30">
        <f>IFERROR(VLOOKUP(Tabla145[[#This Row],[Llave]],'[13]Ultimos precios facturados'!$A:$G,7,FALSE),0)</f>
        <v>0.4753130482769119</v>
      </c>
      <c r="AY309" s="99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09" s="30">
        <f>IFERROR(VLOOKUP(Tabla145[[#This Row],[Llave]],Hoja2!B:K,10,FALSE),0)</f>
        <v>0</v>
      </c>
      <c r="BA309" s="30">
        <f>IF(Tabla145[[#This Row],[Ajuste precio IC]]="",Tabla145[[#This Row],[Precio ponderado]],Tabla145[[#This Row],[Precio ponderado]])</f>
        <v>0</v>
      </c>
      <c r="BB309" s="99"/>
      <c r="BC309" s="99" t="str">
        <f>IF(AND(Tabla145[[#This Row],[Atraso a facturar]]&gt;0,Tabla145[[#This Row],[Precio Atraso]]=0),"Revisar","OK")</f>
        <v>OK</v>
      </c>
      <c r="BD309" s="99" t="str">
        <f>IF(AND(Tabla145[[#This Row],[Venta del mes]]&gt;0,Tabla145[[#This Row],[Precio venta nueva]]=0),"Revisar","OK")</f>
        <v>OK</v>
      </c>
      <c r="BE309" s="20">
        <f>IFERROR(VLOOKUP(Tabla145[[#This Row],[Llave]],'[5]Consolidación planes'!$A:$M,9,FALSE),0)</f>
        <v>0</v>
      </c>
      <c r="BF309" s="20">
        <f>IFERROR(VLOOKUP(Tabla145[[#This Row],[Llave]],'[5]Consolidación planes'!$A:$M,10,FALSE),0)</f>
        <v>0</v>
      </c>
      <c r="BG309" s="20">
        <f>IFERROR(VLOOKUP(Tabla145[[#This Row],[Llave]],'[5]Consolidación planes'!$A:$M,11,FALSE),0)</f>
        <v>0</v>
      </c>
      <c r="BH309" s="20">
        <f>IFERROR(VLOOKUP(Tabla145[[#This Row],[Llave]],'[5]Consolidación planes'!$A:$M,12,FALSE),0)</f>
        <v>0</v>
      </c>
      <c r="BI309" s="20">
        <f>IFERROR(VLOOKUP(Tabla145[[#This Row],[Llave]],'[5]Consolidación planes'!$A:$M,13,FALSE),0)</f>
        <v>0</v>
      </c>
      <c r="BJ309" s="35">
        <f>IFERROR(VLOOKUP(Tabla145[[#This Row],[Llave]],'[13]Base ultimos planes'!$A:$M,13,FALSE),0)</f>
        <v>0</v>
      </c>
      <c r="BK309" s="80">
        <f>IFERROR(VLOOKUP(Tabla145[[#This Row],[Llave]],'[13]Base ultimos planes'!$O:$AA,8,FALSE),0)</f>
        <v>0</v>
      </c>
      <c r="BL309" s="100">
        <f>IFERROR(VLOOKUP(Tabla145[[#This Row],[Llave]],'[13]Base ultimos planes'!$O:$AA,9,FALSE),0)</f>
        <v>0</v>
      </c>
      <c r="BM309" s="100">
        <f>IFERROR(VLOOKUP(Tabla145[[#This Row],[Llave]],'[13]Base ultimos planes'!$O:$AA,10,FALSE),0)</f>
        <v>0</v>
      </c>
      <c r="BN309" s="100">
        <f>IFERROR(VLOOKUP(Tabla145[[#This Row],[Llave]],'[13]Base ultimos planes'!$O:$AA,11,FALSE),0)</f>
        <v>0</v>
      </c>
      <c r="BO309" s="100">
        <f>IFERROR(VLOOKUP(Tabla145[[#This Row],[Llave]],'[13]Base ultimos planes'!$O:$AA,12,FALSE),0)</f>
        <v>0</v>
      </c>
      <c r="BP309" s="100">
        <f>IFERROR(VLOOKUP(Tabla145[[#This Row],[Llave]],'[13]Base ultimos planes'!$O:$AA,13,FALSE),0)</f>
        <v>0</v>
      </c>
      <c r="BQ309" s="35"/>
      <c r="BR309" s="20">
        <f>Tabla145[[#This Row],[ RV Producción mes n+1]]*(1-Tabla145[[#This Row],[% Uti. producción]])</f>
        <v>0</v>
      </c>
      <c r="BS309" s="20">
        <f>+Tabla145[[#This Row],[Producción disponible mes n-1]]+Tabla145[[#This Row],[Saldo Volumen disponible]]</f>
        <v>0</v>
      </c>
      <c r="BT309" s="7">
        <f>IFERROR(VLOOKUP(Tabla145[[#This Row],[Llave]],'[21]RV n+2 y n+3'!$B:$F,4,FALSE),0)</f>
        <v>0</v>
      </c>
      <c r="BU309" s="7">
        <f>+Tabla145[[#This Row],[Asignación mes n+2]]*Tabla145[[#This Row],[% Uti. producción]]</f>
        <v>0</v>
      </c>
      <c r="BV309" s="7">
        <f>+Tabla145[[#This Row],[Ponderación mes n+2]]+Tabla145[[#This Row],[Saldo mes n-1]]</f>
        <v>0</v>
      </c>
      <c r="BW309" s="7">
        <f>+Tabla145[[#This Row],[Asignación mes n+2]]-Tabla145[[#This Row],[Ponderación mes n+2]]</f>
        <v>0</v>
      </c>
      <c r="BX309" s="7">
        <f>IFERROR(VLOOKUP(Tabla145[[#This Row],[Llave]],'[21]RV n+2 y n+3'!$B:$F,5,FALSE),0)</f>
        <v>0</v>
      </c>
      <c r="BY309" s="7">
        <f>+Tabla145[[#This Row],[Asignación mes n+3]]*Tabla145[[#This Row],[% Uti. producción]]</f>
        <v>0</v>
      </c>
      <c r="BZ309" s="3">
        <f>+Tabla145[[#This Row],[Ponderación mes n+3]]+Tabla145[[#This Row],[Saldo mes n+2]]</f>
        <v>0</v>
      </c>
      <c r="CA309" s="3">
        <f>+Tabla145[[#This Row],[Asignación mes n+3]]-Tabla145[[#This Row],[Ponderación mes n+3]]</f>
        <v>0</v>
      </c>
      <c r="CB309" s="3">
        <f>+Tabla145[[#This Row],[Producción disponible mes n-1]]+Tabla145[[#This Row],[Producción disponible]]</f>
        <v>0</v>
      </c>
      <c r="CC309" s="3">
        <f>+Tabla145[[#This Row],[Saldo mes n+4]]-Tabla145[[#This Row],[ RV Producción mes n+1]]</f>
        <v>0</v>
      </c>
    </row>
    <row r="310" spans="1:81" ht="16" x14ac:dyDescent="0.2">
      <c r="A310">
        <v>2</v>
      </c>
      <c r="B310" t="str">
        <f>Tabla145[[#This Row],[Oficina]]&amp;Tabla145[[#This Row],[Material]]</f>
        <v>Agro Sudamerica1021864</v>
      </c>
      <c r="C310" t="s">
        <v>6</v>
      </c>
      <c r="D310" t="s">
        <v>17</v>
      </c>
      <c r="E310">
        <v>1021864</v>
      </c>
      <c r="F310" t="s">
        <v>10</v>
      </c>
      <c r="G310" t="s">
        <v>8</v>
      </c>
      <c r="H310" t="s">
        <v>9</v>
      </c>
      <c r="I310" s="15">
        <f>IFERROR(VLOOKUP(Tabla145[[#This Row],[Llave]],'[7]RV Producción'!$C:$G,5,FALSE),0)</f>
        <v>0</v>
      </c>
      <c r="J310" s="3">
        <f>IFERROR(IF(Tabla145[[#This Row],[Oficina]]=$I$7,VLOOKUP(Tabla145[[#This Row],[Llave]],'[7]Shangai (Tomas)'!$A:$F,6,FALSE),VLOOKUP(Tabla145[[#This Row],[Llave]],'[7]RV plan de ventas'!$A:$E,5,FALSE)),0)</f>
        <v>0</v>
      </c>
      <c r="K310" s="17">
        <f>IFERROR(VLOOKUP(Tabla145[[#This Row],[Oficina]],[15]Ponderación!$B$2:$E$9,4,FALSE),0)</f>
        <v>0.45719439678473212</v>
      </c>
      <c r="L310" s="7">
        <f>+Tabla145[[#This Row],[ RV Producción mes n+1]]*Tabla145[[#This Row],[% Uti. producción]]</f>
        <v>0</v>
      </c>
      <c r="M310" s="7">
        <f>IFERROR(VLOOKUP(Tabla145[[#This Row],[Material]],[16]Stock!$G:$K,5,FALSE),0)</f>
        <v>47845</v>
      </c>
      <c r="N310" s="15">
        <f>IFERROR(VLOOKUP(Tabla145[[#This Row],[Material]],[16]Produccion!$M:$N,2,FALSE),0)</f>
        <v>0</v>
      </c>
      <c r="O310" s="7">
        <f>IFERROR(VLOOKUP(Tabla145[[#This Row],[Llave]],'[16]TD Conf-AP'!$I:$M,4,FALSE),0)</f>
        <v>0</v>
      </c>
      <c r="P310" s="37">
        <f>SUM(Tabla145[[#This Row],[Producción disponible]],Tabla145[[#This Row],[Stock al día]],(Tabla145[[#This Row],[Por producir mes N]]*0.9))-Tabla145[[#This Row],[Producción por despachar mes N]]</f>
        <v>47845</v>
      </c>
      <c r="Q310" s="15">
        <f>IFERROR(VLOOKUP(Tabla145[[#This Row],[Llave]],[17]DELAY!$A:$D,4,FALSE),0)</f>
        <v>21961</v>
      </c>
      <c r="R310" s="75">
        <v>24000</v>
      </c>
      <c r="S310" s="98">
        <f>IF(AND(P310&gt;Q310,Q310&gt;0),Q310,IF(AND(P310&lt;Q310,Q310&gt;0),(ROUNDDOWN(P310/R310,0)*R310),0))</f>
        <v>21961</v>
      </c>
      <c r="T310" s="76">
        <v>0</v>
      </c>
      <c r="U310" s="98">
        <f>+Tabla145[[#This Row],[Atraso a facturar]]+Tabla145[[#This Row],[Ajuste atraso]]</f>
        <v>21961</v>
      </c>
      <c r="V310" s="3">
        <f>+Tabla145[[#This Row],[Total disponible]]-Tabla145[[#This Row],[Facturación atraso]]</f>
        <v>25884</v>
      </c>
      <c r="W310" s="6">
        <f>IFERROR(IF(AND(V310&gt;R310,J310&gt;=R310),ROUNDDOWN((Tabla145[[#This Row],[Producción para venta nueva]])/R310,0)*R310,0),0)</f>
        <v>0</v>
      </c>
      <c r="X310" s="76"/>
      <c r="Y310" s="6">
        <f>IF(Tabla145[[#This Row],[Venta del mes]]&gt;0,Tabla145[[#This Row],[Venta del mes]]+Tabla145[[#This Row],[Ajuste venta nueva]],0)</f>
        <v>0</v>
      </c>
      <c r="Z310" s="6">
        <f>+Tabla145[[#This Row],[Producción para venta nueva]]-Tabla145[[#This Row],[Facturación Venta nueva]]</f>
        <v>25884</v>
      </c>
      <c r="AA310" s="6">
        <f>IF(AND(A310=1,Tabla145[[#This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0" s="6">
        <v>0</v>
      </c>
      <c r="AC310" s="6">
        <f>IF(Tabla145[[#This Row],[Disponible stock sin venta]]&gt;0,Tabla145[[#This Row],[Disponible stock sin venta]]+Tabla145[[#This Row],[Ajuste stock sin venta]],0)</f>
        <v>0</v>
      </c>
      <c r="AD310" s="3">
        <f>IFERROR(VLOOKUP(Tabla145[[#This Row],[Llave]],'[16]TD Puerto'!$A:$D,4,FALSE),0)</f>
        <v>21961</v>
      </c>
      <c r="AE310" s="3">
        <v>21961</v>
      </c>
      <c r="AF310" s="3">
        <f>+Tabla145[[#This Row],[Plan Irrestricto Inicial]]</f>
        <v>21961</v>
      </c>
      <c r="AG310" s="3">
        <f>+Tabla145[[#This Row],[En puerto a facturar]]</f>
        <v>21961</v>
      </c>
      <c r="AH310" s="3">
        <f>+Tabla145[[#This Row],[Facturación atraso]]</f>
        <v>21961</v>
      </c>
      <c r="AI310" s="3">
        <f>+Tabla145[[#This Row],[Plan Irrestricto]]-Tabla145[[#This Row],[Puerto ]]-Tabla145[[#This Row],[Atraso]]</f>
        <v>-21961</v>
      </c>
      <c r="AJ310" s="3">
        <f>IF(Tabla145[[#This Row],[Plan Irrestricto]]&gt;0,SUM(Tabla145[[#This Row],[Facturación atraso]],Tabla145[[#This Row],[Facturación Venta nueva]],Tabla145[[#This Row],[Facturación stock]],Tabla145[[#This Row],[En puerto a facturar]]),0)</f>
        <v>43922</v>
      </c>
      <c r="AK310" s="3">
        <f>+Tabla145[[#This Row],[Facturación atraso]]</f>
        <v>21961</v>
      </c>
      <c r="AL310" s="3">
        <f>+Tabla145[[#This Row],[Plan Ajustado]]-Tabla145[[#This Row],[ Atraso ajustado]]-Tabla145[[#This Row],[Puerto ]]</f>
        <v>0</v>
      </c>
      <c r="AM310" s="6">
        <f>IFERROR(VLOOKUP(Tabla145[[#This Row],[Llave]],[18]!Tabla14[#All],34,FALSE),0)</f>
        <v>0</v>
      </c>
      <c r="AN310" s="6">
        <f>IFERROR(VLOOKUP(Tabla145[[#This Row],[Llave]],[18]!Tabla14[#All],35,FALSE),0)</f>
        <v>0</v>
      </c>
      <c r="AO310" s="3" t="str">
        <f>IF(Tabla145[[#This Row],[Plan Ajustado]]&gt;Tabla145[[#This Row],[En puerto a facturar]],"Si","No")</f>
        <v>Si</v>
      </c>
      <c r="AP310" s="3">
        <f>IF(AND(Tabla145[[#This Row],[Plan Ajustado]]&gt;0,Tabla145[[#This Row],[Plan Ajustado]]&gt;Tabla145[[#This Row],[En puerto a facturar]]),(Tabla145[[#This Row],[Plan Ajustado]]-Tabla145[[#This Row],[En puerto a facturar]]),0)</f>
        <v>21961</v>
      </c>
      <c r="AQ310" s="3">
        <f>IF(Tabla145[[#This Row],[Necesidad]]&gt;=Tabla145[[#This Row],[Stock al día]],Tabla145[[#This Row],[Stock al día]],Tabla145[[#This Row],[Necesidad]])</f>
        <v>21961</v>
      </c>
      <c r="AR310" s="3">
        <f>+Tabla145[[#This Row],[Necesidad]]-Tabla145[[#This Row],[Stock Plan]]</f>
        <v>0</v>
      </c>
      <c r="AS310" s="155">
        <f>IFERROR(VLOOKUP(Tabla145[[#This Row],[Oficina]],[19]Ponderación!$B$14:$E$21,4,FALSE),"")</f>
        <v>44789</v>
      </c>
      <c r="AT310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0.57009589070684785</v>
      </c>
      <c r="AU310" s="83">
        <f>IFERROR(VLOOKUP(Tabla145[[#This Row],[Llave]],[17]DELAY!$H:$W,16,FALSE),0)</f>
        <v>0.60416666818450904</v>
      </c>
      <c r="AV310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0.60416666818450904</v>
      </c>
      <c r="AW310" s="5">
        <f>Tabla145[[#This Row],[Ajuste precio IC]]*Tabla145[[#This Row],[Plan Ajustado]]</f>
        <v>21961</v>
      </c>
      <c r="AX310" s="30">
        <f>IFERROR(VLOOKUP(Tabla145[[#This Row],[Llave]],'[13]Ultimos precios facturados'!$A:$G,7,FALSE),0)</f>
        <v>0.57009589070684785</v>
      </c>
      <c r="AY310" s="99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5.9763239891832347E-2</v>
      </c>
      <c r="AZ310" s="30">
        <f>IFERROR(VLOOKUP(Tabla145[[#This Row],[Llave]],Hoja2!B:K,10,FALSE),0)</f>
        <v>0.5</v>
      </c>
      <c r="BA310" s="30">
        <f>IF(Tabla145[[#This Row],[Ajuste precio IC]]="",Tabla145[[#This Row],[Precio ponderado]],Tabla145[[#This Row],[Precio ponderado]])</f>
        <v>0.60416666818450904</v>
      </c>
      <c r="BB310" s="99"/>
      <c r="BC310" s="99" t="str">
        <f>IF(AND(Tabla145[[#This Row],[Atraso a facturar]]&gt;0,Tabla145[[#This Row],[Precio Atraso]]=0),"Revisar","OK")</f>
        <v>OK</v>
      </c>
      <c r="BD310" s="99" t="str">
        <f>IF(AND(Tabla145[[#This Row],[Venta del mes]]&gt;0,Tabla145[[#This Row],[Precio venta nueva]]=0),"Revisar","OK")</f>
        <v>OK</v>
      </c>
      <c r="BE310" s="20">
        <f>IFERROR(VLOOKUP(Tabla145[[#This Row],[Llave]],'[5]Consolidación planes'!$A:$M,9,FALSE),0)</f>
        <v>0</v>
      </c>
      <c r="BF310" s="20">
        <f>IFERROR(VLOOKUP(Tabla145[[#This Row],[Llave]],'[5]Consolidación planes'!$A:$M,10,FALSE),0)</f>
        <v>0</v>
      </c>
      <c r="BG310" s="20">
        <f>IFERROR(VLOOKUP(Tabla145[[#This Row],[Llave]],'[5]Consolidación planes'!$A:$M,11,FALSE),0)</f>
        <v>0</v>
      </c>
      <c r="BH310" s="20">
        <f>IFERROR(VLOOKUP(Tabla145[[#This Row],[Llave]],'[5]Consolidación planes'!$A:$M,12,FALSE),0)</f>
        <v>0</v>
      </c>
      <c r="BI310" s="20">
        <f>IFERROR(VLOOKUP(Tabla145[[#This Row],[Llave]],'[5]Consolidación planes'!$A:$M,13,FALSE),0)</f>
        <v>0</v>
      </c>
      <c r="BJ310" s="35">
        <f>IFERROR(VLOOKUP(Tabla145[[#This Row],[Llave]],'[13]Base ultimos planes'!$A:$M,13,FALSE),0)</f>
        <v>0</v>
      </c>
      <c r="BK310" s="80">
        <f>IFERROR(VLOOKUP(Tabla145[[#This Row],[Llave]],'[13]Base ultimos planes'!$O:$AA,8,FALSE),0)</f>
        <v>0</v>
      </c>
      <c r="BL310" s="100">
        <f>IFERROR(VLOOKUP(Tabla145[[#This Row],[Llave]],'[13]Base ultimos planes'!$O:$AA,9,FALSE),0)</f>
        <v>0</v>
      </c>
      <c r="BM310" s="100">
        <f>IFERROR(VLOOKUP(Tabla145[[#This Row],[Llave]],'[13]Base ultimos planes'!$O:$AA,10,FALSE),0)</f>
        <v>0</v>
      </c>
      <c r="BN310" s="100">
        <f>IFERROR(VLOOKUP(Tabla145[[#This Row],[Llave]],'[13]Base ultimos planes'!$O:$AA,11,FALSE),0)</f>
        <v>0</v>
      </c>
      <c r="BO310" s="100">
        <f>IFERROR(VLOOKUP(Tabla145[[#This Row],[Llave]],'[13]Base ultimos planes'!$O:$AA,12,FALSE),0)</f>
        <v>0</v>
      </c>
      <c r="BP310" s="100">
        <f>IFERROR(VLOOKUP(Tabla145[[#This Row],[Llave]],'[13]Base ultimos planes'!$O:$AA,13,FALSE),0)</f>
        <v>0</v>
      </c>
      <c r="BQ310" s="35"/>
      <c r="BR310" s="20">
        <f>Tabla145[[#This Row],[ RV Producción mes n+1]]*(1-Tabla145[[#This Row],[% Uti. producción]])</f>
        <v>0</v>
      </c>
      <c r="BS310" s="20">
        <f>+Tabla145[[#This Row],[Producción disponible mes n-1]]+Tabla145[[#This Row],[Saldo Volumen disponible]]</f>
        <v>25884</v>
      </c>
      <c r="BT310" s="7">
        <f>IFERROR(VLOOKUP(Tabla145[[#This Row],[Llave]],'[21]RV n+2 y n+3'!$B:$F,4,FALSE),0)</f>
        <v>0</v>
      </c>
      <c r="BU310" s="7">
        <f>+Tabla145[[#This Row],[Asignación mes n+2]]*Tabla145[[#This Row],[% Uti. producción]]</f>
        <v>0</v>
      </c>
      <c r="BV310" s="7">
        <f>+Tabla145[[#This Row],[Ponderación mes n+2]]+Tabla145[[#This Row],[Saldo mes n-1]]</f>
        <v>25884</v>
      </c>
      <c r="BW310" s="7">
        <f>+Tabla145[[#This Row],[Asignación mes n+2]]-Tabla145[[#This Row],[Ponderación mes n+2]]</f>
        <v>0</v>
      </c>
      <c r="BX310" s="7">
        <f>IFERROR(VLOOKUP(Tabla145[[#This Row],[Llave]],'[21]RV n+2 y n+3'!$B:$F,5,FALSE),0)</f>
        <v>0</v>
      </c>
      <c r="BY310" s="7">
        <f>+Tabla145[[#This Row],[Asignación mes n+3]]*Tabla145[[#This Row],[% Uti. producción]]</f>
        <v>0</v>
      </c>
      <c r="BZ310" s="3">
        <f>+Tabla145[[#This Row],[Ponderación mes n+3]]+Tabla145[[#This Row],[Saldo mes n+2]]</f>
        <v>0</v>
      </c>
      <c r="CA310" s="3">
        <f>+Tabla145[[#This Row],[Asignación mes n+3]]-Tabla145[[#This Row],[Ponderación mes n+3]]</f>
        <v>0</v>
      </c>
      <c r="CB310" s="3">
        <f>+Tabla145[[#This Row],[Producción disponible mes n-1]]+Tabla145[[#This Row],[Producción disponible]]</f>
        <v>0</v>
      </c>
      <c r="CC310" s="3">
        <f>+Tabla145[[#This Row],[Saldo mes n+4]]-Tabla145[[#This Row],[ RV Producción mes n+1]]</f>
        <v>0</v>
      </c>
    </row>
    <row r="311" spans="1:81" ht="16" x14ac:dyDescent="0.2">
      <c r="A311">
        <v>1</v>
      </c>
      <c r="B311" t="str">
        <f>Tabla145[[#This Row],[Oficina]]&amp;Tabla145[[#This Row],[Material]]</f>
        <v>Agro Sudamerica1030817</v>
      </c>
      <c r="C311" t="s">
        <v>204</v>
      </c>
      <c r="D311" t="s">
        <v>17</v>
      </c>
      <c r="E311">
        <v>1030817</v>
      </c>
      <c r="F311" t="s">
        <v>219</v>
      </c>
      <c r="G311" t="s">
        <v>217</v>
      </c>
      <c r="H311" t="s">
        <v>218</v>
      </c>
      <c r="I311" s="15">
        <f>IFERROR(VLOOKUP(Tabla145[[#This Row],[Llave]],'[7]RV Producción'!$C:$G,5,FALSE),0)</f>
        <v>54668</v>
      </c>
      <c r="J311" s="3">
        <f>IFERROR(IF(Tabla145[[#This Row],[Oficina]]=$I$7,VLOOKUP(Tabla145[[#This Row],[Llave]],'[7]Shangai (Tomas)'!$A:$F,6,FALSE),VLOOKUP(Tabla145[[#This Row],[Llave]],'[7]RV plan de ventas'!$A:$E,5,FALSE)),0)</f>
        <v>0</v>
      </c>
      <c r="K311" s="17">
        <f>IFERROR(VLOOKUP(Tabla145[[#This Row],[Oficina]],[15]Ponderación!$B$2:$E$9,4,FALSE),0)</f>
        <v>0.45719439678473212</v>
      </c>
      <c r="L311" s="7">
        <f>+Tabla145[[#This Row],[ RV Producción mes n+1]]*Tabla145[[#This Row],[% Uti. producción]]</f>
        <v>24993.903283427735</v>
      </c>
      <c r="M311" s="7">
        <f>IFERROR(VLOOKUP(Tabla145[[#This Row],[Material]],[16]Stock!$G:$K,5,FALSE),0)</f>
        <v>22707</v>
      </c>
      <c r="N311" s="15">
        <f>IFERROR(VLOOKUP(Tabla145[[#This Row],[Material]],[16]Produccion!$M:$N,2,FALSE),0)</f>
        <v>0</v>
      </c>
      <c r="O311" s="15">
        <f>IFERROR(VLOOKUP(Tabla145[[#This Row],[Llave]],'[16]TD Conf-AP'!$I:$M,4,FALSE),0)</f>
        <v>0</v>
      </c>
      <c r="P311" s="37">
        <f>SUM(Tabla145[[#This Row],[Producción disponible]],Tabla145[[#This Row],[Stock al día]],(Tabla145[[#This Row],[Por producir mes N]]*0.9))-Tabla145[[#This Row],[Producción por despachar mes N]]</f>
        <v>47700.903283427731</v>
      </c>
      <c r="Q311" s="15">
        <f>IFERROR(VLOOKUP(Tabla145[[#This Row],[Llave]],[17]DELAY!$A:$D,4,FALSE),0)</f>
        <v>86000</v>
      </c>
      <c r="R311" s="75">
        <v>24000</v>
      </c>
      <c r="S311" s="98">
        <f t="shared" ref="S311:S314" si="10">IF(AND(P311&gt;Q311,Q311&gt;0),Q311,IF(AND(P311&lt;Q311,Q311&gt;0),(ROUNDDOWN(P311/R311,0)*R311),0))</f>
        <v>24000</v>
      </c>
      <c r="T311" s="76">
        <v>0</v>
      </c>
      <c r="U311" s="98">
        <f>+Tabla145[[#This Row],[Atraso a facturar]]+Tabla145[[#This Row],[Ajuste atraso]]</f>
        <v>24000</v>
      </c>
      <c r="V311" s="3">
        <f>+Tabla145[[#This Row],[Total disponible]]-Tabla145[[#This Row],[Facturación atraso]]</f>
        <v>23700.903283427731</v>
      </c>
      <c r="W311" s="6">
        <f>IFERROR(IF(AND(V311&gt;R311,J311&gt;=R311),ROUNDDOWN((Tabla145[[#This Row],[Producción para venta nueva]])/R311,0)*R311,0),0)</f>
        <v>0</v>
      </c>
      <c r="X311" s="76"/>
      <c r="Y311" s="6">
        <f>IF(Tabla145[[#This Row],[Venta del mes]]&gt;0,Tabla145[[#This Row],[Venta del mes]]+Tabla145[[#This Row],[Ajuste venta nueva]],0)</f>
        <v>0</v>
      </c>
      <c r="Z311" s="6">
        <f>+Tabla145[[#This Row],[Producción para venta nueva]]-Tabla145[[#This Row],[Facturación Venta nueva]]</f>
        <v>23700.903283427731</v>
      </c>
      <c r="AA311" s="6">
        <f>IF(AND(A311=1,Tabla145[[#This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1" s="6">
        <v>0</v>
      </c>
      <c r="AC311" s="6">
        <f>IF(Tabla145[[#This Row],[Disponible stock sin venta]]&gt;0,Tabla145[[#This Row],[Disponible stock sin venta]]+Tabla145[[#This Row],[Ajuste stock sin venta]],0)</f>
        <v>0</v>
      </c>
      <c r="AD311" s="3">
        <f>IFERROR(VLOOKUP(Tabla145[[#This Row],[Llave]],'[16]TD Puerto'!$A:$D,4,FALSE),0)</f>
        <v>0</v>
      </c>
      <c r="AE311" s="3">
        <v>24000</v>
      </c>
      <c r="AF311" s="3">
        <f>+Tabla145[[#This Row],[Plan Irrestricto Inicial]]</f>
        <v>24000</v>
      </c>
      <c r="AG311" s="3">
        <f>+Tabla145[[#This Row],[En puerto a facturar]]</f>
        <v>0</v>
      </c>
      <c r="AH311" s="3">
        <f>+Tabla145[[#This Row],[Facturación atraso]]</f>
        <v>24000</v>
      </c>
      <c r="AI311" s="3">
        <f>+Tabla145[[#This Row],[Plan Irrestricto]]-Tabla145[[#This Row],[Puerto ]]-Tabla145[[#This Row],[Atraso]]</f>
        <v>0</v>
      </c>
      <c r="AJ311" s="3">
        <f>IF(Tabla145[[#This Row],[Plan Irrestricto]]&gt;0,SUM(Tabla145[[#This Row],[Facturación atraso]],Tabla145[[#This Row],[Facturación Venta nueva]],Tabla145[[#This Row],[Facturación stock]],Tabla145[[#This Row],[En puerto a facturar]]),0)</f>
        <v>24000</v>
      </c>
      <c r="AK311" s="3">
        <f>+Tabla145[[#This Row],[Facturación atraso]]</f>
        <v>24000</v>
      </c>
      <c r="AL311" s="3">
        <f>+Tabla145[[#This Row],[Plan Ajustado]]-Tabla145[[#This Row],[ Atraso ajustado]]-Tabla145[[#This Row],[Puerto ]]</f>
        <v>0</v>
      </c>
      <c r="AM311" s="6">
        <f>IFERROR(VLOOKUP(Tabla145[[#This Row],[Llave]],[18]!Tabla14[#All],34,FALSE),0)</f>
        <v>0</v>
      </c>
      <c r="AN311" s="6">
        <f>IFERROR(VLOOKUP(Tabla145[[#This Row],[Llave]],[18]!Tabla14[#All],35,FALSE),0)</f>
        <v>0</v>
      </c>
      <c r="AO311" s="3" t="str">
        <f>IF(Tabla145[[#This Row],[Plan Ajustado]]&gt;Tabla145[[#This Row],[En puerto a facturar]],"Si","No")</f>
        <v>Si</v>
      </c>
      <c r="AP311" s="3">
        <f>IF(AND(Tabla145[[#This Row],[Plan Ajustado]]&gt;0,Tabla145[[#This Row],[Plan Ajustado]]&gt;Tabla145[[#This Row],[En puerto a facturar]]),(Tabla145[[#This Row],[Plan Ajustado]]-Tabla145[[#This Row],[En puerto a facturar]]),0)</f>
        <v>24000</v>
      </c>
      <c r="AQ311" s="3">
        <f>IF(Tabla145[[#This Row],[Necesidad]]&gt;=Tabla145[[#This Row],[Stock al día]],Tabla145[[#This Row],[Stock al día]],Tabla145[[#This Row],[Necesidad]])</f>
        <v>22707</v>
      </c>
      <c r="AR311" s="3">
        <f>+Tabla145[[#This Row],[Necesidad]]-Tabla145[[#This Row],[Stock Plan]]</f>
        <v>1293</v>
      </c>
      <c r="AS311" s="155">
        <f>IFERROR(VLOOKUP(Tabla145[[#This Row],[Oficina]],[19]Ponderación!$B$14:$E$21,4,FALSE),"")</f>
        <v>44789</v>
      </c>
      <c r="AT311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2.1856964087091555</v>
      </c>
      <c r="AU311" s="83">
        <f>IFERROR(VLOOKUP(Tabla145[[#This Row],[Llave]],[17]DELAY!$H:$W,16,FALSE),0)</f>
        <v>2.2743602846673876</v>
      </c>
      <c r="AV311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2.2743602846673876</v>
      </c>
      <c r="AW311" s="5">
        <f>Tabla145[[#This Row],[Ajuste precio IC]]*Tabla145[[#This Row],[Plan Ajustado]]</f>
        <v>54000</v>
      </c>
      <c r="AX311" s="30">
        <f>IFERROR(VLOOKUP(Tabla145[[#This Row],[Llave]],'[13]Ultimos precios facturados'!$A:$G,7,FALSE),0)</f>
        <v>2.1856964087091555</v>
      </c>
      <c r="AY311" s="99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4.0565503793180441E-2</v>
      </c>
      <c r="AZ311" s="30">
        <f>IFERROR(VLOOKUP(Tabla145[[#This Row],[Llave]],Hoja2!B:K,10,FALSE),0)</f>
        <v>2.25</v>
      </c>
      <c r="BA311" s="30">
        <f>IF(Tabla145[[#This Row],[Ajuste precio IC]]="",Tabla145[[#This Row],[Precio ponderado]],Tabla145[[#This Row],[Precio ponderado]])</f>
        <v>2.2743602846673876</v>
      </c>
      <c r="BB311" s="99"/>
      <c r="BC311" s="99" t="str">
        <f>IF(AND(Tabla145[[#This Row],[Atraso a facturar]]&gt;0,Tabla145[[#This Row],[Precio Atraso]]=0),"Revisar","OK")</f>
        <v>OK</v>
      </c>
      <c r="BD311" s="99" t="str">
        <f>IF(AND(Tabla145[[#This Row],[Venta del mes]]&gt;0,Tabla145[[#This Row],[Precio venta nueva]]=0),"Revisar","OK")</f>
        <v>OK</v>
      </c>
      <c r="BE311" s="20">
        <f>IFERROR(VLOOKUP(Tabla145[[#This Row],[Llave]],'[5]Consolidación planes'!$A:$M,9,FALSE),0)</f>
        <v>0</v>
      </c>
      <c r="BF311" s="20">
        <f>IFERROR(VLOOKUP(Tabla145[[#This Row],[Llave]],'[5]Consolidación planes'!$A:$M,10,FALSE),0)</f>
        <v>0</v>
      </c>
      <c r="BG311" s="20">
        <f>IFERROR(VLOOKUP(Tabla145[[#This Row],[Llave]],'[5]Consolidación planes'!$A:$M,11,FALSE),0)</f>
        <v>0</v>
      </c>
      <c r="BH311" s="20">
        <f>IFERROR(VLOOKUP(Tabla145[[#This Row],[Llave]],'[5]Consolidación planes'!$A:$M,12,FALSE),0)</f>
        <v>0</v>
      </c>
      <c r="BI311" s="20">
        <f>IFERROR(VLOOKUP(Tabla145[[#This Row],[Llave]],'[5]Consolidación planes'!$A:$M,13,FALSE),0)</f>
        <v>0</v>
      </c>
      <c r="BJ311" s="35">
        <f>IFERROR(VLOOKUP(Tabla145[[#This Row],[Llave]],'[13]Base ultimos planes'!$A:$M,13,FALSE),0)</f>
        <v>0</v>
      </c>
      <c r="BK311" s="80">
        <f>IFERROR(VLOOKUP(Tabla145[[#This Row],[Llave]],'[13]Base ultimos planes'!$O:$AA,8,FALSE),0)</f>
        <v>0</v>
      </c>
      <c r="BL311" s="100">
        <f>IFERROR(VLOOKUP(Tabla145[[#This Row],[Llave]],'[13]Base ultimos planes'!$O:$AA,9,FALSE),0)</f>
        <v>0</v>
      </c>
      <c r="BM311" s="100">
        <f>IFERROR(VLOOKUP(Tabla145[[#This Row],[Llave]],'[13]Base ultimos planes'!$O:$AA,10,FALSE),0)</f>
        <v>0</v>
      </c>
      <c r="BN311" s="100">
        <f>IFERROR(VLOOKUP(Tabla145[[#This Row],[Llave]],'[13]Base ultimos planes'!$O:$AA,11,FALSE),0)</f>
        <v>0</v>
      </c>
      <c r="BO311" s="100">
        <f>IFERROR(VLOOKUP(Tabla145[[#This Row],[Llave]],'[13]Base ultimos planes'!$O:$AA,12,FALSE),0)</f>
        <v>0</v>
      </c>
      <c r="BP311" s="100">
        <f>IFERROR(VLOOKUP(Tabla145[[#This Row],[Llave]],'[13]Base ultimos planes'!$O:$AA,13,FALSE),0)</f>
        <v>0</v>
      </c>
      <c r="BQ311" s="35"/>
      <c r="BR311" s="20">
        <f>Tabla145[[#This Row],[ RV Producción mes n+1]]*(1-Tabla145[[#This Row],[% Uti. producción]])</f>
        <v>29674.096716572269</v>
      </c>
      <c r="BS311" s="20">
        <f>+Tabla145[[#This Row],[Producción disponible mes n-1]]+Tabla145[[#This Row],[Saldo Volumen disponible]]</f>
        <v>53375</v>
      </c>
      <c r="BT311" s="7">
        <f>IFERROR(VLOOKUP(Tabla145[[#This Row],[Llave]],'[21]RV n+2 y n+3'!$B:$F,4,FALSE),0)</f>
        <v>0</v>
      </c>
      <c r="BU311" s="7">
        <f>+Tabla145[[#This Row],[Asignación mes n+2]]*Tabla145[[#This Row],[% Uti. producción]]</f>
        <v>0</v>
      </c>
      <c r="BV311" s="7">
        <f>+Tabla145[[#This Row],[Ponderación mes n+2]]+Tabla145[[#This Row],[Saldo mes n-1]]</f>
        <v>53375</v>
      </c>
      <c r="BW311" s="7">
        <f>+Tabla145[[#This Row],[Asignación mes n+2]]-Tabla145[[#This Row],[Ponderación mes n+2]]</f>
        <v>0</v>
      </c>
      <c r="BX311" s="7">
        <f>IFERROR(VLOOKUP(Tabla145[[#This Row],[Llave]],'[21]RV n+2 y n+3'!$B:$F,5,FALSE),0)</f>
        <v>0</v>
      </c>
      <c r="BY311" s="7">
        <f>+Tabla145[[#This Row],[Asignación mes n+3]]*Tabla145[[#This Row],[% Uti. producción]]</f>
        <v>0</v>
      </c>
      <c r="BZ311" s="3">
        <f>+Tabla145[[#This Row],[Ponderación mes n+3]]+Tabla145[[#This Row],[Saldo mes n+2]]</f>
        <v>0</v>
      </c>
      <c r="CA311" s="3">
        <f>+Tabla145[[#This Row],[Asignación mes n+3]]-Tabla145[[#This Row],[Ponderación mes n+3]]</f>
        <v>0</v>
      </c>
      <c r="CB311" s="3">
        <f>+Tabla145[[#This Row],[Producción disponible mes n-1]]+Tabla145[[#This Row],[Producción disponible]]</f>
        <v>54668</v>
      </c>
      <c r="CC311" s="3">
        <f>+Tabla145[[#This Row],[Saldo mes n+4]]-Tabla145[[#This Row],[ RV Producción mes n+1]]</f>
        <v>0</v>
      </c>
    </row>
    <row r="312" spans="1:81" ht="16" x14ac:dyDescent="0.2">
      <c r="A312">
        <v>1</v>
      </c>
      <c r="B312" t="str">
        <f>Tabla145[[#This Row],[Oficina]]&amp;Tabla145[[#This Row],[Material]]</f>
        <v>Agro Sudamerica1030812</v>
      </c>
      <c r="C312" t="s">
        <v>204</v>
      </c>
      <c r="D312" t="s">
        <v>17</v>
      </c>
      <c r="E312">
        <v>1030812</v>
      </c>
      <c r="F312" t="s">
        <v>777</v>
      </c>
      <c r="G312" t="s">
        <v>220</v>
      </c>
      <c r="H312" t="s">
        <v>221</v>
      </c>
      <c r="I312" s="15">
        <f>IFERROR(VLOOKUP(Tabla145[[#This Row],[Llave]],'[7]RV Producción'!$C:$G,5,FALSE),0)</f>
        <v>24000</v>
      </c>
      <c r="J312" s="3">
        <f>IFERROR(IF(Tabla145[[#This Row],[Oficina]]=$I$7,VLOOKUP(Tabla145[[#This Row],[Llave]],'[7]Shangai (Tomas)'!$A:$F,6,FALSE),VLOOKUP(Tabla145[[#This Row],[Llave]],'[7]RV plan de ventas'!$A:$E,5,FALSE)),0)</f>
        <v>24000</v>
      </c>
      <c r="K312" s="17">
        <f>IFERROR(VLOOKUP(Tabla145[[#This Row],[Oficina]],[15]Ponderación!$B$2:$E$9,4,FALSE),0)</f>
        <v>0.45719439678473212</v>
      </c>
      <c r="L312" s="7">
        <f>+Tabla145[[#This Row],[ RV Producción mes n+1]]*Tabla145[[#This Row],[% Uti. producción]]</f>
        <v>10972.665522833571</v>
      </c>
      <c r="M312" s="7">
        <f>IFERROR(VLOOKUP(Tabla145[[#This Row],[Material]],[16]Stock!$G:$K,5,FALSE),0)</f>
        <v>0</v>
      </c>
      <c r="N312" s="15">
        <f>IFERROR(VLOOKUP(Tabla145[[#This Row],[Material]],[16]Produccion!$M:$N,2,FALSE),0)</f>
        <v>0</v>
      </c>
      <c r="O312" s="15">
        <f>IFERROR(VLOOKUP(Tabla145[[#This Row],[Llave]],'[16]TD Conf-AP'!$I:$M,4,FALSE),0)</f>
        <v>0</v>
      </c>
      <c r="P312" s="37">
        <f>SUM(Tabla145[[#This Row],[Producción disponible]],Tabla145[[#This Row],[Stock al día]],(Tabla145[[#This Row],[Por producir mes N]]*0.9))-Tabla145[[#This Row],[Producción por despachar mes N]]</f>
        <v>10972.665522833571</v>
      </c>
      <c r="Q312" s="15">
        <f>IFERROR(VLOOKUP(Tabla145[[#This Row],[Llave]],[17]DELAY!$A:$D,4,FALSE),0)</f>
        <v>0</v>
      </c>
      <c r="R312" s="75">
        <v>24000</v>
      </c>
      <c r="S312" s="98">
        <f t="shared" si="10"/>
        <v>0</v>
      </c>
      <c r="T312" s="76">
        <v>0</v>
      </c>
      <c r="U312" s="98">
        <f>+Tabla145[[#This Row],[Atraso a facturar]]+Tabla145[[#This Row],[Ajuste atraso]]</f>
        <v>0</v>
      </c>
      <c r="V312" s="3">
        <f>+Tabla145[[#This Row],[Total disponible]]-Tabla145[[#This Row],[Facturación atraso]]</f>
        <v>10972.665522833571</v>
      </c>
      <c r="W312" s="6">
        <f>IFERROR(IF(AND(V312&gt;R312,J312&gt;=R312),ROUNDDOWN((Tabla145[[#This Row],[Producción para venta nueva]])/R312,0)*R312,0),0)</f>
        <v>0</v>
      </c>
      <c r="X312" s="76"/>
      <c r="Y312" s="6">
        <f>IF(Tabla145[[#This Row],[Venta del mes]]&gt;0,Tabla145[[#This Row],[Venta del mes]]+Tabla145[[#This Row],[Ajuste venta nueva]],0)</f>
        <v>0</v>
      </c>
      <c r="Z312" s="6">
        <f>+Tabla145[[#This Row],[Producción para venta nueva]]-Tabla145[[#This Row],[Facturación Venta nueva]]</f>
        <v>10972.665522833571</v>
      </c>
      <c r="AA312" s="6">
        <f>IF(AND(A312=1,Tabla145[[#This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2" s="6">
        <v>0</v>
      </c>
      <c r="AC312" s="6">
        <f>IF(Tabla145[[#This Row],[Disponible stock sin venta]]&gt;0,Tabla145[[#This Row],[Disponible stock sin venta]]+Tabla145[[#This Row],[Ajuste stock sin venta]],0)</f>
        <v>0</v>
      </c>
      <c r="AD312" s="3">
        <f>IFERROR(VLOOKUP(Tabla145[[#This Row],[Llave]],'[16]TD Puerto'!$A:$D,4,FALSE),0)</f>
        <v>0</v>
      </c>
      <c r="AE312" s="3">
        <v>0</v>
      </c>
      <c r="AF312" s="3">
        <f>+Tabla145[[#This Row],[Plan Irrestricto Inicial]]</f>
        <v>0</v>
      </c>
      <c r="AG312" s="3">
        <f>+Tabla145[[#This Row],[En puerto a facturar]]</f>
        <v>0</v>
      </c>
      <c r="AH312" s="3">
        <f>+Tabla145[[#This Row],[Facturación atraso]]</f>
        <v>0</v>
      </c>
      <c r="AI312" s="3">
        <f>+Tabla145[[#This Row],[Plan Irrestricto]]-Tabla145[[#This Row],[Puerto ]]-Tabla145[[#This Row],[Atraso]]</f>
        <v>0</v>
      </c>
      <c r="AJ312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12" s="3">
        <f>+Tabla145[[#This Row],[Facturación atraso]]</f>
        <v>0</v>
      </c>
      <c r="AL312" s="3">
        <f>+Tabla145[[#This Row],[Plan Ajustado]]-Tabla145[[#This Row],[ Atraso ajustado]]-Tabla145[[#This Row],[Puerto ]]</f>
        <v>0</v>
      </c>
      <c r="AM312" s="6">
        <f>IFERROR(VLOOKUP(Tabla145[[#This Row],[Llave]],[18]!Tabla14[#All],34,FALSE),0)</f>
        <v>0</v>
      </c>
      <c r="AN312" s="6">
        <f>IFERROR(VLOOKUP(Tabla145[[#This Row],[Llave]],[18]!Tabla14[#All],35,FALSE),0)</f>
        <v>0</v>
      </c>
      <c r="AO312" s="3" t="str">
        <f>IF(Tabla145[[#This Row],[Plan Ajustado]]&gt;Tabla145[[#This Row],[En puerto a facturar]],"Si","No")</f>
        <v>No</v>
      </c>
      <c r="AP312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12" s="3">
        <f>IF(Tabla145[[#This Row],[Necesidad]]&gt;=Tabla145[[#This Row],[Stock al día]],Tabla145[[#This Row],[Stock al día]],Tabla145[[#This Row],[Necesidad]])</f>
        <v>0</v>
      </c>
      <c r="AR312" s="3">
        <f>+Tabla145[[#This Row],[Necesidad]]-Tabla145[[#This Row],[Stock Plan]]</f>
        <v>0</v>
      </c>
      <c r="AS312" s="155">
        <f>IFERROR(VLOOKUP(Tabla145[[#This Row],[Oficina]],[19]Ponderación!$B$14:$E$21,4,FALSE),"")</f>
        <v>44789</v>
      </c>
      <c r="AT312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4.4366666666666701</v>
      </c>
      <c r="AU312" s="83">
        <f>IFERROR(VLOOKUP(Tabla145[[#This Row],[Llave]],[17]DELAY!$H:$W,16,FALSE),0)</f>
        <v>0</v>
      </c>
      <c r="AV312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12" s="5">
        <f>Tabla145[[#This Row],[Ajuste precio IC]]*Tabla145[[#This Row],[Plan Ajustado]]</f>
        <v>0</v>
      </c>
      <c r="AX312" s="30">
        <f>IFERROR(VLOOKUP(Tabla145[[#This Row],[Llave]],'[13]Ultimos precios facturados'!$A:$G,7,FALSE),0)</f>
        <v>0</v>
      </c>
      <c r="AY312" s="99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12" s="30">
        <f>IFERROR(VLOOKUP(Tabla145[[#This Row],[Llave]],Hoja2!B:K,10,FALSE),0)</f>
        <v>0</v>
      </c>
      <c r="BA312" s="30">
        <f>IF(Tabla145[[#This Row],[Ajuste precio IC]]="",Tabla145[[#This Row],[Precio ponderado]],Tabla145[[#This Row],[Precio ponderado]])</f>
        <v>0</v>
      </c>
      <c r="BB312" s="99"/>
      <c r="BC312" s="99" t="str">
        <f>IF(AND(Tabla145[[#This Row],[Atraso a facturar]]&gt;0,Tabla145[[#This Row],[Precio Atraso]]=0),"Revisar","OK")</f>
        <v>OK</v>
      </c>
      <c r="BD312" s="99" t="str">
        <f>IF(AND(Tabla145[[#This Row],[Venta del mes]]&gt;0,Tabla145[[#This Row],[Precio venta nueva]]=0),"Revisar","OK")</f>
        <v>OK</v>
      </c>
      <c r="BE312" s="20">
        <f>IFERROR(VLOOKUP(Tabla145[[#This Row],[Llave]],'[5]Consolidación planes'!$A:$M,9,FALSE),0)</f>
        <v>0</v>
      </c>
      <c r="BF312" s="20">
        <f>IFERROR(VLOOKUP(Tabla145[[#This Row],[Llave]],'[5]Consolidación planes'!$A:$M,10,FALSE),0)</f>
        <v>0</v>
      </c>
      <c r="BG312" s="20">
        <f>IFERROR(VLOOKUP(Tabla145[[#This Row],[Llave]],'[5]Consolidación planes'!$A:$M,11,FALSE),0)</f>
        <v>0</v>
      </c>
      <c r="BH312" s="20">
        <f>IFERROR(VLOOKUP(Tabla145[[#This Row],[Llave]],'[5]Consolidación planes'!$A:$M,12,FALSE),0)</f>
        <v>0</v>
      </c>
      <c r="BI312" s="20">
        <f>IFERROR(VLOOKUP(Tabla145[[#This Row],[Llave]],'[5]Consolidación planes'!$A:$M,13,FALSE),0)</f>
        <v>0</v>
      </c>
      <c r="BJ312" s="35">
        <f>IFERROR(VLOOKUP(Tabla145[[#This Row],[Llave]],'[13]Base ultimos planes'!$A:$M,13,FALSE),0)</f>
        <v>0</v>
      </c>
      <c r="BK312" s="80">
        <f>IFERROR(VLOOKUP(Tabla145[[#This Row],[Llave]],'[13]Base ultimos planes'!$O:$AA,8,FALSE),0)</f>
        <v>0</v>
      </c>
      <c r="BL312" s="100">
        <f>IFERROR(VLOOKUP(Tabla145[[#This Row],[Llave]],'[13]Base ultimos planes'!$O:$AA,9,FALSE),0)</f>
        <v>0</v>
      </c>
      <c r="BM312" s="100">
        <f>IFERROR(VLOOKUP(Tabla145[[#This Row],[Llave]],'[13]Base ultimos planes'!$O:$AA,10,FALSE),0)</f>
        <v>0</v>
      </c>
      <c r="BN312" s="100">
        <f>IFERROR(VLOOKUP(Tabla145[[#This Row],[Llave]],'[13]Base ultimos planes'!$O:$AA,11,FALSE),0)</f>
        <v>0</v>
      </c>
      <c r="BO312" s="100">
        <f>IFERROR(VLOOKUP(Tabla145[[#This Row],[Llave]],'[13]Base ultimos planes'!$O:$AA,12,FALSE),0)</f>
        <v>0</v>
      </c>
      <c r="BP312" s="100">
        <f>IFERROR(VLOOKUP(Tabla145[[#This Row],[Llave]],'[13]Base ultimos planes'!$O:$AA,13,FALSE),0)</f>
        <v>0</v>
      </c>
      <c r="BQ312" s="35"/>
      <c r="BR312" s="20">
        <f>Tabla145[[#This Row],[ RV Producción mes n+1]]*(1-Tabla145[[#This Row],[% Uti. producción]])</f>
        <v>13027.334477166431</v>
      </c>
      <c r="BS312" s="20">
        <f>+Tabla145[[#This Row],[Producción disponible mes n-1]]+Tabla145[[#This Row],[Saldo Volumen disponible]]</f>
        <v>24000</v>
      </c>
      <c r="BT312" s="7">
        <f>IFERROR(VLOOKUP(Tabla145[[#This Row],[Llave]],'[21]RV n+2 y n+3'!$B:$F,4,FALSE),0)</f>
        <v>0</v>
      </c>
      <c r="BU312" s="7">
        <f>+Tabla145[[#This Row],[Asignación mes n+2]]*Tabla145[[#This Row],[% Uti. producción]]</f>
        <v>0</v>
      </c>
      <c r="BV312" s="7">
        <f>+Tabla145[[#This Row],[Ponderación mes n+2]]+Tabla145[[#This Row],[Saldo mes n-1]]</f>
        <v>24000</v>
      </c>
      <c r="BW312" s="7">
        <f>+Tabla145[[#This Row],[Asignación mes n+2]]-Tabla145[[#This Row],[Ponderación mes n+2]]</f>
        <v>0</v>
      </c>
      <c r="BX312" s="7">
        <f>IFERROR(VLOOKUP(Tabla145[[#This Row],[Llave]],'[21]RV n+2 y n+3'!$B:$F,5,FALSE),0)</f>
        <v>0</v>
      </c>
      <c r="BY312" s="7">
        <f>+Tabla145[[#This Row],[Asignación mes n+3]]*Tabla145[[#This Row],[% Uti. producción]]</f>
        <v>0</v>
      </c>
      <c r="BZ312" s="3">
        <f>+Tabla145[[#This Row],[Ponderación mes n+3]]+Tabla145[[#This Row],[Saldo mes n+2]]</f>
        <v>0</v>
      </c>
      <c r="CA312" s="3">
        <f>+Tabla145[[#This Row],[Asignación mes n+3]]-Tabla145[[#This Row],[Ponderación mes n+3]]</f>
        <v>0</v>
      </c>
      <c r="CB312" s="3">
        <f>+Tabla145[[#This Row],[Producción disponible mes n-1]]+Tabla145[[#This Row],[Producción disponible]]</f>
        <v>24000</v>
      </c>
      <c r="CC312" s="3">
        <f>+Tabla145[[#This Row],[Saldo mes n+4]]-Tabla145[[#This Row],[ RV Producción mes n+1]]</f>
        <v>0</v>
      </c>
    </row>
    <row r="313" spans="1:81" ht="16" x14ac:dyDescent="0.2">
      <c r="B313" t="str">
        <f>Tabla145[[#This Row],[Oficina]]&amp;Tabla145[[#This Row],[Material]]</f>
        <v>Agro Sudamerica1030816</v>
      </c>
      <c r="C313" t="s">
        <v>204</v>
      </c>
      <c r="D313" t="s">
        <v>17</v>
      </c>
      <c r="E313">
        <v>1030816</v>
      </c>
      <c r="F313" t="s">
        <v>207</v>
      </c>
      <c r="G313" t="s">
        <v>205</v>
      </c>
      <c r="H313" t="s">
        <v>206</v>
      </c>
      <c r="I313" s="15">
        <f>IFERROR(VLOOKUP(Tabla145[[#This Row],[Llave]],'[7]RV Producción'!$C:$G,5,FALSE),0)</f>
        <v>0</v>
      </c>
      <c r="J313" s="3">
        <f>IFERROR(IF(Tabla145[[#This Row],[Oficina]]=$I$7,VLOOKUP(Tabla145[[#This Row],[Llave]],'[7]Shangai (Tomas)'!$A:$F,6,FALSE),VLOOKUP(Tabla145[[#This Row],[Llave]],'[7]RV plan de ventas'!$A:$E,5,FALSE)),0)</f>
        <v>5655</v>
      </c>
      <c r="K313" s="17">
        <f>IFERROR(VLOOKUP(Tabla145[[#This Row],[Oficina]],[15]Ponderación!$B$2:$E$9,4,FALSE),0)</f>
        <v>0.45719439678473212</v>
      </c>
      <c r="L313" s="7">
        <f>+Tabla145[[#This Row],[ RV Producción mes n+1]]*Tabla145[[#This Row],[% Uti. producción]]</f>
        <v>0</v>
      </c>
      <c r="M313" s="7">
        <f>IFERROR(VLOOKUP(Tabla145[[#This Row],[Material]],[16]Stock!$G:$K,5,FALSE),0)</f>
        <v>0</v>
      </c>
      <c r="N313" s="15">
        <f>IFERROR(VLOOKUP(Tabla145[[#This Row],[Material]],[16]Produccion!$M:$N,2,FALSE),0)</f>
        <v>7255.1496791533682</v>
      </c>
      <c r="O313" s="15">
        <f>IFERROR(VLOOKUP(Tabla145[[#This Row],[Llave]],'[16]TD Conf-AP'!$I:$M,4,FALSE),0)</f>
        <v>0</v>
      </c>
      <c r="P313" s="37">
        <f>SUM(Tabla145[[#This Row],[Producción disponible]],Tabla145[[#This Row],[Stock al día]],(Tabla145[[#This Row],[Por producir mes N]]*0.9))-Tabla145[[#This Row],[Producción por despachar mes N]]</f>
        <v>6529.6347112380317</v>
      </c>
      <c r="Q313" s="15">
        <f>IFERROR(VLOOKUP(Tabla145[[#This Row],[Llave]],[17]DELAY!$A:$D,4,FALSE),0)</f>
        <v>0</v>
      </c>
      <c r="R313" s="75">
        <v>24000</v>
      </c>
      <c r="S313" s="98">
        <f t="shared" si="10"/>
        <v>0</v>
      </c>
      <c r="T313" s="76">
        <v>0</v>
      </c>
      <c r="U313" s="98">
        <f>+Tabla145[[#This Row],[Atraso a facturar]]+Tabla145[[#This Row],[Ajuste atraso]]</f>
        <v>0</v>
      </c>
      <c r="V313" s="3">
        <f>+Tabla145[[#This Row],[Total disponible]]-Tabla145[[#This Row],[Facturación atraso]]</f>
        <v>6529.6347112380317</v>
      </c>
      <c r="W313" s="6">
        <f>IFERROR(IF(AND(V313&gt;R313,J313&gt;=R313),ROUNDDOWN((Tabla145[[#This Row],[Producción para venta nueva]])/R313,0)*R313,0),0)</f>
        <v>0</v>
      </c>
      <c r="X313" s="76"/>
      <c r="Y313" s="6">
        <f>IF(Tabla145[[#This Row],[Venta del mes]]&gt;0,Tabla145[[#This Row],[Venta del mes]]+Tabla145[[#This Row],[Ajuste venta nueva]],0)</f>
        <v>0</v>
      </c>
      <c r="Z313" s="6">
        <f>+Tabla145[[#This Row],[Producción para venta nueva]]-Tabla145[[#This Row],[Facturación Venta nueva]]</f>
        <v>6529.6347112380317</v>
      </c>
      <c r="AA313" s="6">
        <f>IF(AND(A313=1,Tabla145[[#This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3" s="6">
        <v>0</v>
      </c>
      <c r="AC313" s="6">
        <f>IF(Tabla145[[#This Row],[Disponible stock sin venta]]&gt;0,Tabla145[[#This Row],[Disponible stock sin venta]]+Tabla145[[#This Row],[Ajuste stock sin venta]],0)</f>
        <v>0</v>
      </c>
      <c r="AD313" s="3">
        <f>IFERROR(VLOOKUP(Tabla145[[#This Row],[Llave]],'[16]TD Puerto'!$A:$D,4,FALSE),0)</f>
        <v>0</v>
      </c>
      <c r="AE313" s="3">
        <v>0</v>
      </c>
      <c r="AF313" s="3">
        <f>+Tabla145[[#This Row],[Plan Irrestricto Inicial]]</f>
        <v>0</v>
      </c>
      <c r="AG313" s="3">
        <f>+Tabla145[[#This Row],[En puerto a facturar]]</f>
        <v>0</v>
      </c>
      <c r="AH313" s="3">
        <f>+Tabla145[[#This Row],[Facturación atraso]]</f>
        <v>0</v>
      </c>
      <c r="AI313" s="3">
        <f>+Tabla145[[#This Row],[Plan Irrestricto]]-Tabla145[[#This Row],[Puerto ]]-Tabla145[[#This Row],[Atraso]]</f>
        <v>0</v>
      </c>
      <c r="AJ313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13" s="3">
        <f>+Tabla145[[#This Row],[Facturación atraso]]</f>
        <v>0</v>
      </c>
      <c r="AL313" s="3">
        <f>+Tabla145[[#This Row],[Plan Ajustado]]-Tabla145[[#This Row],[ Atraso ajustado]]-Tabla145[[#This Row],[Puerto ]]</f>
        <v>0</v>
      </c>
      <c r="AM313" s="6">
        <f>IFERROR(VLOOKUP(Tabla145[[#This Row],[Llave]],[18]!Tabla14[#All],34,FALSE),0)</f>
        <v>0</v>
      </c>
      <c r="AN313" s="6">
        <f>IFERROR(VLOOKUP(Tabla145[[#This Row],[Llave]],[18]!Tabla14[#All],35,FALSE),0)</f>
        <v>0</v>
      </c>
      <c r="AO313" s="3" t="str">
        <f>IF(Tabla145[[#This Row],[Plan Ajustado]]&gt;Tabla145[[#This Row],[En puerto a facturar]],"Si","No")</f>
        <v>No</v>
      </c>
      <c r="AP313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13" s="3">
        <f>IF(Tabla145[[#This Row],[Necesidad]]&gt;=Tabla145[[#This Row],[Stock al día]],Tabla145[[#This Row],[Stock al día]],Tabla145[[#This Row],[Necesidad]])</f>
        <v>0</v>
      </c>
      <c r="AR313" s="3">
        <f>+Tabla145[[#This Row],[Necesidad]]-Tabla145[[#This Row],[Stock Plan]]</f>
        <v>0</v>
      </c>
      <c r="AS313" s="155">
        <f>IFERROR(VLOOKUP(Tabla145[[#This Row],[Oficina]],[19]Ponderación!$B$14:$E$21,4,FALSE),"")</f>
        <v>44789</v>
      </c>
      <c r="AT313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1.5299734748010601</v>
      </c>
      <c r="AU313" s="83">
        <f>IFERROR(VLOOKUP(Tabla145[[#This Row],[Llave]],[17]DELAY!$H:$W,16,FALSE),0)</f>
        <v>0</v>
      </c>
      <c r="AV313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13" s="5">
        <f>Tabla145[[#This Row],[Ajuste precio IC]]*Tabla145[[#This Row],[Plan Ajustado]]</f>
        <v>0</v>
      </c>
      <c r="AX313" s="30">
        <f>IFERROR(VLOOKUP(Tabla145[[#This Row],[Llave]],'[13]Ultimos precios facturados'!$A:$G,7,FALSE),0)</f>
        <v>0</v>
      </c>
      <c r="AY313" s="99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13" s="30">
        <f>IFERROR(VLOOKUP(Tabla145[[#This Row],[Llave]],Hoja2!B:K,10,FALSE),0)</f>
        <v>0</v>
      </c>
      <c r="BA313" s="30">
        <f>IF(Tabla145[[#This Row],[Ajuste precio IC]]="",Tabla145[[#This Row],[Precio ponderado]],Tabla145[[#This Row],[Precio ponderado]])</f>
        <v>0</v>
      </c>
      <c r="BB313" s="99"/>
      <c r="BC313" s="99" t="str">
        <f>IF(AND(Tabla145[[#This Row],[Atraso a facturar]]&gt;0,Tabla145[[#This Row],[Precio Atraso]]=0),"Revisar","OK")</f>
        <v>OK</v>
      </c>
      <c r="BD313" s="99" t="str">
        <f>IF(AND(Tabla145[[#This Row],[Venta del mes]]&gt;0,Tabla145[[#This Row],[Precio venta nueva]]=0),"Revisar","OK")</f>
        <v>OK</v>
      </c>
      <c r="BE313" s="20">
        <f>IFERROR(VLOOKUP(Tabla145[[#This Row],[Llave]],'[5]Consolidación planes'!$A:$M,9,FALSE),0)</f>
        <v>0</v>
      </c>
      <c r="BF313" s="20">
        <f>IFERROR(VLOOKUP(Tabla145[[#This Row],[Llave]],'[5]Consolidación planes'!$A:$M,10,FALSE),0)</f>
        <v>0</v>
      </c>
      <c r="BG313" s="20">
        <f>IFERROR(VLOOKUP(Tabla145[[#This Row],[Llave]],'[5]Consolidación planes'!$A:$M,11,FALSE),0)</f>
        <v>0</v>
      </c>
      <c r="BH313" s="20">
        <f>IFERROR(VLOOKUP(Tabla145[[#This Row],[Llave]],'[5]Consolidación planes'!$A:$M,12,FALSE),0)</f>
        <v>0</v>
      </c>
      <c r="BI313" s="20">
        <f>IFERROR(VLOOKUP(Tabla145[[#This Row],[Llave]],'[5]Consolidación planes'!$A:$M,13,FALSE),0)</f>
        <v>0</v>
      </c>
      <c r="BJ313" s="35">
        <f>IFERROR(VLOOKUP(Tabla145[[#This Row],[Llave]],'[13]Base ultimos planes'!$A:$M,13,FALSE),0)</f>
        <v>0</v>
      </c>
      <c r="BK313" s="80">
        <f>IFERROR(VLOOKUP(Tabla145[[#This Row],[Llave]],'[13]Base ultimos planes'!$O:$AA,8,FALSE),0)</f>
        <v>0</v>
      </c>
      <c r="BL313" s="100">
        <f>IFERROR(VLOOKUP(Tabla145[[#This Row],[Llave]],'[13]Base ultimos planes'!$O:$AA,9,FALSE),0)</f>
        <v>0</v>
      </c>
      <c r="BM313" s="100">
        <f>IFERROR(VLOOKUP(Tabla145[[#This Row],[Llave]],'[13]Base ultimos planes'!$O:$AA,10,FALSE),0)</f>
        <v>0</v>
      </c>
      <c r="BN313" s="100">
        <f>IFERROR(VLOOKUP(Tabla145[[#This Row],[Llave]],'[13]Base ultimos planes'!$O:$AA,11,FALSE),0)</f>
        <v>0</v>
      </c>
      <c r="BO313" s="100">
        <f>IFERROR(VLOOKUP(Tabla145[[#This Row],[Llave]],'[13]Base ultimos planes'!$O:$AA,12,FALSE),0)</f>
        <v>0</v>
      </c>
      <c r="BP313" s="100">
        <f>IFERROR(VLOOKUP(Tabla145[[#This Row],[Llave]],'[13]Base ultimos planes'!$O:$AA,13,FALSE),0)</f>
        <v>0</v>
      </c>
      <c r="BQ313" s="35"/>
      <c r="BR313" s="20">
        <f>Tabla145[[#This Row],[ RV Producción mes n+1]]*(1-Tabla145[[#This Row],[% Uti. producción]])</f>
        <v>0</v>
      </c>
      <c r="BS313" s="20">
        <f>+Tabla145[[#This Row],[Producción disponible mes n-1]]+Tabla145[[#This Row],[Saldo Volumen disponible]]</f>
        <v>6529.6347112380317</v>
      </c>
      <c r="BT313" s="7">
        <f>IFERROR(VLOOKUP(Tabla145[[#This Row],[Llave]],'[21]RV n+2 y n+3'!$B:$F,4,FALSE),0)</f>
        <v>0</v>
      </c>
      <c r="BU313" s="7">
        <f>+Tabla145[[#This Row],[Asignación mes n+2]]*Tabla145[[#This Row],[% Uti. producción]]</f>
        <v>0</v>
      </c>
      <c r="BV313" s="7">
        <f>+Tabla145[[#This Row],[Ponderación mes n+2]]+Tabla145[[#This Row],[Saldo mes n-1]]</f>
        <v>6529.6347112380317</v>
      </c>
      <c r="BW313" s="7">
        <f>+Tabla145[[#This Row],[Asignación mes n+2]]-Tabla145[[#This Row],[Ponderación mes n+2]]</f>
        <v>0</v>
      </c>
      <c r="BX313" s="7">
        <f>IFERROR(VLOOKUP(Tabla145[[#This Row],[Llave]],'[21]RV n+2 y n+3'!$B:$F,5,FALSE),0)</f>
        <v>0</v>
      </c>
      <c r="BY313" s="7">
        <f>+Tabla145[[#This Row],[Asignación mes n+3]]*Tabla145[[#This Row],[% Uti. producción]]</f>
        <v>0</v>
      </c>
      <c r="BZ313" s="3">
        <f>+Tabla145[[#This Row],[Ponderación mes n+3]]+Tabla145[[#This Row],[Saldo mes n+2]]</f>
        <v>0</v>
      </c>
      <c r="CA313" s="3">
        <f>+Tabla145[[#This Row],[Asignación mes n+3]]-Tabla145[[#This Row],[Ponderación mes n+3]]</f>
        <v>0</v>
      </c>
      <c r="CB313" s="3">
        <f>+Tabla145[[#This Row],[Producción disponible mes n-1]]+Tabla145[[#This Row],[Producción disponible]]</f>
        <v>0</v>
      </c>
      <c r="CC313" s="3">
        <f>+Tabla145[[#This Row],[Saldo mes n+4]]-Tabla145[[#This Row],[ RV Producción mes n+1]]</f>
        <v>0</v>
      </c>
    </row>
    <row r="314" spans="1:81" ht="16" x14ac:dyDescent="0.2">
      <c r="B314" t="str">
        <f>Tabla145[[#This Row],[Oficina]]&amp;Tabla145[[#This Row],[Material]]</f>
        <v>Agro Sudamerica1030821</v>
      </c>
      <c r="C314" t="s">
        <v>204</v>
      </c>
      <c r="D314" t="s">
        <v>17</v>
      </c>
      <c r="E314">
        <v>1030821</v>
      </c>
      <c r="F314" t="s">
        <v>778</v>
      </c>
      <c r="G314" t="s">
        <v>212</v>
      </c>
      <c r="H314" t="s">
        <v>213</v>
      </c>
      <c r="I314" s="15">
        <f>IFERROR(VLOOKUP(Tabla145[[#This Row],[Llave]],'[7]RV Producción'!$C:$G,5,FALSE),0)</f>
        <v>0</v>
      </c>
      <c r="J314" s="3">
        <f>IFERROR(IF(Tabla145[[#This Row],[Oficina]]=$I$7,VLOOKUP(Tabla145[[#This Row],[Llave]],'[7]Shangai (Tomas)'!$A:$F,6,FALSE),VLOOKUP(Tabla145[[#This Row],[Llave]],'[7]RV plan de ventas'!$A:$E,5,FALSE)),0)</f>
        <v>24000</v>
      </c>
      <c r="K314" s="17">
        <f>IFERROR(VLOOKUP(Tabla145[[#This Row],[Oficina]],[15]Ponderación!$B$2:$E$9,4,FALSE),0)</f>
        <v>0.45719439678473212</v>
      </c>
      <c r="L314" s="7">
        <f>+Tabla145[[#This Row],[ RV Producción mes n+1]]*Tabla145[[#This Row],[% Uti. producción]]</f>
        <v>0</v>
      </c>
      <c r="M314" s="7">
        <f>IFERROR(VLOOKUP(Tabla145[[#This Row],[Material]],[16]Stock!$G:$K,5,FALSE),0)</f>
        <v>0</v>
      </c>
      <c r="N314" s="15">
        <f>IFERROR(VLOOKUP(Tabla145[[#This Row],[Material]],[16]Produccion!$M:$N,2,FALSE),0)</f>
        <v>0</v>
      </c>
      <c r="O314" s="15">
        <f>IFERROR(VLOOKUP(Tabla145[[#This Row],[Llave]],'[16]TD Conf-AP'!$I:$M,4,FALSE),0)</f>
        <v>0</v>
      </c>
      <c r="P314" s="37">
        <f>SUM(Tabla145[[#This Row],[Producción disponible]],Tabla145[[#This Row],[Stock al día]],(Tabla145[[#This Row],[Por producir mes N]]*0.9))-Tabla145[[#This Row],[Producción por despachar mes N]]</f>
        <v>0</v>
      </c>
      <c r="Q314" s="15">
        <f>IFERROR(VLOOKUP(Tabla145[[#This Row],[Llave]],[17]DELAY!$A:$D,4,FALSE),0)</f>
        <v>0</v>
      </c>
      <c r="R314" s="75"/>
      <c r="S314" s="98">
        <f t="shared" si="10"/>
        <v>0</v>
      </c>
      <c r="T314" s="76">
        <v>0</v>
      </c>
      <c r="U314" s="98">
        <f>+Tabla145[[#This Row],[Atraso a facturar]]+Tabla145[[#This Row],[Ajuste atraso]]</f>
        <v>0</v>
      </c>
      <c r="V314" s="3">
        <f>+Tabla145[[#This Row],[Total disponible]]-Tabla145[[#This Row],[Facturación atraso]]</f>
        <v>0</v>
      </c>
      <c r="W314" s="6">
        <f>IFERROR(IF(AND(V314&gt;R314,J314&gt;=R314),ROUNDDOWN((Tabla145[[#This Row],[Producción para venta nueva]])/R314,0)*R314,0),0)</f>
        <v>0</v>
      </c>
      <c r="X314" s="76"/>
      <c r="Y314" s="6">
        <f>IF(Tabla145[[#This Row],[Venta del mes]]&gt;0,Tabla145[[#This Row],[Venta del mes]]+Tabla145[[#This Row],[Ajuste venta nueva]],0)</f>
        <v>0</v>
      </c>
      <c r="Z314" s="6">
        <f>+Tabla145[[#This Row],[Producción para venta nueva]]-Tabla145[[#This Row],[Facturación Venta nueva]]</f>
        <v>0</v>
      </c>
      <c r="AA314" s="6">
        <f>IF(AND(A314=1,Tabla145[[#This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4" s="6">
        <v>0</v>
      </c>
      <c r="AC314" s="6">
        <f>IF(Tabla145[[#This Row],[Disponible stock sin venta]]&gt;0,Tabla145[[#This Row],[Disponible stock sin venta]]+Tabla145[[#This Row],[Ajuste stock sin venta]],0)</f>
        <v>0</v>
      </c>
      <c r="AD314" s="3">
        <f>IFERROR(VLOOKUP(Tabla145[[#This Row],[Llave]],'[16]TD Puerto'!$A:$D,4,FALSE),0)</f>
        <v>0</v>
      </c>
      <c r="AE314" s="3">
        <v>0</v>
      </c>
      <c r="AF314" s="3">
        <f>+Tabla145[[#This Row],[Plan Irrestricto Inicial]]</f>
        <v>0</v>
      </c>
      <c r="AG314" s="3">
        <f>+Tabla145[[#This Row],[En puerto a facturar]]</f>
        <v>0</v>
      </c>
      <c r="AH314" s="3">
        <f>+Tabla145[[#This Row],[Facturación atraso]]</f>
        <v>0</v>
      </c>
      <c r="AI314" s="3">
        <f>+Tabla145[[#This Row],[Plan Irrestricto]]-Tabla145[[#This Row],[Puerto ]]-Tabla145[[#This Row],[Atraso]]</f>
        <v>0</v>
      </c>
      <c r="AJ314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14" s="3">
        <f>+Tabla145[[#This Row],[Facturación atraso]]</f>
        <v>0</v>
      </c>
      <c r="AL314" s="3">
        <f>+Tabla145[[#This Row],[Plan Ajustado]]-Tabla145[[#This Row],[ Atraso ajustado]]-Tabla145[[#This Row],[Puerto ]]</f>
        <v>0</v>
      </c>
      <c r="AM314" s="6">
        <f>IFERROR(VLOOKUP(Tabla145[[#This Row],[Llave]],[18]!Tabla14[#All],34,FALSE),0)</f>
        <v>0</v>
      </c>
      <c r="AN314" s="6">
        <f>IFERROR(VLOOKUP(Tabla145[[#This Row],[Llave]],[18]!Tabla14[#All],35,FALSE),0)</f>
        <v>0</v>
      </c>
      <c r="AO314" s="3" t="str">
        <f>IF(Tabla145[[#This Row],[Plan Ajustado]]&gt;Tabla145[[#This Row],[En puerto a facturar]],"Si","No")</f>
        <v>No</v>
      </c>
      <c r="AP314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14" s="3">
        <f>IF(Tabla145[[#This Row],[Necesidad]]&gt;=Tabla145[[#This Row],[Stock al día]],Tabla145[[#This Row],[Stock al día]],Tabla145[[#This Row],[Necesidad]])</f>
        <v>0</v>
      </c>
      <c r="AR314" s="3">
        <f>+Tabla145[[#This Row],[Necesidad]]-Tabla145[[#This Row],[Stock Plan]]</f>
        <v>0</v>
      </c>
      <c r="AS314" s="155">
        <f>IFERROR(VLOOKUP(Tabla145[[#This Row],[Oficina]],[19]Ponderación!$B$14:$E$21,4,FALSE),"")</f>
        <v>44789</v>
      </c>
      <c r="AT314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10.8866666666667</v>
      </c>
      <c r="AU314" s="83">
        <f>IFERROR(VLOOKUP(Tabla145[[#This Row],[Llave]],[17]DELAY!$H:$W,16,FALSE),0)</f>
        <v>0</v>
      </c>
      <c r="AV314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14" s="5">
        <f>Tabla145[[#This Row],[Ajuste precio IC]]*Tabla145[[#This Row],[Plan Ajustado]]</f>
        <v>0</v>
      </c>
      <c r="AX314" s="30">
        <f>IFERROR(VLOOKUP(Tabla145[[#This Row],[Llave]],'[13]Ultimos precios facturados'!$A:$G,7,FALSE),0)</f>
        <v>0</v>
      </c>
      <c r="AY314" s="99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14" s="30">
        <f>IFERROR(VLOOKUP(Tabla145[[#This Row],[Llave]],Hoja2!B:K,10,FALSE),0)</f>
        <v>0</v>
      </c>
      <c r="BA314" s="30">
        <f>IF(Tabla145[[#This Row],[Ajuste precio IC]]="",Tabla145[[#This Row],[Precio ponderado]],Tabla145[[#This Row],[Precio ponderado]])</f>
        <v>0</v>
      </c>
      <c r="BB314" s="99"/>
      <c r="BC314" s="99" t="str">
        <f>IF(AND(Tabla145[[#This Row],[Atraso a facturar]]&gt;0,Tabla145[[#This Row],[Precio Atraso]]=0),"Revisar","OK")</f>
        <v>OK</v>
      </c>
      <c r="BD314" s="99" t="str">
        <f>IF(AND(Tabla145[[#This Row],[Venta del mes]]&gt;0,Tabla145[[#This Row],[Precio venta nueva]]=0),"Revisar","OK")</f>
        <v>OK</v>
      </c>
      <c r="BE314" s="20">
        <f>IFERROR(VLOOKUP(Tabla145[[#This Row],[Llave]],'[5]Consolidación planes'!$A:$M,9,FALSE),0)</f>
        <v>0</v>
      </c>
      <c r="BF314" s="20">
        <f>IFERROR(VLOOKUP(Tabla145[[#This Row],[Llave]],'[5]Consolidación planes'!$A:$M,10,FALSE),0)</f>
        <v>0</v>
      </c>
      <c r="BG314" s="20">
        <f>IFERROR(VLOOKUP(Tabla145[[#This Row],[Llave]],'[5]Consolidación planes'!$A:$M,11,FALSE),0)</f>
        <v>0</v>
      </c>
      <c r="BH314" s="20">
        <f>IFERROR(VLOOKUP(Tabla145[[#This Row],[Llave]],'[5]Consolidación planes'!$A:$M,12,FALSE),0)</f>
        <v>0</v>
      </c>
      <c r="BI314" s="20">
        <f>IFERROR(VLOOKUP(Tabla145[[#This Row],[Llave]],'[5]Consolidación planes'!$A:$M,13,FALSE),0)</f>
        <v>0</v>
      </c>
      <c r="BJ314" s="35">
        <f>IFERROR(VLOOKUP(Tabla145[[#This Row],[Llave]],'[13]Base ultimos planes'!$A:$M,13,FALSE),0)</f>
        <v>0</v>
      </c>
      <c r="BK314" s="80">
        <f>IFERROR(VLOOKUP(Tabla145[[#This Row],[Llave]],'[13]Base ultimos planes'!$O:$AA,8,FALSE),0)</f>
        <v>0</v>
      </c>
      <c r="BL314" s="100">
        <f>IFERROR(VLOOKUP(Tabla145[[#This Row],[Llave]],'[13]Base ultimos planes'!$O:$AA,9,FALSE),0)</f>
        <v>0</v>
      </c>
      <c r="BM314" s="100">
        <f>IFERROR(VLOOKUP(Tabla145[[#This Row],[Llave]],'[13]Base ultimos planes'!$O:$AA,10,FALSE),0)</f>
        <v>0</v>
      </c>
      <c r="BN314" s="100">
        <f>IFERROR(VLOOKUP(Tabla145[[#This Row],[Llave]],'[13]Base ultimos planes'!$O:$AA,11,FALSE),0)</f>
        <v>0</v>
      </c>
      <c r="BO314" s="100">
        <f>IFERROR(VLOOKUP(Tabla145[[#This Row],[Llave]],'[13]Base ultimos planes'!$O:$AA,12,FALSE),0)</f>
        <v>0</v>
      </c>
      <c r="BP314" s="100">
        <f>IFERROR(VLOOKUP(Tabla145[[#This Row],[Llave]],'[13]Base ultimos planes'!$O:$AA,13,FALSE),0)</f>
        <v>0</v>
      </c>
      <c r="BQ314" s="35"/>
      <c r="BR314" s="20">
        <f>Tabla145[[#This Row],[ RV Producción mes n+1]]*(1-Tabla145[[#This Row],[% Uti. producción]])</f>
        <v>0</v>
      </c>
      <c r="BS314" s="20">
        <f>+Tabla145[[#This Row],[Producción disponible mes n-1]]+Tabla145[[#This Row],[Saldo Volumen disponible]]</f>
        <v>0</v>
      </c>
      <c r="BT314" s="7">
        <f>IFERROR(VLOOKUP(Tabla145[[#This Row],[Llave]],'[21]RV n+2 y n+3'!$B:$F,4,FALSE),0)</f>
        <v>23130</v>
      </c>
      <c r="BU314" s="7">
        <f>+Tabla145[[#This Row],[Asignación mes n+2]]*Tabla145[[#This Row],[% Uti. producción]]</f>
        <v>10574.906397630853</v>
      </c>
      <c r="BV314" s="7">
        <f>+Tabla145[[#This Row],[Ponderación mes n+2]]+Tabla145[[#This Row],[Saldo mes n-1]]</f>
        <v>10574.906397630853</v>
      </c>
      <c r="BW314" s="7">
        <f>+Tabla145[[#This Row],[Asignación mes n+2]]-Tabla145[[#This Row],[Ponderación mes n+2]]</f>
        <v>12555.093602369147</v>
      </c>
      <c r="BX314" s="7">
        <f>IFERROR(VLOOKUP(Tabla145[[#This Row],[Llave]],'[21]RV n+2 y n+3'!$B:$F,5,FALSE),0)</f>
        <v>24000</v>
      </c>
      <c r="BY314" s="7">
        <f>+Tabla145[[#This Row],[Asignación mes n+3]]*Tabla145[[#This Row],[% Uti. producción]]</f>
        <v>10972.665522833571</v>
      </c>
      <c r="BZ314" s="3">
        <f>+Tabla145[[#This Row],[Ponderación mes n+3]]+Tabla145[[#This Row],[Saldo mes n+2]]</f>
        <v>23527.75912520272</v>
      </c>
      <c r="CA314" s="3">
        <f>+Tabla145[[#This Row],[Asignación mes n+3]]-Tabla145[[#This Row],[Ponderación mes n+3]]</f>
        <v>13027.334477166429</v>
      </c>
      <c r="CB314" s="3">
        <f>+Tabla145[[#This Row],[Producción disponible mes n-1]]+Tabla145[[#This Row],[Producción disponible]]</f>
        <v>0</v>
      </c>
      <c r="CC314" s="3">
        <f>+Tabla145[[#This Row],[Saldo mes n+4]]-Tabla145[[#This Row],[ RV Producción mes n+1]]</f>
        <v>0</v>
      </c>
    </row>
    <row r="315" spans="1:81" ht="16" x14ac:dyDescent="0.2">
      <c r="A315">
        <v>1</v>
      </c>
      <c r="B315" t="str">
        <f>Tabla145[[#This Row],[Oficina]]&amp;Tabla145[[#This Row],[Material]]</f>
        <v>Agro Sudamerica1020086</v>
      </c>
      <c r="C315" t="s">
        <v>6</v>
      </c>
      <c r="D315" t="s">
        <v>17</v>
      </c>
      <c r="E315">
        <v>1020086</v>
      </c>
      <c r="F315" t="s">
        <v>779</v>
      </c>
      <c r="G315" t="s">
        <v>50</v>
      </c>
      <c r="H315" t="s">
        <v>51</v>
      </c>
      <c r="I315" s="15">
        <f>IFERROR(VLOOKUP(Tabla145[[#This Row],[Llave]],'[7]RV Producción'!$C:$G,5,FALSE),0)</f>
        <v>24000</v>
      </c>
      <c r="J315" s="3">
        <f>IFERROR(IF(Tabla145[[#This Row],[Oficina]]=$I$7,VLOOKUP(Tabla145[[#This Row],[Llave]],'[7]Shangai (Tomas)'!$A:$F,6,FALSE),VLOOKUP(Tabla145[[#This Row],[Llave]],'[7]RV plan de ventas'!$A:$E,5,FALSE)),0)</f>
        <v>24000</v>
      </c>
      <c r="K315" s="17">
        <f>IFERROR(VLOOKUP(Tabla145[[#This Row],[Oficina]],[15]Ponderación!$B$2:$E$9,4,FALSE),0)</f>
        <v>0.45719439678473212</v>
      </c>
      <c r="L315" s="7">
        <f>+Tabla145[[#This Row],[ RV Producción mes n+1]]*Tabla145[[#This Row],[% Uti. producción]]</f>
        <v>10972.665522833571</v>
      </c>
      <c r="M315" s="7">
        <f>IFERROR(VLOOKUP(Tabla145[[#This Row],[Material]],[16]Stock!$G:$K,5,FALSE),0)</f>
        <v>0</v>
      </c>
      <c r="N315" s="15">
        <f>IFERROR(VLOOKUP(Tabla145[[#This Row],[Material]],[16]Produccion!$M:$N,2,FALSE),0)</f>
        <v>0</v>
      </c>
      <c r="O315" s="15">
        <f>IFERROR(VLOOKUP(Tabla145[[#This Row],[Llave]],'[16]TD Conf-AP'!$I:$M,4,FALSE),0)</f>
        <v>0</v>
      </c>
      <c r="P315" s="37">
        <f>SUM(Tabla145[[#This Row],[Producción disponible]],Tabla145[[#This Row],[Stock al día]],(Tabla145[[#This Row],[Por producir mes N]]*0.9))-Tabla145[[#This Row],[Producción por despachar mes N]]</f>
        <v>10972.665522833571</v>
      </c>
      <c r="Q315" s="15">
        <f>IFERROR(VLOOKUP(Tabla145[[#This Row],[Llave]],[17]DELAY!$A:$D,4,FALSE),0)</f>
        <v>0</v>
      </c>
      <c r="R315" s="75">
        <v>24000</v>
      </c>
      <c r="S315" s="98">
        <f>IF(AND(P315&gt;Q315,Q315&gt;0),Q315,IF(AND(P315&lt;Q315,Q315&gt;0),(ROUNDDOWN(P315/R315,0)*R315),0))</f>
        <v>0</v>
      </c>
      <c r="T315" s="76">
        <v>0</v>
      </c>
      <c r="U315" s="98">
        <f>+Tabla145[[#This Row],[Atraso a facturar]]+Tabla145[[#This Row],[Ajuste atraso]]</f>
        <v>0</v>
      </c>
      <c r="V315" s="3">
        <f>+Tabla145[[#This Row],[Total disponible]]-Tabla145[[#This Row],[Facturación atraso]]</f>
        <v>10972.665522833571</v>
      </c>
      <c r="W315" s="6">
        <f>IFERROR(IF(AND(V315&gt;R315,J315&gt;=R315),ROUNDDOWN((Tabla145[[#This Row],[Producción para venta nueva]])/R315,0)*R315,0),0)</f>
        <v>0</v>
      </c>
      <c r="X315" s="76"/>
      <c r="Y315" s="6">
        <f>IF(Tabla145[[#This Row],[Venta del mes]]&gt;0,Tabla145[[#This Row],[Venta del mes]]+Tabla145[[#This Row],[Ajuste venta nueva]],0)</f>
        <v>0</v>
      </c>
      <c r="Z315" s="6">
        <f>+Tabla145[[#This Row],[Producción para venta nueva]]-Tabla145[[#This Row],[Facturación Venta nueva]]</f>
        <v>10972.665522833571</v>
      </c>
      <c r="AA315" s="6">
        <f>IF(AND(A315=1,Tabla145[[#This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5" s="6">
        <v>0</v>
      </c>
      <c r="AC315" s="6">
        <f>IF(Tabla145[[#This Row],[Disponible stock sin venta]]&gt;0,Tabla145[[#This Row],[Disponible stock sin venta]]+Tabla145[[#This Row],[Ajuste stock sin venta]],0)</f>
        <v>0</v>
      </c>
      <c r="AD315" s="3">
        <f>IFERROR(VLOOKUP(Tabla145[[#This Row],[Llave]],'[16]TD Puerto'!$A:$D,4,FALSE),0)</f>
        <v>0</v>
      </c>
      <c r="AE315" s="3">
        <v>0</v>
      </c>
      <c r="AF315" s="3">
        <f>+Tabla145[[#This Row],[Plan Irrestricto Inicial]]</f>
        <v>0</v>
      </c>
      <c r="AG315" s="3">
        <f>+Tabla145[[#This Row],[En puerto a facturar]]</f>
        <v>0</v>
      </c>
      <c r="AH315" s="3">
        <f>+Tabla145[[#This Row],[Facturación atraso]]</f>
        <v>0</v>
      </c>
      <c r="AI315" s="3">
        <f>+Tabla145[[#This Row],[Plan Irrestricto]]-Tabla145[[#This Row],[Puerto ]]-Tabla145[[#This Row],[Atraso]]</f>
        <v>0</v>
      </c>
      <c r="AJ315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15" s="3">
        <f>+Tabla145[[#This Row],[Facturación atraso]]</f>
        <v>0</v>
      </c>
      <c r="AL315" s="3">
        <f>+Tabla145[[#This Row],[Plan Ajustado]]-Tabla145[[#This Row],[ Atraso ajustado]]-Tabla145[[#This Row],[Puerto ]]</f>
        <v>0</v>
      </c>
      <c r="AM315" s="6">
        <f>IFERROR(VLOOKUP(Tabla145[[#This Row],[Llave]],[18]!Tabla14[#All],34,FALSE),0)</f>
        <v>0</v>
      </c>
      <c r="AN315" s="6">
        <f>IFERROR(VLOOKUP(Tabla145[[#This Row],[Llave]],[18]!Tabla14[#All],35,FALSE),0)</f>
        <v>0</v>
      </c>
      <c r="AO315" s="3" t="str">
        <f>IF(Tabla145[[#This Row],[Plan Ajustado]]&gt;Tabla145[[#This Row],[En puerto a facturar]],"Si","No")</f>
        <v>No</v>
      </c>
      <c r="AP315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15" s="3">
        <f>IF(Tabla145[[#This Row],[Necesidad]]&gt;=Tabla145[[#This Row],[Stock al día]],Tabla145[[#This Row],[Stock al día]],Tabla145[[#This Row],[Necesidad]])</f>
        <v>0</v>
      </c>
      <c r="AR315" s="3">
        <f>+Tabla145[[#This Row],[Necesidad]]-Tabla145[[#This Row],[Stock Plan]]</f>
        <v>0</v>
      </c>
      <c r="AS315" s="155">
        <f>IFERROR(VLOOKUP(Tabla145[[#This Row],[Oficina]],[19]Ponderación!$B$14:$E$21,4,FALSE),"")</f>
        <v>44789</v>
      </c>
      <c r="AT315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3.21</v>
      </c>
      <c r="AU315" s="83">
        <f>IFERROR(VLOOKUP(Tabla145[[#This Row],[Llave]],[17]DELAY!$H:$W,16,FALSE),0)</f>
        <v>0</v>
      </c>
      <c r="AV315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15" s="5">
        <f>Tabla145[[#This Row],[Ajuste precio IC]]*Tabla145[[#This Row],[Plan Ajustado]]</f>
        <v>0</v>
      </c>
      <c r="AX315" s="30">
        <f>IFERROR(VLOOKUP(Tabla145[[#This Row],[Llave]],'[13]Ultimos precios facturados'!$A:$G,7,FALSE),0)</f>
        <v>0</v>
      </c>
      <c r="AY315" s="99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15" s="30">
        <f>IFERROR(VLOOKUP(Tabla145[[#This Row],[Llave]],Hoja2!B:K,10,FALSE),0)</f>
        <v>0</v>
      </c>
      <c r="BA315" s="30">
        <f>IF(Tabla145[[#This Row],[Ajuste precio IC]]="",Tabla145[[#This Row],[Precio ponderado]],Tabla145[[#This Row],[Precio ponderado]])</f>
        <v>0</v>
      </c>
      <c r="BB315" s="99"/>
      <c r="BC315" s="99" t="str">
        <f>IF(AND(Tabla145[[#This Row],[Atraso a facturar]]&gt;0,Tabla145[[#This Row],[Precio Atraso]]=0),"Revisar","OK")</f>
        <v>OK</v>
      </c>
      <c r="BD315" s="99" t="str">
        <f>IF(AND(Tabla145[[#This Row],[Venta del mes]]&gt;0,Tabla145[[#This Row],[Precio venta nueva]]=0),"Revisar","OK")</f>
        <v>OK</v>
      </c>
      <c r="BE315" s="20">
        <f>IFERROR(VLOOKUP(Tabla145[[#This Row],[Llave]],'[5]Consolidación planes'!$A:$M,9,FALSE),0)</f>
        <v>0</v>
      </c>
      <c r="BF315" s="20">
        <f>IFERROR(VLOOKUP(Tabla145[[#This Row],[Llave]],'[5]Consolidación planes'!$A:$M,10,FALSE),0)</f>
        <v>0</v>
      </c>
      <c r="BG315" s="20">
        <f>IFERROR(VLOOKUP(Tabla145[[#This Row],[Llave]],'[5]Consolidación planes'!$A:$M,11,FALSE),0)</f>
        <v>0</v>
      </c>
      <c r="BH315" s="20">
        <f>IFERROR(VLOOKUP(Tabla145[[#This Row],[Llave]],'[5]Consolidación planes'!$A:$M,12,FALSE),0)</f>
        <v>0</v>
      </c>
      <c r="BI315" s="20">
        <f>IFERROR(VLOOKUP(Tabla145[[#This Row],[Llave]],'[5]Consolidación planes'!$A:$M,13,FALSE),0)</f>
        <v>0</v>
      </c>
      <c r="BJ315" s="35">
        <f>IFERROR(VLOOKUP(Tabla145[[#This Row],[Llave]],'[13]Base ultimos planes'!$A:$M,13,FALSE),0)</f>
        <v>0</v>
      </c>
      <c r="BK315" s="80">
        <f>IFERROR(VLOOKUP(Tabla145[[#This Row],[Llave]],'[13]Base ultimos planes'!$O:$AA,8,FALSE),0)</f>
        <v>0</v>
      </c>
      <c r="BL315" s="100">
        <f>IFERROR(VLOOKUP(Tabla145[[#This Row],[Llave]],'[13]Base ultimos planes'!$O:$AA,9,FALSE),0)</f>
        <v>0</v>
      </c>
      <c r="BM315" s="100">
        <f>IFERROR(VLOOKUP(Tabla145[[#This Row],[Llave]],'[13]Base ultimos planes'!$O:$AA,10,FALSE),0)</f>
        <v>0</v>
      </c>
      <c r="BN315" s="100">
        <f>IFERROR(VLOOKUP(Tabla145[[#This Row],[Llave]],'[13]Base ultimos planes'!$O:$AA,11,FALSE),0)</f>
        <v>0</v>
      </c>
      <c r="BO315" s="100">
        <f>IFERROR(VLOOKUP(Tabla145[[#This Row],[Llave]],'[13]Base ultimos planes'!$O:$AA,12,FALSE),0)</f>
        <v>0</v>
      </c>
      <c r="BP315" s="100">
        <f>IFERROR(VLOOKUP(Tabla145[[#This Row],[Llave]],'[13]Base ultimos planes'!$O:$AA,13,FALSE),0)</f>
        <v>0</v>
      </c>
      <c r="BQ315" s="35"/>
      <c r="BR315" s="20">
        <f>Tabla145[[#This Row],[ RV Producción mes n+1]]*(1-Tabla145[[#This Row],[% Uti. producción]])</f>
        <v>13027.334477166431</v>
      </c>
      <c r="BS315" s="20">
        <f>+Tabla145[[#This Row],[Producción disponible mes n-1]]+Tabla145[[#This Row],[Saldo Volumen disponible]]</f>
        <v>24000</v>
      </c>
      <c r="BT315" s="7">
        <f>IFERROR(VLOOKUP(Tabla145[[#This Row],[Llave]],'[21]RV n+2 y n+3'!$B:$F,4,FALSE),0)</f>
        <v>96000</v>
      </c>
      <c r="BU315" s="7">
        <f>+Tabla145[[#This Row],[Asignación mes n+2]]*Tabla145[[#This Row],[% Uti. producción]]</f>
        <v>43890.662091334285</v>
      </c>
      <c r="BV315" s="7">
        <f>+Tabla145[[#This Row],[Ponderación mes n+2]]+Tabla145[[#This Row],[Saldo mes n-1]]</f>
        <v>67890.662091334292</v>
      </c>
      <c r="BW315" s="7">
        <f>+Tabla145[[#This Row],[Asignación mes n+2]]-Tabla145[[#This Row],[Ponderación mes n+2]]</f>
        <v>52109.337908665715</v>
      </c>
      <c r="BX315" s="7">
        <f>IFERROR(VLOOKUP(Tabla145[[#This Row],[Llave]],'[21]RV n+2 y n+3'!$B:$F,5,FALSE),0)</f>
        <v>0</v>
      </c>
      <c r="BY315" s="7">
        <f>+Tabla145[[#This Row],[Asignación mes n+3]]*Tabla145[[#This Row],[% Uti. producción]]</f>
        <v>0</v>
      </c>
      <c r="BZ315" s="3">
        <f>+Tabla145[[#This Row],[Ponderación mes n+3]]+Tabla145[[#This Row],[Saldo mes n+2]]</f>
        <v>52109.337908665715</v>
      </c>
      <c r="CA315" s="3">
        <f>+Tabla145[[#This Row],[Asignación mes n+3]]-Tabla145[[#This Row],[Ponderación mes n+3]]</f>
        <v>0</v>
      </c>
      <c r="CB315" s="3">
        <f>+Tabla145[[#This Row],[Producción disponible mes n-1]]+Tabla145[[#This Row],[Producción disponible]]</f>
        <v>24000</v>
      </c>
      <c r="CC315" s="3">
        <f>+Tabla145[[#This Row],[Saldo mes n+4]]-Tabla145[[#This Row],[ RV Producción mes n+1]]</f>
        <v>0</v>
      </c>
    </row>
    <row r="316" spans="1:81" ht="16" x14ac:dyDescent="0.2">
      <c r="A316">
        <v>1</v>
      </c>
      <c r="B316" t="str">
        <f>Tabla145[[#This Row],[Oficina]]&amp;Tabla145[[#This Row],[Material]]</f>
        <v>Agro Sudamerica1022290</v>
      </c>
      <c r="C316" t="s">
        <v>6</v>
      </c>
      <c r="D316" t="s">
        <v>17</v>
      </c>
      <c r="E316">
        <v>1022290</v>
      </c>
      <c r="F316" t="s">
        <v>780</v>
      </c>
      <c r="G316" t="s">
        <v>11</v>
      </c>
      <c r="H316" t="s">
        <v>15</v>
      </c>
      <c r="I316" s="15">
        <f>IFERROR(VLOOKUP(Tabla145[[#This Row],[Llave]],'[7]RV Producción'!$C:$G,5,FALSE),0)</f>
        <v>3702</v>
      </c>
      <c r="J316" s="3">
        <f>IFERROR(IF(Tabla145[[#This Row],[Oficina]]=$I$7,VLOOKUP(Tabla145[[#This Row],[Llave]],'[7]Shangai (Tomas)'!$A:$F,6,FALSE),VLOOKUP(Tabla145[[#This Row],[Llave]],'[7]RV plan de ventas'!$A:$E,5,FALSE)),0)</f>
        <v>0</v>
      </c>
      <c r="K316" s="17">
        <f>IFERROR(VLOOKUP(Tabla145[[#This Row],[Oficina]],[15]Ponderación!$B$2:$E$9,4,FALSE),0)</f>
        <v>0.45719439678473212</v>
      </c>
      <c r="L316" s="7">
        <f>+Tabla145[[#This Row],[ RV Producción mes n+1]]*Tabla145[[#This Row],[% Uti. producción]]</f>
        <v>1692.5336568970783</v>
      </c>
      <c r="M316" s="7">
        <f>IFERROR(VLOOKUP(Tabla145[[#This Row],[Material]],[16]Stock!$G:$K,5,FALSE),0)</f>
        <v>20298</v>
      </c>
      <c r="N316" s="15">
        <f>IFERROR(VLOOKUP(Tabla145[[#This Row],[Material]],[16]Produccion!$M:$N,2,FALSE),0)</f>
        <v>0</v>
      </c>
      <c r="O316" s="15">
        <f>IFERROR(VLOOKUP(Tabla145[[#This Row],[Llave]],'[16]TD Conf-AP'!$I:$M,4,FALSE),0)</f>
        <v>0</v>
      </c>
      <c r="P316" s="37">
        <f>SUM(Tabla145[[#This Row],[Producción disponible]],Tabla145[[#This Row],[Stock al día]],(Tabla145[[#This Row],[Por producir mes N]]*0.9))-Tabla145[[#This Row],[Producción por despachar mes N]]</f>
        <v>21990.533656897078</v>
      </c>
      <c r="Q316" s="15">
        <f>IFERROR(VLOOKUP(Tabla145[[#This Row],[Llave]],[17]DELAY!$A:$D,4,FALSE),0)</f>
        <v>0</v>
      </c>
      <c r="R316" s="75">
        <v>24000</v>
      </c>
      <c r="S316" s="98">
        <f>IF(AND(P316&gt;Q316,Q316&gt;0),Q316,IF(AND(P316&lt;Q316,Q316&gt;0),(ROUNDDOWN(P316/R316,0)*R316),0))</f>
        <v>0</v>
      </c>
      <c r="T316" s="76">
        <v>0</v>
      </c>
      <c r="U316" s="98">
        <f>+Tabla145[[#This Row],[Atraso a facturar]]+Tabla145[[#This Row],[Ajuste atraso]]</f>
        <v>0</v>
      </c>
      <c r="V316" s="3">
        <f>+Tabla145[[#This Row],[Total disponible]]-Tabla145[[#This Row],[Facturación atraso]]</f>
        <v>21990.533656897078</v>
      </c>
      <c r="W316" s="6">
        <f>IFERROR(IF(AND(V316&gt;R316,J316&gt;=R316),ROUNDDOWN((Tabla145[[#This Row],[Producción para venta nueva]])/R316,0)*R316,0),0)</f>
        <v>0</v>
      </c>
      <c r="X316" s="76"/>
      <c r="Y316" s="6">
        <f>IF(Tabla145[[#This Row],[Venta del mes]]&gt;0,Tabla145[[#This Row],[Venta del mes]]+Tabla145[[#This Row],[Ajuste venta nueva]],0)</f>
        <v>0</v>
      </c>
      <c r="Z316" s="6">
        <f>+Tabla145[[#This Row],[Producción para venta nueva]]-Tabla145[[#This Row],[Facturación Venta nueva]]</f>
        <v>21990.533656897078</v>
      </c>
      <c r="AA316" s="6">
        <f>IF(AND(A316=1,Tabla145[[#This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6" s="6">
        <v>0</v>
      </c>
      <c r="AC316" s="6">
        <f>IF(Tabla145[[#This Row],[Disponible stock sin venta]]&gt;0,Tabla145[[#This Row],[Disponible stock sin venta]]+Tabla145[[#This Row],[Ajuste stock sin venta]],0)</f>
        <v>0</v>
      </c>
      <c r="AD316" s="3">
        <f>IFERROR(VLOOKUP(Tabla145[[#This Row],[Llave]],'[16]TD Puerto'!$A:$D,4,FALSE),0)</f>
        <v>0</v>
      </c>
      <c r="AE316" s="3">
        <v>0</v>
      </c>
      <c r="AF316" s="3">
        <f>+Tabla145[[#This Row],[Plan Irrestricto Inicial]]</f>
        <v>0</v>
      </c>
      <c r="AG316" s="3">
        <f>+Tabla145[[#This Row],[En puerto a facturar]]</f>
        <v>0</v>
      </c>
      <c r="AH316" s="3">
        <f>+Tabla145[[#This Row],[Facturación atraso]]</f>
        <v>0</v>
      </c>
      <c r="AI316" s="3">
        <f>+Tabla145[[#This Row],[Plan Irrestricto]]-Tabla145[[#This Row],[Puerto ]]-Tabla145[[#This Row],[Atraso]]</f>
        <v>0</v>
      </c>
      <c r="AJ316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16" s="3">
        <f>+Tabla145[[#This Row],[Facturación atraso]]</f>
        <v>0</v>
      </c>
      <c r="AL316" s="3">
        <f>+Tabla145[[#This Row],[Plan Ajustado]]-Tabla145[[#This Row],[ Atraso ajustado]]-Tabla145[[#This Row],[Puerto ]]</f>
        <v>0</v>
      </c>
      <c r="AM316" s="6">
        <f>IFERROR(VLOOKUP(Tabla145[[#This Row],[Llave]],[18]!Tabla14[#All],34,FALSE),0)</f>
        <v>0</v>
      </c>
      <c r="AN316" s="6">
        <f>IFERROR(VLOOKUP(Tabla145[[#This Row],[Llave]],[18]!Tabla14[#All],35,FALSE),0)</f>
        <v>0</v>
      </c>
      <c r="AO316" s="3" t="str">
        <f>IF(Tabla145[[#This Row],[Plan Ajustado]]&gt;Tabla145[[#This Row],[En puerto a facturar]],"Si","No")</f>
        <v>No</v>
      </c>
      <c r="AP316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16" s="3">
        <f>IF(Tabla145[[#This Row],[Necesidad]]&gt;=Tabla145[[#This Row],[Stock al día]],Tabla145[[#This Row],[Stock al día]],Tabla145[[#This Row],[Necesidad]])</f>
        <v>0</v>
      </c>
      <c r="AR316" s="3">
        <f>+Tabla145[[#This Row],[Necesidad]]-Tabla145[[#This Row],[Stock Plan]]</f>
        <v>0</v>
      </c>
      <c r="AS316" s="155">
        <f>IFERROR(VLOOKUP(Tabla145[[#This Row],[Oficina]],[19]Ponderación!$B$14:$E$21,4,FALSE),"")</f>
        <v>44789</v>
      </c>
      <c r="AT316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0</v>
      </c>
      <c r="AU316" s="83">
        <f>IFERROR(VLOOKUP(Tabla145[[#This Row],[Llave]],[17]DELAY!$H:$W,16,FALSE),0)</f>
        <v>0</v>
      </c>
      <c r="AV316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16" s="5">
        <f>Tabla145[[#This Row],[Ajuste precio IC]]*Tabla145[[#This Row],[Plan Ajustado]]</f>
        <v>0</v>
      </c>
      <c r="AX316" s="30">
        <f>IFERROR(VLOOKUP(Tabla145[[#This Row],[Llave]],'[13]Ultimos precios facturados'!$A:$G,7,FALSE),0)</f>
        <v>0</v>
      </c>
      <c r="AY316" s="99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16" s="30">
        <f>IFERROR(VLOOKUP(Tabla145[[#This Row],[Llave]],Hoja2!B:K,10,FALSE),0)</f>
        <v>0</v>
      </c>
      <c r="BA316" s="30">
        <f>IF(Tabla145[[#This Row],[Ajuste precio IC]]="",Tabla145[[#This Row],[Precio ponderado]],Tabla145[[#This Row],[Precio ponderado]])</f>
        <v>0</v>
      </c>
      <c r="BB316" s="99"/>
      <c r="BC316" s="99" t="str">
        <f>IF(AND(Tabla145[[#This Row],[Atraso a facturar]]&gt;0,Tabla145[[#This Row],[Precio Atraso]]=0),"Revisar","OK")</f>
        <v>OK</v>
      </c>
      <c r="BD316" s="99" t="str">
        <f>IF(AND(Tabla145[[#This Row],[Venta del mes]]&gt;0,Tabla145[[#This Row],[Precio venta nueva]]=0),"Revisar","OK")</f>
        <v>OK</v>
      </c>
      <c r="BE316" s="20">
        <f>IFERROR(VLOOKUP(Tabla145[[#This Row],[Llave]],'[5]Consolidación planes'!$A:$M,9,FALSE),0)</f>
        <v>0</v>
      </c>
      <c r="BF316" s="20">
        <f>IFERROR(VLOOKUP(Tabla145[[#This Row],[Llave]],'[5]Consolidación planes'!$A:$M,10,FALSE),0)</f>
        <v>0</v>
      </c>
      <c r="BG316" s="20">
        <f>IFERROR(VLOOKUP(Tabla145[[#This Row],[Llave]],'[5]Consolidación planes'!$A:$M,11,FALSE),0)</f>
        <v>0</v>
      </c>
      <c r="BH316" s="20">
        <f>IFERROR(VLOOKUP(Tabla145[[#This Row],[Llave]],'[5]Consolidación planes'!$A:$M,12,FALSE),0)</f>
        <v>0</v>
      </c>
      <c r="BI316" s="20">
        <f>IFERROR(VLOOKUP(Tabla145[[#This Row],[Llave]],'[5]Consolidación planes'!$A:$M,13,FALSE),0)</f>
        <v>0</v>
      </c>
      <c r="BJ316" s="35">
        <f>IFERROR(VLOOKUP(Tabla145[[#This Row],[Llave]],'[13]Base ultimos planes'!$A:$M,13,FALSE),0)</f>
        <v>0</v>
      </c>
      <c r="BK316" s="80">
        <f>IFERROR(VLOOKUP(Tabla145[[#This Row],[Llave]],'[13]Base ultimos planes'!$O:$AA,8,FALSE),0)</f>
        <v>0</v>
      </c>
      <c r="BL316" s="100">
        <f>IFERROR(VLOOKUP(Tabla145[[#This Row],[Llave]],'[13]Base ultimos planes'!$O:$AA,9,FALSE),0)</f>
        <v>0</v>
      </c>
      <c r="BM316" s="100">
        <f>IFERROR(VLOOKUP(Tabla145[[#This Row],[Llave]],'[13]Base ultimos planes'!$O:$AA,10,FALSE),0)</f>
        <v>0</v>
      </c>
      <c r="BN316" s="100">
        <f>IFERROR(VLOOKUP(Tabla145[[#This Row],[Llave]],'[13]Base ultimos planes'!$O:$AA,11,FALSE),0)</f>
        <v>0</v>
      </c>
      <c r="BO316" s="100">
        <f>IFERROR(VLOOKUP(Tabla145[[#This Row],[Llave]],'[13]Base ultimos planes'!$O:$AA,12,FALSE),0)</f>
        <v>0</v>
      </c>
      <c r="BP316" s="100">
        <f>IFERROR(VLOOKUP(Tabla145[[#This Row],[Llave]],'[13]Base ultimos planes'!$O:$AA,13,FALSE),0)</f>
        <v>0</v>
      </c>
      <c r="BQ316" s="35"/>
      <c r="BR316" s="20">
        <f>Tabla145[[#This Row],[ RV Producción mes n+1]]*(1-Tabla145[[#This Row],[% Uti. producción]])</f>
        <v>2009.4663431029219</v>
      </c>
      <c r="BS316" s="20">
        <f>+Tabla145[[#This Row],[Producción disponible mes n-1]]+Tabla145[[#This Row],[Saldo Volumen disponible]]</f>
        <v>24000</v>
      </c>
      <c r="BT316" s="7">
        <f>IFERROR(VLOOKUP(Tabla145[[#This Row],[Llave]],'[21]RV n+2 y n+3'!$B:$F,4,FALSE),0)</f>
        <v>0</v>
      </c>
      <c r="BU316" s="7">
        <f>+Tabla145[[#This Row],[Asignación mes n+2]]*Tabla145[[#This Row],[% Uti. producción]]</f>
        <v>0</v>
      </c>
      <c r="BV316" s="7">
        <f>+Tabla145[[#This Row],[Ponderación mes n+2]]+Tabla145[[#This Row],[Saldo mes n-1]]</f>
        <v>24000</v>
      </c>
      <c r="BW316" s="7">
        <f>+Tabla145[[#This Row],[Asignación mes n+2]]-Tabla145[[#This Row],[Ponderación mes n+2]]</f>
        <v>0</v>
      </c>
      <c r="BX316" s="7">
        <f>IFERROR(VLOOKUP(Tabla145[[#This Row],[Llave]],'[21]RV n+2 y n+3'!$B:$F,5,FALSE),0)</f>
        <v>0</v>
      </c>
      <c r="BY316" s="7">
        <f>+Tabla145[[#This Row],[Asignación mes n+3]]*Tabla145[[#This Row],[% Uti. producción]]</f>
        <v>0</v>
      </c>
      <c r="BZ316" s="3">
        <f>+Tabla145[[#This Row],[Ponderación mes n+3]]+Tabla145[[#This Row],[Saldo mes n+2]]</f>
        <v>0</v>
      </c>
      <c r="CA316" s="3">
        <f>+Tabla145[[#This Row],[Asignación mes n+3]]-Tabla145[[#This Row],[Ponderación mes n+3]]</f>
        <v>0</v>
      </c>
      <c r="CB316" s="3">
        <f>+Tabla145[[#This Row],[Producción disponible mes n-1]]+Tabla145[[#This Row],[Producción disponible]]</f>
        <v>3702</v>
      </c>
      <c r="CC316" s="3">
        <f>+Tabla145[[#This Row],[Saldo mes n+4]]-Tabla145[[#This Row],[ RV Producción mes n+1]]</f>
        <v>0</v>
      </c>
    </row>
    <row r="317" spans="1:81" ht="16" x14ac:dyDescent="0.2">
      <c r="A317">
        <v>1</v>
      </c>
      <c r="B317" t="str">
        <f>Tabla145[[#This Row],[Oficina]]&amp;Tabla145[[#This Row],[Material]]</f>
        <v>Exportacion Directa1022346</v>
      </c>
      <c r="C317" t="s">
        <v>6</v>
      </c>
      <c r="D317" t="s">
        <v>88</v>
      </c>
      <c r="E317">
        <v>1022346</v>
      </c>
      <c r="F317" t="s">
        <v>781</v>
      </c>
      <c r="G317" t="s">
        <v>53</v>
      </c>
      <c r="H317" t="s">
        <v>54</v>
      </c>
      <c r="I317" s="15">
        <f>IFERROR(VLOOKUP(Tabla145[[#This Row],[Llave]],'[7]RV Producción'!$C:$G,5,FALSE),0)</f>
        <v>5371</v>
      </c>
      <c r="J317" s="3">
        <f>IFERROR(IF(Tabla145[[#This Row],[Oficina]]=$I$7,VLOOKUP(Tabla145[[#This Row],[Llave]],'[7]Shangai (Tomas)'!$A:$F,6,FALSE),VLOOKUP(Tabla145[[#This Row],[Llave]],'[7]RV plan de ventas'!$A:$E,5,FALSE)),0)</f>
        <v>5000</v>
      </c>
      <c r="K317" s="17">
        <f>IFERROR(VLOOKUP(Tabla145[[#This Row],[Oficina]],[15]Ponderación!$B$2:$E$9,4,FALSE),0)</f>
        <v>0.87158319035419651</v>
      </c>
      <c r="L317" s="7">
        <f>+Tabla145[[#This Row],[ RV Producción mes n+1]]*Tabla145[[#This Row],[% Uti. producción]]</f>
        <v>4681.2733153923891</v>
      </c>
      <c r="M317" s="7">
        <f>IFERROR(VLOOKUP(Tabla145[[#This Row],[Material]],[16]Stock!$G:$K,5,FALSE),0)</f>
        <v>0</v>
      </c>
      <c r="N317" s="15">
        <f>IFERROR(VLOOKUP(Tabla145[[#This Row],[Material]],[16]Produccion!$M:$N,2,FALSE),0)</f>
        <v>0</v>
      </c>
      <c r="O317" s="15">
        <f>IFERROR(VLOOKUP(Tabla145[[#This Row],[Llave]],'[16]TD Conf-AP'!$I:$M,4,FALSE),0)</f>
        <v>0</v>
      </c>
      <c r="P317" s="37">
        <f>SUM(Tabla145[[#This Row],[Producción disponible]],Tabla145[[#This Row],[Stock al día]],(Tabla145[[#This Row],[Por producir mes N]]*0.9))-Tabla145[[#This Row],[Producción por despachar mes N]]</f>
        <v>4681.2733153923891</v>
      </c>
      <c r="Q317" s="15">
        <f>IFERROR(VLOOKUP(Tabla145[[#This Row],[Llave]],[17]DELAY!$A:$D,4,FALSE),0)</f>
        <v>0</v>
      </c>
      <c r="R317" s="75">
        <v>24000</v>
      </c>
      <c r="S317" s="98">
        <f t="shared" ref="S317:S318" si="11">IF(AND(P317&gt;Q317,Q317&gt;0),Q317,IF(AND(P317&lt;Q317,Q317&gt;0),(ROUNDDOWN(P317/R317,0)*R317),0))</f>
        <v>0</v>
      </c>
      <c r="T317" s="76">
        <v>0</v>
      </c>
      <c r="U317" s="98">
        <f>+Tabla145[[#This Row],[Atraso a facturar]]+Tabla145[[#This Row],[Ajuste atraso]]</f>
        <v>0</v>
      </c>
      <c r="V317" s="3">
        <f>+Tabla145[[#This Row],[Total disponible]]-Tabla145[[#This Row],[Facturación atraso]]</f>
        <v>4681.2733153923891</v>
      </c>
      <c r="W317" s="6">
        <f>IFERROR(IF(AND(V317&gt;R317,J317&gt;=R317),ROUNDDOWN((Tabla145[[#This Row],[Producción para venta nueva]])/R317,0)*R317,0),0)</f>
        <v>0</v>
      </c>
      <c r="X317" s="76"/>
      <c r="Y317" s="6">
        <f>IF(Tabla145[[#This Row],[Venta del mes]]&gt;0,Tabla145[[#This Row],[Venta del mes]]+Tabla145[[#This Row],[Ajuste venta nueva]],0)</f>
        <v>0</v>
      </c>
      <c r="Z317" s="6">
        <f>+Tabla145[[#This Row],[Producción para venta nueva]]-Tabla145[[#This Row],[Facturación Venta nueva]]</f>
        <v>4681.2733153923891</v>
      </c>
      <c r="AA317" s="6">
        <f>IF(AND(A318=1,Tabla145[[#This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7" s="6">
        <v>0</v>
      </c>
      <c r="AC317" s="6">
        <f>IF(Tabla145[[#This Row],[Disponible stock sin venta]]&gt;0,Tabla145[[#This Row],[Disponible stock sin venta]]+Tabla145[[#This Row],[Ajuste stock sin venta]],0)</f>
        <v>0</v>
      </c>
      <c r="AD317" s="3">
        <f>IFERROR(VLOOKUP(Tabla145[[#This Row],[Llave]],'[16]TD Puerto'!$A:$D,4,FALSE),0)</f>
        <v>0</v>
      </c>
      <c r="AE317" s="3">
        <v>0</v>
      </c>
      <c r="AF317" s="3">
        <f>+Tabla145[[#This Row],[Plan Irrestricto Inicial]]</f>
        <v>0</v>
      </c>
      <c r="AG317" s="3">
        <f>+Tabla145[[#This Row],[En puerto a facturar]]</f>
        <v>0</v>
      </c>
      <c r="AH317" s="3">
        <f>+Tabla145[[#This Row],[Facturación atraso]]</f>
        <v>0</v>
      </c>
      <c r="AI317" s="3">
        <f>+Tabla145[[#This Row],[Plan Irrestricto]]-Tabla145[[#This Row],[Puerto ]]-Tabla145[[#This Row],[Atraso]]</f>
        <v>0</v>
      </c>
      <c r="AJ317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17" s="3">
        <f>+Tabla145[[#This Row],[Facturación atraso]]</f>
        <v>0</v>
      </c>
      <c r="AL317" s="3">
        <f>+Tabla145[[#This Row],[Plan Ajustado]]-Tabla145[[#This Row],[ Atraso ajustado]]-Tabla145[[#This Row],[Puerto ]]</f>
        <v>0</v>
      </c>
      <c r="AM317" s="6">
        <f>IFERROR(VLOOKUP(Tabla145[[#This Row],[Llave]],[18]!Tabla14[#All],34,FALSE),0)</f>
        <v>0</v>
      </c>
      <c r="AN317" s="6">
        <f>IFERROR(VLOOKUP(Tabla145[[#This Row],[Llave]],[18]!Tabla14[#All],35,FALSE),0)</f>
        <v>0</v>
      </c>
      <c r="AO317" s="3" t="str">
        <f>IF(Tabla145[[#This Row],[Plan Ajustado]]&gt;Tabla145[[#This Row],[En puerto a facturar]],"Si","No")</f>
        <v>No</v>
      </c>
      <c r="AP317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17" s="3">
        <f>IF(Tabla145[[#This Row],[Necesidad]]&gt;=Tabla145[[#This Row],[Stock al día]],Tabla145[[#This Row],[Stock al día]],Tabla145[[#This Row],[Necesidad]])</f>
        <v>0</v>
      </c>
      <c r="AR317" s="3">
        <f>+Tabla145[[#This Row],[Necesidad]]-Tabla145[[#This Row],[Stock Plan]]</f>
        <v>0</v>
      </c>
      <c r="AS317" s="155">
        <f>IFERROR(VLOOKUP(Tabla145[[#This Row],[Oficina]],[19]Ponderación!$B$14:$E$21,4,FALSE),"")</f>
        <v>44800</v>
      </c>
      <c r="AT317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2.59</v>
      </c>
      <c r="AU317" s="83">
        <f>IFERROR(VLOOKUP(Tabla145[[#This Row],[Llave]],[17]DELAY!$H:$W,16,FALSE),0)</f>
        <v>0</v>
      </c>
      <c r="AV317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17" s="5">
        <f>Tabla145[[#This Row],[Ajuste precio IC]]*Tabla145[[#This Row],[Plan Ajustado]]</f>
        <v>0</v>
      </c>
      <c r="AX317" s="30">
        <f>IFERROR(VLOOKUP(Tabla145[[#This Row],[Llave]],'[13]Ultimos precios facturados'!$A:$G,7,FALSE),0)</f>
        <v>0</v>
      </c>
      <c r="AY317" s="99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17" s="30">
        <f>IFERROR(VLOOKUP(Tabla145[[#This Row],[Llave]],Hoja2!B:K,10,FALSE),0)</f>
        <v>0</v>
      </c>
      <c r="BA317" s="30">
        <f>IF(Tabla145[[#This Row],[Ajuste precio IC]]="",Tabla145[[#This Row],[Precio ponderado]],Tabla145[[#This Row],[Precio ponderado]])</f>
        <v>0</v>
      </c>
      <c r="BB317" s="99"/>
      <c r="BC317" s="99" t="str">
        <f>IF(AND(Tabla145[[#This Row],[Atraso a facturar]]&gt;0,Tabla145[[#This Row],[Precio Atraso]]=0),"Revisar","OK")</f>
        <v>OK</v>
      </c>
      <c r="BD317" s="99" t="str">
        <f>IF(AND(Tabla145[[#This Row],[Venta del mes]]&gt;0,Tabla145[[#This Row],[Precio venta nueva]]=0),"Revisar","OK")</f>
        <v>OK</v>
      </c>
      <c r="BE317" s="20">
        <f>IFERROR(VLOOKUP(Tabla145[[#This Row],[Llave]],'[5]Consolidación planes'!$A:$M,9,FALSE),0)</f>
        <v>0</v>
      </c>
      <c r="BF317" s="20">
        <f>IFERROR(VLOOKUP(Tabla145[[#This Row],[Llave]],'[5]Consolidación planes'!$A:$M,10,FALSE),0)</f>
        <v>0</v>
      </c>
      <c r="BG317" s="20">
        <f>IFERROR(VLOOKUP(Tabla145[[#This Row],[Llave]],'[5]Consolidación planes'!$A:$M,11,FALSE),0)</f>
        <v>0</v>
      </c>
      <c r="BH317" s="20">
        <f>IFERROR(VLOOKUP(Tabla145[[#This Row],[Llave]],'[5]Consolidación planes'!$A:$M,12,FALSE),0)</f>
        <v>0</v>
      </c>
      <c r="BI317" s="20">
        <f>IFERROR(VLOOKUP(Tabla145[[#This Row],[Llave]],'[5]Consolidación planes'!$A:$M,13,FALSE),0)</f>
        <v>0</v>
      </c>
      <c r="BJ317" s="35">
        <f>IFERROR(VLOOKUP(Tabla145[[#This Row],[Llave]],'[13]Base ultimos planes'!$A:$M,13,FALSE),0)</f>
        <v>0</v>
      </c>
      <c r="BK317" s="80">
        <f>IFERROR(VLOOKUP(Tabla145[[#This Row],[Llave]],'[13]Base ultimos planes'!$O:$AA,8,FALSE),0)</f>
        <v>0</v>
      </c>
      <c r="BL317" s="100">
        <f>IFERROR(VLOOKUP(Tabla145[[#This Row],[Llave]],'[13]Base ultimos planes'!$O:$AA,9,FALSE),0)</f>
        <v>0</v>
      </c>
      <c r="BM317" s="100">
        <f>IFERROR(VLOOKUP(Tabla145[[#This Row],[Llave]],'[13]Base ultimos planes'!$O:$AA,10,FALSE),0)</f>
        <v>0</v>
      </c>
      <c r="BN317" s="100">
        <f>IFERROR(VLOOKUP(Tabla145[[#This Row],[Llave]],'[13]Base ultimos planes'!$O:$AA,11,FALSE),0)</f>
        <v>0</v>
      </c>
      <c r="BO317" s="100">
        <f>IFERROR(VLOOKUP(Tabla145[[#This Row],[Llave]],'[13]Base ultimos planes'!$O:$AA,12,FALSE),0)</f>
        <v>0</v>
      </c>
      <c r="BP317" s="100">
        <f>IFERROR(VLOOKUP(Tabla145[[#This Row],[Llave]],'[13]Base ultimos planes'!$O:$AA,13,FALSE),0)</f>
        <v>0</v>
      </c>
      <c r="BQ317" s="35"/>
      <c r="BR317" s="20">
        <f>Tabla145[[#This Row],[ RV Producción mes n+1]]*(1-Tabla145[[#This Row],[% Uti. producción]])</f>
        <v>689.72668460761054</v>
      </c>
      <c r="BS317" s="20">
        <f>+Tabla145[[#This Row],[Producción disponible mes n-1]]+Tabla145[[#This Row],[Saldo Volumen disponible]]</f>
        <v>5371</v>
      </c>
      <c r="BT317" s="7">
        <f>IFERROR(VLOOKUP(Tabla145[[#This Row],[Llave]],'[21]RV n+2 y n+3'!$B:$F,4,FALSE),0)</f>
        <v>0</v>
      </c>
      <c r="BU317" s="7">
        <f>+Tabla145[[#This Row],[Asignación mes n+2]]*Tabla145[[#This Row],[% Uti. producción]]</f>
        <v>0</v>
      </c>
      <c r="BV317" s="7">
        <f>+Tabla145[[#This Row],[Ponderación mes n+2]]+Tabla145[[#This Row],[Saldo mes n-1]]</f>
        <v>5371</v>
      </c>
      <c r="BW317" s="7">
        <f>+Tabla145[[#This Row],[Asignación mes n+2]]-Tabla145[[#This Row],[Ponderación mes n+2]]</f>
        <v>0</v>
      </c>
      <c r="BX317" s="7">
        <f>IFERROR(VLOOKUP(Tabla145[[#This Row],[Llave]],'[21]RV n+2 y n+3'!$B:$F,5,FALSE),0)</f>
        <v>0</v>
      </c>
      <c r="BY317" s="7">
        <f>+Tabla145[[#This Row],[Asignación mes n+3]]*Tabla145[[#This Row],[% Uti. producción]]</f>
        <v>0</v>
      </c>
      <c r="BZ317" s="3">
        <f>+Tabla145[[#This Row],[Ponderación mes n+3]]+Tabla145[[#This Row],[Saldo mes n+2]]</f>
        <v>0</v>
      </c>
      <c r="CA317" s="3">
        <f>+Tabla145[[#This Row],[Asignación mes n+3]]-Tabla145[[#This Row],[Ponderación mes n+3]]</f>
        <v>0</v>
      </c>
      <c r="CB317" s="3">
        <f>+Tabla145[[#This Row],[Producción disponible mes n-1]]+Tabla145[[#This Row],[Producción disponible]]</f>
        <v>5371</v>
      </c>
      <c r="CC317" s="3">
        <f>+Tabla145[[#This Row],[Saldo mes n+4]]-Tabla145[[#This Row],[ RV Producción mes n+1]]</f>
        <v>0</v>
      </c>
    </row>
    <row r="318" spans="1:81" ht="16" x14ac:dyDescent="0.2">
      <c r="A318">
        <v>1</v>
      </c>
      <c r="B318" t="str">
        <f>Tabla145[[#This Row],[Oficina]]&amp;Tabla145[[#This Row],[Material]]</f>
        <v>Exportacion Directa1023419</v>
      </c>
      <c r="C318" t="s">
        <v>6</v>
      </c>
      <c r="D318" t="s">
        <v>88</v>
      </c>
      <c r="E318">
        <v>1023419</v>
      </c>
      <c r="F318" t="s">
        <v>295</v>
      </c>
      <c r="G318" t="s">
        <v>11</v>
      </c>
      <c r="H318" t="s">
        <v>15</v>
      </c>
      <c r="I318" s="15">
        <f>IFERROR(VLOOKUP(Tabla145[[#This Row],[Llave]],'[7]RV Producción'!$C:$G,5,FALSE),0)</f>
        <v>24000</v>
      </c>
      <c r="J318" s="3">
        <f>IFERROR(IF(Tabla145[[#This Row],[Oficina]]=$I$7,VLOOKUP(Tabla145[[#This Row],[Llave]],'[7]Shangai (Tomas)'!$A:$F,6,FALSE),VLOOKUP(Tabla145[[#This Row],[Llave]],'[7]RV plan de ventas'!$A:$E,5,FALSE)),0)</f>
        <v>24000</v>
      </c>
      <c r="K318" s="17">
        <f>IFERROR(VLOOKUP(Tabla145[[#This Row],[Oficina]],[15]Ponderación!$B$2:$E$9,4,FALSE),0)</f>
        <v>0.87158319035419651</v>
      </c>
      <c r="L318" s="7">
        <f>+Tabla145[[#This Row],[ RV Producción mes n+1]]*Tabla145[[#This Row],[% Uti. producción]]</f>
        <v>20917.996568500716</v>
      </c>
      <c r="M318" s="7">
        <f>IFERROR(VLOOKUP(Tabla145[[#This Row],[Material]],[16]Stock!$G:$K,5,FALSE),0)</f>
        <v>3260</v>
      </c>
      <c r="N318" s="15">
        <f>IFERROR(VLOOKUP(Tabla145[[#This Row],[Material]],[16]Produccion!$M:$N,2,FALSE),0)</f>
        <v>0</v>
      </c>
      <c r="O318" s="15">
        <f>IFERROR(VLOOKUP(Tabla145[[#This Row],[Llave]],'[16]TD Conf-AP'!$I:$M,4,FALSE),0)</f>
        <v>0</v>
      </c>
      <c r="P318" s="37">
        <f>SUM(Tabla145[[#This Row],[Producción disponible]],Tabla145[[#This Row],[Stock al día]],(Tabla145[[#This Row],[Por producir mes N]]*0.9))-Tabla145[[#This Row],[Producción por despachar mes N]]</f>
        <v>24177.996568500716</v>
      </c>
      <c r="Q318" s="15">
        <f>IFERROR(VLOOKUP(Tabla145[[#This Row],[Llave]],[17]DELAY!$A:$D,4,FALSE),0)</f>
        <v>0</v>
      </c>
      <c r="R318" s="75">
        <v>24000</v>
      </c>
      <c r="S318" s="98">
        <f t="shared" si="11"/>
        <v>0</v>
      </c>
      <c r="T318" s="76">
        <v>0</v>
      </c>
      <c r="U318" s="98">
        <f>+Tabla145[[#This Row],[Atraso a facturar]]+Tabla145[[#This Row],[Ajuste atraso]]</f>
        <v>0</v>
      </c>
      <c r="V318" s="3">
        <f>+Tabla145[[#This Row],[Total disponible]]-Tabla145[[#This Row],[Facturación atraso]]</f>
        <v>24177.996568500716</v>
      </c>
      <c r="W318" s="6">
        <f>IFERROR(IF(AND(V318&gt;R318,J318&gt;=R318),ROUNDDOWN((Tabla145[[#This Row],[Producción para venta nueva]])/R318,0)*R318,0),0)</f>
        <v>24000</v>
      </c>
      <c r="X318" s="76"/>
      <c r="Y318" s="6">
        <f>IF(Tabla145[[#This Row],[Venta del mes]]&gt;0,Tabla145[[#This Row],[Venta del mes]]+Tabla145[[#This Row],[Ajuste venta nueva]],0)</f>
        <v>24000</v>
      </c>
      <c r="Z318" s="6">
        <f>+Tabla145[[#This Row],[Producción para venta nueva]]-Tabla145[[#This Row],[Facturación Venta nueva]]</f>
        <v>177.99656850071551</v>
      </c>
      <c r="AA318" s="6">
        <f>IF(AND(A319=1,Tabla145[[#This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8" s="6">
        <v>0</v>
      </c>
      <c r="AC318" s="6">
        <f>IF(Tabla145[[#This Row],[Disponible stock sin venta]]&gt;0,Tabla145[[#This Row],[Disponible stock sin venta]]+Tabla145[[#This Row],[Ajuste stock sin venta]],0)</f>
        <v>0</v>
      </c>
      <c r="AD318" s="3">
        <f>IFERROR(VLOOKUP(Tabla145[[#This Row],[Llave]],'[16]TD Puerto'!$A:$D,4,FALSE),0)</f>
        <v>0</v>
      </c>
      <c r="AE318" s="3">
        <v>0</v>
      </c>
      <c r="AF318" s="3">
        <f>+Tabla145[[#This Row],[Plan Irrestricto Inicial]]</f>
        <v>0</v>
      </c>
      <c r="AG318" s="3">
        <f>+Tabla145[[#This Row],[En puerto a facturar]]</f>
        <v>0</v>
      </c>
      <c r="AH318" s="3">
        <f>+Tabla145[[#This Row],[Facturación atraso]]</f>
        <v>0</v>
      </c>
      <c r="AI318" s="3">
        <f>+Tabla145[[#This Row],[Plan Irrestricto]]-Tabla145[[#This Row],[Puerto ]]-Tabla145[[#This Row],[Atraso]]</f>
        <v>0</v>
      </c>
      <c r="AJ318" s="3">
        <f>IF(Tabla145[[#This Row],[Plan Irrestricto]]&gt;0,SUM(Tabla145[[#This Row],[Facturación atraso]],Tabla145[[#This Row],[Facturación Venta nueva]],Tabla145[[#This Row],[Facturación stock]],Tabla145[[#This Row],[En puerto a facturar]]),0)</f>
        <v>0</v>
      </c>
      <c r="AK318" s="3">
        <f>+Tabla145[[#This Row],[Facturación atraso]]</f>
        <v>0</v>
      </c>
      <c r="AL318" s="3">
        <f>+Tabla145[[#This Row],[Plan Ajustado]]-Tabla145[[#This Row],[ Atraso ajustado]]-Tabla145[[#This Row],[Puerto ]]</f>
        <v>0</v>
      </c>
      <c r="AM318" s="6">
        <f>IFERROR(VLOOKUP(Tabla145[[#This Row],[Llave]],[18]!Tabla14[#All],34,FALSE),0)</f>
        <v>0</v>
      </c>
      <c r="AN318" s="6">
        <f>IFERROR(VLOOKUP(Tabla145[[#This Row],[Llave]],[18]!Tabla14[#All],35,FALSE),0)</f>
        <v>0</v>
      </c>
      <c r="AO318" s="3" t="str">
        <f>IF(Tabla145[[#This Row],[Plan Ajustado]]&gt;Tabla145[[#This Row],[En puerto a facturar]],"Si","No")</f>
        <v>No</v>
      </c>
      <c r="AP318" s="3">
        <f>IF(AND(Tabla145[[#This Row],[Plan Ajustado]]&gt;0,Tabla145[[#This Row],[Plan Ajustado]]&gt;Tabla145[[#This Row],[En puerto a facturar]]),(Tabla145[[#This Row],[Plan Ajustado]]-Tabla145[[#This Row],[En puerto a facturar]]),0)</f>
        <v>0</v>
      </c>
      <c r="AQ318" s="3">
        <f>IF(Tabla145[[#This Row],[Necesidad]]&gt;=Tabla145[[#This Row],[Stock al día]],Tabla145[[#This Row],[Stock al día]],Tabla145[[#This Row],[Necesidad]])</f>
        <v>0</v>
      </c>
      <c r="AR318" s="3">
        <f>+Tabla145[[#This Row],[Necesidad]]-Tabla145[[#This Row],[Stock Plan]]</f>
        <v>0</v>
      </c>
      <c r="AS318" s="155">
        <f>IFERROR(VLOOKUP(Tabla145[[#This Row],[Oficina]],[19]Ponderación!$B$14:$E$21,4,FALSE),"")</f>
        <v>44800</v>
      </c>
      <c r="AT318" s="30">
        <f>IFERROR(IF(Tabla145[[#This Row],[Oficina]]=$AT$8,VLOOKUP(Tabla145[[#This Row],[Material]],'[20]Shangai (Tomas)'!$A:$H,6,FALSE),VLOOKUP(Tabla145[[#This Row],[Llave]],'[7]RV plan de ventas'!$A:$F,6,FALSE)),Tabla145[[#This Row],[Precio Ultima facturación]])</f>
        <v>1.8</v>
      </c>
      <c r="AU318" s="83">
        <f>IFERROR(VLOOKUP(Tabla145[[#This Row],[Llave]],[17]DELAY!$H:$W,16,FALSE),0)</f>
        <v>0</v>
      </c>
      <c r="AV318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0</v>
      </c>
      <c r="AW318" s="5">
        <f>Tabla145[[#This Row],[Ajuste precio IC]]*Tabla145[[#This Row],[Plan Ajustado]]</f>
        <v>0</v>
      </c>
      <c r="AX318" s="30">
        <f>IFERROR(VLOOKUP(Tabla145[[#This Row],[Llave]],'[13]Ultimos precios facturados'!$A:$G,7,FALSE),0)</f>
        <v>0</v>
      </c>
      <c r="AY318" s="99" t="str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No Aplica</v>
      </c>
      <c r="AZ318" s="30">
        <f>IFERROR(VLOOKUP(Tabla145[[#This Row],[Llave]],Hoja2!B:K,10,FALSE),0)</f>
        <v>1.8</v>
      </c>
      <c r="BA318" s="30">
        <f>IF(Tabla145[[#This Row],[Ajuste precio IC]]="",Tabla145[[#This Row],[Precio ponderado]],Tabla145[[#This Row],[Precio ponderado]])</f>
        <v>0</v>
      </c>
      <c r="BB318" s="99"/>
      <c r="BC318" s="99" t="str">
        <f>IF(AND(Tabla145[[#This Row],[Atraso a facturar]]&gt;0,Tabla145[[#This Row],[Precio Atraso]]=0),"Revisar","OK")</f>
        <v>OK</v>
      </c>
      <c r="BD318" s="99" t="str">
        <f>IF(AND(Tabla145[[#This Row],[Venta del mes]]&gt;0,Tabla145[[#This Row],[Precio venta nueva]]=0),"Revisar","OK")</f>
        <v>OK</v>
      </c>
      <c r="BE318" s="20">
        <f>IFERROR(VLOOKUP(Tabla145[[#This Row],[Llave]],'[5]Consolidación planes'!$A:$M,9,FALSE),0)</f>
        <v>0</v>
      </c>
      <c r="BF318" s="20">
        <f>IFERROR(VLOOKUP(Tabla145[[#This Row],[Llave]],'[5]Consolidación planes'!$A:$M,10,FALSE),0)</f>
        <v>0</v>
      </c>
      <c r="BG318" s="20">
        <f>IFERROR(VLOOKUP(Tabla145[[#This Row],[Llave]],'[5]Consolidación planes'!$A:$M,11,FALSE),0)</f>
        <v>0</v>
      </c>
      <c r="BH318" s="20">
        <f>IFERROR(VLOOKUP(Tabla145[[#This Row],[Llave]],'[5]Consolidación planes'!$A:$M,12,FALSE),0)</f>
        <v>0</v>
      </c>
      <c r="BI318" s="20">
        <f>IFERROR(VLOOKUP(Tabla145[[#This Row],[Llave]],'[5]Consolidación planes'!$A:$M,13,FALSE),0)</f>
        <v>0</v>
      </c>
      <c r="BJ318" s="35">
        <f>IFERROR(VLOOKUP(Tabla145[[#This Row],[Llave]],'[13]Base ultimos planes'!$A:$M,13,FALSE),0)</f>
        <v>0</v>
      </c>
      <c r="BK318" s="80">
        <f>IFERROR(VLOOKUP(Tabla145[[#This Row],[Llave]],'[13]Base ultimos planes'!$O:$AA,8,FALSE),0)</f>
        <v>0</v>
      </c>
      <c r="BL318" s="100">
        <f>IFERROR(VLOOKUP(Tabla145[[#This Row],[Llave]],'[13]Base ultimos planes'!$O:$AA,9,FALSE),0)</f>
        <v>0</v>
      </c>
      <c r="BM318" s="100">
        <f>IFERROR(VLOOKUP(Tabla145[[#This Row],[Llave]],'[13]Base ultimos planes'!$O:$AA,10,FALSE),0)</f>
        <v>0</v>
      </c>
      <c r="BN318" s="100">
        <f>IFERROR(VLOOKUP(Tabla145[[#This Row],[Llave]],'[13]Base ultimos planes'!$O:$AA,11,FALSE),0)</f>
        <v>0</v>
      </c>
      <c r="BO318" s="100">
        <f>IFERROR(VLOOKUP(Tabla145[[#This Row],[Llave]],'[13]Base ultimos planes'!$O:$AA,12,FALSE),0)</f>
        <v>0</v>
      </c>
      <c r="BP318" s="100">
        <f>IFERROR(VLOOKUP(Tabla145[[#This Row],[Llave]],'[13]Base ultimos planes'!$O:$AA,13,FALSE),0)</f>
        <v>0</v>
      </c>
      <c r="BQ318" s="35"/>
      <c r="BR318" s="20">
        <f>Tabla145[[#This Row],[ RV Producción mes n+1]]*(1-Tabla145[[#This Row],[% Uti. producción]])</f>
        <v>3082.0034314992836</v>
      </c>
      <c r="BS318" s="20">
        <f>+Tabla145[[#This Row],[Producción disponible mes n-1]]+Tabla145[[#This Row],[Saldo Volumen disponible]]</f>
        <v>3259.9999999999991</v>
      </c>
      <c r="BT318" s="7">
        <f>IFERROR(VLOOKUP(Tabla145[[#This Row],[Llave]],'[21]RV n+2 y n+3'!$B:$F,4,FALSE),0)</f>
        <v>0</v>
      </c>
      <c r="BU318" s="7">
        <f>+Tabla145[[#This Row],[Asignación mes n+2]]*Tabla145[[#This Row],[% Uti. producción]]</f>
        <v>0</v>
      </c>
      <c r="BV318" s="7">
        <f>+Tabla145[[#This Row],[Ponderación mes n+2]]+Tabla145[[#This Row],[Saldo mes n-1]]</f>
        <v>3259.9999999999991</v>
      </c>
      <c r="BW318" s="7">
        <f>+Tabla145[[#This Row],[Asignación mes n+2]]-Tabla145[[#This Row],[Ponderación mes n+2]]</f>
        <v>0</v>
      </c>
      <c r="BX318" s="7">
        <f>IFERROR(VLOOKUP(Tabla145[[#This Row],[Llave]],'[21]RV n+2 y n+3'!$B:$F,5,FALSE),0)</f>
        <v>0</v>
      </c>
      <c r="BY318" s="7">
        <f>+Tabla145[[#This Row],[Asignación mes n+3]]*Tabla145[[#This Row],[% Uti. producción]]</f>
        <v>0</v>
      </c>
      <c r="BZ318" s="3">
        <f>+Tabla145[[#This Row],[Ponderación mes n+3]]+Tabla145[[#This Row],[Saldo mes n+2]]</f>
        <v>0</v>
      </c>
      <c r="CA318" s="3">
        <f>+Tabla145[[#This Row],[Asignación mes n+3]]-Tabla145[[#This Row],[Ponderación mes n+3]]</f>
        <v>0</v>
      </c>
      <c r="CB318" s="3">
        <f>+Tabla145[[#This Row],[Producción disponible mes n-1]]+Tabla145[[#This Row],[Producción disponible]]</f>
        <v>24000</v>
      </c>
      <c r="CC318" s="3">
        <f>+Tabla145[[#This Row],[Saldo mes n+4]]-Tabla145[[#This Row],[ RV Producción mes n+1]]</f>
        <v>0</v>
      </c>
    </row>
    <row r="319" spans="1:81" ht="16" x14ac:dyDescent="0.2">
      <c r="B319" t="str">
        <f>Tabla145[[#This Row],[Oficina]]&amp;Tabla145[[#This Row],[Material]]</f>
        <v>Agro Mexico1030802</v>
      </c>
      <c r="C319" t="s">
        <v>204</v>
      </c>
      <c r="D319" t="s">
        <v>370</v>
      </c>
      <c r="E319">
        <v>1030802</v>
      </c>
      <c r="F319" t="s">
        <v>787</v>
      </c>
      <c r="G319" t="s">
        <v>233</v>
      </c>
      <c r="H319" t="s">
        <v>233</v>
      </c>
      <c r="I319" s="161">
        <f>IFERROR(VLOOKUP(Tabla145[[#This Row],[Llave]],'[7]RV Producción'!$C:$G,5,FALSE),0)+103000</f>
        <v>103000</v>
      </c>
      <c r="J319" s="162">
        <f>IFERROR(IF(Tabla145[[#This Row],[Oficina]]=$I$7,VLOOKUP(Tabla145[[#This Row],[Llave]],'[7]Shangai (Tomas)'!$A:$F,6,FALSE),VLOOKUP(Tabla145[[#This Row],[Llave]],'[7]RV plan de ventas'!$A:$E,5,FALSE)),0)+96000</f>
        <v>96000</v>
      </c>
      <c r="K319" s="8">
        <v>0.8</v>
      </c>
      <c r="L319" s="7">
        <f>+Tabla145[[#This Row],[ RV Producción mes n+1]]*Tabla145[[#This Row],[% Uti. producción]]</f>
        <v>82400</v>
      </c>
      <c r="M319" s="7">
        <f>IFERROR(VLOOKUP(Tabla145[[#This Row],[Material]],[16]Stock!$G:$K,5,FALSE),0)</f>
        <v>12152</v>
      </c>
      <c r="N319" s="15">
        <f>IFERROR(VLOOKUP(Tabla145[[#This Row],[Material]],[16]Produccion!$M:$N,2,FALSE),0)</f>
        <v>21000</v>
      </c>
      <c r="O319" s="15">
        <f>IFERROR(VLOOKUP(Tabla145[[#This Row],[Llave]],'[16]TD Conf-AP'!$I:$M,4,FALSE),0)</f>
        <v>0</v>
      </c>
      <c r="P319" s="37">
        <f>SUM(Tabla145[[#This Row],[Producción disponible]],Tabla145[[#This Row],[Stock al día]],(Tabla145[[#This Row],[Por producir mes N]]*0.9))-Tabla145[[#This Row],[Producción por despachar mes N]]</f>
        <v>113452</v>
      </c>
      <c r="Q319" s="15">
        <f>IFERROR(VLOOKUP(Tabla145[[#This Row],[Llave]],[17]DELAY!$A:$D,4,FALSE),0)</f>
        <v>48000</v>
      </c>
      <c r="R319" s="75">
        <v>24000</v>
      </c>
      <c r="S319" s="98">
        <f>IF(AND(P319&gt;Q319,Q319&gt;0),Q319,IF(AND(P319&lt;Q319,Q319&gt;0),(ROUNDDOWN(P319/R319,0)*R319),0))</f>
        <v>48000</v>
      </c>
      <c r="T319" s="76"/>
      <c r="U319" s="98">
        <f>+Tabla145[[#This Row],[Atraso a facturar]]+Tabla145[[#This Row],[Ajuste atraso]]</f>
        <v>48000</v>
      </c>
      <c r="V319" s="3">
        <f>+Tabla145[[#This Row],[Total disponible]]-Tabla145[[#This Row],[Facturación atraso]]</f>
        <v>65452</v>
      </c>
      <c r="W319" s="6">
        <f>IFERROR(IF(AND(V319&gt;R319,J319&gt;=R319),ROUNDDOWN((Tabla145[[#This Row],[Producción para venta nueva]])/R319,0)*R319,0),0)</f>
        <v>48000</v>
      </c>
      <c r="X319" s="76"/>
      <c r="Y319" s="6">
        <f>IF(Tabla145[[#This Row],[Venta del mes]]&gt;0,Tabla145[[#This Row],[Venta del mes]]+Tabla145[[#This Row],[Ajuste venta nueva]],0)</f>
        <v>48000</v>
      </c>
      <c r="Z319" s="6">
        <f>+Tabla145[[#This Row],[Producción para venta nueva]]-Tabla145[[#This Row],[Facturación Venta nueva]]</f>
        <v>17452</v>
      </c>
      <c r="AA319" s="6">
        <f>IF(AND(A319=1,Tabla145[[#This Row],[Saldo Volumen disponible]]&gt;Tabla145[[#This Row],[Vol. prom. Por contenedor]],Tabla145[[#This Row],[Saldo Volumen disponible]]&gt;Tabla145[[#This Row],[ RV  Venta mes n+1]],Tabla145[[#This Row],[Delay]]&lt;Tabla145[[#This Row],[Total disponible]]),ROUNDDOWN((Tabla145[[#This Row],[Saldo Volumen disponible]]+Tabla145[[#This Row],[Ajuste venta nueva]])/Tabla145[[#This Row],[Vol. prom. Por contenedor]],0)*Tabla145[[#This Row],[Vol. prom. Por contenedor]],0)</f>
        <v>0</v>
      </c>
      <c r="AB319" s="6">
        <v>0</v>
      </c>
      <c r="AC319" s="6">
        <f>IF(Tabla145[[#This Row],[Disponible stock sin venta]]&gt;0,Tabla145[[#This Row],[Disponible stock sin venta]]+Tabla145[[#This Row],[Ajuste stock sin venta]],0)</f>
        <v>0</v>
      </c>
      <c r="AD319" s="3">
        <f>IFERROR(VLOOKUP(Tabla145[[#This Row],[Llave]],'[16]TD Puerto'!$A:$D,4,FALSE),0)</f>
        <v>0</v>
      </c>
      <c r="AE319" s="3">
        <v>96000</v>
      </c>
      <c r="AF319" s="3">
        <f>+Tabla145[[#This Row],[Plan Irrestricto Inicial]]</f>
        <v>96000</v>
      </c>
      <c r="AG319" s="3">
        <f>+Tabla145[[#This Row],[En puerto a facturar]]</f>
        <v>0</v>
      </c>
      <c r="AH319" s="3">
        <f>+Tabla145[[#This Row],[Facturación atraso]]</f>
        <v>48000</v>
      </c>
      <c r="AI319" s="3">
        <f>+Tabla145[[#This Row],[Plan Irrestricto]]-Tabla145[[#This Row],[Puerto ]]-Tabla145[[#This Row],[Atraso]]</f>
        <v>48000</v>
      </c>
      <c r="AJ319" s="3">
        <f>IF(Tabla145[[#This Row],[Plan Irrestricto]]&gt;0,SUM(Tabla145[[#This Row],[Facturación atraso]],Tabla145[[#This Row],[Facturación Venta nueva]],Tabla145[[#This Row],[Facturación stock]],Tabla145[[#This Row],[En puerto a facturar]]),0)</f>
        <v>96000</v>
      </c>
      <c r="AK319" s="3">
        <f>+Tabla145[[#This Row],[Facturación atraso]]</f>
        <v>48000</v>
      </c>
      <c r="AL319" s="3">
        <f>+Tabla145[[#This Row],[Plan Ajustado]]-Tabla145[[#This Row],[ Atraso ajustado]]-Tabla145[[#This Row],[Puerto ]]</f>
        <v>48000</v>
      </c>
      <c r="AM319" s="3">
        <f>IFERROR(VLOOKUP(Tabla145[[#This Row],[Llave]],[18]!Tabla14[#All],34,FALSE),0)</f>
        <v>0</v>
      </c>
      <c r="AN319" s="6">
        <f>IFERROR(VLOOKUP(Tabla145[[#This Row],[Llave]],[18]!Tabla14[#All],35,FALSE),0)</f>
        <v>0</v>
      </c>
      <c r="AO319" s="3" t="str">
        <f>IF(Tabla145[[#This Row],[Plan Ajustado]]&gt;Tabla145[[#This Row],[En puerto a facturar]],"Si","No")</f>
        <v>Si</v>
      </c>
      <c r="AP319" s="3">
        <f>IF(AND(Tabla145[[#This Row],[Plan Ajustado]]&gt;0,Tabla145[[#This Row],[Plan Ajustado]]&gt;Tabla145[[#This Row],[En puerto a facturar]]),(Tabla145[[#This Row],[Plan Ajustado]]-Tabla145[[#This Row],[En puerto a facturar]]),0)</f>
        <v>96000</v>
      </c>
      <c r="AQ319" s="3">
        <f>IF(Tabla145[[#This Row],[Necesidad]]&gt;=Tabla145[[#This Row],[Stock al día]],Tabla145[[#This Row],[Stock al día]],Tabla145[[#This Row],[Necesidad]])</f>
        <v>12152</v>
      </c>
      <c r="AR319" s="3">
        <f>+Tabla145[[#This Row],[Necesidad]]-Tabla145[[#This Row],[Stock Plan]]</f>
        <v>83848</v>
      </c>
      <c r="AS319" s="155">
        <f>IFERROR(VLOOKUP(Tabla145[[#This Row],[Oficina]],[19]Ponderación!$B$14:$E$21,4,FALSE),"")</f>
        <v>44793</v>
      </c>
      <c r="AT319" s="106">
        <v>1.0016572778044111</v>
      </c>
      <c r="AU319" s="83">
        <f>IFERROR(VLOOKUP(Tabla145[[#This Row],[Llave]],[17]DELAY!$H:$W,16,FALSE),0)</f>
        <v>1.34315875</v>
      </c>
      <c r="AV319" s="30">
        <f>IF(Tabla145[[#This Row],[Plan Ajustado]]=0,0,((Tabla145[[#This Row],[Facturación atraso]]*Tabla145[[#This Row],[Precio Atraso]]+Tabla145[[#This Row],[Facturación Venta nueva]]*Tabla145[[#This Row],[Precio venta nueva]])+(Tabla145[[#This Row],[En puerto a facturar]]+Tabla145[[#This Row],[Facturación stock]])*Tabla145[[#This Row],[Precio Atraso]])/Tabla145[[#This Row],[Plan Ajustado]])</f>
        <v>1.1724080139022055</v>
      </c>
      <c r="AW319" s="5">
        <f>Tabla145[[#This Row],[Ajuste precio IC]]*Tabla145[[#This Row],[Plan Ajustado]]</f>
        <v>112551.16933461172</v>
      </c>
      <c r="AX319" s="30">
        <f>IFERROR(VLOOKUP(Tabla145[[#This Row],[Llave]],'[13]Ultimos precios facturados'!$A:$G,7,FALSE),0)</f>
        <v>1.3423074825049206</v>
      </c>
      <c r="AY319" s="99">
        <f>IF(AND(Tabla145[[#This Row],[Precio ponderado]]&gt;0,Tabla145[[#This Row],[Precio Ultima facturación]]&gt;0),(ABS(Tabla145[[#This Row],[Precio Ultima facturación]]-Tabla145[[#This Row],[Precio ponderado]])/Tabla145[[#This Row],[Precio Ultima facturación]]),"No Aplica")</f>
        <v>0.12657268980253358</v>
      </c>
      <c r="AZ319" s="30">
        <f>IFERROR(VLOOKUP(Tabla145[[#This Row],[Llave]],Hoja2!B:K,10,FALSE),0)</f>
        <v>1.1724080139022055</v>
      </c>
      <c r="BA319" s="30">
        <f>IF(Tabla145[[#This Row],[Ajuste precio IC]]="",Tabla145[[#This Row],[Precio ponderado]],Tabla145[[#This Row],[Precio ponderado]])</f>
        <v>1.1724080139022055</v>
      </c>
      <c r="BB319" s="99"/>
      <c r="BC319" s="99" t="str">
        <f>IF(AND(Tabla145[[#This Row],[Atraso a facturar]]&gt;0,Tabla145[[#This Row],[Precio Atraso]]=0),"Revisar","OK")</f>
        <v>OK</v>
      </c>
      <c r="BD319" s="99" t="str">
        <f>IF(AND(Tabla145[[#This Row],[Venta del mes]]&gt;0,Tabla145[[#This Row],[Precio venta nueva]]=0),"Revisar","OK")</f>
        <v>OK</v>
      </c>
      <c r="BE319" s="20">
        <f>IFERROR(VLOOKUP(Tabla145[[#This Row],[Llave]],'[5]Consolidación planes'!$A:$M,9,FALSE),0)</f>
        <v>0</v>
      </c>
      <c r="BF319" s="20">
        <f>IFERROR(VLOOKUP(Tabla145[[#This Row],[Llave]],'[5]Consolidación planes'!$A:$M,10,FALSE),0)</f>
        <v>0</v>
      </c>
      <c r="BG319" s="20">
        <f>IFERROR(VLOOKUP(Tabla145[[#This Row],[Llave]],'[5]Consolidación planes'!$A:$M,11,FALSE),0)</f>
        <v>0</v>
      </c>
      <c r="BH319" s="20">
        <f>IFERROR(VLOOKUP(Tabla145[[#This Row],[Llave]],'[5]Consolidación planes'!$A:$M,12,FALSE),0)</f>
        <v>0</v>
      </c>
      <c r="BI319" s="20">
        <f>IFERROR(VLOOKUP(Tabla145[[#This Row],[Llave]],'[5]Consolidación planes'!$A:$M,13,FALSE),0)</f>
        <v>0</v>
      </c>
      <c r="BJ319" s="35">
        <f>IFERROR(VLOOKUP(Tabla145[[#This Row],[Llave]],'[13]Base ultimos planes'!$A:$M,13,FALSE),0)</f>
        <v>0</v>
      </c>
      <c r="BK319" s="80">
        <f>IFERROR(VLOOKUP(Tabla145[[#This Row],[Llave]],'[13]Base ultimos planes'!$O:$AA,8,FALSE),0)</f>
        <v>0</v>
      </c>
      <c r="BL319" s="100">
        <f>IFERROR(VLOOKUP(Tabla145[[#This Row],[Llave]],'[13]Base ultimos planes'!$O:$AA,9,FALSE),0)</f>
        <v>0</v>
      </c>
      <c r="BM319" s="100">
        <f>IFERROR(VLOOKUP(Tabla145[[#This Row],[Llave]],'[13]Base ultimos planes'!$O:$AA,10,FALSE),0)</f>
        <v>0</v>
      </c>
      <c r="BN319" s="100">
        <f>IFERROR(VLOOKUP(Tabla145[[#This Row],[Llave]],'[13]Base ultimos planes'!$O:$AA,11,FALSE),0)</f>
        <v>0</v>
      </c>
      <c r="BO319" s="100">
        <f>IFERROR(VLOOKUP(Tabla145[[#This Row],[Llave]],'[13]Base ultimos planes'!$O:$AA,12,FALSE),0)</f>
        <v>0</v>
      </c>
      <c r="BP319" s="100">
        <f>IFERROR(VLOOKUP(Tabla145[[#This Row],[Llave]],'[13]Base ultimos planes'!$O:$AA,13,FALSE),0)</f>
        <v>0</v>
      </c>
      <c r="BQ319" s="35"/>
      <c r="BR319" s="20">
        <f>Tabla145[[#This Row],[ RV Producción mes n+1]]*(1-Tabla145[[#This Row],[% Uti. producción]])</f>
        <v>20599.999999999996</v>
      </c>
      <c r="BS319" s="20">
        <f>+Tabla145[[#This Row],[Producción disponible mes n-1]]+Tabla145[[#This Row],[Saldo Volumen disponible]]</f>
        <v>38052</v>
      </c>
      <c r="BT319" s="7">
        <f>IFERROR(VLOOKUP(Tabla145[[#This Row],[Llave]],'[21]RV n+2 y n+3'!$B:$F,4,FALSE),0)</f>
        <v>0</v>
      </c>
      <c r="BU319" s="7">
        <f>+Tabla145[[#This Row],[Asignación mes n+2]]*Tabla145[[#This Row],[% Uti. producción]]</f>
        <v>0</v>
      </c>
      <c r="BV319" s="7">
        <f>+Tabla145[[#This Row],[Ponderación mes n+2]]+Tabla145[[#This Row],[Saldo mes n-1]]</f>
        <v>38052</v>
      </c>
      <c r="BW319" s="7">
        <f>+Tabla145[[#This Row],[Asignación mes n+2]]-Tabla145[[#This Row],[Ponderación mes n+2]]</f>
        <v>0</v>
      </c>
      <c r="BX319" s="7">
        <f>IFERROR(VLOOKUP(Tabla145[[#This Row],[Llave]],'[21]RV n+2 y n+3'!$B:$F,5,FALSE),0)</f>
        <v>0</v>
      </c>
      <c r="BY319" s="7">
        <f>+Tabla145[[#This Row],[Asignación mes n+3]]*Tabla145[[#This Row],[% Uti. producción]]</f>
        <v>0</v>
      </c>
      <c r="BZ319" s="3">
        <f>+Tabla145[[#This Row],[Ponderación mes n+3]]+Tabla145[[#This Row],[Saldo mes n+2]]</f>
        <v>0</v>
      </c>
      <c r="CA319" s="3">
        <f>+Tabla145[[#This Row],[Asignación mes n+3]]-Tabla145[[#This Row],[Ponderación mes n+3]]</f>
        <v>0</v>
      </c>
      <c r="CB319" s="3">
        <f>+Tabla145[[#This Row],[Producción disponible mes n-1]]+Tabla145[[#This Row],[Producción disponible]]</f>
        <v>103000</v>
      </c>
      <c r="CC319" s="3">
        <f>+Tabla145[[#This Row],[Saldo mes n+4]]-Tabla145[[#This Row],[ RV Producción mes n+1]]</f>
        <v>0</v>
      </c>
    </row>
    <row r="324" spans="2:2" x14ac:dyDescent="0.2">
      <c r="B324" t="s">
        <v>807</v>
      </c>
    </row>
    <row r="325" spans="2:2" x14ac:dyDescent="0.2">
      <c r="B325" t="s">
        <v>808</v>
      </c>
    </row>
    <row r="326" spans="2:2" x14ac:dyDescent="0.2">
      <c r="B326" t="s">
        <v>809</v>
      </c>
    </row>
    <row r="327" spans="2:2" x14ac:dyDescent="0.2">
      <c r="B327" t="s">
        <v>810</v>
      </c>
    </row>
    <row r="398" spans="6:6" x14ac:dyDescent="0.2">
      <c r="F398">
        <v>0</v>
      </c>
    </row>
    <row r="399" spans="6:6" x14ac:dyDescent="0.2">
      <c r="F399">
        <v>0</v>
      </c>
    </row>
    <row r="400" spans="6:6" x14ac:dyDescent="0.2">
      <c r="F400">
        <v>0</v>
      </c>
    </row>
    <row r="401" spans="6:6" x14ac:dyDescent="0.2">
      <c r="F401">
        <v>0</v>
      </c>
    </row>
    <row r="402" spans="6:6" x14ac:dyDescent="0.2">
      <c r="F402">
        <v>0</v>
      </c>
    </row>
    <row r="403" spans="6:6" x14ac:dyDescent="0.2">
      <c r="F403">
        <v>0</v>
      </c>
    </row>
    <row r="404" spans="6:6" x14ac:dyDescent="0.2">
      <c r="F404">
        <v>0</v>
      </c>
    </row>
    <row r="405" spans="6:6" x14ac:dyDescent="0.2">
      <c r="F405">
        <v>0</v>
      </c>
    </row>
    <row r="406" spans="6:6" x14ac:dyDescent="0.2">
      <c r="F406">
        <v>0</v>
      </c>
    </row>
    <row r="407" spans="6:6" x14ac:dyDescent="0.2">
      <c r="F407">
        <v>0</v>
      </c>
    </row>
    <row r="408" spans="6:6" x14ac:dyDescent="0.2">
      <c r="F408">
        <v>0</v>
      </c>
    </row>
    <row r="409" spans="6:6" x14ac:dyDescent="0.2">
      <c r="F409">
        <v>0</v>
      </c>
    </row>
    <row r="410" spans="6:6" x14ac:dyDescent="0.2">
      <c r="F410">
        <v>0</v>
      </c>
    </row>
    <row r="411" spans="6:6" x14ac:dyDescent="0.2">
      <c r="F411">
        <v>0</v>
      </c>
    </row>
    <row r="412" spans="6:6" x14ac:dyDescent="0.2">
      <c r="F412">
        <v>0</v>
      </c>
    </row>
    <row r="413" spans="6:6" x14ac:dyDescent="0.2">
      <c r="F413">
        <v>0</v>
      </c>
    </row>
    <row r="414" spans="6:6" x14ac:dyDescent="0.2">
      <c r="F414">
        <v>0</v>
      </c>
    </row>
    <row r="415" spans="6:6" x14ac:dyDescent="0.2">
      <c r="F415">
        <v>0</v>
      </c>
    </row>
    <row r="416" spans="6:6" x14ac:dyDescent="0.2">
      <c r="F416">
        <v>0</v>
      </c>
    </row>
    <row r="417" spans="6:6" x14ac:dyDescent="0.2">
      <c r="F417">
        <v>0</v>
      </c>
    </row>
    <row r="418" spans="6:6" x14ac:dyDescent="0.2">
      <c r="F418">
        <v>-66000</v>
      </c>
    </row>
    <row r="419" spans="6:6" x14ac:dyDescent="0.2">
      <c r="F419">
        <v>0</v>
      </c>
    </row>
    <row r="420" spans="6:6" x14ac:dyDescent="0.2">
      <c r="F420">
        <v>0</v>
      </c>
    </row>
    <row r="421" spans="6:6" x14ac:dyDescent="0.2">
      <c r="F421">
        <v>0</v>
      </c>
    </row>
    <row r="422" spans="6:6" x14ac:dyDescent="0.2">
      <c r="F422">
        <v>0</v>
      </c>
    </row>
    <row r="423" spans="6:6" x14ac:dyDescent="0.2">
      <c r="F423">
        <v>0</v>
      </c>
    </row>
    <row r="424" spans="6:6" x14ac:dyDescent="0.2">
      <c r="F424">
        <v>0</v>
      </c>
    </row>
    <row r="425" spans="6:6" x14ac:dyDescent="0.2">
      <c r="F425">
        <v>0</v>
      </c>
    </row>
    <row r="426" spans="6:6" x14ac:dyDescent="0.2">
      <c r="F426">
        <v>0</v>
      </c>
    </row>
    <row r="427" spans="6:6" x14ac:dyDescent="0.2">
      <c r="F427">
        <v>0</v>
      </c>
    </row>
    <row r="428" spans="6:6" x14ac:dyDescent="0.2">
      <c r="F428">
        <v>-48000</v>
      </c>
    </row>
    <row r="429" spans="6:6" x14ac:dyDescent="0.2">
      <c r="F429">
        <v>0</v>
      </c>
    </row>
    <row r="430" spans="6:6" x14ac:dyDescent="0.2">
      <c r="F430">
        <v>0</v>
      </c>
    </row>
    <row r="431" spans="6:6" x14ac:dyDescent="0.2">
      <c r="F431">
        <v>0</v>
      </c>
    </row>
    <row r="535" spans="6:6" x14ac:dyDescent="0.2">
      <c r="F535">
        <v>0</v>
      </c>
    </row>
    <row r="536" spans="6:6" x14ac:dyDescent="0.2">
      <c r="F536">
        <v>0</v>
      </c>
    </row>
    <row r="537" spans="6:6" x14ac:dyDescent="0.2">
      <c r="F537">
        <v>0</v>
      </c>
    </row>
    <row r="562" spans="6:6" x14ac:dyDescent="0.2">
      <c r="F562">
        <v>-5000</v>
      </c>
    </row>
    <row r="563" spans="6:6" x14ac:dyDescent="0.2">
      <c r="F563">
        <v>-600000</v>
      </c>
    </row>
    <row r="584" spans="6:6" x14ac:dyDescent="0.2">
      <c r="F584">
        <v>0</v>
      </c>
    </row>
    <row r="590" spans="6:6" x14ac:dyDescent="0.2">
      <c r="F590">
        <v>0</v>
      </c>
    </row>
    <row r="591" spans="6:6" x14ac:dyDescent="0.2">
      <c r="F591">
        <v>0</v>
      </c>
    </row>
    <row r="592" spans="6:6" x14ac:dyDescent="0.2">
      <c r="F592">
        <v>-24000</v>
      </c>
    </row>
    <row r="593" spans="6:6" x14ac:dyDescent="0.2">
      <c r="F593">
        <v>0</v>
      </c>
    </row>
    <row r="602" spans="6:6" x14ac:dyDescent="0.2">
      <c r="F602">
        <v>0</v>
      </c>
    </row>
    <row r="619" spans="6:6" x14ac:dyDescent="0.2">
      <c r="F619">
        <v>0</v>
      </c>
    </row>
  </sheetData>
  <autoFilter ref="A9:A310" xr:uid="{A4C1E6EB-CE18-49E7-895E-CADD47765CD3}"/>
  <mergeCells count="2">
    <mergeCell ref="BE8:BJ8"/>
    <mergeCell ref="BK8:BP8"/>
  </mergeCells>
  <phoneticPr fontId="11" type="noConversion"/>
  <conditionalFormatting sqref="E1:E1048576">
    <cfRule type="duplicateValues" dxfId="240" priority="9"/>
    <cfRule type="duplicateValues" dxfId="239" priority="13"/>
  </conditionalFormatting>
  <conditionalFormatting sqref="B1:B1048576 C1:XFD1">
    <cfRule type="duplicateValues" dxfId="238" priority="10"/>
    <cfRule type="duplicateValues" dxfId="237" priority="11"/>
    <cfRule type="duplicateValues" dxfId="236" priority="12"/>
  </conditionalFormatting>
  <conditionalFormatting sqref="AA10 AA11:AS72 AF10 AF309:AF319 AA73:AL73 AO73:AS73 AA109:AS109 AA108:AL108 AO108:AS108 AA110:AL110 AO110:AS110 AA240:AL241 AO240:AS241 AC10 AA74:AS107 AA111:AS236 AA242:AS308 AA238:AS239 AA237:AM237 AO237:AS237">
    <cfRule type="cellIs" dxfId="235" priority="8" operator="equal">
      <formula>"Venta insuficiente"</formula>
    </cfRule>
  </conditionalFormatting>
  <conditionalFormatting sqref="E10:E319">
    <cfRule type="duplicateValues" dxfId="234" priority="14"/>
  </conditionalFormatting>
  <conditionalFormatting sqref="AM108:AN108">
    <cfRule type="cellIs" dxfId="233" priority="7" operator="equal">
      <formula>"Venta insuficiente"</formula>
    </cfRule>
  </conditionalFormatting>
  <conditionalFormatting sqref="AM110">
    <cfRule type="cellIs" dxfId="232" priority="6" operator="equal">
      <formula>"Venta insuficiente"</formula>
    </cfRule>
  </conditionalFormatting>
  <conditionalFormatting sqref="AM240:AN240">
    <cfRule type="cellIs" dxfId="231" priority="5" operator="equal">
      <formula>"Venta insuficiente"</formula>
    </cfRule>
  </conditionalFormatting>
  <conditionalFormatting sqref="AM241">
    <cfRule type="cellIs" dxfId="230" priority="4" operator="equal">
      <formula>"Venta insuficiente"</formula>
    </cfRule>
  </conditionalFormatting>
  <conditionalFormatting sqref="AN110">
    <cfRule type="cellIs" dxfId="229" priority="3" operator="equal">
      <formula>"Venta insuficiente"</formula>
    </cfRule>
  </conditionalFormatting>
  <conditionalFormatting sqref="AN241">
    <cfRule type="cellIs" dxfId="228" priority="2" operator="equal">
      <formula>"Venta insuficiente"</formula>
    </cfRule>
  </conditionalFormatting>
  <conditionalFormatting sqref="AN237">
    <cfRule type="cellIs" dxfId="227" priority="1" operator="equal">
      <formula>"Venta insuficiente"</formula>
    </cfRule>
  </conditionalFormatting>
  <pageMargins left="0.7" right="0.7" top="0.75" bottom="0.75" header="0.3" footer="0.3"/>
  <pageSetup orientation="portrait" r:id="rId1"/>
  <customProperties>
    <customPr name="_pios_id" r:id="rId2"/>
    <customPr name="IbpWorksheetKeyString_GUID" r:id="rId3"/>
  </customProperties>
  <drawing r:id="rId4"/>
  <tableParts count="1"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5" id="{165D8DAD-9AC6-4B61-8DD6-A552F6885C4D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96000</xm:f>
              </x14:cfvo>
              <x14:cfIcon iconSet="NoIcons" iconId="0"/>
              <x14:cfIcon iconSet="3Symbols" iconId="1"/>
              <x14:cfIcon iconSet="3Symbols" iconId="1"/>
            </x14:iconSet>
          </x14:cfRule>
          <xm:sqref>AA11:AC319 AA10 AC10</xm:sqref>
        </x14:conditionalFormatting>
      </x14:conditionalFormattings>
    </ext>
    <ext xmlns:x15="http://schemas.microsoft.com/office/spreadsheetml/2010/11/main" uri="{3A4CF648-6AED-40f4-86FF-DC5316D8AED3}">
      <x14:slicerList xmlns:x14="http://schemas.microsoft.com/office/spreadsheetml/2009/9/main">
        <x14:slicer r:id="rId6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E48C8-7F72-4C22-8278-4EAC8EA54A8B}">
  <dimension ref="C1:CW9"/>
  <sheetViews>
    <sheetView topLeftCell="B1" zoomScale="80" zoomScaleNormal="80" workbookViewId="0">
      <selection activeCell="B8" sqref="B8:BP8"/>
    </sheetView>
  </sheetViews>
  <sheetFormatPr baseColWidth="10" defaultRowHeight="15" x14ac:dyDescent="0.2"/>
  <cols>
    <col min="3" max="3" width="10.33203125" bestFit="1" customWidth="1"/>
    <col min="4" max="4" width="7.6640625" bestFit="1" customWidth="1"/>
    <col min="5" max="5" width="6.83203125" bestFit="1" customWidth="1"/>
    <col min="6" max="6" width="25.1640625" customWidth="1"/>
    <col min="7" max="7" width="6.83203125" bestFit="1" customWidth="1"/>
    <col min="8" max="38" width="10.5" bestFit="1" customWidth="1"/>
    <col min="39" max="58" width="7" bestFit="1" customWidth="1"/>
    <col min="59" max="60" width="7.33203125" bestFit="1" customWidth="1"/>
    <col min="61" max="62" width="7" bestFit="1" customWidth="1"/>
    <col min="63" max="63" width="7.33203125" bestFit="1" customWidth="1"/>
    <col min="64" max="64" width="8.6640625" bestFit="1" customWidth="1"/>
    <col min="65" max="65" width="19.33203125" bestFit="1" customWidth="1"/>
    <col min="66" max="66" width="10.5" bestFit="1" customWidth="1"/>
    <col min="67" max="67" width="17" bestFit="1" customWidth="1"/>
    <col min="68" max="68" width="14.6640625" bestFit="1" customWidth="1"/>
    <col min="69" max="69" width="8.6640625" bestFit="1" customWidth="1"/>
    <col min="70" max="70" width="19.6640625" bestFit="1" customWidth="1"/>
    <col min="71" max="71" width="102.5" bestFit="1" customWidth="1"/>
    <col min="72" max="73" width="6.5" bestFit="1" customWidth="1"/>
    <col min="74" max="94" width="6" bestFit="1" customWidth="1"/>
    <col min="95" max="101" width="6.5" bestFit="1" customWidth="1"/>
  </cols>
  <sheetData>
    <row r="1" spans="3:101" x14ac:dyDescent="0.2">
      <c r="C1" t="s">
        <v>847</v>
      </c>
    </row>
    <row r="3" spans="3:101" x14ac:dyDescent="0.2">
      <c r="C3" s="182" t="s">
        <v>846</v>
      </c>
      <c r="D3" s="7">
        <v>24000</v>
      </c>
      <c r="F3" t="s">
        <v>848</v>
      </c>
    </row>
    <row r="4" spans="3:101" x14ac:dyDescent="0.2">
      <c r="D4" s="180" t="s">
        <v>368</v>
      </c>
      <c r="E4" s="28">
        <v>24000</v>
      </c>
      <c r="F4" t="s">
        <v>849</v>
      </c>
      <c r="BM4" t="s">
        <v>332</v>
      </c>
      <c r="BN4" t="s">
        <v>333</v>
      </c>
      <c r="BO4" t="s">
        <v>681</v>
      </c>
      <c r="BP4" t="s">
        <v>852</v>
      </c>
      <c r="BR4" t="s">
        <v>853</v>
      </c>
      <c r="BS4" t="s">
        <v>856</v>
      </c>
    </row>
    <row r="5" spans="3:101" x14ac:dyDescent="0.2">
      <c r="F5" t="s">
        <v>850</v>
      </c>
      <c r="BL5" s="7">
        <v>142307</v>
      </c>
      <c r="BM5" s="7">
        <v>65061.963023244876</v>
      </c>
      <c r="BN5">
        <v>26006</v>
      </c>
      <c r="BO5">
        <v>10911</v>
      </c>
      <c r="BQ5" s="3">
        <f>+BM5+BN5+BO5</f>
        <v>101978.96302324487</v>
      </c>
      <c r="BR5" t="s">
        <v>854</v>
      </c>
    </row>
    <row r="7" spans="3:101" x14ac:dyDescent="0.2">
      <c r="C7" s="181">
        <v>44774</v>
      </c>
      <c r="D7" s="181">
        <v>44775</v>
      </c>
      <c r="E7" s="181">
        <v>44776</v>
      </c>
      <c r="F7" s="181">
        <v>44777</v>
      </c>
      <c r="G7" s="181">
        <v>44778</v>
      </c>
      <c r="H7" s="181">
        <v>44779</v>
      </c>
      <c r="I7" s="181">
        <v>44780</v>
      </c>
      <c r="J7" s="181">
        <v>44781</v>
      </c>
      <c r="K7" s="181">
        <v>44782</v>
      </c>
      <c r="L7" s="181">
        <v>44783</v>
      </c>
      <c r="M7" s="181">
        <v>44784</v>
      </c>
      <c r="N7" s="181">
        <v>44785</v>
      </c>
      <c r="O7" s="181">
        <v>44786</v>
      </c>
      <c r="P7" s="181">
        <v>44787</v>
      </c>
      <c r="Q7" s="181">
        <v>44788</v>
      </c>
      <c r="R7" s="181">
        <v>44789</v>
      </c>
      <c r="S7" s="181">
        <v>44790</v>
      </c>
      <c r="T7" s="181">
        <v>44791</v>
      </c>
      <c r="U7" s="181">
        <v>44792</v>
      </c>
      <c r="V7" s="181">
        <v>44793</v>
      </c>
      <c r="W7" s="181">
        <v>44794</v>
      </c>
      <c r="X7" s="181">
        <v>44795</v>
      </c>
      <c r="Y7" s="181">
        <v>44796</v>
      </c>
      <c r="Z7" s="181">
        <v>44797</v>
      </c>
      <c r="AA7" s="181">
        <v>44798</v>
      </c>
      <c r="AB7" s="181">
        <v>44799</v>
      </c>
      <c r="AC7" s="181">
        <v>44800</v>
      </c>
      <c r="AD7" s="181">
        <v>44801</v>
      </c>
      <c r="AE7" s="181">
        <v>44802</v>
      </c>
      <c r="AF7" s="181">
        <v>44803</v>
      </c>
      <c r="AG7" s="181">
        <v>44804</v>
      </c>
      <c r="AH7" s="184">
        <v>44805</v>
      </c>
      <c r="AI7" s="184">
        <v>44806</v>
      </c>
      <c r="AJ7" s="184">
        <v>44807</v>
      </c>
      <c r="AK7" s="184">
        <v>44808</v>
      </c>
      <c r="AL7" s="184">
        <v>44809</v>
      </c>
      <c r="AM7" s="184">
        <v>44810</v>
      </c>
      <c r="AN7" s="184">
        <v>44811</v>
      </c>
      <c r="AO7" s="184">
        <v>44812</v>
      </c>
      <c r="AP7" s="184">
        <v>44813</v>
      </c>
      <c r="AQ7" s="184">
        <v>44814</v>
      </c>
      <c r="AR7" s="184">
        <v>44815</v>
      </c>
      <c r="AS7" s="184">
        <v>44816</v>
      </c>
      <c r="AT7" s="184">
        <v>44817</v>
      </c>
      <c r="AU7" s="184">
        <v>44818</v>
      </c>
      <c r="AV7" s="184">
        <v>44819</v>
      </c>
      <c r="AW7" s="184">
        <v>44820</v>
      </c>
      <c r="AX7" s="184">
        <v>44821</v>
      </c>
      <c r="AY7" s="184">
        <v>44822</v>
      </c>
      <c r="AZ7" s="184">
        <v>44823</v>
      </c>
      <c r="BA7" s="184">
        <v>44824</v>
      </c>
      <c r="BB7" s="184">
        <v>44825</v>
      </c>
      <c r="BC7" s="184">
        <v>44826</v>
      </c>
      <c r="BD7" s="184">
        <v>44827</v>
      </c>
      <c r="BE7" s="184">
        <v>44828</v>
      </c>
      <c r="BF7" s="184">
        <v>44829</v>
      </c>
      <c r="BG7" s="184">
        <v>44830</v>
      </c>
      <c r="BH7" s="184">
        <v>44831</v>
      </c>
      <c r="BI7" s="184">
        <v>44832</v>
      </c>
      <c r="BJ7" s="184">
        <v>44833</v>
      </c>
      <c r="BK7" s="184">
        <v>44834</v>
      </c>
      <c r="BL7" s="179">
        <v>44835</v>
      </c>
      <c r="BM7" s="179">
        <v>44836</v>
      </c>
      <c r="BN7" s="179">
        <v>44837</v>
      </c>
      <c r="BO7" s="179">
        <v>44838</v>
      </c>
      <c r="BP7" s="179">
        <v>44839</v>
      </c>
      <c r="BQ7" s="179">
        <v>44840</v>
      </c>
      <c r="BR7" s="179">
        <v>44841</v>
      </c>
      <c r="BS7" s="179">
        <v>44842</v>
      </c>
      <c r="BT7" s="179">
        <v>44843</v>
      </c>
      <c r="BU7" s="179">
        <v>44844</v>
      </c>
      <c r="BV7" s="179">
        <v>44845</v>
      </c>
      <c r="BW7" s="179">
        <v>44846</v>
      </c>
      <c r="BX7" s="179">
        <v>44847</v>
      </c>
      <c r="BY7" s="179">
        <v>44848</v>
      </c>
      <c r="BZ7" s="179">
        <v>44849</v>
      </c>
      <c r="CA7" s="179">
        <v>44850</v>
      </c>
      <c r="CB7" s="179">
        <v>44851</v>
      </c>
      <c r="CC7" s="179">
        <v>44852</v>
      </c>
      <c r="CD7" s="179">
        <v>44853</v>
      </c>
      <c r="CE7" s="179">
        <v>44854</v>
      </c>
      <c r="CF7" s="179">
        <v>44855</v>
      </c>
      <c r="CG7" s="179">
        <v>44856</v>
      </c>
      <c r="CH7" s="179">
        <v>44857</v>
      </c>
      <c r="CI7" s="179">
        <v>44858</v>
      </c>
      <c r="CJ7" s="179">
        <v>44859</v>
      </c>
      <c r="CK7" s="179">
        <v>44860</v>
      </c>
      <c r="CL7" s="179">
        <v>44861</v>
      </c>
      <c r="CM7" s="179">
        <v>44862</v>
      </c>
      <c r="CN7" s="179">
        <v>44863</v>
      </c>
      <c r="CO7" s="179">
        <v>44864</v>
      </c>
      <c r="CP7" s="179">
        <v>44865</v>
      </c>
      <c r="CQ7" s="179">
        <v>44866</v>
      </c>
      <c r="CR7" s="179">
        <v>44867</v>
      </c>
      <c r="CS7" s="179">
        <v>44868</v>
      </c>
      <c r="CT7" s="179">
        <v>44869</v>
      </c>
      <c r="CU7" s="179">
        <v>44870</v>
      </c>
      <c r="CV7" s="179">
        <v>44871</v>
      </c>
      <c r="CW7" s="179">
        <v>44872</v>
      </c>
    </row>
    <row r="8" spans="3:101" x14ac:dyDescent="0.2">
      <c r="H8" s="183">
        <v>44779</v>
      </c>
      <c r="I8" s="183">
        <v>44780</v>
      </c>
      <c r="J8" s="183">
        <v>44781</v>
      </c>
      <c r="K8" s="183">
        <v>44782</v>
      </c>
      <c r="L8" s="183">
        <v>44783</v>
      </c>
      <c r="M8" s="183">
        <v>44784</v>
      </c>
      <c r="N8" s="183">
        <v>44785</v>
      </c>
      <c r="O8" s="183">
        <v>44786</v>
      </c>
      <c r="P8" s="183">
        <v>44787</v>
      </c>
      <c r="Q8" s="183">
        <v>44788</v>
      </c>
      <c r="R8" s="183">
        <v>44789</v>
      </c>
      <c r="S8" s="183">
        <v>44790</v>
      </c>
      <c r="T8" s="183">
        <v>44791</v>
      </c>
      <c r="U8" s="183">
        <v>44792</v>
      </c>
      <c r="V8" s="183">
        <v>44793</v>
      </c>
      <c r="W8" s="183">
        <v>44794</v>
      </c>
      <c r="X8" s="183">
        <v>44795</v>
      </c>
      <c r="Y8" s="183">
        <v>44796</v>
      </c>
      <c r="Z8" s="183">
        <v>44797</v>
      </c>
      <c r="AA8" s="183">
        <v>44798</v>
      </c>
      <c r="AB8" s="183">
        <v>44799</v>
      </c>
      <c r="AC8" s="183">
        <v>44800</v>
      </c>
      <c r="AD8" s="183">
        <v>44801</v>
      </c>
      <c r="AE8" s="183">
        <v>44802</v>
      </c>
      <c r="AF8" s="183">
        <v>44803</v>
      </c>
      <c r="AG8" s="183">
        <v>44804</v>
      </c>
      <c r="AH8" s="183">
        <v>44805</v>
      </c>
      <c r="AI8" s="183">
        <v>44806</v>
      </c>
      <c r="AJ8" s="183">
        <v>44807</v>
      </c>
      <c r="AK8" s="183">
        <v>44808</v>
      </c>
      <c r="AL8" s="183">
        <v>44809</v>
      </c>
      <c r="BQ8" s="206" t="s">
        <v>855</v>
      </c>
      <c r="BR8" s="206"/>
      <c r="BS8" s="206"/>
      <c r="BT8" s="206"/>
      <c r="BU8" s="206"/>
      <c r="BV8" s="206"/>
      <c r="BW8" s="206"/>
      <c r="BX8" s="206"/>
      <c r="BY8" s="206"/>
      <c r="BZ8" s="206"/>
      <c r="CA8" s="206"/>
      <c r="CB8" s="206"/>
      <c r="CC8" s="206"/>
      <c r="CD8" s="206"/>
      <c r="CE8" s="206"/>
      <c r="CF8" s="206"/>
      <c r="CG8" s="206"/>
      <c r="CH8" s="206"/>
      <c r="CI8" s="206"/>
      <c r="CJ8" s="206"/>
      <c r="CK8" s="206"/>
      <c r="CL8" s="206"/>
      <c r="CM8" s="206"/>
      <c r="CN8" s="206"/>
      <c r="CO8" s="206"/>
      <c r="CP8" s="206"/>
      <c r="CQ8" s="206"/>
      <c r="CR8" s="206"/>
      <c r="CS8" s="206"/>
      <c r="CT8" s="206"/>
      <c r="CU8" s="206"/>
    </row>
    <row r="9" spans="3:101" x14ac:dyDescent="0.2">
      <c r="BG9" s="205" t="s">
        <v>851</v>
      </c>
      <c r="BH9" s="205"/>
    </row>
  </sheetData>
  <mergeCells count="2">
    <mergeCell ref="BG9:BH9"/>
    <mergeCell ref="BQ8:CU8"/>
  </mergeCells>
  <pageMargins left="0.7" right="0.7" top="0.75" bottom="0.75" header="0.3" footer="0.3"/>
  <customProperties>
    <customPr name="_pios_id" r:id="rId1"/>
    <customPr name="IbpWorksheetKeyString_GU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ED676-4C0A-4371-B8EA-EFA796EABFAB}">
  <dimension ref="B3:I22"/>
  <sheetViews>
    <sheetView showGridLines="0" zoomScale="80" zoomScaleNormal="80" workbookViewId="0">
      <selection activeCell="A9" sqref="A9"/>
    </sheetView>
  </sheetViews>
  <sheetFormatPr baseColWidth="10" defaultRowHeight="15" x14ac:dyDescent="0.2"/>
  <cols>
    <col min="2" max="3" width="19.1640625" bestFit="1" customWidth="1"/>
    <col min="4" max="4" width="14.1640625" customWidth="1"/>
    <col min="5" max="5" width="15.5" bestFit="1" customWidth="1"/>
    <col min="7" max="7" width="43.5" bestFit="1" customWidth="1"/>
    <col min="8" max="8" width="19.1640625" bestFit="1" customWidth="1"/>
    <col min="9" max="9" width="10.5" bestFit="1" customWidth="1"/>
    <col min="10" max="10" width="15.5" bestFit="1" customWidth="1"/>
  </cols>
  <sheetData>
    <row r="3" spans="2:9" ht="21" x14ac:dyDescent="0.25">
      <c r="B3" s="168"/>
      <c r="C3" s="169" t="s">
        <v>822</v>
      </c>
      <c r="D3" s="169" t="s">
        <v>823</v>
      </c>
      <c r="E3" s="170" t="s">
        <v>824</v>
      </c>
    </row>
    <row r="4" spans="2:9" ht="21" x14ac:dyDescent="0.25">
      <c r="B4" s="171" t="s">
        <v>821</v>
      </c>
      <c r="C4" s="172">
        <f>SUM(C8:C13)</f>
        <v>-2436858.26220298</v>
      </c>
      <c r="D4" s="172">
        <f>SUM(D8:D13)</f>
        <v>7991571.1190624051</v>
      </c>
      <c r="E4" s="172">
        <f>SUM(E8:E13)</f>
        <v>0</v>
      </c>
      <c r="G4" s="10" t="s">
        <v>0</v>
      </c>
      <c r="H4" t="s">
        <v>6</v>
      </c>
    </row>
    <row r="5" spans="2:9" x14ac:dyDescent="0.2">
      <c r="B5" s="10" t="s">
        <v>0</v>
      </c>
      <c r="C5" t="s">
        <v>6</v>
      </c>
      <c r="G5" s="150" t="s">
        <v>1</v>
      </c>
      <c r="H5" t="s">
        <v>356</v>
      </c>
    </row>
    <row r="7" spans="2:9" x14ac:dyDescent="0.2">
      <c r="B7" s="150" t="s">
        <v>1</v>
      </c>
      <c r="C7" s="149" t="s">
        <v>345</v>
      </c>
      <c r="D7" s="149" t="s">
        <v>667</v>
      </c>
      <c r="G7" s="10" t="s">
        <v>1</v>
      </c>
      <c r="H7" s="149" t="s">
        <v>345</v>
      </c>
      <c r="I7" s="147" t="s">
        <v>667</v>
      </c>
    </row>
    <row r="8" spans="2:9" x14ac:dyDescent="0.2">
      <c r="B8" s="11" t="s">
        <v>17</v>
      </c>
      <c r="C8" s="105">
        <v>-210999</v>
      </c>
      <c r="D8" s="173">
        <v>2586502.61</v>
      </c>
      <c r="G8" s="11" t="s">
        <v>349</v>
      </c>
      <c r="H8" s="105">
        <v>-1718859.26220298</v>
      </c>
      <c r="I8" s="158">
        <v>4920068.5090624047</v>
      </c>
    </row>
    <row r="9" spans="2:9" x14ac:dyDescent="0.2">
      <c r="B9" s="11" t="s">
        <v>173</v>
      </c>
      <c r="C9" s="105">
        <v>-726000</v>
      </c>
      <c r="D9" s="173">
        <v>2781333.65</v>
      </c>
      <c r="G9" s="11" t="s">
        <v>636</v>
      </c>
      <c r="H9" s="105">
        <v>-24999</v>
      </c>
      <c r="I9" s="158">
        <v>1766595.54</v>
      </c>
    </row>
    <row r="10" spans="2:9" x14ac:dyDescent="0.2">
      <c r="B10" s="11" t="s">
        <v>7</v>
      </c>
      <c r="C10" s="105">
        <v>-506000</v>
      </c>
      <c r="D10" s="173">
        <v>694000</v>
      </c>
      <c r="G10" s="11" t="s">
        <v>907</v>
      </c>
      <c r="H10" s="105">
        <v>-461000</v>
      </c>
      <c r="I10" s="158">
        <v>526000</v>
      </c>
    </row>
    <row r="11" spans="2:9" x14ac:dyDescent="0.2">
      <c r="B11" s="11" t="s">
        <v>88</v>
      </c>
      <c r="C11" s="105">
        <v>-993859.26220298023</v>
      </c>
      <c r="D11" s="173">
        <v>1929734.8590624055</v>
      </c>
      <c r="G11" s="11" t="s">
        <v>885</v>
      </c>
      <c r="H11" s="105">
        <v>0</v>
      </c>
      <c r="I11" s="158">
        <v>230000</v>
      </c>
    </row>
    <row r="12" spans="2:9" x14ac:dyDescent="0.2">
      <c r="G12" s="11" t="s">
        <v>893</v>
      </c>
      <c r="H12" s="105">
        <v>-69000</v>
      </c>
      <c r="I12" s="158">
        <v>127200</v>
      </c>
    </row>
    <row r="13" spans="2:9" x14ac:dyDescent="0.2">
      <c r="G13" s="11" t="s">
        <v>884</v>
      </c>
      <c r="H13" s="105">
        <v>-42000</v>
      </c>
      <c r="I13" s="158">
        <v>122518.32</v>
      </c>
    </row>
    <row r="14" spans="2:9" x14ac:dyDescent="0.2">
      <c r="G14" s="11" t="s">
        <v>891</v>
      </c>
      <c r="H14" s="105">
        <v>-48000</v>
      </c>
      <c r="I14" s="158">
        <v>96016.53</v>
      </c>
    </row>
    <row r="15" spans="2:9" x14ac:dyDescent="0.2">
      <c r="G15" s="11" t="s">
        <v>892</v>
      </c>
      <c r="H15" s="105">
        <v>0</v>
      </c>
      <c r="I15" s="158">
        <v>92000</v>
      </c>
    </row>
    <row r="16" spans="2:9" x14ac:dyDescent="0.2">
      <c r="G16" s="11" t="s">
        <v>890</v>
      </c>
      <c r="H16" s="105">
        <v>-4000</v>
      </c>
      <c r="I16" s="158">
        <v>88000</v>
      </c>
    </row>
    <row r="17" spans="7:9" x14ac:dyDescent="0.2">
      <c r="G17" s="11" t="s">
        <v>887</v>
      </c>
      <c r="H17" s="105">
        <v>-23000</v>
      </c>
      <c r="I17" s="158">
        <v>33271</v>
      </c>
    </row>
    <row r="18" spans="7:9" x14ac:dyDescent="0.2">
      <c r="G18" s="11" t="s">
        <v>888</v>
      </c>
      <c r="H18" s="105">
        <v>0</v>
      </c>
      <c r="I18" s="158">
        <v>24000</v>
      </c>
    </row>
    <row r="19" spans="7:9" x14ac:dyDescent="0.2">
      <c r="G19" s="11" t="s">
        <v>906</v>
      </c>
      <c r="H19" s="105">
        <v>-46000</v>
      </c>
      <c r="I19" s="158">
        <v>24000</v>
      </c>
    </row>
    <row r="20" spans="7:9" x14ac:dyDescent="0.2">
      <c r="G20" s="11" t="s">
        <v>883</v>
      </c>
      <c r="H20" s="105">
        <v>0</v>
      </c>
      <c r="I20" s="158">
        <v>6901.2199999999993</v>
      </c>
    </row>
    <row r="21" spans="7:9" x14ac:dyDescent="0.2">
      <c r="G21" s="11" t="s">
        <v>897</v>
      </c>
      <c r="H21" s="105">
        <v>0</v>
      </c>
      <c r="I21" s="158">
        <v>0</v>
      </c>
    </row>
    <row r="22" spans="7:9" x14ac:dyDescent="0.2">
      <c r="G22" s="11" t="s">
        <v>350</v>
      </c>
      <c r="H22" s="105">
        <v>-2436858.2622029791</v>
      </c>
      <c r="I22" s="158">
        <v>8056571.1190624051</v>
      </c>
    </row>
  </sheetData>
  <pageMargins left="0.7" right="0.7" top="0.75" bottom="0.75" header="0.3" footer="0.3"/>
  <customProperties>
    <customPr name="_pios_id" r:id="rId3"/>
    <customPr name="IbpWorksheetKeyString_GUID" r:id="rId4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AE275-11D3-465E-BFAD-4F21038D0035}">
  <dimension ref="A1:H10"/>
  <sheetViews>
    <sheetView workbookViewId="0">
      <selection activeCell="A5" sqref="A5"/>
    </sheetView>
  </sheetViews>
  <sheetFormatPr baseColWidth="10" defaultRowHeight="15" x14ac:dyDescent="0.2"/>
  <cols>
    <col min="1" max="1" width="17.5" bestFit="1" customWidth="1"/>
    <col min="2" max="2" width="12.83203125" bestFit="1" customWidth="1"/>
    <col min="3" max="3" width="13.6640625" bestFit="1" customWidth="1"/>
    <col min="6" max="6" width="16.5" bestFit="1" customWidth="1"/>
    <col min="7" max="7" width="12.83203125" bestFit="1" customWidth="1"/>
    <col min="8" max="8" width="13.6640625" bestFit="1" customWidth="1"/>
  </cols>
  <sheetData>
    <row r="1" spans="1:8" x14ac:dyDescent="0.2">
      <c r="F1" s="10" t="s">
        <v>795</v>
      </c>
      <c r="G1" t="s">
        <v>356</v>
      </c>
    </row>
    <row r="3" spans="1:8" x14ac:dyDescent="0.2">
      <c r="A3" s="10" t="s">
        <v>348</v>
      </c>
      <c r="B3" t="s">
        <v>802</v>
      </c>
      <c r="C3" t="s">
        <v>803</v>
      </c>
      <c r="F3" s="10" t="s">
        <v>348</v>
      </c>
      <c r="G3" t="s">
        <v>802</v>
      </c>
      <c r="H3" t="s">
        <v>803</v>
      </c>
    </row>
    <row r="4" spans="1:8" x14ac:dyDescent="0.2">
      <c r="A4" s="11" t="s">
        <v>370</v>
      </c>
      <c r="B4" s="13">
        <v>455989.05</v>
      </c>
      <c r="C4" s="55">
        <v>0.83636760842220181</v>
      </c>
      <c r="F4" s="11" t="s">
        <v>6</v>
      </c>
      <c r="G4" s="13">
        <v>9220399.0392832831</v>
      </c>
      <c r="H4" s="55">
        <v>2.8961788717372832</v>
      </c>
    </row>
    <row r="5" spans="1:8" x14ac:dyDescent="0.2">
      <c r="A5" s="11" t="s">
        <v>17</v>
      </c>
      <c r="B5" s="13">
        <v>4970730.3500000006</v>
      </c>
      <c r="C5" s="55">
        <v>1.4583755765827719</v>
      </c>
      <c r="F5" s="11" t="s">
        <v>587</v>
      </c>
      <c r="G5" s="13">
        <v>18000</v>
      </c>
      <c r="H5" s="55">
        <v>3.6</v>
      </c>
    </row>
    <row r="6" spans="1:8" x14ac:dyDescent="0.2">
      <c r="A6" s="11" t="s">
        <v>173</v>
      </c>
      <c r="B6" s="13">
        <v>3756870.86</v>
      </c>
      <c r="C6" s="55">
        <v>3.407725067157843</v>
      </c>
      <c r="F6" s="11" t="s">
        <v>204</v>
      </c>
      <c r="G6" s="13">
        <v>194500</v>
      </c>
      <c r="H6" s="55">
        <v>4.3571451369178815</v>
      </c>
    </row>
    <row r="7" spans="1:8" x14ac:dyDescent="0.2">
      <c r="A7" s="11" t="s">
        <v>7</v>
      </c>
      <c r="B7" s="13">
        <v>717990</v>
      </c>
      <c r="C7" s="55">
        <v>1.3581992785414838</v>
      </c>
      <c r="F7" s="11" t="s">
        <v>227</v>
      </c>
      <c r="G7" s="13">
        <v>3840683.55</v>
      </c>
      <c r="H7" s="55">
        <v>1.0748946133155928</v>
      </c>
    </row>
    <row r="8" spans="1:8" x14ac:dyDescent="0.2">
      <c r="A8" s="11" t="s">
        <v>140</v>
      </c>
      <c r="B8" s="13">
        <v>943603</v>
      </c>
      <c r="C8" s="55">
        <v>1.5607622497673466</v>
      </c>
      <c r="F8" s="11" t="s">
        <v>349</v>
      </c>
      <c r="G8" s="13"/>
      <c r="H8" s="55" t="e">
        <v>#DIV/0!</v>
      </c>
    </row>
    <row r="9" spans="1:8" x14ac:dyDescent="0.2">
      <c r="A9" s="11" t="s">
        <v>88</v>
      </c>
      <c r="B9" s="13">
        <v>2428399.3292832817</v>
      </c>
      <c r="C9" s="55">
        <v>3.6499997804530491</v>
      </c>
      <c r="F9" s="11" t="s">
        <v>350</v>
      </c>
      <c r="G9" s="13">
        <v>13273582.589283284</v>
      </c>
      <c r="H9" s="55">
        <v>2.3915562706231213</v>
      </c>
    </row>
    <row r="10" spans="1:8" x14ac:dyDescent="0.2">
      <c r="A10" s="11" t="s">
        <v>350</v>
      </c>
      <c r="B10" s="13">
        <v>13273582.589283282</v>
      </c>
      <c r="C10" s="55">
        <v>2.3915562706231208</v>
      </c>
    </row>
  </sheetData>
  <pageMargins left="0.7" right="0.7" top="0.75" bottom="0.75" header="0.3" footer="0.3"/>
  <pageSetup orientation="portrait" r:id="rId3"/>
  <customProperties>
    <customPr name="_pios_id" r:id="rId4"/>
    <customPr name="IbpWorksheetKeyString_GUID" r:id="rId5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2A2B6-A58D-4F5C-8BD1-7860083B786E}">
  <dimension ref="A2:L168"/>
  <sheetViews>
    <sheetView workbookViewId="0">
      <selection activeCell="D1" sqref="D1"/>
    </sheetView>
  </sheetViews>
  <sheetFormatPr baseColWidth="10" defaultRowHeight="15" x14ac:dyDescent="0.2"/>
  <cols>
    <col min="4" max="4" width="17.5" bestFit="1" customWidth="1"/>
    <col min="5" max="5" width="9.33203125" bestFit="1" customWidth="1"/>
    <col min="6" max="6" width="16.1640625" bestFit="1" customWidth="1"/>
    <col min="7" max="7" width="21.33203125" bestFit="1" customWidth="1"/>
  </cols>
  <sheetData>
    <row r="2" spans="1:12" x14ac:dyDescent="0.2">
      <c r="C2" s="164" t="s">
        <v>794</v>
      </c>
      <c r="D2" s="164" t="s">
        <v>795</v>
      </c>
      <c r="E2" s="164" t="s">
        <v>0</v>
      </c>
      <c r="F2" s="164" t="s">
        <v>649</v>
      </c>
      <c r="G2" s="164" t="s">
        <v>796</v>
      </c>
      <c r="H2" s="164" t="s">
        <v>797</v>
      </c>
      <c r="I2" s="164" t="s">
        <v>798</v>
      </c>
      <c r="J2" s="164" t="s">
        <v>799</v>
      </c>
      <c r="K2" s="165" t="s">
        <v>800</v>
      </c>
      <c r="L2" s="166" t="s">
        <v>801</v>
      </c>
    </row>
    <row r="3" spans="1:12" x14ac:dyDescent="0.2">
      <c r="A3" s="167" t="s">
        <v>804</v>
      </c>
      <c r="B3" s="167" t="str">
        <f>D3&amp;H3</f>
        <v>Agro Sudamerica1021279</v>
      </c>
      <c r="C3" t="s">
        <v>805</v>
      </c>
      <c r="D3" t="s">
        <v>17</v>
      </c>
      <c r="E3" t="s">
        <v>6</v>
      </c>
      <c r="F3" t="s">
        <v>92</v>
      </c>
      <c r="G3" t="s">
        <v>93</v>
      </c>
      <c r="H3">
        <v>1021279</v>
      </c>
      <c r="I3" t="s">
        <v>793</v>
      </c>
      <c r="J3">
        <v>24000</v>
      </c>
      <c r="K3">
        <v>1.2366666666666666</v>
      </c>
      <c r="L3">
        <f>+K3*J3</f>
        <v>29679.999999999996</v>
      </c>
    </row>
    <row r="4" spans="1:12" x14ac:dyDescent="0.2">
      <c r="A4" s="167" t="s">
        <v>804</v>
      </c>
      <c r="B4" s="167" t="str">
        <f t="shared" ref="B4:B67" si="0">D4&amp;H4</f>
        <v>Agro Sudamerica1020339</v>
      </c>
      <c r="C4" t="s">
        <v>805</v>
      </c>
      <c r="D4" t="s">
        <v>17</v>
      </c>
      <c r="E4" t="s">
        <v>6</v>
      </c>
      <c r="F4" t="s">
        <v>11</v>
      </c>
      <c r="G4" t="s">
        <v>15</v>
      </c>
      <c r="H4">
        <v>1020339</v>
      </c>
      <c r="I4" t="s">
        <v>793</v>
      </c>
      <c r="J4">
        <v>96000</v>
      </c>
      <c r="K4">
        <v>1.4866666666666666</v>
      </c>
      <c r="L4">
        <f t="shared" ref="L4:L67" si="1">+K4*J4</f>
        <v>142720</v>
      </c>
    </row>
    <row r="5" spans="1:12" x14ac:dyDescent="0.2">
      <c r="A5" s="167" t="s">
        <v>804</v>
      </c>
      <c r="B5" s="167" t="str">
        <f t="shared" si="0"/>
        <v>Agro Sudamerica1020352</v>
      </c>
      <c r="C5" t="s">
        <v>805</v>
      </c>
      <c r="D5" t="s">
        <v>17</v>
      </c>
      <c r="E5" t="s">
        <v>6</v>
      </c>
      <c r="F5" t="s">
        <v>8</v>
      </c>
      <c r="G5" t="s">
        <v>34</v>
      </c>
      <c r="H5">
        <v>1020352</v>
      </c>
      <c r="I5" t="s">
        <v>793</v>
      </c>
      <c r="J5">
        <v>71966.820000000007</v>
      </c>
      <c r="K5">
        <v>1.2991666666666666</v>
      </c>
      <c r="L5">
        <f t="shared" si="1"/>
        <v>93496.893649999998</v>
      </c>
    </row>
    <row r="6" spans="1:12" x14ac:dyDescent="0.2">
      <c r="A6" s="167" t="s">
        <v>804</v>
      </c>
      <c r="B6" s="167" t="str">
        <f t="shared" si="0"/>
        <v>Agro Sudamerica1020367</v>
      </c>
      <c r="C6" t="s">
        <v>805</v>
      </c>
      <c r="D6" t="s">
        <v>17</v>
      </c>
      <c r="E6" t="s">
        <v>6</v>
      </c>
      <c r="F6" t="s">
        <v>11</v>
      </c>
      <c r="G6" t="s">
        <v>41</v>
      </c>
      <c r="H6">
        <v>1020367</v>
      </c>
      <c r="I6" t="s">
        <v>793</v>
      </c>
      <c r="J6">
        <v>166000</v>
      </c>
      <c r="K6">
        <v>1.1083623242971887</v>
      </c>
      <c r="L6">
        <f t="shared" si="1"/>
        <v>183988.14583333334</v>
      </c>
    </row>
    <row r="7" spans="1:12" x14ac:dyDescent="0.2">
      <c r="A7" s="167" t="s">
        <v>804</v>
      </c>
      <c r="B7" s="167" t="str">
        <f t="shared" si="0"/>
        <v>Agro Sudamerica1020412</v>
      </c>
      <c r="C7" t="s">
        <v>805</v>
      </c>
      <c r="D7" t="s">
        <v>17</v>
      </c>
      <c r="E7" t="s">
        <v>6</v>
      </c>
      <c r="F7" t="s">
        <v>71</v>
      </c>
      <c r="G7" t="s">
        <v>72</v>
      </c>
      <c r="H7">
        <v>1020412</v>
      </c>
      <c r="I7" t="s">
        <v>793</v>
      </c>
      <c r="J7">
        <v>96000</v>
      </c>
      <c r="K7">
        <v>1.7722769712233275</v>
      </c>
      <c r="L7">
        <f t="shared" si="1"/>
        <v>170138.58923743945</v>
      </c>
    </row>
    <row r="8" spans="1:12" x14ac:dyDescent="0.2">
      <c r="A8" s="167" t="s">
        <v>804</v>
      </c>
      <c r="B8" s="167" t="str">
        <f t="shared" si="0"/>
        <v>Agro Sudamerica1020848</v>
      </c>
      <c r="C8" t="s">
        <v>805</v>
      </c>
      <c r="D8" t="s">
        <v>17</v>
      </c>
      <c r="E8" t="s">
        <v>6</v>
      </c>
      <c r="F8" t="s">
        <v>50</v>
      </c>
      <c r="G8" t="s">
        <v>51</v>
      </c>
      <c r="H8">
        <v>1020848</v>
      </c>
      <c r="I8" t="s">
        <v>793</v>
      </c>
      <c r="J8">
        <v>72000</v>
      </c>
      <c r="K8">
        <v>3.1433333333333335</v>
      </c>
      <c r="L8">
        <f t="shared" si="1"/>
        <v>226320</v>
      </c>
    </row>
    <row r="9" spans="1:12" x14ac:dyDescent="0.2">
      <c r="A9" s="167" t="s">
        <v>804</v>
      </c>
      <c r="B9" s="167" t="str">
        <f t="shared" si="0"/>
        <v>Agro Sudamerica1020869</v>
      </c>
      <c r="C9" t="s">
        <v>805</v>
      </c>
      <c r="D9" t="s">
        <v>17</v>
      </c>
      <c r="E9" t="s">
        <v>6</v>
      </c>
      <c r="F9" t="s">
        <v>25</v>
      </c>
      <c r="G9" t="s">
        <v>26</v>
      </c>
      <c r="H9">
        <v>1020869</v>
      </c>
      <c r="I9" t="s">
        <v>793</v>
      </c>
      <c r="J9">
        <v>67000</v>
      </c>
      <c r="K9">
        <v>4.2</v>
      </c>
      <c r="L9">
        <f t="shared" si="1"/>
        <v>281400</v>
      </c>
    </row>
    <row r="10" spans="1:12" x14ac:dyDescent="0.2">
      <c r="A10" s="167" t="s">
        <v>804</v>
      </c>
      <c r="B10" s="167" t="str">
        <f t="shared" si="0"/>
        <v>Agro Sudamerica1020915</v>
      </c>
      <c r="C10" t="s">
        <v>805</v>
      </c>
      <c r="D10" t="s">
        <v>17</v>
      </c>
      <c r="E10" t="s">
        <v>6</v>
      </c>
      <c r="F10" t="s">
        <v>59</v>
      </c>
      <c r="G10" t="s">
        <v>60</v>
      </c>
      <c r="H10">
        <v>1020915</v>
      </c>
      <c r="I10" t="s">
        <v>793</v>
      </c>
      <c r="J10">
        <v>52000</v>
      </c>
      <c r="K10">
        <v>1.9</v>
      </c>
      <c r="L10">
        <f t="shared" si="1"/>
        <v>98800</v>
      </c>
    </row>
    <row r="11" spans="1:12" x14ac:dyDescent="0.2">
      <c r="A11" s="167" t="s">
        <v>804</v>
      </c>
      <c r="B11" s="167" t="str">
        <f t="shared" si="0"/>
        <v>Agro Sudamerica1020925</v>
      </c>
      <c r="C11" t="s">
        <v>805</v>
      </c>
      <c r="D11" t="s">
        <v>17</v>
      </c>
      <c r="E11" t="s">
        <v>6</v>
      </c>
      <c r="F11" t="s">
        <v>11</v>
      </c>
      <c r="G11" t="s">
        <v>12</v>
      </c>
      <c r="H11">
        <v>1020925</v>
      </c>
      <c r="I11" t="s">
        <v>793</v>
      </c>
      <c r="J11">
        <v>96000</v>
      </c>
      <c r="K11">
        <v>1.45</v>
      </c>
      <c r="L11">
        <f t="shared" si="1"/>
        <v>139200</v>
      </c>
    </row>
    <row r="12" spans="1:12" x14ac:dyDescent="0.2">
      <c r="A12" s="167" t="s">
        <v>804</v>
      </c>
      <c r="B12" s="167" t="str">
        <f t="shared" si="0"/>
        <v>Agro Sudamerica1020944</v>
      </c>
      <c r="C12" t="s">
        <v>805</v>
      </c>
      <c r="D12" t="s">
        <v>17</v>
      </c>
      <c r="E12" t="s">
        <v>6</v>
      </c>
      <c r="F12" t="s">
        <v>59</v>
      </c>
      <c r="G12" t="s">
        <v>62</v>
      </c>
      <c r="H12">
        <v>1020944</v>
      </c>
      <c r="I12" t="s">
        <v>793</v>
      </c>
      <c r="J12">
        <v>226000</v>
      </c>
      <c r="K12">
        <v>2.6849973460509213</v>
      </c>
      <c r="L12">
        <f t="shared" si="1"/>
        <v>606809.40020750824</v>
      </c>
    </row>
    <row r="13" spans="1:12" x14ac:dyDescent="0.2">
      <c r="A13" s="167" t="s">
        <v>804</v>
      </c>
      <c r="B13" s="167" t="str">
        <f t="shared" si="0"/>
        <v>Agro Sudamerica1021023</v>
      </c>
      <c r="C13" t="s">
        <v>805</v>
      </c>
      <c r="D13" t="s">
        <v>17</v>
      </c>
      <c r="E13" t="s">
        <v>6</v>
      </c>
      <c r="F13" t="s">
        <v>11</v>
      </c>
      <c r="G13" t="s">
        <v>41</v>
      </c>
      <c r="H13">
        <v>1021023</v>
      </c>
      <c r="I13" t="s">
        <v>793</v>
      </c>
      <c r="J13">
        <v>119000</v>
      </c>
      <c r="K13">
        <v>1.1219623949579831</v>
      </c>
      <c r="L13">
        <f t="shared" si="1"/>
        <v>133513.52499999999</v>
      </c>
    </row>
    <row r="14" spans="1:12" x14ac:dyDescent="0.2">
      <c r="A14" s="167" t="s">
        <v>804</v>
      </c>
      <c r="B14" s="167" t="str">
        <f t="shared" si="0"/>
        <v>Agro Sudamerica1021039</v>
      </c>
      <c r="C14" t="s">
        <v>805</v>
      </c>
      <c r="D14" t="s">
        <v>17</v>
      </c>
      <c r="E14" t="s">
        <v>6</v>
      </c>
      <c r="F14" t="s">
        <v>8</v>
      </c>
      <c r="G14" t="s">
        <v>9</v>
      </c>
      <c r="H14">
        <v>1021039</v>
      </c>
      <c r="I14" t="s">
        <v>793</v>
      </c>
      <c r="J14">
        <v>50039</v>
      </c>
      <c r="K14">
        <v>0.50666666666666671</v>
      </c>
      <c r="L14">
        <f t="shared" si="1"/>
        <v>25353.093333333334</v>
      </c>
    </row>
    <row r="15" spans="1:12" x14ac:dyDescent="0.2">
      <c r="A15" s="167" t="s">
        <v>804</v>
      </c>
      <c r="B15" s="167" t="str">
        <f t="shared" si="0"/>
        <v>Agro Sudamerica1021077</v>
      </c>
      <c r="C15" t="s">
        <v>805</v>
      </c>
      <c r="D15" t="s">
        <v>17</v>
      </c>
      <c r="E15" t="s">
        <v>6</v>
      </c>
      <c r="F15" t="s">
        <v>11</v>
      </c>
      <c r="G15" t="s">
        <v>41</v>
      </c>
      <c r="H15">
        <v>1021077</v>
      </c>
      <c r="I15" t="s">
        <v>793</v>
      </c>
      <c r="J15">
        <v>48000</v>
      </c>
      <c r="K15">
        <v>1.2</v>
      </c>
      <c r="L15">
        <f t="shared" si="1"/>
        <v>57600</v>
      </c>
    </row>
    <row r="16" spans="1:12" x14ac:dyDescent="0.2">
      <c r="A16" s="167" t="s">
        <v>804</v>
      </c>
      <c r="B16" s="167" t="str">
        <f t="shared" si="0"/>
        <v>Agro Sudamerica1021078</v>
      </c>
      <c r="C16" t="s">
        <v>805</v>
      </c>
      <c r="D16" t="s">
        <v>17</v>
      </c>
      <c r="E16" t="s">
        <v>6</v>
      </c>
      <c r="F16" t="s">
        <v>71</v>
      </c>
      <c r="G16" t="s">
        <v>72</v>
      </c>
      <c r="H16">
        <v>1021078</v>
      </c>
      <c r="I16" t="s">
        <v>793</v>
      </c>
      <c r="J16">
        <v>144000</v>
      </c>
      <c r="K16">
        <v>2.1033402777777779</v>
      </c>
      <c r="L16">
        <f t="shared" si="1"/>
        <v>302881</v>
      </c>
    </row>
    <row r="17" spans="1:12" x14ac:dyDescent="0.2">
      <c r="A17" s="167" t="s">
        <v>804</v>
      </c>
      <c r="B17" s="167" t="str">
        <f t="shared" si="0"/>
        <v>Agro Sudamerica1021082</v>
      </c>
      <c r="C17" t="s">
        <v>805</v>
      </c>
      <c r="D17" t="s">
        <v>17</v>
      </c>
      <c r="E17" t="s">
        <v>6</v>
      </c>
      <c r="F17" t="s">
        <v>71</v>
      </c>
      <c r="G17" t="s">
        <v>72</v>
      </c>
      <c r="H17">
        <v>1021082</v>
      </c>
      <c r="I17" t="s">
        <v>793</v>
      </c>
      <c r="J17">
        <v>73500</v>
      </c>
      <c r="K17">
        <v>1.5</v>
      </c>
      <c r="L17">
        <f t="shared" si="1"/>
        <v>110250</v>
      </c>
    </row>
    <row r="18" spans="1:12" x14ac:dyDescent="0.2">
      <c r="A18" s="167" t="s">
        <v>804</v>
      </c>
      <c r="B18" s="167" t="str">
        <f t="shared" si="0"/>
        <v>Agro Sudamerica1021085</v>
      </c>
      <c r="C18" t="s">
        <v>805</v>
      </c>
      <c r="D18" t="s">
        <v>17</v>
      </c>
      <c r="E18" t="s">
        <v>6</v>
      </c>
      <c r="F18" t="s">
        <v>11</v>
      </c>
      <c r="G18" t="s">
        <v>41</v>
      </c>
      <c r="H18">
        <v>1021085</v>
      </c>
      <c r="I18" t="s">
        <v>793</v>
      </c>
      <c r="J18">
        <v>21300</v>
      </c>
      <c r="K18">
        <v>0.95</v>
      </c>
      <c r="L18">
        <f t="shared" si="1"/>
        <v>20235</v>
      </c>
    </row>
    <row r="19" spans="1:12" x14ac:dyDescent="0.2">
      <c r="A19" s="167" t="s">
        <v>804</v>
      </c>
      <c r="B19" s="167" t="str">
        <f t="shared" si="0"/>
        <v>Agro Sudamerica1021092</v>
      </c>
      <c r="C19" t="s">
        <v>805</v>
      </c>
      <c r="D19" t="s">
        <v>17</v>
      </c>
      <c r="E19" t="s">
        <v>6</v>
      </c>
      <c r="F19" t="s">
        <v>71</v>
      </c>
      <c r="G19" t="s">
        <v>72</v>
      </c>
      <c r="H19">
        <v>1021092</v>
      </c>
      <c r="I19" t="s">
        <v>793</v>
      </c>
      <c r="J19">
        <v>146000</v>
      </c>
      <c r="K19">
        <v>2.3252058033246348</v>
      </c>
      <c r="L19">
        <f t="shared" si="1"/>
        <v>339480.04728539666</v>
      </c>
    </row>
    <row r="20" spans="1:12" x14ac:dyDescent="0.2">
      <c r="A20" s="167" t="s">
        <v>804</v>
      </c>
      <c r="B20" s="167" t="str">
        <f t="shared" si="0"/>
        <v>Agro Sudamerica1021101</v>
      </c>
      <c r="C20" t="s">
        <v>805</v>
      </c>
      <c r="D20" t="s">
        <v>17</v>
      </c>
      <c r="E20" t="s">
        <v>6</v>
      </c>
      <c r="F20" t="s">
        <v>76</v>
      </c>
      <c r="G20" t="s">
        <v>84</v>
      </c>
      <c r="H20">
        <v>1021101</v>
      </c>
      <c r="I20" t="s">
        <v>793</v>
      </c>
      <c r="J20">
        <v>24000</v>
      </c>
      <c r="K20">
        <v>1.0866666666666667</v>
      </c>
      <c r="L20">
        <f t="shared" si="1"/>
        <v>26080</v>
      </c>
    </row>
    <row r="21" spans="1:12" x14ac:dyDescent="0.2">
      <c r="A21" s="167" t="s">
        <v>804</v>
      </c>
      <c r="B21" s="167" t="str">
        <f t="shared" si="0"/>
        <v>Agro Sudamerica1021105</v>
      </c>
      <c r="C21" t="s">
        <v>805</v>
      </c>
      <c r="D21" t="s">
        <v>17</v>
      </c>
      <c r="E21" t="s">
        <v>6</v>
      </c>
      <c r="F21" t="s">
        <v>76</v>
      </c>
      <c r="G21" t="s">
        <v>84</v>
      </c>
      <c r="H21">
        <v>1021105</v>
      </c>
      <c r="I21" t="s">
        <v>793</v>
      </c>
      <c r="J21">
        <v>53211</v>
      </c>
      <c r="K21">
        <v>0.63666666666666683</v>
      </c>
      <c r="L21">
        <f t="shared" si="1"/>
        <v>33877.670000000006</v>
      </c>
    </row>
    <row r="22" spans="1:12" x14ac:dyDescent="0.2">
      <c r="A22" s="167" t="s">
        <v>804</v>
      </c>
      <c r="B22" s="167" t="str">
        <f t="shared" si="0"/>
        <v>Agro Sudamerica1021111</v>
      </c>
      <c r="C22" t="s">
        <v>805</v>
      </c>
      <c r="D22" t="s">
        <v>17</v>
      </c>
      <c r="E22" t="s">
        <v>6</v>
      </c>
      <c r="F22" t="s">
        <v>11</v>
      </c>
      <c r="G22" t="s">
        <v>47</v>
      </c>
      <c r="H22">
        <v>1021111</v>
      </c>
      <c r="I22" t="s">
        <v>793</v>
      </c>
      <c r="J22">
        <v>9262</v>
      </c>
      <c r="K22">
        <v>1.1866666666666665</v>
      </c>
      <c r="L22">
        <f t="shared" si="1"/>
        <v>10990.906666666666</v>
      </c>
    </row>
    <row r="23" spans="1:12" x14ac:dyDescent="0.2">
      <c r="A23" s="167" t="s">
        <v>804</v>
      </c>
      <c r="B23" s="167" t="str">
        <f t="shared" si="0"/>
        <v>Agro Sudamerica1021187</v>
      </c>
      <c r="C23" t="s">
        <v>805</v>
      </c>
      <c r="D23" t="s">
        <v>17</v>
      </c>
      <c r="E23" t="s">
        <v>6</v>
      </c>
      <c r="F23" t="s">
        <v>8</v>
      </c>
      <c r="G23" t="s">
        <v>28</v>
      </c>
      <c r="H23">
        <v>1021187</v>
      </c>
      <c r="I23" t="s">
        <v>793</v>
      </c>
      <c r="J23">
        <v>72000</v>
      </c>
      <c r="K23">
        <v>1.9866666666666664</v>
      </c>
      <c r="L23">
        <f t="shared" si="1"/>
        <v>143039.99999999997</v>
      </c>
    </row>
    <row r="24" spans="1:12" x14ac:dyDescent="0.2">
      <c r="A24" s="167" t="s">
        <v>804</v>
      </c>
      <c r="B24" s="167" t="str">
        <f t="shared" si="0"/>
        <v>Agro Sudamerica1021385</v>
      </c>
      <c r="C24" t="s">
        <v>805</v>
      </c>
      <c r="D24" t="s">
        <v>17</v>
      </c>
      <c r="E24" t="s">
        <v>6</v>
      </c>
      <c r="F24" t="s">
        <v>8</v>
      </c>
      <c r="G24" t="s">
        <v>32</v>
      </c>
      <c r="H24">
        <v>1021385</v>
      </c>
      <c r="I24" t="s">
        <v>793</v>
      </c>
      <c r="J24">
        <v>174400</v>
      </c>
      <c r="K24">
        <v>0.99087375764525998</v>
      </c>
      <c r="L24">
        <f t="shared" si="1"/>
        <v>172808.38333333333</v>
      </c>
    </row>
    <row r="25" spans="1:12" x14ac:dyDescent="0.2">
      <c r="A25" s="167" t="s">
        <v>804</v>
      </c>
      <c r="B25" s="167" t="str">
        <f t="shared" si="0"/>
        <v>Agro Sudamerica1021622</v>
      </c>
      <c r="C25" t="s">
        <v>805</v>
      </c>
      <c r="D25" t="s">
        <v>17</v>
      </c>
      <c r="E25" t="s">
        <v>6</v>
      </c>
      <c r="F25" t="s">
        <v>18</v>
      </c>
      <c r="G25" t="s">
        <v>21</v>
      </c>
      <c r="H25">
        <v>1021622</v>
      </c>
      <c r="I25" t="s">
        <v>793</v>
      </c>
      <c r="J25">
        <v>24000</v>
      </c>
      <c r="K25">
        <v>6.3866666666666667</v>
      </c>
      <c r="L25">
        <f t="shared" si="1"/>
        <v>153280</v>
      </c>
    </row>
    <row r="26" spans="1:12" x14ac:dyDescent="0.2">
      <c r="A26" s="167" t="s">
        <v>804</v>
      </c>
      <c r="B26" s="167" t="str">
        <f t="shared" si="0"/>
        <v>Agro Sudamerica1021868</v>
      </c>
      <c r="C26" t="s">
        <v>805</v>
      </c>
      <c r="D26" t="s">
        <v>17</v>
      </c>
      <c r="E26" t="s">
        <v>6</v>
      </c>
      <c r="F26" t="s">
        <v>59</v>
      </c>
      <c r="G26" t="s">
        <v>65</v>
      </c>
      <c r="H26">
        <v>1021868</v>
      </c>
      <c r="I26" t="s">
        <v>793</v>
      </c>
      <c r="J26">
        <v>49000</v>
      </c>
      <c r="K26">
        <v>2.9066666666666663</v>
      </c>
      <c r="L26">
        <f t="shared" si="1"/>
        <v>142426.66666666666</v>
      </c>
    </row>
    <row r="27" spans="1:12" x14ac:dyDescent="0.2">
      <c r="A27" s="167" t="s">
        <v>804</v>
      </c>
      <c r="B27" s="167" t="str">
        <f t="shared" si="0"/>
        <v>Agro Sudamerica1021976</v>
      </c>
      <c r="C27" t="s">
        <v>805</v>
      </c>
      <c r="D27" t="s">
        <v>17</v>
      </c>
      <c r="E27" t="s">
        <v>6</v>
      </c>
      <c r="F27" t="s">
        <v>53</v>
      </c>
      <c r="G27" t="s">
        <v>54</v>
      </c>
      <c r="H27">
        <v>1021976</v>
      </c>
      <c r="I27" t="s">
        <v>793</v>
      </c>
      <c r="J27">
        <v>168000</v>
      </c>
      <c r="K27">
        <v>2.4333370535714285</v>
      </c>
      <c r="L27">
        <f t="shared" si="1"/>
        <v>408800.625</v>
      </c>
    </row>
    <row r="28" spans="1:12" x14ac:dyDescent="0.2">
      <c r="A28" s="167" t="s">
        <v>804</v>
      </c>
      <c r="B28" s="167" t="str">
        <f t="shared" si="0"/>
        <v>Agro Sudamerica1022150</v>
      </c>
      <c r="C28" t="s">
        <v>805</v>
      </c>
      <c r="D28" t="s">
        <v>17</v>
      </c>
      <c r="E28" t="s">
        <v>6</v>
      </c>
      <c r="F28" t="s">
        <v>11</v>
      </c>
      <c r="G28" t="s">
        <v>41</v>
      </c>
      <c r="H28">
        <v>1022150</v>
      </c>
      <c r="I28" t="s">
        <v>793</v>
      </c>
      <c r="J28">
        <v>191989.89</v>
      </c>
      <c r="K28">
        <v>1.2029273995328864</v>
      </c>
      <c r="L28">
        <f t="shared" si="1"/>
        <v>230949.89911430492</v>
      </c>
    </row>
    <row r="29" spans="1:12" x14ac:dyDescent="0.2">
      <c r="A29" s="167" t="s">
        <v>804</v>
      </c>
      <c r="B29" s="167" t="str">
        <f t="shared" si="0"/>
        <v>Agro Sudamerica1022196</v>
      </c>
      <c r="C29" t="s">
        <v>805</v>
      </c>
      <c r="D29" t="s">
        <v>17</v>
      </c>
      <c r="E29" t="s">
        <v>6</v>
      </c>
      <c r="F29" t="s">
        <v>8</v>
      </c>
      <c r="G29" t="s">
        <v>30</v>
      </c>
      <c r="H29">
        <v>1022196</v>
      </c>
      <c r="I29" t="s">
        <v>793</v>
      </c>
      <c r="J29">
        <v>96000</v>
      </c>
      <c r="K29">
        <v>0.81166666666666665</v>
      </c>
      <c r="L29">
        <f t="shared" si="1"/>
        <v>77920</v>
      </c>
    </row>
    <row r="30" spans="1:12" x14ac:dyDescent="0.2">
      <c r="A30" s="167" t="s">
        <v>804</v>
      </c>
      <c r="B30" s="167" t="str">
        <f t="shared" si="0"/>
        <v>Agro Sudamerica1022197</v>
      </c>
      <c r="C30" t="s">
        <v>805</v>
      </c>
      <c r="D30" t="s">
        <v>17</v>
      </c>
      <c r="E30" t="s">
        <v>6</v>
      </c>
      <c r="F30" t="s">
        <v>8</v>
      </c>
      <c r="G30" t="s">
        <v>30</v>
      </c>
      <c r="H30">
        <v>1022197</v>
      </c>
      <c r="I30" t="s">
        <v>793</v>
      </c>
      <c r="J30">
        <v>4698</v>
      </c>
      <c r="K30">
        <v>0.5</v>
      </c>
      <c r="L30">
        <f t="shared" si="1"/>
        <v>2349</v>
      </c>
    </row>
    <row r="31" spans="1:12" x14ac:dyDescent="0.2">
      <c r="A31" s="167" t="s">
        <v>804</v>
      </c>
      <c r="B31" s="167" t="str">
        <f t="shared" si="0"/>
        <v>Agro Sudamerica1022709</v>
      </c>
      <c r="C31" t="s">
        <v>805</v>
      </c>
      <c r="D31" t="s">
        <v>17</v>
      </c>
      <c r="E31" t="s">
        <v>6</v>
      </c>
      <c r="F31" t="s">
        <v>59</v>
      </c>
      <c r="G31" t="s">
        <v>62</v>
      </c>
      <c r="H31">
        <v>1022709</v>
      </c>
      <c r="I31" t="s">
        <v>793</v>
      </c>
      <c r="J31">
        <v>179991.64</v>
      </c>
      <c r="K31">
        <v>2.8208964939072234</v>
      </c>
      <c r="L31">
        <f t="shared" si="1"/>
        <v>507737.78620861121</v>
      </c>
    </row>
    <row r="32" spans="1:12" x14ac:dyDescent="0.2">
      <c r="A32" s="167" t="s">
        <v>804</v>
      </c>
      <c r="B32" s="167" t="str">
        <f t="shared" si="0"/>
        <v>Agro Sudamerica1022847</v>
      </c>
      <c r="C32" t="s">
        <v>805</v>
      </c>
      <c r="D32" t="s">
        <v>17</v>
      </c>
      <c r="E32" t="s">
        <v>6</v>
      </c>
      <c r="F32" t="s">
        <v>56</v>
      </c>
      <c r="G32" t="s">
        <v>57</v>
      </c>
      <c r="H32">
        <v>1022847</v>
      </c>
      <c r="I32" t="s">
        <v>793</v>
      </c>
      <c r="J32">
        <v>24000</v>
      </c>
      <c r="K32">
        <v>1.4166666666666667</v>
      </c>
      <c r="L32">
        <f t="shared" si="1"/>
        <v>34000</v>
      </c>
    </row>
    <row r="33" spans="1:12" x14ac:dyDescent="0.2">
      <c r="A33" s="167" t="s">
        <v>804</v>
      </c>
      <c r="B33" s="167" t="str">
        <f t="shared" si="0"/>
        <v>Agro Sudamerica1022855</v>
      </c>
      <c r="C33" t="s">
        <v>805</v>
      </c>
      <c r="D33" t="s">
        <v>17</v>
      </c>
      <c r="E33" t="s">
        <v>6</v>
      </c>
      <c r="F33" t="s">
        <v>11</v>
      </c>
      <c r="G33" t="s">
        <v>12</v>
      </c>
      <c r="H33">
        <v>1022855</v>
      </c>
      <c r="I33" t="s">
        <v>793</v>
      </c>
      <c r="J33">
        <v>72000</v>
      </c>
      <c r="K33">
        <v>1.04</v>
      </c>
      <c r="L33">
        <f t="shared" si="1"/>
        <v>74880</v>
      </c>
    </row>
    <row r="34" spans="1:12" x14ac:dyDescent="0.2">
      <c r="A34" s="167" t="s">
        <v>804</v>
      </c>
      <c r="B34" s="167" t="str">
        <f t="shared" si="0"/>
        <v>Agro Sudamerica1022920</v>
      </c>
      <c r="C34" t="s">
        <v>805</v>
      </c>
      <c r="D34" t="s">
        <v>17</v>
      </c>
      <c r="E34" t="s">
        <v>6</v>
      </c>
      <c r="F34" t="s">
        <v>11</v>
      </c>
      <c r="G34" t="s">
        <v>41</v>
      </c>
      <c r="H34">
        <v>1022920</v>
      </c>
      <c r="I34" t="s">
        <v>793</v>
      </c>
      <c r="J34">
        <v>24000</v>
      </c>
      <c r="K34">
        <v>1.0866536964980544</v>
      </c>
      <c r="L34">
        <f t="shared" si="1"/>
        <v>26079.688715953307</v>
      </c>
    </row>
    <row r="35" spans="1:12" x14ac:dyDescent="0.2">
      <c r="A35" s="167" t="s">
        <v>804</v>
      </c>
      <c r="B35" s="167" t="str">
        <f t="shared" si="0"/>
        <v>Agro Sudamerica1022921</v>
      </c>
      <c r="C35" t="s">
        <v>805</v>
      </c>
      <c r="D35" t="s">
        <v>17</v>
      </c>
      <c r="E35" t="s">
        <v>6</v>
      </c>
      <c r="F35" t="s">
        <v>11</v>
      </c>
      <c r="G35" t="s">
        <v>41</v>
      </c>
      <c r="H35">
        <v>1022921</v>
      </c>
      <c r="I35" t="s">
        <v>793</v>
      </c>
      <c r="J35">
        <v>24000</v>
      </c>
      <c r="K35">
        <v>1.2999999999999998</v>
      </c>
      <c r="L35">
        <f t="shared" si="1"/>
        <v>31199.999999999996</v>
      </c>
    </row>
    <row r="36" spans="1:12" x14ac:dyDescent="0.2">
      <c r="A36" s="167" t="s">
        <v>804</v>
      </c>
      <c r="B36" s="167" t="str">
        <f t="shared" si="0"/>
        <v>Agro Sudamerica1023355</v>
      </c>
      <c r="C36" t="s">
        <v>805</v>
      </c>
      <c r="D36" t="s">
        <v>17</v>
      </c>
      <c r="E36" t="s">
        <v>6</v>
      </c>
      <c r="F36" t="s">
        <v>76</v>
      </c>
      <c r="G36" t="s">
        <v>84</v>
      </c>
      <c r="H36">
        <v>1023355</v>
      </c>
      <c r="I36" t="s">
        <v>793</v>
      </c>
      <c r="J36">
        <v>46500</v>
      </c>
      <c r="K36">
        <v>0.62451130708637681</v>
      </c>
      <c r="L36">
        <f t="shared" si="1"/>
        <v>29039.775779516523</v>
      </c>
    </row>
    <row r="37" spans="1:12" x14ac:dyDescent="0.2">
      <c r="A37" s="167" t="s">
        <v>804</v>
      </c>
      <c r="B37" s="167" t="str">
        <f t="shared" si="0"/>
        <v>Agrosuper Asia1020860</v>
      </c>
      <c r="C37" t="s">
        <v>805</v>
      </c>
      <c r="D37" t="s">
        <v>173</v>
      </c>
      <c r="E37" t="s">
        <v>6</v>
      </c>
      <c r="F37" t="s">
        <v>50</v>
      </c>
      <c r="G37" t="s">
        <v>110</v>
      </c>
      <c r="H37">
        <v>1020860</v>
      </c>
      <c r="I37" t="s">
        <v>793</v>
      </c>
      <c r="J37">
        <v>110000</v>
      </c>
      <c r="K37">
        <v>4.1805000000000003</v>
      </c>
      <c r="L37">
        <f t="shared" si="1"/>
        <v>459855.00000000006</v>
      </c>
    </row>
    <row r="38" spans="1:12" x14ac:dyDescent="0.2">
      <c r="A38" s="167" t="s">
        <v>804</v>
      </c>
      <c r="B38" s="167" t="str">
        <f t="shared" si="0"/>
        <v>Agrosuper Asia1020861</v>
      </c>
      <c r="C38" t="s">
        <v>805</v>
      </c>
      <c r="D38" t="s">
        <v>173</v>
      </c>
      <c r="E38" t="s">
        <v>6</v>
      </c>
      <c r="F38" t="s">
        <v>50</v>
      </c>
      <c r="G38" t="s">
        <v>110</v>
      </c>
      <c r="H38">
        <v>1020861</v>
      </c>
      <c r="I38" t="s">
        <v>793</v>
      </c>
      <c r="J38">
        <v>166000</v>
      </c>
      <c r="K38">
        <v>4.1846624909275665</v>
      </c>
      <c r="L38">
        <f t="shared" si="1"/>
        <v>694653.97349397605</v>
      </c>
    </row>
    <row r="39" spans="1:12" x14ac:dyDescent="0.2">
      <c r="A39" s="167" t="s">
        <v>804</v>
      </c>
      <c r="B39" s="167" t="str">
        <f t="shared" si="0"/>
        <v>Agrosuper Asia1020904</v>
      </c>
      <c r="C39" t="s">
        <v>805</v>
      </c>
      <c r="D39" t="s">
        <v>173</v>
      </c>
      <c r="E39" t="s">
        <v>6</v>
      </c>
      <c r="F39" t="s">
        <v>56</v>
      </c>
      <c r="G39" t="s">
        <v>118</v>
      </c>
      <c r="H39">
        <v>1020904</v>
      </c>
      <c r="I39" t="s">
        <v>793</v>
      </c>
      <c r="J39">
        <v>44000</v>
      </c>
      <c r="K39">
        <v>6</v>
      </c>
      <c r="L39">
        <f t="shared" si="1"/>
        <v>264000</v>
      </c>
    </row>
    <row r="40" spans="1:12" x14ac:dyDescent="0.2">
      <c r="A40" s="167" t="s">
        <v>804</v>
      </c>
      <c r="B40" s="167" t="str">
        <f t="shared" si="0"/>
        <v>Agrosuper Asia1020905</v>
      </c>
      <c r="C40" t="s">
        <v>805</v>
      </c>
      <c r="D40" t="s">
        <v>173</v>
      </c>
      <c r="E40" t="s">
        <v>6</v>
      </c>
      <c r="F40" t="s">
        <v>56</v>
      </c>
      <c r="G40" t="s">
        <v>118</v>
      </c>
      <c r="H40">
        <v>1020905</v>
      </c>
      <c r="I40" t="s">
        <v>793</v>
      </c>
      <c r="J40">
        <v>22000</v>
      </c>
      <c r="K40">
        <v>6</v>
      </c>
      <c r="L40">
        <f t="shared" si="1"/>
        <v>132000</v>
      </c>
    </row>
    <row r="41" spans="1:12" x14ac:dyDescent="0.2">
      <c r="A41" s="167" t="s">
        <v>804</v>
      </c>
      <c r="B41" s="167" t="str">
        <f t="shared" si="0"/>
        <v>Agrosuper Asia1021012</v>
      </c>
      <c r="C41" t="s">
        <v>805</v>
      </c>
      <c r="D41" t="s">
        <v>173</v>
      </c>
      <c r="E41" t="s">
        <v>6</v>
      </c>
      <c r="F41" t="s">
        <v>67</v>
      </c>
      <c r="G41" t="s">
        <v>68</v>
      </c>
      <c r="H41">
        <v>1021012</v>
      </c>
      <c r="I41" t="s">
        <v>793</v>
      </c>
      <c r="J41">
        <v>154000</v>
      </c>
      <c r="K41">
        <v>1.92</v>
      </c>
      <c r="L41">
        <f t="shared" si="1"/>
        <v>295680</v>
      </c>
    </row>
    <row r="42" spans="1:12" x14ac:dyDescent="0.2">
      <c r="A42" s="167" t="s">
        <v>804</v>
      </c>
      <c r="B42" s="167" t="str">
        <f t="shared" si="0"/>
        <v>Agrosuper Asia1021045</v>
      </c>
      <c r="C42" t="s">
        <v>805</v>
      </c>
      <c r="D42" t="s">
        <v>173</v>
      </c>
      <c r="E42" t="s">
        <v>6</v>
      </c>
      <c r="F42" t="s">
        <v>159</v>
      </c>
      <c r="G42" t="s">
        <v>160</v>
      </c>
      <c r="H42">
        <v>1021045</v>
      </c>
      <c r="I42" t="s">
        <v>793</v>
      </c>
      <c r="J42">
        <v>44000</v>
      </c>
      <c r="K42">
        <v>2.1335303030303034</v>
      </c>
      <c r="L42">
        <f t="shared" si="1"/>
        <v>93875.333333333358</v>
      </c>
    </row>
    <row r="43" spans="1:12" x14ac:dyDescent="0.2">
      <c r="A43" s="167" t="s">
        <v>804</v>
      </c>
      <c r="B43" s="167" t="str">
        <f t="shared" si="0"/>
        <v>Agrosuper Asia1021149</v>
      </c>
      <c r="C43" t="s">
        <v>805</v>
      </c>
      <c r="D43" t="s">
        <v>173</v>
      </c>
      <c r="E43" t="s">
        <v>6</v>
      </c>
      <c r="F43" t="s">
        <v>92</v>
      </c>
      <c r="G43" t="s">
        <v>93</v>
      </c>
      <c r="H43">
        <v>1021149</v>
      </c>
      <c r="I43" t="s">
        <v>793</v>
      </c>
      <c r="J43">
        <v>22000</v>
      </c>
      <c r="K43">
        <v>0.77812499999999996</v>
      </c>
      <c r="L43">
        <f t="shared" si="1"/>
        <v>17118.75</v>
      </c>
    </row>
    <row r="44" spans="1:12" x14ac:dyDescent="0.2">
      <c r="A44" s="167" t="s">
        <v>804</v>
      </c>
      <c r="B44" s="167" t="str">
        <f t="shared" si="0"/>
        <v>Agrosuper Asia1021150</v>
      </c>
      <c r="C44" t="s">
        <v>805</v>
      </c>
      <c r="D44" t="s">
        <v>173</v>
      </c>
      <c r="E44" t="s">
        <v>6</v>
      </c>
      <c r="F44" t="s">
        <v>92</v>
      </c>
      <c r="G44" t="s">
        <v>93</v>
      </c>
      <c r="H44">
        <v>1021150</v>
      </c>
      <c r="I44" t="s">
        <v>793</v>
      </c>
      <c r="J44">
        <v>22000</v>
      </c>
      <c r="K44">
        <v>0.85019696969696967</v>
      </c>
      <c r="L44">
        <f t="shared" si="1"/>
        <v>18704.333333333332</v>
      </c>
    </row>
    <row r="45" spans="1:12" x14ac:dyDescent="0.2">
      <c r="A45" s="167" t="s">
        <v>804</v>
      </c>
      <c r="B45" s="167" t="str">
        <f t="shared" si="0"/>
        <v>Agrosuper Asia1021151</v>
      </c>
      <c r="C45" t="s">
        <v>805</v>
      </c>
      <c r="D45" t="s">
        <v>173</v>
      </c>
      <c r="E45" t="s">
        <v>6</v>
      </c>
      <c r="F45" t="s">
        <v>92</v>
      </c>
      <c r="G45" t="s">
        <v>153</v>
      </c>
      <c r="H45">
        <v>1021151</v>
      </c>
      <c r="I45" t="s">
        <v>793</v>
      </c>
      <c r="J45">
        <v>22000</v>
      </c>
      <c r="K45">
        <v>1.3</v>
      </c>
      <c r="L45">
        <f t="shared" si="1"/>
        <v>28600</v>
      </c>
    </row>
    <row r="46" spans="1:12" x14ac:dyDescent="0.2">
      <c r="A46" s="167" t="s">
        <v>804</v>
      </c>
      <c r="B46" s="167" t="str">
        <f t="shared" si="0"/>
        <v>Agrosuper Asia1021152</v>
      </c>
      <c r="C46" t="s">
        <v>805</v>
      </c>
      <c r="D46" t="s">
        <v>173</v>
      </c>
      <c r="E46" t="s">
        <v>6</v>
      </c>
      <c r="F46" t="s">
        <v>92</v>
      </c>
      <c r="G46" t="s">
        <v>153</v>
      </c>
      <c r="H46">
        <v>1021152</v>
      </c>
      <c r="I46" t="s">
        <v>793</v>
      </c>
      <c r="J46">
        <v>22000</v>
      </c>
      <c r="K46">
        <v>1.3</v>
      </c>
      <c r="L46">
        <f t="shared" si="1"/>
        <v>28600</v>
      </c>
    </row>
    <row r="47" spans="1:12" x14ac:dyDescent="0.2">
      <c r="A47" s="167" t="s">
        <v>804</v>
      </c>
      <c r="B47" s="167" t="str">
        <f t="shared" si="0"/>
        <v>Agrosuper Asia1021156</v>
      </c>
      <c r="C47" t="s">
        <v>805</v>
      </c>
      <c r="D47" t="s">
        <v>173</v>
      </c>
      <c r="E47" t="s">
        <v>6</v>
      </c>
      <c r="F47" t="s">
        <v>92</v>
      </c>
      <c r="G47" t="s">
        <v>93</v>
      </c>
      <c r="H47">
        <v>1021156</v>
      </c>
      <c r="I47" t="s">
        <v>793</v>
      </c>
      <c r="J47">
        <v>47000</v>
      </c>
      <c r="K47">
        <v>2.7385106382978726</v>
      </c>
      <c r="L47">
        <f t="shared" si="1"/>
        <v>128710.00000000001</v>
      </c>
    </row>
    <row r="48" spans="1:12" x14ac:dyDescent="0.2">
      <c r="A48" s="167" t="s">
        <v>804</v>
      </c>
      <c r="B48" s="167" t="str">
        <f t="shared" si="0"/>
        <v>Agrosuper Asia1021204</v>
      </c>
      <c r="C48" t="s">
        <v>805</v>
      </c>
      <c r="D48" t="s">
        <v>173</v>
      </c>
      <c r="E48" t="s">
        <v>6</v>
      </c>
      <c r="F48" t="s">
        <v>11</v>
      </c>
      <c r="G48" t="s">
        <v>15</v>
      </c>
      <c r="H48">
        <v>1021204</v>
      </c>
      <c r="I48" t="s">
        <v>793</v>
      </c>
      <c r="J48">
        <v>24000</v>
      </c>
      <c r="K48">
        <v>1.35</v>
      </c>
      <c r="L48">
        <f t="shared" si="1"/>
        <v>32400.000000000004</v>
      </c>
    </row>
    <row r="49" spans="1:12" x14ac:dyDescent="0.2">
      <c r="A49" s="167" t="s">
        <v>804</v>
      </c>
      <c r="B49" s="167" t="str">
        <f t="shared" si="0"/>
        <v>Agrosuper Asia1021470</v>
      </c>
      <c r="C49" t="s">
        <v>805</v>
      </c>
      <c r="D49" t="s">
        <v>173</v>
      </c>
      <c r="E49" t="s">
        <v>6</v>
      </c>
      <c r="F49" t="s">
        <v>159</v>
      </c>
      <c r="G49" t="s">
        <v>160</v>
      </c>
      <c r="H49">
        <v>1021470</v>
      </c>
      <c r="I49" t="s">
        <v>793</v>
      </c>
      <c r="J49">
        <v>22000</v>
      </c>
      <c r="K49">
        <v>1.6</v>
      </c>
      <c r="L49">
        <f t="shared" si="1"/>
        <v>35200</v>
      </c>
    </row>
    <row r="50" spans="1:12" x14ac:dyDescent="0.2">
      <c r="A50" s="167" t="s">
        <v>804</v>
      </c>
      <c r="B50" s="167" t="str">
        <f t="shared" si="0"/>
        <v>Agrosuper Asia1021664</v>
      </c>
      <c r="C50" t="s">
        <v>805</v>
      </c>
      <c r="D50" t="s">
        <v>173</v>
      </c>
      <c r="E50" t="s">
        <v>6</v>
      </c>
      <c r="F50" t="s">
        <v>25</v>
      </c>
      <c r="G50" t="s">
        <v>26</v>
      </c>
      <c r="H50">
        <v>1021664</v>
      </c>
      <c r="I50" t="s">
        <v>793</v>
      </c>
      <c r="J50">
        <v>22000</v>
      </c>
      <c r="K50">
        <v>5.7157179487179501</v>
      </c>
      <c r="L50">
        <f t="shared" si="1"/>
        <v>125745.7948717949</v>
      </c>
    </row>
    <row r="51" spans="1:12" x14ac:dyDescent="0.2">
      <c r="A51" s="167" t="s">
        <v>804</v>
      </c>
      <c r="B51" s="167" t="str">
        <f t="shared" si="0"/>
        <v>Agrosuper Asia1022283</v>
      </c>
      <c r="C51" t="s">
        <v>805</v>
      </c>
      <c r="D51" t="s">
        <v>173</v>
      </c>
      <c r="E51" t="s">
        <v>6</v>
      </c>
      <c r="F51" t="s">
        <v>134</v>
      </c>
      <c r="G51" t="s">
        <v>135</v>
      </c>
      <c r="H51">
        <v>1022283</v>
      </c>
      <c r="I51" t="s">
        <v>793</v>
      </c>
      <c r="J51">
        <v>5000</v>
      </c>
      <c r="K51">
        <v>6.5</v>
      </c>
      <c r="L51">
        <f t="shared" si="1"/>
        <v>32500</v>
      </c>
    </row>
    <row r="52" spans="1:12" x14ac:dyDescent="0.2">
      <c r="A52" s="167" t="s">
        <v>804</v>
      </c>
      <c r="B52" s="167" t="str">
        <f t="shared" si="0"/>
        <v>Agrosuper Asia1022607</v>
      </c>
      <c r="C52" t="s">
        <v>805</v>
      </c>
      <c r="D52" t="s">
        <v>173</v>
      </c>
      <c r="E52" t="s">
        <v>6</v>
      </c>
      <c r="F52" t="s">
        <v>134</v>
      </c>
      <c r="G52" t="s">
        <v>199</v>
      </c>
      <c r="H52">
        <v>1022607</v>
      </c>
      <c r="I52" t="s">
        <v>793</v>
      </c>
      <c r="J52">
        <v>22000</v>
      </c>
      <c r="K52">
        <v>5.5</v>
      </c>
      <c r="L52">
        <f t="shared" si="1"/>
        <v>121000</v>
      </c>
    </row>
    <row r="53" spans="1:12" x14ac:dyDescent="0.2">
      <c r="A53" s="167" t="s">
        <v>804</v>
      </c>
      <c r="B53" s="167" t="str">
        <f t="shared" si="0"/>
        <v>Agrosuper Asia1022885</v>
      </c>
      <c r="C53" t="s">
        <v>805</v>
      </c>
      <c r="D53" t="s">
        <v>173</v>
      </c>
      <c r="E53" t="s">
        <v>6</v>
      </c>
      <c r="F53" t="s">
        <v>56</v>
      </c>
      <c r="G53" t="s">
        <v>57</v>
      </c>
      <c r="H53">
        <v>1022885</v>
      </c>
      <c r="I53" t="s">
        <v>793</v>
      </c>
      <c r="J53">
        <v>528004.15</v>
      </c>
      <c r="K53">
        <v>6.04</v>
      </c>
      <c r="L53">
        <f t="shared" si="1"/>
        <v>3189145.0660000001</v>
      </c>
    </row>
    <row r="54" spans="1:12" x14ac:dyDescent="0.2">
      <c r="A54" s="167" t="s">
        <v>804</v>
      </c>
      <c r="B54" s="167" t="str">
        <f t="shared" si="0"/>
        <v>Agrosuper Asia1022887</v>
      </c>
      <c r="C54" t="s">
        <v>805</v>
      </c>
      <c r="D54" t="s">
        <v>173</v>
      </c>
      <c r="E54" t="s">
        <v>6</v>
      </c>
      <c r="F54" t="s">
        <v>56</v>
      </c>
      <c r="G54" t="s">
        <v>57</v>
      </c>
      <c r="H54">
        <v>1022887</v>
      </c>
      <c r="I54" t="s">
        <v>793</v>
      </c>
      <c r="J54">
        <v>264000</v>
      </c>
      <c r="K54">
        <v>6.0912673611111128</v>
      </c>
      <c r="L54">
        <f t="shared" si="1"/>
        <v>1608094.5833333337</v>
      </c>
    </row>
    <row r="55" spans="1:12" x14ac:dyDescent="0.2">
      <c r="A55" s="167" t="s">
        <v>804</v>
      </c>
      <c r="B55" s="167" t="str">
        <f t="shared" si="0"/>
        <v>Agrosuper Asia1022930</v>
      </c>
      <c r="C55" t="s">
        <v>805</v>
      </c>
      <c r="D55" t="s">
        <v>173</v>
      </c>
      <c r="E55" t="s">
        <v>6</v>
      </c>
      <c r="F55" t="s">
        <v>56</v>
      </c>
      <c r="G55" t="s">
        <v>57</v>
      </c>
      <c r="H55">
        <v>1022930</v>
      </c>
      <c r="I55" t="s">
        <v>793</v>
      </c>
      <c r="J55">
        <v>242031.5</v>
      </c>
      <c r="K55">
        <v>6.3083115361902395</v>
      </c>
      <c r="L55">
        <f t="shared" si="1"/>
        <v>1526810.103571428</v>
      </c>
    </row>
    <row r="56" spans="1:12" x14ac:dyDescent="0.2">
      <c r="A56" s="167" t="s">
        <v>804</v>
      </c>
      <c r="B56" s="167" t="str">
        <f t="shared" si="0"/>
        <v>Agrosuper Asia1022985</v>
      </c>
      <c r="C56" t="s">
        <v>805</v>
      </c>
      <c r="D56" t="s">
        <v>173</v>
      </c>
      <c r="E56" t="s">
        <v>6</v>
      </c>
      <c r="F56" t="s">
        <v>50</v>
      </c>
      <c r="G56" t="s">
        <v>110</v>
      </c>
      <c r="H56">
        <v>1022985</v>
      </c>
      <c r="I56" t="s">
        <v>793</v>
      </c>
      <c r="J56">
        <v>10000</v>
      </c>
      <c r="K56">
        <v>4.26</v>
      </c>
      <c r="L56">
        <f t="shared" si="1"/>
        <v>42600</v>
      </c>
    </row>
    <row r="57" spans="1:12" x14ac:dyDescent="0.2">
      <c r="A57" s="167" t="s">
        <v>804</v>
      </c>
      <c r="B57" s="167" t="str">
        <f t="shared" si="0"/>
        <v>Agrosuper Asia1023037</v>
      </c>
      <c r="C57" t="s">
        <v>805</v>
      </c>
      <c r="D57" t="s">
        <v>173</v>
      </c>
      <c r="E57" t="s">
        <v>6</v>
      </c>
      <c r="F57" t="s">
        <v>56</v>
      </c>
      <c r="G57" t="s">
        <v>57</v>
      </c>
      <c r="H57">
        <v>1023037</v>
      </c>
      <c r="I57" t="s">
        <v>793</v>
      </c>
      <c r="J57">
        <v>77000</v>
      </c>
      <c r="K57">
        <v>6.3126098901098899</v>
      </c>
      <c r="L57">
        <f t="shared" si="1"/>
        <v>486070.9615384615</v>
      </c>
    </row>
    <row r="58" spans="1:12" x14ac:dyDescent="0.2">
      <c r="A58" s="167" t="s">
        <v>804</v>
      </c>
      <c r="B58" s="167" t="str">
        <f t="shared" si="0"/>
        <v>Agrosuper Asia1023038</v>
      </c>
      <c r="C58" t="s">
        <v>805</v>
      </c>
      <c r="D58" t="s">
        <v>173</v>
      </c>
      <c r="E58" t="s">
        <v>6</v>
      </c>
      <c r="F58" t="s">
        <v>50</v>
      </c>
      <c r="G58" t="s">
        <v>110</v>
      </c>
      <c r="H58">
        <v>1023038</v>
      </c>
      <c r="I58" t="s">
        <v>793</v>
      </c>
      <c r="J58">
        <v>121010.70999999999</v>
      </c>
      <c r="K58">
        <v>4.3809353622313862</v>
      </c>
      <c r="L58">
        <f t="shared" si="1"/>
        <v>530140.09864772717</v>
      </c>
    </row>
    <row r="59" spans="1:12" x14ac:dyDescent="0.2">
      <c r="A59" s="167" t="s">
        <v>804</v>
      </c>
      <c r="B59" s="167" t="str">
        <f t="shared" si="0"/>
        <v>Agrosuper Asia1023090</v>
      </c>
      <c r="C59" t="s">
        <v>805</v>
      </c>
      <c r="D59" t="s">
        <v>173</v>
      </c>
      <c r="E59" t="s">
        <v>6</v>
      </c>
      <c r="F59" t="s">
        <v>56</v>
      </c>
      <c r="G59" t="s">
        <v>57</v>
      </c>
      <c r="H59">
        <v>1023090</v>
      </c>
      <c r="I59" t="s">
        <v>793</v>
      </c>
      <c r="J59">
        <v>22000</v>
      </c>
      <c r="K59">
        <v>6.5</v>
      </c>
      <c r="L59">
        <f t="shared" si="1"/>
        <v>143000</v>
      </c>
    </row>
    <row r="60" spans="1:12" x14ac:dyDescent="0.2">
      <c r="A60" s="167" t="s">
        <v>804</v>
      </c>
      <c r="B60" s="167" t="str">
        <f t="shared" si="0"/>
        <v>Agrosuper Asia1023144</v>
      </c>
      <c r="C60" t="s">
        <v>805</v>
      </c>
      <c r="D60" t="s">
        <v>173</v>
      </c>
      <c r="E60" t="s">
        <v>6</v>
      </c>
      <c r="F60" t="s">
        <v>67</v>
      </c>
      <c r="G60" t="s">
        <v>324</v>
      </c>
      <c r="H60">
        <v>1023144</v>
      </c>
      <c r="I60" t="s">
        <v>793</v>
      </c>
      <c r="J60">
        <v>72000</v>
      </c>
      <c r="K60">
        <v>2.191071666666665</v>
      </c>
      <c r="L60">
        <f t="shared" si="1"/>
        <v>157757.15999999989</v>
      </c>
    </row>
    <row r="61" spans="1:12" x14ac:dyDescent="0.2">
      <c r="A61" s="167" t="s">
        <v>804</v>
      </c>
      <c r="B61" s="167" t="str">
        <f t="shared" si="0"/>
        <v>Agrosuper Asia1023283</v>
      </c>
      <c r="C61" t="s">
        <v>805</v>
      </c>
      <c r="D61" t="s">
        <v>173</v>
      </c>
      <c r="E61" t="s">
        <v>6</v>
      </c>
      <c r="F61" t="s">
        <v>76</v>
      </c>
      <c r="G61" t="s">
        <v>201</v>
      </c>
      <c r="H61">
        <v>1023283</v>
      </c>
      <c r="I61" t="s">
        <v>793</v>
      </c>
      <c r="J61">
        <v>120000</v>
      </c>
      <c r="K61">
        <v>0.88798602083333322</v>
      </c>
      <c r="L61">
        <f t="shared" si="1"/>
        <v>106558.32249999998</v>
      </c>
    </row>
    <row r="62" spans="1:12" x14ac:dyDescent="0.2">
      <c r="A62" s="167" t="s">
        <v>804</v>
      </c>
      <c r="B62" s="167" t="str">
        <f t="shared" si="0"/>
        <v>Agrosuper Asia1023307</v>
      </c>
      <c r="C62" t="s">
        <v>805</v>
      </c>
      <c r="D62" t="s">
        <v>173</v>
      </c>
      <c r="E62" t="s">
        <v>6</v>
      </c>
      <c r="F62" t="s">
        <v>76</v>
      </c>
      <c r="G62" t="s">
        <v>84</v>
      </c>
      <c r="H62">
        <v>1023307</v>
      </c>
      <c r="I62" t="s">
        <v>793</v>
      </c>
      <c r="J62">
        <v>24000</v>
      </c>
      <c r="K62">
        <v>0.76571666666666705</v>
      </c>
      <c r="L62">
        <f t="shared" si="1"/>
        <v>18377.200000000008</v>
      </c>
    </row>
    <row r="63" spans="1:12" x14ac:dyDescent="0.2">
      <c r="A63" s="167" t="s">
        <v>804</v>
      </c>
      <c r="B63" s="167" t="str">
        <f t="shared" si="0"/>
        <v>Agrosuper Asia1023326</v>
      </c>
      <c r="C63" t="s">
        <v>805</v>
      </c>
      <c r="D63" t="s">
        <v>173</v>
      </c>
      <c r="E63" t="s">
        <v>6</v>
      </c>
      <c r="F63" t="s">
        <v>76</v>
      </c>
      <c r="G63" t="s">
        <v>84</v>
      </c>
      <c r="H63">
        <v>1023326</v>
      </c>
      <c r="I63" t="s">
        <v>793</v>
      </c>
      <c r="J63">
        <v>48000</v>
      </c>
      <c r="K63">
        <v>0.95</v>
      </c>
      <c r="L63">
        <f t="shared" si="1"/>
        <v>45600</v>
      </c>
    </row>
    <row r="64" spans="1:12" x14ac:dyDescent="0.2">
      <c r="A64" s="167" t="s">
        <v>804</v>
      </c>
      <c r="B64" s="167" t="str">
        <f t="shared" si="0"/>
        <v>Agrosuper Brasil1021864</v>
      </c>
      <c r="C64" t="s">
        <v>805</v>
      </c>
      <c r="D64" t="s">
        <v>7</v>
      </c>
      <c r="E64" t="s">
        <v>6</v>
      </c>
      <c r="F64" t="s">
        <v>8</v>
      </c>
      <c r="G64" t="s">
        <v>9</v>
      </c>
      <c r="H64">
        <v>1021864</v>
      </c>
      <c r="I64" t="s">
        <v>793</v>
      </c>
      <c r="J64">
        <v>72000</v>
      </c>
      <c r="K64">
        <v>0.5</v>
      </c>
      <c r="L64">
        <f t="shared" si="1"/>
        <v>36000</v>
      </c>
    </row>
    <row r="65" spans="1:12" x14ac:dyDescent="0.2">
      <c r="A65" s="167" t="s">
        <v>804</v>
      </c>
      <c r="B65" s="167" t="str">
        <f t="shared" si="0"/>
        <v>Agrosuper Brasil1022217</v>
      </c>
      <c r="C65" t="s">
        <v>805</v>
      </c>
      <c r="D65" t="s">
        <v>7</v>
      </c>
      <c r="E65" t="s">
        <v>6</v>
      </c>
      <c r="F65" t="s">
        <v>11</v>
      </c>
      <c r="G65" t="s">
        <v>15</v>
      </c>
      <c r="H65">
        <v>1022217</v>
      </c>
      <c r="I65" t="s">
        <v>793</v>
      </c>
      <c r="J65">
        <v>192000</v>
      </c>
      <c r="K65">
        <v>1.5</v>
      </c>
      <c r="L65">
        <f t="shared" si="1"/>
        <v>288000</v>
      </c>
    </row>
    <row r="66" spans="1:12" x14ac:dyDescent="0.2">
      <c r="A66" s="167" t="s">
        <v>804</v>
      </c>
      <c r="B66" s="167" t="str">
        <f t="shared" si="0"/>
        <v>Agrosuper Brasil1022218</v>
      </c>
      <c r="C66" t="s">
        <v>805</v>
      </c>
      <c r="D66" t="s">
        <v>7</v>
      </c>
      <c r="E66" t="s">
        <v>6</v>
      </c>
      <c r="F66" t="s">
        <v>11</v>
      </c>
      <c r="G66" t="s">
        <v>12</v>
      </c>
      <c r="H66">
        <v>1022218</v>
      </c>
      <c r="I66" t="s">
        <v>793</v>
      </c>
      <c r="J66">
        <v>96000</v>
      </c>
      <c r="K66">
        <v>1.5</v>
      </c>
      <c r="L66">
        <f t="shared" si="1"/>
        <v>144000</v>
      </c>
    </row>
    <row r="67" spans="1:12" x14ac:dyDescent="0.2">
      <c r="A67" s="167" t="s">
        <v>804</v>
      </c>
      <c r="B67" s="167" t="str">
        <f t="shared" si="0"/>
        <v>Agrosuper Brasil1022273</v>
      </c>
      <c r="C67" t="s">
        <v>805</v>
      </c>
      <c r="D67" t="s">
        <v>7</v>
      </c>
      <c r="E67" t="s">
        <v>6</v>
      </c>
      <c r="F67" t="s">
        <v>11</v>
      </c>
      <c r="G67" t="s">
        <v>12</v>
      </c>
      <c r="H67">
        <v>1022273</v>
      </c>
      <c r="I67" t="s">
        <v>793</v>
      </c>
      <c r="J67">
        <v>190000</v>
      </c>
      <c r="K67">
        <v>1.4</v>
      </c>
      <c r="L67">
        <f t="shared" si="1"/>
        <v>266000</v>
      </c>
    </row>
    <row r="68" spans="1:12" x14ac:dyDescent="0.2">
      <c r="A68" s="167" t="s">
        <v>804</v>
      </c>
      <c r="B68" s="167" t="str">
        <f t="shared" ref="B68:B131" si="2">D68&amp;H68</f>
        <v>Agrosuper Brasil1023329</v>
      </c>
      <c r="C68" t="s">
        <v>805</v>
      </c>
      <c r="D68" t="s">
        <v>7</v>
      </c>
      <c r="E68" t="s">
        <v>6</v>
      </c>
      <c r="F68" t="s">
        <v>8</v>
      </c>
      <c r="G68" t="s">
        <v>9</v>
      </c>
      <c r="H68">
        <v>1023329</v>
      </c>
      <c r="I68" t="s">
        <v>793</v>
      </c>
      <c r="J68">
        <v>24000</v>
      </c>
      <c r="K68">
        <v>0.5</v>
      </c>
      <c r="L68">
        <f t="shared" ref="L68:L131" si="3">+K68*J68</f>
        <v>12000</v>
      </c>
    </row>
    <row r="69" spans="1:12" x14ac:dyDescent="0.2">
      <c r="A69" s="167" t="s">
        <v>804</v>
      </c>
      <c r="B69" s="167" t="str">
        <f t="shared" si="2"/>
        <v>Agrosuper Brasil1023334</v>
      </c>
      <c r="C69" t="s">
        <v>805</v>
      </c>
      <c r="D69" t="s">
        <v>7</v>
      </c>
      <c r="E69" t="s">
        <v>6</v>
      </c>
      <c r="F69" t="s">
        <v>8</v>
      </c>
      <c r="G69" t="s">
        <v>32</v>
      </c>
      <c r="H69">
        <v>1023334</v>
      </c>
      <c r="I69" t="s">
        <v>793</v>
      </c>
      <c r="J69">
        <v>72000</v>
      </c>
      <c r="K69">
        <v>0.6</v>
      </c>
      <c r="L69">
        <f t="shared" si="3"/>
        <v>43200</v>
      </c>
    </row>
    <row r="70" spans="1:12" x14ac:dyDescent="0.2">
      <c r="A70" s="167" t="s">
        <v>804</v>
      </c>
      <c r="B70" s="167" t="str">
        <f t="shared" si="2"/>
        <v>Agrosuper Shanghai1021733</v>
      </c>
      <c r="C70" t="s">
        <v>805</v>
      </c>
      <c r="D70" t="s">
        <v>140</v>
      </c>
      <c r="E70" t="s">
        <v>6</v>
      </c>
      <c r="F70" t="s">
        <v>59</v>
      </c>
      <c r="G70" t="s">
        <v>62</v>
      </c>
      <c r="H70">
        <v>1021733</v>
      </c>
      <c r="I70" t="s">
        <v>793</v>
      </c>
      <c r="J70">
        <v>72000</v>
      </c>
      <c r="K70">
        <v>2.8455833333333298</v>
      </c>
      <c r="L70">
        <f t="shared" si="3"/>
        <v>204881.99999999974</v>
      </c>
    </row>
    <row r="71" spans="1:12" x14ac:dyDescent="0.2">
      <c r="A71" s="167" t="s">
        <v>804</v>
      </c>
      <c r="B71" s="167" t="str">
        <f t="shared" si="2"/>
        <v>Agrosuper Shanghai1021992</v>
      </c>
      <c r="C71" t="s">
        <v>805</v>
      </c>
      <c r="D71" t="s">
        <v>140</v>
      </c>
      <c r="E71" t="s">
        <v>6</v>
      </c>
      <c r="F71" t="s">
        <v>11</v>
      </c>
      <c r="G71" t="s">
        <v>15</v>
      </c>
      <c r="H71">
        <v>1021992</v>
      </c>
      <c r="I71" t="s">
        <v>793</v>
      </c>
      <c r="J71">
        <v>48000</v>
      </c>
      <c r="K71">
        <v>1.6387662656249997</v>
      </c>
      <c r="L71">
        <f t="shared" si="3"/>
        <v>78660.780749999991</v>
      </c>
    </row>
    <row r="72" spans="1:12" x14ac:dyDescent="0.2">
      <c r="A72" s="167" t="s">
        <v>804</v>
      </c>
      <c r="B72" s="167" t="str">
        <f t="shared" si="2"/>
        <v>Agrosuper Shanghai1022373</v>
      </c>
      <c r="C72" t="s">
        <v>805</v>
      </c>
      <c r="D72" t="s">
        <v>140</v>
      </c>
      <c r="E72" t="s">
        <v>6</v>
      </c>
      <c r="F72" t="s">
        <v>71</v>
      </c>
      <c r="G72" t="s">
        <v>72</v>
      </c>
      <c r="H72">
        <v>1022373</v>
      </c>
      <c r="I72" t="s">
        <v>793</v>
      </c>
      <c r="J72">
        <v>24000</v>
      </c>
      <c r="K72">
        <v>1.4497916666666699</v>
      </c>
      <c r="L72">
        <f t="shared" si="3"/>
        <v>34795.00000000008</v>
      </c>
    </row>
    <row r="73" spans="1:12" x14ac:dyDescent="0.2">
      <c r="A73" s="167" t="s">
        <v>804</v>
      </c>
      <c r="B73" s="167" t="str">
        <f t="shared" si="2"/>
        <v>Agrosuper Shanghai1022379</v>
      </c>
      <c r="C73" t="s">
        <v>805</v>
      </c>
      <c r="D73" t="s">
        <v>140</v>
      </c>
      <c r="E73" t="s">
        <v>6</v>
      </c>
      <c r="F73" t="s">
        <v>53</v>
      </c>
      <c r="G73" t="s">
        <v>54</v>
      </c>
      <c r="H73">
        <v>1022379</v>
      </c>
      <c r="I73" t="s">
        <v>793</v>
      </c>
      <c r="J73">
        <v>48000</v>
      </c>
      <c r="K73">
        <v>2.4993472222222199</v>
      </c>
      <c r="L73">
        <f t="shared" si="3"/>
        <v>119968.66666666656</v>
      </c>
    </row>
    <row r="74" spans="1:12" x14ac:dyDescent="0.2">
      <c r="A74" s="167" t="s">
        <v>804</v>
      </c>
      <c r="B74" s="167" t="str">
        <f t="shared" si="2"/>
        <v>Agrosuper Shanghai1022381</v>
      </c>
      <c r="C74" t="s">
        <v>805</v>
      </c>
      <c r="D74" t="s">
        <v>140</v>
      </c>
      <c r="E74" t="s">
        <v>6</v>
      </c>
      <c r="F74" t="s">
        <v>11</v>
      </c>
      <c r="G74" t="s">
        <v>41</v>
      </c>
      <c r="H74">
        <v>1022381</v>
      </c>
      <c r="I74" t="s">
        <v>793</v>
      </c>
      <c r="J74">
        <v>96000</v>
      </c>
      <c r="K74">
        <v>1.3325</v>
      </c>
      <c r="L74">
        <f t="shared" si="3"/>
        <v>127920</v>
      </c>
    </row>
    <row r="75" spans="1:12" x14ac:dyDescent="0.2">
      <c r="A75" s="167" t="s">
        <v>804</v>
      </c>
      <c r="B75" s="167" t="str">
        <f t="shared" si="2"/>
        <v>Agrosuper Shanghai1022414</v>
      </c>
      <c r="C75" t="s">
        <v>805</v>
      </c>
      <c r="D75" t="s">
        <v>140</v>
      </c>
      <c r="E75" t="s">
        <v>6</v>
      </c>
      <c r="F75" t="s">
        <v>18</v>
      </c>
      <c r="G75" t="s">
        <v>141</v>
      </c>
      <c r="H75">
        <v>1022414</v>
      </c>
      <c r="I75" t="s">
        <v>793</v>
      </c>
      <c r="J75">
        <v>24000</v>
      </c>
      <c r="K75">
        <v>1.1083333333333301</v>
      </c>
      <c r="L75">
        <f t="shared" si="3"/>
        <v>26599.99999999992</v>
      </c>
    </row>
    <row r="76" spans="1:12" x14ac:dyDescent="0.2">
      <c r="A76" s="167" t="s">
        <v>804</v>
      </c>
      <c r="B76" s="167" t="str">
        <f t="shared" si="2"/>
        <v>Agrosuper Shanghai1022417</v>
      </c>
      <c r="C76" t="s">
        <v>805</v>
      </c>
      <c r="D76" t="s">
        <v>140</v>
      </c>
      <c r="E76" t="s">
        <v>6</v>
      </c>
      <c r="F76" t="s">
        <v>8</v>
      </c>
      <c r="G76" t="s">
        <v>32</v>
      </c>
      <c r="H76">
        <v>1022417</v>
      </c>
      <c r="I76" t="s">
        <v>793</v>
      </c>
      <c r="J76">
        <v>97000</v>
      </c>
      <c r="K76">
        <v>0.79995833333333299</v>
      </c>
      <c r="L76">
        <f t="shared" si="3"/>
        <v>77595.958333333299</v>
      </c>
    </row>
    <row r="77" spans="1:12" x14ac:dyDescent="0.2">
      <c r="A77" s="167" t="s">
        <v>804</v>
      </c>
      <c r="B77" s="167" t="str">
        <f t="shared" si="2"/>
        <v>Agrosuper Shanghai1022637</v>
      </c>
      <c r="C77" t="s">
        <v>805</v>
      </c>
      <c r="D77" t="s">
        <v>140</v>
      </c>
      <c r="E77" t="s">
        <v>6</v>
      </c>
      <c r="F77" t="s">
        <v>92</v>
      </c>
      <c r="G77" t="s">
        <v>153</v>
      </c>
      <c r="H77">
        <v>1022637</v>
      </c>
      <c r="I77" t="s">
        <v>793</v>
      </c>
      <c r="J77">
        <v>21210</v>
      </c>
      <c r="K77">
        <v>1.1545886731763355</v>
      </c>
      <c r="L77">
        <f t="shared" si="3"/>
        <v>24488.825758070077</v>
      </c>
    </row>
    <row r="78" spans="1:12" x14ac:dyDescent="0.2">
      <c r="A78" s="167" t="s">
        <v>804</v>
      </c>
      <c r="B78" s="167" t="str">
        <f t="shared" si="2"/>
        <v>Agrosuper Shanghai1022851</v>
      </c>
      <c r="C78" t="s">
        <v>805</v>
      </c>
      <c r="D78" t="s">
        <v>140</v>
      </c>
      <c r="E78" t="s">
        <v>6</v>
      </c>
      <c r="F78" t="s">
        <v>53</v>
      </c>
      <c r="G78" t="s">
        <v>156</v>
      </c>
      <c r="H78">
        <v>1022851</v>
      </c>
      <c r="I78" t="s">
        <v>793</v>
      </c>
      <c r="J78">
        <v>96000</v>
      </c>
      <c r="K78">
        <v>1.7755270833333325</v>
      </c>
      <c r="L78">
        <f t="shared" si="3"/>
        <v>170450.59999999992</v>
      </c>
    </row>
    <row r="79" spans="1:12" x14ac:dyDescent="0.2">
      <c r="A79" s="167" t="s">
        <v>804</v>
      </c>
      <c r="B79" s="167" t="str">
        <f t="shared" si="2"/>
        <v>Agrosuper Shanghai1022856</v>
      </c>
      <c r="C79" t="s">
        <v>805</v>
      </c>
      <c r="D79" t="s">
        <v>140</v>
      </c>
      <c r="E79" t="s">
        <v>6</v>
      </c>
      <c r="F79" t="s">
        <v>11</v>
      </c>
      <c r="G79" t="s">
        <v>41</v>
      </c>
      <c r="H79">
        <v>1022856</v>
      </c>
      <c r="I79" t="s">
        <v>793</v>
      </c>
      <c r="J79">
        <v>120000</v>
      </c>
      <c r="K79">
        <v>1.25833333333333</v>
      </c>
      <c r="L79">
        <f t="shared" si="3"/>
        <v>150999.99999999959</v>
      </c>
    </row>
    <row r="80" spans="1:12" x14ac:dyDescent="0.2">
      <c r="A80" s="167" t="s">
        <v>804</v>
      </c>
      <c r="B80" s="167" t="str">
        <f t="shared" si="2"/>
        <v>Agrosuper Shanghai1022945</v>
      </c>
      <c r="C80" t="s">
        <v>805</v>
      </c>
      <c r="D80" t="s">
        <v>140</v>
      </c>
      <c r="E80" t="s">
        <v>6</v>
      </c>
      <c r="F80" t="s">
        <v>11</v>
      </c>
      <c r="G80" t="s">
        <v>47</v>
      </c>
      <c r="H80">
        <v>1022945</v>
      </c>
      <c r="I80" t="s">
        <v>793</v>
      </c>
      <c r="J80">
        <v>24080</v>
      </c>
      <c r="K80">
        <v>1.2303454270274354</v>
      </c>
      <c r="L80">
        <f t="shared" si="3"/>
        <v>29626.717882820645</v>
      </c>
    </row>
    <row r="81" spans="1:12" x14ac:dyDescent="0.2">
      <c r="A81" s="167" t="s">
        <v>804</v>
      </c>
      <c r="B81" s="167" t="str">
        <f t="shared" si="2"/>
        <v>Agrosuper Shanghai1023034</v>
      </c>
      <c r="C81" t="s">
        <v>805</v>
      </c>
      <c r="D81" t="s">
        <v>140</v>
      </c>
      <c r="E81" t="s">
        <v>6</v>
      </c>
      <c r="F81" t="s">
        <v>8</v>
      </c>
      <c r="G81" t="s">
        <v>30</v>
      </c>
      <c r="H81">
        <v>1023034</v>
      </c>
      <c r="I81" t="s">
        <v>793</v>
      </c>
      <c r="J81">
        <v>48000</v>
      </c>
      <c r="K81">
        <v>0.73333333333333284</v>
      </c>
      <c r="L81">
        <f t="shared" si="3"/>
        <v>35199.999999999978</v>
      </c>
    </row>
    <row r="82" spans="1:12" x14ac:dyDescent="0.2">
      <c r="A82" s="167" t="s">
        <v>804</v>
      </c>
      <c r="B82" s="167" t="str">
        <f t="shared" si="2"/>
        <v>Agrosuper Shanghai1023306</v>
      </c>
      <c r="C82" t="s">
        <v>805</v>
      </c>
      <c r="D82" t="s">
        <v>140</v>
      </c>
      <c r="E82" t="s">
        <v>6</v>
      </c>
      <c r="F82" t="s">
        <v>8</v>
      </c>
      <c r="G82" t="s">
        <v>32</v>
      </c>
      <c r="H82">
        <v>1023306</v>
      </c>
      <c r="I82" t="s">
        <v>793</v>
      </c>
      <c r="J82">
        <v>96000</v>
      </c>
      <c r="K82">
        <v>1.00484611969389</v>
      </c>
      <c r="L82">
        <f t="shared" si="3"/>
        <v>96465.227490613441</v>
      </c>
    </row>
    <row r="83" spans="1:12" x14ac:dyDescent="0.2">
      <c r="A83" s="167" t="s">
        <v>804</v>
      </c>
      <c r="B83" s="167" t="str">
        <f t="shared" si="2"/>
        <v>Exportacion Directa1020105</v>
      </c>
      <c r="C83" t="s">
        <v>805</v>
      </c>
      <c r="D83" t="s">
        <v>88</v>
      </c>
      <c r="E83" t="s">
        <v>6</v>
      </c>
      <c r="F83" t="s">
        <v>50</v>
      </c>
      <c r="G83" t="s">
        <v>51</v>
      </c>
      <c r="H83">
        <v>1020105</v>
      </c>
      <c r="I83" t="s">
        <v>793</v>
      </c>
      <c r="J83">
        <v>80899.354838709682</v>
      </c>
      <c r="K83">
        <v>3.8076164323391155</v>
      </c>
      <c r="L83">
        <f t="shared" si="3"/>
        <v>308033.71284950391</v>
      </c>
    </row>
    <row r="84" spans="1:12" x14ac:dyDescent="0.2">
      <c r="A84" s="167" t="s">
        <v>804</v>
      </c>
      <c r="B84" s="167" t="str">
        <f t="shared" si="2"/>
        <v>Exportacion Directa1020110</v>
      </c>
      <c r="C84" t="s">
        <v>805</v>
      </c>
      <c r="D84" t="s">
        <v>88</v>
      </c>
      <c r="E84" t="s">
        <v>6</v>
      </c>
      <c r="F84" t="s">
        <v>50</v>
      </c>
      <c r="G84" t="s">
        <v>103</v>
      </c>
      <c r="H84">
        <v>1020110</v>
      </c>
      <c r="I84" t="s">
        <v>793</v>
      </c>
      <c r="J84">
        <v>679040.5882352941</v>
      </c>
      <c r="K84">
        <v>3.407387437302158</v>
      </c>
      <c r="L84">
        <f t="shared" si="3"/>
        <v>2313754.3697712086</v>
      </c>
    </row>
    <row r="85" spans="1:12" x14ac:dyDescent="0.2">
      <c r="A85" s="167" t="s">
        <v>804</v>
      </c>
      <c r="B85" s="167" t="str">
        <f t="shared" si="2"/>
        <v>Exportacion Directa1020284</v>
      </c>
      <c r="C85" t="s">
        <v>805</v>
      </c>
      <c r="D85" t="s">
        <v>88</v>
      </c>
      <c r="E85" t="s">
        <v>6</v>
      </c>
      <c r="F85" t="s">
        <v>59</v>
      </c>
      <c r="G85" t="s">
        <v>65</v>
      </c>
      <c r="H85">
        <v>1020284</v>
      </c>
      <c r="I85" t="s">
        <v>793</v>
      </c>
      <c r="J85">
        <v>7234.666666666667</v>
      </c>
      <c r="K85">
        <v>3.6895031008109065</v>
      </c>
      <c r="L85">
        <f t="shared" si="3"/>
        <v>26692.325099999973</v>
      </c>
    </row>
    <row r="86" spans="1:12" x14ac:dyDescent="0.2">
      <c r="A86" s="167" t="s">
        <v>804</v>
      </c>
      <c r="B86" s="167" t="str">
        <f t="shared" si="2"/>
        <v>Exportacion Directa1020326</v>
      </c>
      <c r="C86" t="s">
        <v>805</v>
      </c>
      <c r="D86" t="s">
        <v>88</v>
      </c>
      <c r="E86" t="s">
        <v>6</v>
      </c>
      <c r="F86" t="s">
        <v>53</v>
      </c>
      <c r="G86" t="s">
        <v>54</v>
      </c>
      <c r="H86">
        <v>1020326</v>
      </c>
      <c r="I86" t="s">
        <v>793</v>
      </c>
      <c r="J86">
        <v>216000</v>
      </c>
      <c r="K86">
        <v>2.5808540104377111</v>
      </c>
      <c r="L86">
        <f t="shared" si="3"/>
        <v>557464.46625454561</v>
      </c>
    </row>
    <row r="87" spans="1:12" x14ac:dyDescent="0.2">
      <c r="A87" s="167" t="s">
        <v>804</v>
      </c>
      <c r="B87" s="167" t="str">
        <f t="shared" si="2"/>
        <v>Exportacion Directa1020589</v>
      </c>
      <c r="C87" t="s">
        <v>805</v>
      </c>
      <c r="D87" t="s">
        <v>88</v>
      </c>
      <c r="E87" t="s">
        <v>6</v>
      </c>
      <c r="F87" t="s">
        <v>50</v>
      </c>
      <c r="G87" t="s">
        <v>103</v>
      </c>
      <c r="H87">
        <v>1020589</v>
      </c>
      <c r="I87" t="s">
        <v>793</v>
      </c>
      <c r="J87">
        <v>170914.28571428571</v>
      </c>
      <c r="K87">
        <v>3.5750803848376762</v>
      </c>
      <c r="L87">
        <f t="shared" si="3"/>
        <v>611032.31034568511</v>
      </c>
    </row>
    <row r="88" spans="1:12" x14ac:dyDescent="0.2">
      <c r="A88" s="167" t="s">
        <v>804</v>
      </c>
      <c r="B88" s="167" t="str">
        <f t="shared" si="2"/>
        <v>Exportacion Directa1020592</v>
      </c>
      <c r="C88" t="s">
        <v>805</v>
      </c>
      <c r="D88" t="s">
        <v>88</v>
      </c>
      <c r="E88" t="s">
        <v>6</v>
      </c>
      <c r="F88" t="s">
        <v>50</v>
      </c>
      <c r="G88" t="s">
        <v>110</v>
      </c>
      <c r="H88">
        <v>1020592</v>
      </c>
      <c r="I88" t="s">
        <v>793</v>
      </c>
      <c r="J88">
        <v>233415.89041095891</v>
      </c>
      <c r="K88">
        <v>3.5274033714846835</v>
      </c>
      <c r="L88">
        <f t="shared" si="3"/>
        <v>823351.99879371584</v>
      </c>
    </row>
    <row r="89" spans="1:12" x14ac:dyDescent="0.2">
      <c r="A89" s="167" t="s">
        <v>804</v>
      </c>
      <c r="B89" s="167" t="str">
        <f t="shared" si="2"/>
        <v>Exportacion Directa1020620</v>
      </c>
      <c r="C89" t="s">
        <v>805</v>
      </c>
      <c r="D89" t="s">
        <v>88</v>
      </c>
      <c r="E89" t="s">
        <v>6</v>
      </c>
      <c r="F89" t="s">
        <v>50</v>
      </c>
      <c r="G89" t="s">
        <v>110</v>
      </c>
      <c r="H89">
        <v>1020620</v>
      </c>
      <c r="I89" t="s">
        <v>793</v>
      </c>
      <c r="J89">
        <v>29617.142857142851</v>
      </c>
      <c r="K89">
        <v>3.4890869295659162</v>
      </c>
      <c r="L89">
        <f t="shared" si="3"/>
        <v>103336.78603394366</v>
      </c>
    </row>
    <row r="90" spans="1:12" x14ac:dyDescent="0.2">
      <c r="A90" s="167" t="s">
        <v>804</v>
      </c>
      <c r="B90" s="167" t="str">
        <f t="shared" si="2"/>
        <v>Exportacion Directa1020636</v>
      </c>
      <c r="C90" t="s">
        <v>805</v>
      </c>
      <c r="D90" t="s">
        <v>88</v>
      </c>
      <c r="E90" t="s">
        <v>6</v>
      </c>
      <c r="F90" t="s">
        <v>37</v>
      </c>
      <c r="G90" t="s">
        <v>38</v>
      </c>
      <c r="H90">
        <v>1020636</v>
      </c>
      <c r="I90" t="s">
        <v>793</v>
      </c>
      <c r="J90">
        <v>23071.333333333332</v>
      </c>
      <c r="K90">
        <v>4.1694361106461848</v>
      </c>
      <c r="L90">
        <f t="shared" si="3"/>
        <v>96194.450320755001</v>
      </c>
    </row>
    <row r="91" spans="1:12" x14ac:dyDescent="0.2">
      <c r="A91" s="167" t="s">
        <v>804</v>
      </c>
      <c r="B91" s="167" t="str">
        <f t="shared" si="2"/>
        <v>Exportacion Directa1020637</v>
      </c>
      <c r="C91" t="s">
        <v>805</v>
      </c>
      <c r="D91" t="s">
        <v>88</v>
      </c>
      <c r="E91" t="s">
        <v>6</v>
      </c>
      <c r="F91" t="s">
        <v>56</v>
      </c>
      <c r="G91" t="s">
        <v>57</v>
      </c>
      <c r="H91">
        <v>1020637</v>
      </c>
      <c r="I91" t="s">
        <v>793</v>
      </c>
      <c r="J91">
        <v>239740</v>
      </c>
      <c r="K91">
        <v>4.8608841773739559</v>
      </c>
      <c r="L91">
        <f t="shared" si="3"/>
        <v>1165348.3726836322</v>
      </c>
    </row>
    <row r="92" spans="1:12" x14ac:dyDescent="0.2">
      <c r="A92" s="167" t="s">
        <v>804</v>
      </c>
      <c r="B92" s="167" t="str">
        <f t="shared" si="2"/>
        <v>Exportacion Directa1020662</v>
      </c>
      <c r="C92" t="s">
        <v>805</v>
      </c>
      <c r="D92" t="s">
        <v>88</v>
      </c>
      <c r="E92" t="s">
        <v>6</v>
      </c>
      <c r="F92" t="s">
        <v>59</v>
      </c>
      <c r="G92" t="s">
        <v>65</v>
      </c>
      <c r="H92">
        <v>1020662</v>
      </c>
      <c r="I92" t="s">
        <v>793</v>
      </c>
      <c r="J92">
        <v>27460</v>
      </c>
      <c r="K92">
        <v>3.5784916036170094</v>
      </c>
      <c r="L92">
        <f t="shared" si="3"/>
        <v>98265.379435323077</v>
      </c>
    </row>
    <row r="93" spans="1:12" x14ac:dyDescent="0.2">
      <c r="A93" s="167" t="s">
        <v>804</v>
      </c>
      <c r="B93" s="167" t="str">
        <f t="shared" si="2"/>
        <v>Exportacion Directa1020664</v>
      </c>
      <c r="C93" t="s">
        <v>805</v>
      </c>
      <c r="D93" t="s">
        <v>88</v>
      </c>
      <c r="E93" t="s">
        <v>6</v>
      </c>
      <c r="F93" t="s">
        <v>59</v>
      </c>
      <c r="G93" t="s">
        <v>65</v>
      </c>
      <c r="H93">
        <v>1020664</v>
      </c>
      <c r="I93" t="s">
        <v>793</v>
      </c>
      <c r="J93">
        <v>17000</v>
      </c>
      <c r="K93">
        <v>3.6338760352941177</v>
      </c>
      <c r="L93">
        <f t="shared" si="3"/>
        <v>61775.892599999999</v>
      </c>
    </row>
    <row r="94" spans="1:12" x14ac:dyDescent="0.2">
      <c r="A94" s="167" t="s">
        <v>804</v>
      </c>
      <c r="B94" s="167" t="str">
        <f t="shared" si="2"/>
        <v>Exportacion Directa1020665</v>
      </c>
      <c r="C94" t="s">
        <v>805</v>
      </c>
      <c r="D94" t="s">
        <v>88</v>
      </c>
      <c r="E94" t="s">
        <v>6</v>
      </c>
      <c r="F94" t="s">
        <v>59</v>
      </c>
      <c r="G94" t="s">
        <v>65</v>
      </c>
      <c r="H94">
        <v>1020665</v>
      </c>
      <c r="I94" t="s">
        <v>793</v>
      </c>
      <c r="J94">
        <v>11666.666666666668</v>
      </c>
      <c r="K94">
        <v>3.5993951333333323</v>
      </c>
      <c r="L94">
        <f t="shared" si="3"/>
        <v>41992.943222222217</v>
      </c>
    </row>
    <row r="95" spans="1:12" x14ac:dyDescent="0.2">
      <c r="A95" s="167" t="s">
        <v>804</v>
      </c>
      <c r="B95" s="167" t="str">
        <f t="shared" si="2"/>
        <v>Exportacion Directa1020678</v>
      </c>
      <c r="C95" t="s">
        <v>805</v>
      </c>
      <c r="D95" t="s">
        <v>88</v>
      </c>
      <c r="E95" t="s">
        <v>6</v>
      </c>
      <c r="F95" t="s">
        <v>50</v>
      </c>
      <c r="G95" t="s">
        <v>51</v>
      </c>
      <c r="H95">
        <v>1020678</v>
      </c>
      <c r="I95" t="s">
        <v>793</v>
      </c>
      <c r="J95">
        <v>1000</v>
      </c>
      <c r="K95">
        <v>4.7351428000000002</v>
      </c>
      <c r="L95">
        <f t="shared" si="3"/>
        <v>4735.1428000000005</v>
      </c>
    </row>
    <row r="96" spans="1:12" x14ac:dyDescent="0.2">
      <c r="A96" s="167" t="s">
        <v>804</v>
      </c>
      <c r="B96" s="167" t="str">
        <f t="shared" si="2"/>
        <v>Exportacion Directa1020681</v>
      </c>
      <c r="C96" t="s">
        <v>805</v>
      </c>
      <c r="D96" t="s">
        <v>88</v>
      </c>
      <c r="E96" t="s">
        <v>6</v>
      </c>
      <c r="F96" t="s">
        <v>50</v>
      </c>
      <c r="G96" t="s">
        <v>103</v>
      </c>
      <c r="H96">
        <v>1020681</v>
      </c>
      <c r="I96" t="s">
        <v>793</v>
      </c>
      <c r="J96">
        <v>17361.333333333336</v>
      </c>
      <c r="K96">
        <v>3.8373833166383964</v>
      </c>
      <c r="L96">
        <f t="shared" si="3"/>
        <v>66622.090887931423</v>
      </c>
    </row>
    <row r="97" spans="1:12" x14ac:dyDescent="0.2">
      <c r="A97" s="167" t="s">
        <v>804</v>
      </c>
      <c r="B97" s="167" t="str">
        <f t="shared" si="2"/>
        <v>Exportacion Directa1020704</v>
      </c>
      <c r="C97" t="s">
        <v>805</v>
      </c>
      <c r="D97" t="s">
        <v>88</v>
      </c>
      <c r="E97" t="s">
        <v>6</v>
      </c>
      <c r="F97" t="s">
        <v>37</v>
      </c>
      <c r="G97" t="s">
        <v>38</v>
      </c>
      <c r="H97">
        <v>1020704</v>
      </c>
      <c r="I97" t="s">
        <v>793</v>
      </c>
      <c r="J97">
        <v>1500</v>
      </c>
      <c r="K97">
        <v>4.4771024666666666</v>
      </c>
      <c r="L97">
        <f t="shared" si="3"/>
        <v>6715.6536999999998</v>
      </c>
    </row>
    <row r="98" spans="1:12" x14ac:dyDescent="0.2">
      <c r="A98" s="167" t="s">
        <v>804</v>
      </c>
      <c r="B98" s="167" t="str">
        <f t="shared" si="2"/>
        <v>Exportacion Directa1020715</v>
      </c>
      <c r="C98" t="s">
        <v>805</v>
      </c>
      <c r="D98" t="s">
        <v>88</v>
      </c>
      <c r="E98" t="s">
        <v>6</v>
      </c>
      <c r="F98" t="s">
        <v>56</v>
      </c>
      <c r="G98" t="s">
        <v>118</v>
      </c>
      <c r="H98">
        <v>1020715</v>
      </c>
      <c r="I98" t="s">
        <v>793</v>
      </c>
      <c r="J98">
        <v>1568</v>
      </c>
      <c r="K98">
        <v>4.5643845058673467</v>
      </c>
      <c r="L98">
        <f t="shared" si="3"/>
        <v>7156.9549051999993</v>
      </c>
    </row>
    <row r="99" spans="1:12" x14ac:dyDescent="0.2">
      <c r="A99" s="167" t="s">
        <v>804</v>
      </c>
      <c r="B99" s="167" t="str">
        <f t="shared" si="2"/>
        <v>Exportacion Directa1020731</v>
      </c>
      <c r="C99" t="s">
        <v>805</v>
      </c>
      <c r="D99" t="s">
        <v>88</v>
      </c>
      <c r="E99" t="s">
        <v>6</v>
      </c>
      <c r="F99" t="s">
        <v>56</v>
      </c>
      <c r="G99" t="s">
        <v>57</v>
      </c>
      <c r="H99">
        <v>1020731</v>
      </c>
      <c r="I99" t="s">
        <v>793</v>
      </c>
      <c r="J99">
        <v>21240</v>
      </c>
      <c r="K99">
        <v>5.1453476809061218</v>
      </c>
      <c r="L99">
        <f t="shared" si="3"/>
        <v>109287.18474244603</v>
      </c>
    </row>
    <row r="100" spans="1:12" x14ac:dyDescent="0.2">
      <c r="A100" s="167" t="s">
        <v>804</v>
      </c>
      <c r="B100" s="167" t="str">
        <f t="shared" si="2"/>
        <v>Exportacion Directa1020758</v>
      </c>
      <c r="C100" t="s">
        <v>805</v>
      </c>
      <c r="D100" t="s">
        <v>88</v>
      </c>
      <c r="E100" t="s">
        <v>6</v>
      </c>
      <c r="F100" t="s">
        <v>50</v>
      </c>
      <c r="G100" t="s">
        <v>110</v>
      </c>
      <c r="H100">
        <v>1020758</v>
      </c>
      <c r="I100" t="s">
        <v>793</v>
      </c>
      <c r="J100">
        <v>12102</v>
      </c>
      <c r="K100">
        <v>3.8503563124332079</v>
      </c>
      <c r="L100">
        <f t="shared" si="3"/>
        <v>46597.012093066682</v>
      </c>
    </row>
    <row r="101" spans="1:12" x14ac:dyDescent="0.2">
      <c r="A101" s="167" t="s">
        <v>804</v>
      </c>
      <c r="B101" s="167" t="str">
        <f t="shared" si="2"/>
        <v>Exportacion Directa1020774</v>
      </c>
      <c r="C101" t="s">
        <v>805</v>
      </c>
      <c r="D101" t="s">
        <v>88</v>
      </c>
      <c r="E101" t="s">
        <v>6</v>
      </c>
      <c r="F101" t="s">
        <v>134</v>
      </c>
      <c r="G101" t="s">
        <v>135</v>
      </c>
      <c r="H101">
        <v>1020774</v>
      </c>
      <c r="I101" t="s">
        <v>793</v>
      </c>
      <c r="J101">
        <v>10504.190476190477</v>
      </c>
      <c r="K101">
        <v>5.8830940817658233</v>
      </c>
      <c r="L101">
        <f t="shared" si="3"/>
        <v>61797.140824217124</v>
      </c>
    </row>
    <row r="102" spans="1:12" x14ac:dyDescent="0.2">
      <c r="A102" s="167" t="s">
        <v>804</v>
      </c>
      <c r="B102" s="167" t="str">
        <f t="shared" si="2"/>
        <v>Exportacion Directa1020802</v>
      </c>
      <c r="C102" t="s">
        <v>805</v>
      </c>
      <c r="D102" t="s">
        <v>88</v>
      </c>
      <c r="E102" t="s">
        <v>6</v>
      </c>
      <c r="F102" t="s">
        <v>56</v>
      </c>
      <c r="G102" t="s">
        <v>57</v>
      </c>
      <c r="H102">
        <v>1020802</v>
      </c>
      <c r="I102" t="s">
        <v>793</v>
      </c>
      <c r="J102">
        <v>58246</v>
      </c>
      <c r="K102">
        <v>4.6341999108069256</v>
      </c>
      <c r="L102">
        <f t="shared" si="3"/>
        <v>269923.60800486017</v>
      </c>
    </row>
    <row r="103" spans="1:12" x14ac:dyDescent="0.2">
      <c r="A103" s="167" t="s">
        <v>804</v>
      </c>
      <c r="B103" s="167" t="str">
        <f t="shared" si="2"/>
        <v>Exportacion Directa1020810</v>
      </c>
      <c r="C103" t="s">
        <v>805</v>
      </c>
      <c r="D103" t="s">
        <v>88</v>
      </c>
      <c r="E103" t="s">
        <v>6</v>
      </c>
      <c r="F103" t="s">
        <v>76</v>
      </c>
      <c r="G103" t="s">
        <v>79</v>
      </c>
      <c r="H103">
        <v>1020810</v>
      </c>
      <c r="I103" t="s">
        <v>793</v>
      </c>
      <c r="J103">
        <v>4330</v>
      </c>
      <c r="K103">
        <v>3.5806411476474156</v>
      </c>
      <c r="L103">
        <f t="shared" si="3"/>
        <v>15504.17616931331</v>
      </c>
    </row>
    <row r="104" spans="1:12" x14ac:dyDescent="0.2">
      <c r="A104" s="167" t="s">
        <v>804</v>
      </c>
      <c r="B104" s="167" t="str">
        <f t="shared" si="2"/>
        <v>Exportacion Directa1020914</v>
      </c>
      <c r="C104" t="s">
        <v>805</v>
      </c>
      <c r="D104" t="s">
        <v>88</v>
      </c>
      <c r="E104" t="s">
        <v>6</v>
      </c>
      <c r="F104" t="s">
        <v>56</v>
      </c>
      <c r="G104" t="s">
        <v>118</v>
      </c>
      <c r="H104">
        <v>1020914</v>
      </c>
      <c r="I104" t="s">
        <v>793</v>
      </c>
      <c r="J104">
        <v>22142.857142857145</v>
      </c>
      <c r="K104">
        <v>5.4255752288888885</v>
      </c>
      <c r="L104">
        <f t="shared" si="3"/>
        <v>120137.73721111112</v>
      </c>
    </row>
    <row r="105" spans="1:12" x14ac:dyDescent="0.2">
      <c r="A105" s="167" t="s">
        <v>804</v>
      </c>
      <c r="B105" s="167" t="str">
        <f t="shared" si="2"/>
        <v>Exportacion Directa1020990</v>
      </c>
      <c r="C105" t="s">
        <v>805</v>
      </c>
      <c r="D105" t="s">
        <v>88</v>
      </c>
      <c r="E105" t="s">
        <v>6</v>
      </c>
      <c r="F105" t="s">
        <v>59</v>
      </c>
      <c r="G105" t="s">
        <v>65</v>
      </c>
      <c r="H105">
        <v>1020990</v>
      </c>
      <c r="I105" t="s">
        <v>793</v>
      </c>
      <c r="J105">
        <v>5901.333333333333</v>
      </c>
      <c r="K105">
        <v>3.4651205361906907</v>
      </c>
      <c r="L105">
        <f t="shared" si="3"/>
        <v>20448.831324239996</v>
      </c>
    </row>
    <row r="106" spans="1:12" x14ac:dyDescent="0.2">
      <c r="A106" s="167" t="s">
        <v>804</v>
      </c>
      <c r="B106" s="167" t="str">
        <f t="shared" si="2"/>
        <v>Exportacion Directa1020991</v>
      </c>
      <c r="C106" t="s">
        <v>805</v>
      </c>
      <c r="D106" t="s">
        <v>88</v>
      </c>
      <c r="E106" t="s">
        <v>6</v>
      </c>
      <c r="F106" t="s">
        <v>59</v>
      </c>
      <c r="G106" t="s">
        <v>65</v>
      </c>
      <c r="H106">
        <v>1020991</v>
      </c>
      <c r="I106" t="s">
        <v>793</v>
      </c>
      <c r="J106">
        <v>10000</v>
      </c>
      <c r="K106">
        <v>3.6104867696969696</v>
      </c>
      <c r="L106">
        <f t="shared" si="3"/>
        <v>36104.867696969697</v>
      </c>
    </row>
    <row r="107" spans="1:12" x14ac:dyDescent="0.2">
      <c r="A107" s="167" t="s">
        <v>804</v>
      </c>
      <c r="B107" s="167" t="str">
        <f t="shared" si="2"/>
        <v>Exportacion Directa1021136</v>
      </c>
      <c r="C107" t="s">
        <v>805</v>
      </c>
      <c r="D107" t="s">
        <v>88</v>
      </c>
      <c r="E107" t="s">
        <v>6</v>
      </c>
      <c r="F107" t="s">
        <v>76</v>
      </c>
      <c r="G107" t="s">
        <v>84</v>
      </c>
      <c r="H107">
        <v>1021136</v>
      </c>
      <c r="I107" t="s">
        <v>793</v>
      </c>
      <c r="J107">
        <v>7333.333333333333</v>
      </c>
      <c r="K107">
        <v>2.4264629499999999</v>
      </c>
      <c r="L107">
        <f t="shared" si="3"/>
        <v>17794.061633333331</v>
      </c>
    </row>
    <row r="108" spans="1:12" x14ac:dyDescent="0.2">
      <c r="A108" s="167" t="s">
        <v>804</v>
      </c>
      <c r="B108" s="167" t="str">
        <f t="shared" si="2"/>
        <v>Exportacion Directa1021603</v>
      </c>
      <c r="C108" t="s">
        <v>805</v>
      </c>
      <c r="D108" t="s">
        <v>88</v>
      </c>
      <c r="E108" t="s">
        <v>6</v>
      </c>
      <c r="F108" t="s">
        <v>50</v>
      </c>
      <c r="G108" t="s">
        <v>103</v>
      </c>
      <c r="H108">
        <v>1021603</v>
      </c>
      <c r="I108" t="s">
        <v>793</v>
      </c>
      <c r="J108">
        <v>8852</v>
      </c>
      <c r="K108">
        <v>3.804731389994191</v>
      </c>
      <c r="L108">
        <f t="shared" si="3"/>
        <v>33679.48226422858</v>
      </c>
    </row>
    <row r="109" spans="1:12" x14ac:dyDescent="0.2">
      <c r="A109" s="167" t="s">
        <v>804</v>
      </c>
      <c r="B109" s="167" t="str">
        <f t="shared" si="2"/>
        <v>Exportacion Directa1021609</v>
      </c>
      <c r="C109" t="s">
        <v>805</v>
      </c>
      <c r="D109" t="s">
        <v>88</v>
      </c>
      <c r="E109" t="s">
        <v>6</v>
      </c>
      <c r="F109" t="s">
        <v>37</v>
      </c>
      <c r="G109" t="s">
        <v>38</v>
      </c>
      <c r="H109">
        <v>1021609</v>
      </c>
      <c r="I109" t="s">
        <v>793</v>
      </c>
      <c r="J109">
        <v>47840</v>
      </c>
      <c r="K109">
        <v>4.465894985947604</v>
      </c>
      <c r="L109">
        <f t="shared" si="3"/>
        <v>213648.41612773339</v>
      </c>
    </row>
    <row r="110" spans="1:12" x14ac:dyDescent="0.2">
      <c r="A110" s="167" t="s">
        <v>804</v>
      </c>
      <c r="B110" s="167" t="str">
        <f t="shared" si="2"/>
        <v>Exportacion Directa1022313</v>
      </c>
      <c r="C110" t="s">
        <v>805</v>
      </c>
      <c r="D110" t="s">
        <v>88</v>
      </c>
      <c r="E110" t="s">
        <v>6</v>
      </c>
      <c r="F110" t="s">
        <v>50</v>
      </c>
      <c r="G110" t="s">
        <v>95</v>
      </c>
      <c r="H110">
        <v>1022313</v>
      </c>
      <c r="I110" t="s">
        <v>793</v>
      </c>
      <c r="J110">
        <v>10901.333333333332</v>
      </c>
      <c r="K110">
        <v>3.8616058952054804</v>
      </c>
      <c r="L110">
        <f t="shared" si="3"/>
        <v>42096.653065600003</v>
      </c>
    </row>
    <row r="111" spans="1:12" x14ac:dyDescent="0.2">
      <c r="A111" s="167" t="s">
        <v>804</v>
      </c>
      <c r="B111" s="167" t="str">
        <f t="shared" si="2"/>
        <v>Exportacion Directa1022326</v>
      </c>
      <c r="C111" t="s">
        <v>805</v>
      </c>
      <c r="D111" t="s">
        <v>88</v>
      </c>
      <c r="E111" t="s">
        <v>6</v>
      </c>
      <c r="F111" t="s">
        <v>50</v>
      </c>
      <c r="G111" t="s">
        <v>95</v>
      </c>
      <c r="H111">
        <v>1022326</v>
      </c>
      <c r="I111" t="s">
        <v>793</v>
      </c>
      <c r="J111">
        <v>6969.333333333333</v>
      </c>
      <c r="K111">
        <v>3.3351649180704035</v>
      </c>
      <c r="L111">
        <f t="shared" si="3"/>
        <v>23243.876035671998</v>
      </c>
    </row>
    <row r="112" spans="1:12" x14ac:dyDescent="0.2">
      <c r="A112" s="167" t="s">
        <v>804</v>
      </c>
      <c r="B112" s="167" t="str">
        <f t="shared" si="2"/>
        <v>Exportacion Directa1022370</v>
      </c>
      <c r="C112" t="s">
        <v>805</v>
      </c>
      <c r="D112" t="s">
        <v>88</v>
      </c>
      <c r="E112" t="s">
        <v>6</v>
      </c>
      <c r="F112" t="s">
        <v>50</v>
      </c>
      <c r="G112" t="s">
        <v>103</v>
      </c>
      <c r="H112">
        <v>1022370</v>
      </c>
      <c r="I112" t="s">
        <v>793</v>
      </c>
      <c r="J112">
        <v>47340</v>
      </c>
      <c r="K112">
        <v>3.6909123038924099</v>
      </c>
      <c r="L112">
        <f t="shared" si="3"/>
        <v>174727.78846626668</v>
      </c>
    </row>
    <row r="113" spans="1:12" x14ac:dyDescent="0.2">
      <c r="A113" s="167" t="s">
        <v>804</v>
      </c>
      <c r="B113" s="167" t="str">
        <f t="shared" si="2"/>
        <v>Exportacion Directa1022371</v>
      </c>
      <c r="C113" t="s">
        <v>805</v>
      </c>
      <c r="D113" t="s">
        <v>88</v>
      </c>
      <c r="E113" t="s">
        <v>6</v>
      </c>
      <c r="F113" t="s">
        <v>56</v>
      </c>
      <c r="G113" t="s">
        <v>57</v>
      </c>
      <c r="H113">
        <v>1022371</v>
      </c>
      <c r="I113" t="s">
        <v>793</v>
      </c>
      <c r="J113">
        <v>25340</v>
      </c>
      <c r="K113">
        <v>4.6361503088087712</v>
      </c>
      <c r="L113">
        <f t="shared" si="3"/>
        <v>117480.04882521427</v>
      </c>
    </row>
    <row r="114" spans="1:12" x14ac:dyDescent="0.2">
      <c r="A114" s="167" t="s">
        <v>804</v>
      </c>
      <c r="B114" s="167" t="str">
        <f t="shared" si="2"/>
        <v>Exportacion Directa1022472</v>
      </c>
      <c r="C114" t="s">
        <v>805</v>
      </c>
      <c r="D114" t="s">
        <v>88</v>
      </c>
      <c r="E114" t="s">
        <v>6</v>
      </c>
      <c r="F114" t="s">
        <v>50</v>
      </c>
      <c r="G114" t="s">
        <v>51</v>
      </c>
      <c r="H114">
        <v>1022472</v>
      </c>
      <c r="I114" t="s">
        <v>793</v>
      </c>
      <c r="J114">
        <v>10000</v>
      </c>
      <c r="K114">
        <v>3.7775113372640718</v>
      </c>
      <c r="L114">
        <f t="shared" si="3"/>
        <v>37775.113372640721</v>
      </c>
    </row>
    <row r="115" spans="1:12" x14ac:dyDescent="0.2">
      <c r="A115" s="167" t="s">
        <v>804</v>
      </c>
      <c r="B115" s="167" t="str">
        <f t="shared" si="2"/>
        <v>Exportacion Directa1022499</v>
      </c>
      <c r="C115" t="s">
        <v>805</v>
      </c>
      <c r="D115" t="s">
        <v>88</v>
      </c>
      <c r="E115" t="s">
        <v>6</v>
      </c>
      <c r="F115" t="s">
        <v>50</v>
      </c>
      <c r="G115" t="s">
        <v>110</v>
      </c>
      <c r="H115">
        <v>1022499</v>
      </c>
      <c r="I115" t="s">
        <v>793</v>
      </c>
      <c r="J115">
        <v>12500</v>
      </c>
      <c r="K115">
        <v>4.0434622209523807</v>
      </c>
      <c r="L115">
        <f t="shared" si="3"/>
        <v>50543.277761904756</v>
      </c>
    </row>
    <row r="116" spans="1:12" x14ac:dyDescent="0.2">
      <c r="A116" s="167" t="s">
        <v>804</v>
      </c>
      <c r="B116" s="167" t="str">
        <f t="shared" si="2"/>
        <v>Exportacion Directa1022587</v>
      </c>
      <c r="C116" t="s">
        <v>805</v>
      </c>
      <c r="D116" t="s">
        <v>88</v>
      </c>
      <c r="E116" t="s">
        <v>6</v>
      </c>
      <c r="F116" t="s">
        <v>50</v>
      </c>
      <c r="G116" t="s">
        <v>95</v>
      </c>
      <c r="H116">
        <v>1022587</v>
      </c>
      <c r="I116" t="s">
        <v>793</v>
      </c>
      <c r="J116">
        <v>3000</v>
      </c>
      <c r="K116">
        <v>4.2024936666666699</v>
      </c>
      <c r="L116">
        <f t="shared" si="3"/>
        <v>12607.481000000009</v>
      </c>
    </row>
    <row r="117" spans="1:12" x14ac:dyDescent="0.2">
      <c r="A117" s="167" t="s">
        <v>804</v>
      </c>
      <c r="B117" s="167" t="str">
        <f t="shared" si="2"/>
        <v>Exportacion Directa1022600</v>
      </c>
      <c r="C117" t="s">
        <v>805</v>
      </c>
      <c r="D117" t="s">
        <v>88</v>
      </c>
      <c r="E117" t="s">
        <v>6</v>
      </c>
      <c r="F117" t="s">
        <v>50</v>
      </c>
      <c r="G117" t="s">
        <v>110</v>
      </c>
      <c r="H117">
        <v>1022600</v>
      </c>
      <c r="I117" t="s">
        <v>793</v>
      </c>
      <c r="J117">
        <v>29000</v>
      </c>
      <c r="K117">
        <v>3.6194678794827593</v>
      </c>
      <c r="L117">
        <f t="shared" si="3"/>
        <v>104964.56850500002</v>
      </c>
    </row>
    <row r="118" spans="1:12" x14ac:dyDescent="0.2">
      <c r="A118" s="167" t="s">
        <v>804</v>
      </c>
      <c r="B118" s="167" t="str">
        <f t="shared" si="2"/>
        <v>Exportacion Directa1022664</v>
      </c>
      <c r="C118" t="s">
        <v>805</v>
      </c>
      <c r="D118" t="s">
        <v>88</v>
      </c>
      <c r="E118" t="s">
        <v>6</v>
      </c>
      <c r="F118" t="s">
        <v>50</v>
      </c>
      <c r="G118" t="s">
        <v>95</v>
      </c>
      <c r="H118">
        <v>1022664</v>
      </c>
      <c r="I118" t="s">
        <v>793</v>
      </c>
      <c r="J118">
        <v>51153.333333333336</v>
      </c>
      <c r="K118">
        <v>3.6467549551884364</v>
      </c>
      <c r="L118">
        <f t="shared" si="3"/>
        <v>186543.67180773916</v>
      </c>
    </row>
    <row r="119" spans="1:12" x14ac:dyDescent="0.2">
      <c r="A119" s="167" t="s">
        <v>804</v>
      </c>
      <c r="B119" s="167" t="str">
        <f t="shared" si="2"/>
        <v>Exportacion Directa1022901</v>
      </c>
      <c r="C119" t="s">
        <v>805</v>
      </c>
      <c r="D119" t="s">
        <v>88</v>
      </c>
      <c r="E119" t="s">
        <v>6</v>
      </c>
      <c r="F119" t="s">
        <v>56</v>
      </c>
      <c r="G119" t="s">
        <v>57</v>
      </c>
      <c r="H119">
        <v>1022901</v>
      </c>
      <c r="I119" t="s">
        <v>793</v>
      </c>
      <c r="J119">
        <v>1000</v>
      </c>
      <c r="K119">
        <v>4.4589070199999998</v>
      </c>
      <c r="L119">
        <f t="shared" si="3"/>
        <v>4458.9070199999996</v>
      </c>
    </row>
    <row r="120" spans="1:12" x14ac:dyDescent="0.2">
      <c r="A120" s="167" t="s">
        <v>804</v>
      </c>
      <c r="B120" s="167" t="str">
        <f t="shared" si="2"/>
        <v>Exportacion Directa1022919</v>
      </c>
      <c r="C120" t="s">
        <v>805</v>
      </c>
      <c r="D120" t="s">
        <v>88</v>
      </c>
      <c r="E120" t="s">
        <v>6</v>
      </c>
      <c r="F120" t="s">
        <v>50</v>
      </c>
      <c r="G120" t="s">
        <v>103</v>
      </c>
      <c r="H120">
        <v>1022919</v>
      </c>
      <c r="I120" t="s">
        <v>793</v>
      </c>
      <c r="J120">
        <v>12000</v>
      </c>
      <c r="K120">
        <v>4.0470470583333302</v>
      </c>
      <c r="L120">
        <f t="shared" si="3"/>
        <v>48564.564699999966</v>
      </c>
    </row>
    <row r="121" spans="1:12" x14ac:dyDescent="0.2">
      <c r="A121" s="167" t="s">
        <v>804</v>
      </c>
      <c r="B121" s="167" t="str">
        <f t="shared" si="2"/>
        <v>Exportacion Directa1022931</v>
      </c>
      <c r="C121" t="s">
        <v>805</v>
      </c>
      <c r="D121" t="s">
        <v>88</v>
      </c>
      <c r="E121" t="s">
        <v>6</v>
      </c>
      <c r="F121" t="s">
        <v>37</v>
      </c>
      <c r="G121" t="s">
        <v>38</v>
      </c>
      <c r="H121">
        <v>1022931</v>
      </c>
      <c r="I121" t="s">
        <v>793</v>
      </c>
      <c r="J121">
        <v>28000</v>
      </c>
      <c r="K121">
        <v>4.2681797956814869</v>
      </c>
      <c r="L121">
        <f t="shared" si="3"/>
        <v>119509.03427908164</v>
      </c>
    </row>
    <row r="122" spans="1:12" x14ac:dyDescent="0.2">
      <c r="A122" s="167" t="s">
        <v>804</v>
      </c>
      <c r="B122" s="167" t="str">
        <f t="shared" si="2"/>
        <v>Exportacion Directa1022987</v>
      </c>
      <c r="C122" t="s">
        <v>805</v>
      </c>
      <c r="D122" t="s">
        <v>88</v>
      </c>
      <c r="E122" t="s">
        <v>6</v>
      </c>
      <c r="F122" t="s">
        <v>67</v>
      </c>
      <c r="G122" t="s">
        <v>68</v>
      </c>
      <c r="H122">
        <v>1022987</v>
      </c>
      <c r="I122" t="s">
        <v>793</v>
      </c>
      <c r="J122">
        <v>48000</v>
      </c>
      <c r="K122">
        <v>1.620076675</v>
      </c>
      <c r="L122">
        <f t="shared" si="3"/>
        <v>77763.680399999997</v>
      </c>
    </row>
    <row r="123" spans="1:12" x14ac:dyDescent="0.2">
      <c r="A123" s="167" t="s">
        <v>804</v>
      </c>
      <c r="B123" s="167" t="str">
        <f t="shared" si="2"/>
        <v>Exportacion Directa1023051</v>
      </c>
      <c r="C123" t="s">
        <v>805</v>
      </c>
      <c r="D123" t="s">
        <v>88</v>
      </c>
      <c r="E123" t="s">
        <v>6</v>
      </c>
      <c r="F123" t="s">
        <v>50</v>
      </c>
      <c r="G123" t="s">
        <v>110</v>
      </c>
      <c r="H123">
        <v>1023051</v>
      </c>
      <c r="I123" t="s">
        <v>793</v>
      </c>
      <c r="J123">
        <v>8000</v>
      </c>
      <c r="K123">
        <v>3.4832440599999983</v>
      </c>
      <c r="L123">
        <f t="shared" si="3"/>
        <v>27865.952479999985</v>
      </c>
    </row>
    <row r="124" spans="1:12" x14ac:dyDescent="0.2">
      <c r="A124" s="167" t="s">
        <v>804</v>
      </c>
      <c r="B124" s="167" t="str">
        <f t="shared" si="2"/>
        <v>Exportacion Directa1023055</v>
      </c>
      <c r="C124" t="s">
        <v>805</v>
      </c>
      <c r="D124" t="s">
        <v>88</v>
      </c>
      <c r="E124" t="s">
        <v>6</v>
      </c>
      <c r="F124" t="s">
        <v>50</v>
      </c>
      <c r="G124" t="s">
        <v>110</v>
      </c>
      <c r="H124">
        <v>1023055</v>
      </c>
      <c r="I124" t="s">
        <v>793</v>
      </c>
      <c r="J124">
        <v>3500</v>
      </c>
      <c r="K124">
        <v>3.4865977499999992</v>
      </c>
      <c r="L124">
        <f t="shared" si="3"/>
        <v>12203.092124999997</v>
      </c>
    </row>
    <row r="125" spans="1:12" x14ac:dyDescent="0.2">
      <c r="A125" s="167" t="s">
        <v>804</v>
      </c>
      <c r="B125" s="167" t="str">
        <f t="shared" si="2"/>
        <v>Exportacion Directa1023163</v>
      </c>
      <c r="C125" t="s">
        <v>805</v>
      </c>
      <c r="D125" t="s">
        <v>88</v>
      </c>
      <c r="E125" t="s">
        <v>6</v>
      </c>
      <c r="F125" t="s">
        <v>50</v>
      </c>
      <c r="G125" t="s">
        <v>110</v>
      </c>
      <c r="H125">
        <v>1023163</v>
      </c>
      <c r="I125" t="s">
        <v>793</v>
      </c>
      <c r="J125">
        <v>32300</v>
      </c>
      <c r="K125">
        <v>3.7388841841593394</v>
      </c>
      <c r="L125">
        <f t="shared" si="3"/>
        <v>120765.95914834666</v>
      </c>
    </row>
    <row r="126" spans="1:12" x14ac:dyDescent="0.2">
      <c r="A126" s="167" t="s">
        <v>804</v>
      </c>
      <c r="B126" s="167" t="str">
        <f t="shared" si="2"/>
        <v>Exportacion Directa1023194</v>
      </c>
      <c r="C126" t="s">
        <v>805</v>
      </c>
      <c r="D126" t="s">
        <v>88</v>
      </c>
      <c r="E126" t="s">
        <v>6</v>
      </c>
      <c r="F126" t="s">
        <v>56</v>
      </c>
      <c r="G126" t="s">
        <v>57</v>
      </c>
      <c r="H126">
        <v>1023194</v>
      </c>
      <c r="I126" t="s">
        <v>793</v>
      </c>
      <c r="J126">
        <v>18852</v>
      </c>
      <c r="K126">
        <v>2.9273596459662397</v>
      </c>
      <c r="L126">
        <f t="shared" si="3"/>
        <v>55186.584045755553</v>
      </c>
    </row>
    <row r="127" spans="1:12" x14ac:dyDescent="0.2">
      <c r="A127" s="167" t="s">
        <v>804</v>
      </c>
      <c r="B127" s="167" t="str">
        <f t="shared" si="2"/>
        <v>Exportacion Directa1023301</v>
      </c>
      <c r="C127" t="s">
        <v>805</v>
      </c>
      <c r="D127" t="s">
        <v>88</v>
      </c>
      <c r="E127" t="s">
        <v>6</v>
      </c>
      <c r="F127" t="s">
        <v>50</v>
      </c>
      <c r="G127" t="s">
        <v>95</v>
      </c>
      <c r="H127">
        <v>1023301</v>
      </c>
      <c r="I127" t="s">
        <v>793</v>
      </c>
      <c r="J127">
        <v>23500</v>
      </c>
      <c r="K127">
        <v>3.6380178340425502</v>
      </c>
      <c r="L127">
        <f t="shared" si="3"/>
        <v>85493.419099999926</v>
      </c>
    </row>
    <row r="128" spans="1:12" x14ac:dyDescent="0.2">
      <c r="A128" s="167" t="s">
        <v>804</v>
      </c>
      <c r="B128" s="167" t="str">
        <f t="shared" si="2"/>
        <v>Exportacion Directa1023349</v>
      </c>
      <c r="C128" t="s">
        <v>805</v>
      </c>
      <c r="D128" t="s">
        <v>88</v>
      </c>
      <c r="E128" t="s">
        <v>6</v>
      </c>
      <c r="F128" t="s">
        <v>50</v>
      </c>
      <c r="G128" t="s">
        <v>51</v>
      </c>
      <c r="H128">
        <v>1023349</v>
      </c>
      <c r="I128" t="s">
        <v>793</v>
      </c>
      <c r="J128">
        <v>12500</v>
      </c>
      <c r="K128">
        <v>3.7270129759999997</v>
      </c>
      <c r="L128">
        <f t="shared" si="3"/>
        <v>46587.662199999999</v>
      </c>
    </row>
    <row r="129" spans="1:12" x14ac:dyDescent="0.2">
      <c r="A129" s="167" t="s">
        <v>804</v>
      </c>
      <c r="B129" s="167" t="str">
        <f t="shared" si="2"/>
        <v>Exportacion Directa1023350</v>
      </c>
      <c r="C129" t="s">
        <v>805</v>
      </c>
      <c r="D129" t="s">
        <v>88</v>
      </c>
      <c r="E129" t="s">
        <v>6</v>
      </c>
      <c r="F129" t="s">
        <v>50</v>
      </c>
      <c r="G129" t="s">
        <v>110</v>
      </c>
      <c r="H129">
        <v>1023350</v>
      </c>
      <c r="I129" t="s">
        <v>793</v>
      </c>
      <c r="J129">
        <v>12300</v>
      </c>
      <c r="K129">
        <v>3.5069446138211378</v>
      </c>
      <c r="L129">
        <f t="shared" si="3"/>
        <v>43135.418749999997</v>
      </c>
    </row>
    <row r="130" spans="1:12" x14ac:dyDescent="0.2">
      <c r="A130" s="167" t="s">
        <v>804</v>
      </c>
      <c r="B130" s="167" t="str">
        <f t="shared" si="2"/>
        <v>Exportacion Directa1023351</v>
      </c>
      <c r="C130" t="s">
        <v>805</v>
      </c>
      <c r="D130" t="s">
        <v>88</v>
      </c>
      <c r="E130" t="s">
        <v>6</v>
      </c>
      <c r="F130" t="s">
        <v>56</v>
      </c>
      <c r="G130" t="s">
        <v>57</v>
      </c>
      <c r="H130">
        <v>1023351</v>
      </c>
      <c r="I130" t="s">
        <v>793</v>
      </c>
      <c r="J130">
        <v>5000</v>
      </c>
      <c r="K130">
        <v>4.2384909400000002</v>
      </c>
      <c r="L130">
        <f t="shared" si="3"/>
        <v>21192.454700000002</v>
      </c>
    </row>
    <row r="131" spans="1:12" x14ac:dyDescent="0.2">
      <c r="A131" s="167" t="s">
        <v>804</v>
      </c>
      <c r="B131" s="167" t="str">
        <f t="shared" si="2"/>
        <v>Exportacion Directa1023352</v>
      </c>
      <c r="C131" t="s">
        <v>805</v>
      </c>
      <c r="D131" t="s">
        <v>88</v>
      </c>
      <c r="E131" t="s">
        <v>6</v>
      </c>
      <c r="F131" t="s">
        <v>56</v>
      </c>
      <c r="G131" t="s">
        <v>57</v>
      </c>
      <c r="H131">
        <v>1023352</v>
      </c>
      <c r="I131" t="s">
        <v>793</v>
      </c>
      <c r="J131">
        <v>37262.352941176476</v>
      </c>
      <c r="K131">
        <v>4.571703870172346</v>
      </c>
      <c r="L131">
        <f t="shared" si="3"/>
        <v>170352.44315290439</v>
      </c>
    </row>
    <row r="132" spans="1:12" x14ac:dyDescent="0.2">
      <c r="A132" s="167" t="s">
        <v>804</v>
      </c>
      <c r="B132" s="167" t="str">
        <f t="shared" ref="B132:B168" si="4">D132&amp;H132</f>
        <v>Agrosuper Asia1030542</v>
      </c>
      <c r="C132" t="s">
        <v>805</v>
      </c>
      <c r="D132" t="s">
        <v>173</v>
      </c>
      <c r="E132" t="s">
        <v>204</v>
      </c>
      <c r="F132" t="s">
        <v>212</v>
      </c>
      <c r="G132" t="s">
        <v>213</v>
      </c>
      <c r="H132">
        <v>1030542</v>
      </c>
      <c r="I132" t="s">
        <v>793</v>
      </c>
      <c r="J132">
        <v>50500</v>
      </c>
      <c r="K132">
        <v>12.580466530612203</v>
      </c>
      <c r="L132">
        <f t="shared" ref="L132:L168" si="5">+K132*J132</f>
        <v>635313.5597959162</v>
      </c>
    </row>
    <row r="133" spans="1:12" x14ac:dyDescent="0.2">
      <c r="A133" s="167" t="s">
        <v>804</v>
      </c>
      <c r="B133" s="167" t="str">
        <f t="shared" si="4"/>
        <v>Agro Sudamerica1010877</v>
      </c>
      <c r="C133" t="s">
        <v>805</v>
      </c>
      <c r="D133" t="s">
        <v>17</v>
      </c>
      <c r="E133" t="s">
        <v>227</v>
      </c>
      <c r="F133" t="s">
        <v>209</v>
      </c>
      <c r="G133" t="s">
        <v>210</v>
      </c>
      <c r="H133">
        <v>1010877</v>
      </c>
      <c r="I133" t="s">
        <v>793</v>
      </c>
      <c r="J133">
        <v>76590</v>
      </c>
      <c r="K133">
        <v>1.0023351811660561</v>
      </c>
      <c r="L133">
        <f t="shared" si="5"/>
        <v>76768.851525508246</v>
      </c>
    </row>
    <row r="134" spans="1:12" x14ac:dyDescent="0.2">
      <c r="A134" s="167" t="s">
        <v>804</v>
      </c>
      <c r="B134" s="167" t="str">
        <f t="shared" si="4"/>
        <v>Agro Sudamerica1011042</v>
      </c>
      <c r="C134" t="s">
        <v>805</v>
      </c>
      <c r="D134" t="s">
        <v>17</v>
      </c>
      <c r="E134" t="s">
        <v>227</v>
      </c>
      <c r="F134" t="s">
        <v>240</v>
      </c>
      <c r="G134" t="s">
        <v>241</v>
      </c>
      <c r="H134">
        <v>1011042</v>
      </c>
      <c r="I134" t="s">
        <v>793</v>
      </c>
      <c r="J134">
        <v>55410</v>
      </c>
      <c r="K134">
        <v>0.65</v>
      </c>
      <c r="L134">
        <f t="shared" si="5"/>
        <v>36016.5</v>
      </c>
    </row>
    <row r="135" spans="1:12" x14ac:dyDescent="0.2">
      <c r="A135" s="167" t="s">
        <v>804</v>
      </c>
      <c r="B135" s="167" t="str">
        <f t="shared" si="4"/>
        <v>Agro Sudamerica1011421</v>
      </c>
      <c r="C135" t="s">
        <v>805</v>
      </c>
      <c r="D135" t="s">
        <v>17</v>
      </c>
      <c r="E135" t="s">
        <v>227</v>
      </c>
      <c r="F135" t="s">
        <v>233</v>
      </c>
      <c r="G135" t="s">
        <v>237</v>
      </c>
      <c r="H135">
        <v>1011421</v>
      </c>
      <c r="I135" t="s">
        <v>793</v>
      </c>
      <c r="J135">
        <v>1052000</v>
      </c>
      <c r="K135">
        <v>0.90929387303380838</v>
      </c>
      <c r="L135">
        <f t="shared" si="5"/>
        <v>956577.15443156636</v>
      </c>
    </row>
    <row r="136" spans="1:12" x14ac:dyDescent="0.2">
      <c r="A136" s="167" t="s">
        <v>804</v>
      </c>
      <c r="B136" s="167" t="str">
        <f t="shared" si="4"/>
        <v>Agro Sudamerica1011558</v>
      </c>
      <c r="C136" t="s">
        <v>805</v>
      </c>
      <c r="D136" t="s">
        <v>17</v>
      </c>
      <c r="E136" t="s">
        <v>227</v>
      </c>
      <c r="F136" t="s">
        <v>233</v>
      </c>
      <c r="G136" t="s">
        <v>237</v>
      </c>
      <c r="H136">
        <v>1011558</v>
      </c>
      <c r="I136" t="s">
        <v>793</v>
      </c>
      <c r="J136">
        <v>249000</v>
      </c>
      <c r="K136">
        <v>0.88710700564365697</v>
      </c>
      <c r="L136">
        <f t="shared" si="5"/>
        <v>220889.64440527058</v>
      </c>
    </row>
    <row r="137" spans="1:12" x14ac:dyDescent="0.2">
      <c r="A137" s="167" t="s">
        <v>804</v>
      </c>
      <c r="B137" s="167" t="str">
        <f t="shared" si="4"/>
        <v>Agro Sudamerica1012207</v>
      </c>
      <c r="C137" t="s">
        <v>805</v>
      </c>
      <c r="D137" t="s">
        <v>17</v>
      </c>
      <c r="E137" t="s">
        <v>227</v>
      </c>
      <c r="F137" t="s">
        <v>209</v>
      </c>
      <c r="G137" t="s">
        <v>210</v>
      </c>
      <c r="H137">
        <v>1012207</v>
      </c>
      <c r="I137" t="s">
        <v>793</v>
      </c>
      <c r="J137">
        <v>41500</v>
      </c>
      <c r="K137">
        <v>0.66518072289156616</v>
      </c>
      <c r="L137">
        <f t="shared" si="5"/>
        <v>27604.999999999996</v>
      </c>
    </row>
    <row r="138" spans="1:12" x14ac:dyDescent="0.2">
      <c r="A138" s="167" t="s">
        <v>804</v>
      </c>
      <c r="B138" s="167" t="str">
        <f t="shared" si="4"/>
        <v>Agro Sudamerica1012208</v>
      </c>
      <c r="C138" t="s">
        <v>805</v>
      </c>
      <c r="D138" t="s">
        <v>17</v>
      </c>
      <c r="E138" t="s">
        <v>227</v>
      </c>
      <c r="F138" t="s">
        <v>253</v>
      </c>
      <c r="G138" t="s">
        <v>254</v>
      </c>
      <c r="H138">
        <v>1012208</v>
      </c>
      <c r="I138" t="s">
        <v>793</v>
      </c>
      <c r="J138">
        <v>24000</v>
      </c>
      <c r="K138">
        <v>1.3866666666666663</v>
      </c>
      <c r="L138">
        <f t="shared" si="5"/>
        <v>33279.999999999993</v>
      </c>
    </row>
    <row r="139" spans="1:12" x14ac:dyDescent="0.2">
      <c r="A139" s="167" t="s">
        <v>804</v>
      </c>
      <c r="B139" s="167" t="str">
        <f t="shared" si="4"/>
        <v>Agro Sudamerica1012283</v>
      </c>
      <c r="C139" t="s">
        <v>805</v>
      </c>
      <c r="D139" t="s">
        <v>17</v>
      </c>
      <c r="E139" t="s">
        <v>227</v>
      </c>
      <c r="F139" t="s">
        <v>209</v>
      </c>
      <c r="G139" t="s">
        <v>245</v>
      </c>
      <c r="H139">
        <v>1012283</v>
      </c>
      <c r="I139" t="s">
        <v>793</v>
      </c>
      <c r="J139">
        <v>47000</v>
      </c>
      <c r="K139">
        <v>0.65</v>
      </c>
      <c r="L139">
        <f t="shared" si="5"/>
        <v>30550</v>
      </c>
    </row>
    <row r="140" spans="1:12" x14ac:dyDescent="0.2">
      <c r="A140" s="167" t="s">
        <v>804</v>
      </c>
      <c r="B140" s="167" t="str">
        <f t="shared" si="4"/>
        <v>Agro Sudamerica1012362</v>
      </c>
      <c r="C140" t="s">
        <v>805</v>
      </c>
      <c r="D140" t="s">
        <v>17</v>
      </c>
      <c r="E140" t="s">
        <v>227</v>
      </c>
      <c r="F140" t="s">
        <v>209</v>
      </c>
      <c r="G140" t="s">
        <v>228</v>
      </c>
      <c r="H140">
        <v>1012362</v>
      </c>
      <c r="I140" t="s">
        <v>793</v>
      </c>
      <c r="J140">
        <v>29000</v>
      </c>
      <c r="K140">
        <v>0.78</v>
      </c>
      <c r="L140">
        <f t="shared" si="5"/>
        <v>22620</v>
      </c>
    </row>
    <row r="141" spans="1:12" x14ac:dyDescent="0.2">
      <c r="A141" s="167" t="s">
        <v>804</v>
      </c>
      <c r="B141" s="167" t="str">
        <f t="shared" si="4"/>
        <v>Agro Sudamerica1012552</v>
      </c>
      <c r="C141" t="s">
        <v>805</v>
      </c>
      <c r="D141" t="s">
        <v>17</v>
      </c>
      <c r="E141" t="s">
        <v>227</v>
      </c>
      <c r="F141" t="s">
        <v>247</v>
      </c>
      <c r="G141" t="s">
        <v>248</v>
      </c>
      <c r="H141">
        <v>1012552</v>
      </c>
      <c r="I141" t="s">
        <v>793</v>
      </c>
      <c r="J141">
        <v>47000</v>
      </c>
      <c r="K141">
        <v>3.45</v>
      </c>
      <c r="L141">
        <f t="shared" si="5"/>
        <v>162150</v>
      </c>
    </row>
    <row r="142" spans="1:12" x14ac:dyDescent="0.2">
      <c r="A142" s="167" t="s">
        <v>804</v>
      </c>
      <c r="B142" s="167" t="str">
        <f t="shared" si="4"/>
        <v>Agro Sudamerica1012556</v>
      </c>
      <c r="C142" t="s">
        <v>805</v>
      </c>
      <c r="D142" t="s">
        <v>17</v>
      </c>
      <c r="E142" t="s">
        <v>227</v>
      </c>
      <c r="F142" t="s">
        <v>233</v>
      </c>
      <c r="G142" t="s">
        <v>234</v>
      </c>
      <c r="H142">
        <v>1012556</v>
      </c>
      <c r="I142" t="s">
        <v>793</v>
      </c>
      <c r="J142">
        <v>268000</v>
      </c>
      <c r="K142">
        <v>0.97025163246268653</v>
      </c>
      <c r="L142">
        <f t="shared" si="5"/>
        <v>260027.4375</v>
      </c>
    </row>
    <row r="143" spans="1:12" x14ac:dyDescent="0.2">
      <c r="A143" s="167" t="s">
        <v>804</v>
      </c>
      <c r="B143" s="167" t="str">
        <f t="shared" si="4"/>
        <v>Agro Sudamerica1012719</v>
      </c>
      <c r="C143" t="s">
        <v>805</v>
      </c>
      <c r="D143" t="s">
        <v>17</v>
      </c>
      <c r="E143" t="s">
        <v>227</v>
      </c>
      <c r="F143" t="s">
        <v>233</v>
      </c>
      <c r="G143" t="s">
        <v>234</v>
      </c>
      <c r="H143">
        <v>1012719</v>
      </c>
      <c r="I143" t="s">
        <v>793</v>
      </c>
      <c r="J143">
        <v>117880</v>
      </c>
      <c r="K143">
        <v>0.87382004007741154</v>
      </c>
      <c r="L143">
        <f t="shared" si="5"/>
        <v>103005.90632432527</v>
      </c>
    </row>
    <row r="144" spans="1:12" x14ac:dyDescent="0.2">
      <c r="A144" s="167" t="s">
        <v>804</v>
      </c>
      <c r="B144" s="167" t="str">
        <f t="shared" si="4"/>
        <v>Agro Sudamerica1012763</v>
      </c>
      <c r="C144" t="s">
        <v>805</v>
      </c>
      <c r="D144" t="s">
        <v>17</v>
      </c>
      <c r="E144" t="s">
        <v>227</v>
      </c>
      <c r="F144" t="s">
        <v>209</v>
      </c>
      <c r="G144" t="s">
        <v>245</v>
      </c>
      <c r="H144">
        <v>1012763</v>
      </c>
      <c r="I144" t="s">
        <v>793</v>
      </c>
      <c r="J144">
        <v>48000</v>
      </c>
      <c r="K144">
        <v>0.60666666666666669</v>
      </c>
      <c r="L144">
        <f t="shared" si="5"/>
        <v>29120</v>
      </c>
    </row>
    <row r="145" spans="1:12" x14ac:dyDescent="0.2">
      <c r="A145" s="167" t="s">
        <v>804</v>
      </c>
      <c r="B145" s="167" t="str">
        <f t="shared" si="4"/>
        <v>Agro Sudamerica1012778</v>
      </c>
      <c r="C145" t="s">
        <v>805</v>
      </c>
      <c r="D145" t="s">
        <v>17</v>
      </c>
      <c r="E145" t="s">
        <v>227</v>
      </c>
      <c r="F145" t="s">
        <v>209</v>
      </c>
      <c r="G145" t="s">
        <v>228</v>
      </c>
      <c r="H145">
        <v>1012778</v>
      </c>
      <c r="I145" t="s">
        <v>793</v>
      </c>
      <c r="J145">
        <v>17000</v>
      </c>
      <c r="K145">
        <v>0.75</v>
      </c>
      <c r="L145">
        <f t="shared" si="5"/>
        <v>12750</v>
      </c>
    </row>
    <row r="146" spans="1:12" x14ac:dyDescent="0.2">
      <c r="A146" s="167" t="s">
        <v>804</v>
      </c>
      <c r="B146" s="167" t="str">
        <f t="shared" si="4"/>
        <v>Agrosuper Asia1012012</v>
      </c>
      <c r="C146" t="s">
        <v>805</v>
      </c>
      <c r="D146" t="s">
        <v>173</v>
      </c>
      <c r="E146" t="s">
        <v>227</v>
      </c>
      <c r="F146" t="s">
        <v>205</v>
      </c>
      <c r="G146" t="s">
        <v>231</v>
      </c>
      <c r="H146">
        <v>1012012</v>
      </c>
      <c r="I146" t="s">
        <v>793</v>
      </c>
      <c r="J146">
        <v>17000</v>
      </c>
      <c r="K146">
        <v>6.5189189189189189</v>
      </c>
      <c r="L146">
        <f t="shared" si="5"/>
        <v>110821.62162162163</v>
      </c>
    </row>
    <row r="147" spans="1:12" x14ac:dyDescent="0.2">
      <c r="A147" s="167" t="s">
        <v>804</v>
      </c>
      <c r="B147" s="167" t="str">
        <f t="shared" si="4"/>
        <v>Agrosuper Asia1012612</v>
      </c>
      <c r="C147" t="s">
        <v>805</v>
      </c>
      <c r="D147" t="s">
        <v>173</v>
      </c>
      <c r="E147" t="s">
        <v>227</v>
      </c>
      <c r="F147" t="s">
        <v>233</v>
      </c>
      <c r="G147" t="s">
        <v>237</v>
      </c>
      <c r="H147">
        <v>1012612</v>
      </c>
      <c r="I147" t="s">
        <v>793</v>
      </c>
      <c r="J147">
        <v>1295324.5</v>
      </c>
      <c r="K147">
        <v>1.1646897296051419</v>
      </c>
      <c r="L147">
        <f t="shared" si="5"/>
        <v>1508651.1416559156</v>
      </c>
    </row>
    <row r="148" spans="1:12" x14ac:dyDescent="0.2">
      <c r="A148" s="167" t="s">
        <v>804</v>
      </c>
      <c r="B148" s="167" t="str">
        <f t="shared" si="4"/>
        <v>Agrosuper Brasil1011560</v>
      </c>
      <c r="C148" t="s">
        <v>805</v>
      </c>
      <c r="D148" t="s">
        <v>7</v>
      </c>
      <c r="E148" t="s">
        <v>227</v>
      </c>
      <c r="F148" t="s">
        <v>209</v>
      </c>
      <c r="G148" t="s">
        <v>228</v>
      </c>
      <c r="H148">
        <v>1011560</v>
      </c>
      <c r="I148" t="s">
        <v>793</v>
      </c>
      <c r="J148">
        <v>24000</v>
      </c>
      <c r="K148">
        <v>2.7</v>
      </c>
      <c r="L148">
        <f t="shared" si="5"/>
        <v>64800.000000000007</v>
      </c>
    </row>
    <row r="149" spans="1:12" x14ac:dyDescent="0.2">
      <c r="A149" s="167" t="s">
        <v>804</v>
      </c>
      <c r="B149" s="167" t="str">
        <f t="shared" si="4"/>
        <v>Agrosuper Brasil1012362</v>
      </c>
      <c r="C149" t="s">
        <v>805</v>
      </c>
      <c r="D149" t="s">
        <v>7</v>
      </c>
      <c r="E149" t="s">
        <v>227</v>
      </c>
      <c r="F149" t="s">
        <v>209</v>
      </c>
      <c r="G149" t="s">
        <v>228</v>
      </c>
      <c r="H149">
        <v>1012362</v>
      </c>
      <c r="I149" t="s">
        <v>793</v>
      </c>
      <c r="J149">
        <v>23990</v>
      </c>
      <c r="K149">
        <v>2.65</v>
      </c>
      <c r="L149">
        <f t="shared" si="5"/>
        <v>63573.5</v>
      </c>
    </row>
    <row r="150" spans="1:12" x14ac:dyDescent="0.2">
      <c r="A150" s="167" t="s">
        <v>804</v>
      </c>
      <c r="B150" s="167" t="str">
        <f t="shared" si="4"/>
        <v>Agrosuper Brasil1012674</v>
      </c>
      <c r="C150" t="s">
        <v>805</v>
      </c>
      <c r="D150" t="s">
        <v>7</v>
      </c>
      <c r="E150" t="s">
        <v>227</v>
      </c>
      <c r="F150" t="s">
        <v>209</v>
      </c>
      <c r="G150" t="s">
        <v>228</v>
      </c>
      <c r="H150">
        <v>1012674</v>
      </c>
      <c r="I150" t="s">
        <v>793</v>
      </c>
      <c r="J150">
        <v>24000</v>
      </c>
      <c r="K150">
        <v>2.4</v>
      </c>
      <c r="L150">
        <f t="shared" si="5"/>
        <v>57600</v>
      </c>
    </row>
    <row r="151" spans="1:12" x14ac:dyDescent="0.2">
      <c r="A151" s="167" t="s">
        <v>804</v>
      </c>
      <c r="B151" s="167" t="str">
        <f t="shared" si="4"/>
        <v>Agrosuper Shanghai1012503</v>
      </c>
      <c r="C151" t="s">
        <v>805</v>
      </c>
      <c r="D151" t="s">
        <v>140</v>
      </c>
      <c r="E151" t="s">
        <v>227</v>
      </c>
      <c r="F151" t="s">
        <v>268</v>
      </c>
      <c r="G151" t="s">
        <v>269</v>
      </c>
      <c r="H151">
        <v>1012503</v>
      </c>
      <c r="I151" t="s">
        <v>793</v>
      </c>
      <c r="J151">
        <v>16500</v>
      </c>
      <c r="K151">
        <v>4.3833333333333302</v>
      </c>
      <c r="L151">
        <f t="shared" si="5"/>
        <v>72324.999999999942</v>
      </c>
    </row>
    <row r="152" spans="1:12" x14ac:dyDescent="0.2">
      <c r="A152" s="167" t="s">
        <v>804</v>
      </c>
      <c r="B152" s="167" t="str">
        <f t="shared" si="4"/>
        <v>Agrosuper Shanghai1012598</v>
      </c>
      <c r="C152" t="s">
        <v>805</v>
      </c>
      <c r="D152" t="s">
        <v>140</v>
      </c>
      <c r="E152" t="s">
        <v>227</v>
      </c>
      <c r="F152" t="s">
        <v>268</v>
      </c>
      <c r="G152" t="s">
        <v>269</v>
      </c>
      <c r="H152">
        <v>1012598</v>
      </c>
      <c r="I152" t="s">
        <v>793</v>
      </c>
      <c r="J152">
        <v>7500</v>
      </c>
      <c r="K152">
        <v>1.38333333333333</v>
      </c>
      <c r="L152">
        <f t="shared" si="5"/>
        <v>10374.999999999975</v>
      </c>
    </row>
    <row r="153" spans="1:12" x14ac:dyDescent="0.2">
      <c r="A153" s="167" t="s">
        <v>804</v>
      </c>
      <c r="B153" s="167" t="str">
        <f t="shared" si="4"/>
        <v>Agro Mexico1012764</v>
      </c>
      <c r="C153" t="s">
        <v>805</v>
      </c>
      <c r="D153" t="s">
        <v>370</v>
      </c>
      <c r="E153" t="s">
        <v>227</v>
      </c>
      <c r="F153" t="s">
        <v>233</v>
      </c>
      <c r="G153" t="s">
        <v>371</v>
      </c>
      <c r="H153">
        <v>1012764</v>
      </c>
      <c r="I153" t="s">
        <v>793</v>
      </c>
      <c r="J153">
        <v>359989.05</v>
      </c>
      <c r="K153">
        <v>0.74675410788355934</v>
      </c>
      <c r="L153">
        <f t="shared" si="5"/>
        <v>268823.30188060005</v>
      </c>
    </row>
    <row r="154" spans="1:12" x14ac:dyDescent="0.2">
      <c r="A154" s="167" t="s">
        <v>804</v>
      </c>
      <c r="B154" s="167" t="str">
        <f t="shared" si="4"/>
        <v>Agrosuper Shanghai1022418</v>
      </c>
      <c r="C154" t="s">
        <v>805</v>
      </c>
      <c r="D154" t="s">
        <v>140</v>
      </c>
      <c r="E154" t="s">
        <v>6</v>
      </c>
      <c r="F154" t="s">
        <v>76</v>
      </c>
      <c r="G154" t="s">
        <v>79</v>
      </c>
      <c r="H154">
        <v>1022418</v>
      </c>
      <c r="I154" t="s">
        <v>793</v>
      </c>
      <c r="J154">
        <v>24000</v>
      </c>
      <c r="K154">
        <v>5.4285714285714297</v>
      </c>
      <c r="L154">
        <f t="shared" si="5"/>
        <v>130285.71428571432</v>
      </c>
    </row>
    <row r="155" spans="1:12" x14ac:dyDescent="0.2">
      <c r="A155" s="167" t="s">
        <v>804</v>
      </c>
      <c r="B155" s="167" t="str">
        <f t="shared" si="4"/>
        <v>Agrosuper Asia1023372</v>
      </c>
      <c r="C155" t="s">
        <v>805</v>
      </c>
      <c r="D155" t="s">
        <v>173</v>
      </c>
      <c r="E155" t="s">
        <v>6</v>
      </c>
      <c r="F155" t="s">
        <v>409</v>
      </c>
      <c r="G155" t="s">
        <v>51</v>
      </c>
      <c r="H155">
        <v>1023372</v>
      </c>
      <c r="I155" t="s">
        <v>793</v>
      </c>
      <c r="J155">
        <v>48000</v>
      </c>
      <c r="K155">
        <v>2.8</v>
      </c>
      <c r="L155">
        <f t="shared" si="5"/>
        <v>134400</v>
      </c>
    </row>
    <row r="156" spans="1:12" x14ac:dyDescent="0.2">
      <c r="A156" s="167" t="s">
        <v>804</v>
      </c>
      <c r="B156" s="167" t="str">
        <f t="shared" si="4"/>
        <v>Agrosuper Asia1023397</v>
      </c>
      <c r="C156" t="s">
        <v>805</v>
      </c>
      <c r="D156" t="s">
        <v>173</v>
      </c>
      <c r="E156" t="s">
        <v>6</v>
      </c>
      <c r="F156" t="s">
        <v>11</v>
      </c>
      <c r="G156" t="s">
        <v>41</v>
      </c>
      <c r="H156">
        <v>1023397</v>
      </c>
      <c r="I156" t="s">
        <v>793</v>
      </c>
      <c r="J156">
        <v>48000</v>
      </c>
      <c r="K156">
        <v>1.05</v>
      </c>
      <c r="L156">
        <f t="shared" si="5"/>
        <v>50400</v>
      </c>
    </row>
    <row r="157" spans="1:12" x14ac:dyDescent="0.2">
      <c r="A157" s="167" t="s">
        <v>804</v>
      </c>
      <c r="B157" s="167" t="str">
        <f t="shared" si="4"/>
        <v>Agro Sudamerica1100407</v>
      </c>
      <c r="C157" t="s">
        <v>805</v>
      </c>
      <c r="D157" t="s">
        <v>17</v>
      </c>
      <c r="E157" t="s">
        <v>587</v>
      </c>
      <c r="F157" t="s">
        <v>593</v>
      </c>
      <c r="G157" t="s">
        <v>594</v>
      </c>
      <c r="H157">
        <v>1100407</v>
      </c>
      <c r="I157" t="s">
        <v>793</v>
      </c>
      <c r="J157">
        <v>12000</v>
      </c>
      <c r="K157">
        <v>3.6</v>
      </c>
      <c r="L157">
        <f t="shared" si="5"/>
        <v>43200</v>
      </c>
    </row>
    <row r="158" spans="1:12" x14ac:dyDescent="0.2">
      <c r="A158" s="167" t="s">
        <v>804</v>
      </c>
      <c r="B158" s="167" t="str">
        <f t="shared" si="4"/>
        <v>Agro Sudamerica1100408</v>
      </c>
      <c r="C158" t="s">
        <v>805</v>
      </c>
      <c r="D158" t="s">
        <v>17</v>
      </c>
      <c r="E158" t="s">
        <v>587</v>
      </c>
      <c r="F158" t="s">
        <v>593</v>
      </c>
      <c r="G158" t="s">
        <v>594</v>
      </c>
      <c r="H158">
        <v>1100408</v>
      </c>
      <c r="I158" t="s">
        <v>793</v>
      </c>
      <c r="J158">
        <v>6000</v>
      </c>
      <c r="K158">
        <v>3.6</v>
      </c>
      <c r="L158">
        <f t="shared" si="5"/>
        <v>21600</v>
      </c>
    </row>
    <row r="159" spans="1:12" x14ac:dyDescent="0.2">
      <c r="A159" s="167" t="s">
        <v>804</v>
      </c>
      <c r="B159" s="167" t="str">
        <f t="shared" si="4"/>
        <v>Agrosuper Shanghai1030419</v>
      </c>
      <c r="C159" t="s">
        <v>805</v>
      </c>
      <c r="D159" t="s">
        <v>140</v>
      </c>
      <c r="E159" t="s">
        <v>204</v>
      </c>
      <c r="F159" t="s">
        <v>209</v>
      </c>
      <c r="G159" t="s">
        <v>595</v>
      </c>
      <c r="H159">
        <v>1030419</v>
      </c>
      <c r="I159" t="s">
        <v>793</v>
      </c>
      <c r="J159">
        <v>24000</v>
      </c>
      <c r="K159">
        <v>1.9</v>
      </c>
      <c r="L159">
        <f t="shared" si="5"/>
        <v>45600</v>
      </c>
    </row>
    <row r="160" spans="1:12" x14ac:dyDescent="0.2">
      <c r="A160" s="167" t="s">
        <v>804</v>
      </c>
      <c r="B160" s="167" t="str">
        <f t="shared" si="4"/>
        <v>Agrosuper Shanghai1021740</v>
      </c>
      <c r="C160" t="s">
        <v>805</v>
      </c>
      <c r="D160" t="s">
        <v>140</v>
      </c>
      <c r="E160" t="s">
        <v>6</v>
      </c>
      <c r="F160" t="s">
        <v>76</v>
      </c>
      <c r="G160" t="s">
        <v>84</v>
      </c>
      <c r="H160">
        <v>1021740</v>
      </c>
      <c r="I160" t="s">
        <v>793</v>
      </c>
      <c r="J160">
        <v>33000</v>
      </c>
      <c r="K160">
        <v>0.41875000000000001</v>
      </c>
      <c r="L160">
        <f t="shared" si="5"/>
        <v>13818.75</v>
      </c>
    </row>
    <row r="161" spans="1:12" x14ac:dyDescent="0.2">
      <c r="A161" s="167" t="s">
        <v>804</v>
      </c>
      <c r="B161" s="167" t="str">
        <f t="shared" si="4"/>
        <v>Agrosuper Shanghai1023035</v>
      </c>
      <c r="C161" t="s">
        <v>805</v>
      </c>
      <c r="D161" t="s">
        <v>140</v>
      </c>
      <c r="E161" t="s">
        <v>6</v>
      </c>
      <c r="F161" t="s">
        <v>71</v>
      </c>
      <c r="G161" t="s">
        <v>72</v>
      </c>
      <c r="H161">
        <v>1023035</v>
      </c>
      <c r="I161" t="s">
        <v>793</v>
      </c>
      <c r="J161">
        <v>24000</v>
      </c>
      <c r="K161">
        <v>0.93333333333333302</v>
      </c>
      <c r="L161">
        <f t="shared" si="5"/>
        <v>22399.999999999993</v>
      </c>
    </row>
    <row r="162" spans="1:12" x14ac:dyDescent="0.2">
      <c r="A162" s="167" t="s">
        <v>804</v>
      </c>
      <c r="B162" s="167" t="str">
        <f t="shared" si="4"/>
        <v>Agrosuper Shanghai1023365</v>
      </c>
      <c r="C162" t="s">
        <v>805</v>
      </c>
      <c r="D162" t="s">
        <v>140</v>
      </c>
      <c r="E162" t="s">
        <v>6</v>
      </c>
      <c r="F162" t="s">
        <v>11</v>
      </c>
      <c r="G162" t="s">
        <v>47</v>
      </c>
      <c r="H162">
        <v>1023365</v>
      </c>
      <c r="I162" t="s">
        <v>793</v>
      </c>
      <c r="J162">
        <v>313</v>
      </c>
      <c r="K162">
        <v>0.89999999999999991</v>
      </c>
      <c r="L162">
        <f t="shared" si="5"/>
        <v>281.7</v>
      </c>
    </row>
    <row r="163" spans="1:12" x14ac:dyDescent="0.2">
      <c r="A163" s="167" t="s">
        <v>804</v>
      </c>
      <c r="B163" s="167" t="str">
        <f t="shared" si="4"/>
        <v>Agro Sudamerica1022781</v>
      </c>
      <c r="C163" t="s">
        <v>805</v>
      </c>
      <c r="D163" t="s">
        <v>17</v>
      </c>
      <c r="E163" t="s">
        <v>6</v>
      </c>
      <c r="F163" t="s">
        <v>76</v>
      </c>
      <c r="G163" t="s">
        <v>79</v>
      </c>
      <c r="H163">
        <v>1022781</v>
      </c>
      <c r="I163" t="s">
        <v>793</v>
      </c>
      <c r="J163">
        <v>6120</v>
      </c>
      <c r="K163">
        <v>10.5</v>
      </c>
      <c r="L163">
        <f t="shared" si="5"/>
        <v>64260</v>
      </c>
    </row>
    <row r="164" spans="1:12" x14ac:dyDescent="0.2">
      <c r="A164" s="167" t="s">
        <v>804</v>
      </c>
      <c r="B164" s="167" t="str">
        <f t="shared" si="4"/>
        <v>Agro Sudamerica1023295</v>
      </c>
      <c r="C164" t="s">
        <v>805</v>
      </c>
      <c r="D164" t="s">
        <v>17</v>
      </c>
      <c r="E164" t="s">
        <v>6</v>
      </c>
      <c r="F164" t="s">
        <v>76</v>
      </c>
      <c r="G164" t="s">
        <v>79</v>
      </c>
      <c r="H164">
        <v>1023295</v>
      </c>
      <c r="I164" t="s">
        <v>793</v>
      </c>
      <c r="J164">
        <v>450</v>
      </c>
      <c r="K164">
        <v>12.187000000000001</v>
      </c>
      <c r="L164">
        <f t="shared" si="5"/>
        <v>5484.1500000000005</v>
      </c>
    </row>
    <row r="165" spans="1:12" x14ac:dyDescent="0.2">
      <c r="A165" s="167" t="s">
        <v>804</v>
      </c>
      <c r="B165" s="167" t="str">
        <f t="shared" si="4"/>
        <v>Agro Sudamerica1021864</v>
      </c>
      <c r="C165" t="s">
        <v>805</v>
      </c>
      <c r="D165" t="s">
        <v>17</v>
      </c>
      <c r="E165" t="s">
        <v>6</v>
      </c>
      <c r="F165" t="s">
        <v>8</v>
      </c>
      <c r="G165" t="s">
        <v>9</v>
      </c>
      <c r="H165">
        <v>1021864</v>
      </c>
      <c r="I165" t="s">
        <v>793</v>
      </c>
      <c r="J165">
        <v>43922</v>
      </c>
      <c r="K165">
        <v>0.5</v>
      </c>
      <c r="L165">
        <f t="shared" si="5"/>
        <v>21961</v>
      </c>
    </row>
    <row r="166" spans="1:12" x14ac:dyDescent="0.2">
      <c r="A166" s="167" t="s">
        <v>804</v>
      </c>
      <c r="B166" s="167" t="str">
        <f t="shared" si="4"/>
        <v>Agro Sudamerica1030817</v>
      </c>
      <c r="C166" t="s">
        <v>805</v>
      </c>
      <c r="D166" t="s">
        <v>17</v>
      </c>
      <c r="E166" t="s">
        <v>204</v>
      </c>
      <c r="F166" t="s">
        <v>217</v>
      </c>
      <c r="G166" t="s">
        <v>218</v>
      </c>
      <c r="H166">
        <v>1030817</v>
      </c>
      <c r="I166" t="s">
        <v>793</v>
      </c>
      <c r="J166">
        <v>24000</v>
      </c>
      <c r="K166">
        <v>2.25</v>
      </c>
      <c r="L166">
        <f t="shared" si="5"/>
        <v>54000</v>
      </c>
    </row>
    <row r="167" spans="1:12" x14ac:dyDescent="0.2">
      <c r="A167" s="167" t="s">
        <v>804</v>
      </c>
      <c r="B167" s="167" t="str">
        <f t="shared" si="4"/>
        <v>Exportacion Directa1023419</v>
      </c>
      <c r="C167" t="s">
        <v>805</v>
      </c>
      <c r="D167" t="s">
        <v>88</v>
      </c>
      <c r="E167" t="s">
        <v>6</v>
      </c>
      <c r="F167" t="s">
        <v>11</v>
      </c>
      <c r="G167" t="s">
        <v>15</v>
      </c>
      <c r="H167">
        <v>1023419</v>
      </c>
      <c r="I167" t="s">
        <v>793</v>
      </c>
      <c r="J167">
        <v>24000</v>
      </c>
      <c r="K167">
        <v>1.8</v>
      </c>
      <c r="L167">
        <f t="shared" si="5"/>
        <v>43200</v>
      </c>
    </row>
    <row r="168" spans="1:12" x14ac:dyDescent="0.2">
      <c r="A168" s="167" t="s">
        <v>804</v>
      </c>
      <c r="B168" s="167" t="str">
        <f t="shared" si="4"/>
        <v>Agro Mexico1030802</v>
      </c>
      <c r="C168" t="s">
        <v>805</v>
      </c>
      <c r="D168" t="s">
        <v>370</v>
      </c>
      <c r="E168" t="s">
        <v>204</v>
      </c>
      <c r="F168" t="s">
        <v>233</v>
      </c>
      <c r="G168" t="s">
        <v>233</v>
      </c>
      <c r="H168">
        <v>1030802</v>
      </c>
      <c r="I168" t="s">
        <v>793</v>
      </c>
      <c r="J168">
        <v>96000</v>
      </c>
      <c r="K168">
        <v>1.1724080139022055</v>
      </c>
      <c r="L168">
        <f t="shared" si="5"/>
        <v>112551.16933461172</v>
      </c>
    </row>
  </sheetData>
  <autoFilter ref="D2:K168" xr:uid="{CEA2A2B6-A58D-4F5C-8BD1-7860083B786E}"/>
  <pageMargins left="0.7" right="0.7" top="0.75" bottom="0.75" header="0.3" footer="0.3"/>
  <customProperties>
    <customPr name="_pios_id" r:id="rId1"/>
    <customPr name="IbpWorksheetKeyString_GU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E6EB-CE18-49E7-895E-CADD47765CD3}">
  <sheetPr codeName="Hoja1">
    <tabColor rgb="FFFF0000"/>
  </sheetPr>
  <dimension ref="A1:BR332"/>
  <sheetViews>
    <sheetView showGridLines="0" topLeftCell="B9" zoomScale="70" zoomScaleNormal="70" workbookViewId="0">
      <selection activeCell="BR9" sqref="BR9"/>
    </sheetView>
  </sheetViews>
  <sheetFormatPr baseColWidth="10" defaultRowHeight="15" outlineLevelCol="1" x14ac:dyDescent="0.2"/>
  <cols>
    <col min="1" max="1" width="2.33203125" customWidth="1"/>
    <col min="2" max="2" width="24.6640625" customWidth="1"/>
    <col min="3" max="3" width="10.33203125" customWidth="1"/>
    <col min="4" max="4" width="17.5" customWidth="1"/>
    <col min="5" max="5" width="11" bestFit="1" customWidth="1"/>
    <col min="6" max="6" width="36.6640625" bestFit="1" customWidth="1"/>
    <col min="7" max="7" width="16.1640625" customWidth="1"/>
    <col min="8" max="8" width="20.83203125" bestFit="1" customWidth="1"/>
    <col min="9" max="15" width="15.6640625" customWidth="1" outlineLevel="1"/>
    <col min="16" max="16" width="20.33203125" customWidth="1"/>
    <col min="17" max="20" width="15.6640625" customWidth="1"/>
    <col min="21" max="21" width="16.33203125" customWidth="1"/>
    <col min="22" max="27" width="15.6640625" customWidth="1"/>
    <col min="28" max="31" width="13.83203125" customWidth="1"/>
    <col min="32" max="32" width="16.6640625" customWidth="1"/>
    <col min="33" max="35" width="16.6640625" hidden="1" customWidth="1" outlineLevel="1"/>
    <col min="36" max="36" width="16.6640625" customWidth="1" collapsed="1"/>
    <col min="37" max="38" width="16.6640625" customWidth="1"/>
    <col min="39" max="39" width="44.5" customWidth="1"/>
    <col min="40" max="42" width="16.6640625" customWidth="1"/>
    <col min="43" max="44" width="21.83203125" customWidth="1"/>
    <col min="45" max="49" width="15.6640625" customWidth="1" outlineLevel="1"/>
    <col min="50" max="52" width="18" customWidth="1" outlineLevel="1"/>
    <col min="53" max="53" width="71.5" customWidth="1" outlineLevel="1"/>
    <col min="54" max="55" width="18" customWidth="1" outlineLevel="1"/>
    <col min="56" max="67" width="10.83203125" customWidth="1" outlineLevel="1"/>
    <col min="68" max="68" width="24" bestFit="1" customWidth="1"/>
    <col min="69" max="69" width="28.6640625" customWidth="1"/>
  </cols>
  <sheetData>
    <row r="1" spans="1:70" x14ac:dyDescent="0.2">
      <c r="A1" s="108"/>
      <c r="B1" s="108">
        <v>1</v>
      </c>
      <c r="C1" s="108">
        <f>+B1+1</f>
        <v>2</v>
      </c>
      <c r="D1" s="108">
        <f t="shared" ref="D1:BP1" si="0">+C1+1</f>
        <v>3</v>
      </c>
      <c r="E1" s="108">
        <f t="shared" si="0"/>
        <v>4</v>
      </c>
      <c r="F1" s="108">
        <f t="shared" si="0"/>
        <v>5</v>
      </c>
      <c r="G1" s="108">
        <f t="shared" si="0"/>
        <v>6</v>
      </c>
      <c r="H1" s="108">
        <f t="shared" si="0"/>
        <v>7</v>
      </c>
      <c r="I1" s="108">
        <f t="shared" ref="I1" si="1">+H1+1</f>
        <v>8</v>
      </c>
      <c r="J1" s="108">
        <f t="shared" ref="J1" si="2">+I1+1</f>
        <v>9</v>
      </c>
      <c r="K1" s="108">
        <f t="shared" ref="K1" si="3">+J1+1</f>
        <v>10</v>
      </c>
      <c r="L1" s="108">
        <f t="shared" ref="L1" si="4">+K1+1</f>
        <v>11</v>
      </c>
      <c r="M1" s="108">
        <f t="shared" ref="M1" si="5">+L1+1</f>
        <v>12</v>
      </c>
      <c r="N1" s="108">
        <f t="shared" ref="N1" si="6">+M1+1</f>
        <v>13</v>
      </c>
      <c r="O1" s="108">
        <f t="shared" ref="O1" si="7">+N1+1</f>
        <v>14</v>
      </c>
      <c r="P1" s="108">
        <f t="shared" ref="P1" si="8">+O1+1</f>
        <v>15</v>
      </c>
      <c r="Q1" s="108">
        <f t="shared" ref="Q1" si="9">+P1+1</f>
        <v>16</v>
      </c>
      <c r="R1" s="108">
        <f t="shared" ref="R1" si="10">+Q1+1</f>
        <v>17</v>
      </c>
      <c r="S1" s="108">
        <f t="shared" ref="S1" si="11">+R1+1</f>
        <v>18</v>
      </c>
      <c r="T1" s="108">
        <f t="shared" ref="T1" si="12">+S1+1</f>
        <v>19</v>
      </c>
      <c r="U1" s="108">
        <f t="shared" ref="U1" si="13">+T1+1</f>
        <v>20</v>
      </c>
      <c r="V1" s="108">
        <f t="shared" ref="V1" si="14">+U1+1</f>
        <v>21</v>
      </c>
      <c r="W1" s="108">
        <f t="shared" ref="W1" si="15">+V1+1</f>
        <v>22</v>
      </c>
      <c r="X1" s="108">
        <f t="shared" ref="X1" si="16">+W1+1</f>
        <v>23</v>
      </c>
      <c r="Y1" s="108">
        <f t="shared" ref="Y1" si="17">+X1+1</f>
        <v>24</v>
      </c>
      <c r="Z1" s="108">
        <f t="shared" ref="Z1" si="18">+Y1+1</f>
        <v>25</v>
      </c>
      <c r="AA1" s="108">
        <f t="shared" ref="AA1" si="19">+Z1+1</f>
        <v>26</v>
      </c>
      <c r="AB1" s="108"/>
      <c r="AC1" s="108"/>
      <c r="AD1" s="108">
        <f t="shared" ref="AD1" si="20">+AA1+1</f>
        <v>27</v>
      </c>
      <c r="AE1" s="108"/>
      <c r="AF1" s="108">
        <f t="shared" ref="AF1" si="21">+AD1+1</f>
        <v>28</v>
      </c>
      <c r="AG1" s="108">
        <f t="shared" ref="AG1" si="22">+AF1+1</f>
        <v>29</v>
      </c>
      <c r="AH1" s="108">
        <f t="shared" ref="AH1" si="23">+AG1+1</f>
        <v>30</v>
      </c>
      <c r="AI1" s="108">
        <f t="shared" ref="AI1" si="24">+AH1+1</f>
        <v>31</v>
      </c>
      <c r="AJ1" s="108">
        <f t="shared" ref="AJ1" si="25">+AI1+1</f>
        <v>32</v>
      </c>
      <c r="AK1" s="108">
        <f t="shared" ref="AK1" si="26">+AJ1+1</f>
        <v>33</v>
      </c>
      <c r="AL1" s="108">
        <f t="shared" ref="AL1" si="27">+AK1+1</f>
        <v>34</v>
      </c>
      <c r="AM1" s="108">
        <f t="shared" ref="AM1" si="28">+AL1+1</f>
        <v>35</v>
      </c>
      <c r="AN1" s="108"/>
      <c r="AO1" s="108"/>
      <c r="AP1" s="108"/>
      <c r="AQ1" s="108"/>
      <c r="AR1" s="108"/>
      <c r="AS1" s="108">
        <f>+AM1+1</f>
        <v>36</v>
      </c>
      <c r="AT1" s="108">
        <f>+AS1+1</f>
        <v>37</v>
      </c>
      <c r="AU1" s="108">
        <f t="shared" si="0"/>
        <v>38</v>
      </c>
      <c r="AV1" s="108">
        <f t="shared" si="0"/>
        <v>39</v>
      </c>
      <c r="AW1" s="108">
        <f t="shared" si="0"/>
        <v>40</v>
      </c>
      <c r="AX1" s="108">
        <f t="shared" si="0"/>
        <v>41</v>
      </c>
      <c r="AY1" s="108"/>
      <c r="AZ1" s="108"/>
      <c r="BA1" s="108"/>
      <c r="BB1" s="108">
        <f>+AX1+1</f>
        <v>42</v>
      </c>
      <c r="BC1" s="108">
        <f t="shared" si="0"/>
        <v>43</v>
      </c>
      <c r="BD1" s="108">
        <f t="shared" si="0"/>
        <v>44</v>
      </c>
      <c r="BE1" s="108">
        <f t="shared" si="0"/>
        <v>45</v>
      </c>
      <c r="BF1" s="108">
        <f t="shared" si="0"/>
        <v>46</v>
      </c>
      <c r="BG1" s="108">
        <f t="shared" si="0"/>
        <v>47</v>
      </c>
      <c r="BH1" s="108">
        <f t="shared" si="0"/>
        <v>48</v>
      </c>
      <c r="BI1" s="108">
        <f t="shared" si="0"/>
        <v>49</v>
      </c>
      <c r="BJ1" s="108">
        <f t="shared" si="0"/>
        <v>50</v>
      </c>
      <c r="BK1" s="108">
        <f t="shared" si="0"/>
        <v>51</v>
      </c>
      <c r="BL1" s="108">
        <f t="shared" si="0"/>
        <v>52</v>
      </c>
      <c r="BM1" s="108">
        <f t="shared" si="0"/>
        <v>53</v>
      </c>
      <c r="BN1" s="108">
        <f t="shared" si="0"/>
        <v>54</v>
      </c>
      <c r="BO1" s="108">
        <f t="shared" si="0"/>
        <v>55</v>
      </c>
      <c r="BP1" s="108">
        <f t="shared" si="0"/>
        <v>56</v>
      </c>
    </row>
    <row r="2" spans="1:70" x14ac:dyDescent="0.2">
      <c r="G2" s="39"/>
      <c r="H2" s="39"/>
      <c r="I2" s="39"/>
      <c r="J2" s="39"/>
      <c r="V2" s="54"/>
      <c r="Z2" s="44"/>
      <c r="AS2" s="3"/>
    </row>
    <row r="3" spans="1:70" x14ac:dyDescent="0.2">
      <c r="H3" s="159" t="s">
        <v>776</v>
      </c>
      <c r="I3" s="3"/>
      <c r="J3" s="3"/>
      <c r="P3" s="3"/>
      <c r="S3" s="3"/>
      <c r="V3" s="7"/>
      <c r="AS3" s="7"/>
    </row>
    <row r="5" spans="1:70" x14ac:dyDescent="0.2">
      <c r="AQ5" s="3"/>
      <c r="AR5" s="3"/>
    </row>
    <row r="6" spans="1:70" x14ac:dyDescent="0.2">
      <c r="I6" s="159" t="s">
        <v>774</v>
      </c>
      <c r="J6" s="159" t="s">
        <v>774</v>
      </c>
      <c r="M6" s="159" t="s">
        <v>774</v>
      </c>
      <c r="N6" s="159" t="s">
        <v>774</v>
      </c>
      <c r="O6" s="159" t="s">
        <v>774</v>
      </c>
      <c r="Q6" s="159" t="s">
        <v>774</v>
      </c>
      <c r="R6" s="7"/>
      <c r="AF6" s="3"/>
      <c r="AJ6" s="3"/>
      <c r="AQ6" s="3"/>
      <c r="AR6" s="3"/>
      <c r="AT6" s="159" t="s">
        <v>774</v>
      </c>
    </row>
    <row r="7" spans="1:70" x14ac:dyDescent="0.2">
      <c r="I7" s="46" t="s">
        <v>140</v>
      </c>
      <c r="L7" s="40">
        <f>+L8/I8</f>
        <v>0.6148844976030613</v>
      </c>
      <c r="M7" s="7"/>
      <c r="N7" s="7"/>
      <c r="P7" s="77"/>
      <c r="V7" s="3"/>
      <c r="X7" s="3"/>
      <c r="AD7" s="7"/>
      <c r="AE7" s="7"/>
      <c r="AF7" s="7"/>
      <c r="AG7" s="3"/>
      <c r="AJ7" s="3">
        <f>+AF8-AJ8</f>
        <v>2719999.9999999981</v>
      </c>
      <c r="AK7" s="3"/>
      <c r="AL7" s="3"/>
      <c r="AM7" s="3"/>
      <c r="AN7" s="3"/>
      <c r="AO7" s="3"/>
      <c r="AP7" s="3"/>
      <c r="AQ7" s="3"/>
      <c r="AR7" s="3"/>
    </row>
    <row r="8" spans="1:70" ht="17" thickBot="1" x14ac:dyDescent="0.25">
      <c r="I8" s="7">
        <f>SUBTOTAL(9,I10:I319 )</f>
        <v>11235127</v>
      </c>
      <c r="J8" s="7">
        <f>SUBTOTAL(9,J10:J319)</f>
        <v>9847579</v>
      </c>
      <c r="K8" s="16"/>
      <c r="L8" s="16">
        <f>SUBTOTAL(9,Tabla1[Producción disponible])</f>
        <v>6908305.4209015891</v>
      </c>
      <c r="M8" s="16">
        <f>SUBTOTAL(9,Tabla1[Stock al día])</f>
        <v>6161586.0862493757</v>
      </c>
      <c r="N8" s="16">
        <f>SUBTOTAL(9,Tabla1[Por producir mes N] )</f>
        <v>3362840.0107522677</v>
      </c>
      <c r="O8" s="16">
        <f>SUBTOTAL(9,Tabla1[Producción por despachar mes N] )</f>
        <v>614700</v>
      </c>
      <c r="P8" s="16">
        <f>SUBTOTAL(9,Tabla1[Total disponible])</f>
        <v>15481747.516828006</v>
      </c>
      <c r="Q8" s="16">
        <f>SUBTOTAL(9,Tabla1[Delay])</f>
        <v>10142104</v>
      </c>
      <c r="R8" s="16">
        <f>SUBTOTAL(9,Tabla1[Vol. prom. Por contenedor])</f>
        <v>2753618.0911250049</v>
      </c>
      <c r="S8" s="16">
        <f>SUBTOTAL(9,Tabla1[Atraso a facturar])</f>
        <v>8867487.1666666679</v>
      </c>
      <c r="T8" s="16">
        <f>SUBTOTAL(9,Tabla1[Ajuste atraso])</f>
        <v>-1576000</v>
      </c>
      <c r="U8" s="16">
        <f>SUBTOTAL(9,Tabla1[Facturación atraso])</f>
        <v>7291487.166666667</v>
      </c>
      <c r="V8" s="16">
        <f>SUBTOTAL(9,Tabla1[Producción para venta nueva])</f>
        <v>8190260.3501613485</v>
      </c>
      <c r="W8" s="16">
        <f>SUBTOTAL(9,Tabla1[Venta del mes])</f>
        <v>6205435.3069265699</v>
      </c>
      <c r="X8" s="16">
        <f>SUBTOTAL(9,Tabla1[Ajuste venta nueva])</f>
        <v>-1144000</v>
      </c>
      <c r="Y8" s="16">
        <f>SUBTOTAL(9,Tabla1[Facturación Venta nueva])</f>
        <v>5061435.3069265699</v>
      </c>
      <c r="Z8" s="16">
        <f>SUBTOTAL(9,Tabla1[Saldo Volumen disponible])</f>
        <v>3128825.0432347697</v>
      </c>
      <c r="AA8" s="16">
        <f>SUBTOTAL(9,Tabla1[Disponible stock sin venta])</f>
        <v>352833.33333333337</v>
      </c>
      <c r="AB8" s="16"/>
      <c r="AC8" s="16">
        <f>SUBTOTAL(9,Tabla1[Facturación stock])</f>
        <v>352833.33333333337</v>
      </c>
      <c r="AD8" s="16">
        <f>SUBTOTAL(9,Tabla1[En puerto a facturar])</f>
        <v>840718.26</v>
      </c>
      <c r="AE8" s="16">
        <f>SUBTOTAL(9,Tabla1[Plan Irrestricto])</f>
        <v>16266474.066926571</v>
      </c>
      <c r="AF8" s="16">
        <f>SUBTOTAL(9,Tabla1[Plan Irrestricto])</f>
        <v>16266474.066926571</v>
      </c>
      <c r="AG8" s="16">
        <f>SUBTOTAL(9,Tabla1[[Puerto ]])</f>
        <v>840718.26</v>
      </c>
      <c r="AH8" s="16">
        <f>SUBTOTAL(9,Tabla1[Atraso])</f>
        <v>7291487.166666667</v>
      </c>
      <c r="AI8" s="16">
        <f>SUBTOTAL(9,Tabla1[Venta nueva])</f>
        <v>8134268.6402599057</v>
      </c>
      <c r="AJ8" s="16">
        <f>SUBTOTAL(9,Tabla1[Plan Ajustado])</f>
        <v>13546474.066926572</v>
      </c>
      <c r="AK8" s="16">
        <f>SUBTOTAL(9,Tabla1[[ Atraso ajustado]])</f>
        <v>7291487.166666667</v>
      </c>
      <c r="AL8" s="16">
        <f>SUBTOTAL(9,Tabla1[Venta nueva Ajustado])</f>
        <v>5414268.6402599029</v>
      </c>
      <c r="AM8" s="16"/>
      <c r="AN8" s="16"/>
      <c r="AO8" s="16">
        <f>SUBTOTAL(9,Tabla1[Necesidad])</f>
        <v>12705755.806926571</v>
      </c>
      <c r="AP8" s="16">
        <f>SUBTOTAL(9,Tabla1[Stock Plan])</f>
        <v>5679623.4146222454</v>
      </c>
      <c r="AQ8" s="16">
        <f>SUBTOTAL(9,Tabla1[Producción nueva])</f>
        <v>7026132.3923043264</v>
      </c>
      <c r="AR8" s="16"/>
      <c r="AS8" s="47" t="s">
        <v>140</v>
      </c>
      <c r="AT8" s="16"/>
      <c r="AU8" s="16"/>
      <c r="AV8" s="34"/>
      <c r="AW8" s="34"/>
      <c r="AX8" s="34"/>
      <c r="AY8" s="34"/>
      <c r="AZ8" s="34"/>
      <c r="BA8" s="34"/>
      <c r="BB8" s="34"/>
      <c r="BC8" s="34"/>
      <c r="BD8" s="199" t="s">
        <v>689</v>
      </c>
      <c r="BE8" s="199"/>
      <c r="BF8" s="199"/>
      <c r="BG8" s="199"/>
      <c r="BH8" s="199"/>
      <c r="BI8" s="199"/>
      <c r="BJ8" s="200" t="s">
        <v>690</v>
      </c>
      <c r="BK8" s="200"/>
      <c r="BL8" s="200"/>
      <c r="BM8" s="200"/>
      <c r="BN8" s="200"/>
      <c r="BO8" s="200"/>
      <c r="BQ8" s="7">
        <f>SUBTOTAL(9,Tabla1[Producción disponible mes n-1])</f>
        <v>3782409.398736103</v>
      </c>
    </row>
    <row r="9" spans="1:70" ht="34" customHeight="1" thickBot="1" x14ac:dyDescent="0.25">
      <c r="A9" t="s">
        <v>627</v>
      </c>
      <c r="B9" s="2" t="s">
        <v>330</v>
      </c>
      <c r="C9" s="2" t="s">
        <v>0</v>
      </c>
      <c r="D9" s="2" t="s">
        <v>1</v>
      </c>
      <c r="E9" s="2" t="s">
        <v>4</v>
      </c>
      <c r="F9" s="2" t="s">
        <v>5</v>
      </c>
      <c r="G9" s="2" t="s">
        <v>2</v>
      </c>
      <c r="H9" s="2" t="s">
        <v>3</v>
      </c>
      <c r="I9" s="2" t="s">
        <v>335</v>
      </c>
      <c r="J9" s="2" t="s">
        <v>336</v>
      </c>
      <c r="K9" s="2" t="s">
        <v>331</v>
      </c>
      <c r="L9" s="2" t="s">
        <v>332</v>
      </c>
      <c r="M9" s="2" t="s">
        <v>333</v>
      </c>
      <c r="N9" s="2" t="s">
        <v>681</v>
      </c>
      <c r="O9" s="2" t="s">
        <v>338</v>
      </c>
      <c r="P9" s="2" t="s">
        <v>339</v>
      </c>
      <c r="Q9" s="2" t="s">
        <v>340</v>
      </c>
      <c r="R9" s="2" t="s">
        <v>341</v>
      </c>
      <c r="S9" s="79" t="s">
        <v>342</v>
      </c>
      <c r="T9" s="79" t="s">
        <v>674</v>
      </c>
      <c r="U9" s="78" t="s">
        <v>676</v>
      </c>
      <c r="V9" s="2" t="s">
        <v>677</v>
      </c>
      <c r="W9" s="79" t="s">
        <v>344</v>
      </c>
      <c r="X9" s="79" t="s">
        <v>675</v>
      </c>
      <c r="Y9" s="78" t="s">
        <v>678</v>
      </c>
      <c r="Z9" s="42" t="s">
        <v>679</v>
      </c>
      <c r="AA9" s="79" t="s">
        <v>783</v>
      </c>
      <c r="AB9" s="79" t="s">
        <v>784</v>
      </c>
      <c r="AC9" s="78" t="s">
        <v>782</v>
      </c>
      <c r="AD9" s="78" t="s">
        <v>346</v>
      </c>
      <c r="AE9" s="74" t="s">
        <v>788</v>
      </c>
      <c r="AF9" s="74" t="s">
        <v>410</v>
      </c>
      <c r="AG9" s="102" t="s">
        <v>706</v>
      </c>
      <c r="AH9" s="102" t="s">
        <v>707</v>
      </c>
      <c r="AI9" s="102" t="s">
        <v>708</v>
      </c>
      <c r="AJ9" s="74" t="s">
        <v>680</v>
      </c>
      <c r="AK9" s="102" t="s">
        <v>709</v>
      </c>
      <c r="AL9" s="102" t="s">
        <v>710</v>
      </c>
      <c r="AM9" s="74" t="s">
        <v>691</v>
      </c>
      <c r="AN9" s="74" t="s">
        <v>766</v>
      </c>
      <c r="AO9" s="74" t="s">
        <v>768</v>
      </c>
      <c r="AP9" s="74" t="s">
        <v>769</v>
      </c>
      <c r="AQ9" s="74" t="s">
        <v>666</v>
      </c>
      <c r="AR9" s="74" t="s">
        <v>771</v>
      </c>
      <c r="AS9" s="4" t="s">
        <v>580</v>
      </c>
      <c r="AT9" s="4" t="s">
        <v>581</v>
      </c>
      <c r="AU9" s="4" t="s">
        <v>582</v>
      </c>
      <c r="AV9" s="4" t="s">
        <v>584</v>
      </c>
      <c r="AW9" s="4" t="s">
        <v>660</v>
      </c>
      <c r="AX9" s="4" t="s">
        <v>693</v>
      </c>
      <c r="AY9" s="138" t="s">
        <v>750</v>
      </c>
      <c r="AZ9" s="138" t="s">
        <v>751</v>
      </c>
      <c r="BA9" s="138" t="s">
        <v>752</v>
      </c>
      <c r="BB9" s="4" t="s">
        <v>749</v>
      </c>
      <c r="BC9" s="4" t="s">
        <v>792</v>
      </c>
      <c r="BD9" s="81" t="s">
        <v>414</v>
      </c>
      <c r="BE9" s="81" t="s">
        <v>415</v>
      </c>
      <c r="BF9" s="81" t="s">
        <v>416</v>
      </c>
      <c r="BG9" s="81" t="s">
        <v>417</v>
      </c>
      <c r="BH9" s="81" t="s">
        <v>418</v>
      </c>
      <c r="BI9" s="81" t="s">
        <v>682</v>
      </c>
      <c r="BJ9" s="21" t="s">
        <v>683</v>
      </c>
      <c r="BK9" s="21" t="s">
        <v>684</v>
      </c>
      <c r="BL9" s="21" t="s">
        <v>685</v>
      </c>
      <c r="BM9" s="21" t="s">
        <v>686</v>
      </c>
      <c r="BN9" s="21" t="s">
        <v>687</v>
      </c>
      <c r="BO9" s="21" t="s">
        <v>688</v>
      </c>
      <c r="BP9" s="2" t="s">
        <v>626</v>
      </c>
      <c r="BQ9" s="2" t="s">
        <v>785</v>
      </c>
      <c r="BR9" s="2" t="s">
        <v>786</v>
      </c>
    </row>
    <row r="10" spans="1:70" ht="16" hidden="1" x14ac:dyDescent="0.2">
      <c r="A10">
        <v>1</v>
      </c>
      <c r="B10" t="str">
        <f>Tabla1[[#This Row],[Oficina]]&amp;Tabla1[[#This Row],[Material]]</f>
        <v>Agro Sudamerica1020017</v>
      </c>
      <c r="C10" t="s">
        <v>6</v>
      </c>
      <c r="D10" t="s">
        <v>17</v>
      </c>
      <c r="E10">
        <v>1020017</v>
      </c>
      <c r="F10" t="s">
        <v>20</v>
      </c>
      <c r="G10" t="s">
        <v>18</v>
      </c>
      <c r="H10" t="s">
        <v>19</v>
      </c>
      <c r="I10" s="7">
        <f>IFERROR(VLOOKUP(Tabla1[[#This Row],[Llave]],'[7]RV Producción'!$C:$G,5,FALSE),0)</f>
        <v>0</v>
      </c>
      <c r="J10" s="7">
        <f>IFERROR(IF(Tabla1[[#This Row],[Oficina]]=$I$7,VLOOKUP(Tabla1[[#This Row],[Llave]],'[7]Shangai (Tomas)'!$A:$F,6,FALSE),VLOOKUP(Tabla1[[#This Row],[Llave]],'[7]RV plan de ventas'!$A:$E,5,FALSE)),0)</f>
        <v>0</v>
      </c>
      <c r="K10" s="8">
        <f>IFERROR(VLOOKUP(Tabla1[[#This Row],[Oficina]],[15]Ponderación!$B$2:$E$9,4,FALSE),0)</f>
        <v>0.45719439678473212</v>
      </c>
      <c r="L10" s="7">
        <f>+Tabla1[[#This Row],[ RV Producción mes n+1]]*Tabla1[[#This Row],[% Uti. producción]]</f>
        <v>0</v>
      </c>
      <c r="M10" s="7">
        <f>IFERROR(VLOOKUP(Tabla1[[#This Row],[Material]],'[17]TD Stock'!$E:$I,5,FALSE),0)</f>
        <v>4940.8119999999999</v>
      </c>
      <c r="N10" s="7">
        <f>IFERROR(VLOOKUP(Tabla1[[#This Row],[Material]],[16]Produccion!$M:$N,2,FALSE),0)</f>
        <v>0</v>
      </c>
      <c r="O10" s="7">
        <f>IFERROR(VLOOKUP(Tabla1[[#This Row],[Llave]],'[16]TD Conf-AP'!$I:$M,4,FALSE),0)</f>
        <v>0</v>
      </c>
      <c r="P10" s="14">
        <f>SUM(Tabla1[[#This Row],[Producción disponible]],Tabla1[[#This Row],[Stock al día]],(Tabla1[[#This Row],[Por producir mes N]]*0.9))-Tabla1[[#This Row],[Producción por despachar mes N]]</f>
        <v>4940.8119999999999</v>
      </c>
      <c r="Q10" s="7">
        <f>IFERROR(VLOOKUP(Tabla1[[#This Row],[Llave]],[17]DELAY!$A:$D,4,FALSE),0)</f>
        <v>8000</v>
      </c>
      <c r="R10" s="9">
        <v>24000</v>
      </c>
      <c r="S10" s="5">
        <f t="shared" ref="S10:S67" si="29">IF(AND(P10&gt;Q10,Q10&gt;0),Q10,IF(AND(P10&lt;Q10,Q10&gt;0),(ROUNDDOWN(P10/R10,0)*R10),0))</f>
        <v>0</v>
      </c>
      <c r="T10" s="76">
        <v>0</v>
      </c>
      <c r="U10" s="5">
        <f>+Tabla1[[#This Row],[Atraso a facturar]]+Tabla1[[#This Row],[Ajuste atraso]]</f>
        <v>0</v>
      </c>
      <c r="V10" s="3">
        <f>+Tabla1[[#This Row],[Total disponible]]-Tabla1[[#This Row],[Facturación atraso]]</f>
        <v>4940.8119999999999</v>
      </c>
      <c r="W10" s="6">
        <f>IFERROR(IF(AND(V10&gt;R10,J10&gt;=R10),ROUNDDOWN((Tabla1[[#This Row],[Producción para venta nueva]])/R10,0)*R10,0),0)</f>
        <v>0</v>
      </c>
      <c r="X10" s="76">
        <v>0</v>
      </c>
      <c r="Y10" s="6">
        <f>IF(Tabla1[[#This Row],[Venta del mes]]&gt;0,Tabla1[[#This Row],[Venta del mes]]+Tabla1[[#This Row],[Ajuste venta nueva]],0)</f>
        <v>0</v>
      </c>
      <c r="Z10" s="6">
        <f>+Tabla1[[#This Row],[Producción para venta nueva]]-Tabla1[[#This Row],[Facturación Venta nueva]]</f>
        <v>4940.8119999999999</v>
      </c>
      <c r="AA10" s="6">
        <f>IF(AND(A10=1,Tabla1[[#This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" s="6"/>
      <c r="AC10" s="6">
        <f>IF(Tabla1[[#This Row],[Disponible stock sin venta]]&gt;0,Tabla1[[#This Row],[Disponible stock sin venta]]+Tabla1[[#This Row],[Ajuste stock sin venta]],0)</f>
        <v>0</v>
      </c>
      <c r="AD10" s="18">
        <f>IFERROR(VLOOKUP(Tabla1[[#This Row],[Llave]],'[16]TD Puerto'!$A:$D,4,FALSE),0)</f>
        <v>0</v>
      </c>
      <c r="AE10" s="18">
        <v>0</v>
      </c>
      <c r="AF10" s="3">
        <f>+Tabla1[[#This Row],[Atraso a facturar]]+Tabla1[[#This Row],[Venta del mes]]+Tabla1[[#This Row],[En puerto a facturar]]+Tabla1[[#This Row],[Disponible stock sin venta]]</f>
        <v>0</v>
      </c>
      <c r="AG10" s="6">
        <f>+Tabla1[[#This Row],[En puerto a facturar]]</f>
        <v>0</v>
      </c>
      <c r="AH10" s="6">
        <f>+Tabla1[[#This Row],[Facturación atraso]]</f>
        <v>0</v>
      </c>
      <c r="AI10" s="6">
        <f>+Tabla1[[#This Row],[Plan Irrestricto]]-Tabla1[[#This Row],[Puerto ]]-Tabla1[[#This Row],[Atraso]]</f>
        <v>0</v>
      </c>
      <c r="AJ10" s="6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0" s="6">
        <f>+Tabla1[[#This Row],[Facturación atraso]]</f>
        <v>0</v>
      </c>
      <c r="AL10" s="6">
        <f>+Tabla1[[#This Row],[Plan Ajustado]]-Tabla1[[#This Row],[ Atraso ajustado]]-Tabla1[[#This Row],[Puerto ]]</f>
        <v>0</v>
      </c>
      <c r="AM10" s="6">
        <v>0</v>
      </c>
      <c r="AN10" s="6" t="str">
        <f>IF(Tabla1[[#This Row],[Plan Ajustado]]&gt;Tabla1[[#This Row],[En puerto a facturar]],"Si","No")</f>
        <v>No</v>
      </c>
      <c r="AO10" s="6">
        <f>IF(AND(Tabla1[[#This Row],[Plan Ajustado]]&gt;0,Tabla1[[#This Row],[Plan Ajustado]]&gt;Tabla1[[#This Row],[En puerto a facturar]]),(Tabla1[[#This Row],[Plan Ajustado]]-Tabla1[[#This Row],[En puerto a facturar]]),0)</f>
        <v>0</v>
      </c>
      <c r="AP10" s="6">
        <f>IF(Tabla1[[#This Row],[Necesidad]]&gt;=Tabla1[[#This Row],[Stock al día]],Tabla1[[#This Row],[Stock al día]],Tabla1[[#This Row],[Necesidad]])</f>
        <v>0</v>
      </c>
      <c r="AQ10" s="6">
        <f>+Tabla1[[#This Row],[Necesidad]]-Tabla1[[#This Row],[Stock Plan]]</f>
        <v>0</v>
      </c>
      <c r="AR10" s="155">
        <f>IFERROR(VLOOKUP(Tabla1[[#This Row],[Oficina]],[22]Ponderación!$B$3:$G$9,6,FALSE),"")</f>
        <v>44757</v>
      </c>
      <c r="AS1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2.7713806580000813</v>
      </c>
      <c r="AT10" s="83">
        <f>IFERROR(VLOOKUP(Tabla1[[#This Row],[Llave]],[17]DELAY!$H:$W,16,FALSE),0)</f>
        <v>2.7558579380733956</v>
      </c>
      <c r="AU1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0" s="5">
        <f>+Tabla1[[#This Row],[Plan Ajustado]]*Tabla1[[#This Row],[Precio ponderado]]</f>
        <v>0</v>
      </c>
      <c r="AW10" s="30">
        <f>IFERROR(VLOOKUP(Tabla1[[#This Row],[Llave]],'[13]Ultimos precios facturados'!$A:$G,7,FALSE),0)</f>
        <v>2.7713806580000813</v>
      </c>
      <c r="AX1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0" s="30"/>
      <c r="AZ10" s="30">
        <f>IF(Tabla1[[#This Row],[Ajuste precio IC]]="",Tabla1[[#This Row],[Precio ponderado]],Tabla1[[#This Row],[Precio ponderado]])</f>
        <v>0</v>
      </c>
      <c r="BA10" s="82"/>
      <c r="BB10" s="82" t="str">
        <f>IF(AND(Tabla1[[#This Row],[Atraso a facturar]]&gt;0,Tabla1[[#This Row],[Precio Atraso]]=0),"Revisar","OK")</f>
        <v>OK</v>
      </c>
      <c r="BC10" s="82" t="str">
        <f>IF(AND(Tabla1[[#This Row],[Venta del mes]]&gt;0,Tabla1[[#This Row],[Precio venta nueva]]=0),"Revisar","OK")</f>
        <v>OK</v>
      </c>
      <c r="BD10" s="20">
        <f>IFERROR(VLOOKUP(Tabla1[[#This Row],[Llave]],'[5]Consolidación planes'!$A:$M,9,FALSE),0)</f>
        <v>192000</v>
      </c>
      <c r="BE10" s="20">
        <f>IFERROR(VLOOKUP(Tabla1[[#This Row],[Llave]],'[5]Consolidación planes'!$A:$M,10,FALSE),0)</f>
        <v>108000</v>
      </c>
      <c r="BF10" s="20">
        <f>IFERROR(VLOOKUP(Tabla1[[#This Row],[Llave]],'[5]Consolidación planes'!$A:$M,11,FALSE),0)</f>
        <v>132000</v>
      </c>
      <c r="BG10" s="20">
        <f>IFERROR(VLOOKUP(Tabla1[[#This Row],[Llave]],'[5]Consolidación planes'!$A:$M,12,FALSE),0)</f>
        <v>96000</v>
      </c>
      <c r="BH10" s="20">
        <f>IFERROR(VLOOKUP(Tabla1[[#This Row],[Llave]],'[5]Consolidación planes'!$A:$M,13,FALSE),0)</f>
        <v>37000</v>
      </c>
      <c r="BI10" s="20">
        <f>IFERROR(VLOOKUP(Tabla1[[#This Row],[Llave]],'[13]Base ultimos planes'!$A:$M,13,FALSE),0)</f>
        <v>0</v>
      </c>
      <c r="BJ10" s="80">
        <f>IFERROR(VLOOKUP(Tabla1[[#This Row],[Llave]],'[13]Base ultimos planes'!$O:$AA,8,FALSE),0)</f>
        <v>518400</v>
      </c>
      <c r="BK10" s="80">
        <f>IFERROR(VLOOKUP(Tabla1[[#This Row],[Llave]],'[13]Base ultimos planes'!$O:$AA,9,FALSE),0)</f>
        <v>287900</v>
      </c>
      <c r="BL10" s="80">
        <f>IFERROR(VLOOKUP(Tabla1[[#This Row],[Llave]],'[13]Base ultimos planes'!$O:$AA,10,FALSE),0)</f>
        <v>363120</v>
      </c>
      <c r="BM10" s="80">
        <f>IFERROR(VLOOKUP(Tabla1[[#This Row],[Llave]],'[13]Base ultimos planes'!$O:$AA,11,FALSE),0)</f>
        <v>267600</v>
      </c>
      <c r="BN10" s="80">
        <f>IFERROR(VLOOKUP(Tabla1[[#This Row],[Llave]],'[13]Base ultimos planes'!$O:$AA,12,FALSE),0)</f>
        <v>105190</v>
      </c>
      <c r="BO10" s="80">
        <f>IFERROR(VLOOKUP(Tabla1[[#This Row],[Llave]],'[13]Base ultimos planes'!$O:$AA,13,FALSE),0)</f>
        <v>0</v>
      </c>
      <c r="BP10" s="20"/>
      <c r="BQ10" s="20">
        <f>+Tabla1[[#This Row],[ RV  Venta mes n+1]]*(1-Tabla1[[#This Row],[% Uti. producción]])</f>
        <v>0</v>
      </c>
      <c r="BR10" s="100"/>
    </row>
    <row r="11" spans="1:70" ht="16" hidden="1" x14ac:dyDescent="0.2">
      <c r="A11">
        <v>1</v>
      </c>
      <c r="B11" t="str">
        <f>Tabla1[[#This Row],[Oficina]]&amp;Tabla1[[#This Row],[Material]]</f>
        <v>Agro Sudamerica1021279</v>
      </c>
      <c r="C11" t="s">
        <v>6</v>
      </c>
      <c r="D11" t="s">
        <v>17</v>
      </c>
      <c r="E11">
        <v>1021279</v>
      </c>
      <c r="F11" t="s">
        <v>671</v>
      </c>
      <c r="G11" t="s">
        <v>92</v>
      </c>
      <c r="H11" t="s">
        <v>93</v>
      </c>
      <c r="I11" s="7">
        <f>IFERROR(VLOOKUP(Tabla1[[#This Row],[Llave]],'[7]RV Producción'!$C:$G,5,FALSE),0)</f>
        <v>19578</v>
      </c>
      <c r="J11" s="7">
        <f>IFERROR(IF(Tabla1[[#This Row],[Oficina]]=$I$7,VLOOKUP(Tabla1[[#This Row],[Llave]],'[7]Shangai (Tomas)'!$A:$F,6,FALSE),VLOOKUP(Tabla1[[#This Row],[Llave]],'[7]RV plan de ventas'!$A:$E,5,FALSE)),0)</f>
        <v>16178</v>
      </c>
      <c r="K11" s="8">
        <f>IFERROR(VLOOKUP(Tabla1[[#This Row],[Oficina]],[15]Ponderación!$B$2:$E$9,4,FALSE),0)</f>
        <v>0.45719439678473212</v>
      </c>
      <c r="L11" s="7">
        <f>+Tabla1[[#This Row],[ RV Producción mes n+1]]*Tabla1[[#This Row],[% Uti. producción]]</f>
        <v>8950.9519002514862</v>
      </c>
      <c r="M11" s="7">
        <f>IFERROR(VLOOKUP(Tabla1[[#This Row],[Material]],'[17]TD Stock'!$E:$I,5,FALSE),0)</f>
        <v>0</v>
      </c>
      <c r="N11" s="7">
        <f>IFERROR(VLOOKUP(Tabla1[[#This Row],[Material]],[16]Produccion!$M:$N,2,FALSE),0)</f>
        <v>7726</v>
      </c>
      <c r="O11" s="7">
        <f>IFERROR(VLOOKUP(Tabla1[[#This Row],[Llave]],'[16]TD Conf-AP'!$I:$M,4,FALSE),0)</f>
        <v>0</v>
      </c>
      <c r="P11" s="14">
        <f>SUM(Tabla1[[#This Row],[Producción disponible]],Tabla1[[#This Row],[Stock al día]],(Tabla1[[#This Row],[Por producir mes N]]*0.9))-Tabla1[[#This Row],[Producción por despachar mes N]]</f>
        <v>15904.351900251488</v>
      </c>
      <c r="Q11" s="7">
        <f>IFERROR(VLOOKUP(Tabla1[[#This Row],[Llave]],[17]DELAY!$A:$D,4,FALSE),0)</f>
        <v>24000</v>
      </c>
      <c r="R11" s="9">
        <v>24000</v>
      </c>
      <c r="S11" s="5">
        <f t="shared" si="29"/>
        <v>0</v>
      </c>
      <c r="T11" s="76">
        <v>0</v>
      </c>
      <c r="U11" s="5">
        <f>+Tabla1[[#This Row],[Atraso a facturar]]+Tabla1[[#This Row],[Ajuste atraso]]</f>
        <v>0</v>
      </c>
      <c r="V11" s="3">
        <f>+Tabla1[[#This Row],[Total disponible]]-Tabla1[[#This Row],[Facturación atraso]]</f>
        <v>15904.351900251488</v>
      </c>
      <c r="W11" s="6">
        <f>IFERROR(IF(AND(V11&gt;R11,J11&gt;=R11),ROUNDDOWN((Tabla1[[#This Row],[Producción para venta nueva]])/R11,0)*R11,0),0)</f>
        <v>0</v>
      </c>
      <c r="X11" s="76">
        <v>0</v>
      </c>
      <c r="Y11" s="6">
        <f>IF(Tabla1[[#This Row],[Venta del mes]]&gt;0,Tabla1[[#This Row],[Venta del mes]]+Tabla1[[#This Row],[Ajuste venta nueva]],0)</f>
        <v>0</v>
      </c>
      <c r="Z11" s="6">
        <f>+Tabla1[[#This Row],[Producción para venta nueva]]-Tabla1[[#This Row],[Facturación Venta nueva]]</f>
        <v>15904.351900251488</v>
      </c>
      <c r="AA11" s="6">
        <f>IF(AND(A11=1,Tabla1[[#This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" s="6"/>
      <c r="AC11" s="6">
        <f>IF(Tabla1[[#This Row],[Disponible stock sin venta]]&gt;0,Tabla1[[#This Row],[Disponible stock sin venta]]+Tabla1[[#This Row],[Ajuste stock sin venta]],0)</f>
        <v>0</v>
      </c>
      <c r="AD11" s="3">
        <f>IFERROR(VLOOKUP(Tabla1[[#This Row],[Llave]],'[16]TD Puerto'!$A:$D,4,FALSE),0)</f>
        <v>0</v>
      </c>
      <c r="AE11" s="3">
        <v>0</v>
      </c>
      <c r="AF11" s="3">
        <f>+Tabla1[[#This Row],[Atraso a facturar]]+Tabla1[[#This Row],[Venta del mes]]+Tabla1[[#This Row],[En puerto a facturar]]+Tabla1[[#This Row],[Disponible stock sin venta]]</f>
        <v>0</v>
      </c>
      <c r="AG11" s="3">
        <f>+Tabla1[[#This Row],[En puerto a facturar]]</f>
        <v>0</v>
      </c>
      <c r="AH11" s="3">
        <f>+Tabla1[[#This Row],[Facturación atraso]]</f>
        <v>0</v>
      </c>
      <c r="AI11" s="3">
        <f>+Tabla1[[#This Row],[Plan Irrestricto]]-Tabla1[[#This Row],[Puerto ]]-Tabla1[[#This Row],[Atraso]]</f>
        <v>0</v>
      </c>
      <c r="AJ1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1" s="3">
        <f>+Tabla1[[#This Row],[Facturación atraso]]</f>
        <v>0</v>
      </c>
      <c r="AL11" s="3">
        <f>+Tabla1[[#This Row],[Plan Ajustado]]-Tabla1[[#This Row],[ Atraso ajustado]]-Tabla1[[#This Row],[Puerto ]]</f>
        <v>0</v>
      </c>
      <c r="AM11" s="3">
        <v>0</v>
      </c>
      <c r="AN11" s="3" t="str">
        <f>IF(Tabla1[[#This Row],[Plan Ajustado]]&gt;Tabla1[[#This Row],[En puerto a facturar]],"Si","No")</f>
        <v>No</v>
      </c>
      <c r="AO1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1" s="3">
        <f>IF(Tabla1[[#This Row],[Necesidad]]&gt;=Tabla1[[#This Row],[Stock al día]],Tabla1[[#This Row],[Stock al día]],Tabla1[[#This Row],[Necesidad]])</f>
        <v>0</v>
      </c>
      <c r="AQ11" s="3">
        <f>+Tabla1[[#This Row],[Necesidad]]-Tabla1[[#This Row],[Stock Plan]]</f>
        <v>0</v>
      </c>
      <c r="AR11" s="156">
        <f>IFERROR(VLOOKUP(Tabla1[[#This Row],[Oficina]],[22]Ponderación!$B$3:$G$9,6,FALSE),"")</f>
        <v>44757</v>
      </c>
      <c r="AS1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1.33662999134627</v>
      </c>
      <c r="AT11" s="83">
        <f>IFERROR(VLOOKUP(Tabla1[[#This Row],[Llave]],[17]DELAY!$H:$W,16,FALSE),0)</f>
        <v>1.8</v>
      </c>
      <c r="AU1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1" s="5">
        <f>+Tabla1[[#This Row],[Plan Ajustado]]*Tabla1[[#This Row],[Precio ponderado]]</f>
        <v>0</v>
      </c>
      <c r="AW11" s="30">
        <f>IFERROR(VLOOKUP(Tabla1[[#This Row],[Llave]],'[13]Ultimos precios facturados'!$A:$G,7,FALSE),0)</f>
        <v>0</v>
      </c>
      <c r="AX1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1" s="30"/>
      <c r="AZ11" s="30">
        <f>IF(Tabla1[[#This Row],[Ajuste precio IC]]="",Tabla1[[#This Row],[Precio ponderado]],Tabla1[[#This Row],[Precio ponderado]])</f>
        <v>0</v>
      </c>
      <c r="BA11" s="82"/>
      <c r="BB11" s="82" t="str">
        <f>IF(AND(Tabla1[[#This Row],[Atraso a facturar]]&gt;0,Tabla1[[#This Row],[Precio Atraso]]=0),"Revisar","OK")</f>
        <v>OK</v>
      </c>
      <c r="BC11" s="82" t="str">
        <f>IF(AND(Tabla1[[#This Row],[Venta del mes]]&gt;0,Tabla1[[#This Row],[Precio venta nueva]]=0),"Revisar","OK")</f>
        <v>OK</v>
      </c>
      <c r="BD11" s="20">
        <f>IFERROR(VLOOKUP(Tabla1[[#This Row],[Llave]],'[5]Consolidación planes'!$A:$M,9,FALSE),0)</f>
        <v>0</v>
      </c>
      <c r="BE11" s="20">
        <f>IFERROR(VLOOKUP(Tabla1[[#This Row],[Llave]],'[5]Consolidación planes'!$A:$M,10,FALSE),0)</f>
        <v>0</v>
      </c>
      <c r="BF11" s="20">
        <f>IFERROR(VLOOKUP(Tabla1[[#This Row],[Llave]],'[5]Consolidación planes'!$A:$M,11,FALSE),0)</f>
        <v>0</v>
      </c>
      <c r="BG11" s="20">
        <f>IFERROR(VLOOKUP(Tabla1[[#This Row],[Llave]],'[5]Consolidación planes'!$A:$M,12,FALSE),0)</f>
        <v>0</v>
      </c>
      <c r="BH11" s="20">
        <f>IFERROR(VLOOKUP(Tabla1[[#This Row],[Llave]],'[5]Consolidación planes'!$A:$M,13,FALSE),0)</f>
        <v>0</v>
      </c>
      <c r="BI11" s="20">
        <f>IFERROR(VLOOKUP(Tabla1[[#This Row],[Llave]],'[13]Base ultimos planes'!$A:$M,13,FALSE),0)</f>
        <v>0</v>
      </c>
      <c r="BJ11" s="80">
        <f>IFERROR(VLOOKUP(Tabla1[[#This Row],[Llave]],'[13]Base ultimos planes'!$O:$AA,8,FALSE),0)</f>
        <v>0</v>
      </c>
      <c r="BK11" s="20">
        <f>IFERROR(VLOOKUP(Tabla1[[#This Row],[Llave]],'[13]Base ultimos planes'!$O:$AA,9,FALSE),0)</f>
        <v>0</v>
      </c>
      <c r="BL11" s="20">
        <f>IFERROR(VLOOKUP(Tabla1[[#This Row],[Llave]],'[13]Base ultimos planes'!$O:$AA,10,FALSE),0)</f>
        <v>0</v>
      </c>
      <c r="BM11" s="20">
        <f>IFERROR(VLOOKUP(Tabla1[[#This Row],[Llave]],'[13]Base ultimos planes'!$O:$AA,11,FALSE),0)</f>
        <v>0</v>
      </c>
      <c r="BN11" s="20">
        <f>IFERROR(VLOOKUP(Tabla1[[#This Row],[Llave]],'[13]Base ultimos planes'!$O:$AA,12,FALSE),0)</f>
        <v>0</v>
      </c>
      <c r="BO11" s="20">
        <f>IFERROR(VLOOKUP(Tabla1[[#This Row],[Llave]],'[13]Base ultimos planes'!$O:$AA,13,FALSE),0)</f>
        <v>0</v>
      </c>
      <c r="BP11" s="20"/>
      <c r="BQ11" s="20">
        <f>+Tabla1[[#This Row],[ RV  Venta mes n+1]]*(1-Tabla1[[#This Row],[% Uti. producción]])</f>
        <v>8781.5090488166043</v>
      </c>
      <c r="BR11" s="100"/>
    </row>
    <row r="12" spans="1:70" ht="16" x14ac:dyDescent="0.2">
      <c r="A12">
        <v>1</v>
      </c>
      <c r="B12" t="str">
        <f>Tabla1[[#This Row],[Oficina]]&amp;Tabla1[[#This Row],[Material]]</f>
        <v>Agro Sudamerica1020339</v>
      </c>
      <c r="C12" t="s">
        <v>6</v>
      </c>
      <c r="D12" t="s">
        <v>17</v>
      </c>
      <c r="E12">
        <v>1020339</v>
      </c>
      <c r="F12" t="s">
        <v>49</v>
      </c>
      <c r="G12" t="s">
        <v>11</v>
      </c>
      <c r="H12" t="s">
        <v>15</v>
      </c>
      <c r="I12" s="7">
        <f>IFERROR(VLOOKUP(Tabla1[[#This Row],[Llave]],'[7]RV Producción'!$C:$G,5,FALSE),0)</f>
        <v>142307</v>
      </c>
      <c r="J12" s="3">
        <f>IFERROR(IF(Tabla1[[#This Row],[Oficina]]=$I$7,VLOOKUP(Tabla1[[#This Row],[Llave]],'[7]Shangai (Tomas)'!$A:$F,6,FALSE),VLOOKUP(Tabla1[[#This Row],[Llave]],'[7]RV plan de ventas'!$A:$E,5,FALSE)),0)</f>
        <v>0</v>
      </c>
      <c r="K12" s="8">
        <f>IFERROR(VLOOKUP(Tabla1[[#This Row],[Oficina]],[15]Ponderación!$B$2:$E$9,4,FALSE),0)</f>
        <v>0.45719439678473212</v>
      </c>
      <c r="L12" s="7">
        <f>+Tabla1[[#This Row],[ RV Producción mes n+1]]*Tabla1[[#This Row],[% Uti. producción]]</f>
        <v>65061.963023244876</v>
      </c>
      <c r="M12" s="7">
        <f>IFERROR(VLOOKUP(Tabla1[[#This Row],[Material]],'[17]TD Stock'!$E:$I,5,FALSE),0)</f>
        <v>156604.47999999992</v>
      </c>
      <c r="N12" s="7">
        <f>IFERROR(VLOOKUP(Tabla1[[#This Row],[Material]],[16]Produccion!$M:$N,2,FALSE),0)</f>
        <v>10911</v>
      </c>
      <c r="O12" s="7">
        <f>IFERROR(VLOOKUP(Tabla1[[#This Row],[Llave]],'[16]TD Conf-AP'!$I:$M,4,FALSE),0)</f>
        <v>0</v>
      </c>
      <c r="P12" s="14">
        <f>SUM(Tabla1[[#This Row],[Producción disponible]],Tabla1[[#This Row],[Stock al día]],(Tabla1[[#This Row],[Por producir mes N]]*0.9))-Tabla1[[#This Row],[Producción por despachar mes N]]</f>
        <v>231486.34302324479</v>
      </c>
      <c r="Q12" s="7">
        <f>IFERROR(VLOOKUP(Tabla1[[#This Row],[Llave]],[17]DELAY!$A:$D,4,FALSE),0)</f>
        <v>202500</v>
      </c>
      <c r="R12" s="9">
        <v>24000</v>
      </c>
      <c r="S12" s="5">
        <f t="shared" si="29"/>
        <v>202500</v>
      </c>
      <c r="T12" s="76">
        <v>0</v>
      </c>
      <c r="U12" s="5">
        <f>+Tabla1[[#This Row],[Atraso a facturar]]+Tabla1[[#This Row],[Ajuste atraso]]</f>
        <v>202500</v>
      </c>
      <c r="V12" s="3">
        <f>+Tabla1[[#This Row],[Total disponible]]-Tabla1[[#This Row],[Facturación atraso]]</f>
        <v>28986.343023244786</v>
      </c>
      <c r="W12" s="6">
        <f>IFERROR(IF(AND(V12&gt;R12,J12&gt;=R12),ROUNDDOWN((Tabla1[[#This Row],[Producción para venta nueva]])/R12,0)*R12,0),0)</f>
        <v>0</v>
      </c>
      <c r="X12" s="76">
        <v>0</v>
      </c>
      <c r="Y12" s="6">
        <f>IF(Tabla1[[#This Row],[Venta del mes]]&gt;0,Tabla1[[#This Row],[Venta del mes]]+Tabla1[[#This Row],[Ajuste venta nueva]],0)</f>
        <v>0</v>
      </c>
      <c r="Z12" s="6">
        <f>+Tabla1[[#This Row],[Producción para venta nueva]]-Tabla1[[#This Row],[Facturación Venta nueva]]</f>
        <v>28986.343023244786</v>
      </c>
      <c r="AA12" s="6">
        <f>IF(AND(A12=1,Tabla1[[#This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24000</v>
      </c>
      <c r="AB12" s="6"/>
      <c r="AC12" s="6">
        <f>IF(Tabla1[[#This Row],[Disponible stock sin venta]]&gt;0,Tabla1[[#This Row],[Disponible stock sin venta]]+Tabla1[[#This Row],[Ajuste stock sin venta]],0)</f>
        <v>24000</v>
      </c>
      <c r="AD12" s="3">
        <f>IFERROR(VLOOKUP(Tabla1[[#This Row],[Llave]],'[16]TD Puerto'!$A:$D,4,FALSE),0)</f>
        <v>0</v>
      </c>
      <c r="AE12" s="3">
        <v>226500</v>
      </c>
      <c r="AF12" s="3">
        <f>+Tabla1[[#This Row],[Atraso a facturar]]+Tabla1[[#This Row],[Venta del mes]]+Tabla1[[#This Row],[En puerto a facturar]]+Tabla1[[#This Row],[Disponible stock sin venta]]</f>
        <v>226500</v>
      </c>
      <c r="AG12" s="3">
        <f>+Tabla1[[#This Row],[En puerto a facturar]]</f>
        <v>0</v>
      </c>
      <c r="AH12" s="3">
        <f>+Tabla1[[#This Row],[Facturación atraso]]</f>
        <v>202500</v>
      </c>
      <c r="AI12" s="3">
        <f>+Tabla1[[#This Row],[Plan Irrestricto]]-Tabla1[[#This Row],[Puerto ]]-Tabla1[[#This Row],[Atraso]]</f>
        <v>24000</v>
      </c>
      <c r="AJ12" s="3">
        <f>IF(Tabla1[[#This Row],[Plan Irrestricto]]&gt;0,SUM(Tabla1[[#This Row],[Facturación atraso]],Tabla1[[#This Row],[Facturación Venta nueva]],Tabla1[[#This Row],[Facturación stock]],Tabla1[[#This Row],[En puerto a facturar]]),0)</f>
        <v>226500</v>
      </c>
      <c r="AK12" s="3">
        <f>+Tabla1[[#This Row],[Facturación atraso]]</f>
        <v>202500</v>
      </c>
      <c r="AL12" s="3">
        <f>+Tabla1[[#This Row],[Plan Ajustado]]-Tabla1[[#This Row],[ Atraso ajustado]]-Tabla1[[#This Row],[Puerto ]]</f>
        <v>24000</v>
      </c>
      <c r="AM12" s="3">
        <v>0</v>
      </c>
      <c r="AN12" s="3" t="str">
        <f>IF(Tabla1[[#This Row],[Plan Ajustado]]&gt;Tabla1[[#This Row],[En puerto a facturar]],"Si","No")</f>
        <v>Si</v>
      </c>
      <c r="AO12" s="3">
        <f>IF(AND(Tabla1[[#This Row],[Plan Ajustado]]&gt;0,Tabla1[[#This Row],[Plan Ajustado]]&gt;Tabla1[[#This Row],[En puerto a facturar]]),(Tabla1[[#This Row],[Plan Ajustado]]-Tabla1[[#This Row],[En puerto a facturar]]),0)</f>
        <v>226500</v>
      </c>
      <c r="AP12" s="3">
        <f>IF(Tabla1[[#This Row],[Necesidad]]&gt;=Tabla1[[#This Row],[Stock al día]],Tabla1[[#This Row],[Stock al día]],Tabla1[[#This Row],[Necesidad]])</f>
        <v>156604.47999999992</v>
      </c>
      <c r="AQ12" s="3">
        <f>+Tabla1[[#This Row],[Necesidad]]-Tabla1[[#This Row],[Stock Plan]]</f>
        <v>69895.520000000077</v>
      </c>
      <c r="AR12" s="156">
        <f>IFERROR(VLOOKUP(Tabla1[[#This Row],[Oficina]],[22]Ponderación!$B$3:$G$9,6,FALSE),"")</f>
        <v>44757</v>
      </c>
      <c r="AS1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1.4936306219854043</v>
      </c>
      <c r="AT12" s="83">
        <f>IFERROR(VLOOKUP(Tabla1[[#This Row],[Llave]],[17]DELAY!$H:$W,16,FALSE),0)</f>
        <v>1.5930907144190465</v>
      </c>
      <c r="AU1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1.5930907144190465</v>
      </c>
      <c r="AV12" s="5">
        <f>+Tabla1[[#This Row],[Plan Ajustado]]*Tabla1[[#This Row],[Precio ponderado]]</f>
        <v>360835.04681591404</v>
      </c>
      <c r="AW12" s="30">
        <f>IFERROR(VLOOKUP(Tabla1[[#This Row],[Llave]],'[13]Ultimos precios facturados'!$A:$G,7,FALSE),0)</f>
        <v>1.4936306219854043</v>
      </c>
      <c r="AX1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6.6589484019439246E-2</v>
      </c>
      <c r="AY12" s="30"/>
      <c r="AZ12" s="30">
        <f>IF(Tabla1[[#This Row],[Ajuste precio IC]]="",Tabla1[[#This Row],[Precio ponderado]],Tabla1[[#This Row],[Precio ponderado]])</f>
        <v>1.5930907144190465</v>
      </c>
      <c r="BA12" s="82"/>
      <c r="BB12" s="82" t="str">
        <f>IF(AND(Tabla1[[#This Row],[Atraso a facturar]]&gt;0,Tabla1[[#This Row],[Precio Atraso]]=0),"Revisar","OK")</f>
        <v>OK</v>
      </c>
      <c r="BC12" s="82" t="str">
        <f>IF(AND(Tabla1[[#This Row],[Venta del mes]]&gt;0,Tabla1[[#This Row],[Precio venta nueva]]=0),"Revisar","OK")</f>
        <v>OK</v>
      </c>
      <c r="BD12" s="20">
        <f>IFERROR(VLOOKUP(Tabla1[[#This Row],[Llave]],'[5]Consolidación planes'!$A:$M,9,FALSE),0)</f>
        <v>34000</v>
      </c>
      <c r="BE12" s="20">
        <f>IFERROR(VLOOKUP(Tabla1[[#This Row],[Llave]],'[5]Consolidación planes'!$A:$M,10,FALSE),0)</f>
        <v>95000</v>
      </c>
      <c r="BF12" s="20">
        <f>IFERROR(VLOOKUP(Tabla1[[#This Row],[Llave]],'[5]Consolidación planes'!$A:$M,11,FALSE),0)</f>
        <v>85000</v>
      </c>
      <c r="BG12" s="20">
        <f>IFERROR(VLOOKUP(Tabla1[[#This Row],[Llave]],'[5]Consolidación planes'!$A:$M,12,FALSE),0)</f>
        <v>98500</v>
      </c>
      <c r="BH12" s="20">
        <f>IFERROR(VLOOKUP(Tabla1[[#This Row],[Llave]],'[5]Consolidación planes'!$A:$M,13,FALSE),0)</f>
        <v>130881</v>
      </c>
      <c r="BI12" s="20">
        <f>IFERROR(VLOOKUP(Tabla1[[#This Row],[Llave]],'[13]Base ultimos planes'!$A:$M,13,FALSE),0)</f>
        <v>168000</v>
      </c>
      <c r="BJ12" s="80">
        <f>IFERROR(VLOOKUP(Tabla1[[#This Row],[Llave]],'[13]Base ultimos planes'!$O:$AA,8,FALSE),0)</f>
        <v>54400</v>
      </c>
      <c r="BK12" s="20">
        <f>IFERROR(VLOOKUP(Tabla1[[#This Row],[Llave]],'[13]Base ultimos planes'!$O:$AA,9,FALSE),0)</f>
        <v>127400</v>
      </c>
      <c r="BL12" s="20">
        <f>IFERROR(VLOOKUP(Tabla1[[#This Row],[Llave]],'[13]Base ultimos planes'!$O:$AA,10,FALSE),0)</f>
        <v>115793</v>
      </c>
      <c r="BM12" s="20">
        <f>IFERROR(VLOOKUP(Tabla1[[#This Row],[Llave]],'[13]Base ultimos planes'!$O:$AA,11,FALSE),0)</f>
        <v>135470</v>
      </c>
      <c r="BN12" s="20">
        <f>IFERROR(VLOOKUP(Tabla1[[#This Row],[Llave]],'[13]Base ultimos planes'!$O:$AA,12,FALSE),0)</f>
        <v>186971</v>
      </c>
      <c r="BO12" s="20">
        <f>IFERROR(VLOOKUP(Tabla1[[#This Row],[Llave]],'[13]Base ultimos planes'!$O:$AA,13,FALSE),0)</f>
        <v>263881</v>
      </c>
      <c r="BP12" s="20"/>
      <c r="BQ12" s="20">
        <f>+Tabla1[[#This Row],[ RV  Venta mes n+1]]*(1-Tabla1[[#This Row],[% Uti. producción]])</f>
        <v>0</v>
      </c>
      <c r="BR12" s="100"/>
    </row>
    <row r="13" spans="1:70" ht="16" x14ac:dyDescent="0.2">
      <c r="A13">
        <v>1</v>
      </c>
      <c r="B13" t="str">
        <f>Tabla1[[#This Row],[Oficina]]&amp;Tabla1[[#This Row],[Material]]</f>
        <v>Agro Sudamerica1020349</v>
      </c>
      <c r="C13" t="s">
        <v>6</v>
      </c>
      <c r="D13" t="s">
        <v>17</v>
      </c>
      <c r="E13">
        <v>1020349</v>
      </c>
      <c r="F13" t="s">
        <v>69</v>
      </c>
      <c r="G13" t="s">
        <v>67</v>
      </c>
      <c r="H13" t="s">
        <v>68</v>
      </c>
      <c r="I13" s="7">
        <f>IFERROR(VLOOKUP(Tabla1[[#This Row],[Llave]],'[7]RV Producción'!$C:$G,5,FALSE),0)</f>
        <v>0</v>
      </c>
      <c r="J13" s="3">
        <f>IFERROR(IF(Tabla1[[#This Row],[Oficina]]=$I$7,VLOOKUP(Tabla1[[#This Row],[Llave]],'[7]Shangai (Tomas)'!$A:$F,6,FALSE),VLOOKUP(Tabla1[[#This Row],[Llave]],'[7]RV plan de ventas'!$A:$E,5,FALSE)),0)</f>
        <v>72000</v>
      </c>
      <c r="K13" s="8">
        <f>IFERROR(VLOOKUP(Tabla1[[#This Row],[Oficina]],[15]Ponderación!$B$2:$E$9,4,FALSE),0)</f>
        <v>0.45719439678473212</v>
      </c>
      <c r="L13" s="7">
        <f>+Tabla1[[#This Row],[ RV Producción mes n+1]]*Tabla1[[#This Row],[% Uti. producción]]</f>
        <v>0</v>
      </c>
      <c r="M13" s="7">
        <f>IFERROR(VLOOKUP(Tabla1[[#This Row],[Material]],'[17]TD Stock'!$E:$I,5,FALSE),0)</f>
        <v>44608.501999999986</v>
      </c>
      <c r="N13" s="7">
        <f>IFERROR(VLOOKUP(Tabla1[[#This Row],[Material]],[16]Produccion!$M:$N,2,FALSE),0)</f>
        <v>413</v>
      </c>
      <c r="O13" s="7">
        <f>IFERROR(VLOOKUP(Tabla1[[#This Row],[Llave]],'[16]TD Conf-AP'!$I:$M,4,FALSE),0)</f>
        <v>0</v>
      </c>
      <c r="P13" s="14">
        <f>SUM(Tabla1[[#This Row],[Producción disponible]],Tabla1[[#This Row],[Stock al día]],(Tabla1[[#This Row],[Por producir mes N]]*0.9))-Tabla1[[#This Row],[Producción por despachar mes N]]</f>
        <v>44980.201999999983</v>
      </c>
      <c r="Q13" s="7">
        <f>IFERROR(VLOOKUP(Tabla1[[#This Row],[Llave]],[17]DELAY!$A:$D,4,FALSE),0)</f>
        <v>48000</v>
      </c>
      <c r="R13" s="9">
        <v>24000</v>
      </c>
      <c r="S13" s="5">
        <f t="shared" si="29"/>
        <v>24000</v>
      </c>
      <c r="T13" s="76">
        <v>0</v>
      </c>
      <c r="U13" s="5">
        <f>+Tabla1[[#This Row],[Atraso a facturar]]+Tabla1[[#This Row],[Ajuste atraso]]</f>
        <v>24000</v>
      </c>
      <c r="V13" s="3">
        <f>+Tabla1[[#This Row],[Total disponible]]-Tabla1[[#This Row],[Facturación atraso]]</f>
        <v>20980.201999999983</v>
      </c>
      <c r="W13" s="6">
        <f>IFERROR(IF(AND(V13&gt;R13,J13&gt;=R13),ROUNDDOWN((Tabla1[[#This Row],[Producción para venta nueva]])/R13,0)*R13,0),0)</f>
        <v>0</v>
      </c>
      <c r="X13" s="76">
        <v>0</v>
      </c>
      <c r="Y13" s="6">
        <f>IF(Tabla1[[#This Row],[Venta del mes]]&gt;0,Tabla1[[#This Row],[Venta del mes]]+Tabla1[[#This Row],[Ajuste venta nueva]],0)</f>
        <v>0</v>
      </c>
      <c r="Z13" s="6">
        <f>+Tabla1[[#This Row],[Producción para venta nueva]]-Tabla1[[#This Row],[Facturación Venta nueva]]</f>
        <v>20980.201999999983</v>
      </c>
      <c r="AA13" s="6">
        <f>IF(AND(A13=1,Tabla1[[#This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" s="6"/>
      <c r="AC13" s="6">
        <f>IF(Tabla1[[#This Row],[Disponible stock sin venta]]&gt;0,Tabla1[[#This Row],[Disponible stock sin venta]]+Tabla1[[#This Row],[Ajuste stock sin venta]],0)</f>
        <v>0</v>
      </c>
      <c r="AD13" s="3">
        <f>IFERROR(VLOOKUP(Tabla1[[#This Row],[Llave]],'[16]TD Puerto'!$A:$D,4,FALSE),0)</f>
        <v>0</v>
      </c>
      <c r="AE13" s="3">
        <v>24000</v>
      </c>
      <c r="AF13" s="3">
        <f>+Tabla1[[#This Row],[Atraso a facturar]]+Tabla1[[#This Row],[Venta del mes]]+Tabla1[[#This Row],[En puerto a facturar]]+Tabla1[[#This Row],[Disponible stock sin venta]]</f>
        <v>24000</v>
      </c>
      <c r="AG13" s="3">
        <f>+Tabla1[[#This Row],[En puerto a facturar]]</f>
        <v>0</v>
      </c>
      <c r="AH13" s="3">
        <f>+Tabla1[[#This Row],[Facturación atraso]]</f>
        <v>24000</v>
      </c>
      <c r="AI13" s="3">
        <f>+Tabla1[[#This Row],[Plan Irrestricto]]-Tabla1[[#This Row],[Puerto ]]-Tabla1[[#This Row],[Atraso]]</f>
        <v>0</v>
      </c>
      <c r="AJ13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13" s="3">
        <f>+Tabla1[[#This Row],[Facturación atraso]]</f>
        <v>24000</v>
      </c>
      <c r="AL13" s="3">
        <f>+Tabla1[[#This Row],[Plan Ajustado]]-Tabla1[[#This Row],[ Atraso ajustado]]-Tabla1[[#This Row],[Puerto ]]</f>
        <v>0</v>
      </c>
      <c r="AM13" s="3">
        <v>0</v>
      </c>
      <c r="AN13" s="3" t="str">
        <f>IF(Tabla1[[#This Row],[Plan Ajustado]]&gt;Tabla1[[#This Row],[En puerto a facturar]],"Si","No")</f>
        <v>Si</v>
      </c>
      <c r="AO13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13" s="3">
        <f>IF(Tabla1[[#This Row],[Necesidad]]&gt;=Tabla1[[#This Row],[Stock al día]],Tabla1[[#This Row],[Stock al día]],Tabla1[[#This Row],[Necesidad]])</f>
        <v>24000</v>
      </c>
      <c r="AQ13" s="3">
        <f>+Tabla1[[#This Row],[Necesidad]]-Tabla1[[#This Row],[Stock Plan]]</f>
        <v>0</v>
      </c>
      <c r="AR13" s="156">
        <f>IFERROR(VLOOKUP(Tabla1[[#This Row],[Oficina]],[22]Ponderación!$B$3:$G$9,6,FALSE),"")</f>
        <v>44757</v>
      </c>
      <c r="AS1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1.99</v>
      </c>
      <c r="AT13" s="83">
        <f>IFERROR(VLOOKUP(Tabla1[[#This Row],[Llave]],[17]DELAY!$H:$W,16,FALSE),0)</f>
        <v>1.7525208333333351</v>
      </c>
      <c r="AU1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1.7525208333333351</v>
      </c>
      <c r="AV13" s="5">
        <f>+Tabla1[[#This Row],[Plan Ajustado]]*Tabla1[[#This Row],[Precio ponderado]]</f>
        <v>42060.500000000044</v>
      </c>
      <c r="AW13" s="30">
        <f>IFERROR(VLOOKUP(Tabla1[[#This Row],[Llave]],'[13]Ultimos precios facturados'!$A:$G,7,FALSE),0)</f>
        <v>1.7744762868547115</v>
      </c>
      <c r="AX1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1.2372920215402148E-2</v>
      </c>
      <c r="AY13" s="30"/>
      <c r="AZ13" s="30">
        <f>IF(Tabla1[[#This Row],[Ajuste precio IC]]="",Tabla1[[#This Row],[Precio ponderado]],Tabla1[[#This Row],[Precio ponderado]])</f>
        <v>1.7525208333333351</v>
      </c>
      <c r="BA13" s="82"/>
      <c r="BB13" s="82" t="str">
        <f>IF(AND(Tabla1[[#This Row],[Atraso a facturar]]&gt;0,Tabla1[[#This Row],[Precio Atraso]]=0),"Revisar","OK")</f>
        <v>OK</v>
      </c>
      <c r="BC13" s="82" t="str">
        <f>IF(AND(Tabla1[[#This Row],[Venta del mes]]&gt;0,Tabla1[[#This Row],[Precio venta nueva]]=0),"Revisar","OK")</f>
        <v>OK</v>
      </c>
      <c r="BD13" s="20">
        <f>IFERROR(VLOOKUP(Tabla1[[#This Row],[Llave]],'[5]Consolidación planes'!$A:$M,9,FALSE),0)</f>
        <v>120000</v>
      </c>
      <c r="BE13" s="20">
        <f>IFERROR(VLOOKUP(Tabla1[[#This Row],[Llave]],'[5]Consolidación planes'!$A:$M,10,FALSE),0)</f>
        <v>156000</v>
      </c>
      <c r="BF13" s="20">
        <f>IFERROR(VLOOKUP(Tabla1[[#This Row],[Llave]],'[5]Consolidación planes'!$A:$M,11,FALSE),0)</f>
        <v>228000</v>
      </c>
      <c r="BG13" s="20">
        <f>IFERROR(VLOOKUP(Tabla1[[#This Row],[Llave]],'[5]Consolidación planes'!$A:$M,12,FALSE),0)</f>
        <v>192000</v>
      </c>
      <c r="BH13" s="20">
        <f>IFERROR(VLOOKUP(Tabla1[[#This Row],[Llave]],'[5]Consolidación planes'!$A:$M,13,FALSE),0)</f>
        <v>0</v>
      </c>
      <c r="BI13" s="20">
        <f>IFERROR(VLOOKUP(Tabla1[[#This Row],[Llave]],'[13]Base ultimos planes'!$A:$M,13,FALSE),0)</f>
        <v>24000</v>
      </c>
      <c r="BJ13" s="80">
        <f>IFERROR(VLOOKUP(Tabla1[[#This Row],[Llave]],'[13]Base ultimos planes'!$O:$AA,8,FALSE),0)</f>
        <v>243200</v>
      </c>
      <c r="BK13" s="20">
        <f>IFERROR(VLOOKUP(Tabla1[[#This Row],[Llave]],'[13]Base ultimos planes'!$O:$AA,9,FALSE),0)</f>
        <v>302179</v>
      </c>
      <c r="BL13" s="20">
        <f>IFERROR(VLOOKUP(Tabla1[[#This Row],[Llave]],'[13]Base ultimos planes'!$O:$AA,10,FALSE),0)</f>
        <v>424800</v>
      </c>
      <c r="BM13" s="20">
        <f>IFERROR(VLOOKUP(Tabla1[[#This Row],[Llave]],'[13]Base ultimos planes'!$O:$AA,11,FALSE),0)</f>
        <v>335760</v>
      </c>
      <c r="BN13" s="20">
        <f>IFERROR(VLOOKUP(Tabla1[[#This Row],[Llave]],'[13]Base ultimos planes'!$O:$AA,12,FALSE),0)</f>
        <v>0</v>
      </c>
      <c r="BO13" s="20">
        <f>IFERROR(VLOOKUP(Tabla1[[#This Row],[Llave]],'[13]Base ultimos planes'!$O:$AA,13,FALSE),0)</f>
        <v>42186</v>
      </c>
      <c r="BP13" s="20"/>
      <c r="BQ13" s="20">
        <f>+Tabla1[[#This Row],[ RV  Venta mes n+1]]*(1-Tabla1[[#This Row],[% Uti. producción]])</f>
        <v>39082.003431499288</v>
      </c>
      <c r="BR13" s="100"/>
    </row>
    <row r="14" spans="1:70" ht="16" x14ac:dyDescent="0.2">
      <c r="A14">
        <v>1</v>
      </c>
      <c r="B14" t="str">
        <f>Tabla1[[#This Row],[Oficina]]&amp;Tabla1[[#This Row],[Material]]</f>
        <v>Agro Sudamerica1020352</v>
      </c>
      <c r="C14" t="s">
        <v>6</v>
      </c>
      <c r="D14" t="s">
        <v>17</v>
      </c>
      <c r="E14">
        <v>1020352</v>
      </c>
      <c r="F14" t="s">
        <v>35</v>
      </c>
      <c r="G14" t="s">
        <v>8</v>
      </c>
      <c r="H14" t="s">
        <v>34</v>
      </c>
      <c r="I14" s="7">
        <f>IFERROR(VLOOKUP(Tabla1[[#This Row],[Llave]],'[7]RV Producción'!$C:$G,5,FALSE),0)</f>
        <v>14677</v>
      </c>
      <c r="J14" s="3">
        <f>IFERROR(IF(Tabla1[[#This Row],[Oficina]]=$I$7,VLOOKUP(Tabla1[[#This Row],[Llave]],'[7]Shangai (Tomas)'!$A:$F,6,FALSE),VLOOKUP(Tabla1[[#This Row],[Llave]],'[7]RV plan de ventas'!$A:$E,5,FALSE)),0)</f>
        <v>0</v>
      </c>
      <c r="K14" s="8">
        <f>IFERROR(VLOOKUP(Tabla1[[#This Row],[Oficina]],[15]Ponderación!$B$2:$E$9,4,FALSE),0)</f>
        <v>0.45719439678473212</v>
      </c>
      <c r="L14" s="7">
        <f>+Tabla1[[#This Row],[ RV Producción mes n+1]]*Tabla1[[#This Row],[% Uti. producción]]</f>
        <v>6710.2421616095135</v>
      </c>
      <c r="M14" s="7">
        <f>IFERROR(VLOOKUP(Tabla1[[#This Row],[Material]],'[17]TD Stock'!$E:$I,5,FALSE),0)</f>
        <v>48365.996000000021</v>
      </c>
      <c r="N14" s="7">
        <f>IFERROR(VLOOKUP(Tabla1[[#This Row],[Material]],[16]Produccion!$M:$N,2,FALSE),0)</f>
        <v>15285</v>
      </c>
      <c r="O14" s="7">
        <f>IFERROR(VLOOKUP(Tabla1[[#This Row],[Llave]],'[16]TD Conf-AP'!$I:$M,4,FALSE),0)</f>
        <v>0</v>
      </c>
      <c r="P14" s="14">
        <f>SUM(Tabla1[[#This Row],[Producción disponible]],Tabla1[[#This Row],[Stock al día]],(Tabla1[[#This Row],[Por producir mes N]]*0.9))-Tabla1[[#This Row],[Producción por despachar mes N]]</f>
        <v>68832.738161609537</v>
      </c>
      <c r="Q14" s="7">
        <f>IFERROR(VLOOKUP(Tabla1[[#This Row],[Llave]],[17]DELAY!$A:$D,4,FALSE),0)</f>
        <v>48000</v>
      </c>
      <c r="R14" s="9">
        <v>24000</v>
      </c>
      <c r="S14" s="5">
        <f t="shared" si="29"/>
        <v>48000</v>
      </c>
      <c r="T14" s="76">
        <v>0</v>
      </c>
      <c r="U14" s="5">
        <f>+Tabla1[[#This Row],[Atraso a facturar]]+Tabla1[[#This Row],[Ajuste atraso]]</f>
        <v>48000</v>
      </c>
      <c r="V14" s="3">
        <f>+Tabla1[[#This Row],[Total disponible]]-Tabla1[[#This Row],[Facturación atraso]]</f>
        <v>20832.738161609537</v>
      </c>
      <c r="W14" s="6">
        <f>IFERROR(IF(AND(V14&gt;R14,J14&gt;=R14),ROUNDDOWN((Tabla1[[#This Row],[Producción para venta nueva]])/R14,0)*R14,0),0)</f>
        <v>0</v>
      </c>
      <c r="X14" s="76">
        <v>0</v>
      </c>
      <c r="Y14" s="6">
        <f>IF(Tabla1[[#This Row],[Venta del mes]]&gt;0,Tabla1[[#This Row],[Venta del mes]]+Tabla1[[#This Row],[Ajuste venta nueva]],0)</f>
        <v>0</v>
      </c>
      <c r="Z14" s="6">
        <f>+Tabla1[[#This Row],[Producción para venta nueva]]-Tabla1[[#This Row],[Facturación Venta nueva]]</f>
        <v>20832.738161609537</v>
      </c>
      <c r="AA14" s="6">
        <f>IF(AND(A14=1,Tabla1[[#This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" s="6"/>
      <c r="AC14" s="6">
        <f>IF(Tabla1[[#This Row],[Disponible stock sin venta]]&gt;0,Tabla1[[#This Row],[Disponible stock sin venta]]+Tabla1[[#This Row],[Ajuste stock sin venta]],0)</f>
        <v>0</v>
      </c>
      <c r="AD14" s="3">
        <f>IFERROR(VLOOKUP(Tabla1[[#This Row],[Llave]],'[16]TD Puerto'!$A:$D,4,FALSE),0)</f>
        <v>47966.82</v>
      </c>
      <c r="AE14" s="3">
        <v>95966.82</v>
      </c>
      <c r="AF14" s="3">
        <f>+Tabla1[[#This Row],[Atraso a facturar]]+Tabla1[[#This Row],[Venta del mes]]+Tabla1[[#This Row],[En puerto a facturar]]+Tabla1[[#This Row],[Disponible stock sin venta]]</f>
        <v>95966.82</v>
      </c>
      <c r="AG14" s="3">
        <f>+Tabla1[[#This Row],[En puerto a facturar]]</f>
        <v>47966.82</v>
      </c>
      <c r="AH14" s="3">
        <f>+Tabla1[[#This Row],[Facturación atraso]]</f>
        <v>48000</v>
      </c>
      <c r="AI14" s="3">
        <f>+Tabla1[[#This Row],[Plan Irrestricto]]-Tabla1[[#This Row],[Puerto ]]-Tabla1[[#This Row],[Atraso]]</f>
        <v>0</v>
      </c>
      <c r="AJ14" s="3">
        <f>IF(Tabla1[[#This Row],[Plan Irrestricto]]&gt;0,SUM(Tabla1[[#This Row],[Facturación atraso]],Tabla1[[#This Row],[Facturación Venta nueva]],Tabla1[[#This Row],[Facturación stock]],Tabla1[[#This Row],[En puerto a facturar]]),0)</f>
        <v>95966.82</v>
      </c>
      <c r="AK14" s="3">
        <f>+Tabla1[[#This Row],[Facturación atraso]]</f>
        <v>48000</v>
      </c>
      <c r="AL14" s="3">
        <f>+Tabla1[[#This Row],[Plan Ajustado]]-Tabla1[[#This Row],[ Atraso ajustado]]-Tabla1[[#This Row],[Puerto ]]</f>
        <v>0</v>
      </c>
      <c r="AM14" s="3">
        <v>0</v>
      </c>
      <c r="AN14" s="3" t="str">
        <f>IF(Tabla1[[#This Row],[Plan Ajustado]]&gt;Tabla1[[#This Row],[En puerto a facturar]],"Si","No")</f>
        <v>Si</v>
      </c>
      <c r="AO14" s="3">
        <f>IF(AND(Tabla1[[#This Row],[Plan Ajustado]]&gt;0,Tabla1[[#This Row],[Plan Ajustado]]&gt;Tabla1[[#This Row],[En puerto a facturar]]),(Tabla1[[#This Row],[Plan Ajustado]]-Tabla1[[#This Row],[En puerto a facturar]]),0)</f>
        <v>48000.000000000007</v>
      </c>
      <c r="AP14" s="3">
        <f>IF(Tabla1[[#This Row],[Necesidad]]&gt;=Tabla1[[#This Row],[Stock al día]],Tabla1[[#This Row],[Stock al día]],Tabla1[[#This Row],[Necesidad]])</f>
        <v>48000.000000000007</v>
      </c>
      <c r="AQ14" s="3">
        <f>+Tabla1[[#This Row],[Necesidad]]-Tabla1[[#This Row],[Stock Plan]]</f>
        <v>0</v>
      </c>
      <c r="AR14" s="156">
        <f>IFERROR(VLOOKUP(Tabla1[[#This Row],[Oficina]],[22]Ponderación!$B$3:$G$9,6,FALSE),"")</f>
        <v>44757</v>
      </c>
      <c r="AS1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1.2933397315970714</v>
      </c>
      <c r="AT14" s="83">
        <f>IFERROR(VLOOKUP(Tabla1[[#This Row],[Llave]],[17]DELAY!$H:$W,16,FALSE),0)</f>
        <v>1.3508854166666651</v>
      </c>
      <c r="AU1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1.3508854166666648</v>
      </c>
      <c r="AV14" s="5">
        <f>+Tabla1[[#This Row],[Plan Ajustado]]*Tabla1[[#This Row],[Precio ponderado]]</f>
        <v>129640.17762187483</v>
      </c>
      <c r="AW14" s="30">
        <f>IFERROR(VLOOKUP(Tabla1[[#This Row],[Llave]],'[13]Ultimos precios facturados'!$A:$G,7,FALSE),0)</f>
        <v>1.2933397315970714</v>
      </c>
      <c r="AX1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4.4493866277914136E-2</v>
      </c>
      <c r="AY14" s="30"/>
      <c r="AZ14" s="30">
        <f>IF(Tabla1[[#This Row],[Ajuste precio IC]]="",Tabla1[[#This Row],[Precio ponderado]],Tabla1[[#This Row],[Precio ponderado]])</f>
        <v>1.3508854166666648</v>
      </c>
      <c r="BA14" s="82"/>
      <c r="BB14" s="82" t="str">
        <f>IF(AND(Tabla1[[#This Row],[Atraso a facturar]]&gt;0,Tabla1[[#This Row],[Precio Atraso]]=0),"Revisar","OK")</f>
        <v>OK</v>
      </c>
      <c r="BC14" s="82" t="str">
        <f>IF(AND(Tabla1[[#This Row],[Venta del mes]]&gt;0,Tabla1[[#This Row],[Precio venta nueva]]=0),"Revisar","OK")</f>
        <v>OK</v>
      </c>
      <c r="BD14" s="20">
        <f>IFERROR(VLOOKUP(Tabla1[[#This Row],[Llave]],'[5]Consolidación planes'!$A:$M,9,FALSE),0)</f>
        <v>35000</v>
      </c>
      <c r="BE14" s="20">
        <f>IFERROR(VLOOKUP(Tabla1[[#This Row],[Llave]],'[5]Consolidación planes'!$A:$M,10,FALSE),0)</f>
        <v>0</v>
      </c>
      <c r="BF14" s="20">
        <f>IFERROR(VLOOKUP(Tabla1[[#This Row],[Llave]],'[5]Consolidación planes'!$A:$M,11,FALSE),0)</f>
        <v>48000</v>
      </c>
      <c r="BG14" s="20">
        <f>IFERROR(VLOOKUP(Tabla1[[#This Row],[Llave]],'[5]Consolidación planes'!$A:$M,12,FALSE),0)</f>
        <v>48000</v>
      </c>
      <c r="BH14" s="20">
        <f>IFERROR(VLOOKUP(Tabla1[[#This Row],[Llave]],'[5]Consolidación planes'!$A:$M,13,FALSE),0)</f>
        <v>24000</v>
      </c>
      <c r="BI14" s="20">
        <f>IFERROR(VLOOKUP(Tabla1[[#This Row],[Llave]],'[13]Base ultimos planes'!$A:$M,13,FALSE),0)</f>
        <v>48000</v>
      </c>
      <c r="BJ14" s="80">
        <f>IFERROR(VLOOKUP(Tabla1[[#This Row],[Llave]],'[13]Base ultimos planes'!$O:$AA,8,FALSE),0)</f>
        <v>47250</v>
      </c>
      <c r="BK14" s="20">
        <f>IFERROR(VLOOKUP(Tabla1[[#This Row],[Llave]],'[13]Base ultimos planes'!$O:$AA,9,FALSE),0)</f>
        <v>0</v>
      </c>
      <c r="BL14" s="20">
        <f>IFERROR(VLOOKUP(Tabla1[[#This Row],[Llave]],'[13]Base ultimos planes'!$O:$AA,10,FALSE),0)</f>
        <v>57310</v>
      </c>
      <c r="BM14" s="20">
        <f>IFERROR(VLOOKUP(Tabla1[[#This Row],[Llave]],'[13]Base ultimos planes'!$O:$AA,11,FALSE),0)</f>
        <v>50880</v>
      </c>
      <c r="BN14" s="20">
        <f>IFERROR(VLOOKUP(Tabla1[[#This Row],[Llave]],'[13]Base ultimos planes'!$O:$AA,12,FALSE),0)</f>
        <v>30240</v>
      </c>
      <c r="BO14" s="20">
        <f>IFERROR(VLOOKUP(Tabla1[[#This Row],[Llave]],'[13]Base ultimos planes'!$O:$AA,13,FALSE),0)</f>
        <v>60230</v>
      </c>
      <c r="BP14" s="20"/>
      <c r="BQ14" s="20">
        <f>+Tabla1[[#This Row],[ RV  Venta mes n+1]]*(1-Tabla1[[#This Row],[% Uti. producción]])</f>
        <v>0</v>
      </c>
      <c r="BR14" s="100"/>
    </row>
    <row r="15" spans="1:70" ht="16" x14ac:dyDescent="0.2">
      <c r="A15">
        <v>1</v>
      </c>
      <c r="B15" t="str">
        <f>Tabla1[[#This Row],[Oficina]]&amp;Tabla1[[#This Row],[Material]]</f>
        <v>Agro Sudamerica1020367</v>
      </c>
      <c r="C15" t="s">
        <v>6</v>
      </c>
      <c r="D15" t="s">
        <v>17</v>
      </c>
      <c r="E15">
        <v>1020367</v>
      </c>
      <c r="F15" t="s">
        <v>42</v>
      </c>
      <c r="G15" t="s">
        <v>11</v>
      </c>
      <c r="H15" t="s">
        <v>41</v>
      </c>
      <c r="I15" s="7">
        <f>IFERROR(VLOOKUP(Tabla1[[#This Row],[Llave]],'[7]RV Producción'!$C:$G,5,FALSE),0)</f>
        <v>138208</v>
      </c>
      <c r="J15" s="3">
        <f>IFERROR(IF(Tabla1[[#This Row],[Oficina]]=$I$7,VLOOKUP(Tabla1[[#This Row],[Llave]],'[7]Shangai (Tomas)'!$A:$F,6,FALSE),VLOOKUP(Tabla1[[#This Row],[Llave]],'[7]RV plan de ventas'!$A:$E,5,FALSE)),0)</f>
        <v>144000</v>
      </c>
      <c r="K15" s="8">
        <f>IFERROR(VLOOKUP(Tabla1[[#This Row],[Oficina]],[15]Ponderación!$B$2:$E$9,4,FALSE),0)</f>
        <v>0.45719439678473212</v>
      </c>
      <c r="L15" s="7">
        <f>+Tabla1[[#This Row],[ RV Producción mes n+1]]*Tabla1[[#This Row],[% Uti. producción]]</f>
        <v>63187.923190824258</v>
      </c>
      <c r="M15" s="7">
        <f>IFERROR(VLOOKUP(Tabla1[[#This Row],[Material]],'[17]TD Stock'!$E:$I,5,FALSE),0)</f>
        <v>85697.507000000041</v>
      </c>
      <c r="N15" s="7">
        <f>IFERROR(VLOOKUP(Tabla1[[#This Row],[Material]],[16]Produccion!$M:$N,2,FALSE),0)</f>
        <v>30806</v>
      </c>
      <c r="O15" s="7">
        <f>IFERROR(VLOOKUP(Tabla1[[#This Row],[Llave]],'[16]TD Conf-AP'!$I:$M,4,FALSE),0)</f>
        <v>0</v>
      </c>
      <c r="P15" s="14">
        <f>SUM(Tabla1[[#This Row],[Producción disponible]],Tabla1[[#This Row],[Stock al día]],(Tabla1[[#This Row],[Por producir mes N]]*0.9))-Tabla1[[#This Row],[Producción por despachar mes N]]</f>
        <v>176610.83019082429</v>
      </c>
      <c r="Q15" s="7">
        <f>IFERROR(VLOOKUP(Tabla1[[#This Row],[Llave]],[17]DELAY!$A:$D,4,FALSE),0)</f>
        <v>94000</v>
      </c>
      <c r="R15" s="9">
        <v>24000</v>
      </c>
      <c r="S15" s="5">
        <f t="shared" si="29"/>
        <v>94000</v>
      </c>
      <c r="T15" s="76">
        <v>0</v>
      </c>
      <c r="U15" s="5">
        <f>+Tabla1[[#This Row],[Atraso a facturar]]+Tabla1[[#This Row],[Ajuste atraso]]</f>
        <v>94000</v>
      </c>
      <c r="V15" s="3">
        <f>+Tabla1[[#This Row],[Total disponible]]-Tabla1[[#This Row],[Facturación atraso]]</f>
        <v>82610.830190824287</v>
      </c>
      <c r="W15" s="6">
        <f>IFERROR(IF(AND(V15&gt;R15,J15&gt;=R15),ROUNDDOWN((Tabla1[[#This Row],[Producción para venta nueva]])/R15,0)*R15,0),0)</f>
        <v>72000</v>
      </c>
      <c r="X15" s="76">
        <v>0</v>
      </c>
      <c r="Y15" s="6">
        <f>IF(Tabla1[[#This Row],[Venta del mes]]&gt;0,Tabla1[[#This Row],[Venta del mes]]+Tabla1[[#This Row],[Ajuste venta nueva]],0)</f>
        <v>72000</v>
      </c>
      <c r="Z15" s="6">
        <f>+Tabla1[[#This Row],[Producción para venta nueva]]-Tabla1[[#This Row],[Facturación Venta nueva]]</f>
        <v>10610.830190824287</v>
      </c>
      <c r="AA15" s="6">
        <f>IF(AND(A15=1,Tabla1[[#This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" s="6"/>
      <c r="AC15" s="6">
        <f>IF(Tabla1[[#This Row],[Disponible stock sin venta]]&gt;0,Tabla1[[#This Row],[Disponible stock sin venta]]+Tabla1[[#This Row],[Ajuste stock sin venta]],0)</f>
        <v>0</v>
      </c>
      <c r="AD15" s="3">
        <f>IFERROR(VLOOKUP(Tabla1[[#This Row],[Llave]],'[16]TD Puerto'!$A:$D,4,FALSE),0)</f>
        <v>0</v>
      </c>
      <c r="AE15" s="3">
        <v>166000</v>
      </c>
      <c r="AF15" s="3">
        <f>+Tabla1[[#This Row],[Atraso a facturar]]+Tabla1[[#This Row],[Venta del mes]]+Tabla1[[#This Row],[En puerto a facturar]]+Tabla1[[#This Row],[Disponible stock sin venta]]</f>
        <v>166000</v>
      </c>
      <c r="AG15" s="3">
        <f>+Tabla1[[#This Row],[En puerto a facturar]]</f>
        <v>0</v>
      </c>
      <c r="AH15" s="3">
        <f>+Tabla1[[#This Row],[Facturación atraso]]</f>
        <v>94000</v>
      </c>
      <c r="AI15" s="3">
        <f>+Tabla1[[#This Row],[Plan Irrestricto]]-Tabla1[[#This Row],[Puerto ]]-Tabla1[[#This Row],[Atraso]]</f>
        <v>72000</v>
      </c>
      <c r="AJ15" s="3">
        <f>IF(Tabla1[[#This Row],[Plan Irrestricto]]&gt;0,SUM(Tabla1[[#This Row],[Facturación atraso]],Tabla1[[#This Row],[Facturación Venta nueva]],Tabla1[[#This Row],[Facturación stock]],Tabla1[[#This Row],[En puerto a facturar]]),0)</f>
        <v>166000</v>
      </c>
      <c r="AK15" s="3">
        <f>+Tabla1[[#This Row],[Facturación atraso]]</f>
        <v>94000</v>
      </c>
      <c r="AL15" s="3">
        <f>+Tabla1[[#This Row],[Plan Ajustado]]-Tabla1[[#This Row],[ Atraso ajustado]]-Tabla1[[#This Row],[Puerto ]]</f>
        <v>72000</v>
      </c>
      <c r="AM15" s="3">
        <v>0</v>
      </c>
      <c r="AN15" s="3" t="str">
        <f>IF(Tabla1[[#This Row],[Plan Ajustado]]&gt;Tabla1[[#This Row],[En puerto a facturar]],"Si","No")</f>
        <v>Si</v>
      </c>
      <c r="AO15" s="3">
        <f>IF(AND(Tabla1[[#This Row],[Plan Ajustado]]&gt;0,Tabla1[[#This Row],[Plan Ajustado]]&gt;Tabla1[[#This Row],[En puerto a facturar]]),(Tabla1[[#This Row],[Plan Ajustado]]-Tabla1[[#This Row],[En puerto a facturar]]),0)</f>
        <v>166000</v>
      </c>
      <c r="AP15" s="3">
        <f>IF(Tabla1[[#This Row],[Necesidad]]&gt;=Tabla1[[#This Row],[Stock al día]],Tabla1[[#This Row],[Stock al día]],Tabla1[[#This Row],[Necesidad]])</f>
        <v>85697.507000000041</v>
      </c>
      <c r="AQ15" s="3">
        <f>+Tabla1[[#This Row],[Necesidad]]-Tabla1[[#This Row],[Stock Plan]]</f>
        <v>80302.492999999959</v>
      </c>
      <c r="AR15" s="156">
        <f>IFERROR(VLOOKUP(Tabla1[[#This Row],[Oficina]],[22]Ponderación!$B$3:$G$9,6,FALSE),"")</f>
        <v>44757</v>
      </c>
      <c r="AS1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1.18667361111111</v>
      </c>
      <c r="AT15" s="83">
        <f>IFERROR(VLOOKUP(Tabla1[[#This Row],[Llave]],[17]DELAY!$H:$W,16,FALSE),0)</f>
        <v>1.2115495218290797</v>
      </c>
      <c r="AU1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1.2007599701923701</v>
      </c>
      <c r="AV15" s="5">
        <f>+Tabla1[[#This Row],[Plan Ajustado]]*Tabla1[[#This Row],[Precio ponderado]]</f>
        <v>199326.15505193346</v>
      </c>
      <c r="AW15" s="30">
        <f>IFERROR(VLOOKUP(Tabla1[[#This Row],[Llave]],'[13]Ultimos precios facturados'!$A:$G,7,FALSE),0)</f>
        <v>1.2121438720873106</v>
      </c>
      <c r="AX1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9.3915434933786873E-3</v>
      </c>
      <c r="AY15" s="30"/>
      <c r="AZ15" s="30">
        <f>IF(Tabla1[[#This Row],[Ajuste precio IC]]="",Tabla1[[#This Row],[Precio ponderado]],Tabla1[[#This Row],[Precio ponderado]])</f>
        <v>1.2007599701923701</v>
      </c>
      <c r="BA15" s="82"/>
      <c r="BB15" s="82" t="str">
        <f>IF(AND(Tabla1[[#This Row],[Atraso a facturar]]&gt;0,Tabla1[[#This Row],[Precio Atraso]]=0),"Revisar","OK")</f>
        <v>OK</v>
      </c>
      <c r="BC15" s="82" t="str">
        <f>IF(AND(Tabla1[[#This Row],[Venta del mes]]&gt;0,Tabla1[[#This Row],[Precio venta nueva]]=0),"Revisar","OK")</f>
        <v>OK</v>
      </c>
      <c r="BD15" s="20">
        <f>IFERROR(VLOOKUP(Tabla1[[#This Row],[Llave]],'[5]Consolidación planes'!$A:$M,9,FALSE),0)</f>
        <v>48000</v>
      </c>
      <c r="BE15" s="20">
        <f>IFERROR(VLOOKUP(Tabla1[[#This Row],[Llave]],'[5]Consolidación planes'!$A:$M,10,FALSE),0)</f>
        <v>72000</v>
      </c>
      <c r="BF15" s="20">
        <f>IFERROR(VLOOKUP(Tabla1[[#This Row],[Llave]],'[5]Consolidación planes'!$A:$M,11,FALSE),0)</f>
        <v>24000</v>
      </c>
      <c r="BG15" s="20">
        <f>IFERROR(VLOOKUP(Tabla1[[#This Row],[Llave]],'[5]Consolidación planes'!$A:$M,12,FALSE),0)</f>
        <v>48100</v>
      </c>
      <c r="BH15" s="20">
        <f>IFERROR(VLOOKUP(Tabla1[[#This Row],[Llave]],'[5]Consolidación planes'!$A:$M,13,FALSE),0)</f>
        <v>72000</v>
      </c>
      <c r="BI15" s="20">
        <f>IFERROR(VLOOKUP(Tabla1[[#This Row],[Llave]],'[13]Base ultimos planes'!$A:$M,13,FALSE),0)</f>
        <v>145000</v>
      </c>
      <c r="BJ15" s="80">
        <f>IFERROR(VLOOKUP(Tabla1[[#This Row],[Llave]],'[13]Base ultimos planes'!$O:$AA,8,FALSE),0)</f>
        <v>64800</v>
      </c>
      <c r="BK15" s="20">
        <f>IFERROR(VLOOKUP(Tabla1[[#This Row],[Llave]],'[13]Base ultimos planes'!$O:$AA,9,FALSE),0)</f>
        <v>89200</v>
      </c>
      <c r="BL15" s="20">
        <f>IFERROR(VLOOKUP(Tabla1[[#This Row],[Llave]],'[13]Base ultimos planes'!$O:$AA,10,FALSE),0)</f>
        <v>26400</v>
      </c>
      <c r="BM15" s="20">
        <f>IFERROR(VLOOKUP(Tabla1[[#This Row],[Llave]],'[13]Base ultimos planes'!$O:$AA,11,FALSE),0)</f>
        <v>53143</v>
      </c>
      <c r="BN15" s="20">
        <f>IFERROR(VLOOKUP(Tabla1[[#This Row],[Llave]],'[13]Base ultimos planes'!$O:$AA,12,FALSE),0)</f>
        <v>74627</v>
      </c>
      <c r="BO15" s="20">
        <f>IFERROR(VLOOKUP(Tabla1[[#This Row],[Llave]],'[13]Base ultimos planes'!$O:$AA,13,FALSE),0)</f>
        <v>166475</v>
      </c>
      <c r="BP15" s="20"/>
      <c r="BQ15" s="20">
        <f>+Tabla1[[#This Row],[ RV  Venta mes n+1]]*(1-Tabla1[[#This Row],[% Uti. producción]])</f>
        <v>78164.006862998576</v>
      </c>
      <c r="BR15" s="100"/>
    </row>
    <row r="16" spans="1:70" ht="16" x14ac:dyDescent="0.2">
      <c r="A16">
        <v>1</v>
      </c>
      <c r="B16" t="str">
        <f>Tabla1[[#This Row],[Oficina]]&amp;Tabla1[[#This Row],[Material]]</f>
        <v>Agro Sudamerica1020412</v>
      </c>
      <c r="C16" t="s">
        <v>6</v>
      </c>
      <c r="D16" t="s">
        <v>17</v>
      </c>
      <c r="E16">
        <v>1020412</v>
      </c>
      <c r="F16" t="s">
        <v>73</v>
      </c>
      <c r="G16" t="s">
        <v>71</v>
      </c>
      <c r="H16" t="s">
        <v>72</v>
      </c>
      <c r="I16" s="7">
        <f>IFERROR(VLOOKUP(Tabla1[[#This Row],[Llave]],'[7]RV Producción'!$C:$G,5,FALSE),0)</f>
        <v>73218</v>
      </c>
      <c r="J16" s="3">
        <f>IFERROR(IF(Tabla1[[#This Row],[Oficina]]=$I$7,VLOOKUP(Tabla1[[#This Row],[Llave]],'[7]Shangai (Tomas)'!$A:$F,6,FALSE),VLOOKUP(Tabla1[[#This Row],[Llave]],'[7]RV plan de ventas'!$A:$E,5,FALSE)),0)</f>
        <v>117630</v>
      </c>
      <c r="K16" s="8">
        <f>IFERROR(VLOOKUP(Tabla1[[#This Row],[Oficina]],[15]Ponderación!$B$2:$E$9,4,FALSE),0)</f>
        <v>0.45719439678473212</v>
      </c>
      <c r="L16" s="7">
        <f>+Tabla1[[#This Row],[ RV Producción mes n+1]]*Tabla1[[#This Row],[% Uti. producción]]</f>
        <v>33474.859343784519</v>
      </c>
      <c r="M16" s="7">
        <f>IFERROR(VLOOKUP(Tabla1[[#This Row],[Material]],'[17]TD Stock'!$E:$I,5,FALSE),0)</f>
        <v>20968.184000000008</v>
      </c>
      <c r="N16" s="7">
        <f>IFERROR(VLOOKUP(Tabla1[[#This Row],[Material]],[16]Produccion!$M:$N,2,FALSE),0)</f>
        <v>4593</v>
      </c>
      <c r="O16" s="7">
        <f>IFERROR(VLOOKUP(Tabla1[[#This Row],[Llave]],'[16]TD Conf-AP'!$I:$M,4,FALSE),0)</f>
        <v>0</v>
      </c>
      <c r="P16" s="14">
        <f>SUM(Tabla1[[#This Row],[Producción disponible]],Tabla1[[#This Row],[Stock al día]],(Tabla1[[#This Row],[Por producir mes N]]*0.9))-Tabla1[[#This Row],[Producción por despachar mes N]]</f>
        <v>58576.743343784525</v>
      </c>
      <c r="Q16" s="7">
        <f>IFERROR(VLOOKUP(Tabla1[[#This Row],[Llave]],[17]DELAY!$A:$D,4,FALSE),0)</f>
        <v>48000</v>
      </c>
      <c r="R16" s="9">
        <v>24000</v>
      </c>
      <c r="S16" s="5">
        <f t="shared" si="29"/>
        <v>48000</v>
      </c>
      <c r="T16" s="76">
        <v>0</v>
      </c>
      <c r="U16" s="5">
        <f>+Tabla1[[#This Row],[Atraso a facturar]]+Tabla1[[#This Row],[Ajuste atraso]]</f>
        <v>48000</v>
      </c>
      <c r="V16" s="3">
        <f>+Tabla1[[#This Row],[Total disponible]]-Tabla1[[#This Row],[Facturación atraso]]</f>
        <v>10576.743343784525</v>
      </c>
      <c r="W16" s="6">
        <f>IFERROR(IF(AND(V16&gt;R16,J16&gt;=R16),ROUNDDOWN((Tabla1[[#This Row],[Producción para venta nueva]])/R16,0)*R16,0),0)</f>
        <v>0</v>
      </c>
      <c r="X16" s="76">
        <v>0</v>
      </c>
      <c r="Y16" s="6">
        <f>IF(Tabla1[[#This Row],[Venta del mes]]&gt;0,Tabla1[[#This Row],[Venta del mes]]+Tabla1[[#This Row],[Ajuste venta nueva]],0)</f>
        <v>0</v>
      </c>
      <c r="Z16" s="6">
        <f>+Tabla1[[#This Row],[Producción para venta nueva]]-Tabla1[[#This Row],[Facturación Venta nueva]]</f>
        <v>10576.743343784525</v>
      </c>
      <c r="AA16" s="6">
        <f>IF(AND(A16=1,Tabla1[[#This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" s="6"/>
      <c r="AC16" s="6">
        <f>IF(Tabla1[[#This Row],[Disponible stock sin venta]]&gt;0,Tabla1[[#This Row],[Disponible stock sin venta]]+Tabla1[[#This Row],[Ajuste stock sin venta]],0)</f>
        <v>0</v>
      </c>
      <c r="AD16" s="3">
        <f>IFERROR(VLOOKUP(Tabla1[[#This Row],[Llave]],'[16]TD Puerto'!$A:$D,4,FALSE),0)</f>
        <v>0</v>
      </c>
      <c r="AE16" s="3">
        <v>48000</v>
      </c>
      <c r="AF16" s="3">
        <f>+Tabla1[[#This Row],[Atraso a facturar]]+Tabla1[[#This Row],[Venta del mes]]+Tabla1[[#This Row],[En puerto a facturar]]+Tabla1[[#This Row],[Disponible stock sin venta]]</f>
        <v>48000</v>
      </c>
      <c r="AG16" s="3">
        <f>+Tabla1[[#This Row],[En puerto a facturar]]</f>
        <v>0</v>
      </c>
      <c r="AH16" s="3">
        <f>+Tabla1[[#This Row],[Facturación atraso]]</f>
        <v>48000</v>
      </c>
      <c r="AI16" s="3">
        <f>+Tabla1[[#This Row],[Plan Irrestricto]]-Tabla1[[#This Row],[Puerto ]]-Tabla1[[#This Row],[Atraso]]</f>
        <v>0</v>
      </c>
      <c r="AJ16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16" s="3">
        <f>+Tabla1[[#This Row],[Facturación atraso]]</f>
        <v>48000</v>
      </c>
      <c r="AL16" s="3">
        <f>+Tabla1[[#This Row],[Plan Ajustado]]-Tabla1[[#This Row],[ Atraso ajustado]]-Tabla1[[#This Row],[Puerto ]]</f>
        <v>0</v>
      </c>
      <c r="AM16" s="3">
        <v>0</v>
      </c>
      <c r="AN16" s="3" t="str">
        <f>IF(Tabla1[[#This Row],[Plan Ajustado]]&gt;Tabla1[[#This Row],[En puerto a facturar]],"Si","No")</f>
        <v>Si</v>
      </c>
      <c r="AO16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16" s="3">
        <f>IF(Tabla1[[#This Row],[Necesidad]]&gt;=Tabla1[[#This Row],[Stock al día]],Tabla1[[#This Row],[Stock al día]],Tabla1[[#This Row],[Necesidad]])</f>
        <v>20968.184000000008</v>
      </c>
      <c r="AQ16" s="3">
        <f>+Tabla1[[#This Row],[Necesidad]]-Tabla1[[#This Row],[Stock Plan]]</f>
        <v>27031.815999999992</v>
      </c>
      <c r="AR16" s="156">
        <f>IFERROR(VLOOKUP(Tabla1[[#This Row],[Oficina]],[22]Ponderación!$B$3:$G$9,6,FALSE),"")</f>
        <v>44757</v>
      </c>
      <c r="AS1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1.84787894244666</v>
      </c>
      <c r="AT16" s="83">
        <f>IFERROR(VLOOKUP(Tabla1[[#This Row],[Llave]],[17]DELAY!$H:$W,16,FALSE),0)</f>
        <v>1.8865238253205152</v>
      </c>
      <c r="AU1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1.8865238253205152</v>
      </c>
      <c r="AV16" s="5">
        <f>+Tabla1[[#This Row],[Plan Ajustado]]*Tabla1[[#This Row],[Precio ponderado]]</f>
        <v>90553.143615384732</v>
      </c>
      <c r="AW16" s="30">
        <f>IFERROR(VLOOKUP(Tabla1[[#This Row],[Llave]],'[13]Ultimos precios facturados'!$A:$G,7,FALSE),0)</f>
        <v>1.7801020566349952</v>
      </c>
      <c r="AX1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5.978408276584643E-2</v>
      </c>
      <c r="AY16" s="30"/>
      <c r="AZ16" s="30">
        <f>IF(Tabla1[[#This Row],[Ajuste precio IC]]="",Tabla1[[#This Row],[Precio ponderado]],Tabla1[[#This Row],[Precio ponderado]])</f>
        <v>1.8865238253205152</v>
      </c>
      <c r="BA16" s="82"/>
      <c r="BB16" s="82" t="str">
        <f>IF(AND(Tabla1[[#This Row],[Atraso a facturar]]&gt;0,Tabla1[[#This Row],[Precio Atraso]]=0),"Revisar","OK")</f>
        <v>OK</v>
      </c>
      <c r="BC16" s="82" t="str">
        <f>IF(AND(Tabla1[[#This Row],[Venta del mes]]&gt;0,Tabla1[[#This Row],[Precio venta nueva]]=0),"Revisar","OK")</f>
        <v>OK</v>
      </c>
      <c r="BD16" s="20">
        <f>IFERROR(VLOOKUP(Tabla1[[#This Row],[Llave]],'[5]Consolidación planes'!$A:$M,9,FALSE),0)</f>
        <v>48000</v>
      </c>
      <c r="BE16" s="20">
        <f>IFERROR(VLOOKUP(Tabla1[[#This Row],[Llave]],'[5]Consolidación planes'!$A:$M,10,FALSE),0)</f>
        <v>73000</v>
      </c>
      <c r="BF16" s="20">
        <f>IFERROR(VLOOKUP(Tabla1[[#This Row],[Llave]],'[5]Consolidación planes'!$A:$M,11,FALSE),0)</f>
        <v>96000</v>
      </c>
      <c r="BG16" s="20">
        <f>IFERROR(VLOOKUP(Tabla1[[#This Row],[Llave]],'[5]Consolidación planes'!$A:$M,12,FALSE),0)</f>
        <v>72000</v>
      </c>
      <c r="BH16" s="20">
        <f>IFERROR(VLOOKUP(Tabla1[[#This Row],[Llave]],'[5]Consolidación planes'!$A:$M,13,FALSE),0)</f>
        <v>72000</v>
      </c>
      <c r="BI16" s="20">
        <f>IFERROR(VLOOKUP(Tabla1[[#This Row],[Llave]],'[13]Base ultimos planes'!$A:$M,13,FALSE),0)</f>
        <v>116000</v>
      </c>
      <c r="BJ16" s="80">
        <f>IFERROR(VLOOKUP(Tabla1[[#This Row],[Llave]],'[13]Base ultimos planes'!$O:$AA,8,FALSE),0)</f>
        <v>67200</v>
      </c>
      <c r="BK16" s="20">
        <f>IFERROR(VLOOKUP(Tabla1[[#This Row],[Llave]],'[13]Base ultimos planes'!$O:$AA,9,FALSE),0)</f>
        <v>115910</v>
      </c>
      <c r="BL16" s="20">
        <f>IFERROR(VLOOKUP(Tabla1[[#This Row],[Llave]],'[13]Base ultimos planes'!$O:$AA,10,FALSE),0)</f>
        <v>139150</v>
      </c>
      <c r="BM16" s="20">
        <f>IFERROR(VLOOKUP(Tabla1[[#This Row],[Llave]],'[13]Base ultimos planes'!$O:$AA,11,FALSE),0)</f>
        <v>115909</v>
      </c>
      <c r="BN16" s="20">
        <f>IFERROR(VLOOKUP(Tabla1[[#This Row],[Llave]],'[13]Base ultimos planes'!$O:$AA,12,FALSE),0)</f>
        <v>121440</v>
      </c>
      <c r="BO16" s="20">
        <f>IFERROR(VLOOKUP(Tabla1[[#This Row],[Llave]],'[13]Base ultimos planes'!$O:$AA,13,FALSE),0)</f>
        <v>208322</v>
      </c>
      <c r="BP16" s="20"/>
      <c r="BQ16" s="20">
        <f>+Tabla1[[#This Row],[ RV  Venta mes n+1]]*(1-Tabla1[[#This Row],[% Uti. producción]])</f>
        <v>63850.223106211968</v>
      </c>
      <c r="BR16" s="100"/>
    </row>
    <row r="17" spans="1:70" ht="16" hidden="1" x14ac:dyDescent="0.2">
      <c r="A17">
        <v>1</v>
      </c>
      <c r="B17" t="str">
        <f>Tabla1[[#This Row],[Oficina]]&amp;Tabla1[[#This Row],[Material]]</f>
        <v>Agro Sudamerica1021980</v>
      </c>
      <c r="C17" t="s">
        <v>6</v>
      </c>
      <c r="D17" t="s">
        <v>17</v>
      </c>
      <c r="E17">
        <v>1021980</v>
      </c>
      <c r="F17" t="s">
        <v>673</v>
      </c>
      <c r="G17" t="s">
        <v>18</v>
      </c>
      <c r="H17" t="s">
        <v>21</v>
      </c>
      <c r="I17" s="7">
        <f>IFERROR(VLOOKUP(Tabla1[[#This Row],[Llave]],'[7]RV Producción'!$C:$G,5,FALSE),0)</f>
        <v>5544</v>
      </c>
      <c r="J17" s="3">
        <f>IFERROR(IF(Tabla1[[#This Row],[Oficina]]=$I$7,VLOOKUP(Tabla1[[#This Row],[Llave]],'[7]Shangai (Tomas)'!$A:$F,6,FALSE),VLOOKUP(Tabla1[[#This Row],[Llave]],'[7]RV plan de ventas'!$A:$E,5,FALSE)),0)</f>
        <v>4514</v>
      </c>
      <c r="K17" s="8">
        <f>IFERROR(VLOOKUP(Tabla1[[#This Row],[Oficina]],[15]Ponderación!$B$2:$E$9,4,FALSE),0)</f>
        <v>0.45719439678473212</v>
      </c>
      <c r="L17" s="7">
        <f>+Tabla1[[#This Row],[ RV Producción mes n+1]]*Tabla1[[#This Row],[% Uti. producción]]</f>
        <v>2534.6857357745548</v>
      </c>
      <c r="M17" s="7">
        <f>IFERROR(VLOOKUP(Tabla1[[#This Row],[Material]],'[17]TD Stock'!$E:$I,5,FALSE),0)</f>
        <v>6952.536000000001</v>
      </c>
      <c r="N17" s="7">
        <f>IFERROR(VLOOKUP(Tabla1[[#This Row],[Material]],[16]Produccion!$M:$N,2,FALSE),0)</f>
        <v>610</v>
      </c>
      <c r="O17" s="7">
        <f>IFERROR(VLOOKUP(Tabla1[[#This Row],[Llave]],'[16]TD Conf-AP'!$I:$M,4,FALSE),0)</f>
        <v>0</v>
      </c>
      <c r="P17" s="14">
        <f>SUM(Tabla1[[#This Row],[Producción disponible]],Tabla1[[#This Row],[Stock al día]],(Tabla1[[#This Row],[Por producir mes N]]*0.9))-Tabla1[[#This Row],[Producción por despachar mes N]]</f>
        <v>10036.221735774556</v>
      </c>
      <c r="Q17" s="7">
        <f>IFERROR(VLOOKUP(Tabla1[[#This Row],[Llave]],[17]DELAY!$A:$D,4,FALSE),0)</f>
        <v>0</v>
      </c>
      <c r="R17" s="9">
        <v>24000</v>
      </c>
      <c r="S17" s="5">
        <f t="shared" si="29"/>
        <v>0</v>
      </c>
      <c r="T17" s="76">
        <v>0</v>
      </c>
      <c r="U17" s="5">
        <f>+Tabla1[[#This Row],[Atraso a facturar]]+Tabla1[[#This Row],[Ajuste atraso]]</f>
        <v>0</v>
      </c>
      <c r="V17" s="3">
        <f>+Tabla1[[#This Row],[Total disponible]]-Tabla1[[#This Row],[Facturación atraso]]</f>
        <v>10036.221735774556</v>
      </c>
      <c r="W17" s="6">
        <f>IFERROR(IF(AND(V17&gt;R17,J17&gt;=R17),ROUNDDOWN((Tabla1[[#This Row],[Producción para venta nueva]])/R17,0)*R17,0),0)</f>
        <v>0</v>
      </c>
      <c r="X17" s="76">
        <v>0</v>
      </c>
      <c r="Y17" s="6">
        <f>IF(Tabla1[[#This Row],[Venta del mes]]&gt;0,Tabla1[[#This Row],[Venta del mes]]+Tabla1[[#This Row],[Ajuste venta nueva]],0)</f>
        <v>0</v>
      </c>
      <c r="Z17" s="6">
        <f>+Tabla1[[#This Row],[Producción para venta nueva]]-Tabla1[[#This Row],[Facturación Venta nueva]]</f>
        <v>10036.221735774556</v>
      </c>
      <c r="AA17" s="6">
        <f>IF(AND(A17=1,Tabla1[[#This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" s="6"/>
      <c r="AC17" s="6">
        <f>IF(Tabla1[[#This Row],[Disponible stock sin venta]]&gt;0,Tabla1[[#This Row],[Disponible stock sin venta]]+Tabla1[[#This Row],[Ajuste stock sin venta]],0)</f>
        <v>0</v>
      </c>
      <c r="AD17" s="3">
        <f>IFERROR(VLOOKUP(Tabla1[[#This Row],[Llave]],'[16]TD Puerto'!$A:$D,4,FALSE),0)</f>
        <v>0</v>
      </c>
      <c r="AE17" s="3">
        <v>0</v>
      </c>
      <c r="AF17" s="3">
        <f>+Tabla1[[#This Row],[Atraso a facturar]]+Tabla1[[#This Row],[Venta del mes]]+Tabla1[[#This Row],[En puerto a facturar]]+Tabla1[[#This Row],[Disponible stock sin venta]]</f>
        <v>0</v>
      </c>
      <c r="AG17" s="3">
        <f>+Tabla1[[#This Row],[En puerto a facturar]]</f>
        <v>0</v>
      </c>
      <c r="AH17" s="3">
        <f>+Tabla1[[#This Row],[Facturación atraso]]</f>
        <v>0</v>
      </c>
      <c r="AI17" s="3">
        <f>+Tabla1[[#This Row],[Plan Irrestricto]]-Tabla1[[#This Row],[Puerto ]]-Tabla1[[#This Row],[Atraso]]</f>
        <v>0</v>
      </c>
      <c r="AJ1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7" s="3">
        <f>+Tabla1[[#This Row],[Facturación atraso]]</f>
        <v>0</v>
      </c>
      <c r="AL17" s="3">
        <f>+Tabla1[[#This Row],[Plan Ajustado]]-Tabla1[[#This Row],[ Atraso ajustado]]-Tabla1[[#This Row],[Puerto ]]</f>
        <v>0</v>
      </c>
      <c r="AM17" s="3">
        <v>0</v>
      </c>
      <c r="AN17" s="3" t="str">
        <f>IF(Tabla1[[#This Row],[Plan Ajustado]]&gt;Tabla1[[#This Row],[En puerto a facturar]],"Si","No")</f>
        <v>No</v>
      </c>
      <c r="AO1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7" s="3">
        <f>IF(Tabla1[[#This Row],[Necesidad]]&gt;=Tabla1[[#This Row],[Stock al día]],Tabla1[[#This Row],[Stock al día]],Tabla1[[#This Row],[Necesidad]])</f>
        <v>0</v>
      </c>
      <c r="AQ17" s="3">
        <f>+Tabla1[[#This Row],[Necesidad]]-Tabla1[[#This Row],[Stock Plan]]</f>
        <v>0</v>
      </c>
      <c r="AR17" s="156">
        <f>IFERROR(VLOOKUP(Tabla1[[#This Row],[Oficina]],[22]Ponderación!$B$3:$G$9,6,FALSE),"")</f>
        <v>44757</v>
      </c>
      <c r="AS1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5.4862649534780701</v>
      </c>
      <c r="AT17" s="83">
        <f>IFERROR(VLOOKUP(Tabla1[[#This Row],[Llave]],[17]DELAY!$H:$W,16,FALSE),0)</f>
        <v>0</v>
      </c>
      <c r="AU1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7" s="5">
        <f>+Tabla1[[#This Row],[Plan Ajustado]]*Tabla1[[#This Row],[Precio ponderado]]</f>
        <v>0</v>
      </c>
      <c r="AW17" s="30">
        <f>IFERROR(VLOOKUP(Tabla1[[#This Row],[Llave]],'[13]Ultimos precios facturados'!$A:$G,7,FALSE),0)</f>
        <v>0</v>
      </c>
      <c r="AX1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7" s="30"/>
      <c r="AZ17" s="30">
        <f>IF(Tabla1[[#This Row],[Ajuste precio IC]]="",Tabla1[[#This Row],[Precio ponderado]],Tabla1[[#This Row],[Precio ponderado]])</f>
        <v>0</v>
      </c>
      <c r="BA17" s="82"/>
      <c r="BB17" s="82" t="str">
        <f>IF(AND(Tabla1[[#This Row],[Atraso a facturar]]&gt;0,Tabla1[[#This Row],[Precio Atraso]]=0),"Revisar","OK")</f>
        <v>OK</v>
      </c>
      <c r="BC17" s="82" t="str">
        <f>IF(AND(Tabla1[[#This Row],[Venta del mes]]&gt;0,Tabla1[[#This Row],[Precio venta nueva]]=0),"Revisar","OK")</f>
        <v>OK</v>
      </c>
      <c r="BD17" s="20">
        <f>IFERROR(VLOOKUP(Tabla1[[#This Row],[Llave]],'[5]Consolidación planes'!$A:$M,9,FALSE),0)</f>
        <v>0</v>
      </c>
      <c r="BE17" s="20">
        <f>IFERROR(VLOOKUP(Tabla1[[#This Row],[Llave]],'[5]Consolidación planes'!$A:$M,10,FALSE),0)</f>
        <v>0</v>
      </c>
      <c r="BF17" s="20">
        <f>IFERROR(VLOOKUP(Tabla1[[#This Row],[Llave]],'[5]Consolidación planes'!$A:$M,11,FALSE),0)</f>
        <v>0</v>
      </c>
      <c r="BG17" s="20">
        <f>IFERROR(VLOOKUP(Tabla1[[#This Row],[Llave]],'[5]Consolidación planes'!$A:$M,12,FALSE),0)</f>
        <v>0</v>
      </c>
      <c r="BH17" s="20">
        <f>IFERROR(VLOOKUP(Tabla1[[#This Row],[Llave]],'[5]Consolidación planes'!$A:$M,13,FALSE),0)</f>
        <v>0</v>
      </c>
      <c r="BI17" s="20">
        <f>IFERROR(VLOOKUP(Tabla1[[#This Row],[Llave]],'[13]Base ultimos planes'!$A:$M,13,FALSE),0)</f>
        <v>0</v>
      </c>
      <c r="BJ17" s="80">
        <f>IFERROR(VLOOKUP(Tabla1[[#This Row],[Llave]],'[13]Base ultimos planes'!$O:$AA,8,FALSE),0)</f>
        <v>0</v>
      </c>
      <c r="BK17" s="20">
        <f>IFERROR(VLOOKUP(Tabla1[[#This Row],[Llave]],'[13]Base ultimos planes'!$O:$AA,9,FALSE),0)</f>
        <v>0</v>
      </c>
      <c r="BL17" s="20">
        <f>IFERROR(VLOOKUP(Tabla1[[#This Row],[Llave]],'[13]Base ultimos planes'!$O:$AA,10,FALSE),0)</f>
        <v>0</v>
      </c>
      <c r="BM17" s="20">
        <f>IFERROR(VLOOKUP(Tabla1[[#This Row],[Llave]],'[13]Base ultimos planes'!$O:$AA,11,FALSE),0)</f>
        <v>0</v>
      </c>
      <c r="BN17" s="20">
        <f>IFERROR(VLOOKUP(Tabla1[[#This Row],[Llave]],'[13]Base ultimos planes'!$O:$AA,12,FALSE),0)</f>
        <v>0</v>
      </c>
      <c r="BO17" s="20">
        <f>IFERROR(VLOOKUP(Tabla1[[#This Row],[Llave]],'[13]Base ultimos planes'!$O:$AA,13,FALSE),0)</f>
        <v>0</v>
      </c>
      <c r="BP17" s="20"/>
      <c r="BQ17" s="20">
        <f>+Tabla1[[#This Row],[ RV  Venta mes n+1]]*(1-Tabla1[[#This Row],[% Uti. producción]])</f>
        <v>2450.2244929137196</v>
      </c>
      <c r="BR17" s="100"/>
    </row>
    <row r="18" spans="1:70" ht="16" x14ac:dyDescent="0.2">
      <c r="A18">
        <v>1</v>
      </c>
      <c r="B18" t="str">
        <f>Tabla1[[#This Row],[Oficina]]&amp;Tabla1[[#This Row],[Material]]</f>
        <v>Agro Sudamerica1020848</v>
      </c>
      <c r="C18" t="s">
        <v>6</v>
      </c>
      <c r="D18" t="s">
        <v>17</v>
      </c>
      <c r="E18">
        <v>1020848</v>
      </c>
      <c r="F18" t="s">
        <v>52</v>
      </c>
      <c r="G18" t="s">
        <v>50</v>
      </c>
      <c r="H18" t="s">
        <v>51</v>
      </c>
      <c r="I18" s="7">
        <f>IFERROR(VLOOKUP(Tabla1[[#This Row],[Llave]],'[7]RV Producción'!$C:$G,5,FALSE),0)</f>
        <v>0</v>
      </c>
      <c r="J18" s="3">
        <f>IFERROR(IF(Tabla1[[#This Row],[Oficina]]=$I$7,VLOOKUP(Tabla1[[#This Row],[Llave]],'[7]Shangai (Tomas)'!$A:$F,6,FALSE),VLOOKUP(Tabla1[[#This Row],[Llave]],'[7]RV plan de ventas'!$A:$E,5,FALSE)),0)</f>
        <v>36000</v>
      </c>
      <c r="K18" s="8">
        <f>IFERROR(VLOOKUP(Tabla1[[#This Row],[Oficina]],[15]Ponderación!$B$2:$E$9,4,FALSE),0)</f>
        <v>0.45719439678473212</v>
      </c>
      <c r="L18" s="7">
        <f>+Tabla1[[#This Row],[ RV Producción mes n+1]]*Tabla1[[#This Row],[% Uti. producción]]</f>
        <v>0</v>
      </c>
      <c r="M18" s="7">
        <f>IFERROR(VLOOKUP(Tabla1[[#This Row],[Material]],'[17]TD Stock'!$E:$I,5,FALSE),0)</f>
        <v>45103.120999999999</v>
      </c>
      <c r="N18" s="7">
        <f>IFERROR(VLOOKUP(Tabla1[[#This Row],[Material]],[16]Produccion!$M:$N,2,FALSE),0)</f>
        <v>11770.379223671147</v>
      </c>
      <c r="O18" s="7">
        <f>IFERROR(VLOOKUP(Tabla1[[#This Row],[Llave]],'[16]TD Conf-AP'!$I:$M,4,FALSE),0)</f>
        <v>0</v>
      </c>
      <c r="P18" s="14">
        <f>SUM(Tabla1[[#This Row],[Producción disponible]],Tabla1[[#This Row],[Stock al día]],(Tabla1[[#This Row],[Por producir mes N]]*0.9))-Tabla1[[#This Row],[Producción por despachar mes N]]</f>
        <v>55696.462301304033</v>
      </c>
      <c r="Q18" s="7">
        <f>IFERROR(VLOOKUP(Tabla1[[#This Row],[Llave]],[17]DELAY!$A:$D,4,FALSE),0)</f>
        <v>96000</v>
      </c>
      <c r="R18" s="9">
        <v>24000</v>
      </c>
      <c r="S18" s="5">
        <f t="shared" si="29"/>
        <v>48000</v>
      </c>
      <c r="T18" s="76">
        <v>-24000</v>
      </c>
      <c r="U18" s="5">
        <f>+Tabla1[[#This Row],[Atraso a facturar]]+Tabla1[[#This Row],[Ajuste atraso]]</f>
        <v>24000</v>
      </c>
      <c r="V18" s="3">
        <f>+Tabla1[[#This Row],[Total disponible]]-Tabla1[[#This Row],[Facturación atraso]]</f>
        <v>31696.462301304033</v>
      </c>
      <c r="W18" s="6">
        <f>IFERROR(IF(AND(V18&gt;R18,J18&gt;=R18),ROUNDDOWN((Tabla1[[#This Row],[Producción para venta nueva]])/R18,0)*R18,0),0)</f>
        <v>24000</v>
      </c>
      <c r="X18" s="76">
        <v>0</v>
      </c>
      <c r="Y18" s="6">
        <f>IF(Tabla1[[#This Row],[Venta del mes]]&gt;0,Tabla1[[#This Row],[Venta del mes]]+Tabla1[[#This Row],[Ajuste venta nueva]],0)</f>
        <v>24000</v>
      </c>
      <c r="Z18" s="6">
        <f>+Tabla1[[#This Row],[Producción para venta nueva]]-Tabla1[[#This Row],[Facturación Venta nueva]]</f>
        <v>7696.4623013040327</v>
      </c>
      <c r="AA18" s="6">
        <f>IF(AND(A18=1,Tabla1[[#This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8" s="6"/>
      <c r="AC18" s="6">
        <f>IF(Tabla1[[#This Row],[Disponible stock sin venta]]&gt;0,Tabla1[[#This Row],[Disponible stock sin venta]]+Tabla1[[#This Row],[Ajuste stock sin venta]],0)</f>
        <v>0</v>
      </c>
      <c r="AD18" s="3">
        <f>IFERROR(VLOOKUP(Tabla1[[#This Row],[Llave]],'[16]TD Puerto'!$A:$D,4,FALSE),0)</f>
        <v>0</v>
      </c>
      <c r="AE18" s="3">
        <v>48000</v>
      </c>
      <c r="AF18" s="3">
        <f>+Tabla1[[#This Row],[Atraso a facturar]]+Tabla1[[#This Row],[Venta del mes]]+Tabla1[[#This Row],[En puerto a facturar]]+Tabla1[[#This Row],[Disponible stock sin venta]]</f>
        <v>72000</v>
      </c>
      <c r="AG18" s="3">
        <f>+Tabla1[[#This Row],[En puerto a facturar]]</f>
        <v>0</v>
      </c>
      <c r="AH18" s="3">
        <f>+Tabla1[[#This Row],[Facturación atraso]]</f>
        <v>24000</v>
      </c>
      <c r="AI18" s="3">
        <f>+Tabla1[[#This Row],[Plan Irrestricto]]-Tabla1[[#This Row],[Puerto ]]-Tabla1[[#This Row],[Atraso]]</f>
        <v>48000</v>
      </c>
      <c r="AJ18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18" s="3">
        <f>+Tabla1[[#This Row],[Facturación atraso]]</f>
        <v>24000</v>
      </c>
      <c r="AL18" s="3">
        <f>+Tabla1[[#This Row],[Plan Ajustado]]-Tabla1[[#This Row],[ Atraso ajustado]]-Tabla1[[#This Row],[Puerto ]]</f>
        <v>24000</v>
      </c>
      <c r="AM18" s="3">
        <v>0</v>
      </c>
      <c r="AN18" s="3" t="str">
        <f>IF(Tabla1[[#This Row],[Plan Ajustado]]&gt;Tabla1[[#This Row],[En puerto a facturar]],"Si","No")</f>
        <v>Si</v>
      </c>
      <c r="AO18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18" s="3">
        <f>IF(Tabla1[[#This Row],[Necesidad]]&gt;=Tabla1[[#This Row],[Stock al día]],Tabla1[[#This Row],[Stock al día]],Tabla1[[#This Row],[Necesidad]])</f>
        <v>45103.120999999999</v>
      </c>
      <c r="AQ18" s="3">
        <f>+Tabla1[[#This Row],[Necesidad]]-Tabla1[[#This Row],[Stock Plan]]</f>
        <v>2896.8790000000008</v>
      </c>
      <c r="AR18" s="156">
        <f>IFERROR(VLOOKUP(Tabla1[[#This Row],[Oficina]],[22]Ponderación!$B$3:$G$9,6,FALSE),"")</f>
        <v>44757</v>
      </c>
      <c r="AS1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3.22</v>
      </c>
      <c r="AT18" s="83">
        <f>IFERROR(VLOOKUP(Tabla1[[#This Row],[Llave]],[17]DELAY!$H:$W,16,FALSE),0)</f>
        <v>3.2853593750000023</v>
      </c>
      <c r="AU1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3.252679687500001</v>
      </c>
      <c r="AV18" s="5">
        <f>+Tabla1[[#This Row],[Plan Ajustado]]*Tabla1[[#This Row],[Precio ponderado]]</f>
        <v>156128.62500000006</v>
      </c>
      <c r="AW18" s="30">
        <f>IFERROR(VLOOKUP(Tabla1[[#This Row],[Llave]],'[13]Ultimos precios facturados'!$A:$G,7,FALSE),0)</f>
        <v>2.7010263567894919</v>
      </c>
      <c r="AX1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0.20423841082625283</v>
      </c>
      <c r="AY18" s="30"/>
      <c r="AZ18" s="30">
        <f>IF(Tabla1[[#This Row],[Ajuste precio IC]]="",Tabla1[[#This Row],[Precio ponderado]],Tabla1[[#This Row],[Precio ponderado]])</f>
        <v>3.252679687500001</v>
      </c>
      <c r="BA18" s="82"/>
      <c r="BB18" s="82" t="str">
        <f>IF(AND(Tabla1[[#This Row],[Atraso a facturar]]&gt;0,Tabla1[[#This Row],[Precio Atraso]]=0),"Revisar","OK")</f>
        <v>OK</v>
      </c>
      <c r="BC18" s="82" t="str">
        <f>IF(AND(Tabla1[[#This Row],[Venta del mes]]&gt;0,Tabla1[[#This Row],[Precio venta nueva]]=0),"Revisar","OK")</f>
        <v>OK</v>
      </c>
      <c r="BD18" s="20">
        <f>IFERROR(VLOOKUP(Tabla1[[#This Row],[Llave]],'[5]Consolidación planes'!$A:$M,9,FALSE),0)</f>
        <v>240000</v>
      </c>
      <c r="BE18" s="20">
        <f>IFERROR(VLOOKUP(Tabla1[[#This Row],[Llave]],'[5]Consolidación planes'!$A:$M,10,FALSE),0)</f>
        <v>147000</v>
      </c>
      <c r="BF18" s="20">
        <f>IFERROR(VLOOKUP(Tabla1[[#This Row],[Llave]],'[5]Consolidación planes'!$A:$M,11,FALSE),0)</f>
        <v>360000</v>
      </c>
      <c r="BG18" s="20">
        <f>IFERROR(VLOOKUP(Tabla1[[#This Row],[Llave]],'[5]Consolidación planes'!$A:$M,12,FALSE),0)</f>
        <v>192000</v>
      </c>
      <c r="BH18" s="20">
        <f>IFERROR(VLOOKUP(Tabla1[[#This Row],[Llave]],'[5]Consolidación planes'!$A:$M,13,FALSE),0)</f>
        <v>72000</v>
      </c>
      <c r="BI18" s="20">
        <f>IFERROR(VLOOKUP(Tabla1[[#This Row],[Llave]],'[13]Base ultimos planes'!$A:$M,13,FALSE),0)</f>
        <v>72000</v>
      </c>
      <c r="BJ18" s="80">
        <f>IFERROR(VLOOKUP(Tabla1[[#This Row],[Llave]],'[13]Base ultimos planes'!$O:$AA,8,FALSE),0)</f>
        <v>684000</v>
      </c>
      <c r="BK18" s="20">
        <f>IFERROR(VLOOKUP(Tabla1[[#This Row],[Llave]],'[13]Base ultimos planes'!$O:$AA,9,FALSE),0)</f>
        <v>364350</v>
      </c>
      <c r="BL18" s="20">
        <f>IFERROR(VLOOKUP(Tabla1[[#This Row],[Llave]],'[13]Base ultimos planes'!$O:$AA,10,FALSE),0)</f>
        <v>949090</v>
      </c>
      <c r="BM18" s="20">
        <f>IFERROR(VLOOKUP(Tabla1[[#This Row],[Llave]],'[13]Base ultimos planes'!$O:$AA,11,FALSE),0)</f>
        <v>495200</v>
      </c>
      <c r="BN18" s="20">
        <f>IFERROR(VLOOKUP(Tabla1[[#This Row],[Llave]],'[13]Base ultimos planes'!$O:$AA,12,FALSE),0)</f>
        <v>201467</v>
      </c>
      <c r="BO18" s="20">
        <f>IFERROR(VLOOKUP(Tabla1[[#This Row],[Llave]],'[13]Base ultimos planes'!$O:$AA,13,FALSE),0)</f>
        <v>204416</v>
      </c>
      <c r="BP18" s="20"/>
      <c r="BQ18" s="20">
        <f>+Tabla1[[#This Row],[ RV  Venta mes n+1]]*(1-Tabla1[[#This Row],[% Uti. producción]])</f>
        <v>19541.001715749644</v>
      </c>
      <c r="BR18" s="100"/>
    </row>
    <row r="19" spans="1:70" ht="16" hidden="1" x14ac:dyDescent="0.2">
      <c r="A19">
        <v>1</v>
      </c>
      <c r="B19" t="str">
        <f>Tabla1[[#This Row],[Oficina]]&amp;Tabla1[[#This Row],[Material]]</f>
        <v>Agro Sudamerica1020869</v>
      </c>
      <c r="C19" t="s">
        <v>6</v>
      </c>
      <c r="D19" t="s">
        <v>17</v>
      </c>
      <c r="E19">
        <v>1020869</v>
      </c>
      <c r="F19" t="s">
        <v>27</v>
      </c>
      <c r="G19" t="s">
        <v>25</v>
      </c>
      <c r="H19" t="s">
        <v>26</v>
      </c>
      <c r="I19" s="7">
        <f>IFERROR(VLOOKUP(Tabla1[[#This Row],[Llave]],'[7]RV Producción'!$C:$G,5,FALSE),0)</f>
        <v>0</v>
      </c>
      <c r="J19" s="3">
        <f>IFERROR(IF(Tabla1[[#This Row],[Oficina]]=$I$7,VLOOKUP(Tabla1[[#This Row],[Llave]],'[7]Shangai (Tomas)'!$A:$F,6,FALSE),VLOOKUP(Tabla1[[#This Row],[Llave]],'[7]RV plan de ventas'!$A:$E,5,FALSE)),0)</f>
        <v>24000</v>
      </c>
      <c r="K19" s="8">
        <f>IFERROR(VLOOKUP(Tabla1[[#This Row],[Oficina]],[15]Ponderación!$B$2:$E$9,4,FALSE),0)</f>
        <v>0.45719439678473212</v>
      </c>
      <c r="L19" s="7">
        <f>+Tabla1[[#This Row],[ RV Producción mes n+1]]*Tabla1[[#This Row],[% Uti. producción]]</f>
        <v>0</v>
      </c>
      <c r="M19" s="7">
        <f>IFERROR(VLOOKUP(Tabla1[[#This Row],[Material]],'[17]TD Stock'!$E:$I,5,FALSE),0)</f>
        <v>23528.966000000004</v>
      </c>
      <c r="N19" s="7">
        <f>IFERROR(VLOOKUP(Tabla1[[#This Row],[Material]],[16]Produccion!$M:$N,2,FALSE),0)</f>
        <v>0</v>
      </c>
      <c r="O19" s="7">
        <f>IFERROR(VLOOKUP(Tabla1[[#This Row],[Llave]],'[16]TD Conf-AP'!$I:$M,4,FALSE),0)</f>
        <v>0</v>
      </c>
      <c r="P19" s="14">
        <f>SUM(Tabla1[[#This Row],[Producción disponible]],Tabla1[[#This Row],[Stock al día]],(Tabla1[[#This Row],[Por producir mes N]]*0.9))-Tabla1[[#This Row],[Producción por despachar mes N]]</f>
        <v>23528.966000000004</v>
      </c>
      <c r="Q19" s="7">
        <f>IFERROR(VLOOKUP(Tabla1[[#This Row],[Llave]],[17]DELAY!$A:$D,4,FALSE),0)</f>
        <v>43000</v>
      </c>
      <c r="R19" s="9">
        <v>24000</v>
      </c>
      <c r="S19" s="5">
        <f t="shared" si="29"/>
        <v>0</v>
      </c>
      <c r="T19" s="76">
        <v>0</v>
      </c>
      <c r="U19" s="5">
        <f>+Tabla1[[#This Row],[Atraso a facturar]]+Tabla1[[#This Row],[Ajuste atraso]]</f>
        <v>0</v>
      </c>
      <c r="V19" s="3">
        <f>+Tabla1[[#This Row],[Total disponible]]-Tabla1[[#This Row],[Facturación atraso]]</f>
        <v>23528.966000000004</v>
      </c>
      <c r="W19" s="6">
        <f>IFERROR(IF(AND(V19&gt;R19,J19&gt;=R19),ROUNDDOWN((Tabla1[[#This Row],[Producción para venta nueva]])/R19,0)*R19,0),0)</f>
        <v>0</v>
      </c>
      <c r="X19" s="76">
        <v>0</v>
      </c>
      <c r="Y19" s="6">
        <f>IF(Tabla1[[#This Row],[Venta del mes]]&gt;0,Tabla1[[#This Row],[Venta del mes]]+Tabla1[[#This Row],[Ajuste venta nueva]],0)</f>
        <v>0</v>
      </c>
      <c r="Z19" s="6">
        <f>+Tabla1[[#This Row],[Producción para venta nueva]]-Tabla1[[#This Row],[Facturación Venta nueva]]</f>
        <v>23528.966000000004</v>
      </c>
      <c r="AA19" s="6">
        <f>IF(AND(A19=1,Tabla1[[#This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9" s="6"/>
      <c r="AC19" s="6">
        <f>IF(Tabla1[[#This Row],[Disponible stock sin venta]]&gt;0,Tabla1[[#This Row],[Disponible stock sin venta]]+Tabla1[[#This Row],[Ajuste stock sin venta]],0)</f>
        <v>0</v>
      </c>
      <c r="AD19" s="3">
        <f>IFERROR(VLOOKUP(Tabla1[[#This Row],[Llave]],'[16]TD Puerto'!$A:$D,4,FALSE),0)</f>
        <v>0</v>
      </c>
      <c r="AE19" s="3">
        <v>0</v>
      </c>
      <c r="AF19" s="3">
        <f>+Tabla1[[#This Row],[Atraso a facturar]]+Tabla1[[#This Row],[Venta del mes]]+Tabla1[[#This Row],[En puerto a facturar]]+Tabla1[[#This Row],[Disponible stock sin venta]]</f>
        <v>0</v>
      </c>
      <c r="AG19" s="3">
        <f>+Tabla1[[#This Row],[En puerto a facturar]]</f>
        <v>0</v>
      </c>
      <c r="AH19" s="3">
        <f>+Tabla1[[#This Row],[Facturación atraso]]</f>
        <v>0</v>
      </c>
      <c r="AI19" s="3">
        <f>+Tabla1[[#This Row],[Plan Irrestricto]]-Tabla1[[#This Row],[Puerto ]]-Tabla1[[#This Row],[Atraso]]</f>
        <v>0</v>
      </c>
      <c r="AJ1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9" s="3">
        <f>+Tabla1[[#This Row],[Facturación atraso]]</f>
        <v>0</v>
      </c>
      <c r="AL19" s="3">
        <f>+Tabla1[[#This Row],[Plan Ajustado]]-Tabla1[[#This Row],[ Atraso ajustado]]-Tabla1[[#This Row],[Puerto ]]</f>
        <v>0</v>
      </c>
      <c r="AM19" s="3">
        <v>0</v>
      </c>
      <c r="AN19" s="3" t="str">
        <f>IF(Tabla1[[#This Row],[Plan Ajustado]]&gt;Tabla1[[#This Row],[En puerto a facturar]],"Si","No")</f>
        <v>No</v>
      </c>
      <c r="AO1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9" s="3">
        <f>IF(Tabla1[[#This Row],[Necesidad]]&gt;=Tabla1[[#This Row],[Stock al día]],Tabla1[[#This Row],[Stock al día]],Tabla1[[#This Row],[Necesidad]])</f>
        <v>0</v>
      </c>
      <c r="AQ19" s="3">
        <f>+Tabla1[[#This Row],[Necesidad]]-Tabla1[[#This Row],[Stock Plan]]</f>
        <v>0</v>
      </c>
      <c r="AR19" s="156">
        <f>IFERROR(VLOOKUP(Tabla1[[#This Row],[Oficina]],[22]Ponderación!$B$3:$G$9,6,FALSE),"")</f>
        <v>44757</v>
      </c>
      <c r="AS1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4.1900000000000004</v>
      </c>
      <c r="AT19" s="83">
        <f>IFERROR(VLOOKUP(Tabla1[[#This Row],[Llave]],[17]DELAY!$H:$W,16,FALSE),0)</f>
        <v>4.8824376166666692</v>
      </c>
      <c r="AU1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9" s="5">
        <f>+Tabla1[[#This Row],[Plan Ajustado]]*Tabla1[[#This Row],[Precio ponderado]]</f>
        <v>0</v>
      </c>
      <c r="AW19" s="30">
        <f>IFERROR(VLOOKUP(Tabla1[[#This Row],[Llave]],'[13]Ultimos precios facturados'!$A:$G,7,FALSE),0)</f>
        <v>4.8511556546752237</v>
      </c>
      <c r="AX1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9" s="30"/>
      <c r="AZ19" s="30">
        <f>IF(Tabla1[[#This Row],[Ajuste precio IC]]="",Tabla1[[#This Row],[Precio ponderado]],Tabla1[[#This Row],[Precio ponderado]])</f>
        <v>0</v>
      </c>
      <c r="BA19" s="82"/>
      <c r="BB19" s="82" t="str">
        <f>IF(AND(Tabla1[[#This Row],[Atraso a facturar]]&gt;0,Tabla1[[#This Row],[Precio Atraso]]=0),"Revisar","OK")</f>
        <v>OK</v>
      </c>
      <c r="BC19" s="82" t="str">
        <f>IF(AND(Tabla1[[#This Row],[Venta del mes]]&gt;0,Tabla1[[#This Row],[Precio venta nueva]]=0),"Revisar","OK")</f>
        <v>OK</v>
      </c>
      <c r="BD19" s="20">
        <f>IFERROR(VLOOKUP(Tabla1[[#This Row],[Llave]],'[5]Consolidación planes'!$A:$M,9,FALSE),0)</f>
        <v>0</v>
      </c>
      <c r="BE19" s="20">
        <f>IFERROR(VLOOKUP(Tabla1[[#This Row],[Llave]],'[5]Consolidación planes'!$A:$M,10,FALSE),0)</f>
        <v>0</v>
      </c>
      <c r="BF19" s="20">
        <f>IFERROR(VLOOKUP(Tabla1[[#This Row],[Llave]],'[5]Consolidación planes'!$A:$M,11,FALSE),0)</f>
        <v>24000</v>
      </c>
      <c r="BG19" s="20">
        <f>IFERROR(VLOOKUP(Tabla1[[#This Row],[Llave]],'[5]Consolidación planes'!$A:$M,12,FALSE),0)</f>
        <v>0</v>
      </c>
      <c r="BH19" s="20">
        <f>IFERROR(VLOOKUP(Tabla1[[#This Row],[Llave]],'[5]Consolidación planes'!$A:$M,13,FALSE),0)</f>
        <v>0</v>
      </c>
      <c r="BI19" s="20">
        <f>IFERROR(VLOOKUP(Tabla1[[#This Row],[Llave]],'[13]Base ultimos planes'!$A:$M,13,FALSE),0)</f>
        <v>33000</v>
      </c>
      <c r="BJ19" s="80">
        <f>IFERROR(VLOOKUP(Tabla1[[#This Row],[Llave]],'[13]Base ultimos planes'!$O:$AA,8,FALSE),0)</f>
        <v>0</v>
      </c>
      <c r="BK19" s="20">
        <f>IFERROR(VLOOKUP(Tabla1[[#This Row],[Llave]],'[13]Base ultimos planes'!$O:$AA,9,FALSE),0)</f>
        <v>0</v>
      </c>
      <c r="BL19" s="20">
        <f>IFERROR(VLOOKUP(Tabla1[[#This Row],[Llave]],'[13]Base ultimos planes'!$O:$AA,10,FALSE),0)</f>
        <v>120000</v>
      </c>
      <c r="BM19" s="20">
        <f>IFERROR(VLOOKUP(Tabla1[[#This Row],[Llave]],'[13]Base ultimos planes'!$O:$AA,11,FALSE),0)</f>
        <v>0</v>
      </c>
      <c r="BN19" s="20">
        <f>IFERROR(VLOOKUP(Tabla1[[#This Row],[Llave]],'[13]Base ultimos planes'!$O:$AA,12,FALSE),0)</f>
        <v>0</v>
      </c>
      <c r="BO19" s="20">
        <f>IFERROR(VLOOKUP(Tabla1[[#This Row],[Llave]],'[13]Base ultimos planes'!$O:$AA,13,FALSE),0)</f>
        <v>139067</v>
      </c>
      <c r="BP19" s="20"/>
      <c r="BQ19" s="20">
        <f>+Tabla1[[#This Row],[ RV  Venta mes n+1]]*(1-Tabla1[[#This Row],[% Uti. producción]])</f>
        <v>13027.334477166431</v>
      </c>
      <c r="BR19" s="100"/>
    </row>
    <row r="20" spans="1:70" ht="16" hidden="1" x14ac:dyDescent="0.2">
      <c r="A20">
        <v>1</v>
      </c>
      <c r="B20" t="str">
        <f>Tabla1[[#This Row],[Oficina]]&amp;Tabla1[[#This Row],[Material]]</f>
        <v>Agro Sudamerica1020886</v>
      </c>
      <c r="C20" t="s">
        <v>6</v>
      </c>
      <c r="D20" t="s">
        <v>17</v>
      </c>
      <c r="E20">
        <v>1020886</v>
      </c>
      <c r="F20" t="s">
        <v>282</v>
      </c>
      <c r="G20" t="s">
        <v>56</v>
      </c>
      <c r="H20" t="s">
        <v>57</v>
      </c>
      <c r="I20" s="7">
        <f>IFERROR(VLOOKUP(Tabla1[[#This Row],[Llave]],'[7]RV Producción'!$C:$G,5,FALSE),0)</f>
        <v>3829</v>
      </c>
      <c r="J20" s="3">
        <f>IFERROR(IF(Tabla1[[#This Row],[Oficina]]=$I$7,VLOOKUP(Tabla1[[#This Row],[Llave]],'[7]Shangai (Tomas)'!$A:$F,6,FALSE),VLOOKUP(Tabla1[[#This Row],[Llave]],'[7]RV plan de ventas'!$A:$E,5,FALSE)),0)</f>
        <v>0</v>
      </c>
      <c r="K20" s="8">
        <f>IFERROR(VLOOKUP(Tabla1[[#This Row],[Oficina]],[15]Ponderación!$B$2:$E$9,4,FALSE),0)</f>
        <v>0.45719439678473212</v>
      </c>
      <c r="L20" s="7">
        <f>+Tabla1[[#This Row],[ RV Producción mes n+1]]*Tabla1[[#This Row],[% Uti. producción]]</f>
        <v>1750.5973452887392</v>
      </c>
      <c r="M20" s="7">
        <f>IFERROR(VLOOKUP(Tabla1[[#This Row],[Material]],'[17]TD Stock'!$E:$I,5,FALSE),0)</f>
        <v>1441.788</v>
      </c>
      <c r="N20" s="7">
        <f>IFERROR(VLOOKUP(Tabla1[[#This Row],[Material]],[16]Produccion!$M:$N,2,FALSE),0)</f>
        <v>0</v>
      </c>
      <c r="O20" s="7">
        <f>IFERROR(VLOOKUP(Tabla1[[#This Row],[Llave]],'[16]TD Conf-AP'!$I:$M,4,FALSE),0)</f>
        <v>0</v>
      </c>
      <c r="P20" s="14">
        <f>SUM(Tabla1[[#This Row],[Producción disponible]],Tabla1[[#This Row],[Stock al día]],(Tabla1[[#This Row],[Por producir mes N]]*0.9))-Tabla1[[#This Row],[Producción por despachar mes N]]</f>
        <v>3192.3853452887392</v>
      </c>
      <c r="Q20" s="7">
        <f>IFERROR(VLOOKUP(Tabla1[[#This Row],[Llave]],[17]DELAY!$A:$D,4,FALSE),0)</f>
        <v>0</v>
      </c>
      <c r="R20" s="9">
        <v>24000</v>
      </c>
      <c r="S20" s="5">
        <f t="shared" si="29"/>
        <v>0</v>
      </c>
      <c r="T20" s="76">
        <v>0</v>
      </c>
      <c r="U20" s="5">
        <f>+Tabla1[[#This Row],[Atraso a facturar]]+Tabla1[[#This Row],[Ajuste atraso]]</f>
        <v>0</v>
      </c>
      <c r="V20" s="3">
        <f>+Tabla1[[#This Row],[Total disponible]]-Tabla1[[#This Row],[Facturación atraso]]</f>
        <v>3192.3853452887392</v>
      </c>
      <c r="W20" s="6">
        <f>IFERROR(IF(AND(V20&gt;R20,J20&gt;=R20),ROUNDDOWN((Tabla1[[#This Row],[Producción para venta nueva]])/R20,0)*R20,0),0)</f>
        <v>0</v>
      </c>
      <c r="X20" s="76">
        <v>0</v>
      </c>
      <c r="Y20" s="6">
        <f>IF(Tabla1[[#This Row],[Venta del mes]]&gt;0,Tabla1[[#This Row],[Venta del mes]]+Tabla1[[#This Row],[Ajuste venta nueva]],0)</f>
        <v>0</v>
      </c>
      <c r="Z20" s="6">
        <f>+Tabla1[[#This Row],[Producción para venta nueva]]-Tabla1[[#This Row],[Facturación Venta nueva]]</f>
        <v>3192.3853452887392</v>
      </c>
      <c r="AA20" s="6">
        <f>IF(AND(A20=1,Tabla1[[#This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0" s="6"/>
      <c r="AC20" s="6">
        <f>IF(Tabla1[[#This Row],[Disponible stock sin venta]]&gt;0,Tabla1[[#This Row],[Disponible stock sin venta]]+Tabla1[[#This Row],[Ajuste stock sin venta]],0)</f>
        <v>0</v>
      </c>
      <c r="AD20" s="3">
        <f>IFERROR(VLOOKUP(Tabla1[[#This Row],[Llave]],'[16]TD Puerto'!$A:$D,4,FALSE),0)</f>
        <v>0</v>
      </c>
      <c r="AE20" s="3">
        <v>0</v>
      </c>
      <c r="AF20" s="3">
        <f>+Tabla1[[#This Row],[Atraso a facturar]]+Tabla1[[#This Row],[Venta del mes]]+Tabla1[[#This Row],[En puerto a facturar]]+Tabla1[[#This Row],[Disponible stock sin venta]]</f>
        <v>0</v>
      </c>
      <c r="AG20" s="3">
        <f>+Tabla1[[#This Row],[En puerto a facturar]]</f>
        <v>0</v>
      </c>
      <c r="AH20" s="3">
        <f>+Tabla1[[#This Row],[Facturación atraso]]</f>
        <v>0</v>
      </c>
      <c r="AI20" s="3">
        <f>+Tabla1[[#This Row],[Plan Irrestricto]]-Tabla1[[#This Row],[Puerto ]]-Tabla1[[#This Row],[Atraso]]</f>
        <v>0</v>
      </c>
      <c r="AJ2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0" s="3">
        <f>+Tabla1[[#This Row],[Facturación atraso]]</f>
        <v>0</v>
      </c>
      <c r="AL20" s="3">
        <f>+Tabla1[[#This Row],[Plan Ajustado]]-Tabla1[[#This Row],[ Atraso ajustado]]-Tabla1[[#This Row],[Puerto ]]</f>
        <v>0</v>
      </c>
      <c r="AM20" s="3">
        <v>0</v>
      </c>
      <c r="AN20" s="3" t="str">
        <f>IF(Tabla1[[#This Row],[Plan Ajustado]]&gt;Tabla1[[#This Row],[En puerto a facturar]],"Si","No")</f>
        <v>No</v>
      </c>
      <c r="AO2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0" s="3">
        <f>IF(Tabla1[[#This Row],[Necesidad]]&gt;=Tabla1[[#This Row],[Stock al día]],Tabla1[[#This Row],[Stock al día]],Tabla1[[#This Row],[Necesidad]])</f>
        <v>0</v>
      </c>
      <c r="AQ20" s="3">
        <f>+Tabla1[[#This Row],[Necesidad]]-Tabla1[[#This Row],[Stock Plan]]</f>
        <v>0</v>
      </c>
      <c r="AR20" s="156">
        <f>IFERROR(VLOOKUP(Tabla1[[#This Row],[Oficina]],[22]Ponderación!$B$3:$G$9,6,FALSE),"")</f>
        <v>44757</v>
      </c>
      <c r="AS2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0" s="83">
        <f>IFERROR(VLOOKUP(Tabla1[[#This Row],[Llave]],[17]DELAY!$H:$W,16,FALSE),0)</f>
        <v>0</v>
      </c>
      <c r="AU2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0" s="5">
        <f>+Tabla1[[#This Row],[Plan Ajustado]]*Tabla1[[#This Row],[Precio ponderado]]</f>
        <v>0</v>
      </c>
      <c r="AW20" s="30">
        <f>IFERROR(VLOOKUP(Tabla1[[#This Row],[Llave]],'[13]Ultimos precios facturados'!$A:$G,7,FALSE),0)</f>
        <v>0</v>
      </c>
      <c r="AX2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0" s="30"/>
      <c r="AZ20" s="30">
        <f>IF(Tabla1[[#This Row],[Ajuste precio IC]]="",Tabla1[[#This Row],[Precio ponderado]],Tabla1[[#This Row],[Precio ponderado]])</f>
        <v>0</v>
      </c>
      <c r="BA20" s="82"/>
      <c r="BB20" s="82" t="str">
        <f>IF(AND(Tabla1[[#This Row],[Atraso a facturar]]&gt;0,Tabla1[[#This Row],[Precio Atraso]]=0),"Revisar","OK")</f>
        <v>OK</v>
      </c>
      <c r="BC20" s="82" t="str">
        <f>IF(AND(Tabla1[[#This Row],[Venta del mes]]&gt;0,Tabla1[[#This Row],[Precio venta nueva]]=0),"Revisar","OK")</f>
        <v>OK</v>
      </c>
      <c r="BD20" s="20">
        <f>IFERROR(VLOOKUP(Tabla1[[#This Row],[Llave]],'[5]Consolidación planes'!$A:$M,9,FALSE),0)</f>
        <v>0</v>
      </c>
      <c r="BE20" s="20">
        <f>IFERROR(VLOOKUP(Tabla1[[#This Row],[Llave]],'[5]Consolidación planes'!$A:$M,10,FALSE),0)</f>
        <v>10000</v>
      </c>
      <c r="BF20" s="20">
        <f>IFERROR(VLOOKUP(Tabla1[[#This Row],[Llave]],'[5]Consolidación planes'!$A:$M,11,FALSE),0)</f>
        <v>0</v>
      </c>
      <c r="BG20" s="20">
        <f>IFERROR(VLOOKUP(Tabla1[[#This Row],[Llave]],'[5]Consolidación planes'!$A:$M,12,FALSE),0)</f>
        <v>0</v>
      </c>
      <c r="BH20" s="20">
        <f>IFERROR(VLOOKUP(Tabla1[[#This Row],[Llave]],'[5]Consolidación planes'!$A:$M,13,FALSE),0)</f>
        <v>0</v>
      </c>
      <c r="BI20" s="20">
        <f>IFERROR(VLOOKUP(Tabla1[[#This Row],[Llave]],'[13]Base ultimos planes'!$A:$M,13,FALSE),0)</f>
        <v>0</v>
      </c>
      <c r="BJ20" s="80">
        <f>IFERROR(VLOOKUP(Tabla1[[#This Row],[Llave]],'[13]Base ultimos planes'!$O:$AA,8,FALSE),0)</f>
        <v>0</v>
      </c>
      <c r="BK20" s="20">
        <f>IFERROR(VLOOKUP(Tabla1[[#This Row],[Llave]],'[13]Base ultimos planes'!$O:$AA,9,FALSE),0)</f>
        <v>51667</v>
      </c>
      <c r="BL20" s="20">
        <f>IFERROR(VLOOKUP(Tabla1[[#This Row],[Llave]],'[13]Base ultimos planes'!$O:$AA,10,FALSE),0)</f>
        <v>0</v>
      </c>
      <c r="BM20" s="20">
        <f>IFERROR(VLOOKUP(Tabla1[[#This Row],[Llave]],'[13]Base ultimos planes'!$O:$AA,11,FALSE),0)</f>
        <v>0</v>
      </c>
      <c r="BN20" s="20">
        <f>IFERROR(VLOOKUP(Tabla1[[#This Row],[Llave]],'[13]Base ultimos planes'!$O:$AA,12,FALSE),0)</f>
        <v>0</v>
      </c>
      <c r="BO20" s="20">
        <f>IFERROR(VLOOKUP(Tabla1[[#This Row],[Llave]],'[13]Base ultimos planes'!$O:$AA,13,FALSE),0)</f>
        <v>0</v>
      </c>
      <c r="BP20" s="20"/>
      <c r="BQ20" s="20">
        <f>+Tabla1[[#This Row],[ RV  Venta mes n+1]]*(1-Tabla1[[#This Row],[% Uti. producción]])</f>
        <v>0</v>
      </c>
      <c r="BR20" s="100"/>
    </row>
    <row r="21" spans="1:70" ht="16" hidden="1" x14ac:dyDescent="0.2">
      <c r="A21">
        <v>1</v>
      </c>
      <c r="B21" t="str">
        <f>Tabla1[[#This Row],[Oficina]]&amp;Tabla1[[#This Row],[Material]]</f>
        <v>Agro Sudamerica1020915</v>
      </c>
      <c r="C21" t="s">
        <v>6</v>
      </c>
      <c r="D21" t="s">
        <v>17</v>
      </c>
      <c r="E21">
        <v>1020915</v>
      </c>
      <c r="F21" t="s">
        <v>61</v>
      </c>
      <c r="G21" t="s">
        <v>59</v>
      </c>
      <c r="H21" t="s">
        <v>60</v>
      </c>
      <c r="I21" s="7">
        <f>IFERROR(VLOOKUP(Tabla1[[#This Row],[Llave]],'[7]RV Producción'!$C:$G,5,FALSE),0)</f>
        <v>0</v>
      </c>
      <c r="J21" s="3">
        <f>IFERROR(IF(Tabla1[[#This Row],[Oficina]]=$I$7,VLOOKUP(Tabla1[[#This Row],[Llave]],'[7]Shangai (Tomas)'!$A:$F,6,FALSE),VLOOKUP(Tabla1[[#This Row],[Llave]],'[7]RV plan de ventas'!$A:$E,5,FALSE)),0)</f>
        <v>28652</v>
      </c>
      <c r="K21" s="8">
        <f>IFERROR(VLOOKUP(Tabla1[[#This Row],[Oficina]],[15]Ponderación!$B$2:$E$9,4,FALSE),0)</f>
        <v>0.45719439678473212</v>
      </c>
      <c r="L21" s="7">
        <f>+Tabla1[[#This Row],[ RV Producción mes n+1]]*Tabla1[[#This Row],[% Uti. producción]]</f>
        <v>0</v>
      </c>
      <c r="M21" s="7">
        <f>IFERROR(VLOOKUP(Tabla1[[#This Row],[Material]],'[17]TD Stock'!$E:$I,5,FALSE),0)</f>
        <v>0</v>
      </c>
      <c r="N21" s="7">
        <f>IFERROR(VLOOKUP(Tabla1[[#This Row],[Material]],[16]Produccion!$M:$N,2,FALSE),0)</f>
        <v>0</v>
      </c>
      <c r="O21" s="7">
        <f>IFERROR(VLOOKUP(Tabla1[[#This Row],[Llave]],'[16]TD Conf-AP'!$I:$M,4,FALSE),0)</f>
        <v>0</v>
      </c>
      <c r="P21" s="14">
        <f>SUM(Tabla1[[#This Row],[Producción disponible]],Tabla1[[#This Row],[Stock al día]],(Tabla1[[#This Row],[Por producir mes N]]*0.9))-Tabla1[[#This Row],[Producción por despachar mes N]]</f>
        <v>0</v>
      </c>
      <c r="Q21" s="7">
        <f>IFERROR(VLOOKUP(Tabla1[[#This Row],[Llave]],[17]DELAY!$A:$D,4,FALSE),0)</f>
        <v>28000</v>
      </c>
      <c r="R21" s="9">
        <v>24000</v>
      </c>
      <c r="S21" s="5">
        <f t="shared" si="29"/>
        <v>0</v>
      </c>
      <c r="T21" s="76">
        <v>0</v>
      </c>
      <c r="U21" s="5">
        <f>+Tabla1[[#This Row],[Atraso a facturar]]+Tabla1[[#This Row],[Ajuste atraso]]</f>
        <v>0</v>
      </c>
      <c r="V21" s="3">
        <f>+Tabla1[[#This Row],[Total disponible]]-Tabla1[[#This Row],[Facturación atraso]]</f>
        <v>0</v>
      </c>
      <c r="W21" s="6">
        <f>IFERROR(IF(AND(V21&gt;R21,J21&gt;=R21),ROUNDDOWN((Tabla1[[#This Row],[Producción para venta nueva]])/R21,0)*R21,0),0)</f>
        <v>0</v>
      </c>
      <c r="X21" s="76">
        <v>0</v>
      </c>
      <c r="Y21" s="6">
        <f>IF(Tabla1[[#This Row],[Venta del mes]]&gt;0,Tabla1[[#This Row],[Venta del mes]]+Tabla1[[#This Row],[Ajuste venta nueva]],0)</f>
        <v>0</v>
      </c>
      <c r="Z21" s="6">
        <f>+Tabla1[[#This Row],[Producción para venta nueva]]-Tabla1[[#This Row],[Facturación Venta nueva]]</f>
        <v>0</v>
      </c>
      <c r="AA21" s="6">
        <f>IF(AND(A21=1,Tabla1[[#This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" s="6"/>
      <c r="AC21" s="6">
        <f>IF(Tabla1[[#This Row],[Disponible stock sin venta]]&gt;0,Tabla1[[#This Row],[Disponible stock sin venta]]+Tabla1[[#This Row],[Ajuste stock sin venta]],0)</f>
        <v>0</v>
      </c>
      <c r="AD21" s="3">
        <f>IFERROR(VLOOKUP(Tabla1[[#This Row],[Llave]],'[16]TD Puerto'!$A:$D,4,FALSE),0)</f>
        <v>0</v>
      </c>
      <c r="AE21" s="3">
        <v>0</v>
      </c>
      <c r="AF21" s="3">
        <f>+Tabla1[[#This Row],[Atraso a facturar]]+Tabla1[[#This Row],[Venta del mes]]+Tabla1[[#This Row],[En puerto a facturar]]+Tabla1[[#This Row],[Disponible stock sin venta]]</f>
        <v>0</v>
      </c>
      <c r="AG21" s="3">
        <f>+Tabla1[[#This Row],[En puerto a facturar]]</f>
        <v>0</v>
      </c>
      <c r="AH21" s="3">
        <f>+Tabla1[[#This Row],[Facturación atraso]]</f>
        <v>0</v>
      </c>
      <c r="AI21" s="3">
        <f>+Tabla1[[#This Row],[Plan Irrestricto]]-Tabla1[[#This Row],[Puerto ]]-Tabla1[[#This Row],[Atraso]]</f>
        <v>0</v>
      </c>
      <c r="AJ2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1" s="3">
        <f>+Tabla1[[#This Row],[Facturación atraso]]</f>
        <v>0</v>
      </c>
      <c r="AL21" s="3">
        <f>+Tabla1[[#This Row],[Plan Ajustado]]-Tabla1[[#This Row],[ Atraso ajustado]]-Tabla1[[#This Row],[Puerto ]]</f>
        <v>0</v>
      </c>
      <c r="AM21" s="3">
        <v>0</v>
      </c>
      <c r="AN21" s="3" t="str">
        <f>IF(Tabla1[[#This Row],[Plan Ajustado]]&gt;Tabla1[[#This Row],[En puerto a facturar]],"Si","No")</f>
        <v>No</v>
      </c>
      <c r="AO2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1" s="3">
        <f>IF(Tabla1[[#This Row],[Necesidad]]&gt;=Tabla1[[#This Row],[Stock al día]],Tabla1[[#This Row],[Stock al día]],Tabla1[[#This Row],[Necesidad]])</f>
        <v>0</v>
      </c>
      <c r="AQ21" s="3">
        <f>+Tabla1[[#This Row],[Necesidad]]-Tabla1[[#This Row],[Stock Plan]]</f>
        <v>0</v>
      </c>
      <c r="AR21" s="156">
        <f>IFERROR(VLOOKUP(Tabla1[[#This Row],[Oficina]],[22]Ponderación!$B$3:$G$9,6,FALSE),"")</f>
        <v>44757</v>
      </c>
      <c r="AS2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1.98670249895295</v>
      </c>
      <c r="AT21" s="83">
        <f>IFERROR(VLOOKUP(Tabla1[[#This Row],[Llave]],[17]DELAY!$H:$W,16,FALSE),0)</f>
        <v>2.3356785714285713</v>
      </c>
      <c r="AU2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1" s="5">
        <f>+Tabla1[[#This Row],[Plan Ajustado]]*Tabla1[[#This Row],[Precio ponderado]]</f>
        <v>0</v>
      </c>
      <c r="AW21" s="30">
        <f>IFERROR(VLOOKUP(Tabla1[[#This Row],[Llave]],'[13]Ultimos precios facturados'!$A:$G,7,FALSE),0)</f>
        <v>2.2697888366895929</v>
      </c>
      <c r="AX2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1" s="30"/>
      <c r="AZ21" s="30">
        <f>IF(Tabla1[[#This Row],[Ajuste precio IC]]="",Tabla1[[#This Row],[Precio ponderado]],Tabla1[[#This Row],[Precio ponderado]])</f>
        <v>0</v>
      </c>
      <c r="BA21" s="82"/>
      <c r="BB21" s="82" t="str">
        <f>IF(AND(Tabla1[[#This Row],[Atraso a facturar]]&gt;0,Tabla1[[#This Row],[Precio Atraso]]=0),"Revisar","OK")</f>
        <v>OK</v>
      </c>
      <c r="BC21" s="82" t="str">
        <f>IF(AND(Tabla1[[#This Row],[Venta del mes]]&gt;0,Tabla1[[#This Row],[Precio venta nueva]]=0),"Revisar","OK")</f>
        <v>OK</v>
      </c>
      <c r="BD21" s="20">
        <f>IFERROR(VLOOKUP(Tabla1[[#This Row],[Llave]],'[5]Consolidación planes'!$A:$M,9,FALSE),0)</f>
        <v>10000</v>
      </c>
      <c r="BE21" s="20">
        <f>IFERROR(VLOOKUP(Tabla1[[#This Row],[Llave]],'[5]Consolidación planes'!$A:$M,10,FALSE),0)</f>
        <v>2000</v>
      </c>
      <c r="BF21" s="20">
        <f>IFERROR(VLOOKUP(Tabla1[[#This Row],[Llave]],'[5]Consolidación planes'!$A:$M,11,FALSE),0)</f>
        <v>0</v>
      </c>
      <c r="BG21" s="20">
        <f>IFERROR(VLOOKUP(Tabla1[[#This Row],[Llave]],'[5]Consolidación planes'!$A:$M,12,FALSE),0)</f>
        <v>0</v>
      </c>
      <c r="BH21" s="20">
        <f>IFERROR(VLOOKUP(Tabla1[[#This Row],[Llave]],'[5]Consolidación planes'!$A:$M,13,FALSE),0)</f>
        <v>0</v>
      </c>
      <c r="BI21" s="20">
        <f>IFERROR(VLOOKUP(Tabla1[[#This Row],[Llave]],'[13]Base ultimos planes'!$A:$M,13,FALSE),0)</f>
        <v>0</v>
      </c>
      <c r="BJ21" s="80">
        <f>IFERROR(VLOOKUP(Tabla1[[#This Row],[Llave]],'[13]Base ultimos planes'!$O:$AA,8,FALSE),0)</f>
        <v>17000</v>
      </c>
      <c r="BK21" s="20">
        <f>IFERROR(VLOOKUP(Tabla1[[#This Row],[Llave]],'[13]Base ultimos planes'!$O:$AA,9,FALSE),0)</f>
        <v>4300</v>
      </c>
      <c r="BL21" s="20">
        <f>IFERROR(VLOOKUP(Tabla1[[#This Row],[Llave]],'[13]Base ultimos planes'!$O:$AA,10,FALSE),0)</f>
        <v>0</v>
      </c>
      <c r="BM21" s="20">
        <f>IFERROR(VLOOKUP(Tabla1[[#This Row],[Llave]],'[13]Base ultimos planes'!$O:$AA,11,FALSE),0)</f>
        <v>0</v>
      </c>
      <c r="BN21" s="20">
        <f>IFERROR(VLOOKUP(Tabla1[[#This Row],[Llave]],'[13]Base ultimos planes'!$O:$AA,12,FALSE),0)</f>
        <v>0</v>
      </c>
      <c r="BO21" s="20">
        <f>IFERROR(VLOOKUP(Tabla1[[#This Row],[Llave]],'[13]Base ultimos planes'!$O:$AA,13,FALSE),0)</f>
        <v>0</v>
      </c>
      <c r="BP21" s="20"/>
      <c r="BQ21" s="20">
        <f>+Tabla1[[#This Row],[ RV  Venta mes n+1]]*(1-Tabla1[[#This Row],[% Uti. producción]])</f>
        <v>15552.466143323856</v>
      </c>
      <c r="BR21" s="100"/>
    </row>
    <row r="22" spans="1:70" ht="16" hidden="1" x14ac:dyDescent="0.2">
      <c r="A22">
        <v>1</v>
      </c>
      <c r="B22" t="str">
        <f>Tabla1[[#This Row],[Oficina]]&amp;Tabla1[[#This Row],[Material]]</f>
        <v>Agro Sudamerica1020925</v>
      </c>
      <c r="C22" t="s">
        <v>6</v>
      </c>
      <c r="D22" t="s">
        <v>17</v>
      </c>
      <c r="E22">
        <v>1020925</v>
      </c>
      <c r="F22" t="s">
        <v>13</v>
      </c>
      <c r="G22" t="s">
        <v>11</v>
      </c>
      <c r="H22" t="s">
        <v>12</v>
      </c>
      <c r="I22" s="7">
        <f>IFERROR(VLOOKUP(Tabla1[[#This Row],[Llave]],'[7]RV Producción'!$C:$G,5,FALSE),0)</f>
        <v>11897</v>
      </c>
      <c r="J22" s="3">
        <f>IFERROR(IF(Tabla1[[#This Row],[Oficina]]=$I$7,VLOOKUP(Tabla1[[#This Row],[Llave]],'[7]Shangai (Tomas)'!$A:$F,6,FALSE),VLOOKUP(Tabla1[[#This Row],[Llave]],'[7]RV plan de ventas'!$A:$E,5,FALSE)),0)</f>
        <v>0</v>
      </c>
      <c r="K22" s="8">
        <f>IFERROR(VLOOKUP(Tabla1[[#This Row],[Oficina]],[15]Ponderación!$B$2:$E$9,4,FALSE),0)</f>
        <v>0.45719439678473212</v>
      </c>
      <c r="L22" s="7">
        <f>+Tabla1[[#This Row],[ RV Producción mes n+1]]*Tabla1[[#This Row],[% Uti. producción]]</f>
        <v>5439.2417385479575</v>
      </c>
      <c r="M22" s="7">
        <f>IFERROR(VLOOKUP(Tabla1[[#This Row],[Material]],'[17]TD Stock'!$E:$I,5,FALSE),0)</f>
        <v>60605.939999999995</v>
      </c>
      <c r="N22" s="7">
        <f>IFERROR(VLOOKUP(Tabla1[[#This Row],[Material]],[16]Produccion!$M:$N,2,FALSE),0)</f>
        <v>3152</v>
      </c>
      <c r="O22" s="7">
        <f>IFERROR(VLOOKUP(Tabla1[[#This Row],[Llave]],'[16]TD Conf-AP'!$I:$M,4,FALSE),0)</f>
        <v>0</v>
      </c>
      <c r="P22" s="14">
        <f>SUM(Tabla1[[#This Row],[Producción disponible]],Tabla1[[#This Row],[Stock al día]],(Tabla1[[#This Row],[Por producir mes N]]*0.9))-Tabla1[[#This Row],[Producción por despachar mes N]]</f>
        <v>68881.981738547955</v>
      </c>
      <c r="Q22" s="7">
        <f>IFERROR(VLOOKUP(Tabla1[[#This Row],[Llave]],[17]DELAY!$A:$D,4,FALSE),0)</f>
        <v>156000</v>
      </c>
      <c r="R22" s="9">
        <v>24000</v>
      </c>
      <c r="S22" s="5">
        <f t="shared" si="29"/>
        <v>48000</v>
      </c>
      <c r="T22" s="76">
        <v>-48000</v>
      </c>
      <c r="U22" s="5">
        <f>+Tabla1[[#This Row],[Atraso a facturar]]+Tabla1[[#This Row],[Ajuste atraso]]</f>
        <v>0</v>
      </c>
      <c r="V22" s="3">
        <f>+Tabla1[[#This Row],[Total disponible]]-Tabla1[[#This Row],[Facturación atraso]]</f>
        <v>68881.981738547955</v>
      </c>
      <c r="W22" s="6">
        <f>IFERROR(IF(AND(V22&gt;R22,J22&gt;=R22),ROUNDDOWN((Tabla1[[#This Row],[Producción para venta nueva]])/R22,0)*R22,0),0)</f>
        <v>0</v>
      </c>
      <c r="X22" s="76">
        <v>0</v>
      </c>
      <c r="Y22" s="6">
        <f>IF(Tabla1[[#This Row],[Venta del mes]]&gt;0,Tabla1[[#This Row],[Venta del mes]]+Tabla1[[#This Row],[Ajuste venta nueva]],0)</f>
        <v>0</v>
      </c>
      <c r="Z22" s="6">
        <f>+Tabla1[[#This Row],[Producción para venta nueva]]-Tabla1[[#This Row],[Facturación Venta nueva]]</f>
        <v>68881.981738547955</v>
      </c>
      <c r="AA22" s="6">
        <f>IF(AND(A22=1,Tabla1[[#This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" s="6"/>
      <c r="AC22" s="6">
        <f>IF(Tabla1[[#This Row],[Disponible stock sin venta]]&gt;0,Tabla1[[#This Row],[Disponible stock sin venta]]+Tabla1[[#This Row],[Ajuste stock sin venta]],0)</f>
        <v>0</v>
      </c>
      <c r="AD22" s="3">
        <f>IFERROR(VLOOKUP(Tabla1[[#This Row],[Llave]],'[16]TD Puerto'!$A:$D,4,FALSE),0)</f>
        <v>0</v>
      </c>
      <c r="AE22" s="3">
        <v>48000</v>
      </c>
      <c r="AF22" s="3">
        <f>+Tabla1[[#This Row],[Atraso a facturar]]+Tabla1[[#This Row],[Venta del mes]]+Tabla1[[#This Row],[En puerto a facturar]]+Tabla1[[#This Row],[Disponible stock sin venta]]</f>
        <v>48000</v>
      </c>
      <c r="AG22" s="3">
        <f>+Tabla1[[#This Row],[En puerto a facturar]]</f>
        <v>0</v>
      </c>
      <c r="AH22" s="3">
        <f>+Tabla1[[#This Row],[Facturación atraso]]</f>
        <v>0</v>
      </c>
      <c r="AI22" s="3">
        <f>+Tabla1[[#This Row],[Plan Irrestricto]]-Tabla1[[#This Row],[Puerto ]]-Tabla1[[#This Row],[Atraso]]</f>
        <v>48000</v>
      </c>
      <c r="AJ2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2" s="3">
        <f>+Tabla1[[#This Row],[Facturación atraso]]</f>
        <v>0</v>
      </c>
      <c r="AL22" s="3">
        <f>+Tabla1[[#This Row],[Plan Ajustado]]-Tabla1[[#This Row],[ Atraso ajustado]]-Tabla1[[#This Row],[Puerto ]]</f>
        <v>0</v>
      </c>
      <c r="AM22" s="3">
        <v>0</v>
      </c>
      <c r="AN22" s="3" t="str">
        <f>IF(Tabla1[[#This Row],[Plan Ajustado]]&gt;Tabla1[[#This Row],[En puerto a facturar]],"Si","No")</f>
        <v>No</v>
      </c>
      <c r="AO2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2" s="3">
        <f>IF(Tabla1[[#This Row],[Necesidad]]&gt;=Tabla1[[#This Row],[Stock al día]],Tabla1[[#This Row],[Stock al día]],Tabla1[[#This Row],[Necesidad]])</f>
        <v>0</v>
      </c>
      <c r="AQ22" s="3">
        <f>+Tabla1[[#This Row],[Necesidad]]-Tabla1[[#This Row],[Stock Plan]]</f>
        <v>0</v>
      </c>
      <c r="AR22" s="156">
        <f>IFERROR(VLOOKUP(Tabla1[[#This Row],[Oficina]],[22]Ponderación!$B$3:$G$9,6,FALSE),"")</f>
        <v>44757</v>
      </c>
      <c r="AS2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1.3330788976691959</v>
      </c>
      <c r="AT22" s="83">
        <f>IFERROR(VLOOKUP(Tabla1[[#This Row],[Llave]],[17]DELAY!$H:$W,16,FALSE),0)</f>
        <v>1.4945641025641048</v>
      </c>
      <c r="AU2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2" s="5">
        <f>+Tabla1[[#This Row],[Plan Ajustado]]*Tabla1[[#This Row],[Precio ponderado]]</f>
        <v>0</v>
      </c>
      <c r="AW22" s="30">
        <f>IFERROR(VLOOKUP(Tabla1[[#This Row],[Llave]],'[13]Ultimos precios facturados'!$A:$G,7,FALSE),0)</f>
        <v>1.3330788976691959</v>
      </c>
      <c r="AX2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2" s="30"/>
      <c r="AZ22" s="30">
        <f>IF(Tabla1[[#This Row],[Ajuste precio IC]]="",Tabla1[[#This Row],[Precio ponderado]],Tabla1[[#This Row],[Precio ponderado]])</f>
        <v>0</v>
      </c>
      <c r="BA22" s="82"/>
      <c r="BB22" s="82" t="str">
        <f>IF(AND(Tabla1[[#This Row],[Atraso a facturar]]&gt;0,Tabla1[[#This Row],[Precio Atraso]]=0),"Revisar","OK")</f>
        <v>OK</v>
      </c>
      <c r="BC22" s="82" t="str">
        <f>IF(AND(Tabla1[[#This Row],[Venta del mes]]&gt;0,Tabla1[[#This Row],[Precio venta nueva]]=0),"Revisar","OK")</f>
        <v>OK</v>
      </c>
      <c r="BD22" s="20">
        <f>IFERROR(VLOOKUP(Tabla1[[#This Row],[Llave]],'[5]Consolidación planes'!$A:$M,9,FALSE),0)</f>
        <v>0</v>
      </c>
      <c r="BE22" s="20">
        <f>IFERROR(VLOOKUP(Tabla1[[#This Row],[Llave]],'[5]Consolidación planes'!$A:$M,10,FALSE),0)</f>
        <v>3000</v>
      </c>
      <c r="BF22" s="20">
        <f>IFERROR(VLOOKUP(Tabla1[[#This Row],[Llave]],'[5]Consolidación planes'!$A:$M,11,FALSE),0)</f>
        <v>14000</v>
      </c>
      <c r="BG22" s="20">
        <f>IFERROR(VLOOKUP(Tabla1[[#This Row],[Llave]],'[5]Consolidación planes'!$A:$M,12,FALSE),0)</f>
        <v>38000</v>
      </c>
      <c r="BH22" s="20">
        <f>IFERROR(VLOOKUP(Tabla1[[#This Row],[Llave]],'[5]Consolidación planes'!$A:$M,13,FALSE),0)</f>
        <v>48000</v>
      </c>
      <c r="BI22" s="20">
        <f>IFERROR(VLOOKUP(Tabla1[[#This Row],[Llave]],'[13]Base ultimos planes'!$A:$M,13,FALSE),0)</f>
        <v>72000</v>
      </c>
      <c r="BJ22" s="80">
        <f>IFERROR(VLOOKUP(Tabla1[[#This Row],[Llave]],'[13]Base ultimos planes'!$O:$AA,8,FALSE),0)</f>
        <v>0</v>
      </c>
      <c r="BK22" s="20">
        <f>IFERROR(VLOOKUP(Tabla1[[#This Row],[Llave]],'[13]Base ultimos planes'!$O:$AA,9,FALSE),0)</f>
        <v>3450</v>
      </c>
      <c r="BL22" s="20">
        <f>IFERROR(VLOOKUP(Tabla1[[#This Row],[Llave]],'[13]Base ultimos planes'!$O:$AA,10,FALSE),0)</f>
        <v>13300</v>
      </c>
      <c r="BM22" s="20">
        <f>IFERROR(VLOOKUP(Tabla1[[#This Row],[Llave]],'[13]Base ultimos planes'!$O:$AA,11,FALSE),0)</f>
        <v>44140</v>
      </c>
      <c r="BN22" s="20">
        <f>IFERROR(VLOOKUP(Tabla1[[#This Row],[Llave]],'[13]Base ultimos planes'!$O:$AA,12,FALSE),0)</f>
        <v>69120</v>
      </c>
      <c r="BO22" s="20">
        <f>IFERROR(VLOOKUP(Tabla1[[#This Row],[Llave]],'[13]Base ultimos planes'!$O:$AA,13,FALSE),0)</f>
        <v>103224</v>
      </c>
      <c r="BP22" s="20"/>
      <c r="BQ22" s="20">
        <f>+Tabla1[[#This Row],[ RV  Venta mes n+1]]*(1-Tabla1[[#This Row],[% Uti. producción]])</f>
        <v>0</v>
      </c>
      <c r="BR22" s="100"/>
    </row>
    <row r="23" spans="1:70" ht="16" x14ac:dyDescent="0.2">
      <c r="A23">
        <v>1</v>
      </c>
      <c r="B23" t="str">
        <f>Tabla1[[#This Row],[Oficina]]&amp;Tabla1[[#This Row],[Material]]</f>
        <v>Agro Sudamerica1020944</v>
      </c>
      <c r="C23" t="s">
        <v>6</v>
      </c>
      <c r="D23" t="s">
        <v>17</v>
      </c>
      <c r="E23">
        <v>1020944</v>
      </c>
      <c r="F23" t="s">
        <v>63</v>
      </c>
      <c r="G23" t="s">
        <v>59</v>
      </c>
      <c r="H23" t="s">
        <v>62</v>
      </c>
      <c r="I23" s="7">
        <f>IFERROR(VLOOKUP(Tabla1[[#This Row],[Llave]],'[7]RV Producción'!$C:$G,5,FALSE),0)</f>
        <v>120000</v>
      </c>
      <c r="J23" s="3">
        <f>IFERROR(IF(Tabla1[[#This Row],[Oficina]]=$I$7,VLOOKUP(Tabla1[[#This Row],[Llave]],'[7]Shangai (Tomas)'!$A:$F,6,FALSE),VLOOKUP(Tabla1[[#This Row],[Llave]],'[7]RV plan de ventas'!$A:$E,5,FALSE)),0)</f>
        <v>146353</v>
      </c>
      <c r="K23" s="8">
        <f>IFERROR(VLOOKUP(Tabla1[[#This Row],[Oficina]],[15]Ponderación!$B$2:$E$9,4,FALSE),0)</f>
        <v>0.45719439678473212</v>
      </c>
      <c r="L23" s="7">
        <f>+Tabla1[[#This Row],[ RV Producción mes n+1]]*Tabla1[[#This Row],[% Uti. producción]]</f>
        <v>54863.327614167851</v>
      </c>
      <c r="M23" s="7">
        <f>IFERROR(VLOOKUP(Tabla1[[#This Row],[Material]],'[17]TD Stock'!$E:$I,5,FALSE),0)</f>
        <v>140694.019</v>
      </c>
      <c r="N23" s="7">
        <f>IFERROR(VLOOKUP(Tabla1[[#This Row],[Material]],[16]Produccion!$M:$N,2,FALSE),0)</f>
        <v>90006.482900192263</v>
      </c>
      <c r="O23" s="7">
        <f>IFERROR(VLOOKUP(Tabla1[[#This Row],[Llave]],'[16]TD Conf-AP'!$I:$M,4,FALSE),0)</f>
        <v>0</v>
      </c>
      <c r="P23" s="14">
        <f>SUM(Tabla1[[#This Row],[Producción disponible]],Tabla1[[#This Row],[Stock al día]],(Tabla1[[#This Row],[Por producir mes N]]*0.9))-Tabla1[[#This Row],[Producción por despachar mes N]]</f>
        <v>276563.18122434092</v>
      </c>
      <c r="Q23" s="7">
        <f>IFERROR(VLOOKUP(Tabla1[[#This Row],[Llave]],[17]DELAY!$A:$D,4,FALSE),0)</f>
        <v>238000</v>
      </c>
      <c r="R23" s="9">
        <v>24000</v>
      </c>
      <c r="S23" s="5">
        <f t="shared" si="29"/>
        <v>238000</v>
      </c>
      <c r="T23" s="76">
        <v>-60000</v>
      </c>
      <c r="U23" s="5">
        <f>+Tabla1[[#This Row],[Atraso a facturar]]+Tabla1[[#This Row],[Ajuste atraso]]</f>
        <v>178000</v>
      </c>
      <c r="V23" s="3">
        <f>+Tabla1[[#This Row],[Total disponible]]-Tabla1[[#This Row],[Facturación atraso]]</f>
        <v>98563.181224340922</v>
      </c>
      <c r="W23" s="6">
        <f>IFERROR(IF(AND(V23&gt;R23,J23&gt;=R23),ROUNDDOWN((Tabla1[[#This Row],[Producción para venta nueva]])/R23,0)*R23,0),0)</f>
        <v>96000</v>
      </c>
      <c r="X23" s="76">
        <v>0</v>
      </c>
      <c r="Y23" s="6">
        <f>IF(Tabla1[[#This Row],[Venta del mes]]&gt;0,Tabla1[[#This Row],[Venta del mes]]+Tabla1[[#This Row],[Ajuste venta nueva]],0)</f>
        <v>96000</v>
      </c>
      <c r="Z23" s="6">
        <f>+Tabla1[[#This Row],[Producción para venta nueva]]-Tabla1[[#This Row],[Facturación Venta nueva]]</f>
        <v>2563.1812243409222</v>
      </c>
      <c r="AA23" s="6">
        <f>IF(AND(A23=1,Tabla1[[#This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" s="6"/>
      <c r="AC23" s="6">
        <f>IF(Tabla1[[#This Row],[Disponible stock sin venta]]&gt;0,Tabla1[[#This Row],[Disponible stock sin venta]]+Tabla1[[#This Row],[Ajuste stock sin venta]],0)</f>
        <v>0</v>
      </c>
      <c r="AD23" s="3">
        <f>IFERROR(VLOOKUP(Tabla1[[#This Row],[Llave]],'[16]TD Puerto'!$A:$D,4,FALSE),0)</f>
        <v>0</v>
      </c>
      <c r="AE23" s="3">
        <v>262000</v>
      </c>
      <c r="AF23" s="3">
        <f>+Tabla1[[#This Row],[Atraso a facturar]]+Tabla1[[#This Row],[Venta del mes]]+Tabla1[[#This Row],[En puerto a facturar]]+Tabla1[[#This Row],[Disponible stock sin venta]]</f>
        <v>334000</v>
      </c>
      <c r="AG23" s="3">
        <f>+Tabla1[[#This Row],[En puerto a facturar]]</f>
        <v>0</v>
      </c>
      <c r="AH23" s="3">
        <f>+Tabla1[[#This Row],[Facturación atraso]]</f>
        <v>178000</v>
      </c>
      <c r="AI23" s="3">
        <f>+Tabla1[[#This Row],[Plan Irrestricto]]-Tabla1[[#This Row],[Puerto ]]-Tabla1[[#This Row],[Atraso]]</f>
        <v>156000</v>
      </c>
      <c r="AJ23" s="3">
        <f>IF(Tabla1[[#This Row],[Plan Irrestricto]]&gt;0,SUM(Tabla1[[#This Row],[Facturación atraso]],Tabla1[[#This Row],[Facturación Venta nueva]],Tabla1[[#This Row],[Facturación stock]],Tabla1[[#This Row],[En puerto a facturar]]),0)</f>
        <v>274000</v>
      </c>
      <c r="AK23" s="3">
        <f>+Tabla1[[#This Row],[Facturación atraso]]</f>
        <v>178000</v>
      </c>
      <c r="AL23" s="3">
        <f>+Tabla1[[#This Row],[Plan Ajustado]]-Tabla1[[#This Row],[ Atraso ajustado]]-Tabla1[[#This Row],[Puerto ]]</f>
        <v>96000</v>
      </c>
      <c r="AM23" s="3">
        <v>0</v>
      </c>
      <c r="AN23" s="3" t="str">
        <f>IF(Tabla1[[#This Row],[Plan Ajustado]]&gt;Tabla1[[#This Row],[En puerto a facturar]],"Si","No")</f>
        <v>Si</v>
      </c>
      <c r="AO23" s="3">
        <f>IF(AND(Tabla1[[#This Row],[Plan Ajustado]]&gt;0,Tabla1[[#This Row],[Plan Ajustado]]&gt;Tabla1[[#This Row],[En puerto a facturar]]),(Tabla1[[#This Row],[Plan Ajustado]]-Tabla1[[#This Row],[En puerto a facturar]]),0)</f>
        <v>274000</v>
      </c>
      <c r="AP23" s="3">
        <f>IF(Tabla1[[#This Row],[Necesidad]]&gt;=Tabla1[[#This Row],[Stock al día]],Tabla1[[#This Row],[Stock al día]],Tabla1[[#This Row],[Necesidad]])</f>
        <v>140694.019</v>
      </c>
      <c r="AQ23" s="3">
        <f>+Tabla1[[#This Row],[Necesidad]]-Tabla1[[#This Row],[Stock Plan]]</f>
        <v>133305.981</v>
      </c>
      <c r="AR23" s="156">
        <f>IFERROR(VLOOKUP(Tabla1[[#This Row],[Oficina]],[22]Ponderación!$B$3:$G$9,6,FALSE),"")</f>
        <v>44757</v>
      </c>
      <c r="AS2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2.8276700853416101</v>
      </c>
      <c r="AT23" s="83">
        <f>IFERROR(VLOOKUP(Tabla1[[#This Row],[Llave]],[17]DELAY!$H:$W,16,FALSE),0)</f>
        <v>2.8241846857105681</v>
      </c>
      <c r="AU2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2.8254058476250941</v>
      </c>
      <c r="AV23" s="5">
        <f>+Tabla1[[#This Row],[Plan Ajustado]]*Tabla1[[#This Row],[Precio ponderado]]</f>
        <v>774161.20224927575</v>
      </c>
      <c r="AW23" s="30">
        <f>IFERROR(VLOOKUP(Tabla1[[#This Row],[Llave]],'[13]Ultimos precios facturados'!$A:$G,7,FALSE),0)</f>
        <v>2.4869559132430363</v>
      </c>
      <c r="AX2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0.13609004187802942</v>
      </c>
      <c r="AY23" s="30"/>
      <c r="AZ23" s="30">
        <f>IF(Tabla1[[#This Row],[Ajuste precio IC]]="",Tabla1[[#This Row],[Precio ponderado]],Tabla1[[#This Row],[Precio ponderado]])</f>
        <v>2.8254058476250941</v>
      </c>
      <c r="BA23" s="82"/>
      <c r="BB23" s="82" t="str">
        <f>IF(AND(Tabla1[[#This Row],[Atraso a facturar]]&gt;0,Tabla1[[#This Row],[Precio Atraso]]=0),"Revisar","OK")</f>
        <v>OK</v>
      </c>
      <c r="BC23" s="82" t="str">
        <f>IF(AND(Tabla1[[#This Row],[Venta del mes]]&gt;0,Tabla1[[#This Row],[Precio venta nueva]]=0),"Revisar","OK")</f>
        <v>OK</v>
      </c>
      <c r="BD23" s="20">
        <f>IFERROR(VLOOKUP(Tabla1[[#This Row],[Llave]],'[5]Consolidación planes'!$A:$M,9,FALSE),0)</f>
        <v>480000</v>
      </c>
      <c r="BE23" s="20">
        <f>IFERROR(VLOOKUP(Tabla1[[#This Row],[Llave]],'[5]Consolidación planes'!$A:$M,10,FALSE),0)</f>
        <v>508001</v>
      </c>
      <c r="BF23" s="20">
        <f>IFERROR(VLOOKUP(Tabla1[[#This Row],[Llave]],'[5]Consolidación planes'!$A:$M,11,FALSE),0)</f>
        <v>384000</v>
      </c>
      <c r="BG23" s="20">
        <f>IFERROR(VLOOKUP(Tabla1[[#This Row],[Llave]],'[5]Consolidación planes'!$A:$M,12,FALSE),0)</f>
        <v>188000</v>
      </c>
      <c r="BH23" s="20">
        <f>IFERROR(VLOOKUP(Tabla1[[#This Row],[Llave]],'[5]Consolidación planes'!$A:$M,13,FALSE),0)</f>
        <v>504000</v>
      </c>
      <c r="BI23" s="20">
        <f>IFERROR(VLOOKUP(Tabla1[[#This Row],[Llave]],'[13]Base ultimos planes'!$A:$M,13,FALSE),0)</f>
        <v>262964</v>
      </c>
      <c r="BJ23" s="80">
        <f>IFERROR(VLOOKUP(Tabla1[[#This Row],[Llave]],'[13]Base ultimos planes'!$O:$AA,8,FALSE),0)</f>
        <v>1248000</v>
      </c>
      <c r="BK23" s="20">
        <f>IFERROR(VLOOKUP(Tabla1[[#This Row],[Llave]],'[13]Base ultimos planes'!$O:$AA,9,FALSE),0)</f>
        <v>1281954</v>
      </c>
      <c r="BL23" s="20">
        <f>IFERROR(VLOOKUP(Tabla1[[#This Row],[Llave]],'[13]Base ultimos planes'!$O:$AA,10,FALSE),0)</f>
        <v>924000</v>
      </c>
      <c r="BM23" s="20">
        <f>IFERROR(VLOOKUP(Tabla1[[#This Row],[Llave]],'[13]Base ultimos planes'!$O:$AA,11,FALSE),0)</f>
        <v>424640</v>
      </c>
      <c r="BN23" s="20">
        <f>IFERROR(VLOOKUP(Tabla1[[#This Row],[Llave]],'[13]Base ultimos planes'!$O:$AA,12,FALSE),0)</f>
        <v>1231920</v>
      </c>
      <c r="BO23" s="20">
        <f>IFERROR(VLOOKUP(Tabla1[[#This Row],[Llave]],'[13]Base ultimos planes'!$O:$AA,13,FALSE),0)</f>
        <v>681801</v>
      </c>
      <c r="BP23" s="20"/>
      <c r="BQ23" s="20">
        <f>+Tabla1[[#This Row],[ RV  Venta mes n+1]]*(1-Tabla1[[#This Row],[% Uti. producción]])</f>
        <v>79441.228447364105</v>
      </c>
      <c r="BR23" s="100"/>
    </row>
    <row r="24" spans="1:70" ht="16" x14ac:dyDescent="0.2">
      <c r="A24">
        <v>1</v>
      </c>
      <c r="B24" t="str">
        <f>Tabla1[[#This Row],[Oficina]]&amp;Tabla1[[#This Row],[Material]]</f>
        <v>Agro Sudamerica1021023</v>
      </c>
      <c r="C24" t="s">
        <v>6</v>
      </c>
      <c r="D24" t="s">
        <v>17</v>
      </c>
      <c r="E24">
        <v>1021023</v>
      </c>
      <c r="F24" t="s">
        <v>43</v>
      </c>
      <c r="G24" t="s">
        <v>11</v>
      </c>
      <c r="H24" t="s">
        <v>41</v>
      </c>
      <c r="I24" s="7">
        <f>IFERROR(VLOOKUP(Tabla1[[#This Row],[Llave]],'[7]RV Producción'!$C:$G,5,FALSE),0)</f>
        <v>94744</v>
      </c>
      <c r="J24" s="3">
        <f>IFERROR(IF(Tabla1[[#This Row],[Oficina]]=$I$7,VLOOKUP(Tabla1[[#This Row],[Llave]],'[7]Shangai (Tomas)'!$A:$F,6,FALSE),VLOOKUP(Tabla1[[#This Row],[Llave]],'[7]RV plan de ventas'!$A:$E,5,FALSE)),0)</f>
        <v>120000</v>
      </c>
      <c r="K24" s="8">
        <f>IFERROR(VLOOKUP(Tabla1[[#This Row],[Oficina]],[15]Ponderación!$B$2:$E$9,4,FALSE),0)</f>
        <v>0.45719439678473212</v>
      </c>
      <c r="L24" s="7">
        <f>+Tabla1[[#This Row],[ RV Producción mes n+1]]*Tabla1[[#This Row],[% Uti. producción]]</f>
        <v>43316.425928972661</v>
      </c>
      <c r="M24" s="7">
        <f>IFERROR(VLOOKUP(Tabla1[[#This Row],[Material]],'[17]TD Stock'!$E:$I,5,FALSE),0)</f>
        <v>85078.995999999956</v>
      </c>
      <c r="N24" s="7">
        <f>IFERROR(VLOOKUP(Tabla1[[#This Row],[Material]],[16]Produccion!$M:$N,2,FALSE),0)</f>
        <v>45048</v>
      </c>
      <c r="O24" s="7">
        <f>IFERROR(VLOOKUP(Tabla1[[#This Row],[Llave]],'[16]TD Conf-AP'!$I:$M,4,FALSE),0)</f>
        <v>0</v>
      </c>
      <c r="P24" s="14">
        <f>SUM(Tabla1[[#This Row],[Producción disponible]],Tabla1[[#This Row],[Stock al día]],(Tabla1[[#This Row],[Por producir mes N]]*0.9))-Tabla1[[#This Row],[Producción por despachar mes N]]</f>
        <v>168938.62192897263</v>
      </c>
      <c r="Q24" s="7">
        <f>IFERROR(VLOOKUP(Tabla1[[#This Row],[Llave]],[17]DELAY!$A:$D,4,FALSE),0)</f>
        <v>23000</v>
      </c>
      <c r="R24" s="9">
        <v>24000</v>
      </c>
      <c r="S24" s="5">
        <f t="shared" si="29"/>
        <v>23000</v>
      </c>
      <c r="T24" s="76">
        <v>0</v>
      </c>
      <c r="U24" s="5">
        <f>+Tabla1[[#This Row],[Atraso a facturar]]+Tabla1[[#This Row],[Ajuste atraso]]</f>
        <v>23000</v>
      </c>
      <c r="V24" s="3">
        <f>+Tabla1[[#This Row],[Total disponible]]-Tabla1[[#This Row],[Facturación atraso]]</f>
        <v>145938.62192897263</v>
      </c>
      <c r="W24" s="6">
        <f>IFERROR(IF(AND(V24&gt;R24,J24&gt;=R24),ROUNDDOWN((Tabla1[[#This Row],[Producción para venta nueva]])/R24,0)*R24,0),0)</f>
        <v>144000</v>
      </c>
      <c r="X24" s="76">
        <v>0</v>
      </c>
      <c r="Y24" s="6">
        <f>IF(Tabla1[[#This Row],[Venta del mes]]&gt;0,Tabla1[[#This Row],[Venta del mes]]+Tabla1[[#This Row],[Ajuste venta nueva]],0)</f>
        <v>144000</v>
      </c>
      <c r="Z24" s="6">
        <f>+Tabla1[[#This Row],[Producción para venta nueva]]-Tabla1[[#This Row],[Facturación Venta nueva]]</f>
        <v>1938.6219289726287</v>
      </c>
      <c r="AA24" s="6">
        <f>IF(AND(A24=1,Tabla1[[#This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" s="6"/>
      <c r="AC24" s="6">
        <f>IF(Tabla1[[#This Row],[Disponible stock sin venta]]&gt;0,Tabla1[[#This Row],[Disponible stock sin venta]]+Tabla1[[#This Row],[Ajuste stock sin venta]],0)</f>
        <v>0</v>
      </c>
      <c r="AD24" s="3">
        <f>IFERROR(VLOOKUP(Tabla1[[#This Row],[Llave]],'[16]TD Puerto'!$A:$D,4,FALSE),0)</f>
        <v>0</v>
      </c>
      <c r="AE24" s="3">
        <v>167000</v>
      </c>
      <c r="AF24" s="3">
        <f>+Tabla1[[#This Row],[Atraso a facturar]]+Tabla1[[#This Row],[Venta del mes]]+Tabla1[[#This Row],[En puerto a facturar]]+Tabla1[[#This Row],[Disponible stock sin venta]]</f>
        <v>167000</v>
      </c>
      <c r="AG24" s="3">
        <f>+Tabla1[[#This Row],[En puerto a facturar]]</f>
        <v>0</v>
      </c>
      <c r="AH24" s="3">
        <f>+Tabla1[[#This Row],[Facturación atraso]]</f>
        <v>23000</v>
      </c>
      <c r="AI24" s="3">
        <f>+Tabla1[[#This Row],[Plan Irrestricto]]-Tabla1[[#This Row],[Puerto ]]-Tabla1[[#This Row],[Atraso]]</f>
        <v>144000</v>
      </c>
      <c r="AJ24" s="3">
        <f>IF(Tabla1[[#This Row],[Plan Irrestricto]]&gt;0,SUM(Tabla1[[#This Row],[Facturación atraso]],Tabla1[[#This Row],[Facturación Venta nueva]],Tabla1[[#This Row],[Facturación stock]],Tabla1[[#This Row],[En puerto a facturar]]),0)</f>
        <v>167000</v>
      </c>
      <c r="AK24" s="3">
        <f>+Tabla1[[#This Row],[Facturación atraso]]</f>
        <v>23000</v>
      </c>
      <c r="AL24" s="3">
        <f>+Tabla1[[#This Row],[Plan Ajustado]]-Tabla1[[#This Row],[ Atraso ajustado]]-Tabla1[[#This Row],[Puerto ]]</f>
        <v>144000</v>
      </c>
      <c r="AM24" s="3">
        <v>0</v>
      </c>
      <c r="AN24" s="3" t="str">
        <f>IF(Tabla1[[#This Row],[Plan Ajustado]]&gt;Tabla1[[#This Row],[En puerto a facturar]],"Si","No")</f>
        <v>Si</v>
      </c>
      <c r="AO24" s="3">
        <f>IF(AND(Tabla1[[#This Row],[Plan Ajustado]]&gt;0,Tabla1[[#This Row],[Plan Ajustado]]&gt;Tabla1[[#This Row],[En puerto a facturar]]),(Tabla1[[#This Row],[Plan Ajustado]]-Tabla1[[#This Row],[En puerto a facturar]]),0)</f>
        <v>167000</v>
      </c>
      <c r="AP24" s="3">
        <f>IF(Tabla1[[#This Row],[Necesidad]]&gt;=Tabla1[[#This Row],[Stock al día]],Tabla1[[#This Row],[Stock al día]],Tabla1[[#This Row],[Necesidad]])</f>
        <v>85078.995999999956</v>
      </c>
      <c r="AQ24" s="3">
        <f>+Tabla1[[#This Row],[Necesidad]]-Tabla1[[#This Row],[Stock Plan]]</f>
        <v>81921.004000000044</v>
      </c>
      <c r="AR24" s="156">
        <f>IFERROR(VLOOKUP(Tabla1[[#This Row],[Oficina]],[22]Ponderación!$B$3:$G$9,6,FALSE),"")</f>
        <v>44757</v>
      </c>
      <c r="AS2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1.19</v>
      </c>
      <c r="AT24" s="83">
        <f>IFERROR(VLOOKUP(Tabla1[[#This Row],[Llave]],[17]DELAY!$H:$W,16,FALSE),0)</f>
        <v>1.13041666638655</v>
      </c>
      <c r="AU2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1.1817939121370697</v>
      </c>
      <c r="AV24" s="5">
        <f>+Tabla1[[#This Row],[Plan Ajustado]]*Tabla1[[#This Row],[Precio ponderado]]</f>
        <v>197359.58332689066</v>
      </c>
      <c r="AW24" s="30">
        <f>IFERROR(VLOOKUP(Tabla1[[#This Row],[Llave]],'[13]Ultimos precios facturados'!$A:$G,7,FALSE),0)</f>
        <v>1.1075126748274666</v>
      </c>
      <c r="AX2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6.7070327047205114E-2</v>
      </c>
      <c r="AY24" s="30"/>
      <c r="AZ24" s="30">
        <f>IF(Tabla1[[#This Row],[Ajuste precio IC]]="",Tabla1[[#This Row],[Precio ponderado]],Tabla1[[#This Row],[Precio ponderado]])</f>
        <v>1.1817939121370697</v>
      </c>
      <c r="BA24" s="82"/>
      <c r="BB24" s="82" t="str">
        <f>IF(AND(Tabla1[[#This Row],[Atraso a facturar]]&gt;0,Tabla1[[#This Row],[Precio Atraso]]=0),"Revisar","OK")</f>
        <v>OK</v>
      </c>
      <c r="BC24" s="82" t="str">
        <f>IF(AND(Tabla1[[#This Row],[Venta del mes]]&gt;0,Tabla1[[#This Row],[Precio venta nueva]]=0),"Revisar","OK")</f>
        <v>OK</v>
      </c>
      <c r="BD24" s="20">
        <f>IFERROR(VLOOKUP(Tabla1[[#This Row],[Llave]],'[5]Consolidación planes'!$A:$M,9,FALSE),0)</f>
        <v>120000</v>
      </c>
      <c r="BE24" s="20">
        <f>IFERROR(VLOOKUP(Tabla1[[#This Row],[Llave]],'[5]Consolidación planes'!$A:$M,10,FALSE),0)</f>
        <v>216000</v>
      </c>
      <c r="BF24" s="20">
        <f>IFERROR(VLOOKUP(Tabla1[[#This Row],[Llave]],'[5]Consolidación planes'!$A:$M,11,FALSE),0)</f>
        <v>264000</v>
      </c>
      <c r="BG24" s="20">
        <f>IFERROR(VLOOKUP(Tabla1[[#This Row],[Llave]],'[5]Consolidación planes'!$A:$M,12,FALSE),0)</f>
        <v>167000</v>
      </c>
      <c r="BH24" s="20">
        <f>IFERROR(VLOOKUP(Tabla1[[#This Row],[Llave]],'[5]Consolidación planes'!$A:$M,13,FALSE),0)</f>
        <v>96000</v>
      </c>
      <c r="BI24" s="20">
        <f>IFERROR(VLOOKUP(Tabla1[[#This Row],[Llave]],'[13]Base ultimos planes'!$A:$M,13,FALSE),0)</f>
        <v>120000</v>
      </c>
      <c r="BJ24" s="80">
        <f>IFERROR(VLOOKUP(Tabla1[[#This Row],[Llave]],'[13]Base ultimos planes'!$O:$AA,8,FALSE),0)</f>
        <v>141600</v>
      </c>
      <c r="BK24" s="20">
        <f>IFERROR(VLOOKUP(Tabla1[[#This Row],[Llave]],'[13]Base ultimos planes'!$O:$AA,9,FALSE),0)</f>
        <v>245849</v>
      </c>
      <c r="BL24" s="20">
        <f>IFERROR(VLOOKUP(Tabla1[[#This Row],[Llave]],'[13]Base ultimos planes'!$O:$AA,10,FALSE),0)</f>
        <v>290400</v>
      </c>
      <c r="BM24" s="20">
        <f>IFERROR(VLOOKUP(Tabla1[[#This Row],[Llave]],'[13]Base ultimos planes'!$O:$AA,11,FALSE),0)</f>
        <v>181920</v>
      </c>
      <c r="BN24" s="20">
        <f>IFERROR(VLOOKUP(Tabla1[[#This Row],[Llave]],'[13]Base ultimos planes'!$O:$AA,12,FALSE),0)</f>
        <v>95760</v>
      </c>
      <c r="BO24" s="20">
        <f>IFERROR(VLOOKUP(Tabla1[[#This Row],[Llave]],'[13]Base ultimos planes'!$O:$AA,13,FALSE),0)</f>
        <v>134889</v>
      </c>
      <c r="BP24" s="20"/>
      <c r="BQ24" s="20">
        <f>+Tabla1[[#This Row],[ RV  Venta mes n+1]]*(1-Tabla1[[#This Row],[% Uti. producción]])</f>
        <v>65136.672385832149</v>
      </c>
      <c r="BR24" s="100"/>
    </row>
    <row r="25" spans="1:70" ht="16" x14ac:dyDescent="0.2">
      <c r="A25">
        <v>1</v>
      </c>
      <c r="B25" t="str">
        <f>Tabla1[[#This Row],[Oficina]]&amp;Tabla1[[#This Row],[Material]]</f>
        <v>Agro Sudamerica1021039</v>
      </c>
      <c r="C25" t="s">
        <v>6</v>
      </c>
      <c r="D25" t="s">
        <v>17</v>
      </c>
      <c r="E25">
        <v>1021039</v>
      </c>
      <c r="F25" t="s">
        <v>36</v>
      </c>
      <c r="G25" t="s">
        <v>8</v>
      </c>
      <c r="H25" t="s">
        <v>9</v>
      </c>
      <c r="I25" s="7">
        <f>IFERROR(VLOOKUP(Tabla1[[#This Row],[Llave]],'[7]RV Producción'!$C:$G,5,FALSE),0)</f>
        <v>54898</v>
      </c>
      <c r="J25" s="3">
        <f>IFERROR(IF(Tabla1[[#This Row],[Oficina]]=$I$7,VLOOKUP(Tabla1[[#This Row],[Llave]],'[7]Shangai (Tomas)'!$A:$F,6,FALSE),VLOOKUP(Tabla1[[#This Row],[Llave]],'[7]RV plan de ventas'!$A:$E,5,FALSE)),0)</f>
        <v>0</v>
      </c>
      <c r="K25" s="8">
        <f>IFERROR(VLOOKUP(Tabla1[[#This Row],[Oficina]],[15]Ponderación!$B$2:$E$9,4,FALSE),0)</f>
        <v>0.45719439678473212</v>
      </c>
      <c r="L25" s="7">
        <f>+Tabla1[[#This Row],[ RV Producción mes n+1]]*Tabla1[[#This Row],[% Uti. producción]]</f>
        <v>25099.057994688224</v>
      </c>
      <c r="M25" s="7">
        <f>IFERROR(VLOOKUP(Tabla1[[#This Row],[Material]],'[17]TD Stock'!$E:$I,5,FALSE),0)</f>
        <v>33578.494000000013</v>
      </c>
      <c r="N25" s="7">
        <f>IFERROR(VLOOKUP(Tabla1[[#This Row],[Material]],[16]Produccion!$M:$N,2,FALSE),0)</f>
        <v>16726</v>
      </c>
      <c r="O25" s="7">
        <f>IFERROR(VLOOKUP(Tabla1[[#This Row],[Llave]],'[16]TD Conf-AP'!$I:$M,4,FALSE),0)</f>
        <v>0</v>
      </c>
      <c r="P25" s="14">
        <f>SUM(Tabla1[[#This Row],[Producción disponible]],Tabla1[[#This Row],[Stock al día]],(Tabla1[[#This Row],[Por producir mes N]]*0.9))-Tabla1[[#This Row],[Producción por despachar mes N]]</f>
        <v>73730.951994688236</v>
      </c>
      <c r="Q25" s="7">
        <f>IFERROR(VLOOKUP(Tabla1[[#This Row],[Llave]],[17]DELAY!$A:$D,4,FALSE),0)</f>
        <v>146039</v>
      </c>
      <c r="R25" s="9">
        <v>24000</v>
      </c>
      <c r="S25" s="5">
        <f t="shared" si="29"/>
        <v>72000</v>
      </c>
      <c r="T25" s="76">
        <v>-24000</v>
      </c>
      <c r="U25" s="5">
        <f>+Tabla1[[#This Row],[Atraso a facturar]]+Tabla1[[#This Row],[Ajuste atraso]]</f>
        <v>48000</v>
      </c>
      <c r="V25" s="3">
        <f>+Tabla1[[#This Row],[Total disponible]]-Tabla1[[#This Row],[Facturación atraso]]</f>
        <v>25730.951994688236</v>
      </c>
      <c r="W25" s="6">
        <f>IFERROR(IF(AND(V25&gt;R25,J25&gt;=R25),ROUNDDOWN((Tabla1[[#This Row],[Producción para venta nueva]])/R25,0)*R25,0),0)</f>
        <v>0</v>
      </c>
      <c r="X25" s="76">
        <v>0</v>
      </c>
      <c r="Y25" s="6">
        <f>IF(Tabla1[[#This Row],[Venta del mes]]&gt;0,Tabla1[[#This Row],[Venta del mes]]+Tabla1[[#This Row],[Ajuste venta nueva]],0)</f>
        <v>0</v>
      </c>
      <c r="Z25" s="6">
        <f>+Tabla1[[#This Row],[Producción para venta nueva]]-Tabla1[[#This Row],[Facturación Venta nueva]]</f>
        <v>25730.951994688236</v>
      </c>
      <c r="AA25" s="6">
        <f>IF(AND(A25=1,Tabla1[[#This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" s="6"/>
      <c r="AC25" s="6">
        <f>IF(Tabla1[[#This Row],[Disponible stock sin venta]]&gt;0,Tabla1[[#This Row],[Disponible stock sin venta]]+Tabla1[[#This Row],[Ajuste stock sin venta]],0)</f>
        <v>0</v>
      </c>
      <c r="AD25" s="3">
        <f>IFERROR(VLOOKUP(Tabla1[[#This Row],[Llave]],'[16]TD Puerto'!$A:$D,4,FALSE),0)</f>
        <v>2039</v>
      </c>
      <c r="AE25" s="3">
        <v>74039</v>
      </c>
      <c r="AF25" s="3">
        <f>+Tabla1[[#This Row],[Atraso a facturar]]+Tabla1[[#This Row],[Venta del mes]]+Tabla1[[#This Row],[En puerto a facturar]]+Tabla1[[#This Row],[Disponible stock sin venta]]</f>
        <v>74039</v>
      </c>
      <c r="AG25" s="3">
        <f>+Tabla1[[#This Row],[En puerto a facturar]]</f>
        <v>2039</v>
      </c>
      <c r="AH25" s="3">
        <f>+Tabla1[[#This Row],[Facturación atraso]]</f>
        <v>48000</v>
      </c>
      <c r="AI25" s="3">
        <f>+Tabla1[[#This Row],[Plan Irrestricto]]-Tabla1[[#This Row],[Puerto ]]-Tabla1[[#This Row],[Atraso]]</f>
        <v>24000</v>
      </c>
      <c r="AJ25" s="3">
        <f>IF(Tabla1[[#This Row],[Plan Irrestricto]]&gt;0,SUM(Tabla1[[#This Row],[Facturación atraso]],Tabla1[[#This Row],[Facturación Venta nueva]],Tabla1[[#This Row],[Facturación stock]],Tabla1[[#This Row],[En puerto a facturar]]),0)</f>
        <v>50039</v>
      </c>
      <c r="AK25" s="3">
        <f>+Tabla1[[#This Row],[Facturación atraso]]</f>
        <v>48000</v>
      </c>
      <c r="AL25" s="3">
        <f>+Tabla1[[#This Row],[Plan Ajustado]]-Tabla1[[#This Row],[ Atraso ajustado]]-Tabla1[[#This Row],[Puerto ]]</f>
        <v>0</v>
      </c>
      <c r="AM25" s="3">
        <v>0</v>
      </c>
      <c r="AN25" s="3" t="str">
        <f>IF(Tabla1[[#This Row],[Plan Ajustado]]&gt;Tabla1[[#This Row],[En puerto a facturar]],"Si","No")</f>
        <v>Si</v>
      </c>
      <c r="AO25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25" s="3">
        <f>IF(Tabla1[[#This Row],[Necesidad]]&gt;=Tabla1[[#This Row],[Stock al día]],Tabla1[[#This Row],[Stock al día]],Tabla1[[#This Row],[Necesidad]])</f>
        <v>33578.494000000013</v>
      </c>
      <c r="AQ25" s="3">
        <f>+Tabla1[[#This Row],[Necesidad]]-Tabla1[[#This Row],[Stock Plan]]</f>
        <v>14421.505999999987</v>
      </c>
      <c r="AR25" s="156">
        <f>IFERROR(VLOOKUP(Tabla1[[#This Row],[Oficina]],[22]Ponderación!$B$3:$G$9,6,FALSE),"")</f>
        <v>44757</v>
      </c>
      <c r="AS2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0.59102965302721577</v>
      </c>
      <c r="AT25" s="83">
        <f>IFERROR(VLOOKUP(Tabla1[[#This Row],[Llave]],[17]DELAY!$H:$W,16,FALSE),0)</f>
        <v>0.66492269736166365</v>
      </c>
      <c r="AU2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0.66492269736166365</v>
      </c>
      <c r="AV25" s="5">
        <f>+Tabla1[[#This Row],[Plan Ajustado]]*Tabla1[[#This Row],[Precio ponderado]]</f>
        <v>33272.066853280288</v>
      </c>
      <c r="AW25" s="30">
        <f>IFERROR(VLOOKUP(Tabla1[[#This Row],[Llave]],'[13]Ultimos precios facturados'!$A:$G,7,FALSE),0)</f>
        <v>0.59102965302721577</v>
      </c>
      <c r="AX2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0.12502425886073984</v>
      </c>
      <c r="AY25" s="30"/>
      <c r="AZ25" s="30">
        <f>IF(Tabla1[[#This Row],[Ajuste precio IC]]="",Tabla1[[#This Row],[Precio ponderado]],Tabla1[[#This Row],[Precio ponderado]])</f>
        <v>0.66492269736166365</v>
      </c>
      <c r="BA25" s="82"/>
      <c r="BB25" s="82" t="str">
        <f>IF(AND(Tabla1[[#This Row],[Atraso a facturar]]&gt;0,Tabla1[[#This Row],[Precio Atraso]]=0),"Revisar","OK")</f>
        <v>OK</v>
      </c>
      <c r="BC25" s="82" t="str">
        <f>IF(AND(Tabla1[[#This Row],[Venta del mes]]&gt;0,Tabla1[[#This Row],[Precio venta nueva]]=0),"Revisar","OK")</f>
        <v>OK</v>
      </c>
      <c r="BD25" s="20">
        <f>IFERROR(VLOOKUP(Tabla1[[#This Row],[Llave]],'[5]Consolidación planes'!$A:$M,9,FALSE),0)</f>
        <v>24000</v>
      </c>
      <c r="BE25" s="20">
        <f>IFERROR(VLOOKUP(Tabla1[[#This Row],[Llave]],'[5]Consolidación planes'!$A:$M,10,FALSE),0)</f>
        <v>24000</v>
      </c>
      <c r="BF25" s="20">
        <f>IFERROR(VLOOKUP(Tabla1[[#This Row],[Llave]],'[5]Consolidación planes'!$A:$M,11,FALSE),0)</f>
        <v>72000</v>
      </c>
      <c r="BG25" s="20">
        <f>IFERROR(VLOOKUP(Tabla1[[#This Row],[Llave]],'[5]Consolidación planes'!$A:$M,12,FALSE),0)</f>
        <v>0</v>
      </c>
      <c r="BH25" s="20">
        <f>IFERROR(VLOOKUP(Tabla1[[#This Row],[Llave]],'[5]Consolidación planes'!$A:$M,13,FALSE),0)</f>
        <v>48000</v>
      </c>
      <c r="BI25" s="20">
        <f>IFERROR(VLOOKUP(Tabla1[[#This Row],[Llave]],'[13]Base ultimos planes'!$A:$M,13,FALSE),0)</f>
        <v>48000</v>
      </c>
      <c r="BJ25" s="80">
        <f>IFERROR(VLOOKUP(Tabla1[[#This Row],[Llave]],'[13]Base ultimos planes'!$O:$AA,8,FALSE),0)</f>
        <v>12000</v>
      </c>
      <c r="BK25" s="20">
        <f>IFERROR(VLOOKUP(Tabla1[[#This Row],[Llave]],'[13]Base ultimos planes'!$O:$AA,9,FALSE),0)</f>
        <v>14400</v>
      </c>
      <c r="BL25" s="20">
        <f>IFERROR(VLOOKUP(Tabla1[[#This Row],[Llave]],'[13]Base ultimos planes'!$O:$AA,10,FALSE),0)</f>
        <v>38880</v>
      </c>
      <c r="BM25" s="20">
        <f>IFERROR(VLOOKUP(Tabla1[[#This Row],[Llave]],'[13]Base ultimos planes'!$O:$AA,11,FALSE),0)</f>
        <v>0</v>
      </c>
      <c r="BN25" s="20">
        <f>IFERROR(VLOOKUP(Tabla1[[#This Row],[Llave]],'[13]Base ultimos planes'!$O:$AA,12,FALSE),0)</f>
        <v>28787</v>
      </c>
      <c r="BO25" s="20">
        <f>IFERROR(VLOOKUP(Tabla1[[#This Row],[Llave]],'[13]Base ultimos planes'!$O:$AA,13,FALSE),0)</f>
        <v>30298</v>
      </c>
      <c r="BP25" s="20"/>
      <c r="BQ25" s="20">
        <f>+Tabla1[[#This Row],[ RV  Venta mes n+1]]*(1-Tabla1[[#This Row],[% Uti. producción]])</f>
        <v>0</v>
      </c>
      <c r="BR25" s="100"/>
    </row>
    <row r="26" spans="1:70" ht="16" x14ac:dyDescent="0.2">
      <c r="A26">
        <v>1</v>
      </c>
      <c r="B26" t="str">
        <f>Tabla1[[#This Row],[Oficina]]&amp;Tabla1[[#This Row],[Material]]</f>
        <v>Agro Sudamerica1021077</v>
      </c>
      <c r="C26" t="s">
        <v>6</v>
      </c>
      <c r="D26" t="s">
        <v>17</v>
      </c>
      <c r="E26">
        <v>1021077</v>
      </c>
      <c r="F26" t="s">
        <v>45</v>
      </c>
      <c r="G26" t="s">
        <v>11</v>
      </c>
      <c r="H26" t="s">
        <v>41</v>
      </c>
      <c r="I26" s="7">
        <f>IFERROR(VLOOKUP(Tabla1[[#This Row],[Llave]],'[7]RV Producción'!$C:$G,5,FALSE),0)</f>
        <v>8004</v>
      </c>
      <c r="J26" s="3">
        <f>IFERROR(IF(Tabla1[[#This Row],[Oficina]]=$I$7,VLOOKUP(Tabla1[[#This Row],[Llave]],'[7]Shangai (Tomas)'!$A:$F,6,FALSE),VLOOKUP(Tabla1[[#This Row],[Llave]],'[7]RV plan de ventas'!$A:$E,5,FALSE)),0)</f>
        <v>0</v>
      </c>
      <c r="K26" s="8">
        <f>IFERROR(VLOOKUP(Tabla1[[#This Row],[Oficina]],[15]Ponderación!$B$2:$E$9,4,FALSE),0)</f>
        <v>0.45719439678473212</v>
      </c>
      <c r="L26" s="7">
        <f>+Tabla1[[#This Row],[ RV Producción mes n+1]]*Tabla1[[#This Row],[% Uti. producción]]</f>
        <v>3659.3839518649957</v>
      </c>
      <c r="M26" s="7">
        <f>IFERROR(VLOOKUP(Tabla1[[#This Row],[Material]],'[17]TD Stock'!$E:$I,5,FALSE),0)</f>
        <v>76502.83</v>
      </c>
      <c r="N26" s="7">
        <f>IFERROR(VLOOKUP(Tabla1[[#This Row],[Material]],[16]Produccion!$M:$N,2,FALSE),0)</f>
        <v>0</v>
      </c>
      <c r="O26" s="7">
        <f>IFERROR(VLOOKUP(Tabla1[[#This Row],[Llave]],'[16]TD Conf-AP'!$I:$M,4,FALSE),0)</f>
        <v>0</v>
      </c>
      <c r="P26" s="14">
        <f>SUM(Tabla1[[#This Row],[Producción disponible]],Tabla1[[#This Row],[Stock al día]],(Tabla1[[#This Row],[Por producir mes N]]*0.9))-Tabla1[[#This Row],[Producción por despachar mes N]]</f>
        <v>80162.213951864993</v>
      </c>
      <c r="Q26" s="7">
        <f>IFERROR(VLOOKUP(Tabla1[[#This Row],[Llave]],[17]DELAY!$A:$D,4,FALSE),0)</f>
        <v>53000</v>
      </c>
      <c r="R26" s="9">
        <v>24000</v>
      </c>
      <c r="S26" s="5">
        <f t="shared" si="29"/>
        <v>53000</v>
      </c>
      <c r="T26" s="76">
        <v>0</v>
      </c>
      <c r="U26" s="5">
        <f>+Tabla1[[#This Row],[Atraso a facturar]]+Tabla1[[#This Row],[Ajuste atraso]]</f>
        <v>53000</v>
      </c>
      <c r="V26" s="3">
        <f>+Tabla1[[#This Row],[Total disponible]]-Tabla1[[#This Row],[Facturación atraso]]</f>
        <v>27162.213951864993</v>
      </c>
      <c r="W26" s="6">
        <f>IFERROR(IF(AND(V26&gt;R26,J26&gt;=R26),ROUNDDOWN((Tabla1[[#This Row],[Producción para venta nueva]])/R26,0)*R26,0),0)</f>
        <v>0</v>
      </c>
      <c r="X26" s="76">
        <v>0</v>
      </c>
      <c r="Y26" s="6">
        <f>IF(Tabla1[[#This Row],[Venta del mes]]&gt;0,Tabla1[[#This Row],[Venta del mes]]+Tabla1[[#This Row],[Ajuste venta nueva]],0)</f>
        <v>0</v>
      </c>
      <c r="Z26" s="6">
        <f>+Tabla1[[#This Row],[Producción para venta nueva]]-Tabla1[[#This Row],[Facturación Venta nueva]]</f>
        <v>27162.213951864993</v>
      </c>
      <c r="AA26" s="6">
        <f>IF(AND(A26=1,Tabla1[[#This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24000</v>
      </c>
      <c r="AB26" s="6"/>
      <c r="AC26" s="6">
        <f>IF(Tabla1[[#This Row],[Disponible stock sin venta]]&gt;0,Tabla1[[#This Row],[Disponible stock sin venta]]+Tabla1[[#This Row],[Ajuste stock sin venta]],0)</f>
        <v>24000</v>
      </c>
      <c r="AD26" s="3">
        <f>IFERROR(VLOOKUP(Tabla1[[#This Row],[Llave]],'[16]TD Puerto'!$A:$D,4,FALSE),0)</f>
        <v>0</v>
      </c>
      <c r="AE26" s="3">
        <v>77000</v>
      </c>
      <c r="AF26" s="3">
        <f>+Tabla1[[#This Row],[Atraso a facturar]]+Tabla1[[#This Row],[Venta del mes]]+Tabla1[[#This Row],[En puerto a facturar]]+Tabla1[[#This Row],[Disponible stock sin venta]]</f>
        <v>77000</v>
      </c>
      <c r="AG26" s="3">
        <f>+Tabla1[[#This Row],[En puerto a facturar]]</f>
        <v>0</v>
      </c>
      <c r="AH26" s="3">
        <f>+Tabla1[[#This Row],[Facturación atraso]]</f>
        <v>53000</v>
      </c>
      <c r="AI26" s="3">
        <f>+Tabla1[[#This Row],[Plan Irrestricto]]-Tabla1[[#This Row],[Puerto ]]-Tabla1[[#This Row],[Atraso]]</f>
        <v>24000</v>
      </c>
      <c r="AJ26" s="3">
        <f>IF(Tabla1[[#This Row],[Plan Irrestricto]]&gt;0,SUM(Tabla1[[#This Row],[Facturación atraso]],Tabla1[[#This Row],[Facturación Venta nueva]],Tabla1[[#This Row],[Facturación stock]],Tabla1[[#This Row],[En puerto a facturar]]),0)</f>
        <v>77000</v>
      </c>
      <c r="AK26" s="3">
        <f>+Tabla1[[#This Row],[Facturación atraso]]</f>
        <v>53000</v>
      </c>
      <c r="AL26" s="3">
        <f>+Tabla1[[#This Row],[Plan Ajustado]]-Tabla1[[#This Row],[ Atraso ajustado]]-Tabla1[[#This Row],[Puerto ]]</f>
        <v>24000</v>
      </c>
      <c r="AM26" s="3">
        <v>0</v>
      </c>
      <c r="AN26" s="3" t="str">
        <f>IF(Tabla1[[#This Row],[Plan Ajustado]]&gt;Tabla1[[#This Row],[En puerto a facturar]],"Si","No")</f>
        <v>Si</v>
      </c>
      <c r="AO26" s="3">
        <f>IF(AND(Tabla1[[#This Row],[Plan Ajustado]]&gt;0,Tabla1[[#This Row],[Plan Ajustado]]&gt;Tabla1[[#This Row],[En puerto a facturar]]),(Tabla1[[#This Row],[Plan Ajustado]]-Tabla1[[#This Row],[En puerto a facturar]]),0)</f>
        <v>77000</v>
      </c>
      <c r="AP26" s="3">
        <f>IF(Tabla1[[#This Row],[Necesidad]]&gt;=Tabla1[[#This Row],[Stock al día]],Tabla1[[#This Row],[Stock al día]],Tabla1[[#This Row],[Necesidad]])</f>
        <v>76502.83</v>
      </c>
      <c r="AQ26" s="3">
        <f>+Tabla1[[#This Row],[Necesidad]]-Tabla1[[#This Row],[Stock Plan]]</f>
        <v>497.16999999999825</v>
      </c>
      <c r="AR26" s="156">
        <f>IFERROR(VLOOKUP(Tabla1[[#This Row],[Oficina]],[22]Ponderación!$B$3:$G$9,6,FALSE),"")</f>
        <v>44757</v>
      </c>
      <c r="AS2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1.1064481911376645</v>
      </c>
      <c r="AT26" s="83">
        <f>IFERROR(VLOOKUP(Tabla1[[#This Row],[Llave]],[17]DELAY!$H:$W,16,FALSE),0)</f>
        <v>1.234489302576889</v>
      </c>
      <c r="AU2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1.2344893025768893</v>
      </c>
      <c r="AV26" s="5">
        <f>+Tabla1[[#This Row],[Plan Ajustado]]*Tabla1[[#This Row],[Precio ponderado]]</f>
        <v>95055.676298420469</v>
      </c>
      <c r="AW26" s="30">
        <f>IFERROR(VLOOKUP(Tabla1[[#This Row],[Llave]],'[13]Ultimos precios facturados'!$A:$G,7,FALSE),0)</f>
        <v>1.1064481911376645</v>
      </c>
      <c r="AX2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0.11572264518555656</v>
      </c>
      <c r="AY26" s="30"/>
      <c r="AZ26" s="30">
        <f>IF(Tabla1[[#This Row],[Ajuste precio IC]]="",Tabla1[[#This Row],[Precio ponderado]],Tabla1[[#This Row],[Precio ponderado]])</f>
        <v>1.2344893025768893</v>
      </c>
      <c r="BA26" s="82"/>
      <c r="BB26" s="82" t="str">
        <f>IF(AND(Tabla1[[#This Row],[Atraso a facturar]]&gt;0,Tabla1[[#This Row],[Precio Atraso]]=0),"Revisar","OK")</f>
        <v>OK</v>
      </c>
      <c r="BC26" s="82" t="str">
        <f>IF(AND(Tabla1[[#This Row],[Venta del mes]]&gt;0,Tabla1[[#This Row],[Precio venta nueva]]=0),"Revisar","OK")</f>
        <v>OK</v>
      </c>
      <c r="BD26" s="20">
        <f>IFERROR(VLOOKUP(Tabla1[[#This Row],[Llave]],'[5]Consolidación planes'!$A:$M,9,FALSE),0)</f>
        <v>0</v>
      </c>
      <c r="BE26" s="20">
        <f>IFERROR(VLOOKUP(Tabla1[[#This Row],[Llave]],'[5]Consolidación planes'!$A:$M,10,FALSE),0)</f>
        <v>24000</v>
      </c>
      <c r="BF26" s="20">
        <f>IFERROR(VLOOKUP(Tabla1[[#This Row],[Llave]],'[5]Consolidación planes'!$A:$M,11,FALSE),0)</f>
        <v>0</v>
      </c>
      <c r="BG26" s="20">
        <f>IFERROR(VLOOKUP(Tabla1[[#This Row],[Llave]],'[5]Consolidación planes'!$A:$M,12,FALSE),0)</f>
        <v>48000</v>
      </c>
      <c r="BH26" s="20">
        <f>IFERROR(VLOOKUP(Tabla1[[#This Row],[Llave]],'[5]Consolidación planes'!$A:$M,13,FALSE),0)</f>
        <v>0</v>
      </c>
      <c r="BI26" s="20">
        <f>IFERROR(VLOOKUP(Tabla1[[#This Row],[Llave]],'[13]Base ultimos planes'!$A:$M,13,FALSE),0)</f>
        <v>48000</v>
      </c>
      <c r="BJ26" s="80">
        <f>IFERROR(VLOOKUP(Tabla1[[#This Row],[Llave]],'[13]Base ultimos planes'!$O:$AA,8,FALSE),0)</f>
        <v>0</v>
      </c>
      <c r="BK26" s="20">
        <f>IFERROR(VLOOKUP(Tabla1[[#This Row],[Llave]],'[13]Base ultimos planes'!$O:$AA,9,FALSE),0)</f>
        <v>29259</v>
      </c>
      <c r="BL26" s="20">
        <f>IFERROR(VLOOKUP(Tabla1[[#This Row],[Llave]],'[13]Base ultimos planes'!$O:$AA,10,FALSE),0)</f>
        <v>0</v>
      </c>
      <c r="BM26" s="20">
        <f>IFERROR(VLOOKUP(Tabla1[[#This Row],[Llave]],'[13]Base ultimos planes'!$O:$AA,11,FALSE),0)</f>
        <v>60720</v>
      </c>
      <c r="BN26" s="20">
        <f>IFERROR(VLOOKUP(Tabla1[[#This Row],[Llave]],'[13]Base ultimos planes'!$O:$AA,12,FALSE),0)</f>
        <v>0</v>
      </c>
      <c r="BO26" s="20">
        <f>IFERROR(VLOOKUP(Tabla1[[#This Row],[Llave]],'[13]Base ultimos planes'!$O:$AA,13,FALSE),0)</f>
        <v>69235</v>
      </c>
      <c r="BP26" s="20"/>
      <c r="BQ26" s="20">
        <f>+Tabla1[[#This Row],[ RV  Venta mes n+1]]*(1-Tabla1[[#This Row],[% Uti. producción]])</f>
        <v>0</v>
      </c>
      <c r="BR26" s="100"/>
    </row>
    <row r="27" spans="1:70" ht="16" x14ac:dyDescent="0.2">
      <c r="A27">
        <v>1</v>
      </c>
      <c r="B27" t="str">
        <f>Tabla1[[#This Row],[Oficina]]&amp;Tabla1[[#This Row],[Material]]</f>
        <v>Agro Sudamerica1021078</v>
      </c>
      <c r="C27" t="s">
        <v>6</v>
      </c>
      <c r="D27" t="s">
        <v>17</v>
      </c>
      <c r="E27">
        <v>1021078</v>
      </c>
      <c r="F27" t="s">
        <v>74</v>
      </c>
      <c r="G27" t="s">
        <v>71</v>
      </c>
      <c r="H27" t="s">
        <v>72</v>
      </c>
      <c r="I27" s="7">
        <f>IFERROR(VLOOKUP(Tabla1[[#This Row],[Llave]],'[7]RV Producción'!$C:$G,5,FALSE),0)</f>
        <v>80028</v>
      </c>
      <c r="J27" s="3">
        <f>IFERROR(IF(Tabla1[[#This Row],[Oficina]]=$I$7,VLOOKUP(Tabla1[[#This Row],[Llave]],'[7]Shangai (Tomas)'!$A:$F,6,FALSE),VLOOKUP(Tabla1[[#This Row],[Llave]],'[7]RV plan de ventas'!$A:$E,5,FALSE)),0)</f>
        <v>96176</v>
      </c>
      <c r="K27" s="8">
        <f>IFERROR(VLOOKUP(Tabla1[[#This Row],[Oficina]],[15]Ponderación!$B$2:$E$9,4,FALSE),0)</f>
        <v>0.45719439678473212</v>
      </c>
      <c r="L27" s="7">
        <f>+Tabla1[[#This Row],[ RV Producción mes n+1]]*Tabla1[[#This Row],[% Uti. producción]]</f>
        <v>36588.35318588854</v>
      </c>
      <c r="M27" s="7">
        <f>IFERROR(VLOOKUP(Tabla1[[#This Row],[Material]],'[17]TD Stock'!$E:$I,5,FALSE),0)</f>
        <v>93896.372000000076</v>
      </c>
      <c r="N27" s="7">
        <f>IFERROR(VLOOKUP(Tabla1[[#This Row],[Material]],[16]Produccion!$M:$N,2,FALSE),0)</f>
        <v>33635</v>
      </c>
      <c r="O27" s="7">
        <f>IFERROR(VLOOKUP(Tabla1[[#This Row],[Llave]],'[16]TD Conf-AP'!$I:$M,4,FALSE),0)</f>
        <v>0</v>
      </c>
      <c r="P27" s="14">
        <f>SUM(Tabla1[[#This Row],[Producción disponible]],Tabla1[[#This Row],[Stock al día]],(Tabla1[[#This Row],[Por producir mes N]]*0.9))-Tabla1[[#This Row],[Producción por despachar mes N]]</f>
        <v>160756.22518588862</v>
      </c>
      <c r="Q27" s="7">
        <f>IFERROR(VLOOKUP(Tabla1[[#This Row],[Llave]],[17]DELAY!$A:$D,4,FALSE),0)</f>
        <v>144000</v>
      </c>
      <c r="R27" s="9">
        <v>24000</v>
      </c>
      <c r="S27" s="5">
        <f t="shared" si="29"/>
        <v>144000</v>
      </c>
      <c r="T27" s="76">
        <v>0</v>
      </c>
      <c r="U27" s="5">
        <f>+Tabla1[[#This Row],[Atraso a facturar]]+Tabla1[[#This Row],[Ajuste atraso]]</f>
        <v>144000</v>
      </c>
      <c r="V27" s="3">
        <f>+Tabla1[[#This Row],[Total disponible]]-Tabla1[[#This Row],[Facturación atraso]]</f>
        <v>16756.225185888616</v>
      </c>
      <c r="W27" s="6">
        <f>IFERROR(IF(AND(V27&gt;R27,J27&gt;=R27),ROUNDDOWN((Tabla1[[#This Row],[Producción para venta nueva]])/R27,0)*R27,0),0)</f>
        <v>0</v>
      </c>
      <c r="X27" s="76">
        <v>0</v>
      </c>
      <c r="Y27" s="6">
        <f>IF(Tabla1[[#This Row],[Venta del mes]]&gt;0,Tabla1[[#This Row],[Venta del mes]]+Tabla1[[#This Row],[Ajuste venta nueva]],0)</f>
        <v>0</v>
      </c>
      <c r="Z27" s="6">
        <f>+Tabla1[[#This Row],[Producción para venta nueva]]-Tabla1[[#This Row],[Facturación Venta nueva]]</f>
        <v>16756.225185888616</v>
      </c>
      <c r="AA27" s="6">
        <f>IF(AND(A27=1,Tabla1[[#This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" s="6"/>
      <c r="AC27" s="6">
        <f>IF(Tabla1[[#This Row],[Disponible stock sin venta]]&gt;0,Tabla1[[#This Row],[Disponible stock sin venta]]+Tabla1[[#This Row],[Ajuste stock sin venta]],0)</f>
        <v>0</v>
      </c>
      <c r="AD27" s="3">
        <f>IFERROR(VLOOKUP(Tabla1[[#This Row],[Llave]],'[16]TD Puerto'!$A:$D,4,FALSE),0)</f>
        <v>0</v>
      </c>
      <c r="AE27" s="3">
        <v>144000</v>
      </c>
      <c r="AF27" s="3">
        <f>+Tabla1[[#This Row],[Atraso a facturar]]+Tabla1[[#This Row],[Venta del mes]]+Tabla1[[#This Row],[En puerto a facturar]]+Tabla1[[#This Row],[Disponible stock sin venta]]</f>
        <v>144000</v>
      </c>
      <c r="AG27" s="3">
        <f>+Tabla1[[#This Row],[En puerto a facturar]]</f>
        <v>0</v>
      </c>
      <c r="AH27" s="3">
        <f>+Tabla1[[#This Row],[Facturación atraso]]</f>
        <v>144000</v>
      </c>
      <c r="AI27" s="3">
        <f>+Tabla1[[#This Row],[Plan Irrestricto]]-Tabla1[[#This Row],[Puerto ]]-Tabla1[[#This Row],[Atraso]]</f>
        <v>0</v>
      </c>
      <c r="AJ27" s="3">
        <f>IF(Tabla1[[#This Row],[Plan Irrestricto]]&gt;0,SUM(Tabla1[[#This Row],[Facturación atraso]],Tabla1[[#This Row],[Facturación Venta nueva]],Tabla1[[#This Row],[Facturación stock]],Tabla1[[#This Row],[En puerto a facturar]]),0)</f>
        <v>144000</v>
      </c>
      <c r="AK27" s="3">
        <f>+Tabla1[[#This Row],[Facturación atraso]]</f>
        <v>144000</v>
      </c>
      <c r="AL27" s="3">
        <f>+Tabla1[[#This Row],[Plan Ajustado]]-Tabla1[[#This Row],[ Atraso ajustado]]-Tabla1[[#This Row],[Puerto ]]</f>
        <v>0</v>
      </c>
      <c r="AM27" s="3">
        <v>0</v>
      </c>
      <c r="AN27" s="3" t="str">
        <f>IF(Tabla1[[#This Row],[Plan Ajustado]]&gt;Tabla1[[#This Row],[En puerto a facturar]],"Si","No")</f>
        <v>Si</v>
      </c>
      <c r="AO27" s="3">
        <f>IF(AND(Tabla1[[#This Row],[Plan Ajustado]]&gt;0,Tabla1[[#This Row],[Plan Ajustado]]&gt;Tabla1[[#This Row],[En puerto a facturar]]),(Tabla1[[#This Row],[Plan Ajustado]]-Tabla1[[#This Row],[En puerto a facturar]]),0)</f>
        <v>144000</v>
      </c>
      <c r="AP27" s="3">
        <f>IF(Tabla1[[#This Row],[Necesidad]]&gt;=Tabla1[[#This Row],[Stock al día]],Tabla1[[#This Row],[Stock al día]],Tabla1[[#This Row],[Necesidad]])</f>
        <v>93896.372000000076</v>
      </c>
      <c r="AQ27" s="3">
        <f>+Tabla1[[#This Row],[Necesidad]]-Tabla1[[#This Row],[Stock Plan]]</f>
        <v>50103.627999999924</v>
      </c>
      <c r="AR27" s="156">
        <f>IFERROR(VLOOKUP(Tabla1[[#This Row],[Oficina]],[22]Ponderación!$B$3:$G$9,6,FALSE),"")</f>
        <v>44757</v>
      </c>
      <c r="AS2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2.2700049908501101</v>
      </c>
      <c r="AT27" s="83">
        <f>IFERROR(VLOOKUP(Tabla1[[#This Row],[Llave]],[17]DELAY!$H:$W,16,FALSE),0)</f>
        <v>2.266</v>
      </c>
      <c r="AU2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2.266</v>
      </c>
      <c r="AV27" s="5">
        <f>+Tabla1[[#This Row],[Plan Ajustado]]*Tabla1[[#This Row],[Precio ponderado]]</f>
        <v>326304</v>
      </c>
      <c r="AW27" s="30">
        <f>IFERROR(VLOOKUP(Tabla1[[#This Row],[Llave]],'[13]Ultimos precios facturados'!$A:$G,7,FALSE),0)</f>
        <v>2.1677225776250446</v>
      </c>
      <c r="AX2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4.5336715772286727E-2</v>
      </c>
      <c r="AY27" s="30"/>
      <c r="AZ27" s="30">
        <f>IF(Tabla1[[#This Row],[Ajuste precio IC]]="",Tabla1[[#This Row],[Precio ponderado]],Tabla1[[#This Row],[Precio ponderado]])</f>
        <v>2.266</v>
      </c>
      <c r="BA27" s="82"/>
      <c r="BB27" s="82" t="str">
        <f>IF(AND(Tabla1[[#This Row],[Atraso a facturar]]&gt;0,Tabla1[[#This Row],[Precio Atraso]]=0),"Revisar","OK")</f>
        <v>OK</v>
      </c>
      <c r="BC27" s="82" t="str">
        <f>IF(AND(Tabla1[[#This Row],[Venta del mes]]&gt;0,Tabla1[[#This Row],[Precio venta nueva]]=0),"Revisar","OK")</f>
        <v>OK</v>
      </c>
      <c r="BD27" s="20">
        <f>IFERROR(VLOOKUP(Tabla1[[#This Row],[Llave]],'[5]Consolidación planes'!$A:$M,9,FALSE),0)</f>
        <v>48000</v>
      </c>
      <c r="BE27" s="20">
        <f>IFERROR(VLOOKUP(Tabla1[[#This Row],[Llave]],'[5]Consolidación planes'!$A:$M,10,FALSE),0)</f>
        <v>107000</v>
      </c>
      <c r="BF27" s="20">
        <f>IFERROR(VLOOKUP(Tabla1[[#This Row],[Llave]],'[5]Consolidación planes'!$A:$M,11,FALSE),0)</f>
        <v>143000</v>
      </c>
      <c r="BG27" s="20">
        <f>IFERROR(VLOOKUP(Tabla1[[#This Row],[Llave]],'[5]Consolidación planes'!$A:$M,12,FALSE),0)</f>
        <v>96000</v>
      </c>
      <c r="BH27" s="20">
        <f>IFERROR(VLOOKUP(Tabla1[[#This Row],[Llave]],'[5]Consolidación planes'!$A:$M,13,FALSE),0)</f>
        <v>96000</v>
      </c>
      <c r="BI27" s="20">
        <f>IFERROR(VLOOKUP(Tabla1[[#This Row],[Llave]],'[13]Base ultimos planes'!$A:$M,13,FALSE),0)</f>
        <v>96000</v>
      </c>
      <c r="BJ27" s="80">
        <f>IFERROR(VLOOKUP(Tabla1[[#This Row],[Llave]],'[13]Base ultimos planes'!$O:$AA,8,FALSE),0)</f>
        <v>97440</v>
      </c>
      <c r="BK27" s="20">
        <f>IFERROR(VLOOKUP(Tabla1[[#This Row],[Llave]],'[13]Base ultimos planes'!$O:$AA,9,FALSE),0)</f>
        <v>222108</v>
      </c>
      <c r="BL27" s="20">
        <f>IFERROR(VLOOKUP(Tabla1[[#This Row],[Llave]],'[13]Base ultimos planes'!$O:$AA,10,FALSE),0)</f>
        <v>309400</v>
      </c>
      <c r="BM27" s="20">
        <f>IFERROR(VLOOKUP(Tabla1[[#This Row],[Llave]],'[13]Base ultimos planes'!$O:$AA,11,FALSE),0)</f>
        <v>198480</v>
      </c>
      <c r="BN27" s="20">
        <f>IFERROR(VLOOKUP(Tabla1[[#This Row],[Llave]],'[13]Base ultimos planes'!$O:$AA,12,FALSE),0)</f>
        <v>209280</v>
      </c>
      <c r="BO27" s="20">
        <f>IFERROR(VLOOKUP(Tabla1[[#This Row],[Llave]],'[13]Base ultimos planes'!$O:$AA,13,FALSE),0)</f>
        <v>209605</v>
      </c>
      <c r="BP27" s="20"/>
      <c r="BQ27" s="20">
        <f>+Tabla1[[#This Row],[ RV  Venta mes n+1]]*(1-Tabla1[[#This Row],[% Uti. producción]])</f>
        <v>52204.871694831607</v>
      </c>
      <c r="BR27" s="100"/>
    </row>
    <row r="28" spans="1:70" ht="16" x14ac:dyDescent="0.2">
      <c r="A28">
        <v>1</v>
      </c>
      <c r="B28" t="str">
        <f>Tabla1[[#This Row],[Oficina]]&amp;Tabla1[[#This Row],[Material]]</f>
        <v>Agro Sudamerica1021082</v>
      </c>
      <c r="C28" t="s">
        <v>6</v>
      </c>
      <c r="D28" t="s">
        <v>17</v>
      </c>
      <c r="E28">
        <v>1021082</v>
      </c>
      <c r="F28" t="s">
        <v>283</v>
      </c>
      <c r="G28" t="s">
        <v>71</v>
      </c>
      <c r="H28" t="s">
        <v>72</v>
      </c>
      <c r="I28" s="7">
        <f>IFERROR(VLOOKUP(Tabla1[[#This Row],[Llave]],'[7]RV Producción'!$C:$G,5,FALSE),0)</f>
        <v>117869</v>
      </c>
      <c r="J28" s="3">
        <f>IFERROR(IF(Tabla1[[#This Row],[Oficina]]=$I$7,VLOOKUP(Tabla1[[#This Row],[Llave]],'[7]Shangai (Tomas)'!$A:$F,6,FALSE),VLOOKUP(Tabla1[[#This Row],[Llave]],'[7]RV plan de ventas'!$A:$E,5,FALSE)),0)</f>
        <v>96000</v>
      </c>
      <c r="K28" s="8">
        <f>IFERROR(VLOOKUP(Tabla1[[#This Row],[Oficina]],[15]Ponderación!$B$2:$E$9,4,FALSE),0)</f>
        <v>0.45719439678473212</v>
      </c>
      <c r="L28" s="7">
        <f>+Tabla1[[#This Row],[ RV Producción mes n+1]]*Tabla1[[#This Row],[% Uti. producción]]</f>
        <v>53889.04635461959</v>
      </c>
      <c r="M28" s="7">
        <f>IFERROR(VLOOKUP(Tabla1[[#This Row],[Material]],'[17]TD Stock'!$E:$I,5,FALSE),0)</f>
        <v>28340.631999999991</v>
      </c>
      <c r="N28" s="7">
        <f>IFERROR(VLOOKUP(Tabla1[[#This Row],[Material]],[16]Produccion!$M:$N,2,FALSE),0)</f>
        <v>0</v>
      </c>
      <c r="O28" s="7">
        <f>IFERROR(VLOOKUP(Tabla1[[#This Row],[Llave]],'[16]TD Conf-AP'!$I:$M,4,FALSE),0)</f>
        <v>0</v>
      </c>
      <c r="P28" s="14">
        <f>SUM(Tabla1[[#This Row],[Producción disponible]],Tabla1[[#This Row],[Stock al día]],(Tabla1[[#This Row],[Por producir mes N]]*0.9))-Tabla1[[#This Row],[Producción por despachar mes N]]</f>
        <v>82229.67835461958</v>
      </c>
      <c r="Q28" s="7">
        <f>IFERROR(VLOOKUP(Tabla1[[#This Row],[Llave]],[17]DELAY!$A:$D,4,FALSE),0)</f>
        <v>49500</v>
      </c>
      <c r="R28" s="9">
        <v>24000</v>
      </c>
      <c r="S28" s="5">
        <f t="shared" si="29"/>
        <v>49500</v>
      </c>
      <c r="T28" s="76">
        <v>0</v>
      </c>
      <c r="U28" s="5">
        <f>+Tabla1[[#This Row],[Atraso a facturar]]+Tabla1[[#This Row],[Ajuste atraso]]</f>
        <v>49500</v>
      </c>
      <c r="V28" s="3">
        <f>+Tabla1[[#This Row],[Total disponible]]-Tabla1[[#This Row],[Facturación atraso]]</f>
        <v>32729.67835461958</v>
      </c>
      <c r="W28" s="6">
        <f>IFERROR(IF(AND(V28&gt;R28,J28&gt;=R28),ROUNDDOWN((Tabla1[[#This Row],[Producción para venta nueva]])/R28,0)*R28,0),0)</f>
        <v>24000</v>
      </c>
      <c r="X28" s="76">
        <v>0</v>
      </c>
      <c r="Y28" s="6">
        <f>IF(Tabla1[[#This Row],[Venta del mes]]&gt;0,Tabla1[[#This Row],[Venta del mes]]+Tabla1[[#This Row],[Ajuste venta nueva]],0)</f>
        <v>24000</v>
      </c>
      <c r="Z28" s="6">
        <f>+Tabla1[[#This Row],[Producción para venta nueva]]-Tabla1[[#This Row],[Facturación Venta nueva]]</f>
        <v>8729.6783546195802</v>
      </c>
      <c r="AA28" s="6">
        <f>IF(AND(A28=1,Tabla1[[#This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" s="6"/>
      <c r="AC28" s="6">
        <f>IF(Tabla1[[#This Row],[Disponible stock sin venta]]&gt;0,Tabla1[[#This Row],[Disponible stock sin venta]]+Tabla1[[#This Row],[Ajuste stock sin venta]],0)</f>
        <v>0</v>
      </c>
      <c r="AD28" s="3">
        <f>IFERROR(VLOOKUP(Tabla1[[#This Row],[Llave]],'[16]TD Puerto'!$A:$D,4,FALSE),0)</f>
        <v>0</v>
      </c>
      <c r="AE28" s="3">
        <v>73500</v>
      </c>
      <c r="AF28" s="3">
        <f>+Tabla1[[#This Row],[Atraso a facturar]]+Tabla1[[#This Row],[Venta del mes]]+Tabla1[[#This Row],[En puerto a facturar]]+Tabla1[[#This Row],[Disponible stock sin venta]]</f>
        <v>73500</v>
      </c>
      <c r="AG28" s="3">
        <f>+Tabla1[[#This Row],[En puerto a facturar]]</f>
        <v>0</v>
      </c>
      <c r="AH28" s="3">
        <f>+Tabla1[[#This Row],[Facturación atraso]]</f>
        <v>49500</v>
      </c>
      <c r="AI28" s="3">
        <f>+Tabla1[[#This Row],[Plan Irrestricto]]-Tabla1[[#This Row],[Puerto ]]-Tabla1[[#This Row],[Atraso]]</f>
        <v>24000</v>
      </c>
      <c r="AJ28" s="3">
        <f>IF(Tabla1[[#This Row],[Plan Irrestricto]]&gt;0,SUM(Tabla1[[#This Row],[Facturación atraso]],Tabla1[[#This Row],[Facturación Venta nueva]],Tabla1[[#This Row],[Facturación stock]],Tabla1[[#This Row],[En puerto a facturar]]),0)</f>
        <v>73500</v>
      </c>
      <c r="AK28" s="3">
        <f>+Tabla1[[#This Row],[Facturación atraso]]</f>
        <v>49500</v>
      </c>
      <c r="AL28" s="3">
        <f>+Tabla1[[#This Row],[Plan Ajustado]]-Tabla1[[#This Row],[ Atraso ajustado]]-Tabla1[[#This Row],[Puerto ]]</f>
        <v>24000</v>
      </c>
      <c r="AM28" s="3">
        <v>0</v>
      </c>
      <c r="AN28" s="3" t="str">
        <f>IF(Tabla1[[#This Row],[Plan Ajustado]]&gt;Tabla1[[#This Row],[En puerto a facturar]],"Si","No")</f>
        <v>Si</v>
      </c>
      <c r="AO28" s="3">
        <f>IF(AND(Tabla1[[#This Row],[Plan Ajustado]]&gt;0,Tabla1[[#This Row],[Plan Ajustado]]&gt;Tabla1[[#This Row],[En puerto a facturar]]),(Tabla1[[#This Row],[Plan Ajustado]]-Tabla1[[#This Row],[En puerto a facturar]]),0)</f>
        <v>73500</v>
      </c>
      <c r="AP28" s="3">
        <f>IF(Tabla1[[#This Row],[Necesidad]]&gt;=Tabla1[[#This Row],[Stock al día]],Tabla1[[#This Row],[Stock al día]],Tabla1[[#This Row],[Necesidad]])</f>
        <v>28340.631999999991</v>
      </c>
      <c r="AQ28" s="3">
        <f>+Tabla1[[#This Row],[Necesidad]]-Tabla1[[#This Row],[Stock Plan]]</f>
        <v>45159.368000000009</v>
      </c>
      <c r="AR28" s="156">
        <f>IFERROR(VLOOKUP(Tabla1[[#This Row],[Oficina]],[22]Ponderación!$B$3:$G$9,6,FALSE),"")</f>
        <v>44757</v>
      </c>
      <c r="AS2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1.6491770833333299</v>
      </c>
      <c r="AT28" s="83">
        <f>IFERROR(VLOOKUP(Tabla1[[#This Row],[Llave]],[17]DELAY!$H:$W,16,FALSE),0)</f>
        <v>1.571007181259402</v>
      </c>
      <c r="AU2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1.5965320472427253</v>
      </c>
      <c r="AV28" s="5">
        <f>+Tabla1[[#This Row],[Plan Ajustado]]*Tabla1[[#This Row],[Precio ponderado]]</f>
        <v>117345.10547234031</v>
      </c>
      <c r="AW28" s="30">
        <f>IFERROR(VLOOKUP(Tabla1[[#This Row],[Llave]],'[13]Ultimos precios facturados'!$A:$G,7,FALSE),0)</f>
        <v>1.7154057164580345</v>
      </c>
      <c r="AX2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6.9297699124355974E-2</v>
      </c>
      <c r="AY28" s="30"/>
      <c r="AZ28" s="30">
        <f>IF(Tabla1[[#This Row],[Ajuste precio IC]]="",Tabla1[[#This Row],[Precio ponderado]],Tabla1[[#This Row],[Precio ponderado]])</f>
        <v>1.5965320472427253</v>
      </c>
      <c r="BA28" s="82"/>
      <c r="BB28" s="82" t="str">
        <f>IF(AND(Tabla1[[#This Row],[Atraso a facturar]]&gt;0,Tabla1[[#This Row],[Precio Atraso]]=0),"Revisar","OK")</f>
        <v>OK</v>
      </c>
      <c r="BC28" s="82" t="str">
        <f>IF(AND(Tabla1[[#This Row],[Venta del mes]]&gt;0,Tabla1[[#This Row],[Precio venta nueva]]=0),"Revisar","OK")</f>
        <v>OK</v>
      </c>
      <c r="BD28" s="20">
        <f>IFERROR(VLOOKUP(Tabla1[[#This Row],[Llave]],'[5]Consolidación planes'!$A:$M,9,FALSE),0)</f>
        <v>0</v>
      </c>
      <c r="BE28" s="20">
        <f>IFERROR(VLOOKUP(Tabla1[[#This Row],[Llave]],'[5]Consolidación planes'!$A:$M,10,FALSE),0)</f>
        <v>0</v>
      </c>
      <c r="BF28" s="20">
        <f>IFERROR(VLOOKUP(Tabla1[[#This Row],[Llave]],'[5]Consolidación planes'!$A:$M,11,FALSE),0)</f>
        <v>0</v>
      </c>
      <c r="BG28" s="20">
        <f>IFERROR(VLOOKUP(Tabla1[[#This Row],[Llave]],'[5]Consolidación planes'!$A:$M,12,FALSE),0)</f>
        <v>0</v>
      </c>
      <c r="BH28" s="20">
        <f>IFERROR(VLOOKUP(Tabla1[[#This Row],[Llave]],'[5]Consolidación planes'!$A:$M,13,FALSE),0)</f>
        <v>2500</v>
      </c>
      <c r="BI28" s="20">
        <f>IFERROR(VLOOKUP(Tabla1[[#This Row],[Llave]],'[13]Base ultimos planes'!$A:$M,13,FALSE),0)</f>
        <v>48000</v>
      </c>
      <c r="BJ28" s="80">
        <f>IFERROR(VLOOKUP(Tabla1[[#This Row],[Llave]],'[13]Base ultimos planes'!$O:$AA,8,FALSE),0)</f>
        <v>0</v>
      </c>
      <c r="BK28" s="20">
        <f>IFERROR(VLOOKUP(Tabla1[[#This Row],[Llave]],'[13]Base ultimos planes'!$O:$AA,9,FALSE),0)</f>
        <v>0</v>
      </c>
      <c r="BL28" s="20">
        <f>IFERROR(VLOOKUP(Tabla1[[#This Row],[Llave]],'[13]Base ultimos planes'!$O:$AA,10,FALSE),0)</f>
        <v>0</v>
      </c>
      <c r="BM28" s="20">
        <f>IFERROR(VLOOKUP(Tabla1[[#This Row],[Llave]],'[13]Base ultimos planes'!$O:$AA,11,FALSE),0)</f>
        <v>0</v>
      </c>
      <c r="BN28" s="20">
        <f>IFERROR(VLOOKUP(Tabla1[[#This Row],[Llave]],'[13]Base ultimos planes'!$O:$AA,12,FALSE),0)</f>
        <v>5125</v>
      </c>
      <c r="BO28" s="20">
        <f>IFERROR(VLOOKUP(Tabla1[[#This Row],[Llave]],'[13]Base ultimos planes'!$O:$AA,13,FALSE),0)</f>
        <v>86646</v>
      </c>
      <c r="BP28" s="20"/>
      <c r="BQ28" s="20">
        <f>+Tabla1[[#This Row],[ RV  Venta mes n+1]]*(1-Tabla1[[#This Row],[% Uti. producción]])</f>
        <v>52109.337908665722</v>
      </c>
      <c r="BR28" s="100"/>
    </row>
    <row r="29" spans="1:70" ht="16" x14ac:dyDescent="0.2">
      <c r="A29">
        <v>1</v>
      </c>
      <c r="B29" t="str">
        <f>Tabla1[[#This Row],[Oficina]]&amp;Tabla1[[#This Row],[Material]]</f>
        <v>Agro Sudamerica1021085</v>
      </c>
      <c r="C29" t="s">
        <v>6</v>
      </c>
      <c r="D29" t="s">
        <v>17</v>
      </c>
      <c r="E29">
        <v>1021085</v>
      </c>
      <c r="F29" t="s">
        <v>44</v>
      </c>
      <c r="G29" t="s">
        <v>11</v>
      </c>
      <c r="H29" t="s">
        <v>41</v>
      </c>
      <c r="I29" s="7">
        <f>IFERROR(VLOOKUP(Tabla1[[#This Row],[Llave]],'[7]RV Producción'!$C:$G,5,FALSE),0)</f>
        <v>22880</v>
      </c>
      <c r="J29" s="3">
        <f>IFERROR(IF(Tabla1[[#This Row],[Oficina]]=$I$7,VLOOKUP(Tabla1[[#This Row],[Llave]],'[7]Shangai (Tomas)'!$A:$F,6,FALSE),VLOOKUP(Tabla1[[#This Row],[Llave]],'[7]RV plan de ventas'!$A:$E,5,FALSE)),0)</f>
        <v>24000</v>
      </c>
      <c r="K29" s="8">
        <f>IFERROR(VLOOKUP(Tabla1[[#This Row],[Oficina]],[15]Ponderación!$B$2:$E$9,4,FALSE),0)</f>
        <v>0.45719439678473212</v>
      </c>
      <c r="L29" s="7">
        <f>+Tabla1[[#This Row],[ RV Producción mes n+1]]*Tabla1[[#This Row],[% Uti. producción]]</f>
        <v>10460.60779843467</v>
      </c>
      <c r="M29" s="7">
        <f>IFERROR(VLOOKUP(Tabla1[[#This Row],[Material]],'[17]TD Stock'!$E:$I,5,FALSE),0)</f>
        <v>18853.066999999992</v>
      </c>
      <c r="N29" s="7">
        <f>IFERROR(VLOOKUP(Tabla1[[#This Row],[Material]],[16]Produccion!$M:$N,2,FALSE),0)</f>
        <v>0</v>
      </c>
      <c r="O29" s="7">
        <f>IFERROR(VLOOKUP(Tabla1[[#This Row],[Llave]],'[16]TD Conf-AP'!$I:$M,4,FALSE),0)</f>
        <v>0</v>
      </c>
      <c r="P29" s="14">
        <f>SUM(Tabla1[[#This Row],[Producción disponible]],Tabla1[[#This Row],[Stock al día]],(Tabla1[[#This Row],[Por producir mes N]]*0.9))-Tabla1[[#This Row],[Producción por despachar mes N]]</f>
        <v>29313.674798434662</v>
      </c>
      <c r="Q29" s="7">
        <f>IFERROR(VLOOKUP(Tabla1[[#This Row],[Llave]],[17]DELAY!$A:$D,4,FALSE),0)</f>
        <v>21300</v>
      </c>
      <c r="R29" s="9">
        <v>24000</v>
      </c>
      <c r="S29" s="5">
        <f t="shared" si="29"/>
        <v>21300</v>
      </c>
      <c r="T29" s="76">
        <v>0</v>
      </c>
      <c r="U29" s="5">
        <f>+Tabla1[[#This Row],[Atraso a facturar]]+Tabla1[[#This Row],[Ajuste atraso]]</f>
        <v>21300</v>
      </c>
      <c r="V29" s="3">
        <f>+Tabla1[[#This Row],[Total disponible]]-Tabla1[[#This Row],[Facturación atraso]]</f>
        <v>8013.6747984346621</v>
      </c>
      <c r="W29" s="6">
        <f>IFERROR(IF(AND(V29&gt;R29,J29&gt;=R29),ROUNDDOWN((Tabla1[[#This Row],[Producción para venta nueva]])/R29,0)*R29,0),0)</f>
        <v>0</v>
      </c>
      <c r="X29" s="76">
        <v>0</v>
      </c>
      <c r="Y29" s="6">
        <f>IF(Tabla1[[#This Row],[Venta del mes]]&gt;0,Tabla1[[#This Row],[Venta del mes]]+Tabla1[[#This Row],[Ajuste venta nueva]],0)</f>
        <v>0</v>
      </c>
      <c r="Z29" s="6">
        <f>+Tabla1[[#This Row],[Producción para venta nueva]]-Tabla1[[#This Row],[Facturación Venta nueva]]</f>
        <v>8013.6747984346621</v>
      </c>
      <c r="AA29" s="6">
        <f>IF(AND(A29=1,Tabla1[[#This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" s="6"/>
      <c r="AC29" s="6">
        <f>IF(Tabla1[[#This Row],[Disponible stock sin venta]]&gt;0,Tabla1[[#This Row],[Disponible stock sin venta]]+Tabla1[[#This Row],[Ajuste stock sin venta]],0)</f>
        <v>0</v>
      </c>
      <c r="AD29" s="3">
        <f>IFERROR(VLOOKUP(Tabla1[[#This Row],[Llave]],'[16]TD Puerto'!$A:$D,4,FALSE),0)</f>
        <v>0</v>
      </c>
      <c r="AE29" s="3">
        <v>21300</v>
      </c>
      <c r="AF29" s="3">
        <f>+Tabla1[[#This Row],[Atraso a facturar]]+Tabla1[[#This Row],[Venta del mes]]+Tabla1[[#This Row],[En puerto a facturar]]+Tabla1[[#This Row],[Disponible stock sin venta]]</f>
        <v>21300</v>
      </c>
      <c r="AG29" s="3">
        <f>+Tabla1[[#This Row],[En puerto a facturar]]</f>
        <v>0</v>
      </c>
      <c r="AH29" s="3">
        <f>+Tabla1[[#This Row],[Facturación atraso]]</f>
        <v>21300</v>
      </c>
      <c r="AI29" s="3">
        <f>+Tabla1[[#This Row],[Plan Irrestricto]]-Tabla1[[#This Row],[Puerto ]]-Tabla1[[#This Row],[Atraso]]</f>
        <v>0</v>
      </c>
      <c r="AJ29" s="3">
        <f>IF(Tabla1[[#This Row],[Plan Irrestricto]]&gt;0,SUM(Tabla1[[#This Row],[Facturación atraso]],Tabla1[[#This Row],[Facturación Venta nueva]],Tabla1[[#This Row],[Facturación stock]],Tabla1[[#This Row],[En puerto a facturar]]),0)</f>
        <v>21300</v>
      </c>
      <c r="AK29" s="3">
        <f>+Tabla1[[#This Row],[Facturación atraso]]</f>
        <v>21300</v>
      </c>
      <c r="AL29" s="3">
        <f>+Tabla1[[#This Row],[Plan Ajustado]]-Tabla1[[#This Row],[ Atraso ajustado]]-Tabla1[[#This Row],[Puerto ]]</f>
        <v>0</v>
      </c>
      <c r="AM29" s="3">
        <v>0</v>
      </c>
      <c r="AN29" s="3" t="str">
        <f>IF(Tabla1[[#This Row],[Plan Ajustado]]&gt;Tabla1[[#This Row],[En puerto a facturar]],"Si","No")</f>
        <v>Si</v>
      </c>
      <c r="AO29" s="3">
        <f>IF(AND(Tabla1[[#This Row],[Plan Ajustado]]&gt;0,Tabla1[[#This Row],[Plan Ajustado]]&gt;Tabla1[[#This Row],[En puerto a facturar]]),(Tabla1[[#This Row],[Plan Ajustado]]-Tabla1[[#This Row],[En puerto a facturar]]),0)</f>
        <v>21300</v>
      </c>
      <c r="AP29" s="3">
        <f>IF(Tabla1[[#This Row],[Necesidad]]&gt;=Tabla1[[#This Row],[Stock al día]],Tabla1[[#This Row],[Stock al día]],Tabla1[[#This Row],[Necesidad]])</f>
        <v>18853.066999999992</v>
      </c>
      <c r="AQ29" s="3">
        <f>+Tabla1[[#This Row],[Necesidad]]-Tabla1[[#This Row],[Stock Plan]]</f>
        <v>2446.9330000000082</v>
      </c>
      <c r="AR29" s="156">
        <f>IFERROR(VLOOKUP(Tabla1[[#This Row],[Oficina]],[22]Ponderación!$B$3:$G$9,6,FALSE),"")</f>
        <v>44757</v>
      </c>
      <c r="AS2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1.0900000000000001</v>
      </c>
      <c r="AT29" s="83">
        <f>IFERROR(VLOOKUP(Tabla1[[#This Row],[Llave]],[17]DELAY!$H:$W,16,FALSE),0)</f>
        <v>1</v>
      </c>
      <c r="AU2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</v>
      </c>
      <c r="AV29" s="5">
        <f>+Tabla1[[#This Row],[Plan Ajustado]]*Tabla1[[#This Row],[Precio ponderado]]</f>
        <v>21300</v>
      </c>
      <c r="AW29" s="30">
        <f>IFERROR(VLOOKUP(Tabla1[[#This Row],[Llave]],'[13]Ultimos precios facturados'!$A:$G,7,FALSE),0)</f>
        <v>0.90077098827902713</v>
      </c>
      <c r="AX2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0.11016008842664371</v>
      </c>
      <c r="AY29" s="30"/>
      <c r="AZ29" s="30">
        <f>IF(Tabla1[[#This Row],[Ajuste precio IC]]="",Tabla1[[#This Row],[Precio ponderado]],Tabla1[[#This Row],[Precio ponderado]])</f>
        <v>1</v>
      </c>
      <c r="BA29" s="82"/>
      <c r="BB29" s="82" t="str">
        <f>IF(AND(Tabla1[[#This Row],[Atraso a facturar]]&gt;0,Tabla1[[#This Row],[Precio Atraso]]=0),"Revisar","OK")</f>
        <v>OK</v>
      </c>
      <c r="BC29" s="82" t="str">
        <f>IF(AND(Tabla1[[#This Row],[Venta del mes]]&gt;0,Tabla1[[#This Row],[Precio venta nueva]]=0),"Revisar","OK")</f>
        <v>OK</v>
      </c>
      <c r="BD29" s="20">
        <f>IFERROR(VLOOKUP(Tabla1[[#This Row],[Llave]],'[5]Consolidación planes'!$A:$M,9,FALSE),0)</f>
        <v>24000</v>
      </c>
      <c r="BE29" s="20">
        <f>IFERROR(VLOOKUP(Tabla1[[#This Row],[Llave]],'[5]Consolidación planes'!$A:$M,10,FALSE),0)</f>
        <v>24000</v>
      </c>
      <c r="BF29" s="20">
        <f>IFERROR(VLOOKUP(Tabla1[[#This Row],[Llave]],'[5]Consolidación planes'!$A:$M,11,FALSE),0)</f>
        <v>0</v>
      </c>
      <c r="BG29" s="20">
        <f>IFERROR(VLOOKUP(Tabla1[[#This Row],[Llave]],'[5]Consolidación planes'!$A:$M,12,FALSE),0)</f>
        <v>0</v>
      </c>
      <c r="BH29" s="20">
        <f>IFERROR(VLOOKUP(Tabla1[[#This Row],[Llave]],'[5]Consolidación planes'!$A:$M,13,FALSE),0)</f>
        <v>24000</v>
      </c>
      <c r="BI29" s="20">
        <f>IFERROR(VLOOKUP(Tabla1[[#This Row],[Llave]],'[13]Base ultimos planes'!$A:$M,13,FALSE),0)</f>
        <v>0</v>
      </c>
      <c r="BJ29" s="80">
        <f>IFERROR(VLOOKUP(Tabla1[[#This Row],[Llave]],'[13]Base ultimos planes'!$O:$AA,8,FALSE),0)</f>
        <v>28800</v>
      </c>
      <c r="BK29" s="20">
        <f>IFERROR(VLOOKUP(Tabla1[[#This Row],[Llave]],'[13]Base ultimos planes'!$O:$AA,9,FALSE),0)</f>
        <v>21600</v>
      </c>
      <c r="BL29" s="20">
        <f>IFERROR(VLOOKUP(Tabla1[[#This Row],[Llave]],'[13]Base ultimos planes'!$O:$AA,10,FALSE),0)</f>
        <v>0</v>
      </c>
      <c r="BM29" s="20">
        <f>IFERROR(VLOOKUP(Tabla1[[#This Row],[Llave]],'[13]Base ultimos planes'!$O:$AA,11,FALSE),0)</f>
        <v>0</v>
      </c>
      <c r="BN29" s="20">
        <f>IFERROR(VLOOKUP(Tabla1[[#This Row],[Llave]],'[13]Base ultimos planes'!$O:$AA,12,FALSE),0)</f>
        <v>20400</v>
      </c>
      <c r="BO29" s="20">
        <f>IFERROR(VLOOKUP(Tabla1[[#This Row],[Llave]],'[13]Base ultimos planes'!$O:$AA,13,FALSE),0)</f>
        <v>0</v>
      </c>
      <c r="BP29" s="20"/>
      <c r="BQ29" s="20">
        <f>+Tabla1[[#This Row],[ RV  Venta mes n+1]]*(1-Tabla1[[#This Row],[% Uti. producción]])</f>
        <v>13027.334477166431</v>
      </c>
      <c r="BR29" s="100"/>
    </row>
    <row r="30" spans="1:70" ht="16" x14ac:dyDescent="0.2">
      <c r="A30">
        <v>1</v>
      </c>
      <c r="B30" t="str">
        <f>Tabla1[[#This Row],[Oficina]]&amp;Tabla1[[#This Row],[Material]]</f>
        <v>Agro Sudamerica1021092</v>
      </c>
      <c r="C30" t="s">
        <v>6</v>
      </c>
      <c r="D30" t="s">
        <v>17</v>
      </c>
      <c r="E30">
        <v>1021092</v>
      </c>
      <c r="F30" t="s">
        <v>75</v>
      </c>
      <c r="G30" t="s">
        <v>71</v>
      </c>
      <c r="H30" t="s">
        <v>72</v>
      </c>
      <c r="I30" s="7">
        <f>IFERROR(VLOOKUP(Tabla1[[#This Row],[Llave]],'[7]RV Producción'!$C:$G,5,FALSE),0)</f>
        <v>157799</v>
      </c>
      <c r="J30" s="3">
        <f>IFERROR(IF(Tabla1[[#This Row],[Oficina]]=$I$7,VLOOKUP(Tabla1[[#This Row],[Llave]],'[7]Shangai (Tomas)'!$A:$F,6,FALSE),VLOOKUP(Tabla1[[#This Row],[Llave]],'[7]RV plan de ventas'!$A:$E,5,FALSE)),0)</f>
        <v>138989</v>
      </c>
      <c r="K30" s="8">
        <f>IFERROR(VLOOKUP(Tabla1[[#This Row],[Oficina]],[15]Ponderación!$B$2:$E$9,4,FALSE),0)</f>
        <v>0.45719439678473212</v>
      </c>
      <c r="L30" s="7">
        <f>+Tabla1[[#This Row],[ RV Producción mes n+1]]*Tabla1[[#This Row],[% Uti. producción]]</f>
        <v>72144.818618233941</v>
      </c>
      <c r="M30" s="7">
        <f>IFERROR(VLOOKUP(Tabla1[[#This Row],[Material]],'[17]TD Stock'!$E:$I,5,FALSE),0)</f>
        <v>71424.009000000005</v>
      </c>
      <c r="N30" s="7">
        <f>IFERROR(VLOOKUP(Tabla1[[#This Row],[Material]],[16]Produccion!$M:$N,2,FALSE),0)</f>
        <v>34154</v>
      </c>
      <c r="O30" s="7">
        <f>IFERROR(VLOOKUP(Tabla1[[#This Row],[Llave]],'[16]TD Conf-AP'!$I:$M,4,FALSE),0)</f>
        <v>0</v>
      </c>
      <c r="P30" s="14">
        <f>SUM(Tabla1[[#This Row],[Producción disponible]],Tabla1[[#This Row],[Stock al día]],(Tabla1[[#This Row],[Por producir mes N]]*0.9))-Tabla1[[#This Row],[Producción por despachar mes N]]</f>
        <v>174307.42761823395</v>
      </c>
      <c r="Q30" s="7">
        <f>IFERROR(VLOOKUP(Tabla1[[#This Row],[Llave]],[17]DELAY!$A:$D,4,FALSE),0)</f>
        <v>122000</v>
      </c>
      <c r="R30" s="9">
        <v>24000</v>
      </c>
      <c r="S30" s="5">
        <f t="shared" si="29"/>
        <v>122000</v>
      </c>
      <c r="T30" s="76">
        <v>-24000</v>
      </c>
      <c r="U30" s="5">
        <f>+Tabla1[[#This Row],[Atraso a facturar]]+Tabla1[[#This Row],[Ajuste atraso]]</f>
        <v>98000</v>
      </c>
      <c r="V30" s="3">
        <f>+Tabla1[[#This Row],[Total disponible]]-Tabla1[[#This Row],[Facturación atraso]]</f>
        <v>76307.427618233953</v>
      </c>
      <c r="W30" s="6">
        <f>IFERROR(IF(AND(V30&gt;R30,J30&gt;=R30),ROUNDDOWN((Tabla1[[#This Row],[Producción para venta nueva]])/R30,0)*R30,0),0)</f>
        <v>72000</v>
      </c>
      <c r="X30" s="76">
        <v>0</v>
      </c>
      <c r="Y30" s="6">
        <f>IF(Tabla1[[#This Row],[Venta del mes]]&gt;0,Tabla1[[#This Row],[Venta del mes]]+Tabla1[[#This Row],[Ajuste venta nueva]],0)</f>
        <v>72000</v>
      </c>
      <c r="Z30" s="6">
        <f>+Tabla1[[#This Row],[Producción para venta nueva]]-Tabla1[[#This Row],[Facturación Venta nueva]]</f>
        <v>4307.4276182339527</v>
      </c>
      <c r="AA30" s="6">
        <f>IF(AND(A30=1,Tabla1[[#This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" s="6"/>
      <c r="AC30" s="6">
        <f>IF(Tabla1[[#This Row],[Disponible stock sin venta]]&gt;0,Tabla1[[#This Row],[Disponible stock sin venta]]+Tabla1[[#This Row],[Ajuste stock sin venta]],0)</f>
        <v>0</v>
      </c>
      <c r="AD30" s="3">
        <f>IFERROR(VLOOKUP(Tabla1[[#This Row],[Llave]],'[16]TD Puerto'!$A:$D,4,FALSE),0)</f>
        <v>0</v>
      </c>
      <c r="AE30" s="3">
        <v>170000</v>
      </c>
      <c r="AF30" s="3">
        <f>+Tabla1[[#This Row],[Atraso a facturar]]+Tabla1[[#This Row],[Venta del mes]]+Tabla1[[#This Row],[En puerto a facturar]]+Tabla1[[#This Row],[Disponible stock sin venta]]</f>
        <v>194000</v>
      </c>
      <c r="AG30" s="3">
        <f>+Tabla1[[#This Row],[En puerto a facturar]]</f>
        <v>0</v>
      </c>
      <c r="AH30" s="3">
        <f>+Tabla1[[#This Row],[Facturación atraso]]</f>
        <v>98000</v>
      </c>
      <c r="AI30" s="3">
        <f>+Tabla1[[#This Row],[Plan Irrestricto]]-Tabla1[[#This Row],[Puerto ]]-Tabla1[[#This Row],[Atraso]]</f>
        <v>96000</v>
      </c>
      <c r="AJ30" s="3">
        <f>IF(Tabla1[[#This Row],[Plan Irrestricto]]&gt;0,SUM(Tabla1[[#This Row],[Facturación atraso]],Tabla1[[#This Row],[Facturación Venta nueva]],Tabla1[[#This Row],[Facturación stock]],Tabla1[[#This Row],[En puerto a facturar]]),0)</f>
        <v>170000</v>
      </c>
      <c r="AK30" s="3">
        <f>+Tabla1[[#This Row],[Facturación atraso]]</f>
        <v>98000</v>
      </c>
      <c r="AL30" s="3">
        <f>+Tabla1[[#This Row],[Plan Ajustado]]-Tabla1[[#This Row],[ Atraso ajustado]]-Tabla1[[#This Row],[Puerto ]]</f>
        <v>72000</v>
      </c>
      <c r="AM30" s="3">
        <v>0</v>
      </c>
      <c r="AN30" s="3" t="str">
        <f>IF(Tabla1[[#This Row],[Plan Ajustado]]&gt;Tabla1[[#This Row],[En puerto a facturar]],"Si","No")</f>
        <v>Si</v>
      </c>
      <c r="AO30" s="3">
        <f>IF(AND(Tabla1[[#This Row],[Plan Ajustado]]&gt;0,Tabla1[[#This Row],[Plan Ajustado]]&gt;Tabla1[[#This Row],[En puerto a facturar]]),(Tabla1[[#This Row],[Plan Ajustado]]-Tabla1[[#This Row],[En puerto a facturar]]),0)</f>
        <v>170000</v>
      </c>
      <c r="AP30" s="3">
        <f>IF(Tabla1[[#This Row],[Necesidad]]&gt;=Tabla1[[#This Row],[Stock al día]],Tabla1[[#This Row],[Stock al día]],Tabla1[[#This Row],[Necesidad]])</f>
        <v>71424.009000000005</v>
      </c>
      <c r="AQ30" s="3">
        <f>+Tabla1[[#This Row],[Necesidad]]-Tabla1[[#This Row],[Stock Plan]]</f>
        <v>98575.990999999995</v>
      </c>
      <c r="AR30" s="156">
        <f>IFERROR(VLOOKUP(Tabla1[[#This Row],[Oficina]],[22]Ponderación!$B$3:$G$9,6,FALSE),"")</f>
        <v>44757</v>
      </c>
      <c r="AS3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2.4694040535582</v>
      </c>
      <c r="AT30" s="83">
        <f>IFERROR(VLOOKUP(Tabla1[[#This Row],[Llave]],[17]DELAY!$H:$W,16,FALSE),0)</f>
        <v>2.3902238715849329</v>
      </c>
      <c r="AU3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2.423759007479493</v>
      </c>
      <c r="AV30" s="5">
        <f>+Tabla1[[#This Row],[Plan Ajustado]]*Tabla1[[#This Row],[Precio ponderado]]</f>
        <v>412039.03127151384</v>
      </c>
      <c r="AW30" s="30">
        <f>IFERROR(VLOOKUP(Tabla1[[#This Row],[Llave]],'[13]Ultimos precios facturados'!$A:$G,7,FALSE),0)</f>
        <v>2.2749987627241022</v>
      </c>
      <c r="AX3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6.5389154136182528E-2</v>
      </c>
      <c r="AY30" s="30"/>
      <c r="AZ30" s="30">
        <f>IF(Tabla1[[#This Row],[Ajuste precio IC]]="",Tabla1[[#This Row],[Precio ponderado]],Tabla1[[#This Row],[Precio ponderado]])</f>
        <v>2.423759007479493</v>
      </c>
      <c r="BA30" s="82"/>
      <c r="BB30" s="82" t="str">
        <f>IF(AND(Tabla1[[#This Row],[Atraso a facturar]]&gt;0,Tabla1[[#This Row],[Precio Atraso]]=0),"Revisar","OK")</f>
        <v>OK</v>
      </c>
      <c r="BC30" s="82" t="str">
        <f>IF(AND(Tabla1[[#This Row],[Venta del mes]]&gt;0,Tabla1[[#This Row],[Precio venta nueva]]=0),"Revisar","OK")</f>
        <v>OK</v>
      </c>
      <c r="BD30" s="20">
        <f>IFERROR(VLOOKUP(Tabla1[[#This Row],[Llave]],'[5]Consolidación planes'!$A:$M,9,FALSE),0)</f>
        <v>48000</v>
      </c>
      <c r="BE30" s="20">
        <f>IFERROR(VLOOKUP(Tabla1[[#This Row],[Llave]],'[5]Consolidación planes'!$A:$M,10,FALSE),0)</f>
        <v>79070</v>
      </c>
      <c r="BF30" s="20">
        <f>IFERROR(VLOOKUP(Tabla1[[#This Row],[Llave]],'[5]Consolidación planes'!$A:$M,11,FALSE),0)</f>
        <v>0</v>
      </c>
      <c r="BG30" s="20">
        <f>IFERROR(VLOOKUP(Tabla1[[#This Row],[Llave]],'[5]Consolidación planes'!$A:$M,12,FALSE),0)</f>
        <v>72000</v>
      </c>
      <c r="BH30" s="20">
        <f>IFERROR(VLOOKUP(Tabla1[[#This Row],[Llave]],'[5]Consolidación planes'!$A:$M,13,FALSE),0)</f>
        <v>144000</v>
      </c>
      <c r="BI30" s="20">
        <f>IFERROR(VLOOKUP(Tabla1[[#This Row],[Llave]],'[13]Base ultimos planes'!$A:$M,13,FALSE),0)</f>
        <v>121000</v>
      </c>
      <c r="BJ30" s="80">
        <f>IFERROR(VLOOKUP(Tabla1[[#This Row],[Llave]],'[13]Base ultimos planes'!$O:$AA,8,FALSE),0)</f>
        <v>120000</v>
      </c>
      <c r="BK30" s="20">
        <f>IFERROR(VLOOKUP(Tabla1[[#This Row],[Llave]],'[13]Base ultimos planes'!$O:$AA,9,FALSE),0)</f>
        <v>149977</v>
      </c>
      <c r="BL30" s="20">
        <f>IFERROR(VLOOKUP(Tabla1[[#This Row],[Llave]],'[13]Base ultimos planes'!$O:$AA,10,FALSE),0)</f>
        <v>0</v>
      </c>
      <c r="BM30" s="20">
        <f>IFERROR(VLOOKUP(Tabla1[[#This Row],[Llave]],'[13]Base ultimos planes'!$O:$AA,11,FALSE),0)</f>
        <v>130800</v>
      </c>
      <c r="BN30" s="20">
        <f>IFERROR(VLOOKUP(Tabla1[[#This Row],[Llave]],'[13]Base ultimos planes'!$O:$AA,12,FALSE),0)</f>
        <v>337200</v>
      </c>
      <c r="BO30" s="20">
        <f>IFERROR(VLOOKUP(Tabla1[[#This Row],[Llave]],'[13]Base ultimos planes'!$O:$AA,13,FALSE),0)</f>
        <v>290729</v>
      </c>
      <c r="BP30" s="20"/>
      <c r="BQ30" s="20">
        <f>+Tabla1[[#This Row],[ RV  Venta mes n+1]]*(1-Tabla1[[#This Row],[% Uti. producción]])</f>
        <v>75444.00798528688</v>
      </c>
      <c r="BR30" s="100"/>
    </row>
    <row r="31" spans="1:70" ht="16" hidden="1" x14ac:dyDescent="0.2">
      <c r="A31">
        <v>1</v>
      </c>
      <c r="B31" t="str">
        <f>Tabla1[[#This Row],[Oficina]]&amp;Tabla1[[#This Row],[Material]]</f>
        <v>Agro Sudamerica1021101</v>
      </c>
      <c r="C31" t="s">
        <v>6</v>
      </c>
      <c r="D31" t="s">
        <v>17</v>
      </c>
      <c r="E31">
        <v>1021101</v>
      </c>
      <c r="F31" t="s">
        <v>85</v>
      </c>
      <c r="G31" t="s">
        <v>76</v>
      </c>
      <c r="H31" t="s">
        <v>84</v>
      </c>
      <c r="I31" s="7">
        <f>IFERROR(VLOOKUP(Tabla1[[#This Row],[Llave]],'[7]RV Producción'!$C:$G,5,FALSE),0)</f>
        <v>2189</v>
      </c>
      <c r="J31" s="3">
        <f>IFERROR(IF(Tabla1[[#This Row],[Oficina]]=$I$7,VLOOKUP(Tabla1[[#This Row],[Llave]],'[7]Shangai (Tomas)'!$A:$F,6,FALSE),VLOOKUP(Tabla1[[#This Row],[Llave]],'[7]RV plan de ventas'!$A:$E,5,FALSE)),0)</f>
        <v>3458</v>
      </c>
      <c r="K31" s="8">
        <f>IFERROR(VLOOKUP(Tabla1[[#This Row],[Oficina]],[15]Ponderación!$B$2:$E$9,4,FALSE),0)</f>
        <v>0.45719439678473212</v>
      </c>
      <c r="L31" s="7">
        <f>+Tabla1[[#This Row],[ RV Producción mes n+1]]*Tabla1[[#This Row],[% Uti. producción]]</f>
        <v>1000.7985345617786</v>
      </c>
      <c r="M31" s="7">
        <f>IFERROR(VLOOKUP(Tabla1[[#This Row],[Material]],'[17]TD Stock'!$E:$I,5,FALSE),0)</f>
        <v>22169.49700000001</v>
      </c>
      <c r="N31" s="7">
        <f>IFERROR(VLOOKUP(Tabla1[[#This Row],[Material]],[16]Produccion!$M:$N,2,FALSE),0)</f>
        <v>0</v>
      </c>
      <c r="O31" s="7">
        <f>IFERROR(VLOOKUP(Tabla1[[#This Row],[Llave]],'[16]TD Conf-AP'!$I:$M,4,FALSE),0)</f>
        <v>0</v>
      </c>
      <c r="P31" s="14">
        <f>SUM(Tabla1[[#This Row],[Producción disponible]],Tabla1[[#This Row],[Stock al día]],(Tabla1[[#This Row],[Por producir mes N]]*0.9))-Tabla1[[#This Row],[Producción por despachar mes N]]</f>
        <v>23170.295534561788</v>
      </c>
      <c r="Q31" s="7">
        <f>IFERROR(VLOOKUP(Tabla1[[#This Row],[Llave]],[17]DELAY!$A:$D,4,FALSE),0)</f>
        <v>33000</v>
      </c>
      <c r="R31" s="9">
        <v>24000</v>
      </c>
      <c r="S31" s="5">
        <f t="shared" si="29"/>
        <v>0</v>
      </c>
      <c r="T31" s="76">
        <v>0</v>
      </c>
      <c r="U31" s="5">
        <f>+Tabla1[[#This Row],[Atraso a facturar]]+Tabla1[[#This Row],[Ajuste atraso]]</f>
        <v>0</v>
      </c>
      <c r="V31" s="3">
        <f>+Tabla1[[#This Row],[Total disponible]]-Tabla1[[#This Row],[Facturación atraso]]</f>
        <v>23170.295534561788</v>
      </c>
      <c r="W31" s="6">
        <f>IFERROR(IF(AND(V31&gt;R31,J31&gt;=R31),ROUNDDOWN((Tabla1[[#This Row],[Producción para venta nueva]])/R31,0)*R31,0),0)</f>
        <v>0</v>
      </c>
      <c r="X31" s="76">
        <v>0</v>
      </c>
      <c r="Y31" s="6">
        <f>IF(Tabla1[[#This Row],[Venta del mes]]&gt;0,Tabla1[[#This Row],[Venta del mes]]+Tabla1[[#This Row],[Ajuste venta nueva]],0)</f>
        <v>0</v>
      </c>
      <c r="Z31" s="6">
        <f>+Tabla1[[#This Row],[Producción para venta nueva]]-Tabla1[[#This Row],[Facturación Venta nueva]]</f>
        <v>23170.295534561788</v>
      </c>
      <c r="AA31" s="6">
        <f>IF(AND(A31=1,Tabla1[[#This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" s="6"/>
      <c r="AC31" s="6">
        <f>IF(Tabla1[[#This Row],[Disponible stock sin venta]]&gt;0,Tabla1[[#This Row],[Disponible stock sin venta]]+Tabla1[[#This Row],[Ajuste stock sin venta]],0)</f>
        <v>0</v>
      </c>
      <c r="AD31" s="3">
        <f>IFERROR(VLOOKUP(Tabla1[[#This Row],[Llave]],'[16]TD Puerto'!$A:$D,4,FALSE),0)</f>
        <v>0</v>
      </c>
      <c r="AE31" s="3">
        <v>0</v>
      </c>
      <c r="AF31" s="3">
        <f>+Tabla1[[#This Row],[Atraso a facturar]]+Tabla1[[#This Row],[Venta del mes]]+Tabla1[[#This Row],[En puerto a facturar]]+Tabla1[[#This Row],[Disponible stock sin venta]]</f>
        <v>0</v>
      </c>
      <c r="AG31" s="3">
        <f>+Tabla1[[#This Row],[En puerto a facturar]]</f>
        <v>0</v>
      </c>
      <c r="AH31" s="3">
        <f>+Tabla1[[#This Row],[Facturación atraso]]</f>
        <v>0</v>
      </c>
      <c r="AI31" s="3">
        <f>+Tabla1[[#This Row],[Plan Irrestricto]]-Tabla1[[#This Row],[Puerto ]]-Tabla1[[#This Row],[Atraso]]</f>
        <v>0</v>
      </c>
      <c r="AJ3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1" s="3">
        <f>+Tabla1[[#This Row],[Facturación atraso]]</f>
        <v>0</v>
      </c>
      <c r="AL31" s="3">
        <f>+Tabla1[[#This Row],[Plan Ajustado]]-Tabla1[[#This Row],[ Atraso ajustado]]-Tabla1[[#This Row],[Puerto ]]</f>
        <v>0</v>
      </c>
      <c r="AM31" s="3">
        <v>0</v>
      </c>
      <c r="AN31" s="3" t="str">
        <f>IF(Tabla1[[#This Row],[Plan Ajustado]]&gt;Tabla1[[#This Row],[En puerto a facturar]],"Si","No")</f>
        <v>No</v>
      </c>
      <c r="AO3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1" s="3">
        <f>IF(Tabla1[[#This Row],[Necesidad]]&gt;=Tabla1[[#This Row],[Stock al día]],Tabla1[[#This Row],[Stock al día]],Tabla1[[#This Row],[Necesidad]])</f>
        <v>0</v>
      </c>
      <c r="AQ31" s="3">
        <f>+Tabla1[[#This Row],[Necesidad]]-Tabla1[[#This Row],[Stock Plan]]</f>
        <v>0</v>
      </c>
      <c r="AR31" s="156">
        <f>IFERROR(VLOOKUP(Tabla1[[#This Row],[Oficina]],[22]Ponderación!$B$3:$G$9,6,FALSE),"")</f>
        <v>44757</v>
      </c>
      <c r="AS3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1.09022556390977</v>
      </c>
      <c r="AT31" s="83">
        <f>IFERROR(VLOOKUP(Tabla1[[#This Row],[Llave]],[17]DELAY!$H:$W,16,FALSE),0)</f>
        <v>1.23833333333333</v>
      </c>
      <c r="AU3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1" s="5">
        <f>+Tabla1[[#This Row],[Plan Ajustado]]*Tabla1[[#This Row],[Precio ponderado]]</f>
        <v>0</v>
      </c>
      <c r="AW31" s="30">
        <f>IFERROR(VLOOKUP(Tabla1[[#This Row],[Llave]],'[13]Ultimos precios facturados'!$A:$G,7,FALSE),0)</f>
        <v>1.1504196393336146</v>
      </c>
      <c r="AX3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1" s="30"/>
      <c r="AZ31" s="30">
        <f>IF(Tabla1[[#This Row],[Ajuste precio IC]]="",Tabla1[[#This Row],[Precio ponderado]],Tabla1[[#This Row],[Precio ponderado]])</f>
        <v>0</v>
      </c>
      <c r="BA31" s="82"/>
      <c r="BB31" s="82" t="str">
        <f>IF(AND(Tabla1[[#This Row],[Atraso a facturar]]&gt;0,Tabla1[[#This Row],[Precio Atraso]]=0),"Revisar","OK")</f>
        <v>OK</v>
      </c>
      <c r="BC31" s="82" t="str">
        <f>IF(AND(Tabla1[[#This Row],[Venta del mes]]&gt;0,Tabla1[[#This Row],[Precio venta nueva]]=0),"Revisar","OK")</f>
        <v>OK</v>
      </c>
      <c r="BD31" s="20">
        <f>IFERROR(VLOOKUP(Tabla1[[#This Row],[Llave]],'[5]Consolidación planes'!$A:$M,9,FALSE),0)</f>
        <v>12000</v>
      </c>
      <c r="BE31" s="20">
        <f>IFERROR(VLOOKUP(Tabla1[[#This Row],[Llave]],'[5]Consolidación planes'!$A:$M,10,FALSE),0)</f>
        <v>48000</v>
      </c>
      <c r="BF31" s="20">
        <f>IFERROR(VLOOKUP(Tabla1[[#This Row],[Llave]],'[5]Consolidación planes'!$A:$M,11,FALSE),0)</f>
        <v>24000</v>
      </c>
      <c r="BG31" s="20">
        <f>IFERROR(VLOOKUP(Tabla1[[#This Row],[Llave]],'[5]Consolidación planes'!$A:$M,12,FALSE),0)</f>
        <v>24000</v>
      </c>
      <c r="BH31" s="20">
        <f>IFERROR(VLOOKUP(Tabla1[[#This Row],[Llave]],'[5]Consolidación planes'!$A:$M,13,FALSE),0)</f>
        <v>28000</v>
      </c>
      <c r="BI31" s="20">
        <f>IFERROR(VLOOKUP(Tabla1[[#This Row],[Llave]],'[13]Base ultimos planes'!$A:$M,13,FALSE),0)</f>
        <v>24000</v>
      </c>
      <c r="BJ31" s="80">
        <f>IFERROR(VLOOKUP(Tabla1[[#This Row],[Llave]],'[13]Base ultimos planes'!$O:$AA,8,FALSE),0)</f>
        <v>14040</v>
      </c>
      <c r="BK31" s="20">
        <f>IFERROR(VLOOKUP(Tabla1[[#This Row],[Llave]],'[13]Base ultimos planes'!$O:$AA,9,FALSE),0)</f>
        <v>56000</v>
      </c>
      <c r="BL31" s="20">
        <f>IFERROR(VLOOKUP(Tabla1[[#This Row],[Llave]],'[13]Base ultimos planes'!$O:$AA,10,FALSE),0)</f>
        <v>26400</v>
      </c>
      <c r="BM31" s="20">
        <f>IFERROR(VLOOKUP(Tabla1[[#This Row],[Llave]],'[13]Base ultimos planes'!$O:$AA,11,FALSE),0)</f>
        <v>24720</v>
      </c>
      <c r="BN31" s="20">
        <f>IFERROR(VLOOKUP(Tabla1[[#This Row],[Llave]],'[13]Base ultimos planes'!$O:$AA,12,FALSE),0)</f>
        <v>32800</v>
      </c>
      <c r="BO31" s="20">
        <f>IFERROR(VLOOKUP(Tabla1[[#This Row],[Llave]],'[13]Base ultimos planes'!$O:$AA,13,FALSE),0)</f>
        <v>29445</v>
      </c>
      <c r="BP31" s="20"/>
      <c r="BQ31" s="20">
        <f>+Tabla1[[#This Row],[ RV  Venta mes n+1]]*(1-Tabla1[[#This Row],[% Uti. producción]])</f>
        <v>1877.0217759183965</v>
      </c>
      <c r="BR31" s="100"/>
    </row>
    <row r="32" spans="1:70" ht="16" x14ac:dyDescent="0.2">
      <c r="A32">
        <v>1</v>
      </c>
      <c r="B32" t="str">
        <f>Tabla1[[#This Row],[Oficina]]&amp;Tabla1[[#This Row],[Material]]</f>
        <v>Agro Sudamerica1021105</v>
      </c>
      <c r="C32" t="s">
        <v>6</v>
      </c>
      <c r="D32" t="s">
        <v>17</v>
      </c>
      <c r="E32">
        <v>1021105</v>
      </c>
      <c r="F32" t="s">
        <v>86</v>
      </c>
      <c r="G32" t="s">
        <v>76</v>
      </c>
      <c r="H32" t="s">
        <v>84</v>
      </c>
      <c r="I32" s="7">
        <f>IFERROR(VLOOKUP(Tabla1[[#This Row],[Llave]],'[7]RV Producción'!$C:$G,5,FALSE),0)</f>
        <v>40510</v>
      </c>
      <c r="J32" s="3">
        <f>IFERROR(IF(Tabla1[[#This Row],[Oficina]]=$I$7,VLOOKUP(Tabla1[[#This Row],[Llave]],'[7]Shangai (Tomas)'!$A:$F,6,FALSE),VLOOKUP(Tabla1[[#This Row],[Llave]],'[7]RV plan de ventas'!$A:$E,5,FALSE)),0)</f>
        <v>32611</v>
      </c>
      <c r="K32" s="8">
        <f>IFERROR(VLOOKUP(Tabla1[[#This Row],[Oficina]],[15]Ponderación!$B$2:$E$9,4,FALSE),0)</f>
        <v>0.45719439678473212</v>
      </c>
      <c r="L32" s="7">
        <f>+Tabla1[[#This Row],[ RV Producción mes n+1]]*Tabla1[[#This Row],[% Uti. producción]]</f>
        <v>18520.945013749497</v>
      </c>
      <c r="M32" s="7">
        <f>IFERROR(VLOOKUP(Tabla1[[#This Row],[Material]],'[17]TD Stock'!$E:$I,5,FALSE),0)</f>
        <v>11187.452000000001</v>
      </c>
      <c r="N32" s="7">
        <f>IFERROR(VLOOKUP(Tabla1[[#This Row],[Material]],[16]Produccion!$M:$N,2,FALSE),0)</f>
        <v>7500</v>
      </c>
      <c r="O32" s="7">
        <f>IFERROR(VLOOKUP(Tabla1[[#This Row],[Llave]],'[16]TD Conf-AP'!$I:$M,4,FALSE),0)</f>
        <v>0</v>
      </c>
      <c r="P32" s="14">
        <f>SUM(Tabla1[[#This Row],[Producción disponible]],Tabla1[[#This Row],[Stock al día]],(Tabla1[[#This Row],[Por producir mes N]]*0.9))-Tabla1[[#This Row],[Producción por despachar mes N]]</f>
        <v>36458.397013749498</v>
      </c>
      <c r="Q32" s="7">
        <f>IFERROR(VLOOKUP(Tabla1[[#This Row],[Llave]],[17]DELAY!$A:$D,4,FALSE),0)</f>
        <v>53211</v>
      </c>
      <c r="R32" s="9">
        <v>24000</v>
      </c>
      <c r="S32" s="5">
        <f t="shared" si="29"/>
        <v>24000</v>
      </c>
      <c r="T32" s="76">
        <v>0</v>
      </c>
      <c r="U32" s="5">
        <f>+Tabla1[[#This Row],[Atraso a facturar]]+Tabla1[[#This Row],[Ajuste atraso]]</f>
        <v>24000</v>
      </c>
      <c r="V32" s="3">
        <f>+Tabla1[[#This Row],[Total disponible]]-Tabla1[[#This Row],[Facturación atraso]]</f>
        <v>12458.397013749498</v>
      </c>
      <c r="W32" s="6">
        <f>IFERROR(IF(AND(V32&gt;R32,J32&gt;=R32),ROUNDDOWN((Tabla1[[#This Row],[Producción para venta nueva]])/R32,0)*R32,0),0)</f>
        <v>0</v>
      </c>
      <c r="X32" s="76">
        <v>0</v>
      </c>
      <c r="Y32" s="6">
        <f>IF(Tabla1[[#This Row],[Venta del mes]]&gt;0,Tabla1[[#This Row],[Venta del mes]]+Tabla1[[#This Row],[Ajuste venta nueva]],0)</f>
        <v>0</v>
      </c>
      <c r="Z32" s="6">
        <f>+Tabla1[[#This Row],[Producción para venta nueva]]-Tabla1[[#This Row],[Facturación Venta nueva]]</f>
        <v>12458.397013749498</v>
      </c>
      <c r="AA32" s="6">
        <f>IF(AND(A32=1,Tabla1[[#This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2" s="6"/>
      <c r="AC32" s="6">
        <f>IF(Tabla1[[#This Row],[Disponible stock sin venta]]&gt;0,Tabla1[[#This Row],[Disponible stock sin venta]]+Tabla1[[#This Row],[Ajuste stock sin venta]],0)</f>
        <v>0</v>
      </c>
      <c r="AD32" s="3">
        <f>IFERROR(VLOOKUP(Tabla1[[#This Row],[Llave]],'[16]TD Puerto'!$A:$D,4,FALSE),0)</f>
        <v>0</v>
      </c>
      <c r="AE32" s="3">
        <v>24000</v>
      </c>
      <c r="AF32" s="3">
        <f>+Tabla1[[#This Row],[Atraso a facturar]]+Tabla1[[#This Row],[Venta del mes]]+Tabla1[[#This Row],[En puerto a facturar]]+Tabla1[[#This Row],[Disponible stock sin venta]]</f>
        <v>24000</v>
      </c>
      <c r="AG32" s="3">
        <f>+Tabla1[[#This Row],[En puerto a facturar]]</f>
        <v>0</v>
      </c>
      <c r="AH32" s="3">
        <f>+Tabla1[[#This Row],[Facturación atraso]]</f>
        <v>24000</v>
      </c>
      <c r="AI32" s="3">
        <f>+Tabla1[[#This Row],[Plan Irrestricto]]-Tabla1[[#This Row],[Puerto ]]-Tabla1[[#This Row],[Atraso]]</f>
        <v>0</v>
      </c>
      <c r="AJ32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32" s="3">
        <f>+Tabla1[[#This Row],[Facturación atraso]]</f>
        <v>24000</v>
      </c>
      <c r="AL32" s="3">
        <f>+Tabla1[[#This Row],[Plan Ajustado]]-Tabla1[[#This Row],[ Atraso ajustado]]-Tabla1[[#This Row],[Puerto ]]</f>
        <v>0</v>
      </c>
      <c r="AM32" s="3">
        <v>0</v>
      </c>
      <c r="AN32" s="3" t="str">
        <f>IF(Tabla1[[#This Row],[Plan Ajustado]]&gt;Tabla1[[#This Row],[En puerto a facturar]],"Si","No")</f>
        <v>Si</v>
      </c>
      <c r="AO32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32" s="3">
        <f>IF(Tabla1[[#This Row],[Necesidad]]&gt;=Tabla1[[#This Row],[Stock al día]],Tabla1[[#This Row],[Stock al día]],Tabla1[[#This Row],[Necesidad]])</f>
        <v>11187.452000000001</v>
      </c>
      <c r="AQ32" s="3">
        <f>+Tabla1[[#This Row],[Necesidad]]-Tabla1[[#This Row],[Stock Plan]]</f>
        <v>12812.547999999999</v>
      </c>
      <c r="AR32" s="156">
        <f>IFERROR(VLOOKUP(Tabla1[[#This Row],[Oficina]],[22]Ponderación!$B$3:$G$9,6,FALSE),"")</f>
        <v>44757</v>
      </c>
      <c r="AS3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0.73668394100150303</v>
      </c>
      <c r="AT32" s="83">
        <f>IFERROR(VLOOKUP(Tabla1[[#This Row],[Llave]],[17]DELAY!$H:$W,16,FALSE),0)</f>
        <v>0.75703384638514604</v>
      </c>
      <c r="AU3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0.75703384638514615</v>
      </c>
      <c r="AV32" s="5">
        <f>+Tabla1[[#This Row],[Plan Ajustado]]*Tabla1[[#This Row],[Precio ponderado]]</f>
        <v>18168.812313243507</v>
      </c>
      <c r="AW32" s="30">
        <f>IFERROR(VLOOKUP(Tabla1[[#This Row],[Llave]],'[13]Ultimos precios facturados'!$A:$G,7,FALSE),0)</f>
        <v>0.55910825477008652</v>
      </c>
      <c r="AX3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0.35400227044841165</v>
      </c>
      <c r="AY32" s="30"/>
      <c r="AZ32" s="30">
        <f>IF(Tabla1[[#This Row],[Ajuste precio IC]]="",Tabla1[[#This Row],[Precio ponderado]],Tabla1[[#This Row],[Precio ponderado]])</f>
        <v>0.75703384638514615</v>
      </c>
      <c r="BA32" s="82"/>
      <c r="BB32" s="82" t="str">
        <f>IF(AND(Tabla1[[#This Row],[Atraso a facturar]]&gt;0,Tabla1[[#This Row],[Precio Atraso]]=0),"Revisar","OK")</f>
        <v>OK</v>
      </c>
      <c r="BC32" s="82" t="str">
        <f>IF(AND(Tabla1[[#This Row],[Venta del mes]]&gt;0,Tabla1[[#This Row],[Precio venta nueva]]=0),"Revisar","OK")</f>
        <v>OK</v>
      </c>
      <c r="BD32" s="20">
        <f>IFERROR(VLOOKUP(Tabla1[[#This Row],[Llave]],'[5]Consolidación planes'!$A:$M,9,FALSE),0)</f>
        <v>24000</v>
      </c>
      <c r="BE32" s="20">
        <f>IFERROR(VLOOKUP(Tabla1[[#This Row],[Llave]],'[5]Consolidación planes'!$A:$M,10,FALSE),0)</f>
        <v>24000</v>
      </c>
      <c r="BF32" s="20">
        <f>IFERROR(VLOOKUP(Tabla1[[#This Row],[Llave]],'[5]Consolidación planes'!$A:$M,11,FALSE),0)</f>
        <v>24000</v>
      </c>
      <c r="BG32" s="20">
        <f>IFERROR(VLOOKUP(Tabla1[[#This Row],[Llave]],'[5]Consolidación planes'!$A:$M,12,FALSE),0)</f>
        <v>24000</v>
      </c>
      <c r="BH32" s="20">
        <f>IFERROR(VLOOKUP(Tabla1[[#This Row],[Llave]],'[5]Consolidación planes'!$A:$M,13,FALSE),0)</f>
        <v>0</v>
      </c>
      <c r="BI32" s="20">
        <f>IFERROR(VLOOKUP(Tabla1[[#This Row],[Llave]],'[13]Base ultimos planes'!$A:$M,13,FALSE),0)</f>
        <v>0</v>
      </c>
      <c r="BJ32" s="80">
        <f>IFERROR(VLOOKUP(Tabla1[[#This Row],[Llave]],'[13]Base ultimos planes'!$O:$AA,8,FALSE),0)</f>
        <v>12960</v>
      </c>
      <c r="BK32" s="20">
        <f>IFERROR(VLOOKUP(Tabla1[[#This Row],[Llave]],'[13]Base ultimos planes'!$O:$AA,9,FALSE),0)</f>
        <v>12960</v>
      </c>
      <c r="BL32" s="20">
        <f>IFERROR(VLOOKUP(Tabla1[[#This Row],[Llave]],'[13]Base ultimos planes'!$O:$AA,10,FALSE),0)</f>
        <v>12000</v>
      </c>
      <c r="BM32" s="20">
        <f>IFERROR(VLOOKUP(Tabla1[[#This Row],[Llave]],'[13]Base ultimos planes'!$O:$AA,11,FALSE),0)</f>
        <v>11760</v>
      </c>
      <c r="BN32" s="20">
        <f>IFERROR(VLOOKUP(Tabla1[[#This Row],[Llave]],'[13]Base ultimos planes'!$O:$AA,12,FALSE),0)</f>
        <v>0</v>
      </c>
      <c r="BO32" s="20">
        <f>IFERROR(VLOOKUP(Tabla1[[#This Row],[Llave]],'[13]Base ultimos planes'!$O:$AA,13,FALSE),0)</f>
        <v>0</v>
      </c>
      <c r="BP32" s="20"/>
      <c r="BQ32" s="20">
        <f>+Tabla1[[#This Row],[ RV  Venta mes n+1]]*(1-Tabla1[[#This Row],[% Uti. producción]])</f>
        <v>17701.433526453104</v>
      </c>
      <c r="BR32" s="100"/>
    </row>
    <row r="33" spans="1:70" ht="16" x14ac:dyDescent="0.2">
      <c r="A33">
        <v>1</v>
      </c>
      <c r="B33" t="str">
        <f>Tabla1[[#This Row],[Oficina]]&amp;Tabla1[[#This Row],[Material]]</f>
        <v>Agro Sudamerica1021106</v>
      </c>
      <c r="C33" t="s">
        <v>6</v>
      </c>
      <c r="D33" t="s">
        <v>17</v>
      </c>
      <c r="E33">
        <v>1021106</v>
      </c>
      <c r="F33" t="s">
        <v>87</v>
      </c>
      <c r="G33" t="s">
        <v>76</v>
      </c>
      <c r="H33" t="s">
        <v>84</v>
      </c>
      <c r="I33" s="7">
        <f>IFERROR(VLOOKUP(Tabla1[[#This Row],[Llave]],'[7]RV Producción'!$C:$G,5,FALSE),0)</f>
        <v>0</v>
      </c>
      <c r="J33" s="3">
        <f>IFERROR(IF(Tabla1[[#This Row],[Oficina]]=$I$7,VLOOKUP(Tabla1[[#This Row],[Llave]],'[7]Shangai (Tomas)'!$A:$F,6,FALSE),VLOOKUP(Tabla1[[#This Row],[Llave]],'[7]RV plan de ventas'!$A:$E,5,FALSE)),0)</f>
        <v>0</v>
      </c>
      <c r="K33" s="8">
        <f>IFERROR(VLOOKUP(Tabla1[[#This Row],[Oficina]],[15]Ponderación!$B$2:$E$9,4,FALSE),0)</f>
        <v>0.45719439678473212</v>
      </c>
      <c r="L33" s="7">
        <f>+Tabla1[[#This Row],[ RV Producción mes n+1]]*Tabla1[[#This Row],[% Uti. producción]]</f>
        <v>0</v>
      </c>
      <c r="M33" s="7">
        <f>IFERROR(VLOOKUP(Tabla1[[#This Row],[Material]],'[17]TD Stock'!$E:$I,5,FALSE),0)</f>
        <v>100886.14799999999</v>
      </c>
      <c r="N33" s="7">
        <f>IFERROR(VLOOKUP(Tabla1[[#This Row],[Material]],[16]Produccion!$M:$N,2,FALSE),0)</f>
        <v>0</v>
      </c>
      <c r="O33" s="7">
        <f>IFERROR(VLOOKUP(Tabla1[[#This Row],[Llave]],'[16]TD Conf-AP'!$I:$M,4,FALSE),0)</f>
        <v>0</v>
      </c>
      <c r="P33" s="14">
        <f>SUM(Tabla1[[#This Row],[Producción disponible]],Tabla1[[#This Row],[Stock al día]],(Tabla1[[#This Row],[Por producir mes N]]*0.9))-Tabla1[[#This Row],[Producción por despachar mes N]]</f>
        <v>100886.14799999999</v>
      </c>
      <c r="Q33" s="7">
        <f>IFERROR(VLOOKUP(Tabla1[[#This Row],[Llave]],[17]DELAY!$A:$D,4,FALSE),0)</f>
        <v>0</v>
      </c>
      <c r="R33" s="9">
        <v>24000</v>
      </c>
      <c r="S33" s="5">
        <f t="shared" si="29"/>
        <v>0</v>
      </c>
      <c r="T33" s="76">
        <v>0</v>
      </c>
      <c r="U33" s="5">
        <f>+Tabla1[[#This Row],[Atraso a facturar]]+Tabla1[[#This Row],[Ajuste atraso]]</f>
        <v>0</v>
      </c>
      <c r="V33" s="3">
        <f>+Tabla1[[#This Row],[Total disponible]]-Tabla1[[#This Row],[Facturación atraso]]</f>
        <v>100886.14799999999</v>
      </c>
      <c r="W33" s="6">
        <f>IFERROR(IF(AND(V33&gt;R33,J33&gt;=R33),ROUNDDOWN((Tabla1[[#This Row],[Producción para venta nueva]])/R33,0)*R33,0),0)</f>
        <v>0</v>
      </c>
      <c r="X33" s="76">
        <v>0</v>
      </c>
      <c r="Y33" s="6">
        <f>IF(Tabla1[[#This Row],[Venta del mes]]&gt;0,Tabla1[[#This Row],[Venta del mes]]+Tabla1[[#This Row],[Ajuste venta nueva]],0)</f>
        <v>0</v>
      </c>
      <c r="Z33" s="6">
        <f>+Tabla1[[#This Row],[Producción para venta nueva]]-Tabla1[[#This Row],[Facturación Venta nueva]]</f>
        <v>100886.14799999999</v>
      </c>
      <c r="AA33" s="6">
        <f>IF(AND(A33=1,Tabla1[[#This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96000</v>
      </c>
      <c r="AB33" s="6"/>
      <c r="AC33" s="6">
        <f>IF(Tabla1[[#This Row],[Disponible stock sin venta]]&gt;0,Tabla1[[#This Row],[Disponible stock sin venta]]+Tabla1[[#This Row],[Ajuste stock sin venta]],0)</f>
        <v>96000</v>
      </c>
      <c r="AD33" s="3">
        <f>IFERROR(VLOOKUP(Tabla1[[#This Row],[Llave]],'[16]TD Puerto'!$A:$D,4,FALSE),0)</f>
        <v>0</v>
      </c>
      <c r="AE33" s="3">
        <v>96000</v>
      </c>
      <c r="AF33" s="3">
        <f>+Tabla1[[#This Row],[Atraso a facturar]]+Tabla1[[#This Row],[Venta del mes]]+Tabla1[[#This Row],[En puerto a facturar]]+Tabla1[[#This Row],[Disponible stock sin venta]]</f>
        <v>96000</v>
      </c>
      <c r="AG33" s="3">
        <f>+Tabla1[[#This Row],[En puerto a facturar]]</f>
        <v>0</v>
      </c>
      <c r="AH33" s="3">
        <f>+Tabla1[[#This Row],[Facturación atraso]]</f>
        <v>0</v>
      </c>
      <c r="AI33" s="3">
        <f>+Tabla1[[#This Row],[Plan Irrestricto]]-Tabla1[[#This Row],[Puerto ]]-Tabla1[[#This Row],[Atraso]]</f>
        <v>96000</v>
      </c>
      <c r="AJ33" s="3">
        <f>IF(Tabla1[[#This Row],[Plan Irrestricto]]&gt;0,SUM(Tabla1[[#This Row],[Facturación atraso]],Tabla1[[#This Row],[Facturación Venta nueva]],Tabla1[[#This Row],[Facturación stock]],Tabla1[[#This Row],[En puerto a facturar]]),0)</f>
        <v>96000</v>
      </c>
      <c r="AK33" s="3">
        <f>+Tabla1[[#This Row],[Facturación atraso]]</f>
        <v>0</v>
      </c>
      <c r="AL33" s="3">
        <f>+Tabla1[[#This Row],[Plan Ajustado]]-Tabla1[[#This Row],[ Atraso ajustado]]-Tabla1[[#This Row],[Puerto ]]</f>
        <v>96000</v>
      </c>
      <c r="AM33" s="3">
        <v>0</v>
      </c>
      <c r="AN33" s="3" t="str">
        <f>IF(Tabla1[[#This Row],[Plan Ajustado]]&gt;Tabla1[[#This Row],[En puerto a facturar]],"Si","No")</f>
        <v>Si</v>
      </c>
      <c r="AO33" s="3">
        <f>IF(AND(Tabla1[[#This Row],[Plan Ajustado]]&gt;0,Tabla1[[#This Row],[Plan Ajustado]]&gt;Tabla1[[#This Row],[En puerto a facturar]]),(Tabla1[[#This Row],[Plan Ajustado]]-Tabla1[[#This Row],[En puerto a facturar]]),0)</f>
        <v>96000</v>
      </c>
      <c r="AP33" s="3">
        <f>IF(Tabla1[[#This Row],[Necesidad]]&gt;=Tabla1[[#This Row],[Stock al día]],Tabla1[[#This Row],[Stock al día]],Tabla1[[#This Row],[Necesidad]])</f>
        <v>96000</v>
      </c>
      <c r="AQ33" s="3">
        <f>+Tabla1[[#This Row],[Necesidad]]-Tabla1[[#This Row],[Stock Plan]]</f>
        <v>0</v>
      </c>
      <c r="AR33" s="156">
        <f>IFERROR(VLOOKUP(Tabla1[[#This Row],[Oficina]],[22]Ponderación!$B$3:$G$9,6,FALSE),"")</f>
        <v>44757</v>
      </c>
      <c r="AS3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0.69633615561945283</v>
      </c>
      <c r="AT33" s="84">
        <f>+Tabla1[[#This Row],[Precio venta nueva]]</f>
        <v>0.69633615561945283</v>
      </c>
      <c r="AU3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0.69633615561945283</v>
      </c>
      <c r="AV33" s="5">
        <f>+Tabla1[[#This Row],[Plan Ajustado]]*Tabla1[[#This Row],[Precio ponderado]]</f>
        <v>66848.270939467475</v>
      </c>
      <c r="AW33" s="30">
        <f>IFERROR(VLOOKUP(Tabla1[[#This Row],[Llave]],'[13]Ultimos precios facturados'!$A:$G,7,FALSE),0)</f>
        <v>0.69633615561945283</v>
      </c>
      <c r="AX3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33" s="30"/>
      <c r="AZ33" s="30">
        <f>IF(Tabla1[[#This Row],[Ajuste precio IC]]="",Tabla1[[#This Row],[Precio ponderado]],Tabla1[[#This Row],[Precio ponderado]])</f>
        <v>0.69633615561945283</v>
      </c>
      <c r="BA33" s="82"/>
      <c r="BB33" s="82" t="str">
        <f>IF(AND(Tabla1[[#This Row],[Atraso a facturar]]&gt;0,Tabla1[[#This Row],[Precio Atraso]]=0),"Revisar","OK")</f>
        <v>OK</v>
      </c>
      <c r="BC33" s="82" t="str">
        <f>IF(AND(Tabla1[[#This Row],[Venta del mes]]&gt;0,Tabla1[[#This Row],[Precio venta nueva]]=0),"Revisar","OK")</f>
        <v>OK</v>
      </c>
      <c r="BD33" s="20">
        <f>IFERROR(VLOOKUP(Tabla1[[#This Row],[Llave]],'[5]Consolidación planes'!$A:$M,9,FALSE),0)</f>
        <v>96000</v>
      </c>
      <c r="BE33" s="20">
        <f>IFERROR(VLOOKUP(Tabla1[[#This Row],[Llave]],'[5]Consolidación planes'!$A:$M,10,FALSE),0)</f>
        <v>144000</v>
      </c>
      <c r="BF33" s="20">
        <f>IFERROR(VLOOKUP(Tabla1[[#This Row],[Llave]],'[5]Consolidación planes'!$A:$M,11,FALSE),0)</f>
        <v>96000</v>
      </c>
      <c r="BG33" s="20">
        <f>IFERROR(VLOOKUP(Tabla1[[#This Row],[Llave]],'[5]Consolidación planes'!$A:$M,12,FALSE),0)</f>
        <v>120000</v>
      </c>
      <c r="BH33" s="20">
        <f>IFERROR(VLOOKUP(Tabla1[[#This Row],[Llave]],'[5]Consolidación planes'!$A:$M,13,FALSE),0)</f>
        <v>48000</v>
      </c>
      <c r="BI33" s="20">
        <f>IFERROR(VLOOKUP(Tabla1[[#This Row],[Llave]],'[13]Base ultimos planes'!$A:$M,13,FALSE),0)</f>
        <v>120000</v>
      </c>
      <c r="BJ33" s="80">
        <f>IFERROR(VLOOKUP(Tabla1[[#This Row],[Llave]],'[13]Base ultimos planes'!$O:$AA,8,FALSE),0)</f>
        <v>67008</v>
      </c>
      <c r="BK33" s="20">
        <f>IFERROR(VLOOKUP(Tabla1[[#This Row],[Llave]],'[13]Base ultimos planes'!$O:$AA,9,FALSE),0)</f>
        <v>102640</v>
      </c>
      <c r="BL33" s="20">
        <f>IFERROR(VLOOKUP(Tabla1[[#This Row],[Llave]],'[13]Base ultimos planes'!$O:$AA,10,FALSE),0)</f>
        <v>67579</v>
      </c>
      <c r="BM33" s="20">
        <f>IFERROR(VLOOKUP(Tabla1[[#This Row],[Llave]],'[13]Base ultimos planes'!$O:$AA,11,FALSE),0)</f>
        <v>84720</v>
      </c>
      <c r="BN33" s="20">
        <f>IFERROR(VLOOKUP(Tabla1[[#This Row],[Llave]],'[13]Base ultimos planes'!$O:$AA,12,FALSE),0)</f>
        <v>30827</v>
      </c>
      <c r="BO33" s="20">
        <f>IFERROR(VLOOKUP(Tabla1[[#This Row],[Llave]],'[13]Base ultimos planes'!$O:$AA,13,FALSE),0)</f>
        <v>80334</v>
      </c>
      <c r="BP33" s="20"/>
      <c r="BQ33" s="20">
        <f>+Tabla1[[#This Row],[ RV  Venta mes n+1]]*(1-Tabla1[[#This Row],[% Uti. producción]])</f>
        <v>0</v>
      </c>
      <c r="BR33" s="100"/>
    </row>
    <row r="34" spans="1:70" ht="16" hidden="1" x14ac:dyDescent="0.2">
      <c r="A34">
        <v>1</v>
      </c>
      <c r="B34" t="str">
        <f>Tabla1[[#This Row],[Oficina]]&amp;Tabla1[[#This Row],[Material]]</f>
        <v>Agro Sudamerica1021111</v>
      </c>
      <c r="C34" t="s">
        <v>6</v>
      </c>
      <c r="D34" t="s">
        <v>17</v>
      </c>
      <c r="E34">
        <v>1021111</v>
      </c>
      <c r="F34" t="s">
        <v>48</v>
      </c>
      <c r="G34" t="s">
        <v>11</v>
      </c>
      <c r="H34" t="s">
        <v>47</v>
      </c>
      <c r="I34" s="7">
        <f>IFERROR(VLOOKUP(Tabla1[[#This Row],[Llave]],'[7]RV Producción'!$C:$G,5,FALSE),0)</f>
        <v>4543</v>
      </c>
      <c r="J34" s="3">
        <f>IFERROR(IF(Tabla1[[#This Row],[Oficina]]=$I$7,VLOOKUP(Tabla1[[#This Row],[Llave]],'[7]Shangai (Tomas)'!$A:$F,6,FALSE),VLOOKUP(Tabla1[[#This Row],[Llave]],'[7]RV plan de ventas'!$A:$E,5,FALSE)),0)</f>
        <v>3000</v>
      </c>
      <c r="K34" s="8">
        <f>IFERROR(VLOOKUP(Tabla1[[#This Row],[Oficina]],[15]Ponderación!$B$2:$E$9,4,FALSE),0)</f>
        <v>0.45719439678473212</v>
      </c>
      <c r="L34" s="7">
        <f>+Tabla1[[#This Row],[ RV Producción mes n+1]]*Tabla1[[#This Row],[% Uti. producción]]</f>
        <v>2077.034144593038</v>
      </c>
      <c r="M34" s="7">
        <f>IFERROR(VLOOKUP(Tabla1[[#This Row],[Material]],'[17]TD Stock'!$E:$I,5,FALSE),0)</f>
        <v>2854.5570000000002</v>
      </c>
      <c r="N34" s="7">
        <f>IFERROR(VLOOKUP(Tabla1[[#This Row],[Material]],[16]Produccion!$M:$N,2,FALSE),0)</f>
        <v>1057</v>
      </c>
      <c r="O34" s="7">
        <f>IFERROR(VLOOKUP(Tabla1[[#This Row],[Llave]],'[16]TD Conf-AP'!$I:$M,4,FALSE),0)</f>
        <v>0</v>
      </c>
      <c r="P34" s="14">
        <f>SUM(Tabla1[[#This Row],[Producción disponible]],Tabla1[[#This Row],[Stock al día]],(Tabla1[[#This Row],[Por producir mes N]]*0.9))-Tabla1[[#This Row],[Producción por despachar mes N]]</f>
        <v>5882.891144593038</v>
      </c>
      <c r="Q34" s="7">
        <f>IFERROR(VLOOKUP(Tabla1[[#This Row],[Llave]],[17]DELAY!$A:$D,4,FALSE),0)</f>
        <v>9262</v>
      </c>
      <c r="R34" s="9">
        <v>24000</v>
      </c>
      <c r="S34" s="5">
        <f t="shared" si="29"/>
        <v>0</v>
      </c>
      <c r="T34" s="76">
        <v>0</v>
      </c>
      <c r="U34" s="5">
        <f>+Tabla1[[#This Row],[Atraso a facturar]]+Tabla1[[#This Row],[Ajuste atraso]]</f>
        <v>0</v>
      </c>
      <c r="V34" s="3">
        <f>+Tabla1[[#This Row],[Total disponible]]-Tabla1[[#This Row],[Facturación atraso]]</f>
        <v>5882.891144593038</v>
      </c>
      <c r="W34" s="6">
        <f>IFERROR(IF(AND(V34&gt;R34,J34&gt;=R34),ROUNDDOWN((Tabla1[[#This Row],[Producción para venta nueva]])/R34,0)*R34,0),0)</f>
        <v>0</v>
      </c>
      <c r="X34" s="76">
        <v>0</v>
      </c>
      <c r="Y34" s="6">
        <f>IF(Tabla1[[#This Row],[Venta del mes]]&gt;0,Tabla1[[#This Row],[Venta del mes]]+Tabla1[[#This Row],[Ajuste venta nueva]],0)</f>
        <v>0</v>
      </c>
      <c r="Z34" s="6">
        <f>+Tabla1[[#This Row],[Producción para venta nueva]]-Tabla1[[#This Row],[Facturación Venta nueva]]</f>
        <v>5882.891144593038</v>
      </c>
      <c r="AA34" s="6">
        <f>IF(AND(A34=1,Tabla1[[#This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4" s="6"/>
      <c r="AC34" s="6">
        <f>IF(Tabla1[[#This Row],[Disponible stock sin venta]]&gt;0,Tabla1[[#This Row],[Disponible stock sin venta]]+Tabla1[[#This Row],[Ajuste stock sin venta]],0)</f>
        <v>0</v>
      </c>
      <c r="AD34" s="3">
        <f>IFERROR(VLOOKUP(Tabla1[[#This Row],[Llave]],'[16]TD Puerto'!$A:$D,4,FALSE),0)</f>
        <v>0</v>
      </c>
      <c r="AE34" s="3">
        <v>0</v>
      </c>
      <c r="AF34" s="3">
        <f>+Tabla1[[#This Row],[Atraso a facturar]]+Tabla1[[#This Row],[Venta del mes]]+Tabla1[[#This Row],[En puerto a facturar]]+Tabla1[[#This Row],[Disponible stock sin venta]]</f>
        <v>0</v>
      </c>
      <c r="AG34" s="3">
        <f>+Tabla1[[#This Row],[En puerto a facturar]]</f>
        <v>0</v>
      </c>
      <c r="AH34" s="3">
        <f>+Tabla1[[#This Row],[Facturación atraso]]</f>
        <v>0</v>
      </c>
      <c r="AI34" s="3">
        <f>+Tabla1[[#This Row],[Plan Irrestricto]]-Tabla1[[#This Row],[Puerto ]]-Tabla1[[#This Row],[Atraso]]</f>
        <v>0</v>
      </c>
      <c r="AJ3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4" s="3">
        <f>+Tabla1[[#This Row],[Facturación atraso]]</f>
        <v>0</v>
      </c>
      <c r="AL34" s="3">
        <f>+Tabla1[[#This Row],[Plan Ajustado]]-Tabla1[[#This Row],[ Atraso ajustado]]-Tabla1[[#This Row],[Puerto ]]</f>
        <v>0</v>
      </c>
      <c r="AM34" s="3">
        <v>0</v>
      </c>
      <c r="AN34" s="3" t="str">
        <f>IF(Tabla1[[#This Row],[Plan Ajustado]]&gt;Tabla1[[#This Row],[En puerto a facturar]],"Si","No")</f>
        <v>No</v>
      </c>
      <c r="AO3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4" s="3">
        <f>IF(Tabla1[[#This Row],[Necesidad]]&gt;=Tabla1[[#This Row],[Stock al día]],Tabla1[[#This Row],[Stock al día]],Tabla1[[#This Row],[Necesidad]])</f>
        <v>0</v>
      </c>
      <c r="AQ34" s="3">
        <f>+Tabla1[[#This Row],[Necesidad]]-Tabla1[[#This Row],[Stock Plan]]</f>
        <v>0</v>
      </c>
      <c r="AR34" s="156">
        <f>IFERROR(VLOOKUP(Tabla1[[#This Row],[Oficina]],[22]Ponderación!$B$3:$G$9,6,FALSE),"")</f>
        <v>44757</v>
      </c>
      <c r="AS3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1.28666666666667</v>
      </c>
      <c r="AT34" s="83">
        <f>IFERROR(VLOOKUP(Tabla1[[#This Row],[Llave]],[17]DELAY!$H:$W,16,FALSE),0)</f>
        <v>1.3176095875620817</v>
      </c>
      <c r="AU3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4" s="5">
        <f>+Tabla1[[#This Row],[Plan Ajustado]]*Tabla1[[#This Row],[Precio ponderado]]</f>
        <v>0</v>
      </c>
      <c r="AW34" s="30">
        <f>IFERROR(VLOOKUP(Tabla1[[#This Row],[Llave]],'[13]Ultimos precios facturados'!$A:$G,7,FALSE),0)</f>
        <v>1.3914103930129227</v>
      </c>
      <c r="AX3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4" s="30"/>
      <c r="AZ34" s="30">
        <f>IF(Tabla1[[#This Row],[Ajuste precio IC]]="",Tabla1[[#This Row],[Precio ponderado]],Tabla1[[#This Row],[Precio ponderado]])</f>
        <v>0</v>
      </c>
      <c r="BA34" s="82"/>
      <c r="BB34" s="82" t="str">
        <f>IF(AND(Tabla1[[#This Row],[Atraso a facturar]]&gt;0,Tabla1[[#This Row],[Precio Atraso]]=0),"Revisar","OK")</f>
        <v>OK</v>
      </c>
      <c r="BC34" s="82" t="str">
        <f>IF(AND(Tabla1[[#This Row],[Venta del mes]]&gt;0,Tabla1[[#This Row],[Precio venta nueva]]=0),"Revisar","OK")</f>
        <v>OK</v>
      </c>
      <c r="BD34" s="20">
        <f>IFERROR(VLOOKUP(Tabla1[[#This Row],[Llave]],'[5]Consolidación planes'!$A:$M,9,FALSE),0)</f>
        <v>3000</v>
      </c>
      <c r="BE34" s="20">
        <f>IFERROR(VLOOKUP(Tabla1[[#This Row],[Llave]],'[5]Consolidación planes'!$A:$M,10,FALSE),0)</f>
        <v>2500</v>
      </c>
      <c r="BF34" s="20">
        <f>IFERROR(VLOOKUP(Tabla1[[#This Row],[Llave]],'[5]Consolidación planes'!$A:$M,11,FALSE),0)</f>
        <v>0</v>
      </c>
      <c r="BG34" s="20">
        <f>IFERROR(VLOOKUP(Tabla1[[#This Row],[Llave]],'[5]Consolidación planes'!$A:$M,12,FALSE),0)</f>
        <v>0</v>
      </c>
      <c r="BH34" s="20">
        <f>IFERROR(VLOOKUP(Tabla1[[#This Row],[Llave]],'[5]Consolidación planes'!$A:$M,13,FALSE),0)</f>
        <v>0</v>
      </c>
      <c r="BI34" s="20">
        <f>IFERROR(VLOOKUP(Tabla1[[#This Row],[Llave]],'[13]Base ultimos planes'!$A:$M,13,FALSE),0)</f>
        <v>0</v>
      </c>
      <c r="BJ34" s="80">
        <f>IFERROR(VLOOKUP(Tabla1[[#This Row],[Llave]],'[13]Base ultimos planes'!$O:$AA,8,FALSE),0)</f>
        <v>3900</v>
      </c>
      <c r="BK34" s="20">
        <f>IFERROR(VLOOKUP(Tabla1[[#This Row],[Llave]],'[13]Base ultimos planes'!$O:$AA,9,FALSE),0)</f>
        <v>3220</v>
      </c>
      <c r="BL34" s="20">
        <f>IFERROR(VLOOKUP(Tabla1[[#This Row],[Llave]],'[13]Base ultimos planes'!$O:$AA,10,FALSE),0)</f>
        <v>0</v>
      </c>
      <c r="BM34" s="20">
        <f>IFERROR(VLOOKUP(Tabla1[[#This Row],[Llave]],'[13]Base ultimos planes'!$O:$AA,11,FALSE),0)</f>
        <v>0</v>
      </c>
      <c r="BN34" s="20">
        <f>IFERROR(VLOOKUP(Tabla1[[#This Row],[Llave]],'[13]Base ultimos planes'!$O:$AA,12,FALSE),0)</f>
        <v>0</v>
      </c>
      <c r="BO34" s="20">
        <f>IFERROR(VLOOKUP(Tabla1[[#This Row],[Llave]],'[13]Base ultimos planes'!$O:$AA,13,FALSE),0)</f>
        <v>0</v>
      </c>
      <c r="BP34" s="20"/>
      <c r="BQ34" s="20">
        <f>+Tabla1[[#This Row],[ RV  Venta mes n+1]]*(1-Tabla1[[#This Row],[% Uti. producción]])</f>
        <v>1628.4168096458038</v>
      </c>
      <c r="BR34" s="100"/>
    </row>
    <row r="35" spans="1:70" ht="16" x14ac:dyDescent="0.2">
      <c r="A35">
        <v>1</v>
      </c>
      <c r="B35" t="str">
        <f>Tabla1[[#This Row],[Oficina]]&amp;Tabla1[[#This Row],[Material]]</f>
        <v>Agro Sudamerica1021187</v>
      </c>
      <c r="C35" t="s">
        <v>6</v>
      </c>
      <c r="D35" t="s">
        <v>17</v>
      </c>
      <c r="E35">
        <v>1021187</v>
      </c>
      <c r="F35" t="s">
        <v>29</v>
      </c>
      <c r="G35" t="s">
        <v>8</v>
      </c>
      <c r="H35" t="s">
        <v>28</v>
      </c>
      <c r="I35" s="7">
        <f>IFERROR(VLOOKUP(Tabla1[[#This Row],[Llave]],'[7]RV Producción'!$C:$G,5,FALSE),0)</f>
        <v>56914</v>
      </c>
      <c r="J35" s="3">
        <f>IFERROR(IF(Tabla1[[#This Row],[Oficina]]=$I$7,VLOOKUP(Tabla1[[#This Row],[Llave]],'[7]Shangai (Tomas)'!$A:$F,6,FALSE),VLOOKUP(Tabla1[[#This Row],[Llave]],'[7]RV plan de ventas'!$A:$E,5,FALSE)),0)</f>
        <v>48000</v>
      </c>
      <c r="K35" s="8">
        <f>IFERROR(VLOOKUP(Tabla1[[#This Row],[Oficina]],[15]Ponderación!$B$2:$E$9,4,FALSE),0)</f>
        <v>0.45719439678473212</v>
      </c>
      <c r="L35" s="7">
        <f>+Tabla1[[#This Row],[ RV Producción mes n+1]]*Tabla1[[#This Row],[% Uti. producción]]</f>
        <v>26020.761898606244</v>
      </c>
      <c r="M35" s="7">
        <f>IFERROR(VLOOKUP(Tabla1[[#This Row],[Material]],'[17]TD Stock'!$E:$I,5,FALSE),0)</f>
        <v>45175.617000000006</v>
      </c>
      <c r="N35" s="7">
        <f>IFERROR(VLOOKUP(Tabla1[[#This Row],[Material]],[16]Produccion!$M:$N,2,FALSE),0)</f>
        <v>12759</v>
      </c>
      <c r="O35" s="7">
        <f>IFERROR(VLOOKUP(Tabla1[[#This Row],[Llave]],'[16]TD Conf-AP'!$I:$M,4,FALSE),0)</f>
        <v>0</v>
      </c>
      <c r="P35" s="14">
        <f>SUM(Tabla1[[#This Row],[Producción disponible]],Tabla1[[#This Row],[Stock al día]],(Tabla1[[#This Row],[Por producir mes N]]*0.9))-Tabla1[[#This Row],[Producción por despachar mes N]]</f>
        <v>82679.478898606263</v>
      </c>
      <c r="Q35" s="7">
        <f>IFERROR(VLOOKUP(Tabla1[[#This Row],[Llave]],[17]DELAY!$A:$D,4,FALSE),0)</f>
        <v>72000</v>
      </c>
      <c r="R35" s="9">
        <v>24000</v>
      </c>
      <c r="S35" s="5">
        <f t="shared" si="29"/>
        <v>72000</v>
      </c>
      <c r="T35" s="76">
        <v>0</v>
      </c>
      <c r="U35" s="5">
        <f>+Tabla1[[#This Row],[Atraso a facturar]]+Tabla1[[#This Row],[Ajuste atraso]]</f>
        <v>72000</v>
      </c>
      <c r="V35" s="3">
        <f>+Tabla1[[#This Row],[Total disponible]]-Tabla1[[#This Row],[Facturación atraso]]</f>
        <v>10679.478898606263</v>
      </c>
      <c r="W35" s="6">
        <f>IFERROR(IF(AND(V35&gt;R35,J35&gt;=R35),ROUNDDOWN((Tabla1[[#This Row],[Producción para venta nueva]])/R35,0)*R35,0),0)</f>
        <v>0</v>
      </c>
      <c r="X35" s="76">
        <v>0</v>
      </c>
      <c r="Y35" s="6">
        <f>IF(Tabla1[[#This Row],[Venta del mes]]&gt;0,Tabla1[[#This Row],[Venta del mes]]+Tabla1[[#This Row],[Ajuste venta nueva]],0)</f>
        <v>0</v>
      </c>
      <c r="Z35" s="6">
        <f>+Tabla1[[#This Row],[Producción para venta nueva]]-Tabla1[[#This Row],[Facturación Venta nueva]]</f>
        <v>10679.478898606263</v>
      </c>
      <c r="AA35" s="6">
        <f>IF(AND(A35=1,Tabla1[[#This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5" s="6"/>
      <c r="AC35" s="6">
        <f>IF(Tabla1[[#This Row],[Disponible stock sin venta]]&gt;0,Tabla1[[#This Row],[Disponible stock sin venta]]+Tabla1[[#This Row],[Ajuste stock sin venta]],0)</f>
        <v>0</v>
      </c>
      <c r="AD35" s="3">
        <f>IFERROR(VLOOKUP(Tabla1[[#This Row],[Llave]],'[16]TD Puerto'!$A:$D,4,FALSE),0)</f>
        <v>0</v>
      </c>
      <c r="AE35" s="3">
        <v>72000</v>
      </c>
      <c r="AF35" s="3">
        <f>+Tabla1[[#This Row],[Atraso a facturar]]+Tabla1[[#This Row],[Venta del mes]]+Tabla1[[#This Row],[En puerto a facturar]]+Tabla1[[#This Row],[Disponible stock sin venta]]</f>
        <v>72000</v>
      </c>
      <c r="AG35" s="3">
        <f>+Tabla1[[#This Row],[En puerto a facturar]]</f>
        <v>0</v>
      </c>
      <c r="AH35" s="3">
        <f>+Tabla1[[#This Row],[Facturación atraso]]</f>
        <v>72000</v>
      </c>
      <c r="AI35" s="3">
        <f>+Tabla1[[#This Row],[Plan Irrestricto]]-Tabla1[[#This Row],[Puerto ]]-Tabla1[[#This Row],[Atraso]]</f>
        <v>0</v>
      </c>
      <c r="AJ35" s="3">
        <f>IF(Tabla1[[#This Row],[Plan Irrestricto]]&gt;0,SUM(Tabla1[[#This Row],[Facturación atraso]],Tabla1[[#This Row],[Facturación Venta nueva]],Tabla1[[#This Row],[Facturación stock]],Tabla1[[#This Row],[En puerto a facturar]]),0)</f>
        <v>72000</v>
      </c>
      <c r="AK35" s="3">
        <f>+Tabla1[[#This Row],[Facturación atraso]]</f>
        <v>72000</v>
      </c>
      <c r="AL35" s="3">
        <f>+Tabla1[[#This Row],[Plan Ajustado]]-Tabla1[[#This Row],[ Atraso ajustado]]-Tabla1[[#This Row],[Puerto ]]</f>
        <v>0</v>
      </c>
      <c r="AM35" s="3">
        <v>0</v>
      </c>
      <c r="AN35" s="3" t="str">
        <f>IF(Tabla1[[#This Row],[Plan Ajustado]]&gt;Tabla1[[#This Row],[En puerto a facturar]],"Si","No")</f>
        <v>Si</v>
      </c>
      <c r="AO35" s="3">
        <f>IF(AND(Tabla1[[#This Row],[Plan Ajustado]]&gt;0,Tabla1[[#This Row],[Plan Ajustado]]&gt;Tabla1[[#This Row],[En puerto a facturar]]),(Tabla1[[#This Row],[Plan Ajustado]]-Tabla1[[#This Row],[En puerto a facturar]]),0)</f>
        <v>72000</v>
      </c>
      <c r="AP35" s="3">
        <f>IF(Tabla1[[#This Row],[Necesidad]]&gt;=Tabla1[[#This Row],[Stock al día]],Tabla1[[#This Row],[Stock al día]],Tabla1[[#This Row],[Necesidad]])</f>
        <v>45175.617000000006</v>
      </c>
      <c r="AQ35" s="3">
        <f>+Tabla1[[#This Row],[Necesidad]]-Tabla1[[#This Row],[Stock Plan]]</f>
        <v>26824.382999999994</v>
      </c>
      <c r="AR35" s="156">
        <f>IFERROR(VLOOKUP(Tabla1[[#This Row],[Oficina]],[22]Ponderación!$B$3:$G$9,6,FALSE),"")</f>
        <v>44757</v>
      </c>
      <c r="AS3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2.08666666666667</v>
      </c>
      <c r="AT35" s="83">
        <f>IFERROR(VLOOKUP(Tabla1[[#This Row],[Llave]],[17]DELAY!$H:$W,16,FALSE),0)</f>
        <v>2.098888888888887</v>
      </c>
      <c r="AU3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2.098888888888887</v>
      </c>
      <c r="AV35" s="5">
        <f>+Tabla1[[#This Row],[Plan Ajustado]]*Tabla1[[#This Row],[Precio ponderado]]</f>
        <v>151119.99999999985</v>
      </c>
      <c r="AW35" s="30">
        <f>IFERROR(VLOOKUP(Tabla1[[#This Row],[Llave]],'[13]Ultimos precios facturados'!$A:$G,7,FALSE),0)</f>
        <v>1.965779500954816</v>
      </c>
      <c r="AX3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6.7713285172328469E-2</v>
      </c>
      <c r="AY35" s="30"/>
      <c r="AZ35" s="30">
        <f>IF(Tabla1[[#This Row],[Ajuste precio IC]]="",Tabla1[[#This Row],[Precio ponderado]],Tabla1[[#This Row],[Precio ponderado]])</f>
        <v>2.098888888888887</v>
      </c>
      <c r="BA35" s="82"/>
      <c r="BB35" s="82" t="str">
        <f>IF(AND(Tabla1[[#This Row],[Atraso a facturar]]&gt;0,Tabla1[[#This Row],[Precio Atraso]]=0),"Revisar","OK")</f>
        <v>OK</v>
      </c>
      <c r="BC35" s="82" t="str">
        <f>IF(AND(Tabla1[[#This Row],[Venta del mes]]&gt;0,Tabla1[[#This Row],[Precio venta nueva]]=0),"Revisar","OK")</f>
        <v>OK</v>
      </c>
      <c r="BD35" s="20">
        <f>IFERROR(VLOOKUP(Tabla1[[#This Row],[Llave]],'[5]Consolidación planes'!$A:$M,9,FALSE),0)</f>
        <v>72000</v>
      </c>
      <c r="BE35" s="20">
        <f>IFERROR(VLOOKUP(Tabla1[[#This Row],[Llave]],'[5]Consolidación planes'!$A:$M,10,FALSE),0)</f>
        <v>24000</v>
      </c>
      <c r="BF35" s="20">
        <f>IFERROR(VLOOKUP(Tabla1[[#This Row],[Llave]],'[5]Consolidación planes'!$A:$M,11,FALSE),0)</f>
        <v>48000</v>
      </c>
      <c r="BG35" s="20">
        <f>IFERROR(VLOOKUP(Tabla1[[#This Row],[Llave]],'[5]Consolidación planes'!$A:$M,12,FALSE),0)</f>
        <v>24000</v>
      </c>
      <c r="BH35" s="20">
        <f>IFERROR(VLOOKUP(Tabla1[[#This Row],[Llave]],'[5]Consolidación planes'!$A:$M,13,FALSE),0)</f>
        <v>88000</v>
      </c>
      <c r="BI35" s="20">
        <f>IFERROR(VLOOKUP(Tabla1[[#This Row],[Llave]],'[13]Base ultimos planes'!$A:$M,13,FALSE),0)</f>
        <v>69000</v>
      </c>
      <c r="BJ35" s="80">
        <f>IFERROR(VLOOKUP(Tabla1[[#This Row],[Llave]],'[13]Base ultimos planes'!$O:$AA,8,FALSE),0)</f>
        <v>147600</v>
      </c>
      <c r="BK35" s="20">
        <f>IFERROR(VLOOKUP(Tabla1[[#This Row],[Llave]],'[13]Base ultimos planes'!$O:$AA,9,FALSE),0)</f>
        <v>50100</v>
      </c>
      <c r="BL35" s="20">
        <f>IFERROR(VLOOKUP(Tabla1[[#This Row],[Llave]],'[13]Base ultimos planes'!$O:$AA,10,FALSE),0)</f>
        <v>90190</v>
      </c>
      <c r="BM35" s="20">
        <f>IFERROR(VLOOKUP(Tabla1[[#This Row],[Llave]],'[13]Base ultimos planes'!$O:$AA,11,FALSE),0)</f>
        <v>48240</v>
      </c>
      <c r="BN35" s="20">
        <f>IFERROR(VLOOKUP(Tabla1[[#This Row],[Llave]],'[13]Base ultimos planes'!$O:$AA,12,FALSE),0)</f>
        <v>173280</v>
      </c>
      <c r="BO35" s="20">
        <f>IFERROR(VLOOKUP(Tabla1[[#This Row],[Llave]],'[13]Base ultimos planes'!$O:$AA,13,FALSE),0)</f>
        <v>143717</v>
      </c>
      <c r="BP35" s="20"/>
      <c r="BQ35" s="20">
        <f>+Tabla1[[#This Row],[ RV  Venta mes n+1]]*(1-Tabla1[[#This Row],[% Uti. producción]])</f>
        <v>26054.668954332861</v>
      </c>
      <c r="BR35" s="100"/>
    </row>
    <row r="36" spans="1:70" ht="16" hidden="1" x14ac:dyDescent="0.2">
      <c r="A36">
        <v>1</v>
      </c>
      <c r="B36" t="str">
        <f>Tabla1[[#This Row],[Oficina]]&amp;Tabla1[[#This Row],[Material]]</f>
        <v>Agro Sudamerica1021237</v>
      </c>
      <c r="C36" t="s">
        <v>6</v>
      </c>
      <c r="D36" t="s">
        <v>17</v>
      </c>
      <c r="E36">
        <v>1021237</v>
      </c>
      <c r="F36" t="s">
        <v>313</v>
      </c>
      <c r="G36" t="s">
        <v>71</v>
      </c>
      <c r="H36" t="s">
        <v>72</v>
      </c>
      <c r="I36" s="7">
        <f>IFERROR(VLOOKUP(Tabla1[[#This Row],[Llave]],'[7]RV Producción'!$C:$G,5,FALSE),0)</f>
        <v>0</v>
      </c>
      <c r="J36" s="3">
        <f>IFERROR(IF(Tabla1[[#This Row],[Oficina]]=$I$7,VLOOKUP(Tabla1[[#This Row],[Llave]],'[7]Shangai (Tomas)'!$A:$F,6,FALSE),VLOOKUP(Tabla1[[#This Row],[Llave]],'[7]RV plan de ventas'!$A:$E,5,FALSE)),0)</f>
        <v>0</v>
      </c>
      <c r="K36" s="8">
        <f>IFERROR(VLOOKUP(Tabla1[[#This Row],[Oficina]],[15]Ponderación!$B$2:$E$9,4,FALSE),0)</f>
        <v>0.45719439678473212</v>
      </c>
      <c r="L36" s="7">
        <f>+Tabla1[[#This Row],[ RV Producción mes n+1]]*Tabla1[[#This Row],[% Uti. producción]]</f>
        <v>0</v>
      </c>
      <c r="M36" s="7">
        <f>IFERROR(VLOOKUP(Tabla1[[#This Row],[Material]],'[17]TD Stock'!$E:$I,5,FALSE),0)</f>
        <v>0</v>
      </c>
      <c r="N36" s="7">
        <f>IFERROR(VLOOKUP(Tabla1[[#This Row],[Material]],[16]Produccion!$M:$N,2,FALSE),0)</f>
        <v>0</v>
      </c>
      <c r="O36" s="7">
        <f>IFERROR(VLOOKUP(Tabla1[[#This Row],[Llave]],'[16]TD Conf-AP'!$I:$M,4,FALSE),0)</f>
        <v>0</v>
      </c>
      <c r="P36" s="14">
        <f>SUM(Tabla1[[#This Row],[Producción disponible]],Tabla1[[#This Row],[Stock al día]],(Tabla1[[#This Row],[Por producir mes N]]*0.9))-Tabla1[[#This Row],[Producción por despachar mes N]]</f>
        <v>0</v>
      </c>
      <c r="Q36" s="7">
        <f>IFERROR(VLOOKUP(Tabla1[[#This Row],[Llave]],[17]DELAY!$A:$D,4,FALSE),0)</f>
        <v>0</v>
      </c>
      <c r="R36" s="9">
        <v>24000</v>
      </c>
      <c r="S36" s="5">
        <f t="shared" si="29"/>
        <v>0</v>
      </c>
      <c r="T36" s="76">
        <v>0</v>
      </c>
      <c r="U36" s="5">
        <f>+Tabla1[[#This Row],[Atraso a facturar]]+Tabla1[[#This Row],[Ajuste atraso]]</f>
        <v>0</v>
      </c>
      <c r="V36" s="3">
        <f>+Tabla1[[#This Row],[Total disponible]]-Tabla1[[#This Row],[Facturación atraso]]</f>
        <v>0</v>
      </c>
      <c r="W36" s="6">
        <f>IFERROR(IF(AND(V36&gt;R36,J36&gt;=R36),ROUNDDOWN((Tabla1[[#This Row],[Producción para venta nueva]])/R36,0)*R36,0),0)</f>
        <v>0</v>
      </c>
      <c r="X36" s="76">
        <v>0</v>
      </c>
      <c r="Y36" s="6">
        <f>IF(Tabla1[[#This Row],[Venta del mes]]&gt;0,Tabla1[[#This Row],[Venta del mes]]+Tabla1[[#This Row],[Ajuste venta nueva]],0)</f>
        <v>0</v>
      </c>
      <c r="Z36" s="6">
        <f>+Tabla1[[#This Row],[Producción para venta nueva]]-Tabla1[[#This Row],[Facturación Venta nueva]]</f>
        <v>0</v>
      </c>
      <c r="AA36" s="6">
        <f>IF(AND(A36=1,Tabla1[[#This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6" s="6"/>
      <c r="AC36" s="6">
        <f>IF(Tabla1[[#This Row],[Disponible stock sin venta]]&gt;0,Tabla1[[#This Row],[Disponible stock sin venta]]+Tabla1[[#This Row],[Ajuste stock sin venta]],0)</f>
        <v>0</v>
      </c>
      <c r="AD36" s="3">
        <f>IFERROR(VLOOKUP(Tabla1[[#This Row],[Llave]],'[16]TD Puerto'!$A:$D,4,FALSE),0)</f>
        <v>0</v>
      </c>
      <c r="AE36" s="3">
        <v>0</v>
      </c>
      <c r="AF36" s="3">
        <f>+Tabla1[[#This Row],[Atraso a facturar]]+Tabla1[[#This Row],[Venta del mes]]+Tabla1[[#This Row],[En puerto a facturar]]+Tabla1[[#This Row],[Disponible stock sin venta]]</f>
        <v>0</v>
      </c>
      <c r="AG36" s="3">
        <f>+Tabla1[[#This Row],[En puerto a facturar]]</f>
        <v>0</v>
      </c>
      <c r="AH36" s="3">
        <f>+Tabla1[[#This Row],[Facturación atraso]]</f>
        <v>0</v>
      </c>
      <c r="AI36" s="3">
        <f>+Tabla1[[#This Row],[Plan Irrestricto]]-Tabla1[[#This Row],[Puerto ]]-Tabla1[[#This Row],[Atraso]]</f>
        <v>0</v>
      </c>
      <c r="AJ3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6" s="3">
        <f>+Tabla1[[#This Row],[Facturación atraso]]</f>
        <v>0</v>
      </c>
      <c r="AL36" s="3">
        <f>+Tabla1[[#This Row],[Plan Ajustado]]-Tabla1[[#This Row],[ Atraso ajustado]]-Tabla1[[#This Row],[Puerto ]]</f>
        <v>0</v>
      </c>
      <c r="AM36" s="3">
        <v>0</v>
      </c>
      <c r="AN36" s="3" t="str">
        <f>IF(Tabla1[[#This Row],[Plan Ajustado]]&gt;Tabla1[[#This Row],[En puerto a facturar]],"Si","No")</f>
        <v>No</v>
      </c>
      <c r="AO3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6" s="3">
        <f>IF(Tabla1[[#This Row],[Necesidad]]&gt;=Tabla1[[#This Row],[Stock al día]],Tabla1[[#This Row],[Stock al día]],Tabla1[[#This Row],[Necesidad]])</f>
        <v>0</v>
      </c>
      <c r="AQ36" s="3">
        <f>+Tabla1[[#This Row],[Necesidad]]-Tabla1[[#This Row],[Stock Plan]]</f>
        <v>0</v>
      </c>
      <c r="AR36" s="156">
        <f>IFERROR(VLOOKUP(Tabla1[[#This Row],[Oficina]],[22]Ponderación!$B$3:$G$9,6,FALSE),"")</f>
        <v>44757</v>
      </c>
      <c r="AS3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1.8243151654160983</v>
      </c>
      <c r="AT36" s="83">
        <f>IFERROR(VLOOKUP(Tabla1[[#This Row],[Llave]],[17]DELAY!$H:$W,16,FALSE),0)</f>
        <v>0</v>
      </c>
      <c r="AU3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6" s="5">
        <f>+Tabla1[[#This Row],[Plan Ajustado]]*Tabla1[[#This Row],[Precio ponderado]]</f>
        <v>0</v>
      </c>
      <c r="AW36" s="30">
        <f>IFERROR(VLOOKUP(Tabla1[[#This Row],[Llave]],'[13]Ultimos precios facturados'!$A:$G,7,FALSE),0)</f>
        <v>1.8243151654160983</v>
      </c>
      <c r="AX3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6" s="30"/>
      <c r="AZ36" s="30">
        <f>IF(Tabla1[[#This Row],[Ajuste precio IC]]="",Tabla1[[#This Row],[Precio ponderado]],Tabla1[[#This Row],[Precio ponderado]])</f>
        <v>0</v>
      </c>
      <c r="BA36" s="82"/>
      <c r="BB36" s="82" t="str">
        <f>IF(AND(Tabla1[[#This Row],[Atraso a facturar]]&gt;0,Tabla1[[#This Row],[Precio Atraso]]=0),"Revisar","OK")</f>
        <v>OK</v>
      </c>
      <c r="BC36" s="82" t="str">
        <f>IF(AND(Tabla1[[#This Row],[Venta del mes]]&gt;0,Tabla1[[#This Row],[Precio venta nueva]]=0),"Revisar","OK")</f>
        <v>OK</v>
      </c>
      <c r="BD36" s="20">
        <f>IFERROR(VLOOKUP(Tabla1[[#This Row],[Llave]],'[5]Consolidación planes'!$A:$M,9,FALSE),0)</f>
        <v>0</v>
      </c>
      <c r="BE36" s="20">
        <f>IFERROR(VLOOKUP(Tabla1[[#This Row],[Llave]],'[5]Consolidación planes'!$A:$M,10,FALSE),0)</f>
        <v>0</v>
      </c>
      <c r="BF36" s="20">
        <f>IFERROR(VLOOKUP(Tabla1[[#This Row],[Llave]],'[5]Consolidación planes'!$A:$M,11,FALSE),0)</f>
        <v>0</v>
      </c>
      <c r="BG36" s="20">
        <f>IFERROR(VLOOKUP(Tabla1[[#This Row],[Llave]],'[5]Consolidación planes'!$A:$M,12,FALSE),0)</f>
        <v>61042</v>
      </c>
      <c r="BH36" s="20">
        <f>IFERROR(VLOOKUP(Tabla1[[#This Row],[Llave]],'[5]Consolidación planes'!$A:$M,13,FALSE),0)</f>
        <v>13042</v>
      </c>
      <c r="BI36" s="20">
        <f>IFERROR(VLOOKUP(Tabla1[[#This Row],[Llave]],'[13]Base ultimos planes'!$A:$M,13,FALSE),0)</f>
        <v>0</v>
      </c>
      <c r="BJ36" s="80">
        <f>IFERROR(VLOOKUP(Tabla1[[#This Row],[Llave]],'[13]Base ultimos planes'!$O:$AA,8,FALSE),0)</f>
        <v>0</v>
      </c>
      <c r="BK36" s="20">
        <f>IFERROR(VLOOKUP(Tabla1[[#This Row],[Llave]],'[13]Base ultimos planes'!$O:$AA,9,FALSE),0)</f>
        <v>0</v>
      </c>
      <c r="BL36" s="20">
        <f>IFERROR(VLOOKUP(Tabla1[[#This Row],[Llave]],'[13]Base ultimos planes'!$O:$AA,10,FALSE),0)</f>
        <v>0</v>
      </c>
      <c r="BM36" s="20">
        <f>IFERROR(VLOOKUP(Tabla1[[#This Row],[Llave]],'[13]Base ultimos planes'!$O:$AA,11,FALSE),0)</f>
        <v>112844</v>
      </c>
      <c r="BN36" s="20">
        <f>IFERROR(VLOOKUP(Tabla1[[#This Row],[Llave]],'[13]Base ultimos planes'!$O:$AA,12,FALSE),0)</f>
        <v>25041</v>
      </c>
      <c r="BO36" s="20">
        <f>IFERROR(VLOOKUP(Tabla1[[#This Row],[Llave]],'[13]Base ultimos planes'!$O:$AA,13,FALSE),0)</f>
        <v>0</v>
      </c>
      <c r="BP36" s="20"/>
      <c r="BQ36" s="20">
        <f>+Tabla1[[#This Row],[ RV  Venta mes n+1]]*(1-Tabla1[[#This Row],[% Uti. producción]])</f>
        <v>0</v>
      </c>
      <c r="BR36" s="100"/>
    </row>
    <row r="37" spans="1:70" ht="16" hidden="1" x14ac:dyDescent="0.2">
      <c r="A37">
        <v>1</v>
      </c>
      <c r="B37" t="str">
        <f>Tabla1[[#This Row],[Oficina]]&amp;Tabla1[[#This Row],[Material]]</f>
        <v>Agro Sudamerica1021263</v>
      </c>
      <c r="C37" t="s">
        <v>6</v>
      </c>
      <c r="D37" t="s">
        <v>17</v>
      </c>
      <c r="E37">
        <v>1021263</v>
      </c>
      <c r="F37" t="s">
        <v>63</v>
      </c>
      <c r="G37" t="s">
        <v>59</v>
      </c>
      <c r="H37" t="s">
        <v>62</v>
      </c>
      <c r="I37" s="7">
        <f>IFERROR(VLOOKUP(Tabla1[[#This Row],[Llave]],'[7]RV Producción'!$C:$G,5,FALSE),0)</f>
        <v>0</v>
      </c>
      <c r="J37" s="3">
        <f>IFERROR(IF(Tabla1[[#This Row],[Oficina]]=$I$7,VLOOKUP(Tabla1[[#This Row],[Llave]],'[7]Shangai (Tomas)'!$A:$F,6,FALSE),VLOOKUP(Tabla1[[#This Row],[Llave]],'[7]RV plan de ventas'!$A:$E,5,FALSE)),0)</f>
        <v>0</v>
      </c>
      <c r="K37" s="8">
        <f>IFERROR(VLOOKUP(Tabla1[[#This Row],[Oficina]],[15]Ponderación!$B$2:$E$9,4,FALSE),0)</f>
        <v>0.45719439678473212</v>
      </c>
      <c r="L37" s="7">
        <f>+Tabla1[[#This Row],[ RV Producción mes n+1]]*Tabla1[[#This Row],[% Uti. producción]]</f>
        <v>0</v>
      </c>
      <c r="M37" s="7">
        <f>IFERROR(VLOOKUP(Tabla1[[#This Row],[Material]],'[17]TD Stock'!$E:$I,5,FALSE),0)</f>
        <v>0</v>
      </c>
      <c r="N37" s="7">
        <f>IFERROR(VLOOKUP(Tabla1[[#This Row],[Material]],[16]Produccion!$M:$N,2,FALSE),0)</f>
        <v>0</v>
      </c>
      <c r="O37" s="7">
        <f>IFERROR(VLOOKUP(Tabla1[[#This Row],[Llave]],'[16]TD Conf-AP'!$I:$M,4,FALSE),0)</f>
        <v>0</v>
      </c>
      <c r="P37" s="14">
        <f>SUM(Tabla1[[#This Row],[Producción disponible]],Tabla1[[#This Row],[Stock al día]],(Tabla1[[#This Row],[Por producir mes N]]*0.9))-Tabla1[[#This Row],[Producción por despachar mes N]]</f>
        <v>0</v>
      </c>
      <c r="Q37" s="7">
        <f>IFERROR(VLOOKUP(Tabla1[[#This Row],[Llave]],[17]DELAY!$A:$D,4,FALSE),0)</f>
        <v>0</v>
      </c>
      <c r="R37" s="9">
        <v>24000</v>
      </c>
      <c r="S37" s="5">
        <f t="shared" si="29"/>
        <v>0</v>
      </c>
      <c r="T37" s="76">
        <v>0</v>
      </c>
      <c r="U37" s="5">
        <f>+Tabla1[[#This Row],[Atraso a facturar]]+Tabla1[[#This Row],[Ajuste atraso]]</f>
        <v>0</v>
      </c>
      <c r="V37" s="3">
        <f>+Tabla1[[#This Row],[Total disponible]]-Tabla1[[#This Row],[Facturación atraso]]</f>
        <v>0</v>
      </c>
      <c r="W37" s="6">
        <f>IFERROR(IF(AND(V37&gt;R37,J37&gt;=R37),ROUNDDOWN((Tabla1[[#This Row],[Producción para venta nueva]])/R37,0)*R37,0),0)</f>
        <v>0</v>
      </c>
      <c r="X37" s="76">
        <v>0</v>
      </c>
      <c r="Y37" s="6">
        <f>IF(Tabla1[[#This Row],[Venta del mes]]&gt;0,Tabla1[[#This Row],[Venta del mes]]+Tabla1[[#This Row],[Ajuste venta nueva]],0)</f>
        <v>0</v>
      </c>
      <c r="Z37" s="6">
        <f>+Tabla1[[#This Row],[Producción para venta nueva]]-Tabla1[[#This Row],[Facturación Venta nueva]]</f>
        <v>0</v>
      </c>
      <c r="AA37" s="6">
        <f>IF(AND(A37=1,Tabla1[[#This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7" s="6"/>
      <c r="AC37" s="6">
        <f>IF(Tabla1[[#This Row],[Disponible stock sin venta]]&gt;0,Tabla1[[#This Row],[Disponible stock sin venta]]+Tabla1[[#This Row],[Ajuste stock sin venta]],0)</f>
        <v>0</v>
      </c>
      <c r="AD37" s="3">
        <f>IFERROR(VLOOKUP(Tabla1[[#This Row],[Llave]],'[16]TD Puerto'!$A:$D,4,FALSE),0)</f>
        <v>0</v>
      </c>
      <c r="AE37" s="3">
        <v>0</v>
      </c>
      <c r="AF37" s="3">
        <f>+Tabla1[[#This Row],[Atraso a facturar]]+Tabla1[[#This Row],[Venta del mes]]+Tabla1[[#This Row],[En puerto a facturar]]+Tabla1[[#This Row],[Disponible stock sin venta]]</f>
        <v>0</v>
      </c>
      <c r="AG37" s="3">
        <f>+Tabla1[[#This Row],[En puerto a facturar]]</f>
        <v>0</v>
      </c>
      <c r="AH37" s="3">
        <f>+Tabla1[[#This Row],[Facturación atraso]]</f>
        <v>0</v>
      </c>
      <c r="AI37" s="3">
        <f>+Tabla1[[#This Row],[Plan Irrestricto]]-Tabla1[[#This Row],[Puerto ]]-Tabla1[[#This Row],[Atraso]]</f>
        <v>0</v>
      </c>
      <c r="AJ3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7" s="3">
        <f>+Tabla1[[#This Row],[Facturación atraso]]</f>
        <v>0</v>
      </c>
      <c r="AL37" s="3">
        <f>+Tabla1[[#This Row],[Plan Ajustado]]-Tabla1[[#This Row],[ Atraso ajustado]]-Tabla1[[#This Row],[Puerto ]]</f>
        <v>0</v>
      </c>
      <c r="AM37" s="3">
        <v>0</v>
      </c>
      <c r="AN37" s="3" t="str">
        <f>IF(Tabla1[[#This Row],[Plan Ajustado]]&gt;Tabla1[[#This Row],[En puerto a facturar]],"Si","No")</f>
        <v>No</v>
      </c>
      <c r="AO3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7" s="3">
        <f>IF(Tabla1[[#This Row],[Necesidad]]&gt;=Tabla1[[#This Row],[Stock al día]],Tabla1[[#This Row],[Stock al día]],Tabla1[[#This Row],[Necesidad]])</f>
        <v>0</v>
      </c>
      <c r="AQ37" s="3">
        <f>+Tabla1[[#This Row],[Necesidad]]-Tabla1[[#This Row],[Stock Plan]]</f>
        <v>0</v>
      </c>
      <c r="AR37" s="156">
        <f>IFERROR(VLOOKUP(Tabla1[[#This Row],[Oficina]],[22]Ponderación!$B$3:$G$9,6,FALSE),"")</f>
        <v>44757</v>
      </c>
      <c r="AS3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1.8072700223872662</v>
      </c>
      <c r="AT37" s="83">
        <f>IFERROR(VLOOKUP(Tabla1[[#This Row],[Llave]],[17]DELAY!$H:$W,16,FALSE),0)</f>
        <v>0</v>
      </c>
      <c r="AU3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7" s="5">
        <f>+Tabla1[[#This Row],[Plan Ajustado]]*Tabla1[[#This Row],[Precio ponderado]]</f>
        <v>0</v>
      </c>
      <c r="AW37" s="30">
        <f>IFERROR(VLOOKUP(Tabla1[[#This Row],[Llave]],'[13]Ultimos precios facturados'!$A:$G,7,FALSE),0)</f>
        <v>1.8072700223872662</v>
      </c>
      <c r="AX3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7" s="30"/>
      <c r="AZ37" s="30">
        <f>IF(Tabla1[[#This Row],[Ajuste precio IC]]="",Tabla1[[#This Row],[Precio ponderado]],Tabla1[[#This Row],[Precio ponderado]])</f>
        <v>0</v>
      </c>
      <c r="BA37" s="82"/>
      <c r="BB37" s="82" t="str">
        <f>IF(AND(Tabla1[[#This Row],[Atraso a facturar]]&gt;0,Tabla1[[#This Row],[Precio Atraso]]=0),"Revisar","OK")</f>
        <v>OK</v>
      </c>
      <c r="BC37" s="82" t="str">
        <f>IF(AND(Tabla1[[#This Row],[Venta del mes]]&gt;0,Tabla1[[#This Row],[Precio venta nueva]]=0),"Revisar","OK")</f>
        <v>OK</v>
      </c>
      <c r="BD37" s="20">
        <f>IFERROR(VLOOKUP(Tabla1[[#This Row],[Llave]],'[5]Consolidación planes'!$A:$M,9,FALSE),0)</f>
        <v>0</v>
      </c>
      <c r="BE37" s="20">
        <f>IFERROR(VLOOKUP(Tabla1[[#This Row],[Llave]],'[5]Consolidación planes'!$A:$M,10,FALSE),0)</f>
        <v>0</v>
      </c>
      <c r="BF37" s="20">
        <f>IFERROR(VLOOKUP(Tabla1[[#This Row],[Llave]],'[5]Consolidación planes'!$A:$M,11,FALSE),0)</f>
        <v>0</v>
      </c>
      <c r="BG37" s="20">
        <f>IFERROR(VLOOKUP(Tabla1[[#This Row],[Llave]],'[5]Consolidación planes'!$A:$M,12,FALSE),0)</f>
        <v>72000</v>
      </c>
      <c r="BH37" s="20">
        <f>IFERROR(VLOOKUP(Tabla1[[#This Row],[Llave]],'[5]Consolidación planes'!$A:$M,13,FALSE),0)</f>
        <v>48000</v>
      </c>
      <c r="BI37" s="20">
        <f>IFERROR(VLOOKUP(Tabla1[[#This Row],[Llave]],'[13]Base ultimos planes'!$A:$M,13,FALSE),0)</f>
        <v>0</v>
      </c>
      <c r="BJ37" s="80">
        <f>IFERROR(VLOOKUP(Tabla1[[#This Row],[Llave]],'[13]Base ultimos planes'!$O:$AA,8,FALSE),0)</f>
        <v>0</v>
      </c>
      <c r="BK37" s="20">
        <f>IFERROR(VLOOKUP(Tabla1[[#This Row],[Llave]],'[13]Base ultimos planes'!$O:$AA,9,FALSE),0)</f>
        <v>0</v>
      </c>
      <c r="BL37" s="20">
        <f>IFERROR(VLOOKUP(Tabla1[[#This Row],[Llave]],'[13]Base ultimos planes'!$O:$AA,10,FALSE),0)</f>
        <v>0</v>
      </c>
      <c r="BM37" s="20">
        <f>IFERROR(VLOOKUP(Tabla1[[#This Row],[Llave]],'[13]Base ultimos planes'!$O:$AA,11,FALSE),0)</f>
        <v>132240</v>
      </c>
      <c r="BN37" s="20">
        <f>IFERROR(VLOOKUP(Tabla1[[#This Row],[Llave]],'[13]Base ultimos planes'!$O:$AA,12,FALSE),0)</f>
        <v>92880</v>
      </c>
      <c r="BO37" s="20">
        <f>IFERROR(VLOOKUP(Tabla1[[#This Row],[Llave]],'[13]Base ultimos planes'!$O:$AA,13,FALSE),0)</f>
        <v>0</v>
      </c>
      <c r="BP37" s="20"/>
      <c r="BQ37" s="20">
        <f>+Tabla1[[#This Row],[ RV  Venta mes n+1]]*(1-Tabla1[[#This Row],[% Uti. producción]])</f>
        <v>0</v>
      </c>
      <c r="BR37" s="100"/>
    </row>
    <row r="38" spans="1:70" ht="16" hidden="1" x14ac:dyDescent="0.2">
      <c r="A38">
        <v>1</v>
      </c>
      <c r="B38" t="str">
        <f>Tabla1[[#This Row],[Oficina]]&amp;Tabla1[[#This Row],[Material]]</f>
        <v>Agro Sudamerica1021287</v>
      </c>
      <c r="C38" t="s">
        <v>6</v>
      </c>
      <c r="D38" t="s">
        <v>17</v>
      </c>
      <c r="E38">
        <v>1021287</v>
      </c>
      <c r="F38" t="s">
        <v>280</v>
      </c>
      <c r="G38" t="s">
        <v>11</v>
      </c>
      <c r="H38" t="s">
        <v>15</v>
      </c>
      <c r="I38" s="7">
        <f>IFERROR(VLOOKUP(Tabla1[[#This Row],[Llave]],'[7]RV Producción'!$C:$G,5,FALSE),0)</f>
        <v>0</v>
      </c>
      <c r="J38" s="3">
        <f>IFERROR(IF(Tabla1[[#This Row],[Oficina]]=$I$7,VLOOKUP(Tabla1[[#This Row],[Llave]],'[7]Shangai (Tomas)'!$A:$F,6,FALSE),VLOOKUP(Tabla1[[#This Row],[Llave]],'[7]RV plan de ventas'!$A:$E,5,FALSE)),0)</f>
        <v>0</v>
      </c>
      <c r="K38" s="8">
        <f>IFERROR(VLOOKUP(Tabla1[[#This Row],[Oficina]],[15]Ponderación!$B$2:$E$9,4,FALSE),0)</f>
        <v>0.45719439678473212</v>
      </c>
      <c r="L38" s="7">
        <f>+Tabla1[[#This Row],[ RV Producción mes n+1]]*Tabla1[[#This Row],[% Uti. producción]]</f>
        <v>0</v>
      </c>
      <c r="M38" s="7">
        <f>IFERROR(VLOOKUP(Tabla1[[#This Row],[Material]],'[17]TD Stock'!$E:$I,5,FALSE),0)</f>
        <v>0</v>
      </c>
      <c r="N38" s="7">
        <f>IFERROR(VLOOKUP(Tabla1[[#This Row],[Material]],[16]Produccion!$M:$N,2,FALSE),0)</f>
        <v>0</v>
      </c>
      <c r="O38" s="7">
        <f>IFERROR(VLOOKUP(Tabla1[[#This Row],[Llave]],'[16]TD Conf-AP'!$I:$M,4,FALSE),0)</f>
        <v>0</v>
      </c>
      <c r="P38" s="14">
        <f>SUM(Tabla1[[#This Row],[Producción disponible]],Tabla1[[#This Row],[Stock al día]],(Tabla1[[#This Row],[Por producir mes N]]*0.9))-Tabla1[[#This Row],[Producción por despachar mes N]]</f>
        <v>0</v>
      </c>
      <c r="Q38" s="7">
        <f>IFERROR(VLOOKUP(Tabla1[[#This Row],[Llave]],[17]DELAY!$A:$D,4,FALSE),0)</f>
        <v>0</v>
      </c>
      <c r="R38" s="9">
        <v>24000</v>
      </c>
      <c r="S38" s="5">
        <f t="shared" si="29"/>
        <v>0</v>
      </c>
      <c r="T38" s="76">
        <v>0</v>
      </c>
      <c r="U38" s="5">
        <f>+Tabla1[[#This Row],[Atraso a facturar]]+Tabla1[[#This Row],[Ajuste atraso]]</f>
        <v>0</v>
      </c>
      <c r="V38" s="3">
        <f>+Tabla1[[#This Row],[Total disponible]]-Tabla1[[#This Row],[Facturación atraso]]</f>
        <v>0</v>
      </c>
      <c r="W38" s="6">
        <f>IFERROR(IF(AND(V38&gt;R38,J38&gt;=R38),ROUNDDOWN((Tabla1[[#This Row],[Producción para venta nueva]])/R38,0)*R38,0),0)</f>
        <v>0</v>
      </c>
      <c r="X38" s="76">
        <v>0</v>
      </c>
      <c r="Y38" s="6">
        <f>IF(Tabla1[[#This Row],[Venta del mes]]&gt;0,Tabla1[[#This Row],[Venta del mes]]+Tabla1[[#This Row],[Ajuste venta nueva]],0)</f>
        <v>0</v>
      </c>
      <c r="Z38" s="6">
        <f>+Tabla1[[#This Row],[Producción para venta nueva]]-Tabla1[[#This Row],[Facturación Venta nueva]]</f>
        <v>0</v>
      </c>
      <c r="AA38" s="6">
        <f>IF(AND(A38=1,Tabla1[[#This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8" s="6"/>
      <c r="AC38" s="6">
        <f>IF(Tabla1[[#This Row],[Disponible stock sin venta]]&gt;0,Tabla1[[#This Row],[Disponible stock sin venta]]+Tabla1[[#This Row],[Ajuste stock sin venta]],0)</f>
        <v>0</v>
      </c>
      <c r="AD38" s="3">
        <f>IFERROR(VLOOKUP(Tabla1[[#This Row],[Llave]],'[16]TD Puerto'!$A:$D,4,FALSE),0)</f>
        <v>0</v>
      </c>
      <c r="AE38" s="3">
        <v>0</v>
      </c>
      <c r="AF38" s="3">
        <f>+Tabla1[[#This Row],[Atraso a facturar]]+Tabla1[[#This Row],[Venta del mes]]+Tabla1[[#This Row],[En puerto a facturar]]+Tabla1[[#This Row],[Disponible stock sin venta]]</f>
        <v>0</v>
      </c>
      <c r="AG38" s="3">
        <f>+Tabla1[[#This Row],[En puerto a facturar]]</f>
        <v>0</v>
      </c>
      <c r="AH38" s="3">
        <f>+Tabla1[[#This Row],[Facturación atraso]]</f>
        <v>0</v>
      </c>
      <c r="AI38" s="3">
        <f>+Tabla1[[#This Row],[Plan Irrestricto]]-Tabla1[[#This Row],[Puerto ]]-Tabla1[[#This Row],[Atraso]]</f>
        <v>0</v>
      </c>
      <c r="AJ3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8" s="3">
        <f>+Tabla1[[#This Row],[Facturación atraso]]</f>
        <v>0</v>
      </c>
      <c r="AL38" s="3">
        <f>+Tabla1[[#This Row],[Plan Ajustado]]-Tabla1[[#This Row],[ Atraso ajustado]]-Tabla1[[#This Row],[Puerto ]]</f>
        <v>0</v>
      </c>
      <c r="AM38" s="3">
        <v>0</v>
      </c>
      <c r="AN38" s="3" t="str">
        <f>IF(Tabla1[[#This Row],[Plan Ajustado]]&gt;Tabla1[[#This Row],[En puerto a facturar]],"Si","No")</f>
        <v>No</v>
      </c>
      <c r="AO3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8" s="3">
        <f>IF(Tabla1[[#This Row],[Necesidad]]&gt;=Tabla1[[#This Row],[Stock al día]],Tabla1[[#This Row],[Stock al día]],Tabla1[[#This Row],[Necesidad]])</f>
        <v>0</v>
      </c>
      <c r="AQ38" s="3">
        <f>+Tabla1[[#This Row],[Necesidad]]-Tabla1[[#This Row],[Stock Plan]]</f>
        <v>0</v>
      </c>
      <c r="AR38" s="156">
        <f>IFERROR(VLOOKUP(Tabla1[[#This Row],[Oficina]],[22]Ponderación!$B$3:$G$9,6,FALSE),"")</f>
        <v>44757</v>
      </c>
      <c r="AS3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38" s="83">
        <f>IFERROR(VLOOKUP(Tabla1[[#This Row],[Llave]],[17]DELAY!$H:$W,16,FALSE),0)</f>
        <v>0</v>
      </c>
      <c r="AU3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8" s="5">
        <f>+Tabla1[[#This Row],[Plan Ajustado]]*Tabla1[[#This Row],[Precio ponderado]]</f>
        <v>0</v>
      </c>
      <c r="AW38" s="30">
        <f>IFERROR(VLOOKUP(Tabla1[[#This Row],[Llave]],'[13]Ultimos precios facturados'!$A:$G,7,FALSE),0)</f>
        <v>0</v>
      </c>
      <c r="AX3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8" s="30"/>
      <c r="AZ38" s="30">
        <f>IF(Tabla1[[#This Row],[Ajuste precio IC]]="",Tabla1[[#This Row],[Precio ponderado]],Tabla1[[#This Row],[Precio ponderado]])</f>
        <v>0</v>
      </c>
      <c r="BA38" s="82"/>
      <c r="BB38" s="82" t="str">
        <f>IF(AND(Tabla1[[#This Row],[Atraso a facturar]]&gt;0,Tabla1[[#This Row],[Precio Atraso]]=0),"Revisar","OK")</f>
        <v>OK</v>
      </c>
      <c r="BC38" s="82" t="str">
        <f>IF(AND(Tabla1[[#This Row],[Venta del mes]]&gt;0,Tabla1[[#This Row],[Precio venta nueva]]=0),"Revisar","OK")</f>
        <v>OK</v>
      </c>
      <c r="BD38" s="20">
        <f>IFERROR(VLOOKUP(Tabla1[[#This Row],[Llave]],'[5]Consolidación planes'!$A:$M,9,FALSE),0)</f>
        <v>0</v>
      </c>
      <c r="BE38" s="20">
        <f>IFERROR(VLOOKUP(Tabla1[[#This Row],[Llave]],'[5]Consolidación planes'!$A:$M,10,FALSE),0)</f>
        <v>5000</v>
      </c>
      <c r="BF38" s="20">
        <f>IFERROR(VLOOKUP(Tabla1[[#This Row],[Llave]],'[5]Consolidación planes'!$A:$M,11,FALSE),0)</f>
        <v>0</v>
      </c>
      <c r="BG38" s="20">
        <f>IFERROR(VLOOKUP(Tabla1[[#This Row],[Llave]],'[5]Consolidación planes'!$A:$M,12,FALSE),0)</f>
        <v>0</v>
      </c>
      <c r="BH38" s="20">
        <f>IFERROR(VLOOKUP(Tabla1[[#This Row],[Llave]],'[5]Consolidación planes'!$A:$M,13,FALSE),0)</f>
        <v>0</v>
      </c>
      <c r="BI38" s="20">
        <f>IFERROR(VLOOKUP(Tabla1[[#This Row],[Llave]],'[13]Base ultimos planes'!$A:$M,13,FALSE),0)</f>
        <v>0</v>
      </c>
      <c r="BJ38" s="80">
        <f>IFERROR(VLOOKUP(Tabla1[[#This Row],[Llave]],'[13]Base ultimos planes'!$O:$AA,8,FALSE),0)</f>
        <v>0</v>
      </c>
      <c r="BK38" s="20">
        <f>IFERROR(VLOOKUP(Tabla1[[#This Row],[Llave]],'[13]Base ultimos planes'!$O:$AA,9,FALSE),0)</f>
        <v>6833</v>
      </c>
      <c r="BL38" s="20">
        <f>IFERROR(VLOOKUP(Tabla1[[#This Row],[Llave]],'[13]Base ultimos planes'!$O:$AA,10,FALSE),0)</f>
        <v>0</v>
      </c>
      <c r="BM38" s="20">
        <f>IFERROR(VLOOKUP(Tabla1[[#This Row],[Llave]],'[13]Base ultimos planes'!$O:$AA,11,FALSE),0)</f>
        <v>0</v>
      </c>
      <c r="BN38" s="20">
        <f>IFERROR(VLOOKUP(Tabla1[[#This Row],[Llave]],'[13]Base ultimos planes'!$O:$AA,12,FALSE),0)</f>
        <v>0</v>
      </c>
      <c r="BO38" s="20">
        <f>IFERROR(VLOOKUP(Tabla1[[#This Row],[Llave]],'[13]Base ultimos planes'!$O:$AA,13,FALSE),0)</f>
        <v>0</v>
      </c>
      <c r="BP38" s="20"/>
      <c r="BQ38" s="20">
        <f>+Tabla1[[#This Row],[ RV  Venta mes n+1]]*(1-Tabla1[[#This Row],[% Uti. producción]])</f>
        <v>0</v>
      </c>
      <c r="BR38" s="100"/>
    </row>
    <row r="39" spans="1:70" ht="16" x14ac:dyDescent="0.2">
      <c r="A39">
        <v>1</v>
      </c>
      <c r="B39" t="str">
        <f>Tabla1[[#This Row],[Oficina]]&amp;Tabla1[[#This Row],[Material]]</f>
        <v>Agro Sudamerica1021385</v>
      </c>
      <c r="C39" t="s">
        <v>6</v>
      </c>
      <c r="D39" t="s">
        <v>17</v>
      </c>
      <c r="E39">
        <v>1021385</v>
      </c>
      <c r="F39" t="s">
        <v>33</v>
      </c>
      <c r="G39" t="s">
        <v>8</v>
      </c>
      <c r="H39" t="s">
        <v>32</v>
      </c>
      <c r="I39" s="7">
        <f>IFERROR(VLOOKUP(Tabla1[[#This Row],[Llave]],'[7]RV Producción'!$C:$G,5,FALSE),0)</f>
        <v>113824</v>
      </c>
      <c r="J39" s="3">
        <f>IFERROR(IF(Tabla1[[#This Row],[Oficina]]=$I$7,VLOOKUP(Tabla1[[#This Row],[Llave]],'[7]Shangai (Tomas)'!$A:$F,6,FALSE),VLOOKUP(Tabla1[[#This Row],[Llave]],'[7]RV plan de ventas'!$A:$E,5,FALSE)),0)</f>
        <v>120000</v>
      </c>
      <c r="K39" s="8">
        <f>IFERROR(VLOOKUP(Tabla1[[#This Row],[Oficina]],[15]Ponderación!$B$2:$E$9,4,FALSE),0)</f>
        <v>0.45719439678473212</v>
      </c>
      <c r="L39" s="7">
        <f>+Tabla1[[#This Row],[ RV Producción mes n+1]]*Tabla1[[#This Row],[% Uti. producción]]</f>
        <v>52039.695019625346</v>
      </c>
      <c r="M39" s="7">
        <f>IFERROR(VLOOKUP(Tabla1[[#This Row],[Material]],'[17]TD Stock'!$E:$I,5,FALSE),0)</f>
        <v>299611.9150000001</v>
      </c>
      <c r="N39" s="7">
        <f>IFERROR(VLOOKUP(Tabla1[[#This Row],[Material]],[16]Produccion!$M:$N,2,FALSE),0)</f>
        <v>0</v>
      </c>
      <c r="O39" s="7">
        <f>IFERROR(VLOOKUP(Tabla1[[#This Row],[Llave]],'[16]TD Conf-AP'!$I:$M,4,FALSE),0)</f>
        <v>0</v>
      </c>
      <c r="P39" s="14">
        <f>SUM(Tabla1[[#This Row],[Producción disponible]],Tabla1[[#This Row],[Stock al día]],(Tabla1[[#This Row],[Por producir mes N]]*0.9))-Tabla1[[#This Row],[Producción por despachar mes N]]</f>
        <v>351651.61001962546</v>
      </c>
      <c r="Q39" s="7">
        <f>IFERROR(VLOOKUP(Tabla1[[#This Row],[Llave]],[17]DELAY!$A:$D,4,FALSE),0)</f>
        <v>150400</v>
      </c>
      <c r="R39" s="9">
        <v>24000</v>
      </c>
      <c r="S39" s="5">
        <f t="shared" si="29"/>
        <v>150400</v>
      </c>
      <c r="T39" s="76">
        <v>0</v>
      </c>
      <c r="U39" s="5">
        <f>+Tabla1[[#This Row],[Atraso a facturar]]+Tabla1[[#This Row],[Ajuste atraso]]</f>
        <v>150400</v>
      </c>
      <c r="V39" s="3">
        <f>+Tabla1[[#This Row],[Total disponible]]-Tabla1[[#This Row],[Facturación atraso]]</f>
        <v>201251.61001962546</v>
      </c>
      <c r="W39" s="6">
        <f>IFERROR(IF(AND(V39&gt;R39,J39&gt;=R39),ROUNDDOWN((Tabla1[[#This Row],[Producción para venta nueva]])/R39,0)*R39,0),0)</f>
        <v>192000</v>
      </c>
      <c r="X39" s="76">
        <v>0</v>
      </c>
      <c r="Y39" s="6">
        <f>IF(Tabla1[[#This Row],[Venta del mes]]&gt;0,Tabla1[[#This Row],[Venta del mes]]+Tabla1[[#This Row],[Ajuste venta nueva]],0)</f>
        <v>192000</v>
      </c>
      <c r="Z39" s="6">
        <f>+Tabla1[[#This Row],[Producción para venta nueva]]-Tabla1[[#This Row],[Facturación Venta nueva]]</f>
        <v>9251.6100196254556</v>
      </c>
      <c r="AA39" s="6">
        <f>IF(AND(A39=1,Tabla1[[#This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9" s="6"/>
      <c r="AC39" s="6">
        <f>IF(Tabla1[[#This Row],[Disponible stock sin venta]]&gt;0,Tabla1[[#This Row],[Disponible stock sin venta]]+Tabla1[[#This Row],[Ajuste stock sin venta]],0)</f>
        <v>0</v>
      </c>
      <c r="AD39" s="3">
        <f>IFERROR(VLOOKUP(Tabla1[[#This Row],[Llave]],'[16]TD Puerto'!$A:$D,4,FALSE),0)</f>
        <v>0</v>
      </c>
      <c r="AE39" s="3">
        <v>342400</v>
      </c>
      <c r="AF39" s="3">
        <f>+Tabla1[[#This Row],[Atraso a facturar]]+Tabla1[[#This Row],[Venta del mes]]+Tabla1[[#This Row],[En puerto a facturar]]+Tabla1[[#This Row],[Disponible stock sin venta]]</f>
        <v>342400</v>
      </c>
      <c r="AG39" s="3">
        <f>+Tabla1[[#This Row],[En puerto a facturar]]</f>
        <v>0</v>
      </c>
      <c r="AH39" s="3">
        <f>+Tabla1[[#This Row],[Facturación atraso]]</f>
        <v>150400</v>
      </c>
      <c r="AI39" s="3">
        <f>+Tabla1[[#This Row],[Plan Irrestricto]]-Tabla1[[#This Row],[Puerto ]]-Tabla1[[#This Row],[Atraso]]</f>
        <v>192000</v>
      </c>
      <c r="AJ39" s="3">
        <f>IF(Tabla1[[#This Row],[Plan Irrestricto]]&gt;0,SUM(Tabla1[[#This Row],[Facturación atraso]],Tabla1[[#This Row],[Facturación Venta nueva]],Tabla1[[#This Row],[Facturación stock]],Tabla1[[#This Row],[En puerto a facturar]]),0)</f>
        <v>342400</v>
      </c>
      <c r="AK39" s="3">
        <f>+Tabla1[[#This Row],[Facturación atraso]]</f>
        <v>150400</v>
      </c>
      <c r="AL39" s="3">
        <f>+Tabla1[[#This Row],[Plan Ajustado]]-Tabla1[[#This Row],[ Atraso ajustado]]-Tabla1[[#This Row],[Puerto ]]</f>
        <v>192000</v>
      </c>
      <c r="AM39" s="3">
        <v>0</v>
      </c>
      <c r="AN39" s="3" t="str">
        <f>IF(Tabla1[[#This Row],[Plan Ajustado]]&gt;Tabla1[[#This Row],[En puerto a facturar]],"Si","No")</f>
        <v>Si</v>
      </c>
      <c r="AO39" s="3">
        <f>IF(AND(Tabla1[[#This Row],[Plan Ajustado]]&gt;0,Tabla1[[#This Row],[Plan Ajustado]]&gt;Tabla1[[#This Row],[En puerto a facturar]]),(Tabla1[[#This Row],[Plan Ajustado]]-Tabla1[[#This Row],[En puerto a facturar]]),0)</f>
        <v>342400</v>
      </c>
      <c r="AP39" s="3">
        <f>IF(Tabla1[[#This Row],[Necesidad]]&gt;=Tabla1[[#This Row],[Stock al día]],Tabla1[[#This Row],[Stock al día]],Tabla1[[#This Row],[Necesidad]])</f>
        <v>299611.9150000001</v>
      </c>
      <c r="AQ39" s="3">
        <f>+Tabla1[[#This Row],[Necesidad]]-Tabla1[[#This Row],[Stock Plan]]</f>
        <v>42788.084999999905</v>
      </c>
      <c r="AR39" s="156">
        <f>IFERROR(VLOOKUP(Tabla1[[#This Row],[Oficina]],[22]Ponderación!$B$3:$G$9,6,FALSE),"")</f>
        <v>44757</v>
      </c>
      <c r="AS3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1.0716749999999999</v>
      </c>
      <c r="AT39" s="83">
        <f>IFERROR(VLOOKUP(Tabla1[[#This Row],[Llave]],[17]DELAY!$H:$W,16,FALSE),0)</f>
        <v>0.99227921371780503</v>
      </c>
      <c r="AU3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1.0368002153713722</v>
      </c>
      <c r="AV39" s="5">
        <f>+Tabla1[[#This Row],[Plan Ajustado]]*Tabla1[[#This Row],[Precio ponderado]]</f>
        <v>355000.39374315785</v>
      </c>
      <c r="AW39" s="30">
        <f>IFERROR(VLOOKUP(Tabla1[[#This Row],[Llave]],'[13]Ultimos precios facturados'!$A:$G,7,FALSE),0)</f>
        <v>0.92736124842586087</v>
      </c>
      <c r="AX3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0.11801114951835365</v>
      </c>
      <c r="AY39" s="30"/>
      <c r="AZ39" s="30">
        <f>IF(Tabla1[[#This Row],[Ajuste precio IC]]="",Tabla1[[#This Row],[Precio ponderado]],Tabla1[[#This Row],[Precio ponderado]])</f>
        <v>1.0368002153713722</v>
      </c>
      <c r="BA39" s="82"/>
      <c r="BB39" s="82" t="str">
        <f>IF(AND(Tabla1[[#This Row],[Atraso a facturar]]&gt;0,Tabla1[[#This Row],[Precio Atraso]]=0),"Revisar","OK")</f>
        <v>OK</v>
      </c>
      <c r="BC39" s="82" t="str">
        <f>IF(AND(Tabla1[[#This Row],[Venta del mes]]&gt;0,Tabla1[[#This Row],[Precio venta nueva]]=0),"Revisar","OK")</f>
        <v>OK</v>
      </c>
      <c r="BD39" s="20">
        <f>IFERROR(VLOOKUP(Tabla1[[#This Row],[Llave]],'[5]Consolidación planes'!$A:$M,9,FALSE),0)</f>
        <v>120000</v>
      </c>
      <c r="BE39" s="20">
        <f>IFERROR(VLOOKUP(Tabla1[[#This Row],[Llave]],'[5]Consolidación planes'!$A:$M,10,FALSE),0)</f>
        <v>96000</v>
      </c>
      <c r="BF39" s="20">
        <f>IFERROR(VLOOKUP(Tabla1[[#This Row],[Llave]],'[5]Consolidación planes'!$A:$M,11,FALSE),0)</f>
        <v>144000</v>
      </c>
      <c r="BG39" s="20">
        <f>IFERROR(VLOOKUP(Tabla1[[#This Row],[Llave]],'[5]Consolidación planes'!$A:$M,12,FALSE),0)</f>
        <v>24000</v>
      </c>
      <c r="BH39" s="20">
        <f>IFERROR(VLOOKUP(Tabla1[[#This Row],[Llave]],'[5]Consolidación planes'!$A:$M,13,FALSE),0)</f>
        <v>144000</v>
      </c>
      <c r="BI39" s="20">
        <f>IFERROR(VLOOKUP(Tabla1[[#This Row],[Llave]],'[13]Base ultimos planes'!$A:$M,13,FALSE),0)</f>
        <v>250000</v>
      </c>
      <c r="BJ39" s="80">
        <f>IFERROR(VLOOKUP(Tabla1[[#This Row],[Llave]],'[13]Base ultimos planes'!$O:$AA,8,FALSE),0)</f>
        <v>114138.1036</v>
      </c>
      <c r="BK39" s="20">
        <f>IFERROR(VLOOKUP(Tabla1[[#This Row],[Llave]],'[13]Base ultimos planes'!$O:$AA,9,FALSE),0)</f>
        <v>93960</v>
      </c>
      <c r="BL39" s="20">
        <f>IFERROR(VLOOKUP(Tabla1[[#This Row],[Llave]],'[13]Base ultimos planes'!$O:$AA,10,FALSE),0)</f>
        <v>139920</v>
      </c>
      <c r="BM39" s="20">
        <f>IFERROR(VLOOKUP(Tabla1[[#This Row],[Llave]],'[13]Base ultimos planes'!$O:$AA,11,FALSE),0)</f>
        <v>21600</v>
      </c>
      <c r="BN39" s="20">
        <f>IFERROR(VLOOKUP(Tabla1[[#This Row],[Llave]],'[13]Base ultimos planes'!$O:$AA,12,FALSE),0)</f>
        <v>140160</v>
      </c>
      <c r="BO39" s="20">
        <f>IFERROR(VLOOKUP(Tabla1[[#This Row],[Llave]],'[13]Base ultimos planes'!$O:$AA,13,FALSE),0)</f>
        <v>257478</v>
      </c>
      <c r="BP39" s="20"/>
      <c r="BQ39" s="20">
        <f>+Tabla1[[#This Row],[ RV  Venta mes n+1]]*(1-Tabla1[[#This Row],[% Uti. producción]])</f>
        <v>65136.672385832149</v>
      </c>
      <c r="BR39" s="100"/>
    </row>
    <row r="40" spans="1:70" ht="16" hidden="1" x14ac:dyDescent="0.2">
      <c r="A40">
        <v>1</v>
      </c>
      <c r="B40" t="str">
        <f>Tabla1[[#This Row],[Oficina]]&amp;Tabla1[[#This Row],[Material]]</f>
        <v>Agro Sudamerica1021435</v>
      </c>
      <c r="C40" t="s">
        <v>6</v>
      </c>
      <c r="D40" t="s">
        <v>17</v>
      </c>
      <c r="E40">
        <v>1021435</v>
      </c>
      <c r="F40" t="s">
        <v>279</v>
      </c>
      <c r="G40" t="s">
        <v>11</v>
      </c>
      <c r="H40" t="s">
        <v>41</v>
      </c>
      <c r="I40" s="7">
        <f>IFERROR(VLOOKUP(Tabla1[[#This Row],[Llave]],'[7]RV Producción'!$C:$G,5,FALSE),0)</f>
        <v>0</v>
      </c>
      <c r="J40" s="3">
        <f>IFERROR(IF(Tabla1[[#This Row],[Oficina]]=$I$7,VLOOKUP(Tabla1[[#This Row],[Llave]],'[7]Shangai (Tomas)'!$A:$F,6,FALSE),VLOOKUP(Tabla1[[#This Row],[Llave]],'[7]RV plan de ventas'!$A:$E,5,FALSE)),0)</f>
        <v>0</v>
      </c>
      <c r="K40" s="8">
        <f>IFERROR(VLOOKUP(Tabla1[[#This Row],[Oficina]],[15]Ponderación!$B$2:$E$9,4,FALSE),0)</f>
        <v>0.45719439678473212</v>
      </c>
      <c r="L40" s="7">
        <f>+Tabla1[[#This Row],[ RV Producción mes n+1]]*Tabla1[[#This Row],[% Uti. producción]]</f>
        <v>0</v>
      </c>
      <c r="M40" s="7">
        <f>IFERROR(VLOOKUP(Tabla1[[#This Row],[Material]],'[17]TD Stock'!$E:$I,5,FALSE),0)</f>
        <v>1183.153</v>
      </c>
      <c r="N40" s="7">
        <f>IFERROR(VLOOKUP(Tabla1[[#This Row],[Material]],[16]Produccion!$M:$N,2,FALSE),0)</f>
        <v>0</v>
      </c>
      <c r="O40" s="7">
        <f>IFERROR(VLOOKUP(Tabla1[[#This Row],[Llave]],'[16]TD Conf-AP'!$I:$M,4,FALSE),0)</f>
        <v>0</v>
      </c>
      <c r="P40" s="14">
        <f>SUM(Tabla1[[#This Row],[Producción disponible]],Tabla1[[#This Row],[Stock al día]],(Tabla1[[#This Row],[Por producir mes N]]*0.9))-Tabla1[[#This Row],[Producción por despachar mes N]]</f>
        <v>1183.153</v>
      </c>
      <c r="Q40" s="7">
        <f>IFERROR(VLOOKUP(Tabla1[[#This Row],[Llave]],[17]DELAY!$A:$D,4,FALSE),0)</f>
        <v>0</v>
      </c>
      <c r="R40" s="9">
        <v>24000</v>
      </c>
      <c r="S40" s="5">
        <f t="shared" si="29"/>
        <v>0</v>
      </c>
      <c r="T40" s="76">
        <v>0</v>
      </c>
      <c r="U40" s="5">
        <f>+Tabla1[[#This Row],[Atraso a facturar]]+Tabla1[[#This Row],[Ajuste atraso]]</f>
        <v>0</v>
      </c>
      <c r="V40" s="3">
        <f>+Tabla1[[#This Row],[Total disponible]]-Tabla1[[#This Row],[Facturación atraso]]</f>
        <v>1183.153</v>
      </c>
      <c r="W40" s="6">
        <f>IFERROR(IF(AND(V40&gt;R40,J40&gt;=R40),ROUNDDOWN((Tabla1[[#This Row],[Producción para venta nueva]])/R40,0)*R40,0),0)</f>
        <v>0</v>
      </c>
      <c r="X40" s="76">
        <v>0</v>
      </c>
      <c r="Y40" s="6">
        <f>IF(Tabla1[[#This Row],[Venta del mes]]&gt;0,Tabla1[[#This Row],[Venta del mes]]+Tabla1[[#This Row],[Ajuste venta nueva]],0)</f>
        <v>0</v>
      </c>
      <c r="Z40" s="6">
        <f>+Tabla1[[#This Row],[Producción para venta nueva]]-Tabla1[[#This Row],[Facturación Venta nueva]]</f>
        <v>1183.153</v>
      </c>
      <c r="AA40" s="6">
        <f>IF(AND(A40=1,Tabla1[[#This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0" s="6"/>
      <c r="AC40" s="6">
        <f>IF(Tabla1[[#This Row],[Disponible stock sin venta]]&gt;0,Tabla1[[#This Row],[Disponible stock sin venta]]+Tabla1[[#This Row],[Ajuste stock sin venta]],0)</f>
        <v>0</v>
      </c>
      <c r="AD40" s="3">
        <f>IFERROR(VLOOKUP(Tabla1[[#This Row],[Llave]],'[16]TD Puerto'!$A:$D,4,FALSE),0)</f>
        <v>0</v>
      </c>
      <c r="AE40" s="3">
        <v>0</v>
      </c>
      <c r="AF40" s="3">
        <f>+Tabla1[[#This Row],[Atraso a facturar]]+Tabla1[[#This Row],[Venta del mes]]+Tabla1[[#This Row],[En puerto a facturar]]+Tabla1[[#This Row],[Disponible stock sin venta]]</f>
        <v>0</v>
      </c>
      <c r="AG40" s="3">
        <f>+Tabla1[[#This Row],[En puerto a facturar]]</f>
        <v>0</v>
      </c>
      <c r="AH40" s="3">
        <f>+Tabla1[[#This Row],[Facturación atraso]]</f>
        <v>0</v>
      </c>
      <c r="AI40" s="3">
        <f>+Tabla1[[#This Row],[Plan Irrestricto]]-Tabla1[[#This Row],[Puerto ]]-Tabla1[[#This Row],[Atraso]]</f>
        <v>0</v>
      </c>
      <c r="AJ4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40" s="3">
        <f>+Tabla1[[#This Row],[Facturación atraso]]</f>
        <v>0</v>
      </c>
      <c r="AL40" s="3">
        <f>+Tabla1[[#This Row],[Plan Ajustado]]-Tabla1[[#This Row],[ Atraso ajustado]]-Tabla1[[#This Row],[Puerto ]]</f>
        <v>0</v>
      </c>
      <c r="AM40" s="3">
        <v>0</v>
      </c>
      <c r="AN40" s="3" t="str">
        <f>IF(Tabla1[[#This Row],[Plan Ajustado]]&gt;Tabla1[[#This Row],[En puerto a facturar]],"Si","No")</f>
        <v>No</v>
      </c>
      <c r="AO4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40" s="3">
        <f>IF(Tabla1[[#This Row],[Necesidad]]&gt;=Tabla1[[#This Row],[Stock al día]],Tabla1[[#This Row],[Stock al día]],Tabla1[[#This Row],[Necesidad]])</f>
        <v>0</v>
      </c>
      <c r="AQ40" s="3">
        <f>+Tabla1[[#This Row],[Necesidad]]-Tabla1[[#This Row],[Stock Plan]]</f>
        <v>0</v>
      </c>
      <c r="AR40" s="156">
        <f>IFERROR(VLOOKUP(Tabla1[[#This Row],[Oficina]],[22]Ponderación!$B$3:$G$9,6,FALSE),"")</f>
        <v>44757</v>
      </c>
      <c r="AS4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1.0082721879869079</v>
      </c>
      <c r="AT40" s="83">
        <f>IFERROR(VLOOKUP(Tabla1[[#This Row],[Llave]],[17]DELAY!$H:$W,16,FALSE),0)</f>
        <v>0</v>
      </c>
      <c r="AU4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40" s="5">
        <f>+Tabla1[[#This Row],[Plan Ajustado]]*Tabla1[[#This Row],[Precio ponderado]]</f>
        <v>0</v>
      </c>
      <c r="AW40" s="30">
        <f>IFERROR(VLOOKUP(Tabla1[[#This Row],[Llave]],'[13]Ultimos precios facturados'!$A:$G,7,FALSE),0)</f>
        <v>1.0082721879869079</v>
      </c>
      <c r="AX4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40" s="30"/>
      <c r="AZ40" s="30">
        <f>IF(Tabla1[[#This Row],[Ajuste precio IC]]="",Tabla1[[#This Row],[Precio ponderado]],Tabla1[[#This Row],[Precio ponderado]])</f>
        <v>0</v>
      </c>
      <c r="BA40" s="82"/>
      <c r="BB40" s="82" t="str">
        <f>IF(AND(Tabla1[[#This Row],[Atraso a facturar]]&gt;0,Tabla1[[#This Row],[Precio Atraso]]=0),"Revisar","OK")</f>
        <v>OK</v>
      </c>
      <c r="BC40" s="82" t="str">
        <f>IF(AND(Tabla1[[#This Row],[Venta del mes]]&gt;0,Tabla1[[#This Row],[Precio venta nueva]]=0),"Revisar","OK")</f>
        <v>OK</v>
      </c>
      <c r="BD40" s="20">
        <f>IFERROR(VLOOKUP(Tabla1[[#This Row],[Llave]],'[5]Consolidación planes'!$A:$M,9,FALSE),0)</f>
        <v>0</v>
      </c>
      <c r="BE40" s="20">
        <f>IFERROR(VLOOKUP(Tabla1[[#This Row],[Llave]],'[5]Consolidación planes'!$A:$M,10,FALSE),0)</f>
        <v>24000</v>
      </c>
      <c r="BF40" s="20">
        <f>IFERROR(VLOOKUP(Tabla1[[#This Row],[Llave]],'[5]Consolidación planes'!$A:$M,11,FALSE),0)</f>
        <v>0</v>
      </c>
      <c r="BG40" s="20">
        <f>IFERROR(VLOOKUP(Tabla1[[#This Row],[Llave]],'[5]Consolidación planes'!$A:$M,12,FALSE),0)</f>
        <v>12000</v>
      </c>
      <c r="BH40" s="20">
        <f>IFERROR(VLOOKUP(Tabla1[[#This Row],[Llave]],'[5]Consolidación planes'!$A:$M,13,FALSE),0)</f>
        <v>0</v>
      </c>
      <c r="BI40" s="20">
        <f>IFERROR(VLOOKUP(Tabla1[[#This Row],[Llave]],'[13]Base ultimos planes'!$A:$M,13,FALSE),0)</f>
        <v>0</v>
      </c>
      <c r="BJ40" s="80">
        <f>IFERROR(VLOOKUP(Tabla1[[#This Row],[Llave]],'[13]Base ultimos planes'!$O:$AA,8,FALSE),0)</f>
        <v>0</v>
      </c>
      <c r="BK40" s="20">
        <f>IFERROR(VLOOKUP(Tabla1[[#This Row],[Llave]],'[13]Base ultimos planes'!$O:$AA,9,FALSE),0)</f>
        <v>26800</v>
      </c>
      <c r="BL40" s="20">
        <f>IFERROR(VLOOKUP(Tabla1[[#This Row],[Llave]],'[13]Base ultimos planes'!$O:$AA,10,FALSE),0)</f>
        <v>0</v>
      </c>
      <c r="BM40" s="20">
        <f>IFERROR(VLOOKUP(Tabla1[[#This Row],[Llave]],'[13]Base ultimos planes'!$O:$AA,11,FALSE),0)</f>
        <v>10440</v>
      </c>
      <c r="BN40" s="20">
        <f>IFERROR(VLOOKUP(Tabla1[[#This Row],[Llave]],'[13]Base ultimos planes'!$O:$AA,12,FALSE),0)</f>
        <v>0</v>
      </c>
      <c r="BO40" s="20">
        <f>IFERROR(VLOOKUP(Tabla1[[#This Row],[Llave]],'[13]Base ultimos planes'!$O:$AA,13,FALSE),0)</f>
        <v>0</v>
      </c>
      <c r="BP40" s="20"/>
      <c r="BQ40" s="20">
        <f>+Tabla1[[#This Row],[ RV  Venta mes n+1]]*(1-Tabla1[[#This Row],[% Uti. producción]])</f>
        <v>0</v>
      </c>
      <c r="BR40" s="100"/>
    </row>
    <row r="41" spans="1:70" ht="16" hidden="1" x14ac:dyDescent="0.2">
      <c r="A41">
        <v>1</v>
      </c>
      <c r="B41" t="str">
        <f>Tabla1[[#This Row],[Oficina]]&amp;Tabla1[[#This Row],[Material]]</f>
        <v>Agro Sudamerica1021550</v>
      </c>
      <c r="C41" t="s">
        <v>6</v>
      </c>
      <c r="D41" t="s">
        <v>17</v>
      </c>
      <c r="E41">
        <v>1021550</v>
      </c>
      <c r="F41" t="s">
        <v>284</v>
      </c>
      <c r="G41" t="s">
        <v>71</v>
      </c>
      <c r="H41" t="s">
        <v>72</v>
      </c>
      <c r="I41" s="7">
        <f>IFERROR(VLOOKUP(Tabla1[[#This Row],[Llave]],'[7]RV Producción'!$C:$G,5,FALSE),0)</f>
        <v>0</v>
      </c>
      <c r="J41" s="3">
        <f>IFERROR(IF(Tabla1[[#This Row],[Oficina]]=$I$7,VLOOKUP(Tabla1[[#This Row],[Llave]],'[7]Shangai (Tomas)'!$A:$F,6,FALSE),VLOOKUP(Tabla1[[#This Row],[Llave]],'[7]RV plan de ventas'!$A:$E,5,FALSE)),0)</f>
        <v>0</v>
      </c>
      <c r="K41" s="8">
        <f>IFERROR(VLOOKUP(Tabla1[[#This Row],[Oficina]],[15]Ponderación!$B$2:$E$9,4,FALSE),0)</f>
        <v>0.45719439678473212</v>
      </c>
      <c r="L41" s="7">
        <f>+Tabla1[[#This Row],[ RV Producción mes n+1]]*Tabla1[[#This Row],[% Uti. producción]]</f>
        <v>0</v>
      </c>
      <c r="M41" s="7">
        <f>IFERROR(VLOOKUP(Tabla1[[#This Row],[Material]],'[17]TD Stock'!$E:$I,5,FALSE),0)</f>
        <v>700</v>
      </c>
      <c r="N41" s="7">
        <f>IFERROR(VLOOKUP(Tabla1[[#This Row],[Material]],[16]Produccion!$M:$N,2,FALSE),0)</f>
        <v>0</v>
      </c>
      <c r="O41" s="7">
        <f>IFERROR(VLOOKUP(Tabla1[[#This Row],[Llave]],'[16]TD Conf-AP'!$I:$M,4,FALSE),0)</f>
        <v>0</v>
      </c>
      <c r="P41" s="14">
        <f>SUM(Tabla1[[#This Row],[Producción disponible]],Tabla1[[#This Row],[Stock al día]],(Tabla1[[#This Row],[Por producir mes N]]*0.9))-Tabla1[[#This Row],[Producción por despachar mes N]]</f>
        <v>700</v>
      </c>
      <c r="Q41" s="7">
        <f>IFERROR(VLOOKUP(Tabla1[[#This Row],[Llave]],[17]DELAY!$A:$D,4,FALSE),0)</f>
        <v>1160</v>
      </c>
      <c r="R41" s="9">
        <v>24000</v>
      </c>
      <c r="S41" s="5">
        <f t="shared" si="29"/>
        <v>0</v>
      </c>
      <c r="T41" s="76">
        <v>0</v>
      </c>
      <c r="U41" s="5">
        <f>+Tabla1[[#This Row],[Atraso a facturar]]+Tabla1[[#This Row],[Ajuste atraso]]</f>
        <v>0</v>
      </c>
      <c r="V41" s="3">
        <f>+Tabla1[[#This Row],[Total disponible]]-Tabla1[[#This Row],[Facturación atraso]]</f>
        <v>700</v>
      </c>
      <c r="W41" s="6">
        <f>IFERROR(IF(AND(V41&gt;R41,J41&gt;=R41),ROUNDDOWN((Tabla1[[#This Row],[Producción para venta nueva]])/R41,0)*R41,0),0)</f>
        <v>0</v>
      </c>
      <c r="X41" s="76">
        <v>0</v>
      </c>
      <c r="Y41" s="6">
        <f>IF(Tabla1[[#This Row],[Venta del mes]]&gt;0,Tabla1[[#This Row],[Venta del mes]]+Tabla1[[#This Row],[Ajuste venta nueva]],0)</f>
        <v>0</v>
      </c>
      <c r="Z41" s="6">
        <f>+Tabla1[[#This Row],[Producción para venta nueva]]-Tabla1[[#This Row],[Facturación Venta nueva]]</f>
        <v>700</v>
      </c>
      <c r="AA41" s="6">
        <f>IF(AND(A41=1,Tabla1[[#This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1" s="6"/>
      <c r="AC41" s="6">
        <f>IF(Tabla1[[#This Row],[Disponible stock sin venta]]&gt;0,Tabla1[[#This Row],[Disponible stock sin venta]]+Tabla1[[#This Row],[Ajuste stock sin venta]],0)</f>
        <v>0</v>
      </c>
      <c r="AD41" s="3">
        <f>IFERROR(VLOOKUP(Tabla1[[#This Row],[Llave]],'[16]TD Puerto'!$A:$D,4,FALSE),0)</f>
        <v>0</v>
      </c>
      <c r="AE41" s="3">
        <v>0</v>
      </c>
      <c r="AF41" s="3">
        <f>+Tabla1[[#This Row],[Atraso a facturar]]+Tabla1[[#This Row],[Venta del mes]]+Tabla1[[#This Row],[En puerto a facturar]]+Tabla1[[#This Row],[Disponible stock sin venta]]</f>
        <v>0</v>
      </c>
      <c r="AG41" s="3">
        <f>+Tabla1[[#This Row],[En puerto a facturar]]</f>
        <v>0</v>
      </c>
      <c r="AH41" s="3">
        <f>+Tabla1[[#This Row],[Facturación atraso]]</f>
        <v>0</v>
      </c>
      <c r="AI41" s="3">
        <f>+Tabla1[[#This Row],[Plan Irrestricto]]-Tabla1[[#This Row],[Puerto ]]-Tabla1[[#This Row],[Atraso]]</f>
        <v>0</v>
      </c>
      <c r="AJ4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41" s="3">
        <f>+Tabla1[[#This Row],[Facturación atraso]]</f>
        <v>0</v>
      </c>
      <c r="AL41" s="3">
        <f>+Tabla1[[#This Row],[Plan Ajustado]]-Tabla1[[#This Row],[ Atraso ajustado]]-Tabla1[[#This Row],[Puerto ]]</f>
        <v>0</v>
      </c>
      <c r="AM41" s="3">
        <v>0</v>
      </c>
      <c r="AN41" s="3" t="str">
        <f>IF(Tabla1[[#This Row],[Plan Ajustado]]&gt;Tabla1[[#This Row],[En puerto a facturar]],"Si","No")</f>
        <v>No</v>
      </c>
      <c r="AO4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41" s="3">
        <f>IF(Tabla1[[#This Row],[Necesidad]]&gt;=Tabla1[[#This Row],[Stock al día]],Tabla1[[#This Row],[Stock al día]],Tabla1[[#This Row],[Necesidad]])</f>
        <v>0</v>
      </c>
      <c r="AQ41" s="3">
        <f>+Tabla1[[#This Row],[Necesidad]]-Tabla1[[#This Row],[Stock Plan]]</f>
        <v>0</v>
      </c>
      <c r="AR41" s="156">
        <f>IFERROR(VLOOKUP(Tabla1[[#This Row],[Oficina]],[22]Ponderación!$B$3:$G$9,6,FALSE),"")</f>
        <v>44757</v>
      </c>
      <c r="AS4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1.8473233587468809</v>
      </c>
      <c r="AT41" s="83">
        <f>IFERROR(VLOOKUP(Tabla1[[#This Row],[Llave]],[17]DELAY!$H:$W,16,FALSE),0)</f>
        <v>1.8470828974735802</v>
      </c>
      <c r="AU4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41" s="5">
        <f>+Tabla1[[#This Row],[Plan Ajustado]]*Tabla1[[#This Row],[Precio ponderado]]</f>
        <v>0</v>
      </c>
      <c r="AW41" s="30">
        <f>IFERROR(VLOOKUP(Tabla1[[#This Row],[Llave]],'[13]Ultimos precios facturados'!$A:$G,7,FALSE),0)</f>
        <v>1.8473233587468809</v>
      </c>
      <c r="AX4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41" s="30"/>
      <c r="AZ41" s="30">
        <f>IF(Tabla1[[#This Row],[Ajuste precio IC]]="",Tabla1[[#This Row],[Precio ponderado]],Tabla1[[#This Row],[Precio ponderado]])</f>
        <v>0</v>
      </c>
      <c r="BA41" s="82"/>
      <c r="BB41" s="82" t="str">
        <f>IF(AND(Tabla1[[#This Row],[Atraso a facturar]]&gt;0,Tabla1[[#This Row],[Precio Atraso]]=0),"Revisar","OK")</f>
        <v>OK</v>
      </c>
      <c r="BC41" s="82" t="str">
        <f>IF(AND(Tabla1[[#This Row],[Venta del mes]]&gt;0,Tabla1[[#This Row],[Precio venta nueva]]=0),"Revisar","OK")</f>
        <v>OK</v>
      </c>
      <c r="BD41" s="20">
        <f>IFERROR(VLOOKUP(Tabla1[[#This Row],[Llave]],'[5]Consolidación planes'!$A:$M,9,FALSE),0)</f>
        <v>0</v>
      </c>
      <c r="BE41" s="20">
        <f>IFERROR(VLOOKUP(Tabla1[[#This Row],[Llave]],'[5]Consolidación planes'!$A:$M,10,FALSE),0)</f>
        <v>5780</v>
      </c>
      <c r="BF41" s="20">
        <f>IFERROR(VLOOKUP(Tabla1[[#This Row],[Llave]],'[5]Consolidación planes'!$A:$M,11,FALSE),0)</f>
        <v>0</v>
      </c>
      <c r="BG41" s="20">
        <f>IFERROR(VLOOKUP(Tabla1[[#This Row],[Llave]],'[5]Consolidación planes'!$A:$M,12,FALSE),0)</f>
        <v>70958</v>
      </c>
      <c r="BH41" s="20">
        <f>IFERROR(VLOOKUP(Tabla1[[#This Row],[Llave]],'[5]Consolidación planes'!$A:$M,13,FALSE),0)</f>
        <v>34958</v>
      </c>
      <c r="BI41" s="20">
        <f>IFERROR(VLOOKUP(Tabla1[[#This Row],[Llave]],'[13]Base ultimos planes'!$A:$M,13,FALSE),0)</f>
        <v>0</v>
      </c>
      <c r="BJ41" s="80">
        <f>IFERROR(VLOOKUP(Tabla1[[#This Row],[Llave]],'[13]Base ultimos planes'!$O:$AA,8,FALSE),0)</f>
        <v>0</v>
      </c>
      <c r="BK41" s="20">
        <f>IFERROR(VLOOKUP(Tabla1[[#This Row],[Llave]],'[13]Base ultimos planes'!$O:$AA,9,FALSE),0)</f>
        <v>10500</v>
      </c>
      <c r="BL41" s="20">
        <f>IFERROR(VLOOKUP(Tabla1[[#This Row],[Llave]],'[13]Base ultimos planes'!$O:$AA,10,FALSE),0)</f>
        <v>0</v>
      </c>
      <c r="BM41" s="20">
        <f>IFERROR(VLOOKUP(Tabla1[[#This Row],[Llave]],'[13]Base ultimos planes'!$O:$AA,11,FALSE),0)</f>
        <v>130996</v>
      </c>
      <c r="BN41" s="20">
        <f>IFERROR(VLOOKUP(Tabla1[[#This Row],[Llave]],'[13]Base ultimos planes'!$O:$AA,12,FALSE),0)</f>
        <v>67119</v>
      </c>
      <c r="BO41" s="20">
        <f>IFERROR(VLOOKUP(Tabla1[[#This Row],[Llave]],'[13]Base ultimos planes'!$O:$AA,13,FALSE),0)</f>
        <v>0</v>
      </c>
      <c r="BP41" s="20"/>
      <c r="BQ41" s="20">
        <f>+Tabla1[[#This Row],[ RV  Venta mes n+1]]*(1-Tabla1[[#This Row],[% Uti. producción]])</f>
        <v>0</v>
      </c>
      <c r="BR41" s="100"/>
    </row>
    <row r="42" spans="1:70" ht="16" x14ac:dyDescent="0.2">
      <c r="A42">
        <v>1</v>
      </c>
      <c r="B42" t="str">
        <f>Tabla1[[#This Row],[Oficina]]&amp;Tabla1[[#This Row],[Material]]</f>
        <v>Agro Sudamerica1021622</v>
      </c>
      <c r="C42" t="s">
        <v>6</v>
      </c>
      <c r="D42" t="s">
        <v>17</v>
      </c>
      <c r="E42">
        <v>1021622</v>
      </c>
      <c r="F42" t="s">
        <v>22</v>
      </c>
      <c r="G42" t="s">
        <v>18</v>
      </c>
      <c r="H42" t="s">
        <v>21</v>
      </c>
      <c r="I42" s="7">
        <f>IFERROR(VLOOKUP(Tabla1[[#This Row],[Llave]],'[7]RV Producción'!$C:$G,5,FALSE),0)</f>
        <v>2826</v>
      </c>
      <c r="J42" s="3">
        <f>IFERROR(IF(Tabla1[[#This Row],[Oficina]]=$I$7,VLOOKUP(Tabla1[[#This Row],[Llave]],'[7]Shangai (Tomas)'!$A:$F,6,FALSE),VLOOKUP(Tabla1[[#This Row],[Llave]],'[7]RV plan de ventas'!$A:$E,5,FALSE)),0)</f>
        <v>2826</v>
      </c>
      <c r="K42" s="8">
        <f>IFERROR(VLOOKUP(Tabla1[[#This Row],[Oficina]],[15]Ponderación!$B$2:$E$9,4,FALSE),0)</f>
        <v>0.45719439678473212</v>
      </c>
      <c r="L42" s="7">
        <f>+Tabla1[[#This Row],[ RV Producción mes n+1]]*Tabla1[[#This Row],[% Uti. producción]]</f>
        <v>1292.0313653136529</v>
      </c>
      <c r="M42" s="7">
        <f>IFERROR(VLOOKUP(Tabla1[[#This Row],[Material]],'[17]TD Stock'!$E:$I,5,FALSE),0)</f>
        <v>10870</v>
      </c>
      <c r="N42" s="7">
        <f>IFERROR(VLOOKUP(Tabla1[[#This Row],[Material]],[16]Produccion!$M:$N,2,FALSE),0)</f>
        <v>15961</v>
      </c>
      <c r="O42" s="7">
        <f>IFERROR(VLOOKUP(Tabla1[[#This Row],[Llave]],'[16]TD Conf-AP'!$I:$M,4,FALSE),0)</f>
        <v>0</v>
      </c>
      <c r="P42" s="14">
        <f>SUM(Tabla1[[#This Row],[Producción disponible]],Tabla1[[#This Row],[Stock al día]],(Tabla1[[#This Row],[Por producir mes N]]*0.9))-Tabla1[[#This Row],[Producción por despachar mes N]]</f>
        <v>26526.931365313652</v>
      </c>
      <c r="Q42" s="7">
        <f>IFERROR(VLOOKUP(Tabla1[[#This Row],[Llave]],[17]DELAY!$A:$D,4,FALSE),0)</f>
        <v>36000</v>
      </c>
      <c r="R42" s="9">
        <v>24000</v>
      </c>
      <c r="S42" s="5">
        <f t="shared" si="29"/>
        <v>24000</v>
      </c>
      <c r="T42" s="76">
        <v>0</v>
      </c>
      <c r="U42" s="5">
        <f>+Tabla1[[#This Row],[Atraso a facturar]]+Tabla1[[#This Row],[Ajuste atraso]]</f>
        <v>24000</v>
      </c>
      <c r="V42" s="3">
        <f>+Tabla1[[#This Row],[Total disponible]]-Tabla1[[#This Row],[Facturación atraso]]</f>
        <v>2526.9313653136523</v>
      </c>
      <c r="W42" s="6">
        <f>IFERROR(IF(AND(V42&gt;R42,J42&gt;=R42),ROUNDDOWN((Tabla1[[#This Row],[Producción para venta nueva]])/R42,0)*R42,0),0)</f>
        <v>0</v>
      </c>
      <c r="X42" s="76">
        <v>0</v>
      </c>
      <c r="Y42" s="6">
        <f>IF(Tabla1[[#This Row],[Venta del mes]]&gt;0,Tabla1[[#This Row],[Venta del mes]]+Tabla1[[#This Row],[Ajuste venta nueva]],0)</f>
        <v>0</v>
      </c>
      <c r="Z42" s="6">
        <f>+Tabla1[[#This Row],[Producción para venta nueva]]-Tabla1[[#This Row],[Facturación Venta nueva]]</f>
        <v>2526.9313653136523</v>
      </c>
      <c r="AA42" s="6">
        <f>IF(AND(A42=1,Tabla1[[#This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2" s="6"/>
      <c r="AC42" s="6">
        <f>IF(Tabla1[[#This Row],[Disponible stock sin venta]]&gt;0,Tabla1[[#This Row],[Disponible stock sin venta]]+Tabla1[[#This Row],[Ajuste stock sin venta]],0)</f>
        <v>0</v>
      </c>
      <c r="AD42" s="3">
        <f>IFERROR(VLOOKUP(Tabla1[[#This Row],[Llave]],'[16]TD Puerto'!$A:$D,4,FALSE),0)</f>
        <v>0</v>
      </c>
      <c r="AE42" s="3">
        <v>24000</v>
      </c>
      <c r="AF42" s="3">
        <f>+Tabla1[[#This Row],[Atraso a facturar]]+Tabla1[[#This Row],[Venta del mes]]+Tabla1[[#This Row],[En puerto a facturar]]+Tabla1[[#This Row],[Disponible stock sin venta]]</f>
        <v>24000</v>
      </c>
      <c r="AG42" s="3">
        <f>+Tabla1[[#This Row],[En puerto a facturar]]</f>
        <v>0</v>
      </c>
      <c r="AH42" s="3">
        <f>+Tabla1[[#This Row],[Facturación atraso]]</f>
        <v>24000</v>
      </c>
      <c r="AI42" s="3">
        <f>+Tabla1[[#This Row],[Plan Irrestricto]]-Tabla1[[#This Row],[Puerto ]]-Tabla1[[#This Row],[Atraso]]</f>
        <v>0</v>
      </c>
      <c r="AJ42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42" s="3">
        <f>+Tabla1[[#This Row],[Facturación atraso]]</f>
        <v>24000</v>
      </c>
      <c r="AL42" s="3">
        <f>+Tabla1[[#This Row],[Plan Ajustado]]-Tabla1[[#This Row],[ Atraso ajustado]]-Tabla1[[#This Row],[Puerto ]]</f>
        <v>0</v>
      </c>
      <c r="AM42" s="3">
        <v>0</v>
      </c>
      <c r="AN42" s="3" t="str">
        <f>IF(Tabla1[[#This Row],[Plan Ajustado]]&gt;Tabla1[[#This Row],[En puerto a facturar]],"Si","No")</f>
        <v>Si</v>
      </c>
      <c r="AO42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42" s="3">
        <f>IF(Tabla1[[#This Row],[Necesidad]]&gt;=Tabla1[[#This Row],[Stock al día]],Tabla1[[#This Row],[Stock al día]],Tabla1[[#This Row],[Necesidad]])</f>
        <v>10870</v>
      </c>
      <c r="AQ42" s="3">
        <f>+Tabla1[[#This Row],[Necesidad]]-Tabla1[[#This Row],[Stock Plan]]</f>
        <v>13130</v>
      </c>
      <c r="AR42" s="156">
        <f>IFERROR(VLOOKUP(Tabla1[[#This Row],[Oficina]],[22]Ponderación!$B$3:$G$9,6,FALSE),"")</f>
        <v>44757</v>
      </c>
      <c r="AS4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6.4865534324132996</v>
      </c>
      <c r="AT42" s="83">
        <f>IFERROR(VLOOKUP(Tabla1[[#This Row],[Llave]],[17]DELAY!$H:$W,16,FALSE),0)</f>
        <v>6.4045555555555573</v>
      </c>
      <c r="AU4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6.4045555555555573</v>
      </c>
      <c r="AV42" s="5">
        <f>+Tabla1[[#This Row],[Plan Ajustado]]*Tabla1[[#This Row],[Precio ponderado]]</f>
        <v>153709.33333333337</v>
      </c>
      <c r="AW42" s="30">
        <f>IFERROR(VLOOKUP(Tabla1[[#This Row],[Llave]],'[13]Ultimos precios facturados'!$A:$G,7,FALSE),0)</f>
        <v>6.8628427781523937</v>
      </c>
      <c r="AX4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6.6778044814865475E-2</v>
      </c>
      <c r="AY42" s="30"/>
      <c r="AZ42" s="30">
        <f>IF(Tabla1[[#This Row],[Ajuste precio IC]]="",Tabla1[[#This Row],[Precio ponderado]],Tabla1[[#This Row],[Precio ponderado]])</f>
        <v>6.4045555555555573</v>
      </c>
      <c r="BA42" s="82"/>
      <c r="BB42" s="82" t="str">
        <f>IF(AND(Tabla1[[#This Row],[Atraso a facturar]]&gt;0,Tabla1[[#This Row],[Precio Atraso]]=0),"Revisar","OK")</f>
        <v>OK</v>
      </c>
      <c r="BC42" s="82" t="str">
        <f>IF(AND(Tabla1[[#This Row],[Venta del mes]]&gt;0,Tabla1[[#This Row],[Precio venta nueva]]=0),"Revisar","OK")</f>
        <v>OK</v>
      </c>
      <c r="BD42" s="20">
        <f>IFERROR(VLOOKUP(Tabla1[[#This Row],[Llave]],'[5]Consolidación planes'!$A:$M,9,FALSE),0)</f>
        <v>0</v>
      </c>
      <c r="BE42" s="20">
        <f>IFERROR(VLOOKUP(Tabla1[[#This Row],[Llave]],'[5]Consolidación planes'!$A:$M,10,FALSE),0)</f>
        <v>6790</v>
      </c>
      <c r="BF42" s="20">
        <f>IFERROR(VLOOKUP(Tabla1[[#This Row],[Llave]],'[5]Consolidación planes'!$A:$M,11,FALSE),0)</f>
        <v>0</v>
      </c>
      <c r="BG42" s="20">
        <f>IFERROR(VLOOKUP(Tabla1[[#This Row],[Llave]],'[5]Consolidación planes'!$A:$M,12,FALSE),0)</f>
        <v>18000</v>
      </c>
      <c r="BH42" s="20">
        <f>IFERROR(VLOOKUP(Tabla1[[#This Row],[Llave]],'[5]Consolidación planes'!$A:$M,13,FALSE),0)</f>
        <v>110</v>
      </c>
      <c r="BI42" s="20">
        <f>IFERROR(VLOOKUP(Tabla1[[#This Row],[Llave]],'[13]Base ultimos planes'!$A:$M,13,FALSE),0)</f>
        <v>0</v>
      </c>
      <c r="BJ42" s="80">
        <f>IFERROR(VLOOKUP(Tabla1[[#This Row],[Llave]],'[13]Base ultimos planes'!$O:$AA,8,FALSE),0)</f>
        <v>0</v>
      </c>
      <c r="BK42" s="20">
        <f>IFERROR(VLOOKUP(Tabla1[[#This Row],[Llave]],'[13]Base ultimos planes'!$O:$AA,9,FALSE),0)</f>
        <v>53075</v>
      </c>
      <c r="BL42" s="20">
        <f>IFERROR(VLOOKUP(Tabla1[[#This Row],[Llave]],'[13]Base ultimos planes'!$O:$AA,10,FALSE),0)</f>
        <v>0</v>
      </c>
      <c r="BM42" s="20">
        <f>IFERROR(VLOOKUP(Tabla1[[#This Row],[Llave]],'[13]Base ultimos planes'!$O:$AA,11,FALSE),0)</f>
        <v>131760</v>
      </c>
      <c r="BN42" s="20">
        <f>IFERROR(VLOOKUP(Tabla1[[#This Row],[Llave]],'[13]Base ultimos planes'!$O:$AA,12,FALSE),0)</f>
        <v>374</v>
      </c>
      <c r="BO42" s="20">
        <f>IFERROR(VLOOKUP(Tabla1[[#This Row],[Llave]],'[13]Base ultimos planes'!$O:$AA,13,FALSE),0)</f>
        <v>0</v>
      </c>
      <c r="BP42" s="20"/>
      <c r="BQ42" s="20">
        <f>+Tabla1[[#This Row],[ RV  Venta mes n+1]]*(1-Tabla1[[#This Row],[% Uti. producción]])</f>
        <v>1533.9686346863473</v>
      </c>
      <c r="BR42" s="100"/>
    </row>
    <row r="43" spans="1:70" ht="16" hidden="1" x14ac:dyDescent="0.2">
      <c r="A43">
        <v>1</v>
      </c>
      <c r="B43" t="str">
        <f>Tabla1[[#This Row],[Oficina]]&amp;Tabla1[[#This Row],[Material]]</f>
        <v>Agro Sudamerica1021623</v>
      </c>
      <c r="C43" t="s">
        <v>6</v>
      </c>
      <c r="D43" t="s">
        <v>17</v>
      </c>
      <c r="E43">
        <v>1021623</v>
      </c>
      <c r="F43" t="s">
        <v>23</v>
      </c>
      <c r="G43" t="s">
        <v>18</v>
      </c>
      <c r="H43" t="s">
        <v>21</v>
      </c>
      <c r="I43" s="7">
        <f>IFERROR(VLOOKUP(Tabla1[[#This Row],[Llave]],'[7]RV Producción'!$C:$G,5,FALSE),0)</f>
        <v>0</v>
      </c>
      <c r="J43" s="3">
        <f>IFERROR(IF(Tabla1[[#This Row],[Oficina]]=$I$7,VLOOKUP(Tabla1[[#This Row],[Llave]],'[7]Shangai (Tomas)'!$A:$F,6,FALSE),VLOOKUP(Tabla1[[#This Row],[Llave]],'[7]RV plan de ventas'!$A:$E,5,FALSE)),0)</f>
        <v>0</v>
      </c>
      <c r="K43" s="8">
        <f>IFERROR(VLOOKUP(Tabla1[[#This Row],[Oficina]],[15]Ponderación!$B$2:$E$9,4,FALSE),0)</f>
        <v>0.45719439678473212</v>
      </c>
      <c r="L43" s="7">
        <f>+Tabla1[[#This Row],[ RV Producción mes n+1]]*Tabla1[[#This Row],[% Uti. producción]]</f>
        <v>0</v>
      </c>
      <c r="M43" s="7">
        <f>IFERROR(VLOOKUP(Tabla1[[#This Row],[Material]],'[17]TD Stock'!$E:$I,5,FALSE),0)</f>
        <v>0</v>
      </c>
      <c r="N43" s="7">
        <f>IFERROR(VLOOKUP(Tabla1[[#This Row],[Material]],[16]Produccion!$M:$N,2,FALSE),0)</f>
        <v>0</v>
      </c>
      <c r="O43" s="7">
        <f>IFERROR(VLOOKUP(Tabla1[[#This Row],[Llave]],'[16]TD Conf-AP'!$I:$M,4,FALSE),0)</f>
        <v>0</v>
      </c>
      <c r="P43" s="14">
        <f>SUM(Tabla1[[#This Row],[Producción disponible]],Tabla1[[#This Row],[Stock al día]],(Tabla1[[#This Row],[Por producir mes N]]*0.9))-Tabla1[[#This Row],[Producción por despachar mes N]]</f>
        <v>0</v>
      </c>
      <c r="Q43" s="7">
        <f>IFERROR(VLOOKUP(Tabla1[[#This Row],[Llave]],[17]DELAY!$A:$D,4,FALSE),0)</f>
        <v>0</v>
      </c>
      <c r="R43" s="9">
        <v>24000</v>
      </c>
      <c r="S43" s="5">
        <f t="shared" si="29"/>
        <v>0</v>
      </c>
      <c r="T43" s="76">
        <v>0</v>
      </c>
      <c r="U43" s="5">
        <f>+Tabla1[[#This Row],[Atraso a facturar]]+Tabla1[[#This Row],[Ajuste atraso]]</f>
        <v>0</v>
      </c>
      <c r="V43" s="3">
        <f>+Tabla1[[#This Row],[Total disponible]]-Tabla1[[#This Row],[Facturación atraso]]</f>
        <v>0</v>
      </c>
      <c r="W43" s="6">
        <f>IFERROR(IF(AND(V43&gt;R43,J43&gt;=R43),ROUNDDOWN((Tabla1[[#This Row],[Producción para venta nueva]])/R43,0)*R43,0),0)</f>
        <v>0</v>
      </c>
      <c r="X43" s="76">
        <v>0</v>
      </c>
      <c r="Y43" s="6">
        <f>IF(Tabla1[[#This Row],[Venta del mes]]&gt;0,Tabla1[[#This Row],[Venta del mes]]+Tabla1[[#This Row],[Ajuste venta nueva]],0)</f>
        <v>0</v>
      </c>
      <c r="Z43" s="6">
        <f>+Tabla1[[#This Row],[Producción para venta nueva]]-Tabla1[[#This Row],[Facturación Venta nueva]]</f>
        <v>0</v>
      </c>
      <c r="AA43" s="6">
        <f>IF(AND(A43=1,Tabla1[[#This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3" s="6"/>
      <c r="AC43" s="6">
        <f>IF(Tabla1[[#This Row],[Disponible stock sin venta]]&gt;0,Tabla1[[#This Row],[Disponible stock sin venta]]+Tabla1[[#This Row],[Ajuste stock sin venta]],0)</f>
        <v>0</v>
      </c>
      <c r="AD43" s="3">
        <f>IFERROR(VLOOKUP(Tabla1[[#This Row],[Llave]],'[16]TD Puerto'!$A:$D,4,FALSE),0)</f>
        <v>0</v>
      </c>
      <c r="AE43" s="3">
        <v>0</v>
      </c>
      <c r="AF43" s="3">
        <f>+Tabla1[[#This Row],[Atraso a facturar]]+Tabla1[[#This Row],[Venta del mes]]+Tabla1[[#This Row],[En puerto a facturar]]+Tabla1[[#This Row],[Disponible stock sin venta]]</f>
        <v>0</v>
      </c>
      <c r="AG43" s="3">
        <f>+Tabla1[[#This Row],[En puerto a facturar]]</f>
        <v>0</v>
      </c>
      <c r="AH43" s="3">
        <f>+Tabla1[[#This Row],[Facturación atraso]]</f>
        <v>0</v>
      </c>
      <c r="AI43" s="3">
        <f>+Tabla1[[#This Row],[Plan Irrestricto]]-Tabla1[[#This Row],[Puerto ]]-Tabla1[[#This Row],[Atraso]]</f>
        <v>0</v>
      </c>
      <c r="AJ4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43" s="3">
        <f>+Tabla1[[#This Row],[Facturación atraso]]</f>
        <v>0</v>
      </c>
      <c r="AL43" s="3">
        <f>+Tabla1[[#This Row],[Plan Ajustado]]-Tabla1[[#This Row],[ Atraso ajustado]]-Tabla1[[#This Row],[Puerto ]]</f>
        <v>0</v>
      </c>
      <c r="AM43" s="3">
        <v>0</v>
      </c>
      <c r="AN43" s="3" t="str">
        <f>IF(Tabla1[[#This Row],[Plan Ajustado]]&gt;Tabla1[[#This Row],[En puerto a facturar]],"Si","No")</f>
        <v>No</v>
      </c>
      <c r="AO4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43" s="3">
        <f>IF(Tabla1[[#This Row],[Necesidad]]&gt;=Tabla1[[#This Row],[Stock al día]],Tabla1[[#This Row],[Stock al día]],Tabla1[[#This Row],[Necesidad]])</f>
        <v>0</v>
      </c>
      <c r="AQ43" s="3">
        <f>+Tabla1[[#This Row],[Necesidad]]-Tabla1[[#This Row],[Stock Plan]]</f>
        <v>0</v>
      </c>
      <c r="AR43" s="156">
        <f>IFERROR(VLOOKUP(Tabla1[[#This Row],[Oficina]],[22]Ponderación!$B$3:$G$9,6,FALSE),"")</f>
        <v>44757</v>
      </c>
      <c r="AS4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3.4203349056603773</v>
      </c>
      <c r="AT43" s="83">
        <f>IFERROR(VLOOKUP(Tabla1[[#This Row],[Llave]],[17]DELAY!$H:$W,16,FALSE),0)</f>
        <v>0</v>
      </c>
      <c r="AU4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43" s="5">
        <f>+Tabla1[[#This Row],[Plan Ajustado]]*Tabla1[[#This Row],[Precio ponderado]]</f>
        <v>0</v>
      </c>
      <c r="AW43" s="30">
        <f>IFERROR(VLOOKUP(Tabla1[[#This Row],[Llave]],'[13]Ultimos precios facturados'!$A:$G,7,FALSE),0)</f>
        <v>3.4203349056603773</v>
      </c>
      <c r="AX4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43" s="30"/>
      <c r="AZ43" s="30">
        <f>IF(Tabla1[[#This Row],[Ajuste precio IC]]="",Tabla1[[#This Row],[Precio ponderado]],Tabla1[[#This Row],[Precio ponderado]])</f>
        <v>0</v>
      </c>
      <c r="BA43" s="82"/>
      <c r="BB43" s="82" t="str">
        <f>IF(AND(Tabla1[[#This Row],[Atraso a facturar]]&gt;0,Tabla1[[#This Row],[Precio Atraso]]=0),"Revisar","OK")</f>
        <v>OK</v>
      </c>
      <c r="BC43" s="82" t="str">
        <f>IF(AND(Tabla1[[#This Row],[Venta del mes]]&gt;0,Tabla1[[#This Row],[Precio venta nueva]]=0),"Revisar","OK")</f>
        <v>OK</v>
      </c>
      <c r="BD43" s="20">
        <f>IFERROR(VLOOKUP(Tabla1[[#This Row],[Llave]],'[5]Consolidación planes'!$A:$M,9,FALSE),0)</f>
        <v>2000</v>
      </c>
      <c r="BE43" s="20">
        <f>IFERROR(VLOOKUP(Tabla1[[#This Row],[Llave]],'[5]Consolidación planes'!$A:$M,10,FALSE),0)</f>
        <v>0</v>
      </c>
      <c r="BF43" s="20">
        <f>IFERROR(VLOOKUP(Tabla1[[#This Row],[Llave]],'[5]Consolidación planes'!$A:$M,11,FALSE),0)</f>
        <v>0</v>
      </c>
      <c r="BG43" s="20">
        <f>IFERROR(VLOOKUP(Tabla1[[#This Row],[Llave]],'[5]Consolidación planes'!$A:$M,12,FALSE),0)</f>
        <v>0</v>
      </c>
      <c r="BH43" s="20">
        <f>IFERROR(VLOOKUP(Tabla1[[#This Row],[Llave]],'[5]Consolidación planes'!$A:$M,13,FALSE),0)</f>
        <v>530</v>
      </c>
      <c r="BI43" s="20">
        <f>IFERROR(VLOOKUP(Tabla1[[#This Row],[Llave]],'[13]Base ultimos planes'!$A:$M,13,FALSE),0)</f>
        <v>0</v>
      </c>
      <c r="BJ43" s="80">
        <f>IFERROR(VLOOKUP(Tabla1[[#This Row],[Llave]],'[13]Base ultimos planes'!$O:$AA,8,FALSE),0)</f>
        <v>10600</v>
      </c>
      <c r="BK43" s="20">
        <f>IFERROR(VLOOKUP(Tabla1[[#This Row],[Llave]],'[13]Base ultimos planes'!$O:$AA,9,FALSE),0)</f>
        <v>0</v>
      </c>
      <c r="BL43" s="20">
        <f>IFERROR(VLOOKUP(Tabla1[[#This Row],[Llave]],'[13]Base ultimos planes'!$O:$AA,10,FALSE),0)</f>
        <v>0</v>
      </c>
      <c r="BM43" s="20">
        <f>IFERROR(VLOOKUP(Tabla1[[#This Row],[Llave]],'[13]Base ultimos planes'!$O:$AA,11,FALSE),0)</f>
        <v>0</v>
      </c>
      <c r="BN43" s="20">
        <f>IFERROR(VLOOKUP(Tabla1[[#This Row],[Llave]],'[13]Base ultimos planes'!$O:$AA,12,FALSE),0)</f>
        <v>1802</v>
      </c>
      <c r="BO43" s="20">
        <f>IFERROR(VLOOKUP(Tabla1[[#This Row],[Llave]],'[13]Base ultimos planes'!$O:$AA,13,FALSE),0)</f>
        <v>0</v>
      </c>
      <c r="BP43" s="20"/>
      <c r="BQ43" s="20">
        <f>+Tabla1[[#This Row],[ RV  Venta mes n+1]]*(1-Tabla1[[#This Row],[% Uti. producción]])</f>
        <v>0</v>
      </c>
      <c r="BR43" s="100"/>
    </row>
    <row r="44" spans="1:70" ht="16" hidden="1" x14ac:dyDescent="0.2">
      <c r="A44">
        <v>1</v>
      </c>
      <c r="B44" t="str">
        <f>Tabla1[[#This Row],[Oficina]]&amp;Tabla1[[#This Row],[Material]]</f>
        <v>Agro Sudamerica1021639</v>
      </c>
      <c r="C44" t="s">
        <v>6</v>
      </c>
      <c r="D44" t="s">
        <v>17</v>
      </c>
      <c r="E44">
        <v>1021639</v>
      </c>
      <c r="F44" t="s">
        <v>278</v>
      </c>
      <c r="G44" t="s">
        <v>37</v>
      </c>
      <c r="H44" t="s">
        <v>38</v>
      </c>
      <c r="I44" s="7">
        <f>IFERROR(VLOOKUP(Tabla1[[#This Row],[Llave]],'[7]RV Producción'!$C:$G,5,FALSE),0)</f>
        <v>0</v>
      </c>
      <c r="J44" s="3">
        <f>IFERROR(IF(Tabla1[[#This Row],[Oficina]]=$I$7,VLOOKUP(Tabla1[[#This Row],[Llave]],'[7]Shangai (Tomas)'!$A:$F,6,FALSE),VLOOKUP(Tabla1[[#This Row],[Llave]],'[7]RV plan de ventas'!$A:$E,5,FALSE)),0)</f>
        <v>0</v>
      </c>
      <c r="K44" s="8">
        <f>IFERROR(VLOOKUP(Tabla1[[#This Row],[Oficina]],[15]Ponderación!$B$2:$E$9,4,FALSE),0)</f>
        <v>0.45719439678473212</v>
      </c>
      <c r="L44" s="7">
        <f>+Tabla1[[#This Row],[ RV Producción mes n+1]]*Tabla1[[#This Row],[% Uti. producción]]</f>
        <v>0</v>
      </c>
      <c r="M44" s="7">
        <f>IFERROR(VLOOKUP(Tabla1[[#This Row],[Material]],'[17]TD Stock'!$E:$I,5,FALSE),0)</f>
        <v>1775</v>
      </c>
      <c r="N44" s="7">
        <f>IFERROR(VLOOKUP(Tabla1[[#This Row],[Material]],[16]Produccion!$M:$N,2,FALSE),0)</f>
        <v>0</v>
      </c>
      <c r="O44" s="7">
        <f>IFERROR(VLOOKUP(Tabla1[[#This Row],[Llave]],'[16]TD Conf-AP'!$I:$M,4,FALSE),0)</f>
        <v>0</v>
      </c>
      <c r="P44" s="14">
        <f>SUM(Tabla1[[#This Row],[Producción disponible]],Tabla1[[#This Row],[Stock al día]],(Tabla1[[#This Row],[Por producir mes N]]*0.9))-Tabla1[[#This Row],[Producción por despachar mes N]]</f>
        <v>1775</v>
      </c>
      <c r="Q44" s="7">
        <f>IFERROR(VLOOKUP(Tabla1[[#This Row],[Llave]],[17]DELAY!$A:$D,4,FALSE),0)</f>
        <v>1000</v>
      </c>
      <c r="R44" s="9">
        <v>24000</v>
      </c>
      <c r="S44" s="5">
        <f t="shared" si="29"/>
        <v>1000</v>
      </c>
      <c r="T44" s="76">
        <v>-1000</v>
      </c>
      <c r="U44" s="5">
        <f>+Tabla1[[#This Row],[Atraso a facturar]]+Tabla1[[#This Row],[Ajuste atraso]]</f>
        <v>0</v>
      </c>
      <c r="V44" s="3">
        <f>+Tabla1[[#This Row],[Total disponible]]-Tabla1[[#This Row],[Facturación atraso]]</f>
        <v>1775</v>
      </c>
      <c r="W44" s="6">
        <f>IFERROR(IF(AND(V44&gt;R44,J44&gt;=R44),ROUNDDOWN((Tabla1[[#This Row],[Producción para venta nueva]])/R44,0)*R44,0),0)</f>
        <v>0</v>
      </c>
      <c r="X44" s="76">
        <v>0</v>
      </c>
      <c r="Y44" s="6">
        <f>IF(Tabla1[[#This Row],[Venta del mes]]&gt;0,Tabla1[[#This Row],[Venta del mes]]+Tabla1[[#This Row],[Ajuste venta nueva]],0)</f>
        <v>0</v>
      </c>
      <c r="Z44" s="6">
        <f>+Tabla1[[#This Row],[Producción para venta nueva]]-Tabla1[[#This Row],[Facturación Venta nueva]]</f>
        <v>1775</v>
      </c>
      <c r="AA44" s="6">
        <f>IF(AND(A44=1,Tabla1[[#This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4" s="6"/>
      <c r="AC44" s="6">
        <f>IF(Tabla1[[#This Row],[Disponible stock sin venta]]&gt;0,Tabla1[[#This Row],[Disponible stock sin venta]]+Tabla1[[#This Row],[Ajuste stock sin venta]],0)</f>
        <v>0</v>
      </c>
      <c r="AD44" s="3">
        <f>IFERROR(VLOOKUP(Tabla1[[#This Row],[Llave]],'[16]TD Puerto'!$A:$D,4,FALSE),0)</f>
        <v>0</v>
      </c>
      <c r="AE44" s="3">
        <v>1000</v>
      </c>
      <c r="AF44" s="3">
        <f>+Tabla1[[#This Row],[Atraso a facturar]]+Tabla1[[#This Row],[Venta del mes]]+Tabla1[[#This Row],[En puerto a facturar]]+Tabla1[[#This Row],[Disponible stock sin venta]]</f>
        <v>1000</v>
      </c>
      <c r="AG44" s="3">
        <f>+Tabla1[[#This Row],[En puerto a facturar]]</f>
        <v>0</v>
      </c>
      <c r="AH44" s="3">
        <f>+Tabla1[[#This Row],[Facturación atraso]]</f>
        <v>0</v>
      </c>
      <c r="AI44" s="3">
        <f>+Tabla1[[#This Row],[Plan Irrestricto]]-Tabla1[[#This Row],[Puerto ]]-Tabla1[[#This Row],[Atraso]]</f>
        <v>1000</v>
      </c>
      <c r="AJ4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44" s="3">
        <f>+Tabla1[[#This Row],[Facturación atraso]]</f>
        <v>0</v>
      </c>
      <c r="AL44" s="3">
        <f>+Tabla1[[#This Row],[Plan Ajustado]]-Tabla1[[#This Row],[ Atraso ajustado]]-Tabla1[[#This Row],[Puerto ]]</f>
        <v>0</v>
      </c>
      <c r="AM44" s="3">
        <v>0</v>
      </c>
      <c r="AN44" s="3" t="str">
        <f>IF(Tabla1[[#This Row],[Plan Ajustado]]&gt;Tabla1[[#This Row],[En puerto a facturar]],"Si","No")</f>
        <v>No</v>
      </c>
      <c r="AO4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44" s="3">
        <f>IF(Tabla1[[#This Row],[Necesidad]]&gt;=Tabla1[[#This Row],[Stock al día]],Tabla1[[#This Row],[Stock al día]],Tabla1[[#This Row],[Necesidad]])</f>
        <v>0</v>
      </c>
      <c r="AQ44" s="3">
        <f>+Tabla1[[#This Row],[Necesidad]]-Tabla1[[#This Row],[Stock Plan]]</f>
        <v>0</v>
      </c>
      <c r="AR44" s="156">
        <f>IFERROR(VLOOKUP(Tabla1[[#This Row],[Oficina]],[22]Ponderación!$B$3:$G$9,6,FALSE),"")</f>
        <v>44757</v>
      </c>
      <c r="AS4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3.0789500139178845</v>
      </c>
      <c r="AT44" s="83">
        <f>IFERROR(VLOOKUP(Tabla1[[#This Row],[Llave]],[17]DELAY!$H:$W,16,FALSE),0)</f>
        <v>2.8</v>
      </c>
      <c r="AU4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44" s="5">
        <f>+Tabla1[[#This Row],[Plan Ajustado]]*Tabla1[[#This Row],[Precio ponderado]]</f>
        <v>0</v>
      </c>
      <c r="AW44" s="30">
        <f>IFERROR(VLOOKUP(Tabla1[[#This Row],[Llave]],'[13]Ultimos precios facturados'!$A:$G,7,FALSE),0)</f>
        <v>3.0789500139178845</v>
      </c>
      <c r="AX4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44" s="30"/>
      <c r="AZ44" s="30">
        <f>IF(Tabla1[[#This Row],[Ajuste precio IC]]="",Tabla1[[#This Row],[Precio ponderado]],Tabla1[[#This Row],[Precio ponderado]])</f>
        <v>0</v>
      </c>
      <c r="BA44" s="82"/>
      <c r="BB44" s="82" t="str">
        <f>IF(AND(Tabla1[[#This Row],[Atraso a facturar]]&gt;0,Tabla1[[#This Row],[Precio Atraso]]=0),"Revisar","OK")</f>
        <v>OK</v>
      </c>
      <c r="BC44" s="82" t="str">
        <f>IF(AND(Tabla1[[#This Row],[Venta del mes]]&gt;0,Tabla1[[#This Row],[Precio venta nueva]]=0),"Revisar","OK")</f>
        <v>OK</v>
      </c>
      <c r="BD44" s="20">
        <f>IFERROR(VLOOKUP(Tabla1[[#This Row],[Llave]],'[5]Consolidación planes'!$A:$M,9,FALSE),0)</f>
        <v>0</v>
      </c>
      <c r="BE44" s="20">
        <f>IFERROR(VLOOKUP(Tabla1[[#This Row],[Llave]],'[5]Consolidación planes'!$A:$M,10,FALSE),0)</f>
        <v>48000</v>
      </c>
      <c r="BF44" s="20">
        <f>IFERROR(VLOOKUP(Tabla1[[#This Row],[Llave]],'[5]Consolidación planes'!$A:$M,11,FALSE),0)</f>
        <v>24000</v>
      </c>
      <c r="BG44" s="20">
        <f>IFERROR(VLOOKUP(Tabla1[[#This Row],[Llave]],'[5]Consolidación planes'!$A:$M,12,FALSE),0)</f>
        <v>24000</v>
      </c>
      <c r="BH44" s="20">
        <f>IFERROR(VLOOKUP(Tabla1[[#This Row],[Llave]],'[5]Consolidación planes'!$A:$M,13,FALSE),0)</f>
        <v>24000</v>
      </c>
      <c r="BI44" s="20">
        <f>IFERROR(VLOOKUP(Tabla1[[#This Row],[Llave]],'[13]Base ultimos planes'!$A:$M,13,FALSE),0)</f>
        <v>25000</v>
      </c>
      <c r="BJ44" s="80">
        <f>IFERROR(VLOOKUP(Tabla1[[#This Row],[Llave]],'[13]Base ultimos planes'!$O:$AA,8,FALSE),0)</f>
        <v>0</v>
      </c>
      <c r="BK44" s="20">
        <f>IFERROR(VLOOKUP(Tabla1[[#This Row],[Llave]],'[13]Base ultimos planes'!$O:$AA,9,FALSE),0)</f>
        <v>147200</v>
      </c>
      <c r="BL44" s="20">
        <f>IFERROR(VLOOKUP(Tabla1[[#This Row],[Llave]],'[13]Base ultimos planes'!$O:$AA,10,FALSE),0)</f>
        <v>72000</v>
      </c>
      <c r="BM44" s="20">
        <f>IFERROR(VLOOKUP(Tabla1[[#This Row],[Llave]],'[13]Base ultimos planes'!$O:$AA,11,FALSE),0)</f>
        <v>69600</v>
      </c>
      <c r="BN44" s="20">
        <f>IFERROR(VLOOKUP(Tabla1[[#This Row],[Llave]],'[13]Base ultimos planes'!$O:$AA,12,FALSE),0)</f>
        <v>73200</v>
      </c>
      <c r="BO44" s="20">
        <f>IFERROR(VLOOKUP(Tabla1[[#This Row],[Llave]],'[13]Base ultimos planes'!$O:$AA,13,FALSE),0)</f>
        <v>76334</v>
      </c>
      <c r="BP44" s="20"/>
      <c r="BQ44" s="20">
        <f>+Tabla1[[#This Row],[ RV  Venta mes n+1]]*(1-Tabla1[[#This Row],[% Uti. producción]])</f>
        <v>0</v>
      </c>
      <c r="BR44" s="100"/>
    </row>
    <row r="45" spans="1:70" ht="16" hidden="1" x14ac:dyDescent="0.2">
      <c r="A45">
        <v>1</v>
      </c>
      <c r="B45" t="str">
        <f>Tabla1[[#This Row],[Oficina]]&amp;Tabla1[[#This Row],[Material]]</f>
        <v>Agro Sudamerica1021819</v>
      </c>
      <c r="C45" t="s">
        <v>6</v>
      </c>
      <c r="D45" t="s">
        <v>17</v>
      </c>
      <c r="E45">
        <v>1021819</v>
      </c>
      <c r="F45" t="s">
        <v>311</v>
      </c>
      <c r="G45" t="s">
        <v>50</v>
      </c>
      <c r="H45" t="s">
        <v>51</v>
      </c>
      <c r="I45" s="7">
        <f>IFERROR(VLOOKUP(Tabla1[[#This Row],[Llave]],'[7]RV Producción'!$C:$G,5,FALSE),0)</f>
        <v>0</v>
      </c>
      <c r="J45" s="3">
        <f>IFERROR(IF(Tabla1[[#This Row],[Oficina]]=$I$7,VLOOKUP(Tabla1[[#This Row],[Llave]],'[7]Shangai (Tomas)'!$A:$F,6,FALSE),VLOOKUP(Tabla1[[#This Row],[Llave]],'[7]RV plan de ventas'!$A:$E,5,FALSE)),0)</f>
        <v>0</v>
      </c>
      <c r="K45" s="8">
        <f>IFERROR(VLOOKUP(Tabla1[[#This Row],[Oficina]],[15]Ponderación!$B$2:$E$9,4,FALSE),0)</f>
        <v>0.45719439678473212</v>
      </c>
      <c r="L45" s="7">
        <f>+Tabla1[[#This Row],[ RV Producción mes n+1]]*Tabla1[[#This Row],[% Uti. producción]]</f>
        <v>0</v>
      </c>
      <c r="M45" s="7">
        <f>IFERROR(VLOOKUP(Tabla1[[#This Row],[Material]],'[17]TD Stock'!$E:$I,5,FALSE),0)</f>
        <v>41.9</v>
      </c>
      <c r="N45" s="7">
        <f>IFERROR(VLOOKUP(Tabla1[[#This Row],[Material]],[16]Produccion!$M:$N,2,FALSE),0)</f>
        <v>0</v>
      </c>
      <c r="O45" s="7">
        <f>IFERROR(VLOOKUP(Tabla1[[#This Row],[Llave]],'[16]TD Conf-AP'!$I:$M,4,FALSE),0)</f>
        <v>0</v>
      </c>
      <c r="P45" s="14">
        <f>SUM(Tabla1[[#This Row],[Producción disponible]],Tabla1[[#This Row],[Stock al día]],(Tabla1[[#This Row],[Por producir mes N]]*0.9))-Tabla1[[#This Row],[Producción por despachar mes N]]</f>
        <v>41.9</v>
      </c>
      <c r="Q45" s="7">
        <f>IFERROR(VLOOKUP(Tabla1[[#This Row],[Llave]],[17]DELAY!$A:$D,4,FALSE),0)</f>
        <v>72000</v>
      </c>
      <c r="R45" s="9">
        <v>24000</v>
      </c>
      <c r="S45" s="5">
        <f t="shared" si="29"/>
        <v>0</v>
      </c>
      <c r="T45" s="76">
        <v>0</v>
      </c>
      <c r="U45" s="5">
        <f>+Tabla1[[#This Row],[Atraso a facturar]]+Tabla1[[#This Row],[Ajuste atraso]]</f>
        <v>0</v>
      </c>
      <c r="V45" s="3">
        <f>+Tabla1[[#This Row],[Total disponible]]-Tabla1[[#This Row],[Facturación atraso]]</f>
        <v>41.9</v>
      </c>
      <c r="W45" s="6">
        <f>IFERROR(IF(AND(V45&gt;R45,J45&gt;=R45),ROUNDDOWN((Tabla1[[#This Row],[Producción para venta nueva]])/R45,0)*R45,0),0)</f>
        <v>0</v>
      </c>
      <c r="X45" s="76">
        <v>0</v>
      </c>
      <c r="Y45" s="6">
        <f>IF(Tabla1[[#This Row],[Venta del mes]]&gt;0,Tabla1[[#This Row],[Venta del mes]]+Tabla1[[#This Row],[Ajuste venta nueva]],0)</f>
        <v>0</v>
      </c>
      <c r="Z45" s="6">
        <f>+Tabla1[[#This Row],[Producción para venta nueva]]-Tabla1[[#This Row],[Facturación Venta nueva]]</f>
        <v>41.9</v>
      </c>
      <c r="AA45" s="6">
        <f>IF(AND(A45=1,Tabla1[[#This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5" s="6"/>
      <c r="AC45" s="6">
        <f>IF(Tabla1[[#This Row],[Disponible stock sin venta]]&gt;0,Tabla1[[#This Row],[Disponible stock sin venta]]+Tabla1[[#This Row],[Ajuste stock sin venta]],0)</f>
        <v>0</v>
      </c>
      <c r="AD45" s="3">
        <f>IFERROR(VLOOKUP(Tabla1[[#This Row],[Llave]],'[16]TD Puerto'!$A:$D,4,FALSE),0)</f>
        <v>0</v>
      </c>
      <c r="AE45" s="3">
        <v>0</v>
      </c>
      <c r="AF45" s="3">
        <f>+Tabla1[[#This Row],[Atraso a facturar]]+Tabla1[[#This Row],[Venta del mes]]+Tabla1[[#This Row],[En puerto a facturar]]+Tabla1[[#This Row],[Disponible stock sin venta]]</f>
        <v>0</v>
      </c>
      <c r="AG45" s="3">
        <f>+Tabla1[[#This Row],[En puerto a facturar]]</f>
        <v>0</v>
      </c>
      <c r="AH45" s="3">
        <f>+Tabla1[[#This Row],[Facturación atraso]]</f>
        <v>0</v>
      </c>
      <c r="AI45" s="3">
        <f>+Tabla1[[#This Row],[Plan Irrestricto]]-Tabla1[[#This Row],[Puerto ]]-Tabla1[[#This Row],[Atraso]]</f>
        <v>0</v>
      </c>
      <c r="AJ4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45" s="3">
        <f>+Tabla1[[#This Row],[Facturación atraso]]</f>
        <v>0</v>
      </c>
      <c r="AL45" s="3">
        <f>+Tabla1[[#This Row],[Plan Ajustado]]-Tabla1[[#This Row],[ Atraso ajustado]]-Tabla1[[#This Row],[Puerto ]]</f>
        <v>0</v>
      </c>
      <c r="AM45" s="3">
        <v>0</v>
      </c>
      <c r="AN45" s="3" t="str">
        <f>IF(Tabla1[[#This Row],[Plan Ajustado]]&gt;Tabla1[[#This Row],[En puerto a facturar]],"Si","No")</f>
        <v>No</v>
      </c>
      <c r="AO4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45" s="3">
        <f>IF(Tabla1[[#This Row],[Necesidad]]&gt;=Tabla1[[#This Row],[Stock al día]],Tabla1[[#This Row],[Stock al día]],Tabla1[[#This Row],[Necesidad]])</f>
        <v>0</v>
      </c>
      <c r="AQ45" s="3">
        <f>+Tabla1[[#This Row],[Necesidad]]-Tabla1[[#This Row],[Stock Plan]]</f>
        <v>0</v>
      </c>
      <c r="AR45" s="156">
        <f>IFERROR(VLOOKUP(Tabla1[[#This Row],[Oficina]],[22]Ponderación!$B$3:$G$9,6,FALSE),"")</f>
        <v>44757</v>
      </c>
      <c r="AS4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1.8496507215087774</v>
      </c>
      <c r="AT45" s="83">
        <f>IFERROR(VLOOKUP(Tabla1[[#This Row],[Llave]],[17]DELAY!$H:$W,16,FALSE),0)</f>
        <v>1.8496250000000001</v>
      </c>
      <c r="AU4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45" s="5">
        <f>+Tabla1[[#This Row],[Plan Ajustado]]*Tabla1[[#This Row],[Precio ponderado]]</f>
        <v>0</v>
      </c>
      <c r="AW45" s="30">
        <f>IFERROR(VLOOKUP(Tabla1[[#This Row],[Llave]],'[13]Ultimos precios facturados'!$A:$G,7,FALSE),0)</f>
        <v>1.8496507215087774</v>
      </c>
      <c r="AX4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45" s="30"/>
      <c r="AZ45" s="30">
        <f>IF(Tabla1[[#This Row],[Ajuste precio IC]]="",Tabla1[[#This Row],[Precio ponderado]],Tabla1[[#This Row],[Precio ponderado]])</f>
        <v>0</v>
      </c>
      <c r="BA45" s="82"/>
      <c r="BB45" s="82" t="str">
        <f>IF(AND(Tabla1[[#This Row],[Atraso a facturar]]&gt;0,Tabla1[[#This Row],[Precio Atraso]]=0),"Revisar","OK")</f>
        <v>OK</v>
      </c>
      <c r="BC45" s="82" t="str">
        <f>IF(AND(Tabla1[[#This Row],[Venta del mes]]&gt;0,Tabla1[[#This Row],[Precio venta nueva]]=0),"Revisar","OK")</f>
        <v>OK</v>
      </c>
      <c r="BD45" s="20">
        <f>IFERROR(VLOOKUP(Tabla1[[#This Row],[Llave]],'[5]Consolidación planes'!$A:$M,9,FALSE),0)</f>
        <v>0</v>
      </c>
      <c r="BE45" s="20">
        <f>IFERROR(VLOOKUP(Tabla1[[#This Row],[Llave]],'[5]Consolidación planes'!$A:$M,10,FALSE),0)</f>
        <v>0</v>
      </c>
      <c r="BF45" s="20">
        <f>IFERROR(VLOOKUP(Tabla1[[#This Row],[Llave]],'[5]Consolidación planes'!$A:$M,11,FALSE),0)</f>
        <v>0</v>
      </c>
      <c r="BG45" s="20">
        <f>IFERROR(VLOOKUP(Tabla1[[#This Row],[Llave]],'[5]Consolidación planes'!$A:$M,12,FALSE),0)</f>
        <v>0</v>
      </c>
      <c r="BH45" s="20">
        <f>IFERROR(VLOOKUP(Tabla1[[#This Row],[Llave]],'[5]Consolidación planes'!$A:$M,13,FALSE),0)</f>
        <v>48000</v>
      </c>
      <c r="BI45" s="20">
        <f>IFERROR(VLOOKUP(Tabla1[[#This Row],[Llave]],'[13]Base ultimos planes'!$A:$M,13,FALSE),0)</f>
        <v>0</v>
      </c>
      <c r="BJ45" s="80">
        <f>IFERROR(VLOOKUP(Tabla1[[#This Row],[Llave]],'[13]Base ultimos planes'!$O:$AA,8,FALSE),0)</f>
        <v>0</v>
      </c>
      <c r="BK45" s="20">
        <f>IFERROR(VLOOKUP(Tabla1[[#This Row],[Llave]],'[13]Base ultimos planes'!$O:$AA,9,FALSE),0)</f>
        <v>0</v>
      </c>
      <c r="BL45" s="20">
        <f>IFERROR(VLOOKUP(Tabla1[[#This Row],[Llave]],'[13]Base ultimos planes'!$O:$AA,10,FALSE),0)</f>
        <v>0</v>
      </c>
      <c r="BM45" s="20">
        <f>IFERROR(VLOOKUP(Tabla1[[#This Row],[Llave]],'[13]Base ultimos planes'!$O:$AA,11,FALSE),0)</f>
        <v>0</v>
      </c>
      <c r="BN45" s="20">
        <f>IFERROR(VLOOKUP(Tabla1[[#This Row],[Llave]],'[13]Base ultimos planes'!$O:$AA,12,FALSE),0)</f>
        <v>96000</v>
      </c>
      <c r="BO45" s="20">
        <f>IFERROR(VLOOKUP(Tabla1[[#This Row],[Llave]],'[13]Base ultimos planes'!$O:$AA,13,FALSE),0)</f>
        <v>0</v>
      </c>
      <c r="BP45" s="20"/>
      <c r="BQ45" s="20">
        <f>+Tabla1[[#This Row],[ RV  Venta mes n+1]]*(1-Tabla1[[#This Row],[% Uti. producción]])</f>
        <v>0</v>
      </c>
      <c r="BR45" s="100"/>
    </row>
    <row r="46" spans="1:70" ht="16" hidden="1" x14ac:dyDescent="0.2">
      <c r="A46">
        <v>1</v>
      </c>
      <c r="B46" t="str">
        <f>Tabla1[[#This Row],[Oficina]]&amp;Tabla1[[#This Row],[Material]]</f>
        <v>Agro Sudamerica1021820</v>
      </c>
      <c r="C46" t="s">
        <v>6</v>
      </c>
      <c r="D46" t="s">
        <v>17</v>
      </c>
      <c r="E46">
        <v>1021820</v>
      </c>
      <c r="F46" t="s">
        <v>312</v>
      </c>
      <c r="G46" t="s">
        <v>50</v>
      </c>
      <c r="H46" t="s">
        <v>110</v>
      </c>
      <c r="I46" s="7">
        <f>IFERROR(VLOOKUP(Tabla1[[#This Row],[Llave]],'[7]RV Producción'!$C:$G,5,FALSE),0)</f>
        <v>0</v>
      </c>
      <c r="J46" s="3">
        <f>IFERROR(IF(Tabla1[[#This Row],[Oficina]]=$I$7,VLOOKUP(Tabla1[[#This Row],[Llave]],'[7]Shangai (Tomas)'!$A:$F,6,FALSE),VLOOKUP(Tabla1[[#This Row],[Llave]],'[7]RV plan de ventas'!$A:$E,5,FALSE)),0)</f>
        <v>0</v>
      </c>
      <c r="K46" s="8">
        <f>IFERROR(VLOOKUP(Tabla1[[#This Row],[Oficina]],[15]Ponderación!$B$2:$E$9,4,FALSE),0)</f>
        <v>0.45719439678473212</v>
      </c>
      <c r="L46" s="7">
        <f>+Tabla1[[#This Row],[ RV Producción mes n+1]]*Tabla1[[#This Row],[% Uti. producción]]</f>
        <v>0</v>
      </c>
      <c r="M46" s="7">
        <f>IFERROR(VLOOKUP(Tabla1[[#This Row],[Material]],'[17]TD Stock'!$E:$I,5,FALSE),0)</f>
        <v>0</v>
      </c>
      <c r="N46" s="7">
        <f>IFERROR(VLOOKUP(Tabla1[[#This Row],[Material]],[16]Produccion!$M:$N,2,FALSE),0)</f>
        <v>0</v>
      </c>
      <c r="O46" s="7">
        <f>IFERROR(VLOOKUP(Tabla1[[#This Row],[Llave]],'[16]TD Conf-AP'!$I:$M,4,FALSE),0)</f>
        <v>0</v>
      </c>
      <c r="P46" s="14">
        <f>SUM(Tabla1[[#This Row],[Producción disponible]],Tabla1[[#This Row],[Stock al día]],(Tabla1[[#This Row],[Por producir mes N]]*0.9))-Tabla1[[#This Row],[Producción por despachar mes N]]</f>
        <v>0</v>
      </c>
      <c r="Q46" s="7">
        <f>IFERROR(VLOOKUP(Tabla1[[#This Row],[Llave]],[17]DELAY!$A:$D,4,FALSE),0)</f>
        <v>14000</v>
      </c>
      <c r="R46" s="9">
        <v>24000</v>
      </c>
      <c r="S46" s="5">
        <f t="shared" si="29"/>
        <v>0</v>
      </c>
      <c r="T46" s="76">
        <v>0</v>
      </c>
      <c r="U46" s="5">
        <f>+Tabla1[[#This Row],[Atraso a facturar]]+Tabla1[[#This Row],[Ajuste atraso]]</f>
        <v>0</v>
      </c>
      <c r="V46" s="3">
        <f>+Tabla1[[#This Row],[Total disponible]]-Tabla1[[#This Row],[Facturación atraso]]</f>
        <v>0</v>
      </c>
      <c r="W46" s="6">
        <f>IFERROR(IF(AND(V46&gt;R46,J46&gt;=R46),ROUNDDOWN((Tabla1[[#This Row],[Producción para venta nueva]])/R46,0)*R46,0),0)</f>
        <v>0</v>
      </c>
      <c r="X46" s="76">
        <v>0</v>
      </c>
      <c r="Y46" s="6">
        <f>IF(Tabla1[[#This Row],[Venta del mes]]&gt;0,Tabla1[[#This Row],[Venta del mes]]+Tabla1[[#This Row],[Ajuste venta nueva]],0)</f>
        <v>0</v>
      </c>
      <c r="Z46" s="6">
        <f>+Tabla1[[#This Row],[Producción para venta nueva]]-Tabla1[[#This Row],[Facturación Venta nueva]]</f>
        <v>0</v>
      </c>
      <c r="AA46" s="6">
        <f>IF(AND(A46=1,Tabla1[[#This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6" s="6"/>
      <c r="AC46" s="6">
        <f>IF(Tabla1[[#This Row],[Disponible stock sin venta]]&gt;0,Tabla1[[#This Row],[Disponible stock sin venta]]+Tabla1[[#This Row],[Ajuste stock sin venta]],0)</f>
        <v>0</v>
      </c>
      <c r="AD46" s="3">
        <f>IFERROR(VLOOKUP(Tabla1[[#This Row],[Llave]],'[16]TD Puerto'!$A:$D,4,FALSE),0)</f>
        <v>0</v>
      </c>
      <c r="AE46" s="3">
        <v>0</v>
      </c>
      <c r="AF46" s="3">
        <f>+Tabla1[[#This Row],[Atraso a facturar]]+Tabla1[[#This Row],[Venta del mes]]+Tabla1[[#This Row],[En puerto a facturar]]+Tabla1[[#This Row],[Disponible stock sin venta]]</f>
        <v>0</v>
      </c>
      <c r="AG46" s="3">
        <f>+Tabla1[[#This Row],[En puerto a facturar]]</f>
        <v>0</v>
      </c>
      <c r="AH46" s="3">
        <f>+Tabla1[[#This Row],[Facturación atraso]]</f>
        <v>0</v>
      </c>
      <c r="AI46" s="3">
        <f>+Tabla1[[#This Row],[Plan Irrestricto]]-Tabla1[[#This Row],[Puerto ]]-Tabla1[[#This Row],[Atraso]]</f>
        <v>0</v>
      </c>
      <c r="AJ4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46" s="3">
        <f>+Tabla1[[#This Row],[Facturación atraso]]</f>
        <v>0</v>
      </c>
      <c r="AL46" s="3">
        <f>+Tabla1[[#This Row],[Plan Ajustado]]-Tabla1[[#This Row],[ Atraso ajustado]]-Tabla1[[#This Row],[Puerto ]]</f>
        <v>0</v>
      </c>
      <c r="AM46" s="3">
        <v>0</v>
      </c>
      <c r="AN46" s="3" t="str">
        <f>IF(Tabla1[[#This Row],[Plan Ajustado]]&gt;Tabla1[[#This Row],[En puerto a facturar]],"Si","No")</f>
        <v>No</v>
      </c>
      <c r="AO4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46" s="3">
        <f>IF(Tabla1[[#This Row],[Necesidad]]&gt;=Tabla1[[#This Row],[Stock al día]],Tabla1[[#This Row],[Stock al día]],Tabla1[[#This Row],[Necesidad]])</f>
        <v>0</v>
      </c>
      <c r="AQ46" s="3">
        <f>+Tabla1[[#This Row],[Necesidad]]-Tabla1[[#This Row],[Stock Plan]]</f>
        <v>0</v>
      </c>
      <c r="AR46" s="156">
        <f>IFERROR(VLOOKUP(Tabla1[[#This Row],[Oficina]],[22]Ponderación!$B$3:$G$9,6,FALSE),"")</f>
        <v>44757</v>
      </c>
      <c r="AS4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2.1166914882926338</v>
      </c>
      <c r="AT46" s="83">
        <f>IFERROR(VLOOKUP(Tabla1[[#This Row],[Llave]],[17]DELAY!$H:$W,16,FALSE),0)</f>
        <v>2.1654552374999998</v>
      </c>
      <c r="AU4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46" s="5">
        <f>+Tabla1[[#This Row],[Plan Ajustado]]*Tabla1[[#This Row],[Precio ponderado]]</f>
        <v>0</v>
      </c>
      <c r="AW46" s="30">
        <f>IFERROR(VLOOKUP(Tabla1[[#This Row],[Llave]],'[13]Ultimos precios facturados'!$A:$G,7,FALSE),0)</f>
        <v>2.1166914882926338</v>
      </c>
      <c r="AX4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46" s="30"/>
      <c r="AZ46" s="30">
        <f>IF(Tabla1[[#This Row],[Ajuste precio IC]]="",Tabla1[[#This Row],[Precio ponderado]],Tabla1[[#This Row],[Precio ponderado]])</f>
        <v>0</v>
      </c>
      <c r="BA46" s="82"/>
      <c r="BB46" s="82" t="str">
        <f>IF(AND(Tabla1[[#This Row],[Atraso a facturar]]&gt;0,Tabla1[[#This Row],[Precio Atraso]]=0),"Revisar","OK")</f>
        <v>OK</v>
      </c>
      <c r="BC46" s="82" t="str">
        <f>IF(AND(Tabla1[[#This Row],[Venta del mes]]&gt;0,Tabla1[[#This Row],[Precio venta nueva]]=0),"Revisar","OK")</f>
        <v>OK</v>
      </c>
      <c r="BD46" s="20">
        <f>IFERROR(VLOOKUP(Tabla1[[#This Row],[Llave]],'[5]Consolidación planes'!$A:$M,9,FALSE),0)</f>
        <v>0</v>
      </c>
      <c r="BE46" s="20">
        <f>IFERROR(VLOOKUP(Tabla1[[#This Row],[Llave]],'[5]Consolidación planes'!$A:$M,10,FALSE),0)</f>
        <v>0</v>
      </c>
      <c r="BF46" s="20">
        <f>IFERROR(VLOOKUP(Tabla1[[#This Row],[Llave]],'[5]Consolidación planes'!$A:$M,11,FALSE),0)</f>
        <v>0</v>
      </c>
      <c r="BG46" s="20">
        <f>IFERROR(VLOOKUP(Tabla1[[#This Row],[Llave]],'[5]Consolidación planes'!$A:$M,12,FALSE),0)</f>
        <v>0</v>
      </c>
      <c r="BH46" s="20">
        <f>IFERROR(VLOOKUP(Tabla1[[#This Row],[Llave]],'[5]Consolidación planes'!$A:$M,13,FALSE),0)</f>
        <v>0</v>
      </c>
      <c r="BI46" s="20">
        <f>IFERROR(VLOOKUP(Tabla1[[#This Row],[Llave]],'[13]Base ultimos planes'!$A:$M,13,FALSE),0)</f>
        <v>0</v>
      </c>
      <c r="BJ46" s="80">
        <f>IFERROR(VLOOKUP(Tabla1[[#This Row],[Llave]],'[13]Base ultimos planes'!$O:$AA,8,FALSE),0)</f>
        <v>0</v>
      </c>
      <c r="BK46" s="20">
        <f>IFERROR(VLOOKUP(Tabla1[[#This Row],[Llave]],'[13]Base ultimos planes'!$O:$AA,9,FALSE),0)</f>
        <v>0</v>
      </c>
      <c r="BL46" s="20">
        <f>IFERROR(VLOOKUP(Tabla1[[#This Row],[Llave]],'[13]Base ultimos planes'!$O:$AA,10,FALSE),0)</f>
        <v>0</v>
      </c>
      <c r="BM46" s="20">
        <f>IFERROR(VLOOKUP(Tabla1[[#This Row],[Llave]],'[13]Base ultimos planes'!$O:$AA,11,FALSE),0)</f>
        <v>0</v>
      </c>
      <c r="BN46" s="20">
        <f>IFERROR(VLOOKUP(Tabla1[[#This Row],[Llave]],'[13]Base ultimos planes'!$O:$AA,12,FALSE),0)</f>
        <v>0</v>
      </c>
      <c r="BO46" s="20">
        <f>IFERROR(VLOOKUP(Tabla1[[#This Row],[Llave]],'[13]Base ultimos planes'!$O:$AA,13,FALSE),0)</f>
        <v>0</v>
      </c>
      <c r="BP46" s="20"/>
      <c r="BQ46" s="20">
        <f>+Tabla1[[#This Row],[ RV  Venta mes n+1]]*(1-Tabla1[[#This Row],[% Uti. producción]])</f>
        <v>0</v>
      </c>
      <c r="BR46" s="100"/>
    </row>
    <row r="47" spans="1:70" ht="16" x14ac:dyDescent="0.2">
      <c r="A47">
        <v>1</v>
      </c>
      <c r="B47" t="str">
        <f>Tabla1[[#This Row],[Oficina]]&amp;Tabla1[[#This Row],[Material]]</f>
        <v>Agro Sudamerica1021868</v>
      </c>
      <c r="C47" t="s">
        <v>6</v>
      </c>
      <c r="D47" t="s">
        <v>17</v>
      </c>
      <c r="E47">
        <v>1021868</v>
      </c>
      <c r="F47" t="s">
        <v>66</v>
      </c>
      <c r="G47" t="s">
        <v>59</v>
      </c>
      <c r="H47" t="s">
        <v>65</v>
      </c>
      <c r="I47" s="7">
        <f>IFERROR(VLOOKUP(Tabla1[[#This Row],[Llave]],'[7]RV Producción'!$C:$G,5,FALSE),0)</f>
        <v>28483</v>
      </c>
      <c r="J47" s="3">
        <f>IFERROR(IF(Tabla1[[#This Row],[Oficina]]=$I$7,VLOOKUP(Tabla1[[#This Row],[Llave]],'[7]Shangai (Tomas)'!$A:$F,6,FALSE),VLOOKUP(Tabla1[[#This Row],[Llave]],'[7]RV plan de ventas'!$A:$E,5,FALSE)),0)</f>
        <v>31422</v>
      </c>
      <c r="K47" s="8">
        <f>IFERROR(VLOOKUP(Tabla1[[#This Row],[Oficina]],[15]Ponderación!$B$2:$E$9,4,FALSE),0)</f>
        <v>0.45719439678473212</v>
      </c>
      <c r="L47" s="7">
        <f>+Tabla1[[#This Row],[ RV Producción mes n+1]]*Tabla1[[#This Row],[% Uti. producción]]</f>
        <v>13022.268003619525</v>
      </c>
      <c r="M47" s="7">
        <f>IFERROR(VLOOKUP(Tabla1[[#This Row],[Material]],'[17]TD Stock'!$E:$I,5,FALSE),0)</f>
        <v>121044.33800000002</v>
      </c>
      <c r="N47" s="7">
        <f>IFERROR(VLOOKUP(Tabla1[[#This Row],[Material]],[16]Produccion!$M:$N,2,FALSE),0)</f>
        <v>0</v>
      </c>
      <c r="O47" s="7">
        <f>IFERROR(VLOOKUP(Tabla1[[#This Row],[Llave]],'[16]TD Conf-AP'!$I:$M,4,FALSE),0)</f>
        <v>0</v>
      </c>
      <c r="P47" s="14">
        <f>SUM(Tabla1[[#This Row],[Producción disponible]],Tabla1[[#This Row],[Stock al día]],(Tabla1[[#This Row],[Por producir mes N]]*0.9))-Tabla1[[#This Row],[Producción por despachar mes N]]</f>
        <v>134066.60600361956</v>
      </c>
      <c r="Q47" s="7">
        <f>IFERROR(VLOOKUP(Tabla1[[#This Row],[Llave]],[17]DELAY!$A:$D,4,FALSE),0)</f>
        <v>49000</v>
      </c>
      <c r="R47" s="9">
        <v>24000</v>
      </c>
      <c r="S47" s="5">
        <f t="shared" si="29"/>
        <v>49000</v>
      </c>
      <c r="T47" s="76">
        <v>0</v>
      </c>
      <c r="U47" s="5">
        <f>+Tabla1[[#This Row],[Atraso a facturar]]+Tabla1[[#This Row],[Ajuste atraso]]</f>
        <v>49000</v>
      </c>
      <c r="V47" s="3">
        <f>+Tabla1[[#This Row],[Total disponible]]-Tabla1[[#This Row],[Facturación atraso]]</f>
        <v>85066.606003619556</v>
      </c>
      <c r="W47" s="6">
        <f>IFERROR(IF(AND(V47&gt;R47,J47&gt;=R47),ROUNDDOWN((Tabla1[[#This Row],[Producción para venta nueva]])/R47,0)*R47,0),0)</f>
        <v>72000</v>
      </c>
      <c r="X47" s="76">
        <v>0</v>
      </c>
      <c r="Y47" s="6">
        <f>IF(Tabla1[[#This Row],[Venta del mes]]&gt;0,Tabla1[[#This Row],[Venta del mes]]+Tabla1[[#This Row],[Ajuste venta nueva]],0)</f>
        <v>72000</v>
      </c>
      <c r="Z47" s="6">
        <f>+Tabla1[[#This Row],[Producción para venta nueva]]-Tabla1[[#This Row],[Facturación Venta nueva]]</f>
        <v>13066.606003619556</v>
      </c>
      <c r="AA47" s="6">
        <f>IF(AND(A47=1,Tabla1[[#This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7" s="6"/>
      <c r="AC47" s="6">
        <f>IF(Tabla1[[#This Row],[Disponible stock sin venta]]&gt;0,Tabla1[[#This Row],[Disponible stock sin venta]]+Tabla1[[#This Row],[Ajuste stock sin venta]],0)</f>
        <v>0</v>
      </c>
      <c r="AD47" s="3">
        <f>IFERROR(VLOOKUP(Tabla1[[#This Row],[Llave]],'[16]TD Puerto'!$A:$D,4,FALSE),0)</f>
        <v>0</v>
      </c>
      <c r="AE47" s="3">
        <v>121000</v>
      </c>
      <c r="AF47" s="3">
        <f>+Tabla1[[#This Row],[Atraso a facturar]]+Tabla1[[#This Row],[Venta del mes]]+Tabla1[[#This Row],[En puerto a facturar]]+Tabla1[[#This Row],[Disponible stock sin venta]]</f>
        <v>121000</v>
      </c>
      <c r="AG47" s="3">
        <f>+Tabla1[[#This Row],[En puerto a facturar]]</f>
        <v>0</v>
      </c>
      <c r="AH47" s="3">
        <f>+Tabla1[[#This Row],[Facturación atraso]]</f>
        <v>49000</v>
      </c>
      <c r="AI47" s="3">
        <f>+Tabla1[[#This Row],[Plan Irrestricto]]-Tabla1[[#This Row],[Puerto ]]-Tabla1[[#This Row],[Atraso]]</f>
        <v>72000</v>
      </c>
      <c r="AJ47" s="3">
        <f>IF(Tabla1[[#This Row],[Plan Irrestricto]]&gt;0,SUM(Tabla1[[#This Row],[Facturación atraso]],Tabla1[[#This Row],[Facturación Venta nueva]],Tabla1[[#This Row],[Facturación stock]],Tabla1[[#This Row],[En puerto a facturar]]),0)</f>
        <v>121000</v>
      </c>
      <c r="AK47" s="3">
        <f>+Tabla1[[#This Row],[Facturación atraso]]</f>
        <v>49000</v>
      </c>
      <c r="AL47" s="3">
        <f>+Tabla1[[#This Row],[Plan Ajustado]]-Tabla1[[#This Row],[ Atraso ajustado]]-Tabla1[[#This Row],[Puerto ]]</f>
        <v>72000</v>
      </c>
      <c r="AM47" s="3">
        <v>0</v>
      </c>
      <c r="AN47" s="3" t="str">
        <f>IF(Tabla1[[#This Row],[Plan Ajustado]]&gt;Tabla1[[#This Row],[En puerto a facturar]],"Si","No")</f>
        <v>Si</v>
      </c>
      <c r="AO47" s="3">
        <f>IF(AND(Tabla1[[#This Row],[Plan Ajustado]]&gt;0,Tabla1[[#This Row],[Plan Ajustado]]&gt;Tabla1[[#This Row],[En puerto a facturar]]),(Tabla1[[#This Row],[Plan Ajustado]]-Tabla1[[#This Row],[En puerto a facturar]]),0)</f>
        <v>121000</v>
      </c>
      <c r="AP47" s="3">
        <f>IF(Tabla1[[#This Row],[Necesidad]]&gt;=Tabla1[[#This Row],[Stock al día]],Tabla1[[#This Row],[Stock al día]],Tabla1[[#This Row],[Necesidad]])</f>
        <v>121000</v>
      </c>
      <c r="AQ47" s="3">
        <f>+Tabla1[[#This Row],[Necesidad]]-Tabla1[[#This Row],[Stock Plan]]</f>
        <v>0</v>
      </c>
      <c r="AR47" s="156">
        <f>IFERROR(VLOOKUP(Tabla1[[#This Row],[Oficina]],[22]Ponderación!$B$3:$G$9,6,FALSE),"")</f>
        <v>44757</v>
      </c>
      <c r="AS4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2.8900133664311598</v>
      </c>
      <c r="AT47" s="83">
        <f>IFERROR(VLOOKUP(Tabla1[[#This Row],[Llave]],[17]DELAY!$H:$W,16,FALSE),0)</f>
        <v>2.9712448979591799</v>
      </c>
      <c r="AU4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2.9229087800251516</v>
      </c>
      <c r="AV47" s="5">
        <f>+Tabla1[[#This Row],[Plan Ajustado]]*Tabla1[[#This Row],[Precio ponderado]]</f>
        <v>353671.96238304337</v>
      </c>
      <c r="AW47" s="30">
        <f>IFERROR(VLOOKUP(Tabla1[[#This Row],[Llave]],'[13]Ultimos precios facturados'!$A:$G,7,FALSE),0)</f>
        <v>2.7651993616343189</v>
      </c>
      <c r="AX4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5.7033652104426048E-2</v>
      </c>
      <c r="AY47" s="30"/>
      <c r="AZ47" s="30">
        <f>IF(Tabla1[[#This Row],[Ajuste precio IC]]="",Tabla1[[#This Row],[Precio ponderado]],Tabla1[[#This Row],[Precio ponderado]])</f>
        <v>2.9229087800251516</v>
      </c>
      <c r="BA47" s="82"/>
      <c r="BB47" s="82" t="str">
        <f>IF(AND(Tabla1[[#This Row],[Atraso a facturar]]&gt;0,Tabla1[[#This Row],[Precio Atraso]]=0),"Revisar","OK")</f>
        <v>OK</v>
      </c>
      <c r="BC47" s="82" t="str">
        <f>IF(AND(Tabla1[[#This Row],[Venta del mes]]&gt;0,Tabla1[[#This Row],[Precio venta nueva]]=0),"Revisar","OK")</f>
        <v>OK</v>
      </c>
      <c r="BD47" s="20">
        <f>IFERROR(VLOOKUP(Tabla1[[#This Row],[Llave]],'[5]Consolidación planes'!$A:$M,9,FALSE),0)</f>
        <v>24000</v>
      </c>
      <c r="BE47" s="20">
        <f>IFERROR(VLOOKUP(Tabla1[[#This Row],[Llave]],'[5]Consolidación planes'!$A:$M,10,FALSE),0)</f>
        <v>48000</v>
      </c>
      <c r="BF47" s="20">
        <f>IFERROR(VLOOKUP(Tabla1[[#This Row],[Llave]],'[5]Consolidación planes'!$A:$M,11,FALSE),0)</f>
        <v>48000</v>
      </c>
      <c r="BG47" s="20">
        <f>IFERROR(VLOOKUP(Tabla1[[#This Row],[Llave]],'[5]Consolidación planes'!$A:$M,12,FALSE),0)</f>
        <v>34000</v>
      </c>
      <c r="BH47" s="20">
        <f>IFERROR(VLOOKUP(Tabla1[[#This Row],[Llave]],'[5]Consolidación planes'!$A:$M,13,FALSE),0)</f>
        <v>24000</v>
      </c>
      <c r="BI47" s="20">
        <f>IFERROR(VLOOKUP(Tabla1[[#This Row],[Llave]],'[13]Base ultimos planes'!$A:$M,13,FALSE),0)</f>
        <v>24000</v>
      </c>
      <c r="BJ47" s="80">
        <f>IFERROR(VLOOKUP(Tabla1[[#This Row],[Llave]],'[13]Base ultimos planes'!$O:$AA,8,FALSE),0)</f>
        <v>66000</v>
      </c>
      <c r="BK47" s="20">
        <f>IFERROR(VLOOKUP(Tabla1[[#This Row],[Llave]],'[13]Base ultimos planes'!$O:$AA,9,FALSE),0)</f>
        <v>134400</v>
      </c>
      <c r="BL47" s="20">
        <f>IFERROR(VLOOKUP(Tabla1[[#This Row],[Llave]],'[13]Base ultimos planes'!$O:$AA,10,FALSE),0)</f>
        <v>119520</v>
      </c>
      <c r="BM47" s="20">
        <f>IFERROR(VLOOKUP(Tabla1[[#This Row],[Llave]],'[13]Base ultimos planes'!$O:$AA,11,FALSE),0)</f>
        <v>86500</v>
      </c>
      <c r="BN47" s="20">
        <f>IFERROR(VLOOKUP(Tabla1[[#This Row],[Llave]],'[13]Base ultimos planes'!$O:$AA,12,FALSE),0)</f>
        <v>60000</v>
      </c>
      <c r="BO47" s="20">
        <f>IFERROR(VLOOKUP(Tabla1[[#This Row],[Llave]],'[13]Base ultimos planes'!$O:$AA,13,FALSE),0)</f>
        <v>73172</v>
      </c>
      <c r="BP47" s="20"/>
      <c r="BQ47" s="20">
        <f>+Tabla1[[#This Row],[ RV  Venta mes n+1]]*(1-Tabla1[[#This Row],[% Uti. producción]])</f>
        <v>17056.037664230149</v>
      </c>
      <c r="BR47" s="100"/>
    </row>
    <row r="48" spans="1:70" ht="16" hidden="1" x14ac:dyDescent="0.2">
      <c r="A48">
        <v>1</v>
      </c>
      <c r="B48" t="str">
        <f>Tabla1[[#This Row],[Oficina]]&amp;Tabla1[[#This Row],[Material]]</f>
        <v>Agro Sudamerica1021903</v>
      </c>
      <c r="C48" t="s">
        <v>6</v>
      </c>
      <c r="D48" t="s">
        <v>17</v>
      </c>
      <c r="E48">
        <v>1021903</v>
      </c>
      <c r="F48" t="s">
        <v>298</v>
      </c>
      <c r="G48" t="s">
        <v>76</v>
      </c>
      <c r="H48" t="s">
        <v>84</v>
      </c>
      <c r="I48" s="7">
        <f>IFERROR(VLOOKUP(Tabla1[[#This Row],[Llave]],'[7]RV Producción'!$C:$G,5,FALSE),0)</f>
        <v>0</v>
      </c>
      <c r="J48" s="3">
        <f>IFERROR(IF(Tabla1[[#This Row],[Oficina]]=$I$7,VLOOKUP(Tabla1[[#This Row],[Llave]],'[7]Shangai (Tomas)'!$A:$F,6,FALSE),VLOOKUP(Tabla1[[#This Row],[Llave]],'[7]RV plan de ventas'!$A:$E,5,FALSE)),0)</f>
        <v>0</v>
      </c>
      <c r="K48" s="8">
        <f>IFERROR(VLOOKUP(Tabla1[[#This Row],[Oficina]],[15]Ponderación!$B$2:$E$9,4,FALSE),0)</f>
        <v>0.45719439678473212</v>
      </c>
      <c r="L48" s="7">
        <f>+Tabla1[[#This Row],[ RV Producción mes n+1]]*Tabla1[[#This Row],[% Uti. producción]]</f>
        <v>0</v>
      </c>
      <c r="M48" s="7">
        <f>IFERROR(VLOOKUP(Tabla1[[#This Row],[Material]],'[17]TD Stock'!$E:$I,5,FALSE),0)</f>
        <v>0</v>
      </c>
      <c r="N48" s="7">
        <f>IFERROR(VLOOKUP(Tabla1[[#This Row],[Material]],[16]Produccion!$M:$N,2,FALSE),0)</f>
        <v>0</v>
      </c>
      <c r="O48" s="7">
        <f>IFERROR(VLOOKUP(Tabla1[[#This Row],[Llave]],'[16]TD Conf-AP'!$I:$M,4,FALSE),0)</f>
        <v>0</v>
      </c>
      <c r="P48" s="14">
        <f>SUM(Tabla1[[#This Row],[Producción disponible]],Tabla1[[#This Row],[Stock al día]],(Tabla1[[#This Row],[Por producir mes N]]*0.9))-Tabla1[[#This Row],[Producción por despachar mes N]]</f>
        <v>0</v>
      </c>
      <c r="Q48" s="7">
        <f>IFERROR(VLOOKUP(Tabla1[[#This Row],[Llave]],[17]DELAY!$A:$D,4,FALSE),0)</f>
        <v>0</v>
      </c>
      <c r="R48" s="9">
        <v>24000</v>
      </c>
      <c r="S48" s="5">
        <f t="shared" si="29"/>
        <v>0</v>
      </c>
      <c r="T48" s="76">
        <v>0</v>
      </c>
      <c r="U48" s="5">
        <f>+Tabla1[[#This Row],[Atraso a facturar]]+Tabla1[[#This Row],[Ajuste atraso]]</f>
        <v>0</v>
      </c>
      <c r="V48" s="3">
        <f>+Tabla1[[#This Row],[Total disponible]]-Tabla1[[#This Row],[Facturación atraso]]</f>
        <v>0</v>
      </c>
      <c r="W48" s="6">
        <f>IFERROR(IF(AND(V48&gt;R48,J48&gt;=R48),ROUNDDOWN((Tabla1[[#This Row],[Producción para venta nueva]])/R48,0)*R48,0),0)</f>
        <v>0</v>
      </c>
      <c r="X48" s="76">
        <v>0</v>
      </c>
      <c r="Y48" s="6">
        <f>IF(Tabla1[[#This Row],[Venta del mes]]&gt;0,Tabla1[[#This Row],[Venta del mes]]+Tabla1[[#This Row],[Ajuste venta nueva]],0)</f>
        <v>0</v>
      </c>
      <c r="Z48" s="6">
        <f>+Tabla1[[#This Row],[Producción para venta nueva]]-Tabla1[[#This Row],[Facturación Venta nueva]]</f>
        <v>0</v>
      </c>
      <c r="AA48" s="6">
        <f>IF(AND(A48=1,Tabla1[[#This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8" s="6"/>
      <c r="AC48" s="6">
        <f>IF(Tabla1[[#This Row],[Disponible stock sin venta]]&gt;0,Tabla1[[#This Row],[Disponible stock sin venta]]+Tabla1[[#This Row],[Ajuste stock sin venta]],0)</f>
        <v>0</v>
      </c>
      <c r="AD48" s="3">
        <f>IFERROR(VLOOKUP(Tabla1[[#This Row],[Llave]],'[16]TD Puerto'!$A:$D,4,FALSE),0)</f>
        <v>0</v>
      </c>
      <c r="AE48" s="3">
        <v>0</v>
      </c>
      <c r="AF48" s="3">
        <f>+Tabla1[[#This Row],[Atraso a facturar]]+Tabla1[[#This Row],[Venta del mes]]+Tabla1[[#This Row],[En puerto a facturar]]+Tabla1[[#This Row],[Disponible stock sin venta]]</f>
        <v>0</v>
      </c>
      <c r="AG48" s="3">
        <f>+Tabla1[[#This Row],[En puerto a facturar]]</f>
        <v>0</v>
      </c>
      <c r="AH48" s="3">
        <f>+Tabla1[[#This Row],[Facturación atraso]]</f>
        <v>0</v>
      </c>
      <c r="AI48" s="3">
        <f>+Tabla1[[#This Row],[Plan Irrestricto]]-Tabla1[[#This Row],[Puerto ]]-Tabla1[[#This Row],[Atraso]]</f>
        <v>0</v>
      </c>
      <c r="AJ4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48" s="3">
        <f>+Tabla1[[#This Row],[Facturación atraso]]</f>
        <v>0</v>
      </c>
      <c r="AL48" s="3">
        <f>+Tabla1[[#This Row],[Plan Ajustado]]-Tabla1[[#This Row],[ Atraso ajustado]]-Tabla1[[#This Row],[Puerto ]]</f>
        <v>0</v>
      </c>
      <c r="AM48" s="3">
        <v>0</v>
      </c>
      <c r="AN48" s="3" t="str">
        <f>IF(Tabla1[[#This Row],[Plan Ajustado]]&gt;Tabla1[[#This Row],[En puerto a facturar]],"Si","No")</f>
        <v>No</v>
      </c>
      <c r="AO4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48" s="3">
        <f>IF(Tabla1[[#This Row],[Necesidad]]&gt;=Tabla1[[#This Row],[Stock al día]],Tabla1[[#This Row],[Stock al día]],Tabla1[[#This Row],[Necesidad]])</f>
        <v>0</v>
      </c>
      <c r="AQ48" s="3">
        <f>+Tabla1[[#This Row],[Necesidad]]-Tabla1[[#This Row],[Stock Plan]]</f>
        <v>0</v>
      </c>
      <c r="AR48" s="156">
        <f>IFERROR(VLOOKUP(Tabla1[[#This Row],[Oficina]],[22]Ponderación!$B$3:$G$9,6,FALSE),"")</f>
        <v>44757</v>
      </c>
      <c r="AS4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1.2161043669806706</v>
      </c>
      <c r="AT48" s="83">
        <f>IFERROR(VLOOKUP(Tabla1[[#This Row],[Llave]],[17]DELAY!$H:$W,16,FALSE),0)</f>
        <v>0</v>
      </c>
      <c r="AU4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48" s="5">
        <f>+Tabla1[[#This Row],[Plan Ajustado]]*Tabla1[[#This Row],[Precio ponderado]]</f>
        <v>0</v>
      </c>
      <c r="AW48" s="30">
        <f>IFERROR(VLOOKUP(Tabla1[[#This Row],[Llave]],'[13]Ultimos precios facturados'!$A:$G,7,FALSE),0)</f>
        <v>1.2161043669806706</v>
      </c>
      <c r="AX4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48" s="30"/>
      <c r="AZ48" s="30">
        <f>IF(Tabla1[[#This Row],[Ajuste precio IC]]="",Tabla1[[#This Row],[Precio ponderado]],Tabla1[[#This Row],[Precio ponderado]])</f>
        <v>0</v>
      </c>
      <c r="BA48" s="82"/>
      <c r="BB48" s="82" t="str">
        <f>IF(AND(Tabla1[[#This Row],[Atraso a facturar]]&gt;0,Tabla1[[#This Row],[Precio Atraso]]=0),"Revisar","OK")</f>
        <v>OK</v>
      </c>
      <c r="BC48" s="82" t="str">
        <f>IF(AND(Tabla1[[#This Row],[Venta del mes]]&gt;0,Tabla1[[#This Row],[Precio venta nueva]]=0),"Revisar","OK")</f>
        <v>OK</v>
      </c>
      <c r="BD48" s="20">
        <f>IFERROR(VLOOKUP(Tabla1[[#This Row],[Llave]],'[5]Consolidación planes'!$A:$M,9,FALSE),0)</f>
        <v>0</v>
      </c>
      <c r="BE48" s="20">
        <f>IFERROR(VLOOKUP(Tabla1[[#This Row],[Llave]],'[5]Consolidación planes'!$A:$M,10,FALSE),0)</f>
        <v>0</v>
      </c>
      <c r="BF48" s="20">
        <f>IFERROR(VLOOKUP(Tabla1[[#This Row],[Llave]],'[5]Consolidación planes'!$A:$M,11,FALSE),0)</f>
        <v>0</v>
      </c>
      <c r="BG48" s="20">
        <f>IFERROR(VLOOKUP(Tabla1[[#This Row],[Llave]],'[5]Consolidación planes'!$A:$M,12,FALSE),0)</f>
        <v>0</v>
      </c>
      <c r="BH48" s="20">
        <f>IFERROR(VLOOKUP(Tabla1[[#This Row],[Llave]],'[5]Consolidación planes'!$A:$M,13,FALSE),0)</f>
        <v>24000</v>
      </c>
      <c r="BI48" s="20">
        <f>IFERROR(VLOOKUP(Tabla1[[#This Row],[Llave]],'[13]Base ultimos planes'!$A:$M,13,FALSE),0)</f>
        <v>0</v>
      </c>
      <c r="BJ48" s="80">
        <f>IFERROR(VLOOKUP(Tabla1[[#This Row],[Llave]],'[13]Base ultimos planes'!$O:$AA,8,FALSE),0)</f>
        <v>0</v>
      </c>
      <c r="BK48" s="20">
        <f>IFERROR(VLOOKUP(Tabla1[[#This Row],[Llave]],'[13]Base ultimos planes'!$O:$AA,9,FALSE),0)</f>
        <v>0</v>
      </c>
      <c r="BL48" s="20">
        <f>IFERROR(VLOOKUP(Tabla1[[#This Row],[Llave]],'[13]Base ultimos planes'!$O:$AA,10,FALSE),0)</f>
        <v>0</v>
      </c>
      <c r="BM48" s="20">
        <f>IFERROR(VLOOKUP(Tabla1[[#This Row],[Llave]],'[13]Base ultimos planes'!$O:$AA,11,FALSE),0)</f>
        <v>0</v>
      </c>
      <c r="BN48" s="20">
        <f>IFERROR(VLOOKUP(Tabla1[[#This Row],[Llave]],'[13]Base ultimos planes'!$O:$AA,12,FALSE),0)</f>
        <v>29280</v>
      </c>
      <c r="BO48" s="20">
        <f>IFERROR(VLOOKUP(Tabla1[[#This Row],[Llave]],'[13]Base ultimos planes'!$O:$AA,13,FALSE),0)</f>
        <v>0</v>
      </c>
      <c r="BP48" s="20"/>
      <c r="BQ48" s="20">
        <f>+Tabla1[[#This Row],[ RV  Venta mes n+1]]*(1-Tabla1[[#This Row],[% Uti. producción]])</f>
        <v>0</v>
      </c>
      <c r="BR48" s="100"/>
    </row>
    <row r="49" spans="1:70" ht="16" x14ac:dyDescent="0.2">
      <c r="A49">
        <v>1</v>
      </c>
      <c r="B49" t="str">
        <f>Tabla1[[#This Row],[Oficina]]&amp;Tabla1[[#This Row],[Material]]</f>
        <v>Agro Sudamerica1021976</v>
      </c>
      <c r="C49" t="s">
        <v>6</v>
      </c>
      <c r="D49" t="s">
        <v>17</v>
      </c>
      <c r="E49">
        <v>1021976</v>
      </c>
      <c r="F49" t="s">
        <v>55</v>
      </c>
      <c r="G49" t="s">
        <v>53</v>
      </c>
      <c r="H49" t="s">
        <v>54</v>
      </c>
      <c r="I49" s="7">
        <f>IFERROR(VLOOKUP(Tabla1[[#This Row],[Llave]],'[7]RV Producción'!$C:$G,5,FALSE),0)</f>
        <v>96000</v>
      </c>
      <c r="J49" s="3">
        <f>IFERROR(IF(Tabla1[[#This Row],[Oficina]]=$I$7,VLOOKUP(Tabla1[[#This Row],[Llave]],'[7]Shangai (Tomas)'!$A:$F,6,FALSE),VLOOKUP(Tabla1[[#This Row],[Llave]],'[7]RV plan de ventas'!$A:$E,5,FALSE)),0)</f>
        <v>96000</v>
      </c>
      <c r="K49" s="8">
        <f>IFERROR(VLOOKUP(Tabla1[[#This Row],[Oficina]],[15]Ponderación!$B$2:$E$9,4,FALSE),0)</f>
        <v>0.45719439678473212</v>
      </c>
      <c r="L49" s="7">
        <f>+Tabla1[[#This Row],[ RV Producción mes n+1]]*Tabla1[[#This Row],[% Uti. producción]]</f>
        <v>43890.662091334285</v>
      </c>
      <c r="M49" s="7">
        <f>IFERROR(VLOOKUP(Tabla1[[#This Row],[Material]],'[17]TD Stock'!$E:$I,5,FALSE),0)</f>
        <v>188151.79899999988</v>
      </c>
      <c r="N49" s="7">
        <f>IFERROR(VLOOKUP(Tabla1[[#This Row],[Material]],[16]Produccion!$M:$N,2,FALSE),0)</f>
        <v>22217.200131800517</v>
      </c>
      <c r="O49" s="7">
        <f>IFERROR(VLOOKUP(Tabla1[[#This Row],[Llave]],'[16]TD Conf-AP'!$I:$M,4,FALSE),0)</f>
        <v>0</v>
      </c>
      <c r="P49" s="14">
        <f>SUM(Tabla1[[#This Row],[Producción disponible]],Tabla1[[#This Row],[Stock al día]],(Tabla1[[#This Row],[Por producir mes N]]*0.9))-Tabla1[[#This Row],[Producción por despachar mes N]]</f>
        <v>252037.94120995465</v>
      </c>
      <c r="Q49" s="7">
        <f>IFERROR(VLOOKUP(Tabla1[[#This Row],[Llave]],[17]DELAY!$A:$D,4,FALSE),0)</f>
        <v>219000</v>
      </c>
      <c r="R49" s="9">
        <v>24000</v>
      </c>
      <c r="S49" s="5">
        <f t="shared" si="29"/>
        <v>219000</v>
      </c>
      <c r="T49" s="76">
        <v>-72000</v>
      </c>
      <c r="U49" s="5">
        <f>+Tabla1[[#This Row],[Atraso a facturar]]+Tabla1[[#This Row],[Ajuste atraso]]</f>
        <v>147000</v>
      </c>
      <c r="V49" s="3">
        <f>+Tabla1[[#This Row],[Total disponible]]-Tabla1[[#This Row],[Facturación atraso]]</f>
        <v>105037.94120995465</v>
      </c>
      <c r="W49" s="6">
        <f>IFERROR(IF(AND(V49&gt;R49,J49&gt;=R49),ROUNDDOWN((Tabla1[[#This Row],[Producción para venta nueva]])/R49,0)*R49,0),0)</f>
        <v>96000</v>
      </c>
      <c r="X49" s="76">
        <v>0</v>
      </c>
      <c r="Y49" s="6">
        <f>IF(Tabla1[[#This Row],[Venta del mes]]&gt;0,Tabla1[[#This Row],[Venta del mes]]+Tabla1[[#This Row],[Ajuste venta nueva]],0)</f>
        <v>96000</v>
      </c>
      <c r="Z49" s="6">
        <f>+Tabla1[[#This Row],[Producción para venta nueva]]-Tabla1[[#This Row],[Facturación Venta nueva]]</f>
        <v>9037.9412099546462</v>
      </c>
      <c r="AA49" s="6">
        <f>IF(AND(A49=1,Tabla1[[#This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49" s="6"/>
      <c r="AC49" s="6">
        <f>IF(Tabla1[[#This Row],[Disponible stock sin venta]]&gt;0,Tabla1[[#This Row],[Disponible stock sin venta]]+Tabla1[[#This Row],[Ajuste stock sin venta]],0)</f>
        <v>0</v>
      </c>
      <c r="AD49" s="3">
        <f>IFERROR(VLOOKUP(Tabla1[[#This Row],[Llave]],'[16]TD Puerto'!$A:$D,4,FALSE),0)</f>
        <v>0</v>
      </c>
      <c r="AE49" s="3">
        <v>243000</v>
      </c>
      <c r="AF49" s="3">
        <f>+Tabla1[[#This Row],[Atraso a facturar]]+Tabla1[[#This Row],[Venta del mes]]+Tabla1[[#This Row],[En puerto a facturar]]+Tabla1[[#This Row],[Disponible stock sin venta]]</f>
        <v>315000</v>
      </c>
      <c r="AG49" s="3">
        <f>+Tabla1[[#This Row],[En puerto a facturar]]</f>
        <v>0</v>
      </c>
      <c r="AH49" s="3">
        <f>+Tabla1[[#This Row],[Facturación atraso]]</f>
        <v>147000</v>
      </c>
      <c r="AI49" s="3">
        <f>+Tabla1[[#This Row],[Plan Irrestricto]]-Tabla1[[#This Row],[Puerto ]]-Tabla1[[#This Row],[Atraso]]</f>
        <v>168000</v>
      </c>
      <c r="AJ49" s="3">
        <f>IF(Tabla1[[#This Row],[Plan Irrestricto]]&gt;0,SUM(Tabla1[[#This Row],[Facturación atraso]],Tabla1[[#This Row],[Facturación Venta nueva]],Tabla1[[#This Row],[Facturación stock]],Tabla1[[#This Row],[En puerto a facturar]]),0)</f>
        <v>243000</v>
      </c>
      <c r="AK49" s="3">
        <f>+Tabla1[[#This Row],[Facturación atraso]]</f>
        <v>147000</v>
      </c>
      <c r="AL49" s="3">
        <f>+Tabla1[[#This Row],[Plan Ajustado]]-Tabla1[[#This Row],[ Atraso ajustado]]-Tabla1[[#This Row],[Puerto ]]</f>
        <v>96000</v>
      </c>
      <c r="AM49" s="3">
        <v>0</v>
      </c>
      <c r="AN49" s="3" t="str">
        <f>IF(Tabla1[[#This Row],[Plan Ajustado]]&gt;Tabla1[[#This Row],[En puerto a facturar]],"Si","No")</f>
        <v>Si</v>
      </c>
      <c r="AO49" s="3">
        <f>IF(AND(Tabla1[[#This Row],[Plan Ajustado]]&gt;0,Tabla1[[#This Row],[Plan Ajustado]]&gt;Tabla1[[#This Row],[En puerto a facturar]]),(Tabla1[[#This Row],[Plan Ajustado]]-Tabla1[[#This Row],[En puerto a facturar]]),0)</f>
        <v>243000</v>
      </c>
      <c r="AP49" s="3">
        <f>IF(Tabla1[[#This Row],[Necesidad]]&gt;=Tabla1[[#This Row],[Stock al día]],Tabla1[[#This Row],[Stock al día]],Tabla1[[#This Row],[Necesidad]])</f>
        <v>188151.79899999988</v>
      </c>
      <c r="AQ49" s="3">
        <f>+Tabla1[[#This Row],[Necesidad]]-Tabla1[[#This Row],[Stock Plan]]</f>
        <v>54848.201000000117</v>
      </c>
      <c r="AR49" s="156">
        <f>IFERROR(VLOOKUP(Tabla1[[#This Row],[Oficina]],[22]Ponderación!$B$3:$G$9,6,FALSE),"")</f>
        <v>44757</v>
      </c>
      <c r="AS4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2.6</v>
      </c>
      <c r="AT49" s="83">
        <f>IFERROR(VLOOKUP(Tabla1[[#This Row],[Llave]],[17]DELAY!$H:$W,16,FALSE),0)</f>
        <v>2.4901004123221568</v>
      </c>
      <c r="AU4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2.5335175333800701</v>
      </c>
      <c r="AV49" s="5">
        <f>+Tabla1[[#This Row],[Plan Ajustado]]*Tabla1[[#This Row],[Precio ponderado]]</f>
        <v>615644.76061135705</v>
      </c>
      <c r="AW49" s="30">
        <f>IFERROR(VLOOKUP(Tabla1[[#This Row],[Llave]],'[13]Ultimos precios facturados'!$A:$G,7,FALSE),0)</f>
        <v>2.2858013679076996</v>
      </c>
      <c r="AX4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0.1083716935995697</v>
      </c>
      <c r="AY49" s="30"/>
      <c r="AZ49" s="30">
        <f>IF(Tabla1[[#This Row],[Ajuste precio IC]]="",Tabla1[[#This Row],[Precio ponderado]],Tabla1[[#This Row],[Precio ponderado]])</f>
        <v>2.5335175333800701</v>
      </c>
      <c r="BA49" s="82"/>
      <c r="BB49" s="82" t="str">
        <f>IF(AND(Tabla1[[#This Row],[Atraso a facturar]]&gt;0,Tabla1[[#This Row],[Precio Atraso]]=0),"Revisar","OK")</f>
        <v>OK</v>
      </c>
      <c r="BC49" s="82" t="str">
        <f>IF(AND(Tabla1[[#This Row],[Venta del mes]]&gt;0,Tabla1[[#This Row],[Precio venta nueva]]=0),"Revisar","OK")</f>
        <v>OK</v>
      </c>
      <c r="BD49" s="20">
        <f>IFERROR(VLOOKUP(Tabla1[[#This Row],[Llave]],'[5]Consolidación planes'!$A:$M,9,FALSE),0)</f>
        <v>80000</v>
      </c>
      <c r="BE49" s="20">
        <f>IFERROR(VLOOKUP(Tabla1[[#This Row],[Llave]],'[5]Consolidación planes'!$A:$M,10,FALSE),0)</f>
        <v>187000</v>
      </c>
      <c r="BF49" s="20">
        <f>IFERROR(VLOOKUP(Tabla1[[#This Row],[Llave]],'[5]Consolidación planes'!$A:$M,11,FALSE),0)</f>
        <v>312000</v>
      </c>
      <c r="BG49" s="20">
        <f>IFERROR(VLOOKUP(Tabla1[[#This Row],[Llave]],'[5]Consolidación planes'!$A:$M,12,FALSE),0)</f>
        <v>168000</v>
      </c>
      <c r="BH49" s="20">
        <f>IFERROR(VLOOKUP(Tabla1[[#This Row],[Llave]],'[5]Consolidación planes'!$A:$M,13,FALSE),0)</f>
        <v>340000</v>
      </c>
      <c r="BI49" s="20">
        <f>IFERROR(VLOOKUP(Tabla1[[#This Row],[Llave]],'[13]Base ultimos planes'!$A:$M,13,FALSE),0)</f>
        <v>254000</v>
      </c>
      <c r="BJ49" s="80">
        <f>IFERROR(VLOOKUP(Tabla1[[#This Row],[Llave]],'[13]Base ultimos planes'!$O:$AA,8,FALSE),0)</f>
        <v>179200</v>
      </c>
      <c r="BK49" s="20">
        <f>IFERROR(VLOOKUP(Tabla1[[#This Row],[Llave]],'[13]Base ultimos planes'!$O:$AA,9,FALSE),0)</f>
        <v>405233</v>
      </c>
      <c r="BL49" s="20">
        <f>IFERROR(VLOOKUP(Tabla1[[#This Row],[Llave]],'[13]Base ultimos planes'!$O:$AA,10,FALSE),0)</f>
        <v>682914</v>
      </c>
      <c r="BM49" s="20">
        <f>IFERROR(VLOOKUP(Tabla1[[#This Row],[Llave]],'[13]Base ultimos planes'!$O:$AA,11,FALSE),0)</f>
        <v>369600</v>
      </c>
      <c r="BN49" s="20">
        <f>IFERROR(VLOOKUP(Tabla1[[#This Row],[Llave]],'[13]Base ultimos planes'!$O:$AA,12,FALSE),0)</f>
        <v>769345</v>
      </c>
      <c r="BO49" s="20">
        <f>IFERROR(VLOOKUP(Tabla1[[#This Row],[Llave]],'[13]Base ultimos planes'!$O:$AA,13,FALSE),0)</f>
        <v>595202</v>
      </c>
      <c r="BP49" s="20"/>
      <c r="BQ49" s="20">
        <f>+Tabla1[[#This Row],[ RV  Venta mes n+1]]*(1-Tabla1[[#This Row],[% Uti. producción]])</f>
        <v>52109.337908665722</v>
      </c>
      <c r="BR49" s="100"/>
    </row>
    <row r="50" spans="1:70" ht="16" hidden="1" x14ac:dyDescent="0.2">
      <c r="A50">
        <v>1</v>
      </c>
      <c r="B50" t="str">
        <f>Tabla1[[#This Row],[Oficina]]&amp;Tabla1[[#This Row],[Material]]</f>
        <v>Agro Sudamerica1022047</v>
      </c>
      <c r="C50" t="s">
        <v>6</v>
      </c>
      <c r="D50" t="s">
        <v>17</v>
      </c>
      <c r="E50">
        <v>1022047</v>
      </c>
      <c r="F50" t="s">
        <v>314</v>
      </c>
      <c r="G50" t="s">
        <v>71</v>
      </c>
      <c r="H50" t="s">
        <v>72</v>
      </c>
      <c r="I50" s="7">
        <f>IFERROR(VLOOKUP(Tabla1[[#This Row],[Llave]],'[7]RV Producción'!$C:$G,5,FALSE),0)</f>
        <v>0</v>
      </c>
      <c r="J50" s="3">
        <f>IFERROR(IF(Tabla1[[#This Row],[Oficina]]=$I$7,VLOOKUP(Tabla1[[#This Row],[Llave]],'[7]Shangai (Tomas)'!$A:$F,6,FALSE),VLOOKUP(Tabla1[[#This Row],[Llave]],'[7]RV plan de ventas'!$A:$E,5,FALSE)),0)</f>
        <v>1807</v>
      </c>
      <c r="K50" s="8">
        <f>IFERROR(VLOOKUP(Tabla1[[#This Row],[Oficina]],[15]Ponderación!$B$2:$E$9,4,FALSE),0)</f>
        <v>0.45719439678473212</v>
      </c>
      <c r="L50" s="7">
        <f>+Tabla1[[#This Row],[ RV Producción mes n+1]]*Tabla1[[#This Row],[% Uti. producción]]</f>
        <v>0</v>
      </c>
      <c r="M50" s="7">
        <f>IFERROR(VLOOKUP(Tabla1[[#This Row],[Material]],'[17]TD Stock'!$E:$I,5,FALSE),0)</f>
        <v>14521.869999999997</v>
      </c>
      <c r="N50" s="7">
        <f>IFERROR(VLOOKUP(Tabla1[[#This Row],[Material]],[16]Produccion!$M:$N,2,FALSE),0)</f>
        <v>0</v>
      </c>
      <c r="O50" s="7">
        <f>IFERROR(VLOOKUP(Tabla1[[#This Row],[Llave]],'[16]TD Conf-AP'!$I:$M,4,FALSE),0)</f>
        <v>0</v>
      </c>
      <c r="P50" s="14">
        <f>SUM(Tabla1[[#This Row],[Producción disponible]],Tabla1[[#This Row],[Stock al día]],(Tabla1[[#This Row],[Por producir mes N]]*0.9))-Tabla1[[#This Row],[Producción por despachar mes N]]</f>
        <v>14521.869999999997</v>
      </c>
      <c r="Q50" s="7">
        <f>IFERROR(VLOOKUP(Tabla1[[#This Row],[Llave]],[17]DELAY!$A:$D,4,FALSE),0)</f>
        <v>0</v>
      </c>
      <c r="R50" s="9">
        <v>24000</v>
      </c>
      <c r="S50" s="5">
        <f t="shared" si="29"/>
        <v>0</v>
      </c>
      <c r="T50" s="76">
        <v>0</v>
      </c>
      <c r="U50" s="5">
        <f>+Tabla1[[#This Row],[Atraso a facturar]]+Tabla1[[#This Row],[Ajuste atraso]]</f>
        <v>0</v>
      </c>
      <c r="V50" s="3">
        <f>+Tabla1[[#This Row],[Total disponible]]-Tabla1[[#This Row],[Facturación atraso]]</f>
        <v>14521.869999999997</v>
      </c>
      <c r="W50" s="6">
        <f>IFERROR(IF(AND(V50&gt;R50,J50&gt;=R50),ROUNDDOWN((Tabla1[[#This Row],[Producción para venta nueva]])/R50,0)*R50,0),0)</f>
        <v>0</v>
      </c>
      <c r="X50" s="76">
        <v>0</v>
      </c>
      <c r="Y50" s="6">
        <f>IF(Tabla1[[#This Row],[Venta del mes]]&gt;0,Tabla1[[#This Row],[Venta del mes]]+Tabla1[[#This Row],[Ajuste venta nueva]],0)</f>
        <v>0</v>
      </c>
      <c r="Z50" s="6">
        <f>+Tabla1[[#This Row],[Producción para venta nueva]]-Tabla1[[#This Row],[Facturación Venta nueva]]</f>
        <v>14521.869999999997</v>
      </c>
      <c r="AA50" s="6">
        <f>IF(AND(A50=1,Tabla1[[#This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0" s="6"/>
      <c r="AC50" s="6">
        <f>IF(Tabla1[[#This Row],[Disponible stock sin venta]]&gt;0,Tabla1[[#This Row],[Disponible stock sin venta]]+Tabla1[[#This Row],[Ajuste stock sin venta]],0)</f>
        <v>0</v>
      </c>
      <c r="AD50" s="3">
        <f>IFERROR(VLOOKUP(Tabla1[[#This Row],[Llave]],'[16]TD Puerto'!$A:$D,4,FALSE),0)</f>
        <v>0</v>
      </c>
      <c r="AE50" s="3">
        <v>0</v>
      </c>
      <c r="AF50" s="3">
        <f>+Tabla1[[#This Row],[Atraso a facturar]]+Tabla1[[#This Row],[Venta del mes]]+Tabla1[[#This Row],[En puerto a facturar]]+Tabla1[[#This Row],[Disponible stock sin venta]]</f>
        <v>0</v>
      </c>
      <c r="AG50" s="3">
        <f>+Tabla1[[#This Row],[En puerto a facturar]]</f>
        <v>0</v>
      </c>
      <c r="AH50" s="3">
        <f>+Tabla1[[#This Row],[Facturación atraso]]</f>
        <v>0</v>
      </c>
      <c r="AI50" s="3">
        <f>+Tabla1[[#This Row],[Plan Irrestricto]]-Tabla1[[#This Row],[Puerto ]]-Tabla1[[#This Row],[Atraso]]</f>
        <v>0</v>
      </c>
      <c r="AJ5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50" s="3">
        <f>+Tabla1[[#This Row],[Facturación atraso]]</f>
        <v>0</v>
      </c>
      <c r="AL50" s="3">
        <f>+Tabla1[[#This Row],[Plan Ajustado]]-Tabla1[[#This Row],[ Atraso ajustado]]-Tabla1[[#This Row],[Puerto ]]</f>
        <v>0</v>
      </c>
      <c r="AM50" s="3">
        <v>0</v>
      </c>
      <c r="AN50" s="3" t="str">
        <f>IF(Tabla1[[#This Row],[Plan Ajustado]]&gt;Tabla1[[#This Row],[En puerto a facturar]],"Si","No")</f>
        <v>No</v>
      </c>
      <c r="AO5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50" s="3">
        <f>IF(Tabla1[[#This Row],[Necesidad]]&gt;=Tabla1[[#This Row],[Stock al día]],Tabla1[[#This Row],[Stock al día]],Tabla1[[#This Row],[Necesidad]])</f>
        <v>0</v>
      </c>
      <c r="AQ50" s="3">
        <f>+Tabla1[[#This Row],[Necesidad]]-Tabla1[[#This Row],[Stock Plan]]</f>
        <v>0</v>
      </c>
      <c r="AR50" s="156">
        <f>IFERROR(VLOOKUP(Tabla1[[#This Row],[Oficina]],[22]Ponderación!$B$3:$G$9,6,FALSE),"")</f>
        <v>44757</v>
      </c>
      <c r="AS5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1.64028776978417</v>
      </c>
      <c r="AT50" s="83">
        <f>IFERROR(VLOOKUP(Tabla1[[#This Row],[Llave]],[17]DELAY!$H:$W,16,FALSE),0)</f>
        <v>0</v>
      </c>
      <c r="AU5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50" s="5">
        <f>+Tabla1[[#This Row],[Plan Ajustado]]*Tabla1[[#This Row],[Precio ponderado]]</f>
        <v>0</v>
      </c>
      <c r="AW50" s="30">
        <f>IFERROR(VLOOKUP(Tabla1[[#This Row],[Llave]],'[13]Ultimos precios facturados'!$A:$G,7,FALSE),0)</f>
        <v>1.3361597521241988</v>
      </c>
      <c r="AX5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50" s="30"/>
      <c r="AZ50" s="30">
        <f>IF(Tabla1[[#This Row],[Ajuste precio IC]]="",Tabla1[[#This Row],[Precio ponderado]],Tabla1[[#This Row],[Precio ponderado]])</f>
        <v>0</v>
      </c>
      <c r="BA50" s="82"/>
      <c r="BB50" s="82" t="str">
        <f>IF(AND(Tabla1[[#This Row],[Atraso a facturar]]&gt;0,Tabla1[[#This Row],[Precio Atraso]]=0),"Revisar","OK")</f>
        <v>OK</v>
      </c>
      <c r="BC50" s="82" t="str">
        <f>IF(AND(Tabla1[[#This Row],[Venta del mes]]&gt;0,Tabla1[[#This Row],[Precio venta nueva]]=0),"Revisar","OK")</f>
        <v>OK</v>
      </c>
      <c r="BD50" s="20">
        <f>IFERROR(VLOOKUP(Tabla1[[#This Row],[Llave]],'[5]Consolidación planes'!$A:$M,9,FALSE),0)</f>
        <v>0</v>
      </c>
      <c r="BE50" s="20">
        <f>IFERROR(VLOOKUP(Tabla1[[#This Row],[Llave]],'[5]Consolidación planes'!$A:$M,10,FALSE),0)</f>
        <v>0</v>
      </c>
      <c r="BF50" s="20">
        <f>IFERROR(VLOOKUP(Tabla1[[#This Row],[Llave]],'[5]Consolidación planes'!$A:$M,11,FALSE),0)</f>
        <v>0</v>
      </c>
      <c r="BG50" s="20">
        <f>IFERROR(VLOOKUP(Tabla1[[#This Row],[Llave]],'[5]Consolidación planes'!$A:$M,12,FALSE),0)</f>
        <v>48000</v>
      </c>
      <c r="BH50" s="20">
        <f>IFERROR(VLOOKUP(Tabla1[[#This Row],[Llave]],'[5]Consolidación planes'!$A:$M,13,FALSE),0)</f>
        <v>0</v>
      </c>
      <c r="BI50" s="20">
        <f>IFERROR(VLOOKUP(Tabla1[[#This Row],[Llave]],'[13]Base ultimos planes'!$A:$M,13,FALSE),0)</f>
        <v>0</v>
      </c>
      <c r="BJ50" s="80">
        <f>IFERROR(VLOOKUP(Tabla1[[#This Row],[Llave]],'[13]Base ultimos planes'!$O:$AA,8,FALSE),0)</f>
        <v>0</v>
      </c>
      <c r="BK50" s="20">
        <f>IFERROR(VLOOKUP(Tabla1[[#This Row],[Llave]],'[13]Base ultimos planes'!$O:$AA,9,FALSE),0)</f>
        <v>0</v>
      </c>
      <c r="BL50" s="20">
        <f>IFERROR(VLOOKUP(Tabla1[[#This Row],[Llave]],'[13]Base ultimos planes'!$O:$AA,10,FALSE),0)</f>
        <v>0</v>
      </c>
      <c r="BM50" s="20">
        <f>IFERROR(VLOOKUP(Tabla1[[#This Row],[Llave]],'[13]Base ultimos planes'!$O:$AA,11,FALSE),0)</f>
        <v>63600</v>
      </c>
      <c r="BN50" s="20">
        <f>IFERROR(VLOOKUP(Tabla1[[#This Row],[Llave]],'[13]Base ultimos planes'!$O:$AA,12,FALSE),0)</f>
        <v>0</v>
      </c>
      <c r="BO50" s="20">
        <f>IFERROR(VLOOKUP(Tabla1[[#This Row],[Llave]],'[13]Base ultimos planes'!$O:$AA,13,FALSE),0)</f>
        <v>0</v>
      </c>
      <c r="BP50" s="20"/>
      <c r="BQ50" s="20">
        <f>+Tabla1[[#This Row],[ RV  Venta mes n+1]]*(1-Tabla1[[#This Row],[% Uti. producción]])</f>
        <v>980.84972500998913</v>
      </c>
      <c r="BR50" s="100"/>
    </row>
    <row r="51" spans="1:70" ht="16" hidden="1" x14ac:dyDescent="0.2">
      <c r="A51">
        <v>1</v>
      </c>
      <c r="B51" t="str">
        <f>Tabla1[[#This Row],[Oficina]]&amp;Tabla1[[#This Row],[Material]]</f>
        <v>Agro Sudamerica1022149</v>
      </c>
      <c r="C51" t="s">
        <v>6</v>
      </c>
      <c r="D51" t="s">
        <v>17</v>
      </c>
      <c r="E51">
        <v>1022149</v>
      </c>
      <c r="F51" t="s">
        <v>70</v>
      </c>
      <c r="G51" t="s">
        <v>67</v>
      </c>
      <c r="H51" t="s">
        <v>68</v>
      </c>
      <c r="I51" s="7">
        <f>IFERROR(VLOOKUP(Tabla1[[#This Row],[Llave]],'[7]RV Producción'!$C:$G,5,FALSE),0)</f>
        <v>24206</v>
      </c>
      <c r="J51" s="3">
        <f>IFERROR(IF(Tabla1[[#This Row],[Oficina]]=$I$7,VLOOKUP(Tabla1[[#This Row],[Llave]],'[7]Shangai (Tomas)'!$A:$F,6,FALSE),VLOOKUP(Tabla1[[#This Row],[Llave]],'[7]RV plan de ventas'!$A:$E,5,FALSE)),0)</f>
        <v>36000</v>
      </c>
      <c r="K51" s="8">
        <f>IFERROR(VLOOKUP(Tabla1[[#This Row],[Oficina]],[15]Ponderación!$B$2:$E$9,4,FALSE),0)</f>
        <v>0.45719439678473212</v>
      </c>
      <c r="L51" s="7">
        <f>+Tabla1[[#This Row],[ RV Producción mes n+1]]*Tabla1[[#This Row],[% Uti. producción]]</f>
        <v>11066.847568571226</v>
      </c>
      <c r="M51" s="7">
        <f>IFERROR(VLOOKUP(Tabla1[[#This Row],[Material]],'[17]TD Stock'!$E:$I,5,FALSE),0)</f>
        <v>1020.921</v>
      </c>
      <c r="N51" s="7">
        <f>IFERROR(VLOOKUP(Tabla1[[#This Row],[Material]],[16]Produccion!$M:$N,2,FALSE),0)</f>
        <v>1339</v>
      </c>
      <c r="O51" s="7">
        <f>IFERROR(VLOOKUP(Tabla1[[#This Row],[Llave]],'[16]TD Conf-AP'!$I:$M,4,FALSE),0)</f>
        <v>0</v>
      </c>
      <c r="P51" s="14">
        <f>SUM(Tabla1[[#This Row],[Producción disponible]],Tabla1[[#This Row],[Stock al día]],(Tabla1[[#This Row],[Por producir mes N]]*0.9))-Tabla1[[#This Row],[Producción por despachar mes N]]</f>
        <v>13292.868568571226</v>
      </c>
      <c r="Q51" s="7">
        <f>IFERROR(VLOOKUP(Tabla1[[#This Row],[Llave]],[17]DELAY!$A:$D,4,FALSE),0)</f>
        <v>24000</v>
      </c>
      <c r="R51" s="9">
        <v>24000</v>
      </c>
      <c r="S51" s="5">
        <f t="shared" si="29"/>
        <v>0</v>
      </c>
      <c r="T51" s="76">
        <v>0</v>
      </c>
      <c r="U51" s="5">
        <f>+Tabla1[[#This Row],[Atraso a facturar]]+Tabla1[[#This Row],[Ajuste atraso]]</f>
        <v>0</v>
      </c>
      <c r="V51" s="3">
        <f>+Tabla1[[#This Row],[Total disponible]]-Tabla1[[#This Row],[Facturación atraso]]</f>
        <v>13292.868568571226</v>
      </c>
      <c r="W51" s="6">
        <f>IFERROR(IF(AND(V51&gt;R51,J51&gt;=R51),ROUNDDOWN((Tabla1[[#This Row],[Producción para venta nueva]])/R51,0)*R51,0),0)</f>
        <v>0</v>
      </c>
      <c r="X51" s="76">
        <v>0</v>
      </c>
      <c r="Y51" s="6">
        <f>IF(Tabla1[[#This Row],[Venta del mes]]&gt;0,Tabla1[[#This Row],[Venta del mes]]+Tabla1[[#This Row],[Ajuste venta nueva]],0)</f>
        <v>0</v>
      </c>
      <c r="Z51" s="6">
        <f>+Tabla1[[#This Row],[Producción para venta nueva]]-Tabla1[[#This Row],[Facturación Venta nueva]]</f>
        <v>13292.868568571226</v>
      </c>
      <c r="AA51" s="6">
        <f>IF(AND(A51=1,Tabla1[[#This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1" s="6"/>
      <c r="AC51" s="6">
        <f>IF(Tabla1[[#This Row],[Disponible stock sin venta]]&gt;0,Tabla1[[#This Row],[Disponible stock sin venta]]+Tabla1[[#This Row],[Ajuste stock sin venta]],0)</f>
        <v>0</v>
      </c>
      <c r="AD51" s="3">
        <f>IFERROR(VLOOKUP(Tabla1[[#This Row],[Llave]],'[16]TD Puerto'!$A:$D,4,FALSE),0)</f>
        <v>0</v>
      </c>
      <c r="AE51" s="3">
        <v>0</v>
      </c>
      <c r="AF51" s="3">
        <f>+Tabla1[[#This Row],[Atraso a facturar]]+Tabla1[[#This Row],[Venta del mes]]+Tabla1[[#This Row],[En puerto a facturar]]+Tabla1[[#This Row],[Disponible stock sin venta]]</f>
        <v>0</v>
      </c>
      <c r="AG51" s="3">
        <f>+Tabla1[[#This Row],[En puerto a facturar]]</f>
        <v>0</v>
      </c>
      <c r="AH51" s="3">
        <f>+Tabla1[[#This Row],[Facturación atraso]]</f>
        <v>0</v>
      </c>
      <c r="AI51" s="3">
        <f>+Tabla1[[#This Row],[Plan Irrestricto]]-Tabla1[[#This Row],[Puerto ]]-Tabla1[[#This Row],[Atraso]]</f>
        <v>0</v>
      </c>
      <c r="AJ5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51" s="3">
        <f>+Tabla1[[#This Row],[Facturación atraso]]</f>
        <v>0</v>
      </c>
      <c r="AL51" s="3">
        <f>+Tabla1[[#This Row],[Plan Ajustado]]-Tabla1[[#This Row],[ Atraso ajustado]]-Tabla1[[#This Row],[Puerto ]]</f>
        <v>0</v>
      </c>
      <c r="AM51" s="3">
        <v>0</v>
      </c>
      <c r="AN51" s="3" t="str">
        <f>IF(Tabla1[[#This Row],[Plan Ajustado]]&gt;Tabla1[[#This Row],[En puerto a facturar]],"Si","No")</f>
        <v>No</v>
      </c>
      <c r="AO5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51" s="3">
        <f>IF(Tabla1[[#This Row],[Necesidad]]&gt;=Tabla1[[#This Row],[Stock al día]],Tabla1[[#This Row],[Stock al día]],Tabla1[[#This Row],[Necesidad]])</f>
        <v>0</v>
      </c>
      <c r="AQ51" s="3">
        <f>+Tabla1[[#This Row],[Necesidad]]-Tabla1[[#This Row],[Stock Plan]]</f>
        <v>0</v>
      </c>
      <c r="AR51" s="156">
        <f>IFERROR(VLOOKUP(Tabla1[[#This Row],[Oficina]],[22]Ponderación!$B$3:$G$9,6,FALSE),"")</f>
        <v>44757</v>
      </c>
      <c r="AS5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2.0099999999999998</v>
      </c>
      <c r="AT51" s="83">
        <f>IFERROR(VLOOKUP(Tabla1[[#This Row],[Llave]],[17]DELAY!$H:$W,16,FALSE),0)</f>
        <v>2.4</v>
      </c>
      <c r="AU5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51" s="5">
        <f>+Tabla1[[#This Row],[Plan Ajustado]]*Tabla1[[#This Row],[Precio ponderado]]</f>
        <v>0</v>
      </c>
      <c r="AW51" s="30">
        <f>IFERROR(VLOOKUP(Tabla1[[#This Row],[Llave]],'[13]Ultimos precios facturados'!$A:$G,7,FALSE),0)</f>
        <v>1.9971284910800347</v>
      </c>
      <c r="AX5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51" s="30"/>
      <c r="AZ51" s="30">
        <f>IF(Tabla1[[#This Row],[Ajuste precio IC]]="",Tabla1[[#This Row],[Precio ponderado]],Tabla1[[#This Row],[Precio ponderado]])</f>
        <v>0</v>
      </c>
      <c r="BA51" s="82"/>
      <c r="BB51" s="82" t="str">
        <f>IF(AND(Tabla1[[#This Row],[Atraso a facturar]]&gt;0,Tabla1[[#This Row],[Precio Atraso]]=0),"Revisar","OK")</f>
        <v>OK</v>
      </c>
      <c r="BC51" s="82" t="str">
        <f>IF(AND(Tabla1[[#This Row],[Venta del mes]]&gt;0,Tabla1[[#This Row],[Precio venta nueva]]=0),"Revisar","OK")</f>
        <v>OK</v>
      </c>
      <c r="BD51" s="20">
        <f>IFERROR(VLOOKUP(Tabla1[[#This Row],[Llave]],'[5]Consolidación planes'!$A:$M,9,FALSE),0)</f>
        <v>72000</v>
      </c>
      <c r="BE51" s="20">
        <f>IFERROR(VLOOKUP(Tabla1[[#This Row],[Llave]],'[5]Consolidación planes'!$A:$M,10,FALSE),0)</f>
        <v>36000</v>
      </c>
      <c r="BF51" s="20">
        <f>IFERROR(VLOOKUP(Tabla1[[#This Row],[Llave]],'[5]Consolidación planes'!$A:$M,11,FALSE),0)</f>
        <v>48000</v>
      </c>
      <c r="BG51" s="20">
        <f>IFERROR(VLOOKUP(Tabla1[[#This Row],[Llave]],'[5]Consolidación planes'!$A:$M,12,FALSE),0)</f>
        <v>24000</v>
      </c>
      <c r="BH51" s="20">
        <f>IFERROR(VLOOKUP(Tabla1[[#This Row],[Llave]],'[5]Consolidación planes'!$A:$M,13,FALSE),0)</f>
        <v>24000</v>
      </c>
      <c r="BI51" s="20">
        <f>IFERROR(VLOOKUP(Tabla1[[#This Row],[Llave]],'[13]Base ultimos planes'!$A:$M,13,FALSE),0)</f>
        <v>24000</v>
      </c>
      <c r="BJ51" s="80">
        <f>IFERROR(VLOOKUP(Tabla1[[#This Row],[Llave]],'[13]Base ultimos planes'!$O:$AA,8,FALSE),0)</f>
        <v>149040</v>
      </c>
      <c r="BK51" s="20">
        <f>IFERROR(VLOOKUP(Tabla1[[#This Row],[Llave]],'[13]Base ultimos planes'!$O:$AA,9,FALSE),0)</f>
        <v>81300</v>
      </c>
      <c r="BL51" s="20">
        <f>IFERROR(VLOOKUP(Tabla1[[#This Row],[Llave]],'[13]Base ultimos planes'!$O:$AA,10,FALSE),0)</f>
        <v>86400</v>
      </c>
      <c r="BM51" s="20">
        <f>IFERROR(VLOOKUP(Tabla1[[#This Row],[Llave]],'[13]Base ultimos planes'!$O:$AA,11,FALSE),0)</f>
        <v>41040</v>
      </c>
      <c r="BN51" s="20">
        <f>IFERROR(VLOOKUP(Tabla1[[#This Row],[Llave]],'[13]Base ultimos planes'!$O:$AA,12,FALSE),0)</f>
        <v>44640</v>
      </c>
      <c r="BO51" s="20">
        <f>IFERROR(VLOOKUP(Tabla1[[#This Row],[Llave]],'[13]Base ultimos planes'!$O:$AA,13,FALSE),0)</f>
        <v>44765</v>
      </c>
      <c r="BP51" s="20"/>
      <c r="BQ51" s="20">
        <f>+Tabla1[[#This Row],[ RV  Venta mes n+1]]*(1-Tabla1[[#This Row],[% Uti. producción]])</f>
        <v>19541.001715749644</v>
      </c>
      <c r="BR51" s="100"/>
    </row>
    <row r="52" spans="1:70" ht="16" x14ac:dyDescent="0.2">
      <c r="A52">
        <v>1</v>
      </c>
      <c r="B52" t="str">
        <f>Tabla1[[#This Row],[Oficina]]&amp;Tabla1[[#This Row],[Material]]</f>
        <v>Agro Sudamerica1022150</v>
      </c>
      <c r="C52" t="s">
        <v>6</v>
      </c>
      <c r="D52" t="s">
        <v>17</v>
      </c>
      <c r="E52">
        <v>1022150</v>
      </c>
      <c r="F52" t="s">
        <v>45</v>
      </c>
      <c r="G52" t="s">
        <v>11</v>
      </c>
      <c r="H52" t="s">
        <v>41</v>
      </c>
      <c r="I52" s="7">
        <f>IFERROR(VLOOKUP(Tabla1[[#This Row],[Llave]],'[7]RV Producción'!$C:$G,5,FALSE),0)</f>
        <v>164294</v>
      </c>
      <c r="J52" s="3">
        <f>IFERROR(IF(Tabla1[[#This Row],[Oficina]]=$I$7,VLOOKUP(Tabla1[[#This Row],[Llave]],'[7]Shangai (Tomas)'!$A:$F,6,FALSE),VLOOKUP(Tabla1[[#This Row],[Llave]],'[7]RV plan de ventas'!$A:$E,5,FALSE)),0)</f>
        <v>95219</v>
      </c>
      <c r="K52" s="8">
        <f>IFERROR(VLOOKUP(Tabla1[[#This Row],[Oficina]],[15]Ponderación!$B$2:$E$9,4,FALSE),0)</f>
        <v>0.45719439678473212</v>
      </c>
      <c r="L52" s="7">
        <f>+Tabla1[[#This Row],[ RV Producción mes n+1]]*Tabla1[[#This Row],[% Uti. producción]]</f>
        <v>75114.296225350772</v>
      </c>
      <c r="M52" s="7">
        <f>IFERROR(VLOOKUP(Tabla1[[#This Row],[Material]],'[17]TD Stock'!$E:$I,5,FALSE),0)</f>
        <v>36386.845999999983</v>
      </c>
      <c r="N52" s="7">
        <f>IFERROR(VLOOKUP(Tabla1[[#This Row],[Material]],[16]Produccion!$M:$N,2,FALSE),0)</f>
        <v>11644</v>
      </c>
      <c r="O52" s="7">
        <f>IFERROR(VLOOKUP(Tabla1[[#This Row],[Llave]],'[16]TD Conf-AP'!$I:$M,4,FALSE),0)</f>
        <v>0</v>
      </c>
      <c r="P52" s="14">
        <f>SUM(Tabla1[[#This Row],[Producción disponible]],Tabla1[[#This Row],[Stock al día]],(Tabla1[[#This Row],[Por producir mes N]]*0.9))-Tabla1[[#This Row],[Producción por despachar mes N]]</f>
        <v>121980.74222535075</v>
      </c>
      <c r="Q52" s="7">
        <f>IFERROR(VLOOKUP(Tabla1[[#This Row],[Llave]],[17]DELAY!$A:$D,4,FALSE),0)</f>
        <v>168000</v>
      </c>
      <c r="R52" s="9">
        <v>24000</v>
      </c>
      <c r="S52" s="5">
        <f t="shared" si="29"/>
        <v>120000</v>
      </c>
      <c r="T52" s="76">
        <v>-24000</v>
      </c>
      <c r="U52" s="5">
        <f>+Tabla1[[#This Row],[Atraso a facturar]]+Tabla1[[#This Row],[Ajuste atraso]]</f>
        <v>96000</v>
      </c>
      <c r="V52" s="3">
        <f>+Tabla1[[#This Row],[Total disponible]]-Tabla1[[#This Row],[Facturación atraso]]</f>
        <v>25980.742225350754</v>
      </c>
      <c r="W52" s="6">
        <f>IFERROR(IF(AND(V52&gt;R52,J52&gt;=R52),ROUNDDOWN((Tabla1[[#This Row],[Producción para venta nueva]])/R52,0)*R52,0),0)</f>
        <v>24000</v>
      </c>
      <c r="X52" s="76">
        <v>0</v>
      </c>
      <c r="Y52" s="6">
        <f>IF(Tabla1[[#This Row],[Venta del mes]]&gt;0,Tabla1[[#This Row],[Venta del mes]]+Tabla1[[#This Row],[Ajuste venta nueva]],0)</f>
        <v>24000</v>
      </c>
      <c r="Z52" s="6">
        <f>+Tabla1[[#This Row],[Producción para venta nueva]]-Tabla1[[#This Row],[Facturación Venta nueva]]</f>
        <v>1980.7422253507539</v>
      </c>
      <c r="AA52" s="6">
        <f>IF(AND(A52=1,Tabla1[[#This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2" s="6"/>
      <c r="AC52" s="6">
        <f>IF(Tabla1[[#This Row],[Disponible stock sin venta]]&gt;0,Tabla1[[#This Row],[Disponible stock sin venta]]+Tabla1[[#This Row],[Ajuste stock sin venta]],0)</f>
        <v>0</v>
      </c>
      <c r="AD52" s="3">
        <f>IFERROR(VLOOKUP(Tabla1[[#This Row],[Llave]],'[16]TD Puerto'!$A:$D,4,FALSE),0)</f>
        <v>23989.89</v>
      </c>
      <c r="AE52" s="3">
        <v>143989.89000000001</v>
      </c>
      <c r="AF52" s="3">
        <f>+Tabla1[[#This Row],[Atraso a facturar]]+Tabla1[[#This Row],[Venta del mes]]+Tabla1[[#This Row],[En puerto a facturar]]+Tabla1[[#This Row],[Disponible stock sin venta]]</f>
        <v>167989.89</v>
      </c>
      <c r="AG52" s="3">
        <f>+Tabla1[[#This Row],[En puerto a facturar]]</f>
        <v>23989.89</v>
      </c>
      <c r="AH52" s="3">
        <f>+Tabla1[[#This Row],[Facturación atraso]]</f>
        <v>96000</v>
      </c>
      <c r="AI52" s="3">
        <f>+Tabla1[[#This Row],[Plan Irrestricto]]-Tabla1[[#This Row],[Puerto ]]-Tabla1[[#This Row],[Atraso]]</f>
        <v>48000</v>
      </c>
      <c r="AJ52" s="3">
        <f>IF(Tabla1[[#This Row],[Plan Irrestricto]]&gt;0,SUM(Tabla1[[#This Row],[Facturación atraso]],Tabla1[[#This Row],[Facturación Venta nueva]],Tabla1[[#This Row],[Facturación stock]],Tabla1[[#This Row],[En puerto a facturar]]),0)</f>
        <v>143989.89000000001</v>
      </c>
      <c r="AK52" s="3">
        <f>+Tabla1[[#This Row],[Facturación atraso]]</f>
        <v>96000</v>
      </c>
      <c r="AL52" s="3">
        <f>+Tabla1[[#This Row],[Plan Ajustado]]-Tabla1[[#This Row],[ Atraso ajustado]]-Tabla1[[#This Row],[Puerto ]]</f>
        <v>24000.000000000015</v>
      </c>
      <c r="AM52" s="3">
        <v>0</v>
      </c>
      <c r="AN52" s="3" t="str">
        <f>IF(Tabla1[[#This Row],[Plan Ajustado]]&gt;Tabla1[[#This Row],[En puerto a facturar]],"Si","No")</f>
        <v>Si</v>
      </c>
      <c r="AO52" s="3">
        <f>IF(AND(Tabla1[[#This Row],[Plan Ajustado]]&gt;0,Tabla1[[#This Row],[Plan Ajustado]]&gt;Tabla1[[#This Row],[En puerto a facturar]]),(Tabla1[[#This Row],[Plan Ajustado]]-Tabla1[[#This Row],[En puerto a facturar]]),0)</f>
        <v>120000.00000000001</v>
      </c>
      <c r="AP52" s="3">
        <f>IF(Tabla1[[#This Row],[Necesidad]]&gt;=Tabla1[[#This Row],[Stock al día]],Tabla1[[#This Row],[Stock al día]],Tabla1[[#This Row],[Necesidad]])</f>
        <v>36386.845999999983</v>
      </c>
      <c r="AQ52" s="3">
        <f>+Tabla1[[#This Row],[Necesidad]]-Tabla1[[#This Row],[Stock Plan]]</f>
        <v>83613.154000000039</v>
      </c>
      <c r="AR52" s="156">
        <f>IFERROR(VLOOKUP(Tabla1[[#This Row],[Oficina]],[22]Ponderación!$B$3:$G$9,6,FALSE),"")</f>
        <v>44757</v>
      </c>
      <c r="AS5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1.2866759785337001</v>
      </c>
      <c r="AT52" s="83">
        <f>IFERROR(VLOOKUP(Tabla1[[#This Row],[Llave]],[17]DELAY!$H:$W,16,FALSE),0)</f>
        <v>1.3466275797940799</v>
      </c>
      <c r="AU5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1.3366349446844263</v>
      </c>
      <c r="AV52" s="5">
        <f>+Tabla1[[#This Row],[Plan Ajustado]]*Tabla1[[#This Row],[Precio ponderado]]</f>
        <v>192461.91865526667</v>
      </c>
      <c r="AW52" s="30">
        <f>IFERROR(VLOOKUP(Tabla1[[#This Row],[Llave]],'[13]Ultimos precios facturados'!$A:$G,7,FALSE),0)</f>
        <v>1.1398270374000383</v>
      </c>
      <c r="AX5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0.17266471212449008</v>
      </c>
      <c r="AY52" s="30"/>
      <c r="AZ52" s="30">
        <f>IF(Tabla1[[#This Row],[Ajuste precio IC]]="",Tabla1[[#This Row],[Precio ponderado]],Tabla1[[#This Row],[Precio ponderado]])</f>
        <v>1.3366349446844263</v>
      </c>
      <c r="BA52" s="82"/>
      <c r="BB52" s="82" t="str">
        <f>IF(AND(Tabla1[[#This Row],[Atraso a facturar]]&gt;0,Tabla1[[#This Row],[Precio Atraso]]=0),"Revisar","OK")</f>
        <v>OK</v>
      </c>
      <c r="BC52" s="82" t="str">
        <f>IF(AND(Tabla1[[#This Row],[Venta del mes]]&gt;0,Tabla1[[#This Row],[Precio venta nueva]]=0),"Revisar","OK")</f>
        <v>OK</v>
      </c>
      <c r="BD52" s="20">
        <f>IFERROR(VLOOKUP(Tabla1[[#This Row],[Llave]],'[5]Consolidación planes'!$A:$M,9,FALSE),0)</f>
        <v>120000</v>
      </c>
      <c r="BE52" s="20">
        <f>IFERROR(VLOOKUP(Tabla1[[#This Row],[Llave]],'[5]Consolidación planes'!$A:$M,10,FALSE),0)</f>
        <v>174000</v>
      </c>
      <c r="BF52" s="20">
        <f>IFERROR(VLOOKUP(Tabla1[[#This Row],[Llave]],'[5]Consolidación planes'!$A:$M,11,FALSE),0)</f>
        <v>132000</v>
      </c>
      <c r="BG52" s="20">
        <f>IFERROR(VLOOKUP(Tabla1[[#This Row],[Llave]],'[5]Consolidación planes'!$A:$M,12,FALSE),0)</f>
        <v>96000</v>
      </c>
      <c r="BH52" s="20">
        <f>IFERROR(VLOOKUP(Tabla1[[#This Row],[Llave]],'[5]Consolidación planes'!$A:$M,13,FALSE),0)</f>
        <v>168000</v>
      </c>
      <c r="BI52" s="20">
        <f>IFERROR(VLOOKUP(Tabla1[[#This Row],[Llave]],'[13]Base ultimos planes'!$A:$M,13,FALSE),0)</f>
        <v>168000</v>
      </c>
      <c r="BJ52" s="80">
        <f>IFERROR(VLOOKUP(Tabla1[[#This Row],[Llave]],'[13]Base ultimos planes'!$O:$AA,8,FALSE),0)</f>
        <v>124800</v>
      </c>
      <c r="BK52" s="20">
        <f>IFERROR(VLOOKUP(Tabla1[[#This Row],[Llave]],'[13]Base ultimos planes'!$O:$AA,9,FALSE),0)</f>
        <v>183900</v>
      </c>
      <c r="BL52" s="20">
        <f>IFERROR(VLOOKUP(Tabla1[[#This Row],[Llave]],'[13]Base ultimos planes'!$O:$AA,10,FALSE),0)</f>
        <v>127200</v>
      </c>
      <c r="BM52" s="20">
        <f>IFERROR(VLOOKUP(Tabla1[[#This Row],[Llave]],'[13]Base ultimos planes'!$O:$AA,11,FALSE),0)</f>
        <v>88560</v>
      </c>
      <c r="BN52" s="20">
        <f>IFERROR(VLOOKUP(Tabla1[[#This Row],[Llave]],'[13]Base ultimos planes'!$O:$AA,12,FALSE),0)</f>
        <v>187440</v>
      </c>
      <c r="BO52" s="20">
        <f>IFERROR(VLOOKUP(Tabla1[[#This Row],[Llave]],'[13]Base ultimos planes'!$O:$AA,13,FALSE),0)</f>
        <v>218215</v>
      </c>
      <c r="BP52" s="20"/>
      <c r="BQ52" s="20">
        <f>+Tabla1[[#This Row],[ RV  Venta mes n+1]]*(1-Tabla1[[#This Row],[% Uti. producción]])</f>
        <v>51685.406732554598</v>
      </c>
      <c r="BR52" s="100"/>
    </row>
    <row r="53" spans="1:70" ht="16" x14ac:dyDescent="0.2">
      <c r="A53">
        <v>1</v>
      </c>
      <c r="B53" t="str">
        <f>Tabla1[[#This Row],[Oficina]]&amp;Tabla1[[#This Row],[Material]]</f>
        <v>Agro Sudamerica1022196</v>
      </c>
      <c r="C53" t="s">
        <v>6</v>
      </c>
      <c r="D53" t="s">
        <v>17</v>
      </c>
      <c r="E53">
        <v>1022196</v>
      </c>
      <c r="F53" t="s">
        <v>31</v>
      </c>
      <c r="G53" t="s">
        <v>8</v>
      </c>
      <c r="H53" t="s">
        <v>30</v>
      </c>
      <c r="I53" s="7">
        <f>IFERROR(VLOOKUP(Tabla1[[#This Row],[Llave]],'[7]RV Producción'!$C:$G,5,FALSE),0)</f>
        <v>48306</v>
      </c>
      <c r="J53" s="3">
        <f>IFERROR(IF(Tabla1[[#This Row],[Oficina]]=$I$7,VLOOKUP(Tabla1[[#This Row],[Llave]],'[7]Shangai (Tomas)'!$A:$F,6,FALSE),VLOOKUP(Tabla1[[#This Row],[Llave]],'[7]RV plan de ventas'!$A:$E,5,FALSE)),0)</f>
        <v>48000</v>
      </c>
      <c r="K53" s="8">
        <f>IFERROR(VLOOKUP(Tabla1[[#This Row],[Oficina]],[15]Ponderación!$B$2:$E$9,4,FALSE),0)</f>
        <v>0.45719439678473212</v>
      </c>
      <c r="L53" s="7">
        <f>+Tabla1[[#This Row],[ RV Producción mes n+1]]*Tabla1[[#This Row],[% Uti. producción]]</f>
        <v>22085.232531083271</v>
      </c>
      <c r="M53" s="7">
        <f>IFERROR(VLOOKUP(Tabla1[[#This Row],[Material]],'[17]TD Stock'!$E:$I,5,FALSE),0)</f>
        <v>37334.689999999995</v>
      </c>
      <c r="N53" s="7">
        <f>IFERROR(VLOOKUP(Tabla1[[#This Row],[Material]],[16]Produccion!$M:$N,2,FALSE),0)</f>
        <v>59009</v>
      </c>
      <c r="O53" s="7">
        <f>IFERROR(VLOOKUP(Tabla1[[#This Row],[Llave]],'[16]TD Conf-AP'!$I:$M,4,FALSE),0)</f>
        <v>0</v>
      </c>
      <c r="P53" s="14">
        <f>SUM(Tabla1[[#This Row],[Producción disponible]],Tabla1[[#This Row],[Stock al día]],(Tabla1[[#This Row],[Por producir mes N]]*0.9))-Tabla1[[#This Row],[Producción por despachar mes N]]</f>
        <v>112528.02253108326</v>
      </c>
      <c r="Q53" s="7">
        <f>IFERROR(VLOOKUP(Tabla1[[#This Row],[Llave]],[17]DELAY!$A:$D,4,FALSE),0)</f>
        <v>143800</v>
      </c>
      <c r="R53" s="9">
        <v>24000</v>
      </c>
      <c r="S53" s="5">
        <f t="shared" si="29"/>
        <v>96000</v>
      </c>
      <c r="T53" s="76">
        <v>0</v>
      </c>
      <c r="U53" s="5">
        <f>+Tabla1[[#This Row],[Atraso a facturar]]+Tabla1[[#This Row],[Ajuste atraso]]</f>
        <v>96000</v>
      </c>
      <c r="V53" s="3">
        <f>+Tabla1[[#This Row],[Total disponible]]-Tabla1[[#This Row],[Facturación atraso]]</f>
        <v>16528.022531083261</v>
      </c>
      <c r="W53" s="6">
        <f>IFERROR(IF(AND(V53&gt;R53,J53&gt;=R53),ROUNDDOWN((Tabla1[[#This Row],[Producción para venta nueva]])/R53,0)*R53,0),0)</f>
        <v>0</v>
      </c>
      <c r="X53" s="76">
        <v>0</v>
      </c>
      <c r="Y53" s="6">
        <f>IF(Tabla1[[#This Row],[Venta del mes]]&gt;0,Tabla1[[#This Row],[Venta del mes]]+Tabla1[[#This Row],[Ajuste venta nueva]],0)</f>
        <v>0</v>
      </c>
      <c r="Z53" s="6">
        <f>+Tabla1[[#This Row],[Producción para venta nueva]]-Tabla1[[#This Row],[Facturación Venta nueva]]</f>
        <v>16528.022531083261</v>
      </c>
      <c r="AA53" s="6">
        <f>IF(AND(A53=1,Tabla1[[#This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3" s="6"/>
      <c r="AC53" s="6">
        <f>IF(Tabla1[[#This Row],[Disponible stock sin venta]]&gt;0,Tabla1[[#This Row],[Disponible stock sin venta]]+Tabla1[[#This Row],[Ajuste stock sin venta]],0)</f>
        <v>0</v>
      </c>
      <c r="AD53" s="3">
        <f>IFERROR(VLOOKUP(Tabla1[[#This Row],[Llave]],'[16]TD Puerto'!$A:$D,4,FALSE),0)</f>
        <v>0</v>
      </c>
      <c r="AE53" s="3">
        <v>96000</v>
      </c>
      <c r="AF53" s="3">
        <f>+Tabla1[[#This Row],[Atraso a facturar]]+Tabla1[[#This Row],[Venta del mes]]+Tabla1[[#This Row],[En puerto a facturar]]+Tabla1[[#This Row],[Disponible stock sin venta]]</f>
        <v>96000</v>
      </c>
      <c r="AG53" s="3">
        <f>+Tabla1[[#This Row],[En puerto a facturar]]</f>
        <v>0</v>
      </c>
      <c r="AH53" s="3">
        <f>+Tabla1[[#This Row],[Facturación atraso]]</f>
        <v>96000</v>
      </c>
      <c r="AI53" s="3">
        <f>+Tabla1[[#This Row],[Plan Irrestricto]]-Tabla1[[#This Row],[Puerto ]]-Tabla1[[#This Row],[Atraso]]</f>
        <v>0</v>
      </c>
      <c r="AJ53" s="3">
        <f>IF(Tabla1[[#This Row],[Plan Irrestricto]]&gt;0,SUM(Tabla1[[#This Row],[Facturación atraso]],Tabla1[[#This Row],[Facturación Venta nueva]],Tabla1[[#This Row],[Facturación stock]],Tabla1[[#This Row],[En puerto a facturar]]),0)</f>
        <v>96000</v>
      </c>
      <c r="AK53" s="3">
        <f>+Tabla1[[#This Row],[Facturación atraso]]</f>
        <v>96000</v>
      </c>
      <c r="AL53" s="3">
        <f>+Tabla1[[#This Row],[Plan Ajustado]]-Tabla1[[#This Row],[ Atraso ajustado]]-Tabla1[[#This Row],[Puerto ]]</f>
        <v>0</v>
      </c>
      <c r="AM53" s="3">
        <v>0</v>
      </c>
      <c r="AN53" s="3" t="str">
        <f>IF(Tabla1[[#This Row],[Plan Ajustado]]&gt;Tabla1[[#This Row],[En puerto a facturar]],"Si","No")</f>
        <v>Si</v>
      </c>
      <c r="AO53" s="3">
        <f>IF(AND(Tabla1[[#This Row],[Plan Ajustado]]&gt;0,Tabla1[[#This Row],[Plan Ajustado]]&gt;Tabla1[[#This Row],[En puerto a facturar]]),(Tabla1[[#This Row],[Plan Ajustado]]-Tabla1[[#This Row],[En puerto a facturar]]),0)</f>
        <v>96000</v>
      </c>
      <c r="AP53" s="3">
        <f>IF(Tabla1[[#This Row],[Necesidad]]&gt;=Tabla1[[#This Row],[Stock al día]],Tabla1[[#This Row],[Stock al día]],Tabla1[[#This Row],[Necesidad]])</f>
        <v>37334.689999999995</v>
      </c>
      <c r="AQ53" s="3">
        <f>+Tabla1[[#This Row],[Necesidad]]-Tabla1[[#This Row],[Stock Plan]]</f>
        <v>58665.310000000005</v>
      </c>
      <c r="AR53" s="156">
        <f>IFERROR(VLOOKUP(Tabla1[[#This Row],[Oficina]],[22]Ponderación!$B$3:$G$9,6,FALSE),"")</f>
        <v>44757</v>
      </c>
      <c r="AS5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1.1866666666666701</v>
      </c>
      <c r="AT53" s="83">
        <f>IFERROR(VLOOKUP(Tabla1[[#This Row],[Llave]],[17]DELAY!$H:$W,16,FALSE),0)</f>
        <v>1.0811543810848436</v>
      </c>
      <c r="AU5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1.0811543810848436</v>
      </c>
      <c r="AV53" s="5">
        <f>+Tabla1[[#This Row],[Plan Ajustado]]*Tabla1[[#This Row],[Precio ponderado]]</f>
        <v>103790.82058414498</v>
      </c>
      <c r="AW53" s="30">
        <f>IFERROR(VLOOKUP(Tabla1[[#This Row],[Llave]],'[13]Ultimos precios facturados'!$A:$G,7,FALSE),0)</f>
        <v>0.71656003675645841</v>
      </c>
      <c r="AX5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0.50881199847362146</v>
      </c>
      <c r="AY53" s="30"/>
      <c r="AZ53" s="30">
        <f>IF(Tabla1[[#This Row],[Ajuste precio IC]]="",Tabla1[[#This Row],[Precio ponderado]],Tabla1[[#This Row],[Precio ponderado]])</f>
        <v>1.0811543810848436</v>
      </c>
      <c r="BA53" s="82"/>
      <c r="BB53" s="82" t="str">
        <f>IF(AND(Tabla1[[#This Row],[Atraso a facturar]]&gt;0,Tabla1[[#This Row],[Precio Atraso]]=0),"Revisar","OK")</f>
        <v>OK</v>
      </c>
      <c r="BC53" s="82" t="str">
        <f>IF(AND(Tabla1[[#This Row],[Venta del mes]]&gt;0,Tabla1[[#This Row],[Precio venta nueva]]=0),"Revisar","OK")</f>
        <v>OK</v>
      </c>
      <c r="BD53" s="20">
        <f>IFERROR(VLOOKUP(Tabla1[[#This Row],[Llave]],'[5]Consolidación planes'!$A:$M,9,FALSE),0)</f>
        <v>0</v>
      </c>
      <c r="BE53" s="20">
        <f>IFERROR(VLOOKUP(Tabla1[[#This Row],[Llave]],'[5]Consolidación planes'!$A:$M,10,FALSE),0)</f>
        <v>24000</v>
      </c>
      <c r="BF53" s="20">
        <f>IFERROR(VLOOKUP(Tabla1[[#This Row],[Llave]],'[5]Consolidación planes'!$A:$M,11,FALSE),0)</f>
        <v>48000</v>
      </c>
      <c r="BG53" s="20">
        <f>IFERROR(VLOOKUP(Tabla1[[#This Row],[Llave]],'[5]Consolidación planes'!$A:$M,12,FALSE),0)</f>
        <v>0</v>
      </c>
      <c r="BH53" s="20">
        <f>IFERROR(VLOOKUP(Tabla1[[#This Row],[Llave]],'[5]Consolidación planes'!$A:$M,13,FALSE),0)</f>
        <v>24000</v>
      </c>
      <c r="BI53" s="20">
        <f>IFERROR(VLOOKUP(Tabla1[[#This Row],[Llave]],'[13]Base ultimos planes'!$A:$M,13,FALSE),0)</f>
        <v>24000</v>
      </c>
      <c r="BJ53" s="80">
        <f>IFERROR(VLOOKUP(Tabla1[[#This Row],[Llave]],'[13]Base ultimos planes'!$O:$AA,8,FALSE),0)</f>
        <v>0</v>
      </c>
      <c r="BK53" s="20">
        <f>IFERROR(VLOOKUP(Tabla1[[#This Row],[Llave]],'[13]Base ultimos planes'!$O:$AA,9,FALSE),0)</f>
        <v>15600</v>
      </c>
      <c r="BL53" s="20">
        <f>IFERROR(VLOOKUP(Tabla1[[#This Row],[Llave]],'[13]Base ultimos planes'!$O:$AA,10,FALSE),0)</f>
        <v>31200</v>
      </c>
      <c r="BM53" s="20">
        <f>IFERROR(VLOOKUP(Tabla1[[#This Row],[Llave]],'[13]Base ultimos planes'!$O:$AA,11,FALSE),0)</f>
        <v>0</v>
      </c>
      <c r="BN53" s="20">
        <f>IFERROR(VLOOKUP(Tabla1[[#This Row],[Llave]],'[13]Base ultimos planes'!$O:$AA,12,FALSE),0)</f>
        <v>10800</v>
      </c>
      <c r="BO53" s="20">
        <f>IFERROR(VLOOKUP(Tabla1[[#This Row],[Llave]],'[13]Base ultimos planes'!$O:$AA,13,FALSE),0)</f>
        <v>16440</v>
      </c>
      <c r="BP53" s="20"/>
      <c r="BQ53" s="20">
        <f>+Tabla1[[#This Row],[ RV  Venta mes n+1]]*(1-Tabla1[[#This Row],[% Uti. producción]])</f>
        <v>26054.668954332861</v>
      </c>
      <c r="BR53" s="100"/>
    </row>
    <row r="54" spans="1:70" ht="16" x14ac:dyDescent="0.2">
      <c r="A54">
        <v>1</v>
      </c>
      <c r="B54" t="str">
        <f>Tabla1[[#This Row],[Oficina]]&amp;Tabla1[[#This Row],[Material]]</f>
        <v>Agro Sudamerica1022197</v>
      </c>
      <c r="C54" t="s">
        <v>6</v>
      </c>
      <c r="D54" t="s">
        <v>17</v>
      </c>
      <c r="E54">
        <v>1022197</v>
      </c>
      <c r="F54" t="s">
        <v>300</v>
      </c>
      <c r="G54" t="s">
        <v>8</v>
      </c>
      <c r="H54" t="s">
        <v>30</v>
      </c>
      <c r="I54" s="7">
        <f>IFERROR(VLOOKUP(Tabla1[[#This Row],[Llave]],'[7]RV Producción'!$C:$G,5,FALSE),0)</f>
        <v>0</v>
      </c>
      <c r="J54" s="3">
        <f>IFERROR(IF(Tabla1[[#This Row],[Oficina]]=$I$7,VLOOKUP(Tabla1[[#This Row],[Llave]],'[7]Shangai (Tomas)'!$A:$F,6,FALSE),VLOOKUP(Tabla1[[#This Row],[Llave]],'[7]RV plan de ventas'!$A:$E,5,FALSE)),0)</f>
        <v>0</v>
      </c>
      <c r="K54" s="8">
        <f>IFERROR(VLOOKUP(Tabla1[[#This Row],[Oficina]],[15]Ponderación!$B$2:$E$9,4,FALSE),0)</f>
        <v>0.45719439678473212</v>
      </c>
      <c r="L54" s="7">
        <f>+Tabla1[[#This Row],[ RV Producción mes n+1]]*Tabla1[[#This Row],[% Uti. producción]]</f>
        <v>0</v>
      </c>
      <c r="M54" s="7">
        <f>IFERROR(VLOOKUP(Tabla1[[#This Row],[Material]],'[17]TD Stock'!$E:$I,5,FALSE),0)</f>
        <v>13297.205000000002</v>
      </c>
      <c r="N54" s="7">
        <f>IFERROR(VLOOKUP(Tabla1[[#This Row],[Material]],[16]Produccion!$M:$N,2,FALSE),0)</f>
        <v>0</v>
      </c>
      <c r="O54" s="7">
        <f>IFERROR(VLOOKUP(Tabla1[[#This Row],[Llave]],'[16]TD Conf-AP'!$I:$M,4,FALSE),0)</f>
        <v>0</v>
      </c>
      <c r="P54" s="14">
        <f>SUM(Tabla1[[#This Row],[Producción disponible]],Tabla1[[#This Row],[Stock al día]],(Tabla1[[#This Row],[Por producir mes N]]*0.9))-Tabla1[[#This Row],[Producción por despachar mes N]]</f>
        <v>13297.205000000002</v>
      </c>
      <c r="Q54" s="7">
        <f>IFERROR(VLOOKUP(Tabla1[[#This Row],[Llave]],[17]DELAY!$A:$D,4,FALSE),0)</f>
        <v>4698</v>
      </c>
      <c r="R54" s="9">
        <v>24000</v>
      </c>
      <c r="S54" s="5">
        <f t="shared" si="29"/>
        <v>4698</v>
      </c>
      <c r="T54" s="76">
        <v>0</v>
      </c>
      <c r="U54" s="5">
        <f>+Tabla1[[#This Row],[Atraso a facturar]]+Tabla1[[#This Row],[Ajuste atraso]]</f>
        <v>4698</v>
      </c>
      <c r="V54" s="3">
        <f>+Tabla1[[#This Row],[Total disponible]]-Tabla1[[#This Row],[Facturación atraso]]</f>
        <v>8599.2050000000017</v>
      </c>
      <c r="W54" s="6">
        <f>IFERROR(IF(AND(V54&gt;R54,J54&gt;=R54),ROUNDDOWN((Tabla1[[#This Row],[Producción para venta nueva]])/R54,0)*R54,0),0)</f>
        <v>0</v>
      </c>
      <c r="X54" s="76">
        <v>0</v>
      </c>
      <c r="Y54" s="6">
        <f>IF(Tabla1[[#This Row],[Venta del mes]]&gt;0,Tabla1[[#This Row],[Venta del mes]]+Tabla1[[#This Row],[Ajuste venta nueva]],0)</f>
        <v>0</v>
      </c>
      <c r="Z54" s="6">
        <f>+Tabla1[[#This Row],[Producción para venta nueva]]-Tabla1[[#This Row],[Facturación Venta nueva]]</f>
        <v>8599.2050000000017</v>
      </c>
      <c r="AA54" s="33">
        <f>IF(AND(A54=1,Tabla1[[#This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4" s="33"/>
      <c r="AC54" s="33">
        <f>IF(Tabla1[[#This Row],[Disponible stock sin venta]]&gt;0,Tabla1[[#This Row],[Disponible stock sin venta]]+Tabla1[[#This Row],[Ajuste stock sin venta]],0)</f>
        <v>0</v>
      </c>
      <c r="AD54" s="3">
        <f>IFERROR(VLOOKUP(Tabla1[[#This Row],[Llave]],'[16]TD Puerto'!$A:$D,4,FALSE),0)</f>
        <v>0</v>
      </c>
      <c r="AE54" s="3">
        <v>4698</v>
      </c>
      <c r="AF54" s="3">
        <f>+Tabla1[[#This Row],[Atraso a facturar]]+Tabla1[[#This Row],[Venta del mes]]+Tabla1[[#This Row],[En puerto a facturar]]+Tabla1[[#This Row],[Disponible stock sin venta]]</f>
        <v>4698</v>
      </c>
      <c r="AG54" s="3">
        <f>+Tabla1[[#This Row],[En puerto a facturar]]</f>
        <v>0</v>
      </c>
      <c r="AH54" s="3">
        <f>+Tabla1[[#This Row],[Facturación atraso]]</f>
        <v>4698</v>
      </c>
      <c r="AI54" s="3">
        <f>+Tabla1[[#This Row],[Plan Irrestricto]]-Tabla1[[#This Row],[Puerto ]]-Tabla1[[#This Row],[Atraso]]</f>
        <v>0</v>
      </c>
      <c r="AJ54" s="3">
        <f>IF(Tabla1[[#This Row],[Plan Irrestricto]]&gt;0,SUM(Tabla1[[#This Row],[Facturación atraso]],Tabla1[[#This Row],[Facturación Venta nueva]],Tabla1[[#This Row],[Facturación stock]],Tabla1[[#This Row],[En puerto a facturar]]),0)</f>
        <v>4698</v>
      </c>
      <c r="AK54" s="3">
        <f>+Tabla1[[#This Row],[Facturación atraso]]</f>
        <v>4698</v>
      </c>
      <c r="AL54" s="3">
        <f>+Tabla1[[#This Row],[Plan Ajustado]]-Tabla1[[#This Row],[ Atraso ajustado]]-Tabla1[[#This Row],[Puerto ]]</f>
        <v>0</v>
      </c>
      <c r="AM54" s="3">
        <v>0</v>
      </c>
      <c r="AN54" s="3" t="str">
        <f>IF(Tabla1[[#This Row],[Plan Ajustado]]&gt;Tabla1[[#This Row],[En puerto a facturar]],"Si","No")</f>
        <v>Si</v>
      </c>
      <c r="AO54" s="3">
        <f>IF(AND(Tabla1[[#This Row],[Plan Ajustado]]&gt;0,Tabla1[[#This Row],[Plan Ajustado]]&gt;Tabla1[[#This Row],[En puerto a facturar]]),(Tabla1[[#This Row],[Plan Ajustado]]-Tabla1[[#This Row],[En puerto a facturar]]),0)</f>
        <v>4698</v>
      </c>
      <c r="AP54" s="3">
        <f>IF(Tabla1[[#This Row],[Necesidad]]&gt;=Tabla1[[#This Row],[Stock al día]],Tabla1[[#This Row],[Stock al día]],Tabla1[[#This Row],[Necesidad]])</f>
        <v>4698</v>
      </c>
      <c r="AQ54" s="3">
        <f>+Tabla1[[#This Row],[Necesidad]]-Tabla1[[#This Row],[Stock Plan]]</f>
        <v>0</v>
      </c>
      <c r="AR54" s="156">
        <f>IFERROR(VLOOKUP(Tabla1[[#This Row],[Oficina]],[22]Ponderación!$B$3:$G$9,6,FALSE),"")</f>
        <v>44757</v>
      </c>
      <c r="AS5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0.8368374268383223</v>
      </c>
      <c r="AT54" s="83">
        <f>IFERROR(VLOOKUP(Tabla1[[#This Row],[Llave]],[17]DELAY!$H:$W,16,FALSE),0)</f>
        <v>0.52987190293742004</v>
      </c>
      <c r="AU5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0.52987190293742004</v>
      </c>
      <c r="AV54" s="5">
        <f>+Tabla1[[#This Row],[Plan Ajustado]]*Tabla1[[#This Row],[Precio ponderado]]</f>
        <v>2489.3381999999992</v>
      </c>
      <c r="AW54" s="30">
        <f>IFERROR(VLOOKUP(Tabla1[[#This Row],[Llave]],'[13]Ultimos precios facturados'!$A:$G,7,FALSE),0)</f>
        <v>0.8368374268383223</v>
      </c>
      <c r="AX5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0.36681619876952309</v>
      </c>
      <c r="AY54" s="30"/>
      <c r="AZ54" s="30">
        <f>IF(Tabla1[[#This Row],[Ajuste precio IC]]="",Tabla1[[#This Row],[Precio ponderado]],Tabla1[[#This Row],[Precio ponderado]])</f>
        <v>0.52987190293742004</v>
      </c>
      <c r="BA54" s="82"/>
      <c r="BB54" s="82" t="str">
        <f>IF(AND(Tabla1[[#This Row],[Atraso a facturar]]&gt;0,Tabla1[[#This Row],[Precio Atraso]]=0),"Revisar","OK")</f>
        <v>OK</v>
      </c>
      <c r="BC54" s="82" t="str">
        <f>IF(AND(Tabla1[[#This Row],[Venta del mes]]&gt;0,Tabla1[[#This Row],[Precio venta nueva]]=0),"Revisar","OK")</f>
        <v>OK</v>
      </c>
      <c r="BD54" s="20">
        <f>IFERROR(VLOOKUP(Tabla1[[#This Row],[Llave]],'[5]Consolidación planes'!$A:$M,9,FALSE),0)</f>
        <v>0</v>
      </c>
      <c r="BE54" s="20">
        <f>IFERROR(VLOOKUP(Tabla1[[#This Row],[Llave]],'[5]Consolidación planes'!$A:$M,10,FALSE),0)</f>
        <v>0</v>
      </c>
      <c r="BF54" s="20">
        <f>IFERROR(VLOOKUP(Tabla1[[#This Row],[Llave]],'[5]Consolidación planes'!$A:$M,11,FALSE),0)</f>
        <v>24000</v>
      </c>
      <c r="BG54" s="20">
        <f>IFERROR(VLOOKUP(Tabla1[[#This Row],[Llave]],'[5]Consolidación planes'!$A:$M,12,FALSE),0)</f>
        <v>24000</v>
      </c>
      <c r="BH54" s="20">
        <f>IFERROR(VLOOKUP(Tabla1[[#This Row],[Llave]],'[5]Consolidación planes'!$A:$M,13,FALSE),0)</f>
        <v>0</v>
      </c>
      <c r="BI54" s="20">
        <f>IFERROR(VLOOKUP(Tabla1[[#This Row],[Llave]],'[13]Base ultimos planes'!$A:$M,13,FALSE),0)</f>
        <v>0</v>
      </c>
      <c r="BJ54" s="80">
        <f>IFERROR(VLOOKUP(Tabla1[[#This Row],[Llave]],'[13]Base ultimos planes'!$O:$AA,8,FALSE),0)</f>
        <v>0</v>
      </c>
      <c r="BK54" s="20">
        <f>IFERROR(VLOOKUP(Tabla1[[#This Row],[Llave]],'[13]Base ultimos planes'!$O:$AA,9,FALSE),0)</f>
        <v>0</v>
      </c>
      <c r="BL54" s="20">
        <f>IFERROR(VLOOKUP(Tabla1[[#This Row],[Llave]],'[13]Base ultimos planes'!$O:$AA,10,FALSE),0)</f>
        <v>21600</v>
      </c>
      <c r="BM54" s="20">
        <f>IFERROR(VLOOKUP(Tabla1[[#This Row],[Llave]],'[13]Base ultimos planes'!$O:$AA,11,FALSE),0)</f>
        <v>18240</v>
      </c>
      <c r="BN54" s="20">
        <f>IFERROR(VLOOKUP(Tabla1[[#This Row],[Llave]],'[13]Base ultimos planes'!$O:$AA,12,FALSE),0)</f>
        <v>0</v>
      </c>
      <c r="BO54" s="20">
        <f>IFERROR(VLOOKUP(Tabla1[[#This Row],[Llave]],'[13]Base ultimos planes'!$O:$AA,13,FALSE),0)</f>
        <v>0</v>
      </c>
      <c r="BP54" s="20"/>
      <c r="BQ54" s="20">
        <f>+Tabla1[[#This Row],[ RV  Venta mes n+1]]*(1-Tabla1[[#This Row],[% Uti. producción]])</f>
        <v>0</v>
      </c>
      <c r="BR54" s="100"/>
    </row>
    <row r="55" spans="1:70" ht="16" hidden="1" x14ac:dyDescent="0.2">
      <c r="A55">
        <v>1</v>
      </c>
      <c r="B55" t="str">
        <f>Tabla1[[#This Row],[Oficina]]&amp;Tabla1[[#This Row],[Material]]</f>
        <v>Agro Sudamerica1022247</v>
      </c>
      <c r="C55" t="s">
        <v>6</v>
      </c>
      <c r="D55" t="s">
        <v>17</v>
      </c>
      <c r="E55">
        <v>1022247</v>
      </c>
      <c r="F55" t="s">
        <v>315</v>
      </c>
      <c r="G55" t="s">
        <v>71</v>
      </c>
      <c r="H55" t="s">
        <v>72</v>
      </c>
      <c r="I55" s="7">
        <f>IFERROR(VLOOKUP(Tabla1[[#This Row],[Llave]],'[7]RV Producción'!$C:$G,5,FALSE),0)</f>
        <v>0</v>
      </c>
      <c r="J55" s="3">
        <f>IFERROR(IF(Tabla1[[#This Row],[Oficina]]=$I$7,VLOOKUP(Tabla1[[#This Row],[Llave]],'[7]Shangai (Tomas)'!$A:$F,6,FALSE),VLOOKUP(Tabla1[[#This Row],[Llave]],'[7]RV plan de ventas'!$A:$E,5,FALSE)),0)</f>
        <v>0</v>
      </c>
      <c r="K55" s="8">
        <f>IFERROR(VLOOKUP(Tabla1[[#This Row],[Oficina]],[15]Ponderación!$B$2:$E$9,4,FALSE),0)</f>
        <v>0.45719439678473212</v>
      </c>
      <c r="L55" s="7">
        <f>+Tabla1[[#This Row],[ RV Producción mes n+1]]*Tabla1[[#This Row],[% Uti. producción]]</f>
        <v>0</v>
      </c>
      <c r="M55" s="7">
        <f>IFERROR(VLOOKUP(Tabla1[[#This Row],[Material]],'[17]TD Stock'!$E:$I,5,FALSE),0)</f>
        <v>0</v>
      </c>
      <c r="N55" s="7">
        <f>IFERROR(VLOOKUP(Tabla1[[#This Row],[Material]],[16]Produccion!$M:$N,2,FALSE),0)</f>
        <v>0</v>
      </c>
      <c r="O55" s="7">
        <f>IFERROR(VLOOKUP(Tabla1[[#This Row],[Llave]],'[16]TD Conf-AP'!$I:$M,4,FALSE),0)</f>
        <v>0</v>
      </c>
      <c r="P55" s="14">
        <f>SUM(Tabla1[[#This Row],[Producción disponible]],Tabla1[[#This Row],[Stock al día]],(Tabla1[[#This Row],[Por producir mes N]]*0.9))-Tabla1[[#This Row],[Producción por despachar mes N]]</f>
        <v>0</v>
      </c>
      <c r="Q55" s="7">
        <f>IFERROR(VLOOKUP(Tabla1[[#This Row],[Llave]],[17]DELAY!$A:$D,4,FALSE),0)</f>
        <v>0</v>
      </c>
      <c r="R55" s="9">
        <v>24000</v>
      </c>
      <c r="S55" s="5">
        <f t="shared" si="29"/>
        <v>0</v>
      </c>
      <c r="T55" s="76">
        <v>0</v>
      </c>
      <c r="U55" s="5">
        <f>+Tabla1[[#This Row],[Atraso a facturar]]+Tabla1[[#This Row],[Ajuste atraso]]</f>
        <v>0</v>
      </c>
      <c r="V55" s="3">
        <f>+Tabla1[[#This Row],[Total disponible]]-Tabla1[[#This Row],[Facturación atraso]]</f>
        <v>0</v>
      </c>
      <c r="W55" s="6">
        <f>IFERROR(IF(AND(V55&gt;R55,J55&gt;=R55),ROUNDDOWN((Tabla1[[#This Row],[Producción para venta nueva]])/R55,0)*R55,0),0)</f>
        <v>0</v>
      </c>
      <c r="X55" s="76">
        <v>0</v>
      </c>
      <c r="Y55" s="6">
        <f>IF(Tabla1[[#This Row],[Venta del mes]]&gt;0,Tabla1[[#This Row],[Venta del mes]]+Tabla1[[#This Row],[Ajuste venta nueva]],0)</f>
        <v>0</v>
      </c>
      <c r="Z55" s="6">
        <f>+Tabla1[[#This Row],[Producción para venta nueva]]-Tabla1[[#This Row],[Facturación Venta nueva]]</f>
        <v>0</v>
      </c>
      <c r="AA55" s="6">
        <f>IF(AND(A55=1,Tabla1[[#This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5" s="6"/>
      <c r="AC55" s="6">
        <f>IF(Tabla1[[#This Row],[Disponible stock sin venta]]&gt;0,Tabla1[[#This Row],[Disponible stock sin venta]]+Tabla1[[#This Row],[Ajuste stock sin venta]],0)</f>
        <v>0</v>
      </c>
      <c r="AD55" s="3">
        <f>IFERROR(VLOOKUP(Tabla1[[#This Row],[Llave]],'[16]TD Puerto'!$A:$D,4,FALSE),0)</f>
        <v>0</v>
      </c>
      <c r="AE55" s="3">
        <v>0</v>
      </c>
      <c r="AF55" s="3">
        <f>+Tabla1[[#This Row],[Atraso a facturar]]+Tabla1[[#This Row],[Venta del mes]]+Tabla1[[#This Row],[En puerto a facturar]]+Tabla1[[#This Row],[Disponible stock sin venta]]</f>
        <v>0</v>
      </c>
      <c r="AG55" s="3">
        <f>+Tabla1[[#This Row],[En puerto a facturar]]</f>
        <v>0</v>
      </c>
      <c r="AH55" s="3">
        <f>+Tabla1[[#This Row],[Facturación atraso]]</f>
        <v>0</v>
      </c>
      <c r="AI55" s="3">
        <f>+Tabla1[[#This Row],[Plan Irrestricto]]-Tabla1[[#This Row],[Puerto ]]-Tabla1[[#This Row],[Atraso]]</f>
        <v>0</v>
      </c>
      <c r="AJ5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55" s="3">
        <f>+Tabla1[[#This Row],[Facturación atraso]]</f>
        <v>0</v>
      </c>
      <c r="AL55" s="3">
        <f>+Tabla1[[#This Row],[Plan Ajustado]]-Tabla1[[#This Row],[ Atraso ajustado]]-Tabla1[[#This Row],[Puerto ]]</f>
        <v>0</v>
      </c>
      <c r="AM55" s="3">
        <v>0</v>
      </c>
      <c r="AN55" s="3" t="str">
        <f>IF(Tabla1[[#This Row],[Plan Ajustado]]&gt;Tabla1[[#This Row],[En puerto a facturar]],"Si","No")</f>
        <v>No</v>
      </c>
      <c r="AO5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55" s="3">
        <f>IF(Tabla1[[#This Row],[Necesidad]]&gt;=Tabla1[[#This Row],[Stock al día]],Tabla1[[#This Row],[Stock al día]],Tabla1[[#This Row],[Necesidad]])</f>
        <v>0</v>
      </c>
      <c r="AQ55" s="3">
        <f>+Tabla1[[#This Row],[Necesidad]]-Tabla1[[#This Row],[Stock Plan]]</f>
        <v>0</v>
      </c>
      <c r="AR55" s="156">
        <f>IFERROR(VLOOKUP(Tabla1[[#This Row],[Oficina]],[22]Ponderación!$B$3:$G$9,6,FALSE),"")</f>
        <v>44757</v>
      </c>
      <c r="AS5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55" s="83">
        <f>IFERROR(VLOOKUP(Tabla1[[#This Row],[Llave]],[17]DELAY!$H:$W,16,FALSE),0)</f>
        <v>0</v>
      </c>
      <c r="AU5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55" s="5">
        <f>+Tabla1[[#This Row],[Plan Ajustado]]*Tabla1[[#This Row],[Precio ponderado]]</f>
        <v>0</v>
      </c>
      <c r="AW55" s="30">
        <f>IFERROR(VLOOKUP(Tabla1[[#This Row],[Llave]],'[13]Ultimos precios facturados'!$A:$G,7,FALSE),0)</f>
        <v>0</v>
      </c>
      <c r="AX5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55" s="30"/>
      <c r="AZ55" s="30">
        <f>IF(Tabla1[[#This Row],[Ajuste precio IC]]="",Tabla1[[#This Row],[Precio ponderado]],Tabla1[[#This Row],[Precio ponderado]])</f>
        <v>0</v>
      </c>
      <c r="BA55" s="82"/>
      <c r="BB55" s="82" t="str">
        <f>IF(AND(Tabla1[[#This Row],[Atraso a facturar]]&gt;0,Tabla1[[#This Row],[Precio Atraso]]=0),"Revisar","OK")</f>
        <v>OK</v>
      </c>
      <c r="BC55" s="82" t="str">
        <f>IF(AND(Tabla1[[#This Row],[Venta del mes]]&gt;0,Tabla1[[#This Row],[Precio venta nueva]]=0),"Revisar","OK")</f>
        <v>OK</v>
      </c>
      <c r="BD55" s="20">
        <f>IFERROR(VLOOKUP(Tabla1[[#This Row],[Llave]],'[5]Consolidación planes'!$A:$M,9,FALSE),0)</f>
        <v>0</v>
      </c>
      <c r="BE55" s="20">
        <f>IFERROR(VLOOKUP(Tabla1[[#This Row],[Llave]],'[5]Consolidación planes'!$A:$M,10,FALSE),0)</f>
        <v>0</v>
      </c>
      <c r="BF55" s="20">
        <f>IFERROR(VLOOKUP(Tabla1[[#This Row],[Llave]],'[5]Consolidación planes'!$A:$M,11,FALSE),0)</f>
        <v>0</v>
      </c>
      <c r="BG55" s="20">
        <f>IFERROR(VLOOKUP(Tabla1[[#This Row],[Llave]],'[5]Consolidación planes'!$A:$M,12,FALSE),0)</f>
        <v>48000</v>
      </c>
      <c r="BH55" s="20">
        <f>IFERROR(VLOOKUP(Tabla1[[#This Row],[Llave]],'[5]Consolidación planes'!$A:$M,13,FALSE),0)</f>
        <v>0</v>
      </c>
      <c r="BI55" s="20">
        <f>IFERROR(VLOOKUP(Tabla1[[#This Row],[Llave]],'[13]Base ultimos planes'!$A:$M,13,FALSE),0)</f>
        <v>0</v>
      </c>
      <c r="BJ55" s="80">
        <f>IFERROR(VLOOKUP(Tabla1[[#This Row],[Llave]],'[13]Base ultimos planes'!$O:$AA,8,FALSE),0)</f>
        <v>0</v>
      </c>
      <c r="BK55" s="20">
        <f>IFERROR(VLOOKUP(Tabla1[[#This Row],[Llave]],'[13]Base ultimos planes'!$O:$AA,9,FALSE),0)</f>
        <v>0</v>
      </c>
      <c r="BL55" s="20">
        <f>IFERROR(VLOOKUP(Tabla1[[#This Row],[Llave]],'[13]Base ultimos planes'!$O:$AA,10,FALSE),0)</f>
        <v>0</v>
      </c>
      <c r="BM55" s="20">
        <f>IFERROR(VLOOKUP(Tabla1[[#This Row],[Llave]],'[13]Base ultimos planes'!$O:$AA,11,FALSE),0)</f>
        <v>64560</v>
      </c>
      <c r="BN55" s="20">
        <f>IFERROR(VLOOKUP(Tabla1[[#This Row],[Llave]],'[13]Base ultimos planes'!$O:$AA,12,FALSE),0)</f>
        <v>0</v>
      </c>
      <c r="BO55" s="20">
        <f>IFERROR(VLOOKUP(Tabla1[[#This Row],[Llave]],'[13]Base ultimos planes'!$O:$AA,13,FALSE),0)</f>
        <v>0</v>
      </c>
      <c r="BP55" s="20"/>
      <c r="BQ55" s="20">
        <f>+Tabla1[[#This Row],[ RV  Venta mes n+1]]*(1-Tabla1[[#This Row],[% Uti. producción]])</f>
        <v>0</v>
      </c>
      <c r="BR55" s="100"/>
    </row>
    <row r="56" spans="1:70" ht="16" hidden="1" x14ac:dyDescent="0.2">
      <c r="A56">
        <v>1</v>
      </c>
      <c r="B56" t="str">
        <f>Tabla1[[#This Row],[Oficina]]&amp;Tabla1[[#This Row],[Material]]</f>
        <v>Agro Sudamerica1022384</v>
      </c>
      <c r="C56" t="s">
        <v>6</v>
      </c>
      <c r="D56" t="s">
        <v>17</v>
      </c>
      <c r="E56">
        <v>1022384</v>
      </c>
      <c r="F56" t="s">
        <v>24</v>
      </c>
      <c r="G56" t="s">
        <v>18</v>
      </c>
      <c r="H56" t="s">
        <v>21</v>
      </c>
      <c r="I56" s="7">
        <f>IFERROR(VLOOKUP(Tabla1[[#This Row],[Llave]],'[7]RV Producción'!$C:$G,5,FALSE),0)</f>
        <v>0</v>
      </c>
      <c r="J56" s="3">
        <f>IFERROR(IF(Tabla1[[#This Row],[Oficina]]=$I$7,VLOOKUP(Tabla1[[#This Row],[Llave]],'[7]Shangai (Tomas)'!$A:$F,6,FALSE),VLOOKUP(Tabla1[[#This Row],[Llave]],'[7]RV plan de ventas'!$A:$E,5,FALSE)),0)</f>
        <v>0</v>
      </c>
      <c r="K56" s="8">
        <f>IFERROR(VLOOKUP(Tabla1[[#This Row],[Oficina]],[15]Ponderación!$B$2:$E$9,4,FALSE),0)</f>
        <v>0.45719439678473212</v>
      </c>
      <c r="L56" s="7">
        <f>+Tabla1[[#This Row],[ RV Producción mes n+1]]*Tabla1[[#This Row],[% Uti. producción]]</f>
        <v>0</v>
      </c>
      <c r="M56" s="7">
        <f>IFERROR(VLOOKUP(Tabla1[[#This Row],[Material]],'[17]TD Stock'!$E:$I,5,FALSE),0)</f>
        <v>0</v>
      </c>
      <c r="N56" s="7">
        <f>IFERROR(VLOOKUP(Tabla1[[#This Row],[Material]],[16]Produccion!$M:$N,2,FALSE),0)</f>
        <v>0</v>
      </c>
      <c r="O56" s="7">
        <f>IFERROR(VLOOKUP(Tabla1[[#This Row],[Llave]],'[16]TD Conf-AP'!$I:$M,4,FALSE),0)</f>
        <v>0</v>
      </c>
      <c r="P56" s="14">
        <f>SUM(Tabla1[[#This Row],[Producción disponible]],Tabla1[[#This Row],[Stock al día]],(Tabla1[[#This Row],[Por producir mes N]]*0.9))-Tabla1[[#This Row],[Producción por despachar mes N]]</f>
        <v>0</v>
      </c>
      <c r="Q56" s="7">
        <f>IFERROR(VLOOKUP(Tabla1[[#This Row],[Llave]],[17]DELAY!$A:$D,4,FALSE),0)</f>
        <v>0</v>
      </c>
      <c r="R56" s="9">
        <v>24000</v>
      </c>
      <c r="S56" s="5">
        <f t="shared" si="29"/>
        <v>0</v>
      </c>
      <c r="T56" s="76">
        <v>0</v>
      </c>
      <c r="U56" s="5">
        <f>+Tabla1[[#This Row],[Atraso a facturar]]+Tabla1[[#This Row],[Ajuste atraso]]</f>
        <v>0</v>
      </c>
      <c r="V56" s="3">
        <f>+Tabla1[[#This Row],[Total disponible]]-Tabla1[[#This Row],[Facturación atraso]]</f>
        <v>0</v>
      </c>
      <c r="W56" s="6">
        <f>IFERROR(IF(AND(V56&gt;R56,J56&gt;=R56),ROUNDDOWN((Tabla1[[#This Row],[Producción para venta nueva]])/R56,0)*R56,0),0)</f>
        <v>0</v>
      </c>
      <c r="X56" s="76">
        <v>0</v>
      </c>
      <c r="Y56" s="6">
        <f>IF(Tabla1[[#This Row],[Venta del mes]]&gt;0,Tabla1[[#This Row],[Venta del mes]]+Tabla1[[#This Row],[Ajuste venta nueva]],0)</f>
        <v>0</v>
      </c>
      <c r="Z56" s="6">
        <f>+Tabla1[[#This Row],[Producción para venta nueva]]-Tabla1[[#This Row],[Facturación Venta nueva]]</f>
        <v>0</v>
      </c>
      <c r="AA56" s="6">
        <f>IF(AND(A56=1,Tabla1[[#This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6" s="6"/>
      <c r="AC56" s="6">
        <f>IF(Tabla1[[#This Row],[Disponible stock sin venta]]&gt;0,Tabla1[[#This Row],[Disponible stock sin venta]]+Tabla1[[#This Row],[Ajuste stock sin venta]],0)</f>
        <v>0</v>
      </c>
      <c r="AD56" s="3">
        <f>IFERROR(VLOOKUP(Tabla1[[#This Row],[Llave]],'[16]TD Puerto'!$A:$D,4,FALSE),0)</f>
        <v>0</v>
      </c>
      <c r="AE56" s="3">
        <v>0</v>
      </c>
      <c r="AF56" s="3">
        <f>+Tabla1[[#This Row],[Atraso a facturar]]+Tabla1[[#This Row],[Venta del mes]]+Tabla1[[#This Row],[En puerto a facturar]]+Tabla1[[#This Row],[Disponible stock sin venta]]</f>
        <v>0</v>
      </c>
      <c r="AG56" s="3">
        <f>+Tabla1[[#This Row],[En puerto a facturar]]</f>
        <v>0</v>
      </c>
      <c r="AH56" s="3">
        <f>+Tabla1[[#This Row],[Facturación atraso]]</f>
        <v>0</v>
      </c>
      <c r="AI56" s="3">
        <f>+Tabla1[[#This Row],[Plan Irrestricto]]-Tabla1[[#This Row],[Puerto ]]-Tabla1[[#This Row],[Atraso]]</f>
        <v>0</v>
      </c>
      <c r="AJ5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56" s="3">
        <f>+Tabla1[[#This Row],[Facturación atraso]]</f>
        <v>0</v>
      </c>
      <c r="AL56" s="3">
        <f>+Tabla1[[#This Row],[Plan Ajustado]]-Tabla1[[#This Row],[ Atraso ajustado]]-Tabla1[[#This Row],[Puerto ]]</f>
        <v>0</v>
      </c>
      <c r="AM56" s="3">
        <v>0</v>
      </c>
      <c r="AN56" s="3" t="str">
        <f>IF(Tabla1[[#This Row],[Plan Ajustado]]&gt;Tabla1[[#This Row],[En puerto a facturar]],"Si","No")</f>
        <v>No</v>
      </c>
      <c r="AO5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56" s="3">
        <f>IF(Tabla1[[#This Row],[Necesidad]]&gt;=Tabla1[[#This Row],[Stock al día]],Tabla1[[#This Row],[Stock al día]],Tabla1[[#This Row],[Necesidad]])</f>
        <v>0</v>
      </c>
      <c r="AQ56" s="3">
        <f>+Tabla1[[#This Row],[Necesidad]]-Tabla1[[#This Row],[Stock Plan]]</f>
        <v>0</v>
      </c>
      <c r="AR56" s="156">
        <f>IFERROR(VLOOKUP(Tabla1[[#This Row],[Oficina]],[22]Ponderación!$B$3:$G$9,6,FALSE),"")</f>
        <v>44757</v>
      </c>
      <c r="AS5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4.5641475029685861</v>
      </c>
      <c r="AT56" s="83">
        <f>IFERROR(VLOOKUP(Tabla1[[#This Row],[Llave]],[17]DELAY!$H:$W,16,FALSE),0)</f>
        <v>0</v>
      </c>
      <c r="AU5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56" s="5">
        <f>+Tabla1[[#This Row],[Plan Ajustado]]*Tabla1[[#This Row],[Precio ponderado]]</f>
        <v>0</v>
      </c>
      <c r="AW56" s="30">
        <f>IFERROR(VLOOKUP(Tabla1[[#This Row],[Llave]],'[13]Ultimos precios facturados'!$A:$G,7,FALSE),0)</f>
        <v>4.5641475029685861</v>
      </c>
      <c r="AX5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56" s="30"/>
      <c r="AZ56" s="30">
        <f>IF(Tabla1[[#This Row],[Ajuste precio IC]]="",Tabla1[[#This Row],[Precio ponderado]],Tabla1[[#This Row],[Precio ponderado]])</f>
        <v>0</v>
      </c>
      <c r="BA56" s="82"/>
      <c r="BB56" s="82" t="str">
        <f>IF(AND(Tabla1[[#This Row],[Atraso a facturar]]&gt;0,Tabla1[[#This Row],[Precio Atraso]]=0),"Revisar","OK")</f>
        <v>OK</v>
      </c>
      <c r="BC56" s="82" t="str">
        <f>IF(AND(Tabla1[[#This Row],[Venta del mes]]&gt;0,Tabla1[[#This Row],[Precio venta nueva]]=0),"Revisar","OK")</f>
        <v>OK</v>
      </c>
      <c r="BD56" s="20">
        <f>IFERROR(VLOOKUP(Tabla1[[#This Row],[Llave]],'[5]Consolidación planes'!$A:$M,9,FALSE),0)</f>
        <v>2947</v>
      </c>
      <c r="BE56" s="20">
        <f>IFERROR(VLOOKUP(Tabla1[[#This Row],[Llave]],'[5]Consolidación planes'!$A:$M,10,FALSE),0)</f>
        <v>0</v>
      </c>
      <c r="BF56" s="20">
        <f>IFERROR(VLOOKUP(Tabla1[[#This Row],[Llave]],'[5]Consolidación planes'!$A:$M,11,FALSE),0)</f>
        <v>0</v>
      </c>
      <c r="BG56" s="20">
        <f>IFERROR(VLOOKUP(Tabla1[[#This Row],[Llave]],'[5]Consolidación planes'!$A:$M,12,FALSE),0)</f>
        <v>0</v>
      </c>
      <c r="BH56" s="20">
        <f>IFERROR(VLOOKUP(Tabla1[[#This Row],[Llave]],'[5]Consolidación planes'!$A:$M,13,FALSE),0)</f>
        <v>619</v>
      </c>
      <c r="BI56" s="20">
        <f>IFERROR(VLOOKUP(Tabla1[[#This Row],[Llave]],'[13]Base ultimos planes'!$A:$M,13,FALSE),0)</f>
        <v>0</v>
      </c>
      <c r="BJ56" s="80">
        <f>IFERROR(VLOOKUP(Tabla1[[#This Row],[Llave]],'[13]Base ultimos planes'!$O:$AA,8,FALSE),0)</f>
        <v>15619.1</v>
      </c>
      <c r="BK56" s="20">
        <f>IFERROR(VLOOKUP(Tabla1[[#This Row],[Llave]],'[13]Base ultimos planes'!$O:$AA,9,FALSE),0)</f>
        <v>0</v>
      </c>
      <c r="BL56" s="20">
        <f>IFERROR(VLOOKUP(Tabla1[[#This Row],[Llave]],'[13]Base ultimos planes'!$O:$AA,10,FALSE),0)</f>
        <v>0</v>
      </c>
      <c r="BM56" s="20">
        <f>IFERROR(VLOOKUP(Tabla1[[#This Row],[Llave]],'[13]Base ultimos planes'!$O:$AA,11,FALSE),0)</f>
        <v>0</v>
      </c>
      <c r="BN56" s="20">
        <f>IFERROR(VLOOKUP(Tabla1[[#This Row],[Llave]],'[13]Base ultimos planes'!$O:$AA,12,FALSE),0)</f>
        <v>2105</v>
      </c>
      <c r="BO56" s="20">
        <f>IFERROR(VLOOKUP(Tabla1[[#This Row],[Llave]],'[13]Base ultimos planes'!$O:$AA,13,FALSE),0)</f>
        <v>0</v>
      </c>
      <c r="BP56" s="20"/>
      <c r="BQ56" s="20">
        <f>+Tabla1[[#This Row],[ RV  Venta mes n+1]]*(1-Tabla1[[#This Row],[% Uti. producción]])</f>
        <v>0</v>
      </c>
      <c r="BR56" s="100"/>
    </row>
    <row r="57" spans="1:70" ht="16" hidden="1" x14ac:dyDescent="0.2">
      <c r="A57">
        <v>1</v>
      </c>
      <c r="B57" t="str">
        <f>Tabla1[[#This Row],[Oficina]]&amp;Tabla1[[#This Row],[Material]]</f>
        <v>Agro Sudamerica1022406</v>
      </c>
      <c r="C57" t="s">
        <v>6</v>
      </c>
      <c r="D57" t="s">
        <v>17</v>
      </c>
      <c r="E57">
        <v>1022406</v>
      </c>
      <c r="F57" t="s">
        <v>78</v>
      </c>
      <c r="G57" t="s">
        <v>76</v>
      </c>
      <c r="H57" t="s">
        <v>77</v>
      </c>
      <c r="I57" s="7">
        <f>IFERROR(VLOOKUP(Tabla1[[#This Row],[Llave]],'[7]RV Producción'!$C:$G,5,FALSE),0)</f>
        <v>0</v>
      </c>
      <c r="J57" s="3">
        <f>IFERROR(IF(Tabla1[[#This Row],[Oficina]]=$I$7,VLOOKUP(Tabla1[[#This Row],[Llave]],'[7]Shangai (Tomas)'!$A:$F,6,FALSE),VLOOKUP(Tabla1[[#This Row],[Llave]],'[7]RV plan de ventas'!$A:$E,5,FALSE)),0)</f>
        <v>0</v>
      </c>
      <c r="K57" s="8">
        <f>IFERROR(VLOOKUP(Tabla1[[#This Row],[Oficina]],[15]Ponderación!$B$2:$E$9,4,FALSE),0)</f>
        <v>0.45719439678473212</v>
      </c>
      <c r="L57" s="7">
        <f>+Tabla1[[#This Row],[ RV Producción mes n+1]]*Tabla1[[#This Row],[% Uti. producción]]</f>
        <v>0</v>
      </c>
      <c r="M57" s="7">
        <f>IFERROR(VLOOKUP(Tabla1[[#This Row],[Material]],'[17]TD Stock'!$E:$I,5,FALSE),0)</f>
        <v>7865.3429999999971</v>
      </c>
      <c r="N57" s="7">
        <f>IFERROR(VLOOKUP(Tabla1[[#This Row],[Material]],[16]Produccion!$M:$N,2,FALSE),0)</f>
        <v>0</v>
      </c>
      <c r="O57" s="7">
        <f>IFERROR(VLOOKUP(Tabla1[[#This Row],[Llave]],'[16]TD Conf-AP'!$I:$M,4,FALSE),0)</f>
        <v>0</v>
      </c>
      <c r="P57" s="14">
        <f>SUM(Tabla1[[#This Row],[Producción disponible]],Tabla1[[#This Row],[Stock al día]],(Tabla1[[#This Row],[Por producir mes N]]*0.9))-Tabla1[[#This Row],[Producción por despachar mes N]]</f>
        <v>7865.3429999999971</v>
      </c>
      <c r="Q57" s="7">
        <f>IFERROR(VLOOKUP(Tabla1[[#This Row],[Llave]],[17]DELAY!$A:$D,4,FALSE),0)</f>
        <v>8000</v>
      </c>
      <c r="R57" s="9">
        <v>24000</v>
      </c>
      <c r="S57" s="5">
        <f t="shared" si="29"/>
        <v>0</v>
      </c>
      <c r="T57" s="76">
        <v>0</v>
      </c>
      <c r="U57" s="5">
        <f>+Tabla1[[#This Row],[Atraso a facturar]]+Tabla1[[#This Row],[Ajuste atraso]]</f>
        <v>0</v>
      </c>
      <c r="V57" s="3">
        <f>+Tabla1[[#This Row],[Total disponible]]-Tabla1[[#This Row],[Facturación atraso]]</f>
        <v>7865.3429999999971</v>
      </c>
      <c r="W57" s="6">
        <f>IFERROR(IF(AND(V57&gt;R57,J57&gt;=R57),ROUNDDOWN((Tabla1[[#This Row],[Producción para venta nueva]])/R57,0)*R57,0),0)</f>
        <v>0</v>
      </c>
      <c r="X57" s="76">
        <v>0</v>
      </c>
      <c r="Y57" s="6">
        <f>IF(Tabla1[[#This Row],[Venta del mes]]&gt;0,Tabla1[[#This Row],[Venta del mes]]+Tabla1[[#This Row],[Ajuste venta nueva]],0)</f>
        <v>0</v>
      </c>
      <c r="Z57" s="6">
        <f>+Tabla1[[#This Row],[Producción para venta nueva]]-Tabla1[[#This Row],[Facturación Venta nueva]]</f>
        <v>7865.3429999999971</v>
      </c>
      <c r="AA57" s="6">
        <f>IF(AND(A57=1,Tabla1[[#This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7" s="6"/>
      <c r="AC57" s="6">
        <f>IF(Tabla1[[#This Row],[Disponible stock sin venta]]&gt;0,Tabla1[[#This Row],[Disponible stock sin venta]]+Tabla1[[#This Row],[Ajuste stock sin venta]],0)</f>
        <v>0</v>
      </c>
      <c r="AD57" s="3">
        <f>IFERROR(VLOOKUP(Tabla1[[#This Row],[Llave]],'[16]TD Puerto'!$A:$D,4,FALSE),0)</f>
        <v>0</v>
      </c>
      <c r="AE57" s="3">
        <v>0</v>
      </c>
      <c r="AF57" s="3">
        <f>+Tabla1[[#This Row],[Atraso a facturar]]+Tabla1[[#This Row],[Venta del mes]]+Tabla1[[#This Row],[En puerto a facturar]]+Tabla1[[#This Row],[Disponible stock sin venta]]</f>
        <v>0</v>
      </c>
      <c r="AG57" s="3">
        <f>+Tabla1[[#This Row],[En puerto a facturar]]</f>
        <v>0</v>
      </c>
      <c r="AH57" s="3">
        <f>+Tabla1[[#This Row],[Facturación atraso]]</f>
        <v>0</v>
      </c>
      <c r="AI57" s="3">
        <f>+Tabla1[[#This Row],[Plan Irrestricto]]-Tabla1[[#This Row],[Puerto ]]-Tabla1[[#This Row],[Atraso]]</f>
        <v>0</v>
      </c>
      <c r="AJ5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57" s="3">
        <f>+Tabla1[[#This Row],[Facturación atraso]]</f>
        <v>0</v>
      </c>
      <c r="AL57" s="3">
        <f>+Tabla1[[#This Row],[Plan Ajustado]]-Tabla1[[#This Row],[ Atraso ajustado]]-Tabla1[[#This Row],[Puerto ]]</f>
        <v>0</v>
      </c>
      <c r="AM57" s="3">
        <v>0</v>
      </c>
      <c r="AN57" s="3" t="str">
        <f>IF(Tabla1[[#This Row],[Plan Ajustado]]&gt;Tabla1[[#This Row],[En puerto a facturar]],"Si","No")</f>
        <v>No</v>
      </c>
      <c r="AO5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57" s="3">
        <f>IF(Tabla1[[#This Row],[Necesidad]]&gt;=Tabla1[[#This Row],[Stock al día]],Tabla1[[#This Row],[Stock al día]],Tabla1[[#This Row],[Necesidad]])</f>
        <v>0</v>
      </c>
      <c r="AQ57" s="3">
        <f>+Tabla1[[#This Row],[Necesidad]]-Tabla1[[#This Row],[Stock Plan]]</f>
        <v>0</v>
      </c>
      <c r="AR57" s="156">
        <f>IFERROR(VLOOKUP(Tabla1[[#This Row],[Oficina]],[22]Ponderación!$B$3:$G$9,6,FALSE),"")</f>
        <v>44757</v>
      </c>
      <c r="AS5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2.1843070367596704</v>
      </c>
      <c r="AT57" s="83">
        <f>IFERROR(VLOOKUP(Tabla1[[#This Row],[Llave]],[17]DELAY!$H:$W,16,FALSE),0)</f>
        <v>3.85</v>
      </c>
      <c r="AU5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57" s="5">
        <f>+Tabla1[[#This Row],[Plan Ajustado]]*Tabla1[[#This Row],[Precio ponderado]]</f>
        <v>0</v>
      </c>
      <c r="AW57" s="30">
        <f>IFERROR(VLOOKUP(Tabla1[[#This Row],[Llave]],'[13]Ultimos precios facturados'!$A:$G,7,FALSE),0)</f>
        <v>2.1843070367596704</v>
      </c>
      <c r="AX5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57" s="30"/>
      <c r="AZ57" s="30">
        <f>IF(Tabla1[[#This Row],[Ajuste precio IC]]="",Tabla1[[#This Row],[Precio ponderado]],Tabla1[[#This Row],[Precio ponderado]])</f>
        <v>0</v>
      </c>
      <c r="BA57" s="82"/>
      <c r="BB57" s="82" t="str">
        <f>IF(AND(Tabla1[[#This Row],[Atraso a facturar]]&gt;0,Tabla1[[#This Row],[Precio Atraso]]=0),"Revisar","OK")</f>
        <v>OK</v>
      </c>
      <c r="BC57" s="82" t="str">
        <f>IF(AND(Tabla1[[#This Row],[Venta del mes]]&gt;0,Tabla1[[#This Row],[Precio venta nueva]]=0),"Revisar","OK")</f>
        <v>OK</v>
      </c>
      <c r="BD57" s="20">
        <f>IFERROR(VLOOKUP(Tabla1[[#This Row],[Llave]],'[5]Consolidación planes'!$A:$M,9,FALSE),0)</f>
        <v>0</v>
      </c>
      <c r="BE57" s="20">
        <f>IFERROR(VLOOKUP(Tabla1[[#This Row],[Llave]],'[5]Consolidación planes'!$A:$M,10,FALSE),0)</f>
        <v>0</v>
      </c>
      <c r="BF57" s="20">
        <f>IFERROR(VLOOKUP(Tabla1[[#This Row],[Llave]],'[5]Consolidación planes'!$A:$M,11,FALSE),0)</f>
        <v>0</v>
      </c>
      <c r="BG57" s="20">
        <f>IFERROR(VLOOKUP(Tabla1[[#This Row],[Llave]],'[5]Consolidación planes'!$A:$M,12,FALSE),0)</f>
        <v>0</v>
      </c>
      <c r="BH57" s="20">
        <f>IFERROR(VLOOKUP(Tabla1[[#This Row],[Llave]],'[5]Consolidación planes'!$A:$M,13,FALSE),0)</f>
        <v>0</v>
      </c>
      <c r="BI57" s="20">
        <f>IFERROR(VLOOKUP(Tabla1[[#This Row],[Llave]],'[13]Base ultimos planes'!$A:$M,13,FALSE),0)</f>
        <v>0</v>
      </c>
      <c r="BJ57" s="80">
        <f>IFERROR(VLOOKUP(Tabla1[[#This Row],[Llave]],'[13]Base ultimos planes'!$O:$AA,8,FALSE),0)</f>
        <v>0</v>
      </c>
      <c r="BK57" s="20">
        <f>IFERROR(VLOOKUP(Tabla1[[#This Row],[Llave]],'[13]Base ultimos planes'!$O:$AA,9,FALSE),0)</f>
        <v>0</v>
      </c>
      <c r="BL57" s="20">
        <f>IFERROR(VLOOKUP(Tabla1[[#This Row],[Llave]],'[13]Base ultimos planes'!$O:$AA,10,FALSE),0)</f>
        <v>0</v>
      </c>
      <c r="BM57" s="20">
        <f>IFERROR(VLOOKUP(Tabla1[[#This Row],[Llave]],'[13]Base ultimos planes'!$O:$AA,11,FALSE),0)</f>
        <v>0</v>
      </c>
      <c r="BN57" s="20">
        <f>IFERROR(VLOOKUP(Tabla1[[#This Row],[Llave]],'[13]Base ultimos planes'!$O:$AA,12,FALSE),0)</f>
        <v>0</v>
      </c>
      <c r="BO57" s="20">
        <f>IFERROR(VLOOKUP(Tabla1[[#This Row],[Llave]],'[13]Base ultimos planes'!$O:$AA,13,FALSE),0)</f>
        <v>0</v>
      </c>
      <c r="BP57" s="20"/>
      <c r="BQ57" s="20">
        <f>+Tabla1[[#This Row],[ RV  Venta mes n+1]]*(1-Tabla1[[#This Row],[% Uti. producción]])</f>
        <v>0</v>
      </c>
      <c r="BR57" s="100"/>
    </row>
    <row r="58" spans="1:70" ht="16" hidden="1" x14ac:dyDescent="0.2">
      <c r="A58">
        <v>1</v>
      </c>
      <c r="B58" t="str">
        <f>Tabla1[[#This Row],[Oficina]]&amp;Tabla1[[#This Row],[Material]]</f>
        <v>Agro Sudamerica1022409</v>
      </c>
      <c r="C58" t="s">
        <v>6</v>
      </c>
      <c r="D58" t="s">
        <v>17</v>
      </c>
      <c r="E58">
        <v>1022409</v>
      </c>
      <c r="F58" t="s">
        <v>80</v>
      </c>
      <c r="G58" t="s">
        <v>76</v>
      </c>
      <c r="H58" t="s">
        <v>79</v>
      </c>
      <c r="I58" s="7">
        <f>IFERROR(VLOOKUP(Tabla1[[#This Row],[Llave]],'[7]RV Producción'!$C:$G,5,FALSE),0)</f>
        <v>0</v>
      </c>
      <c r="J58" s="3">
        <f>IFERROR(IF(Tabla1[[#This Row],[Oficina]]=$I$7,VLOOKUP(Tabla1[[#This Row],[Llave]],'[7]Shangai (Tomas)'!$A:$F,6,FALSE),VLOOKUP(Tabla1[[#This Row],[Llave]],'[7]RV plan de ventas'!$A:$E,5,FALSE)),0)</f>
        <v>0</v>
      </c>
      <c r="K58" s="8">
        <f>IFERROR(VLOOKUP(Tabla1[[#This Row],[Oficina]],[15]Ponderación!$B$2:$E$9,4,FALSE),0)</f>
        <v>0.45719439678473212</v>
      </c>
      <c r="L58" s="7">
        <f>+Tabla1[[#This Row],[ RV Producción mes n+1]]*Tabla1[[#This Row],[% Uti. producción]]</f>
        <v>0</v>
      </c>
      <c r="M58" s="7">
        <f>IFERROR(VLOOKUP(Tabla1[[#This Row],[Material]],'[17]TD Stock'!$E:$I,5,FALSE),0)</f>
        <v>4095</v>
      </c>
      <c r="N58" s="7">
        <f>IFERROR(VLOOKUP(Tabla1[[#This Row],[Material]],[16]Produccion!$M:$N,2,FALSE),0)</f>
        <v>0</v>
      </c>
      <c r="O58" s="7">
        <f>IFERROR(VLOOKUP(Tabla1[[#This Row],[Llave]],'[16]TD Conf-AP'!$I:$M,4,FALSE),0)</f>
        <v>0</v>
      </c>
      <c r="P58" s="14">
        <f>SUM(Tabla1[[#This Row],[Producción disponible]],Tabla1[[#This Row],[Stock al día]],(Tabla1[[#This Row],[Por producir mes N]]*0.9))-Tabla1[[#This Row],[Producción por despachar mes N]]</f>
        <v>4095</v>
      </c>
      <c r="Q58" s="7">
        <f>IFERROR(VLOOKUP(Tabla1[[#This Row],[Llave]],[17]DELAY!$A:$D,4,FALSE),0)</f>
        <v>27360</v>
      </c>
      <c r="R58" s="9">
        <v>24000</v>
      </c>
      <c r="S58" s="5">
        <f t="shared" si="29"/>
        <v>0</v>
      </c>
      <c r="T58" s="76">
        <v>0</v>
      </c>
      <c r="U58" s="5">
        <f>+Tabla1[[#This Row],[Atraso a facturar]]+Tabla1[[#This Row],[Ajuste atraso]]</f>
        <v>0</v>
      </c>
      <c r="V58" s="3">
        <f>+Tabla1[[#This Row],[Total disponible]]-Tabla1[[#This Row],[Facturación atraso]]</f>
        <v>4095</v>
      </c>
      <c r="W58" s="6">
        <f>IFERROR(IF(AND(V58&gt;R58,J58&gt;=R58),ROUNDDOWN((Tabla1[[#This Row],[Producción para venta nueva]])/R58,0)*R58,0),0)</f>
        <v>0</v>
      </c>
      <c r="X58" s="76">
        <v>0</v>
      </c>
      <c r="Y58" s="6">
        <f>IF(Tabla1[[#This Row],[Venta del mes]]&gt;0,Tabla1[[#This Row],[Venta del mes]]+Tabla1[[#This Row],[Ajuste venta nueva]],0)</f>
        <v>0</v>
      </c>
      <c r="Z58" s="6">
        <f>+Tabla1[[#This Row],[Producción para venta nueva]]-Tabla1[[#This Row],[Facturación Venta nueva]]</f>
        <v>4095</v>
      </c>
      <c r="AA58" s="6">
        <f>IF(AND(A58=1,Tabla1[[#This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8" s="6"/>
      <c r="AC58" s="6">
        <f>IF(Tabla1[[#This Row],[Disponible stock sin venta]]&gt;0,Tabla1[[#This Row],[Disponible stock sin venta]]+Tabla1[[#This Row],[Ajuste stock sin venta]],0)</f>
        <v>0</v>
      </c>
      <c r="AD58" s="3">
        <f>IFERROR(VLOOKUP(Tabla1[[#This Row],[Llave]],'[16]TD Puerto'!$A:$D,4,FALSE),0)</f>
        <v>0</v>
      </c>
      <c r="AE58" s="3">
        <v>0</v>
      </c>
      <c r="AF58" s="3">
        <f>+Tabla1[[#This Row],[Atraso a facturar]]+Tabla1[[#This Row],[Venta del mes]]+Tabla1[[#This Row],[En puerto a facturar]]+Tabla1[[#This Row],[Disponible stock sin venta]]</f>
        <v>0</v>
      </c>
      <c r="AG58" s="3">
        <f>+Tabla1[[#This Row],[En puerto a facturar]]</f>
        <v>0</v>
      </c>
      <c r="AH58" s="3">
        <f>+Tabla1[[#This Row],[Facturación atraso]]</f>
        <v>0</v>
      </c>
      <c r="AI58" s="3">
        <f>+Tabla1[[#This Row],[Plan Irrestricto]]-Tabla1[[#This Row],[Puerto ]]-Tabla1[[#This Row],[Atraso]]</f>
        <v>0</v>
      </c>
      <c r="AJ5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58" s="3">
        <f>+Tabla1[[#This Row],[Facturación atraso]]</f>
        <v>0</v>
      </c>
      <c r="AL58" s="3">
        <f>+Tabla1[[#This Row],[Plan Ajustado]]-Tabla1[[#This Row],[ Atraso ajustado]]-Tabla1[[#This Row],[Puerto ]]</f>
        <v>0</v>
      </c>
      <c r="AM58" s="3">
        <v>0</v>
      </c>
      <c r="AN58" s="3" t="str">
        <f>IF(Tabla1[[#This Row],[Plan Ajustado]]&gt;Tabla1[[#This Row],[En puerto a facturar]],"Si","No")</f>
        <v>No</v>
      </c>
      <c r="AO5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58" s="3">
        <f>IF(Tabla1[[#This Row],[Necesidad]]&gt;=Tabla1[[#This Row],[Stock al día]],Tabla1[[#This Row],[Stock al día]],Tabla1[[#This Row],[Necesidad]])</f>
        <v>0</v>
      </c>
      <c r="AQ58" s="3">
        <f>+Tabla1[[#This Row],[Necesidad]]-Tabla1[[#This Row],[Stock Plan]]</f>
        <v>0</v>
      </c>
      <c r="AR58" s="156">
        <f>IFERROR(VLOOKUP(Tabla1[[#This Row],[Oficina]],[22]Ponderación!$B$3:$G$9,6,FALSE),"")</f>
        <v>44757</v>
      </c>
      <c r="AS5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4.767687552213868</v>
      </c>
      <c r="AT58" s="83">
        <f>IFERROR(VLOOKUP(Tabla1[[#This Row],[Llave]],[17]DELAY!$H:$W,16,FALSE),0)</f>
        <v>4.8652203425229699</v>
      </c>
      <c r="AU5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58" s="5">
        <f>+Tabla1[[#This Row],[Plan Ajustado]]*Tabla1[[#This Row],[Precio ponderado]]</f>
        <v>0</v>
      </c>
      <c r="AW58" s="30">
        <f>IFERROR(VLOOKUP(Tabla1[[#This Row],[Llave]],'[13]Ultimos precios facturados'!$A:$G,7,FALSE),0)</f>
        <v>4.767687552213868</v>
      </c>
      <c r="AX5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58" s="30">
        <v>4.7500000000000001E-2</v>
      </c>
      <c r="AZ58" s="30">
        <f>IF(Tabla1[[#This Row],[Ajuste precio IC]]="",Tabla1[[#This Row],[Precio ponderado]],Tabla1[[#This Row],[Precio ponderado]])</f>
        <v>0</v>
      </c>
      <c r="BA58" s="82"/>
      <c r="BB58" s="82" t="str">
        <f>IF(AND(Tabla1[[#This Row],[Atraso a facturar]]&gt;0,Tabla1[[#This Row],[Precio Atraso]]=0),"Revisar","OK")</f>
        <v>OK</v>
      </c>
      <c r="BC58" s="82" t="str">
        <f>IF(AND(Tabla1[[#This Row],[Venta del mes]]&gt;0,Tabla1[[#This Row],[Precio venta nueva]]=0),"Revisar","OK")</f>
        <v>OK</v>
      </c>
      <c r="BD58" s="20">
        <f>IFERROR(VLOOKUP(Tabla1[[#This Row],[Llave]],'[5]Consolidación planes'!$A:$M,9,FALSE),0)</f>
        <v>23940</v>
      </c>
      <c r="BE58" s="20">
        <f>IFERROR(VLOOKUP(Tabla1[[#This Row],[Llave]],'[5]Consolidación planes'!$A:$M,10,FALSE),0)</f>
        <v>13680</v>
      </c>
      <c r="BF58" s="20">
        <f>IFERROR(VLOOKUP(Tabla1[[#This Row],[Llave]],'[5]Consolidación planes'!$A:$M,11,FALSE),0)</f>
        <v>23940</v>
      </c>
      <c r="BG58" s="20">
        <f>IFERROR(VLOOKUP(Tabla1[[#This Row],[Llave]],'[5]Consolidación planes'!$A:$M,12,FALSE),0)</f>
        <v>13680</v>
      </c>
      <c r="BH58" s="20">
        <f>IFERROR(VLOOKUP(Tabla1[[#This Row],[Llave]],'[5]Consolidación planes'!$A:$M,13,FALSE),0)</f>
        <v>0</v>
      </c>
      <c r="BI58" s="20">
        <f>IFERROR(VLOOKUP(Tabla1[[#This Row],[Llave]],'[13]Base ultimos planes'!$A:$M,13,FALSE),0)</f>
        <v>13680</v>
      </c>
      <c r="BJ58" s="80">
        <f>IFERROR(VLOOKUP(Tabla1[[#This Row],[Llave]],'[13]Base ultimos planes'!$O:$AA,8,FALSE),0)</f>
        <v>113715</v>
      </c>
      <c r="BK58" s="20">
        <f>IFERROR(VLOOKUP(Tabla1[[#This Row],[Llave]],'[13]Base ultimos planes'!$O:$AA,9,FALSE),0)</f>
        <v>114912</v>
      </c>
      <c r="BL58" s="20">
        <f>IFERROR(VLOOKUP(Tabla1[[#This Row],[Llave]],'[13]Base ultimos planes'!$O:$AA,10,FALSE),0)</f>
        <v>116348</v>
      </c>
      <c r="BM58" s="20">
        <f>IFERROR(VLOOKUP(Tabla1[[#This Row],[Llave]],'[13]Base ultimos planes'!$O:$AA,11,FALSE),0)</f>
        <v>114228</v>
      </c>
      <c r="BN58" s="20">
        <f>IFERROR(VLOOKUP(Tabla1[[#This Row],[Llave]],'[13]Base ultimos planes'!$O:$AA,12,FALSE),0)</f>
        <v>0</v>
      </c>
      <c r="BO58" s="20">
        <f>IFERROR(VLOOKUP(Tabla1[[#This Row],[Llave]],'[13]Base ultimos planes'!$O:$AA,13,FALSE),0)</f>
        <v>115520</v>
      </c>
      <c r="BP58" s="20"/>
      <c r="BQ58" s="20">
        <f>+Tabla1[[#This Row],[ RV  Venta mes n+1]]*(1-Tabla1[[#This Row],[% Uti. producción]])</f>
        <v>0</v>
      </c>
      <c r="BR58" s="100"/>
    </row>
    <row r="59" spans="1:70" ht="16" hidden="1" x14ac:dyDescent="0.2">
      <c r="A59">
        <v>1</v>
      </c>
      <c r="B59" t="str">
        <f>Tabla1[[#This Row],[Oficina]]&amp;Tabla1[[#This Row],[Material]]</f>
        <v>Agro Sudamerica1022569</v>
      </c>
      <c r="C59" t="s">
        <v>6</v>
      </c>
      <c r="D59" t="s">
        <v>17</v>
      </c>
      <c r="E59">
        <v>1022569</v>
      </c>
      <c r="F59" t="s">
        <v>277</v>
      </c>
      <c r="G59" t="s">
        <v>18</v>
      </c>
      <c r="H59" t="s">
        <v>21</v>
      </c>
      <c r="I59" s="7">
        <f>IFERROR(VLOOKUP(Tabla1[[#This Row],[Llave]],'[7]RV Producción'!$C:$G,5,FALSE),0)</f>
        <v>0</v>
      </c>
      <c r="J59" s="3">
        <f>IFERROR(IF(Tabla1[[#This Row],[Oficina]]=$I$7,VLOOKUP(Tabla1[[#This Row],[Llave]],'[7]Shangai (Tomas)'!$A:$F,6,FALSE),VLOOKUP(Tabla1[[#This Row],[Llave]],'[7]RV plan de ventas'!$A:$E,5,FALSE)),0)</f>
        <v>0</v>
      </c>
      <c r="K59" s="8">
        <f>IFERROR(VLOOKUP(Tabla1[[#This Row],[Oficina]],[15]Ponderación!$B$2:$E$9,4,FALSE),0)</f>
        <v>0.45719439678473212</v>
      </c>
      <c r="L59" s="7">
        <f>+Tabla1[[#This Row],[ RV Producción mes n+1]]*Tabla1[[#This Row],[% Uti. producción]]</f>
        <v>0</v>
      </c>
      <c r="M59" s="7">
        <f>IFERROR(VLOOKUP(Tabla1[[#This Row],[Material]],'[17]TD Stock'!$E:$I,5,FALSE),0)</f>
        <v>5110</v>
      </c>
      <c r="N59" s="7">
        <f>IFERROR(VLOOKUP(Tabla1[[#This Row],[Material]],[16]Produccion!$M:$N,2,FALSE),0)</f>
        <v>0</v>
      </c>
      <c r="O59" s="7">
        <f>IFERROR(VLOOKUP(Tabla1[[#This Row],[Llave]],'[16]TD Conf-AP'!$I:$M,4,FALSE),0)</f>
        <v>0</v>
      </c>
      <c r="P59" s="14">
        <f>SUM(Tabla1[[#This Row],[Producción disponible]],Tabla1[[#This Row],[Stock al día]],(Tabla1[[#This Row],[Por producir mes N]]*0.9))-Tabla1[[#This Row],[Producción por despachar mes N]]</f>
        <v>5110</v>
      </c>
      <c r="Q59" s="7">
        <f>IFERROR(VLOOKUP(Tabla1[[#This Row],[Llave]],[17]DELAY!$A:$D,4,FALSE),0)</f>
        <v>0</v>
      </c>
      <c r="R59" s="9">
        <v>24000</v>
      </c>
      <c r="S59" s="5">
        <f t="shared" si="29"/>
        <v>0</v>
      </c>
      <c r="T59" s="76">
        <v>0</v>
      </c>
      <c r="U59" s="5">
        <f>+Tabla1[[#This Row],[Atraso a facturar]]+Tabla1[[#This Row],[Ajuste atraso]]</f>
        <v>0</v>
      </c>
      <c r="V59" s="3">
        <f>+Tabla1[[#This Row],[Total disponible]]-Tabla1[[#This Row],[Facturación atraso]]</f>
        <v>5110</v>
      </c>
      <c r="W59" s="6">
        <f>IFERROR(IF(AND(V59&gt;R59,J59&gt;=R59),ROUNDDOWN((Tabla1[[#This Row],[Producción para venta nueva]])/R59,0)*R59,0),0)</f>
        <v>0</v>
      </c>
      <c r="X59" s="76">
        <v>0</v>
      </c>
      <c r="Y59" s="6">
        <f>IF(Tabla1[[#This Row],[Venta del mes]]&gt;0,Tabla1[[#This Row],[Venta del mes]]+Tabla1[[#This Row],[Ajuste venta nueva]],0)</f>
        <v>0</v>
      </c>
      <c r="Z59" s="6">
        <f>+Tabla1[[#This Row],[Producción para venta nueva]]-Tabla1[[#This Row],[Facturación Venta nueva]]</f>
        <v>5110</v>
      </c>
      <c r="AA59" s="6">
        <f>IF(AND(A59=1,Tabla1[[#This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59" s="6"/>
      <c r="AC59" s="6">
        <f>IF(Tabla1[[#This Row],[Disponible stock sin venta]]&gt;0,Tabla1[[#This Row],[Disponible stock sin venta]]+Tabla1[[#This Row],[Ajuste stock sin venta]],0)</f>
        <v>0</v>
      </c>
      <c r="AD59" s="3">
        <f>IFERROR(VLOOKUP(Tabla1[[#This Row],[Llave]],'[16]TD Puerto'!$A:$D,4,FALSE),0)</f>
        <v>0</v>
      </c>
      <c r="AE59" s="3">
        <v>0</v>
      </c>
      <c r="AF59" s="3">
        <f>+Tabla1[[#This Row],[Atraso a facturar]]+Tabla1[[#This Row],[Venta del mes]]+Tabla1[[#This Row],[En puerto a facturar]]+Tabla1[[#This Row],[Disponible stock sin venta]]</f>
        <v>0</v>
      </c>
      <c r="AG59" s="3">
        <f>+Tabla1[[#This Row],[En puerto a facturar]]</f>
        <v>0</v>
      </c>
      <c r="AH59" s="3">
        <f>+Tabla1[[#This Row],[Facturación atraso]]</f>
        <v>0</v>
      </c>
      <c r="AI59" s="3">
        <f>+Tabla1[[#This Row],[Plan Irrestricto]]-Tabla1[[#This Row],[Puerto ]]-Tabla1[[#This Row],[Atraso]]</f>
        <v>0</v>
      </c>
      <c r="AJ5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59" s="3">
        <f>+Tabla1[[#This Row],[Facturación atraso]]</f>
        <v>0</v>
      </c>
      <c r="AL59" s="3">
        <f>+Tabla1[[#This Row],[Plan Ajustado]]-Tabla1[[#This Row],[ Atraso ajustado]]-Tabla1[[#This Row],[Puerto ]]</f>
        <v>0</v>
      </c>
      <c r="AM59" s="3">
        <v>0</v>
      </c>
      <c r="AN59" s="3" t="str">
        <f>IF(Tabla1[[#This Row],[Plan Ajustado]]&gt;Tabla1[[#This Row],[En puerto a facturar]],"Si","No")</f>
        <v>No</v>
      </c>
      <c r="AO5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59" s="3">
        <f>IF(Tabla1[[#This Row],[Necesidad]]&gt;=Tabla1[[#This Row],[Stock al día]],Tabla1[[#This Row],[Stock al día]],Tabla1[[#This Row],[Necesidad]])</f>
        <v>0</v>
      </c>
      <c r="AQ59" s="3">
        <f>+Tabla1[[#This Row],[Necesidad]]-Tabla1[[#This Row],[Stock Plan]]</f>
        <v>0</v>
      </c>
      <c r="AR59" s="156">
        <f>IFERROR(VLOOKUP(Tabla1[[#This Row],[Oficina]],[22]Ponderación!$B$3:$G$9,6,FALSE),"")</f>
        <v>44757</v>
      </c>
      <c r="AS5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7.0788385399999996</v>
      </c>
      <c r="AT59" s="83">
        <f>IFERROR(VLOOKUP(Tabla1[[#This Row],[Llave]],[17]DELAY!$H:$W,16,FALSE),0)</f>
        <v>0</v>
      </c>
      <c r="AU5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59" s="5">
        <f>+Tabla1[[#This Row],[Plan Ajustado]]*Tabla1[[#This Row],[Precio ponderado]]</f>
        <v>0</v>
      </c>
      <c r="AW59" s="30">
        <f>IFERROR(VLOOKUP(Tabla1[[#This Row],[Llave]],'[13]Ultimos precios facturados'!$A:$G,7,FALSE),0)</f>
        <v>7.0788385399999996</v>
      </c>
      <c r="AX5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59" s="30"/>
      <c r="AZ59" s="30">
        <f>IF(Tabla1[[#This Row],[Ajuste precio IC]]="",Tabla1[[#This Row],[Precio ponderado]],Tabla1[[#This Row],[Precio ponderado]])</f>
        <v>0</v>
      </c>
      <c r="BA59" s="82"/>
      <c r="BB59" s="82" t="str">
        <f>IF(AND(Tabla1[[#This Row],[Atraso a facturar]]&gt;0,Tabla1[[#This Row],[Precio Atraso]]=0),"Revisar","OK")</f>
        <v>OK</v>
      </c>
      <c r="BC59" s="82" t="str">
        <f>IF(AND(Tabla1[[#This Row],[Venta del mes]]&gt;0,Tabla1[[#This Row],[Precio venta nueva]]=0),"Revisar","OK")</f>
        <v>OK</v>
      </c>
      <c r="BD59" s="20">
        <f>IFERROR(VLOOKUP(Tabla1[[#This Row],[Llave]],'[5]Consolidación planes'!$A:$M,9,FALSE),0)</f>
        <v>0</v>
      </c>
      <c r="BE59" s="20">
        <f>IFERROR(VLOOKUP(Tabla1[[#This Row],[Llave]],'[5]Consolidación planes'!$A:$M,10,FALSE),0)</f>
        <v>5000</v>
      </c>
      <c r="BF59" s="20">
        <f>IFERROR(VLOOKUP(Tabla1[[#This Row],[Llave]],'[5]Consolidación planes'!$A:$M,11,FALSE),0)</f>
        <v>0</v>
      </c>
      <c r="BG59" s="20">
        <f>IFERROR(VLOOKUP(Tabla1[[#This Row],[Llave]],'[5]Consolidación planes'!$A:$M,12,FALSE),0)</f>
        <v>0</v>
      </c>
      <c r="BH59" s="20">
        <f>IFERROR(VLOOKUP(Tabla1[[#This Row],[Llave]],'[5]Consolidación planes'!$A:$M,13,FALSE),0)</f>
        <v>5000</v>
      </c>
      <c r="BI59" s="20">
        <f>IFERROR(VLOOKUP(Tabla1[[#This Row],[Llave]],'[13]Base ultimos planes'!$A:$M,13,FALSE),0)</f>
        <v>5000</v>
      </c>
      <c r="BJ59" s="80">
        <f>IFERROR(VLOOKUP(Tabla1[[#This Row],[Llave]],'[13]Base ultimos planes'!$O:$AA,8,FALSE),0)</f>
        <v>0</v>
      </c>
      <c r="BK59" s="20">
        <f>IFERROR(VLOOKUP(Tabla1[[#This Row],[Llave]],'[13]Base ultimos planes'!$O:$AA,9,FALSE),0)</f>
        <v>35667</v>
      </c>
      <c r="BL59" s="20">
        <f>IFERROR(VLOOKUP(Tabla1[[#This Row],[Llave]],'[13]Base ultimos planes'!$O:$AA,10,FALSE),0)</f>
        <v>0</v>
      </c>
      <c r="BM59" s="20">
        <f>IFERROR(VLOOKUP(Tabla1[[#This Row],[Llave]],'[13]Base ultimos planes'!$O:$AA,11,FALSE),0)</f>
        <v>0</v>
      </c>
      <c r="BN59" s="20">
        <f>IFERROR(VLOOKUP(Tabla1[[#This Row],[Llave]],'[13]Base ultimos planes'!$O:$AA,12,FALSE),0)</f>
        <v>35400</v>
      </c>
      <c r="BO59" s="20">
        <f>IFERROR(VLOOKUP(Tabla1[[#This Row],[Llave]],'[13]Base ultimos planes'!$O:$AA,13,FALSE),0)</f>
        <v>35437</v>
      </c>
      <c r="BP59" s="20"/>
      <c r="BQ59" s="20">
        <f>+Tabla1[[#This Row],[ RV  Venta mes n+1]]*(1-Tabla1[[#This Row],[% Uti. producción]])</f>
        <v>0</v>
      </c>
      <c r="BR59" s="100"/>
    </row>
    <row r="60" spans="1:70" ht="16" hidden="1" x14ac:dyDescent="0.2">
      <c r="A60">
        <v>1</v>
      </c>
      <c r="B60" t="str">
        <f>Tabla1[[#This Row],[Oficina]]&amp;Tabla1[[#This Row],[Material]]</f>
        <v>Agro Sudamerica1022654</v>
      </c>
      <c r="C60" t="s">
        <v>6</v>
      </c>
      <c r="D60" t="s">
        <v>17</v>
      </c>
      <c r="E60">
        <v>1022654</v>
      </c>
      <c r="F60" t="s">
        <v>286</v>
      </c>
      <c r="G60" t="s">
        <v>71</v>
      </c>
      <c r="H60" t="s">
        <v>72</v>
      </c>
      <c r="I60" s="7">
        <f>IFERROR(VLOOKUP(Tabla1[[#This Row],[Llave]],'[7]RV Producción'!$C:$G,5,FALSE),0)</f>
        <v>0</v>
      </c>
      <c r="J60" s="3">
        <f>IFERROR(IF(Tabla1[[#This Row],[Oficina]]=$I$7,VLOOKUP(Tabla1[[#This Row],[Llave]],'[7]Shangai (Tomas)'!$A:$F,6,FALSE),VLOOKUP(Tabla1[[#This Row],[Llave]],'[7]RV plan de ventas'!$A:$E,5,FALSE)),0)</f>
        <v>0</v>
      </c>
      <c r="K60" s="8">
        <f>IFERROR(VLOOKUP(Tabla1[[#This Row],[Oficina]],[15]Ponderación!$B$2:$E$9,4,FALSE),0)</f>
        <v>0.45719439678473212</v>
      </c>
      <c r="L60" s="7">
        <f>+Tabla1[[#This Row],[ RV Producción mes n+1]]*Tabla1[[#This Row],[% Uti. producción]]</f>
        <v>0</v>
      </c>
      <c r="M60" s="7">
        <f>IFERROR(VLOOKUP(Tabla1[[#This Row],[Material]],'[17]TD Stock'!$E:$I,5,FALSE),0)</f>
        <v>120</v>
      </c>
      <c r="N60" s="7">
        <f>IFERROR(VLOOKUP(Tabla1[[#This Row],[Material]],[16]Produccion!$M:$N,2,FALSE),0)</f>
        <v>4</v>
      </c>
      <c r="O60" s="7">
        <f>IFERROR(VLOOKUP(Tabla1[[#This Row],[Llave]],'[16]TD Conf-AP'!$I:$M,4,FALSE),0)</f>
        <v>0</v>
      </c>
      <c r="P60" s="14">
        <f>SUM(Tabla1[[#This Row],[Producción disponible]],Tabla1[[#This Row],[Stock al día]],(Tabla1[[#This Row],[Por producir mes N]]*0.9))-Tabla1[[#This Row],[Producción por despachar mes N]]</f>
        <v>123.6</v>
      </c>
      <c r="Q60" s="7">
        <f>IFERROR(VLOOKUP(Tabla1[[#This Row],[Llave]],[17]DELAY!$A:$D,4,FALSE),0)</f>
        <v>46840</v>
      </c>
      <c r="R60" s="9">
        <v>24000</v>
      </c>
      <c r="S60" s="5">
        <f t="shared" si="29"/>
        <v>0</v>
      </c>
      <c r="T60" s="76">
        <v>0</v>
      </c>
      <c r="U60" s="5">
        <f>+Tabla1[[#This Row],[Atraso a facturar]]+Tabla1[[#This Row],[Ajuste atraso]]</f>
        <v>0</v>
      </c>
      <c r="V60" s="3">
        <f>+Tabla1[[#This Row],[Total disponible]]-Tabla1[[#This Row],[Facturación atraso]]</f>
        <v>123.6</v>
      </c>
      <c r="W60" s="6">
        <f>IFERROR(IF(AND(V60&gt;R60,J60&gt;=R60),ROUNDDOWN((Tabla1[[#This Row],[Producción para venta nueva]])/R60,0)*R60,0),0)</f>
        <v>0</v>
      </c>
      <c r="X60" s="76">
        <v>0</v>
      </c>
      <c r="Y60" s="6">
        <f>IF(Tabla1[[#This Row],[Venta del mes]]&gt;0,Tabla1[[#This Row],[Venta del mes]]+Tabla1[[#This Row],[Ajuste venta nueva]],0)</f>
        <v>0</v>
      </c>
      <c r="Z60" s="6">
        <f>+Tabla1[[#This Row],[Producción para venta nueva]]-Tabla1[[#This Row],[Facturación Venta nueva]]</f>
        <v>123.6</v>
      </c>
      <c r="AA60" s="6">
        <f>IF(AND(A60=1,Tabla1[[#This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0" s="6"/>
      <c r="AC60" s="6">
        <f>IF(Tabla1[[#This Row],[Disponible stock sin venta]]&gt;0,Tabla1[[#This Row],[Disponible stock sin venta]]+Tabla1[[#This Row],[Ajuste stock sin venta]],0)</f>
        <v>0</v>
      </c>
      <c r="AD60" s="3">
        <f>IFERROR(VLOOKUP(Tabla1[[#This Row],[Llave]],'[16]TD Puerto'!$A:$D,4,FALSE),0)</f>
        <v>0</v>
      </c>
      <c r="AE60" s="3">
        <v>0</v>
      </c>
      <c r="AF60" s="3">
        <f>+Tabla1[[#This Row],[Atraso a facturar]]+Tabla1[[#This Row],[Venta del mes]]+Tabla1[[#This Row],[En puerto a facturar]]+Tabla1[[#This Row],[Disponible stock sin venta]]</f>
        <v>0</v>
      </c>
      <c r="AG60" s="3">
        <f>+Tabla1[[#This Row],[En puerto a facturar]]</f>
        <v>0</v>
      </c>
      <c r="AH60" s="3">
        <f>+Tabla1[[#This Row],[Facturación atraso]]</f>
        <v>0</v>
      </c>
      <c r="AI60" s="3">
        <f>+Tabla1[[#This Row],[Plan Irrestricto]]-Tabla1[[#This Row],[Puerto ]]-Tabla1[[#This Row],[Atraso]]</f>
        <v>0</v>
      </c>
      <c r="AJ6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60" s="3">
        <f>+Tabla1[[#This Row],[Facturación atraso]]</f>
        <v>0</v>
      </c>
      <c r="AL60" s="3">
        <f>+Tabla1[[#This Row],[Plan Ajustado]]-Tabla1[[#This Row],[ Atraso ajustado]]-Tabla1[[#This Row],[Puerto ]]</f>
        <v>0</v>
      </c>
      <c r="AM60" s="3">
        <v>0</v>
      </c>
      <c r="AN60" s="3" t="str">
        <f>IF(Tabla1[[#This Row],[Plan Ajustado]]&gt;Tabla1[[#This Row],[En puerto a facturar]],"Si","No")</f>
        <v>No</v>
      </c>
      <c r="AO6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60" s="3">
        <f>IF(Tabla1[[#This Row],[Necesidad]]&gt;=Tabla1[[#This Row],[Stock al día]],Tabla1[[#This Row],[Stock al día]],Tabla1[[#This Row],[Necesidad]])</f>
        <v>0</v>
      </c>
      <c r="AQ60" s="3">
        <f>+Tabla1[[#This Row],[Necesidad]]-Tabla1[[#This Row],[Stock Plan]]</f>
        <v>0</v>
      </c>
      <c r="AR60" s="156">
        <f>IFERROR(VLOOKUP(Tabla1[[#This Row],[Oficina]],[22]Ponderación!$B$3:$G$9,6,FALSE),"")</f>
        <v>44757</v>
      </c>
      <c r="AS6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60" s="83">
        <f>IFERROR(VLOOKUP(Tabla1[[#This Row],[Llave]],[17]DELAY!$H:$W,16,FALSE),0)</f>
        <v>1.81078633005978</v>
      </c>
      <c r="AU6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60" s="5">
        <f>+Tabla1[[#This Row],[Plan Ajustado]]*Tabla1[[#This Row],[Precio ponderado]]</f>
        <v>0</v>
      </c>
      <c r="AW60" s="30">
        <f>IFERROR(VLOOKUP(Tabla1[[#This Row],[Llave]],'[13]Ultimos precios facturados'!$A:$G,7,FALSE),0)</f>
        <v>0</v>
      </c>
      <c r="AX6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60" s="30"/>
      <c r="AZ60" s="30">
        <f>IF(Tabla1[[#This Row],[Ajuste precio IC]]="",Tabla1[[#This Row],[Precio ponderado]],Tabla1[[#This Row],[Precio ponderado]])</f>
        <v>0</v>
      </c>
      <c r="BA60" s="82"/>
      <c r="BB60" s="82" t="str">
        <f>IF(AND(Tabla1[[#This Row],[Atraso a facturar]]&gt;0,Tabla1[[#This Row],[Precio Atraso]]=0),"Revisar","OK")</f>
        <v>OK</v>
      </c>
      <c r="BC60" s="82" t="str">
        <f>IF(AND(Tabla1[[#This Row],[Venta del mes]]&gt;0,Tabla1[[#This Row],[Precio venta nueva]]=0),"Revisar","OK")</f>
        <v>OK</v>
      </c>
      <c r="BD60" s="20">
        <f>IFERROR(VLOOKUP(Tabla1[[#This Row],[Llave]],'[5]Consolidación planes'!$A:$M,9,FALSE),0)</f>
        <v>0</v>
      </c>
      <c r="BE60" s="20">
        <f>IFERROR(VLOOKUP(Tabla1[[#This Row],[Llave]],'[5]Consolidación planes'!$A:$M,10,FALSE),0)</f>
        <v>3360</v>
      </c>
      <c r="BF60" s="20">
        <f>IFERROR(VLOOKUP(Tabla1[[#This Row],[Llave]],'[5]Consolidación planes'!$A:$M,11,FALSE),0)</f>
        <v>0</v>
      </c>
      <c r="BG60" s="20">
        <f>IFERROR(VLOOKUP(Tabla1[[#This Row],[Llave]],'[5]Consolidación planes'!$A:$M,12,FALSE),0)</f>
        <v>0</v>
      </c>
      <c r="BH60" s="20">
        <f>IFERROR(VLOOKUP(Tabla1[[#This Row],[Llave]],'[5]Consolidación planes'!$A:$M,13,FALSE),0)</f>
        <v>0</v>
      </c>
      <c r="BI60" s="20">
        <f>IFERROR(VLOOKUP(Tabla1[[#This Row],[Llave]],'[13]Base ultimos planes'!$A:$M,13,FALSE),0)</f>
        <v>0</v>
      </c>
      <c r="BJ60" s="80">
        <f>IFERROR(VLOOKUP(Tabla1[[#This Row],[Llave]],'[13]Base ultimos planes'!$O:$AA,8,FALSE),0)</f>
        <v>0</v>
      </c>
      <c r="BK60" s="20">
        <f>IFERROR(VLOOKUP(Tabla1[[#This Row],[Llave]],'[13]Base ultimos planes'!$O:$AA,9,FALSE),0)</f>
        <v>6104</v>
      </c>
      <c r="BL60" s="20">
        <f>IFERROR(VLOOKUP(Tabla1[[#This Row],[Llave]],'[13]Base ultimos planes'!$O:$AA,10,FALSE),0)</f>
        <v>0</v>
      </c>
      <c r="BM60" s="20">
        <f>IFERROR(VLOOKUP(Tabla1[[#This Row],[Llave]],'[13]Base ultimos planes'!$O:$AA,11,FALSE),0)</f>
        <v>0</v>
      </c>
      <c r="BN60" s="20">
        <f>IFERROR(VLOOKUP(Tabla1[[#This Row],[Llave]],'[13]Base ultimos planes'!$O:$AA,12,FALSE),0)</f>
        <v>0</v>
      </c>
      <c r="BO60" s="20">
        <f>IFERROR(VLOOKUP(Tabla1[[#This Row],[Llave]],'[13]Base ultimos planes'!$O:$AA,13,FALSE),0)</f>
        <v>0</v>
      </c>
      <c r="BP60" s="20"/>
      <c r="BQ60" s="20">
        <f>+Tabla1[[#This Row],[ RV  Venta mes n+1]]*(1-Tabla1[[#This Row],[% Uti. producción]])</f>
        <v>0</v>
      </c>
      <c r="BR60" s="100"/>
    </row>
    <row r="61" spans="1:70" ht="16" hidden="1" x14ac:dyDescent="0.2">
      <c r="A61">
        <v>1</v>
      </c>
      <c r="B61" t="str">
        <f>Tabla1[[#This Row],[Oficina]]&amp;Tabla1[[#This Row],[Material]]</f>
        <v>Agro Sudamerica1022705</v>
      </c>
      <c r="C61" t="s">
        <v>6</v>
      </c>
      <c r="D61" t="s">
        <v>17</v>
      </c>
      <c r="E61">
        <v>1022705</v>
      </c>
      <c r="F61" t="s">
        <v>150</v>
      </c>
      <c r="G61" t="s">
        <v>11</v>
      </c>
      <c r="H61" t="s">
        <v>47</v>
      </c>
      <c r="I61" s="7">
        <f>IFERROR(VLOOKUP(Tabla1[[#This Row],[Llave]],'[7]RV Producción'!$C:$G,5,FALSE),0)</f>
        <v>0</v>
      </c>
      <c r="J61" s="3">
        <f>IFERROR(IF(Tabla1[[#This Row],[Oficina]]=$I$7,VLOOKUP(Tabla1[[#This Row],[Llave]],'[7]Shangai (Tomas)'!$A:$F,6,FALSE),VLOOKUP(Tabla1[[#This Row],[Llave]],'[7]RV plan de ventas'!$A:$E,5,FALSE)),0)</f>
        <v>0</v>
      </c>
      <c r="K61" s="8">
        <f>IFERROR(VLOOKUP(Tabla1[[#This Row],[Oficina]],[15]Ponderación!$B$2:$E$9,4,FALSE),0)</f>
        <v>0.45719439678473212</v>
      </c>
      <c r="L61" s="7">
        <f>+Tabla1[[#This Row],[ RV Producción mes n+1]]*Tabla1[[#This Row],[% Uti. producción]]</f>
        <v>0</v>
      </c>
      <c r="M61" s="7">
        <f>IFERROR(VLOOKUP(Tabla1[[#This Row],[Material]],'[17]TD Stock'!$E:$I,5,FALSE),0)</f>
        <v>40.08</v>
      </c>
      <c r="N61" s="7">
        <f>IFERROR(VLOOKUP(Tabla1[[#This Row],[Material]],[16]Produccion!$M:$N,2,FALSE),0)</f>
        <v>0</v>
      </c>
      <c r="O61" s="7">
        <f>IFERROR(VLOOKUP(Tabla1[[#This Row],[Llave]],'[16]TD Conf-AP'!$I:$M,4,FALSE),0)</f>
        <v>0</v>
      </c>
      <c r="P61" s="14">
        <f>SUM(Tabla1[[#This Row],[Producción disponible]],Tabla1[[#This Row],[Stock al día]],(Tabla1[[#This Row],[Por producir mes N]]*0.9))-Tabla1[[#This Row],[Producción por despachar mes N]]</f>
        <v>40.08</v>
      </c>
      <c r="Q61" s="7">
        <f>IFERROR(VLOOKUP(Tabla1[[#This Row],[Llave]],[17]DELAY!$A:$D,4,FALSE),0)</f>
        <v>0</v>
      </c>
      <c r="R61" s="9">
        <v>24000</v>
      </c>
      <c r="S61" s="5">
        <f t="shared" si="29"/>
        <v>0</v>
      </c>
      <c r="T61" s="76">
        <v>0</v>
      </c>
      <c r="U61" s="5">
        <f>+Tabla1[[#This Row],[Atraso a facturar]]+Tabla1[[#This Row],[Ajuste atraso]]</f>
        <v>0</v>
      </c>
      <c r="V61" s="3">
        <f>+Tabla1[[#This Row],[Total disponible]]-Tabla1[[#This Row],[Facturación atraso]]</f>
        <v>40.08</v>
      </c>
      <c r="W61" s="6">
        <f>IFERROR(IF(AND(V61&gt;R61,J61&gt;=R61),ROUNDDOWN((Tabla1[[#This Row],[Producción para venta nueva]])/R61,0)*R61,0),0)</f>
        <v>0</v>
      </c>
      <c r="X61" s="76">
        <v>0</v>
      </c>
      <c r="Y61" s="6">
        <f>IF(Tabla1[[#This Row],[Venta del mes]]&gt;0,Tabla1[[#This Row],[Venta del mes]]+Tabla1[[#This Row],[Ajuste venta nueva]],0)</f>
        <v>0</v>
      </c>
      <c r="Z61" s="6">
        <f>+Tabla1[[#This Row],[Producción para venta nueva]]-Tabla1[[#This Row],[Facturación Venta nueva]]</f>
        <v>40.08</v>
      </c>
      <c r="AA61" s="6">
        <f>IF(AND(A61=1,Tabla1[[#This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1" s="6"/>
      <c r="AC61" s="6">
        <f>IF(Tabla1[[#This Row],[Disponible stock sin venta]]&gt;0,Tabla1[[#This Row],[Disponible stock sin venta]]+Tabla1[[#This Row],[Ajuste stock sin venta]],0)</f>
        <v>0</v>
      </c>
      <c r="AD61" s="3">
        <f>IFERROR(VLOOKUP(Tabla1[[#This Row],[Llave]],'[16]TD Puerto'!$A:$D,4,FALSE),0)</f>
        <v>0</v>
      </c>
      <c r="AE61" s="3">
        <v>0</v>
      </c>
      <c r="AF61" s="3">
        <f>+Tabla1[[#This Row],[Atraso a facturar]]+Tabla1[[#This Row],[Venta del mes]]+Tabla1[[#This Row],[En puerto a facturar]]+Tabla1[[#This Row],[Disponible stock sin venta]]</f>
        <v>0</v>
      </c>
      <c r="AG61" s="3">
        <f>+Tabla1[[#This Row],[En puerto a facturar]]</f>
        <v>0</v>
      </c>
      <c r="AH61" s="3">
        <f>+Tabla1[[#This Row],[Facturación atraso]]</f>
        <v>0</v>
      </c>
      <c r="AI61" s="3">
        <f>+Tabla1[[#This Row],[Plan Irrestricto]]-Tabla1[[#This Row],[Puerto ]]-Tabla1[[#This Row],[Atraso]]</f>
        <v>0</v>
      </c>
      <c r="AJ6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61" s="3">
        <f>+Tabla1[[#This Row],[Facturación atraso]]</f>
        <v>0</v>
      </c>
      <c r="AL61" s="3">
        <f>+Tabla1[[#This Row],[Plan Ajustado]]-Tabla1[[#This Row],[ Atraso ajustado]]-Tabla1[[#This Row],[Puerto ]]</f>
        <v>0</v>
      </c>
      <c r="AM61" s="3">
        <v>0</v>
      </c>
      <c r="AN61" s="3" t="str">
        <f>IF(Tabla1[[#This Row],[Plan Ajustado]]&gt;Tabla1[[#This Row],[En puerto a facturar]],"Si","No")</f>
        <v>No</v>
      </c>
      <c r="AO6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61" s="3">
        <f>IF(Tabla1[[#This Row],[Necesidad]]&gt;=Tabla1[[#This Row],[Stock al día]],Tabla1[[#This Row],[Stock al día]],Tabla1[[#This Row],[Necesidad]])</f>
        <v>0</v>
      </c>
      <c r="AQ61" s="3">
        <f>+Tabla1[[#This Row],[Necesidad]]-Tabla1[[#This Row],[Stock Plan]]</f>
        <v>0</v>
      </c>
      <c r="AR61" s="156">
        <f>IFERROR(VLOOKUP(Tabla1[[#This Row],[Oficina]],[22]Ponderación!$B$3:$G$9,6,FALSE),"")</f>
        <v>44757</v>
      </c>
      <c r="AS6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61" s="83">
        <f>IFERROR(VLOOKUP(Tabla1[[#This Row],[Llave]],[17]DELAY!$H:$W,16,FALSE),0)</f>
        <v>0</v>
      </c>
      <c r="AU6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61" s="5">
        <f>+Tabla1[[#This Row],[Plan Ajustado]]*Tabla1[[#This Row],[Precio ponderado]]</f>
        <v>0</v>
      </c>
      <c r="AW61" s="30">
        <f>IFERROR(VLOOKUP(Tabla1[[#This Row],[Llave]],'[13]Ultimos precios facturados'!$A:$G,7,FALSE),0)</f>
        <v>0</v>
      </c>
      <c r="AX6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61" s="30"/>
      <c r="AZ61" s="30">
        <f>IF(Tabla1[[#This Row],[Ajuste precio IC]]="",Tabla1[[#This Row],[Precio ponderado]],Tabla1[[#This Row],[Precio ponderado]])</f>
        <v>0</v>
      </c>
      <c r="BA61" s="82"/>
      <c r="BB61" s="82" t="str">
        <f>IF(AND(Tabla1[[#This Row],[Atraso a facturar]]&gt;0,Tabla1[[#This Row],[Precio Atraso]]=0),"Revisar","OK")</f>
        <v>OK</v>
      </c>
      <c r="BC61" s="82" t="str">
        <f>IF(AND(Tabla1[[#This Row],[Venta del mes]]&gt;0,Tabla1[[#This Row],[Precio venta nueva]]=0),"Revisar","OK")</f>
        <v>OK</v>
      </c>
      <c r="BD61" s="20">
        <f>IFERROR(VLOOKUP(Tabla1[[#This Row],[Llave]],'[5]Consolidación planes'!$A:$M,9,FALSE),0)</f>
        <v>0</v>
      </c>
      <c r="BE61" s="20">
        <f>IFERROR(VLOOKUP(Tabla1[[#This Row],[Llave]],'[5]Consolidación planes'!$A:$M,10,FALSE),0)</f>
        <v>0</v>
      </c>
      <c r="BF61" s="20">
        <f>IFERROR(VLOOKUP(Tabla1[[#This Row],[Llave]],'[5]Consolidación planes'!$A:$M,11,FALSE),0)</f>
        <v>0</v>
      </c>
      <c r="BG61" s="20">
        <f>IFERROR(VLOOKUP(Tabla1[[#This Row],[Llave]],'[5]Consolidación planes'!$A:$M,12,FALSE),0)</f>
        <v>0</v>
      </c>
      <c r="BH61" s="20">
        <f>IFERROR(VLOOKUP(Tabla1[[#This Row],[Llave]],'[5]Consolidación planes'!$A:$M,13,FALSE),0)</f>
        <v>0</v>
      </c>
      <c r="BI61" s="20">
        <f>IFERROR(VLOOKUP(Tabla1[[#This Row],[Llave]],'[13]Base ultimos planes'!$A:$M,13,FALSE),0)</f>
        <v>0</v>
      </c>
      <c r="BJ61" s="80">
        <f>IFERROR(VLOOKUP(Tabla1[[#This Row],[Llave]],'[13]Base ultimos planes'!$O:$AA,8,FALSE),0)</f>
        <v>0</v>
      </c>
      <c r="BK61" s="20">
        <f>IFERROR(VLOOKUP(Tabla1[[#This Row],[Llave]],'[13]Base ultimos planes'!$O:$AA,9,FALSE),0)</f>
        <v>0</v>
      </c>
      <c r="BL61" s="20">
        <f>IFERROR(VLOOKUP(Tabla1[[#This Row],[Llave]],'[13]Base ultimos planes'!$O:$AA,10,FALSE),0)</f>
        <v>0</v>
      </c>
      <c r="BM61" s="20">
        <f>IFERROR(VLOOKUP(Tabla1[[#This Row],[Llave]],'[13]Base ultimos planes'!$O:$AA,11,FALSE),0)</f>
        <v>0</v>
      </c>
      <c r="BN61" s="20">
        <f>IFERROR(VLOOKUP(Tabla1[[#This Row],[Llave]],'[13]Base ultimos planes'!$O:$AA,12,FALSE),0)</f>
        <v>0</v>
      </c>
      <c r="BO61" s="20">
        <f>IFERROR(VLOOKUP(Tabla1[[#This Row],[Llave]],'[13]Base ultimos planes'!$O:$AA,13,FALSE),0)</f>
        <v>0</v>
      </c>
      <c r="BP61" s="20"/>
      <c r="BQ61" s="20">
        <f>+Tabla1[[#This Row],[ RV  Venta mes n+1]]*(1-Tabla1[[#This Row],[% Uti. producción]])</f>
        <v>0</v>
      </c>
      <c r="BR61" s="100"/>
    </row>
    <row r="62" spans="1:70" ht="16" x14ac:dyDescent="0.2">
      <c r="A62">
        <v>1</v>
      </c>
      <c r="B62" t="str">
        <f>Tabla1[[#This Row],[Oficina]]&amp;Tabla1[[#This Row],[Material]]</f>
        <v>Agro Sudamerica1022709</v>
      </c>
      <c r="C62" t="s">
        <v>6</v>
      </c>
      <c r="D62" t="s">
        <v>17</v>
      </c>
      <c r="E62">
        <v>1022709</v>
      </c>
      <c r="F62" t="s">
        <v>64</v>
      </c>
      <c r="G62" t="s">
        <v>59</v>
      </c>
      <c r="H62" t="s">
        <v>62</v>
      </c>
      <c r="I62" s="7">
        <f>IFERROR(VLOOKUP(Tabla1[[#This Row],[Llave]],'[7]RV Producción'!$C:$G,5,FALSE),0)</f>
        <v>145034</v>
      </c>
      <c r="J62" s="3">
        <f>IFERROR(IF(Tabla1[[#This Row],[Oficina]]=$I$7,VLOOKUP(Tabla1[[#This Row],[Llave]],'[7]Shangai (Tomas)'!$A:$F,6,FALSE),VLOOKUP(Tabla1[[#This Row],[Llave]],'[7]RV plan de ventas'!$A:$E,5,FALSE)),0)</f>
        <v>144000</v>
      </c>
      <c r="K62" s="8">
        <f>IFERROR(VLOOKUP(Tabla1[[#This Row],[Oficina]],[15]Ponderación!$B$2:$E$9,4,FALSE),0)</f>
        <v>0.45719439678473212</v>
      </c>
      <c r="L62" s="7">
        <f>+Tabla1[[#This Row],[ RV Producción mes n+1]]*Tabla1[[#This Row],[% Uti. producción]]</f>
        <v>66308.732143276837</v>
      </c>
      <c r="M62" s="7">
        <f>IFERROR(VLOOKUP(Tabla1[[#This Row],[Material]],'[17]TD Stock'!$E:$I,5,FALSE),0)</f>
        <v>151479.97300000003</v>
      </c>
      <c r="N62" s="7">
        <f>IFERROR(VLOOKUP(Tabla1[[#This Row],[Material]],[16]Produccion!$M:$N,2,FALSE),0)</f>
        <v>21643.382856457469</v>
      </c>
      <c r="O62" s="7">
        <f>IFERROR(VLOOKUP(Tabla1[[#This Row],[Llave]],'[16]TD Conf-AP'!$I:$M,4,FALSE),0)</f>
        <v>0</v>
      </c>
      <c r="P62" s="14">
        <f>SUM(Tabla1[[#This Row],[Producción disponible]],Tabla1[[#This Row],[Stock al día]],(Tabla1[[#This Row],[Por producir mes N]]*0.9))-Tabla1[[#This Row],[Producción por despachar mes N]]</f>
        <v>237267.7497140886</v>
      </c>
      <c r="Q62" s="7">
        <f>IFERROR(VLOOKUP(Tabla1[[#This Row],[Llave]],[17]DELAY!$A:$D,4,FALSE),0)</f>
        <v>60000</v>
      </c>
      <c r="R62" s="9">
        <v>24000</v>
      </c>
      <c r="S62" s="5">
        <f t="shared" si="29"/>
        <v>60000</v>
      </c>
      <c r="T62" s="76">
        <v>0</v>
      </c>
      <c r="U62" s="5">
        <f>+Tabla1[[#This Row],[Atraso a facturar]]+Tabla1[[#This Row],[Ajuste atraso]]</f>
        <v>60000</v>
      </c>
      <c r="V62" s="3">
        <f>+Tabla1[[#This Row],[Total disponible]]-Tabla1[[#This Row],[Facturación atraso]]</f>
        <v>177267.7497140886</v>
      </c>
      <c r="W62" s="6">
        <f>IFERROR(IF(AND(V62&gt;R62,J62&gt;=R62),ROUNDDOWN((Tabla1[[#This Row],[Producción para venta nueva]])/R62,0)*R62,0),0)</f>
        <v>168000</v>
      </c>
      <c r="X62" s="76">
        <v>0</v>
      </c>
      <c r="Y62" s="6">
        <f>IF(Tabla1[[#This Row],[Venta del mes]]&gt;0,Tabla1[[#This Row],[Venta del mes]]+Tabla1[[#This Row],[Ajuste venta nueva]],0)</f>
        <v>168000</v>
      </c>
      <c r="Z62" s="6">
        <f>+Tabla1[[#This Row],[Producción para venta nueva]]-Tabla1[[#This Row],[Facturación Venta nueva]]</f>
        <v>9267.7497140885971</v>
      </c>
      <c r="AA62" s="6">
        <f>IF(AND(A62=1,Tabla1[[#This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2" s="6"/>
      <c r="AC62" s="6">
        <f>IF(Tabla1[[#This Row],[Disponible stock sin venta]]&gt;0,Tabla1[[#This Row],[Disponible stock sin venta]]+Tabla1[[#This Row],[Ajuste stock sin venta]],0)</f>
        <v>0</v>
      </c>
      <c r="AD62" s="3">
        <f>IFERROR(VLOOKUP(Tabla1[[#This Row],[Llave]],'[16]TD Puerto'!$A:$D,4,FALSE),0)</f>
        <v>23991.64</v>
      </c>
      <c r="AE62" s="3">
        <v>251991.64</v>
      </c>
      <c r="AF62" s="3">
        <f>+Tabla1[[#This Row],[Atraso a facturar]]+Tabla1[[#This Row],[Venta del mes]]+Tabla1[[#This Row],[En puerto a facturar]]+Tabla1[[#This Row],[Disponible stock sin venta]]</f>
        <v>251991.64</v>
      </c>
      <c r="AG62" s="3">
        <f>+Tabla1[[#This Row],[En puerto a facturar]]</f>
        <v>23991.64</v>
      </c>
      <c r="AH62" s="3">
        <f>+Tabla1[[#This Row],[Facturación atraso]]</f>
        <v>60000</v>
      </c>
      <c r="AI62" s="3">
        <f>+Tabla1[[#This Row],[Plan Irrestricto]]-Tabla1[[#This Row],[Puerto ]]-Tabla1[[#This Row],[Atraso]]</f>
        <v>168000</v>
      </c>
      <c r="AJ62" s="3">
        <f>IF(Tabla1[[#This Row],[Plan Irrestricto]]&gt;0,SUM(Tabla1[[#This Row],[Facturación atraso]],Tabla1[[#This Row],[Facturación Venta nueva]],Tabla1[[#This Row],[Facturación stock]],Tabla1[[#This Row],[En puerto a facturar]]),0)</f>
        <v>251991.64</v>
      </c>
      <c r="AK62" s="3">
        <f>+Tabla1[[#This Row],[Facturación atraso]]</f>
        <v>60000</v>
      </c>
      <c r="AL62" s="3">
        <f>+Tabla1[[#This Row],[Plan Ajustado]]-Tabla1[[#This Row],[ Atraso ajustado]]-Tabla1[[#This Row],[Puerto ]]</f>
        <v>168000</v>
      </c>
      <c r="AM62" s="3">
        <v>0</v>
      </c>
      <c r="AN62" s="3" t="str">
        <f>IF(Tabla1[[#This Row],[Plan Ajustado]]&gt;Tabla1[[#This Row],[En puerto a facturar]],"Si","No")</f>
        <v>Si</v>
      </c>
      <c r="AO62" s="3">
        <f>IF(AND(Tabla1[[#This Row],[Plan Ajustado]]&gt;0,Tabla1[[#This Row],[Plan Ajustado]]&gt;Tabla1[[#This Row],[En puerto a facturar]]),(Tabla1[[#This Row],[Plan Ajustado]]-Tabla1[[#This Row],[En puerto a facturar]]),0)</f>
        <v>228000</v>
      </c>
      <c r="AP62" s="3">
        <f>IF(Tabla1[[#This Row],[Necesidad]]&gt;=Tabla1[[#This Row],[Stock al día]],Tabla1[[#This Row],[Stock al día]],Tabla1[[#This Row],[Necesidad]])</f>
        <v>151479.97300000003</v>
      </c>
      <c r="AQ62" s="3">
        <f>+Tabla1[[#This Row],[Necesidad]]-Tabla1[[#This Row],[Stock Plan]]</f>
        <v>76520.026999999973</v>
      </c>
      <c r="AR62" s="156">
        <f>IFERROR(VLOOKUP(Tabla1[[#This Row],[Oficina]],[22]Ponderación!$B$3:$G$9,6,FALSE),"")</f>
        <v>44757</v>
      </c>
      <c r="AS6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2.8833402777777799</v>
      </c>
      <c r="AT62" s="83">
        <f>IFERROR(VLOOKUP(Tabla1[[#This Row],[Llave]],[17]DELAY!$H:$W,16,FALSE),0)</f>
        <v>2.8165400962264062</v>
      </c>
      <c r="AU6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2.8610750280226789</v>
      </c>
      <c r="AV62" s="5">
        <f>+Tabla1[[#This Row],[Plan Ajustado]]*Tabla1[[#This Row],[Precio ponderado]]</f>
        <v>720966.98847448081</v>
      </c>
      <c r="AW62" s="30">
        <f>IFERROR(VLOOKUP(Tabla1[[#This Row],[Llave]],'[13]Ultimos precios facturados'!$A:$G,7,FALSE),0)</f>
        <v>2.7396977497390669</v>
      </c>
      <c r="AX6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4.4303163841767641E-2</v>
      </c>
      <c r="AY62" s="30"/>
      <c r="AZ62" s="30">
        <f>IF(Tabla1[[#This Row],[Ajuste precio IC]]="",Tabla1[[#This Row],[Precio ponderado]],Tabla1[[#This Row],[Precio ponderado]])</f>
        <v>2.8610750280226789</v>
      </c>
      <c r="BA62" s="82"/>
      <c r="BB62" s="82" t="str">
        <f>IF(AND(Tabla1[[#This Row],[Atraso a facturar]]&gt;0,Tabla1[[#This Row],[Precio Atraso]]=0),"Revisar","OK")</f>
        <v>OK</v>
      </c>
      <c r="BC62" s="82" t="str">
        <f>IF(AND(Tabla1[[#This Row],[Venta del mes]]&gt;0,Tabla1[[#This Row],[Precio venta nueva]]=0),"Revisar","OK")</f>
        <v>OK</v>
      </c>
      <c r="BD62" s="20">
        <f>IFERROR(VLOOKUP(Tabla1[[#This Row],[Llave]],'[5]Consolidación planes'!$A:$M,9,FALSE),0)</f>
        <v>0</v>
      </c>
      <c r="BE62" s="20">
        <f>IFERROR(VLOOKUP(Tabla1[[#This Row],[Llave]],'[5]Consolidación planes'!$A:$M,10,FALSE),0)</f>
        <v>65000</v>
      </c>
      <c r="BF62" s="20">
        <f>IFERROR(VLOOKUP(Tabla1[[#This Row],[Llave]],'[5]Consolidación planes'!$A:$M,11,FALSE),0)</f>
        <v>48000</v>
      </c>
      <c r="BG62" s="20">
        <f>IFERROR(VLOOKUP(Tabla1[[#This Row],[Llave]],'[5]Consolidación planes'!$A:$M,12,FALSE),0)</f>
        <v>120000</v>
      </c>
      <c r="BH62" s="20">
        <f>IFERROR(VLOOKUP(Tabla1[[#This Row],[Llave]],'[5]Consolidación planes'!$A:$M,13,FALSE),0)</f>
        <v>83000</v>
      </c>
      <c r="BI62" s="20">
        <f>IFERROR(VLOOKUP(Tabla1[[#This Row],[Llave]],'[13]Base ultimos planes'!$A:$M,13,FALSE),0)</f>
        <v>419000</v>
      </c>
      <c r="BJ62" s="80">
        <f>IFERROR(VLOOKUP(Tabla1[[#This Row],[Llave]],'[13]Base ultimos planes'!$O:$AA,8,FALSE),0)</f>
        <v>0</v>
      </c>
      <c r="BK62" s="20">
        <f>IFERROR(VLOOKUP(Tabla1[[#This Row],[Llave]],'[13]Base ultimos planes'!$O:$AA,9,FALSE),0)</f>
        <v>171870</v>
      </c>
      <c r="BL62" s="20">
        <f>IFERROR(VLOOKUP(Tabla1[[#This Row],[Llave]],'[13]Base ultimos planes'!$O:$AA,10,FALSE),0)</f>
        <v>122400</v>
      </c>
      <c r="BM62" s="20">
        <f>IFERROR(VLOOKUP(Tabla1[[#This Row],[Llave]],'[13]Base ultimos planes'!$O:$AA,11,FALSE),0)</f>
        <v>301920</v>
      </c>
      <c r="BN62" s="20">
        <f>IFERROR(VLOOKUP(Tabla1[[#This Row],[Llave]],'[13]Base ultimos planes'!$O:$AA,12,FALSE),0)</f>
        <v>224037</v>
      </c>
      <c r="BO62" s="20">
        <f>IFERROR(VLOOKUP(Tabla1[[#This Row],[Llave]],'[13]Base ultimos planes'!$O:$AA,13,FALSE),0)</f>
        <v>1168954</v>
      </c>
      <c r="BP62" s="20"/>
      <c r="BQ62" s="20">
        <f>+Tabla1[[#This Row],[ RV  Venta mes n+1]]*(1-Tabla1[[#This Row],[% Uti. producción]])</f>
        <v>78164.006862998576</v>
      </c>
      <c r="BR62" s="100"/>
    </row>
    <row r="63" spans="1:70" ht="16" x14ac:dyDescent="0.2">
      <c r="A63">
        <v>1</v>
      </c>
      <c r="B63" t="str">
        <f>Tabla1[[#This Row],[Oficina]]&amp;Tabla1[[#This Row],[Material]]</f>
        <v>Agro Sudamerica1022847</v>
      </c>
      <c r="C63" t="s">
        <v>6</v>
      </c>
      <c r="D63" t="s">
        <v>17</v>
      </c>
      <c r="E63">
        <v>1022847</v>
      </c>
      <c r="F63" t="s">
        <v>58</v>
      </c>
      <c r="G63" t="s">
        <v>56</v>
      </c>
      <c r="H63" t="s">
        <v>57</v>
      </c>
      <c r="I63" s="7">
        <f>IFERROR(VLOOKUP(Tabla1[[#This Row],[Llave]],'[7]RV Producción'!$C:$G,5,FALSE),0)</f>
        <v>18180</v>
      </c>
      <c r="J63" s="3">
        <f>IFERROR(IF(Tabla1[[#This Row],[Oficina]]=$I$7,VLOOKUP(Tabla1[[#This Row],[Llave]],'[7]Shangai (Tomas)'!$A:$F,6,FALSE),VLOOKUP(Tabla1[[#This Row],[Llave]],'[7]RV plan de ventas'!$A:$E,5,FALSE)),0)</f>
        <v>0</v>
      </c>
      <c r="K63" s="8">
        <f>IFERROR(VLOOKUP(Tabla1[[#This Row],[Oficina]],[15]Ponderación!$B$2:$E$9,4,FALSE),0)</f>
        <v>0.45719439678473212</v>
      </c>
      <c r="L63" s="7">
        <f>+Tabla1[[#This Row],[ RV Producción mes n+1]]*Tabla1[[#This Row],[% Uti. producción]]</f>
        <v>8311.7941335464293</v>
      </c>
      <c r="M63" s="7">
        <f>IFERROR(VLOOKUP(Tabla1[[#This Row],[Material]],'[17]TD Stock'!$E:$I,5,FALSE),0)</f>
        <v>29150.314000000009</v>
      </c>
      <c r="N63" s="7">
        <f>IFERROR(VLOOKUP(Tabla1[[#This Row],[Material]],[16]Produccion!$M:$N,2,FALSE),0)</f>
        <v>0</v>
      </c>
      <c r="O63" s="7">
        <f>IFERROR(VLOOKUP(Tabla1[[#This Row],[Llave]],'[16]TD Conf-AP'!$I:$M,4,FALSE),0)</f>
        <v>0</v>
      </c>
      <c r="P63" s="14">
        <f>SUM(Tabla1[[#This Row],[Producción disponible]],Tabla1[[#This Row],[Stock al día]],(Tabla1[[#This Row],[Por producir mes N]]*0.9))-Tabla1[[#This Row],[Producción por despachar mes N]]</f>
        <v>37462.108133546441</v>
      </c>
      <c r="Q63" s="7">
        <f>IFERROR(VLOOKUP(Tabla1[[#This Row],[Llave]],[17]DELAY!$A:$D,4,FALSE),0)</f>
        <v>48000</v>
      </c>
      <c r="R63" s="9">
        <v>24000</v>
      </c>
      <c r="S63" s="5">
        <f t="shared" si="29"/>
        <v>24000</v>
      </c>
      <c r="T63" s="76">
        <v>0</v>
      </c>
      <c r="U63" s="5">
        <f>+Tabla1[[#This Row],[Atraso a facturar]]+Tabla1[[#This Row],[Ajuste atraso]]</f>
        <v>24000</v>
      </c>
      <c r="V63" s="3">
        <f>+Tabla1[[#This Row],[Total disponible]]-Tabla1[[#This Row],[Facturación atraso]]</f>
        <v>13462.108133546441</v>
      </c>
      <c r="W63" s="6">
        <f>IFERROR(IF(AND(V63&gt;R63,J63&gt;=R63),ROUNDDOWN((Tabla1[[#This Row],[Producción para venta nueva]])/R63,0)*R63,0),0)</f>
        <v>0</v>
      </c>
      <c r="X63" s="76">
        <v>0</v>
      </c>
      <c r="Y63" s="6">
        <f>IF(Tabla1[[#This Row],[Venta del mes]]&gt;0,Tabla1[[#This Row],[Venta del mes]]+Tabla1[[#This Row],[Ajuste venta nueva]],0)</f>
        <v>0</v>
      </c>
      <c r="Z63" s="6">
        <f>+Tabla1[[#This Row],[Producción para venta nueva]]-Tabla1[[#This Row],[Facturación Venta nueva]]</f>
        <v>13462.108133546441</v>
      </c>
      <c r="AA63" s="6">
        <f>IF(AND(A63=1,Tabla1[[#This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3" s="6"/>
      <c r="AC63" s="6">
        <f>IF(Tabla1[[#This Row],[Disponible stock sin venta]]&gt;0,Tabla1[[#This Row],[Disponible stock sin venta]]+Tabla1[[#This Row],[Ajuste stock sin venta]],0)</f>
        <v>0</v>
      </c>
      <c r="AD63" s="3">
        <f>IFERROR(VLOOKUP(Tabla1[[#This Row],[Llave]],'[16]TD Puerto'!$A:$D,4,FALSE),0)</f>
        <v>0</v>
      </c>
      <c r="AE63" s="3">
        <v>24000</v>
      </c>
      <c r="AF63" s="3">
        <f>+Tabla1[[#This Row],[Atraso a facturar]]+Tabla1[[#This Row],[Venta del mes]]+Tabla1[[#This Row],[En puerto a facturar]]+Tabla1[[#This Row],[Disponible stock sin venta]]</f>
        <v>24000</v>
      </c>
      <c r="AG63" s="3">
        <f>+Tabla1[[#This Row],[En puerto a facturar]]</f>
        <v>0</v>
      </c>
      <c r="AH63" s="3">
        <f>+Tabla1[[#This Row],[Facturación atraso]]</f>
        <v>24000</v>
      </c>
      <c r="AI63" s="3">
        <f>+Tabla1[[#This Row],[Plan Irrestricto]]-Tabla1[[#This Row],[Puerto ]]-Tabla1[[#This Row],[Atraso]]</f>
        <v>0</v>
      </c>
      <c r="AJ63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63" s="3">
        <f>+Tabla1[[#This Row],[Facturación atraso]]</f>
        <v>24000</v>
      </c>
      <c r="AL63" s="3">
        <f>+Tabla1[[#This Row],[Plan Ajustado]]-Tabla1[[#This Row],[ Atraso ajustado]]-Tabla1[[#This Row],[Puerto ]]</f>
        <v>0</v>
      </c>
      <c r="AM63" s="3">
        <v>0</v>
      </c>
      <c r="AN63" s="3" t="str">
        <f>IF(Tabla1[[#This Row],[Plan Ajustado]]&gt;Tabla1[[#This Row],[En puerto a facturar]],"Si","No")</f>
        <v>Si</v>
      </c>
      <c r="AO63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63" s="3">
        <f>IF(Tabla1[[#This Row],[Necesidad]]&gt;=Tabla1[[#This Row],[Stock al día]],Tabla1[[#This Row],[Stock al día]],Tabla1[[#This Row],[Necesidad]])</f>
        <v>24000</v>
      </c>
      <c r="AQ63" s="3">
        <f>+Tabla1[[#This Row],[Necesidad]]-Tabla1[[#This Row],[Stock Plan]]</f>
        <v>0</v>
      </c>
      <c r="AR63" s="156">
        <f>IFERROR(VLOOKUP(Tabla1[[#This Row],[Oficina]],[22]Ponderación!$B$3:$G$9,6,FALSE),"")</f>
        <v>44757</v>
      </c>
      <c r="AS6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1.3661233038687408</v>
      </c>
      <c r="AT63" s="83">
        <f>IFERROR(VLOOKUP(Tabla1[[#This Row],[Llave]],[17]DELAY!$H:$W,16,FALSE),0)</f>
        <v>1.58960416666667</v>
      </c>
      <c r="AU6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1.58960416666667</v>
      </c>
      <c r="AV63" s="5">
        <f>+Tabla1[[#This Row],[Plan Ajustado]]*Tabla1[[#This Row],[Precio ponderado]]</f>
        <v>38150.50000000008</v>
      </c>
      <c r="AW63" s="30">
        <f>IFERROR(VLOOKUP(Tabla1[[#This Row],[Llave]],'[13]Ultimos precios facturados'!$A:$G,7,FALSE),0)</f>
        <v>1.3661233038687408</v>
      </c>
      <c r="AX6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0.16358762211657696</v>
      </c>
      <c r="AY63" s="30"/>
      <c r="AZ63" s="30">
        <f>IF(Tabla1[[#This Row],[Ajuste precio IC]]="",Tabla1[[#This Row],[Precio ponderado]],Tabla1[[#This Row],[Precio ponderado]])</f>
        <v>1.58960416666667</v>
      </c>
      <c r="BA63" s="82"/>
      <c r="BB63" s="82" t="str">
        <f>IF(AND(Tabla1[[#This Row],[Atraso a facturar]]&gt;0,Tabla1[[#This Row],[Precio Atraso]]=0),"Revisar","OK")</f>
        <v>OK</v>
      </c>
      <c r="BC63" s="82" t="str">
        <f>IF(AND(Tabla1[[#This Row],[Venta del mes]]&gt;0,Tabla1[[#This Row],[Precio venta nueva]]=0),"Revisar","OK")</f>
        <v>OK</v>
      </c>
      <c r="BD63" s="20">
        <f>IFERROR(VLOOKUP(Tabla1[[#This Row],[Llave]],'[5]Consolidación planes'!$A:$M,9,FALSE),0)</f>
        <v>28000</v>
      </c>
      <c r="BE63" s="20">
        <f>IFERROR(VLOOKUP(Tabla1[[#This Row],[Llave]],'[5]Consolidación planes'!$A:$M,10,FALSE),0)</f>
        <v>72000</v>
      </c>
      <c r="BF63" s="20">
        <f>IFERROR(VLOOKUP(Tabla1[[#This Row],[Llave]],'[5]Consolidación planes'!$A:$M,11,FALSE),0)</f>
        <v>60000</v>
      </c>
      <c r="BG63" s="20">
        <f>IFERROR(VLOOKUP(Tabla1[[#This Row],[Llave]],'[5]Consolidación planes'!$A:$M,12,FALSE),0)</f>
        <v>24000</v>
      </c>
      <c r="BH63" s="20">
        <f>IFERROR(VLOOKUP(Tabla1[[#This Row],[Llave]],'[5]Consolidación planes'!$A:$M,13,FALSE),0)</f>
        <v>24000</v>
      </c>
      <c r="BI63" s="20">
        <f>IFERROR(VLOOKUP(Tabla1[[#This Row],[Llave]],'[13]Base ultimos planes'!$A:$M,13,FALSE),0)</f>
        <v>48000</v>
      </c>
      <c r="BJ63" s="80">
        <f>IFERROR(VLOOKUP(Tabla1[[#This Row],[Llave]],'[13]Base ultimos planes'!$O:$AA,8,FALSE),0)</f>
        <v>36776.119400000003</v>
      </c>
      <c r="BK63" s="20">
        <f>IFERROR(VLOOKUP(Tabla1[[#This Row],[Llave]],'[13]Base ultimos planes'!$O:$AA,9,FALSE),0)</f>
        <v>95110</v>
      </c>
      <c r="BL63" s="20">
        <f>IFERROR(VLOOKUP(Tabla1[[#This Row],[Llave]],'[13]Base ultimos planes'!$O:$AA,10,FALSE),0)</f>
        <v>77274</v>
      </c>
      <c r="BM63" s="20">
        <f>IFERROR(VLOOKUP(Tabla1[[#This Row],[Llave]],'[13]Base ultimos planes'!$O:$AA,11,FALSE),0)</f>
        <v>28800</v>
      </c>
      <c r="BN63" s="20">
        <f>IFERROR(VLOOKUP(Tabla1[[#This Row],[Llave]],'[13]Base ultimos planes'!$O:$AA,12,FALSE),0)</f>
        <v>31440</v>
      </c>
      <c r="BO63" s="20">
        <f>IFERROR(VLOOKUP(Tabla1[[#This Row],[Llave]],'[13]Base ultimos planes'!$O:$AA,13,FALSE),0)</f>
        <v>67857</v>
      </c>
      <c r="BP63" s="20"/>
      <c r="BQ63" s="20">
        <f>+Tabla1[[#This Row],[ RV  Venta mes n+1]]*(1-Tabla1[[#This Row],[% Uti. producción]])</f>
        <v>0</v>
      </c>
      <c r="BR63" s="100"/>
    </row>
    <row r="64" spans="1:70" ht="16" x14ac:dyDescent="0.2">
      <c r="A64">
        <v>1</v>
      </c>
      <c r="B64" t="str">
        <f>Tabla1[[#This Row],[Oficina]]&amp;Tabla1[[#This Row],[Material]]</f>
        <v>Agro Sudamerica1022855</v>
      </c>
      <c r="C64" t="s">
        <v>6</v>
      </c>
      <c r="D64" t="s">
        <v>17</v>
      </c>
      <c r="E64">
        <v>1022855</v>
      </c>
      <c r="F64" t="s">
        <v>40</v>
      </c>
      <c r="G64" t="s">
        <v>11</v>
      </c>
      <c r="H64" t="s">
        <v>12</v>
      </c>
      <c r="I64" s="7">
        <f>IFERROR(VLOOKUP(Tabla1[[#This Row],[Llave]],'[7]RV Producción'!$C:$G,5,FALSE),0)</f>
        <v>143355</v>
      </c>
      <c r="J64" s="3">
        <f>IFERROR(IF(Tabla1[[#This Row],[Oficina]]=$I$7,VLOOKUP(Tabla1[[#This Row],[Llave]],'[7]Shangai (Tomas)'!$A:$F,6,FALSE),VLOOKUP(Tabla1[[#This Row],[Llave]],'[7]RV plan de ventas'!$A:$E,5,FALSE)),0)</f>
        <v>24000</v>
      </c>
      <c r="K64" s="8">
        <f>IFERROR(VLOOKUP(Tabla1[[#This Row],[Oficina]],[15]Ponderación!$B$2:$E$9,4,FALSE),0)</f>
        <v>0.45719439678473212</v>
      </c>
      <c r="L64" s="7">
        <f>+Tabla1[[#This Row],[ RV Producción mes n+1]]*Tabla1[[#This Row],[% Uti. producción]]</f>
        <v>65541.102751075276</v>
      </c>
      <c r="M64" s="7">
        <f>IFERROR(VLOOKUP(Tabla1[[#This Row],[Material]],'[17]TD Stock'!$E:$I,5,FALSE),0)</f>
        <v>23796.738000000001</v>
      </c>
      <c r="N64" s="7">
        <f>IFERROR(VLOOKUP(Tabla1[[#This Row],[Material]],[16]Produccion!$M:$N,2,FALSE),0)</f>
        <v>5709</v>
      </c>
      <c r="O64" s="7">
        <f>IFERROR(VLOOKUP(Tabla1[[#This Row],[Llave]],'[16]TD Conf-AP'!$I:$M,4,FALSE),0)</f>
        <v>0</v>
      </c>
      <c r="P64" s="14">
        <f>SUM(Tabla1[[#This Row],[Producción disponible]],Tabla1[[#This Row],[Stock al día]],(Tabla1[[#This Row],[Por producir mes N]]*0.9))-Tabla1[[#This Row],[Producción por despachar mes N]]</f>
        <v>94475.940751075279</v>
      </c>
      <c r="Q64" s="7">
        <f>IFERROR(VLOOKUP(Tabla1[[#This Row],[Llave]],[17]DELAY!$A:$D,4,FALSE),0)</f>
        <v>24000</v>
      </c>
      <c r="R64" s="9">
        <v>24000</v>
      </c>
      <c r="S64" s="5">
        <f t="shared" si="29"/>
        <v>24000</v>
      </c>
      <c r="T64" s="76">
        <v>0</v>
      </c>
      <c r="U64" s="5">
        <f>+Tabla1[[#This Row],[Atraso a facturar]]+Tabla1[[#This Row],[Ajuste atraso]]</f>
        <v>24000</v>
      </c>
      <c r="V64" s="3">
        <f>+Tabla1[[#This Row],[Total disponible]]-Tabla1[[#This Row],[Facturación atraso]]</f>
        <v>70475.940751075279</v>
      </c>
      <c r="W64" s="6">
        <f>IFERROR(IF(AND(V64&gt;R64,J64&gt;=R64),ROUNDDOWN((Tabla1[[#This Row],[Producción para venta nueva]])/R64,0)*R64,0),0)</f>
        <v>48000</v>
      </c>
      <c r="X64" s="76">
        <v>0</v>
      </c>
      <c r="Y64" s="6">
        <f>IF(Tabla1[[#This Row],[Venta del mes]]&gt;0,Tabla1[[#This Row],[Venta del mes]]+Tabla1[[#This Row],[Ajuste venta nueva]],0)</f>
        <v>48000</v>
      </c>
      <c r="Z64" s="6">
        <f>+Tabla1[[#This Row],[Producción para venta nueva]]-Tabla1[[#This Row],[Facturación Venta nueva]]</f>
        <v>22475.940751075279</v>
      </c>
      <c r="AA64" s="6">
        <f>IF(AND(A64=1,Tabla1[[#This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4" s="6"/>
      <c r="AC64" s="6">
        <f>IF(Tabla1[[#This Row],[Disponible stock sin venta]]&gt;0,Tabla1[[#This Row],[Disponible stock sin venta]]+Tabla1[[#This Row],[Ajuste stock sin venta]],0)</f>
        <v>0</v>
      </c>
      <c r="AD64" s="3">
        <f>IFERROR(VLOOKUP(Tabla1[[#This Row],[Llave]],'[16]TD Puerto'!$A:$D,4,FALSE),0)</f>
        <v>0</v>
      </c>
      <c r="AE64" s="3">
        <v>72000</v>
      </c>
      <c r="AF64" s="3">
        <f>+Tabla1[[#This Row],[Atraso a facturar]]+Tabla1[[#This Row],[Venta del mes]]+Tabla1[[#This Row],[En puerto a facturar]]+Tabla1[[#This Row],[Disponible stock sin venta]]</f>
        <v>72000</v>
      </c>
      <c r="AG64" s="3">
        <f>+Tabla1[[#This Row],[En puerto a facturar]]</f>
        <v>0</v>
      </c>
      <c r="AH64" s="3">
        <f>+Tabla1[[#This Row],[Facturación atraso]]</f>
        <v>24000</v>
      </c>
      <c r="AI64" s="3">
        <f>+Tabla1[[#This Row],[Plan Irrestricto]]-Tabla1[[#This Row],[Puerto ]]-Tabla1[[#This Row],[Atraso]]</f>
        <v>48000</v>
      </c>
      <c r="AJ64" s="3">
        <f>IF(Tabla1[[#This Row],[Plan Irrestricto]]&gt;0,SUM(Tabla1[[#This Row],[Facturación atraso]],Tabla1[[#This Row],[Facturación Venta nueva]],Tabla1[[#This Row],[Facturación stock]],Tabla1[[#This Row],[En puerto a facturar]]),0)</f>
        <v>72000</v>
      </c>
      <c r="AK64" s="3">
        <f>+Tabla1[[#This Row],[Facturación atraso]]</f>
        <v>24000</v>
      </c>
      <c r="AL64" s="3">
        <f>+Tabla1[[#This Row],[Plan Ajustado]]-Tabla1[[#This Row],[ Atraso ajustado]]-Tabla1[[#This Row],[Puerto ]]</f>
        <v>48000</v>
      </c>
      <c r="AM64" s="3">
        <v>0</v>
      </c>
      <c r="AN64" s="3" t="str">
        <f>IF(Tabla1[[#This Row],[Plan Ajustado]]&gt;Tabla1[[#This Row],[En puerto a facturar]],"Si","No")</f>
        <v>Si</v>
      </c>
      <c r="AO64" s="3">
        <f>IF(AND(Tabla1[[#This Row],[Plan Ajustado]]&gt;0,Tabla1[[#This Row],[Plan Ajustado]]&gt;Tabla1[[#This Row],[En puerto a facturar]]),(Tabla1[[#This Row],[Plan Ajustado]]-Tabla1[[#This Row],[En puerto a facturar]]),0)</f>
        <v>72000</v>
      </c>
      <c r="AP64" s="3">
        <f>IF(Tabla1[[#This Row],[Necesidad]]&gt;=Tabla1[[#This Row],[Stock al día]],Tabla1[[#This Row],[Stock al día]],Tabla1[[#This Row],[Necesidad]])</f>
        <v>23796.738000000001</v>
      </c>
      <c r="AQ64" s="3">
        <f>+Tabla1[[#This Row],[Necesidad]]-Tabla1[[#This Row],[Stock Plan]]</f>
        <v>48203.262000000002</v>
      </c>
      <c r="AR64" s="156">
        <f>IFERROR(VLOOKUP(Tabla1[[#This Row],[Oficina]],[22]Ponderación!$B$3:$G$9,6,FALSE),"")</f>
        <v>44757</v>
      </c>
      <c r="AS6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1.0900000000000001</v>
      </c>
      <c r="AT64" s="83">
        <f>IFERROR(VLOOKUP(Tabla1[[#This Row],[Llave]],[17]DELAY!$H:$W,16,FALSE),0)</f>
        <v>1.57</v>
      </c>
      <c r="AU6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1.25</v>
      </c>
      <c r="AV64" s="5">
        <f>+Tabla1[[#This Row],[Plan Ajustado]]*Tabla1[[#This Row],[Precio ponderado]]</f>
        <v>90000</v>
      </c>
      <c r="AW64" s="30">
        <f>IFERROR(VLOOKUP(Tabla1[[#This Row],[Llave]],'[13]Ultimos precios facturados'!$A:$G,7,FALSE),0)</f>
        <v>1.4075576951496656</v>
      </c>
      <c r="AX6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0.11193693565286676</v>
      </c>
      <c r="AY64" s="30"/>
      <c r="AZ64" s="30">
        <f>IF(Tabla1[[#This Row],[Ajuste precio IC]]="",Tabla1[[#This Row],[Precio ponderado]],Tabla1[[#This Row],[Precio ponderado]])</f>
        <v>1.25</v>
      </c>
      <c r="BA64" s="82"/>
      <c r="BB64" s="82" t="str">
        <f>IF(AND(Tabla1[[#This Row],[Atraso a facturar]]&gt;0,Tabla1[[#This Row],[Precio Atraso]]=0),"Revisar","OK")</f>
        <v>OK</v>
      </c>
      <c r="BC64" s="82" t="str">
        <f>IF(AND(Tabla1[[#This Row],[Venta del mes]]&gt;0,Tabla1[[#This Row],[Precio venta nueva]]=0),"Revisar","OK")</f>
        <v>OK</v>
      </c>
      <c r="BD64" s="20">
        <f>IFERROR(VLOOKUP(Tabla1[[#This Row],[Llave]],'[5]Consolidación planes'!$A:$M,9,FALSE),0)</f>
        <v>16600</v>
      </c>
      <c r="BE64" s="20">
        <f>IFERROR(VLOOKUP(Tabla1[[#This Row],[Llave]],'[5]Consolidación planes'!$A:$M,10,FALSE),0)</f>
        <v>24000</v>
      </c>
      <c r="BF64" s="20">
        <f>IFERROR(VLOOKUP(Tabla1[[#This Row],[Llave]],'[5]Consolidación planes'!$A:$M,11,FALSE),0)</f>
        <v>0</v>
      </c>
      <c r="BG64" s="20">
        <f>IFERROR(VLOOKUP(Tabla1[[#This Row],[Llave]],'[5]Consolidación planes'!$A:$M,12,FALSE),0)</f>
        <v>24000</v>
      </c>
      <c r="BH64" s="20">
        <f>IFERROR(VLOOKUP(Tabla1[[#This Row],[Llave]],'[5]Consolidación planes'!$A:$M,13,FALSE),0)</f>
        <v>24000</v>
      </c>
      <c r="BI64" s="20">
        <f>IFERROR(VLOOKUP(Tabla1[[#This Row],[Llave]],'[13]Base ultimos planes'!$A:$M,13,FALSE),0)</f>
        <v>48000</v>
      </c>
      <c r="BJ64" s="80">
        <f>IFERROR(VLOOKUP(Tabla1[[#This Row],[Llave]],'[13]Base ultimos planes'!$O:$AA,8,FALSE),0)</f>
        <v>25937.5</v>
      </c>
      <c r="BK64" s="20">
        <f>IFERROR(VLOOKUP(Tabla1[[#This Row],[Llave]],'[13]Base ultimos planes'!$O:$AA,9,FALSE),0)</f>
        <v>33060</v>
      </c>
      <c r="BL64" s="20">
        <f>IFERROR(VLOOKUP(Tabla1[[#This Row],[Llave]],'[13]Base ultimos planes'!$O:$AA,10,FALSE),0)</f>
        <v>0</v>
      </c>
      <c r="BM64" s="20">
        <f>IFERROR(VLOOKUP(Tabla1[[#This Row],[Llave]],'[13]Base ultimos planes'!$O:$AA,11,FALSE),0)</f>
        <v>30240</v>
      </c>
      <c r="BN64" s="20">
        <f>IFERROR(VLOOKUP(Tabla1[[#This Row],[Llave]],'[13]Base ultimos planes'!$O:$AA,12,FALSE),0)</f>
        <v>33840</v>
      </c>
      <c r="BO64" s="20">
        <f>IFERROR(VLOOKUP(Tabla1[[#This Row],[Llave]],'[13]Base ultimos planes'!$O:$AA,13,FALSE),0)</f>
        <v>67900</v>
      </c>
      <c r="BP64" s="20"/>
      <c r="BQ64" s="20">
        <f>+Tabla1[[#This Row],[ RV  Venta mes n+1]]*(1-Tabla1[[#This Row],[% Uti. producción]])</f>
        <v>13027.334477166431</v>
      </c>
      <c r="BR64" s="100"/>
    </row>
    <row r="65" spans="1:70" ht="16" hidden="1" x14ac:dyDescent="0.2">
      <c r="A65">
        <v>1</v>
      </c>
      <c r="B65" t="str">
        <f>Tabla1[[#This Row],[Oficina]]&amp;Tabla1[[#This Row],[Material]]</f>
        <v>Agro Sudamerica1022920</v>
      </c>
      <c r="C65" t="s">
        <v>6</v>
      </c>
      <c r="D65" t="s">
        <v>17</v>
      </c>
      <c r="E65">
        <v>1022920</v>
      </c>
      <c r="F65" t="s">
        <v>329</v>
      </c>
      <c r="G65" t="s">
        <v>11</v>
      </c>
      <c r="H65" t="s">
        <v>41</v>
      </c>
      <c r="I65" s="7">
        <f>IFERROR(VLOOKUP(Tabla1[[#This Row],[Llave]],'[7]RV Producción'!$C:$G,5,FALSE),0)</f>
        <v>0</v>
      </c>
      <c r="J65" s="3">
        <f>IFERROR(IF(Tabla1[[#This Row],[Oficina]]=$I$7,VLOOKUP(Tabla1[[#This Row],[Llave]],'[7]Shangai (Tomas)'!$A:$F,6,FALSE),VLOOKUP(Tabla1[[#This Row],[Llave]],'[7]RV plan de ventas'!$A:$E,5,FALSE)),0)</f>
        <v>6425</v>
      </c>
      <c r="K65" s="8">
        <f>IFERROR(VLOOKUP(Tabla1[[#This Row],[Oficina]],[15]Ponderación!$B$2:$E$9,4,FALSE),0)</f>
        <v>0.45719439678473212</v>
      </c>
      <c r="L65" s="7">
        <f>+Tabla1[[#This Row],[ RV Producción mes n+1]]*Tabla1[[#This Row],[% Uti. producción]]</f>
        <v>0</v>
      </c>
      <c r="M65" s="7">
        <f>IFERROR(VLOOKUP(Tabla1[[#This Row],[Material]],'[17]TD Stock'!$E:$I,5,FALSE),0)</f>
        <v>0</v>
      </c>
      <c r="N65" s="7">
        <f>IFERROR(VLOOKUP(Tabla1[[#This Row],[Material]],[16]Produccion!$M:$N,2,FALSE),0)</f>
        <v>5345</v>
      </c>
      <c r="O65" s="7">
        <f>IFERROR(VLOOKUP(Tabla1[[#This Row],[Llave]],'[16]TD Conf-AP'!$I:$M,4,FALSE),0)</f>
        <v>0</v>
      </c>
      <c r="P65" s="14">
        <f>SUM(Tabla1[[#This Row],[Producción disponible]],Tabla1[[#This Row],[Stock al día]],(Tabla1[[#This Row],[Por producir mes N]]*0.9))-Tabla1[[#This Row],[Producción por despachar mes N]]</f>
        <v>4810.5</v>
      </c>
      <c r="Q65" s="7">
        <f>IFERROR(VLOOKUP(Tabla1[[#This Row],[Llave]],[17]DELAY!$A:$D,4,FALSE),0)</f>
        <v>24000</v>
      </c>
      <c r="R65" s="9">
        <v>24000</v>
      </c>
      <c r="S65" s="5">
        <f t="shared" si="29"/>
        <v>0</v>
      </c>
      <c r="T65" s="76">
        <v>0</v>
      </c>
      <c r="U65" s="5">
        <f>+Tabla1[[#This Row],[Atraso a facturar]]+Tabla1[[#This Row],[Ajuste atraso]]</f>
        <v>0</v>
      </c>
      <c r="V65" s="3">
        <f>+Tabla1[[#This Row],[Total disponible]]-Tabla1[[#This Row],[Facturación atraso]]</f>
        <v>4810.5</v>
      </c>
      <c r="W65" s="6">
        <f>IFERROR(IF(AND(V65&gt;R65,J65&gt;=R65),ROUNDDOWN((Tabla1[[#This Row],[Producción para venta nueva]])/R65,0)*R65,0),0)</f>
        <v>0</v>
      </c>
      <c r="X65" s="76">
        <v>0</v>
      </c>
      <c r="Y65" s="6">
        <f>IF(Tabla1[[#This Row],[Venta del mes]]&gt;0,Tabla1[[#This Row],[Venta del mes]]+Tabla1[[#This Row],[Ajuste venta nueva]],0)</f>
        <v>0</v>
      </c>
      <c r="Z65" s="6">
        <f>+Tabla1[[#This Row],[Producción para venta nueva]]-Tabla1[[#This Row],[Facturación Venta nueva]]</f>
        <v>4810.5</v>
      </c>
      <c r="AA65" s="6">
        <f>IF(AND(A65=1,Tabla1[[#This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5" s="6"/>
      <c r="AC65" s="6">
        <f>IF(Tabla1[[#This Row],[Disponible stock sin venta]]&gt;0,Tabla1[[#This Row],[Disponible stock sin venta]]+Tabla1[[#This Row],[Ajuste stock sin venta]],0)</f>
        <v>0</v>
      </c>
      <c r="AD65" s="3">
        <f>IFERROR(VLOOKUP(Tabla1[[#This Row],[Llave]],'[16]TD Puerto'!$A:$D,4,FALSE),0)</f>
        <v>0</v>
      </c>
      <c r="AE65" s="3">
        <v>0</v>
      </c>
      <c r="AF65" s="3">
        <f>+Tabla1[[#This Row],[Atraso a facturar]]+Tabla1[[#This Row],[Venta del mes]]+Tabla1[[#This Row],[En puerto a facturar]]+Tabla1[[#This Row],[Disponible stock sin venta]]</f>
        <v>0</v>
      </c>
      <c r="AG65" s="3">
        <f>+Tabla1[[#This Row],[En puerto a facturar]]</f>
        <v>0</v>
      </c>
      <c r="AH65" s="3">
        <f>+Tabla1[[#This Row],[Facturación atraso]]</f>
        <v>0</v>
      </c>
      <c r="AI65" s="3">
        <f>+Tabla1[[#This Row],[Plan Irrestricto]]-Tabla1[[#This Row],[Puerto ]]-Tabla1[[#This Row],[Atraso]]</f>
        <v>0</v>
      </c>
      <c r="AJ6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65" s="3">
        <f>+Tabla1[[#This Row],[Facturación atraso]]</f>
        <v>0</v>
      </c>
      <c r="AL65" s="3">
        <f>+Tabla1[[#This Row],[Plan Ajustado]]-Tabla1[[#This Row],[ Atraso ajustado]]-Tabla1[[#This Row],[Puerto ]]</f>
        <v>0</v>
      </c>
      <c r="AM65" s="3">
        <v>0</v>
      </c>
      <c r="AN65" s="3" t="str">
        <f>IF(Tabla1[[#This Row],[Plan Ajustado]]&gt;Tabla1[[#This Row],[En puerto a facturar]],"Si","No")</f>
        <v>No</v>
      </c>
      <c r="AO6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65" s="3">
        <f>IF(Tabla1[[#This Row],[Necesidad]]&gt;=Tabla1[[#This Row],[Stock al día]],Tabla1[[#This Row],[Stock al día]],Tabla1[[#This Row],[Necesidad]])</f>
        <v>0</v>
      </c>
      <c r="AQ65" s="3">
        <f>+Tabla1[[#This Row],[Necesidad]]-Tabla1[[#This Row],[Stock Plan]]</f>
        <v>0</v>
      </c>
      <c r="AR65" s="156">
        <f>IFERROR(VLOOKUP(Tabla1[[#This Row],[Oficina]],[22]Ponderación!$B$3:$G$9,6,FALSE),"")</f>
        <v>44757</v>
      </c>
      <c r="AS6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1.13665369649805</v>
      </c>
      <c r="AT65" s="83">
        <f>IFERROR(VLOOKUP(Tabla1[[#This Row],[Llave]],[17]DELAY!$H:$W,16,FALSE),0)</f>
        <v>0.97040708333333392</v>
      </c>
      <c r="AU6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65" s="5">
        <f>+Tabla1[[#This Row],[Plan Ajustado]]*Tabla1[[#This Row],[Precio ponderado]]</f>
        <v>0</v>
      </c>
      <c r="AW65" s="30">
        <f>IFERROR(VLOOKUP(Tabla1[[#This Row],[Llave]],'[13]Ultimos precios facturados'!$A:$G,7,FALSE),0)</f>
        <v>0.92024489751700844</v>
      </c>
      <c r="AX6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65" s="30"/>
      <c r="AZ65" s="30">
        <f>IF(Tabla1[[#This Row],[Ajuste precio IC]]="",Tabla1[[#This Row],[Precio ponderado]],Tabla1[[#This Row],[Precio ponderado]])</f>
        <v>0</v>
      </c>
      <c r="BA65" s="82"/>
      <c r="BB65" s="82" t="str">
        <f>IF(AND(Tabla1[[#This Row],[Atraso a facturar]]&gt;0,Tabla1[[#This Row],[Precio Atraso]]=0),"Revisar","OK")</f>
        <v>OK</v>
      </c>
      <c r="BC65" s="82" t="str">
        <f>IF(AND(Tabla1[[#This Row],[Venta del mes]]&gt;0,Tabla1[[#This Row],[Precio venta nueva]]=0),"Revisar","OK")</f>
        <v>OK</v>
      </c>
      <c r="BD65" s="20">
        <f>IFERROR(VLOOKUP(Tabla1[[#This Row],[Llave]],'[5]Consolidación planes'!$A:$M,9,FALSE),0)</f>
        <v>0</v>
      </c>
      <c r="BE65" s="20">
        <f>IFERROR(VLOOKUP(Tabla1[[#This Row],[Llave]],'[5]Consolidación planes'!$A:$M,10,FALSE),0)</f>
        <v>0</v>
      </c>
      <c r="BF65" s="20">
        <f>IFERROR(VLOOKUP(Tabla1[[#This Row],[Llave]],'[5]Consolidación planes'!$A:$M,11,FALSE),0)</f>
        <v>0</v>
      </c>
      <c r="BG65" s="20">
        <f>IFERROR(VLOOKUP(Tabla1[[#This Row],[Llave]],'[5]Consolidación planes'!$A:$M,12,FALSE),0)</f>
        <v>0</v>
      </c>
      <c r="BH65" s="20">
        <f>IFERROR(VLOOKUP(Tabla1[[#This Row],[Llave]],'[5]Consolidación planes'!$A:$M,13,FALSE),0)</f>
        <v>4619</v>
      </c>
      <c r="BI65" s="20">
        <f>IFERROR(VLOOKUP(Tabla1[[#This Row],[Llave]],'[13]Base ultimos planes'!$A:$M,13,FALSE),0)</f>
        <v>0</v>
      </c>
      <c r="BJ65" s="80">
        <f>IFERROR(VLOOKUP(Tabla1[[#This Row],[Llave]],'[13]Base ultimos planes'!$O:$AA,8,FALSE),0)</f>
        <v>0</v>
      </c>
      <c r="BK65" s="20">
        <f>IFERROR(VLOOKUP(Tabla1[[#This Row],[Llave]],'[13]Base ultimos planes'!$O:$AA,9,FALSE),0)</f>
        <v>0</v>
      </c>
      <c r="BL65" s="20">
        <f>IFERROR(VLOOKUP(Tabla1[[#This Row],[Llave]],'[13]Base ultimos planes'!$O:$AA,10,FALSE),0)</f>
        <v>0</v>
      </c>
      <c r="BM65" s="20">
        <f>IFERROR(VLOOKUP(Tabla1[[#This Row],[Llave]],'[13]Base ultimos planes'!$O:$AA,11,FALSE),0)</f>
        <v>0</v>
      </c>
      <c r="BN65" s="20">
        <f>IFERROR(VLOOKUP(Tabla1[[#This Row],[Llave]],'[13]Base ultimos planes'!$O:$AA,12,FALSE),0)</f>
        <v>4249</v>
      </c>
      <c r="BO65" s="20">
        <f>IFERROR(VLOOKUP(Tabla1[[#This Row],[Llave]],'[13]Base ultimos planes'!$O:$AA,13,FALSE),0)</f>
        <v>0</v>
      </c>
      <c r="BP65" s="20"/>
      <c r="BQ65" s="20">
        <f>+Tabla1[[#This Row],[ RV  Venta mes n+1]]*(1-Tabla1[[#This Row],[% Uti. producción]])</f>
        <v>3487.5260006580966</v>
      </c>
      <c r="BR65" s="100"/>
    </row>
    <row r="66" spans="1:70" ht="16" x14ac:dyDescent="0.2">
      <c r="A66">
        <v>1</v>
      </c>
      <c r="B66" t="str">
        <f>Tabla1[[#This Row],[Oficina]]&amp;Tabla1[[#This Row],[Material]]</f>
        <v>Agro Sudamerica1022921</v>
      </c>
      <c r="C66" t="s">
        <v>6</v>
      </c>
      <c r="D66" t="s">
        <v>17</v>
      </c>
      <c r="E66">
        <v>1022921</v>
      </c>
      <c r="F66" t="s">
        <v>45</v>
      </c>
      <c r="G66" t="s">
        <v>11</v>
      </c>
      <c r="H66" t="s">
        <v>41</v>
      </c>
      <c r="I66" s="7">
        <f>IFERROR(VLOOKUP(Tabla1[[#This Row],[Llave]],'[7]RV Producción'!$C:$G,5,FALSE),0)</f>
        <v>46202</v>
      </c>
      <c r="J66" s="3">
        <f>IFERROR(IF(Tabla1[[#This Row],[Oficina]]=$I$7,VLOOKUP(Tabla1[[#This Row],[Llave]],'[7]Shangai (Tomas)'!$A:$F,6,FALSE),VLOOKUP(Tabla1[[#This Row],[Llave]],'[7]RV plan de ventas'!$A:$E,5,FALSE)),0)</f>
        <v>23000</v>
      </c>
      <c r="K66" s="8">
        <f>IFERROR(VLOOKUP(Tabla1[[#This Row],[Oficina]],[15]Ponderación!$B$2:$E$9,4,FALSE),0)</f>
        <v>0.45719439678473212</v>
      </c>
      <c r="L66" s="7">
        <f>+Tabla1[[#This Row],[ RV Producción mes n+1]]*Tabla1[[#This Row],[% Uti. producción]]</f>
        <v>21123.295520248193</v>
      </c>
      <c r="M66" s="7">
        <f>IFERROR(VLOOKUP(Tabla1[[#This Row],[Material]],'[17]TD Stock'!$E:$I,5,FALSE),0)</f>
        <v>3760.7809999999999</v>
      </c>
      <c r="N66" s="7">
        <f>IFERROR(VLOOKUP(Tabla1[[#This Row],[Material]],[16]Produccion!$M:$N,2,FALSE),0)</f>
        <v>0</v>
      </c>
      <c r="O66" s="7">
        <f>IFERROR(VLOOKUP(Tabla1[[#This Row],[Llave]],'[16]TD Conf-AP'!$I:$M,4,FALSE),0)</f>
        <v>0</v>
      </c>
      <c r="P66" s="14">
        <f>SUM(Tabla1[[#This Row],[Producción disponible]],Tabla1[[#This Row],[Stock al día]],(Tabla1[[#This Row],[Por producir mes N]]*0.9))-Tabla1[[#This Row],[Producción por despachar mes N]]</f>
        <v>24884.076520248193</v>
      </c>
      <c r="Q66" s="7">
        <f>IFERROR(VLOOKUP(Tabla1[[#This Row],[Llave]],[17]DELAY!$A:$D,4,FALSE),0)</f>
        <v>27500</v>
      </c>
      <c r="R66" s="9">
        <v>24000</v>
      </c>
      <c r="S66" s="5">
        <f t="shared" si="29"/>
        <v>24000</v>
      </c>
      <c r="T66" s="76">
        <v>0</v>
      </c>
      <c r="U66" s="5">
        <f>+Tabla1[[#This Row],[Atraso a facturar]]+Tabla1[[#This Row],[Ajuste atraso]]</f>
        <v>24000</v>
      </c>
      <c r="V66" s="3">
        <f>+Tabla1[[#This Row],[Total disponible]]-Tabla1[[#This Row],[Facturación atraso]]</f>
        <v>884.07652024819254</v>
      </c>
      <c r="W66" s="6">
        <f>IFERROR(IF(AND(V66&gt;R66,J66&gt;=R66),ROUNDDOWN((Tabla1[[#This Row],[Producción para venta nueva]])/R66,0)*R66,0),0)</f>
        <v>0</v>
      </c>
      <c r="X66" s="76">
        <v>0</v>
      </c>
      <c r="Y66" s="6">
        <f>IF(Tabla1[[#This Row],[Venta del mes]]&gt;0,Tabla1[[#This Row],[Venta del mes]]+Tabla1[[#This Row],[Ajuste venta nueva]],0)</f>
        <v>0</v>
      </c>
      <c r="Z66" s="6">
        <f>+Tabla1[[#This Row],[Producción para venta nueva]]-Tabla1[[#This Row],[Facturación Venta nueva]]</f>
        <v>884.07652024819254</v>
      </c>
      <c r="AA66" s="6">
        <f>IF(AND(A66=1,Tabla1[[#This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6" s="6"/>
      <c r="AC66" s="6">
        <f>IF(Tabla1[[#This Row],[Disponible stock sin venta]]&gt;0,Tabla1[[#This Row],[Disponible stock sin venta]]+Tabla1[[#This Row],[Ajuste stock sin venta]],0)</f>
        <v>0</v>
      </c>
      <c r="AD66" s="3">
        <f>IFERROR(VLOOKUP(Tabla1[[#This Row],[Llave]],'[16]TD Puerto'!$A:$D,4,FALSE),0)</f>
        <v>0</v>
      </c>
      <c r="AE66" s="3">
        <v>24000</v>
      </c>
      <c r="AF66" s="3">
        <f>+Tabla1[[#This Row],[Atraso a facturar]]+Tabla1[[#This Row],[Venta del mes]]+Tabla1[[#This Row],[En puerto a facturar]]+Tabla1[[#This Row],[Disponible stock sin venta]]</f>
        <v>24000</v>
      </c>
      <c r="AG66" s="3">
        <f>+Tabla1[[#This Row],[En puerto a facturar]]</f>
        <v>0</v>
      </c>
      <c r="AH66" s="3">
        <f>+Tabla1[[#This Row],[Facturación atraso]]</f>
        <v>24000</v>
      </c>
      <c r="AI66" s="3">
        <f>+Tabla1[[#This Row],[Plan Irrestricto]]-Tabla1[[#This Row],[Puerto ]]-Tabla1[[#This Row],[Atraso]]</f>
        <v>0</v>
      </c>
      <c r="AJ66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66" s="3">
        <f>+Tabla1[[#This Row],[Facturación atraso]]</f>
        <v>24000</v>
      </c>
      <c r="AL66" s="3">
        <f>+Tabla1[[#This Row],[Plan Ajustado]]-Tabla1[[#This Row],[ Atraso ajustado]]-Tabla1[[#This Row],[Puerto ]]</f>
        <v>0</v>
      </c>
      <c r="AM66" s="3">
        <v>0</v>
      </c>
      <c r="AN66" s="3" t="str">
        <f>IF(Tabla1[[#This Row],[Plan Ajustado]]&gt;Tabla1[[#This Row],[En puerto a facturar]],"Si","No")</f>
        <v>Si</v>
      </c>
      <c r="AO66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66" s="3">
        <f>IF(Tabla1[[#This Row],[Necesidad]]&gt;=Tabla1[[#This Row],[Stock al día]],Tabla1[[#This Row],[Stock al día]],Tabla1[[#This Row],[Necesidad]])</f>
        <v>3760.7809999999999</v>
      </c>
      <c r="AQ66" s="3">
        <f>+Tabla1[[#This Row],[Necesidad]]-Tabla1[[#This Row],[Stock Plan]]</f>
        <v>20239.219000000001</v>
      </c>
      <c r="AR66" s="156">
        <f>IFERROR(VLOOKUP(Tabla1[[#This Row],[Oficina]],[22]Ponderación!$B$3:$G$9,6,FALSE),"")</f>
        <v>44757</v>
      </c>
      <c r="AS6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1.39</v>
      </c>
      <c r="AT66" s="83">
        <f>IFERROR(VLOOKUP(Tabla1[[#This Row],[Llave]],[17]DELAY!$H:$W,16,FALSE),0)</f>
        <v>1.3263933884297519</v>
      </c>
      <c r="AU6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1.3263933884297519</v>
      </c>
      <c r="AV66" s="5">
        <f>+Tabla1[[#This Row],[Plan Ajustado]]*Tabla1[[#This Row],[Precio ponderado]]</f>
        <v>31833.441322314044</v>
      </c>
      <c r="AW66" s="30">
        <f>IFERROR(VLOOKUP(Tabla1[[#This Row],[Llave]],'[13]Ultimos precios facturados'!$A:$G,7,FALSE),0)</f>
        <v>1.0165138595666714</v>
      </c>
      <c r="AX6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0.30484535547324332</v>
      </c>
      <c r="AY66" s="30"/>
      <c r="AZ66" s="30">
        <f>IF(Tabla1[[#This Row],[Ajuste precio IC]]="",Tabla1[[#This Row],[Precio ponderado]],Tabla1[[#This Row],[Precio ponderado]])</f>
        <v>1.3263933884297519</v>
      </c>
      <c r="BA66" s="82"/>
      <c r="BB66" s="82" t="str">
        <f>IF(AND(Tabla1[[#This Row],[Atraso a facturar]]&gt;0,Tabla1[[#This Row],[Precio Atraso]]=0),"Revisar","OK")</f>
        <v>OK</v>
      </c>
      <c r="BC66" s="82" t="str">
        <f>IF(AND(Tabla1[[#This Row],[Venta del mes]]&gt;0,Tabla1[[#This Row],[Precio venta nueva]]=0),"Revisar","OK")</f>
        <v>OK</v>
      </c>
      <c r="BD66" s="20">
        <f>IFERROR(VLOOKUP(Tabla1[[#This Row],[Llave]],'[5]Consolidación planes'!$A:$M,9,FALSE),0)</f>
        <v>10000</v>
      </c>
      <c r="BE66" s="20">
        <f>IFERROR(VLOOKUP(Tabla1[[#This Row],[Llave]],'[5]Consolidación planes'!$A:$M,10,FALSE),0)</f>
        <v>48000</v>
      </c>
      <c r="BF66" s="20">
        <f>IFERROR(VLOOKUP(Tabla1[[#This Row],[Llave]],'[5]Consolidación planes'!$A:$M,11,FALSE),0)</f>
        <v>10000</v>
      </c>
      <c r="BG66" s="20">
        <f>IFERROR(VLOOKUP(Tabla1[[#This Row],[Llave]],'[5]Consolidación planes'!$A:$M,12,FALSE),0)</f>
        <v>12000</v>
      </c>
      <c r="BH66" s="20">
        <f>IFERROR(VLOOKUP(Tabla1[[#This Row],[Llave]],'[5]Consolidación planes'!$A:$M,13,FALSE),0)</f>
        <v>47000</v>
      </c>
      <c r="BI66" s="20">
        <f>IFERROR(VLOOKUP(Tabla1[[#This Row],[Llave]],'[13]Base ultimos planes'!$A:$M,13,FALSE),0)</f>
        <v>0</v>
      </c>
      <c r="BJ66" s="80">
        <f>IFERROR(VLOOKUP(Tabla1[[#This Row],[Llave]],'[13]Base ultimos planes'!$O:$AA,8,FALSE),0)</f>
        <v>10000</v>
      </c>
      <c r="BK66" s="20">
        <f>IFERROR(VLOOKUP(Tabla1[[#This Row],[Llave]],'[13]Base ultimos planes'!$O:$AA,9,FALSE),0)</f>
        <v>45600</v>
      </c>
      <c r="BL66" s="20">
        <f>IFERROR(VLOOKUP(Tabla1[[#This Row],[Llave]],'[13]Base ultimos planes'!$O:$AA,10,FALSE),0)</f>
        <v>10500</v>
      </c>
      <c r="BM66" s="20">
        <f>IFERROR(VLOOKUP(Tabla1[[#This Row],[Llave]],'[13]Base ultimos planes'!$O:$AA,11,FALSE),0)</f>
        <v>8040</v>
      </c>
      <c r="BN66" s="20">
        <f>IFERROR(VLOOKUP(Tabla1[[#This Row],[Llave]],'[13]Base ultimos planes'!$O:$AA,12,FALSE),0)</f>
        <v>46740</v>
      </c>
      <c r="BO66" s="20">
        <f>IFERROR(VLOOKUP(Tabla1[[#This Row],[Llave]],'[13]Base ultimos planes'!$O:$AA,13,FALSE),0)</f>
        <v>0</v>
      </c>
      <c r="BP66" s="20"/>
      <c r="BQ66" s="20">
        <f>+Tabla1[[#This Row],[ RV  Venta mes n+1]]*(1-Tabla1[[#This Row],[% Uti. producción]])</f>
        <v>12484.528873951163</v>
      </c>
      <c r="BR66" s="100"/>
    </row>
    <row r="67" spans="1:70" ht="16" hidden="1" x14ac:dyDescent="0.2">
      <c r="A67">
        <v>1</v>
      </c>
      <c r="B67" t="str">
        <f>Tabla1[[#This Row],[Oficina]]&amp;Tabla1[[#This Row],[Material]]</f>
        <v>Agro Sudamerica1022922</v>
      </c>
      <c r="C67" t="s">
        <v>6</v>
      </c>
      <c r="D67" t="s">
        <v>17</v>
      </c>
      <c r="E67">
        <v>1022922</v>
      </c>
      <c r="F67" t="s">
        <v>314</v>
      </c>
      <c r="G67" t="s">
        <v>71</v>
      </c>
      <c r="H67" t="s">
        <v>72</v>
      </c>
      <c r="I67" s="7">
        <f>IFERROR(VLOOKUP(Tabla1[[#This Row],[Llave]],'[7]RV Producción'!$C:$G,5,FALSE),0)</f>
        <v>0</v>
      </c>
      <c r="J67" s="3">
        <f>IFERROR(IF(Tabla1[[#This Row],[Oficina]]=$I$7,VLOOKUP(Tabla1[[#This Row],[Llave]],'[7]Shangai (Tomas)'!$A:$F,6,FALSE),VLOOKUP(Tabla1[[#This Row],[Llave]],'[7]RV plan de ventas'!$A:$E,5,FALSE)),0)</f>
        <v>0</v>
      </c>
      <c r="K67" s="8">
        <f>IFERROR(VLOOKUP(Tabla1[[#This Row],[Oficina]],[15]Ponderación!$B$2:$E$9,4,FALSE),0)</f>
        <v>0.45719439678473212</v>
      </c>
      <c r="L67" s="7">
        <f>+Tabla1[[#This Row],[ RV Producción mes n+1]]*Tabla1[[#This Row],[% Uti. producción]]</f>
        <v>0</v>
      </c>
      <c r="M67" s="7">
        <f>IFERROR(VLOOKUP(Tabla1[[#This Row],[Material]],'[17]TD Stock'!$E:$I,5,FALSE),0)</f>
        <v>683.71799999999996</v>
      </c>
      <c r="N67" s="7">
        <f>IFERROR(VLOOKUP(Tabla1[[#This Row],[Material]],[16]Produccion!$M:$N,2,FALSE),0)</f>
        <v>0</v>
      </c>
      <c r="O67" s="7">
        <f>IFERROR(VLOOKUP(Tabla1[[#This Row],[Llave]],'[16]TD Conf-AP'!$I:$M,4,FALSE),0)</f>
        <v>0</v>
      </c>
      <c r="P67" s="14">
        <f>SUM(Tabla1[[#This Row],[Producción disponible]],Tabla1[[#This Row],[Stock al día]],(Tabla1[[#This Row],[Por producir mes N]]*0.9))-Tabla1[[#This Row],[Producción por despachar mes N]]</f>
        <v>683.71799999999996</v>
      </c>
      <c r="Q67" s="7">
        <f>IFERROR(VLOOKUP(Tabla1[[#This Row],[Llave]],[17]DELAY!$A:$D,4,FALSE),0)</f>
        <v>684</v>
      </c>
      <c r="R67" s="9">
        <v>24000</v>
      </c>
      <c r="S67" s="5">
        <f t="shared" si="29"/>
        <v>0</v>
      </c>
      <c r="T67" s="76">
        <v>0</v>
      </c>
      <c r="U67" s="5">
        <f>+Tabla1[[#This Row],[Atraso a facturar]]+Tabla1[[#This Row],[Ajuste atraso]]</f>
        <v>0</v>
      </c>
      <c r="V67" s="3">
        <f>+Tabla1[[#This Row],[Total disponible]]-Tabla1[[#This Row],[Facturación atraso]]</f>
        <v>683.71799999999996</v>
      </c>
      <c r="W67" s="6">
        <f>IFERROR(IF(AND(V67&gt;R67,J67&gt;=R67),ROUNDDOWN((Tabla1[[#This Row],[Producción para venta nueva]])/R67,0)*R67,0),0)</f>
        <v>0</v>
      </c>
      <c r="X67" s="76">
        <v>0</v>
      </c>
      <c r="Y67" s="6">
        <f>IF(Tabla1[[#This Row],[Venta del mes]]&gt;0,Tabla1[[#This Row],[Venta del mes]]+Tabla1[[#This Row],[Ajuste venta nueva]],0)</f>
        <v>0</v>
      </c>
      <c r="Z67" s="6">
        <f>+Tabla1[[#This Row],[Producción para venta nueva]]-Tabla1[[#This Row],[Facturación Venta nueva]]</f>
        <v>683.71799999999996</v>
      </c>
      <c r="AA67" s="6">
        <f>IF(AND(A67=1,Tabla1[[#This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7" s="6"/>
      <c r="AC67" s="6">
        <f>IF(Tabla1[[#This Row],[Disponible stock sin venta]]&gt;0,Tabla1[[#This Row],[Disponible stock sin venta]]+Tabla1[[#This Row],[Ajuste stock sin venta]],0)</f>
        <v>0</v>
      </c>
      <c r="AD67" s="3">
        <f>IFERROR(VLOOKUP(Tabla1[[#This Row],[Llave]],'[16]TD Puerto'!$A:$D,4,FALSE),0)</f>
        <v>0</v>
      </c>
      <c r="AE67" s="3">
        <v>0</v>
      </c>
      <c r="AF67" s="3">
        <f>+Tabla1[[#This Row],[Atraso a facturar]]+Tabla1[[#This Row],[Venta del mes]]+Tabla1[[#This Row],[En puerto a facturar]]+Tabla1[[#This Row],[Disponible stock sin venta]]</f>
        <v>0</v>
      </c>
      <c r="AG67" s="3">
        <f>+Tabla1[[#This Row],[En puerto a facturar]]</f>
        <v>0</v>
      </c>
      <c r="AH67" s="3">
        <f>+Tabla1[[#This Row],[Facturación atraso]]</f>
        <v>0</v>
      </c>
      <c r="AI67" s="3">
        <f>+Tabla1[[#This Row],[Plan Irrestricto]]-Tabla1[[#This Row],[Puerto ]]-Tabla1[[#This Row],[Atraso]]</f>
        <v>0</v>
      </c>
      <c r="AJ6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67" s="3">
        <f>+Tabla1[[#This Row],[Facturación atraso]]</f>
        <v>0</v>
      </c>
      <c r="AL67" s="3">
        <f>+Tabla1[[#This Row],[Plan Ajustado]]-Tabla1[[#This Row],[ Atraso ajustado]]-Tabla1[[#This Row],[Puerto ]]</f>
        <v>0</v>
      </c>
      <c r="AM67" s="3">
        <v>0</v>
      </c>
      <c r="AN67" s="3" t="str">
        <f>IF(Tabla1[[#This Row],[Plan Ajustado]]&gt;Tabla1[[#This Row],[En puerto a facturar]],"Si","No")</f>
        <v>No</v>
      </c>
      <c r="AO6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67" s="3">
        <f>IF(Tabla1[[#This Row],[Necesidad]]&gt;=Tabla1[[#This Row],[Stock al día]],Tabla1[[#This Row],[Stock al día]],Tabla1[[#This Row],[Necesidad]])</f>
        <v>0</v>
      </c>
      <c r="AQ67" s="3">
        <f>+Tabla1[[#This Row],[Necesidad]]-Tabla1[[#This Row],[Stock Plan]]</f>
        <v>0</v>
      </c>
      <c r="AR67" s="156">
        <f>IFERROR(VLOOKUP(Tabla1[[#This Row],[Oficina]],[22]Ponderación!$B$3:$G$9,6,FALSE),"")</f>
        <v>44757</v>
      </c>
      <c r="AS6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1.4005937318696935</v>
      </c>
      <c r="AT67" s="83">
        <f>IFERROR(VLOOKUP(Tabla1[[#This Row],[Llave]],[17]DELAY!$H:$W,16,FALSE),0)</f>
        <v>1.4791994152046799</v>
      </c>
      <c r="AU6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67" s="5">
        <f>+Tabla1[[#This Row],[Plan Ajustado]]*Tabla1[[#This Row],[Precio ponderado]]</f>
        <v>0</v>
      </c>
      <c r="AW67" s="30">
        <f>IFERROR(VLOOKUP(Tabla1[[#This Row],[Llave]],'[13]Ultimos precios facturados'!$A:$G,7,FALSE),0)</f>
        <v>1.4005937318696935</v>
      </c>
      <c r="AX6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67" s="30"/>
      <c r="AZ67" s="30">
        <f>IF(Tabla1[[#This Row],[Ajuste precio IC]]="",Tabla1[[#This Row],[Precio ponderado]],Tabla1[[#This Row],[Precio ponderado]])</f>
        <v>0</v>
      </c>
      <c r="BA67" s="82"/>
      <c r="BB67" s="82" t="str">
        <f>IF(AND(Tabla1[[#This Row],[Atraso a facturar]]&gt;0,Tabla1[[#This Row],[Precio Atraso]]=0),"Revisar","OK")</f>
        <v>OK</v>
      </c>
      <c r="BC67" s="82" t="str">
        <f>IF(AND(Tabla1[[#This Row],[Venta del mes]]&gt;0,Tabla1[[#This Row],[Precio venta nueva]]=0),"Revisar","OK")</f>
        <v>OK</v>
      </c>
      <c r="BD67" s="20">
        <f>IFERROR(VLOOKUP(Tabla1[[#This Row],[Llave]],'[5]Consolidación planes'!$A:$M,9,FALSE),0)</f>
        <v>0</v>
      </c>
      <c r="BE67" s="20">
        <f>IFERROR(VLOOKUP(Tabla1[[#This Row],[Llave]],'[5]Consolidación planes'!$A:$M,10,FALSE),0)</f>
        <v>0</v>
      </c>
      <c r="BF67" s="20">
        <f>IFERROR(VLOOKUP(Tabla1[[#This Row],[Llave]],'[5]Consolidación planes'!$A:$M,11,FALSE),0)</f>
        <v>0</v>
      </c>
      <c r="BG67" s="20">
        <f>IFERROR(VLOOKUP(Tabla1[[#This Row],[Llave]],'[5]Consolidación planes'!$A:$M,12,FALSE),0)</f>
        <v>17000</v>
      </c>
      <c r="BH67" s="20">
        <f>IFERROR(VLOOKUP(Tabla1[[#This Row],[Llave]],'[5]Consolidación planes'!$A:$M,13,FALSE),0)</f>
        <v>6000</v>
      </c>
      <c r="BI67" s="20">
        <f>IFERROR(VLOOKUP(Tabla1[[#This Row],[Llave]],'[13]Base ultimos planes'!$A:$M,13,FALSE),0)</f>
        <v>0</v>
      </c>
      <c r="BJ67" s="80">
        <f>IFERROR(VLOOKUP(Tabla1[[#This Row],[Llave]],'[13]Base ultimos planes'!$O:$AA,8,FALSE),0)</f>
        <v>0</v>
      </c>
      <c r="BK67" s="20">
        <f>IFERROR(VLOOKUP(Tabla1[[#This Row],[Llave]],'[13]Base ultimos planes'!$O:$AA,9,FALSE),0)</f>
        <v>0</v>
      </c>
      <c r="BL67" s="20">
        <f>IFERROR(VLOOKUP(Tabla1[[#This Row],[Llave]],'[13]Base ultimos planes'!$O:$AA,10,FALSE),0)</f>
        <v>0</v>
      </c>
      <c r="BM67" s="20">
        <f>IFERROR(VLOOKUP(Tabla1[[#This Row],[Llave]],'[13]Base ultimos planes'!$O:$AA,11,FALSE),0)</f>
        <v>20740</v>
      </c>
      <c r="BN67" s="20">
        <f>IFERROR(VLOOKUP(Tabla1[[#This Row],[Llave]],'[13]Base ultimos planes'!$O:$AA,12,FALSE),0)</f>
        <v>7320</v>
      </c>
      <c r="BO67" s="20">
        <f>IFERROR(VLOOKUP(Tabla1[[#This Row],[Llave]],'[13]Base ultimos planes'!$O:$AA,13,FALSE),0)</f>
        <v>0</v>
      </c>
      <c r="BP67" s="20"/>
      <c r="BQ67" s="20">
        <f>+Tabla1[[#This Row],[ RV  Venta mes n+1]]*(1-Tabla1[[#This Row],[% Uti. producción]])</f>
        <v>0</v>
      </c>
      <c r="BR67" s="100"/>
    </row>
    <row r="68" spans="1:70" ht="16" hidden="1" x14ac:dyDescent="0.2">
      <c r="A68">
        <v>1</v>
      </c>
      <c r="B68" t="str">
        <f>Tabla1[[#This Row],[Oficina]]&amp;Tabla1[[#This Row],[Material]]</f>
        <v>Agro Sudamerica1022928</v>
      </c>
      <c r="C68" t="s">
        <v>6</v>
      </c>
      <c r="D68" t="s">
        <v>17</v>
      </c>
      <c r="E68">
        <v>1022928</v>
      </c>
      <c r="F68" t="s">
        <v>310</v>
      </c>
      <c r="G68" t="s">
        <v>8</v>
      </c>
      <c r="H68" t="s">
        <v>32</v>
      </c>
      <c r="I68" s="7">
        <f>IFERROR(VLOOKUP(Tabla1[[#This Row],[Llave]],'[7]RV Producción'!$C:$G,5,FALSE),0)</f>
        <v>0</v>
      </c>
      <c r="J68" s="3">
        <f>IFERROR(IF(Tabla1[[#This Row],[Oficina]]=$I$7,VLOOKUP(Tabla1[[#This Row],[Llave]],'[7]Shangai (Tomas)'!$A:$F,6,FALSE),VLOOKUP(Tabla1[[#This Row],[Llave]],'[7]RV plan de ventas'!$A:$E,5,FALSE)),0)</f>
        <v>0</v>
      </c>
      <c r="K68" s="8">
        <f>IFERROR(VLOOKUP(Tabla1[[#This Row],[Oficina]],[15]Ponderación!$B$2:$E$9,4,FALSE),0)</f>
        <v>0.45719439678473212</v>
      </c>
      <c r="L68" s="7">
        <f>+Tabla1[[#This Row],[ RV Producción mes n+1]]*Tabla1[[#This Row],[% Uti. producción]]</f>
        <v>0</v>
      </c>
      <c r="M68" s="7">
        <f>IFERROR(VLOOKUP(Tabla1[[#This Row],[Material]],'[17]TD Stock'!$E:$I,5,FALSE),0)</f>
        <v>3386.2580000000003</v>
      </c>
      <c r="N68" s="7">
        <f>IFERROR(VLOOKUP(Tabla1[[#This Row],[Material]],[16]Produccion!$M:$N,2,FALSE),0)</f>
        <v>0</v>
      </c>
      <c r="O68" s="7">
        <f>IFERROR(VLOOKUP(Tabla1[[#This Row],[Llave]],'[16]TD Conf-AP'!$I:$M,4,FALSE),0)</f>
        <v>0</v>
      </c>
      <c r="P68" s="14">
        <f>SUM(Tabla1[[#This Row],[Producción disponible]],Tabla1[[#This Row],[Stock al día]],(Tabla1[[#This Row],[Por producir mes N]]*0.9))-Tabla1[[#This Row],[Producción por despachar mes N]]</f>
        <v>3386.2580000000003</v>
      </c>
      <c r="Q68" s="7">
        <f>IFERROR(VLOOKUP(Tabla1[[#This Row],[Llave]],[17]DELAY!$A:$D,4,FALSE),0)</f>
        <v>0</v>
      </c>
      <c r="R68" s="9">
        <v>24000</v>
      </c>
      <c r="S68" s="5">
        <f t="shared" ref="S68:S130" si="30">IF(AND(P68&gt;Q68,Q68&gt;0),Q68,IF(AND(P68&lt;Q68,Q68&gt;0),(ROUNDDOWN(P68/R68,0)*R68),0))</f>
        <v>0</v>
      </c>
      <c r="T68" s="76">
        <v>0</v>
      </c>
      <c r="U68" s="5">
        <f>+Tabla1[[#This Row],[Atraso a facturar]]+Tabla1[[#This Row],[Ajuste atraso]]</f>
        <v>0</v>
      </c>
      <c r="V68" s="3">
        <f>+Tabla1[[#This Row],[Total disponible]]-Tabla1[[#This Row],[Facturación atraso]]</f>
        <v>3386.2580000000003</v>
      </c>
      <c r="W68" s="6">
        <f>IFERROR(IF(AND(V68&gt;R68,J68&gt;=R68),ROUNDDOWN((Tabla1[[#This Row],[Producción para venta nueva]])/R68,0)*R68,0),0)</f>
        <v>0</v>
      </c>
      <c r="X68" s="76">
        <v>0</v>
      </c>
      <c r="Y68" s="6">
        <f>IF(Tabla1[[#This Row],[Venta del mes]]&gt;0,Tabla1[[#This Row],[Venta del mes]]+Tabla1[[#This Row],[Ajuste venta nueva]],0)</f>
        <v>0</v>
      </c>
      <c r="Z68" s="6">
        <f>+Tabla1[[#This Row],[Producción para venta nueva]]-Tabla1[[#This Row],[Facturación Venta nueva]]</f>
        <v>3386.2580000000003</v>
      </c>
      <c r="AA68" s="6">
        <f>IF(AND(A68=1,Tabla1[[#This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8" s="6"/>
      <c r="AC68" s="6">
        <f>IF(Tabla1[[#This Row],[Disponible stock sin venta]]&gt;0,Tabla1[[#This Row],[Disponible stock sin venta]]+Tabla1[[#This Row],[Ajuste stock sin venta]],0)</f>
        <v>0</v>
      </c>
      <c r="AD68" s="3">
        <f>IFERROR(VLOOKUP(Tabla1[[#This Row],[Llave]],'[16]TD Puerto'!$A:$D,4,FALSE),0)</f>
        <v>0</v>
      </c>
      <c r="AE68" s="3">
        <v>0</v>
      </c>
      <c r="AF68" s="3">
        <f>+Tabla1[[#This Row],[Atraso a facturar]]+Tabla1[[#This Row],[Venta del mes]]+Tabla1[[#This Row],[En puerto a facturar]]+Tabla1[[#This Row],[Disponible stock sin venta]]</f>
        <v>0</v>
      </c>
      <c r="AG68" s="3">
        <f>+Tabla1[[#This Row],[En puerto a facturar]]</f>
        <v>0</v>
      </c>
      <c r="AH68" s="3">
        <f>+Tabla1[[#This Row],[Facturación atraso]]</f>
        <v>0</v>
      </c>
      <c r="AI68" s="3">
        <f>+Tabla1[[#This Row],[Plan Irrestricto]]-Tabla1[[#This Row],[Puerto ]]-Tabla1[[#This Row],[Atraso]]</f>
        <v>0</v>
      </c>
      <c r="AJ6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68" s="3">
        <f>+Tabla1[[#This Row],[Facturación atraso]]</f>
        <v>0</v>
      </c>
      <c r="AL68" s="3">
        <f>+Tabla1[[#This Row],[Plan Ajustado]]-Tabla1[[#This Row],[ Atraso ajustado]]-Tabla1[[#This Row],[Puerto ]]</f>
        <v>0</v>
      </c>
      <c r="AM68" s="3">
        <v>0</v>
      </c>
      <c r="AN68" s="3" t="str">
        <f>IF(Tabla1[[#This Row],[Plan Ajustado]]&gt;Tabla1[[#This Row],[En puerto a facturar]],"Si","No")</f>
        <v>No</v>
      </c>
      <c r="AO6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68" s="3">
        <f>IF(Tabla1[[#This Row],[Necesidad]]&gt;=Tabla1[[#This Row],[Stock al día]],Tabla1[[#This Row],[Stock al día]],Tabla1[[#This Row],[Necesidad]])</f>
        <v>0</v>
      </c>
      <c r="AQ68" s="3">
        <f>+Tabla1[[#This Row],[Necesidad]]-Tabla1[[#This Row],[Stock Plan]]</f>
        <v>0</v>
      </c>
      <c r="AR68" s="156">
        <f>IFERROR(VLOOKUP(Tabla1[[#This Row],[Oficina]],[22]Ponderación!$B$3:$G$9,6,FALSE),"")</f>
        <v>44757</v>
      </c>
      <c r="AS6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</v>
      </c>
      <c r="AT68" s="83">
        <f>IFERROR(VLOOKUP(Tabla1[[#This Row],[Llave]],[17]DELAY!$H:$W,16,FALSE),0)</f>
        <v>0</v>
      </c>
      <c r="AU6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68" s="5">
        <f>+Tabla1[[#This Row],[Plan Ajustado]]*Tabla1[[#This Row],[Precio ponderado]]</f>
        <v>0</v>
      </c>
      <c r="AW68" s="30">
        <f>IFERROR(VLOOKUP(Tabla1[[#This Row],[Llave]],'[13]Ultimos precios facturados'!$A:$G,7,FALSE),0)</f>
        <v>0.9</v>
      </c>
      <c r="AX6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68" s="30"/>
      <c r="AZ68" s="30">
        <f>IF(Tabla1[[#This Row],[Ajuste precio IC]]="",Tabla1[[#This Row],[Precio ponderado]],Tabla1[[#This Row],[Precio ponderado]])</f>
        <v>0</v>
      </c>
      <c r="BA68" s="82"/>
      <c r="BB68" s="82" t="str">
        <f>IF(AND(Tabla1[[#This Row],[Atraso a facturar]]&gt;0,Tabla1[[#This Row],[Precio Atraso]]=0),"Revisar","OK")</f>
        <v>OK</v>
      </c>
      <c r="BC68" s="82" t="str">
        <f>IF(AND(Tabla1[[#This Row],[Venta del mes]]&gt;0,Tabla1[[#This Row],[Precio venta nueva]]=0),"Revisar","OK")</f>
        <v>OK</v>
      </c>
      <c r="BD68" s="20">
        <f>IFERROR(VLOOKUP(Tabla1[[#This Row],[Llave]],'[5]Consolidación planes'!$A:$M,9,FALSE),0)</f>
        <v>0</v>
      </c>
      <c r="BE68" s="20">
        <f>IFERROR(VLOOKUP(Tabla1[[#This Row],[Llave]],'[5]Consolidación planes'!$A:$M,10,FALSE),0)</f>
        <v>0</v>
      </c>
      <c r="BF68" s="20">
        <f>IFERROR(VLOOKUP(Tabla1[[#This Row],[Llave]],'[5]Consolidación planes'!$A:$M,11,FALSE),0)</f>
        <v>0</v>
      </c>
      <c r="BG68" s="20">
        <f>IFERROR(VLOOKUP(Tabla1[[#This Row],[Llave]],'[5]Consolidación planes'!$A:$M,12,FALSE),0)</f>
        <v>16000</v>
      </c>
      <c r="BH68" s="20">
        <f>IFERROR(VLOOKUP(Tabla1[[#This Row],[Llave]],'[5]Consolidación planes'!$A:$M,13,FALSE),0)</f>
        <v>5000</v>
      </c>
      <c r="BI68" s="20">
        <f>IFERROR(VLOOKUP(Tabla1[[#This Row],[Llave]],'[13]Base ultimos planes'!$A:$M,13,FALSE),0)</f>
        <v>0</v>
      </c>
      <c r="BJ68" s="80">
        <f>IFERROR(VLOOKUP(Tabla1[[#This Row],[Llave]],'[13]Base ultimos planes'!$O:$AA,8,FALSE),0)</f>
        <v>0</v>
      </c>
      <c r="BK68" s="20">
        <f>IFERROR(VLOOKUP(Tabla1[[#This Row],[Llave]],'[13]Base ultimos planes'!$O:$AA,9,FALSE),0)</f>
        <v>0</v>
      </c>
      <c r="BL68" s="20">
        <f>IFERROR(VLOOKUP(Tabla1[[#This Row],[Llave]],'[13]Base ultimos planes'!$O:$AA,10,FALSE),0)</f>
        <v>0</v>
      </c>
      <c r="BM68" s="20">
        <f>IFERROR(VLOOKUP(Tabla1[[#This Row],[Llave]],'[13]Base ultimos planes'!$O:$AA,11,FALSE),0)</f>
        <v>9870</v>
      </c>
      <c r="BN68" s="20">
        <f>IFERROR(VLOOKUP(Tabla1[[#This Row],[Llave]],'[13]Base ultimos planes'!$O:$AA,12,FALSE),0)</f>
        <v>3600</v>
      </c>
      <c r="BO68" s="20">
        <f>IFERROR(VLOOKUP(Tabla1[[#This Row],[Llave]],'[13]Base ultimos planes'!$O:$AA,13,FALSE),0)</f>
        <v>0</v>
      </c>
      <c r="BP68" s="20"/>
      <c r="BQ68" s="20">
        <f>+Tabla1[[#This Row],[ RV  Venta mes n+1]]*(1-Tabla1[[#This Row],[% Uti. producción]])</f>
        <v>0</v>
      </c>
      <c r="BR68" s="100"/>
    </row>
    <row r="69" spans="1:70" ht="16" x14ac:dyDescent="0.2">
      <c r="A69">
        <v>1</v>
      </c>
      <c r="B69" t="str">
        <f>Tabla1[[#This Row],[Oficina]]&amp;Tabla1[[#This Row],[Material]]</f>
        <v>Agro Sudamerica1022996</v>
      </c>
      <c r="C69" t="s">
        <v>6</v>
      </c>
      <c r="D69" t="s">
        <v>17</v>
      </c>
      <c r="E69">
        <v>1022996</v>
      </c>
      <c r="F69" t="s">
        <v>46</v>
      </c>
      <c r="G69" t="s">
        <v>11</v>
      </c>
      <c r="H69" t="s">
        <v>41</v>
      </c>
      <c r="I69" s="7">
        <f>IFERROR(VLOOKUP(Tabla1[[#This Row],[Llave]],'[7]RV Producción'!$C:$G,5,FALSE),0)</f>
        <v>6307</v>
      </c>
      <c r="J69" s="3">
        <f>IFERROR(IF(Tabla1[[#This Row],[Oficina]]=$I$7,VLOOKUP(Tabla1[[#This Row],[Llave]],'[7]Shangai (Tomas)'!$A:$F,6,FALSE),VLOOKUP(Tabla1[[#This Row],[Llave]],'[7]RV plan de ventas'!$A:$E,5,FALSE)),0)</f>
        <v>0</v>
      </c>
      <c r="K69" s="8">
        <f>IFERROR(VLOOKUP(Tabla1[[#This Row],[Oficina]],[15]Ponderación!$B$2:$E$9,4,FALSE),0)</f>
        <v>0.45719439678473212</v>
      </c>
      <c r="L69" s="7">
        <f>+Tabla1[[#This Row],[ RV Producción mes n+1]]*Tabla1[[#This Row],[% Uti. producción]]</f>
        <v>2883.5250605213055</v>
      </c>
      <c r="M69" s="7">
        <f>IFERROR(VLOOKUP(Tabla1[[#This Row],[Material]],'[17]TD Stock'!$E:$I,5,FALSE),0)</f>
        <v>6307.3410000000003</v>
      </c>
      <c r="N69" s="7">
        <f>IFERROR(VLOOKUP(Tabla1[[#This Row],[Material]],[16]Produccion!$M:$N,2,FALSE),0)</f>
        <v>0</v>
      </c>
      <c r="O69" s="7">
        <f>IFERROR(VLOOKUP(Tabla1[[#This Row],[Llave]],'[16]TD Conf-AP'!$I:$M,4,FALSE),0)</f>
        <v>0</v>
      </c>
      <c r="P69" s="14">
        <f>SUM(Tabla1[[#This Row],[Producción disponible]],Tabla1[[#This Row],[Stock al día]],(Tabla1[[#This Row],[Por producir mes N]]*0.9))-Tabla1[[#This Row],[Producción por despachar mes N]]</f>
        <v>9190.8660605213063</v>
      </c>
      <c r="Q69" s="7">
        <f>IFERROR(VLOOKUP(Tabla1[[#This Row],[Llave]],[17]DELAY!$A:$D,4,FALSE),0)</f>
        <v>6307</v>
      </c>
      <c r="R69" s="9">
        <v>24000</v>
      </c>
      <c r="S69" s="5">
        <f t="shared" si="30"/>
        <v>6307</v>
      </c>
      <c r="T69" s="76">
        <v>0</v>
      </c>
      <c r="U69" s="5">
        <f>+Tabla1[[#This Row],[Atraso a facturar]]+Tabla1[[#This Row],[Ajuste atraso]]</f>
        <v>6307</v>
      </c>
      <c r="V69" s="3">
        <f>+Tabla1[[#This Row],[Total disponible]]-Tabla1[[#This Row],[Facturación atraso]]</f>
        <v>2883.8660605213063</v>
      </c>
      <c r="W69" s="6">
        <f>IFERROR(IF(AND(V69&gt;R69,J69&gt;=R69),ROUNDDOWN((Tabla1[[#This Row],[Producción para venta nueva]])/R69,0)*R69,0),0)</f>
        <v>0</v>
      </c>
      <c r="X69" s="76">
        <v>0</v>
      </c>
      <c r="Y69" s="6">
        <f>IF(Tabla1[[#This Row],[Venta del mes]]&gt;0,Tabla1[[#This Row],[Venta del mes]]+Tabla1[[#This Row],[Ajuste venta nueva]],0)</f>
        <v>0</v>
      </c>
      <c r="Z69" s="6">
        <f>+Tabla1[[#This Row],[Producción para venta nueva]]-Tabla1[[#This Row],[Facturación Venta nueva]]</f>
        <v>2883.8660605213063</v>
      </c>
      <c r="AA69" s="6">
        <f>IF(AND(A69=1,Tabla1[[#This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69" s="6"/>
      <c r="AC69" s="6">
        <f>IF(Tabla1[[#This Row],[Disponible stock sin venta]]&gt;0,Tabla1[[#This Row],[Disponible stock sin venta]]+Tabla1[[#This Row],[Ajuste stock sin venta]],0)</f>
        <v>0</v>
      </c>
      <c r="AD69" s="3">
        <f>IFERROR(VLOOKUP(Tabla1[[#This Row],[Llave]],'[16]TD Puerto'!$A:$D,4,FALSE),0)</f>
        <v>0</v>
      </c>
      <c r="AE69" s="3">
        <v>6307</v>
      </c>
      <c r="AF69" s="3">
        <f>+Tabla1[[#This Row],[Atraso a facturar]]+Tabla1[[#This Row],[Venta del mes]]+Tabla1[[#This Row],[En puerto a facturar]]+Tabla1[[#This Row],[Disponible stock sin venta]]</f>
        <v>6307</v>
      </c>
      <c r="AG69" s="3">
        <f>+Tabla1[[#This Row],[En puerto a facturar]]</f>
        <v>0</v>
      </c>
      <c r="AH69" s="3">
        <f>+Tabla1[[#This Row],[Facturación atraso]]</f>
        <v>6307</v>
      </c>
      <c r="AI69" s="3">
        <f>+Tabla1[[#This Row],[Plan Irrestricto]]-Tabla1[[#This Row],[Puerto ]]-Tabla1[[#This Row],[Atraso]]</f>
        <v>0</v>
      </c>
      <c r="AJ69" s="3">
        <f>IF(Tabla1[[#This Row],[Plan Irrestricto]]&gt;0,SUM(Tabla1[[#This Row],[Facturación atraso]],Tabla1[[#This Row],[Facturación Venta nueva]],Tabla1[[#This Row],[Facturación stock]],Tabla1[[#This Row],[En puerto a facturar]]),0)</f>
        <v>6307</v>
      </c>
      <c r="AK69" s="3">
        <f>+Tabla1[[#This Row],[Facturación atraso]]</f>
        <v>6307</v>
      </c>
      <c r="AL69" s="3">
        <f>+Tabla1[[#This Row],[Plan Ajustado]]-Tabla1[[#This Row],[ Atraso ajustado]]-Tabla1[[#This Row],[Puerto ]]</f>
        <v>0</v>
      </c>
      <c r="AM69" s="3">
        <v>0</v>
      </c>
      <c r="AN69" s="3" t="str">
        <f>IF(Tabla1[[#This Row],[Plan Ajustado]]&gt;Tabla1[[#This Row],[En puerto a facturar]],"Si","No")</f>
        <v>Si</v>
      </c>
      <c r="AO69" s="3">
        <f>IF(AND(Tabla1[[#This Row],[Plan Ajustado]]&gt;0,Tabla1[[#This Row],[Plan Ajustado]]&gt;Tabla1[[#This Row],[En puerto a facturar]]),(Tabla1[[#This Row],[Plan Ajustado]]-Tabla1[[#This Row],[En puerto a facturar]]),0)</f>
        <v>6307</v>
      </c>
      <c r="AP69" s="3">
        <f>IF(Tabla1[[#This Row],[Necesidad]]&gt;=Tabla1[[#This Row],[Stock al día]],Tabla1[[#This Row],[Stock al día]],Tabla1[[#This Row],[Necesidad]])</f>
        <v>6307</v>
      </c>
      <c r="AQ69" s="3">
        <f>+Tabla1[[#This Row],[Necesidad]]-Tabla1[[#This Row],[Stock Plan]]</f>
        <v>0</v>
      </c>
      <c r="AR69" s="156">
        <f>IFERROR(VLOOKUP(Tabla1[[#This Row],[Oficina]],[22]Ponderación!$B$3:$G$9,6,FALSE),"")</f>
        <v>44757</v>
      </c>
      <c r="AS6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1.0351744554482312</v>
      </c>
      <c r="AT69" s="83">
        <f>IFERROR(VLOOKUP(Tabla1[[#This Row],[Llave]],[17]DELAY!$H:$W,16,FALSE),0)</f>
        <v>0.97955335341683814</v>
      </c>
      <c r="AU6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0.97955335341683814</v>
      </c>
      <c r="AV69" s="5">
        <f>+Tabla1[[#This Row],[Plan Ajustado]]*Tabla1[[#This Row],[Precio ponderado]]</f>
        <v>6178.0429999999978</v>
      </c>
      <c r="AW69" s="30">
        <f>IFERROR(VLOOKUP(Tabla1[[#This Row],[Llave]],'[13]Ultimos precios facturados'!$A:$G,7,FALSE),0)</f>
        <v>1.0351744554482312</v>
      </c>
      <c r="AX6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5.373113849424449E-2</v>
      </c>
      <c r="AY69" s="30"/>
      <c r="AZ69" s="30">
        <f>IF(Tabla1[[#This Row],[Ajuste precio IC]]="",Tabla1[[#This Row],[Precio ponderado]],Tabla1[[#This Row],[Precio ponderado]])</f>
        <v>0.97955335341683814</v>
      </c>
      <c r="BA69" s="82"/>
      <c r="BB69" s="82" t="str">
        <f>IF(AND(Tabla1[[#This Row],[Atraso a facturar]]&gt;0,Tabla1[[#This Row],[Precio Atraso]]=0),"Revisar","OK")</f>
        <v>OK</v>
      </c>
      <c r="BC69" s="82" t="str">
        <f>IF(AND(Tabla1[[#This Row],[Venta del mes]]&gt;0,Tabla1[[#This Row],[Precio venta nueva]]=0),"Revisar","OK")</f>
        <v>OK</v>
      </c>
      <c r="BD69" s="20">
        <f>IFERROR(VLOOKUP(Tabla1[[#This Row],[Llave]],'[5]Consolidación planes'!$A:$M,9,FALSE),0)</f>
        <v>36000</v>
      </c>
      <c r="BE69" s="20">
        <f>IFERROR(VLOOKUP(Tabla1[[#This Row],[Llave]],'[5]Consolidación planes'!$A:$M,10,FALSE),0)</f>
        <v>24000</v>
      </c>
      <c r="BF69" s="20">
        <f>IFERROR(VLOOKUP(Tabla1[[#This Row],[Llave]],'[5]Consolidación planes'!$A:$M,11,FALSE),0)</f>
        <v>24000</v>
      </c>
      <c r="BG69" s="20">
        <f>IFERROR(VLOOKUP(Tabla1[[#This Row],[Llave]],'[5]Consolidación planes'!$A:$M,12,FALSE),0)</f>
        <v>0</v>
      </c>
      <c r="BH69" s="20">
        <f>IFERROR(VLOOKUP(Tabla1[[#This Row],[Llave]],'[5]Consolidación planes'!$A:$M,13,FALSE),0)</f>
        <v>0</v>
      </c>
      <c r="BI69" s="20">
        <f>IFERROR(VLOOKUP(Tabla1[[#This Row],[Llave]],'[13]Base ultimos planes'!$A:$M,13,FALSE),0)</f>
        <v>0</v>
      </c>
      <c r="BJ69" s="80">
        <f>IFERROR(VLOOKUP(Tabla1[[#This Row],[Llave]],'[13]Base ultimos planes'!$O:$AA,8,FALSE),0)</f>
        <v>44712</v>
      </c>
      <c r="BK69" s="20">
        <f>IFERROR(VLOOKUP(Tabla1[[#This Row],[Llave]],'[13]Base ultimos planes'!$O:$AA,9,FALSE),0)</f>
        <v>26640</v>
      </c>
      <c r="BL69" s="20">
        <f>IFERROR(VLOOKUP(Tabla1[[#This Row],[Llave]],'[13]Base ultimos planes'!$O:$AA,10,FALSE),0)</f>
        <v>25200</v>
      </c>
      <c r="BM69" s="20">
        <f>IFERROR(VLOOKUP(Tabla1[[#This Row],[Llave]],'[13]Base ultimos planes'!$O:$AA,11,FALSE),0)</f>
        <v>0</v>
      </c>
      <c r="BN69" s="20">
        <f>IFERROR(VLOOKUP(Tabla1[[#This Row],[Llave]],'[13]Base ultimos planes'!$O:$AA,12,FALSE),0)</f>
        <v>0</v>
      </c>
      <c r="BO69" s="20">
        <f>IFERROR(VLOOKUP(Tabla1[[#This Row],[Llave]],'[13]Base ultimos planes'!$O:$AA,13,FALSE),0)</f>
        <v>0</v>
      </c>
      <c r="BP69" s="20"/>
      <c r="BQ69" s="20">
        <f>+Tabla1[[#This Row],[ RV  Venta mes n+1]]*(1-Tabla1[[#This Row],[% Uti. producción]])</f>
        <v>0</v>
      </c>
      <c r="BR69" s="100"/>
    </row>
    <row r="70" spans="1:70" ht="16" hidden="1" x14ac:dyDescent="0.2">
      <c r="A70">
        <v>1</v>
      </c>
      <c r="B70" t="str">
        <f>Tabla1[[#This Row],[Oficina]]&amp;Tabla1[[#This Row],[Material]]</f>
        <v>Agro Sudamerica1023312</v>
      </c>
      <c r="C70" t="s">
        <v>6</v>
      </c>
      <c r="D70" t="s">
        <v>17</v>
      </c>
      <c r="E70">
        <v>1023312</v>
      </c>
      <c r="F70" t="s">
        <v>39</v>
      </c>
      <c r="G70" t="s">
        <v>37</v>
      </c>
      <c r="H70" t="s">
        <v>38</v>
      </c>
      <c r="I70" s="7">
        <f>IFERROR(VLOOKUP(Tabla1[[#This Row],[Llave]],'[7]RV Producción'!$C:$G,5,FALSE),0)</f>
        <v>0</v>
      </c>
      <c r="J70" s="3">
        <f>IFERROR(IF(Tabla1[[#This Row],[Oficina]]=$I$7,VLOOKUP(Tabla1[[#This Row],[Llave]],'[7]Shangai (Tomas)'!$A:$F,6,FALSE),VLOOKUP(Tabla1[[#This Row],[Llave]],'[7]RV plan de ventas'!$A:$E,5,FALSE)),0)</f>
        <v>0</v>
      </c>
      <c r="K70" s="8">
        <f>IFERROR(VLOOKUP(Tabla1[[#This Row],[Oficina]],[15]Ponderación!$B$2:$E$9,4,FALSE),0)</f>
        <v>0.45719439678473212</v>
      </c>
      <c r="L70" s="7">
        <f>+Tabla1[[#This Row],[ RV Producción mes n+1]]*Tabla1[[#This Row],[% Uti. producción]]</f>
        <v>0</v>
      </c>
      <c r="M70" s="7">
        <f>IFERROR(VLOOKUP(Tabla1[[#This Row],[Material]],'[17]TD Stock'!$E:$I,5,FALSE),0)</f>
        <v>11367.695</v>
      </c>
      <c r="N70" s="7">
        <f>IFERROR(VLOOKUP(Tabla1[[#This Row],[Material]],[16]Produccion!$M:$N,2,FALSE),0)</f>
        <v>0</v>
      </c>
      <c r="O70" s="7">
        <f>IFERROR(VLOOKUP(Tabla1[[#This Row],[Llave]],'[16]TD Conf-AP'!$I:$M,4,FALSE),0)</f>
        <v>0</v>
      </c>
      <c r="P70" s="14">
        <f>SUM(Tabla1[[#This Row],[Producción disponible]],Tabla1[[#This Row],[Stock al día]],(Tabla1[[#This Row],[Por producir mes N]]*0.9))-Tabla1[[#This Row],[Producción por despachar mes N]]</f>
        <v>11367.695</v>
      </c>
      <c r="Q70" s="7">
        <f>IFERROR(VLOOKUP(Tabla1[[#This Row],[Llave]],[17]DELAY!$A:$D,4,FALSE),0)</f>
        <v>0</v>
      </c>
      <c r="R70" s="9">
        <v>24000</v>
      </c>
      <c r="S70" s="5">
        <f t="shared" si="30"/>
        <v>0</v>
      </c>
      <c r="T70" s="76">
        <v>0</v>
      </c>
      <c r="U70" s="5">
        <f>+Tabla1[[#This Row],[Atraso a facturar]]+Tabla1[[#This Row],[Ajuste atraso]]</f>
        <v>0</v>
      </c>
      <c r="V70" s="3">
        <f>+Tabla1[[#This Row],[Total disponible]]-Tabla1[[#This Row],[Facturación atraso]]</f>
        <v>11367.695</v>
      </c>
      <c r="W70" s="6">
        <f>IFERROR(IF(AND(V70&gt;R70,J70&gt;=R70),ROUNDDOWN((Tabla1[[#This Row],[Producción para venta nueva]])/R70,0)*R70,0),0)</f>
        <v>0</v>
      </c>
      <c r="X70" s="76">
        <v>0</v>
      </c>
      <c r="Y70" s="6">
        <f>IF(Tabla1[[#This Row],[Venta del mes]]&gt;0,Tabla1[[#This Row],[Venta del mes]]+Tabla1[[#This Row],[Ajuste venta nueva]],0)</f>
        <v>0</v>
      </c>
      <c r="Z70" s="6">
        <f>+Tabla1[[#This Row],[Producción para venta nueva]]-Tabla1[[#This Row],[Facturación Venta nueva]]</f>
        <v>11367.695</v>
      </c>
      <c r="AA70" s="6">
        <f>IF(AND(A70=1,Tabla1[[#This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70" s="6"/>
      <c r="AC70" s="6">
        <f>IF(Tabla1[[#This Row],[Disponible stock sin venta]]&gt;0,Tabla1[[#This Row],[Disponible stock sin venta]]+Tabla1[[#This Row],[Ajuste stock sin venta]],0)</f>
        <v>0</v>
      </c>
      <c r="AD70" s="3">
        <f>IFERROR(VLOOKUP(Tabla1[[#This Row],[Llave]],'[16]TD Puerto'!$A:$D,4,FALSE),0)</f>
        <v>0</v>
      </c>
      <c r="AE70" s="3">
        <v>0</v>
      </c>
      <c r="AF70" s="3">
        <f>+Tabla1[[#This Row],[Atraso a facturar]]+Tabla1[[#This Row],[Venta del mes]]+Tabla1[[#This Row],[En puerto a facturar]]+Tabla1[[#This Row],[Disponible stock sin venta]]</f>
        <v>0</v>
      </c>
      <c r="AG70" s="3">
        <f>+Tabla1[[#This Row],[En puerto a facturar]]</f>
        <v>0</v>
      </c>
      <c r="AH70" s="3">
        <f>+Tabla1[[#This Row],[Facturación atraso]]</f>
        <v>0</v>
      </c>
      <c r="AI70" s="3">
        <f>+Tabla1[[#This Row],[Plan Irrestricto]]-Tabla1[[#This Row],[Puerto ]]-Tabla1[[#This Row],[Atraso]]</f>
        <v>0</v>
      </c>
      <c r="AJ7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70" s="3">
        <f>+Tabla1[[#This Row],[Facturación atraso]]</f>
        <v>0</v>
      </c>
      <c r="AL70" s="3">
        <f>+Tabla1[[#This Row],[Plan Ajustado]]-Tabla1[[#This Row],[ Atraso ajustado]]-Tabla1[[#This Row],[Puerto ]]</f>
        <v>0</v>
      </c>
      <c r="AM70" s="3">
        <v>0</v>
      </c>
      <c r="AN70" s="3" t="str">
        <f>IF(Tabla1[[#This Row],[Plan Ajustado]]&gt;Tabla1[[#This Row],[En puerto a facturar]],"Si","No")</f>
        <v>No</v>
      </c>
      <c r="AO7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70" s="3">
        <f>IF(Tabla1[[#This Row],[Necesidad]]&gt;=Tabla1[[#This Row],[Stock al día]],Tabla1[[#This Row],[Stock al día]],Tabla1[[#This Row],[Necesidad]])</f>
        <v>0</v>
      </c>
      <c r="AQ70" s="3">
        <f>+Tabla1[[#This Row],[Necesidad]]-Tabla1[[#This Row],[Stock Plan]]</f>
        <v>0</v>
      </c>
      <c r="AR70" s="156">
        <f>IFERROR(VLOOKUP(Tabla1[[#This Row],[Oficina]],[22]Ponderación!$B$3:$G$9,6,FALSE),"")</f>
        <v>44757</v>
      </c>
      <c r="AS7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70" s="83">
        <f>IFERROR(VLOOKUP(Tabla1[[#This Row],[Llave]],[17]DELAY!$H:$W,16,FALSE),0)</f>
        <v>0</v>
      </c>
      <c r="AU7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70" s="5">
        <f>+Tabla1[[#This Row],[Plan Ajustado]]*Tabla1[[#This Row],[Precio ponderado]]</f>
        <v>0</v>
      </c>
      <c r="AW70" s="30">
        <f>IFERROR(VLOOKUP(Tabla1[[#This Row],[Llave]],'[13]Ultimos precios facturados'!$A:$G,7,FALSE),0)</f>
        <v>0</v>
      </c>
      <c r="AX7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70" s="30"/>
      <c r="AZ70" s="30">
        <f>IF(Tabla1[[#This Row],[Ajuste precio IC]]="",Tabla1[[#This Row],[Precio ponderado]],Tabla1[[#This Row],[Precio ponderado]])</f>
        <v>0</v>
      </c>
      <c r="BA70" s="82"/>
      <c r="BB70" s="82" t="str">
        <f>IF(AND(Tabla1[[#This Row],[Atraso a facturar]]&gt;0,Tabla1[[#This Row],[Precio Atraso]]=0),"Revisar","OK")</f>
        <v>OK</v>
      </c>
      <c r="BC70" s="82" t="str">
        <f>IF(AND(Tabla1[[#This Row],[Venta del mes]]&gt;0,Tabla1[[#This Row],[Precio venta nueva]]=0),"Revisar","OK")</f>
        <v>OK</v>
      </c>
      <c r="BD70" s="20">
        <f>IFERROR(VLOOKUP(Tabla1[[#This Row],[Llave]],'[5]Consolidación planes'!$A:$M,9,FALSE),0)</f>
        <v>0</v>
      </c>
      <c r="BE70" s="20">
        <f>IFERROR(VLOOKUP(Tabla1[[#This Row],[Llave]],'[5]Consolidación planes'!$A:$M,10,FALSE),0)</f>
        <v>0</v>
      </c>
      <c r="BF70" s="20">
        <f>IFERROR(VLOOKUP(Tabla1[[#This Row],[Llave]],'[5]Consolidación planes'!$A:$M,11,FALSE),0)</f>
        <v>10221</v>
      </c>
      <c r="BG70" s="20">
        <f>IFERROR(VLOOKUP(Tabla1[[#This Row],[Llave]],'[5]Consolidación planes'!$A:$M,12,FALSE),0)</f>
        <v>0</v>
      </c>
      <c r="BH70" s="20">
        <f>IFERROR(VLOOKUP(Tabla1[[#This Row],[Llave]],'[5]Consolidación planes'!$A:$M,13,FALSE),0)</f>
        <v>0</v>
      </c>
      <c r="BI70" s="20">
        <f>IFERROR(VLOOKUP(Tabla1[[#This Row],[Llave]],'[13]Base ultimos planes'!$A:$M,13,FALSE),0)</f>
        <v>0</v>
      </c>
      <c r="BJ70" s="80">
        <f>IFERROR(VLOOKUP(Tabla1[[#This Row],[Llave]],'[13]Base ultimos planes'!$O:$AA,8,FALSE),0)</f>
        <v>0</v>
      </c>
      <c r="BK70" s="20">
        <f>IFERROR(VLOOKUP(Tabla1[[#This Row],[Llave]],'[13]Base ultimos planes'!$O:$AA,9,FALSE),0)</f>
        <v>0</v>
      </c>
      <c r="BL70" s="20">
        <f>IFERROR(VLOOKUP(Tabla1[[#This Row],[Llave]],'[13]Base ultimos planes'!$O:$AA,10,FALSE),0)</f>
        <v>28823</v>
      </c>
      <c r="BM70" s="20">
        <f>IFERROR(VLOOKUP(Tabla1[[#This Row],[Llave]],'[13]Base ultimos planes'!$O:$AA,11,FALSE),0)</f>
        <v>0</v>
      </c>
      <c r="BN70" s="20">
        <f>IFERROR(VLOOKUP(Tabla1[[#This Row],[Llave]],'[13]Base ultimos planes'!$O:$AA,12,FALSE),0)</f>
        <v>0</v>
      </c>
      <c r="BO70" s="20">
        <f>IFERROR(VLOOKUP(Tabla1[[#This Row],[Llave]],'[13]Base ultimos planes'!$O:$AA,13,FALSE),0)</f>
        <v>0</v>
      </c>
      <c r="BP70" s="20"/>
      <c r="BQ70" s="20">
        <f>+Tabla1[[#This Row],[ RV  Venta mes n+1]]*(1-Tabla1[[#This Row],[% Uti. producción]])</f>
        <v>0</v>
      </c>
      <c r="BR70" s="100"/>
    </row>
    <row r="71" spans="1:70" ht="16" x14ac:dyDescent="0.2">
      <c r="A71">
        <v>1</v>
      </c>
      <c r="B71" t="str">
        <f>Tabla1[[#This Row],[Oficina]]&amp;Tabla1[[#This Row],[Material]]</f>
        <v>Agro Sudamerica1023331</v>
      </c>
      <c r="C71" t="s">
        <v>6</v>
      </c>
      <c r="D71" t="s">
        <v>17</v>
      </c>
      <c r="E71">
        <v>1023331</v>
      </c>
      <c r="F71" t="s">
        <v>281</v>
      </c>
      <c r="G71" t="s">
        <v>50</v>
      </c>
      <c r="H71" t="s">
        <v>110</v>
      </c>
      <c r="I71" s="7">
        <f>IFERROR(VLOOKUP(Tabla1[[#This Row],[Llave]],'[7]RV Producción'!$C:$G,5,FALSE),0)</f>
        <v>0</v>
      </c>
      <c r="J71" s="3">
        <f>IFERROR(IF(Tabla1[[#This Row],[Oficina]]=$I$7,VLOOKUP(Tabla1[[#This Row],[Llave]],'[7]Shangai (Tomas)'!$A:$F,6,FALSE),VLOOKUP(Tabla1[[#This Row],[Llave]],'[7]RV plan de ventas'!$A:$E,5,FALSE)),0)</f>
        <v>94</v>
      </c>
      <c r="K71" s="8">
        <f>IFERROR(VLOOKUP(Tabla1[[#This Row],[Oficina]],[15]Ponderación!$B$2:$E$9,4,FALSE),0)</f>
        <v>0.45719439678473212</v>
      </c>
      <c r="L71" s="7">
        <f>+Tabla1[[#This Row],[ RV Producción mes n+1]]*Tabla1[[#This Row],[% Uti. producción]]</f>
        <v>0</v>
      </c>
      <c r="M71" s="7">
        <f>IFERROR(VLOOKUP(Tabla1[[#This Row],[Material]],'[17]TD Stock'!$E:$I,5,FALSE),0)</f>
        <v>6060.3810000000012</v>
      </c>
      <c r="N71" s="7">
        <f>IFERROR(VLOOKUP(Tabla1[[#This Row],[Material]],[16]Produccion!$M:$N,2,FALSE),0)</f>
        <v>0</v>
      </c>
      <c r="O71" s="7">
        <f>IFERROR(VLOOKUP(Tabla1[[#This Row],[Llave]],'[16]TD Conf-AP'!$I:$M,4,FALSE),0)</f>
        <v>0</v>
      </c>
      <c r="P71" s="14">
        <f>SUM(Tabla1[[#This Row],[Producción disponible]],Tabla1[[#This Row],[Stock al día]],(Tabla1[[#This Row],[Por producir mes N]]*0.9))-Tabla1[[#This Row],[Producción por despachar mes N]]</f>
        <v>6060.3810000000012</v>
      </c>
      <c r="Q71" s="7">
        <f>IFERROR(VLOOKUP(Tabla1[[#This Row],[Llave]],[17]DELAY!$A:$D,4,FALSE),0)</f>
        <v>6000</v>
      </c>
      <c r="R71" s="9">
        <v>24000</v>
      </c>
      <c r="S71" s="5">
        <f t="shared" si="30"/>
        <v>6000</v>
      </c>
      <c r="T71" s="76">
        <v>0</v>
      </c>
      <c r="U71" s="5">
        <f>+Tabla1[[#This Row],[Atraso a facturar]]+Tabla1[[#This Row],[Ajuste atraso]]</f>
        <v>6000</v>
      </c>
      <c r="V71" s="3">
        <f>+Tabla1[[#This Row],[Total disponible]]-Tabla1[[#This Row],[Facturación atraso]]</f>
        <v>60.381000000001222</v>
      </c>
      <c r="W71" s="6">
        <f>IFERROR(IF(AND(V71&gt;R71,J71&gt;=R71),ROUNDDOWN((Tabla1[[#This Row],[Producción para venta nueva]])/R71,0)*R71,0),0)</f>
        <v>0</v>
      </c>
      <c r="X71" s="76">
        <v>0</v>
      </c>
      <c r="Y71" s="6">
        <f>IF(Tabla1[[#This Row],[Venta del mes]]&gt;0,Tabla1[[#This Row],[Venta del mes]]+Tabla1[[#This Row],[Ajuste venta nueva]],0)</f>
        <v>0</v>
      </c>
      <c r="Z71" s="6">
        <f>+Tabla1[[#This Row],[Producción para venta nueva]]-Tabla1[[#This Row],[Facturación Venta nueva]]</f>
        <v>60.381000000001222</v>
      </c>
      <c r="AA71" s="6">
        <f>IF(AND(A71=1,Tabla1[[#This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71" s="6"/>
      <c r="AC71" s="6">
        <f>IF(Tabla1[[#This Row],[Disponible stock sin venta]]&gt;0,Tabla1[[#This Row],[Disponible stock sin venta]]+Tabla1[[#This Row],[Ajuste stock sin venta]],0)</f>
        <v>0</v>
      </c>
      <c r="AD71" s="3">
        <f>IFERROR(VLOOKUP(Tabla1[[#This Row],[Llave]],'[16]TD Puerto'!$A:$D,4,FALSE),0)</f>
        <v>0</v>
      </c>
      <c r="AE71" s="3">
        <v>6000</v>
      </c>
      <c r="AF71" s="3">
        <f>+Tabla1[[#This Row],[Atraso a facturar]]+Tabla1[[#This Row],[Venta del mes]]+Tabla1[[#This Row],[En puerto a facturar]]+Tabla1[[#This Row],[Disponible stock sin venta]]</f>
        <v>6000</v>
      </c>
      <c r="AG71" s="3">
        <f>+Tabla1[[#This Row],[En puerto a facturar]]</f>
        <v>0</v>
      </c>
      <c r="AH71" s="3">
        <f>+Tabla1[[#This Row],[Facturación atraso]]</f>
        <v>6000</v>
      </c>
      <c r="AI71" s="3">
        <f>+Tabla1[[#This Row],[Plan Irrestricto]]-Tabla1[[#This Row],[Puerto ]]-Tabla1[[#This Row],[Atraso]]</f>
        <v>0</v>
      </c>
      <c r="AJ71" s="3">
        <f>IF(Tabla1[[#This Row],[Plan Irrestricto]]&gt;0,SUM(Tabla1[[#This Row],[Facturación atraso]],Tabla1[[#This Row],[Facturación Venta nueva]],Tabla1[[#This Row],[Facturación stock]],Tabla1[[#This Row],[En puerto a facturar]]),0)</f>
        <v>6000</v>
      </c>
      <c r="AK71" s="3">
        <f>+Tabla1[[#This Row],[Facturación atraso]]</f>
        <v>6000</v>
      </c>
      <c r="AL71" s="3">
        <f>+Tabla1[[#This Row],[Plan Ajustado]]-Tabla1[[#This Row],[ Atraso ajustado]]-Tabla1[[#This Row],[Puerto ]]</f>
        <v>0</v>
      </c>
      <c r="AM71" s="3">
        <v>0</v>
      </c>
      <c r="AN71" s="3" t="str">
        <f>IF(Tabla1[[#This Row],[Plan Ajustado]]&gt;Tabla1[[#This Row],[En puerto a facturar]],"Si","No")</f>
        <v>Si</v>
      </c>
      <c r="AO71" s="3">
        <f>IF(AND(Tabla1[[#This Row],[Plan Ajustado]]&gt;0,Tabla1[[#This Row],[Plan Ajustado]]&gt;Tabla1[[#This Row],[En puerto a facturar]]),(Tabla1[[#This Row],[Plan Ajustado]]-Tabla1[[#This Row],[En puerto a facturar]]),0)</f>
        <v>6000</v>
      </c>
      <c r="AP71" s="3">
        <f>IF(Tabla1[[#This Row],[Necesidad]]&gt;=Tabla1[[#This Row],[Stock al día]],Tabla1[[#This Row],[Stock al día]],Tabla1[[#This Row],[Necesidad]])</f>
        <v>6000</v>
      </c>
      <c r="AQ71" s="3">
        <f>+Tabla1[[#This Row],[Necesidad]]-Tabla1[[#This Row],[Stock Plan]]</f>
        <v>0</v>
      </c>
      <c r="AR71" s="156">
        <f>IFERROR(VLOOKUP(Tabla1[[#This Row],[Oficina]],[22]Ponderación!$B$3:$G$9,6,FALSE),"")</f>
        <v>44757</v>
      </c>
      <c r="AS7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2.3829787234042601</v>
      </c>
      <c r="AT71" s="83">
        <f>IFERROR(VLOOKUP(Tabla1[[#This Row],[Llave]],[17]DELAY!$H:$W,16,FALSE),0)</f>
        <v>2.8</v>
      </c>
      <c r="AU7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2.8</v>
      </c>
      <c r="AV71" s="5">
        <f>+Tabla1[[#This Row],[Plan Ajustado]]*Tabla1[[#This Row],[Precio ponderado]]</f>
        <v>16800</v>
      </c>
      <c r="AW71" s="30">
        <f>IFERROR(VLOOKUP(Tabla1[[#This Row],[Llave]],'[13]Ultimos precios facturados'!$A:$G,7,FALSE),0)</f>
        <v>2.5677309441596563</v>
      </c>
      <c r="AX7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9.0456929051948798E-2</v>
      </c>
      <c r="AY71" s="30"/>
      <c r="AZ71" s="30">
        <f>IF(Tabla1[[#This Row],[Ajuste precio IC]]="",Tabla1[[#This Row],[Precio ponderado]],Tabla1[[#This Row],[Precio ponderado]])</f>
        <v>2.8</v>
      </c>
      <c r="BA71" s="82"/>
      <c r="BB71" s="82" t="str">
        <f>IF(AND(Tabla1[[#This Row],[Atraso a facturar]]&gt;0,Tabla1[[#This Row],[Precio Atraso]]=0),"Revisar","OK")</f>
        <v>OK</v>
      </c>
      <c r="BC71" s="82" t="str">
        <f>IF(AND(Tabla1[[#This Row],[Venta del mes]]&gt;0,Tabla1[[#This Row],[Precio venta nueva]]=0),"Revisar","OK")</f>
        <v>OK</v>
      </c>
      <c r="BD71" s="20">
        <f>IFERROR(VLOOKUP(Tabla1[[#This Row],[Llave]],'[5]Consolidación planes'!$A:$M,9,FALSE),0)</f>
        <v>0</v>
      </c>
      <c r="BE71" s="20">
        <f>IFERROR(VLOOKUP(Tabla1[[#This Row],[Llave]],'[5]Consolidación planes'!$A:$M,10,FALSE),0)</f>
        <v>23000</v>
      </c>
      <c r="BF71" s="20">
        <f>IFERROR(VLOOKUP(Tabla1[[#This Row],[Llave]],'[5]Consolidación planes'!$A:$M,11,FALSE),0)</f>
        <v>0</v>
      </c>
      <c r="BG71" s="20">
        <f>IFERROR(VLOOKUP(Tabla1[[#This Row],[Llave]],'[5]Consolidación planes'!$A:$M,12,FALSE),0)</f>
        <v>23000</v>
      </c>
      <c r="BH71" s="20">
        <f>IFERROR(VLOOKUP(Tabla1[[#This Row],[Llave]],'[5]Consolidación planes'!$A:$M,13,FALSE),0)</f>
        <v>0</v>
      </c>
      <c r="BI71" s="20">
        <f>IFERROR(VLOOKUP(Tabla1[[#This Row],[Llave]],'[13]Base ultimos planes'!$A:$M,13,FALSE),0)</f>
        <v>0</v>
      </c>
      <c r="BJ71" s="80">
        <f>IFERROR(VLOOKUP(Tabla1[[#This Row],[Llave]],'[13]Base ultimos planes'!$O:$AA,8,FALSE),0)</f>
        <v>0</v>
      </c>
      <c r="BK71" s="20">
        <f>IFERROR(VLOOKUP(Tabla1[[#This Row],[Llave]],'[13]Base ultimos planes'!$O:$AA,9,FALSE),0)</f>
        <v>59608</v>
      </c>
      <c r="BL71" s="20">
        <f>IFERROR(VLOOKUP(Tabla1[[#This Row],[Llave]],'[13]Base ultimos planes'!$O:$AA,10,FALSE),0)</f>
        <v>0</v>
      </c>
      <c r="BM71" s="20">
        <f>IFERROR(VLOOKUP(Tabla1[[#This Row],[Llave]],'[13]Base ultimos planes'!$O:$AA,11,FALSE),0)</f>
        <v>57730</v>
      </c>
      <c r="BN71" s="20">
        <f>IFERROR(VLOOKUP(Tabla1[[#This Row],[Llave]],'[13]Base ultimos planes'!$O:$AA,12,FALSE),0)</f>
        <v>0</v>
      </c>
      <c r="BO71" s="20">
        <f>IFERROR(VLOOKUP(Tabla1[[#This Row],[Llave]],'[13]Base ultimos planes'!$O:$AA,13,FALSE),0)</f>
        <v>0</v>
      </c>
      <c r="BP71" s="20"/>
      <c r="BQ71" s="20">
        <f>+Tabla1[[#This Row],[ RV  Venta mes n+1]]*(1-Tabla1[[#This Row],[% Uti. producción]])</f>
        <v>51.023726702235187</v>
      </c>
      <c r="BR71" s="100"/>
    </row>
    <row r="72" spans="1:70" ht="16" x14ac:dyDescent="0.2">
      <c r="A72">
        <v>1</v>
      </c>
      <c r="B72" t="str">
        <f>Tabla1[[#This Row],[Oficina]]&amp;Tabla1[[#This Row],[Material]]</f>
        <v>Agro Sudamerica1023355</v>
      </c>
      <c r="C72" t="s">
        <v>6</v>
      </c>
      <c r="D72" t="s">
        <v>17</v>
      </c>
      <c r="E72">
        <v>1023355</v>
      </c>
      <c r="F72" t="s">
        <v>203</v>
      </c>
      <c r="G72" t="s">
        <v>76</v>
      </c>
      <c r="H72" t="s">
        <v>84</v>
      </c>
      <c r="I72" s="7">
        <f>IFERROR(VLOOKUP(Tabla1[[#This Row],[Llave]],'[7]RV Producción'!$C:$G,5,FALSE),0)</f>
        <v>30736</v>
      </c>
      <c r="J72" s="3">
        <f>IFERROR(IF(Tabla1[[#This Row],[Oficina]]=$I$7,VLOOKUP(Tabla1[[#This Row],[Llave]],'[7]Shangai (Tomas)'!$A:$F,6,FALSE),VLOOKUP(Tabla1[[#This Row],[Llave]],'[7]RV plan de ventas'!$A:$E,5,FALSE)),0)</f>
        <v>51378</v>
      </c>
      <c r="K72" s="8">
        <f>IFERROR(VLOOKUP(Tabla1[[#This Row],[Oficina]],[15]Ponderación!$B$2:$E$9,4,FALSE),0)</f>
        <v>0.45719439678473212</v>
      </c>
      <c r="L72" s="7">
        <f>+Tabla1[[#This Row],[ RV Producción mes n+1]]*Tabla1[[#This Row],[% Uti. producción]]</f>
        <v>14052.326979575526</v>
      </c>
      <c r="M72" s="7">
        <f>IFERROR(VLOOKUP(Tabla1[[#This Row],[Material]],'[17]TD Stock'!$E:$I,5,FALSE),0)</f>
        <v>9335.1060000000034</v>
      </c>
      <c r="N72" s="7">
        <f>IFERROR(VLOOKUP(Tabla1[[#This Row],[Material]],[16]Produccion!$M:$N,2,FALSE),0)</f>
        <v>8160</v>
      </c>
      <c r="O72" s="7">
        <f>IFERROR(VLOOKUP(Tabla1[[#This Row],[Llave]],'[16]TD Conf-AP'!$I:$M,4,FALSE),0)</f>
        <v>0</v>
      </c>
      <c r="P72" s="14">
        <f>SUM(Tabla1[[#This Row],[Producción disponible]],Tabla1[[#This Row],[Stock al día]],(Tabla1[[#This Row],[Por producir mes N]]*0.9))-Tabla1[[#This Row],[Producción por despachar mes N]]</f>
        <v>30731.432979575529</v>
      </c>
      <c r="Q72" s="7">
        <f>IFERROR(VLOOKUP(Tabla1[[#This Row],[Llave]],[17]DELAY!$A:$D,4,FALSE),0)</f>
        <v>22500</v>
      </c>
      <c r="R72" s="9">
        <v>24000</v>
      </c>
      <c r="S72" s="5">
        <f t="shared" si="30"/>
        <v>22500</v>
      </c>
      <c r="T72" s="76">
        <v>0</v>
      </c>
      <c r="U72" s="5">
        <f>+Tabla1[[#This Row],[Atraso a facturar]]+Tabla1[[#This Row],[Ajuste atraso]]</f>
        <v>22500</v>
      </c>
      <c r="V72" s="3">
        <f>+Tabla1[[#This Row],[Total disponible]]-Tabla1[[#This Row],[Facturación atraso]]</f>
        <v>8231.4329795755293</v>
      </c>
      <c r="W72" s="6">
        <f>IFERROR(IF(AND(V72&gt;R72,J72&gt;=R72),ROUNDDOWN((Tabla1[[#This Row],[Producción para venta nueva]])/R72,0)*R72,0),0)</f>
        <v>0</v>
      </c>
      <c r="X72" s="76">
        <v>0</v>
      </c>
      <c r="Y72" s="6">
        <f>IF(Tabla1[[#This Row],[Venta del mes]]&gt;0,Tabla1[[#This Row],[Venta del mes]]+Tabla1[[#This Row],[Ajuste venta nueva]],0)</f>
        <v>0</v>
      </c>
      <c r="Z72" s="6">
        <f>+Tabla1[[#This Row],[Producción para venta nueva]]-Tabla1[[#This Row],[Facturación Venta nueva]]</f>
        <v>8231.4329795755293</v>
      </c>
      <c r="AA72" s="6">
        <f>IF(AND(A72=1,Tabla1[[#This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72" s="6"/>
      <c r="AC72" s="6">
        <f>IF(Tabla1[[#This Row],[Disponible stock sin venta]]&gt;0,Tabla1[[#This Row],[Disponible stock sin venta]]+Tabla1[[#This Row],[Ajuste stock sin venta]],0)</f>
        <v>0</v>
      </c>
      <c r="AD72" s="3">
        <f>IFERROR(VLOOKUP(Tabla1[[#This Row],[Llave]],'[16]TD Puerto'!$A:$D,4,FALSE),0)</f>
        <v>0</v>
      </c>
      <c r="AE72" s="3">
        <v>22500</v>
      </c>
      <c r="AF72" s="3">
        <f>+Tabla1[[#This Row],[Atraso a facturar]]+Tabla1[[#This Row],[Venta del mes]]+Tabla1[[#This Row],[En puerto a facturar]]+Tabla1[[#This Row],[Disponible stock sin venta]]</f>
        <v>22500</v>
      </c>
      <c r="AG72" s="3">
        <f>+Tabla1[[#This Row],[En puerto a facturar]]</f>
        <v>0</v>
      </c>
      <c r="AH72" s="3">
        <f>+Tabla1[[#This Row],[Facturación atraso]]</f>
        <v>22500</v>
      </c>
      <c r="AI72" s="3">
        <f>+Tabla1[[#This Row],[Plan Irrestricto]]-Tabla1[[#This Row],[Puerto ]]-Tabla1[[#This Row],[Atraso]]</f>
        <v>0</v>
      </c>
      <c r="AJ72" s="3">
        <f>IF(Tabla1[[#This Row],[Plan Irrestricto]]&gt;0,SUM(Tabla1[[#This Row],[Facturación atraso]],Tabla1[[#This Row],[Facturación Venta nueva]],Tabla1[[#This Row],[Facturación stock]],Tabla1[[#This Row],[En puerto a facturar]]),0)</f>
        <v>22500</v>
      </c>
      <c r="AK72" s="3">
        <f>+Tabla1[[#This Row],[Facturación atraso]]</f>
        <v>22500</v>
      </c>
      <c r="AL72" s="3">
        <f>+Tabla1[[#This Row],[Plan Ajustado]]-Tabla1[[#This Row],[ Atraso ajustado]]-Tabla1[[#This Row],[Puerto ]]</f>
        <v>0</v>
      </c>
      <c r="AM72" s="3">
        <v>0</v>
      </c>
      <c r="AN72" s="3" t="str">
        <f>IF(Tabla1[[#This Row],[Plan Ajustado]]&gt;Tabla1[[#This Row],[En puerto a facturar]],"Si","No")</f>
        <v>Si</v>
      </c>
      <c r="AO72" s="3">
        <f>IF(AND(Tabla1[[#This Row],[Plan Ajustado]]&gt;0,Tabla1[[#This Row],[Plan Ajustado]]&gt;Tabla1[[#This Row],[En puerto a facturar]]),(Tabla1[[#This Row],[Plan Ajustado]]-Tabla1[[#This Row],[En puerto a facturar]]),0)</f>
        <v>22500</v>
      </c>
      <c r="AP72" s="3">
        <f>IF(Tabla1[[#This Row],[Necesidad]]&gt;=Tabla1[[#This Row],[Stock al día]],Tabla1[[#This Row],[Stock al día]],Tabla1[[#This Row],[Necesidad]])</f>
        <v>9335.1060000000034</v>
      </c>
      <c r="AQ72" s="3">
        <f>+Tabla1[[#This Row],[Necesidad]]-Tabla1[[#This Row],[Stock Plan]]</f>
        <v>13164.893999999997</v>
      </c>
      <c r="AR72" s="156">
        <f>IFERROR(VLOOKUP(Tabla1[[#This Row],[Oficina]],[22]Ponderación!$B$3:$G$9,6,FALSE),"")</f>
        <v>44757</v>
      </c>
      <c r="AS7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0.65999065747985497</v>
      </c>
      <c r="AT72" s="83">
        <f>IFERROR(VLOOKUP(Tabla1[[#This Row],[Llave]],[17]DELAY!$H:$W,16,FALSE),0)</f>
        <v>0.76349999999999996</v>
      </c>
      <c r="AU7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0.76349999999999996</v>
      </c>
      <c r="AV72" s="5">
        <f>+Tabla1[[#This Row],[Plan Ajustado]]*Tabla1[[#This Row],[Precio ponderado]]</f>
        <v>17178.75</v>
      </c>
      <c r="AW72" s="30">
        <f>IFERROR(VLOOKUP(Tabla1[[#This Row],[Llave]],'[13]Ultimos precios facturados'!$A:$G,7,FALSE),0)</f>
        <v>0.65103105102954539</v>
      </c>
      <c r="AX7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0.17275512249776001</v>
      </c>
      <c r="AY72" s="30"/>
      <c r="AZ72" s="30">
        <f>IF(Tabla1[[#This Row],[Ajuste precio IC]]="",Tabla1[[#This Row],[Precio ponderado]],Tabla1[[#This Row],[Precio ponderado]])</f>
        <v>0.76349999999999996</v>
      </c>
      <c r="BA72" s="82"/>
      <c r="BB72" s="82" t="str">
        <f>IF(AND(Tabla1[[#This Row],[Atraso a facturar]]&gt;0,Tabla1[[#This Row],[Precio Atraso]]=0),"Revisar","OK")</f>
        <v>OK</v>
      </c>
      <c r="BC72" s="82" t="str">
        <f>IF(AND(Tabla1[[#This Row],[Venta del mes]]&gt;0,Tabla1[[#This Row],[Precio venta nueva]]=0),"Revisar","OK")</f>
        <v>OK</v>
      </c>
      <c r="BD72" s="20">
        <f>IFERROR(VLOOKUP(Tabla1[[#This Row],[Llave]],'[5]Consolidación planes'!$A:$M,9,FALSE),0)</f>
        <v>0</v>
      </c>
      <c r="BE72" s="20">
        <f>IFERROR(VLOOKUP(Tabla1[[#This Row],[Llave]],'[5]Consolidación planes'!$A:$M,10,FALSE),0)</f>
        <v>0</v>
      </c>
      <c r="BF72" s="20">
        <f>IFERROR(VLOOKUP(Tabla1[[#This Row],[Llave]],'[5]Consolidación planes'!$A:$M,11,FALSE),0)</f>
        <v>0</v>
      </c>
      <c r="BG72" s="20">
        <f>IFERROR(VLOOKUP(Tabla1[[#This Row],[Llave]],'[5]Consolidación planes'!$A:$M,12,FALSE),0)</f>
        <v>0</v>
      </c>
      <c r="BH72" s="20">
        <f>IFERROR(VLOOKUP(Tabla1[[#This Row],[Llave]],'[5]Consolidación planes'!$A:$M,13,FALSE),0)</f>
        <v>24000</v>
      </c>
      <c r="BI72" s="20">
        <f>IFERROR(VLOOKUP(Tabla1[[#This Row],[Llave]],'[13]Base ultimos planes'!$A:$M,13,FALSE),0)</f>
        <v>24000</v>
      </c>
      <c r="BJ72" s="80">
        <f>IFERROR(VLOOKUP(Tabla1[[#This Row],[Llave]],'[13]Base ultimos planes'!$O:$AA,8,FALSE),0)</f>
        <v>0</v>
      </c>
      <c r="BK72" s="20">
        <f>IFERROR(VLOOKUP(Tabla1[[#This Row],[Llave]],'[13]Base ultimos planes'!$O:$AA,9,FALSE),0)</f>
        <v>0</v>
      </c>
      <c r="BL72" s="20">
        <f>IFERROR(VLOOKUP(Tabla1[[#This Row],[Llave]],'[13]Base ultimos planes'!$O:$AA,10,FALSE),0)</f>
        <v>0</v>
      </c>
      <c r="BM72" s="20">
        <f>IFERROR(VLOOKUP(Tabla1[[#This Row],[Llave]],'[13]Base ultimos planes'!$O:$AA,11,FALSE),0)</f>
        <v>0</v>
      </c>
      <c r="BN72" s="20">
        <f>IFERROR(VLOOKUP(Tabla1[[#This Row],[Llave]],'[13]Base ultimos planes'!$O:$AA,12,FALSE),0)</f>
        <v>12240</v>
      </c>
      <c r="BO72" s="20">
        <f>IFERROR(VLOOKUP(Tabla1[[#This Row],[Llave]],'[13]Base ultimos planes'!$O:$AA,13,FALSE),0)</f>
        <v>15157</v>
      </c>
      <c r="BP72" s="20"/>
      <c r="BQ72" s="20">
        <f>+Tabla1[[#This Row],[ RV  Venta mes n+1]]*(1-Tabla1[[#This Row],[% Uti. producción]])</f>
        <v>27888.266281994038</v>
      </c>
      <c r="BR72" s="100"/>
    </row>
    <row r="73" spans="1:70" ht="16" x14ac:dyDescent="0.2">
      <c r="A73">
        <v>1</v>
      </c>
      <c r="B73" t="str">
        <f>Tabla1[[#This Row],[Oficina]]&amp;Tabla1[[#This Row],[Material]]</f>
        <v>Agrosuper Asia1020860</v>
      </c>
      <c r="C73" t="s">
        <v>6</v>
      </c>
      <c r="D73" t="s">
        <v>173</v>
      </c>
      <c r="E73">
        <v>1020860</v>
      </c>
      <c r="F73" t="s">
        <v>182</v>
      </c>
      <c r="G73" t="s">
        <v>50</v>
      </c>
      <c r="H73" t="s">
        <v>110</v>
      </c>
      <c r="I73" s="7">
        <f>IFERROR(VLOOKUP(Tabla1[[#This Row],[Llave]],'[7]RV Producción'!$C:$G,5,FALSE),0)</f>
        <v>145086</v>
      </c>
      <c r="J73" s="3">
        <f>IFERROR(IF(Tabla1[[#This Row],[Oficina]]=$I$7,VLOOKUP(Tabla1[[#This Row],[Llave]],'[7]Shangai (Tomas)'!$A:$F,6,FALSE),VLOOKUP(Tabla1[[#This Row],[Llave]],'[7]RV plan de ventas'!$A:$E,5,FALSE)),0)</f>
        <v>132000</v>
      </c>
      <c r="K73" s="8">
        <f>IFERROR(VLOOKUP(Tabla1[[#This Row],[Oficina]],[15]Ponderación!$B$2:$E$9,4,FALSE),0)</f>
        <v>0.45719439678473212</v>
      </c>
      <c r="L73" s="7">
        <f>+Tabla1[[#This Row],[ RV Producción mes n+1]]*Tabla1[[#This Row],[% Uti. producción]]</f>
        <v>66332.506251909639</v>
      </c>
      <c r="M73" s="7">
        <f>IFERROR(VLOOKUP(Tabla1[[#This Row],[Material]],'[17]TD Stock'!$E:$I,5,FALSE),0)</f>
        <v>100678.59900000003</v>
      </c>
      <c r="N73" s="7">
        <f>IFERROR(VLOOKUP(Tabla1[[#This Row],[Material]],[16]Produccion!$M:$N,2,FALSE),0)</f>
        <v>18677.83240762608</v>
      </c>
      <c r="O73" s="7">
        <f>IFERROR(VLOOKUP(Tabla1[[#This Row],[Llave]],'[16]TD Conf-AP'!$I:$M,4,FALSE),0)</f>
        <v>0</v>
      </c>
      <c r="P73" s="14">
        <f>SUM(Tabla1[[#This Row],[Producción disponible]],Tabla1[[#This Row],[Stock al día]],(Tabla1[[#This Row],[Por producir mes N]]*0.9))-Tabla1[[#This Row],[Producción por despachar mes N]]</f>
        <v>183821.15441877313</v>
      </c>
      <c r="Q73" s="7">
        <f>IFERROR(VLOOKUP(Tabla1[[#This Row],[Llave]],[17]DELAY!$A:$D,4,FALSE),0)</f>
        <v>66000</v>
      </c>
      <c r="R73" s="9">
        <v>22000</v>
      </c>
      <c r="S73" s="5">
        <f t="shared" si="30"/>
        <v>66000</v>
      </c>
      <c r="T73" s="76">
        <v>0</v>
      </c>
      <c r="U73" s="5">
        <f>+Tabla1[[#This Row],[Atraso a facturar]]+Tabla1[[#This Row],[Ajuste atraso]]</f>
        <v>66000</v>
      </c>
      <c r="V73" s="3">
        <f>+Tabla1[[#This Row],[Total disponible]]-Tabla1[[#This Row],[Facturación atraso]]</f>
        <v>117821.15441877313</v>
      </c>
      <c r="W73" s="6">
        <f>IFERROR(IF(AND(V73&gt;R73,J73&gt;=R73),ROUNDDOWN((Tabla1[[#This Row],[Producción para venta nueva]])/R73,0)*R73,0),0)</f>
        <v>110000</v>
      </c>
      <c r="X73" s="76">
        <v>0</v>
      </c>
      <c r="Y73" s="6">
        <f>IF(Tabla1[[#This Row],[Venta del mes]]&gt;0,Tabla1[[#This Row],[Venta del mes]]+Tabla1[[#This Row],[Ajuste venta nueva]],0)</f>
        <v>110000</v>
      </c>
      <c r="Z73" s="6">
        <f>+Tabla1[[#This Row],[Producción para venta nueva]]-Tabla1[[#This Row],[Facturación Venta nueva]]</f>
        <v>7821.1544187731342</v>
      </c>
      <c r="AA73" s="6">
        <f>IF(AND(A73=1,Tabla1[[#This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73" s="6"/>
      <c r="AC73" s="6">
        <f>IF(Tabla1[[#This Row],[Disponible stock sin venta]]&gt;0,Tabla1[[#This Row],[Disponible stock sin venta]]+Tabla1[[#This Row],[Ajuste stock sin venta]],0)</f>
        <v>0</v>
      </c>
      <c r="AD73" s="3">
        <f>IFERROR(VLOOKUP(Tabla1[[#This Row],[Llave]],'[16]TD Puerto'!$A:$D,4,FALSE),0)</f>
        <v>0</v>
      </c>
      <c r="AE73" s="3">
        <v>176000</v>
      </c>
      <c r="AF73" s="3">
        <f>+Tabla1[[#This Row],[Atraso a facturar]]+Tabla1[[#This Row],[Venta del mes]]+Tabla1[[#This Row],[En puerto a facturar]]+Tabla1[[#This Row],[Disponible stock sin venta]]</f>
        <v>176000</v>
      </c>
      <c r="AG73" s="3">
        <f>+Tabla1[[#This Row],[En puerto a facturar]]</f>
        <v>0</v>
      </c>
      <c r="AH73" s="3">
        <f>+Tabla1[[#This Row],[Facturación atraso]]</f>
        <v>66000</v>
      </c>
      <c r="AI73" s="3">
        <f>+Tabla1[[#This Row],[Plan Irrestricto]]-Tabla1[[#This Row],[Puerto ]]-Tabla1[[#This Row],[Atraso]]</f>
        <v>110000</v>
      </c>
      <c r="AJ73" s="3">
        <f>IF(Tabla1[[#This Row],[Plan Irrestricto]]&gt;0,SUM(Tabla1[[#This Row],[Facturación atraso]],Tabla1[[#This Row],[Facturación Venta nueva]],Tabla1[[#This Row],[Facturación stock]],Tabla1[[#This Row],[En puerto a facturar]]),0)</f>
        <v>176000</v>
      </c>
      <c r="AK73" s="3">
        <f>+Tabla1[[#This Row],[Facturación atraso]]</f>
        <v>66000</v>
      </c>
      <c r="AL73" s="3">
        <f>+Tabla1[[#This Row],[Plan Ajustado]]-Tabla1[[#This Row],[ Atraso ajustado]]-Tabla1[[#This Row],[Puerto ]]</f>
        <v>110000</v>
      </c>
      <c r="AM73" s="3">
        <v>0</v>
      </c>
      <c r="AN73" s="3" t="str">
        <f>IF(Tabla1[[#This Row],[Plan Ajustado]]&gt;Tabla1[[#This Row],[En puerto a facturar]],"Si","No")</f>
        <v>Si</v>
      </c>
      <c r="AO73" s="3">
        <f>IF(AND(Tabla1[[#This Row],[Plan Ajustado]]&gt;0,Tabla1[[#This Row],[Plan Ajustado]]&gt;Tabla1[[#This Row],[En puerto a facturar]]),(Tabla1[[#This Row],[Plan Ajustado]]-Tabla1[[#This Row],[En puerto a facturar]]),0)</f>
        <v>176000</v>
      </c>
      <c r="AP73" s="3">
        <f>IF(Tabla1[[#This Row],[Necesidad]]&gt;=Tabla1[[#This Row],[Stock al día]],Tabla1[[#This Row],[Stock al día]],Tabla1[[#This Row],[Necesidad]])</f>
        <v>100678.59900000003</v>
      </c>
      <c r="AQ73" s="3">
        <f>+Tabla1[[#This Row],[Necesidad]]-Tabla1[[#This Row],[Stock Plan]]</f>
        <v>75321.400999999969</v>
      </c>
      <c r="AR73" s="156">
        <f>IFERROR(VLOOKUP(Tabla1[[#This Row],[Oficina]],[22]Ponderación!$B$3:$G$9,6,FALSE),"")</f>
        <v>44754</v>
      </c>
      <c r="AS7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4.17</v>
      </c>
      <c r="AT73" s="83">
        <f>IFERROR(VLOOKUP(Tabla1[[#This Row],[Llave]],[17]DELAY!$H:$W,16,FALSE),0)</f>
        <v>4.1875</v>
      </c>
      <c r="AU7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4.1765625000000002</v>
      </c>
      <c r="AV73" s="5">
        <f>+Tabla1[[#This Row],[Plan Ajustado]]*Tabla1[[#This Row],[Precio ponderado]]</f>
        <v>735075</v>
      </c>
      <c r="AW73" s="30">
        <f>IFERROR(VLOOKUP(Tabla1[[#This Row],[Llave]],'[13]Ultimos precios facturados'!$A:$G,7,FALSE),0)</f>
        <v>4.07112515479088</v>
      </c>
      <c r="AX7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2.5898821873614482E-2</v>
      </c>
      <c r="AY73" s="30"/>
      <c r="AZ73" s="30">
        <f>IF(Tabla1[[#This Row],[Ajuste precio IC]]="",Tabla1[[#This Row],[Precio ponderado]],Tabla1[[#This Row],[Precio ponderado]])</f>
        <v>4.1765625000000002</v>
      </c>
      <c r="BA73" s="82"/>
      <c r="BB73" s="82" t="str">
        <f>IF(AND(Tabla1[[#This Row],[Atraso a facturar]]&gt;0,Tabla1[[#This Row],[Precio Atraso]]=0),"Revisar","OK")</f>
        <v>OK</v>
      </c>
      <c r="BC73" s="82" t="str">
        <f>IF(AND(Tabla1[[#This Row],[Venta del mes]]&gt;0,Tabla1[[#This Row],[Precio venta nueva]]=0),"Revisar","OK")</f>
        <v>OK</v>
      </c>
      <c r="BD73" s="20">
        <f>IFERROR(VLOOKUP(Tabla1[[#This Row],[Llave]],'[5]Consolidación planes'!$A:$M,9,FALSE),0)</f>
        <v>154000</v>
      </c>
      <c r="BE73" s="20">
        <f>IFERROR(VLOOKUP(Tabla1[[#This Row],[Llave]],'[5]Consolidación planes'!$A:$M,10,FALSE),0)</f>
        <v>66000</v>
      </c>
      <c r="BF73" s="20">
        <f>IFERROR(VLOOKUP(Tabla1[[#This Row],[Llave]],'[5]Consolidación planes'!$A:$M,11,FALSE),0)</f>
        <v>88000</v>
      </c>
      <c r="BG73" s="20">
        <f>IFERROR(VLOOKUP(Tabla1[[#This Row],[Llave]],'[5]Consolidación planes'!$A:$M,12,FALSE),0)</f>
        <v>154000</v>
      </c>
      <c r="BH73" s="20">
        <f>IFERROR(VLOOKUP(Tabla1[[#This Row],[Llave]],'[5]Consolidación planes'!$A:$M,13,FALSE),0)</f>
        <v>176000</v>
      </c>
      <c r="BI73" s="20">
        <f>IFERROR(VLOOKUP(Tabla1[[#This Row],[Llave]],'[13]Base ultimos planes'!$A:$M,13,FALSE),0)</f>
        <v>187000</v>
      </c>
      <c r="BJ73" s="80">
        <f>IFERROR(VLOOKUP(Tabla1[[#This Row],[Llave]],'[13]Base ultimos planes'!$O:$AA,8,FALSE),0)</f>
        <v>643647.0895</v>
      </c>
      <c r="BK73" s="20">
        <f>IFERROR(VLOOKUP(Tabla1[[#This Row],[Llave]],'[13]Base ultimos planes'!$O:$AA,9,FALSE),0)</f>
        <v>265650</v>
      </c>
      <c r="BL73" s="20">
        <f>IFERROR(VLOOKUP(Tabla1[[#This Row],[Llave]],'[13]Base ultimos planes'!$O:$AA,10,FALSE),0)</f>
        <v>335280</v>
      </c>
      <c r="BM73" s="20">
        <f>IFERROR(VLOOKUP(Tabla1[[#This Row],[Llave]],'[13]Base ultimos planes'!$O:$AA,11,FALSE),0)</f>
        <v>607165</v>
      </c>
      <c r="BN73" s="20">
        <f>IFERROR(VLOOKUP(Tabla1[[#This Row],[Llave]],'[13]Base ultimos planes'!$O:$AA,12,FALSE),0)</f>
        <v>682827</v>
      </c>
      <c r="BO73" s="20">
        <f>IFERROR(VLOOKUP(Tabla1[[#This Row],[Llave]],'[13]Base ultimos planes'!$O:$AA,13,FALSE),0)</f>
        <v>786186</v>
      </c>
      <c r="BP73" s="20"/>
      <c r="BQ73" s="20">
        <f>+Tabla1[[#This Row],[ RV  Venta mes n+1]]*(1-Tabla1[[#This Row],[% Uti. producción]])</f>
        <v>71650.33962441537</v>
      </c>
      <c r="BR73" s="100"/>
    </row>
    <row r="74" spans="1:70" ht="16" x14ac:dyDescent="0.2">
      <c r="A74">
        <v>1</v>
      </c>
      <c r="B74" t="str">
        <f>Tabla1[[#This Row],[Oficina]]&amp;Tabla1[[#This Row],[Material]]</f>
        <v>Agrosuper Asia1020861</v>
      </c>
      <c r="C74" t="s">
        <v>6</v>
      </c>
      <c r="D74" t="s">
        <v>173</v>
      </c>
      <c r="E74">
        <v>1020861</v>
      </c>
      <c r="F74" t="s">
        <v>183</v>
      </c>
      <c r="G74" t="s">
        <v>50</v>
      </c>
      <c r="H74" t="s">
        <v>110</v>
      </c>
      <c r="I74" s="7">
        <f>IFERROR(VLOOKUP(Tabla1[[#This Row],[Llave]],'[7]RV Producción'!$C:$G,5,FALSE),0)</f>
        <v>127630</v>
      </c>
      <c r="J74" s="3">
        <f>IFERROR(IF(Tabla1[[#This Row],[Oficina]]=$I$7,VLOOKUP(Tabla1[[#This Row],[Llave]],'[7]Shangai (Tomas)'!$A:$F,6,FALSE),VLOOKUP(Tabla1[[#This Row],[Llave]],'[7]RV plan de ventas'!$A:$E,5,FALSE)),0)</f>
        <v>132000</v>
      </c>
      <c r="K74" s="8">
        <f>IFERROR(VLOOKUP(Tabla1[[#This Row],[Oficina]],[15]Ponderación!$B$2:$E$9,4,FALSE),0)</f>
        <v>0.45719439678473212</v>
      </c>
      <c r="L74" s="7">
        <f>+Tabla1[[#This Row],[ RV Producción mes n+1]]*Tabla1[[#This Row],[% Uti. producción]]</f>
        <v>58351.72086163536</v>
      </c>
      <c r="M74" s="7">
        <f>IFERROR(VLOOKUP(Tabla1[[#This Row],[Material]],'[17]TD Stock'!$E:$I,5,FALSE),0)</f>
        <v>71523.474999999962</v>
      </c>
      <c r="N74" s="7">
        <f>IFERROR(VLOOKUP(Tabla1[[#This Row],[Material]],[16]Produccion!$M:$N,2,FALSE),0)</f>
        <v>57019.324670239352</v>
      </c>
      <c r="O74" s="7">
        <f>IFERROR(VLOOKUP(Tabla1[[#This Row],[Llave]],'[16]TD Conf-AP'!$I:$M,4,FALSE),0)</f>
        <v>0</v>
      </c>
      <c r="P74" s="14">
        <f>SUM(Tabla1[[#This Row],[Producción disponible]],Tabla1[[#This Row],[Stock al día]],(Tabla1[[#This Row],[Por producir mes N]]*0.9))-Tabla1[[#This Row],[Producción por despachar mes N]]</f>
        <v>181192.58806485074</v>
      </c>
      <c r="Q74" s="7">
        <f>IFERROR(VLOOKUP(Tabla1[[#This Row],[Llave]],[17]DELAY!$A:$D,4,FALSE),0)</f>
        <v>100000</v>
      </c>
      <c r="R74" s="9">
        <v>22000</v>
      </c>
      <c r="S74" s="5">
        <f t="shared" si="30"/>
        <v>100000</v>
      </c>
      <c r="T74" s="76">
        <v>0</v>
      </c>
      <c r="U74" s="5">
        <f>+Tabla1[[#This Row],[Atraso a facturar]]+Tabla1[[#This Row],[Ajuste atraso]]</f>
        <v>100000</v>
      </c>
      <c r="V74" s="3">
        <f>+Tabla1[[#This Row],[Total disponible]]-Tabla1[[#This Row],[Facturación atraso]]</f>
        <v>81192.588064850745</v>
      </c>
      <c r="W74" s="6">
        <f>IFERROR(IF(AND(V74&gt;R74,J74&gt;=R74),ROUNDDOWN((Tabla1[[#This Row],[Producción para venta nueva]])/R74,0)*R74,0),0)</f>
        <v>66000</v>
      </c>
      <c r="X74" s="76">
        <v>0</v>
      </c>
      <c r="Y74" s="6">
        <f>IF(Tabla1[[#This Row],[Venta del mes]]&gt;0,Tabla1[[#This Row],[Venta del mes]]+Tabla1[[#This Row],[Ajuste venta nueva]],0)</f>
        <v>66000</v>
      </c>
      <c r="Z74" s="6">
        <f>+Tabla1[[#This Row],[Producción para venta nueva]]-Tabla1[[#This Row],[Facturación Venta nueva]]</f>
        <v>15192.588064850745</v>
      </c>
      <c r="AA74" s="6">
        <f>IF(AND(A74=1,Tabla1[[#This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74" s="6"/>
      <c r="AC74" s="6">
        <f>IF(Tabla1[[#This Row],[Disponible stock sin venta]]&gt;0,Tabla1[[#This Row],[Disponible stock sin venta]]+Tabla1[[#This Row],[Ajuste stock sin venta]],0)</f>
        <v>0</v>
      </c>
      <c r="AD74" s="3">
        <f>IFERROR(VLOOKUP(Tabla1[[#This Row],[Llave]],'[16]TD Puerto'!$A:$D,4,FALSE),0)</f>
        <v>22000</v>
      </c>
      <c r="AE74" s="3">
        <v>188000</v>
      </c>
      <c r="AF74" s="3">
        <f>+Tabla1[[#This Row],[Atraso a facturar]]+Tabla1[[#This Row],[Venta del mes]]+Tabla1[[#This Row],[En puerto a facturar]]+Tabla1[[#This Row],[Disponible stock sin venta]]</f>
        <v>188000</v>
      </c>
      <c r="AG74" s="3">
        <f>+Tabla1[[#This Row],[En puerto a facturar]]</f>
        <v>22000</v>
      </c>
      <c r="AH74" s="3">
        <f>+Tabla1[[#This Row],[Facturación atraso]]</f>
        <v>100000</v>
      </c>
      <c r="AI74" s="3">
        <f>+Tabla1[[#This Row],[Plan Irrestricto]]-Tabla1[[#This Row],[Puerto ]]-Tabla1[[#This Row],[Atraso]]</f>
        <v>66000</v>
      </c>
      <c r="AJ74" s="3">
        <f>IF(Tabla1[[#This Row],[Plan Irrestricto]]&gt;0,SUM(Tabla1[[#This Row],[Facturación atraso]],Tabla1[[#This Row],[Facturación Venta nueva]],Tabla1[[#This Row],[Facturación stock]],Tabla1[[#This Row],[En puerto a facturar]]),0)</f>
        <v>188000</v>
      </c>
      <c r="AK74" s="3">
        <f>+Tabla1[[#This Row],[Facturación atraso]]</f>
        <v>100000</v>
      </c>
      <c r="AL74" s="3">
        <f>+Tabla1[[#This Row],[Plan Ajustado]]-Tabla1[[#This Row],[ Atraso ajustado]]-Tabla1[[#This Row],[Puerto ]]</f>
        <v>66000</v>
      </c>
      <c r="AM74" s="3">
        <v>0</v>
      </c>
      <c r="AN74" s="3" t="str">
        <f>IF(Tabla1[[#This Row],[Plan Ajustado]]&gt;Tabla1[[#This Row],[En puerto a facturar]],"Si","No")</f>
        <v>Si</v>
      </c>
      <c r="AO74" s="3">
        <f>IF(AND(Tabla1[[#This Row],[Plan Ajustado]]&gt;0,Tabla1[[#This Row],[Plan Ajustado]]&gt;Tabla1[[#This Row],[En puerto a facturar]]),(Tabla1[[#This Row],[Plan Ajustado]]-Tabla1[[#This Row],[En puerto a facturar]]),0)</f>
        <v>166000</v>
      </c>
      <c r="AP74" s="3">
        <f>IF(Tabla1[[#This Row],[Necesidad]]&gt;=Tabla1[[#This Row],[Stock al día]],Tabla1[[#This Row],[Stock al día]],Tabla1[[#This Row],[Necesidad]])</f>
        <v>71523.474999999962</v>
      </c>
      <c r="AQ74" s="3">
        <f>+Tabla1[[#This Row],[Necesidad]]-Tabla1[[#This Row],[Stock Plan]]</f>
        <v>94476.525000000038</v>
      </c>
      <c r="AR74" s="156">
        <f>IFERROR(VLOOKUP(Tabla1[[#This Row],[Oficina]],[22]Ponderación!$B$3:$G$9,6,FALSE),"")</f>
        <v>44754</v>
      </c>
      <c r="AS7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4.17</v>
      </c>
      <c r="AT74" s="83">
        <f>IFERROR(VLOOKUP(Tabla1[[#This Row],[Llave]],[17]DELAY!$H:$W,16,FALSE),0)</f>
        <v>4.1899506024096391</v>
      </c>
      <c r="AU7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4.1829466675211489</v>
      </c>
      <c r="AV74" s="5">
        <f>+Tabla1[[#This Row],[Plan Ajustado]]*Tabla1[[#This Row],[Precio ponderado]]</f>
        <v>786393.97349397594</v>
      </c>
      <c r="AW74" s="30">
        <f>IFERROR(VLOOKUP(Tabla1[[#This Row],[Llave]],'[13]Ultimos precios facturados'!$A:$G,7,FALSE),0)</f>
        <v>4.0593452788958864</v>
      </c>
      <c r="AX7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3.0448601962452724E-2</v>
      </c>
      <c r="AY74" s="30"/>
      <c r="AZ74" s="30">
        <f>IF(Tabla1[[#This Row],[Ajuste precio IC]]="",Tabla1[[#This Row],[Precio ponderado]],Tabla1[[#This Row],[Precio ponderado]])</f>
        <v>4.1829466675211489</v>
      </c>
      <c r="BA74" s="82"/>
      <c r="BB74" s="82" t="str">
        <f>IF(AND(Tabla1[[#This Row],[Atraso a facturar]]&gt;0,Tabla1[[#This Row],[Precio Atraso]]=0),"Revisar","OK")</f>
        <v>OK</v>
      </c>
      <c r="BC74" s="82" t="str">
        <f>IF(AND(Tabla1[[#This Row],[Venta del mes]]&gt;0,Tabla1[[#This Row],[Precio venta nueva]]=0),"Revisar","OK")</f>
        <v>OK</v>
      </c>
      <c r="BD74" s="20">
        <f>IFERROR(VLOOKUP(Tabla1[[#This Row],[Llave]],'[5]Consolidación planes'!$A:$M,9,FALSE),0)</f>
        <v>88000</v>
      </c>
      <c r="BE74" s="20">
        <f>IFERROR(VLOOKUP(Tabla1[[#This Row],[Llave]],'[5]Consolidación planes'!$A:$M,10,FALSE),0)</f>
        <v>66000</v>
      </c>
      <c r="BF74" s="20">
        <f>IFERROR(VLOOKUP(Tabla1[[#This Row],[Llave]],'[5]Consolidación planes'!$A:$M,11,FALSE),0)</f>
        <v>66000</v>
      </c>
      <c r="BG74" s="20">
        <f>IFERROR(VLOOKUP(Tabla1[[#This Row],[Llave]],'[5]Consolidación planes'!$A:$M,12,FALSE),0)</f>
        <v>154000</v>
      </c>
      <c r="BH74" s="20">
        <f>IFERROR(VLOOKUP(Tabla1[[#This Row],[Llave]],'[5]Consolidación planes'!$A:$M,13,FALSE),0)</f>
        <v>153860</v>
      </c>
      <c r="BI74" s="20">
        <f>IFERROR(VLOOKUP(Tabla1[[#This Row],[Llave]],'[13]Base ultimos planes'!$A:$M,13,FALSE),0)</f>
        <v>198044</v>
      </c>
      <c r="BJ74" s="80">
        <f>IFERROR(VLOOKUP(Tabla1[[#This Row],[Llave]],'[13]Base ultimos planes'!$O:$AA,8,FALSE),0)</f>
        <v>375760</v>
      </c>
      <c r="BK74" s="20">
        <f>IFERROR(VLOOKUP(Tabla1[[#This Row],[Llave]],'[13]Base ultimos planes'!$O:$AA,9,FALSE),0)</f>
        <v>264000</v>
      </c>
      <c r="BL74" s="20">
        <f>IFERROR(VLOOKUP(Tabla1[[#This Row],[Llave]],'[13]Base ultimos planes'!$O:$AA,10,FALSE),0)</f>
        <v>252780</v>
      </c>
      <c r="BM74" s="20">
        <f>IFERROR(VLOOKUP(Tabla1[[#This Row],[Llave]],'[13]Base ultimos planes'!$O:$AA,11,FALSE),0)</f>
        <v>601865</v>
      </c>
      <c r="BN74" s="20">
        <f>IFERROR(VLOOKUP(Tabla1[[#This Row],[Llave]],'[13]Base ultimos planes'!$O:$AA,12,FALSE),0)</f>
        <v>601173</v>
      </c>
      <c r="BO74" s="20">
        <f>IFERROR(VLOOKUP(Tabla1[[#This Row],[Llave]],'[13]Base ultimos planes'!$O:$AA,13,FALSE),0)</f>
        <v>832508</v>
      </c>
      <c r="BP74" s="20"/>
      <c r="BQ74" s="20">
        <f>+Tabla1[[#This Row],[ RV  Venta mes n+1]]*(1-Tabla1[[#This Row],[% Uti. producción]])</f>
        <v>71650.33962441537</v>
      </c>
      <c r="BR74" s="100"/>
    </row>
    <row r="75" spans="1:70" ht="16" x14ac:dyDescent="0.2">
      <c r="A75">
        <v>1</v>
      </c>
      <c r="B75" t="str">
        <f>Tabla1[[#This Row],[Oficina]]&amp;Tabla1[[#This Row],[Material]]</f>
        <v>Agrosuper Asia1020904</v>
      </c>
      <c r="C75" t="s">
        <v>6</v>
      </c>
      <c r="D75" t="s">
        <v>173</v>
      </c>
      <c r="E75">
        <v>1020904</v>
      </c>
      <c r="F75" t="s">
        <v>186</v>
      </c>
      <c r="G75" t="s">
        <v>56</v>
      </c>
      <c r="H75" t="s">
        <v>118</v>
      </c>
      <c r="I75" s="7">
        <f>IFERROR(VLOOKUP(Tabla1[[#This Row],[Llave]],'[7]RV Producción'!$C:$G,5,FALSE),0)</f>
        <v>88346</v>
      </c>
      <c r="J75" s="3">
        <f>IFERROR(IF(Tabla1[[#This Row],[Oficina]]=$I$7,VLOOKUP(Tabla1[[#This Row],[Llave]],'[7]Shangai (Tomas)'!$A:$F,6,FALSE),VLOOKUP(Tabla1[[#This Row],[Llave]],'[7]RV plan de ventas'!$A:$E,5,FALSE)),0)</f>
        <v>0</v>
      </c>
      <c r="K75" s="8">
        <f>IFERROR(VLOOKUP(Tabla1[[#This Row],[Oficina]],[15]Ponderación!$B$2:$E$9,4,FALSE),0)</f>
        <v>0.45719439678473212</v>
      </c>
      <c r="L75" s="7">
        <f>+Tabla1[[#This Row],[ RV Producción mes n+1]]*Tabla1[[#This Row],[% Uti. producción]]</f>
        <v>40391.296178343946</v>
      </c>
      <c r="M75" s="7">
        <f>IFERROR(VLOOKUP(Tabla1[[#This Row],[Material]],'[17]TD Stock'!$E:$I,5,FALSE),0)</f>
        <v>6607.1390000000001</v>
      </c>
      <c r="N75" s="7">
        <f>IFERROR(VLOOKUP(Tabla1[[#This Row],[Material]],[16]Produccion!$M:$N,2,FALSE),0)</f>
        <v>0</v>
      </c>
      <c r="O75" s="7">
        <f>IFERROR(VLOOKUP(Tabla1[[#This Row],[Llave]],'[16]TD Conf-AP'!$I:$M,4,FALSE),0)</f>
        <v>0</v>
      </c>
      <c r="P75" s="14">
        <f>SUM(Tabla1[[#This Row],[Producción disponible]],Tabla1[[#This Row],[Stock al día]],(Tabla1[[#This Row],[Por producir mes N]]*0.9))-Tabla1[[#This Row],[Producción por despachar mes N]]</f>
        <v>46998.435178343949</v>
      </c>
      <c r="Q75" s="7">
        <f>IFERROR(VLOOKUP(Tabla1[[#This Row],[Llave]],[17]DELAY!$A:$D,4,FALSE),0)</f>
        <v>66000</v>
      </c>
      <c r="R75" s="9">
        <v>22000</v>
      </c>
      <c r="S75" s="5">
        <f t="shared" si="30"/>
        <v>44000</v>
      </c>
      <c r="T75" s="76">
        <v>0</v>
      </c>
      <c r="U75" s="5">
        <f>+Tabla1[[#This Row],[Atraso a facturar]]+Tabla1[[#This Row],[Ajuste atraso]]</f>
        <v>44000</v>
      </c>
      <c r="V75" s="3">
        <f>+Tabla1[[#This Row],[Total disponible]]-Tabla1[[#This Row],[Facturación atraso]]</f>
        <v>2998.4351783439488</v>
      </c>
      <c r="W75" s="6">
        <f>IFERROR(IF(AND(V75&gt;R75,J75&gt;=R75),ROUNDDOWN((Tabla1[[#This Row],[Producción para venta nueva]])/R75,0)*R75,0),0)</f>
        <v>0</v>
      </c>
      <c r="X75" s="76">
        <v>0</v>
      </c>
      <c r="Y75" s="6">
        <f>IF(Tabla1[[#This Row],[Venta del mes]]&gt;0,Tabla1[[#This Row],[Venta del mes]]+Tabla1[[#This Row],[Ajuste venta nueva]],0)</f>
        <v>0</v>
      </c>
      <c r="Z75" s="6">
        <f>+Tabla1[[#This Row],[Producción para venta nueva]]-Tabla1[[#This Row],[Facturación Venta nueva]]</f>
        <v>2998.4351783439488</v>
      </c>
      <c r="AA75" s="6">
        <f>IF(AND(A75=1,Tabla1[[#This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75" s="6"/>
      <c r="AC75" s="6">
        <f>IF(Tabla1[[#This Row],[Disponible stock sin venta]]&gt;0,Tabla1[[#This Row],[Disponible stock sin venta]]+Tabla1[[#This Row],[Ajuste stock sin venta]],0)</f>
        <v>0</v>
      </c>
      <c r="AD75" s="3">
        <f>IFERROR(VLOOKUP(Tabla1[[#This Row],[Llave]],'[16]TD Puerto'!$A:$D,4,FALSE),0)</f>
        <v>0</v>
      </c>
      <c r="AE75" s="3">
        <v>44000</v>
      </c>
      <c r="AF75" s="3">
        <f>+Tabla1[[#This Row],[Atraso a facturar]]+Tabla1[[#This Row],[Venta del mes]]+Tabla1[[#This Row],[En puerto a facturar]]+Tabla1[[#This Row],[Disponible stock sin venta]]</f>
        <v>44000</v>
      </c>
      <c r="AG75" s="3">
        <f>+Tabla1[[#This Row],[En puerto a facturar]]</f>
        <v>0</v>
      </c>
      <c r="AH75" s="3">
        <f>+Tabla1[[#This Row],[Facturación atraso]]</f>
        <v>44000</v>
      </c>
      <c r="AI75" s="3">
        <f>+Tabla1[[#This Row],[Plan Irrestricto]]-Tabla1[[#This Row],[Puerto ]]-Tabla1[[#This Row],[Atraso]]</f>
        <v>0</v>
      </c>
      <c r="AJ75" s="3">
        <f>IF(Tabla1[[#This Row],[Plan Irrestricto]]&gt;0,SUM(Tabla1[[#This Row],[Facturación atraso]],Tabla1[[#This Row],[Facturación Venta nueva]],Tabla1[[#This Row],[Facturación stock]],Tabla1[[#This Row],[En puerto a facturar]]),0)</f>
        <v>44000</v>
      </c>
      <c r="AK75" s="3">
        <f>+Tabla1[[#This Row],[Facturación atraso]]</f>
        <v>44000</v>
      </c>
      <c r="AL75" s="3">
        <f>+Tabla1[[#This Row],[Plan Ajustado]]-Tabla1[[#This Row],[ Atraso ajustado]]-Tabla1[[#This Row],[Puerto ]]</f>
        <v>0</v>
      </c>
      <c r="AM75" s="3">
        <v>0</v>
      </c>
      <c r="AN75" s="3" t="str">
        <f>IF(Tabla1[[#This Row],[Plan Ajustado]]&gt;Tabla1[[#This Row],[En puerto a facturar]],"Si","No")</f>
        <v>Si</v>
      </c>
      <c r="AO75" s="3">
        <f>IF(AND(Tabla1[[#This Row],[Plan Ajustado]]&gt;0,Tabla1[[#This Row],[Plan Ajustado]]&gt;Tabla1[[#This Row],[En puerto a facturar]]),(Tabla1[[#This Row],[Plan Ajustado]]-Tabla1[[#This Row],[En puerto a facturar]]),0)</f>
        <v>44000</v>
      </c>
      <c r="AP75" s="3">
        <f>IF(Tabla1[[#This Row],[Necesidad]]&gt;=Tabla1[[#This Row],[Stock al día]],Tabla1[[#This Row],[Stock al día]],Tabla1[[#This Row],[Necesidad]])</f>
        <v>6607.1390000000001</v>
      </c>
      <c r="AQ75" s="3">
        <f>+Tabla1[[#This Row],[Necesidad]]-Tabla1[[#This Row],[Stock Plan]]</f>
        <v>37392.860999999997</v>
      </c>
      <c r="AR75" s="156">
        <f>IFERROR(VLOOKUP(Tabla1[[#This Row],[Oficina]],[22]Ponderación!$B$3:$G$9,6,FALSE),"")</f>
        <v>44754</v>
      </c>
      <c r="AS7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6.2549065063738905</v>
      </c>
      <c r="AT75" s="83">
        <f>IFERROR(VLOOKUP(Tabla1[[#This Row],[Llave]],[17]DELAY!$H:$W,16,FALSE),0)</f>
        <v>6</v>
      </c>
      <c r="AU7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</v>
      </c>
      <c r="AV75" s="5">
        <f>+Tabla1[[#This Row],[Plan Ajustado]]*Tabla1[[#This Row],[Precio ponderado]]</f>
        <v>264000</v>
      </c>
      <c r="AW75" s="30">
        <f>IFERROR(VLOOKUP(Tabla1[[#This Row],[Llave]],'[13]Ultimos precios facturados'!$A:$G,7,FALSE),0)</f>
        <v>6.2549065063738905</v>
      </c>
      <c r="AX7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4.0753048205298507E-2</v>
      </c>
      <c r="AY75" s="30"/>
      <c r="AZ75" s="30">
        <f>IF(Tabla1[[#This Row],[Ajuste precio IC]]="",Tabla1[[#This Row],[Precio ponderado]],Tabla1[[#This Row],[Precio ponderado]])</f>
        <v>6</v>
      </c>
      <c r="BA75" s="82"/>
      <c r="BB75" s="82" t="str">
        <f>IF(AND(Tabla1[[#This Row],[Atraso a facturar]]&gt;0,Tabla1[[#This Row],[Precio Atraso]]=0),"Revisar","OK")</f>
        <v>OK</v>
      </c>
      <c r="BC75" s="82" t="str">
        <f>IF(AND(Tabla1[[#This Row],[Venta del mes]]&gt;0,Tabla1[[#This Row],[Precio venta nueva]]=0),"Revisar","OK")</f>
        <v>OK</v>
      </c>
      <c r="BD75" s="20">
        <f>IFERROR(VLOOKUP(Tabla1[[#This Row],[Llave]],'[5]Consolidación planes'!$A:$M,9,FALSE),0)</f>
        <v>22000</v>
      </c>
      <c r="BE75" s="20">
        <f>IFERROR(VLOOKUP(Tabla1[[#This Row],[Llave]],'[5]Consolidación planes'!$A:$M,10,FALSE),0)</f>
        <v>154000</v>
      </c>
      <c r="BF75" s="20">
        <f>IFERROR(VLOOKUP(Tabla1[[#This Row],[Llave]],'[5]Consolidación planes'!$A:$M,11,FALSE),0)</f>
        <v>66000</v>
      </c>
      <c r="BG75" s="20">
        <f>IFERROR(VLOOKUP(Tabla1[[#This Row],[Llave]],'[5]Consolidación planes'!$A:$M,12,FALSE),0)</f>
        <v>22000</v>
      </c>
      <c r="BH75" s="20">
        <f>IFERROR(VLOOKUP(Tabla1[[#This Row],[Llave]],'[5]Consolidación planes'!$A:$M,13,FALSE),0)</f>
        <v>22000</v>
      </c>
      <c r="BI75" s="20">
        <f>IFERROR(VLOOKUP(Tabla1[[#This Row],[Llave]],'[13]Base ultimos planes'!$A:$M,13,FALSE),0)</f>
        <v>0</v>
      </c>
      <c r="BJ75" s="80">
        <f>IFERROR(VLOOKUP(Tabla1[[#This Row],[Llave]],'[13]Base ultimos planes'!$O:$AA,8,FALSE),0)</f>
        <v>147276.35709999999</v>
      </c>
      <c r="BK75" s="20">
        <f>IFERROR(VLOOKUP(Tabla1[[#This Row],[Llave]],'[13]Base ultimos planes'!$O:$AA,9,FALSE),0)</f>
        <v>970200</v>
      </c>
      <c r="BL75" s="20">
        <f>IFERROR(VLOOKUP(Tabla1[[#This Row],[Llave]],'[13]Base ultimos planes'!$O:$AA,10,FALSE),0)</f>
        <v>412500</v>
      </c>
      <c r="BM75" s="20">
        <f>IFERROR(VLOOKUP(Tabla1[[#This Row],[Llave]],'[13]Base ultimos planes'!$O:$AA,11,FALSE),0)</f>
        <v>140295</v>
      </c>
      <c r="BN75" s="20">
        <f>IFERROR(VLOOKUP(Tabla1[[#This Row],[Llave]],'[13]Base ultimos planes'!$O:$AA,12,FALSE),0)</f>
        <v>139028</v>
      </c>
      <c r="BO75" s="20">
        <f>IFERROR(VLOOKUP(Tabla1[[#This Row],[Llave]],'[13]Base ultimos planes'!$O:$AA,13,FALSE),0)</f>
        <v>0</v>
      </c>
      <c r="BP75" s="20"/>
      <c r="BQ75" s="20">
        <f>+Tabla1[[#This Row],[ RV  Venta mes n+1]]*(1-Tabla1[[#This Row],[% Uti. producción]])</f>
        <v>0</v>
      </c>
      <c r="BR75" s="100"/>
    </row>
    <row r="76" spans="1:70" ht="16" x14ac:dyDescent="0.2">
      <c r="A76">
        <v>1</v>
      </c>
      <c r="B76" t="str">
        <f>Tabla1[[#This Row],[Oficina]]&amp;Tabla1[[#This Row],[Material]]</f>
        <v>Agrosuper Asia1020905</v>
      </c>
      <c r="C76" t="s">
        <v>6</v>
      </c>
      <c r="D76" t="s">
        <v>173</v>
      </c>
      <c r="E76">
        <v>1020905</v>
      </c>
      <c r="F76" t="s">
        <v>187</v>
      </c>
      <c r="G76" t="s">
        <v>56</v>
      </c>
      <c r="H76" t="s">
        <v>118</v>
      </c>
      <c r="I76" s="7">
        <f>IFERROR(VLOOKUP(Tabla1[[#This Row],[Llave]],'[7]RV Producción'!$C:$G,5,FALSE),0)</f>
        <v>55720</v>
      </c>
      <c r="J76" s="3">
        <f>IFERROR(IF(Tabla1[[#This Row],[Oficina]]=$I$7,VLOOKUP(Tabla1[[#This Row],[Llave]],'[7]Shangai (Tomas)'!$A:$F,6,FALSE),VLOOKUP(Tabla1[[#This Row],[Llave]],'[7]RV plan de ventas'!$A:$E,5,FALSE)),0)</f>
        <v>0</v>
      </c>
      <c r="K76" s="8">
        <f>IFERROR(VLOOKUP(Tabla1[[#This Row],[Oficina]],[15]Ponderación!$B$2:$E$9,4,FALSE),0)</f>
        <v>0.45719439678473212</v>
      </c>
      <c r="L76" s="7">
        <f>+Tabla1[[#This Row],[ RV Producción mes n+1]]*Tabla1[[#This Row],[% Uti. producción]]</f>
        <v>25474.871788845274</v>
      </c>
      <c r="M76" s="7">
        <f>IFERROR(VLOOKUP(Tabla1[[#This Row],[Material]],'[17]TD Stock'!$E:$I,5,FALSE),0)</f>
        <v>15046.431999999999</v>
      </c>
      <c r="N76" s="7">
        <f>IFERROR(VLOOKUP(Tabla1[[#This Row],[Material]],[16]Produccion!$M:$N,2,FALSE),0)</f>
        <v>6988.8375759485771</v>
      </c>
      <c r="O76" s="7">
        <f>IFERROR(VLOOKUP(Tabla1[[#This Row],[Llave]],'[16]TD Conf-AP'!$I:$M,4,FALSE),0)</f>
        <v>0</v>
      </c>
      <c r="P76" s="14">
        <f>SUM(Tabla1[[#This Row],[Producción disponible]],Tabla1[[#This Row],[Stock al día]],(Tabla1[[#This Row],[Por producir mes N]]*0.9))-Tabla1[[#This Row],[Producción por despachar mes N]]</f>
        <v>46811.257607198997</v>
      </c>
      <c r="Q76" s="7">
        <f>IFERROR(VLOOKUP(Tabla1[[#This Row],[Llave]],[17]DELAY!$A:$D,4,FALSE),0)</f>
        <v>22000</v>
      </c>
      <c r="R76" s="9">
        <v>22000</v>
      </c>
      <c r="S76" s="5">
        <f t="shared" si="30"/>
        <v>22000</v>
      </c>
      <c r="T76" s="76">
        <v>0</v>
      </c>
      <c r="U76" s="5">
        <f>+Tabla1[[#This Row],[Atraso a facturar]]+Tabla1[[#This Row],[Ajuste atraso]]</f>
        <v>22000</v>
      </c>
      <c r="V76" s="3">
        <f>+Tabla1[[#This Row],[Total disponible]]-Tabla1[[#This Row],[Facturación atraso]]</f>
        <v>24811.257607198997</v>
      </c>
      <c r="W76" s="6">
        <f>IFERROR(IF(AND(V76&gt;R76,J76&gt;=R76),ROUNDDOWN((Tabla1[[#This Row],[Producción para venta nueva]])/R76,0)*R76,0),0)</f>
        <v>0</v>
      </c>
      <c r="X76" s="76">
        <v>0</v>
      </c>
      <c r="Y76" s="6">
        <f>IF(Tabla1[[#This Row],[Venta del mes]]&gt;0,Tabla1[[#This Row],[Venta del mes]]+Tabla1[[#This Row],[Ajuste venta nueva]],0)</f>
        <v>0</v>
      </c>
      <c r="Z76" s="6">
        <f>+Tabla1[[#This Row],[Producción para venta nueva]]-Tabla1[[#This Row],[Facturación Venta nueva]]</f>
        <v>24811.257607198997</v>
      </c>
      <c r="AA76" s="6">
        <f>IF(AND(A76=1,Tabla1[[#This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22000</v>
      </c>
      <c r="AB76" s="6"/>
      <c r="AC76" s="6">
        <f>IF(Tabla1[[#This Row],[Disponible stock sin venta]]&gt;0,Tabla1[[#This Row],[Disponible stock sin venta]]+Tabla1[[#This Row],[Ajuste stock sin venta]],0)</f>
        <v>22000</v>
      </c>
      <c r="AD76" s="3">
        <f>IFERROR(VLOOKUP(Tabla1[[#This Row],[Llave]],'[16]TD Puerto'!$A:$D,4,FALSE),0)</f>
        <v>0</v>
      </c>
      <c r="AE76" s="3">
        <v>44000</v>
      </c>
      <c r="AF76" s="3">
        <f>+Tabla1[[#This Row],[Atraso a facturar]]+Tabla1[[#This Row],[Venta del mes]]+Tabla1[[#This Row],[En puerto a facturar]]+Tabla1[[#This Row],[Disponible stock sin venta]]</f>
        <v>44000</v>
      </c>
      <c r="AG76" s="3">
        <f>+Tabla1[[#This Row],[En puerto a facturar]]</f>
        <v>0</v>
      </c>
      <c r="AH76" s="3">
        <f>+Tabla1[[#This Row],[Facturación atraso]]</f>
        <v>22000</v>
      </c>
      <c r="AI76" s="3">
        <f>+Tabla1[[#This Row],[Plan Irrestricto]]-Tabla1[[#This Row],[Puerto ]]-Tabla1[[#This Row],[Atraso]]</f>
        <v>22000</v>
      </c>
      <c r="AJ76" s="3">
        <f>IF(Tabla1[[#This Row],[Plan Irrestricto]]&gt;0,SUM(Tabla1[[#This Row],[Facturación atraso]],Tabla1[[#This Row],[Facturación Venta nueva]],Tabla1[[#This Row],[Facturación stock]],Tabla1[[#This Row],[En puerto a facturar]]),0)</f>
        <v>44000</v>
      </c>
      <c r="AK76" s="3">
        <f>+Tabla1[[#This Row],[Facturación atraso]]</f>
        <v>22000</v>
      </c>
      <c r="AL76" s="3">
        <f>+Tabla1[[#This Row],[Plan Ajustado]]-Tabla1[[#This Row],[ Atraso ajustado]]-Tabla1[[#This Row],[Puerto ]]</f>
        <v>22000</v>
      </c>
      <c r="AM76" s="3">
        <v>0</v>
      </c>
      <c r="AN76" s="3" t="str">
        <f>IF(Tabla1[[#This Row],[Plan Ajustado]]&gt;Tabla1[[#This Row],[En puerto a facturar]],"Si","No")</f>
        <v>Si</v>
      </c>
      <c r="AO76" s="3">
        <f>IF(AND(Tabla1[[#This Row],[Plan Ajustado]]&gt;0,Tabla1[[#This Row],[Plan Ajustado]]&gt;Tabla1[[#This Row],[En puerto a facturar]]),(Tabla1[[#This Row],[Plan Ajustado]]-Tabla1[[#This Row],[En puerto a facturar]]),0)</f>
        <v>44000</v>
      </c>
      <c r="AP76" s="3">
        <f>IF(Tabla1[[#This Row],[Necesidad]]&gt;=Tabla1[[#This Row],[Stock al día]],Tabla1[[#This Row],[Stock al día]],Tabla1[[#This Row],[Necesidad]])</f>
        <v>15046.431999999999</v>
      </c>
      <c r="AQ76" s="3">
        <f>+Tabla1[[#This Row],[Necesidad]]-Tabla1[[#This Row],[Stock Plan]]</f>
        <v>28953.567999999999</v>
      </c>
      <c r="AR76" s="156">
        <f>IFERROR(VLOOKUP(Tabla1[[#This Row],[Oficina]],[22]Ponderación!$B$3:$G$9,6,FALSE),"")</f>
        <v>44754</v>
      </c>
      <c r="AS7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76" s="83">
        <f>IFERROR(VLOOKUP(Tabla1[[#This Row],[Llave]],[17]DELAY!$H:$W,16,FALSE),0)</f>
        <v>6</v>
      </c>
      <c r="AU7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</v>
      </c>
      <c r="AV76" s="5">
        <f>+Tabla1[[#This Row],[Plan Ajustado]]*Tabla1[[#This Row],[Precio ponderado]]</f>
        <v>264000</v>
      </c>
      <c r="AW76" s="30">
        <f>IFERROR(VLOOKUP(Tabla1[[#This Row],[Llave]],'[13]Ultimos precios facturados'!$A:$G,7,FALSE),0)</f>
        <v>6.1031511748444016</v>
      </c>
      <c r="AX7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1.6901297688571744E-2</v>
      </c>
      <c r="AY76" s="30"/>
      <c r="AZ76" s="30">
        <f>IF(Tabla1[[#This Row],[Ajuste precio IC]]="",Tabla1[[#This Row],[Precio ponderado]],Tabla1[[#This Row],[Precio ponderado]])</f>
        <v>6</v>
      </c>
      <c r="BA76" s="82"/>
      <c r="BB76" s="82" t="str">
        <f>IF(AND(Tabla1[[#This Row],[Atraso a facturar]]&gt;0,Tabla1[[#This Row],[Precio Atraso]]=0),"Revisar","OK")</f>
        <v>OK</v>
      </c>
      <c r="BC76" s="82" t="str">
        <f>IF(AND(Tabla1[[#This Row],[Venta del mes]]&gt;0,Tabla1[[#This Row],[Precio venta nueva]]=0),"Revisar","OK")</f>
        <v>OK</v>
      </c>
      <c r="BD76" s="20">
        <f>IFERROR(VLOOKUP(Tabla1[[#This Row],[Llave]],'[5]Consolidación planes'!$A:$M,9,FALSE),0)</f>
        <v>22000</v>
      </c>
      <c r="BE76" s="20">
        <f>IFERROR(VLOOKUP(Tabla1[[#This Row],[Llave]],'[5]Consolidación planes'!$A:$M,10,FALSE),0)</f>
        <v>22000</v>
      </c>
      <c r="BF76" s="20">
        <f>IFERROR(VLOOKUP(Tabla1[[#This Row],[Llave]],'[5]Consolidación planes'!$A:$M,11,FALSE),0)</f>
        <v>0</v>
      </c>
      <c r="BG76" s="20">
        <f>IFERROR(VLOOKUP(Tabla1[[#This Row],[Llave]],'[5]Consolidación planes'!$A:$M,12,FALSE),0)</f>
        <v>44000</v>
      </c>
      <c r="BH76" s="20">
        <f>IFERROR(VLOOKUP(Tabla1[[#This Row],[Llave]],'[5]Consolidación planes'!$A:$M,13,FALSE),0)</f>
        <v>22000</v>
      </c>
      <c r="BI76" s="20">
        <f>IFERROR(VLOOKUP(Tabla1[[#This Row],[Llave]],'[13]Base ultimos planes'!$A:$M,13,FALSE),0)</f>
        <v>0</v>
      </c>
      <c r="BJ76" s="80">
        <f>IFERROR(VLOOKUP(Tabla1[[#This Row],[Llave]],'[13]Base ultimos planes'!$O:$AA,8,FALSE),0)</f>
        <v>153120</v>
      </c>
      <c r="BK76" s="20">
        <f>IFERROR(VLOOKUP(Tabla1[[#This Row],[Llave]],'[13]Base ultimos planes'!$O:$AA,9,FALSE),0)</f>
        <v>138600</v>
      </c>
      <c r="BL76" s="20">
        <f>IFERROR(VLOOKUP(Tabla1[[#This Row],[Llave]],'[13]Base ultimos planes'!$O:$AA,10,FALSE),0)</f>
        <v>0</v>
      </c>
      <c r="BM76" s="20">
        <f>IFERROR(VLOOKUP(Tabla1[[#This Row],[Llave]],'[13]Base ultimos planes'!$O:$AA,11,FALSE),0)</f>
        <v>281600</v>
      </c>
      <c r="BN76" s="20">
        <f>IFERROR(VLOOKUP(Tabla1[[#This Row],[Llave]],'[13]Base ultimos planes'!$O:$AA,12,FALSE),0)</f>
        <v>139661</v>
      </c>
      <c r="BO76" s="20">
        <f>IFERROR(VLOOKUP(Tabla1[[#This Row],[Llave]],'[13]Base ultimos planes'!$O:$AA,13,FALSE),0)</f>
        <v>0</v>
      </c>
      <c r="BP76" s="20"/>
      <c r="BQ76" s="20">
        <f>+Tabla1[[#This Row],[ RV  Venta mes n+1]]*(1-Tabla1[[#This Row],[% Uti. producción]])</f>
        <v>0</v>
      </c>
      <c r="BR76" s="100"/>
    </row>
    <row r="77" spans="1:70" ht="16" x14ac:dyDescent="0.2">
      <c r="A77">
        <v>1</v>
      </c>
      <c r="B77" t="str">
        <f>Tabla1[[#This Row],[Oficina]]&amp;Tabla1[[#This Row],[Material]]</f>
        <v>Agrosuper Asia1021012</v>
      </c>
      <c r="C77" t="s">
        <v>6</v>
      </c>
      <c r="D77" t="s">
        <v>173</v>
      </c>
      <c r="E77">
        <v>1021012</v>
      </c>
      <c r="F77" t="s">
        <v>197</v>
      </c>
      <c r="G77" t="s">
        <v>67</v>
      </c>
      <c r="H77" t="s">
        <v>68</v>
      </c>
      <c r="I77" s="7">
        <f>IFERROR(VLOOKUP(Tabla1[[#This Row],[Llave]],'[7]RV Producción'!$C:$G,5,FALSE),0)</f>
        <v>114630</v>
      </c>
      <c r="J77" s="3">
        <f>IFERROR(IF(Tabla1[[#This Row],[Oficina]]=$I$7,VLOOKUP(Tabla1[[#This Row],[Llave]],'[7]Shangai (Tomas)'!$A:$F,6,FALSE),VLOOKUP(Tabla1[[#This Row],[Llave]],'[7]RV plan de ventas'!$A:$E,5,FALSE)),0)</f>
        <v>198000</v>
      </c>
      <c r="K77" s="8">
        <f>IFERROR(VLOOKUP(Tabla1[[#This Row],[Oficina]],[15]Ponderación!$B$2:$E$9,4,FALSE),0)</f>
        <v>0.45719439678473212</v>
      </c>
      <c r="L77" s="7">
        <f>+Tabla1[[#This Row],[ RV Producción mes n+1]]*Tabla1[[#This Row],[% Uti. producción]]</f>
        <v>52408.193703433841</v>
      </c>
      <c r="M77" s="7">
        <f>IFERROR(VLOOKUP(Tabla1[[#This Row],[Material]],'[17]TD Stock'!$E:$I,5,FALSE),0)</f>
        <v>87998.944000000018</v>
      </c>
      <c r="N77" s="7">
        <f>IFERROR(VLOOKUP(Tabla1[[#This Row],[Material]],[16]Produccion!$M:$N,2,FALSE),0)</f>
        <v>54977</v>
      </c>
      <c r="O77" s="7">
        <f>IFERROR(VLOOKUP(Tabla1[[#This Row],[Llave]],'[16]TD Conf-AP'!$I:$M,4,FALSE),0)</f>
        <v>0</v>
      </c>
      <c r="P77" s="14">
        <f>SUM(Tabla1[[#This Row],[Producción disponible]],Tabla1[[#This Row],[Stock al día]],(Tabla1[[#This Row],[Por producir mes N]]*0.9))-Tabla1[[#This Row],[Producción por despachar mes N]]</f>
        <v>189886.43770343385</v>
      </c>
      <c r="Q77" s="7">
        <f>IFERROR(VLOOKUP(Tabla1[[#This Row],[Llave]],[17]DELAY!$A:$D,4,FALSE),0)</f>
        <v>0</v>
      </c>
      <c r="R77" s="9">
        <v>22000</v>
      </c>
      <c r="S77" s="5">
        <f t="shared" si="30"/>
        <v>0</v>
      </c>
      <c r="T77" s="76">
        <v>0</v>
      </c>
      <c r="U77" s="5">
        <f>+Tabla1[[#This Row],[Atraso a facturar]]+Tabla1[[#This Row],[Ajuste atraso]]</f>
        <v>0</v>
      </c>
      <c r="V77" s="3">
        <f>+Tabla1[[#This Row],[Total disponible]]-Tabla1[[#This Row],[Facturación atraso]]</f>
        <v>189886.43770343385</v>
      </c>
      <c r="W77" s="6">
        <f>IFERROR(IF(AND(V77&gt;R77,J77&gt;=R77),ROUNDDOWN((Tabla1[[#This Row],[Producción para venta nueva]])/R77,0)*R77,0),0)</f>
        <v>176000</v>
      </c>
      <c r="X77" s="76">
        <v>0</v>
      </c>
      <c r="Y77" s="6">
        <f>IF(Tabla1[[#This Row],[Venta del mes]]&gt;0,Tabla1[[#This Row],[Venta del mes]]+Tabla1[[#This Row],[Ajuste venta nueva]],0)</f>
        <v>176000</v>
      </c>
      <c r="Z77" s="6">
        <f>+Tabla1[[#This Row],[Producción para venta nueva]]-Tabla1[[#This Row],[Facturación Venta nueva]]</f>
        <v>13886.437703433854</v>
      </c>
      <c r="AA77" s="6">
        <f>IF(AND(A77=1,Tabla1[[#This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77" s="6"/>
      <c r="AC77" s="6">
        <f>IF(Tabla1[[#This Row],[Disponible stock sin venta]]&gt;0,Tabla1[[#This Row],[Disponible stock sin venta]]+Tabla1[[#This Row],[Ajuste stock sin venta]],0)</f>
        <v>0</v>
      </c>
      <c r="AD77" s="3">
        <f>IFERROR(VLOOKUP(Tabla1[[#This Row],[Llave]],'[16]TD Puerto'!$A:$D,4,FALSE),0)</f>
        <v>0</v>
      </c>
      <c r="AE77" s="3">
        <v>176000</v>
      </c>
      <c r="AF77" s="3">
        <f>+Tabla1[[#This Row],[Atraso a facturar]]+Tabla1[[#This Row],[Venta del mes]]+Tabla1[[#This Row],[En puerto a facturar]]+Tabla1[[#This Row],[Disponible stock sin venta]]</f>
        <v>176000</v>
      </c>
      <c r="AG77" s="3">
        <f>+Tabla1[[#This Row],[En puerto a facturar]]</f>
        <v>0</v>
      </c>
      <c r="AH77" s="3">
        <f>+Tabla1[[#This Row],[Facturación atraso]]</f>
        <v>0</v>
      </c>
      <c r="AI77" s="3">
        <f>+Tabla1[[#This Row],[Plan Irrestricto]]-Tabla1[[#This Row],[Puerto ]]-Tabla1[[#This Row],[Atraso]]</f>
        <v>176000</v>
      </c>
      <c r="AJ77" s="3">
        <f>IF(Tabla1[[#This Row],[Plan Irrestricto]]&gt;0,SUM(Tabla1[[#This Row],[Facturación atraso]],Tabla1[[#This Row],[Facturación Venta nueva]],Tabla1[[#This Row],[Facturación stock]],Tabla1[[#This Row],[En puerto a facturar]]),0)</f>
        <v>176000</v>
      </c>
      <c r="AK77" s="3">
        <f>+Tabla1[[#This Row],[Facturación atraso]]</f>
        <v>0</v>
      </c>
      <c r="AL77" s="3">
        <f>+Tabla1[[#This Row],[Plan Ajustado]]-Tabla1[[#This Row],[ Atraso ajustado]]-Tabla1[[#This Row],[Puerto ]]</f>
        <v>176000</v>
      </c>
      <c r="AM77" s="3">
        <v>0</v>
      </c>
      <c r="AN77" s="3" t="str">
        <f>IF(Tabla1[[#This Row],[Plan Ajustado]]&gt;Tabla1[[#This Row],[En puerto a facturar]],"Si","No")</f>
        <v>Si</v>
      </c>
      <c r="AO77" s="3">
        <f>IF(AND(Tabla1[[#This Row],[Plan Ajustado]]&gt;0,Tabla1[[#This Row],[Plan Ajustado]]&gt;Tabla1[[#This Row],[En puerto a facturar]]),(Tabla1[[#This Row],[Plan Ajustado]]-Tabla1[[#This Row],[En puerto a facturar]]),0)</f>
        <v>176000</v>
      </c>
      <c r="AP77" s="3">
        <f>IF(Tabla1[[#This Row],[Necesidad]]&gt;=Tabla1[[#This Row],[Stock al día]],Tabla1[[#This Row],[Stock al día]],Tabla1[[#This Row],[Necesidad]])</f>
        <v>87998.944000000018</v>
      </c>
      <c r="AQ77" s="3">
        <f>+Tabla1[[#This Row],[Necesidad]]-Tabla1[[#This Row],[Stock Plan]]</f>
        <v>88001.055999999982</v>
      </c>
      <c r="AR77" s="156">
        <f>IFERROR(VLOOKUP(Tabla1[[#This Row],[Oficina]],[22]Ponderación!$B$3:$G$9,6,FALSE),"")</f>
        <v>44754</v>
      </c>
      <c r="AS7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1.92</v>
      </c>
      <c r="AT77" s="83">
        <f>IFERROR(VLOOKUP(Tabla1[[#This Row],[Llave]],[17]DELAY!$H:$W,16,FALSE),0)</f>
        <v>0</v>
      </c>
      <c r="AU7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1.92</v>
      </c>
      <c r="AV77" s="5">
        <f>+Tabla1[[#This Row],[Plan Ajustado]]*Tabla1[[#This Row],[Precio ponderado]]</f>
        <v>337920</v>
      </c>
      <c r="AW77" s="30">
        <f>IFERROR(VLOOKUP(Tabla1[[#This Row],[Llave]],'[13]Ultimos precios facturados'!$A:$G,7,FALSE),0)</f>
        <v>1.9705036714707902</v>
      </c>
      <c r="AX7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2.5629828658524735E-2</v>
      </c>
      <c r="AY77" s="30"/>
      <c r="AZ77" s="30">
        <f>IF(Tabla1[[#This Row],[Ajuste precio IC]]="",Tabla1[[#This Row],[Precio ponderado]],Tabla1[[#This Row],[Precio ponderado]])</f>
        <v>1.92</v>
      </c>
      <c r="BA77" s="82"/>
      <c r="BB77" s="82" t="str">
        <f>IF(AND(Tabla1[[#This Row],[Atraso a facturar]]&gt;0,Tabla1[[#This Row],[Precio Atraso]]=0),"Revisar","OK")</f>
        <v>OK</v>
      </c>
      <c r="BC77" s="82" t="str">
        <f>IF(AND(Tabla1[[#This Row],[Venta del mes]]&gt;0,Tabla1[[#This Row],[Precio venta nueva]]=0),"Revisar","OK")</f>
        <v>OK</v>
      </c>
      <c r="BD77" s="20">
        <f>IFERROR(VLOOKUP(Tabla1[[#This Row],[Llave]],'[5]Consolidación planes'!$A:$M,9,FALSE),0)</f>
        <v>110000</v>
      </c>
      <c r="BE77" s="20">
        <f>IFERROR(VLOOKUP(Tabla1[[#This Row],[Llave]],'[5]Consolidación planes'!$A:$M,10,FALSE),0)</f>
        <v>66000</v>
      </c>
      <c r="BF77" s="20">
        <f>IFERROR(VLOOKUP(Tabla1[[#This Row],[Llave]],'[5]Consolidación planes'!$A:$M,11,FALSE),0)</f>
        <v>0</v>
      </c>
      <c r="BG77" s="20">
        <f>IFERROR(VLOOKUP(Tabla1[[#This Row],[Llave]],'[5]Consolidación planes'!$A:$M,12,FALSE),0)</f>
        <v>22000</v>
      </c>
      <c r="BH77" s="20">
        <f>IFERROR(VLOOKUP(Tabla1[[#This Row],[Llave]],'[5]Consolidación planes'!$A:$M,13,FALSE),0)</f>
        <v>176010</v>
      </c>
      <c r="BI77" s="20">
        <f>IFERROR(VLOOKUP(Tabla1[[#This Row],[Llave]],'[13]Base ultimos planes'!$A:$M,13,FALSE),0)</f>
        <v>219933</v>
      </c>
      <c r="BJ77" s="80">
        <f>IFERROR(VLOOKUP(Tabla1[[#This Row],[Llave]],'[13]Base ultimos planes'!$O:$AA,8,FALSE),0)</f>
        <v>247500</v>
      </c>
      <c r="BK77" s="20">
        <f>IFERROR(VLOOKUP(Tabla1[[#This Row],[Llave]],'[13]Base ultimos planes'!$O:$AA,9,FALSE),0)</f>
        <v>108240</v>
      </c>
      <c r="BL77" s="20">
        <f>IFERROR(VLOOKUP(Tabla1[[#This Row],[Llave]],'[13]Base ultimos planes'!$O:$AA,10,FALSE),0)</f>
        <v>0</v>
      </c>
      <c r="BM77" s="20">
        <f>IFERROR(VLOOKUP(Tabla1[[#This Row],[Llave]],'[13]Base ultimos planes'!$O:$AA,11,FALSE),0)</f>
        <v>38720</v>
      </c>
      <c r="BN77" s="20">
        <f>IFERROR(VLOOKUP(Tabla1[[#This Row],[Llave]],'[13]Base ultimos planes'!$O:$AA,12,FALSE),0)</f>
        <v>346371</v>
      </c>
      <c r="BO77" s="20">
        <f>IFERROR(VLOOKUP(Tabla1[[#This Row],[Llave]],'[13]Base ultimos planes'!$O:$AA,13,FALSE),0)</f>
        <v>424319</v>
      </c>
      <c r="BP77" s="20"/>
      <c r="BQ77" s="20">
        <f>+Tabla1[[#This Row],[ RV  Venta mes n+1]]*(1-Tabla1[[#This Row],[% Uti. producción]])</f>
        <v>107475.50943662305</v>
      </c>
      <c r="BR77" s="100"/>
    </row>
    <row r="78" spans="1:70" ht="16" x14ac:dyDescent="0.2">
      <c r="A78">
        <v>1</v>
      </c>
      <c r="B78" t="str">
        <f>Tabla1[[#This Row],[Oficina]]&amp;Tabla1[[#This Row],[Material]]</f>
        <v>Agrosuper Asia1021045</v>
      </c>
      <c r="C78" t="s">
        <v>6</v>
      </c>
      <c r="D78" t="s">
        <v>173</v>
      </c>
      <c r="E78">
        <v>1021045</v>
      </c>
      <c r="F78" t="s">
        <v>194</v>
      </c>
      <c r="G78" t="s">
        <v>159</v>
      </c>
      <c r="H78" t="s">
        <v>160</v>
      </c>
      <c r="I78" s="7">
        <f>IFERROR(VLOOKUP(Tabla1[[#This Row],[Llave]],'[7]RV Producción'!$C:$G,5,FALSE),0)</f>
        <v>89147</v>
      </c>
      <c r="J78" s="3">
        <f>IFERROR(IF(Tabla1[[#This Row],[Oficina]]=$I$7,VLOOKUP(Tabla1[[#This Row],[Llave]],'[7]Shangai (Tomas)'!$A:$F,6,FALSE),VLOOKUP(Tabla1[[#This Row],[Llave]],'[7]RV plan de ventas'!$A:$E,5,FALSE)),0)</f>
        <v>44000</v>
      </c>
      <c r="K78" s="8">
        <f>IFERROR(VLOOKUP(Tabla1[[#This Row],[Oficina]],[15]Ponderación!$B$2:$E$9,4,FALSE),0)</f>
        <v>0.45719439678473212</v>
      </c>
      <c r="L78" s="7">
        <f>+Tabla1[[#This Row],[ RV Producción mes n+1]]*Tabla1[[#This Row],[% Uti. producción]]</f>
        <v>40757.508890168516</v>
      </c>
      <c r="M78" s="7">
        <f>IFERROR(VLOOKUP(Tabla1[[#This Row],[Material]],'[17]TD Stock'!$E:$I,5,FALSE),0)</f>
        <v>23438.233999999997</v>
      </c>
      <c r="N78" s="7">
        <f>IFERROR(VLOOKUP(Tabla1[[#This Row],[Material]],[16]Produccion!$M:$N,2,FALSE),0)</f>
        <v>0</v>
      </c>
      <c r="O78" s="7">
        <f>IFERROR(VLOOKUP(Tabla1[[#This Row],[Llave]],'[16]TD Conf-AP'!$I:$M,4,FALSE),0)</f>
        <v>0</v>
      </c>
      <c r="P78" s="14">
        <f>SUM(Tabla1[[#This Row],[Producción disponible]],Tabla1[[#This Row],[Stock al día]],(Tabla1[[#This Row],[Por producir mes N]]*0.9))-Tabla1[[#This Row],[Producción por despachar mes N]]</f>
        <v>64195.742890168513</v>
      </c>
      <c r="Q78" s="7">
        <f>IFERROR(VLOOKUP(Tabla1[[#This Row],[Llave]],[17]DELAY!$A:$D,4,FALSE),0)</f>
        <v>66000</v>
      </c>
      <c r="R78" s="9">
        <v>22000</v>
      </c>
      <c r="S78" s="5">
        <f t="shared" si="30"/>
        <v>44000</v>
      </c>
      <c r="T78" s="76">
        <v>0</v>
      </c>
      <c r="U78" s="5">
        <f>+Tabla1[[#This Row],[Atraso a facturar]]+Tabla1[[#This Row],[Ajuste atraso]]</f>
        <v>44000</v>
      </c>
      <c r="V78" s="3">
        <f>+Tabla1[[#This Row],[Total disponible]]-Tabla1[[#This Row],[Facturación atraso]]</f>
        <v>20195.742890168513</v>
      </c>
      <c r="W78" s="6">
        <f>IFERROR(IF(AND(V78&gt;R78,J78&gt;=R78),ROUNDDOWN((Tabla1[[#This Row],[Producción para venta nueva]])/R78,0)*R78,0),0)</f>
        <v>0</v>
      </c>
      <c r="X78" s="76">
        <v>0</v>
      </c>
      <c r="Y78" s="6">
        <f>IF(Tabla1[[#This Row],[Venta del mes]]&gt;0,Tabla1[[#This Row],[Venta del mes]]+Tabla1[[#This Row],[Ajuste venta nueva]],0)</f>
        <v>0</v>
      </c>
      <c r="Z78" s="6">
        <f>+Tabla1[[#This Row],[Producción para venta nueva]]-Tabla1[[#This Row],[Facturación Venta nueva]]</f>
        <v>20195.742890168513</v>
      </c>
      <c r="AA78" s="6">
        <f>IF(AND(A78=1,Tabla1[[#This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78" s="6"/>
      <c r="AC78" s="6">
        <f>IF(Tabla1[[#This Row],[Disponible stock sin venta]]&gt;0,Tabla1[[#This Row],[Disponible stock sin venta]]+Tabla1[[#This Row],[Ajuste stock sin venta]],0)</f>
        <v>0</v>
      </c>
      <c r="AD78" s="3">
        <f>IFERROR(VLOOKUP(Tabla1[[#This Row],[Llave]],'[16]TD Puerto'!$A:$D,4,FALSE),0)</f>
        <v>0</v>
      </c>
      <c r="AE78" s="3">
        <v>44000</v>
      </c>
      <c r="AF78" s="3">
        <f>+Tabla1[[#This Row],[Atraso a facturar]]+Tabla1[[#This Row],[Venta del mes]]+Tabla1[[#This Row],[En puerto a facturar]]+Tabla1[[#This Row],[Disponible stock sin venta]]</f>
        <v>44000</v>
      </c>
      <c r="AG78" s="3">
        <f>+Tabla1[[#This Row],[En puerto a facturar]]</f>
        <v>0</v>
      </c>
      <c r="AH78" s="3">
        <f>+Tabla1[[#This Row],[Facturación atraso]]</f>
        <v>44000</v>
      </c>
      <c r="AI78" s="3">
        <f>+Tabla1[[#This Row],[Plan Irrestricto]]-Tabla1[[#This Row],[Puerto ]]-Tabla1[[#This Row],[Atraso]]</f>
        <v>0</v>
      </c>
      <c r="AJ78" s="3">
        <f>IF(Tabla1[[#This Row],[Plan Irrestricto]]&gt;0,SUM(Tabla1[[#This Row],[Facturación atraso]],Tabla1[[#This Row],[Facturación Venta nueva]],Tabla1[[#This Row],[Facturación stock]],Tabla1[[#This Row],[En puerto a facturar]]),0)</f>
        <v>44000</v>
      </c>
      <c r="AK78" s="3">
        <f>+Tabla1[[#This Row],[Facturación atraso]]</f>
        <v>44000</v>
      </c>
      <c r="AL78" s="3">
        <f>+Tabla1[[#This Row],[Plan Ajustado]]-Tabla1[[#This Row],[ Atraso ajustado]]-Tabla1[[#This Row],[Puerto ]]</f>
        <v>0</v>
      </c>
      <c r="AM78" s="3">
        <v>0</v>
      </c>
      <c r="AN78" s="3" t="str">
        <f>IF(Tabla1[[#This Row],[Plan Ajustado]]&gt;Tabla1[[#This Row],[En puerto a facturar]],"Si","No")</f>
        <v>Si</v>
      </c>
      <c r="AO78" s="3">
        <f>IF(AND(Tabla1[[#This Row],[Plan Ajustado]]&gt;0,Tabla1[[#This Row],[Plan Ajustado]]&gt;Tabla1[[#This Row],[En puerto a facturar]]),(Tabla1[[#This Row],[Plan Ajustado]]-Tabla1[[#This Row],[En puerto a facturar]]),0)</f>
        <v>44000</v>
      </c>
      <c r="AP78" s="3">
        <f>IF(Tabla1[[#This Row],[Necesidad]]&gt;=Tabla1[[#This Row],[Stock al día]],Tabla1[[#This Row],[Stock al día]],Tabla1[[#This Row],[Necesidad]])</f>
        <v>23438.233999999997</v>
      </c>
      <c r="AQ78" s="3">
        <f>+Tabla1[[#This Row],[Necesidad]]-Tabla1[[#This Row],[Stock Plan]]</f>
        <v>20561.766000000003</v>
      </c>
      <c r="AR78" s="156">
        <f>IFERROR(VLOOKUP(Tabla1[[#This Row],[Oficina]],[22]Ponderación!$B$3:$G$9,6,FALSE),"")</f>
        <v>44754</v>
      </c>
      <c r="AS7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2.02</v>
      </c>
      <c r="AT78" s="83">
        <f>IFERROR(VLOOKUP(Tabla1[[#This Row],[Llave]],[17]DELAY!$H:$W,16,FALSE),0)</f>
        <v>2.1335303030303034</v>
      </c>
      <c r="AU7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2.1335303030303034</v>
      </c>
      <c r="AV78" s="5">
        <f>+Tabla1[[#This Row],[Plan Ajustado]]*Tabla1[[#This Row],[Precio ponderado]]</f>
        <v>93875.333333333358</v>
      </c>
      <c r="AW78" s="30">
        <f>IFERROR(VLOOKUP(Tabla1[[#This Row],[Llave]],'[13]Ultimos precios facturados'!$A:$G,7,FALSE),0)</f>
        <v>2.0113766220216358</v>
      </c>
      <c r="AX7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6.0731381518141989E-2</v>
      </c>
      <c r="AY78" s="30"/>
      <c r="AZ78" s="30">
        <f>IF(Tabla1[[#This Row],[Ajuste precio IC]]="",Tabla1[[#This Row],[Precio ponderado]],Tabla1[[#This Row],[Precio ponderado]])</f>
        <v>2.1335303030303034</v>
      </c>
      <c r="BA78" s="82"/>
      <c r="BB78" s="82" t="str">
        <f>IF(AND(Tabla1[[#This Row],[Atraso a facturar]]&gt;0,Tabla1[[#This Row],[Precio Atraso]]=0),"Revisar","OK")</f>
        <v>OK</v>
      </c>
      <c r="BC78" s="82" t="str">
        <f>IF(AND(Tabla1[[#This Row],[Venta del mes]]&gt;0,Tabla1[[#This Row],[Precio venta nueva]]=0),"Revisar","OK")</f>
        <v>OK</v>
      </c>
      <c r="BD78" s="20">
        <f>IFERROR(VLOOKUP(Tabla1[[#This Row],[Llave]],'[5]Consolidación planes'!$A:$M,9,FALSE),0)</f>
        <v>88000</v>
      </c>
      <c r="BE78" s="20">
        <f>IFERROR(VLOOKUP(Tabla1[[#This Row],[Llave]],'[5]Consolidación planes'!$A:$M,10,FALSE),0)</f>
        <v>44000</v>
      </c>
      <c r="BF78" s="20">
        <f>IFERROR(VLOOKUP(Tabla1[[#This Row],[Llave]],'[5]Consolidación planes'!$A:$M,11,FALSE),0)</f>
        <v>22000</v>
      </c>
      <c r="BG78" s="20">
        <f>IFERROR(VLOOKUP(Tabla1[[#This Row],[Llave]],'[5]Consolidación planes'!$A:$M,12,FALSE),0)</f>
        <v>44000</v>
      </c>
      <c r="BH78" s="20">
        <f>IFERROR(VLOOKUP(Tabla1[[#This Row],[Llave]],'[5]Consolidación planes'!$A:$M,13,FALSE),0)</f>
        <v>22000</v>
      </c>
      <c r="BI78" s="20">
        <f>IFERROR(VLOOKUP(Tabla1[[#This Row],[Llave]],'[13]Base ultimos planes'!$A:$M,13,FALSE),0)</f>
        <v>22000</v>
      </c>
      <c r="BJ78" s="80">
        <f>IFERROR(VLOOKUP(Tabla1[[#This Row],[Llave]],'[13]Base ultimos planes'!$O:$AA,8,FALSE),0)</f>
        <v>237667.5</v>
      </c>
      <c r="BK78" s="20">
        <f>IFERROR(VLOOKUP(Tabla1[[#This Row],[Llave]],'[13]Base ultimos planes'!$O:$AA,9,FALSE),0)</f>
        <v>114400</v>
      </c>
      <c r="BL78" s="20">
        <f>IFERROR(VLOOKUP(Tabla1[[#This Row],[Llave]],'[13]Base ultimos planes'!$O:$AA,10,FALSE),0)</f>
        <v>43120</v>
      </c>
      <c r="BM78" s="20">
        <f>IFERROR(VLOOKUP(Tabla1[[#This Row],[Llave]],'[13]Base ultimos planes'!$O:$AA,11,FALSE),0)</f>
        <v>91571</v>
      </c>
      <c r="BN78" s="20">
        <f>IFERROR(VLOOKUP(Tabla1[[#This Row],[Llave]],'[13]Base ultimos planes'!$O:$AA,12,FALSE),0)</f>
        <v>45756</v>
      </c>
      <c r="BO78" s="20">
        <f>IFERROR(VLOOKUP(Tabla1[[#This Row],[Llave]],'[13]Base ultimos planes'!$O:$AA,13,FALSE),0)</f>
        <v>42091</v>
      </c>
      <c r="BP78" s="20"/>
      <c r="BQ78" s="20">
        <f>+Tabla1[[#This Row],[ RV  Venta mes n+1]]*(1-Tabla1[[#This Row],[% Uti. producción]])</f>
        <v>23883.446541471789</v>
      </c>
      <c r="BR78" s="100"/>
    </row>
    <row r="79" spans="1:70" ht="16" hidden="1" x14ac:dyDescent="0.2">
      <c r="A79">
        <v>1</v>
      </c>
      <c r="B79" t="str">
        <f>Tabla1[[#This Row],[Oficina]]&amp;Tabla1[[#This Row],[Material]]</f>
        <v>Agrosuper Asia1021046</v>
      </c>
      <c r="C79" t="s">
        <v>6</v>
      </c>
      <c r="D79" t="s">
        <v>173</v>
      </c>
      <c r="E79">
        <v>1021046</v>
      </c>
      <c r="F79" t="s">
        <v>195</v>
      </c>
      <c r="G79" t="s">
        <v>159</v>
      </c>
      <c r="H79" t="s">
        <v>160</v>
      </c>
      <c r="I79" s="7">
        <f>IFERROR(VLOOKUP(Tabla1[[#This Row],[Llave]],'[7]RV Producción'!$C:$G,5,FALSE),0)</f>
        <v>0</v>
      </c>
      <c r="J79" s="3">
        <f>IFERROR(IF(Tabla1[[#This Row],[Oficina]]=$I$7,VLOOKUP(Tabla1[[#This Row],[Llave]],'[7]Shangai (Tomas)'!$A:$F,6,FALSE),VLOOKUP(Tabla1[[#This Row],[Llave]],'[7]RV plan de ventas'!$A:$E,5,FALSE)),0)</f>
        <v>0</v>
      </c>
      <c r="K79" s="8">
        <f>IFERROR(VLOOKUP(Tabla1[[#This Row],[Oficina]],[15]Ponderación!$B$2:$E$9,4,FALSE),0)</f>
        <v>0.45719439678473212</v>
      </c>
      <c r="L79" s="7">
        <f>+Tabla1[[#This Row],[ RV Producción mes n+1]]*Tabla1[[#This Row],[% Uti. producción]]</f>
        <v>0</v>
      </c>
      <c r="M79" s="7">
        <f>IFERROR(VLOOKUP(Tabla1[[#This Row],[Material]],'[17]TD Stock'!$E:$I,5,FALSE),0)</f>
        <v>2069.3720000000003</v>
      </c>
      <c r="N79" s="7">
        <f>IFERROR(VLOOKUP(Tabla1[[#This Row],[Material]],[16]Produccion!$M:$N,2,FALSE),0)</f>
        <v>0</v>
      </c>
      <c r="O79" s="7">
        <f>IFERROR(VLOOKUP(Tabla1[[#This Row],[Llave]],'[16]TD Conf-AP'!$I:$M,4,FALSE),0)</f>
        <v>0</v>
      </c>
      <c r="P79" s="14">
        <f>SUM(Tabla1[[#This Row],[Producción disponible]],Tabla1[[#This Row],[Stock al día]],(Tabla1[[#This Row],[Por producir mes N]]*0.9))-Tabla1[[#This Row],[Producción por despachar mes N]]</f>
        <v>2069.3720000000003</v>
      </c>
      <c r="Q79" s="7">
        <f>IFERROR(VLOOKUP(Tabla1[[#This Row],[Llave]],[17]DELAY!$A:$D,4,FALSE),0)</f>
        <v>0</v>
      </c>
      <c r="R79" s="9">
        <v>22000</v>
      </c>
      <c r="S79" s="5">
        <f t="shared" si="30"/>
        <v>0</v>
      </c>
      <c r="T79" s="76">
        <v>0</v>
      </c>
      <c r="U79" s="5">
        <f>+Tabla1[[#This Row],[Atraso a facturar]]+Tabla1[[#This Row],[Ajuste atraso]]</f>
        <v>0</v>
      </c>
      <c r="V79" s="3">
        <f>+Tabla1[[#This Row],[Total disponible]]-Tabla1[[#This Row],[Facturación atraso]]</f>
        <v>2069.3720000000003</v>
      </c>
      <c r="W79" s="6">
        <f>IFERROR(IF(AND(V79&gt;R79,J79&gt;=R79),ROUNDDOWN((Tabla1[[#This Row],[Producción para venta nueva]])/R79,0)*R79,0),0)</f>
        <v>0</v>
      </c>
      <c r="X79" s="76">
        <v>0</v>
      </c>
      <c r="Y79" s="6">
        <f>IF(Tabla1[[#This Row],[Venta del mes]]&gt;0,Tabla1[[#This Row],[Venta del mes]]+Tabla1[[#This Row],[Ajuste venta nueva]],0)</f>
        <v>0</v>
      </c>
      <c r="Z79" s="6">
        <f>+Tabla1[[#This Row],[Producción para venta nueva]]-Tabla1[[#This Row],[Facturación Venta nueva]]</f>
        <v>2069.3720000000003</v>
      </c>
      <c r="AA79" s="6">
        <f>IF(AND(A79=1,Tabla1[[#This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79" s="6"/>
      <c r="AC79" s="6">
        <f>IF(Tabla1[[#This Row],[Disponible stock sin venta]]&gt;0,Tabla1[[#This Row],[Disponible stock sin venta]]+Tabla1[[#This Row],[Ajuste stock sin venta]],0)</f>
        <v>0</v>
      </c>
      <c r="AD79" s="3">
        <f>IFERROR(VLOOKUP(Tabla1[[#This Row],[Llave]],'[16]TD Puerto'!$A:$D,4,FALSE),0)</f>
        <v>0</v>
      </c>
      <c r="AE79" s="3">
        <v>0</v>
      </c>
      <c r="AF79" s="3">
        <f>+Tabla1[[#This Row],[Atraso a facturar]]+Tabla1[[#This Row],[Venta del mes]]+Tabla1[[#This Row],[En puerto a facturar]]+Tabla1[[#This Row],[Disponible stock sin venta]]</f>
        <v>0</v>
      </c>
      <c r="AG79" s="3">
        <f>+Tabla1[[#This Row],[En puerto a facturar]]</f>
        <v>0</v>
      </c>
      <c r="AH79" s="3">
        <f>+Tabla1[[#This Row],[Facturación atraso]]</f>
        <v>0</v>
      </c>
      <c r="AI79" s="3">
        <f>+Tabla1[[#This Row],[Plan Irrestricto]]-Tabla1[[#This Row],[Puerto ]]-Tabla1[[#This Row],[Atraso]]</f>
        <v>0</v>
      </c>
      <c r="AJ7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79" s="3">
        <f>+Tabla1[[#This Row],[Facturación atraso]]</f>
        <v>0</v>
      </c>
      <c r="AL79" s="3">
        <f>+Tabla1[[#This Row],[Plan Ajustado]]-Tabla1[[#This Row],[ Atraso ajustado]]-Tabla1[[#This Row],[Puerto ]]</f>
        <v>0</v>
      </c>
      <c r="AM79" s="3">
        <v>0</v>
      </c>
      <c r="AN79" s="3" t="str">
        <f>IF(Tabla1[[#This Row],[Plan Ajustado]]&gt;Tabla1[[#This Row],[En puerto a facturar]],"Si","No")</f>
        <v>No</v>
      </c>
      <c r="AO7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79" s="3">
        <f>IF(Tabla1[[#This Row],[Necesidad]]&gt;=Tabla1[[#This Row],[Stock al día]],Tabla1[[#This Row],[Stock al día]],Tabla1[[#This Row],[Necesidad]])</f>
        <v>0</v>
      </c>
      <c r="AQ79" s="3">
        <f>+Tabla1[[#This Row],[Necesidad]]-Tabla1[[#This Row],[Stock Plan]]</f>
        <v>0</v>
      </c>
      <c r="AR79" s="156">
        <f>IFERROR(VLOOKUP(Tabla1[[#This Row],[Oficina]],[22]Ponderación!$B$3:$G$9,6,FALSE),"")</f>
        <v>44754</v>
      </c>
      <c r="AS7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2.1213245413754449</v>
      </c>
      <c r="AT79" s="83">
        <f>IFERROR(VLOOKUP(Tabla1[[#This Row],[Llave]],[17]DELAY!$H:$W,16,FALSE),0)</f>
        <v>0</v>
      </c>
      <c r="AU7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79" s="5">
        <f>+Tabla1[[#This Row],[Plan Ajustado]]*Tabla1[[#This Row],[Precio ponderado]]</f>
        <v>0</v>
      </c>
      <c r="AW79" s="30">
        <f>IFERROR(VLOOKUP(Tabla1[[#This Row],[Llave]],'[13]Ultimos precios facturados'!$A:$G,7,FALSE),0)</f>
        <v>2.1213245413754449</v>
      </c>
      <c r="AX7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79" s="30"/>
      <c r="AZ79" s="30">
        <f>IF(Tabla1[[#This Row],[Ajuste precio IC]]="",Tabla1[[#This Row],[Precio ponderado]],Tabla1[[#This Row],[Precio ponderado]])</f>
        <v>0</v>
      </c>
      <c r="BA79" s="82"/>
      <c r="BB79" s="82" t="str">
        <f>IF(AND(Tabla1[[#This Row],[Atraso a facturar]]&gt;0,Tabla1[[#This Row],[Precio Atraso]]=0),"Revisar","OK")</f>
        <v>OK</v>
      </c>
      <c r="BC79" s="82" t="str">
        <f>IF(AND(Tabla1[[#This Row],[Venta del mes]]&gt;0,Tabla1[[#This Row],[Precio venta nueva]]=0),"Revisar","OK")</f>
        <v>OK</v>
      </c>
      <c r="BD79" s="20">
        <f>IFERROR(VLOOKUP(Tabla1[[#This Row],[Llave]],'[5]Consolidación planes'!$A:$M,9,FALSE),0)</f>
        <v>88000</v>
      </c>
      <c r="BE79" s="20">
        <f>IFERROR(VLOOKUP(Tabla1[[#This Row],[Llave]],'[5]Consolidación planes'!$A:$M,10,FALSE),0)</f>
        <v>66000</v>
      </c>
      <c r="BF79" s="20">
        <f>IFERROR(VLOOKUP(Tabla1[[#This Row],[Llave]],'[5]Consolidación planes'!$A:$M,11,FALSE),0)</f>
        <v>44000</v>
      </c>
      <c r="BG79" s="20">
        <f>IFERROR(VLOOKUP(Tabla1[[#This Row],[Llave]],'[5]Consolidación planes'!$A:$M,12,FALSE),0)</f>
        <v>44000</v>
      </c>
      <c r="BH79" s="20">
        <f>IFERROR(VLOOKUP(Tabla1[[#This Row],[Llave]],'[5]Consolidación planes'!$A:$M,13,FALSE),0)</f>
        <v>22105</v>
      </c>
      <c r="BI79" s="20">
        <f>IFERROR(VLOOKUP(Tabla1[[#This Row],[Llave]],'[13]Base ultimos planes'!$A:$M,13,FALSE),0)</f>
        <v>44022</v>
      </c>
      <c r="BJ79" s="80">
        <f>IFERROR(VLOOKUP(Tabla1[[#This Row],[Llave]],'[13]Base ultimos planes'!$O:$AA,8,FALSE),0)</f>
        <v>227040</v>
      </c>
      <c r="BK79" s="20">
        <f>IFERROR(VLOOKUP(Tabla1[[#This Row],[Llave]],'[13]Base ultimos planes'!$O:$AA,9,FALSE),0)</f>
        <v>171600</v>
      </c>
      <c r="BL79" s="20">
        <f>IFERROR(VLOOKUP(Tabla1[[#This Row],[Llave]],'[13]Base ultimos planes'!$O:$AA,10,FALSE),0)</f>
        <v>99220</v>
      </c>
      <c r="BM79" s="20">
        <f>IFERROR(VLOOKUP(Tabla1[[#This Row],[Llave]],'[13]Base ultimos planes'!$O:$AA,11,FALSE),0)</f>
        <v>88542</v>
      </c>
      <c r="BN79" s="20">
        <f>IFERROR(VLOOKUP(Tabla1[[#This Row],[Llave]],'[13]Base ultimos planes'!$O:$AA,12,FALSE),0)</f>
        <v>45973</v>
      </c>
      <c r="BO79" s="20">
        <f>IFERROR(VLOOKUP(Tabla1[[#This Row],[Llave]],'[13]Base ultimos planes'!$O:$AA,13,FALSE),0)</f>
        <v>42091</v>
      </c>
      <c r="BP79" s="20"/>
      <c r="BQ79" s="20">
        <f>+Tabla1[[#This Row],[ RV  Venta mes n+1]]*(1-Tabla1[[#This Row],[% Uti. producción]])</f>
        <v>0</v>
      </c>
      <c r="BR79" s="100"/>
    </row>
    <row r="80" spans="1:70" ht="16" x14ac:dyDescent="0.2">
      <c r="A80">
        <v>1</v>
      </c>
      <c r="B80" t="str">
        <f>Tabla1[[#This Row],[Oficina]]&amp;Tabla1[[#This Row],[Material]]</f>
        <v>Agrosuper Asia1021149</v>
      </c>
      <c r="C80" t="s">
        <v>6</v>
      </c>
      <c r="D80" t="s">
        <v>173</v>
      </c>
      <c r="E80">
        <v>1021149</v>
      </c>
      <c r="F80" t="s">
        <v>177</v>
      </c>
      <c r="G80" t="s">
        <v>92</v>
      </c>
      <c r="H80" t="s">
        <v>93</v>
      </c>
      <c r="I80" s="7">
        <f>IFERROR(VLOOKUP(Tabla1[[#This Row],[Llave]],'[7]RV Producción'!$C:$G,5,FALSE),0)</f>
        <v>47984</v>
      </c>
      <c r="J80" s="3">
        <f>IFERROR(IF(Tabla1[[#This Row],[Oficina]]=$I$7,VLOOKUP(Tabla1[[#This Row],[Llave]],'[7]Shangai (Tomas)'!$A:$F,6,FALSE),VLOOKUP(Tabla1[[#This Row],[Llave]],'[7]RV plan de ventas'!$A:$E,5,FALSE)),0)</f>
        <v>44000</v>
      </c>
      <c r="K80" s="8">
        <f>IFERROR(VLOOKUP(Tabla1[[#This Row],[Oficina]],[15]Ponderación!$B$2:$E$9,4,FALSE),0)</f>
        <v>0.45719439678473212</v>
      </c>
      <c r="L80" s="7">
        <f>+Tabla1[[#This Row],[ RV Producción mes n+1]]*Tabla1[[#This Row],[% Uti. producción]]</f>
        <v>21938.015935318585</v>
      </c>
      <c r="M80" s="7">
        <f>IFERROR(VLOOKUP(Tabla1[[#This Row],[Material]],'[17]TD Stock'!$E:$I,5,FALSE),0)</f>
        <v>41728.19</v>
      </c>
      <c r="N80" s="7">
        <f>IFERROR(VLOOKUP(Tabla1[[#This Row],[Material]],[16]Produccion!$M:$N,2,FALSE),0)</f>
        <v>0</v>
      </c>
      <c r="O80" s="7">
        <f>IFERROR(VLOOKUP(Tabla1[[#This Row],[Llave]],'[16]TD Conf-AP'!$I:$M,4,FALSE),0)</f>
        <v>0</v>
      </c>
      <c r="P80" s="14">
        <f>SUM(Tabla1[[#This Row],[Producción disponible]],Tabla1[[#This Row],[Stock al día]],(Tabla1[[#This Row],[Por producir mes N]]*0.9))-Tabla1[[#This Row],[Producción por despachar mes N]]</f>
        <v>63666.20593531859</v>
      </c>
      <c r="Q80" s="7">
        <f>IFERROR(VLOOKUP(Tabla1[[#This Row],[Llave]],[17]DELAY!$A:$D,4,FALSE),0)</f>
        <v>22000</v>
      </c>
      <c r="R80" s="9">
        <v>22000</v>
      </c>
      <c r="S80" s="5">
        <f t="shared" si="30"/>
        <v>22000</v>
      </c>
      <c r="T80" s="76">
        <v>0</v>
      </c>
      <c r="U80" s="5">
        <f>+Tabla1[[#This Row],[Atraso a facturar]]+Tabla1[[#This Row],[Ajuste atraso]]</f>
        <v>22000</v>
      </c>
      <c r="V80" s="3">
        <f>+Tabla1[[#This Row],[Total disponible]]-Tabla1[[#This Row],[Facturación atraso]]</f>
        <v>41666.20593531859</v>
      </c>
      <c r="W80" s="6">
        <f>IFERROR(IF(AND(V80&gt;R80,J80&gt;=R80),ROUNDDOWN((Tabla1[[#This Row],[Producción para venta nueva]])/R80,0)*R80,0),0)</f>
        <v>22000</v>
      </c>
      <c r="X80" s="76">
        <v>0</v>
      </c>
      <c r="Y80" s="6">
        <f>IF(Tabla1[[#This Row],[Venta del mes]]&gt;0,Tabla1[[#This Row],[Venta del mes]]+Tabla1[[#This Row],[Ajuste venta nueva]],0)</f>
        <v>22000</v>
      </c>
      <c r="Z80" s="6">
        <f>+Tabla1[[#This Row],[Producción para venta nueva]]-Tabla1[[#This Row],[Facturación Venta nueva]]</f>
        <v>19666.20593531859</v>
      </c>
      <c r="AA80" s="6">
        <f>IF(AND(A80=1,Tabla1[[#This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0" s="6"/>
      <c r="AC80" s="6">
        <f>IF(Tabla1[[#This Row],[Disponible stock sin venta]]&gt;0,Tabla1[[#This Row],[Disponible stock sin venta]]+Tabla1[[#This Row],[Ajuste stock sin venta]],0)</f>
        <v>0</v>
      </c>
      <c r="AD80" s="3">
        <f>IFERROR(VLOOKUP(Tabla1[[#This Row],[Llave]],'[16]TD Puerto'!$A:$D,4,FALSE),0)</f>
        <v>0</v>
      </c>
      <c r="AE80" s="3">
        <v>44000</v>
      </c>
      <c r="AF80" s="3">
        <f>+Tabla1[[#This Row],[Atraso a facturar]]+Tabla1[[#This Row],[Venta del mes]]+Tabla1[[#This Row],[En puerto a facturar]]+Tabla1[[#This Row],[Disponible stock sin venta]]</f>
        <v>44000</v>
      </c>
      <c r="AG80" s="3">
        <f>+Tabla1[[#This Row],[En puerto a facturar]]</f>
        <v>0</v>
      </c>
      <c r="AH80" s="3">
        <f>+Tabla1[[#This Row],[Facturación atraso]]</f>
        <v>22000</v>
      </c>
      <c r="AI80" s="3">
        <f>+Tabla1[[#This Row],[Plan Irrestricto]]-Tabla1[[#This Row],[Puerto ]]-Tabla1[[#This Row],[Atraso]]</f>
        <v>22000</v>
      </c>
      <c r="AJ80" s="3">
        <f>IF(Tabla1[[#This Row],[Plan Irrestricto]]&gt;0,SUM(Tabla1[[#This Row],[Facturación atraso]],Tabla1[[#This Row],[Facturación Venta nueva]],Tabla1[[#This Row],[Facturación stock]],Tabla1[[#This Row],[En puerto a facturar]]),0)</f>
        <v>44000</v>
      </c>
      <c r="AK80" s="3">
        <f>+Tabla1[[#This Row],[Facturación atraso]]</f>
        <v>22000</v>
      </c>
      <c r="AL80" s="3">
        <f>+Tabla1[[#This Row],[Plan Ajustado]]-Tabla1[[#This Row],[ Atraso ajustado]]-Tabla1[[#This Row],[Puerto ]]</f>
        <v>22000</v>
      </c>
      <c r="AM80" s="3">
        <v>0</v>
      </c>
      <c r="AN80" s="3" t="str">
        <f>IF(Tabla1[[#This Row],[Plan Ajustado]]&gt;Tabla1[[#This Row],[En puerto a facturar]],"Si","No")</f>
        <v>Si</v>
      </c>
      <c r="AO80" s="3">
        <f>IF(AND(Tabla1[[#This Row],[Plan Ajustado]]&gt;0,Tabla1[[#This Row],[Plan Ajustado]]&gt;Tabla1[[#This Row],[En puerto a facturar]]),(Tabla1[[#This Row],[Plan Ajustado]]-Tabla1[[#This Row],[En puerto a facturar]]),0)</f>
        <v>44000</v>
      </c>
      <c r="AP80" s="3">
        <f>IF(Tabla1[[#This Row],[Necesidad]]&gt;=Tabla1[[#This Row],[Stock al día]],Tabla1[[#This Row],[Stock al día]],Tabla1[[#This Row],[Necesidad]])</f>
        <v>41728.19</v>
      </c>
      <c r="AQ80" s="3">
        <f>+Tabla1[[#This Row],[Necesidad]]-Tabla1[[#This Row],[Stock Plan]]</f>
        <v>2271.8099999999977</v>
      </c>
      <c r="AR80" s="156">
        <f>IFERROR(VLOOKUP(Tabla1[[#This Row],[Oficina]],[22]Ponderación!$B$3:$G$9,6,FALSE),"")</f>
        <v>44754</v>
      </c>
      <c r="AS8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0.72</v>
      </c>
      <c r="AT80" s="83">
        <f>IFERROR(VLOOKUP(Tabla1[[#This Row],[Llave]],[17]DELAY!$H:$W,16,FALSE),0)</f>
        <v>0.77812499999999996</v>
      </c>
      <c r="AU8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0.74906249999999996</v>
      </c>
      <c r="AV80" s="5">
        <f>+Tabla1[[#This Row],[Plan Ajustado]]*Tabla1[[#This Row],[Precio ponderado]]</f>
        <v>32958.75</v>
      </c>
      <c r="AW80" s="30">
        <f>IFERROR(VLOOKUP(Tabla1[[#This Row],[Llave]],'[13]Ultimos precios facturados'!$A:$G,7,FALSE),0)</f>
        <v>0.84587359159195552</v>
      </c>
      <c r="AX8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0.11445101555866596</v>
      </c>
      <c r="AY80" s="30"/>
      <c r="AZ80" s="30">
        <f>IF(Tabla1[[#This Row],[Ajuste precio IC]]="",Tabla1[[#This Row],[Precio ponderado]],Tabla1[[#This Row],[Precio ponderado]])</f>
        <v>0.74906249999999996</v>
      </c>
      <c r="BA80" s="82"/>
      <c r="BB80" s="82" t="str">
        <f>IF(AND(Tabla1[[#This Row],[Atraso a facturar]]&gt;0,Tabla1[[#This Row],[Precio Atraso]]=0),"Revisar","OK")</f>
        <v>OK</v>
      </c>
      <c r="BC80" s="82" t="str">
        <f>IF(AND(Tabla1[[#This Row],[Venta del mes]]&gt;0,Tabla1[[#This Row],[Precio venta nueva]]=0),"Revisar","OK")</f>
        <v>OK</v>
      </c>
      <c r="BD80" s="20">
        <f>IFERROR(VLOOKUP(Tabla1[[#This Row],[Llave]],'[5]Consolidación planes'!$A:$M,9,FALSE),0)</f>
        <v>66000</v>
      </c>
      <c r="BE80" s="20">
        <f>IFERROR(VLOOKUP(Tabla1[[#This Row],[Llave]],'[5]Consolidación planes'!$A:$M,10,FALSE),0)</f>
        <v>44000</v>
      </c>
      <c r="BF80" s="20">
        <f>IFERROR(VLOOKUP(Tabla1[[#This Row],[Llave]],'[5]Consolidación planes'!$A:$M,11,FALSE),0)</f>
        <v>66000</v>
      </c>
      <c r="BG80" s="20">
        <f>IFERROR(VLOOKUP(Tabla1[[#This Row],[Llave]],'[5]Consolidación planes'!$A:$M,12,FALSE),0)</f>
        <v>44000</v>
      </c>
      <c r="BH80" s="20">
        <f>IFERROR(VLOOKUP(Tabla1[[#This Row],[Llave]],'[5]Consolidación planes'!$A:$M,13,FALSE),0)</f>
        <v>66000</v>
      </c>
      <c r="BI80" s="20">
        <f>IFERROR(VLOOKUP(Tabla1[[#This Row],[Llave]],'[13]Base ultimos planes'!$A:$M,13,FALSE),0)</f>
        <v>110000</v>
      </c>
      <c r="BJ80" s="80">
        <f>IFERROR(VLOOKUP(Tabla1[[#This Row],[Llave]],'[13]Base ultimos planes'!$O:$AA,8,FALSE),0)</f>
        <v>75240</v>
      </c>
      <c r="BK80" s="20">
        <f>IFERROR(VLOOKUP(Tabla1[[#This Row],[Llave]],'[13]Base ultimos planes'!$O:$AA,9,FALSE),0)</f>
        <v>72160</v>
      </c>
      <c r="BL80" s="20">
        <f>IFERROR(VLOOKUP(Tabla1[[#This Row],[Llave]],'[13]Base ultimos planes'!$O:$AA,10,FALSE),0)</f>
        <v>67980</v>
      </c>
      <c r="BM80" s="20">
        <f>IFERROR(VLOOKUP(Tabla1[[#This Row],[Llave]],'[13]Base ultimos planes'!$O:$AA,11,FALSE),0)</f>
        <v>46640</v>
      </c>
      <c r="BN80" s="20">
        <f>IFERROR(VLOOKUP(Tabla1[[#This Row],[Llave]],'[13]Base ultimos planes'!$O:$AA,12,FALSE),0)</f>
        <v>54659</v>
      </c>
      <c r="BO80" s="20">
        <f>IFERROR(VLOOKUP(Tabla1[[#This Row],[Llave]],'[13]Base ultimos planes'!$O:$AA,13,FALSE),0)</f>
        <v>81377</v>
      </c>
      <c r="BP80" s="20"/>
      <c r="BQ80" s="20">
        <f>+Tabla1[[#This Row],[ RV  Venta mes n+1]]*(1-Tabla1[[#This Row],[% Uti. producción]])</f>
        <v>23883.446541471789</v>
      </c>
      <c r="BR80" s="100"/>
    </row>
    <row r="81" spans="1:70" ht="16" x14ac:dyDescent="0.2">
      <c r="A81">
        <v>1</v>
      </c>
      <c r="B81" t="str">
        <f>Tabla1[[#This Row],[Oficina]]&amp;Tabla1[[#This Row],[Material]]</f>
        <v>Agrosuper Asia1021150</v>
      </c>
      <c r="C81" t="s">
        <v>6</v>
      </c>
      <c r="D81" t="s">
        <v>173</v>
      </c>
      <c r="E81">
        <v>1021150</v>
      </c>
      <c r="F81" t="s">
        <v>178</v>
      </c>
      <c r="G81" t="s">
        <v>92</v>
      </c>
      <c r="H81" t="s">
        <v>93</v>
      </c>
      <c r="I81" s="7">
        <f>IFERROR(VLOOKUP(Tabla1[[#This Row],[Llave]],'[7]RV Producción'!$C:$G,5,FALSE),0)</f>
        <v>45056</v>
      </c>
      <c r="J81" s="3">
        <f>IFERROR(IF(Tabla1[[#This Row],[Oficina]]=$I$7,VLOOKUP(Tabla1[[#This Row],[Llave]],'[7]Shangai (Tomas)'!$A:$F,6,FALSE),VLOOKUP(Tabla1[[#This Row],[Llave]],'[7]RV plan de ventas'!$A:$E,5,FALSE)),0)</f>
        <v>22000</v>
      </c>
      <c r="K81" s="8">
        <f>IFERROR(VLOOKUP(Tabla1[[#This Row],[Oficina]],[15]Ponderación!$B$2:$E$9,4,FALSE),0)</f>
        <v>0.45719439678473212</v>
      </c>
      <c r="L81" s="7">
        <f>+Tabla1[[#This Row],[ RV Producción mes n+1]]*Tabla1[[#This Row],[% Uti. producción]]</f>
        <v>20599.35074153289</v>
      </c>
      <c r="M81" s="7">
        <f>IFERROR(VLOOKUP(Tabla1[[#This Row],[Material]],'[17]TD Stock'!$E:$I,5,FALSE),0)</f>
        <v>7440</v>
      </c>
      <c r="N81" s="7">
        <f>IFERROR(VLOOKUP(Tabla1[[#This Row],[Material]],[16]Produccion!$M:$N,2,FALSE),0)</f>
        <v>0</v>
      </c>
      <c r="O81" s="7">
        <f>IFERROR(VLOOKUP(Tabla1[[#This Row],[Llave]],'[16]TD Conf-AP'!$I:$M,4,FALSE),0)</f>
        <v>0</v>
      </c>
      <c r="P81" s="14">
        <f>SUM(Tabla1[[#This Row],[Producción disponible]],Tabla1[[#This Row],[Stock al día]],(Tabla1[[#This Row],[Por producir mes N]]*0.9))-Tabla1[[#This Row],[Producción por despachar mes N]]</f>
        <v>28039.35074153289</v>
      </c>
      <c r="Q81" s="7">
        <f>IFERROR(VLOOKUP(Tabla1[[#This Row],[Llave]],[17]DELAY!$A:$D,4,FALSE),0)</f>
        <v>66000</v>
      </c>
      <c r="R81" s="9">
        <v>22000</v>
      </c>
      <c r="S81" s="5">
        <f t="shared" si="30"/>
        <v>22000</v>
      </c>
      <c r="T81" s="76">
        <v>0</v>
      </c>
      <c r="U81" s="5">
        <f>+Tabla1[[#This Row],[Atraso a facturar]]+Tabla1[[#This Row],[Ajuste atraso]]</f>
        <v>22000</v>
      </c>
      <c r="V81" s="3">
        <f>+Tabla1[[#This Row],[Total disponible]]-Tabla1[[#This Row],[Facturación atraso]]</f>
        <v>6039.3507415328895</v>
      </c>
      <c r="W81" s="6">
        <f>IFERROR(IF(AND(V81&gt;R81,J81&gt;=R81),ROUNDDOWN((Tabla1[[#This Row],[Producción para venta nueva]])/R81,0)*R81,0),0)</f>
        <v>0</v>
      </c>
      <c r="X81" s="76">
        <v>0</v>
      </c>
      <c r="Y81" s="6">
        <f>IF(Tabla1[[#This Row],[Venta del mes]]&gt;0,Tabla1[[#This Row],[Venta del mes]]+Tabla1[[#This Row],[Ajuste venta nueva]],0)</f>
        <v>0</v>
      </c>
      <c r="Z81" s="6">
        <f>+Tabla1[[#This Row],[Producción para venta nueva]]-Tabla1[[#This Row],[Facturación Venta nueva]]</f>
        <v>6039.3507415328895</v>
      </c>
      <c r="AA81" s="6">
        <f>IF(AND(A81=1,Tabla1[[#This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1" s="6"/>
      <c r="AC81" s="6">
        <f>IF(Tabla1[[#This Row],[Disponible stock sin venta]]&gt;0,Tabla1[[#This Row],[Disponible stock sin venta]]+Tabla1[[#This Row],[Ajuste stock sin venta]],0)</f>
        <v>0</v>
      </c>
      <c r="AD81" s="3">
        <f>IFERROR(VLOOKUP(Tabla1[[#This Row],[Llave]],'[16]TD Puerto'!$A:$D,4,FALSE),0)</f>
        <v>0</v>
      </c>
      <c r="AE81" s="3">
        <v>22000</v>
      </c>
      <c r="AF81" s="3">
        <f>+Tabla1[[#This Row],[Atraso a facturar]]+Tabla1[[#This Row],[Venta del mes]]+Tabla1[[#This Row],[En puerto a facturar]]+Tabla1[[#This Row],[Disponible stock sin venta]]</f>
        <v>22000</v>
      </c>
      <c r="AG81" s="3">
        <f>+Tabla1[[#This Row],[En puerto a facturar]]</f>
        <v>0</v>
      </c>
      <c r="AH81" s="3">
        <f>+Tabla1[[#This Row],[Facturación atraso]]</f>
        <v>22000</v>
      </c>
      <c r="AI81" s="3">
        <f>+Tabla1[[#This Row],[Plan Irrestricto]]-Tabla1[[#This Row],[Puerto ]]-Tabla1[[#This Row],[Atraso]]</f>
        <v>0</v>
      </c>
      <c r="AJ81" s="3">
        <f>IF(Tabla1[[#This Row],[Plan Irrestricto]]&gt;0,SUM(Tabla1[[#This Row],[Facturación atraso]],Tabla1[[#This Row],[Facturación Venta nueva]],Tabla1[[#This Row],[Facturación stock]],Tabla1[[#This Row],[En puerto a facturar]]),0)</f>
        <v>22000</v>
      </c>
      <c r="AK81" s="3">
        <f>+Tabla1[[#This Row],[Facturación atraso]]</f>
        <v>22000</v>
      </c>
      <c r="AL81" s="3">
        <f>+Tabla1[[#This Row],[Plan Ajustado]]-Tabla1[[#This Row],[ Atraso ajustado]]-Tabla1[[#This Row],[Puerto ]]</f>
        <v>0</v>
      </c>
      <c r="AM81" s="3">
        <v>0</v>
      </c>
      <c r="AN81" s="3" t="str">
        <f>IF(Tabla1[[#This Row],[Plan Ajustado]]&gt;Tabla1[[#This Row],[En puerto a facturar]],"Si","No")</f>
        <v>Si</v>
      </c>
      <c r="AO81" s="3">
        <f>IF(AND(Tabla1[[#This Row],[Plan Ajustado]]&gt;0,Tabla1[[#This Row],[Plan Ajustado]]&gt;Tabla1[[#This Row],[En puerto a facturar]]),(Tabla1[[#This Row],[Plan Ajustado]]-Tabla1[[#This Row],[En puerto a facturar]]),0)</f>
        <v>22000</v>
      </c>
      <c r="AP81" s="3">
        <f>IF(Tabla1[[#This Row],[Necesidad]]&gt;=Tabla1[[#This Row],[Stock al día]],Tabla1[[#This Row],[Stock al día]],Tabla1[[#This Row],[Necesidad]])</f>
        <v>7440</v>
      </c>
      <c r="AQ81" s="3">
        <f>+Tabla1[[#This Row],[Necesidad]]-Tabla1[[#This Row],[Stock Plan]]</f>
        <v>14560</v>
      </c>
      <c r="AR81" s="156">
        <f>IFERROR(VLOOKUP(Tabla1[[#This Row],[Oficina]],[22]Ponderación!$B$3:$G$9,6,FALSE),"")</f>
        <v>44754</v>
      </c>
      <c r="AS8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0.72</v>
      </c>
      <c r="AT81" s="83">
        <f>IFERROR(VLOOKUP(Tabla1[[#This Row],[Llave]],[17]DELAY!$H:$W,16,FALSE),0)</f>
        <v>0.85019696969696967</v>
      </c>
      <c r="AU8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0.85019696969696967</v>
      </c>
      <c r="AV81" s="5">
        <f>+Tabla1[[#This Row],[Plan Ajustado]]*Tabla1[[#This Row],[Precio ponderado]]</f>
        <v>18704.333333333332</v>
      </c>
      <c r="AW81" s="30">
        <f>IFERROR(VLOOKUP(Tabla1[[#This Row],[Llave]],'[13]Ultimos precios facturados'!$A:$G,7,FALSE),0)</f>
        <v>0.92425965578539115</v>
      </c>
      <c r="AX8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8.0131904086505418E-2</v>
      </c>
      <c r="AY81" s="30"/>
      <c r="AZ81" s="30">
        <f>IF(Tabla1[[#This Row],[Ajuste precio IC]]="",Tabla1[[#This Row],[Precio ponderado]],Tabla1[[#This Row],[Precio ponderado]])</f>
        <v>0.85019696969696967</v>
      </c>
      <c r="BA81" s="82"/>
      <c r="BB81" s="82" t="str">
        <f>IF(AND(Tabla1[[#This Row],[Atraso a facturar]]&gt;0,Tabla1[[#This Row],[Precio Atraso]]=0),"Revisar","OK")</f>
        <v>OK</v>
      </c>
      <c r="BC81" s="82" t="str">
        <f>IF(AND(Tabla1[[#This Row],[Venta del mes]]&gt;0,Tabla1[[#This Row],[Precio venta nueva]]=0),"Revisar","OK")</f>
        <v>OK</v>
      </c>
      <c r="BD81" s="20">
        <f>IFERROR(VLOOKUP(Tabla1[[#This Row],[Llave]],'[5]Consolidación planes'!$A:$M,9,FALSE),0)</f>
        <v>44000</v>
      </c>
      <c r="BE81" s="20">
        <f>IFERROR(VLOOKUP(Tabla1[[#This Row],[Llave]],'[5]Consolidación planes'!$A:$M,10,FALSE),0)</f>
        <v>66000</v>
      </c>
      <c r="BF81" s="20">
        <f>IFERROR(VLOOKUP(Tabla1[[#This Row],[Llave]],'[5]Consolidación planes'!$A:$M,11,FALSE),0)</f>
        <v>22000</v>
      </c>
      <c r="BG81" s="20">
        <f>IFERROR(VLOOKUP(Tabla1[[#This Row],[Llave]],'[5]Consolidación planes'!$A:$M,12,FALSE),0)</f>
        <v>44000</v>
      </c>
      <c r="BH81" s="20">
        <f>IFERROR(VLOOKUP(Tabla1[[#This Row],[Llave]],'[5]Consolidación planes'!$A:$M,13,FALSE),0)</f>
        <v>22000</v>
      </c>
      <c r="BI81" s="20">
        <f>IFERROR(VLOOKUP(Tabla1[[#This Row],[Llave]],'[13]Base ultimos planes'!$A:$M,13,FALSE),0)</f>
        <v>88000</v>
      </c>
      <c r="BJ81" s="80">
        <f>IFERROR(VLOOKUP(Tabla1[[#This Row],[Llave]],'[13]Base ultimos planes'!$O:$AA,8,FALSE),0)</f>
        <v>49824.5</v>
      </c>
      <c r="BK81" s="20">
        <f>IFERROR(VLOOKUP(Tabla1[[#This Row],[Llave]],'[13]Base ultimos planes'!$O:$AA,9,FALSE),0)</f>
        <v>108240</v>
      </c>
      <c r="BL81" s="20">
        <f>IFERROR(VLOOKUP(Tabla1[[#This Row],[Llave]],'[13]Base ultimos planes'!$O:$AA,10,FALSE),0)</f>
        <v>23100</v>
      </c>
      <c r="BM81" s="20">
        <f>IFERROR(VLOOKUP(Tabla1[[#This Row],[Llave]],'[13]Base ultimos planes'!$O:$AA,11,FALSE),0)</f>
        <v>49060</v>
      </c>
      <c r="BN81" s="20">
        <f>IFERROR(VLOOKUP(Tabla1[[#This Row],[Llave]],'[13]Base ultimos planes'!$O:$AA,12,FALSE),0)</f>
        <v>23341</v>
      </c>
      <c r="BO81" s="20">
        <f>IFERROR(VLOOKUP(Tabla1[[#This Row],[Llave]],'[13]Base ultimos planes'!$O:$AA,13,FALSE),0)</f>
        <v>65304</v>
      </c>
      <c r="BP81" s="20"/>
      <c r="BQ81" s="20">
        <f>+Tabla1[[#This Row],[ RV  Venta mes n+1]]*(1-Tabla1[[#This Row],[% Uti. producción]])</f>
        <v>11941.723270735894</v>
      </c>
      <c r="BR81" s="100"/>
    </row>
    <row r="82" spans="1:70" ht="16" x14ac:dyDescent="0.2">
      <c r="A82">
        <v>1</v>
      </c>
      <c r="B82" t="str">
        <f>Tabla1[[#This Row],[Oficina]]&amp;Tabla1[[#This Row],[Material]]</f>
        <v>Agrosuper Asia1021151</v>
      </c>
      <c r="C82" t="s">
        <v>6</v>
      </c>
      <c r="D82" t="s">
        <v>173</v>
      </c>
      <c r="E82">
        <v>1021151</v>
      </c>
      <c r="F82" t="s">
        <v>180</v>
      </c>
      <c r="G82" t="s">
        <v>92</v>
      </c>
      <c r="H82" t="s">
        <v>153</v>
      </c>
      <c r="I82" s="7">
        <f>IFERROR(VLOOKUP(Tabla1[[#This Row],[Llave]],'[7]RV Producción'!$C:$G,5,FALSE),0)</f>
        <v>70886</v>
      </c>
      <c r="J82" s="3">
        <f>IFERROR(IF(Tabla1[[#This Row],[Oficina]]=$I$7,VLOOKUP(Tabla1[[#This Row],[Llave]],'[7]Shangai (Tomas)'!$A:$F,6,FALSE),VLOOKUP(Tabla1[[#This Row],[Llave]],'[7]RV plan de ventas'!$A:$E,5,FALSE)),0)</f>
        <v>44000</v>
      </c>
      <c r="K82" s="8">
        <f>IFERROR(VLOOKUP(Tabla1[[#This Row],[Oficina]],[15]Ponderación!$B$2:$E$9,4,FALSE),0)</f>
        <v>0.45719439678473212</v>
      </c>
      <c r="L82" s="7">
        <f>+Tabla1[[#This Row],[ RV Producción mes n+1]]*Tabla1[[#This Row],[% Uti. producción]]</f>
        <v>32408.68201048252</v>
      </c>
      <c r="M82" s="7">
        <f>IFERROR(VLOOKUP(Tabla1[[#This Row],[Material]],'[17]TD Stock'!$E:$I,5,FALSE),0)</f>
        <v>30507.43</v>
      </c>
      <c r="N82" s="7">
        <f>IFERROR(VLOOKUP(Tabla1[[#This Row],[Material]],[16]Produccion!$M:$N,2,FALSE),0)</f>
        <v>0</v>
      </c>
      <c r="O82" s="7">
        <f>IFERROR(VLOOKUP(Tabla1[[#This Row],[Llave]],'[16]TD Conf-AP'!$I:$M,4,FALSE),0)</f>
        <v>0</v>
      </c>
      <c r="P82" s="14">
        <f>SUM(Tabla1[[#This Row],[Producción disponible]],Tabla1[[#This Row],[Stock al día]],(Tabla1[[#This Row],[Por producir mes N]]*0.9))-Tabla1[[#This Row],[Producción por despachar mes N]]</f>
        <v>62916.112010482524</v>
      </c>
      <c r="Q82" s="7">
        <f>IFERROR(VLOOKUP(Tabla1[[#This Row],[Llave]],[17]DELAY!$A:$D,4,FALSE),0)</f>
        <v>44000</v>
      </c>
      <c r="R82" s="9">
        <v>22000</v>
      </c>
      <c r="S82" s="5">
        <f t="shared" si="30"/>
        <v>44000</v>
      </c>
      <c r="T82" s="76">
        <v>0</v>
      </c>
      <c r="U82" s="5">
        <f>+Tabla1[[#This Row],[Atraso a facturar]]+Tabla1[[#This Row],[Ajuste atraso]]</f>
        <v>44000</v>
      </c>
      <c r="V82" s="3">
        <f>+Tabla1[[#This Row],[Total disponible]]-Tabla1[[#This Row],[Facturación atraso]]</f>
        <v>18916.112010482524</v>
      </c>
      <c r="W82" s="6">
        <f>IFERROR(IF(AND(V82&gt;R82,J82&gt;=R82),ROUNDDOWN((Tabla1[[#This Row],[Producción para venta nueva]])/R82,0)*R82,0),0)</f>
        <v>0</v>
      </c>
      <c r="X82" s="76">
        <v>0</v>
      </c>
      <c r="Y82" s="6">
        <f>IF(Tabla1[[#This Row],[Venta del mes]]&gt;0,Tabla1[[#This Row],[Venta del mes]]+Tabla1[[#This Row],[Ajuste venta nueva]],0)</f>
        <v>0</v>
      </c>
      <c r="Z82" s="6">
        <f>+Tabla1[[#This Row],[Producción para venta nueva]]-Tabla1[[#This Row],[Facturación Venta nueva]]</f>
        <v>18916.112010482524</v>
      </c>
      <c r="AA82" s="6">
        <f>IF(AND(A82=1,Tabla1[[#This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2" s="6"/>
      <c r="AC82" s="6">
        <f>IF(Tabla1[[#This Row],[Disponible stock sin venta]]&gt;0,Tabla1[[#This Row],[Disponible stock sin venta]]+Tabla1[[#This Row],[Ajuste stock sin venta]],0)</f>
        <v>0</v>
      </c>
      <c r="AD82" s="3">
        <f>IFERROR(VLOOKUP(Tabla1[[#This Row],[Llave]],'[16]TD Puerto'!$A:$D,4,FALSE),0)</f>
        <v>0</v>
      </c>
      <c r="AE82" s="3">
        <v>44000</v>
      </c>
      <c r="AF82" s="3">
        <f>+Tabla1[[#This Row],[Atraso a facturar]]+Tabla1[[#This Row],[Venta del mes]]+Tabla1[[#This Row],[En puerto a facturar]]+Tabla1[[#This Row],[Disponible stock sin venta]]</f>
        <v>44000</v>
      </c>
      <c r="AG82" s="3">
        <f>+Tabla1[[#This Row],[En puerto a facturar]]</f>
        <v>0</v>
      </c>
      <c r="AH82" s="3">
        <f>+Tabla1[[#This Row],[Facturación atraso]]</f>
        <v>44000</v>
      </c>
      <c r="AI82" s="3">
        <f>+Tabla1[[#This Row],[Plan Irrestricto]]-Tabla1[[#This Row],[Puerto ]]-Tabla1[[#This Row],[Atraso]]</f>
        <v>0</v>
      </c>
      <c r="AJ82" s="3">
        <f>IF(Tabla1[[#This Row],[Plan Irrestricto]]&gt;0,SUM(Tabla1[[#This Row],[Facturación atraso]],Tabla1[[#This Row],[Facturación Venta nueva]],Tabla1[[#This Row],[Facturación stock]],Tabla1[[#This Row],[En puerto a facturar]]),0)</f>
        <v>44000</v>
      </c>
      <c r="AK82" s="3">
        <f>+Tabla1[[#This Row],[Facturación atraso]]</f>
        <v>44000</v>
      </c>
      <c r="AL82" s="3">
        <f>+Tabla1[[#This Row],[Plan Ajustado]]-Tabla1[[#This Row],[ Atraso ajustado]]-Tabla1[[#This Row],[Puerto ]]</f>
        <v>0</v>
      </c>
      <c r="AM82" s="3">
        <v>0</v>
      </c>
      <c r="AN82" s="3" t="str">
        <f>IF(Tabla1[[#This Row],[Plan Ajustado]]&gt;Tabla1[[#This Row],[En puerto a facturar]],"Si","No")</f>
        <v>Si</v>
      </c>
      <c r="AO82" s="3">
        <f>IF(AND(Tabla1[[#This Row],[Plan Ajustado]]&gt;0,Tabla1[[#This Row],[Plan Ajustado]]&gt;Tabla1[[#This Row],[En puerto a facturar]]),(Tabla1[[#This Row],[Plan Ajustado]]-Tabla1[[#This Row],[En puerto a facturar]]),0)</f>
        <v>44000</v>
      </c>
      <c r="AP82" s="3">
        <f>IF(Tabla1[[#This Row],[Necesidad]]&gt;=Tabla1[[#This Row],[Stock al día]],Tabla1[[#This Row],[Stock al día]],Tabla1[[#This Row],[Necesidad]])</f>
        <v>30507.43</v>
      </c>
      <c r="AQ82" s="3">
        <f>+Tabla1[[#This Row],[Necesidad]]-Tabla1[[#This Row],[Stock Plan]]</f>
        <v>13492.57</v>
      </c>
      <c r="AR82" s="156">
        <f>IFERROR(VLOOKUP(Tabla1[[#This Row],[Oficina]],[22]Ponderación!$B$3:$G$9,6,FALSE),"")</f>
        <v>44754</v>
      </c>
      <c r="AS8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1.1200000000000001</v>
      </c>
      <c r="AT82" s="83">
        <f>IFERROR(VLOOKUP(Tabla1[[#This Row],[Llave]],[17]DELAY!$H:$W,16,FALSE),0)</f>
        <v>1.3</v>
      </c>
      <c r="AU8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1.3</v>
      </c>
      <c r="AV82" s="5">
        <f>+Tabla1[[#This Row],[Plan Ajustado]]*Tabla1[[#This Row],[Precio ponderado]]</f>
        <v>57200</v>
      </c>
      <c r="AW82" s="30">
        <f>IFERROR(VLOOKUP(Tabla1[[#This Row],[Llave]],'[13]Ultimos precios facturados'!$A:$G,7,FALSE),0)</f>
        <v>1.4685055358008727</v>
      </c>
      <c r="AX8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0.1147462721064756</v>
      </c>
      <c r="AY82" s="30"/>
      <c r="AZ82" s="30">
        <f>IF(Tabla1[[#This Row],[Ajuste precio IC]]="",Tabla1[[#This Row],[Precio ponderado]],Tabla1[[#This Row],[Precio ponderado]])</f>
        <v>1.3</v>
      </c>
      <c r="BA82" s="82"/>
      <c r="BB82" s="82" t="str">
        <f>IF(AND(Tabla1[[#This Row],[Atraso a facturar]]&gt;0,Tabla1[[#This Row],[Precio Atraso]]=0),"Revisar","OK")</f>
        <v>OK</v>
      </c>
      <c r="BC82" s="82" t="str">
        <f>IF(AND(Tabla1[[#This Row],[Venta del mes]]&gt;0,Tabla1[[#This Row],[Precio venta nueva]]=0),"Revisar","OK")</f>
        <v>OK</v>
      </c>
      <c r="BD82" s="20">
        <f>IFERROR(VLOOKUP(Tabla1[[#This Row],[Llave]],'[5]Consolidación planes'!$A:$M,9,FALSE),0)</f>
        <v>44000</v>
      </c>
      <c r="BE82" s="20">
        <f>IFERROR(VLOOKUP(Tabla1[[#This Row],[Llave]],'[5]Consolidación planes'!$A:$M,10,FALSE),0)</f>
        <v>22000</v>
      </c>
      <c r="BF82" s="20">
        <f>IFERROR(VLOOKUP(Tabla1[[#This Row],[Llave]],'[5]Consolidación planes'!$A:$M,11,FALSE),0)</f>
        <v>22000</v>
      </c>
      <c r="BG82" s="20">
        <f>IFERROR(VLOOKUP(Tabla1[[#This Row],[Llave]],'[5]Consolidación planes'!$A:$M,12,FALSE),0)</f>
        <v>44000</v>
      </c>
      <c r="BH82" s="20">
        <f>IFERROR(VLOOKUP(Tabla1[[#This Row],[Llave]],'[5]Consolidación planes'!$A:$M,13,FALSE),0)</f>
        <v>44000</v>
      </c>
      <c r="BI82" s="20">
        <f>IFERROR(VLOOKUP(Tabla1[[#This Row],[Llave]],'[13]Base ultimos planes'!$A:$M,13,FALSE),0)</f>
        <v>22000</v>
      </c>
      <c r="BJ82" s="80">
        <f>IFERROR(VLOOKUP(Tabla1[[#This Row],[Llave]],'[13]Base ultimos planes'!$O:$AA,8,FALSE),0)</f>
        <v>73726.666700000002</v>
      </c>
      <c r="BK82" s="20">
        <f>IFERROR(VLOOKUP(Tabla1[[#This Row],[Llave]],'[13]Base ultimos planes'!$O:$AA,9,FALSE),0)</f>
        <v>35200</v>
      </c>
      <c r="BL82" s="20">
        <f>IFERROR(VLOOKUP(Tabla1[[#This Row],[Llave]],'[13]Base ultimos planes'!$O:$AA,10,FALSE),0)</f>
        <v>34100</v>
      </c>
      <c r="BM82" s="20">
        <f>IFERROR(VLOOKUP(Tabla1[[#This Row],[Llave]],'[13]Base ultimos planes'!$O:$AA,11,FALSE),0)</f>
        <v>71771</v>
      </c>
      <c r="BN82" s="20">
        <f>IFERROR(VLOOKUP(Tabla1[[#This Row],[Llave]],'[13]Base ultimos planes'!$O:$AA,12,FALSE),0)</f>
        <v>70197</v>
      </c>
      <c r="BO82" s="20">
        <f>IFERROR(VLOOKUP(Tabla1[[#This Row],[Llave]],'[13]Base ultimos planes'!$O:$AA,13,FALSE),0)</f>
        <v>24490</v>
      </c>
      <c r="BP82" s="20"/>
      <c r="BQ82" s="20">
        <f>+Tabla1[[#This Row],[ RV  Venta mes n+1]]*(1-Tabla1[[#This Row],[% Uti. producción]])</f>
        <v>23883.446541471789</v>
      </c>
      <c r="BR82" s="100"/>
    </row>
    <row r="83" spans="1:70" ht="16" hidden="1" x14ac:dyDescent="0.2">
      <c r="A83">
        <v>1</v>
      </c>
      <c r="B83" t="str">
        <f>Tabla1[[#This Row],[Oficina]]&amp;Tabla1[[#This Row],[Material]]</f>
        <v>Agrosuper Asia1021152</v>
      </c>
      <c r="C83" t="s">
        <v>6</v>
      </c>
      <c r="D83" t="s">
        <v>173</v>
      </c>
      <c r="E83">
        <v>1021152</v>
      </c>
      <c r="F83" t="s">
        <v>181</v>
      </c>
      <c r="G83" t="s">
        <v>92</v>
      </c>
      <c r="H83" t="s">
        <v>153</v>
      </c>
      <c r="I83" s="7">
        <f>IFERROR(VLOOKUP(Tabla1[[#This Row],[Llave]],'[7]RV Producción'!$C:$G,5,FALSE),0)</f>
        <v>22560</v>
      </c>
      <c r="J83" s="3">
        <f>IFERROR(IF(Tabla1[[#This Row],[Oficina]]=$I$7,VLOOKUP(Tabla1[[#This Row],[Llave]],'[7]Shangai (Tomas)'!$A:$F,6,FALSE),VLOOKUP(Tabla1[[#This Row],[Llave]],'[7]RV plan de ventas'!$A:$E,5,FALSE)),0)</f>
        <v>22000</v>
      </c>
      <c r="K83" s="8">
        <f>IFERROR(VLOOKUP(Tabla1[[#This Row],[Oficina]],[15]Ponderación!$B$2:$E$9,4,FALSE),0)</f>
        <v>0.45719439678473212</v>
      </c>
      <c r="L83" s="7">
        <f>+Tabla1[[#This Row],[ RV Producción mes n+1]]*Tabla1[[#This Row],[% Uti. producción]]</f>
        <v>10314.305591463557</v>
      </c>
      <c r="M83" s="7">
        <f>IFERROR(VLOOKUP(Tabla1[[#This Row],[Material]],'[17]TD Stock'!$E:$I,5,FALSE),0)</f>
        <v>4256</v>
      </c>
      <c r="N83" s="7">
        <f>IFERROR(VLOOKUP(Tabla1[[#This Row],[Material]],[16]Produccion!$M:$N,2,FALSE),0)</f>
        <v>0</v>
      </c>
      <c r="O83" s="7">
        <f>IFERROR(VLOOKUP(Tabla1[[#This Row],[Llave]],'[16]TD Conf-AP'!$I:$M,4,FALSE),0)</f>
        <v>0</v>
      </c>
      <c r="P83" s="14">
        <f>SUM(Tabla1[[#This Row],[Producción disponible]],Tabla1[[#This Row],[Stock al día]],(Tabla1[[#This Row],[Por producir mes N]]*0.9))-Tabla1[[#This Row],[Producción por despachar mes N]]</f>
        <v>14570.305591463557</v>
      </c>
      <c r="Q83" s="7">
        <f>IFERROR(VLOOKUP(Tabla1[[#This Row],[Llave]],[17]DELAY!$A:$D,4,FALSE),0)</f>
        <v>22000</v>
      </c>
      <c r="R83" s="9">
        <v>22000</v>
      </c>
      <c r="S83" s="5">
        <f t="shared" si="30"/>
        <v>0</v>
      </c>
      <c r="T83" s="76">
        <v>0</v>
      </c>
      <c r="U83" s="5">
        <f>+Tabla1[[#This Row],[Atraso a facturar]]+Tabla1[[#This Row],[Ajuste atraso]]</f>
        <v>0</v>
      </c>
      <c r="V83" s="3">
        <f>+Tabla1[[#This Row],[Total disponible]]-Tabla1[[#This Row],[Facturación atraso]]</f>
        <v>14570.305591463557</v>
      </c>
      <c r="W83" s="6">
        <f>IFERROR(IF(AND(V83&gt;R83,J83&gt;=R83),ROUNDDOWN((Tabla1[[#This Row],[Producción para venta nueva]])/R83,0)*R83,0),0)</f>
        <v>0</v>
      </c>
      <c r="X83" s="76">
        <v>0</v>
      </c>
      <c r="Y83" s="6">
        <f>IF(Tabla1[[#This Row],[Venta del mes]]&gt;0,Tabla1[[#This Row],[Venta del mes]]+Tabla1[[#This Row],[Ajuste venta nueva]],0)</f>
        <v>0</v>
      </c>
      <c r="Z83" s="6">
        <f>+Tabla1[[#This Row],[Producción para venta nueva]]-Tabla1[[#This Row],[Facturación Venta nueva]]</f>
        <v>14570.305591463557</v>
      </c>
      <c r="AA83" s="6">
        <f>IF(AND(A83=1,Tabla1[[#This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3" s="6"/>
      <c r="AC83" s="6">
        <f>IF(Tabla1[[#This Row],[Disponible stock sin venta]]&gt;0,Tabla1[[#This Row],[Disponible stock sin venta]]+Tabla1[[#This Row],[Ajuste stock sin venta]],0)</f>
        <v>0</v>
      </c>
      <c r="AD83" s="3">
        <f>IFERROR(VLOOKUP(Tabla1[[#This Row],[Llave]],'[16]TD Puerto'!$A:$D,4,FALSE),0)</f>
        <v>0</v>
      </c>
      <c r="AE83" s="3">
        <v>0</v>
      </c>
      <c r="AF83" s="3">
        <f>+Tabla1[[#This Row],[Atraso a facturar]]+Tabla1[[#This Row],[Venta del mes]]+Tabla1[[#This Row],[En puerto a facturar]]+Tabla1[[#This Row],[Disponible stock sin venta]]</f>
        <v>0</v>
      </c>
      <c r="AG83" s="3">
        <f>+Tabla1[[#This Row],[En puerto a facturar]]</f>
        <v>0</v>
      </c>
      <c r="AH83" s="3">
        <f>+Tabla1[[#This Row],[Facturación atraso]]</f>
        <v>0</v>
      </c>
      <c r="AI83" s="3">
        <f>+Tabla1[[#This Row],[Plan Irrestricto]]-Tabla1[[#This Row],[Puerto ]]-Tabla1[[#This Row],[Atraso]]</f>
        <v>0</v>
      </c>
      <c r="AJ8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83" s="3">
        <f>+Tabla1[[#This Row],[Facturación atraso]]</f>
        <v>0</v>
      </c>
      <c r="AL83" s="3">
        <f>+Tabla1[[#This Row],[Plan Ajustado]]-Tabla1[[#This Row],[ Atraso ajustado]]-Tabla1[[#This Row],[Puerto ]]</f>
        <v>0</v>
      </c>
      <c r="AM83" s="3">
        <v>0</v>
      </c>
      <c r="AN83" s="3" t="str">
        <f>IF(Tabla1[[#This Row],[Plan Ajustado]]&gt;Tabla1[[#This Row],[En puerto a facturar]],"Si","No")</f>
        <v>No</v>
      </c>
      <c r="AO8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83" s="3">
        <f>IF(Tabla1[[#This Row],[Necesidad]]&gt;=Tabla1[[#This Row],[Stock al día]],Tabla1[[#This Row],[Stock al día]],Tabla1[[#This Row],[Necesidad]])</f>
        <v>0</v>
      </c>
      <c r="AQ83" s="3">
        <f>+Tabla1[[#This Row],[Necesidad]]-Tabla1[[#This Row],[Stock Plan]]</f>
        <v>0</v>
      </c>
      <c r="AR83" s="156">
        <f>IFERROR(VLOOKUP(Tabla1[[#This Row],[Oficina]],[22]Ponderación!$B$3:$G$9,6,FALSE),"")</f>
        <v>44754</v>
      </c>
      <c r="AS8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1.1200000000000001</v>
      </c>
      <c r="AT83" s="83">
        <f>IFERROR(VLOOKUP(Tabla1[[#This Row],[Llave]],[17]DELAY!$H:$W,16,FALSE),0)</f>
        <v>1.3</v>
      </c>
      <c r="AU8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83" s="5">
        <f>+Tabla1[[#This Row],[Plan Ajustado]]*Tabla1[[#This Row],[Precio ponderado]]</f>
        <v>0</v>
      </c>
      <c r="AW83" s="30">
        <f>IFERROR(VLOOKUP(Tabla1[[#This Row],[Llave]],'[13]Ultimos precios facturados'!$A:$G,7,FALSE),0)</f>
        <v>1.5623181818181817</v>
      </c>
      <c r="AX8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83" s="30"/>
      <c r="AZ83" s="30">
        <f>IF(Tabla1[[#This Row],[Ajuste precio IC]]="",Tabla1[[#This Row],[Precio ponderado]],Tabla1[[#This Row],[Precio ponderado]])</f>
        <v>0</v>
      </c>
      <c r="BA83" s="82"/>
      <c r="BB83" s="82" t="str">
        <f>IF(AND(Tabla1[[#This Row],[Atraso a facturar]]&gt;0,Tabla1[[#This Row],[Precio Atraso]]=0),"Revisar","OK")</f>
        <v>OK</v>
      </c>
      <c r="BC83" s="82" t="str">
        <f>IF(AND(Tabla1[[#This Row],[Venta del mes]]&gt;0,Tabla1[[#This Row],[Precio venta nueva]]=0),"Revisar","OK")</f>
        <v>OK</v>
      </c>
      <c r="BD83" s="20">
        <f>IFERROR(VLOOKUP(Tabla1[[#This Row],[Llave]],'[5]Consolidación planes'!$A:$M,9,FALSE),0)</f>
        <v>44000</v>
      </c>
      <c r="BE83" s="20">
        <f>IFERROR(VLOOKUP(Tabla1[[#This Row],[Llave]],'[5]Consolidación planes'!$A:$M,10,FALSE),0)</f>
        <v>22000</v>
      </c>
      <c r="BF83" s="20">
        <f>IFERROR(VLOOKUP(Tabla1[[#This Row],[Llave]],'[5]Consolidación planes'!$A:$M,11,FALSE),0)</f>
        <v>44000</v>
      </c>
      <c r="BG83" s="20">
        <f>IFERROR(VLOOKUP(Tabla1[[#This Row],[Llave]],'[5]Consolidación planes'!$A:$M,12,FALSE),0)</f>
        <v>22000</v>
      </c>
      <c r="BH83" s="20">
        <f>IFERROR(VLOOKUP(Tabla1[[#This Row],[Llave]],'[5]Consolidación planes'!$A:$M,13,FALSE),0)</f>
        <v>0</v>
      </c>
      <c r="BI83" s="20">
        <f>IFERROR(VLOOKUP(Tabla1[[#This Row],[Llave]],'[13]Base ultimos planes'!$A:$M,13,FALSE),0)</f>
        <v>22000</v>
      </c>
      <c r="BJ83" s="80">
        <f>IFERROR(VLOOKUP(Tabla1[[#This Row],[Llave]],'[13]Base ultimos planes'!$O:$AA,8,FALSE),0)</f>
        <v>71559.5</v>
      </c>
      <c r="BK83" s="20">
        <f>IFERROR(VLOOKUP(Tabla1[[#This Row],[Llave]],'[13]Base ultimos planes'!$O:$AA,9,FALSE),0)</f>
        <v>35200</v>
      </c>
      <c r="BL83" s="20">
        <f>IFERROR(VLOOKUP(Tabla1[[#This Row],[Llave]],'[13]Base ultimos planes'!$O:$AA,10,FALSE),0)</f>
        <v>68200</v>
      </c>
      <c r="BM83" s="20">
        <f>IFERROR(VLOOKUP(Tabla1[[#This Row],[Llave]],'[13]Base ultimos planes'!$O:$AA,11,FALSE),0)</f>
        <v>34320</v>
      </c>
      <c r="BN83" s="20">
        <f>IFERROR(VLOOKUP(Tabla1[[#This Row],[Llave]],'[13]Base ultimos planes'!$O:$AA,12,FALSE),0)</f>
        <v>0</v>
      </c>
      <c r="BO83" s="20">
        <f>IFERROR(VLOOKUP(Tabla1[[#This Row],[Llave]],'[13]Base ultimos planes'!$O:$AA,13,FALSE),0)</f>
        <v>24491</v>
      </c>
      <c r="BP83" s="20"/>
      <c r="BQ83" s="20">
        <f>+Tabla1[[#This Row],[ RV  Venta mes n+1]]*(1-Tabla1[[#This Row],[% Uti. producción]])</f>
        <v>11941.723270735894</v>
      </c>
      <c r="BR83" s="100"/>
    </row>
    <row r="84" spans="1:70" ht="16" x14ac:dyDescent="0.2">
      <c r="A84">
        <v>1</v>
      </c>
      <c r="B84" t="str">
        <f>Tabla1[[#This Row],[Oficina]]&amp;Tabla1[[#This Row],[Material]]</f>
        <v>Agrosuper Asia1021156</v>
      </c>
      <c r="C84" t="s">
        <v>6</v>
      </c>
      <c r="D84" t="s">
        <v>173</v>
      </c>
      <c r="E84">
        <v>1021156</v>
      </c>
      <c r="F84" t="s">
        <v>179</v>
      </c>
      <c r="G84" t="s">
        <v>92</v>
      </c>
      <c r="H84" t="s">
        <v>93</v>
      </c>
      <c r="I84" s="7">
        <f>IFERROR(VLOOKUP(Tabla1[[#This Row],[Llave]],'[7]RV Producción'!$C:$G,5,FALSE),0)</f>
        <v>37553</v>
      </c>
      <c r="J84" s="3">
        <f>IFERROR(IF(Tabla1[[#This Row],[Oficina]]=$I$7,VLOOKUP(Tabla1[[#This Row],[Llave]],'[7]Shangai (Tomas)'!$A:$F,6,FALSE),VLOOKUP(Tabla1[[#This Row],[Llave]],'[7]RV plan de ventas'!$A:$E,5,FALSE)),0)</f>
        <v>24000</v>
      </c>
      <c r="K84" s="8">
        <f>IFERROR(VLOOKUP(Tabla1[[#This Row],[Oficina]],[15]Ponderación!$B$2:$E$9,4,FALSE),0)</f>
        <v>0.45719439678473212</v>
      </c>
      <c r="L84" s="7">
        <f>+Tabla1[[#This Row],[ RV Producción mes n+1]]*Tabla1[[#This Row],[% Uti. producción]]</f>
        <v>17169.021182457043</v>
      </c>
      <c r="M84" s="7">
        <f>IFERROR(VLOOKUP(Tabla1[[#This Row],[Material]],'[17]TD Stock'!$E:$I,5,FALSE),0)</f>
        <v>19999.97</v>
      </c>
      <c r="N84" s="7">
        <f>IFERROR(VLOOKUP(Tabla1[[#This Row],[Material]],[16]Produccion!$M:$N,2,FALSE),0)</f>
        <v>454</v>
      </c>
      <c r="O84" s="7">
        <f>IFERROR(VLOOKUP(Tabla1[[#This Row],[Llave]],'[16]TD Conf-AP'!$I:$M,4,FALSE),0)</f>
        <v>0</v>
      </c>
      <c r="P84" s="14">
        <f>SUM(Tabla1[[#This Row],[Producción disponible]],Tabla1[[#This Row],[Stock al día]],(Tabla1[[#This Row],[Por producir mes N]]*0.9))-Tabla1[[#This Row],[Producción por despachar mes N]]</f>
        <v>37577.591182457043</v>
      </c>
      <c r="Q84" s="7">
        <f>IFERROR(VLOOKUP(Tabla1[[#This Row],[Llave]],[17]DELAY!$A:$D,4,FALSE),0)</f>
        <v>24000</v>
      </c>
      <c r="R84" s="9">
        <v>23000</v>
      </c>
      <c r="S84" s="5">
        <f t="shared" si="30"/>
        <v>24000</v>
      </c>
      <c r="T84" s="76">
        <v>0</v>
      </c>
      <c r="U84" s="5">
        <f>+Tabla1[[#This Row],[Atraso a facturar]]+Tabla1[[#This Row],[Ajuste atraso]]</f>
        <v>24000</v>
      </c>
      <c r="V84" s="3">
        <f>+Tabla1[[#This Row],[Total disponible]]-Tabla1[[#This Row],[Facturación atraso]]</f>
        <v>13577.591182457043</v>
      </c>
      <c r="W84" s="6">
        <f>IFERROR(IF(AND(V84&gt;R84,J84&gt;=R84),ROUNDDOWN((Tabla1[[#This Row],[Producción para venta nueva]])/R84,0)*R84,0),0)</f>
        <v>0</v>
      </c>
      <c r="X84" s="76">
        <v>0</v>
      </c>
      <c r="Y84" s="6">
        <f>IF(Tabla1[[#This Row],[Venta del mes]]&gt;0,Tabla1[[#This Row],[Venta del mes]]+Tabla1[[#This Row],[Ajuste venta nueva]],0)</f>
        <v>0</v>
      </c>
      <c r="Z84" s="6">
        <f>+Tabla1[[#This Row],[Producción para venta nueva]]-Tabla1[[#This Row],[Facturación Venta nueva]]</f>
        <v>13577.591182457043</v>
      </c>
      <c r="AA84" s="6">
        <f>IF(AND(A84=1,Tabla1[[#This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4" s="6"/>
      <c r="AC84" s="6">
        <f>IF(Tabla1[[#This Row],[Disponible stock sin venta]]&gt;0,Tabla1[[#This Row],[Disponible stock sin venta]]+Tabla1[[#This Row],[Ajuste stock sin venta]],0)</f>
        <v>0</v>
      </c>
      <c r="AD84" s="3">
        <f>IFERROR(VLOOKUP(Tabla1[[#This Row],[Llave]],'[16]TD Puerto'!$A:$D,4,FALSE),0)</f>
        <v>0</v>
      </c>
      <c r="AE84" s="3">
        <v>24000</v>
      </c>
      <c r="AF84" s="3">
        <f>+Tabla1[[#This Row],[Atraso a facturar]]+Tabla1[[#This Row],[Venta del mes]]+Tabla1[[#This Row],[En puerto a facturar]]+Tabla1[[#This Row],[Disponible stock sin venta]]</f>
        <v>24000</v>
      </c>
      <c r="AG84" s="3">
        <f>+Tabla1[[#This Row],[En puerto a facturar]]</f>
        <v>0</v>
      </c>
      <c r="AH84" s="3">
        <f>+Tabla1[[#This Row],[Facturación atraso]]</f>
        <v>24000</v>
      </c>
      <c r="AI84" s="3">
        <f>+Tabla1[[#This Row],[Plan Irrestricto]]-Tabla1[[#This Row],[Puerto ]]-Tabla1[[#This Row],[Atraso]]</f>
        <v>0</v>
      </c>
      <c r="AJ84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84" s="3">
        <f>+Tabla1[[#This Row],[Facturación atraso]]</f>
        <v>24000</v>
      </c>
      <c r="AL84" s="3">
        <f>+Tabla1[[#This Row],[Plan Ajustado]]-Tabla1[[#This Row],[ Atraso ajustado]]-Tabla1[[#This Row],[Puerto ]]</f>
        <v>0</v>
      </c>
      <c r="AM84" s="3">
        <v>0</v>
      </c>
      <c r="AN84" s="3" t="str">
        <f>IF(Tabla1[[#This Row],[Plan Ajustado]]&gt;Tabla1[[#This Row],[En puerto a facturar]],"Si","No")</f>
        <v>Si</v>
      </c>
      <c r="AO84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84" s="3">
        <f>IF(Tabla1[[#This Row],[Necesidad]]&gt;=Tabla1[[#This Row],[Stock al día]],Tabla1[[#This Row],[Stock al día]],Tabla1[[#This Row],[Necesidad]])</f>
        <v>19999.97</v>
      </c>
      <c r="AQ84" s="3">
        <f>+Tabla1[[#This Row],[Necesidad]]-Tabla1[[#This Row],[Stock Plan]]</f>
        <v>4000.0299999999988</v>
      </c>
      <c r="AR84" s="156">
        <f>IFERROR(VLOOKUP(Tabla1[[#This Row],[Oficina]],[22]Ponderación!$B$3:$G$9,6,FALSE),"")</f>
        <v>44754</v>
      </c>
      <c r="AS8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2.57</v>
      </c>
      <c r="AT84" s="83">
        <f>IFERROR(VLOOKUP(Tabla1[[#This Row],[Llave]],[17]DELAY!$H:$W,16,FALSE),0)</f>
        <v>2.9</v>
      </c>
      <c r="AU8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2.9</v>
      </c>
      <c r="AV84" s="5">
        <f>+Tabla1[[#This Row],[Plan Ajustado]]*Tabla1[[#This Row],[Precio ponderado]]</f>
        <v>69600</v>
      </c>
      <c r="AW84" s="30">
        <f>IFERROR(VLOOKUP(Tabla1[[#This Row],[Llave]],'[13]Ultimos precios facturados'!$A:$G,7,FALSE),0)</f>
        <v>2.7171174416666668</v>
      </c>
      <c r="AX8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6.7307564821767085E-2</v>
      </c>
      <c r="AY84" s="30"/>
      <c r="AZ84" s="30">
        <f>IF(Tabla1[[#This Row],[Ajuste precio IC]]="",Tabla1[[#This Row],[Precio ponderado]],Tabla1[[#This Row],[Precio ponderado]])</f>
        <v>2.9</v>
      </c>
      <c r="BA84" s="82"/>
      <c r="BB84" s="82" t="str">
        <f>IF(AND(Tabla1[[#This Row],[Atraso a facturar]]&gt;0,Tabla1[[#This Row],[Precio Atraso]]=0),"Revisar","OK")</f>
        <v>OK</v>
      </c>
      <c r="BC84" s="82" t="str">
        <f>IF(AND(Tabla1[[#This Row],[Venta del mes]]&gt;0,Tabla1[[#This Row],[Precio venta nueva]]=0),"Revisar","OK")</f>
        <v>OK</v>
      </c>
      <c r="BD84" s="20">
        <f>IFERROR(VLOOKUP(Tabla1[[#This Row],[Llave]],'[5]Consolidación planes'!$A:$M,9,FALSE),0)</f>
        <v>46000</v>
      </c>
      <c r="BE84" s="20">
        <f>IFERROR(VLOOKUP(Tabla1[[#This Row],[Llave]],'[5]Consolidación planes'!$A:$M,10,FALSE),0)</f>
        <v>72000</v>
      </c>
      <c r="BF84" s="20">
        <f>IFERROR(VLOOKUP(Tabla1[[#This Row],[Llave]],'[5]Consolidación planes'!$A:$M,11,FALSE),0)</f>
        <v>7000</v>
      </c>
      <c r="BG84" s="20">
        <f>IFERROR(VLOOKUP(Tabla1[[#This Row],[Llave]],'[5]Consolidación planes'!$A:$M,12,FALSE),0)</f>
        <v>14000</v>
      </c>
      <c r="BH84" s="20">
        <f>IFERROR(VLOOKUP(Tabla1[[#This Row],[Llave]],'[5]Consolidación planes'!$A:$M,13,FALSE),0)</f>
        <v>24000</v>
      </c>
      <c r="BI84" s="20">
        <f>IFERROR(VLOOKUP(Tabla1[[#This Row],[Llave]],'[13]Base ultimos planes'!$A:$M,13,FALSE),0)</f>
        <v>24000</v>
      </c>
      <c r="BJ84" s="80">
        <f>IFERROR(VLOOKUP(Tabla1[[#This Row],[Llave]],'[13]Base ultimos planes'!$O:$AA,8,FALSE),0)</f>
        <v>134780</v>
      </c>
      <c r="BK84" s="20">
        <f>IFERROR(VLOOKUP(Tabla1[[#This Row],[Llave]],'[13]Base ultimos planes'!$O:$AA,9,FALSE),0)</f>
        <v>181080</v>
      </c>
      <c r="BL84" s="20">
        <f>IFERROR(VLOOKUP(Tabla1[[#This Row],[Llave]],'[13]Base ultimos planes'!$O:$AA,10,FALSE),0)</f>
        <v>17570</v>
      </c>
      <c r="BM84" s="20">
        <f>IFERROR(VLOOKUP(Tabla1[[#This Row],[Llave]],'[13]Base ultimos planes'!$O:$AA,11,FALSE),0)</f>
        <v>35840</v>
      </c>
      <c r="BN84" s="20">
        <f>IFERROR(VLOOKUP(Tabla1[[#This Row],[Llave]],'[13]Base ultimos planes'!$O:$AA,12,FALSE),0)</f>
        <v>86720</v>
      </c>
      <c r="BO84" s="20">
        <f>IFERROR(VLOOKUP(Tabla1[[#This Row],[Llave]],'[13]Base ultimos planes'!$O:$AA,13,FALSE),0)</f>
        <v>65716</v>
      </c>
      <c r="BP84" s="20"/>
      <c r="BQ84" s="20">
        <f>+Tabla1[[#This Row],[ RV  Venta mes n+1]]*(1-Tabla1[[#This Row],[% Uti. producción]])</f>
        <v>13027.334477166431</v>
      </c>
      <c r="BR84" s="100"/>
    </row>
    <row r="85" spans="1:70" ht="16" x14ac:dyDescent="0.2">
      <c r="A85">
        <v>1</v>
      </c>
      <c r="B85" t="str">
        <f>Tabla1[[#This Row],[Oficina]]&amp;Tabla1[[#This Row],[Material]]</f>
        <v>Agrosuper Asia1021204</v>
      </c>
      <c r="C85" t="s">
        <v>6</v>
      </c>
      <c r="D85" t="s">
        <v>173</v>
      </c>
      <c r="E85">
        <v>1021204</v>
      </c>
      <c r="F85" t="s">
        <v>49</v>
      </c>
      <c r="G85" t="s">
        <v>11</v>
      </c>
      <c r="H85" t="s">
        <v>15</v>
      </c>
      <c r="I85" s="7">
        <f>IFERROR(VLOOKUP(Tabla1[[#This Row],[Llave]],'[7]RV Producción'!$C:$G,5,FALSE),0)</f>
        <v>26980</v>
      </c>
      <c r="J85" s="3">
        <f>IFERROR(IF(Tabla1[[#This Row],[Oficina]]=$I$7,VLOOKUP(Tabla1[[#This Row],[Llave]],'[7]Shangai (Tomas)'!$A:$F,6,FALSE),VLOOKUP(Tabla1[[#This Row],[Llave]],'[7]RV plan de ventas'!$A:$E,5,FALSE)),0)</f>
        <v>48000</v>
      </c>
      <c r="K85" s="8">
        <f>IFERROR(VLOOKUP(Tabla1[[#This Row],[Oficina]],[15]Ponderación!$B$2:$E$9,4,FALSE),0)</f>
        <v>0.45719439678473212</v>
      </c>
      <c r="L85" s="7">
        <f>+Tabla1[[#This Row],[ RV Producción mes n+1]]*Tabla1[[#This Row],[% Uti. producción]]</f>
        <v>12335.104825252072</v>
      </c>
      <c r="M85" s="7">
        <f>IFERROR(VLOOKUP(Tabla1[[#This Row],[Material]],'[17]TD Stock'!$E:$I,5,FALSE),0)</f>
        <v>49961.05</v>
      </c>
      <c r="N85" s="7">
        <f>IFERROR(VLOOKUP(Tabla1[[#This Row],[Material]],[16]Produccion!$M:$N,2,FALSE),0)</f>
        <v>0</v>
      </c>
      <c r="O85" s="7">
        <f>IFERROR(VLOOKUP(Tabla1[[#This Row],[Llave]],'[16]TD Conf-AP'!$I:$M,4,FALSE),0)</f>
        <v>0</v>
      </c>
      <c r="P85" s="14">
        <f>SUM(Tabla1[[#This Row],[Producción disponible]],Tabla1[[#This Row],[Stock al día]],(Tabla1[[#This Row],[Por producir mes N]]*0.9))-Tabla1[[#This Row],[Producción por despachar mes N]]</f>
        <v>62296.154825252073</v>
      </c>
      <c r="Q85" s="7">
        <f>IFERROR(VLOOKUP(Tabla1[[#This Row],[Llave]],[17]DELAY!$A:$D,4,FALSE),0)</f>
        <v>24000</v>
      </c>
      <c r="R85" s="9">
        <v>24000</v>
      </c>
      <c r="S85" s="5">
        <f t="shared" si="30"/>
        <v>24000</v>
      </c>
      <c r="T85" s="76">
        <v>0</v>
      </c>
      <c r="U85" s="5">
        <f>+Tabla1[[#This Row],[Atraso a facturar]]+Tabla1[[#This Row],[Ajuste atraso]]</f>
        <v>24000</v>
      </c>
      <c r="V85" s="3">
        <f>+Tabla1[[#This Row],[Total disponible]]-Tabla1[[#This Row],[Facturación atraso]]</f>
        <v>38296.154825252073</v>
      </c>
      <c r="W85" s="6">
        <f>IFERROR(IF(AND(V85&gt;R85,J85&gt;=R85),ROUNDDOWN((Tabla1[[#This Row],[Producción para venta nueva]])/R85,0)*R85,0),0)</f>
        <v>24000</v>
      </c>
      <c r="X85" s="76">
        <v>-24000</v>
      </c>
      <c r="Y85" s="6">
        <f>IF(Tabla1[[#This Row],[Venta del mes]]&gt;0,Tabla1[[#This Row],[Venta del mes]]+Tabla1[[#This Row],[Ajuste venta nueva]],0)</f>
        <v>0</v>
      </c>
      <c r="Z85" s="6">
        <f>+Tabla1[[#This Row],[Producción para venta nueva]]-Tabla1[[#This Row],[Facturación Venta nueva]]</f>
        <v>38296.154825252073</v>
      </c>
      <c r="AA85" s="6">
        <f>IF(AND(A85=1,Tabla1[[#This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5" s="6"/>
      <c r="AC85" s="6">
        <f>IF(Tabla1[[#This Row],[Disponible stock sin venta]]&gt;0,Tabla1[[#This Row],[Disponible stock sin venta]]+Tabla1[[#This Row],[Ajuste stock sin venta]],0)</f>
        <v>0</v>
      </c>
      <c r="AD85" s="3">
        <f>IFERROR(VLOOKUP(Tabla1[[#This Row],[Llave]],'[16]TD Puerto'!$A:$D,4,FALSE),0)</f>
        <v>0</v>
      </c>
      <c r="AE85" s="3">
        <v>48000</v>
      </c>
      <c r="AF85" s="3">
        <f>+Tabla1[[#This Row],[Atraso a facturar]]+Tabla1[[#This Row],[Venta del mes]]+Tabla1[[#This Row],[En puerto a facturar]]+Tabla1[[#This Row],[Disponible stock sin venta]]</f>
        <v>48000</v>
      </c>
      <c r="AG85" s="3">
        <f>+Tabla1[[#This Row],[En puerto a facturar]]</f>
        <v>0</v>
      </c>
      <c r="AH85" s="3">
        <f>+Tabla1[[#This Row],[Facturación atraso]]</f>
        <v>24000</v>
      </c>
      <c r="AI85" s="3">
        <f>+Tabla1[[#This Row],[Plan Irrestricto]]-Tabla1[[#This Row],[Puerto ]]-Tabla1[[#This Row],[Atraso]]</f>
        <v>24000</v>
      </c>
      <c r="AJ85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85" s="3">
        <f>+Tabla1[[#This Row],[Facturación atraso]]</f>
        <v>24000</v>
      </c>
      <c r="AL85" s="3">
        <f>+Tabla1[[#This Row],[Plan Ajustado]]-Tabla1[[#This Row],[ Atraso ajustado]]-Tabla1[[#This Row],[Puerto ]]</f>
        <v>0</v>
      </c>
      <c r="AM85" s="3">
        <v>0</v>
      </c>
      <c r="AN85" s="3" t="str">
        <f>IF(Tabla1[[#This Row],[Plan Ajustado]]&gt;Tabla1[[#This Row],[En puerto a facturar]],"Si","No")</f>
        <v>Si</v>
      </c>
      <c r="AO85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85" s="3">
        <f>IF(Tabla1[[#This Row],[Necesidad]]&gt;=Tabla1[[#This Row],[Stock al día]],Tabla1[[#This Row],[Stock al día]],Tabla1[[#This Row],[Necesidad]])</f>
        <v>24000</v>
      </c>
      <c r="AQ85" s="3">
        <f>+Tabla1[[#This Row],[Necesidad]]-Tabla1[[#This Row],[Stock Plan]]</f>
        <v>0</v>
      </c>
      <c r="AR85" s="156">
        <f>IFERROR(VLOOKUP(Tabla1[[#This Row],[Oficina]],[22]Ponderación!$B$3:$G$9,6,FALSE),"")</f>
        <v>44754</v>
      </c>
      <c r="AS8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1.29</v>
      </c>
      <c r="AT85" s="83">
        <f>IFERROR(VLOOKUP(Tabla1[[#This Row],[Llave]],[17]DELAY!$H:$W,16,FALSE),0)</f>
        <v>1.4274512500000001</v>
      </c>
      <c r="AU8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1.4274512500000001</v>
      </c>
      <c r="AV85" s="5">
        <f>+Tabla1[[#This Row],[Plan Ajustado]]*Tabla1[[#This Row],[Precio ponderado]]</f>
        <v>34258.83</v>
      </c>
      <c r="AW85" s="30">
        <f>IFERROR(VLOOKUP(Tabla1[[#This Row],[Llave]],'[13]Ultimos precios facturados'!$A:$G,7,FALSE),0)</f>
        <v>1.3549024999999999</v>
      </c>
      <c r="AX8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5.3545365810455117E-2</v>
      </c>
      <c r="AY85" s="30"/>
      <c r="AZ85" s="30">
        <f>IF(Tabla1[[#This Row],[Ajuste precio IC]]="",Tabla1[[#This Row],[Precio ponderado]],Tabla1[[#This Row],[Precio ponderado]])</f>
        <v>1.4274512500000001</v>
      </c>
      <c r="BA85" s="82"/>
      <c r="BB85" s="82" t="str">
        <f>IF(AND(Tabla1[[#This Row],[Atraso a facturar]]&gt;0,Tabla1[[#This Row],[Precio Atraso]]=0),"Revisar","OK")</f>
        <v>OK</v>
      </c>
      <c r="BC85" s="82" t="str">
        <f>IF(AND(Tabla1[[#This Row],[Venta del mes]]&gt;0,Tabla1[[#This Row],[Precio venta nueva]]=0),"Revisar","OK")</f>
        <v>OK</v>
      </c>
      <c r="BD85" s="20">
        <f>IFERROR(VLOOKUP(Tabla1[[#This Row],[Llave]],'[5]Consolidación planes'!$A:$M,9,FALSE),0)</f>
        <v>24000</v>
      </c>
      <c r="BE85" s="20">
        <f>IFERROR(VLOOKUP(Tabla1[[#This Row],[Llave]],'[5]Consolidación planes'!$A:$M,10,FALSE),0)</f>
        <v>0</v>
      </c>
      <c r="BF85" s="20">
        <f>IFERROR(VLOOKUP(Tabla1[[#This Row],[Llave]],'[5]Consolidación planes'!$A:$M,11,FALSE),0)</f>
        <v>0</v>
      </c>
      <c r="BG85" s="20">
        <f>IFERROR(VLOOKUP(Tabla1[[#This Row],[Llave]],'[5]Consolidación planes'!$A:$M,12,FALSE),0)</f>
        <v>0</v>
      </c>
      <c r="BH85" s="20">
        <f>IFERROR(VLOOKUP(Tabla1[[#This Row],[Llave]],'[5]Consolidación planes'!$A:$M,13,FALSE),0)</f>
        <v>0</v>
      </c>
      <c r="BI85" s="20">
        <f>IFERROR(VLOOKUP(Tabla1[[#This Row],[Llave]],'[13]Base ultimos planes'!$A:$M,13,FALSE),0)</f>
        <v>24000</v>
      </c>
      <c r="BJ85" s="80">
        <f>IFERROR(VLOOKUP(Tabla1[[#This Row],[Llave]],'[13]Base ultimos planes'!$O:$AA,8,FALSE),0)</f>
        <v>32880</v>
      </c>
      <c r="BK85" s="20">
        <f>IFERROR(VLOOKUP(Tabla1[[#This Row],[Llave]],'[13]Base ultimos planes'!$O:$AA,9,FALSE),0)</f>
        <v>0</v>
      </c>
      <c r="BL85" s="20">
        <f>IFERROR(VLOOKUP(Tabla1[[#This Row],[Llave]],'[13]Base ultimos planes'!$O:$AA,10,FALSE),0)</f>
        <v>0</v>
      </c>
      <c r="BM85" s="20">
        <f>IFERROR(VLOOKUP(Tabla1[[#This Row],[Llave]],'[13]Base ultimos planes'!$O:$AA,11,FALSE),0)</f>
        <v>0</v>
      </c>
      <c r="BN85" s="20">
        <f>IFERROR(VLOOKUP(Tabla1[[#This Row],[Llave]],'[13]Base ultimos planes'!$O:$AA,12,FALSE),0)</f>
        <v>0</v>
      </c>
      <c r="BO85" s="20">
        <f>IFERROR(VLOOKUP(Tabla1[[#This Row],[Llave]],'[13]Base ultimos planes'!$O:$AA,13,FALSE),0)</f>
        <v>30925</v>
      </c>
      <c r="BP85" s="20"/>
      <c r="BQ85" s="20">
        <f>+Tabla1[[#This Row],[ RV  Venta mes n+1]]*(1-Tabla1[[#This Row],[% Uti. producción]])</f>
        <v>26054.668954332861</v>
      </c>
      <c r="BR85" s="100"/>
    </row>
    <row r="86" spans="1:70" ht="16" hidden="1" x14ac:dyDescent="0.2">
      <c r="A86">
        <v>1</v>
      </c>
      <c r="B86" t="str">
        <f>Tabla1[[#This Row],[Oficina]]&amp;Tabla1[[#This Row],[Material]]</f>
        <v>Agrosuper Asia1021470</v>
      </c>
      <c r="C86" t="s">
        <v>6</v>
      </c>
      <c r="D86" t="s">
        <v>173</v>
      </c>
      <c r="E86">
        <v>1021470</v>
      </c>
      <c r="F86" t="s">
        <v>196</v>
      </c>
      <c r="G86" t="s">
        <v>159</v>
      </c>
      <c r="H86" t="s">
        <v>160</v>
      </c>
      <c r="I86" s="7">
        <f>IFERROR(VLOOKUP(Tabla1[[#This Row],[Llave]],'[7]RV Producción'!$C:$G,5,FALSE),0)</f>
        <v>24543</v>
      </c>
      <c r="J86" s="3">
        <f>IFERROR(IF(Tabla1[[#This Row],[Oficina]]=$I$7,VLOOKUP(Tabla1[[#This Row],[Llave]],'[7]Shangai (Tomas)'!$A:$F,6,FALSE),VLOOKUP(Tabla1[[#This Row],[Llave]],'[7]RV plan de ventas'!$A:$E,5,FALSE)),0)</f>
        <v>22000</v>
      </c>
      <c r="K86" s="8">
        <f>IFERROR(VLOOKUP(Tabla1[[#This Row],[Oficina]],[15]Ponderación!$B$2:$E$9,4,FALSE),0)</f>
        <v>0.45719439678473212</v>
      </c>
      <c r="L86" s="7">
        <f>+Tabla1[[#This Row],[ RV Producción mes n+1]]*Tabla1[[#This Row],[% Uti. producción]]</f>
        <v>11220.922080287681</v>
      </c>
      <c r="M86" s="7">
        <f>IFERROR(VLOOKUP(Tabla1[[#This Row],[Material]],'[17]TD Stock'!$E:$I,5,FALSE),0)</f>
        <v>171.31099999999998</v>
      </c>
      <c r="N86" s="7">
        <f>IFERROR(VLOOKUP(Tabla1[[#This Row],[Material]],[16]Produccion!$M:$N,2,FALSE),0)</f>
        <v>0</v>
      </c>
      <c r="O86" s="7">
        <f>IFERROR(VLOOKUP(Tabla1[[#This Row],[Llave]],'[16]TD Conf-AP'!$I:$M,4,FALSE),0)</f>
        <v>0</v>
      </c>
      <c r="P86" s="14">
        <f>SUM(Tabla1[[#This Row],[Producción disponible]],Tabla1[[#This Row],[Stock al día]],(Tabla1[[#This Row],[Por producir mes N]]*0.9))-Tabla1[[#This Row],[Producción por despachar mes N]]</f>
        <v>11392.23308028768</v>
      </c>
      <c r="Q86" s="7">
        <f>IFERROR(VLOOKUP(Tabla1[[#This Row],[Llave]],[17]DELAY!$A:$D,4,FALSE),0)</f>
        <v>22000</v>
      </c>
      <c r="R86" s="9">
        <v>22000</v>
      </c>
      <c r="S86" s="5">
        <f t="shared" si="30"/>
        <v>0</v>
      </c>
      <c r="T86" s="76">
        <v>0</v>
      </c>
      <c r="U86" s="5">
        <f>+Tabla1[[#This Row],[Atraso a facturar]]+Tabla1[[#This Row],[Ajuste atraso]]</f>
        <v>0</v>
      </c>
      <c r="V86" s="3">
        <f>+Tabla1[[#This Row],[Total disponible]]-Tabla1[[#This Row],[Facturación atraso]]</f>
        <v>11392.23308028768</v>
      </c>
      <c r="W86" s="6">
        <f>IFERROR(IF(AND(V86&gt;R86,J86&gt;=R86),ROUNDDOWN((Tabla1[[#This Row],[Producción para venta nueva]])/R86,0)*R86,0),0)</f>
        <v>0</v>
      </c>
      <c r="X86" s="76">
        <v>0</v>
      </c>
      <c r="Y86" s="6">
        <f>IF(Tabla1[[#This Row],[Venta del mes]]&gt;0,Tabla1[[#This Row],[Venta del mes]]+Tabla1[[#This Row],[Ajuste venta nueva]],0)</f>
        <v>0</v>
      </c>
      <c r="Z86" s="6">
        <f>+Tabla1[[#This Row],[Producción para venta nueva]]-Tabla1[[#This Row],[Facturación Venta nueva]]</f>
        <v>11392.23308028768</v>
      </c>
      <c r="AA86" s="6">
        <f>IF(AND(A86=1,Tabla1[[#This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6" s="6"/>
      <c r="AC86" s="6">
        <f>IF(Tabla1[[#This Row],[Disponible stock sin venta]]&gt;0,Tabla1[[#This Row],[Disponible stock sin venta]]+Tabla1[[#This Row],[Ajuste stock sin venta]],0)</f>
        <v>0</v>
      </c>
      <c r="AD86" s="3">
        <f>IFERROR(VLOOKUP(Tabla1[[#This Row],[Llave]],'[16]TD Puerto'!$A:$D,4,FALSE),0)</f>
        <v>0</v>
      </c>
      <c r="AE86" s="3">
        <v>0</v>
      </c>
      <c r="AF86" s="3">
        <f>+Tabla1[[#This Row],[Atraso a facturar]]+Tabla1[[#This Row],[Venta del mes]]+Tabla1[[#This Row],[En puerto a facturar]]+Tabla1[[#This Row],[Disponible stock sin venta]]</f>
        <v>0</v>
      </c>
      <c r="AG86" s="3">
        <f>+Tabla1[[#This Row],[En puerto a facturar]]</f>
        <v>0</v>
      </c>
      <c r="AH86" s="3">
        <f>+Tabla1[[#This Row],[Facturación atraso]]</f>
        <v>0</v>
      </c>
      <c r="AI86" s="3">
        <f>+Tabla1[[#This Row],[Plan Irrestricto]]-Tabla1[[#This Row],[Puerto ]]-Tabla1[[#This Row],[Atraso]]</f>
        <v>0</v>
      </c>
      <c r="AJ8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86" s="3">
        <f>+Tabla1[[#This Row],[Facturación atraso]]</f>
        <v>0</v>
      </c>
      <c r="AL86" s="3">
        <f>+Tabla1[[#This Row],[Plan Ajustado]]-Tabla1[[#This Row],[ Atraso ajustado]]-Tabla1[[#This Row],[Puerto ]]</f>
        <v>0</v>
      </c>
      <c r="AM86" s="3">
        <v>0</v>
      </c>
      <c r="AN86" s="3" t="str">
        <f>IF(Tabla1[[#This Row],[Plan Ajustado]]&gt;Tabla1[[#This Row],[En puerto a facturar]],"Si","No")</f>
        <v>No</v>
      </c>
      <c r="AO8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86" s="3">
        <f>IF(Tabla1[[#This Row],[Necesidad]]&gt;=Tabla1[[#This Row],[Stock al día]],Tabla1[[#This Row],[Stock al día]],Tabla1[[#This Row],[Necesidad]])</f>
        <v>0</v>
      </c>
      <c r="AQ86" s="3">
        <f>+Tabla1[[#This Row],[Necesidad]]-Tabla1[[#This Row],[Stock Plan]]</f>
        <v>0</v>
      </c>
      <c r="AR86" s="156">
        <f>IFERROR(VLOOKUP(Tabla1[[#This Row],[Oficina]],[22]Ponderación!$B$3:$G$9,6,FALSE),"")</f>
        <v>44754</v>
      </c>
      <c r="AS8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1.32</v>
      </c>
      <c r="AT86" s="83">
        <f>IFERROR(VLOOKUP(Tabla1[[#This Row],[Llave]],[17]DELAY!$H:$W,16,FALSE),0)</f>
        <v>1.6</v>
      </c>
      <c r="AU8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86" s="5">
        <f>+Tabla1[[#This Row],[Plan Ajustado]]*Tabla1[[#This Row],[Precio ponderado]]</f>
        <v>0</v>
      </c>
      <c r="AW86" s="30">
        <f>IFERROR(VLOOKUP(Tabla1[[#This Row],[Llave]],'[13]Ultimos precios facturados'!$A:$G,7,FALSE),0)</f>
        <v>1.7281294102637377</v>
      </c>
      <c r="AX8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86" s="30"/>
      <c r="AZ86" s="30">
        <f>IF(Tabla1[[#This Row],[Ajuste precio IC]]="",Tabla1[[#This Row],[Precio ponderado]],Tabla1[[#This Row],[Precio ponderado]])</f>
        <v>0</v>
      </c>
      <c r="BA86" s="82"/>
      <c r="BB86" s="82" t="str">
        <f>IF(AND(Tabla1[[#This Row],[Atraso a facturar]]&gt;0,Tabla1[[#This Row],[Precio Atraso]]=0),"Revisar","OK")</f>
        <v>OK</v>
      </c>
      <c r="BC86" s="82" t="str">
        <f>IF(AND(Tabla1[[#This Row],[Venta del mes]]&gt;0,Tabla1[[#This Row],[Precio venta nueva]]=0),"Revisar","OK")</f>
        <v>OK</v>
      </c>
      <c r="BD86" s="20">
        <f>IFERROR(VLOOKUP(Tabla1[[#This Row],[Llave]],'[5]Consolidación planes'!$A:$M,9,FALSE),0)</f>
        <v>22000</v>
      </c>
      <c r="BE86" s="20">
        <f>IFERROR(VLOOKUP(Tabla1[[#This Row],[Llave]],'[5]Consolidación planes'!$A:$M,10,FALSE),0)</f>
        <v>22000</v>
      </c>
      <c r="BF86" s="20">
        <f>IFERROR(VLOOKUP(Tabla1[[#This Row],[Llave]],'[5]Consolidación planes'!$A:$M,11,FALSE),0)</f>
        <v>0</v>
      </c>
      <c r="BG86" s="20">
        <f>IFERROR(VLOOKUP(Tabla1[[#This Row],[Llave]],'[5]Consolidación planes'!$A:$M,12,FALSE),0)</f>
        <v>22000</v>
      </c>
      <c r="BH86" s="20">
        <f>IFERROR(VLOOKUP(Tabla1[[#This Row],[Llave]],'[5]Consolidación planes'!$A:$M,13,FALSE),0)</f>
        <v>0</v>
      </c>
      <c r="BI86" s="20">
        <f>IFERROR(VLOOKUP(Tabla1[[#This Row],[Llave]],'[13]Base ultimos planes'!$A:$M,13,FALSE),0)</f>
        <v>22000</v>
      </c>
      <c r="BJ86" s="80">
        <f>IFERROR(VLOOKUP(Tabla1[[#This Row],[Llave]],'[13]Base ultimos planes'!$O:$AA,8,FALSE),0)</f>
        <v>41800</v>
      </c>
      <c r="BK86" s="20">
        <f>IFERROR(VLOOKUP(Tabla1[[#This Row],[Llave]],'[13]Base ultimos planes'!$O:$AA,9,FALSE),0)</f>
        <v>45540</v>
      </c>
      <c r="BL86" s="20">
        <f>IFERROR(VLOOKUP(Tabla1[[#This Row],[Llave]],'[13]Base ultimos planes'!$O:$AA,10,FALSE),0)</f>
        <v>0</v>
      </c>
      <c r="BM86" s="20">
        <f>IFERROR(VLOOKUP(Tabla1[[#This Row],[Llave]],'[13]Base ultimos planes'!$O:$AA,11,FALSE),0)</f>
        <v>39600</v>
      </c>
      <c r="BN86" s="20">
        <f>IFERROR(VLOOKUP(Tabla1[[#This Row],[Llave]],'[13]Base ultimos planes'!$O:$AA,12,FALSE),0)</f>
        <v>0</v>
      </c>
      <c r="BO86" s="20">
        <f>IFERROR(VLOOKUP(Tabla1[[#This Row],[Llave]],'[13]Base ultimos planes'!$O:$AA,13,FALSE),0)</f>
        <v>36511</v>
      </c>
      <c r="BP86" s="20"/>
      <c r="BQ86" s="20">
        <f>+Tabla1[[#This Row],[ RV  Venta mes n+1]]*(1-Tabla1[[#This Row],[% Uti. producción]])</f>
        <v>11941.723270735894</v>
      </c>
      <c r="BR86" s="100"/>
    </row>
    <row r="87" spans="1:70" ht="16" x14ac:dyDescent="0.2">
      <c r="A87">
        <v>1</v>
      </c>
      <c r="B87" t="str">
        <f>Tabla1[[#This Row],[Oficina]]&amp;Tabla1[[#This Row],[Material]]</f>
        <v>Agrosuper Asia1021655</v>
      </c>
      <c r="C87" t="s">
        <v>6</v>
      </c>
      <c r="D87" t="s">
        <v>173</v>
      </c>
      <c r="E87">
        <v>1021655</v>
      </c>
      <c r="F87" t="s">
        <v>326</v>
      </c>
      <c r="G87" t="s">
        <v>76</v>
      </c>
      <c r="H87" t="s">
        <v>84</v>
      </c>
      <c r="I87" s="7">
        <f>IFERROR(VLOOKUP(Tabla1[[#This Row],[Llave]],'[7]RV Producción'!$C:$G,5,FALSE),0)</f>
        <v>0</v>
      </c>
      <c r="J87" s="3">
        <f>IFERROR(IF(Tabla1[[#This Row],[Oficina]]=$I$7,VLOOKUP(Tabla1[[#This Row],[Llave]],'[7]Shangai (Tomas)'!$A:$F,6,FALSE),VLOOKUP(Tabla1[[#This Row],[Llave]],'[7]RV plan de ventas'!$A:$E,5,FALSE)),0)</f>
        <v>0</v>
      </c>
      <c r="K87" s="8">
        <f>IFERROR(VLOOKUP(Tabla1[[#This Row],[Oficina]],[15]Ponderación!$B$2:$E$9,4,FALSE),0)</f>
        <v>0.45719439678473212</v>
      </c>
      <c r="L87" s="7">
        <f>+Tabla1[[#This Row],[ RV Producción mes n+1]]*Tabla1[[#This Row],[% Uti. producción]]</f>
        <v>0</v>
      </c>
      <c r="M87" s="7">
        <f>IFERROR(VLOOKUP(Tabla1[[#This Row],[Material]],'[17]TD Stock'!$E:$I,5,FALSE),0)</f>
        <v>25800.35</v>
      </c>
      <c r="N87" s="7">
        <f>IFERROR(VLOOKUP(Tabla1[[#This Row],[Material]],[16]Produccion!$M:$N,2,FALSE),0)</f>
        <v>10000</v>
      </c>
      <c r="O87" s="7">
        <f>IFERROR(VLOOKUP(Tabla1[[#This Row],[Llave]],'[16]TD Conf-AP'!$I:$M,4,FALSE),0)</f>
        <v>0</v>
      </c>
      <c r="P87" s="14">
        <f>SUM(Tabla1[[#This Row],[Producción disponible]],Tabla1[[#This Row],[Stock al día]],(Tabla1[[#This Row],[Por producir mes N]]*0.9))-Tabla1[[#This Row],[Producción por despachar mes N]]</f>
        <v>34800.35</v>
      </c>
      <c r="Q87" s="7">
        <f>IFERROR(VLOOKUP(Tabla1[[#This Row],[Llave]],[17]DELAY!$A:$D,4,FALSE),0)</f>
        <v>24000</v>
      </c>
      <c r="R87" s="9">
        <v>24000</v>
      </c>
      <c r="S87" s="5">
        <f t="shared" si="30"/>
        <v>24000</v>
      </c>
      <c r="T87" s="76">
        <v>0</v>
      </c>
      <c r="U87" s="5">
        <f>+Tabla1[[#This Row],[Atraso a facturar]]+Tabla1[[#This Row],[Ajuste atraso]]</f>
        <v>24000</v>
      </c>
      <c r="V87" s="3">
        <f>+Tabla1[[#This Row],[Total disponible]]-Tabla1[[#This Row],[Facturación atraso]]</f>
        <v>10800.349999999999</v>
      </c>
      <c r="W87" s="6">
        <f>IFERROR(IF(AND(V87&gt;R87,J87&gt;=R87),ROUNDDOWN((Tabla1[[#This Row],[Producción para venta nueva]])/R87,0)*R87,0),0)</f>
        <v>0</v>
      </c>
      <c r="X87" s="76">
        <v>0</v>
      </c>
      <c r="Y87" s="6">
        <f>IF(Tabla1[[#This Row],[Venta del mes]]&gt;0,Tabla1[[#This Row],[Venta del mes]]+Tabla1[[#This Row],[Ajuste venta nueva]],0)</f>
        <v>0</v>
      </c>
      <c r="Z87" s="6">
        <f>+Tabla1[[#This Row],[Producción para venta nueva]]-Tabla1[[#This Row],[Facturación Venta nueva]]</f>
        <v>10800.349999999999</v>
      </c>
      <c r="AA87" s="6">
        <f>IF(AND(A87=1,Tabla1[[#This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7" s="6"/>
      <c r="AC87" s="6">
        <f>IF(Tabla1[[#This Row],[Disponible stock sin venta]]&gt;0,Tabla1[[#This Row],[Disponible stock sin venta]]+Tabla1[[#This Row],[Ajuste stock sin venta]],0)</f>
        <v>0</v>
      </c>
      <c r="AD87" s="3">
        <f>IFERROR(VLOOKUP(Tabla1[[#This Row],[Llave]],'[16]TD Puerto'!$A:$D,4,FALSE),0)</f>
        <v>0</v>
      </c>
      <c r="AE87" s="3">
        <v>24000</v>
      </c>
      <c r="AF87" s="3">
        <f>+Tabla1[[#This Row],[Atraso a facturar]]+Tabla1[[#This Row],[Venta del mes]]+Tabla1[[#This Row],[En puerto a facturar]]+Tabla1[[#This Row],[Disponible stock sin venta]]</f>
        <v>24000</v>
      </c>
      <c r="AG87" s="3">
        <f>+Tabla1[[#This Row],[En puerto a facturar]]</f>
        <v>0</v>
      </c>
      <c r="AH87" s="3">
        <f>+Tabla1[[#This Row],[Facturación atraso]]</f>
        <v>24000</v>
      </c>
      <c r="AI87" s="3">
        <f>+Tabla1[[#This Row],[Plan Irrestricto]]-Tabla1[[#This Row],[Puerto ]]-Tabla1[[#This Row],[Atraso]]</f>
        <v>0</v>
      </c>
      <c r="AJ87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87" s="3">
        <f>+Tabla1[[#This Row],[Facturación atraso]]</f>
        <v>24000</v>
      </c>
      <c r="AL87" s="3">
        <f>+Tabla1[[#This Row],[Plan Ajustado]]-Tabla1[[#This Row],[ Atraso ajustado]]-Tabla1[[#This Row],[Puerto ]]</f>
        <v>0</v>
      </c>
      <c r="AM87" s="3">
        <v>0</v>
      </c>
      <c r="AN87" s="3" t="str">
        <f>IF(Tabla1[[#This Row],[Plan Ajustado]]&gt;Tabla1[[#This Row],[En puerto a facturar]],"Si","No")</f>
        <v>Si</v>
      </c>
      <c r="AO87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87" s="3">
        <f>IF(Tabla1[[#This Row],[Necesidad]]&gt;=Tabla1[[#This Row],[Stock al día]],Tabla1[[#This Row],[Stock al día]],Tabla1[[#This Row],[Necesidad]])</f>
        <v>24000</v>
      </c>
      <c r="AQ87" s="3">
        <f>+Tabla1[[#This Row],[Necesidad]]-Tabla1[[#This Row],[Stock Plan]]</f>
        <v>0</v>
      </c>
      <c r="AR87" s="156">
        <f>IFERROR(VLOOKUP(Tabla1[[#This Row],[Oficina]],[22]Ponderación!$B$3:$G$9,6,FALSE),"")</f>
        <v>44754</v>
      </c>
      <c r="AS8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1.8645504166666667</v>
      </c>
      <c r="AT87" s="83">
        <f>IFERROR(VLOOKUP(Tabla1[[#This Row],[Llave]],[17]DELAY!$H:$W,16,FALSE),0)</f>
        <v>1.86455041666667</v>
      </c>
      <c r="AU8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1.86455041666667</v>
      </c>
      <c r="AV87" s="5">
        <f>+Tabla1[[#This Row],[Plan Ajustado]]*Tabla1[[#This Row],[Precio ponderado]]</f>
        <v>44749.210000000079</v>
      </c>
      <c r="AW87" s="30">
        <f>IFERROR(VLOOKUP(Tabla1[[#This Row],[Llave]],'[13]Ultimos precios facturados'!$A:$G,7,FALSE),0)</f>
        <v>1.8645504166666667</v>
      </c>
      <c r="AX8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1.7863121555221037E-15</v>
      </c>
      <c r="AY87" s="30"/>
      <c r="AZ87" s="30">
        <f>IF(Tabla1[[#This Row],[Ajuste precio IC]]="",Tabla1[[#This Row],[Precio ponderado]],Tabla1[[#This Row],[Precio ponderado]])</f>
        <v>1.86455041666667</v>
      </c>
      <c r="BA87" s="82"/>
      <c r="BB87" s="82" t="str">
        <f>IF(AND(Tabla1[[#This Row],[Atraso a facturar]]&gt;0,Tabla1[[#This Row],[Precio Atraso]]=0),"Revisar","OK")</f>
        <v>OK</v>
      </c>
      <c r="BC87" s="82" t="str">
        <f>IF(AND(Tabla1[[#This Row],[Venta del mes]]&gt;0,Tabla1[[#This Row],[Precio venta nueva]]=0),"Revisar","OK")</f>
        <v>OK</v>
      </c>
      <c r="BD87" s="20">
        <f>IFERROR(VLOOKUP(Tabla1[[#This Row],[Llave]],'[5]Consolidación planes'!$A:$M,9,FALSE),0)</f>
        <v>0</v>
      </c>
      <c r="BE87" s="20">
        <f>IFERROR(VLOOKUP(Tabla1[[#This Row],[Llave]],'[5]Consolidación planes'!$A:$M,10,FALSE),0)</f>
        <v>0</v>
      </c>
      <c r="BF87" s="20">
        <f>IFERROR(VLOOKUP(Tabla1[[#This Row],[Llave]],'[5]Consolidación planes'!$A:$M,11,FALSE),0)</f>
        <v>0</v>
      </c>
      <c r="BG87" s="20">
        <f>IFERROR(VLOOKUP(Tabla1[[#This Row],[Llave]],'[5]Consolidación planes'!$A:$M,12,FALSE),0)</f>
        <v>0</v>
      </c>
      <c r="BH87" s="20">
        <f>IFERROR(VLOOKUP(Tabla1[[#This Row],[Llave]],'[5]Consolidación planes'!$A:$M,13,FALSE),0)</f>
        <v>48000</v>
      </c>
      <c r="BI87" s="20">
        <f>IFERROR(VLOOKUP(Tabla1[[#This Row],[Llave]],'[13]Base ultimos planes'!$A:$M,13,FALSE),0)</f>
        <v>24000</v>
      </c>
      <c r="BJ87" s="80">
        <f>IFERROR(VLOOKUP(Tabla1[[#This Row],[Llave]],'[13]Base ultimos planes'!$O:$AA,8,FALSE),0)</f>
        <v>0</v>
      </c>
      <c r="BK87" s="20">
        <f>IFERROR(VLOOKUP(Tabla1[[#This Row],[Llave]],'[13]Base ultimos planes'!$O:$AA,9,FALSE),0)</f>
        <v>0</v>
      </c>
      <c r="BL87" s="20">
        <f>IFERROR(VLOOKUP(Tabla1[[#This Row],[Llave]],'[13]Base ultimos planes'!$O:$AA,10,FALSE),0)</f>
        <v>0</v>
      </c>
      <c r="BM87" s="20">
        <f>IFERROR(VLOOKUP(Tabla1[[#This Row],[Llave]],'[13]Base ultimos planes'!$O:$AA,11,FALSE),0)</f>
        <v>0</v>
      </c>
      <c r="BN87" s="20">
        <f>IFERROR(VLOOKUP(Tabla1[[#This Row],[Llave]],'[13]Base ultimos planes'!$O:$AA,12,FALSE),0)</f>
        <v>96000</v>
      </c>
      <c r="BO87" s="20">
        <f>IFERROR(VLOOKUP(Tabla1[[#This Row],[Llave]],'[13]Base ultimos planes'!$O:$AA,13,FALSE),0)</f>
        <v>46375</v>
      </c>
      <c r="BP87" s="20"/>
      <c r="BQ87" s="20">
        <f>+Tabla1[[#This Row],[ RV  Venta mes n+1]]*(1-Tabla1[[#This Row],[% Uti. producción]])</f>
        <v>0</v>
      </c>
      <c r="BR87" s="100"/>
    </row>
    <row r="88" spans="1:70" ht="16" x14ac:dyDescent="0.2">
      <c r="A88">
        <v>1</v>
      </c>
      <c r="B88" t="str">
        <f>Tabla1[[#This Row],[Oficina]]&amp;Tabla1[[#This Row],[Material]]</f>
        <v>Agrosuper Asia1021664</v>
      </c>
      <c r="C88" t="s">
        <v>6</v>
      </c>
      <c r="D88" t="s">
        <v>173</v>
      </c>
      <c r="E88">
        <v>1021664</v>
      </c>
      <c r="F88" t="s">
        <v>174</v>
      </c>
      <c r="G88" t="s">
        <v>25</v>
      </c>
      <c r="H88" t="s">
        <v>26</v>
      </c>
      <c r="I88" s="7">
        <f>IFERROR(VLOOKUP(Tabla1[[#This Row],[Llave]],'[7]RV Producción'!$C:$G,5,FALSE),0)</f>
        <v>0</v>
      </c>
      <c r="J88" s="3">
        <f>IFERROR(IF(Tabla1[[#This Row],[Oficina]]=$I$7,VLOOKUP(Tabla1[[#This Row],[Llave]],'[7]Shangai (Tomas)'!$A:$F,6,FALSE),VLOOKUP(Tabla1[[#This Row],[Llave]],'[7]RV plan de ventas'!$A:$E,5,FALSE)),0)</f>
        <v>0</v>
      </c>
      <c r="K88" s="8">
        <f>IFERROR(VLOOKUP(Tabla1[[#This Row],[Oficina]],[15]Ponderación!$B$2:$E$9,4,FALSE),0)</f>
        <v>0.45719439678473212</v>
      </c>
      <c r="L88" s="7">
        <f>+Tabla1[[#This Row],[ RV Producción mes n+1]]*Tabla1[[#This Row],[% Uti. producción]]</f>
        <v>0</v>
      </c>
      <c r="M88" s="7">
        <f>IFERROR(VLOOKUP(Tabla1[[#This Row],[Material]],'[17]TD Stock'!$E:$I,5,FALSE),0)</f>
        <v>24334.135999999999</v>
      </c>
      <c r="N88" s="7">
        <f>IFERROR(VLOOKUP(Tabla1[[#This Row],[Material]],[16]Produccion!$M:$N,2,FALSE),0)</f>
        <v>0</v>
      </c>
      <c r="O88" s="7">
        <f>IFERROR(VLOOKUP(Tabla1[[#This Row],[Llave]],'[16]TD Conf-AP'!$I:$M,4,FALSE),0)</f>
        <v>0</v>
      </c>
      <c r="P88" s="14">
        <f>SUM(Tabla1[[#This Row],[Producción disponible]],Tabla1[[#This Row],[Stock al día]],(Tabla1[[#This Row],[Por producir mes N]]*0.9))-Tabla1[[#This Row],[Producción por despachar mes N]]</f>
        <v>24334.135999999999</v>
      </c>
      <c r="Q88" s="7">
        <f>IFERROR(VLOOKUP(Tabla1[[#This Row],[Llave]],[17]DELAY!$A:$D,4,FALSE),0)</f>
        <v>39000</v>
      </c>
      <c r="R88" s="9">
        <v>22000</v>
      </c>
      <c r="S88" s="5">
        <f t="shared" si="30"/>
        <v>22000</v>
      </c>
      <c r="T88" s="76">
        <v>0</v>
      </c>
      <c r="U88" s="5">
        <f>+Tabla1[[#This Row],[Atraso a facturar]]+Tabla1[[#This Row],[Ajuste atraso]]</f>
        <v>22000</v>
      </c>
      <c r="V88" s="3">
        <f>+Tabla1[[#This Row],[Total disponible]]-Tabla1[[#This Row],[Facturación atraso]]</f>
        <v>2334.1359999999986</v>
      </c>
      <c r="W88" s="6">
        <f>IFERROR(IF(AND(V88&gt;R88,J88&gt;=R88),ROUNDDOWN((Tabla1[[#This Row],[Producción para venta nueva]])/R88,0)*R88,0),0)</f>
        <v>0</v>
      </c>
      <c r="X88" s="76">
        <v>0</v>
      </c>
      <c r="Y88" s="6">
        <f>IF(Tabla1[[#This Row],[Venta del mes]]&gt;0,Tabla1[[#This Row],[Venta del mes]]+Tabla1[[#This Row],[Ajuste venta nueva]],0)</f>
        <v>0</v>
      </c>
      <c r="Z88" s="6">
        <f>+Tabla1[[#This Row],[Producción para venta nueva]]-Tabla1[[#This Row],[Facturación Venta nueva]]</f>
        <v>2334.1359999999986</v>
      </c>
      <c r="AA88" s="6">
        <f>IF(AND(A88=1,Tabla1[[#This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8" s="6"/>
      <c r="AC88" s="6">
        <f>IF(Tabla1[[#This Row],[Disponible stock sin venta]]&gt;0,Tabla1[[#This Row],[Disponible stock sin venta]]+Tabla1[[#This Row],[Ajuste stock sin venta]],0)</f>
        <v>0</v>
      </c>
      <c r="AD88" s="3">
        <f>IFERROR(VLOOKUP(Tabla1[[#This Row],[Llave]],'[16]TD Puerto'!$A:$D,4,FALSE),0)</f>
        <v>0</v>
      </c>
      <c r="AE88" s="3">
        <v>22000</v>
      </c>
      <c r="AF88" s="3">
        <f>+Tabla1[[#This Row],[Atraso a facturar]]+Tabla1[[#This Row],[Venta del mes]]+Tabla1[[#This Row],[En puerto a facturar]]+Tabla1[[#This Row],[Disponible stock sin venta]]</f>
        <v>22000</v>
      </c>
      <c r="AG88" s="3">
        <f>+Tabla1[[#This Row],[En puerto a facturar]]</f>
        <v>0</v>
      </c>
      <c r="AH88" s="3">
        <f>+Tabla1[[#This Row],[Facturación atraso]]</f>
        <v>22000</v>
      </c>
      <c r="AI88" s="3">
        <f>+Tabla1[[#This Row],[Plan Irrestricto]]-Tabla1[[#This Row],[Puerto ]]-Tabla1[[#This Row],[Atraso]]</f>
        <v>0</v>
      </c>
      <c r="AJ88" s="3">
        <f>IF(Tabla1[[#This Row],[Plan Irrestricto]]&gt;0,SUM(Tabla1[[#This Row],[Facturación atraso]],Tabla1[[#This Row],[Facturación Venta nueva]],Tabla1[[#This Row],[Facturación stock]],Tabla1[[#This Row],[En puerto a facturar]]),0)</f>
        <v>22000</v>
      </c>
      <c r="AK88" s="3">
        <f>+Tabla1[[#This Row],[Facturación atraso]]</f>
        <v>22000</v>
      </c>
      <c r="AL88" s="3">
        <f>+Tabla1[[#This Row],[Plan Ajustado]]-Tabla1[[#This Row],[ Atraso ajustado]]-Tabla1[[#This Row],[Puerto ]]</f>
        <v>0</v>
      </c>
      <c r="AM88" s="3">
        <v>0</v>
      </c>
      <c r="AN88" s="3" t="str">
        <f>IF(Tabla1[[#This Row],[Plan Ajustado]]&gt;Tabla1[[#This Row],[En puerto a facturar]],"Si","No")</f>
        <v>Si</v>
      </c>
      <c r="AO88" s="3">
        <f>IF(AND(Tabla1[[#This Row],[Plan Ajustado]]&gt;0,Tabla1[[#This Row],[Plan Ajustado]]&gt;Tabla1[[#This Row],[En puerto a facturar]]),(Tabla1[[#This Row],[Plan Ajustado]]-Tabla1[[#This Row],[En puerto a facturar]]),0)</f>
        <v>22000</v>
      </c>
      <c r="AP88" s="3">
        <f>IF(Tabla1[[#This Row],[Necesidad]]&gt;=Tabla1[[#This Row],[Stock al día]],Tabla1[[#This Row],[Stock al día]],Tabla1[[#This Row],[Necesidad]])</f>
        <v>22000</v>
      </c>
      <c r="AQ88" s="3">
        <f>+Tabla1[[#This Row],[Necesidad]]-Tabla1[[#This Row],[Stock Plan]]</f>
        <v>0</v>
      </c>
      <c r="AR88" s="156">
        <f>IFERROR(VLOOKUP(Tabla1[[#This Row],[Oficina]],[22]Ponderación!$B$3:$G$9,6,FALSE),"")</f>
        <v>44754</v>
      </c>
      <c r="AS8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5.5295502933023597</v>
      </c>
      <c r="AT88" s="83">
        <f>IFERROR(VLOOKUP(Tabla1[[#This Row],[Llave]],[17]DELAY!$H:$W,16,FALSE),0)</f>
        <v>5.7157179487179501</v>
      </c>
      <c r="AU8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5.7157179487179501</v>
      </c>
      <c r="AV88" s="5">
        <f>+Tabla1[[#This Row],[Plan Ajustado]]*Tabla1[[#This Row],[Precio ponderado]]</f>
        <v>125745.7948717949</v>
      </c>
      <c r="AW88" s="30">
        <f>IFERROR(VLOOKUP(Tabla1[[#This Row],[Llave]],'[13]Ultimos precios facturados'!$A:$G,7,FALSE),0)</f>
        <v>5.5295502933023597</v>
      </c>
      <c r="AX8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3.3667775052355541E-2</v>
      </c>
      <c r="AY88" s="30"/>
      <c r="AZ88" s="30">
        <f>IF(Tabla1[[#This Row],[Ajuste precio IC]]="",Tabla1[[#This Row],[Precio ponderado]],Tabla1[[#This Row],[Precio ponderado]])</f>
        <v>5.7157179487179501</v>
      </c>
      <c r="BA88" s="82"/>
      <c r="BB88" s="82" t="str">
        <f>IF(AND(Tabla1[[#This Row],[Atraso a facturar]]&gt;0,Tabla1[[#This Row],[Precio Atraso]]=0),"Revisar","OK")</f>
        <v>OK</v>
      </c>
      <c r="BC88" s="82" t="str">
        <f>IF(AND(Tabla1[[#This Row],[Venta del mes]]&gt;0,Tabla1[[#This Row],[Precio venta nueva]]=0),"Revisar","OK")</f>
        <v>OK</v>
      </c>
      <c r="BD88" s="20">
        <f>IFERROR(VLOOKUP(Tabla1[[#This Row],[Llave]],'[5]Consolidación planes'!$A:$M,9,FALSE),0)</f>
        <v>154000</v>
      </c>
      <c r="BE88" s="20">
        <f>IFERROR(VLOOKUP(Tabla1[[#This Row],[Llave]],'[5]Consolidación planes'!$A:$M,10,FALSE),0)</f>
        <v>66000</v>
      </c>
      <c r="BF88" s="20">
        <f>IFERROR(VLOOKUP(Tabla1[[#This Row],[Llave]],'[5]Consolidación planes'!$A:$M,11,FALSE),0)</f>
        <v>66000</v>
      </c>
      <c r="BG88" s="20">
        <f>IFERROR(VLOOKUP(Tabla1[[#This Row],[Llave]],'[5]Consolidación planes'!$A:$M,12,FALSE),0)</f>
        <v>66000</v>
      </c>
      <c r="BH88" s="20">
        <f>IFERROR(VLOOKUP(Tabla1[[#This Row],[Llave]],'[5]Consolidación planes'!$A:$M,13,FALSE),0)</f>
        <v>44000</v>
      </c>
      <c r="BI88" s="20">
        <f>IFERROR(VLOOKUP(Tabla1[[#This Row],[Llave]],'[13]Base ultimos planes'!$A:$M,13,FALSE),0)</f>
        <v>0</v>
      </c>
      <c r="BJ88" s="80">
        <f>IFERROR(VLOOKUP(Tabla1[[#This Row],[Llave]],'[13]Base ultimos planes'!$O:$AA,8,FALSE),0)</f>
        <v>927442.25</v>
      </c>
      <c r="BK88" s="20">
        <f>IFERROR(VLOOKUP(Tabla1[[#This Row],[Llave]],'[13]Base ultimos planes'!$O:$AA,9,FALSE),0)</f>
        <v>349140</v>
      </c>
      <c r="BL88" s="20">
        <f>IFERROR(VLOOKUP(Tabla1[[#This Row],[Llave]],'[13]Base ultimos planes'!$O:$AA,10,FALSE),0)</f>
        <v>364980</v>
      </c>
      <c r="BM88" s="20">
        <f>IFERROR(VLOOKUP(Tabla1[[#This Row],[Llave]],'[13]Base ultimos planes'!$O:$AA,11,FALSE),0)</f>
        <v>362785</v>
      </c>
      <c r="BN88" s="20">
        <f>IFERROR(VLOOKUP(Tabla1[[#This Row],[Llave]],'[13]Base ultimos planes'!$O:$AA,12,FALSE),0)</f>
        <v>242281</v>
      </c>
      <c r="BO88" s="20">
        <f>IFERROR(VLOOKUP(Tabla1[[#This Row],[Llave]],'[13]Base ultimos planes'!$O:$AA,13,FALSE),0)</f>
        <v>0</v>
      </c>
      <c r="BP88" s="20"/>
      <c r="BQ88" s="20">
        <f>+Tabla1[[#This Row],[ RV  Venta mes n+1]]*(1-Tabla1[[#This Row],[% Uti. producción]])</f>
        <v>0</v>
      </c>
      <c r="BR88" s="100"/>
    </row>
    <row r="89" spans="1:70" ht="16" hidden="1" x14ac:dyDescent="0.2">
      <c r="A89">
        <v>1</v>
      </c>
      <c r="B89" t="str">
        <f>Tabla1[[#This Row],[Oficina]]&amp;Tabla1[[#This Row],[Material]]</f>
        <v>Agrosuper Asia1021665</v>
      </c>
      <c r="C89" t="s">
        <v>6</v>
      </c>
      <c r="D89" t="s">
        <v>173</v>
      </c>
      <c r="E89">
        <v>1021665</v>
      </c>
      <c r="F89" t="s">
        <v>175</v>
      </c>
      <c r="G89" t="s">
        <v>25</v>
      </c>
      <c r="H89" t="s">
        <v>26</v>
      </c>
      <c r="I89" s="7">
        <f>IFERROR(VLOOKUP(Tabla1[[#This Row],[Llave]],'[7]RV Producción'!$C:$G,5,FALSE),0)</f>
        <v>0</v>
      </c>
      <c r="J89" s="3">
        <f>IFERROR(IF(Tabla1[[#This Row],[Oficina]]=$I$7,VLOOKUP(Tabla1[[#This Row],[Llave]],'[7]Shangai (Tomas)'!$A:$F,6,FALSE),VLOOKUP(Tabla1[[#This Row],[Llave]],'[7]RV plan de ventas'!$A:$E,5,FALSE)),0)</f>
        <v>0</v>
      </c>
      <c r="K89" s="8">
        <f>IFERROR(VLOOKUP(Tabla1[[#This Row],[Oficina]],[15]Ponderación!$B$2:$E$9,4,FALSE),0)</f>
        <v>0.45719439678473212</v>
      </c>
      <c r="L89" s="7">
        <f>+Tabla1[[#This Row],[ RV Producción mes n+1]]*Tabla1[[#This Row],[% Uti. producción]]</f>
        <v>0</v>
      </c>
      <c r="M89" s="7">
        <f>IFERROR(VLOOKUP(Tabla1[[#This Row],[Material]],'[17]TD Stock'!$E:$I,5,FALSE),0)</f>
        <v>2430.1260000000002</v>
      </c>
      <c r="N89" s="7">
        <f>IFERROR(VLOOKUP(Tabla1[[#This Row],[Material]],[16]Produccion!$M:$N,2,FALSE),0)</f>
        <v>0</v>
      </c>
      <c r="O89" s="7">
        <f>IFERROR(VLOOKUP(Tabla1[[#This Row],[Llave]],'[16]TD Conf-AP'!$I:$M,4,FALSE),0)</f>
        <v>0</v>
      </c>
      <c r="P89" s="14">
        <f>SUM(Tabla1[[#This Row],[Producción disponible]],Tabla1[[#This Row],[Stock al día]],(Tabla1[[#This Row],[Por producir mes N]]*0.9))-Tabla1[[#This Row],[Producción por despachar mes N]]</f>
        <v>2430.1260000000002</v>
      </c>
      <c r="Q89" s="7">
        <f>IFERROR(VLOOKUP(Tabla1[[#This Row],[Llave]],[17]DELAY!$A:$D,4,FALSE),0)</f>
        <v>0</v>
      </c>
      <c r="R89" s="9">
        <v>22000</v>
      </c>
      <c r="S89" s="5">
        <f t="shared" si="30"/>
        <v>0</v>
      </c>
      <c r="T89" s="76">
        <v>0</v>
      </c>
      <c r="U89" s="5">
        <f>+Tabla1[[#This Row],[Atraso a facturar]]+Tabla1[[#This Row],[Ajuste atraso]]</f>
        <v>0</v>
      </c>
      <c r="V89" s="3">
        <f>+Tabla1[[#This Row],[Total disponible]]-Tabla1[[#This Row],[Facturación atraso]]</f>
        <v>2430.1260000000002</v>
      </c>
      <c r="W89" s="6">
        <f>IFERROR(IF(AND(V89&gt;R89,J89&gt;=R89),ROUNDDOWN((Tabla1[[#This Row],[Producción para venta nueva]])/R89,0)*R89,0),0)</f>
        <v>0</v>
      </c>
      <c r="X89" s="76">
        <v>0</v>
      </c>
      <c r="Y89" s="6">
        <f>IF(Tabla1[[#This Row],[Venta del mes]]&gt;0,Tabla1[[#This Row],[Venta del mes]]+Tabla1[[#This Row],[Ajuste venta nueva]],0)</f>
        <v>0</v>
      </c>
      <c r="Z89" s="6">
        <f>+Tabla1[[#This Row],[Producción para venta nueva]]-Tabla1[[#This Row],[Facturación Venta nueva]]</f>
        <v>2430.1260000000002</v>
      </c>
      <c r="AA89" s="6">
        <f>IF(AND(A89=1,Tabla1[[#This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89" s="6"/>
      <c r="AC89" s="6">
        <f>IF(Tabla1[[#This Row],[Disponible stock sin venta]]&gt;0,Tabla1[[#This Row],[Disponible stock sin venta]]+Tabla1[[#This Row],[Ajuste stock sin venta]],0)</f>
        <v>0</v>
      </c>
      <c r="AD89" s="3">
        <f>IFERROR(VLOOKUP(Tabla1[[#This Row],[Llave]],'[16]TD Puerto'!$A:$D,4,FALSE),0)</f>
        <v>0</v>
      </c>
      <c r="AE89" s="3">
        <v>0</v>
      </c>
      <c r="AF89" s="3">
        <f>+Tabla1[[#This Row],[Atraso a facturar]]+Tabla1[[#This Row],[Venta del mes]]+Tabla1[[#This Row],[En puerto a facturar]]+Tabla1[[#This Row],[Disponible stock sin venta]]</f>
        <v>0</v>
      </c>
      <c r="AG89" s="3">
        <f>+Tabla1[[#This Row],[En puerto a facturar]]</f>
        <v>0</v>
      </c>
      <c r="AH89" s="3">
        <f>+Tabla1[[#This Row],[Facturación atraso]]</f>
        <v>0</v>
      </c>
      <c r="AI89" s="3">
        <f>+Tabla1[[#This Row],[Plan Irrestricto]]-Tabla1[[#This Row],[Puerto ]]-Tabla1[[#This Row],[Atraso]]</f>
        <v>0</v>
      </c>
      <c r="AJ8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89" s="3">
        <f>+Tabla1[[#This Row],[Facturación atraso]]</f>
        <v>0</v>
      </c>
      <c r="AL89" s="3">
        <f>+Tabla1[[#This Row],[Plan Ajustado]]-Tabla1[[#This Row],[ Atraso ajustado]]-Tabla1[[#This Row],[Puerto ]]</f>
        <v>0</v>
      </c>
      <c r="AM89" s="3">
        <v>0</v>
      </c>
      <c r="AN89" s="3" t="str">
        <f>IF(Tabla1[[#This Row],[Plan Ajustado]]&gt;Tabla1[[#This Row],[En puerto a facturar]],"Si","No")</f>
        <v>No</v>
      </c>
      <c r="AO8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89" s="3">
        <f>IF(Tabla1[[#This Row],[Necesidad]]&gt;=Tabla1[[#This Row],[Stock al día]],Tabla1[[#This Row],[Stock al día]],Tabla1[[#This Row],[Necesidad]])</f>
        <v>0</v>
      </c>
      <c r="AQ89" s="3">
        <f>+Tabla1[[#This Row],[Necesidad]]-Tabla1[[#This Row],[Stock Plan]]</f>
        <v>0</v>
      </c>
      <c r="AR89" s="156">
        <f>IFERROR(VLOOKUP(Tabla1[[#This Row],[Oficina]],[22]Ponderación!$B$3:$G$9,6,FALSE),"")</f>
        <v>44754</v>
      </c>
      <c r="AS8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5.4951879051817549</v>
      </c>
      <c r="AT89" s="83">
        <f>IFERROR(VLOOKUP(Tabla1[[#This Row],[Llave]],[17]DELAY!$H:$W,16,FALSE),0)</f>
        <v>0</v>
      </c>
      <c r="AU8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89" s="5">
        <f>+Tabla1[[#This Row],[Plan Ajustado]]*Tabla1[[#This Row],[Precio ponderado]]</f>
        <v>0</v>
      </c>
      <c r="AW89" s="30">
        <f>IFERROR(VLOOKUP(Tabla1[[#This Row],[Llave]],'[13]Ultimos precios facturados'!$A:$G,7,FALSE),0)</f>
        <v>5.4951879051817549</v>
      </c>
      <c r="AX8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89" s="30"/>
      <c r="AZ89" s="30">
        <f>IF(Tabla1[[#This Row],[Ajuste precio IC]]="",Tabla1[[#This Row],[Precio ponderado]],Tabla1[[#This Row],[Precio ponderado]])</f>
        <v>0</v>
      </c>
      <c r="BA89" s="82"/>
      <c r="BB89" s="82" t="str">
        <f>IF(AND(Tabla1[[#This Row],[Atraso a facturar]]&gt;0,Tabla1[[#This Row],[Precio Atraso]]=0),"Revisar","OK")</f>
        <v>OK</v>
      </c>
      <c r="BC89" s="82" t="str">
        <f>IF(AND(Tabla1[[#This Row],[Venta del mes]]&gt;0,Tabla1[[#This Row],[Precio venta nueva]]=0),"Revisar","OK")</f>
        <v>OK</v>
      </c>
      <c r="BD89" s="20">
        <f>IFERROR(VLOOKUP(Tabla1[[#This Row],[Llave]],'[5]Consolidación planes'!$A:$M,9,FALSE),0)</f>
        <v>44000</v>
      </c>
      <c r="BE89" s="20">
        <f>IFERROR(VLOOKUP(Tabla1[[#This Row],[Llave]],'[5]Consolidación planes'!$A:$M,10,FALSE),0)</f>
        <v>110000</v>
      </c>
      <c r="BF89" s="20">
        <f>IFERROR(VLOOKUP(Tabla1[[#This Row],[Llave]],'[5]Consolidación planes'!$A:$M,11,FALSE),0)</f>
        <v>44000</v>
      </c>
      <c r="BG89" s="20">
        <f>IFERROR(VLOOKUP(Tabla1[[#This Row],[Llave]],'[5]Consolidación planes'!$A:$M,12,FALSE),0)</f>
        <v>66000</v>
      </c>
      <c r="BH89" s="20">
        <f>IFERROR(VLOOKUP(Tabla1[[#This Row],[Llave]],'[5]Consolidación planes'!$A:$M,13,FALSE),0)</f>
        <v>44061</v>
      </c>
      <c r="BI89" s="20">
        <f>IFERROR(VLOOKUP(Tabla1[[#This Row],[Llave]],'[13]Base ultimos planes'!$A:$M,13,FALSE),0)</f>
        <v>21786</v>
      </c>
      <c r="BJ89" s="80">
        <f>IFERROR(VLOOKUP(Tabla1[[#This Row],[Llave]],'[13]Base ultimos planes'!$O:$AA,8,FALSE),0)</f>
        <v>265776</v>
      </c>
      <c r="BK89" s="20">
        <f>IFERROR(VLOOKUP(Tabla1[[#This Row],[Llave]],'[13]Base ultimos planes'!$O:$AA,9,FALSE),0)</f>
        <v>584650</v>
      </c>
      <c r="BL89" s="20">
        <f>IFERROR(VLOOKUP(Tabla1[[#This Row],[Llave]],'[13]Base ultimos planes'!$O:$AA,10,FALSE),0)</f>
        <v>243320</v>
      </c>
      <c r="BM89" s="20">
        <f>IFERROR(VLOOKUP(Tabla1[[#This Row],[Llave]],'[13]Base ultimos planes'!$O:$AA,11,FALSE),0)</f>
        <v>366571</v>
      </c>
      <c r="BN89" s="20">
        <f>IFERROR(VLOOKUP(Tabla1[[#This Row],[Llave]],'[13]Base ultimos planes'!$O:$AA,12,FALSE),0)</f>
        <v>243648</v>
      </c>
      <c r="BO89" s="20">
        <f>IFERROR(VLOOKUP(Tabla1[[#This Row],[Llave]],'[13]Base ultimos planes'!$O:$AA,13,FALSE),0)</f>
        <v>118940</v>
      </c>
      <c r="BP89" s="20"/>
      <c r="BQ89" s="20">
        <f>+Tabla1[[#This Row],[ RV  Venta mes n+1]]*(1-Tabla1[[#This Row],[% Uti. producción]])</f>
        <v>0</v>
      </c>
      <c r="BR89" s="100"/>
    </row>
    <row r="90" spans="1:70" ht="16" hidden="1" x14ac:dyDescent="0.2">
      <c r="A90">
        <v>1</v>
      </c>
      <c r="B90" t="str">
        <f>Tabla1[[#This Row],[Oficina]]&amp;Tabla1[[#This Row],[Material]]</f>
        <v>Agrosuper Asia1022182</v>
      </c>
      <c r="C90" t="s">
        <v>6</v>
      </c>
      <c r="D90" t="s">
        <v>173</v>
      </c>
      <c r="E90">
        <v>1022182</v>
      </c>
      <c r="F90" t="s">
        <v>22</v>
      </c>
      <c r="G90" t="s">
        <v>18</v>
      </c>
      <c r="H90" t="s">
        <v>21</v>
      </c>
      <c r="I90" s="7">
        <f>IFERROR(VLOOKUP(Tabla1[[#This Row],[Llave]],'[7]RV Producción'!$C:$G,5,FALSE),0)</f>
        <v>0</v>
      </c>
      <c r="J90" s="3">
        <f>IFERROR(IF(Tabla1[[#This Row],[Oficina]]=$I$7,VLOOKUP(Tabla1[[#This Row],[Llave]],'[7]Shangai (Tomas)'!$A:$F,6,FALSE),VLOOKUP(Tabla1[[#This Row],[Llave]],'[7]RV plan de ventas'!$A:$E,5,FALSE)),0)</f>
        <v>0</v>
      </c>
      <c r="K90" s="8">
        <f>IFERROR(VLOOKUP(Tabla1[[#This Row],[Oficina]],[15]Ponderación!$B$2:$E$9,4,FALSE),0)</f>
        <v>0.45719439678473212</v>
      </c>
      <c r="L90" s="7">
        <f>+Tabla1[[#This Row],[ RV Producción mes n+1]]*Tabla1[[#This Row],[% Uti. producción]]</f>
        <v>0</v>
      </c>
      <c r="M90" s="7">
        <f>IFERROR(VLOOKUP(Tabla1[[#This Row],[Material]],'[17]TD Stock'!$E:$I,5,FALSE),0)</f>
        <v>370</v>
      </c>
      <c r="N90" s="7">
        <f>IFERROR(VLOOKUP(Tabla1[[#This Row],[Material]],[16]Produccion!$M:$N,2,FALSE),0)</f>
        <v>0</v>
      </c>
      <c r="O90" s="7">
        <f>IFERROR(VLOOKUP(Tabla1[[#This Row],[Llave]],'[16]TD Conf-AP'!$I:$M,4,FALSE),0)</f>
        <v>0</v>
      </c>
      <c r="P90" s="14">
        <f>SUM(Tabla1[[#This Row],[Producción disponible]],Tabla1[[#This Row],[Stock al día]],(Tabla1[[#This Row],[Por producir mes N]]*0.9))-Tabla1[[#This Row],[Producción por despachar mes N]]</f>
        <v>370</v>
      </c>
      <c r="Q90" s="7">
        <f>IFERROR(VLOOKUP(Tabla1[[#This Row],[Llave]],[17]DELAY!$A:$D,4,FALSE),0)</f>
        <v>0</v>
      </c>
      <c r="R90" s="9">
        <v>22000</v>
      </c>
      <c r="S90" s="5">
        <f t="shared" si="30"/>
        <v>0</v>
      </c>
      <c r="T90" s="76">
        <v>0</v>
      </c>
      <c r="U90" s="5">
        <f>+Tabla1[[#This Row],[Atraso a facturar]]+Tabla1[[#This Row],[Ajuste atraso]]</f>
        <v>0</v>
      </c>
      <c r="V90" s="3">
        <f>+Tabla1[[#This Row],[Total disponible]]-Tabla1[[#This Row],[Facturación atraso]]</f>
        <v>370</v>
      </c>
      <c r="W90" s="6">
        <f>IFERROR(IF(AND(V90&gt;R90,J90&gt;=R90),ROUNDDOWN((Tabla1[[#This Row],[Producción para venta nueva]])/R90,0)*R90,0),0)</f>
        <v>0</v>
      </c>
      <c r="X90" s="76">
        <v>0</v>
      </c>
      <c r="Y90" s="6">
        <f>IF(Tabla1[[#This Row],[Venta del mes]]&gt;0,Tabla1[[#This Row],[Venta del mes]]+Tabla1[[#This Row],[Ajuste venta nueva]],0)</f>
        <v>0</v>
      </c>
      <c r="Z90" s="6">
        <f>+Tabla1[[#This Row],[Producción para venta nueva]]-Tabla1[[#This Row],[Facturación Venta nueva]]</f>
        <v>370</v>
      </c>
      <c r="AA90" s="6">
        <f>IF(AND(A90=1,Tabla1[[#This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0" s="6"/>
      <c r="AC90" s="6">
        <f>IF(Tabla1[[#This Row],[Disponible stock sin venta]]&gt;0,Tabla1[[#This Row],[Disponible stock sin venta]]+Tabla1[[#This Row],[Ajuste stock sin venta]],0)</f>
        <v>0</v>
      </c>
      <c r="AD90" s="3">
        <f>IFERROR(VLOOKUP(Tabla1[[#This Row],[Llave]],'[16]TD Puerto'!$A:$D,4,FALSE),0)</f>
        <v>0</v>
      </c>
      <c r="AE90" s="3">
        <v>0</v>
      </c>
      <c r="AF90" s="3">
        <f>+Tabla1[[#This Row],[Atraso a facturar]]+Tabla1[[#This Row],[Venta del mes]]+Tabla1[[#This Row],[En puerto a facturar]]+Tabla1[[#This Row],[Disponible stock sin venta]]</f>
        <v>0</v>
      </c>
      <c r="AG90" s="3">
        <f>+Tabla1[[#This Row],[En puerto a facturar]]</f>
        <v>0</v>
      </c>
      <c r="AH90" s="3">
        <f>+Tabla1[[#This Row],[Facturación atraso]]</f>
        <v>0</v>
      </c>
      <c r="AI90" s="3">
        <f>+Tabla1[[#This Row],[Plan Irrestricto]]-Tabla1[[#This Row],[Puerto ]]-Tabla1[[#This Row],[Atraso]]</f>
        <v>0</v>
      </c>
      <c r="AJ9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90" s="3">
        <f>+Tabla1[[#This Row],[Facturación atraso]]</f>
        <v>0</v>
      </c>
      <c r="AL90" s="3">
        <f>+Tabla1[[#This Row],[Plan Ajustado]]-Tabla1[[#This Row],[ Atraso ajustado]]-Tabla1[[#This Row],[Puerto ]]</f>
        <v>0</v>
      </c>
      <c r="AM90" s="3">
        <v>0</v>
      </c>
      <c r="AN90" s="3" t="str">
        <f>IF(Tabla1[[#This Row],[Plan Ajustado]]&gt;Tabla1[[#This Row],[En puerto a facturar]],"Si","No")</f>
        <v>No</v>
      </c>
      <c r="AO9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90" s="3">
        <f>IF(Tabla1[[#This Row],[Necesidad]]&gt;=Tabla1[[#This Row],[Stock al día]],Tabla1[[#This Row],[Stock al día]],Tabla1[[#This Row],[Necesidad]])</f>
        <v>0</v>
      </c>
      <c r="AQ90" s="3">
        <f>+Tabla1[[#This Row],[Necesidad]]-Tabla1[[#This Row],[Stock Plan]]</f>
        <v>0</v>
      </c>
      <c r="AR90" s="156">
        <f>IFERROR(VLOOKUP(Tabla1[[#This Row],[Oficina]],[22]Ponderación!$B$3:$G$9,6,FALSE),"")</f>
        <v>44754</v>
      </c>
      <c r="AS9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5.3605</v>
      </c>
      <c r="AT90" s="83">
        <f>IFERROR(VLOOKUP(Tabla1[[#This Row],[Llave]],[17]DELAY!$H:$W,16,FALSE),0)</f>
        <v>0</v>
      </c>
      <c r="AU9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90" s="5">
        <f>+Tabla1[[#This Row],[Plan Ajustado]]*Tabla1[[#This Row],[Precio ponderado]]</f>
        <v>0</v>
      </c>
      <c r="AW90" s="30">
        <f>IFERROR(VLOOKUP(Tabla1[[#This Row],[Llave]],'[13]Ultimos precios facturados'!$A:$G,7,FALSE),0)</f>
        <v>5.3605</v>
      </c>
      <c r="AX9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90" s="30"/>
      <c r="AZ90" s="30">
        <f>IF(Tabla1[[#This Row],[Ajuste precio IC]]="",Tabla1[[#This Row],[Precio ponderado]],Tabla1[[#This Row],[Precio ponderado]])</f>
        <v>0</v>
      </c>
      <c r="BA90" s="82"/>
      <c r="BB90" s="82" t="str">
        <f>IF(AND(Tabla1[[#This Row],[Atraso a facturar]]&gt;0,Tabla1[[#This Row],[Precio Atraso]]=0),"Revisar","OK")</f>
        <v>OK</v>
      </c>
      <c r="BC90" s="82" t="str">
        <f>IF(AND(Tabla1[[#This Row],[Venta del mes]]&gt;0,Tabla1[[#This Row],[Precio venta nueva]]=0),"Revisar","OK")</f>
        <v>OK</v>
      </c>
      <c r="BD90" s="20">
        <f>IFERROR(VLOOKUP(Tabla1[[#This Row],[Llave]],'[5]Consolidación planes'!$A:$M,9,FALSE),0)</f>
        <v>0</v>
      </c>
      <c r="BE90" s="20">
        <f>IFERROR(VLOOKUP(Tabla1[[#This Row],[Llave]],'[5]Consolidación planes'!$A:$M,10,FALSE),0)</f>
        <v>0</v>
      </c>
      <c r="BF90" s="20">
        <f>IFERROR(VLOOKUP(Tabla1[[#This Row],[Llave]],'[5]Consolidación planes'!$A:$M,11,FALSE),0)</f>
        <v>0</v>
      </c>
      <c r="BG90" s="20">
        <f>IFERROR(VLOOKUP(Tabla1[[#This Row],[Llave]],'[5]Consolidación planes'!$A:$M,12,FALSE),0)</f>
        <v>22000</v>
      </c>
      <c r="BH90" s="20">
        <f>IFERROR(VLOOKUP(Tabla1[[#This Row],[Llave]],'[5]Consolidación planes'!$A:$M,13,FALSE),0)</f>
        <v>0</v>
      </c>
      <c r="BI90" s="20">
        <f>IFERROR(VLOOKUP(Tabla1[[#This Row],[Llave]],'[13]Base ultimos planes'!$A:$M,13,FALSE),0)</f>
        <v>22000</v>
      </c>
      <c r="BJ90" s="80">
        <f>IFERROR(VLOOKUP(Tabla1[[#This Row],[Llave]],'[13]Base ultimos planes'!$O:$AA,8,FALSE),0)</f>
        <v>0</v>
      </c>
      <c r="BK90" s="20">
        <f>IFERROR(VLOOKUP(Tabla1[[#This Row],[Llave]],'[13]Base ultimos planes'!$O:$AA,9,FALSE),0)</f>
        <v>0</v>
      </c>
      <c r="BL90" s="20">
        <f>IFERROR(VLOOKUP(Tabla1[[#This Row],[Llave]],'[13]Base ultimos planes'!$O:$AA,10,FALSE),0)</f>
        <v>0</v>
      </c>
      <c r="BM90" s="20">
        <f>IFERROR(VLOOKUP(Tabla1[[#This Row],[Llave]],'[13]Base ultimos planes'!$O:$AA,11,FALSE),0)</f>
        <v>121000</v>
      </c>
      <c r="BN90" s="20">
        <f>IFERROR(VLOOKUP(Tabla1[[#This Row],[Llave]],'[13]Base ultimos planes'!$O:$AA,12,FALSE),0)</f>
        <v>0</v>
      </c>
      <c r="BO90" s="20">
        <f>IFERROR(VLOOKUP(Tabla1[[#This Row],[Llave]],'[13]Base ultimos planes'!$O:$AA,13,FALSE),0)</f>
        <v>116891</v>
      </c>
      <c r="BP90" s="20"/>
      <c r="BQ90" s="20">
        <f>+Tabla1[[#This Row],[ RV  Venta mes n+1]]*(1-Tabla1[[#This Row],[% Uti. producción]])</f>
        <v>0</v>
      </c>
      <c r="BR90" s="100"/>
    </row>
    <row r="91" spans="1:70" ht="16" x14ac:dyDescent="0.2">
      <c r="A91">
        <v>1</v>
      </c>
      <c r="B91" t="str">
        <f>Tabla1[[#This Row],[Oficina]]&amp;Tabla1[[#This Row],[Material]]</f>
        <v>Agrosuper Asia1022283</v>
      </c>
      <c r="C91" t="s">
        <v>6</v>
      </c>
      <c r="D91" t="s">
        <v>173</v>
      </c>
      <c r="E91">
        <v>1022283</v>
      </c>
      <c r="F91" t="s">
        <v>198</v>
      </c>
      <c r="G91" t="s">
        <v>134</v>
      </c>
      <c r="H91" t="s">
        <v>135</v>
      </c>
      <c r="I91" s="7">
        <f>IFERROR(VLOOKUP(Tabla1[[#This Row],[Llave]],'[7]RV Producción'!$C:$G,5,FALSE),0)</f>
        <v>0</v>
      </c>
      <c r="J91" s="3">
        <f>IFERROR(IF(Tabla1[[#This Row],[Oficina]]=$I$7,VLOOKUP(Tabla1[[#This Row],[Llave]],'[7]Shangai (Tomas)'!$A:$F,6,FALSE),VLOOKUP(Tabla1[[#This Row],[Llave]],'[7]RV plan de ventas'!$A:$E,5,FALSE)),0)</f>
        <v>0</v>
      </c>
      <c r="K91" s="8">
        <f>IFERROR(VLOOKUP(Tabla1[[#This Row],[Oficina]],[15]Ponderación!$B$2:$E$9,4,FALSE),0)</f>
        <v>0.45719439678473212</v>
      </c>
      <c r="L91" s="7">
        <f>+Tabla1[[#This Row],[ RV Producción mes n+1]]*Tabla1[[#This Row],[% Uti. producción]]</f>
        <v>0</v>
      </c>
      <c r="M91" s="7">
        <f>IFERROR(VLOOKUP(Tabla1[[#This Row],[Material]],'[17]TD Stock'!$E:$I,5,FALSE),0)</f>
        <v>8015.243999999997</v>
      </c>
      <c r="N91" s="7">
        <f>IFERROR(VLOOKUP(Tabla1[[#This Row],[Material]],[16]Produccion!$M:$N,2,FALSE),0)</f>
        <v>0</v>
      </c>
      <c r="O91" s="7">
        <f>IFERROR(VLOOKUP(Tabla1[[#This Row],[Llave]],'[16]TD Conf-AP'!$I:$M,4,FALSE),0)</f>
        <v>0</v>
      </c>
      <c r="P91" s="14">
        <f>SUM(Tabla1[[#This Row],[Producción disponible]],Tabla1[[#This Row],[Stock al día]],(Tabla1[[#This Row],[Por producir mes N]]*0.9))-Tabla1[[#This Row],[Producción por despachar mes N]]</f>
        <v>8015.243999999997</v>
      </c>
      <c r="Q91" s="7">
        <f>IFERROR(VLOOKUP(Tabla1[[#This Row],[Llave]],[17]DELAY!$A:$D,4,FALSE),0)</f>
        <v>5000</v>
      </c>
      <c r="R91" s="9">
        <v>5000</v>
      </c>
      <c r="S91" s="5">
        <f t="shared" si="30"/>
        <v>5000</v>
      </c>
      <c r="T91" s="76">
        <v>0</v>
      </c>
      <c r="U91" s="5">
        <f>+Tabla1[[#This Row],[Atraso a facturar]]+Tabla1[[#This Row],[Ajuste atraso]]</f>
        <v>5000</v>
      </c>
      <c r="V91" s="3">
        <f>+Tabla1[[#This Row],[Total disponible]]-Tabla1[[#This Row],[Facturación atraso]]</f>
        <v>3015.243999999997</v>
      </c>
      <c r="W91" s="6">
        <f>IFERROR(IF(AND(V91&gt;R91,J91&gt;=R91),ROUNDDOWN((Tabla1[[#This Row],[Producción para venta nueva]])/R91,0)*R91,0),0)</f>
        <v>0</v>
      </c>
      <c r="X91" s="76">
        <v>0</v>
      </c>
      <c r="Y91" s="6">
        <f>IF(Tabla1[[#This Row],[Venta del mes]]&gt;0,Tabla1[[#This Row],[Venta del mes]]+Tabla1[[#This Row],[Ajuste venta nueva]],0)</f>
        <v>0</v>
      </c>
      <c r="Z91" s="6">
        <f>+Tabla1[[#This Row],[Producción para venta nueva]]-Tabla1[[#This Row],[Facturación Venta nueva]]</f>
        <v>3015.243999999997</v>
      </c>
      <c r="AA91" s="6">
        <f>IF(AND(A91=1,Tabla1[[#This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1" s="6"/>
      <c r="AC91" s="6">
        <f>IF(Tabla1[[#This Row],[Disponible stock sin venta]]&gt;0,Tabla1[[#This Row],[Disponible stock sin venta]]+Tabla1[[#This Row],[Ajuste stock sin venta]],0)</f>
        <v>0</v>
      </c>
      <c r="AD91" s="3">
        <f>IFERROR(VLOOKUP(Tabla1[[#This Row],[Llave]],'[16]TD Puerto'!$A:$D,4,FALSE),0)</f>
        <v>0</v>
      </c>
      <c r="AE91" s="3">
        <v>5000</v>
      </c>
      <c r="AF91" s="3">
        <f>+Tabla1[[#This Row],[Atraso a facturar]]+Tabla1[[#This Row],[Venta del mes]]+Tabla1[[#This Row],[En puerto a facturar]]+Tabla1[[#This Row],[Disponible stock sin venta]]</f>
        <v>5000</v>
      </c>
      <c r="AG91" s="3">
        <f>+Tabla1[[#This Row],[En puerto a facturar]]</f>
        <v>0</v>
      </c>
      <c r="AH91" s="3">
        <f>+Tabla1[[#This Row],[Facturación atraso]]</f>
        <v>5000</v>
      </c>
      <c r="AI91" s="3">
        <f>+Tabla1[[#This Row],[Plan Irrestricto]]-Tabla1[[#This Row],[Puerto ]]-Tabla1[[#This Row],[Atraso]]</f>
        <v>0</v>
      </c>
      <c r="AJ91" s="3">
        <f>IF(Tabla1[[#This Row],[Plan Irrestricto]]&gt;0,SUM(Tabla1[[#This Row],[Facturación atraso]],Tabla1[[#This Row],[Facturación Venta nueva]],Tabla1[[#This Row],[Facturación stock]],Tabla1[[#This Row],[En puerto a facturar]]),0)</f>
        <v>5000</v>
      </c>
      <c r="AK91" s="3">
        <f>+Tabla1[[#This Row],[Facturación atraso]]</f>
        <v>5000</v>
      </c>
      <c r="AL91" s="3">
        <f>+Tabla1[[#This Row],[Plan Ajustado]]-Tabla1[[#This Row],[ Atraso ajustado]]-Tabla1[[#This Row],[Puerto ]]</f>
        <v>0</v>
      </c>
      <c r="AM91" s="3">
        <v>0</v>
      </c>
      <c r="AN91" s="3" t="str">
        <f>IF(Tabla1[[#This Row],[Plan Ajustado]]&gt;Tabla1[[#This Row],[En puerto a facturar]],"Si","No")</f>
        <v>Si</v>
      </c>
      <c r="AO91" s="3">
        <f>IF(AND(Tabla1[[#This Row],[Plan Ajustado]]&gt;0,Tabla1[[#This Row],[Plan Ajustado]]&gt;Tabla1[[#This Row],[En puerto a facturar]]),(Tabla1[[#This Row],[Plan Ajustado]]-Tabla1[[#This Row],[En puerto a facturar]]),0)</f>
        <v>5000</v>
      </c>
      <c r="AP91" s="3">
        <f>IF(Tabla1[[#This Row],[Necesidad]]&gt;=Tabla1[[#This Row],[Stock al día]],Tabla1[[#This Row],[Stock al día]],Tabla1[[#This Row],[Necesidad]])</f>
        <v>5000</v>
      </c>
      <c r="AQ91" s="3">
        <f>+Tabla1[[#This Row],[Necesidad]]-Tabla1[[#This Row],[Stock Plan]]</f>
        <v>0</v>
      </c>
      <c r="AR91" s="156">
        <f>IFERROR(VLOOKUP(Tabla1[[#This Row],[Oficina]],[22]Ponderación!$B$3:$G$9,6,FALSE),"")</f>
        <v>44754</v>
      </c>
      <c r="AS9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5.7817064004038814</v>
      </c>
      <c r="AT91" s="83">
        <f>IFERROR(VLOOKUP(Tabla1[[#This Row],[Llave]],[17]DELAY!$H:$W,16,FALSE),0)</f>
        <v>6.5</v>
      </c>
      <c r="AU9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6.5</v>
      </c>
      <c r="AV91" s="5">
        <f>+Tabla1[[#This Row],[Plan Ajustado]]*Tabla1[[#This Row],[Precio ponderado]]</f>
        <v>32500</v>
      </c>
      <c r="AW91" s="30">
        <f>IFERROR(VLOOKUP(Tabla1[[#This Row],[Llave]],'[13]Ultimos precios facturados'!$A:$G,7,FALSE),0)</f>
        <v>5.7817064004038814</v>
      </c>
      <c r="AX9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0.12423557162050673</v>
      </c>
      <c r="AY91" s="30"/>
      <c r="AZ91" s="30">
        <f>IF(Tabla1[[#This Row],[Ajuste precio IC]]="",Tabla1[[#This Row],[Precio ponderado]],Tabla1[[#This Row],[Precio ponderado]])</f>
        <v>6.5</v>
      </c>
      <c r="BA91" s="82"/>
      <c r="BB91" s="82" t="str">
        <f>IF(AND(Tabla1[[#This Row],[Atraso a facturar]]&gt;0,Tabla1[[#This Row],[Precio Atraso]]=0),"Revisar","OK")</f>
        <v>OK</v>
      </c>
      <c r="BC91" s="82" t="str">
        <f>IF(AND(Tabla1[[#This Row],[Venta del mes]]&gt;0,Tabla1[[#This Row],[Precio venta nueva]]=0),"Revisar","OK")</f>
        <v>OK</v>
      </c>
      <c r="BD91" s="20">
        <f>IFERROR(VLOOKUP(Tabla1[[#This Row],[Llave]],'[5]Consolidación planes'!$A:$M,9,FALSE),0)</f>
        <v>11000</v>
      </c>
      <c r="BE91" s="20">
        <f>IFERROR(VLOOKUP(Tabla1[[#This Row],[Llave]],'[5]Consolidación planes'!$A:$M,10,FALSE),0)</f>
        <v>9000</v>
      </c>
      <c r="BF91" s="20">
        <f>IFERROR(VLOOKUP(Tabla1[[#This Row],[Llave]],'[5]Consolidación planes'!$A:$M,11,FALSE),0)</f>
        <v>0</v>
      </c>
      <c r="BG91" s="20">
        <f>IFERROR(VLOOKUP(Tabla1[[#This Row],[Llave]],'[5]Consolidación planes'!$A:$M,12,FALSE),0)</f>
        <v>5000</v>
      </c>
      <c r="BH91" s="20">
        <f>IFERROR(VLOOKUP(Tabla1[[#This Row],[Llave]],'[5]Consolidación planes'!$A:$M,13,FALSE),0)</f>
        <v>6000</v>
      </c>
      <c r="BI91" s="20">
        <f>IFERROR(VLOOKUP(Tabla1[[#This Row],[Llave]],'[13]Base ultimos planes'!$A:$M,13,FALSE),0)</f>
        <v>10000</v>
      </c>
      <c r="BJ91" s="80">
        <f>IFERROR(VLOOKUP(Tabla1[[#This Row],[Llave]],'[13]Base ultimos planes'!$O:$AA,8,FALSE),0)</f>
        <v>62981.599999999999</v>
      </c>
      <c r="BK91" s="20">
        <f>IFERROR(VLOOKUP(Tabla1[[#This Row],[Llave]],'[13]Base ultimos planes'!$O:$AA,9,FALSE),0)</f>
        <v>48600</v>
      </c>
      <c r="BL91" s="20">
        <f>IFERROR(VLOOKUP(Tabla1[[#This Row],[Llave]],'[13]Base ultimos planes'!$O:$AA,10,FALSE),0)</f>
        <v>0</v>
      </c>
      <c r="BM91" s="20">
        <f>IFERROR(VLOOKUP(Tabla1[[#This Row],[Llave]],'[13]Base ultimos planes'!$O:$AA,11,FALSE),0)</f>
        <v>28500</v>
      </c>
      <c r="BN91" s="20">
        <f>IFERROR(VLOOKUP(Tabla1[[#This Row],[Llave]],'[13]Base ultimos planes'!$O:$AA,12,FALSE),0)</f>
        <v>32760</v>
      </c>
      <c r="BO91" s="20">
        <f>IFERROR(VLOOKUP(Tabla1[[#This Row],[Llave]],'[13]Base ultimos planes'!$O:$AA,13,FALSE),0)</f>
        <v>60298</v>
      </c>
      <c r="BP91" s="20"/>
      <c r="BQ91" s="20">
        <f>+Tabla1[[#This Row],[ RV  Venta mes n+1]]*(1-Tabla1[[#This Row],[% Uti. producción]])</f>
        <v>0</v>
      </c>
      <c r="BR91" s="100"/>
    </row>
    <row r="92" spans="1:70" ht="16" x14ac:dyDescent="0.2">
      <c r="A92">
        <v>1</v>
      </c>
      <c r="B92" t="str">
        <f>Tabla1[[#This Row],[Oficina]]&amp;Tabla1[[#This Row],[Material]]</f>
        <v>Agrosuper Asia1022607</v>
      </c>
      <c r="C92" t="s">
        <v>6</v>
      </c>
      <c r="D92" t="s">
        <v>173</v>
      </c>
      <c r="E92">
        <v>1022607</v>
      </c>
      <c r="F92" t="s">
        <v>200</v>
      </c>
      <c r="G92" t="s">
        <v>134</v>
      </c>
      <c r="H92" t="s">
        <v>199</v>
      </c>
      <c r="I92" s="7">
        <f>IFERROR(VLOOKUP(Tabla1[[#This Row],[Llave]],'[7]RV Producción'!$C:$G,5,FALSE),0)</f>
        <v>27461</v>
      </c>
      <c r="J92" s="3">
        <f>IFERROR(IF(Tabla1[[#This Row],[Oficina]]=$I$7,VLOOKUP(Tabla1[[#This Row],[Llave]],'[7]Shangai (Tomas)'!$A:$F,6,FALSE),VLOOKUP(Tabla1[[#This Row],[Llave]],'[7]RV plan de ventas'!$A:$E,5,FALSE)),0)</f>
        <v>22000</v>
      </c>
      <c r="K92" s="8">
        <f>IFERROR(VLOOKUP(Tabla1[[#This Row],[Oficina]],[15]Ponderación!$B$2:$E$9,4,FALSE),0)</f>
        <v>0.45719439678473212</v>
      </c>
      <c r="L92" s="7">
        <f>+Tabla1[[#This Row],[ RV Producción mes n+1]]*Tabla1[[#This Row],[% Uti. producción]]</f>
        <v>12555.015330105529</v>
      </c>
      <c r="M92" s="7">
        <f>IFERROR(VLOOKUP(Tabla1[[#This Row],[Material]],'[17]TD Stock'!$E:$I,5,FALSE),0)</f>
        <v>15860.777000000004</v>
      </c>
      <c r="N92" s="7">
        <f>IFERROR(VLOOKUP(Tabla1[[#This Row],[Material]],[16]Produccion!$M:$N,2,FALSE),0)</f>
        <v>6809</v>
      </c>
      <c r="O92" s="7">
        <f>IFERROR(VLOOKUP(Tabla1[[#This Row],[Llave]],'[16]TD Conf-AP'!$I:$M,4,FALSE),0)</f>
        <v>0</v>
      </c>
      <c r="P92" s="14">
        <f>SUM(Tabla1[[#This Row],[Producción disponible]],Tabla1[[#This Row],[Stock al día]],(Tabla1[[#This Row],[Por producir mes N]]*0.9))-Tabla1[[#This Row],[Producción por despachar mes N]]</f>
        <v>34543.892330105533</v>
      </c>
      <c r="Q92" s="7">
        <f>IFERROR(VLOOKUP(Tabla1[[#This Row],[Llave]],[17]DELAY!$A:$D,4,FALSE),0)</f>
        <v>22000</v>
      </c>
      <c r="R92" s="9">
        <v>22000</v>
      </c>
      <c r="S92" s="5">
        <f t="shared" si="30"/>
        <v>22000</v>
      </c>
      <c r="T92" s="76">
        <v>0</v>
      </c>
      <c r="U92" s="5">
        <f>+Tabla1[[#This Row],[Atraso a facturar]]+Tabla1[[#This Row],[Ajuste atraso]]</f>
        <v>22000</v>
      </c>
      <c r="V92" s="3">
        <f>+Tabla1[[#This Row],[Total disponible]]-Tabla1[[#This Row],[Facturación atraso]]</f>
        <v>12543.892330105533</v>
      </c>
      <c r="W92" s="6">
        <f>IFERROR(IF(AND(V92&gt;R92,J92&gt;=R92),ROUNDDOWN((Tabla1[[#This Row],[Producción para venta nueva]])/R92,0)*R92,0),0)</f>
        <v>0</v>
      </c>
      <c r="X92" s="76">
        <v>0</v>
      </c>
      <c r="Y92" s="6">
        <f>IF(Tabla1[[#This Row],[Venta del mes]]&gt;0,Tabla1[[#This Row],[Venta del mes]]+Tabla1[[#This Row],[Ajuste venta nueva]],0)</f>
        <v>0</v>
      </c>
      <c r="Z92" s="6">
        <f>+Tabla1[[#This Row],[Producción para venta nueva]]-Tabla1[[#This Row],[Facturación Venta nueva]]</f>
        <v>12543.892330105533</v>
      </c>
      <c r="AA92" s="6">
        <f>IF(AND(A92=1,Tabla1[[#This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2" s="6"/>
      <c r="AC92" s="6">
        <f>IF(Tabla1[[#This Row],[Disponible stock sin venta]]&gt;0,Tabla1[[#This Row],[Disponible stock sin venta]]+Tabla1[[#This Row],[Ajuste stock sin venta]],0)</f>
        <v>0</v>
      </c>
      <c r="AD92" s="3">
        <f>IFERROR(VLOOKUP(Tabla1[[#This Row],[Llave]],'[16]TD Puerto'!$A:$D,4,FALSE),0)</f>
        <v>0</v>
      </c>
      <c r="AE92" s="3">
        <v>22000</v>
      </c>
      <c r="AF92" s="3">
        <f>+Tabla1[[#This Row],[Atraso a facturar]]+Tabla1[[#This Row],[Venta del mes]]+Tabla1[[#This Row],[En puerto a facturar]]+Tabla1[[#This Row],[Disponible stock sin venta]]</f>
        <v>22000</v>
      </c>
      <c r="AG92" s="3">
        <f>+Tabla1[[#This Row],[En puerto a facturar]]</f>
        <v>0</v>
      </c>
      <c r="AH92" s="3">
        <f>+Tabla1[[#This Row],[Facturación atraso]]</f>
        <v>22000</v>
      </c>
      <c r="AI92" s="3">
        <f>+Tabla1[[#This Row],[Plan Irrestricto]]-Tabla1[[#This Row],[Puerto ]]-Tabla1[[#This Row],[Atraso]]</f>
        <v>0</v>
      </c>
      <c r="AJ92" s="3">
        <f>IF(Tabla1[[#This Row],[Plan Irrestricto]]&gt;0,SUM(Tabla1[[#This Row],[Facturación atraso]],Tabla1[[#This Row],[Facturación Venta nueva]],Tabla1[[#This Row],[Facturación stock]],Tabla1[[#This Row],[En puerto a facturar]]),0)</f>
        <v>22000</v>
      </c>
      <c r="AK92" s="3">
        <f>+Tabla1[[#This Row],[Facturación atraso]]</f>
        <v>22000</v>
      </c>
      <c r="AL92" s="3">
        <f>+Tabla1[[#This Row],[Plan Ajustado]]-Tabla1[[#This Row],[ Atraso ajustado]]-Tabla1[[#This Row],[Puerto ]]</f>
        <v>0</v>
      </c>
      <c r="AM92" s="3">
        <v>0</v>
      </c>
      <c r="AN92" s="3" t="str">
        <f>IF(Tabla1[[#This Row],[Plan Ajustado]]&gt;Tabla1[[#This Row],[En puerto a facturar]],"Si","No")</f>
        <v>Si</v>
      </c>
      <c r="AO92" s="3">
        <f>IF(AND(Tabla1[[#This Row],[Plan Ajustado]]&gt;0,Tabla1[[#This Row],[Plan Ajustado]]&gt;Tabla1[[#This Row],[En puerto a facturar]]),(Tabla1[[#This Row],[Plan Ajustado]]-Tabla1[[#This Row],[En puerto a facturar]]),0)</f>
        <v>22000</v>
      </c>
      <c r="AP92" s="3">
        <f>IF(Tabla1[[#This Row],[Necesidad]]&gt;=Tabla1[[#This Row],[Stock al día]],Tabla1[[#This Row],[Stock al día]],Tabla1[[#This Row],[Necesidad]])</f>
        <v>15860.777000000004</v>
      </c>
      <c r="AQ92" s="3">
        <f>+Tabla1[[#This Row],[Necesidad]]-Tabla1[[#This Row],[Stock Plan]]</f>
        <v>6139.2229999999963</v>
      </c>
      <c r="AR92" s="156">
        <f>IFERROR(VLOOKUP(Tabla1[[#This Row],[Oficina]],[22]Ponderación!$B$3:$G$9,6,FALSE),"")</f>
        <v>44754</v>
      </c>
      <c r="AS9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5.32</v>
      </c>
      <c r="AT92" s="83">
        <f>IFERROR(VLOOKUP(Tabla1[[#This Row],[Llave]],[17]DELAY!$H:$W,16,FALSE),0)</f>
        <v>5.5</v>
      </c>
      <c r="AU9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5.5</v>
      </c>
      <c r="AV92" s="5">
        <f>+Tabla1[[#This Row],[Plan Ajustado]]*Tabla1[[#This Row],[Precio ponderado]]</f>
        <v>121000</v>
      </c>
      <c r="AW92" s="30">
        <f>IFERROR(VLOOKUP(Tabla1[[#This Row],[Llave]],'[13]Ultimos precios facturados'!$A:$G,7,FALSE),0)</f>
        <v>5.1823690857706888</v>
      </c>
      <c r="AX9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6.1290677868049835E-2</v>
      </c>
      <c r="AY92" s="30"/>
      <c r="AZ92" s="30">
        <f>IF(Tabla1[[#This Row],[Ajuste precio IC]]="",Tabla1[[#This Row],[Precio ponderado]],Tabla1[[#This Row],[Precio ponderado]])</f>
        <v>5.5</v>
      </c>
      <c r="BA92" s="82"/>
      <c r="BB92" s="82" t="str">
        <f>IF(AND(Tabla1[[#This Row],[Atraso a facturar]]&gt;0,Tabla1[[#This Row],[Precio Atraso]]=0),"Revisar","OK")</f>
        <v>OK</v>
      </c>
      <c r="BC92" s="82" t="str">
        <f>IF(AND(Tabla1[[#This Row],[Venta del mes]]&gt;0,Tabla1[[#This Row],[Precio venta nueva]]=0),"Revisar","OK")</f>
        <v>OK</v>
      </c>
      <c r="BD92" s="20">
        <f>IFERROR(VLOOKUP(Tabla1[[#This Row],[Llave]],'[5]Consolidación planes'!$A:$M,9,FALSE),0)</f>
        <v>22000</v>
      </c>
      <c r="BE92" s="20">
        <f>IFERROR(VLOOKUP(Tabla1[[#This Row],[Llave]],'[5]Consolidación planes'!$A:$M,10,FALSE),0)</f>
        <v>22000</v>
      </c>
      <c r="BF92" s="20">
        <f>IFERROR(VLOOKUP(Tabla1[[#This Row],[Llave]],'[5]Consolidación planes'!$A:$M,11,FALSE),0)</f>
        <v>22000</v>
      </c>
      <c r="BG92" s="20">
        <f>IFERROR(VLOOKUP(Tabla1[[#This Row],[Llave]],'[5]Consolidación planes'!$A:$M,12,FALSE),0)</f>
        <v>44000</v>
      </c>
      <c r="BH92" s="20">
        <f>IFERROR(VLOOKUP(Tabla1[[#This Row],[Llave]],'[5]Consolidación planes'!$A:$M,13,FALSE),0)</f>
        <v>44001</v>
      </c>
      <c r="BI92" s="20">
        <f>IFERROR(VLOOKUP(Tabla1[[#This Row],[Llave]],'[13]Base ultimos planes'!$A:$M,13,FALSE),0)</f>
        <v>22000</v>
      </c>
      <c r="BJ92" s="80">
        <f>IFERROR(VLOOKUP(Tabla1[[#This Row],[Llave]],'[13]Base ultimos planes'!$O:$AA,8,FALSE),0)</f>
        <v>126060</v>
      </c>
      <c r="BK92" s="20">
        <f>IFERROR(VLOOKUP(Tabla1[[#This Row],[Llave]],'[13]Base ultimos planes'!$O:$AA,9,FALSE),0)</f>
        <v>114400</v>
      </c>
      <c r="BL92" s="20">
        <f>IFERROR(VLOOKUP(Tabla1[[#This Row],[Llave]],'[13]Base ultimos planes'!$O:$AA,10,FALSE),0)</f>
        <v>112860</v>
      </c>
      <c r="BM92" s="20">
        <f>IFERROR(VLOOKUP(Tabla1[[#This Row],[Llave]],'[13]Base ultimos planes'!$O:$AA,11,FALSE),0)</f>
        <v>233200</v>
      </c>
      <c r="BN92" s="20">
        <f>IFERROR(VLOOKUP(Tabla1[[#This Row],[Llave]],'[13]Base ultimos planes'!$O:$AA,12,FALSE),0)</f>
        <v>233204</v>
      </c>
      <c r="BO92" s="20">
        <f>IFERROR(VLOOKUP(Tabla1[[#This Row],[Llave]],'[13]Base ultimos planes'!$O:$AA,13,FALSE),0)</f>
        <v>116600</v>
      </c>
      <c r="BP92" s="20"/>
      <c r="BQ92" s="20">
        <f>+Tabla1[[#This Row],[ RV  Venta mes n+1]]*(1-Tabla1[[#This Row],[% Uti. producción]])</f>
        <v>11941.723270735894</v>
      </c>
      <c r="BR92" s="100"/>
    </row>
    <row r="93" spans="1:70" ht="16" x14ac:dyDescent="0.2">
      <c r="A93">
        <v>1</v>
      </c>
      <c r="B93" t="str">
        <f>Tabla1[[#This Row],[Oficina]]&amp;Tabla1[[#This Row],[Material]]</f>
        <v>Agrosuper Asia1022885</v>
      </c>
      <c r="C93" t="s">
        <v>6</v>
      </c>
      <c r="D93" t="s">
        <v>173</v>
      </c>
      <c r="E93">
        <v>1022885</v>
      </c>
      <c r="F93" t="s">
        <v>188</v>
      </c>
      <c r="G93" t="s">
        <v>56</v>
      </c>
      <c r="H93" t="s">
        <v>57</v>
      </c>
      <c r="I93" s="7">
        <f>IFERROR(VLOOKUP(Tabla1[[#This Row],[Llave]],'[7]RV Producción'!$C:$G,5,FALSE),0)</f>
        <v>584437</v>
      </c>
      <c r="J93" s="3">
        <f>IFERROR(IF(Tabla1[[#This Row],[Oficina]]=$I$7,VLOOKUP(Tabla1[[#This Row],[Llave]],'[7]Shangai (Tomas)'!$A:$F,6,FALSE),VLOOKUP(Tabla1[[#This Row],[Llave]],'[7]RV plan de ventas'!$A:$E,5,FALSE)),0)</f>
        <v>637000</v>
      </c>
      <c r="K93" s="8">
        <f>IFERROR(VLOOKUP(Tabla1[[#This Row],[Oficina]],[15]Ponderación!$B$2:$E$9,4,FALSE),0)</f>
        <v>0.45719439678473212</v>
      </c>
      <c r="L93" s="7">
        <f>+Tabla1[[#This Row],[ RV Producción mes n+1]]*Tabla1[[#This Row],[% Uti. producción]]</f>
        <v>267201.32167367847</v>
      </c>
      <c r="M93" s="7">
        <f>IFERROR(VLOOKUP(Tabla1[[#This Row],[Material]],'[17]TD Stock'!$E:$I,5,FALSE),0)</f>
        <v>138801.05900000004</v>
      </c>
      <c r="N93" s="7">
        <f>IFERROR(VLOOKUP(Tabla1[[#This Row],[Material]],[16]Produccion!$M:$N,2,FALSE),0)</f>
        <v>135172.75213819137</v>
      </c>
      <c r="O93" s="7">
        <f>IFERROR(VLOOKUP(Tabla1[[#This Row],[Llave]],'[16]TD Conf-AP'!$I:$M,4,FALSE),0)</f>
        <v>0</v>
      </c>
      <c r="P93" s="14">
        <f>SUM(Tabla1[[#This Row],[Producción disponible]],Tabla1[[#This Row],[Stock al día]],(Tabla1[[#This Row],[Por producir mes N]]*0.9))-Tabla1[[#This Row],[Producción por despachar mes N]]</f>
        <v>527657.85759805073</v>
      </c>
      <c r="Q93" s="7">
        <f>IFERROR(VLOOKUP(Tabla1[[#This Row],[Llave]],[17]DELAY!$A:$D,4,FALSE),0)</f>
        <v>154000</v>
      </c>
      <c r="R93" s="9">
        <v>22000</v>
      </c>
      <c r="S93" s="5">
        <f t="shared" si="30"/>
        <v>154000</v>
      </c>
      <c r="T93" s="76">
        <v>-66000</v>
      </c>
      <c r="U93" s="5">
        <f>+Tabla1[[#This Row],[Atraso a facturar]]+Tabla1[[#This Row],[Ajuste atraso]]</f>
        <v>88000</v>
      </c>
      <c r="V93" s="3">
        <f>+Tabla1[[#This Row],[Total disponible]]-Tabla1[[#This Row],[Facturación atraso]]</f>
        <v>439657.85759805073</v>
      </c>
      <c r="W93" s="6">
        <f>IFERROR(IF(AND(V93&gt;R93,J93&gt;=R93),ROUNDDOWN((Tabla1[[#This Row],[Producción para venta nueva]])/R93,0)*R93,0),0)</f>
        <v>418000</v>
      </c>
      <c r="X93" s="76">
        <v>0</v>
      </c>
      <c r="Y93" s="6">
        <f>IF(Tabla1[[#This Row],[Venta del mes]]&gt;0,Tabla1[[#This Row],[Venta del mes]]+Tabla1[[#This Row],[Ajuste venta nueva]],0)</f>
        <v>418000</v>
      </c>
      <c r="Z93" s="6">
        <f>+Tabla1[[#This Row],[Producción para venta nueva]]-Tabla1[[#This Row],[Facturación Venta nueva]]</f>
        <v>21657.85759805073</v>
      </c>
      <c r="AA93" s="6">
        <f>IF(AND(A93=1,Tabla1[[#This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3" s="6"/>
      <c r="AC93" s="6">
        <f>IF(Tabla1[[#This Row],[Disponible stock sin venta]]&gt;0,Tabla1[[#This Row],[Disponible stock sin venta]]+Tabla1[[#This Row],[Ajuste stock sin venta]],0)</f>
        <v>0</v>
      </c>
      <c r="AD93" s="3">
        <f>IFERROR(VLOOKUP(Tabla1[[#This Row],[Llave]],'[16]TD Puerto'!$A:$D,4,FALSE),0)</f>
        <v>66004.149999999994</v>
      </c>
      <c r="AE93" s="3">
        <v>572004.15</v>
      </c>
      <c r="AF93" s="3">
        <f>+Tabla1[[#This Row],[Atraso a facturar]]+Tabla1[[#This Row],[Venta del mes]]+Tabla1[[#This Row],[En puerto a facturar]]+Tabla1[[#This Row],[Disponible stock sin venta]]</f>
        <v>638004.15</v>
      </c>
      <c r="AG93" s="3">
        <f>+Tabla1[[#This Row],[En puerto a facturar]]</f>
        <v>66004.149999999994</v>
      </c>
      <c r="AH93" s="3">
        <f>+Tabla1[[#This Row],[Facturación atraso]]</f>
        <v>88000</v>
      </c>
      <c r="AI93" s="3">
        <f>+Tabla1[[#This Row],[Plan Irrestricto]]-Tabla1[[#This Row],[Puerto ]]-Tabla1[[#This Row],[Atraso]]</f>
        <v>484000</v>
      </c>
      <c r="AJ93" s="3">
        <f>IF(Tabla1[[#This Row],[Plan Irrestricto]]&gt;0,SUM(Tabla1[[#This Row],[Facturación atraso]],Tabla1[[#This Row],[Facturación Venta nueva]],Tabla1[[#This Row],[Facturación stock]],Tabla1[[#This Row],[En puerto a facturar]]),0)</f>
        <v>572004.15</v>
      </c>
      <c r="AK93" s="3">
        <f>+Tabla1[[#This Row],[Facturación atraso]]</f>
        <v>88000</v>
      </c>
      <c r="AL93" s="3">
        <f>+Tabla1[[#This Row],[Plan Ajustado]]-Tabla1[[#This Row],[ Atraso ajustado]]-Tabla1[[#This Row],[Puerto ]]</f>
        <v>418000</v>
      </c>
      <c r="AM93" s="3">
        <v>0</v>
      </c>
      <c r="AN93" s="3" t="str">
        <f>IF(Tabla1[[#This Row],[Plan Ajustado]]&gt;Tabla1[[#This Row],[En puerto a facturar]],"Si","No")</f>
        <v>Si</v>
      </c>
      <c r="AO93" s="3">
        <f>IF(AND(Tabla1[[#This Row],[Plan Ajustado]]&gt;0,Tabla1[[#This Row],[Plan Ajustado]]&gt;Tabla1[[#This Row],[En puerto a facturar]]),(Tabla1[[#This Row],[Plan Ajustado]]-Tabla1[[#This Row],[En puerto a facturar]]),0)</f>
        <v>506000</v>
      </c>
      <c r="AP93" s="3">
        <f>IF(Tabla1[[#This Row],[Necesidad]]&gt;=Tabla1[[#This Row],[Stock al día]],Tabla1[[#This Row],[Stock al día]],Tabla1[[#This Row],[Necesidad]])</f>
        <v>138801.05900000004</v>
      </c>
      <c r="AQ93" s="3">
        <f>+Tabla1[[#This Row],[Necesidad]]-Tabla1[[#This Row],[Stock Plan]]</f>
        <v>367198.94099999999</v>
      </c>
      <c r="AR93" s="156">
        <f>IFERROR(VLOOKUP(Tabla1[[#This Row],[Oficina]],[22]Ponderación!$B$3:$G$9,6,FALSE),"")</f>
        <v>44754</v>
      </c>
      <c r="AS9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6.12</v>
      </c>
      <c r="AT93" s="83">
        <f>IFERROR(VLOOKUP(Tabla1[[#This Row],[Llave]],[17]DELAY!$H:$W,16,FALSE),0)</f>
        <v>6.0501548672566399</v>
      </c>
      <c r="AU9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6.1011951708745844</v>
      </c>
      <c r="AV93" s="5">
        <f>+Tabla1[[#This Row],[Plan Ajustado]]*Tabla1[[#This Row],[Precio ponderado]]</f>
        <v>3489908.9577002213</v>
      </c>
      <c r="AW93" s="30">
        <f>IFERROR(VLOOKUP(Tabla1[[#This Row],[Llave]],'[13]Ultimos precios facturados'!$A:$G,7,FALSE),0)</f>
        <v>6.0372157568540956</v>
      </c>
      <c r="AX9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1.0597503318951701E-2</v>
      </c>
      <c r="AY93" s="30"/>
      <c r="AZ93" s="30">
        <f>IF(Tabla1[[#This Row],[Ajuste precio IC]]="",Tabla1[[#This Row],[Precio ponderado]],Tabla1[[#This Row],[Precio ponderado]])</f>
        <v>6.1011951708745844</v>
      </c>
      <c r="BA93" s="82"/>
      <c r="BB93" s="82" t="str">
        <f>IF(AND(Tabla1[[#This Row],[Atraso a facturar]]&gt;0,Tabla1[[#This Row],[Precio Atraso]]=0),"Revisar","OK")</f>
        <v>OK</v>
      </c>
      <c r="BC93" s="82" t="str">
        <f>IF(AND(Tabla1[[#This Row],[Venta del mes]]&gt;0,Tabla1[[#This Row],[Precio venta nueva]]=0),"Revisar","OK")</f>
        <v>OK</v>
      </c>
      <c r="BD93" s="20">
        <f>IFERROR(VLOOKUP(Tabla1[[#This Row],[Llave]],'[5]Consolidación planes'!$A:$M,9,FALSE),0)</f>
        <v>660000</v>
      </c>
      <c r="BE93" s="20">
        <f>IFERROR(VLOOKUP(Tabla1[[#This Row],[Llave]],'[5]Consolidación planes'!$A:$M,10,FALSE),0)</f>
        <v>597000</v>
      </c>
      <c r="BF93" s="20">
        <f>IFERROR(VLOOKUP(Tabla1[[#This Row],[Llave]],'[5]Consolidación planes'!$A:$M,11,FALSE),0)</f>
        <v>476000</v>
      </c>
      <c r="BG93" s="20">
        <f>IFERROR(VLOOKUP(Tabla1[[#This Row],[Llave]],'[5]Consolidación planes'!$A:$M,12,FALSE),0)</f>
        <v>702000</v>
      </c>
      <c r="BH93" s="20">
        <f>IFERROR(VLOOKUP(Tabla1[[#This Row],[Llave]],'[5]Consolidación planes'!$A:$M,13,FALSE),0)</f>
        <v>615555</v>
      </c>
      <c r="BI93" s="20">
        <f>IFERROR(VLOOKUP(Tabla1[[#This Row],[Llave]],'[13]Base ultimos planes'!$A:$M,13,FALSE),0)</f>
        <v>469016</v>
      </c>
      <c r="BJ93" s="80">
        <f>IFERROR(VLOOKUP(Tabla1[[#This Row],[Llave]],'[13]Base ultimos planes'!$O:$AA,8,FALSE),0)</f>
        <v>4448231.7450000001</v>
      </c>
      <c r="BK93" s="20">
        <f>IFERROR(VLOOKUP(Tabla1[[#This Row],[Llave]],'[13]Base ultimos planes'!$O:$AA,9,FALSE),0)</f>
        <v>3883485</v>
      </c>
      <c r="BL93" s="20">
        <f>IFERROR(VLOOKUP(Tabla1[[#This Row],[Llave]],'[13]Base ultimos planes'!$O:$AA,10,FALSE),0)</f>
        <v>2975000</v>
      </c>
      <c r="BM93" s="20">
        <f>IFERROR(VLOOKUP(Tabla1[[#This Row],[Llave]],'[13]Base ultimos planes'!$O:$AA,11,FALSE),0)</f>
        <v>4283678</v>
      </c>
      <c r="BN93" s="20">
        <f>IFERROR(VLOOKUP(Tabla1[[#This Row],[Llave]],'[13]Base ultimos planes'!$O:$AA,12,FALSE),0)</f>
        <v>3723805</v>
      </c>
      <c r="BO93" s="20">
        <f>IFERROR(VLOOKUP(Tabla1[[#This Row],[Llave]],'[13]Base ultimos planes'!$O:$AA,13,FALSE),0)</f>
        <v>2830975</v>
      </c>
      <c r="BP93" s="20"/>
      <c r="BQ93" s="20">
        <f>+Tabla1[[#This Row],[ RV  Venta mes n+1]]*(1-Tabla1[[#This Row],[% Uti. producción]])</f>
        <v>345767.16924812569</v>
      </c>
      <c r="BR93" s="100"/>
    </row>
    <row r="94" spans="1:70" ht="16" x14ac:dyDescent="0.2">
      <c r="A94">
        <v>1</v>
      </c>
      <c r="B94" t="str">
        <f>Tabla1[[#This Row],[Oficina]]&amp;Tabla1[[#This Row],[Material]]</f>
        <v>Agrosuper Asia1022887</v>
      </c>
      <c r="C94" t="s">
        <v>6</v>
      </c>
      <c r="D94" t="s">
        <v>173</v>
      </c>
      <c r="E94">
        <v>1022887</v>
      </c>
      <c r="F94" t="s">
        <v>189</v>
      </c>
      <c r="G94" t="s">
        <v>56</v>
      </c>
      <c r="H94" t="s">
        <v>57</v>
      </c>
      <c r="I94" s="7">
        <f>IFERROR(VLOOKUP(Tabla1[[#This Row],[Llave]],'[7]RV Producción'!$C:$G,5,FALSE),0)</f>
        <v>343870</v>
      </c>
      <c r="J94" s="3">
        <f>IFERROR(IF(Tabla1[[#This Row],[Oficina]]=$I$7,VLOOKUP(Tabla1[[#This Row],[Llave]],'[7]Shangai (Tomas)'!$A:$F,6,FALSE),VLOOKUP(Tabla1[[#This Row],[Llave]],'[7]RV plan de ventas'!$A:$E,5,FALSE)),0)</f>
        <v>360000</v>
      </c>
      <c r="K94" s="8">
        <f>IFERROR(VLOOKUP(Tabla1[[#This Row],[Oficina]],[15]Ponderación!$B$2:$E$9,4,FALSE),0)</f>
        <v>0.45719439678473212</v>
      </c>
      <c r="L94" s="7">
        <f>+Tabla1[[#This Row],[ RV Producción mes n+1]]*Tabla1[[#This Row],[% Uti. producción]]</f>
        <v>157215.43722236584</v>
      </c>
      <c r="M94" s="7">
        <f>IFERROR(VLOOKUP(Tabla1[[#This Row],[Material]],'[17]TD Stock'!$E:$I,5,FALSE),0)</f>
        <v>7519.4009999999998</v>
      </c>
      <c r="N94" s="7">
        <f>IFERROR(VLOOKUP(Tabla1[[#This Row],[Material]],[16]Produccion!$M:$N,2,FALSE),0)</f>
        <v>66161</v>
      </c>
      <c r="O94" s="7">
        <f>IFERROR(VLOOKUP(Tabla1[[#This Row],[Llave]],'[16]TD Conf-AP'!$I:$M,4,FALSE),0)</f>
        <v>0</v>
      </c>
      <c r="P94" s="14">
        <f>SUM(Tabla1[[#This Row],[Producción disponible]],Tabla1[[#This Row],[Stock al día]],(Tabla1[[#This Row],[Por producir mes N]]*0.9))-Tabla1[[#This Row],[Producción por despachar mes N]]</f>
        <v>224279.73822236585</v>
      </c>
      <c r="Q94" s="7">
        <f>IFERROR(VLOOKUP(Tabla1[[#This Row],[Llave]],[17]DELAY!$A:$D,4,FALSE),0)</f>
        <v>110000</v>
      </c>
      <c r="R94" s="9">
        <v>22000</v>
      </c>
      <c r="S94" s="5">
        <f t="shared" si="30"/>
        <v>110000</v>
      </c>
      <c r="T94" s="76">
        <v>0</v>
      </c>
      <c r="U94" s="5">
        <f>+Tabla1[[#This Row],[Atraso a facturar]]+Tabla1[[#This Row],[Ajuste atraso]]</f>
        <v>110000</v>
      </c>
      <c r="V94" s="3">
        <f>+Tabla1[[#This Row],[Total disponible]]-Tabla1[[#This Row],[Facturación atraso]]</f>
        <v>114279.73822236585</v>
      </c>
      <c r="W94" s="6">
        <f>IFERROR(IF(AND(V94&gt;R94,J94&gt;=R94),ROUNDDOWN((Tabla1[[#This Row],[Producción para venta nueva]])/R94,0)*R94,0),0)</f>
        <v>110000</v>
      </c>
      <c r="X94" s="76">
        <v>0</v>
      </c>
      <c r="Y94" s="6">
        <f>IF(Tabla1[[#This Row],[Venta del mes]]&gt;0,Tabla1[[#This Row],[Venta del mes]]+Tabla1[[#This Row],[Ajuste venta nueva]],0)</f>
        <v>110000</v>
      </c>
      <c r="Z94" s="6">
        <f>+Tabla1[[#This Row],[Producción para venta nueva]]-Tabla1[[#This Row],[Facturación Venta nueva]]</f>
        <v>4279.7382223658497</v>
      </c>
      <c r="AA94" s="6">
        <f>IF(AND(A94=1,Tabla1[[#This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4" s="6"/>
      <c r="AC94" s="6">
        <f>IF(Tabla1[[#This Row],[Disponible stock sin venta]]&gt;0,Tabla1[[#This Row],[Disponible stock sin venta]]+Tabla1[[#This Row],[Ajuste stock sin venta]],0)</f>
        <v>0</v>
      </c>
      <c r="AD94" s="3">
        <f>IFERROR(VLOOKUP(Tabla1[[#This Row],[Llave]],'[16]TD Puerto'!$A:$D,4,FALSE),0)</f>
        <v>0</v>
      </c>
      <c r="AE94" s="3">
        <v>220000</v>
      </c>
      <c r="AF94" s="3">
        <f>+Tabla1[[#This Row],[Atraso a facturar]]+Tabla1[[#This Row],[Venta del mes]]+Tabla1[[#This Row],[En puerto a facturar]]+Tabla1[[#This Row],[Disponible stock sin venta]]</f>
        <v>220000</v>
      </c>
      <c r="AG94" s="3">
        <f>+Tabla1[[#This Row],[En puerto a facturar]]</f>
        <v>0</v>
      </c>
      <c r="AH94" s="3">
        <f>+Tabla1[[#This Row],[Facturación atraso]]</f>
        <v>110000</v>
      </c>
      <c r="AI94" s="3">
        <f>+Tabla1[[#This Row],[Plan Irrestricto]]-Tabla1[[#This Row],[Puerto ]]-Tabla1[[#This Row],[Atraso]]</f>
        <v>110000</v>
      </c>
      <c r="AJ94" s="3">
        <f>IF(Tabla1[[#This Row],[Plan Irrestricto]]&gt;0,SUM(Tabla1[[#This Row],[Facturación atraso]],Tabla1[[#This Row],[Facturación Venta nueva]],Tabla1[[#This Row],[Facturación stock]],Tabla1[[#This Row],[En puerto a facturar]]),0)</f>
        <v>220000</v>
      </c>
      <c r="AK94" s="3">
        <f>+Tabla1[[#This Row],[Facturación atraso]]</f>
        <v>110000</v>
      </c>
      <c r="AL94" s="3">
        <f>+Tabla1[[#This Row],[Plan Ajustado]]-Tabla1[[#This Row],[ Atraso ajustado]]-Tabla1[[#This Row],[Puerto ]]</f>
        <v>110000</v>
      </c>
      <c r="AM94" s="3">
        <v>0</v>
      </c>
      <c r="AN94" s="3" t="str">
        <f>IF(Tabla1[[#This Row],[Plan Ajustado]]&gt;Tabla1[[#This Row],[En puerto a facturar]],"Si","No")</f>
        <v>Si</v>
      </c>
      <c r="AO94" s="3">
        <f>IF(AND(Tabla1[[#This Row],[Plan Ajustado]]&gt;0,Tabla1[[#This Row],[Plan Ajustado]]&gt;Tabla1[[#This Row],[En puerto a facturar]]),(Tabla1[[#This Row],[Plan Ajustado]]-Tabla1[[#This Row],[En puerto a facturar]]),0)</f>
        <v>220000</v>
      </c>
      <c r="AP94" s="3">
        <f>IF(Tabla1[[#This Row],[Necesidad]]&gt;=Tabla1[[#This Row],[Stock al día]],Tabla1[[#This Row],[Stock al día]],Tabla1[[#This Row],[Necesidad]])</f>
        <v>7519.4009999999998</v>
      </c>
      <c r="AQ94" s="3">
        <f>+Tabla1[[#This Row],[Necesidad]]-Tabla1[[#This Row],[Stock Plan]]</f>
        <v>212480.59899999999</v>
      </c>
      <c r="AR94" s="156">
        <f>IFERROR(VLOOKUP(Tabla1[[#This Row],[Oficina]],[22]Ponderación!$B$3:$G$9,6,FALSE),"")</f>
        <v>44754</v>
      </c>
      <c r="AS9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6.12</v>
      </c>
      <c r="AT94" s="83">
        <f>IFERROR(VLOOKUP(Tabla1[[#This Row],[Llave]],[17]DELAY!$H:$W,16,FALSE),0)</f>
        <v>6.05104166666667</v>
      </c>
      <c r="AU9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6.0855208333333355</v>
      </c>
      <c r="AV94" s="5">
        <f>+Tabla1[[#This Row],[Plan Ajustado]]*Tabla1[[#This Row],[Precio ponderado]]</f>
        <v>1338814.5833333337</v>
      </c>
      <c r="AW94" s="30">
        <f>IFERROR(VLOOKUP(Tabla1[[#This Row],[Llave]],'[13]Ultimos precios facturados'!$A:$G,7,FALSE),0)</f>
        <v>6.0227654675665612</v>
      </c>
      <c r="AX9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1.041969276484711E-2</v>
      </c>
      <c r="AY94" s="30"/>
      <c r="AZ94" s="30">
        <f>IF(Tabla1[[#This Row],[Ajuste precio IC]]="",Tabla1[[#This Row],[Precio ponderado]],Tabla1[[#This Row],[Precio ponderado]])</f>
        <v>6.0855208333333355</v>
      </c>
      <c r="BA94" s="82"/>
      <c r="BB94" s="82" t="str">
        <f>IF(AND(Tabla1[[#This Row],[Atraso a facturar]]&gt;0,Tabla1[[#This Row],[Precio Atraso]]=0),"Revisar","OK")</f>
        <v>OK</v>
      </c>
      <c r="BC94" s="82" t="str">
        <f>IF(AND(Tabla1[[#This Row],[Venta del mes]]&gt;0,Tabla1[[#This Row],[Precio venta nueva]]=0),"Revisar","OK")</f>
        <v>OK</v>
      </c>
      <c r="BD94" s="20">
        <f>IFERROR(VLOOKUP(Tabla1[[#This Row],[Llave]],'[5]Consolidación planes'!$A:$M,9,FALSE),0)</f>
        <v>198000</v>
      </c>
      <c r="BE94" s="20">
        <f>IFERROR(VLOOKUP(Tabla1[[#This Row],[Llave]],'[5]Consolidación planes'!$A:$M,10,FALSE),0)</f>
        <v>275000</v>
      </c>
      <c r="BF94" s="20">
        <f>IFERROR(VLOOKUP(Tabla1[[#This Row],[Llave]],'[5]Consolidación planes'!$A:$M,11,FALSE),0)</f>
        <v>385000</v>
      </c>
      <c r="BG94" s="20">
        <f>IFERROR(VLOOKUP(Tabla1[[#This Row],[Llave]],'[5]Consolidación planes'!$A:$M,12,FALSE),0)</f>
        <v>352000</v>
      </c>
      <c r="BH94" s="20">
        <f>IFERROR(VLOOKUP(Tabla1[[#This Row],[Llave]],'[5]Consolidación planes'!$A:$M,13,FALSE),0)</f>
        <v>308028</v>
      </c>
      <c r="BI94" s="20">
        <f>IFERROR(VLOOKUP(Tabla1[[#This Row],[Llave]],'[13]Base ultimos planes'!$A:$M,13,FALSE),0)</f>
        <v>209000</v>
      </c>
      <c r="BJ94" s="80">
        <f>IFERROR(VLOOKUP(Tabla1[[#This Row],[Llave]],'[13]Base ultimos planes'!$O:$AA,8,FALSE),0)</f>
        <v>1378080</v>
      </c>
      <c r="BK94" s="20">
        <f>IFERROR(VLOOKUP(Tabla1[[#This Row],[Llave]],'[13]Base ultimos planes'!$O:$AA,9,FALSE),0)</f>
        <v>1761375</v>
      </c>
      <c r="BL94" s="20">
        <f>IFERROR(VLOOKUP(Tabla1[[#This Row],[Llave]],'[13]Base ultimos planes'!$O:$AA,10,FALSE),0)</f>
        <v>2321550</v>
      </c>
      <c r="BM94" s="20">
        <f>IFERROR(VLOOKUP(Tabla1[[#This Row],[Llave]],'[13]Base ultimos planes'!$O:$AA,11,FALSE),0)</f>
        <v>2089499</v>
      </c>
      <c r="BN94" s="20">
        <f>IFERROR(VLOOKUP(Tabla1[[#This Row],[Llave]],'[13]Base ultimos planes'!$O:$AA,12,FALSE),0)</f>
        <v>1830564</v>
      </c>
      <c r="BO94" s="20">
        <f>IFERROR(VLOOKUP(Tabla1[[#This Row],[Llave]],'[13]Base ultimos planes'!$O:$AA,13,FALSE),0)</f>
        <v>1258453</v>
      </c>
      <c r="BP94" s="20"/>
      <c r="BQ94" s="20">
        <f>+Tabla1[[#This Row],[ RV  Venta mes n+1]]*(1-Tabla1[[#This Row],[% Uti. producción]])</f>
        <v>195410.01715749645</v>
      </c>
      <c r="BR94" s="100"/>
    </row>
    <row r="95" spans="1:70" ht="16" x14ac:dyDescent="0.2">
      <c r="A95">
        <v>1</v>
      </c>
      <c r="B95" t="str">
        <f>Tabla1[[#This Row],[Oficina]]&amp;Tabla1[[#This Row],[Material]]</f>
        <v>Agrosuper Asia1022930</v>
      </c>
      <c r="C95" t="s">
        <v>6</v>
      </c>
      <c r="D95" t="s">
        <v>173</v>
      </c>
      <c r="E95">
        <v>1022930</v>
      </c>
      <c r="F95" t="s">
        <v>190</v>
      </c>
      <c r="G95" t="s">
        <v>56</v>
      </c>
      <c r="H95" t="s">
        <v>57</v>
      </c>
      <c r="I95" s="7">
        <f>IFERROR(VLOOKUP(Tabla1[[#This Row],[Llave]],'[7]RV Producción'!$C:$G,5,FALSE),0)</f>
        <v>191803</v>
      </c>
      <c r="J95" s="3">
        <f>IFERROR(IF(Tabla1[[#This Row],[Oficina]]=$I$7,VLOOKUP(Tabla1[[#This Row],[Llave]],'[7]Shangai (Tomas)'!$A:$F,6,FALSE),VLOOKUP(Tabla1[[#This Row],[Llave]],'[7]RV plan de ventas'!$A:$E,5,FALSE)),0)</f>
        <v>154000</v>
      </c>
      <c r="K95" s="8">
        <f>IFERROR(VLOOKUP(Tabla1[[#This Row],[Oficina]],[15]Ponderación!$B$2:$E$9,4,FALSE),0)</f>
        <v>0.45719439678473212</v>
      </c>
      <c r="L95" s="7">
        <f>+Tabla1[[#This Row],[ RV Producción mes n+1]]*Tabla1[[#This Row],[% Uti. producción]]</f>
        <v>87691.256886501971</v>
      </c>
      <c r="M95" s="7">
        <f>IFERROR(VLOOKUP(Tabla1[[#This Row],[Material]],'[17]TD Stock'!$E:$I,5,FALSE),0)</f>
        <v>20885.060999999998</v>
      </c>
      <c r="N95" s="7">
        <f>IFERROR(VLOOKUP(Tabla1[[#This Row],[Material]],[16]Produccion!$M:$N,2,FALSE),0)</f>
        <v>68023.349837159374</v>
      </c>
      <c r="O95" s="7">
        <f>IFERROR(VLOOKUP(Tabla1[[#This Row],[Llave]],'[16]TD Conf-AP'!$I:$M,4,FALSE),0)</f>
        <v>0</v>
      </c>
      <c r="P95" s="14">
        <f>SUM(Tabla1[[#This Row],[Producción disponible]],Tabla1[[#This Row],[Stock al día]],(Tabla1[[#This Row],[Por producir mes N]]*0.9))-Tabla1[[#This Row],[Producción por despachar mes N]]</f>
        <v>169797.33273994541</v>
      </c>
      <c r="Q95" s="7">
        <f>IFERROR(VLOOKUP(Tabla1[[#This Row],[Llave]],[17]DELAY!$A:$D,4,FALSE),0)</f>
        <v>176000</v>
      </c>
      <c r="R95" s="9">
        <v>22000</v>
      </c>
      <c r="S95" s="5">
        <f t="shared" si="30"/>
        <v>154000</v>
      </c>
      <c r="T95" s="76">
        <v>0</v>
      </c>
      <c r="U95" s="5">
        <f>+Tabla1[[#This Row],[Atraso a facturar]]+Tabla1[[#This Row],[Ajuste atraso]]</f>
        <v>154000</v>
      </c>
      <c r="V95" s="3">
        <f>+Tabla1[[#This Row],[Total disponible]]-Tabla1[[#This Row],[Facturación atraso]]</f>
        <v>15797.332739945414</v>
      </c>
      <c r="W95" s="6">
        <f>IFERROR(IF(AND(V95&gt;R95,J95&gt;=R95),ROUNDDOWN((Tabla1[[#This Row],[Producción para venta nueva]])/R95,0)*R95,0),0)</f>
        <v>0</v>
      </c>
      <c r="X95" s="76">
        <v>0</v>
      </c>
      <c r="Y95" s="6">
        <f>IF(Tabla1[[#This Row],[Venta del mes]]&gt;0,Tabla1[[#This Row],[Venta del mes]]+Tabla1[[#This Row],[Ajuste venta nueva]],0)</f>
        <v>0</v>
      </c>
      <c r="Z95" s="6">
        <f>+Tabla1[[#This Row],[Producción para venta nueva]]-Tabla1[[#This Row],[Facturación Venta nueva]]</f>
        <v>15797.332739945414</v>
      </c>
      <c r="AA95" s="6">
        <f>IF(AND(A95=1,Tabla1[[#This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5" s="6"/>
      <c r="AC95" s="6">
        <f>IF(Tabla1[[#This Row],[Disponible stock sin venta]]&gt;0,Tabla1[[#This Row],[Disponible stock sin venta]]+Tabla1[[#This Row],[Ajuste stock sin venta]],0)</f>
        <v>0</v>
      </c>
      <c r="AD95" s="3">
        <f>IFERROR(VLOOKUP(Tabla1[[#This Row],[Llave]],'[16]TD Puerto'!$A:$D,4,FALSE),0)</f>
        <v>44031.5</v>
      </c>
      <c r="AE95" s="3">
        <v>198031.5</v>
      </c>
      <c r="AF95" s="3">
        <f>+Tabla1[[#This Row],[Atraso a facturar]]+Tabla1[[#This Row],[Venta del mes]]+Tabla1[[#This Row],[En puerto a facturar]]+Tabla1[[#This Row],[Disponible stock sin venta]]</f>
        <v>198031.5</v>
      </c>
      <c r="AG95" s="3">
        <f>+Tabla1[[#This Row],[En puerto a facturar]]</f>
        <v>44031.5</v>
      </c>
      <c r="AH95" s="3">
        <f>+Tabla1[[#This Row],[Facturación atraso]]</f>
        <v>154000</v>
      </c>
      <c r="AI95" s="3">
        <f>+Tabla1[[#This Row],[Plan Irrestricto]]-Tabla1[[#This Row],[Puerto ]]-Tabla1[[#This Row],[Atraso]]</f>
        <v>0</v>
      </c>
      <c r="AJ95" s="3">
        <f>IF(Tabla1[[#This Row],[Plan Irrestricto]]&gt;0,SUM(Tabla1[[#This Row],[Facturación atraso]],Tabla1[[#This Row],[Facturación Venta nueva]],Tabla1[[#This Row],[Facturación stock]],Tabla1[[#This Row],[En puerto a facturar]]),0)</f>
        <v>198031.5</v>
      </c>
      <c r="AK95" s="3">
        <f>+Tabla1[[#This Row],[Facturación atraso]]</f>
        <v>154000</v>
      </c>
      <c r="AL95" s="3">
        <f>+Tabla1[[#This Row],[Plan Ajustado]]-Tabla1[[#This Row],[ Atraso ajustado]]-Tabla1[[#This Row],[Puerto ]]</f>
        <v>0</v>
      </c>
      <c r="AM95" s="3">
        <v>0</v>
      </c>
      <c r="AN95" s="3" t="str">
        <f>IF(Tabla1[[#This Row],[Plan Ajustado]]&gt;Tabla1[[#This Row],[En puerto a facturar]],"Si","No")</f>
        <v>Si</v>
      </c>
      <c r="AO95" s="3">
        <f>IF(AND(Tabla1[[#This Row],[Plan Ajustado]]&gt;0,Tabla1[[#This Row],[Plan Ajustado]]&gt;Tabla1[[#This Row],[En puerto a facturar]]),(Tabla1[[#This Row],[Plan Ajustado]]-Tabla1[[#This Row],[En puerto a facturar]]),0)</f>
        <v>154000</v>
      </c>
      <c r="AP95" s="3">
        <f>IF(Tabla1[[#This Row],[Necesidad]]&gt;=Tabla1[[#This Row],[Stock al día]],Tabla1[[#This Row],[Stock al día]],Tabla1[[#This Row],[Necesidad]])</f>
        <v>20885.060999999998</v>
      </c>
      <c r="AQ95" s="3">
        <f>+Tabla1[[#This Row],[Necesidad]]-Tabla1[[#This Row],[Stock Plan]]</f>
        <v>133114.93900000001</v>
      </c>
      <c r="AR95" s="156">
        <f>IFERROR(VLOOKUP(Tabla1[[#This Row],[Oficina]],[22]Ponderación!$B$3:$G$9,6,FALSE),"")</f>
        <v>44754</v>
      </c>
      <c r="AS9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6.32</v>
      </c>
      <c r="AT95" s="83">
        <f>IFERROR(VLOOKUP(Tabla1[[#This Row],[Llave]],[17]DELAY!$H:$W,16,FALSE),0)</f>
        <v>6.3071428571428552</v>
      </c>
      <c r="AU9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6.3071428571428552</v>
      </c>
      <c r="AV95" s="5">
        <f>+Tabla1[[#This Row],[Plan Ajustado]]*Tabla1[[#This Row],[Precio ponderado]]</f>
        <v>1249012.9607142853</v>
      </c>
      <c r="AW95" s="30">
        <f>IFERROR(VLOOKUP(Tabla1[[#This Row],[Llave]],'[13]Ultimos precios facturados'!$A:$G,7,FALSE),0)</f>
        <v>6.1824058765919077</v>
      </c>
      <c r="AX9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2.0176122862336176E-2</v>
      </c>
      <c r="AY95" s="30"/>
      <c r="AZ95" s="30">
        <f>IF(Tabla1[[#This Row],[Ajuste precio IC]]="",Tabla1[[#This Row],[Precio ponderado]],Tabla1[[#This Row],[Precio ponderado]])</f>
        <v>6.3071428571428552</v>
      </c>
      <c r="BA95" s="82"/>
      <c r="BB95" s="82" t="str">
        <f>IF(AND(Tabla1[[#This Row],[Atraso a facturar]]&gt;0,Tabla1[[#This Row],[Precio Atraso]]=0),"Revisar","OK")</f>
        <v>OK</v>
      </c>
      <c r="BC95" s="82" t="str">
        <f>IF(AND(Tabla1[[#This Row],[Venta del mes]]&gt;0,Tabla1[[#This Row],[Precio venta nueva]]=0),"Revisar","OK")</f>
        <v>OK</v>
      </c>
      <c r="BD95" s="20">
        <f>IFERROR(VLOOKUP(Tabla1[[#This Row],[Llave]],'[5]Consolidación planes'!$A:$M,9,FALSE),0)</f>
        <v>154000</v>
      </c>
      <c r="BE95" s="20">
        <f>IFERROR(VLOOKUP(Tabla1[[#This Row],[Llave]],'[5]Consolidación planes'!$A:$M,10,FALSE),0)</f>
        <v>44000</v>
      </c>
      <c r="BF95" s="20">
        <f>IFERROR(VLOOKUP(Tabla1[[#This Row],[Llave]],'[5]Consolidación planes'!$A:$M,11,FALSE),0)</f>
        <v>44000</v>
      </c>
      <c r="BG95" s="20">
        <f>IFERROR(VLOOKUP(Tabla1[[#This Row],[Llave]],'[5]Consolidación planes'!$A:$M,12,FALSE),0)</f>
        <v>88000</v>
      </c>
      <c r="BH95" s="20">
        <f>IFERROR(VLOOKUP(Tabla1[[#This Row],[Llave]],'[5]Consolidación planes'!$A:$M,13,FALSE),0)</f>
        <v>65946</v>
      </c>
      <c r="BI95" s="20">
        <f>IFERROR(VLOOKUP(Tabla1[[#This Row],[Llave]],'[13]Base ultimos planes'!$A:$M,13,FALSE),0)</f>
        <v>22000</v>
      </c>
      <c r="BJ95" s="80">
        <f>IFERROR(VLOOKUP(Tabla1[[#This Row],[Llave]],'[13]Base ultimos planes'!$O:$AA,8,FALSE),0)</f>
        <v>1083909.05</v>
      </c>
      <c r="BK95" s="20">
        <f>IFERROR(VLOOKUP(Tabla1[[#This Row],[Llave]],'[13]Base ultimos planes'!$O:$AA,9,FALSE),0)</f>
        <v>286440</v>
      </c>
      <c r="BL95" s="20">
        <f>IFERROR(VLOOKUP(Tabla1[[#This Row],[Llave]],'[13]Base ultimos planes'!$O:$AA,10,FALSE),0)</f>
        <v>264440</v>
      </c>
      <c r="BM95" s="20">
        <f>IFERROR(VLOOKUP(Tabla1[[#This Row],[Llave]],'[13]Base ultimos planes'!$O:$AA,11,FALSE),0)</f>
        <v>533280</v>
      </c>
      <c r="BN95" s="20">
        <f>IFERROR(VLOOKUP(Tabla1[[#This Row],[Llave]],'[13]Base ultimos planes'!$O:$AA,12,FALSE),0)</f>
        <v>273348</v>
      </c>
      <c r="BO95" s="20">
        <f>IFERROR(VLOOKUP(Tabla1[[#This Row],[Llave]],'[13]Base ultimos planes'!$O:$AA,13,FALSE),0)</f>
        <v>138292</v>
      </c>
      <c r="BP95" s="20"/>
      <c r="BQ95" s="20">
        <f>+Tabla1[[#This Row],[ RV  Venta mes n+1]]*(1-Tabla1[[#This Row],[% Uti. producción]])</f>
        <v>83592.062895151263</v>
      </c>
      <c r="BR95" s="100"/>
    </row>
    <row r="96" spans="1:70" ht="16" x14ac:dyDescent="0.2">
      <c r="A96">
        <v>1</v>
      </c>
      <c r="B96" t="str">
        <f>Tabla1[[#This Row],[Oficina]]&amp;Tabla1[[#This Row],[Material]]</f>
        <v>Agrosuper Asia1022985</v>
      </c>
      <c r="C96" t="s">
        <v>6</v>
      </c>
      <c r="D96" t="s">
        <v>173</v>
      </c>
      <c r="E96">
        <v>1022985</v>
      </c>
      <c r="F96" t="s">
        <v>184</v>
      </c>
      <c r="G96" t="s">
        <v>50</v>
      </c>
      <c r="H96" t="s">
        <v>110</v>
      </c>
      <c r="I96" s="7">
        <f>IFERROR(VLOOKUP(Tabla1[[#This Row],[Llave]],'[7]RV Producción'!$C:$G,5,FALSE),0)</f>
        <v>2858</v>
      </c>
      <c r="J96" s="3">
        <f>IFERROR(IF(Tabla1[[#This Row],[Oficina]]=$I$7,VLOOKUP(Tabla1[[#This Row],[Llave]],'[7]Shangai (Tomas)'!$A:$F,6,FALSE),VLOOKUP(Tabla1[[#This Row],[Llave]],'[7]RV plan de ventas'!$A:$E,5,FALSE)),0)</f>
        <v>5000</v>
      </c>
      <c r="K96" s="8">
        <f>IFERROR(VLOOKUP(Tabla1[[#This Row],[Oficina]],[15]Ponderación!$B$2:$E$9,4,FALSE),0)</f>
        <v>0.45719439678473212</v>
      </c>
      <c r="L96" s="7">
        <f>+Tabla1[[#This Row],[ RV Producción mes n+1]]*Tabla1[[#This Row],[% Uti. producción]]</f>
        <v>1306.6615860107645</v>
      </c>
      <c r="M96" s="7">
        <f>IFERROR(VLOOKUP(Tabla1[[#This Row],[Material]],'[17]TD Stock'!$E:$I,5,FALSE),0)</f>
        <v>4951.9970000000003</v>
      </c>
      <c r="N96" s="7">
        <f>IFERROR(VLOOKUP(Tabla1[[#This Row],[Material]],[16]Produccion!$M:$N,2,FALSE),0)</f>
        <v>5750.5109687184604</v>
      </c>
      <c r="O96" s="7">
        <f>IFERROR(VLOOKUP(Tabla1[[#This Row],[Llave]],'[16]TD Conf-AP'!$I:$M,4,FALSE),0)</f>
        <v>0</v>
      </c>
      <c r="P96" s="14">
        <f>SUM(Tabla1[[#This Row],[Producción disponible]],Tabla1[[#This Row],[Stock al día]],(Tabla1[[#This Row],[Por producir mes N]]*0.9))-Tabla1[[#This Row],[Producción por despachar mes N]]</f>
        <v>11434.118457857378</v>
      </c>
      <c r="Q96" s="7">
        <f>IFERROR(VLOOKUP(Tabla1[[#This Row],[Llave]],[17]DELAY!$A:$D,4,FALSE),0)</f>
        <v>5000</v>
      </c>
      <c r="R96" s="9">
        <v>5000</v>
      </c>
      <c r="S96" s="5">
        <f t="shared" si="30"/>
        <v>5000</v>
      </c>
      <c r="T96" s="76">
        <v>0</v>
      </c>
      <c r="U96" s="5">
        <f>+Tabla1[[#This Row],[Atraso a facturar]]+Tabla1[[#This Row],[Ajuste atraso]]</f>
        <v>5000</v>
      </c>
      <c r="V96" s="3">
        <f>+Tabla1[[#This Row],[Total disponible]]-Tabla1[[#This Row],[Facturación atraso]]</f>
        <v>6434.1184578573775</v>
      </c>
      <c r="W96" s="6">
        <f>IFERROR(IF(AND(V96&gt;R96,J96&gt;=R96),ROUNDDOWN((Tabla1[[#This Row],[Producción para venta nueva]])/R96,0)*R96,0),0)</f>
        <v>5000</v>
      </c>
      <c r="X96" s="76">
        <v>0</v>
      </c>
      <c r="Y96" s="6">
        <f>IF(Tabla1[[#This Row],[Venta del mes]]&gt;0,Tabla1[[#This Row],[Venta del mes]]+Tabla1[[#This Row],[Ajuste venta nueva]],0)</f>
        <v>5000</v>
      </c>
      <c r="Z96" s="6">
        <f>+Tabla1[[#This Row],[Producción para venta nueva]]-Tabla1[[#This Row],[Facturación Venta nueva]]</f>
        <v>1434.1184578573775</v>
      </c>
      <c r="AA96" s="6">
        <f>IF(AND(A96=1,Tabla1[[#This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6" s="6"/>
      <c r="AC96" s="6">
        <f>IF(Tabla1[[#This Row],[Disponible stock sin venta]]&gt;0,Tabla1[[#This Row],[Disponible stock sin venta]]+Tabla1[[#This Row],[Ajuste stock sin venta]],0)</f>
        <v>0</v>
      </c>
      <c r="AD96" s="3">
        <f>IFERROR(VLOOKUP(Tabla1[[#This Row],[Llave]],'[16]TD Puerto'!$A:$D,4,FALSE),0)</f>
        <v>0</v>
      </c>
      <c r="AE96" s="3">
        <v>10000</v>
      </c>
      <c r="AF96" s="3">
        <f>+Tabla1[[#This Row],[Atraso a facturar]]+Tabla1[[#This Row],[Venta del mes]]+Tabla1[[#This Row],[En puerto a facturar]]+Tabla1[[#This Row],[Disponible stock sin venta]]</f>
        <v>10000</v>
      </c>
      <c r="AG96" s="3">
        <f>+Tabla1[[#This Row],[En puerto a facturar]]</f>
        <v>0</v>
      </c>
      <c r="AH96" s="3">
        <f>+Tabla1[[#This Row],[Facturación atraso]]</f>
        <v>5000</v>
      </c>
      <c r="AI96" s="3">
        <f>+Tabla1[[#This Row],[Plan Irrestricto]]-Tabla1[[#This Row],[Puerto ]]-Tabla1[[#This Row],[Atraso]]</f>
        <v>5000</v>
      </c>
      <c r="AJ96" s="3">
        <f>IF(Tabla1[[#This Row],[Plan Irrestricto]]&gt;0,SUM(Tabla1[[#This Row],[Facturación atraso]],Tabla1[[#This Row],[Facturación Venta nueva]],Tabla1[[#This Row],[Facturación stock]],Tabla1[[#This Row],[En puerto a facturar]]),0)</f>
        <v>10000</v>
      </c>
      <c r="AK96" s="3">
        <f>+Tabla1[[#This Row],[Facturación atraso]]</f>
        <v>5000</v>
      </c>
      <c r="AL96" s="3">
        <f>+Tabla1[[#This Row],[Plan Ajustado]]-Tabla1[[#This Row],[ Atraso ajustado]]-Tabla1[[#This Row],[Puerto ]]</f>
        <v>5000</v>
      </c>
      <c r="AM96" s="3">
        <v>0</v>
      </c>
      <c r="AN96" s="3" t="str">
        <f>IF(Tabla1[[#This Row],[Plan Ajustado]]&gt;Tabla1[[#This Row],[En puerto a facturar]],"Si","No")</f>
        <v>Si</v>
      </c>
      <c r="AO96" s="3">
        <f>IF(AND(Tabla1[[#This Row],[Plan Ajustado]]&gt;0,Tabla1[[#This Row],[Plan Ajustado]]&gt;Tabla1[[#This Row],[En puerto a facturar]]),(Tabla1[[#This Row],[Plan Ajustado]]-Tabla1[[#This Row],[En puerto a facturar]]),0)</f>
        <v>10000</v>
      </c>
      <c r="AP96" s="3">
        <f>IF(Tabla1[[#This Row],[Necesidad]]&gt;=Tabla1[[#This Row],[Stock al día]],Tabla1[[#This Row],[Stock al día]],Tabla1[[#This Row],[Necesidad]])</f>
        <v>4951.9970000000003</v>
      </c>
      <c r="AQ96" s="3">
        <f>+Tabla1[[#This Row],[Necesidad]]-Tabla1[[#This Row],[Stock Plan]]</f>
        <v>5048.0029999999997</v>
      </c>
      <c r="AR96" s="156">
        <f>IFERROR(VLOOKUP(Tabla1[[#This Row],[Oficina]],[22]Ponderación!$B$3:$G$9,6,FALSE),"")</f>
        <v>44754</v>
      </c>
      <c r="AS9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4.17</v>
      </c>
      <c r="AT96" s="83">
        <f>IFERROR(VLOOKUP(Tabla1[[#This Row],[Llave]],[17]DELAY!$H:$W,16,FALSE),0)</f>
        <v>4.3499999999999996</v>
      </c>
      <c r="AU9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4.26</v>
      </c>
      <c r="AV96" s="5">
        <f>+Tabla1[[#This Row],[Plan Ajustado]]*Tabla1[[#This Row],[Precio ponderado]]</f>
        <v>42600</v>
      </c>
      <c r="AW96" s="30">
        <f>IFERROR(VLOOKUP(Tabla1[[#This Row],[Llave]],'[13]Ultimos precios facturados'!$A:$G,7,FALSE),0)</f>
        <v>4.0226816865344555</v>
      </c>
      <c r="AX9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5.8995051549801919E-2</v>
      </c>
      <c r="AY96" s="30"/>
      <c r="AZ96" s="30">
        <f>IF(Tabla1[[#This Row],[Ajuste precio IC]]="",Tabla1[[#This Row],[Precio ponderado]],Tabla1[[#This Row],[Precio ponderado]])</f>
        <v>4.26</v>
      </c>
      <c r="BA96" s="82"/>
      <c r="BB96" s="82" t="str">
        <f>IF(AND(Tabla1[[#This Row],[Atraso a facturar]]&gt;0,Tabla1[[#This Row],[Precio Atraso]]=0),"Revisar","OK")</f>
        <v>OK</v>
      </c>
      <c r="BC96" s="82" t="str">
        <f>IF(AND(Tabla1[[#This Row],[Venta del mes]]&gt;0,Tabla1[[#This Row],[Precio venta nueva]]=0),"Revisar","OK")</f>
        <v>OK</v>
      </c>
      <c r="BD96" s="20">
        <f>IFERROR(VLOOKUP(Tabla1[[#This Row],[Llave]],'[5]Consolidación planes'!$A:$M,9,FALSE),0)</f>
        <v>10000</v>
      </c>
      <c r="BE96" s="20">
        <f>IFERROR(VLOOKUP(Tabla1[[#This Row],[Llave]],'[5]Consolidación planes'!$A:$M,10,FALSE),0)</f>
        <v>10000</v>
      </c>
      <c r="BF96" s="20">
        <f>IFERROR(VLOOKUP(Tabla1[[#This Row],[Llave]],'[5]Consolidación planes'!$A:$M,11,FALSE),0)</f>
        <v>17000</v>
      </c>
      <c r="BG96" s="20">
        <f>IFERROR(VLOOKUP(Tabla1[[#This Row],[Llave]],'[5]Consolidación planes'!$A:$M,12,FALSE),0)</f>
        <v>12000</v>
      </c>
      <c r="BH96" s="20">
        <f>IFERROR(VLOOKUP(Tabla1[[#This Row],[Llave]],'[5]Consolidación planes'!$A:$M,13,FALSE),0)</f>
        <v>8000</v>
      </c>
      <c r="BI96" s="20">
        <f>IFERROR(VLOOKUP(Tabla1[[#This Row],[Llave]],'[13]Base ultimos planes'!$A:$M,13,FALSE),0)</f>
        <v>5000</v>
      </c>
      <c r="BJ96" s="80">
        <f>IFERROR(VLOOKUP(Tabla1[[#This Row],[Llave]],'[13]Base ultimos planes'!$O:$AA,8,FALSE),0)</f>
        <v>42616</v>
      </c>
      <c r="BK96" s="20">
        <f>IFERROR(VLOOKUP(Tabla1[[#This Row],[Llave]],'[13]Base ultimos planes'!$O:$AA,9,FALSE),0)</f>
        <v>41000</v>
      </c>
      <c r="BL96" s="20">
        <f>IFERROR(VLOOKUP(Tabla1[[#This Row],[Llave]],'[13]Base ultimos planes'!$O:$AA,10,FALSE),0)</f>
        <v>66243</v>
      </c>
      <c r="BM96" s="20">
        <f>IFERROR(VLOOKUP(Tabla1[[#This Row],[Llave]],'[13]Base ultimos planes'!$O:$AA,11,FALSE),0)</f>
        <v>49200</v>
      </c>
      <c r="BN96" s="20">
        <f>IFERROR(VLOOKUP(Tabla1[[#This Row],[Llave]],'[13]Base ultimos planes'!$O:$AA,12,FALSE),0)</f>
        <v>31677</v>
      </c>
      <c r="BO96" s="20">
        <f>IFERROR(VLOOKUP(Tabla1[[#This Row],[Llave]],'[13]Base ultimos planes'!$O:$AA,13,FALSE),0)</f>
        <v>19798</v>
      </c>
      <c r="BP96" s="20"/>
      <c r="BQ96" s="20">
        <f>+Tabla1[[#This Row],[ RV  Venta mes n+1]]*(1-Tabla1[[#This Row],[% Uti. producción]])</f>
        <v>2714.0280160763396</v>
      </c>
      <c r="BR96" s="100"/>
    </row>
    <row r="97" spans="1:70" ht="16" x14ac:dyDescent="0.2">
      <c r="A97">
        <v>1</v>
      </c>
      <c r="B97" t="str">
        <f>Tabla1[[#This Row],[Oficina]]&amp;Tabla1[[#This Row],[Material]]</f>
        <v>Agrosuper Asia1022986</v>
      </c>
      <c r="C97" t="s">
        <v>6</v>
      </c>
      <c r="D97" t="s">
        <v>173</v>
      </c>
      <c r="E97">
        <v>1022986</v>
      </c>
      <c r="F97" t="s">
        <v>191</v>
      </c>
      <c r="G97" t="s">
        <v>56</v>
      </c>
      <c r="H97" t="s">
        <v>57</v>
      </c>
      <c r="I97" s="7">
        <f>IFERROR(VLOOKUP(Tabla1[[#This Row],[Llave]],'[7]RV Producción'!$C:$G,5,FALSE),0)</f>
        <v>3271</v>
      </c>
      <c r="J97" s="3">
        <f>IFERROR(IF(Tabla1[[#This Row],[Oficina]]=$I$7,VLOOKUP(Tabla1[[#This Row],[Llave]],'[7]Shangai (Tomas)'!$A:$F,6,FALSE),VLOOKUP(Tabla1[[#This Row],[Llave]],'[7]RV plan de ventas'!$A:$E,5,FALSE)),0)</f>
        <v>0</v>
      </c>
      <c r="K97" s="8">
        <f>IFERROR(VLOOKUP(Tabla1[[#This Row],[Oficina]],[15]Ponderación!$B$2:$E$9,4,FALSE),0)</f>
        <v>0.45719439678473212</v>
      </c>
      <c r="L97" s="7">
        <f>+Tabla1[[#This Row],[ RV Producción mes n+1]]*Tabla1[[#This Row],[% Uti. producción]]</f>
        <v>1495.4828718828587</v>
      </c>
      <c r="M97" s="7">
        <f>IFERROR(VLOOKUP(Tabla1[[#This Row],[Material]],'[17]TD Stock'!$E:$I,5,FALSE),0)</f>
        <v>6028.639000000001</v>
      </c>
      <c r="N97" s="7">
        <f>IFERROR(VLOOKUP(Tabla1[[#This Row],[Material]],[16]Produccion!$M:$N,2,FALSE),0)</f>
        <v>0</v>
      </c>
      <c r="O97" s="7">
        <f>IFERROR(VLOOKUP(Tabla1[[#This Row],[Llave]],'[16]TD Conf-AP'!$I:$M,4,FALSE),0)</f>
        <v>0</v>
      </c>
      <c r="P97" s="14">
        <f>SUM(Tabla1[[#This Row],[Producción disponible]],Tabla1[[#This Row],[Stock al día]],(Tabla1[[#This Row],[Por producir mes N]]*0.9))-Tabla1[[#This Row],[Producción por despachar mes N]]</f>
        <v>7524.1218718828595</v>
      </c>
      <c r="Q97" s="7">
        <f>IFERROR(VLOOKUP(Tabla1[[#This Row],[Llave]],[17]DELAY!$A:$D,4,FALSE),0)</f>
        <v>5000</v>
      </c>
      <c r="R97" s="9">
        <v>5000</v>
      </c>
      <c r="S97" s="5">
        <f t="shared" si="30"/>
        <v>5000</v>
      </c>
      <c r="T97" s="76">
        <v>0</v>
      </c>
      <c r="U97" s="5">
        <f>+Tabla1[[#This Row],[Atraso a facturar]]+Tabla1[[#This Row],[Ajuste atraso]]</f>
        <v>5000</v>
      </c>
      <c r="V97" s="3">
        <f>+Tabla1[[#This Row],[Total disponible]]-Tabla1[[#This Row],[Facturación atraso]]</f>
        <v>2524.1218718828595</v>
      </c>
      <c r="W97" s="6">
        <f>IFERROR(IF(AND(V97&gt;R97,J97&gt;=R97),ROUNDDOWN((Tabla1[[#This Row],[Producción para venta nueva]])/R97,0)*R97,0),0)</f>
        <v>0</v>
      </c>
      <c r="X97" s="76">
        <v>0</v>
      </c>
      <c r="Y97" s="6">
        <f>IF(Tabla1[[#This Row],[Venta del mes]]&gt;0,Tabla1[[#This Row],[Venta del mes]]+Tabla1[[#This Row],[Ajuste venta nueva]],0)</f>
        <v>0</v>
      </c>
      <c r="Z97" s="6">
        <f>+Tabla1[[#This Row],[Producción para venta nueva]]-Tabla1[[#This Row],[Facturación Venta nueva]]</f>
        <v>2524.1218718828595</v>
      </c>
      <c r="AA97" s="6">
        <f>IF(AND(A97=1,Tabla1[[#This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7" s="6"/>
      <c r="AC97" s="6">
        <f>IF(Tabla1[[#This Row],[Disponible stock sin venta]]&gt;0,Tabla1[[#This Row],[Disponible stock sin venta]]+Tabla1[[#This Row],[Ajuste stock sin venta]],0)</f>
        <v>0</v>
      </c>
      <c r="AD97" s="3">
        <f>IFERROR(VLOOKUP(Tabla1[[#This Row],[Llave]],'[16]TD Puerto'!$A:$D,4,FALSE),0)</f>
        <v>0</v>
      </c>
      <c r="AE97" s="3">
        <v>5000</v>
      </c>
      <c r="AF97" s="3">
        <f>+Tabla1[[#This Row],[Atraso a facturar]]+Tabla1[[#This Row],[Venta del mes]]+Tabla1[[#This Row],[En puerto a facturar]]+Tabla1[[#This Row],[Disponible stock sin venta]]</f>
        <v>5000</v>
      </c>
      <c r="AG97" s="3">
        <f>+Tabla1[[#This Row],[En puerto a facturar]]</f>
        <v>0</v>
      </c>
      <c r="AH97" s="3">
        <f>+Tabla1[[#This Row],[Facturación atraso]]</f>
        <v>5000</v>
      </c>
      <c r="AI97" s="3">
        <f>+Tabla1[[#This Row],[Plan Irrestricto]]-Tabla1[[#This Row],[Puerto ]]-Tabla1[[#This Row],[Atraso]]</f>
        <v>0</v>
      </c>
      <c r="AJ97" s="3">
        <f>IF(Tabla1[[#This Row],[Plan Irrestricto]]&gt;0,SUM(Tabla1[[#This Row],[Facturación atraso]],Tabla1[[#This Row],[Facturación Venta nueva]],Tabla1[[#This Row],[Facturación stock]],Tabla1[[#This Row],[En puerto a facturar]]),0)</f>
        <v>5000</v>
      </c>
      <c r="AK97" s="3">
        <f>+Tabla1[[#This Row],[Facturación atraso]]</f>
        <v>5000</v>
      </c>
      <c r="AL97" s="3">
        <f>+Tabla1[[#This Row],[Plan Ajustado]]-Tabla1[[#This Row],[ Atraso ajustado]]-Tabla1[[#This Row],[Puerto ]]</f>
        <v>0</v>
      </c>
      <c r="AM97" s="3">
        <v>0</v>
      </c>
      <c r="AN97" s="3" t="str">
        <f>IF(Tabla1[[#This Row],[Plan Ajustado]]&gt;Tabla1[[#This Row],[En puerto a facturar]],"Si","No")</f>
        <v>Si</v>
      </c>
      <c r="AO97" s="3">
        <f>IF(AND(Tabla1[[#This Row],[Plan Ajustado]]&gt;0,Tabla1[[#This Row],[Plan Ajustado]]&gt;Tabla1[[#This Row],[En puerto a facturar]]),(Tabla1[[#This Row],[Plan Ajustado]]-Tabla1[[#This Row],[En puerto a facturar]]),0)</f>
        <v>5000</v>
      </c>
      <c r="AP97" s="3">
        <f>IF(Tabla1[[#This Row],[Necesidad]]&gt;=Tabla1[[#This Row],[Stock al día]],Tabla1[[#This Row],[Stock al día]],Tabla1[[#This Row],[Necesidad]])</f>
        <v>5000</v>
      </c>
      <c r="AQ97" s="3">
        <f>+Tabla1[[#This Row],[Necesidad]]-Tabla1[[#This Row],[Stock Plan]]</f>
        <v>0</v>
      </c>
      <c r="AR97" s="156">
        <f>IFERROR(VLOOKUP(Tabla1[[#This Row],[Oficina]],[22]Ponderación!$B$3:$G$9,6,FALSE),"")</f>
        <v>44754</v>
      </c>
      <c r="AS9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6.5106754042781025</v>
      </c>
      <c r="AT97" s="83">
        <f>IFERROR(VLOOKUP(Tabla1[[#This Row],[Llave]],[17]DELAY!$H:$W,16,FALSE),0)</f>
        <v>6.2</v>
      </c>
      <c r="AU9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6.2</v>
      </c>
      <c r="AV97" s="5">
        <f>+Tabla1[[#This Row],[Plan Ajustado]]*Tabla1[[#This Row],[Precio ponderado]]</f>
        <v>31000</v>
      </c>
      <c r="AW97" s="30">
        <f>IFERROR(VLOOKUP(Tabla1[[#This Row],[Llave]],'[13]Ultimos precios facturados'!$A:$G,7,FALSE),0)</f>
        <v>6.5106754042781025</v>
      </c>
      <c r="AX9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4.7717845689858922E-2</v>
      </c>
      <c r="AY97" s="30"/>
      <c r="AZ97" s="30">
        <f>IF(Tabla1[[#This Row],[Ajuste precio IC]]="",Tabla1[[#This Row],[Precio ponderado]],Tabla1[[#This Row],[Precio ponderado]])</f>
        <v>6.2</v>
      </c>
      <c r="BA97" s="82"/>
      <c r="BB97" s="82" t="str">
        <f>IF(AND(Tabla1[[#This Row],[Atraso a facturar]]&gt;0,Tabla1[[#This Row],[Precio Atraso]]=0),"Revisar","OK")</f>
        <v>OK</v>
      </c>
      <c r="BC97" s="82" t="str">
        <f>IF(AND(Tabla1[[#This Row],[Venta del mes]]&gt;0,Tabla1[[#This Row],[Precio venta nueva]]=0),"Revisar","OK")</f>
        <v>OK</v>
      </c>
      <c r="BD97" s="20">
        <f>IFERROR(VLOOKUP(Tabla1[[#This Row],[Llave]],'[5]Consolidación planes'!$A:$M,9,FALSE),0)</f>
        <v>20000</v>
      </c>
      <c r="BE97" s="20">
        <f>IFERROR(VLOOKUP(Tabla1[[#This Row],[Llave]],'[5]Consolidación planes'!$A:$M,10,FALSE),0)</f>
        <v>17000</v>
      </c>
      <c r="BF97" s="20">
        <f>IFERROR(VLOOKUP(Tabla1[[#This Row],[Llave]],'[5]Consolidación planes'!$A:$M,11,FALSE),0)</f>
        <v>0</v>
      </c>
      <c r="BG97" s="20">
        <f>IFERROR(VLOOKUP(Tabla1[[#This Row],[Llave]],'[5]Consolidación planes'!$A:$M,12,FALSE),0)</f>
        <v>5000</v>
      </c>
      <c r="BH97" s="20">
        <f>IFERROR(VLOOKUP(Tabla1[[#This Row],[Llave]],'[5]Consolidación planes'!$A:$M,13,FALSE),0)</f>
        <v>7500</v>
      </c>
      <c r="BI97" s="20">
        <f>IFERROR(VLOOKUP(Tabla1[[#This Row],[Llave]],'[13]Base ultimos planes'!$A:$M,13,FALSE),0)</f>
        <v>0</v>
      </c>
      <c r="BJ97" s="80">
        <f>IFERROR(VLOOKUP(Tabla1[[#This Row],[Llave]],'[13]Base ultimos planes'!$O:$AA,8,FALSE),0)</f>
        <v>137818.6667</v>
      </c>
      <c r="BK97" s="20">
        <f>IFERROR(VLOOKUP(Tabla1[[#This Row],[Llave]],'[13]Base ultimos planes'!$O:$AA,9,FALSE),0)</f>
        <v>113900</v>
      </c>
      <c r="BL97" s="20">
        <f>IFERROR(VLOOKUP(Tabla1[[#This Row],[Llave]],'[13]Base ultimos planes'!$O:$AA,10,FALSE),0)</f>
        <v>0</v>
      </c>
      <c r="BM97" s="20">
        <f>IFERROR(VLOOKUP(Tabla1[[#This Row],[Llave]],'[13]Base ultimos planes'!$O:$AA,11,FALSE),0)</f>
        <v>32500</v>
      </c>
      <c r="BN97" s="20">
        <f>IFERROR(VLOOKUP(Tabla1[[#This Row],[Llave]],'[13]Base ultimos planes'!$O:$AA,12,FALSE),0)</f>
        <v>48822</v>
      </c>
      <c r="BO97" s="20">
        <f>IFERROR(VLOOKUP(Tabla1[[#This Row],[Llave]],'[13]Base ultimos planes'!$O:$AA,13,FALSE),0)</f>
        <v>0</v>
      </c>
      <c r="BP97" s="20"/>
      <c r="BQ97" s="20">
        <f>+Tabla1[[#This Row],[ RV  Venta mes n+1]]*(1-Tabla1[[#This Row],[% Uti. producción]])</f>
        <v>0</v>
      </c>
      <c r="BR97" s="100"/>
    </row>
    <row r="98" spans="1:70" ht="16" x14ac:dyDescent="0.2">
      <c r="A98">
        <v>1</v>
      </c>
      <c r="B98" t="str">
        <f>Tabla1[[#This Row],[Oficina]]&amp;Tabla1[[#This Row],[Material]]</f>
        <v>Agrosuper Asia1023037</v>
      </c>
      <c r="C98" t="s">
        <v>6</v>
      </c>
      <c r="D98" t="s">
        <v>173</v>
      </c>
      <c r="E98">
        <v>1023037</v>
      </c>
      <c r="F98" t="s">
        <v>192</v>
      </c>
      <c r="G98" t="s">
        <v>56</v>
      </c>
      <c r="H98" t="s">
        <v>57</v>
      </c>
      <c r="I98" s="7">
        <f>IFERROR(VLOOKUP(Tabla1[[#This Row],[Llave]],'[7]RV Producción'!$C:$G,5,FALSE),0)</f>
        <v>121214</v>
      </c>
      <c r="J98" s="3">
        <f>IFERROR(IF(Tabla1[[#This Row],[Oficina]]=$I$7,VLOOKUP(Tabla1[[#This Row],[Llave]],'[7]Shangai (Tomas)'!$A:$F,6,FALSE),VLOOKUP(Tabla1[[#This Row],[Llave]],'[7]RV plan de ventas'!$A:$E,5,FALSE)),0)</f>
        <v>143000</v>
      </c>
      <c r="K98" s="8">
        <f>IFERROR(VLOOKUP(Tabla1[[#This Row],[Oficina]],[15]Ponderación!$B$2:$E$9,4,FALSE),0)</f>
        <v>0.45719439678473212</v>
      </c>
      <c r="L98" s="7">
        <f>+Tabla1[[#This Row],[ RV Producción mes n+1]]*Tabla1[[#This Row],[% Uti. producción]]</f>
        <v>55418.361611864522</v>
      </c>
      <c r="M98" s="7">
        <f>IFERROR(VLOOKUP(Tabla1[[#This Row],[Material]],'[17]TD Stock'!$E:$I,5,FALSE),0)</f>
        <v>44946.490999999995</v>
      </c>
      <c r="N98" s="7">
        <f>IFERROR(VLOOKUP(Tabla1[[#This Row],[Material]],[16]Produccion!$M:$N,2,FALSE),0)</f>
        <v>0</v>
      </c>
      <c r="O98" s="7">
        <f>IFERROR(VLOOKUP(Tabla1[[#This Row],[Llave]],'[16]TD Conf-AP'!$I:$M,4,FALSE),0)</f>
        <v>0</v>
      </c>
      <c r="P98" s="14">
        <f>SUM(Tabla1[[#This Row],[Producción disponible]],Tabla1[[#This Row],[Stock al día]],(Tabla1[[#This Row],[Por producir mes N]]*0.9))-Tabla1[[#This Row],[Producción por despachar mes N]]</f>
        <v>100364.85261186451</v>
      </c>
      <c r="Q98" s="7">
        <f>IFERROR(VLOOKUP(Tabla1[[#This Row],[Llave]],[17]DELAY!$A:$D,4,FALSE),0)</f>
        <v>11000</v>
      </c>
      <c r="R98" s="9">
        <v>22000</v>
      </c>
      <c r="S98" s="5">
        <f t="shared" si="30"/>
        <v>11000</v>
      </c>
      <c r="T98" s="76">
        <v>0</v>
      </c>
      <c r="U98" s="5">
        <f>+Tabla1[[#This Row],[Atraso a facturar]]+Tabla1[[#This Row],[Ajuste atraso]]</f>
        <v>11000</v>
      </c>
      <c r="V98" s="3">
        <f>+Tabla1[[#This Row],[Total disponible]]-Tabla1[[#This Row],[Facturación atraso]]</f>
        <v>89364.85261186451</v>
      </c>
      <c r="W98" s="6">
        <f>IFERROR(IF(AND(V98&gt;R98,J98&gt;=R98),ROUNDDOWN((Tabla1[[#This Row],[Producción para venta nueva]])/R98,0)*R98,0),0)</f>
        <v>88000</v>
      </c>
      <c r="X98" s="76">
        <v>0</v>
      </c>
      <c r="Y98" s="6">
        <f>IF(Tabla1[[#This Row],[Venta del mes]]&gt;0,Tabla1[[#This Row],[Venta del mes]]+Tabla1[[#This Row],[Ajuste venta nueva]],0)</f>
        <v>88000</v>
      </c>
      <c r="Z98" s="6">
        <f>+Tabla1[[#This Row],[Producción para venta nueva]]-Tabla1[[#This Row],[Facturación Venta nueva]]</f>
        <v>1364.8526118645095</v>
      </c>
      <c r="AA98" s="6">
        <f>IF(AND(A98=1,Tabla1[[#This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8" s="6"/>
      <c r="AC98" s="6">
        <f>IF(Tabla1[[#This Row],[Disponible stock sin venta]]&gt;0,Tabla1[[#This Row],[Disponible stock sin venta]]+Tabla1[[#This Row],[Ajuste stock sin venta]],0)</f>
        <v>0</v>
      </c>
      <c r="AD98" s="3">
        <f>IFERROR(VLOOKUP(Tabla1[[#This Row],[Llave]],'[16]TD Puerto'!$A:$D,4,FALSE),0)</f>
        <v>0</v>
      </c>
      <c r="AE98" s="3">
        <v>99000</v>
      </c>
      <c r="AF98" s="3">
        <f>+Tabla1[[#This Row],[Atraso a facturar]]+Tabla1[[#This Row],[Venta del mes]]+Tabla1[[#This Row],[En puerto a facturar]]+Tabla1[[#This Row],[Disponible stock sin venta]]</f>
        <v>99000</v>
      </c>
      <c r="AG98" s="3">
        <f>+Tabla1[[#This Row],[En puerto a facturar]]</f>
        <v>0</v>
      </c>
      <c r="AH98" s="3">
        <f>+Tabla1[[#This Row],[Facturación atraso]]</f>
        <v>11000</v>
      </c>
      <c r="AI98" s="3">
        <f>+Tabla1[[#This Row],[Plan Irrestricto]]-Tabla1[[#This Row],[Puerto ]]-Tabla1[[#This Row],[Atraso]]</f>
        <v>88000</v>
      </c>
      <c r="AJ98" s="3">
        <f>IF(Tabla1[[#This Row],[Plan Irrestricto]]&gt;0,SUM(Tabla1[[#This Row],[Facturación atraso]],Tabla1[[#This Row],[Facturación Venta nueva]],Tabla1[[#This Row],[Facturación stock]],Tabla1[[#This Row],[En puerto a facturar]]),0)</f>
        <v>99000</v>
      </c>
      <c r="AK98" s="3">
        <f>+Tabla1[[#This Row],[Facturación atraso]]</f>
        <v>11000</v>
      </c>
      <c r="AL98" s="3">
        <f>+Tabla1[[#This Row],[Plan Ajustado]]-Tabla1[[#This Row],[ Atraso ajustado]]-Tabla1[[#This Row],[Puerto ]]</f>
        <v>88000</v>
      </c>
      <c r="AM98" s="3">
        <v>0</v>
      </c>
      <c r="AN98" s="3" t="str">
        <f>IF(Tabla1[[#This Row],[Plan Ajustado]]&gt;Tabla1[[#This Row],[En puerto a facturar]],"Si","No")</f>
        <v>Si</v>
      </c>
      <c r="AO98" s="3">
        <f>IF(AND(Tabla1[[#This Row],[Plan Ajustado]]&gt;0,Tabla1[[#This Row],[Plan Ajustado]]&gt;Tabla1[[#This Row],[En puerto a facturar]]),(Tabla1[[#This Row],[Plan Ajustado]]-Tabla1[[#This Row],[En puerto a facturar]]),0)</f>
        <v>99000</v>
      </c>
      <c r="AP98" s="3">
        <f>IF(Tabla1[[#This Row],[Necesidad]]&gt;=Tabla1[[#This Row],[Stock al día]],Tabla1[[#This Row],[Stock al día]],Tabla1[[#This Row],[Necesidad]])</f>
        <v>44946.490999999995</v>
      </c>
      <c r="AQ98" s="3">
        <f>+Tabla1[[#This Row],[Necesidad]]-Tabla1[[#This Row],[Stock Plan]]</f>
        <v>54053.509000000005</v>
      </c>
      <c r="AR98" s="156">
        <f>IFERROR(VLOOKUP(Tabla1[[#This Row],[Oficina]],[22]Ponderación!$B$3:$G$9,6,FALSE),"")</f>
        <v>44754</v>
      </c>
      <c r="AS9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6.32</v>
      </c>
      <c r="AT98" s="83">
        <f>IFERROR(VLOOKUP(Tabla1[[#This Row],[Llave]],[17]DELAY!$H:$W,16,FALSE),0)</f>
        <v>6.2682692307692305</v>
      </c>
      <c r="AU9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6.3142521367521365</v>
      </c>
      <c r="AV98" s="5">
        <f>+Tabla1[[#This Row],[Plan Ajustado]]*Tabla1[[#This Row],[Precio ponderado]]</f>
        <v>625110.9615384615</v>
      </c>
      <c r="AW98" s="30">
        <f>IFERROR(VLOOKUP(Tabla1[[#This Row],[Llave]],'[13]Ultimos precios facturados'!$A:$G,7,FALSE),0)</f>
        <v>6.2516628229335334</v>
      </c>
      <c r="AX9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1.0011626601006237E-2</v>
      </c>
      <c r="AY98" s="30"/>
      <c r="AZ98" s="30">
        <f>IF(Tabla1[[#This Row],[Ajuste precio IC]]="",Tabla1[[#This Row],[Precio ponderado]],Tabla1[[#This Row],[Precio ponderado]])</f>
        <v>6.3142521367521365</v>
      </c>
      <c r="BA98" s="82"/>
      <c r="BB98" s="82" t="str">
        <f>IF(AND(Tabla1[[#This Row],[Atraso a facturar]]&gt;0,Tabla1[[#This Row],[Precio Atraso]]=0),"Revisar","OK")</f>
        <v>OK</v>
      </c>
      <c r="BC98" s="82" t="str">
        <f>IF(AND(Tabla1[[#This Row],[Venta del mes]]&gt;0,Tabla1[[#This Row],[Precio venta nueva]]=0),"Revisar","OK")</f>
        <v>OK</v>
      </c>
      <c r="BD98" s="20">
        <f>IFERROR(VLOOKUP(Tabla1[[#This Row],[Llave]],'[5]Consolidación planes'!$A:$M,9,FALSE),0)</f>
        <v>66000</v>
      </c>
      <c r="BE98" s="20">
        <f>IFERROR(VLOOKUP(Tabla1[[#This Row],[Llave]],'[5]Consolidación planes'!$A:$M,10,FALSE),0)</f>
        <v>110000</v>
      </c>
      <c r="BF98" s="20">
        <f>IFERROR(VLOOKUP(Tabla1[[#This Row],[Llave]],'[5]Consolidación planes'!$A:$M,11,FALSE),0)</f>
        <v>176000</v>
      </c>
      <c r="BG98" s="20">
        <f>IFERROR(VLOOKUP(Tabla1[[#This Row],[Llave]],'[5]Consolidación planes'!$A:$M,12,FALSE),0)</f>
        <v>176000</v>
      </c>
      <c r="BH98" s="20">
        <f>IFERROR(VLOOKUP(Tabla1[[#This Row],[Llave]],'[5]Consolidación planes'!$A:$M,13,FALSE),0)</f>
        <v>99000</v>
      </c>
      <c r="BI98" s="20">
        <f>IFERROR(VLOOKUP(Tabla1[[#This Row],[Llave]],'[13]Base ultimos planes'!$A:$M,13,FALSE),0)</f>
        <v>143000</v>
      </c>
      <c r="BJ98" s="80">
        <f>IFERROR(VLOOKUP(Tabla1[[#This Row],[Llave]],'[13]Base ultimos planes'!$O:$AA,8,FALSE),0)</f>
        <v>465306.14689999999</v>
      </c>
      <c r="BK98" s="20">
        <f>IFERROR(VLOOKUP(Tabla1[[#This Row],[Llave]],'[13]Base ultimos planes'!$O:$AA,9,FALSE),0)</f>
        <v>743600</v>
      </c>
      <c r="BL98" s="20">
        <f>IFERROR(VLOOKUP(Tabla1[[#This Row],[Llave]],'[13]Base ultimos planes'!$O:$AA,10,FALSE),0)</f>
        <v>1096480</v>
      </c>
      <c r="BM98" s="20">
        <f>IFERROR(VLOOKUP(Tabla1[[#This Row],[Llave]],'[13]Base ultimos planes'!$O:$AA,11,FALSE),0)</f>
        <v>1099808</v>
      </c>
      <c r="BN98" s="20">
        <f>IFERROR(VLOOKUP(Tabla1[[#This Row],[Llave]],'[13]Base ultimos planes'!$O:$AA,12,FALSE),0)</f>
        <v>613267</v>
      </c>
      <c r="BO98" s="20">
        <f>IFERROR(VLOOKUP(Tabla1[[#This Row],[Llave]],'[13]Base ultimos planes'!$O:$AA,13,FALSE),0)</f>
        <v>899875</v>
      </c>
      <c r="BP98" s="20"/>
      <c r="BQ98" s="20">
        <f>+Tabla1[[#This Row],[ RV  Venta mes n+1]]*(1-Tabla1[[#This Row],[% Uti. producción]])</f>
        <v>77621.201259783309</v>
      </c>
      <c r="BR98" s="100"/>
    </row>
    <row r="99" spans="1:70" ht="16" x14ac:dyDescent="0.2">
      <c r="A99">
        <v>1</v>
      </c>
      <c r="B99" t="str">
        <f>Tabla1[[#This Row],[Oficina]]&amp;Tabla1[[#This Row],[Material]]</f>
        <v>Agrosuper Asia1023038</v>
      </c>
      <c r="C99" t="s">
        <v>6</v>
      </c>
      <c r="D99" t="s">
        <v>173</v>
      </c>
      <c r="E99">
        <v>1023038</v>
      </c>
      <c r="F99" t="s">
        <v>185</v>
      </c>
      <c r="G99" t="s">
        <v>50</v>
      </c>
      <c r="H99" t="s">
        <v>110</v>
      </c>
      <c r="I99" s="7">
        <f>IFERROR(VLOOKUP(Tabla1[[#This Row],[Llave]],'[7]RV Producción'!$C:$G,5,FALSE),0)</f>
        <v>150411</v>
      </c>
      <c r="J99" s="3">
        <f>IFERROR(IF(Tabla1[[#This Row],[Oficina]]=$I$7,VLOOKUP(Tabla1[[#This Row],[Llave]],'[7]Shangai (Tomas)'!$A:$F,6,FALSE),VLOOKUP(Tabla1[[#This Row],[Llave]],'[7]RV plan de ventas'!$A:$E,5,FALSE)),0)</f>
        <v>141000</v>
      </c>
      <c r="K99" s="8">
        <f>IFERROR(VLOOKUP(Tabla1[[#This Row],[Oficina]],[15]Ponderación!$B$2:$E$9,4,FALSE),0)</f>
        <v>0.45719439678473212</v>
      </c>
      <c r="L99" s="7">
        <f>+Tabla1[[#This Row],[ RV Producción mes n+1]]*Tabla1[[#This Row],[% Uti. producción]]</f>
        <v>68767.066414788336</v>
      </c>
      <c r="M99" s="7">
        <f>IFERROR(VLOOKUP(Tabla1[[#This Row],[Material]],'[17]TD Stock'!$E:$I,5,FALSE),0)</f>
        <v>46170.541999999979</v>
      </c>
      <c r="N99" s="7">
        <f>IFERROR(VLOOKUP(Tabla1[[#This Row],[Material]],[16]Produccion!$M:$N,2,FALSE),0)</f>
        <v>26559</v>
      </c>
      <c r="O99" s="7">
        <f>IFERROR(VLOOKUP(Tabla1[[#This Row],[Llave]],'[16]TD Conf-AP'!$I:$M,4,FALSE),0)</f>
        <v>0</v>
      </c>
      <c r="P99" s="14">
        <f>SUM(Tabla1[[#This Row],[Producción disponible]],Tabla1[[#This Row],[Stock al día]],(Tabla1[[#This Row],[Por producir mes N]]*0.9))-Tabla1[[#This Row],[Producción por despachar mes N]]</f>
        <v>138840.70841478833</v>
      </c>
      <c r="Q99" s="7">
        <f>IFERROR(VLOOKUP(Tabla1[[#This Row],[Llave]],[17]DELAY!$A:$D,4,FALSE),0)</f>
        <v>55000</v>
      </c>
      <c r="R99" s="9">
        <v>22000</v>
      </c>
      <c r="S99" s="5">
        <f t="shared" si="30"/>
        <v>55000</v>
      </c>
      <c r="T99" s="76">
        <v>0</v>
      </c>
      <c r="U99" s="5">
        <f>+Tabla1[[#This Row],[Atraso a facturar]]+Tabla1[[#This Row],[Ajuste atraso]]</f>
        <v>55000</v>
      </c>
      <c r="V99" s="3">
        <f>+Tabla1[[#This Row],[Total disponible]]-Tabla1[[#This Row],[Facturación atraso]]</f>
        <v>83840.708414788329</v>
      </c>
      <c r="W99" s="6">
        <f>IFERROR(IF(AND(V99&gt;R99,J99&gt;=R99),ROUNDDOWN((Tabla1[[#This Row],[Producción para venta nueva]])/R99,0)*R99,0),0)</f>
        <v>66000</v>
      </c>
      <c r="X99" s="76">
        <v>0</v>
      </c>
      <c r="Y99" s="6">
        <f>IF(Tabla1[[#This Row],[Venta del mes]]&gt;0,Tabla1[[#This Row],[Venta del mes]]+Tabla1[[#This Row],[Ajuste venta nueva]],0)</f>
        <v>66000</v>
      </c>
      <c r="Z99" s="6">
        <f>+Tabla1[[#This Row],[Producción para venta nueva]]-Tabla1[[#This Row],[Facturación Venta nueva]]</f>
        <v>17840.708414788329</v>
      </c>
      <c r="AA99" s="6">
        <f>IF(AND(A99=1,Tabla1[[#This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99" s="6"/>
      <c r="AC99" s="6">
        <f>IF(Tabla1[[#This Row],[Disponible stock sin venta]]&gt;0,Tabla1[[#This Row],[Disponible stock sin venta]]+Tabla1[[#This Row],[Ajuste stock sin venta]],0)</f>
        <v>0</v>
      </c>
      <c r="AD99" s="3">
        <f>IFERROR(VLOOKUP(Tabla1[[#This Row],[Llave]],'[16]TD Puerto'!$A:$D,4,FALSE),0)</f>
        <v>22010.71</v>
      </c>
      <c r="AE99" s="3">
        <v>143010.71</v>
      </c>
      <c r="AF99" s="3">
        <f>+Tabla1[[#This Row],[Atraso a facturar]]+Tabla1[[#This Row],[Venta del mes]]+Tabla1[[#This Row],[En puerto a facturar]]+Tabla1[[#This Row],[Disponible stock sin venta]]</f>
        <v>143010.71</v>
      </c>
      <c r="AG99" s="3">
        <f>+Tabla1[[#This Row],[En puerto a facturar]]</f>
        <v>22010.71</v>
      </c>
      <c r="AH99" s="3">
        <f>+Tabla1[[#This Row],[Facturación atraso]]</f>
        <v>55000</v>
      </c>
      <c r="AI99" s="3">
        <f>+Tabla1[[#This Row],[Plan Irrestricto]]-Tabla1[[#This Row],[Puerto ]]-Tabla1[[#This Row],[Atraso]]</f>
        <v>66000</v>
      </c>
      <c r="AJ99" s="3">
        <f>IF(Tabla1[[#This Row],[Plan Irrestricto]]&gt;0,SUM(Tabla1[[#This Row],[Facturación atraso]],Tabla1[[#This Row],[Facturación Venta nueva]],Tabla1[[#This Row],[Facturación stock]],Tabla1[[#This Row],[En puerto a facturar]]),0)</f>
        <v>143010.71</v>
      </c>
      <c r="AK99" s="3">
        <f>+Tabla1[[#This Row],[Facturación atraso]]</f>
        <v>55000</v>
      </c>
      <c r="AL99" s="3">
        <f>+Tabla1[[#This Row],[Plan Ajustado]]-Tabla1[[#This Row],[ Atraso ajustado]]-Tabla1[[#This Row],[Puerto ]]</f>
        <v>66000</v>
      </c>
      <c r="AM99" s="3">
        <v>0</v>
      </c>
      <c r="AN99" s="3" t="str">
        <f>IF(Tabla1[[#This Row],[Plan Ajustado]]&gt;Tabla1[[#This Row],[En puerto a facturar]],"Si","No")</f>
        <v>Si</v>
      </c>
      <c r="AO99" s="3">
        <f>IF(AND(Tabla1[[#This Row],[Plan Ajustado]]&gt;0,Tabla1[[#This Row],[Plan Ajustado]]&gt;Tabla1[[#This Row],[En puerto a facturar]]),(Tabla1[[#This Row],[Plan Ajustado]]-Tabla1[[#This Row],[En puerto a facturar]]),0)</f>
        <v>121000</v>
      </c>
      <c r="AP99" s="3">
        <f>IF(Tabla1[[#This Row],[Necesidad]]&gt;=Tabla1[[#This Row],[Stock al día]],Tabla1[[#This Row],[Stock al día]],Tabla1[[#This Row],[Necesidad]])</f>
        <v>46170.541999999979</v>
      </c>
      <c r="AQ99" s="3">
        <f>+Tabla1[[#This Row],[Necesidad]]-Tabla1[[#This Row],[Stock Plan]]</f>
        <v>74829.458000000013</v>
      </c>
      <c r="AR99" s="156">
        <f>IFERROR(VLOOKUP(Tabla1[[#This Row],[Oficina]],[22]Ponderación!$B$3:$G$9,6,FALSE),"")</f>
        <v>44754</v>
      </c>
      <c r="AS9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4.2699999999999996</v>
      </c>
      <c r="AT99" s="83">
        <f>IFERROR(VLOOKUP(Tabla1[[#This Row],[Llave]],[17]DELAY!$H:$W,16,FALSE),0)</f>
        <v>4.4443181818181801</v>
      </c>
      <c r="AU9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4.3638696615639994</v>
      </c>
      <c r="AV99" s="5">
        <f>+Tabla1[[#This Row],[Plan Ajustado]]*Tabla1[[#This Row],[Precio ponderado]]</f>
        <v>624080.09864772717</v>
      </c>
      <c r="AW99" s="30">
        <f>IFERROR(VLOOKUP(Tabla1[[#This Row],[Llave]],'[13]Ultimos precios facturados'!$A:$G,7,FALSE),0)</f>
        <v>4.2907324198450656</v>
      </c>
      <c r="AX9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1.7045397979297595E-2</v>
      </c>
      <c r="AY99" s="30"/>
      <c r="AZ99" s="30">
        <f>IF(Tabla1[[#This Row],[Ajuste precio IC]]="",Tabla1[[#This Row],[Precio ponderado]],Tabla1[[#This Row],[Precio ponderado]])</f>
        <v>4.3638696615639994</v>
      </c>
      <c r="BA99" s="82"/>
      <c r="BB99" s="82" t="str">
        <f>IF(AND(Tabla1[[#This Row],[Atraso a facturar]]&gt;0,Tabla1[[#This Row],[Precio Atraso]]=0),"Revisar","OK")</f>
        <v>OK</v>
      </c>
      <c r="BC99" s="82" t="str">
        <f>IF(AND(Tabla1[[#This Row],[Venta del mes]]&gt;0,Tabla1[[#This Row],[Precio venta nueva]]=0),"Revisar","OK")</f>
        <v>OK</v>
      </c>
      <c r="BD99" s="20">
        <f>IFERROR(VLOOKUP(Tabla1[[#This Row],[Llave]],'[5]Consolidación planes'!$A:$M,9,FALSE),0)</f>
        <v>66000</v>
      </c>
      <c r="BE99" s="20">
        <f>IFERROR(VLOOKUP(Tabla1[[#This Row],[Llave]],'[5]Consolidación planes'!$A:$M,10,FALSE),0)</f>
        <v>77000</v>
      </c>
      <c r="BF99" s="20">
        <f>IFERROR(VLOOKUP(Tabla1[[#This Row],[Llave]],'[5]Consolidación planes'!$A:$M,11,FALSE),0)</f>
        <v>77000</v>
      </c>
      <c r="BG99" s="20">
        <f>IFERROR(VLOOKUP(Tabla1[[#This Row],[Llave]],'[5]Consolidación planes'!$A:$M,12,FALSE),0)</f>
        <v>66000</v>
      </c>
      <c r="BH99" s="20">
        <f>IFERROR(VLOOKUP(Tabla1[[#This Row],[Llave]],'[5]Consolidación planes'!$A:$M,13,FALSE),0)</f>
        <v>113643</v>
      </c>
      <c r="BI99" s="20">
        <f>IFERROR(VLOOKUP(Tabla1[[#This Row],[Llave]],'[13]Base ultimos planes'!$A:$M,13,FALSE),0)</f>
        <v>77000</v>
      </c>
      <c r="BJ99" s="80">
        <f>IFERROR(VLOOKUP(Tabla1[[#This Row],[Llave]],'[13]Base ultimos planes'!$O:$AA,8,FALSE),0)</f>
        <v>290424.40000000002</v>
      </c>
      <c r="BK99" s="20">
        <f>IFERROR(VLOOKUP(Tabla1[[#This Row],[Llave]],'[13]Base ultimos planes'!$O:$AA,9,FALSE),0)</f>
        <v>315700</v>
      </c>
      <c r="BL99" s="20">
        <f>IFERROR(VLOOKUP(Tabla1[[#This Row],[Llave]],'[13]Base ultimos planes'!$O:$AA,10,FALSE),0)</f>
        <v>310310</v>
      </c>
      <c r="BM99" s="20">
        <f>IFERROR(VLOOKUP(Tabla1[[#This Row],[Llave]],'[13]Base ultimos planes'!$O:$AA,11,FALSE),0)</f>
        <v>272657</v>
      </c>
      <c r="BN99" s="20">
        <f>IFERROR(VLOOKUP(Tabla1[[#This Row],[Llave]],'[13]Base ultimos planes'!$O:$AA,12,FALSE),0)</f>
        <v>467607</v>
      </c>
      <c r="BO99" s="20">
        <f>IFERROR(VLOOKUP(Tabla1[[#This Row],[Llave]],'[13]Base ultimos planes'!$O:$AA,13,FALSE),0)</f>
        <v>330247</v>
      </c>
      <c r="BP99" s="20"/>
      <c r="BQ99" s="20">
        <f>+Tabla1[[#This Row],[ RV  Venta mes n+1]]*(1-Tabla1[[#This Row],[% Uti. producción]])</f>
        <v>76535.590053352775</v>
      </c>
      <c r="BR99" s="100"/>
    </row>
    <row r="100" spans="1:70" ht="16" hidden="1" x14ac:dyDescent="0.2">
      <c r="A100">
        <v>1</v>
      </c>
      <c r="B100" t="str">
        <f>Tabla1[[#This Row],[Oficina]]&amp;Tabla1[[#This Row],[Material]]</f>
        <v>Agrosuper Asia1023090</v>
      </c>
      <c r="C100" t="s">
        <v>6</v>
      </c>
      <c r="D100" t="s">
        <v>173</v>
      </c>
      <c r="E100">
        <v>1023090</v>
      </c>
      <c r="F100" t="s">
        <v>193</v>
      </c>
      <c r="G100" t="s">
        <v>56</v>
      </c>
      <c r="H100" t="s">
        <v>57</v>
      </c>
      <c r="I100" s="7">
        <f>IFERROR(VLOOKUP(Tabla1[[#This Row],[Llave]],'[7]RV Producción'!$C:$G,5,FALSE),0)</f>
        <v>21208</v>
      </c>
      <c r="J100" s="3">
        <f>IFERROR(IF(Tabla1[[#This Row],[Oficina]]=$I$7,VLOOKUP(Tabla1[[#This Row],[Llave]],'[7]Shangai (Tomas)'!$A:$F,6,FALSE),VLOOKUP(Tabla1[[#This Row],[Llave]],'[7]RV plan de ventas'!$A:$E,5,FALSE)),0)</f>
        <v>22000</v>
      </c>
      <c r="K100" s="8">
        <f>IFERROR(VLOOKUP(Tabla1[[#This Row],[Oficina]],[15]Ponderación!$B$2:$E$9,4,FALSE),0)</f>
        <v>0.45719439678473212</v>
      </c>
      <c r="L100" s="7">
        <f>+Tabla1[[#This Row],[ RV Producción mes n+1]]*Tabla1[[#This Row],[% Uti. producción]]</f>
        <v>9696.1787670105987</v>
      </c>
      <c r="M100" s="7">
        <f>IFERROR(VLOOKUP(Tabla1[[#This Row],[Material]],'[17]TD Stock'!$E:$I,5,FALSE),0)</f>
        <v>1151.895</v>
      </c>
      <c r="N100" s="7">
        <f>IFERROR(VLOOKUP(Tabla1[[#This Row],[Material]],[16]Produccion!$M:$N,2,FALSE),0)</f>
        <v>10842.823014839933</v>
      </c>
      <c r="O100" s="7">
        <f>IFERROR(VLOOKUP(Tabla1[[#This Row],[Llave]],'[16]TD Conf-AP'!$I:$M,4,FALSE),0)</f>
        <v>0</v>
      </c>
      <c r="P100" s="14">
        <f>SUM(Tabla1[[#This Row],[Producción disponible]],Tabla1[[#This Row],[Stock al día]],(Tabla1[[#This Row],[Por producir mes N]]*0.9))-Tabla1[[#This Row],[Producción por despachar mes N]]</f>
        <v>20606.614480366537</v>
      </c>
      <c r="Q100" s="7">
        <f>IFERROR(VLOOKUP(Tabla1[[#This Row],[Llave]],[17]DELAY!$A:$D,4,FALSE),0)</f>
        <v>22000</v>
      </c>
      <c r="R100" s="9">
        <v>22000</v>
      </c>
      <c r="S100" s="5">
        <f t="shared" si="30"/>
        <v>0</v>
      </c>
      <c r="T100" s="76">
        <v>0</v>
      </c>
      <c r="U100" s="5">
        <f>+Tabla1[[#This Row],[Atraso a facturar]]+Tabla1[[#This Row],[Ajuste atraso]]</f>
        <v>0</v>
      </c>
      <c r="V100" s="3">
        <f>+Tabla1[[#This Row],[Total disponible]]-Tabla1[[#This Row],[Facturación atraso]]</f>
        <v>20606.614480366537</v>
      </c>
      <c r="W100" s="6">
        <f>IFERROR(IF(AND(V100&gt;R100,J100&gt;=R100),ROUNDDOWN((Tabla1[[#This Row],[Producción para venta nueva]])/R100,0)*R100,0),0)</f>
        <v>0</v>
      </c>
      <c r="X100" s="76">
        <v>0</v>
      </c>
      <c r="Y100" s="6">
        <f>IF(Tabla1[[#This Row],[Venta del mes]]&gt;0,Tabla1[[#This Row],[Venta del mes]]+Tabla1[[#This Row],[Ajuste venta nueva]],0)</f>
        <v>0</v>
      </c>
      <c r="Z100" s="6">
        <f>+Tabla1[[#This Row],[Producción para venta nueva]]-Tabla1[[#This Row],[Facturación Venta nueva]]</f>
        <v>20606.614480366537</v>
      </c>
      <c r="AA100" s="6">
        <f>IF(AND(A100=1,Tabla1[[#This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0" s="6"/>
      <c r="AC100" s="6">
        <f>IF(Tabla1[[#This Row],[Disponible stock sin venta]]&gt;0,Tabla1[[#This Row],[Disponible stock sin venta]]+Tabla1[[#This Row],[Ajuste stock sin venta]],0)</f>
        <v>0</v>
      </c>
      <c r="AD100" s="3">
        <f>IFERROR(VLOOKUP(Tabla1[[#This Row],[Llave]],'[16]TD Puerto'!$A:$D,4,FALSE),0)</f>
        <v>0</v>
      </c>
      <c r="AE100" s="3">
        <v>0</v>
      </c>
      <c r="AF100" s="3">
        <f>+Tabla1[[#This Row],[Atraso a facturar]]+Tabla1[[#This Row],[Venta del mes]]+Tabla1[[#This Row],[En puerto a facturar]]+Tabla1[[#This Row],[Disponible stock sin venta]]</f>
        <v>0</v>
      </c>
      <c r="AG100" s="3">
        <f>+Tabla1[[#This Row],[En puerto a facturar]]</f>
        <v>0</v>
      </c>
      <c r="AH100" s="3">
        <f>+Tabla1[[#This Row],[Facturación atraso]]</f>
        <v>0</v>
      </c>
      <c r="AI100" s="3">
        <f>+Tabla1[[#This Row],[Plan Irrestricto]]-Tabla1[[#This Row],[Puerto ]]-Tabla1[[#This Row],[Atraso]]</f>
        <v>0</v>
      </c>
      <c r="AJ10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00" s="3">
        <f>+Tabla1[[#This Row],[Facturación atraso]]</f>
        <v>0</v>
      </c>
      <c r="AL100" s="3">
        <f>+Tabla1[[#This Row],[Plan Ajustado]]-Tabla1[[#This Row],[ Atraso ajustado]]-Tabla1[[#This Row],[Puerto ]]</f>
        <v>0</v>
      </c>
      <c r="AM100" s="3">
        <v>0</v>
      </c>
      <c r="AN100" s="3" t="str">
        <f>IF(Tabla1[[#This Row],[Plan Ajustado]]&gt;Tabla1[[#This Row],[En puerto a facturar]],"Si","No")</f>
        <v>No</v>
      </c>
      <c r="AO10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00" s="3">
        <f>IF(Tabla1[[#This Row],[Necesidad]]&gt;=Tabla1[[#This Row],[Stock al día]],Tabla1[[#This Row],[Stock al día]],Tabla1[[#This Row],[Necesidad]])</f>
        <v>0</v>
      </c>
      <c r="AQ100" s="3">
        <f>+Tabla1[[#This Row],[Necesidad]]-Tabla1[[#This Row],[Stock Plan]]</f>
        <v>0</v>
      </c>
      <c r="AR100" s="156">
        <f>IFERROR(VLOOKUP(Tabla1[[#This Row],[Oficina]],[22]Ponderación!$B$3:$G$9,6,FALSE),"")</f>
        <v>44754</v>
      </c>
      <c r="AS10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6.42</v>
      </c>
      <c r="AT100" s="83">
        <f>IFERROR(VLOOKUP(Tabla1[[#This Row],[Llave]],[17]DELAY!$H:$W,16,FALSE),0)</f>
        <v>6.5</v>
      </c>
      <c r="AU10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00" s="5">
        <f>+Tabla1[[#This Row],[Plan Ajustado]]*Tabla1[[#This Row],[Precio ponderado]]</f>
        <v>0</v>
      </c>
      <c r="AW100" s="30">
        <f>IFERROR(VLOOKUP(Tabla1[[#This Row],[Llave]],'[13]Ultimos precios facturados'!$A:$G,7,FALSE),0)</f>
        <v>6.315884412690874</v>
      </c>
      <c r="AX10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00" s="30"/>
      <c r="AZ100" s="30">
        <f>IF(Tabla1[[#This Row],[Ajuste precio IC]]="",Tabla1[[#This Row],[Precio ponderado]],Tabla1[[#This Row],[Precio ponderado]])</f>
        <v>0</v>
      </c>
      <c r="BA100" s="82"/>
      <c r="BB100" s="82" t="str">
        <f>IF(AND(Tabla1[[#This Row],[Atraso a facturar]]&gt;0,Tabla1[[#This Row],[Precio Atraso]]=0),"Revisar","OK")</f>
        <v>OK</v>
      </c>
      <c r="BC100" s="82" t="str">
        <f>IF(AND(Tabla1[[#This Row],[Venta del mes]]&gt;0,Tabla1[[#This Row],[Precio venta nueva]]=0),"Revisar","OK")</f>
        <v>OK</v>
      </c>
      <c r="BD100" s="20">
        <f>IFERROR(VLOOKUP(Tabla1[[#This Row],[Llave]],'[5]Consolidación planes'!$A:$M,9,FALSE),0)</f>
        <v>22000</v>
      </c>
      <c r="BE100" s="20">
        <f>IFERROR(VLOOKUP(Tabla1[[#This Row],[Llave]],'[5]Consolidación planes'!$A:$M,10,FALSE),0)</f>
        <v>22000</v>
      </c>
      <c r="BF100" s="20">
        <f>IFERROR(VLOOKUP(Tabla1[[#This Row],[Llave]],'[5]Consolidación planes'!$A:$M,11,FALSE),0)</f>
        <v>22000</v>
      </c>
      <c r="BG100" s="20">
        <f>IFERROR(VLOOKUP(Tabla1[[#This Row],[Llave]],'[5]Consolidación planes'!$A:$M,12,FALSE),0)</f>
        <v>22000</v>
      </c>
      <c r="BH100" s="20">
        <f>IFERROR(VLOOKUP(Tabla1[[#This Row],[Llave]],'[5]Consolidación planes'!$A:$M,13,FALSE),0)</f>
        <v>22008</v>
      </c>
      <c r="BI100" s="20">
        <f>IFERROR(VLOOKUP(Tabla1[[#This Row],[Llave]],'[13]Base ultimos planes'!$A:$M,13,FALSE),0)</f>
        <v>22000</v>
      </c>
      <c r="BJ100" s="80">
        <f>IFERROR(VLOOKUP(Tabla1[[#This Row],[Llave]],'[13]Base ultimos planes'!$O:$AA,8,FALSE),0)</f>
        <v>149600</v>
      </c>
      <c r="BK100" s="20">
        <f>IFERROR(VLOOKUP(Tabla1[[#This Row],[Llave]],'[13]Base ultimos planes'!$O:$AA,9,FALSE),0)</f>
        <v>147400</v>
      </c>
      <c r="BL100" s="20">
        <f>IFERROR(VLOOKUP(Tabla1[[#This Row],[Llave]],'[13]Base ultimos planes'!$O:$AA,10,FALSE),0)</f>
        <v>144100</v>
      </c>
      <c r="BM100" s="20">
        <f>IFERROR(VLOOKUP(Tabla1[[#This Row],[Llave]],'[13]Base ultimos planes'!$O:$AA,11,FALSE),0)</f>
        <v>137060</v>
      </c>
      <c r="BN100" s="20">
        <f>IFERROR(VLOOKUP(Tabla1[[#This Row],[Llave]],'[13]Base ultimos planes'!$O:$AA,12,FALSE),0)</f>
        <v>138925</v>
      </c>
      <c r="BO100" s="20">
        <f>IFERROR(VLOOKUP(Tabla1[[#This Row],[Llave]],'[13]Base ultimos planes'!$O:$AA,13,FALSE),0)</f>
        <v>143000</v>
      </c>
      <c r="BP100" s="20"/>
      <c r="BQ100" s="20">
        <f>+Tabla1[[#This Row],[ RV  Venta mes n+1]]*(1-Tabla1[[#This Row],[% Uti. producción]])</f>
        <v>11941.723270735894</v>
      </c>
      <c r="BR100" s="100"/>
    </row>
    <row r="101" spans="1:70" ht="16" x14ac:dyDescent="0.2">
      <c r="A101">
        <v>1</v>
      </c>
      <c r="B101" t="str">
        <f>Tabla1[[#This Row],[Oficina]]&amp;Tabla1[[#This Row],[Material]]</f>
        <v>Agrosuper Asia1023144</v>
      </c>
      <c r="C101" t="s">
        <v>6</v>
      </c>
      <c r="D101" t="s">
        <v>173</v>
      </c>
      <c r="E101">
        <v>1023144</v>
      </c>
      <c r="F101" t="s">
        <v>325</v>
      </c>
      <c r="G101" t="s">
        <v>67</v>
      </c>
      <c r="H101" t="s">
        <v>324</v>
      </c>
      <c r="I101" s="7">
        <f>IFERROR(VLOOKUP(Tabla1[[#This Row],[Llave]],'[7]RV Producción'!$C:$G,5,FALSE),0)</f>
        <v>74390</v>
      </c>
      <c r="J101" s="3">
        <f>IFERROR(IF(Tabla1[[#This Row],[Oficina]]=$I$7,VLOOKUP(Tabla1[[#This Row],[Llave]],'[7]Shangai (Tomas)'!$A:$F,6,FALSE),VLOOKUP(Tabla1[[#This Row],[Llave]],'[7]RV plan de ventas'!$A:$E,5,FALSE)),0)</f>
        <v>44000</v>
      </c>
      <c r="K101" s="8">
        <f>IFERROR(VLOOKUP(Tabla1[[#This Row],[Oficina]],[15]Ponderación!$B$2:$E$9,4,FALSE),0)</f>
        <v>0.45719439678473212</v>
      </c>
      <c r="L101" s="7">
        <f>+Tabla1[[#This Row],[ RV Producción mes n+1]]*Tabla1[[#This Row],[% Uti. producción]]</f>
        <v>34010.691176816224</v>
      </c>
      <c r="M101" s="7">
        <f>IFERROR(VLOOKUP(Tabla1[[#This Row],[Material]],'[17]TD Stock'!$E:$I,5,FALSE),0)</f>
        <v>26811.575999999997</v>
      </c>
      <c r="N101" s="7">
        <f>IFERROR(VLOOKUP(Tabla1[[#This Row],[Material]],[16]Produccion!$M:$N,2,FALSE),0)</f>
        <v>10684</v>
      </c>
      <c r="O101" s="7">
        <f>IFERROR(VLOOKUP(Tabla1[[#This Row],[Llave]],'[16]TD Conf-AP'!$I:$M,4,FALSE),0)</f>
        <v>0</v>
      </c>
      <c r="P101" s="14">
        <f>SUM(Tabla1[[#This Row],[Producción disponible]],Tabla1[[#This Row],[Stock al día]],(Tabla1[[#This Row],[Por producir mes N]]*0.9))-Tabla1[[#This Row],[Producción por despachar mes N]]</f>
        <v>70437.867176816231</v>
      </c>
      <c r="Q101" s="7">
        <f>IFERROR(VLOOKUP(Tabla1[[#This Row],[Llave]],[17]DELAY!$A:$D,4,FALSE),0)</f>
        <v>96000</v>
      </c>
      <c r="R101" s="9">
        <v>24000</v>
      </c>
      <c r="S101" s="5">
        <f t="shared" si="30"/>
        <v>48000</v>
      </c>
      <c r="T101" s="76">
        <v>0</v>
      </c>
      <c r="U101" s="5">
        <f>+Tabla1[[#This Row],[Atraso a facturar]]+Tabla1[[#This Row],[Ajuste atraso]]</f>
        <v>48000</v>
      </c>
      <c r="V101" s="3">
        <f>+Tabla1[[#This Row],[Total disponible]]-Tabla1[[#This Row],[Facturación atraso]]</f>
        <v>22437.867176816231</v>
      </c>
      <c r="W101" s="6">
        <f>IFERROR(IF(AND(V101&gt;R101,J101&gt;=R101),ROUNDDOWN((Tabla1[[#This Row],[Producción para venta nueva]])/R101,0)*R101,0),0)</f>
        <v>0</v>
      </c>
      <c r="X101" s="76">
        <v>0</v>
      </c>
      <c r="Y101" s="6">
        <f>IF(Tabla1[[#This Row],[Venta del mes]]&gt;0,Tabla1[[#This Row],[Venta del mes]]+Tabla1[[#This Row],[Ajuste venta nueva]],0)</f>
        <v>0</v>
      </c>
      <c r="Z101" s="6">
        <f>+Tabla1[[#This Row],[Producción para venta nueva]]-Tabla1[[#This Row],[Facturación Venta nueva]]</f>
        <v>22437.867176816231</v>
      </c>
      <c r="AA101" s="6">
        <f>IF(AND(A101=1,Tabla1[[#This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1" s="6"/>
      <c r="AC101" s="6">
        <f>IF(Tabla1[[#This Row],[Disponible stock sin venta]]&gt;0,Tabla1[[#This Row],[Disponible stock sin venta]]+Tabla1[[#This Row],[Ajuste stock sin venta]],0)</f>
        <v>0</v>
      </c>
      <c r="AD101" s="3">
        <f>IFERROR(VLOOKUP(Tabla1[[#This Row],[Llave]],'[16]TD Puerto'!$A:$D,4,FALSE),0)</f>
        <v>0</v>
      </c>
      <c r="AE101" s="3">
        <v>48000</v>
      </c>
      <c r="AF101" s="3">
        <f>+Tabla1[[#This Row],[Atraso a facturar]]+Tabla1[[#This Row],[Venta del mes]]+Tabla1[[#This Row],[En puerto a facturar]]+Tabla1[[#This Row],[Disponible stock sin venta]]</f>
        <v>48000</v>
      </c>
      <c r="AG101" s="3">
        <f>+Tabla1[[#This Row],[En puerto a facturar]]</f>
        <v>0</v>
      </c>
      <c r="AH101" s="3">
        <f>+Tabla1[[#This Row],[Facturación atraso]]</f>
        <v>48000</v>
      </c>
      <c r="AI101" s="3">
        <f>+Tabla1[[#This Row],[Plan Irrestricto]]-Tabla1[[#This Row],[Puerto ]]-Tabla1[[#This Row],[Atraso]]</f>
        <v>0</v>
      </c>
      <c r="AJ101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101" s="3">
        <f>+Tabla1[[#This Row],[Facturación atraso]]</f>
        <v>48000</v>
      </c>
      <c r="AL101" s="3">
        <f>+Tabla1[[#This Row],[Plan Ajustado]]-Tabla1[[#This Row],[ Atraso ajustado]]-Tabla1[[#This Row],[Puerto ]]</f>
        <v>0</v>
      </c>
      <c r="AM101" s="3">
        <v>0</v>
      </c>
      <c r="AN101" s="3" t="str">
        <f>IF(Tabla1[[#This Row],[Plan Ajustado]]&gt;Tabla1[[#This Row],[En puerto a facturar]],"Si","No")</f>
        <v>Si</v>
      </c>
      <c r="AO101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101" s="3">
        <f>IF(Tabla1[[#This Row],[Necesidad]]&gt;=Tabla1[[#This Row],[Stock al día]],Tabla1[[#This Row],[Stock al día]],Tabla1[[#This Row],[Necesidad]])</f>
        <v>26811.575999999997</v>
      </c>
      <c r="AQ101" s="3">
        <f>+Tabla1[[#This Row],[Necesidad]]-Tabla1[[#This Row],[Stock Plan]]</f>
        <v>21188.424000000003</v>
      </c>
      <c r="AR101" s="156">
        <f>IFERROR(VLOOKUP(Tabla1[[#This Row],[Oficina]],[22]Ponderación!$B$3:$G$9,6,FALSE),"")</f>
        <v>44754</v>
      </c>
      <c r="AS10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1.94</v>
      </c>
      <c r="AT101" s="83">
        <f>IFERROR(VLOOKUP(Tabla1[[#This Row],[Llave]],[17]DELAY!$H:$W,16,FALSE),0)</f>
        <v>2.191071666666665</v>
      </c>
      <c r="AU10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2.191071666666665</v>
      </c>
      <c r="AV101" s="5">
        <f>+Tabla1[[#This Row],[Plan Ajustado]]*Tabla1[[#This Row],[Precio ponderado]]</f>
        <v>105171.43999999992</v>
      </c>
      <c r="AW101" s="30">
        <f>IFERROR(VLOOKUP(Tabla1[[#This Row],[Llave]],'[13]Ultimos precios facturados'!$A:$G,7,FALSE),0)</f>
        <v>1.9921693228570512</v>
      </c>
      <c r="AX10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9.9842087480977698E-2</v>
      </c>
      <c r="AY101" s="30"/>
      <c r="AZ101" s="30">
        <f>IF(Tabla1[[#This Row],[Ajuste precio IC]]="",Tabla1[[#This Row],[Precio ponderado]],Tabla1[[#This Row],[Precio ponderado]])</f>
        <v>2.191071666666665</v>
      </c>
      <c r="BA101" s="82"/>
      <c r="BB101" s="82" t="str">
        <f>IF(AND(Tabla1[[#This Row],[Atraso a facturar]]&gt;0,Tabla1[[#This Row],[Precio Atraso]]=0),"Revisar","OK")</f>
        <v>OK</v>
      </c>
      <c r="BC101" s="82" t="str">
        <f>IF(AND(Tabla1[[#This Row],[Venta del mes]]&gt;0,Tabla1[[#This Row],[Precio venta nueva]]=0),"Revisar","OK")</f>
        <v>OK</v>
      </c>
      <c r="BD101" s="20">
        <f>IFERROR(VLOOKUP(Tabla1[[#This Row],[Llave]],'[5]Consolidación planes'!$A:$M,9,FALSE),0)</f>
        <v>0</v>
      </c>
      <c r="BE101" s="20">
        <f>IFERROR(VLOOKUP(Tabla1[[#This Row],[Llave]],'[5]Consolidación planes'!$A:$M,10,FALSE),0)</f>
        <v>0</v>
      </c>
      <c r="BF101" s="20">
        <f>IFERROR(VLOOKUP(Tabla1[[#This Row],[Llave]],'[5]Consolidación planes'!$A:$M,11,FALSE),0)</f>
        <v>0</v>
      </c>
      <c r="BG101" s="20">
        <f>IFERROR(VLOOKUP(Tabla1[[#This Row],[Llave]],'[5]Consolidación planes'!$A:$M,12,FALSE),0)</f>
        <v>0</v>
      </c>
      <c r="BH101" s="20">
        <f>IFERROR(VLOOKUP(Tabla1[[#This Row],[Llave]],'[5]Consolidación planes'!$A:$M,13,FALSE),0)</f>
        <v>24000</v>
      </c>
      <c r="BI101" s="20">
        <f>IFERROR(VLOOKUP(Tabla1[[#This Row],[Llave]],'[13]Base ultimos planes'!$A:$M,13,FALSE),0)</f>
        <v>48000</v>
      </c>
      <c r="BJ101" s="80">
        <f>IFERROR(VLOOKUP(Tabla1[[#This Row],[Llave]],'[13]Base ultimos planes'!$O:$AA,8,FALSE),0)</f>
        <v>0</v>
      </c>
      <c r="BK101" s="20">
        <f>IFERROR(VLOOKUP(Tabla1[[#This Row],[Llave]],'[13]Base ultimos planes'!$O:$AA,9,FALSE),0)</f>
        <v>0</v>
      </c>
      <c r="BL101" s="20">
        <f>IFERROR(VLOOKUP(Tabla1[[#This Row],[Llave]],'[13]Base ultimos planes'!$O:$AA,10,FALSE),0)</f>
        <v>0</v>
      </c>
      <c r="BM101" s="20">
        <f>IFERROR(VLOOKUP(Tabla1[[#This Row],[Llave]],'[13]Base ultimos planes'!$O:$AA,11,FALSE),0)</f>
        <v>0</v>
      </c>
      <c r="BN101" s="20">
        <f>IFERROR(VLOOKUP(Tabla1[[#This Row],[Llave]],'[13]Base ultimos planes'!$O:$AA,12,FALSE),0)</f>
        <v>42907</v>
      </c>
      <c r="BO101" s="20">
        <f>IFERROR(VLOOKUP(Tabla1[[#This Row],[Llave]],'[13]Base ultimos planes'!$O:$AA,13,FALSE),0)</f>
        <v>103200</v>
      </c>
      <c r="BP101" s="20"/>
      <c r="BQ101" s="20">
        <f>+Tabla1[[#This Row],[ RV  Venta mes n+1]]*(1-Tabla1[[#This Row],[% Uti. producción]])</f>
        <v>23883.446541471789</v>
      </c>
      <c r="BR101" s="100"/>
    </row>
    <row r="102" spans="1:70" ht="16" hidden="1" x14ac:dyDescent="0.2">
      <c r="A102">
        <v>1</v>
      </c>
      <c r="B102" t="str">
        <f>Tabla1[[#This Row],[Oficina]]&amp;Tabla1[[#This Row],[Material]]</f>
        <v>Agrosuper Asia1023183</v>
      </c>
      <c r="C102" t="s">
        <v>6</v>
      </c>
      <c r="D102" t="s">
        <v>173</v>
      </c>
      <c r="E102">
        <v>1023183</v>
      </c>
      <c r="F102" t="s">
        <v>176</v>
      </c>
      <c r="G102" t="s">
        <v>25</v>
      </c>
      <c r="H102" t="s">
        <v>26</v>
      </c>
      <c r="I102" s="7">
        <f>IFERROR(VLOOKUP(Tabla1[[#This Row],[Llave]],'[7]RV Producción'!$C:$G,5,FALSE),0)</f>
        <v>0</v>
      </c>
      <c r="J102" s="3">
        <f>IFERROR(IF(Tabla1[[#This Row],[Oficina]]=$I$7,VLOOKUP(Tabla1[[#This Row],[Llave]],'[7]Shangai (Tomas)'!$A:$F,6,FALSE),VLOOKUP(Tabla1[[#This Row],[Llave]],'[7]RV plan de ventas'!$A:$E,5,FALSE)),0)</f>
        <v>0</v>
      </c>
      <c r="K102" s="8">
        <f>IFERROR(VLOOKUP(Tabla1[[#This Row],[Oficina]],[15]Ponderación!$B$2:$E$9,4,FALSE),0)</f>
        <v>0.45719439678473212</v>
      </c>
      <c r="L102" s="7">
        <f>+Tabla1[[#This Row],[ RV Producción mes n+1]]*Tabla1[[#This Row],[% Uti. producción]]</f>
        <v>0</v>
      </c>
      <c r="M102" s="7">
        <f>IFERROR(VLOOKUP(Tabla1[[#This Row],[Material]],'[17]TD Stock'!$E:$I,5,FALSE),0)</f>
        <v>44177.251000000018</v>
      </c>
      <c r="N102" s="7">
        <f>IFERROR(VLOOKUP(Tabla1[[#This Row],[Material]],[16]Produccion!$M:$N,2,FALSE),0)</f>
        <v>0</v>
      </c>
      <c r="O102" s="7">
        <f>IFERROR(VLOOKUP(Tabla1[[#This Row],[Llave]],'[16]TD Conf-AP'!$I:$M,4,FALSE),0)</f>
        <v>0</v>
      </c>
      <c r="P102" s="14">
        <f>SUM(Tabla1[[#This Row],[Producción disponible]],Tabla1[[#This Row],[Stock al día]],(Tabla1[[#This Row],[Por producir mes N]]*0.9))-Tabla1[[#This Row],[Producción por despachar mes N]]</f>
        <v>44177.251000000018</v>
      </c>
      <c r="Q102" s="7">
        <f>IFERROR(VLOOKUP(Tabla1[[#This Row],[Llave]],[17]DELAY!$A:$D,4,FALSE),0)</f>
        <v>0</v>
      </c>
      <c r="R102" s="9">
        <v>22000</v>
      </c>
      <c r="S102" s="5">
        <f t="shared" si="30"/>
        <v>0</v>
      </c>
      <c r="T102" s="76">
        <v>0</v>
      </c>
      <c r="U102" s="5">
        <f>+Tabla1[[#This Row],[Atraso a facturar]]+Tabla1[[#This Row],[Ajuste atraso]]</f>
        <v>0</v>
      </c>
      <c r="V102" s="3">
        <f>+Tabla1[[#This Row],[Total disponible]]-Tabla1[[#This Row],[Facturación atraso]]</f>
        <v>44177.251000000018</v>
      </c>
      <c r="W102" s="6">
        <f>IFERROR(IF(AND(V102&gt;R102,J102&gt;=R102),ROUNDDOWN((Tabla1[[#This Row],[Producción para venta nueva]])/R102,0)*R102,0),0)</f>
        <v>0</v>
      </c>
      <c r="X102" s="76">
        <v>0</v>
      </c>
      <c r="Y102" s="6">
        <f>IF(Tabla1[[#This Row],[Venta del mes]]&gt;0,Tabla1[[#This Row],[Venta del mes]]+Tabla1[[#This Row],[Ajuste venta nueva]],0)</f>
        <v>0</v>
      </c>
      <c r="Z102" s="6">
        <f>+Tabla1[[#This Row],[Producción para venta nueva]]-Tabla1[[#This Row],[Facturación Venta nueva]]</f>
        <v>44177.251000000018</v>
      </c>
      <c r="AA102" s="6">
        <f>IF(AND(A102=1,Tabla1[[#This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44000</v>
      </c>
      <c r="AB102" s="6">
        <v>-44000</v>
      </c>
      <c r="AC102" s="6">
        <f>IF(Tabla1[[#This Row],[Disponible stock sin venta]]&gt;0,Tabla1[[#This Row],[Disponible stock sin venta]]+Tabla1[[#This Row],[Ajuste stock sin venta]],0)</f>
        <v>0</v>
      </c>
      <c r="AD102" s="3">
        <f>IFERROR(VLOOKUP(Tabla1[[#This Row],[Llave]],'[16]TD Puerto'!$A:$D,4,FALSE),0)</f>
        <v>0</v>
      </c>
      <c r="AE102" s="3">
        <v>44000</v>
      </c>
      <c r="AF102" s="3">
        <f>+Tabla1[[#This Row],[Atraso a facturar]]+Tabla1[[#This Row],[Venta del mes]]+Tabla1[[#This Row],[En puerto a facturar]]+Tabla1[[#This Row],[Disponible stock sin venta]]</f>
        <v>44000</v>
      </c>
      <c r="AG102" s="3">
        <f>+Tabla1[[#This Row],[En puerto a facturar]]</f>
        <v>0</v>
      </c>
      <c r="AH102" s="3">
        <f>+Tabla1[[#This Row],[Facturación atraso]]</f>
        <v>0</v>
      </c>
      <c r="AI102" s="3">
        <f>+Tabla1[[#This Row],[Plan Irrestricto]]-Tabla1[[#This Row],[Puerto ]]-Tabla1[[#This Row],[Atraso]]</f>
        <v>44000</v>
      </c>
      <c r="AJ10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02" s="3">
        <f>+Tabla1[[#This Row],[Facturación atraso]]</f>
        <v>0</v>
      </c>
      <c r="AL102" s="3">
        <f>+Tabla1[[#This Row],[Plan Ajustado]]-Tabla1[[#This Row],[ Atraso ajustado]]-Tabla1[[#This Row],[Puerto ]]</f>
        <v>0</v>
      </c>
      <c r="AM102" s="3">
        <v>0</v>
      </c>
      <c r="AN102" s="3" t="str">
        <f>IF(Tabla1[[#This Row],[Plan Ajustado]]&gt;Tabla1[[#This Row],[En puerto a facturar]],"Si","No")</f>
        <v>No</v>
      </c>
      <c r="AO10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02" s="3">
        <f>IF(Tabla1[[#This Row],[Necesidad]]&gt;=Tabla1[[#This Row],[Stock al día]],Tabla1[[#This Row],[Stock al día]],Tabla1[[#This Row],[Necesidad]])</f>
        <v>0</v>
      </c>
      <c r="AQ102" s="3">
        <f>+Tabla1[[#This Row],[Necesidad]]-Tabla1[[#This Row],[Stock Plan]]</f>
        <v>0</v>
      </c>
      <c r="AR102" s="156">
        <f>IFERROR(VLOOKUP(Tabla1[[#This Row],[Oficina]],[22]Ponderación!$B$3:$G$9,6,FALSE),"")</f>
        <v>44754</v>
      </c>
      <c r="AS10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5.7930188267373666</v>
      </c>
      <c r="AT102" s="83">
        <f>IFERROR(VLOOKUP(Tabla1[[#This Row],[Llave]],[17]DELAY!$H:$W,16,FALSE),0)</f>
        <v>0</v>
      </c>
      <c r="AU10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02" s="5">
        <f>+Tabla1[[#This Row],[Plan Ajustado]]*Tabla1[[#This Row],[Precio ponderado]]</f>
        <v>0</v>
      </c>
      <c r="AW102" s="30">
        <f>IFERROR(VLOOKUP(Tabla1[[#This Row],[Llave]],'[13]Ultimos precios facturados'!$A:$G,7,FALSE),0)</f>
        <v>5.7930188267373666</v>
      </c>
      <c r="AX10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02" s="30"/>
      <c r="AZ102" s="30">
        <f>IF(Tabla1[[#This Row],[Ajuste precio IC]]="",Tabla1[[#This Row],[Precio ponderado]],Tabla1[[#This Row],[Precio ponderado]])</f>
        <v>0</v>
      </c>
      <c r="BA102" s="82"/>
      <c r="BB102" s="82" t="str">
        <f>IF(AND(Tabla1[[#This Row],[Atraso a facturar]]&gt;0,Tabla1[[#This Row],[Precio Atraso]]=0),"Revisar","OK")</f>
        <v>OK</v>
      </c>
      <c r="BC102" s="82" t="str">
        <f>IF(AND(Tabla1[[#This Row],[Venta del mes]]&gt;0,Tabla1[[#This Row],[Precio venta nueva]]=0),"Revisar","OK")</f>
        <v>OK</v>
      </c>
      <c r="BD102" s="20">
        <f>IFERROR(VLOOKUP(Tabla1[[#This Row],[Llave]],'[5]Consolidación planes'!$A:$M,9,FALSE),0)</f>
        <v>22000</v>
      </c>
      <c r="BE102" s="20">
        <f>IFERROR(VLOOKUP(Tabla1[[#This Row],[Llave]],'[5]Consolidación planes'!$A:$M,10,FALSE),0)</f>
        <v>44000</v>
      </c>
      <c r="BF102" s="20">
        <f>IFERROR(VLOOKUP(Tabla1[[#This Row],[Llave]],'[5]Consolidación planes'!$A:$M,11,FALSE),0)</f>
        <v>66000</v>
      </c>
      <c r="BG102" s="20">
        <f>IFERROR(VLOOKUP(Tabla1[[#This Row],[Llave]],'[5]Consolidación planes'!$A:$M,12,FALSE),0)</f>
        <v>0</v>
      </c>
      <c r="BH102" s="20">
        <f>IFERROR(VLOOKUP(Tabla1[[#This Row],[Llave]],'[5]Consolidación planes'!$A:$M,13,FALSE),0)</f>
        <v>22000</v>
      </c>
      <c r="BI102" s="20">
        <f>IFERROR(VLOOKUP(Tabla1[[#This Row],[Llave]],'[13]Base ultimos planes'!$A:$M,13,FALSE),0)</f>
        <v>22000</v>
      </c>
      <c r="BJ102" s="80">
        <f>IFERROR(VLOOKUP(Tabla1[[#This Row],[Llave]],'[13]Base ultimos planes'!$O:$AA,8,FALSE),0)</f>
        <v>136200.5</v>
      </c>
      <c r="BK102" s="20">
        <f>IFERROR(VLOOKUP(Tabla1[[#This Row],[Llave]],'[13]Base ultimos planes'!$O:$AA,9,FALSE),0)</f>
        <v>259600</v>
      </c>
      <c r="BL102" s="20">
        <f>IFERROR(VLOOKUP(Tabla1[[#This Row],[Llave]],'[13]Base ultimos planes'!$O:$AA,10,FALSE),0)</f>
        <v>378180</v>
      </c>
      <c r="BM102" s="20">
        <f>IFERROR(VLOOKUP(Tabla1[[#This Row],[Llave]],'[13]Base ultimos planes'!$O:$AA,11,FALSE),0)</f>
        <v>0</v>
      </c>
      <c r="BN102" s="20">
        <f>IFERROR(VLOOKUP(Tabla1[[#This Row],[Llave]],'[13]Base ultimos planes'!$O:$AA,12,FALSE),0)</f>
        <v>124511</v>
      </c>
      <c r="BO102" s="20">
        <f>IFERROR(VLOOKUP(Tabla1[[#This Row],[Llave]],'[13]Base ultimos planes'!$O:$AA,13,FALSE),0)</f>
        <v>126688</v>
      </c>
      <c r="BP102" s="20"/>
      <c r="BQ102" s="20">
        <f>+Tabla1[[#This Row],[ RV  Venta mes n+1]]*(1-Tabla1[[#This Row],[% Uti. producción]])</f>
        <v>0</v>
      </c>
      <c r="BR102" s="100"/>
    </row>
    <row r="103" spans="1:70" ht="16" x14ac:dyDescent="0.2">
      <c r="A103">
        <v>1</v>
      </c>
      <c r="B103" t="str">
        <f>Tabla1[[#This Row],[Oficina]]&amp;Tabla1[[#This Row],[Material]]</f>
        <v>Agrosuper Asia1023283</v>
      </c>
      <c r="C103" t="s">
        <v>6</v>
      </c>
      <c r="D103" t="s">
        <v>173</v>
      </c>
      <c r="E103">
        <v>1023283</v>
      </c>
      <c r="F103" t="s">
        <v>202</v>
      </c>
      <c r="G103" t="s">
        <v>76</v>
      </c>
      <c r="H103" t="s">
        <v>201</v>
      </c>
      <c r="I103" s="7">
        <f>IFERROR(VLOOKUP(Tabla1[[#This Row],[Llave]],'[7]RV Producción'!$C:$G,5,FALSE),0)</f>
        <v>94845</v>
      </c>
      <c r="J103" s="3">
        <f>IFERROR(IF(Tabla1[[#This Row],[Oficina]]=$I$7,VLOOKUP(Tabla1[[#This Row],[Llave]],'[7]Shangai (Tomas)'!$A:$F,6,FALSE),VLOOKUP(Tabla1[[#This Row],[Llave]],'[7]RV plan de ventas'!$A:$E,5,FALSE)),0)</f>
        <v>72000</v>
      </c>
      <c r="K103" s="8">
        <f>IFERROR(VLOOKUP(Tabla1[[#This Row],[Oficina]],[15]Ponderación!$B$2:$E$9,4,FALSE),0)</f>
        <v>0.45719439678473212</v>
      </c>
      <c r="L103" s="7">
        <f>+Tabla1[[#This Row],[ RV Producción mes n+1]]*Tabla1[[#This Row],[% Uti. producción]]</f>
        <v>43362.60256304792</v>
      </c>
      <c r="M103" s="7">
        <f>IFERROR(VLOOKUP(Tabla1[[#This Row],[Material]],'[17]TD Stock'!$E:$I,5,FALSE),0)</f>
        <v>35764.856000000007</v>
      </c>
      <c r="N103" s="7">
        <f>IFERROR(VLOOKUP(Tabla1[[#This Row],[Material]],[16]Produccion!$M:$N,2,FALSE),0)</f>
        <v>21440</v>
      </c>
      <c r="O103" s="7">
        <f>IFERROR(VLOOKUP(Tabla1[[#This Row],[Llave]],'[16]TD Conf-AP'!$I:$M,4,FALSE),0)</f>
        <v>0</v>
      </c>
      <c r="P103" s="14">
        <f>SUM(Tabla1[[#This Row],[Producción disponible]],Tabla1[[#This Row],[Stock al día]],(Tabla1[[#This Row],[Por producir mes N]]*0.9))-Tabla1[[#This Row],[Producción por despachar mes N]]</f>
        <v>98423.458563047927</v>
      </c>
      <c r="Q103" s="7">
        <f>IFERROR(VLOOKUP(Tabla1[[#This Row],[Llave]],[17]DELAY!$A:$D,4,FALSE),0)</f>
        <v>96000</v>
      </c>
      <c r="R103" s="9">
        <v>24000</v>
      </c>
      <c r="S103" s="5">
        <f t="shared" si="30"/>
        <v>96000</v>
      </c>
      <c r="T103" s="76">
        <v>-24000</v>
      </c>
      <c r="U103" s="5">
        <f>+Tabla1[[#This Row],[Atraso a facturar]]+Tabla1[[#This Row],[Ajuste atraso]]</f>
        <v>72000</v>
      </c>
      <c r="V103" s="3">
        <f>+Tabla1[[#This Row],[Total disponible]]-Tabla1[[#This Row],[Facturación atraso]]</f>
        <v>26423.458563047927</v>
      </c>
      <c r="W103" s="6">
        <f>IFERROR(IF(AND(V103&gt;R103,J103&gt;=R103),ROUNDDOWN((Tabla1[[#This Row],[Producción para venta nueva]])/R103,0)*R103,0),0)</f>
        <v>24000</v>
      </c>
      <c r="X103" s="76">
        <v>0</v>
      </c>
      <c r="Y103" s="6">
        <f>IF(Tabla1[[#This Row],[Venta del mes]]&gt;0,Tabla1[[#This Row],[Venta del mes]]+Tabla1[[#This Row],[Ajuste venta nueva]],0)</f>
        <v>24000</v>
      </c>
      <c r="Z103" s="6">
        <f>+Tabla1[[#This Row],[Producción para venta nueva]]-Tabla1[[#This Row],[Facturación Venta nueva]]</f>
        <v>2423.4585630479269</v>
      </c>
      <c r="AA103" s="6">
        <f>IF(AND(A103=1,Tabla1[[#This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3" s="6"/>
      <c r="AC103" s="6">
        <f>IF(Tabla1[[#This Row],[Disponible stock sin venta]]&gt;0,Tabla1[[#This Row],[Disponible stock sin venta]]+Tabla1[[#This Row],[Ajuste stock sin venta]],0)</f>
        <v>0</v>
      </c>
      <c r="AD103" s="3">
        <f>IFERROR(VLOOKUP(Tabla1[[#This Row],[Llave]],'[16]TD Puerto'!$A:$D,4,FALSE),0)</f>
        <v>0</v>
      </c>
      <c r="AE103" s="3">
        <v>96000</v>
      </c>
      <c r="AF103" s="3">
        <f>+Tabla1[[#This Row],[Atraso a facturar]]+Tabla1[[#This Row],[Venta del mes]]+Tabla1[[#This Row],[En puerto a facturar]]+Tabla1[[#This Row],[Disponible stock sin venta]]</f>
        <v>120000</v>
      </c>
      <c r="AG103" s="3">
        <f>+Tabla1[[#This Row],[En puerto a facturar]]</f>
        <v>0</v>
      </c>
      <c r="AH103" s="3">
        <f>+Tabla1[[#This Row],[Facturación atraso]]</f>
        <v>72000</v>
      </c>
      <c r="AI103" s="3">
        <f>+Tabla1[[#This Row],[Plan Irrestricto]]-Tabla1[[#This Row],[Puerto ]]-Tabla1[[#This Row],[Atraso]]</f>
        <v>48000</v>
      </c>
      <c r="AJ103" s="3">
        <f>IF(Tabla1[[#This Row],[Plan Irrestricto]]&gt;0,SUM(Tabla1[[#This Row],[Facturación atraso]],Tabla1[[#This Row],[Facturación Venta nueva]],Tabla1[[#This Row],[Facturación stock]],Tabla1[[#This Row],[En puerto a facturar]]),0)</f>
        <v>96000</v>
      </c>
      <c r="AK103" s="3">
        <f>+Tabla1[[#This Row],[Facturación atraso]]</f>
        <v>72000</v>
      </c>
      <c r="AL103" s="3">
        <f>+Tabla1[[#This Row],[Plan Ajustado]]-Tabla1[[#This Row],[ Atraso ajustado]]-Tabla1[[#This Row],[Puerto ]]</f>
        <v>24000</v>
      </c>
      <c r="AM103" s="3">
        <v>0</v>
      </c>
      <c r="AN103" s="3" t="str">
        <f>IF(Tabla1[[#This Row],[Plan Ajustado]]&gt;Tabla1[[#This Row],[En puerto a facturar]],"Si","No")</f>
        <v>Si</v>
      </c>
      <c r="AO103" s="3">
        <f>IF(AND(Tabla1[[#This Row],[Plan Ajustado]]&gt;0,Tabla1[[#This Row],[Plan Ajustado]]&gt;Tabla1[[#This Row],[En puerto a facturar]]),(Tabla1[[#This Row],[Plan Ajustado]]-Tabla1[[#This Row],[En puerto a facturar]]),0)</f>
        <v>96000</v>
      </c>
      <c r="AP103" s="3">
        <f>IF(Tabla1[[#This Row],[Necesidad]]&gt;=Tabla1[[#This Row],[Stock al día]],Tabla1[[#This Row],[Stock al día]],Tabla1[[#This Row],[Necesidad]])</f>
        <v>35764.856000000007</v>
      </c>
      <c r="AQ103" s="3">
        <f>+Tabla1[[#This Row],[Necesidad]]-Tabla1[[#This Row],[Stock Plan]]</f>
        <v>60235.143999999993</v>
      </c>
      <c r="AR103" s="156">
        <f>IFERROR(VLOOKUP(Tabla1[[#This Row],[Oficina]],[22]Ponderación!$B$3:$G$9,6,FALSE),"")</f>
        <v>44754</v>
      </c>
      <c r="AS10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0.77</v>
      </c>
      <c r="AT103" s="83">
        <f>IFERROR(VLOOKUP(Tabla1[[#This Row],[Llave]],[17]DELAY!$H:$W,16,FALSE),0)</f>
        <v>1.0649650520833331</v>
      </c>
      <c r="AU10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0.99122378906249986</v>
      </c>
      <c r="AV103" s="5">
        <f>+Tabla1[[#This Row],[Plan Ajustado]]*Tabla1[[#This Row],[Precio ponderado]]</f>
        <v>95157.483749999985</v>
      </c>
      <c r="AW103" s="30">
        <f>IFERROR(VLOOKUP(Tabla1[[#This Row],[Llave]],'[13]Ultimos precios facturados'!$A:$G,7,FALSE),0)</f>
        <v>0.88880537752916122</v>
      </c>
      <c r="AX10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0.11523153901032551</v>
      </c>
      <c r="AY103" s="30"/>
      <c r="AZ103" s="30">
        <f>IF(Tabla1[[#This Row],[Ajuste precio IC]]="",Tabla1[[#This Row],[Precio ponderado]],Tabla1[[#This Row],[Precio ponderado]])</f>
        <v>0.99122378906249986</v>
      </c>
      <c r="BA103" s="82"/>
      <c r="BB103" s="82" t="str">
        <f>IF(AND(Tabla1[[#This Row],[Atraso a facturar]]&gt;0,Tabla1[[#This Row],[Precio Atraso]]=0),"Revisar","OK")</f>
        <v>OK</v>
      </c>
      <c r="BC103" s="82" t="str">
        <f>IF(AND(Tabla1[[#This Row],[Venta del mes]]&gt;0,Tabla1[[#This Row],[Precio venta nueva]]=0),"Revisar","OK")</f>
        <v>OK</v>
      </c>
      <c r="BD103" s="20">
        <f>IFERROR(VLOOKUP(Tabla1[[#This Row],[Llave]],'[5]Consolidación planes'!$A:$M,9,FALSE),0)</f>
        <v>120000</v>
      </c>
      <c r="BE103" s="20">
        <f>IFERROR(VLOOKUP(Tabla1[[#This Row],[Llave]],'[5]Consolidación planes'!$A:$M,10,FALSE),0)</f>
        <v>96000</v>
      </c>
      <c r="BF103" s="20">
        <f>IFERROR(VLOOKUP(Tabla1[[#This Row],[Llave]],'[5]Consolidación planes'!$A:$M,11,FALSE),0)</f>
        <v>178000</v>
      </c>
      <c r="BG103" s="20">
        <f>IFERROR(VLOOKUP(Tabla1[[#This Row],[Llave]],'[5]Consolidación planes'!$A:$M,12,FALSE),0)</f>
        <v>216000</v>
      </c>
      <c r="BH103" s="20">
        <f>IFERROR(VLOOKUP(Tabla1[[#This Row],[Llave]],'[5]Consolidación planes'!$A:$M,13,FALSE),0)</f>
        <v>144149</v>
      </c>
      <c r="BI103" s="20">
        <f>IFERROR(VLOOKUP(Tabla1[[#This Row],[Llave]],'[13]Base ultimos planes'!$A:$M,13,FALSE),0)</f>
        <v>72000</v>
      </c>
      <c r="BJ103" s="80">
        <f>IFERROR(VLOOKUP(Tabla1[[#This Row],[Llave]],'[13]Base ultimos planes'!$O:$AA,8,FALSE),0)</f>
        <v>107052.12119999999</v>
      </c>
      <c r="BK103" s="20">
        <f>IFERROR(VLOOKUP(Tabla1[[#This Row],[Llave]],'[13]Base ultimos planes'!$O:$AA,9,FALSE),0)</f>
        <v>89280</v>
      </c>
      <c r="BL103" s="20">
        <f>IFERROR(VLOOKUP(Tabla1[[#This Row],[Llave]],'[13]Base ultimos planes'!$O:$AA,10,FALSE),0)</f>
        <v>157911</v>
      </c>
      <c r="BM103" s="20">
        <f>IFERROR(VLOOKUP(Tabla1[[#This Row],[Llave]],'[13]Base ultimos planes'!$O:$AA,11,FALSE),0)</f>
        <v>220922</v>
      </c>
      <c r="BN103" s="20">
        <f>IFERROR(VLOOKUP(Tabla1[[#This Row],[Llave]],'[13]Base ultimos planes'!$O:$AA,12,FALSE),0)</f>
        <v>136463</v>
      </c>
      <c r="BO103" s="20">
        <f>IFERROR(VLOOKUP(Tabla1[[#This Row],[Llave]],'[13]Base ultimos planes'!$O:$AA,13,FALSE),0)</f>
        <v>70008</v>
      </c>
      <c r="BP103" s="20"/>
      <c r="BQ103" s="20">
        <f>+Tabla1[[#This Row],[ RV  Venta mes n+1]]*(1-Tabla1[[#This Row],[% Uti. producción]])</f>
        <v>39082.003431499288</v>
      </c>
      <c r="BR103" s="100"/>
    </row>
    <row r="104" spans="1:70" ht="16" hidden="1" x14ac:dyDescent="0.2">
      <c r="A104">
        <v>1</v>
      </c>
      <c r="B104" t="str">
        <f>Tabla1[[#This Row],[Oficina]]&amp;Tabla1[[#This Row],[Material]]</f>
        <v>Agrosuper Asia1023305</v>
      </c>
      <c r="C104" t="s">
        <v>6</v>
      </c>
      <c r="D104" t="s">
        <v>173</v>
      </c>
      <c r="E104">
        <v>1023305</v>
      </c>
      <c r="F104" t="s">
        <v>297</v>
      </c>
      <c r="G104" t="s">
        <v>76</v>
      </c>
      <c r="H104" t="s">
        <v>296</v>
      </c>
      <c r="I104" s="7">
        <f>IFERROR(VLOOKUP(Tabla1[[#This Row],[Llave]],'[7]RV Producción'!$C:$G,5,FALSE),0)</f>
        <v>0</v>
      </c>
      <c r="J104" s="3">
        <f>IFERROR(IF(Tabla1[[#This Row],[Oficina]]=$I$7,VLOOKUP(Tabla1[[#This Row],[Llave]],'[7]Shangai (Tomas)'!$A:$F,6,FALSE),VLOOKUP(Tabla1[[#This Row],[Llave]],'[7]RV plan de ventas'!$A:$E,5,FALSE)),0)</f>
        <v>0</v>
      </c>
      <c r="K104" s="8">
        <f>IFERROR(VLOOKUP(Tabla1[[#This Row],[Oficina]],[15]Ponderación!$B$2:$E$9,4,FALSE),0)</f>
        <v>0.45719439678473212</v>
      </c>
      <c r="L104" s="7">
        <f>+Tabla1[[#This Row],[ RV Producción mes n+1]]*Tabla1[[#This Row],[% Uti. producción]]</f>
        <v>0</v>
      </c>
      <c r="M104" s="7">
        <f>IFERROR(VLOOKUP(Tabla1[[#This Row],[Material]],'[17]TD Stock'!$E:$I,5,FALSE),0)</f>
        <v>0</v>
      </c>
      <c r="N104" s="7">
        <f>IFERROR(VLOOKUP(Tabla1[[#This Row],[Material]],[16]Produccion!$M:$N,2,FALSE),0)</f>
        <v>0</v>
      </c>
      <c r="O104" s="7">
        <f>IFERROR(VLOOKUP(Tabla1[[#This Row],[Llave]],'[16]TD Conf-AP'!$I:$M,4,FALSE),0)</f>
        <v>0</v>
      </c>
      <c r="P104" s="14">
        <f>SUM(Tabla1[[#This Row],[Producción disponible]],Tabla1[[#This Row],[Stock al día]],(Tabla1[[#This Row],[Por producir mes N]]*0.9))-Tabla1[[#This Row],[Producción por despachar mes N]]</f>
        <v>0</v>
      </c>
      <c r="Q104" s="7">
        <f>IFERROR(VLOOKUP(Tabla1[[#This Row],[Llave]],[17]DELAY!$A:$D,4,FALSE),0)</f>
        <v>0</v>
      </c>
      <c r="R104" s="9">
        <v>24000</v>
      </c>
      <c r="S104" s="5">
        <f t="shared" si="30"/>
        <v>0</v>
      </c>
      <c r="T104" s="76">
        <v>0</v>
      </c>
      <c r="U104" s="5">
        <f>+Tabla1[[#This Row],[Atraso a facturar]]+Tabla1[[#This Row],[Ajuste atraso]]</f>
        <v>0</v>
      </c>
      <c r="V104" s="3">
        <f>+Tabla1[[#This Row],[Total disponible]]-Tabla1[[#This Row],[Facturación atraso]]</f>
        <v>0</v>
      </c>
      <c r="W104" s="6">
        <f>IFERROR(IF(AND(V104&gt;R104,J104&gt;=R104),ROUNDDOWN((Tabla1[[#This Row],[Producción para venta nueva]])/R104,0)*R104,0),0)</f>
        <v>0</v>
      </c>
      <c r="X104" s="76">
        <v>0</v>
      </c>
      <c r="Y104" s="6">
        <f>IF(Tabla1[[#This Row],[Venta del mes]]&gt;0,Tabla1[[#This Row],[Venta del mes]]+Tabla1[[#This Row],[Ajuste venta nueva]],0)</f>
        <v>0</v>
      </c>
      <c r="Z104" s="6">
        <f>+Tabla1[[#This Row],[Producción para venta nueva]]-Tabla1[[#This Row],[Facturación Venta nueva]]</f>
        <v>0</v>
      </c>
      <c r="AA104" s="6">
        <f>IF(AND(A104=1,Tabla1[[#This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4" s="6"/>
      <c r="AC104" s="6">
        <f>IF(Tabla1[[#This Row],[Disponible stock sin venta]]&gt;0,Tabla1[[#This Row],[Disponible stock sin venta]]+Tabla1[[#This Row],[Ajuste stock sin venta]],0)</f>
        <v>0</v>
      </c>
      <c r="AD104" s="3">
        <f>IFERROR(VLOOKUP(Tabla1[[#This Row],[Llave]],'[16]TD Puerto'!$A:$D,4,FALSE),0)</f>
        <v>0</v>
      </c>
      <c r="AE104" s="3">
        <v>0</v>
      </c>
      <c r="AF104" s="3">
        <f>+Tabla1[[#This Row],[Atraso a facturar]]+Tabla1[[#This Row],[Venta del mes]]+Tabla1[[#This Row],[En puerto a facturar]]+Tabla1[[#This Row],[Disponible stock sin venta]]</f>
        <v>0</v>
      </c>
      <c r="AG104" s="3">
        <f>+Tabla1[[#This Row],[En puerto a facturar]]</f>
        <v>0</v>
      </c>
      <c r="AH104" s="3">
        <f>+Tabla1[[#This Row],[Facturación atraso]]</f>
        <v>0</v>
      </c>
      <c r="AI104" s="3">
        <f>+Tabla1[[#This Row],[Plan Irrestricto]]-Tabla1[[#This Row],[Puerto ]]-Tabla1[[#This Row],[Atraso]]</f>
        <v>0</v>
      </c>
      <c r="AJ10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04" s="3">
        <f>+Tabla1[[#This Row],[Facturación atraso]]</f>
        <v>0</v>
      </c>
      <c r="AL104" s="3">
        <f>+Tabla1[[#This Row],[Plan Ajustado]]-Tabla1[[#This Row],[ Atraso ajustado]]-Tabla1[[#This Row],[Puerto ]]</f>
        <v>0</v>
      </c>
      <c r="AM104" s="3">
        <v>0</v>
      </c>
      <c r="AN104" s="3" t="str">
        <f>IF(Tabla1[[#This Row],[Plan Ajustado]]&gt;Tabla1[[#This Row],[En puerto a facturar]],"Si","No")</f>
        <v>No</v>
      </c>
      <c r="AO10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04" s="3">
        <f>IF(Tabla1[[#This Row],[Necesidad]]&gt;=Tabla1[[#This Row],[Stock al día]],Tabla1[[#This Row],[Stock al día]],Tabla1[[#This Row],[Necesidad]])</f>
        <v>0</v>
      </c>
      <c r="AQ104" s="3">
        <f>+Tabla1[[#This Row],[Necesidad]]-Tabla1[[#This Row],[Stock Plan]]</f>
        <v>0</v>
      </c>
      <c r="AR104" s="156">
        <f>IFERROR(VLOOKUP(Tabla1[[#This Row],[Oficina]],[22]Ponderación!$B$3:$G$9,6,FALSE),"")</f>
        <v>44754</v>
      </c>
      <c r="AS10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1.7623119232692395</v>
      </c>
      <c r="AT104" s="83">
        <f>IFERROR(VLOOKUP(Tabla1[[#This Row],[Llave]],[17]DELAY!$H:$W,16,FALSE),0)</f>
        <v>0</v>
      </c>
      <c r="AU10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04" s="5">
        <f>+Tabla1[[#This Row],[Plan Ajustado]]*Tabla1[[#This Row],[Precio ponderado]]</f>
        <v>0</v>
      </c>
      <c r="AW104" s="30">
        <f>IFERROR(VLOOKUP(Tabla1[[#This Row],[Llave]],'[13]Ultimos precios facturados'!$A:$G,7,FALSE),0)</f>
        <v>1.7623119232692395</v>
      </c>
      <c r="AX10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04" s="30"/>
      <c r="AZ104" s="30">
        <f>IF(Tabla1[[#This Row],[Ajuste precio IC]]="",Tabla1[[#This Row],[Precio ponderado]],Tabla1[[#This Row],[Precio ponderado]])</f>
        <v>0</v>
      </c>
      <c r="BA104" s="82"/>
      <c r="BB104" s="82" t="str">
        <f>IF(AND(Tabla1[[#This Row],[Atraso a facturar]]&gt;0,Tabla1[[#This Row],[Precio Atraso]]=0),"Revisar","OK")</f>
        <v>OK</v>
      </c>
      <c r="BC104" s="82" t="str">
        <f>IF(AND(Tabla1[[#This Row],[Venta del mes]]&gt;0,Tabla1[[#This Row],[Precio venta nueva]]=0),"Revisar","OK")</f>
        <v>OK</v>
      </c>
      <c r="BD104" s="20">
        <f>IFERROR(VLOOKUP(Tabla1[[#This Row],[Llave]],'[5]Consolidación planes'!$A:$M,9,FALSE),0)</f>
        <v>0</v>
      </c>
      <c r="BE104" s="20">
        <f>IFERROR(VLOOKUP(Tabla1[[#This Row],[Llave]],'[5]Consolidación planes'!$A:$M,10,FALSE),0)</f>
        <v>0</v>
      </c>
      <c r="BF104" s="20">
        <f>IFERROR(VLOOKUP(Tabla1[[#This Row],[Llave]],'[5]Consolidación planes'!$A:$M,11,FALSE),0)</f>
        <v>0</v>
      </c>
      <c r="BG104" s="20">
        <f>IFERROR(VLOOKUP(Tabla1[[#This Row],[Llave]],'[5]Consolidación planes'!$A:$M,12,FALSE),0)</f>
        <v>0</v>
      </c>
      <c r="BH104" s="20">
        <f>IFERROR(VLOOKUP(Tabla1[[#This Row],[Llave]],'[5]Consolidación planes'!$A:$M,13,FALSE),0)</f>
        <v>0</v>
      </c>
      <c r="BI104" s="20">
        <f>IFERROR(VLOOKUP(Tabla1[[#This Row],[Llave]],'[13]Base ultimos planes'!$A:$M,13,FALSE),0)</f>
        <v>0</v>
      </c>
      <c r="BJ104" s="80">
        <f>IFERROR(VLOOKUP(Tabla1[[#This Row],[Llave]],'[13]Base ultimos planes'!$O:$AA,8,FALSE),0)</f>
        <v>0</v>
      </c>
      <c r="BK104" s="20">
        <f>IFERROR(VLOOKUP(Tabla1[[#This Row],[Llave]],'[13]Base ultimos planes'!$O:$AA,9,FALSE),0)</f>
        <v>0</v>
      </c>
      <c r="BL104" s="20">
        <f>IFERROR(VLOOKUP(Tabla1[[#This Row],[Llave]],'[13]Base ultimos planes'!$O:$AA,10,FALSE),0)</f>
        <v>0</v>
      </c>
      <c r="BM104" s="20">
        <f>IFERROR(VLOOKUP(Tabla1[[#This Row],[Llave]],'[13]Base ultimos planes'!$O:$AA,11,FALSE),0)</f>
        <v>0</v>
      </c>
      <c r="BN104" s="20">
        <f>IFERROR(VLOOKUP(Tabla1[[#This Row],[Llave]],'[13]Base ultimos planes'!$O:$AA,12,FALSE),0)</f>
        <v>0</v>
      </c>
      <c r="BO104" s="20">
        <f>IFERROR(VLOOKUP(Tabla1[[#This Row],[Llave]],'[13]Base ultimos planes'!$O:$AA,13,FALSE),0)</f>
        <v>0</v>
      </c>
      <c r="BP104" s="20"/>
      <c r="BQ104" s="20">
        <f>+Tabla1[[#This Row],[ RV  Venta mes n+1]]*(1-Tabla1[[#This Row],[% Uti. producción]])</f>
        <v>0</v>
      </c>
      <c r="BR104" s="100"/>
    </row>
    <row r="105" spans="1:70" ht="16" hidden="1" x14ac:dyDescent="0.2">
      <c r="A105">
        <v>1</v>
      </c>
      <c r="B105" t="str">
        <f>Tabla1[[#This Row],[Oficina]]&amp;Tabla1[[#This Row],[Material]]</f>
        <v>Agrosuper Asia1023307</v>
      </c>
      <c r="C105" t="s">
        <v>6</v>
      </c>
      <c r="D105" t="s">
        <v>173</v>
      </c>
      <c r="E105">
        <v>1023307</v>
      </c>
      <c r="F105" t="s">
        <v>203</v>
      </c>
      <c r="G105" t="s">
        <v>76</v>
      </c>
      <c r="H105" t="s">
        <v>84</v>
      </c>
      <c r="I105" s="7">
        <f>IFERROR(VLOOKUP(Tabla1[[#This Row],[Llave]],'[7]RV Producción'!$C:$G,5,FALSE),0)</f>
        <v>5000</v>
      </c>
      <c r="J105" s="3">
        <f>IFERROR(IF(Tabla1[[#This Row],[Oficina]]=$I$7,VLOOKUP(Tabla1[[#This Row],[Llave]],'[7]Shangai (Tomas)'!$A:$F,6,FALSE),VLOOKUP(Tabla1[[#This Row],[Llave]],'[7]RV plan de ventas'!$A:$E,5,FALSE)),0)</f>
        <v>0</v>
      </c>
      <c r="K105" s="8">
        <f>IFERROR(VLOOKUP(Tabla1[[#This Row],[Oficina]],[15]Ponderación!$B$2:$E$9,4,FALSE),0)</f>
        <v>0.45719439678473212</v>
      </c>
      <c r="L105" s="7">
        <f>+Tabla1[[#This Row],[ RV Producción mes n+1]]*Tabla1[[#This Row],[% Uti. producción]]</f>
        <v>2285.9719839236604</v>
      </c>
      <c r="M105" s="7">
        <f>IFERROR(VLOOKUP(Tabla1[[#This Row],[Material]],'[17]TD Stock'!$E:$I,5,FALSE),0)</f>
        <v>7160.3789999999999</v>
      </c>
      <c r="N105" s="7">
        <f>IFERROR(VLOOKUP(Tabla1[[#This Row],[Material]],[16]Produccion!$M:$N,2,FALSE),0)</f>
        <v>5700</v>
      </c>
      <c r="O105" s="7">
        <f>IFERROR(VLOOKUP(Tabla1[[#This Row],[Llave]],'[16]TD Conf-AP'!$I:$M,4,FALSE),0)</f>
        <v>0</v>
      </c>
      <c r="P105" s="14">
        <f>SUM(Tabla1[[#This Row],[Producción disponible]],Tabla1[[#This Row],[Stock al día]],(Tabla1[[#This Row],[Por producir mes N]]*0.9))-Tabla1[[#This Row],[Producción por despachar mes N]]</f>
        <v>14576.350983923661</v>
      </c>
      <c r="Q105" s="7">
        <f>IFERROR(VLOOKUP(Tabla1[[#This Row],[Llave]],[17]DELAY!$A:$D,4,FALSE),0)</f>
        <v>48000</v>
      </c>
      <c r="R105" s="9">
        <v>24000</v>
      </c>
      <c r="S105" s="5">
        <f t="shared" si="30"/>
        <v>0</v>
      </c>
      <c r="T105" s="76">
        <v>0</v>
      </c>
      <c r="U105" s="5">
        <f>+Tabla1[[#This Row],[Atraso a facturar]]+Tabla1[[#This Row],[Ajuste atraso]]</f>
        <v>0</v>
      </c>
      <c r="V105" s="3">
        <f>+Tabla1[[#This Row],[Total disponible]]-Tabla1[[#This Row],[Facturación atraso]]</f>
        <v>14576.350983923661</v>
      </c>
      <c r="W105" s="6">
        <f>IFERROR(IF(AND(V105&gt;R105,J105&gt;=R105),ROUNDDOWN((Tabla1[[#This Row],[Producción para venta nueva]])/R105,0)*R105,0),0)</f>
        <v>0</v>
      </c>
      <c r="X105" s="76">
        <v>0</v>
      </c>
      <c r="Y105" s="6">
        <f>IF(Tabla1[[#This Row],[Venta del mes]]&gt;0,Tabla1[[#This Row],[Venta del mes]]+Tabla1[[#This Row],[Ajuste venta nueva]],0)</f>
        <v>0</v>
      </c>
      <c r="Z105" s="6">
        <f>+Tabla1[[#This Row],[Producción para venta nueva]]-Tabla1[[#This Row],[Facturación Venta nueva]]</f>
        <v>14576.350983923661</v>
      </c>
      <c r="AA105" s="6">
        <f>IF(AND(A105=1,Tabla1[[#This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5" s="6"/>
      <c r="AC105" s="6">
        <f>IF(Tabla1[[#This Row],[Disponible stock sin venta]]&gt;0,Tabla1[[#This Row],[Disponible stock sin venta]]+Tabla1[[#This Row],[Ajuste stock sin venta]],0)</f>
        <v>0</v>
      </c>
      <c r="AD105" s="3">
        <f>IFERROR(VLOOKUP(Tabla1[[#This Row],[Llave]],'[16]TD Puerto'!$A:$D,4,FALSE),0)</f>
        <v>0</v>
      </c>
      <c r="AE105" s="3">
        <v>0</v>
      </c>
      <c r="AF105" s="3">
        <f>+Tabla1[[#This Row],[Atraso a facturar]]+Tabla1[[#This Row],[Venta del mes]]+Tabla1[[#This Row],[En puerto a facturar]]+Tabla1[[#This Row],[Disponible stock sin venta]]</f>
        <v>0</v>
      </c>
      <c r="AG105" s="3">
        <f>+Tabla1[[#This Row],[En puerto a facturar]]</f>
        <v>0</v>
      </c>
      <c r="AH105" s="3">
        <f>+Tabla1[[#This Row],[Facturación atraso]]</f>
        <v>0</v>
      </c>
      <c r="AI105" s="3">
        <f>+Tabla1[[#This Row],[Plan Irrestricto]]-Tabla1[[#This Row],[Puerto ]]-Tabla1[[#This Row],[Atraso]]</f>
        <v>0</v>
      </c>
      <c r="AJ10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05" s="3">
        <f>+Tabla1[[#This Row],[Facturación atraso]]</f>
        <v>0</v>
      </c>
      <c r="AL105" s="3">
        <f>+Tabla1[[#This Row],[Plan Ajustado]]-Tabla1[[#This Row],[ Atraso ajustado]]-Tabla1[[#This Row],[Puerto ]]</f>
        <v>0</v>
      </c>
      <c r="AM105" s="3">
        <v>0</v>
      </c>
      <c r="AN105" s="3" t="str">
        <f>IF(Tabla1[[#This Row],[Plan Ajustado]]&gt;Tabla1[[#This Row],[En puerto a facturar]],"Si","No")</f>
        <v>No</v>
      </c>
      <c r="AO10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05" s="3">
        <f>IF(Tabla1[[#This Row],[Necesidad]]&gt;=Tabla1[[#This Row],[Stock al día]],Tabla1[[#This Row],[Stock al día]],Tabla1[[#This Row],[Necesidad]])</f>
        <v>0</v>
      </c>
      <c r="AQ105" s="3">
        <f>+Tabla1[[#This Row],[Necesidad]]-Tabla1[[#This Row],[Stock Plan]]</f>
        <v>0</v>
      </c>
      <c r="AR105" s="156">
        <f>IFERROR(VLOOKUP(Tabla1[[#This Row],[Oficina]],[22]Ponderación!$B$3:$G$9,6,FALSE),"")</f>
        <v>44754</v>
      </c>
      <c r="AS10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0.67256219584883381</v>
      </c>
      <c r="AT105" s="83">
        <f>IFERROR(VLOOKUP(Tabla1[[#This Row],[Llave]],[17]DELAY!$H:$W,16,FALSE),0)</f>
        <v>0.76571666666666705</v>
      </c>
      <c r="AU10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05" s="5">
        <f>+Tabla1[[#This Row],[Plan Ajustado]]*Tabla1[[#This Row],[Precio ponderado]]</f>
        <v>0</v>
      </c>
      <c r="AW105" s="30">
        <f>IFERROR(VLOOKUP(Tabla1[[#This Row],[Llave]],'[13]Ultimos precios facturados'!$A:$G,7,FALSE),0)</f>
        <v>0.67256219584883381</v>
      </c>
      <c r="AX10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05" s="30"/>
      <c r="AZ105" s="30">
        <f>IF(Tabla1[[#This Row],[Ajuste precio IC]]="",Tabla1[[#This Row],[Precio ponderado]],Tabla1[[#This Row],[Precio ponderado]])</f>
        <v>0</v>
      </c>
      <c r="BA105" s="82"/>
      <c r="BB105" s="82" t="str">
        <f>IF(AND(Tabla1[[#This Row],[Atraso a facturar]]&gt;0,Tabla1[[#This Row],[Precio Atraso]]=0),"Revisar","OK")</f>
        <v>OK</v>
      </c>
      <c r="BC105" s="82" t="str">
        <f>IF(AND(Tabla1[[#This Row],[Venta del mes]]&gt;0,Tabla1[[#This Row],[Precio venta nueva]]=0),"Revisar","OK")</f>
        <v>OK</v>
      </c>
      <c r="BD105" s="20">
        <f>IFERROR(VLOOKUP(Tabla1[[#This Row],[Llave]],'[5]Consolidación planes'!$A:$M,9,FALSE),0)</f>
        <v>22000</v>
      </c>
      <c r="BE105" s="20">
        <f>IFERROR(VLOOKUP(Tabla1[[#This Row],[Llave]],'[5]Consolidación planes'!$A:$M,10,FALSE),0)</f>
        <v>24000</v>
      </c>
      <c r="BF105" s="20">
        <f>IFERROR(VLOOKUP(Tabla1[[#This Row],[Llave]],'[5]Consolidación planes'!$A:$M,11,FALSE),0)</f>
        <v>22000</v>
      </c>
      <c r="BG105" s="20">
        <f>IFERROR(VLOOKUP(Tabla1[[#This Row],[Llave]],'[5]Consolidación planes'!$A:$M,12,FALSE),0)</f>
        <v>48000</v>
      </c>
      <c r="BH105" s="20">
        <f>IFERROR(VLOOKUP(Tabla1[[#This Row],[Llave]],'[5]Consolidación planes'!$A:$M,13,FALSE),0)</f>
        <v>24000</v>
      </c>
      <c r="BI105" s="20">
        <f>IFERROR(VLOOKUP(Tabla1[[#This Row],[Llave]],'[13]Base ultimos planes'!$A:$M,13,FALSE),0)</f>
        <v>48000</v>
      </c>
      <c r="BJ105" s="80">
        <f>IFERROR(VLOOKUP(Tabla1[[#This Row],[Llave]],'[13]Base ultimos planes'!$O:$AA,8,FALSE),0)</f>
        <v>16376.75</v>
      </c>
      <c r="BK105" s="20">
        <f>IFERROR(VLOOKUP(Tabla1[[#This Row],[Llave]],'[13]Base ultimos planes'!$O:$AA,9,FALSE),0)</f>
        <v>16800</v>
      </c>
      <c r="BL105" s="20">
        <f>IFERROR(VLOOKUP(Tabla1[[#This Row],[Llave]],'[13]Base ultimos planes'!$O:$AA,10,FALSE),0)</f>
        <v>14667</v>
      </c>
      <c r="BM105" s="20">
        <f>IFERROR(VLOOKUP(Tabla1[[#This Row],[Llave]],'[13]Base ultimos planes'!$O:$AA,11,FALSE),0)</f>
        <v>35843</v>
      </c>
      <c r="BN105" s="20">
        <f>IFERROR(VLOOKUP(Tabla1[[#This Row],[Llave]],'[13]Base ultimos planes'!$O:$AA,12,FALSE),0)</f>
        <v>17322</v>
      </c>
      <c r="BO105" s="20">
        <f>IFERROR(VLOOKUP(Tabla1[[#This Row],[Llave]],'[13]Base ultimos planes'!$O:$AA,13,FALSE),0)</f>
        <v>40800</v>
      </c>
      <c r="BP105" s="20"/>
      <c r="BQ105" s="20">
        <f>+Tabla1[[#This Row],[ RV  Venta mes n+1]]*(1-Tabla1[[#This Row],[% Uti. producción]])</f>
        <v>0</v>
      </c>
      <c r="BR105" s="100"/>
    </row>
    <row r="106" spans="1:70" ht="16" x14ac:dyDescent="0.2">
      <c r="A106">
        <v>1</v>
      </c>
      <c r="B106" t="str">
        <f>Tabla1[[#This Row],[Oficina]]&amp;Tabla1[[#This Row],[Material]]</f>
        <v>Agrosuper Asia1023326</v>
      </c>
      <c r="C106" t="s">
        <v>6</v>
      </c>
      <c r="D106" t="s">
        <v>173</v>
      </c>
      <c r="E106">
        <v>1023326</v>
      </c>
      <c r="F106" t="s">
        <v>298</v>
      </c>
      <c r="G106" t="s">
        <v>76</v>
      </c>
      <c r="H106" t="s">
        <v>84</v>
      </c>
      <c r="I106" s="7">
        <f>IFERROR(VLOOKUP(Tabla1[[#This Row],[Llave]],'[7]RV Producción'!$C:$G,5,FALSE),0)</f>
        <v>48000</v>
      </c>
      <c r="J106" s="3">
        <f>IFERROR(IF(Tabla1[[#This Row],[Oficina]]=$I$7,VLOOKUP(Tabla1[[#This Row],[Llave]],'[7]Shangai (Tomas)'!$A:$F,6,FALSE),VLOOKUP(Tabla1[[#This Row],[Llave]],'[7]RV plan de ventas'!$A:$E,5,FALSE)),0)</f>
        <v>48000</v>
      </c>
      <c r="K106" s="8">
        <f>IFERROR(VLOOKUP(Tabla1[[#This Row],[Oficina]],[15]Ponderación!$B$2:$E$9,4,FALSE),0)</f>
        <v>0.45719439678473212</v>
      </c>
      <c r="L106" s="7">
        <f>+Tabla1[[#This Row],[ RV Producción mes n+1]]*Tabla1[[#This Row],[% Uti. producción]]</f>
        <v>21945.331045667142</v>
      </c>
      <c r="M106" s="7">
        <f>IFERROR(VLOOKUP(Tabla1[[#This Row],[Material]],'[17]TD Stock'!$E:$I,5,FALSE),0)</f>
        <v>30107.131000000016</v>
      </c>
      <c r="N106" s="7">
        <f>IFERROR(VLOOKUP(Tabla1[[#This Row],[Material]],[16]Produccion!$M:$N,2,FALSE),0)</f>
        <v>10805</v>
      </c>
      <c r="O106" s="7">
        <f>IFERROR(VLOOKUP(Tabla1[[#This Row],[Llave]],'[16]TD Conf-AP'!$I:$M,4,FALSE),0)</f>
        <v>0</v>
      </c>
      <c r="P106" s="14">
        <f>SUM(Tabla1[[#This Row],[Producción disponible]],Tabla1[[#This Row],[Stock al día]],(Tabla1[[#This Row],[Por producir mes N]]*0.9))-Tabla1[[#This Row],[Producción por despachar mes N]]</f>
        <v>61776.962045667155</v>
      </c>
      <c r="Q106" s="7">
        <f>IFERROR(VLOOKUP(Tabla1[[#This Row],[Llave]],[17]DELAY!$A:$D,4,FALSE),0)</f>
        <v>48000</v>
      </c>
      <c r="R106" s="9">
        <v>24000</v>
      </c>
      <c r="S106" s="5">
        <f t="shared" si="30"/>
        <v>48000</v>
      </c>
      <c r="T106" s="76">
        <v>0</v>
      </c>
      <c r="U106" s="5">
        <f>+Tabla1[[#This Row],[Atraso a facturar]]+Tabla1[[#This Row],[Ajuste atraso]]</f>
        <v>48000</v>
      </c>
      <c r="V106" s="3">
        <f>+Tabla1[[#This Row],[Total disponible]]-Tabla1[[#This Row],[Facturación atraso]]</f>
        <v>13776.962045667155</v>
      </c>
      <c r="W106" s="6">
        <f>IFERROR(IF(AND(V106&gt;R106,J106&gt;=R106),ROUNDDOWN((Tabla1[[#This Row],[Producción para venta nueva]])/R106,0)*R106,0),0)</f>
        <v>0</v>
      </c>
      <c r="X106" s="76">
        <v>0</v>
      </c>
      <c r="Y106" s="6">
        <f>IF(Tabla1[[#This Row],[Venta del mes]]&gt;0,Tabla1[[#This Row],[Venta del mes]]+Tabla1[[#This Row],[Ajuste venta nueva]],0)</f>
        <v>0</v>
      </c>
      <c r="Z106" s="6">
        <f>+Tabla1[[#This Row],[Producción para venta nueva]]-Tabla1[[#This Row],[Facturación Venta nueva]]</f>
        <v>13776.962045667155</v>
      </c>
      <c r="AA106" s="6">
        <f>IF(AND(A106=1,Tabla1[[#This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6" s="6"/>
      <c r="AC106" s="6">
        <f>IF(Tabla1[[#This Row],[Disponible stock sin venta]]&gt;0,Tabla1[[#This Row],[Disponible stock sin venta]]+Tabla1[[#This Row],[Ajuste stock sin venta]],0)</f>
        <v>0</v>
      </c>
      <c r="AD106" s="3">
        <f>IFERROR(VLOOKUP(Tabla1[[#This Row],[Llave]],'[16]TD Puerto'!$A:$D,4,FALSE),0)</f>
        <v>0</v>
      </c>
      <c r="AE106" s="3">
        <v>48000</v>
      </c>
      <c r="AF106" s="3">
        <f>+Tabla1[[#This Row],[Atraso a facturar]]+Tabla1[[#This Row],[Venta del mes]]+Tabla1[[#This Row],[En puerto a facturar]]+Tabla1[[#This Row],[Disponible stock sin venta]]</f>
        <v>48000</v>
      </c>
      <c r="AG106" s="3">
        <f>+Tabla1[[#This Row],[En puerto a facturar]]</f>
        <v>0</v>
      </c>
      <c r="AH106" s="3">
        <f>+Tabla1[[#This Row],[Facturación atraso]]</f>
        <v>48000</v>
      </c>
      <c r="AI106" s="3">
        <f>+Tabla1[[#This Row],[Plan Irrestricto]]-Tabla1[[#This Row],[Puerto ]]-Tabla1[[#This Row],[Atraso]]</f>
        <v>0</v>
      </c>
      <c r="AJ106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106" s="3">
        <f>+Tabla1[[#This Row],[Facturación atraso]]</f>
        <v>48000</v>
      </c>
      <c r="AL106" s="3">
        <f>+Tabla1[[#This Row],[Plan Ajustado]]-Tabla1[[#This Row],[ Atraso ajustado]]-Tabla1[[#This Row],[Puerto ]]</f>
        <v>0</v>
      </c>
      <c r="AM106" s="3">
        <v>0</v>
      </c>
      <c r="AN106" s="3" t="str">
        <f>IF(Tabla1[[#This Row],[Plan Ajustado]]&gt;Tabla1[[#This Row],[En puerto a facturar]],"Si","No")</f>
        <v>Si</v>
      </c>
      <c r="AO106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106" s="3">
        <f>IF(Tabla1[[#This Row],[Necesidad]]&gt;=Tabla1[[#This Row],[Stock al día]],Tabla1[[#This Row],[Stock al día]],Tabla1[[#This Row],[Necesidad]])</f>
        <v>30107.131000000016</v>
      </c>
      <c r="AQ106" s="3">
        <f>+Tabla1[[#This Row],[Necesidad]]-Tabla1[[#This Row],[Stock Plan]]</f>
        <v>17892.868999999984</v>
      </c>
      <c r="AR106" s="156">
        <f>IFERROR(VLOOKUP(Tabla1[[#This Row],[Oficina]],[22]Ponderación!$B$3:$G$9,6,FALSE),"")</f>
        <v>44754</v>
      </c>
      <c r="AS10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0.72</v>
      </c>
      <c r="AT106" s="83">
        <f>IFERROR(VLOOKUP(Tabla1[[#This Row],[Llave]],[17]DELAY!$H:$W,16,FALSE),0)</f>
        <v>0.95</v>
      </c>
      <c r="AU10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0.95</v>
      </c>
      <c r="AV106" s="5">
        <f>+Tabla1[[#This Row],[Plan Ajustado]]*Tabla1[[#This Row],[Precio ponderado]]</f>
        <v>45600</v>
      </c>
      <c r="AW106" s="30">
        <f>IFERROR(VLOOKUP(Tabla1[[#This Row],[Llave]],'[13]Ultimos precios facturados'!$A:$G,7,FALSE),0)</f>
        <v>0.79162784757732074</v>
      </c>
      <c r="AX10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0.200058844452425</v>
      </c>
      <c r="AY106" s="30"/>
      <c r="AZ106" s="30">
        <f>IF(Tabla1[[#This Row],[Ajuste precio IC]]="",Tabla1[[#This Row],[Precio ponderado]],Tabla1[[#This Row],[Precio ponderado]])</f>
        <v>0.95</v>
      </c>
      <c r="BA106" s="82"/>
      <c r="BB106" s="82" t="str">
        <f>IF(AND(Tabla1[[#This Row],[Atraso a facturar]]&gt;0,Tabla1[[#This Row],[Precio Atraso]]=0),"Revisar","OK")</f>
        <v>OK</v>
      </c>
      <c r="BC106" s="82" t="str">
        <f>IF(AND(Tabla1[[#This Row],[Venta del mes]]&gt;0,Tabla1[[#This Row],[Precio venta nueva]]=0),"Revisar","OK")</f>
        <v>OK</v>
      </c>
      <c r="BD106" s="20">
        <f>IFERROR(VLOOKUP(Tabla1[[#This Row],[Llave]],'[5]Consolidación planes'!$A:$M,9,FALSE),0)</f>
        <v>0</v>
      </c>
      <c r="BE106" s="20">
        <f>IFERROR(VLOOKUP(Tabla1[[#This Row],[Llave]],'[5]Consolidación planes'!$A:$M,10,FALSE),0)</f>
        <v>0</v>
      </c>
      <c r="BF106" s="20">
        <f>IFERROR(VLOOKUP(Tabla1[[#This Row],[Llave]],'[5]Consolidación planes'!$A:$M,11,FALSE),0)</f>
        <v>44000</v>
      </c>
      <c r="BG106" s="20">
        <f>IFERROR(VLOOKUP(Tabla1[[#This Row],[Llave]],'[5]Consolidación planes'!$A:$M,12,FALSE),0)</f>
        <v>48000</v>
      </c>
      <c r="BH106" s="20">
        <f>IFERROR(VLOOKUP(Tabla1[[#This Row],[Llave]],'[5]Consolidación planes'!$A:$M,13,FALSE),0)</f>
        <v>48003</v>
      </c>
      <c r="BI106" s="20">
        <f>IFERROR(VLOOKUP(Tabla1[[#This Row],[Llave]],'[13]Base ultimos planes'!$A:$M,13,FALSE),0)</f>
        <v>48000</v>
      </c>
      <c r="BJ106" s="80">
        <f>IFERROR(VLOOKUP(Tabla1[[#This Row],[Llave]],'[13]Base ultimos planes'!$O:$AA,8,FALSE),0)</f>
        <v>0</v>
      </c>
      <c r="BK106" s="20">
        <f>IFERROR(VLOOKUP(Tabla1[[#This Row],[Llave]],'[13]Base ultimos planes'!$O:$AA,9,FALSE),0)</f>
        <v>0</v>
      </c>
      <c r="BL106" s="20">
        <f>IFERROR(VLOOKUP(Tabla1[[#This Row],[Llave]],'[13]Base ultimos planes'!$O:$AA,10,FALSE),0)</f>
        <v>35200</v>
      </c>
      <c r="BM106" s="20">
        <f>IFERROR(VLOOKUP(Tabla1[[#This Row],[Llave]],'[13]Base ultimos planes'!$O:$AA,11,FALSE),0)</f>
        <v>45600</v>
      </c>
      <c r="BN106" s="20">
        <f>IFERROR(VLOOKUP(Tabla1[[#This Row],[Llave]],'[13]Base ultimos planes'!$O:$AA,12,FALSE),0)</f>
        <v>37999</v>
      </c>
      <c r="BO106" s="20">
        <f>IFERROR(VLOOKUP(Tabla1[[#This Row],[Llave]],'[13]Base ultimos planes'!$O:$AA,13,FALSE),0)</f>
        <v>39917</v>
      </c>
      <c r="BP106" s="20"/>
      <c r="BQ106" s="20">
        <f>+Tabla1[[#This Row],[ RV  Venta mes n+1]]*(1-Tabla1[[#This Row],[% Uti. producción]])</f>
        <v>26054.668954332861</v>
      </c>
      <c r="BR106" s="100"/>
    </row>
    <row r="107" spans="1:70" ht="16" x14ac:dyDescent="0.2">
      <c r="A107">
        <v>2</v>
      </c>
      <c r="B107" t="str">
        <f>Tabla1[[#This Row],[Oficina]]&amp;Tabla1[[#This Row],[Material]]</f>
        <v>Agrosuper Brasil1021864</v>
      </c>
      <c r="C107" t="s">
        <v>6</v>
      </c>
      <c r="D107" t="s">
        <v>7</v>
      </c>
      <c r="E107">
        <v>1021864</v>
      </c>
      <c r="F107" t="s">
        <v>10</v>
      </c>
      <c r="G107" t="s">
        <v>8</v>
      </c>
      <c r="H107" t="s">
        <v>9</v>
      </c>
      <c r="I107" s="7">
        <f>IFERROR(VLOOKUP(Tabla1[[#This Row],[Llave]],'[7]RV Producción'!$C:$G,5,FALSE),0)</f>
        <v>72187</v>
      </c>
      <c r="J107" s="3">
        <f>IFERROR(IF(Tabla1[[#This Row],[Oficina]]=$I$7,VLOOKUP(Tabla1[[#This Row],[Llave]],'[7]Shangai (Tomas)'!$A:$F,6,FALSE),VLOOKUP(Tabla1[[#This Row],[Llave]],'[7]RV plan de ventas'!$A:$E,5,FALSE)),0)</f>
        <v>0</v>
      </c>
      <c r="K107" s="8">
        <f>IFERROR(VLOOKUP(Tabla1[[#This Row],[Oficina]],[15]Ponderación!$B$2:$E$9,4,FALSE),0)</f>
        <v>0.81420840482290169</v>
      </c>
      <c r="L107" s="7">
        <f>+Tabla1[[#This Row],[ RV Producción mes n+1]]*Tabla1[[#This Row],[% Uti. producción]]</f>
        <v>58775.262118950806</v>
      </c>
      <c r="M107" s="7">
        <f>IFERROR(VLOOKUP(Tabla1[[#This Row],[Material]],'[17]TD Stock'!$E:$I,5,FALSE),0)</f>
        <v>20426.214999999993</v>
      </c>
      <c r="N107" s="7">
        <f>IFERROR(VLOOKUP(Tabla1[[#This Row],[Material]],[16]Produccion!$M:$N,2,FALSE),0)</f>
        <v>0</v>
      </c>
      <c r="O107" s="7">
        <f>IFERROR(VLOOKUP(Tabla1[[#This Row],[Llave]],'[16]TD Conf-AP'!$I:$M,4,FALSE),0)</f>
        <v>0</v>
      </c>
      <c r="P107" s="14">
        <f>SUM(Tabla1[[#This Row],[Producción disponible]],Tabla1[[#This Row],[Stock al día]],(Tabla1[[#This Row],[Por producir mes N]]*0.9))-Tabla1[[#This Row],[Producción por despachar mes N]]</f>
        <v>79201.477118950803</v>
      </c>
      <c r="Q107" s="7">
        <f>IFERROR(VLOOKUP(Tabla1[[#This Row],[Llave]],[17]DELAY!$A:$D,4,FALSE),0)</f>
        <v>72000</v>
      </c>
      <c r="R107" s="9">
        <v>24000</v>
      </c>
      <c r="S107" s="5">
        <f t="shared" si="30"/>
        <v>72000</v>
      </c>
      <c r="T107" s="76">
        <v>0</v>
      </c>
      <c r="U107" s="5">
        <f>+Tabla1[[#This Row],[Atraso a facturar]]+Tabla1[[#This Row],[Ajuste atraso]]</f>
        <v>72000</v>
      </c>
      <c r="V107" s="3">
        <f>+Tabla1[[#This Row],[Total disponible]]-Tabla1[[#This Row],[Facturación atraso]]</f>
        <v>7201.4771189508028</v>
      </c>
      <c r="W107" s="6">
        <f>IFERROR(IF(AND(V107&gt;R107,J107&gt;=R107),ROUNDDOWN((Tabla1[[#This Row],[Producción para venta nueva]])/R107,0)*R107,0),0)</f>
        <v>0</v>
      </c>
      <c r="X107" s="76">
        <v>0</v>
      </c>
      <c r="Y107" s="6">
        <f>IF(Tabla1[[#This Row],[Venta del mes]]&gt;0,Tabla1[[#This Row],[Venta del mes]]+Tabla1[[#This Row],[Ajuste venta nueva]],0)</f>
        <v>0</v>
      </c>
      <c r="Z107" s="6">
        <f>+Tabla1[[#This Row],[Producción para venta nueva]]-Tabla1[[#This Row],[Facturación Venta nueva]]</f>
        <v>7201.4771189508028</v>
      </c>
      <c r="AA107" s="6">
        <f>IF(AND(A107=1,Tabla1[[#This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7" s="6"/>
      <c r="AC107" s="6">
        <f>IF(Tabla1[[#This Row],[Disponible stock sin venta]]&gt;0,Tabla1[[#This Row],[Disponible stock sin venta]]+Tabla1[[#This Row],[Ajuste stock sin venta]],0)</f>
        <v>0</v>
      </c>
      <c r="AD107" s="3">
        <f>IFERROR(VLOOKUP(Tabla1[[#This Row],[Llave]],'[16]TD Puerto'!$A:$D,4,FALSE),0)</f>
        <v>0</v>
      </c>
      <c r="AE107" s="3">
        <v>72000</v>
      </c>
      <c r="AF107" s="3">
        <f>+Tabla1[[#This Row],[Atraso a facturar]]+Tabla1[[#This Row],[Venta del mes]]+Tabla1[[#This Row],[En puerto a facturar]]+Tabla1[[#This Row],[Disponible stock sin venta]]</f>
        <v>72000</v>
      </c>
      <c r="AG107" s="3">
        <f>+Tabla1[[#This Row],[En puerto a facturar]]</f>
        <v>0</v>
      </c>
      <c r="AH107" s="3">
        <f>+Tabla1[[#This Row],[Facturación atraso]]</f>
        <v>72000</v>
      </c>
      <c r="AI107" s="3">
        <f>+Tabla1[[#This Row],[Plan Irrestricto]]-Tabla1[[#This Row],[Puerto ]]-Tabla1[[#This Row],[Atraso]]</f>
        <v>0</v>
      </c>
      <c r="AJ107" s="3">
        <f>IF(Tabla1[[#This Row],[Plan Irrestricto]]&gt;0,SUM(Tabla1[[#This Row],[Facturación atraso]],Tabla1[[#This Row],[Facturación Venta nueva]],Tabla1[[#This Row],[Facturación stock]],Tabla1[[#This Row],[En puerto a facturar]]),0)</f>
        <v>72000</v>
      </c>
      <c r="AK107" s="3">
        <f>+Tabla1[[#This Row],[Facturación atraso]]</f>
        <v>72000</v>
      </c>
      <c r="AL107" s="3">
        <f>+Tabla1[[#This Row],[Plan Ajustado]]-Tabla1[[#This Row],[ Atraso ajustado]]-Tabla1[[#This Row],[Puerto ]]</f>
        <v>0</v>
      </c>
      <c r="AM107" s="3">
        <v>0</v>
      </c>
      <c r="AN107" s="3" t="str">
        <f>IF(Tabla1[[#This Row],[Plan Ajustado]]&gt;Tabla1[[#This Row],[En puerto a facturar]],"Si","No")</f>
        <v>Si</v>
      </c>
      <c r="AO107" s="3">
        <f>IF(AND(Tabla1[[#This Row],[Plan Ajustado]]&gt;0,Tabla1[[#This Row],[Plan Ajustado]]&gt;Tabla1[[#This Row],[En puerto a facturar]]),(Tabla1[[#This Row],[Plan Ajustado]]-Tabla1[[#This Row],[En puerto a facturar]]),0)</f>
        <v>72000</v>
      </c>
      <c r="AP107" s="3">
        <f>IF(Tabla1[[#This Row],[Necesidad]]&gt;=Tabla1[[#This Row],[Stock al día]],Tabla1[[#This Row],[Stock al día]],Tabla1[[#This Row],[Necesidad]])</f>
        <v>20426.214999999993</v>
      </c>
      <c r="AQ107" s="3">
        <f>+Tabla1[[#This Row],[Necesidad]]-Tabla1[[#This Row],[Stock Plan]]</f>
        <v>51573.785000000003</v>
      </c>
      <c r="AR107" s="156">
        <f>IFERROR(VLOOKUP(Tabla1[[#This Row],[Oficina]],[22]Ponderación!$B$3:$G$9,6,FALSE),"")</f>
        <v>44764</v>
      </c>
      <c r="AS10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0.55000000000000004</v>
      </c>
      <c r="AT107" s="83">
        <f>IFERROR(VLOOKUP(Tabla1[[#This Row],[Llave]],[17]DELAY!$H:$W,16,FALSE),0)</f>
        <v>0.55000000000000004</v>
      </c>
      <c r="AU10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0.55000000000000004</v>
      </c>
      <c r="AV107" s="5">
        <f>+Tabla1[[#This Row],[Plan Ajustado]]*Tabla1[[#This Row],[Precio ponderado]]</f>
        <v>39600</v>
      </c>
      <c r="AW107" s="30">
        <f>IFERROR(VLOOKUP(Tabla1[[#This Row],[Llave]],'[13]Ultimos precios facturados'!$A:$G,7,FALSE),0)</f>
        <v>0.55000000000000004</v>
      </c>
      <c r="AX10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107" s="30"/>
      <c r="AZ107" s="30">
        <f>IF(Tabla1[[#This Row],[Ajuste precio IC]]="",Tabla1[[#This Row],[Precio ponderado]],Tabla1[[#This Row],[Precio ponderado]])</f>
        <v>0.55000000000000004</v>
      </c>
      <c r="BA107" s="82"/>
      <c r="BB107" s="82" t="str">
        <f>IF(AND(Tabla1[[#This Row],[Atraso a facturar]]&gt;0,Tabla1[[#This Row],[Precio Atraso]]=0),"Revisar","OK")</f>
        <v>OK</v>
      </c>
      <c r="BC107" s="82" t="str">
        <f>IF(AND(Tabla1[[#This Row],[Venta del mes]]&gt;0,Tabla1[[#This Row],[Precio venta nueva]]=0),"Revisar","OK")</f>
        <v>OK</v>
      </c>
      <c r="BD107" s="20">
        <f>IFERROR(VLOOKUP(Tabla1[[#This Row],[Llave]],'[5]Consolidación planes'!$A:$M,9,FALSE),0)</f>
        <v>48000</v>
      </c>
      <c r="BE107" s="20">
        <f>IFERROR(VLOOKUP(Tabla1[[#This Row],[Llave]],'[5]Consolidación planes'!$A:$M,10,FALSE),0)</f>
        <v>48000</v>
      </c>
      <c r="BF107" s="20">
        <f>IFERROR(VLOOKUP(Tabla1[[#This Row],[Llave]],'[5]Consolidación planes'!$A:$M,11,FALSE),0)</f>
        <v>48000</v>
      </c>
      <c r="BG107" s="20">
        <f>IFERROR(VLOOKUP(Tabla1[[#This Row],[Llave]],'[5]Consolidación planes'!$A:$M,12,FALSE),0)</f>
        <v>24000</v>
      </c>
      <c r="BH107" s="20">
        <f>IFERROR(VLOOKUP(Tabla1[[#This Row],[Llave]],'[5]Consolidación planes'!$A:$M,13,FALSE),0)</f>
        <v>48000</v>
      </c>
      <c r="BI107" s="20">
        <f>IFERROR(VLOOKUP(Tabla1[[#This Row],[Llave]],'[13]Base ultimos planes'!$A:$M,13,FALSE),0)</f>
        <v>48000</v>
      </c>
      <c r="BJ107" s="80">
        <f>IFERROR(VLOOKUP(Tabla1[[#This Row],[Llave]],'[13]Base ultimos planes'!$O:$AA,8,FALSE),0)</f>
        <v>26400</v>
      </c>
      <c r="BK107" s="20">
        <f>IFERROR(VLOOKUP(Tabla1[[#This Row],[Llave]],'[13]Base ultimos planes'!$O:$AA,9,FALSE),0)</f>
        <v>26400</v>
      </c>
      <c r="BL107" s="20">
        <f>IFERROR(VLOOKUP(Tabla1[[#This Row],[Llave]],'[13]Base ultimos planes'!$O:$AA,10,FALSE),0)</f>
        <v>26400</v>
      </c>
      <c r="BM107" s="20">
        <f>IFERROR(VLOOKUP(Tabla1[[#This Row],[Llave]],'[13]Base ultimos planes'!$O:$AA,11,FALSE),0)</f>
        <v>12000</v>
      </c>
      <c r="BN107" s="20">
        <f>IFERROR(VLOOKUP(Tabla1[[#This Row],[Llave]],'[13]Base ultimos planes'!$O:$AA,12,FALSE),0)</f>
        <v>26400</v>
      </c>
      <c r="BO107" s="20">
        <f>IFERROR(VLOOKUP(Tabla1[[#This Row],[Llave]],'[13]Base ultimos planes'!$O:$AA,13,FALSE),0)</f>
        <v>23734</v>
      </c>
      <c r="BP107" s="20"/>
      <c r="BQ107" s="20">
        <f>+Tabla1[[#This Row],[ RV  Venta mes n+1]]*(1-Tabla1[[#This Row],[% Uti. producción]])</f>
        <v>0</v>
      </c>
      <c r="BR107" s="100"/>
    </row>
    <row r="108" spans="1:70" ht="16" x14ac:dyDescent="0.2">
      <c r="A108">
        <v>1</v>
      </c>
      <c r="B108" t="str">
        <f>Tabla1[[#This Row],[Oficina]]&amp;Tabla1[[#This Row],[Material]]</f>
        <v>Agrosuper Brasil1022217</v>
      </c>
      <c r="C108" t="s">
        <v>6</v>
      </c>
      <c r="D108" t="s">
        <v>7</v>
      </c>
      <c r="E108">
        <v>1022217</v>
      </c>
      <c r="F108" t="s">
        <v>16</v>
      </c>
      <c r="G108" t="s">
        <v>11</v>
      </c>
      <c r="H108" t="s">
        <v>15</v>
      </c>
      <c r="I108" s="7">
        <f>IFERROR(VLOOKUP(Tabla1[[#This Row],[Llave]],'[7]RV Producción'!$C:$G,5,FALSE),0)</f>
        <v>265077</v>
      </c>
      <c r="J108" s="3">
        <f>IFERROR(IF(Tabla1[[#This Row],[Oficina]]=$I$7,VLOOKUP(Tabla1[[#This Row],[Llave]],'[7]Shangai (Tomas)'!$A:$F,6,FALSE),VLOOKUP(Tabla1[[#This Row],[Llave]],'[7]RV plan de ventas'!$A:$E,5,FALSE)),0)</f>
        <v>262107</v>
      </c>
      <c r="K108" s="8">
        <f>IFERROR(VLOOKUP(Tabla1[[#This Row],[Oficina]],[15]Ponderación!$B$2:$E$9,4,FALSE),0)</f>
        <v>0.81420840482290169</v>
      </c>
      <c r="L108" s="7">
        <f>+Tabla1[[#This Row],[ RV Producción mes n+1]]*Tabla1[[#This Row],[% Uti. producción]]</f>
        <v>215827.92132524031</v>
      </c>
      <c r="M108" s="7">
        <f>IFERROR(VLOOKUP(Tabla1[[#This Row],[Material]],'[17]TD Stock'!$E:$I,5,FALSE),0)</f>
        <v>98668.527000000016</v>
      </c>
      <c r="N108" s="7">
        <f>IFERROR(VLOOKUP(Tabla1[[#This Row],[Material]],[16]Produccion!$M:$N,2,FALSE),0)</f>
        <v>10362</v>
      </c>
      <c r="O108" s="7">
        <f>IFERROR(VLOOKUP(Tabla1[[#This Row],[Llave]],'[16]TD Conf-AP'!$I:$M,4,FALSE),0)</f>
        <v>24000</v>
      </c>
      <c r="P108" s="14">
        <f>SUM(Tabla1[[#This Row],[Producción disponible]],Tabla1[[#This Row],[Stock al día]],(Tabla1[[#This Row],[Por producir mes N]]*0.9))-Tabla1[[#This Row],[Producción por despachar mes N]]</f>
        <v>299822.24832524033</v>
      </c>
      <c r="Q108" s="7">
        <f>IFERROR(VLOOKUP(Tabla1[[#This Row],[Llave]],[17]DELAY!$A:$D,4,FALSE),0)</f>
        <v>144000</v>
      </c>
      <c r="R108" s="9">
        <v>24000</v>
      </c>
      <c r="S108" s="5">
        <f t="shared" si="30"/>
        <v>144000</v>
      </c>
      <c r="T108" s="76">
        <v>0</v>
      </c>
      <c r="U108" s="5">
        <f>+Tabla1[[#This Row],[Atraso a facturar]]+Tabla1[[#This Row],[Ajuste atraso]]</f>
        <v>144000</v>
      </c>
      <c r="V108" s="3">
        <f>+Tabla1[[#This Row],[Total disponible]]-Tabla1[[#This Row],[Facturación atraso]]</f>
        <v>155822.24832524033</v>
      </c>
      <c r="W108" s="6">
        <f>IFERROR(IF(AND(V108&gt;R108,J108&gt;=R108),ROUNDDOWN((Tabla1[[#This Row],[Producción para venta nueva]])/R108,0)*R108,0),0)</f>
        <v>144000</v>
      </c>
      <c r="X108" s="76">
        <v>-96000</v>
      </c>
      <c r="Y108" s="6">
        <f>IF(Tabla1[[#This Row],[Venta del mes]]&gt;0,Tabla1[[#This Row],[Venta del mes]]+Tabla1[[#This Row],[Ajuste venta nueva]],0)</f>
        <v>48000</v>
      </c>
      <c r="Z108" s="6">
        <f>+Tabla1[[#This Row],[Producción para venta nueva]]-Tabla1[[#This Row],[Facturación Venta nueva]]</f>
        <v>107822.24832524033</v>
      </c>
      <c r="AA108" s="6">
        <f>IF(AND(A108=1,Tabla1[[#This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8" s="6"/>
      <c r="AC108" s="6">
        <f>IF(Tabla1[[#This Row],[Disponible stock sin venta]]&gt;0,Tabla1[[#This Row],[Disponible stock sin venta]]+Tabla1[[#This Row],[Ajuste stock sin venta]],0)</f>
        <v>0</v>
      </c>
      <c r="AD108" s="3">
        <f>IFERROR(VLOOKUP(Tabla1[[#This Row],[Llave]],'[16]TD Puerto'!$A:$D,4,FALSE),0)</f>
        <v>0</v>
      </c>
      <c r="AE108" s="3">
        <v>288000</v>
      </c>
      <c r="AF108" s="3">
        <f>+Tabla1[[#This Row],[Atraso a facturar]]+Tabla1[[#This Row],[Venta del mes]]+Tabla1[[#This Row],[En puerto a facturar]]+Tabla1[[#This Row],[Disponible stock sin venta]]</f>
        <v>288000</v>
      </c>
      <c r="AG108" s="3">
        <f>+Tabla1[[#This Row],[En puerto a facturar]]</f>
        <v>0</v>
      </c>
      <c r="AH108" s="3">
        <f>+Tabla1[[#This Row],[Facturación atraso]]</f>
        <v>144000</v>
      </c>
      <c r="AI108" s="3">
        <f>+Tabla1[[#This Row],[Plan Irrestricto]]-Tabla1[[#This Row],[Puerto ]]-Tabla1[[#This Row],[Atraso]]</f>
        <v>144000</v>
      </c>
      <c r="AJ108" s="3">
        <f>IF(Tabla1[[#This Row],[Plan Irrestricto]]&gt;0,SUM(Tabla1[[#This Row],[Facturación atraso]],Tabla1[[#This Row],[Facturación Venta nueva]],Tabla1[[#This Row],[Facturación stock]],Tabla1[[#This Row],[En puerto a facturar]]),0)</f>
        <v>192000</v>
      </c>
      <c r="AK108" s="3">
        <f>+Tabla1[[#This Row],[Facturación atraso]]</f>
        <v>144000</v>
      </c>
      <c r="AL108" s="3">
        <f>+Tabla1[[#This Row],[Plan Ajustado]]-Tabla1[[#This Row],[ Atraso ajustado]]-Tabla1[[#This Row],[Puerto ]]</f>
        <v>48000</v>
      </c>
      <c r="AM108" s="3">
        <v>0</v>
      </c>
      <c r="AN108" s="3" t="str">
        <f>IF(Tabla1[[#This Row],[Plan Ajustado]]&gt;Tabla1[[#This Row],[En puerto a facturar]],"Si","No")</f>
        <v>Si</v>
      </c>
      <c r="AO108" s="3">
        <f>IF(AND(Tabla1[[#This Row],[Plan Ajustado]]&gt;0,Tabla1[[#This Row],[Plan Ajustado]]&gt;Tabla1[[#This Row],[En puerto a facturar]]),(Tabla1[[#This Row],[Plan Ajustado]]-Tabla1[[#This Row],[En puerto a facturar]]),0)</f>
        <v>192000</v>
      </c>
      <c r="AP108" s="3">
        <f>IF(Tabla1[[#This Row],[Necesidad]]&gt;=Tabla1[[#This Row],[Stock al día]],Tabla1[[#This Row],[Stock al día]],Tabla1[[#This Row],[Necesidad]])</f>
        <v>98668.527000000016</v>
      </c>
      <c r="AQ108" s="3">
        <f>+Tabla1[[#This Row],[Necesidad]]-Tabla1[[#This Row],[Stock Plan]]</f>
        <v>93331.472999999984</v>
      </c>
      <c r="AR108" s="156">
        <f>IFERROR(VLOOKUP(Tabla1[[#This Row],[Oficina]],[22]Ponderación!$B$3:$G$9,6,FALSE),"")</f>
        <v>44764</v>
      </c>
      <c r="AS10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1.69999656628781</v>
      </c>
      <c r="AT108" s="83">
        <f>IFERROR(VLOOKUP(Tabla1[[#This Row],[Llave]],[17]DELAY!$H:$W,16,FALSE),0)</f>
        <v>1.6190464173611101</v>
      </c>
      <c r="AU10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1.6392839545927851</v>
      </c>
      <c r="AV108" s="5">
        <f>+Tabla1[[#This Row],[Plan Ajustado]]*Tabla1[[#This Row],[Precio ponderado]]</f>
        <v>314742.51928181475</v>
      </c>
      <c r="AW108" s="30">
        <f>IFERROR(VLOOKUP(Tabla1[[#This Row],[Llave]],'[13]Ultimos precios facturados'!$A:$G,7,FALSE),0)</f>
        <v>1.5892208235126042</v>
      </c>
      <c r="AX10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3.1501683302593501E-2</v>
      </c>
      <c r="AY108" s="30"/>
      <c r="AZ108" s="30">
        <f>IF(Tabla1[[#This Row],[Ajuste precio IC]]="",Tabla1[[#This Row],[Precio ponderado]],Tabla1[[#This Row],[Precio ponderado]])</f>
        <v>1.6392839545927851</v>
      </c>
      <c r="BA108" s="82"/>
      <c r="BB108" s="82" t="str">
        <f>IF(AND(Tabla1[[#This Row],[Atraso a facturar]]&gt;0,Tabla1[[#This Row],[Precio Atraso]]=0),"Revisar","OK")</f>
        <v>OK</v>
      </c>
      <c r="BC108" s="82" t="str">
        <f>IF(AND(Tabla1[[#This Row],[Venta del mes]]&gt;0,Tabla1[[#This Row],[Precio venta nueva]]=0),"Revisar","OK")</f>
        <v>OK</v>
      </c>
      <c r="BD108" s="20">
        <f>IFERROR(VLOOKUP(Tabla1[[#This Row],[Llave]],'[5]Consolidación planes'!$A:$M,9,FALSE),0)</f>
        <v>96000</v>
      </c>
      <c r="BE108" s="20">
        <f>IFERROR(VLOOKUP(Tabla1[[#This Row],[Llave]],'[5]Consolidación planes'!$A:$M,10,FALSE),0)</f>
        <v>47994</v>
      </c>
      <c r="BF108" s="20">
        <f>IFERROR(VLOOKUP(Tabla1[[#This Row],[Llave]],'[5]Consolidación planes'!$A:$M,11,FALSE),0)</f>
        <v>72000</v>
      </c>
      <c r="BG108" s="20">
        <f>IFERROR(VLOOKUP(Tabla1[[#This Row],[Llave]],'[5]Consolidación planes'!$A:$M,12,FALSE),0)</f>
        <v>264000</v>
      </c>
      <c r="BH108" s="20">
        <f>IFERROR(VLOOKUP(Tabla1[[#This Row],[Llave]],'[5]Consolidación planes'!$A:$M,13,FALSE),0)</f>
        <v>168000</v>
      </c>
      <c r="BI108" s="20">
        <f>IFERROR(VLOOKUP(Tabla1[[#This Row],[Llave]],'[13]Base ultimos planes'!$A:$M,13,FALSE),0)</f>
        <v>216000</v>
      </c>
      <c r="BJ108" s="80">
        <f>IFERROR(VLOOKUP(Tabla1[[#This Row],[Llave]],'[13]Base ultimos planes'!$O:$AA,8,FALSE),0)</f>
        <v>153600</v>
      </c>
      <c r="BK108" s="20">
        <f>IFERROR(VLOOKUP(Tabla1[[#This Row],[Llave]],'[13]Base ultimos planes'!$O:$AA,9,FALSE),0)</f>
        <v>64392</v>
      </c>
      <c r="BL108" s="20">
        <f>IFERROR(VLOOKUP(Tabla1[[#This Row],[Llave]],'[13]Base ultimos planes'!$O:$AA,10,FALSE),0)</f>
        <v>103820</v>
      </c>
      <c r="BM108" s="20">
        <f>IFERROR(VLOOKUP(Tabla1[[#This Row],[Llave]],'[13]Base ultimos planes'!$O:$AA,11,FALSE),0)</f>
        <v>414000</v>
      </c>
      <c r="BN108" s="20">
        <f>IFERROR(VLOOKUP(Tabla1[[#This Row],[Llave]],'[13]Base ultimos planes'!$O:$AA,12,FALSE),0)</f>
        <v>279600</v>
      </c>
      <c r="BO108" s="20">
        <f>IFERROR(VLOOKUP(Tabla1[[#This Row],[Llave]],'[13]Base ultimos planes'!$O:$AA,13,FALSE),0)</f>
        <v>335772</v>
      </c>
      <c r="BP108" s="20"/>
      <c r="BQ108" s="20">
        <f>+Tabla1[[#This Row],[ RV  Venta mes n+1]]*(1-Tabla1[[#This Row],[% Uti. producción]])</f>
        <v>48697.277637083709</v>
      </c>
      <c r="BR108" s="100"/>
    </row>
    <row r="109" spans="1:70" ht="16" x14ac:dyDescent="0.2">
      <c r="A109">
        <v>1</v>
      </c>
      <c r="B109" t="str">
        <f>Tabla1[[#This Row],[Oficina]]&amp;Tabla1[[#This Row],[Material]]</f>
        <v>Agrosuper Brasil1022218</v>
      </c>
      <c r="C109" t="s">
        <v>6</v>
      </c>
      <c r="D109" t="s">
        <v>7</v>
      </c>
      <c r="E109">
        <v>1022218</v>
      </c>
      <c r="F109" t="s">
        <v>13</v>
      </c>
      <c r="G109" t="s">
        <v>11</v>
      </c>
      <c r="H109" t="s">
        <v>12</v>
      </c>
      <c r="I109" s="7">
        <f>IFERROR(VLOOKUP(Tabla1[[#This Row],[Llave]],'[7]RV Producción'!$C:$G,5,FALSE),0)</f>
        <v>56208</v>
      </c>
      <c r="J109" s="3">
        <f>IFERROR(IF(Tabla1[[#This Row],[Oficina]]=$I$7,VLOOKUP(Tabla1[[#This Row],[Llave]],'[7]Shangai (Tomas)'!$A:$F,6,FALSE),VLOOKUP(Tabla1[[#This Row],[Llave]],'[7]RV plan de ventas'!$A:$E,5,FALSE)),0)</f>
        <v>24004</v>
      </c>
      <c r="K109" s="8">
        <f>IFERROR(VLOOKUP(Tabla1[[#This Row],[Oficina]],[15]Ponderación!$B$2:$E$9,4,FALSE),0)</f>
        <v>0.81420840482290169</v>
      </c>
      <c r="L109" s="7">
        <f>+Tabla1[[#This Row],[ RV Producción mes n+1]]*Tabla1[[#This Row],[% Uti. producción]]</f>
        <v>45765.026018285658</v>
      </c>
      <c r="M109" s="7">
        <f>IFERROR(VLOOKUP(Tabla1[[#This Row],[Material]],'[17]TD Stock'!$E:$I,5,FALSE),0)</f>
        <v>8377.7629999999972</v>
      </c>
      <c r="N109" s="7">
        <f>IFERROR(VLOOKUP(Tabla1[[#This Row],[Material]],[16]Produccion!$M:$N,2,FALSE),0)</f>
        <v>10801</v>
      </c>
      <c r="O109" s="7">
        <f>IFERROR(VLOOKUP(Tabla1[[#This Row],[Llave]],'[16]TD Conf-AP'!$I:$M,4,FALSE),0)</f>
        <v>0</v>
      </c>
      <c r="P109" s="14">
        <f>SUM(Tabla1[[#This Row],[Producción disponible]],Tabla1[[#This Row],[Stock al día]],(Tabla1[[#This Row],[Por producir mes N]]*0.9))-Tabla1[[#This Row],[Producción por despachar mes N]]</f>
        <v>63863.689018285659</v>
      </c>
      <c r="Q109" s="7">
        <f>IFERROR(VLOOKUP(Tabla1[[#This Row],[Llave]],[17]DELAY!$A:$D,4,FALSE),0)</f>
        <v>96000</v>
      </c>
      <c r="R109" s="9">
        <v>24000</v>
      </c>
      <c r="S109" s="5">
        <f t="shared" si="30"/>
        <v>48000</v>
      </c>
      <c r="T109" s="76">
        <v>0</v>
      </c>
      <c r="U109" s="5">
        <f>+Tabla1[[#This Row],[Atraso a facturar]]+Tabla1[[#This Row],[Ajuste atraso]]</f>
        <v>48000</v>
      </c>
      <c r="V109" s="3">
        <f>+Tabla1[[#This Row],[Total disponible]]-Tabla1[[#This Row],[Facturación atraso]]</f>
        <v>15863.689018285659</v>
      </c>
      <c r="W109" s="6">
        <f>IFERROR(IF(AND(V109&gt;R109,J109&gt;=R109),ROUNDDOWN((Tabla1[[#This Row],[Producción para venta nueva]])/R109,0)*R109,0),0)</f>
        <v>0</v>
      </c>
      <c r="X109" s="76">
        <v>0</v>
      </c>
      <c r="Y109" s="6">
        <f>IF(Tabla1[[#This Row],[Venta del mes]]&gt;0,Tabla1[[#This Row],[Venta del mes]]+Tabla1[[#This Row],[Ajuste venta nueva]],0)</f>
        <v>0</v>
      </c>
      <c r="Z109" s="6">
        <f>+Tabla1[[#This Row],[Producción para venta nueva]]-Tabla1[[#This Row],[Facturación Venta nueva]]</f>
        <v>15863.689018285659</v>
      </c>
      <c r="AA109" s="6">
        <f>IF(AND(A109=1,Tabla1[[#This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09" s="6"/>
      <c r="AC109" s="6">
        <f>IF(Tabla1[[#This Row],[Disponible stock sin venta]]&gt;0,Tabla1[[#This Row],[Disponible stock sin venta]]+Tabla1[[#This Row],[Ajuste stock sin venta]],0)</f>
        <v>0</v>
      </c>
      <c r="AD109" s="3">
        <f>IFERROR(VLOOKUP(Tabla1[[#This Row],[Llave]],'[16]TD Puerto'!$A:$D,4,FALSE),0)</f>
        <v>0</v>
      </c>
      <c r="AE109" s="3">
        <v>48000</v>
      </c>
      <c r="AF109" s="3">
        <f>+Tabla1[[#This Row],[Atraso a facturar]]+Tabla1[[#This Row],[Venta del mes]]+Tabla1[[#This Row],[En puerto a facturar]]+Tabla1[[#This Row],[Disponible stock sin venta]]</f>
        <v>48000</v>
      </c>
      <c r="AG109" s="3">
        <f>+Tabla1[[#This Row],[En puerto a facturar]]</f>
        <v>0</v>
      </c>
      <c r="AH109" s="3">
        <f>+Tabla1[[#This Row],[Facturación atraso]]</f>
        <v>48000</v>
      </c>
      <c r="AI109" s="3">
        <f>+Tabla1[[#This Row],[Plan Irrestricto]]-Tabla1[[#This Row],[Puerto ]]-Tabla1[[#This Row],[Atraso]]</f>
        <v>0</v>
      </c>
      <c r="AJ109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109" s="3">
        <f>+Tabla1[[#This Row],[Facturación atraso]]</f>
        <v>48000</v>
      </c>
      <c r="AL109" s="3">
        <f>+Tabla1[[#This Row],[Plan Ajustado]]-Tabla1[[#This Row],[ Atraso ajustado]]-Tabla1[[#This Row],[Puerto ]]</f>
        <v>0</v>
      </c>
      <c r="AM109" s="3">
        <v>0</v>
      </c>
      <c r="AN109" s="3" t="str">
        <f>IF(Tabla1[[#This Row],[Plan Ajustado]]&gt;Tabla1[[#This Row],[En puerto a facturar]],"Si","No")</f>
        <v>Si</v>
      </c>
      <c r="AO109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109" s="3">
        <f>IF(Tabla1[[#This Row],[Necesidad]]&gt;=Tabla1[[#This Row],[Stock al día]],Tabla1[[#This Row],[Stock al día]],Tabla1[[#This Row],[Necesidad]])</f>
        <v>8377.7629999999972</v>
      </c>
      <c r="AQ109" s="3">
        <f>+Tabla1[[#This Row],[Necesidad]]-Tabla1[[#This Row],[Stock Plan]]</f>
        <v>39622.237000000001</v>
      </c>
      <c r="AR109" s="156">
        <f>IFERROR(VLOOKUP(Tabla1[[#This Row],[Oficina]],[22]Ponderación!$B$3:$G$9,6,FALSE),"")</f>
        <v>44764</v>
      </c>
      <c r="AS10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1.5499916680553201</v>
      </c>
      <c r="AT109" s="83">
        <f>IFERROR(VLOOKUP(Tabla1[[#This Row],[Llave]],[17]DELAY!$H:$W,16,FALSE),0)</f>
        <v>1.51875</v>
      </c>
      <c r="AU10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1.51875</v>
      </c>
      <c r="AV109" s="5">
        <f>+Tabla1[[#This Row],[Plan Ajustado]]*Tabla1[[#This Row],[Precio ponderado]]</f>
        <v>72900</v>
      </c>
      <c r="AW109" s="30">
        <f>IFERROR(VLOOKUP(Tabla1[[#This Row],[Llave]],'[13]Ultimos precios facturados'!$A:$G,7,FALSE),0)</f>
        <v>1.4780444199175597</v>
      </c>
      <c r="AX10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2.7540160183217439E-2</v>
      </c>
      <c r="AY109" s="30"/>
      <c r="AZ109" s="30">
        <f>IF(Tabla1[[#This Row],[Ajuste precio IC]]="",Tabla1[[#This Row],[Precio ponderado]],Tabla1[[#This Row],[Precio ponderado]])</f>
        <v>1.51875</v>
      </c>
      <c r="BA109" s="82"/>
      <c r="BB109" s="82" t="str">
        <f>IF(AND(Tabla1[[#This Row],[Atraso a facturar]]&gt;0,Tabla1[[#This Row],[Precio Atraso]]=0),"Revisar","OK")</f>
        <v>OK</v>
      </c>
      <c r="BC109" s="82" t="str">
        <f>IF(AND(Tabla1[[#This Row],[Venta del mes]]&gt;0,Tabla1[[#This Row],[Precio venta nueva]]=0),"Revisar","OK")</f>
        <v>OK</v>
      </c>
      <c r="BD109" s="20">
        <f>IFERROR(VLOOKUP(Tabla1[[#This Row],[Llave]],'[5]Consolidación planes'!$A:$M,9,FALSE),0)</f>
        <v>120000</v>
      </c>
      <c r="BE109" s="20">
        <f>IFERROR(VLOOKUP(Tabla1[[#This Row],[Llave]],'[5]Consolidación planes'!$A:$M,10,FALSE),0)</f>
        <v>48000</v>
      </c>
      <c r="BF109" s="20">
        <f>IFERROR(VLOOKUP(Tabla1[[#This Row],[Llave]],'[5]Consolidación planes'!$A:$M,11,FALSE),0)</f>
        <v>96000</v>
      </c>
      <c r="BG109" s="20">
        <f>IFERROR(VLOOKUP(Tabla1[[#This Row],[Llave]],'[5]Consolidación planes'!$A:$M,12,FALSE),0)</f>
        <v>96000</v>
      </c>
      <c r="BH109" s="20">
        <f>IFERROR(VLOOKUP(Tabla1[[#This Row],[Llave]],'[5]Consolidación planes'!$A:$M,13,FALSE),0)</f>
        <v>96000</v>
      </c>
      <c r="BI109" s="20">
        <f>IFERROR(VLOOKUP(Tabla1[[#This Row],[Llave]],'[13]Base ultimos planes'!$A:$M,13,FALSE),0)</f>
        <v>48000</v>
      </c>
      <c r="BJ109" s="80">
        <f>IFERROR(VLOOKUP(Tabla1[[#This Row],[Llave]],'[13]Base ultimos planes'!$O:$AA,8,FALSE),0)</f>
        <v>180000</v>
      </c>
      <c r="BK109" s="20">
        <f>IFERROR(VLOOKUP(Tabla1[[#This Row],[Llave]],'[13]Base ultimos planes'!$O:$AA,9,FALSE),0)</f>
        <v>69600</v>
      </c>
      <c r="BL109" s="20">
        <f>IFERROR(VLOOKUP(Tabla1[[#This Row],[Llave]],'[13]Base ultimos planes'!$O:$AA,10,FALSE),0)</f>
        <v>140400</v>
      </c>
      <c r="BM109" s="20">
        <f>IFERROR(VLOOKUP(Tabla1[[#This Row],[Llave]],'[13]Base ultimos planes'!$O:$AA,11,FALSE),0)</f>
        <v>136320</v>
      </c>
      <c r="BN109" s="20">
        <f>IFERROR(VLOOKUP(Tabla1[[#This Row],[Llave]],'[13]Base ultimos planes'!$O:$AA,12,FALSE),0)</f>
        <v>145200</v>
      </c>
      <c r="BO109" s="20">
        <f>IFERROR(VLOOKUP(Tabla1[[#This Row],[Llave]],'[13]Base ultimos planes'!$O:$AA,13,FALSE),0)</f>
        <v>72686</v>
      </c>
      <c r="BP109" s="20"/>
      <c r="BQ109" s="20">
        <f>+Tabla1[[#This Row],[ RV  Venta mes n+1]]*(1-Tabla1[[#This Row],[% Uti. producción]])</f>
        <v>4459.7414506310679</v>
      </c>
      <c r="BR109" s="100"/>
    </row>
    <row r="110" spans="1:70" ht="16" x14ac:dyDescent="0.2">
      <c r="A110">
        <v>1</v>
      </c>
      <c r="B110" t="str">
        <f>Tabla1[[#This Row],[Oficina]]&amp;Tabla1[[#This Row],[Material]]</f>
        <v>Agrosuper Brasil1022273</v>
      </c>
      <c r="C110" t="s">
        <v>6</v>
      </c>
      <c r="D110" t="s">
        <v>7</v>
      </c>
      <c r="E110">
        <v>1022273</v>
      </c>
      <c r="F110" t="s">
        <v>14</v>
      </c>
      <c r="G110" t="s">
        <v>11</v>
      </c>
      <c r="H110" t="s">
        <v>12</v>
      </c>
      <c r="I110" s="7">
        <f>IFERROR(VLOOKUP(Tabla1[[#This Row],[Llave]],'[7]RV Producción'!$C:$G,5,FALSE),0)</f>
        <v>211117</v>
      </c>
      <c r="J110" s="3">
        <f>IFERROR(IF(Tabla1[[#This Row],[Oficina]]=$I$7,VLOOKUP(Tabla1[[#This Row],[Llave]],'[7]Shangai (Tomas)'!$A:$F,6,FALSE),VLOOKUP(Tabla1[[#This Row],[Llave]],'[7]RV plan de ventas'!$A:$E,5,FALSE)),0)</f>
        <v>211608</v>
      </c>
      <c r="K110" s="8">
        <f>IFERROR(VLOOKUP(Tabla1[[#This Row],[Oficina]],[15]Ponderación!$B$2:$E$9,4,FALSE),0)</f>
        <v>0.81420840482290169</v>
      </c>
      <c r="L110" s="7">
        <f>+Tabla1[[#This Row],[ RV Producción mes n+1]]*Tabla1[[#This Row],[% Uti. producción]]</f>
        <v>171893.23580099654</v>
      </c>
      <c r="M110" s="7">
        <f>IFERROR(VLOOKUP(Tabla1[[#This Row],[Material]],'[17]TD Stock'!$E:$I,5,FALSE),0)</f>
        <v>72889.000000000044</v>
      </c>
      <c r="N110" s="7">
        <f>IFERROR(VLOOKUP(Tabla1[[#This Row],[Material]],[16]Produccion!$M:$N,2,FALSE),0)</f>
        <v>51627</v>
      </c>
      <c r="O110" s="7">
        <f>IFERROR(VLOOKUP(Tabla1[[#This Row],[Llave]],'[16]TD Conf-AP'!$I:$M,4,FALSE),0)</f>
        <v>48000</v>
      </c>
      <c r="P110" s="14">
        <f>SUM(Tabla1[[#This Row],[Producción disponible]],Tabla1[[#This Row],[Stock al día]],(Tabla1[[#This Row],[Por producir mes N]]*0.9))-Tabla1[[#This Row],[Producción por despachar mes N]]</f>
        <v>243246.53580099659</v>
      </c>
      <c r="Q110" s="7">
        <f>IFERROR(VLOOKUP(Tabla1[[#This Row],[Llave]],[17]DELAY!$A:$D,4,FALSE),0)</f>
        <v>142000</v>
      </c>
      <c r="R110" s="9">
        <v>24000</v>
      </c>
      <c r="S110" s="5">
        <f t="shared" si="30"/>
        <v>142000</v>
      </c>
      <c r="T110" s="76">
        <v>0</v>
      </c>
      <c r="U110" s="5">
        <f>+Tabla1[[#This Row],[Atraso a facturar]]+Tabla1[[#This Row],[Ajuste atraso]]</f>
        <v>142000</v>
      </c>
      <c r="V110" s="3">
        <f>+Tabla1[[#This Row],[Total disponible]]-Tabla1[[#This Row],[Facturación atraso]]</f>
        <v>101246.53580099659</v>
      </c>
      <c r="W110" s="6">
        <f>IFERROR(IF(AND(V110&gt;R110,J110&gt;=R110),ROUNDDOWN((Tabla1[[#This Row],[Producción para venta nueva]])/R110,0)*R110,0),0)</f>
        <v>96000</v>
      </c>
      <c r="X110" s="76">
        <v>-48000</v>
      </c>
      <c r="Y110" s="6">
        <f>IF(Tabla1[[#This Row],[Venta del mes]]&gt;0,Tabla1[[#This Row],[Venta del mes]]+Tabla1[[#This Row],[Ajuste venta nueva]],0)</f>
        <v>48000</v>
      </c>
      <c r="Z110" s="6">
        <f>+Tabla1[[#This Row],[Producción para venta nueva]]-Tabla1[[#This Row],[Facturación Venta nueva]]</f>
        <v>53246.535800996586</v>
      </c>
      <c r="AA110" s="6">
        <f>IF(AND(A110=1,Tabla1[[#This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0" s="6"/>
      <c r="AC110" s="6">
        <f>IF(Tabla1[[#This Row],[Disponible stock sin venta]]&gt;0,Tabla1[[#This Row],[Disponible stock sin venta]]+Tabla1[[#This Row],[Ajuste stock sin venta]],0)</f>
        <v>0</v>
      </c>
      <c r="AD110" s="3">
        <f>IFERROR(VLOOKUP(Tabla1[[#This Row],[Llave]],'[16]TD Puerto'!$A:$D,4,FALSE),0)</f>
        <v>0</v>
      </c>
      <c r="AE110" s="3">
        <v>238000</v>
      </c>
      <c r="AF110" s="3">
        <f>+Tabla1[[#This Row],[Atraso a facturar]]+Tabla1[[#This Row],[Venta del mes]]+Tabla1[[#This Row],[En puerto a facturar]]+Tabla1[[#This Row],[Disponible stock sin venta]]</f>
        <v>238000</v>
      </c>
      <c r="AG110" s="3">
        <f>+Tabla1[[#This Row],[En puerto a facturar]]</f>
        <v>0</v>
      </c>
      <c r="AH110" s="3">
        <f>+Tabla1[[#This Row],[Facturación atraso]]</f>
        <v>142000</v>
      </c>
      <c r="AI110" s="3">
        <f>+Tabla1[[#This Row],[Plan Irrestricto]]-Tabla1[[#This Row],[Puerto ]]-Tabla1[[#This Row],[Atraso]]</f>
        <v>96000</v>
      </c>
      <c r="AJ110" s="3">
        <f>IF(Tabla1[[#This Row],[Plan Irrestricto]]&gt;0,SUM(Tabla1[[#This Row],[Facturación atraso]],Tabla1[[#This Row],[Facturación Venta nueva]],Tabla1[[#This Row],[Facturación stock]],Tabla1[[#This Row],[En puerto a facturar]]),0)</f>
        <v>190000</v>
      </c>
      <c r="AK110" s="3">
        <f>+Tabla1[[#This Row],[Facturación atraso]]</f>
        <v>142000</v>
      </c>
      <c r="AL110" s="3">
        <f>+Tabla1[[#This Row],[Plan Ajustado]]-Tabla1[[#This Row],[ Atraso ajustado]]-Tabla1[[#This Row],[Puerto ]]</f>
        <v>48000</v>
      </c>
      <c r="AM110" s="3">
        <v>0</v>
      </c>
      <c r="AN110" s="3" t="str">
        <f>IF(Tabla1[[#This Row],[Plan Ajustado]]&gt;Tabla1[[#This Row],[En puerto a facturar]],"Si","No")</f>
        <v>Si</v>
      </c>
      <c r="AO110" s="3">
        <f>IF(AND(Tabla1[[#This Row],[Plan Ajustado]]&gt;0,Tabla1[[#This Row],[Plan Ajustado]]&gt;Tabla1[[#This Row],[En puerto a facturar]]),(Tabla1[[#This Row],[Plan Ajustado]]-Tabla1[[#This Row],[En puerto a facturar]]),0)</f>
        <v>190000</v>
      </c>
      <c r="AP110" s="3">
        <f>IF(Tabla1[[#This Row],[Necesidad]]&gt;=Tabla1[[#This Row],[Stock al día]],Tabla1[[#This Row],[Stock al día]],Tabla1[[#This Row],[Necesidad]])</f>
        <v>72889.000000000044</v>
      </c>
      <c r="AQ110" s="3">
        <f>+Tabla1[[#This Row],[Necesidad]]-Tabla1[[#This Row],[Stock Plan]]</f>
        <v>117110.99999999996</v>
      </c>
      <c r="AR110" s="156">
        <f>IFERROR(VLOOKUP(Tabla1[[#This Row],[Oficina]],[22]Ponderación!$B$3:$G$9,6,FALSE),"")</f>
        <v>44764</v>
      </c>
      <c r="AS11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1.55000283543155</v>
      </c>
      <c r="AT110" s="83">
        <f>IFERROR(VLOOKUP(Tabla1[[#This Row],[Llave]],[17]DELAY!$H:$W,16,FALSE),0)</f>
        <v>1.5010348415492947</v>
      </c>
      <c r="AU11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1.5134057031616539</v>
      </c>
      <c r="AV110" s="5">
        <f>+Tabla1[[#This Row],[Plan Ajustado]]*Tabla1[[#This Row],[Precio ponderado]]</f>
        <v>287547.08360071422</v>
      </c>
      <c r="AW110" s="30">
        <f>IFERROR(VLOOKUP(Tabla1[[#This Row],[Llave]],'[13]Ultimos precios facturados'!$A:$G,7,FALSE),0)</f>
        <v>1.4578467213218094</v>
      </c>
      <c r="AX11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3.8110304071932867E-2</v>
      </c>
      <c r="AY110" s="30"/>
      <c r="AZ110" s="30">
        <f>IF(Tabla1[[#This Row],[Ajuste precio IC]]="",Tabla1[[#This Row],[Precio ponderado]],Tabla1[[#This Row],[Precio ponderado]])</f>
        <v>1.5134057031616539</v>
      </c>
      <c r="BA110" s="82"/>
      <c r="BB110" s="82" t="str">
        <f>IF(AND(Tabla1[[#This Row],[Atraso a facturar]]&gt;0,Tabla1[[#This Row],[Precio Atraso]]=0),"Revisar","OK")</f>
        <v>OK</v>
      </c>
      <c r="BC110" s="82" t="str">
        <f>IF(AND(Tabla1[[#This Row],[Venta del mes]]&gt;0,Tabla1[[#This Row],[Precio venta nueva]]=0),"Revisar","OK")</f>
        <v>OK</v>
      </c>
      <c r="BD110" s="20">
        <f>IFERROR(VLOOKUP(Tabla1[[#This Row],[Llave]],'[5]Consolidación planes'!$A:$M,9,FALSE),0)</f>
        <v>0</v>
      </c>
      <c r="BE110" s="20">
        <f>IFERROR(VLOOKUP(Tabla1[[#This Row],[Llave]],'[5]Consolidación planes'!$A:$M,10,FALSE),0)</f>
        <v>144000</v>
      </c>
      <c r="BF110" s="20">
        <f>IFERROR(VLOOKUP(Tabla1[[#This Row],[Llave]],'[5]Consolidación planes'!$A:$M,11,FALSE),0)</f>
        <v>144000</v>
      </c>
      <c r="BG110" s="20">
        <f>IFERROR(VLOOKUP(Tabla1[[#This Row],[Llave]],'[5]Consolidación planes'!$A:$M,12,FALSE),0)</f>
        <v>120000</v>
      </c>
      <c r="BH110" s="20">
        <f>IFERROR(VLOOKUP(Tabla1[[#This Row],[Llave]],'[5]Consolidación planes'!$A:$M,13,FALSE),0)</f>
        <v>168000</v>
      </c>
      <c r="BI110" s="20">
        <f>IFERROR(VLOOKUP(Tabla1[[#This Row],[Llave]],'[13]Base ultimos planes'!$A:$M,13,FALSE),0)</f>
        <v>48000</v>
      </c>
      <c r="BJ110" s="80">
        <f>IFERROR(VLOOKUP(Tabla1[[#This Row],[Llave]],'[13]Base ultimos planes'!$O:$AA,8,FALSE),0)</f>
        <v>0</v>
      </c>
      <c r="BK110" s="20">
        <f>IFERROR(VLOOKUP(Tabla1[[#This Row],[Llave]],'[13]Base ultimos planes'!$O:$AA,9,FALSE),0)</f>
        <v>208800</v>
      </c>
      <c r="BL110" s="20">
        <f>IFERROR(VLOOKUP(Tabla1[[#This Row],[Llave]],'[13]Base ultimos planes'!$O:$AA,10,FALSE),0)</f>
        <v>208800</v>
      </c>
      <c r="BM110" s="20">
        <f>IFERROR(VLOOKUP(Tabla1[[#This Row],[Llave]],'[13]Base ultimos planes'!$O:$AA,11,FALSE),0)</f>
        <v>180000</v>
      </c>
      <c r="BN110" s="20">
        <f>IFERROR(VLOOKUP(Tabla1[[#This Row],[Llave]],'[13]Base ultimos planes'!$O:$AA,12,FALSE),0)</f>
        <v>252000</v>
      </c>
      <c r="BO110" s="20">
        <f>IFERROR(VLOOKUP(Tabla1[[#This Row],[Llave]],'[13]Base ultimos planes'!$O:$AA,13,FALSE),0)</f>
        <v>68267</v>
      </c>
      <c r="BP110" s="20"/>
      <c r="BQ110" s="20">
        <f>+Tabla1[[#This Row],[ RV  Venta mes n+1]]*(1-Tabla1[[#This Row],[% Uti. producción]])</f>
        <v>39314.987872235419</v>
      </c>
      <c r="BR110" s="100"/>
    </row>
    <row r="111" spans="1:70" ht="16" x14ac:dyDescent="0.2">
      <c r="A111">
        <v>1</v>
      </c>
      <c r="B111" t="str">
        <f>Tabla1[[#This Row],[Oficina]]&amp;Tabla1[[#This Row],[Material]]</f>
        <v>Agrosuper Brasil1023329</v>
      </c>
      <c r="C111" t="s">
        <v>6</v>
      </c>
      <c r="D111" t="s">
        <v>7</v>
      </c>
      <c r="E111">
        <v>1023329</v>
      </c>
      <c r="F111" t="s">
        <v>10</v>
      </c>
      <c r="G111" t="s">
        <v>8</v>
      </c>
      <c r="H111" t="s">
        <v>9</v>
      </c>
      <c r="I111" s="7">
        <f>IFERROR(VLOOKUP(Tabla1[[#This Row],[Llave]],'[7]RV Producción'!$C:$G,5,FALSE),0)</f>
        <v>0</v>
      </c>
      <c r="J111" s="3">
        <f>IFERROR(IF(Tabla1[[#This Row],[Oficina]]=$I$7,VLOOKUP(Tabla1[[#This Row],[Llave]],'[7]Shangai (Tomas)'!$A:$F,6,FALSE),VLOOKUP(Tabla1[[#This Row],[Llave]],'[7]RV plan de ventas'!$A:$E,5,FALSE)),0)</f>
        <v>38659</v>
      </c>
      <c r="K111" s="8">
        <f>IFERROR(VLOOKUP(Tabla1[[#This Row],[Oficina]],[15]Ponderación!$B$2:$E$9,4,FALSE),0)</f>
        <v>0.81420840482290169</v>
      </c>
      <c r="L111" s="7">
        <f>+Tabla1[[#This Row],[ RV Producción mes n+1]]*Tabla1[[#This Row],[% Uti. producción]]</f>
        <v>0</v>
      </c>
      <c r="M111" s="7">
        <f>IFERROR(VLOOKUP(Tabla1[[#This Row],[Material]],'[17]TD Stock'!$E:$I,5,FALSE),0)</f>
        <v>25178.467000000004</v>
      </c>
      <c r="N111" s="7">
        <f>IFERROR(VLOOKUP(Tabla1[[#This Row],[Material]],[16]Produccion!$M:$N,2,FALSE),0)</f>
        <v>11876</v>
      </c>
      <c r="O111" s="7">
        <f>IFERROR(VLOOKUP(Tabla1[[#This Row],[Llave]],'[16]TD Conf-AP'!$I:$M,4,FALSE),0)</f>
        <v>0</v>
      </c>
      <c r="P111" s="14">
        <f>SUM(Tabla1[[#This Row],[Producción disponible]],Tabla1[[#This Row],[Stock al día]],(Tabla1[[#This Row],[Por producir mes N]]*0.9))-Tabla1[[#This Row],[Producción por despachar mes N]]</f>
        <v>35866.867000000006</v>
      </c>
      <c r="Q111" s="7">
        <f>IFERROR(VLOOKUP(Tabla1[[#This Row],[Llave]],[17]DELAY!$A:$D,4,FALSE),0)</f>
        <v>48000</v>
      </c>
      <c r="R111" s="9">
        <v>24000</v>
      </c>
      <c r="S111" s="5">
        <f t="shared" si="30"/>
        <v>24000</v>
      </c>
      <c r="T111" s="76">
        <v>0</v>
      </c>
      <c r="U111" s="5">
        <f>+Tabla1[[#This Row],[Atraso a facturar]]+Tabla1[[#This Row],[Ajuste atraso]]</f>
        <v>24000</v>
      </c>
      <c r="V111" s="3">
        <f>+Tabla1[[#This Row],[Total disponible]]-Tabla1[[#This Row],[Facturación atraso]]</f>
        <v>11866.867000000006</v>
      </c>
      <c r="W111" s="6">
        <f>IFERROR(IF(AND(V111&gt;R111,J111&gt;=R111),ROUNDDOWN((Tabla1[[#This Row],[Producción para venta nueva]])/R111,0)*R111,0),0)</f>
        <v>0</v>
      </c>
      <c r="X111" s="76">
        <v>0</v>
      </c>
      <c r="Y111" s="6">
        <f>IF(Tabla1[[#This Row],[Venta del mes]]&gt;0,Tabla1[[#This Row],[Venta del mes]]+Tabla1[[#This Row],[Ajuste venta nueva]],0)</f>
        <v>0</v>
      </c>
      <c r="Z111" s="6">
        <f>+Tabla1[[#This Row],[Producción para venta nueva]]-Tabla1[[#This Row],[Facturación Venta nueva]]</f>
        <v>11866.867000000006</v>
      </c>
      <c r="AA111" s="6">
        <f>IF(AND(A111=1,Tabla1[[#This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1" s="6"/>
      <c r="AC111" s="6">
        <f>IF(Tabla1[[#This Row],[Disponible stock sin venta]]&gt;0,Tabla1[[#This Row],[Disponible stock sin venta]]+Tabla1[[#This Row],[Ajuste stock sin venta]],0)</f>
        <v>0</v>
      </c>
      <c r="AD111" s="3">
        <f>IFERROR(VLOOKUP(Tabla1[[#This Row],[Llave]],'[16]TD Puerto'!$A:$D,4,FALSE),0)</f>
        <v>0</v>
      </c>
      <c r="AE111" s="3">
        <v>24000</v>
      </c>
      <c r="AF111" s="3">
        <f>+Tabla1[[#This Row],[Atraso a facturar]]+Tabla1[[#This Row],[Venta del mes]]+Tabla1[[#This Row],[En puerto a facturar]]+Tabla1[[#This Row],[Disponible stock sin venta]]</f>
        <v>24000</v>
      </c>
      <c r="AG111" s="3">
        <f>+Tabla1[[#This Row],[En puerto a facturar]]</f>
        <v>0</v>
      </c>
      <c r="AH111" s="3">
        <f>+Tabla1[[#This Row],[Facturación atraso]]</f>
        <v>24000</v>
      </c>
      <c r="AI111" s="3">
        <f>+Tabla1[[#This Row],[Plan Irrestricto]]-Tabla1[[#This Row],[Puerto ]]-Tabla1[[#This Row],[Atraso]]</f>
        <v>0</v>
      </c>
      <c r="AJ111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111" s="3">
        <f>+Tabla1[[#This Row],[Facturación atraso]]</f>
        <v>24000</v>
      </c>
      <c r="AL111" s="3">
        <f>+Tabla1[[#This Row],[Plan Ajustado]]-Tabla1[[#This Row],[ Atraso ajustado]]-Tabla1[[#This Row],[Puerto ]]</f>
        <v>0</v>
      </c>
      <c r="AM111" s="3">
        <v>0</v>
      </c>
      <c r="AN111" s="3" t="str">
        <f>IF(Tabla1[[#This Row],[Plan Ajustado]]&gt;Tabla1[[#This Row],[En puerto a facturar]],"Si","No")</f>
        <v>Si</v>
      </c>
      <c r="AO111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111" s="3">
        <f>IF(Tabla1[[#This Row],[Necesidad]]&gt;=Tabla1[[#This Row],[Stock al día]],Tabla1[[#This Row],[Stock al día]],Tabla1[[#This Row],[Necesidad]])</f>
        <v>24000</v>
      </c>
      <c r="AQ111" s="3">
        <f>+Tabla1[[#This Row],[Necesidad]]-Tabla1[[#This Row],[Stock Plan]]</f>
        <v>0</v>
      </c>
      <c r="AR111" s="156">
        <f>IFERROR(VLOOKUP(Tabla1[[#This Row],[Oficina]],[22]Ponderación!$B$3:$G$9,6,FALSE),"")</f>
        <v>44764</v>
      </c>
      <c r="AS11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0.53666675289065902</v>
      </c>
      <c r="AT111" s="83">
        <f>IFERROR(VLOOKUP(Tabla1[[#This Row],[Llave]],[17]DELAY!$H:$W,16,FALSE),0)</f>
        <v>0.55000000000000004</v>
      </c>
      <c r="AU11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0.55000000000000004</v>
      </c>
      <c r="AV111" s="5">
        <f>+Tabla1[[#This Row],[Plan Ajustado]]*Tabla1[[#This Row],[Precio ponderado]]</f>
        <v>13200.000000000002</v>
      </c>
      <c r="AW111" s="30">
        <f>IFERROR(VLOOKUP(Tabla1[[#This Row],[Llave]],'[13]Ultimos precios facturados'!$A:$G,7,FALSE),0)</f>
        <v>0.55000000000000004</v>
      </c>
      <c r="AX11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111" s="30"/>
      <c r="AZ111" s="30">
        <f>IF(Tabla1[[#This Row],[Ajuste precio IC]]="",Tabla1[[#This Row],[Precio ponderado]],Tabla1[[#This Row],[Precio ponderado]])</f>
        <v>0.55000000000000004</v>
      </c>
      <c r="BA111" s="82"/>
      <c r="BB111" s="82" t="str">
        <f>IF(AND(Tabla1[[#This Row],[Atraso a facturar]]&gt;0,Tabla1[[#This Row],[Precio Atraso]]=0),"Revisar","OK")</f>
        <v>OK</v>
      </c>
      <c r="BC111" s="82" t="str">
        <f>IF(AND(Tabla1[[#This Row],[Venta del mes]]&gt;0,Tabla1[[#This Row],[Precio venta nueva]]=0),"Revisar","OK")</f>
        <v>OK</v>
      </c>
      <c r="BD111" s="20">
        <f>IFERROR(VLOOKUP(Tabla1[[#This Row],[Llave]],'[5]Consolidación planes'!$A:$M,9,FALSE),0)</f>
        <v>0</v>
      </c>
      <c r="BE111" s="20">
        <f>IFERROR(VLOOKUP(Tabla1[[#This Row],[Llave]],'[5]Consolidación planes'!$A:$M,10,FALSE),0)</f>
        <v>24000</v>
      </c>
      <c r="BF111" s="20">
        <f>IFERROR(VLOOKUP(Tabla1[[#This Row],[Llave]],'[5]Consolidación planes'!$A:$M,11,FALSE),0)</f>
        <v>72000</v>
      </c>
      <c r="BG111" s="20">
        <f>IFERROR(VLOOKUP(Tabla1[[#This Row],[Llave]],'[5]Consolidación planes'!$A:$M,12,FALSE),0)</f>
        <v>24000</v>
      </c>
      <c r="BH111" s="20">
        <f>IFERROR(VLOOKUP(Tabla1[[#This Row],[Llave]],'[5]Consolidación planes'!$A:$M,13,FALSE),0)</f>
        <v>72000</v>
      </c>
      <c r="BI111" s="20">
        <f>IFERROR(VLOOKUP(Tabla1[[#This Row],[Llave]],'[13]Base ultimos planes'!$A:$M,13,FALSE),0)</f>
        <v>72000</v>
      </c>
      <c r="BJ111" s="80">
        <f>IFERROR(VLOOKUP(Tabla1[[#This Row],[Llave]],'[13]Base ultimos planes'!$O:$AA,8,FALSE),0)</f>
        <v>0</v>
      </c>
      <c r="BK111" s="20">
        <f>IFERROR(VLOOKUP(Tabla1[[#This Row],[Llave]],'[13]Base ultimos planes'!$O:$AA,9,FALSE),0)</f>
        <v>13200</v>
      </c>
      <c r="BL111" s="20">
        <f>IFERROR(VLOOKUP(Tabla1[[#This Row],[Llave]],'[13]Base ultimos planes'!$O:$AA,10,FALSE),0)</f>
        <v>39600</v>
      </c>
      <c r="BM111" s="20">
        <f>IFERROR(VLOOKUP(Tabla1[[#This Row],[Llave]],'[13]Base ultimos planes'!$O:$AA,11,FALSE),0)</f>
        <v>12000</v>
      </c>
      <c r="BN111" s="20">
        <f>IFERROR(VLOOKUP(Tabla1[[#This Row],[Llave]],'[13]Base ultimos planes'!$O:$AA,12,FALSE),0)</f>
        <v>39600</v>
      </c>
      <c r="BO111" s="20">
        <f>IFERROR(VLOOKUP(Tabla1[[#This Row],[Llave]],'[13]Base ultimos planes'!$O:$AA,13,FALSE),0)</f>
        <v>39600</v>
      </c>
      <c r="BP111" s="20"/>
      <c r="BQ111" s="20">
        <f>+Tabla1[[#This Row],[ RV  Venta mes n+1]]*(1-Tabla1[[#This Row],[% Uti. producción]])</f>
        <v>7182.5172779514432</v>
      </c>
      <c r="BR111" s="100"/>
    </row>
    <row r="112" spans="1:70" ht="16" x14ac:dyDescent="0.2">
      <c r="A112">
        <v>1</v>
      </c>
      <c r="B112" t="str">
        <f>Tabla1[[#This Row],[Oficina]]&amp;Tabla1[[#This Row],[Material]]</f>
        <v>Agrosuper Brasil1023334</v>
      </c>
      <c r="C112" t="s">
        <v>6</v>
      </c>
      <c r="D112" t="s">
        <v>7</v>
      </c>
      <c r="E112">
        <v>1023334</v>
      </c>
      <c r="F112" t="s">
        <v>276</v>
      </c>
      <c r="G112" t="s">
        <v>8</v>
      </c>
      <c r="H112" t="s">
        <v>32</v>
      </c>
      <c r="I112" s="7">
        <f>IFERROR(VLOOKUP(Tabla1[[#This Row],[Llave]],'[7]RV Producción'!$C:$G,5,FALSE),0)</f>
        <v>0</v>
      </c>
      <c r="J112" s="3">
        <f>IFERROR(IF(Tabla1[[#This Row],[Oficina]]=$I$7,VLOOKUP(Tabla1[[#This Row],[Llave]],'[7]Shangai (Tomas)'!$A:$F,6,FALSE),VLOOKUP(Tabla1[[#This Row],[Llave]],'[7]RV plan de ventas'!$A:$E,5,FALSE)),0)</f>
        <v>1069</v>
      </c>
      <c r="K112" s="8">
        <f>IFERROR(VLOOKUP(Tabla1[[#This Row],[Oficina]],[15]Ponderación!$B$2:$E$9,4,FALSE),0)</f>
        <v>0.81420840482290169</v>
      </c>
      <c r="L112" s="7">
        <f>+Tabla1[[#This Row],[ RV Producción mes n+1]]*Tabla1[[#This Row],[% Uti. producción]]</f>
        <v>0</v>
      </c>
      <c r="M112" s="7">
        <f>IFERROR(VLOOKUP(Tabla1[[#This Row],[Material]],'[17]TD Stock'!$E:$I,5,FALSE),0)</f>
        <v>34630.538999999997</v>
      </c>
      <c r="N112" s="7">
        <f>IFERROR(VLOOKUP(Tabla1[[#This Row],[Material]],[16]Produccion!$M:$N,2,FALSE),0)</f>
        <v>0</v>
      </c>
      <c r="O112" s="7">
        <f>IFERROR(VLOOKUP(Tabla1[[#This Row],[Llave]],'[16]TD Conf-AP'!$I:$M,4,FALSE),0)</f>
        <v>0</v>
      </c>
      <c r="P112" s="14">
        <f>SUM(Tabla1[[#This Row],[Producción disponible]],Tabla1[[#This Row],[Stock al día]],(Tabla1[[#This Row],[Por producir mes N]]*0.9))-Tabla1[[#This Row],[Producción por despachar mes N]]</f>
        <v>34630.538999999997</v>
      </c>
      <c r="Q112" s="7">
        <f>IFERROR(VLOOKUP(Tabla1[[#This Row],[Llave]],[17]DELAY!$A:$D,4,FALSE),0)</f>
        <v>120000</v>
      </c>
      <c r="R112" s="9">
        <v>24000</v>
      </c>
      <c r="S112" s="5">
        <f t="shared" si="30"/>
        <v>24000</v>
      </c>
      <c r="T112" s="76">
        <v>0</v>
      </c>
      <c r="U112" s="5">
        <f>+Tabla1[[#This Row],[Atraso a facturar]]+Tabla1[[#This Row],[Ajuste atraso]]</f>
        <v>24000</v>
      </c>
      <c r="V112" s="3">
        <f>+Tabla1[[#This Row],[Total disponible]]-Tabla1[[#This Row],[Facturación atraso]]</f>
        <v>10630.538999999997</v>
      </c>
      <c r="W112" s="6">
        <f>IFERROR(IF(AND(V112&gt;R112,J112&gt;=R112),ROUNDDOWN((Tabla1[[#This Row],[Producción para venta nueva]])/R112,0)*R112,0),0)</f>
        <v>0</v>
      </c>
      <c r="X112" s="76">
        <v>0</v>
      </c>
      <c r="Y112" s="6">
        <f>IF(Tabla1[[#This Row],[Venta del mes]]&gt;0,Tabla1[[#This Row],[Venta del mes]]+Tabla1[[#This Row],[Ajuste venta nueva]],0)</f>
        <v>0</v>
      </c>
      <c r="Z112" s="6">
        <f>+Tabla1[[#This Row],[Producción para venta nueva]]-Tabla1[[#This Row],[Facturación Venta nueva]]</f>
        <v>10630.538999999997</v>
      </c>
      <c r="AA112" s="6">
        <f>IF(AND(A112=1,Tabla1[[#This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2" s="6"/>
      <c r="AC112" s="6">
        <f>IF(Tabla1[[#This Row],[Disponible stock sin venta]]&gt;0,Tabla1[[#This Row],[Disponible stock sin venta]]+Tabla1[[#This Row],[Ajuste stock sin venta]],0)</f>
        <v>0</v>
      </c>
      <c r="AD112" s="3">
        <f>IFERROR(VLOOKUP(Tabla1[[#This Row],[Llave]],'[16]TD Puerto'!$A:$D,4,FALSE),0)</f>
        <v>0</v>
      </c>
      <c r="AE112" s="3">
        <v>24000</v>
      </c>
      <c r="AF112" s="3">
        <f>+Tabla1[[#This Row],[Atraso a facturar]]+Tabla1[[#This Row],[Venta del mes]]+Tabla1[[#This Row],[En puerto a facturar]]+Tabla1[[#This Row],[Disponible stock sin venta]]</f>
        <v>24000</v>
      </c>
      <c r="AG112" s="3">
        <f>+Tabla1[[#This Row],[En puerto a facturar]]</f>
        <v>0</v>
      </c>
      <c r="AH112" s="3">
        <f>+Tabla1[[#This Row],[Facturación atraso]]</f>
        <v>24000</v>
      </c>
      <c r="AI112" s="3">
        <f>+Tabla1[[#This Row],[Plan Irrestricto]]-Tabla1[[#This Row],[Puerto ]]-Tabla1[[#This Row],[Atraso]]</f>
        <v>0</v>
      </c>
      <c r="AJ112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112" s="3">
        <f>+Tabla1[[#This Row],[Facturación atraso]]</f>
        <v>24000</v>
      </c>
      <c r="AL112" s="3">
        <f>+Tabla1[[#This Row],[Plan Ajustado]]-Tabla1[[#This Row],[ Atraso ajustado]]-Tabla1[[#This Row],[Puerto ]]</f>
        <v>0</v>
      </c>
      <c r="AM112" s="3">
        <v>0</v>
      </c>
      <c r="AN112" s="3" t="str">
        <f>IF(Tabla1[[#This Row],[Plan Ajustado]]&gt;Tabla1[[#This Row],[En puerto a facturar]],"Si","No")</f>
        <v>Si</v>
      </c>
      <c r="AO112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112" s="3">
        <f>IF(Tabla1[[#This Row],[Necesidad]]&gt;=Tabla1[[#This Row],[Stock al día]],Tabla1[[#This Row],[Stock al día]],Tabla1[[#This Row],[Necesidad]])</f>
        <v>24000</v>
      </c>
      <c r="AQ112" s="3">
        <f>+Tabla1[[#This Row],[Necesidad]]-Tabla1[[#This Row],[Stock Plan]]</f>
        <v>0</v>
      </c>
      <c r="AR112" s="156">
        <f>IFERROR(VLOOKUP(Tabla1[[#This Row],[Oficina]],[22]Ponderación!$B$3:$G$9,6,FALSE),"")</f>
        <v>44764</v>
      </c>
      <c r="AS11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0.53975678203928901</v>
      </c>
      <c r="AT112" s="83">
        <f>IFERROR(VLOOKUP(Tabla1[[#This Row],[Llave]],[17]DELAY!$H:$W,16,FALSE),0)</f>
        <v>0.65</v>
      </c>
      <c r="AU11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0.65</v>
      </c>
      <c r="AV112" s="5">
        <f>+Tabla1[[#This Row],[Plan Ajustado]]*Tabla1[[#This Row],[Precio ponderado]]</f>
        <v>15600</v>
      </c>
      <c r="AW112" s="30">
        <f>IFERROR(VLOOKUP(Tabla1[[#This Row],[Llave]],'[13]Ultimos precios facturados'!$A:$G,7,FALSE),0)</f>
        <v>0.65</v>
      </c>
      <c r="AX11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112" s="30"/>
      <c r="AZ112" s="30">
        <f>IF(Tabla1[[#This Row],[Ajuste precio IC]]="",Tabla1[[#This Row],[Precio ponderado]],Tabla1[[#This Row],[Precio ponderado]])</f>
        <v>0.65</v>
      </c>
      <c r="BA112" s="82"/>
      <c r="BB112" s="82" t="str">
        <f>IF(AND(Tabla1[[#This Row],[Atraso a facturar]]&gt;0,Tabla1[[#This Row],[Precio Atraso]]=0),"Revisar","OK")</f>
        <v>OK</v>
      </c>
      <c r="BC112" s="82" t="str">
        <f>IF(AND(Tabla1[[#This Row],[Venta del mes]]&gt;0,Tabla1[[#This Row],[Precio venta nueva]]=0),"Revisar","OK")</f>
        <v>OK</v>
      </c>
      <c r="BD112" s="20">
        <f>IFERROR(VLOOKUP(Tabla1[[#This Row],[Llave]],'[5]Consolidación planes'!$A:$M,9,FALSE),0)</f>
        <v>0</v>
      </c>
      <c r="BE112" s="20">
        <f>IFERROR(VLOOKUP(Tabla1[[#This Row],[Llave]],'[5]Consolidación planes'!$A:$M,10,FALSE),0)</f>
        <v>72000</v>
      </c>
      <c r="BF112" s="20">
        <f>IFERROR(VLOOKUP(Tabla1[[#This Row],[Llave]],'[5]Consolidación planes'!$A:$M,11,FALSE),0)</f>
        <v>144000</v>
      </c>
      <c r="BG112" s="20">
        <f>IFERROR(VLOOKUP(Tabla1[[#This Row],[Llave]],'[5]Consolidación planes'!$A:$M,12,FALSE),0)</f>
        <v>168000</v>
      </c>
      <c r="BH112" s="20">
        <f>IFERROR(VLOOKUP(Tabla1[[#This Row],[Llave]],'[5]Consolidación planes'!$A:$M,13,FALSE),0)</f>
        <v>48000</v>
      </c>
      <c r="BI112" s="20">
        <f>IFERROR(VLOOKUP(Tabla1[[#This Row],[Llave]],'[13]Base ultimos planes'!$A:$M,13,FALSE),0)</f>
        <v>72000</v>
      </c>
      <c r="BJ112" s="80">
        <f>IFERROR(VLOOKUP(Tabla1[[#This Row],[Llave]],'[13]Base ultimos planes'!$O:$AA,8,FALSE),0)</f>
        <v>0</v>
      </c>
      <c r="BK112" s="20">
        <f>IFERROR(VLOOKUP(Tabla1[[#This Row],[Llave]],'[13]Base ultimos planes'!$O:$AA,9,FALSE),0)</f>
        <v>46800</v>
      </c>
      <c r="BL112" s="20">
        <f>IFERROR(VLOOKUP(Tabla1[[#This Row],[Llave]],'[13]Base ultimos planes'!$O:$AA,10,FALSE),0)</f>
        <v>93600</v>
      </c>
      <c r="BM112" s="20">
        <f>IFERROR(VLOOKUP(Tabla1[[#This Row],[Llave]],'[13]Base ultimos planes'!$O:$AA,11,FALSE),0)</f>
        <v>100800</v>
      </c>
      <c r="BN112" s="20">
        <f>IFERROR(VLOOKUP(Tabla1[[#This Row],[Llave]],'[13]Base ultimos planes'!$O:$AA,12,FALSE),0)</f>
        <v>29760</v>
      </c>
      <c r="BO112" s="20">
        <f>IFERROR(VLOOKUP(Tabla1[[#This Row],[Llave]],'[13]Base ultimos planes'!$O:$AA,13,FALSE),0)</f>
        <v>46800</v>
      </c>
      <c r="BP112" s="20"/>
      <c r="BQ112" s="20">
        <f>+Tabla1[[#This Row],[ RV  Venta mes n+1]]*(1-Tabla1[[#This Row],[% Uti. producción]])</f>
        <v>198.61121524431809</v>
      </c>
      <c r="BR112" s="100"/>
    </row>
    <row r="113" spans="1:70" ht="16" x14ac:dyDescent="0.2">
      <c r="A113">
        <v>1</v>
      </c>
      <c r="B113" t="str">
        <f>Tabla1[[#This Row],[Oficina]]&amp;Tabla1[[#This Row],[Material]]</f>
        <v>Agrosuper Brasil1023336</v>
      </c>
      <c r="C113" t="s">
        <v>6</v>
      </c>
      <c r="D113" t="s">
        <v>7</v>
      </c>
      <c r="E113">
        <v>1023336</v>
      </c>
      <c r="F113" t="s">
        <v>276</v>
      </c>
      <c r="G113" t="s">
        <v>8</v>
      </c>
      <c r="H113" t="s">
        <v>32</v>
      </c>
      <c r="I113" s="7">
        <f>IFERROR(VLOOKUP(Tabla1[[#This Row],[Llave]],'[7]RV Producción'!$C:$G,5,FALSE),0)</f>
        <v>0</v>
      </c>
      <c r="J113" s="3">
        <f>IFERROR(IF(Tabla1[[#This Row],[Oficina]]=$I$7,VLOOKUP(Tabla1[[#This Row],[Llave]],'[7]Shangai (Tomas)'!$A:$F,6,FALSE),VLOOKUP(Tabla1[[#This Row],[Llave]],'[7]RV plan de ventas'!$A:$E,5,FALSE)),0)</f>
        <v>0</v>
      </c>
      <c r="K113" s="8">
        <f>IFERROR(VLOOKUP(Tabla1[[#This Row],[Oficina]],[15]Ponderación!$B$2:$E$9,4,FALSE),0)</f>
        <v>0.81420840482290169</v>
      </c>
      <c r="L113" s="7">
        <f>+Tabla1[[#This Row],[ RV Producción mes n+1]]*Tabla1[[#This Row],[% Uti. producción]]</f>
        <v>0</v>
      </c>
      <c r="M113" s="7">
        <f>IFERROR(VLOOKUP(Tabla1[[#This Row],[Material]],'[17]TD Stock'!$E:$I,5,FALSE),0)</f>
        <v>43980.885000000002</v>
      </c>
      <c r="N113" s="7">
        <f>IFERROR(VLOOKUP(Tabla1[[#This Row],[Material]],[16]Produccion!$M:$N,2,FALSE),0)</f>
        <v>0</v>
      </c>
      <c r="O113" s="7">
        <f>IFERROR(VLOOKUP(Tabla1[[#This Row],[Llave]],'[16]TD Conf-AP'!$I:$M,4,FALSE),0)</f>
        <v>0</v>
      </c>
      <c r="P113" s="14">
        <f>SUM(Tabla1[[#This Row],[Producción disponible]],Tabla1[[#This Row],[Stock al día]],(Tabla1[[#This Row],[Por producir mes N]]*0.9))-Tabla1[[#This Row],[Producción por despachar mes N]]</f>
        <v>43980.885000000002</v>
      </c>
      <c r="Q113" s="7">
        <f>IFERROR(VLOOKUP(Tabla1[[#This Row],[Llave]],[17]DELAY!$A:$D,4,FALSE),0)</f>
        <v>0</v>
      </c>
      <c r="R113" s="9">
        <v>24000</v>
      </c>
      <c r="S113" s="5">
        <f t="shared" si="30"/>
        <v>0</v>
      </c>
      <c r="T113" s="76">
        <v>0</v>
      </c>
      <c r="U113" s="5">
        <f>+Tabla1[[#This Row],[Atraso a facturar]]+Tabla1[[#This Row],[Ajuste atraso]]</f>
        <v>0</v>
      </c>
      <c r="V113" s="3">
        <f>+Tabla1[[#This Row],[Total disponible]]-Tabla1[[#This Row],[Facturación atraso]]</f>
        <v>43980.885000000002</v>
      </c>
      <c r="W113" s="6">
        <f>IFERROR(IF(AND(V113&gt;R113,J113&gt;=R113),ROUNDDOWN((Tabla1[[#This Row],[Producción para venta nueva]])/R113,0)*R113,0),0)</f>
        <v>0</v>
      </c>
      <c r="X113" s="76">
        <v>0</v>
      </c>
      <c r="Y113" s="6">
        <f>IF(Tabla1[[#This Row],[Venta del mes]]&gt;0,Tabla1[[#This Row],[Venta del mes]]+Tabla1[[#This Row],[Ajuste venta nueva]],0)</f>
        <v>0</v>
      </c>
      <c r="Z113" s="6">
        <f>+Tabla1[[#This Row],[Producción para venta nueva]]-Tabla1[[#This Row],[Facturación Venta nueva]]</f>
        <v>43980.885000000002</v>
      </c>
      <c r="AA113" s="6">
        <f>IF(AND(A113=1,Tabla1[[#This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24000</v>
      </c>
      <c r="AB113" s="6"/>
      <c r="AC113" s="6">
        <f>IF(Tabla1[[#This Row],[Disponible stock sin venta]]&gt;0,Tabla1[[#This Row],[Disponible stock sin venta]]+Tabla1[[#This Row],[Ajuste stock sin venta]],0)</f>
        <v>24000</v>
      </c>
      <c r="AD113" s="3">
        <f>IFERROR(VLOOKUP(Tabla1[[#This Row],[Llave]],'[16]TD Puerto'!$A:$D,4,FALSE),0)</f>
        <v>0</v>
      </c>
      <c r="AE113" s="3">
        <v>24000</v>
      </c>
      <c r="AF113" s="3">
        <f>+Tabla1[[#This Row],[Atraso a facturar]]+Tabla1[[#This Row],[Venta del mes]]+Tabla1[[#This Row],[En puerto a facturar]]+Tabla1[[#This Row],[Disponible stock sin venta]]</f>
        <v>24000</v>
      </c>
      <c r="AG113" s="3">
        <f>+Tabla1[[#This Row],[En puerto a facturar]]</f>
        <v>0</v>
      </c>
      <c r="AH113" s="3">
        <f>+Tabla1[[#This Row],[Facturación atraso]]</f>
        <v>0</v>
      </c>
      <c r="AI113" s="3">
        <f>+Tabla1[[#This Row],[Plan Irrestricto]]-Tabla1[[#This Row],[Puerto ]]-Tabla1[[#This Row],[Atraso]]</f>
        <v>24000</v>
      </c>
      <c r="AJ113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113" s="3">
        <f>+Tabla1[[#This Row],[Facturación atraso]]</f>
        <v>0</v>
      </c>
      <c r="AL113" s="3">
        <f>+Tabla1[[#This Row],[Plan Ajustado]]-Tabla1[[#This Row],[ Atraso ajustado]]-Tabla1[[#This Row],[Puerto ]]</f>
        <v>24000</v>
      </c>
      <c r="AM113" s="3">
        <v>0</v>
      </c>
      <c r="AN113" s="3" t="str">
        <f>IF(Tabla1[[#This Row],[Plan Ajustado]]&gt;Tabla1[[#This Row],[En puerto a facturar]],"Si","No")</f>
        <v>Si</v>
      </c>
      <c r="AO113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113" s="3">
        <f>IF(Tabla1[[#This Row],[Necesidad]]&gt;=Tabla1[[#This Row],[Stock al día]],Tabla1[[#This Row],[Stock al día]],Tabla1[[#This Row],[Necesidad]])</f>
        <v>24000</v>
      </c>
      <c r="AQ113" s="3">
        <f>+Tabla1[[#This Row],[Necesidad]]-Tabla1[[#This Row],[Stock Plan]]</f>
        <v>0</v>
      </c>
      <c r="AR113" s="156">
        <f>IFERROR(VLOOKUP(Tabla1[[#This Row],[Oficina]],[22]Ponderación!$B$3:$G$9,6,FALSE),"")</f>
        <v>44764</v>
      </c>
      <c r="AS11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0.65</v>
      </c>
      <c r="AT113" s="84">
        <f>+Tabla1[[#This Row],[Precio venta nueva]]</f>
        <v>0.65</v>
      </c>
      <c r="AU11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0.65</v>
      </c>
      <c r="AV113" s="5">
        <f>+Tabla1[[#This Row],[Plan Ajustado]]*Tabla1[[#This Row],[Precio ponderado]]</f>
        <v>15600</v>
      </c>
      <c r="AW113" s="30">
        <f>IFERROR(VLOOKUP(Tabla1[[#This Row],[Llave]],'[13]Ultimos precios facturados'!$A:$G,7,FALSE),0)</f>
        <v>0.65</v>
      </c>
      <c r="AX11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113" s="30"/>
      <c r="AZ113" s="30">
        <f>IF(Tabla1[[#This Row],[Ajuste precio IC]]="",Tabla1[[#This Row],[Precio ponderado]],Tabla1[[#This Row],[Precio ponderado]])</f>
        <v>0.65</v>
      </c>
      <c r="BA113" s="82"/>
      <c r="BB113" s="82" t="str">
        <f>IF(AND(Tabla1[[#This Row],[Atraso a facturar]]&gt;0,Tabla1[[#This Row],[Precio Atraso]]=0),"Revisar","OK")</f>
        <v>OK</v>
      </c>
      <c r="BC113" s="82" t="str">
        <f>IF(AND(Tabla1[[#This Row],[Venta del mes]]&gt;0,Tabla1[[#This Row],[Precio venta nueva]]=0),"Revisar","OK")</f>
        <v>OK</v>
      </c>
      <c r="BD113" s="20">
        <f>IFERROR(VLOOKUP(Tabla1[[#This Row],[Llave]],'[5]Consolidación planes'!$A:$M,9,FALSE),0)</f>
        <v>0</v>
      </c>
      <c r="BE113" s="20">
        <f>IFERROR(VLOOKUP(Tabla1[[#This Row],[Llave]],'[5]Consolidación planes'!$A:$M,10,FALSE),0)</f>
        <v>24000</v>
      </c>
      <c r="BF113" s="20">
        <f>IFERROR(VLOOKUP(Tabla1[[#This Row],[Llave]],'[5]Consolidación planes'!$A:$M,11,FALSE),0)</f>
        <v>24000</v>
      </c>
      <c r="BG113" s="20">
        <f>IFERROR(VLOOKUP(Tabla1[[#This Row],[Llave]],'[5]Consolidación planes'!$A:$M,12,FALSE),0)</f>
        <v>24000</v>
      </c>
      <c r="BH113" s="20">
        <f>IFERROR(VLOOKUP(Tabla1[[#This Row],[Llave]],'[5]Consolidación planes'!$A:$M,13,FALSE),0)</f>
        <v>72000</v>
      </c>
      <c r="BI113" s="20">
        <f>IFERROR(VLOOKUP(Tabla1[[#This Row],[Llave]],'[13]Base ultimos planes'!$A:$M,13,FALSE),0)</f>
        <v>0</v>
      </c>
      <c r="BJ113" s="80">
        <f>IFERROR(VLOOKUP(Tabla1[[#This Row],[Llave]],'[13]Base ultimos planes'!$O:$AA,8,FALSE),0)</f>
        <v>0</v>
      </c>
      <c r="BK113" s="20">
        <f>IFERROR(VLOOKUP(Tabla1[[#This Row],[Llave]],'[13]Base ultimos planes'!$O:$AA,9,FALSE),0)</f>
        <v>15600</v>
      </c>
      <c r="BL113" s="20">
        <f>IFERROR(VLOOKUP(Tabla1[[#This Row],[Llave]],'[13]Base ultimos planes'!$O:$AA,10,FALSE),0)</f>
        <v>15600</v>
      </c>
      <c r="BM113" s="20">
        <f>IFERROR(VLOOKUP(Tabla1[[#This Row],[Llave]],'[13]Base ultimos planes'!$O:$AA,11,FALSE),0)</f>
        <v>14400</v>
      </c>
      <c r="BN113" s="20">
        <f>IFERROR(VLOOKUP(Tabla1[[#This Row],[Llave]],'[13]Base ultimos planes'!$O:$AA,12,FALSE),0)</f>
        <v>46800</v>
      </c>
      <c r="BO113" s="20">
        <f>IFERROR(VLOOKUP(Tabla1[[#This Row],[Llave]],'[13]Base ultimos planes'!$O:$AA,13,FALSE),0)</f>
        <v>0</v>
      </c>
      <c r="BP113" s="20"/>
      <c r="BQ113" s="20">
        <f>+Tabla1[[#This Row],[ RV  Venta mes n+1]]*(1-Tabla1[[#This Row],[% Uti. producción]])</f>
        <v>0</v>
      </c>
      <c r="BR113" s="100"/>
    </row>
    <row r="114" spans="1:70" ht="16" hidden="1" x14ac:dyDescent="0.2">
      <c r="A114">
        <v>2</v>
      </c>
      <c r="B114" t="str">
        <f>Tabla1[[#This Row],[Oficina]]&amp;Tabla1[[#This Row],[Material]]</f>
        <v>Agrosuper Shanghai1023109</v>
      </c>
      <c r="C114" t="s">
        <v>6</v>
      </c>
      <c r="D114" t="s">
        <v>140</v>
      </c>
      <c r="E114">
        <v>1023109</v>
      </c>
      <c r="F114" t="s">
        <v>148</v>
      </c>
      <c r="G114" t="s">
        <v>11</v>
      </c>
      <c r="H114" t="s">
        <v>41</v>
      </c>
      <c r="I114" s="7">
        <f>IFERROR(VLOOKUP(Tabla1[[#This Row],[Llave]],'[7]RV Producción'!$C:$G,5,FALSE),0)</f>
        <v>0</v>
      </c>
      <c r="J114" s="3">
        <f>IFERROR(IF(Tabla1[[#This Row],[Oficina]]=$I$7,VLOOKUP(Tabla1[[#This Row],[Llave]],'[7]Shangai (Tomas)'!$A:$F,6,FALSE),VLOOKUP(Tabla1[[#This Row],[Llave]],'[7]RV plan de ventas'!$A:$E,5,FALSE)),0)</f>
        <v>0</v>
      </c>
      <c r="K114" s="8">
        <f>IFERROR(VLOOKUP(Tabla1[[#This Row],[Oficina]],[15]Ponderación!$B$2:$E$9,4,FALSE),0)</f>
        <v>0.45719439678473212</v>
      </c>
      <c r="L114" s="7">
        <f>+Tabla1[[#This Row],[ RV Producción mes n+1]]*Tabla1[[#This Row],[% Uti. producción]]</f>
        <v>0</v>
      </c>
      <c r="M114" s="7">
        <f>IFERROR(VLOOKUP(Tabla1[[#This Row],[Material]],'[17]TD Stock'!$E:$I,5,FALSE),0)</f>
        <v>0</v>
      </c>
      <c r="N114" s="7">
        <f>IFERROR(VLOOKUP(Tabla1[[#This Row],[Material]],[16]Produccion!$M:$N,2,FALSE),0)</f>
        <v>819</v>
      </c>
      <c r="O114" s="7">
        <f>IFERROR(VLOOKUP(Tabla1[[#This Row],[Llave]],'[16]TD Conf-AP'!$I:$M,4,FALSE),0)</f>
        <v>0</v>
      </c>
      <c r="P114" s="14">
        <f>SUM(Tabla1[[#This Row],[Producción disponible]],Tabla1[[#This Row],[Stock al día]],(Tabla1[[#This Row],[Por producir mes N]]*0.9))-Tabla1[[#This Row],[Producción por despachar mes N]]</f>
        <v>737.1</v>
      </c>
      <c r="Q114" s="7">
        <f>IFERROR(VLOOKUP(Tabla1[[#This Row],[Llave]],[17]DELAY!$A:$D,4,FALSE),0)</f>
        <v>0</v>
      </c>
      <c r="R114" s="9">
        <v>24000</v>
      </c>
      <c r="S114" s="5">
        <f t="shared" si="30"/>
        <v>0</v>
      </c>
      <c r="T114" s="76">
        <v>0</v>
      </c>
      <c r="U114" s="5">
        <f>+Tabla1[[#This Row],[Atraso a facturar]]+Tabla1[[#This Row],[Ajuste atraso]]</f>
        <v>0</v>
      </c>
      <c r="V114" s="3">
        <f>+Tabla1[[#This Row],[Total disponible]]-Tabla1[[#This Row],[Facturación atraso]]</f>
        <v>737.1</v>
      </c>
      <c r="W114" s="6">
        <f>IFERROR(IF(AND(V114&gt;R114,J114&gt;=R114),ROUNDDOWN((Tabla1[[#This Row],[Producción para venta nueva]])/R114,0)*R114,0),0)</f>
        <v>0</v>
      </c>
      <c r="X114" s="76">
        <v>0</v>
      </c>
      <c r="Y114" s="6">
        <f>IF(Tabla1[[#This Row],[Venta del mes]]&gt;0,Tabla1[[#This Row],[Venta del mes]]+Tabla1[[#This Row],[Ajuste venta nueva]],0)</f>
        <v>0</v>
      </c>
      <c r="Z114" s="6">
        <f>+Tabla1[[#This Row],[Producción para venta nueva]]-Tabla1[[#This Row],[Facturación Venta nueva]]</f>
        <v>737.1</v>
      </c>
      <c r="AA114" s="6">
        <f>IF(AND(A114=1,Tabla1[[#This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4" s="6"/>
      <c r="AC114" s="6">
        <f>IF(Tabla1[[#This Row],[Disponible stock sin venta]]&gt;0,Tabla1[[#This Row],[Disponible stock sin venta]]+Tabla1[[#This Row],[Ajuste stock sin venta]],0)</f>
        <v>0</v>
      </c>
      <c r="AD114" s="3">
        <f>IFERROR(VLOOKUP(Tabla1[[#This Row],[Llave]],'[16]TD Puerto'!$A:$D,4,FALSE),0)</f>
        <v>0</v>
      </c>
      <c r="AE114" s="3">
        <v>0</v>
      </c>
      <c r="AF114" s="3">
        <f>+Tabla1[[#This Row],[Atraso a facturar]]+Tabla1[[#This Row],[Venta del mes]]+Tabla1[[#This Row],[En puerto a facturar]]+Tabla1[[#This Row],[Disponible stock sin venta]]</f>
        <v>0</v>
      </c>
      <c r="AG114" s="3">
        <f>+Tabla1[[#This Row],[En puerto a facturar]]</f>
        <v>0</v>
      </c>
      <c r="AH114" s="3">
        <f>+Tabla1[[#This Row],[Facturación atraso]]</f>
        <v>0</v>
      </c>
      <c r="AI114" s="3">
        <f>+Tabla1[[#This Row],[Plan Irrestricto]]-Tabla1[[#This Row],[Puerto ]]-Tabla1[[#This Row],[Atraso]]</f>
        <v>0</v>
      </c>
      <c r="AJ11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14" s="3">
        <f>+Tabla1[[#This Row],[Facturación atraso]]</f>
        <v>0</v>
      </c>
      <c r="AL114" s="3">
        <f>+Tabla1[[#This Row],[Plan Ajustado]]-Tabla1[[#This Row],[ Atraso ajustado]]-Tabla1[[#This Row],[Puerto ]]</f>
        <v>0</v>
      </c>
      <c r="AM114" s="3">
        <v>0</v>
      </c>
      <c r="AN114" s="3" t="str">
        <f>IF(Tabla1[[#This Row],[Plan Ajustado]]&gt;Tabla1[[#This Row],[En puerto a facturar]],"Si","No")</f>
        <v>No</v>
      </c>
      <c r="AO11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14" s="3">
        <f>IF(Tabla1[[#This Row],[Necesidad]]&gt;=Tabla1[[#This Row],[Stock al día]],Tabla1[[#This Row],[Stock al día]],Tabla1[[#This Row],[Necesidad]])</f>
        <v>0</v>
      </c>
      <c r="AQ114" s="3">
        <f>+Tabla1[[#This Row],[Necesidad]]-Tabla1[[#This Row],[Stock Plan]]</f>
        <v>0</v>
      </c>
      <c r="AR114" s="156">
        <f>IFERROR(VLOOKUP(Tabla1[[#This Row],[Oficina]],[22]Ponderación!$B$3:$G$9,6,FALSE),"")</f>
        <v>44754</v>
      </c>
      <c r="AS11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114" s="83">
        <f>IFERROR(VLOOKUP(Tabla1[[#This Row],[Llave]],[17]DELAY!$H:$W,16,FALSE),0)</f>
        <v>0</v>
      </c>
      <c r="AU11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14" s="5">
        <f>+Tabla1[[#This Row],[Plan Ajustado]]*Tabla1[[#This Row],[Precio ponderado]]</f>
        <v>0</v>
      </c>
      <c r="AW114" s="30">
        <f>IFERROR(VLOOKUP(Tabla1[[#This Row],[Llave]],'[13]Ultimos precios facturados'!$A:$G,7,FALSE),0)</f>
        <v>0</v>
      </c>
      <c r="AX11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14" s="30"/>
      <c r="AZ114" s="30">
        <f>IF(Tabla1[[#This Row],[Ajuste precio IC]]="",Tabla1[[#This Row],[Precio ponderado]],Tabla1[[#This Row],[Precio ponderado]])</f>
        <v>0</v>
      </c>
      <c r="BA114" s="82"/>
      <c r="BB114" s="82" t="str">
        <f>IF(AND(Tabla1[[#This Row],[Atraso a facturar]]&gt;0,Tabla1[[#This Row],[Precio Atraso]]=0),"Revisar","OK")</f>
        <v>OK</v>
      </c>
      <c r="BC114" s="82" t="str">
        <f>IF(AND(Tabla1[[#This Row],[Venta del mes]]&gt;0,Tabla1[[#This Row],[Precio venta nueva]]=0),"Revisar","OK")</f>
        <v>OK</v>
      </c>
      <c r="BD114" s="20">
        <f>IFERROR(VLOOKUP(Tabla1[[#This Row],[Llave]],'[5]Consolidación planes'!$A:$M,9,FALSE),0)</f>
        <v>0</v>
      </c>
      <c r="BE114" s="20">
        <f>IFERROR(VLOOKUP(Tabla1[[#This Row],[Llave]],'[5]Consolidación planes'!$A:$M,10,FALSE),0)</f>
        <v>0</v>
      </c>
      <c r="BF114" s="20">
        <f>IFERROR(VLOOKUP(Tabla1[[#This Row],[Llave]],'[5]Consolidación planes'!$A:$M,11,FALSE),0)</f>
        <v>0</v>
      </c>
      <c r="BG114" s="20">
        <f>IFERROR(VLOOKUP(Tabla1[[#This Row],[Llave]],'[5]Consolidación planes'!$A:$M,12,FALSE),0)</f>
        <v>0</v>
      </c>
      <c r="BH114" s="20">
        <f>IFERROR(VLOOKUP(Tabla1[[#This Row],[Llave]],'[5]Consolidación planes'!$A:$M,13,FALSE),0)</f>
        <v>0</v>
      </c>
      <c r="BI114" s="20">
        <f>IFERROR(VLOOKUP(Tabla1[[#This Row],[Llave]],'[13]Base ultimos planes'!$A:$M,13,FALSE),0)</f>
        <v>0</v>
      </c>
      <c r="BJ114" s="80">
        <f>IFERROR(VLOOKUP(Tabla1[[#This Row],[Llave]],'[13]Base ultimos planes'!$O:$AA,8,FALSE),0)</f>
        <v>0</v>
      </c>
      <c r="BK114" s="20">
        <f>IFERROR(VLOOKUP(Tabla1[[#This Row],[Llave]],'[13]Base ultimos planes'!$O:$AA,9,FALSE),0)</f>
        <v>0</v>
      </c>
      <c r="BL114" s="20">
        <f>IFERROR(VLOOKUP(Tabla1[[#This Row],[Llave]],'[13]Base ultimos planes'!$O:$AA,10,FALSE),0)</f>
        <v>0</v>
      </c>
      <c r="BM114" s="20">
        <f>IFERROR(VLOOKUP(Tabla1[[#This Row],[Llave]],'[13]Base ultimos planes'!$O:$AA,11,FALSE),0)</f>
        <v>0</v>
      </c>
      <c r="BN114" s="20">
        <f>IFERROR(VLOOKUP(Tabla1[[#This Row],[Llave]],'[13]Base ultimos planes'!$O:$AA,12,FALSE),0)</f>
        <v>0</v>
      </c>
      <c r="BO114" s="20">
        <f>IFERROR(VLOOKUP(Tabla1[[#This Row],[Llave]],'[13]Base ultimos planes'!$O:$AA,13,FALSE),0)</f>
        <v>0</v>
      </c>
      <c r="BP114" s="20"/>
      <c r="BQ114" s="20">
        <f>+Tabla1[[#This Row],[ RV  Venta mes n+1]]*(1-Tabla1[[#This Row],[% Uti. producción]])</f>
        <v>0</v>
      </c>
      <c r="BR114" s="100"/>
    </row>
    <row r="115" spans="1:70" ht="16" hidden="1" x14ac:dyDescent="0.2">
      <c r="A115">
        <v>2</v>
      </c>
      <c r="B115" t="str">
        <f>Tabla1[[#This Row],[Oficina]]&amp;Tabla1[[#This Row],[Material]]</f>
        <v>Agrosuper Shanghai1021115</v>
      </c>
      <c r="C115" t="s">
        <v>6</v>
      </c>
      <c r="D115" t="s">
        <v>140</v>
      </c>
      <c r="E115">
        <v>1021115</v>
      </c>
      <c r="F115" t="s">
        <v>172</v>
      </c>
      <c r="G115" t="s">
        <v>76</v>
      </c>
      <c r="H115" t="s">
        <v>84</v>
      </c>
      <c r="I115" s="7">
        <f>IFERROR(VLOOKUP(Tabla1[[#This Row],[Llave]],'[7]RV Producción'!$C:$G,5,FALSE),0)</f>
        <v>6260</v>
      </c>
      <c r="J115" s="3">
        <f>IFERROR(IF(Tabla1[[#This Row],[Oficina]]=$I$7,VLOOKUP(Tabla1[[#This Row],[Llave]],'[7]Shangai (Tomas)'!$A:$F,6,FALSE),VLOOKUP(Tabla1[[#This Row],[Llave]],'[7]RV plan de ventas'!$A:$E,5,FALSE)),0)</f>
        <v>0</v>
      </c>
      <c r="K115" s="8">
        <f>IFERROR(VLOOKUP(Tabla1[[#This Row],[Oficina]],[15]Ponderación!$B$2:$E$9,4,FALSE),0)</f>
        <v>0.45719439678473212</v>
      </c>
      <c r="L115" s="7">
        <f>+Tabla1[[#This Row],[ RV Producción mes n+1]]*Tabla1[[#This Row],[% Uti. producción]]</f>
        <v>2862.0369238724229</v>
      </c>
      <c r="M115" s="7">
        <f>IFERROR(VLOOKUP(Tabla1[[#This Row],[Material]],'[17]TD Stock'!$E:$I,5,FALSE),0)</f>
        <v>34320</v>
      </c>
      <c r="N115" s="7">
        <f>IFERROR(VLOOKUP(Tabla1[[#This Row],[Material]],[16]Produccion!$M:$N,2,FALSE),0)</f>
        <v>0</v>
      </c>
      <c r="O115" s="7">
        <f>IFERROR(VLOOKUP(Tabla1[[#This Row],[Llave]],'[16]TD Conf-AP'!$I:$M,4,FALSE),0)</f>
        <v>0</v>
      </c>
      <c r="P115" s="14">
        <f>SUM(Tabla1[[#This Row],[Producción disponible]],Tabla1[[#This Row],[Stock al día]],(Tabla1[[#This Row],[Por producir mes N]]*0.9))-Tabla1[[#This Row],[Producción por despachar mes N]]</f>
        <v>37182.036923872423</v>
      </c>
      <c r="Q115" s="7">
        <f>IFERROR(VLOOKUP(Tabla1[[#This Row],[Llave]],[17]DELAY!$A:$D,4,FALSE),0)</f>
        <v>0</v>
      </c>
      <c r="R115" s="9">
        <v>24000</v>
      </c>
      <c r="S115" s="5">
        <f t="shared" si="30"/>
        <v>0</v>
      </c>
      <c r="T115" s="76">
        <v>0</v>
      </c>
      <c r="U115" s="5">
        <f>+Tabla1[[#This Row],[Atraso a facturar]]+Tabla1[[#This Row],[Ajuste atraso]]</f>
        <v>0</v>
      </c>
      <c r="V115" s="3">
        <f>+Tabla1[[#This Row],[Total disponible]]-Tabla1[[#This Row],[Facturación atraso]]</f>
        <v>37182.036923872423</v>
      </c>
      <c r="W115" s="6">
        <f>IFERROR(IF(AND(V115&gt;R115,J115&gt;=R115),ROUNDDOWN((Tabla1[[#This Row],[Producción para venta nueva]])/R115,0)*R115,0),0)</f>
        <v>0</v>
      </c>
      <c r="X115" s="76">
        <v>0</v>
      </c>
      <c r="Y115" s="6">
        <f>IF(Tabla1[[#This Row],[Venta del mes]]&gt;0,Tabla1[[#This Row],[Venta del mes]]+Tabla1[[#This Row],[Ajuste venta nueva]],0)</f>
        <v>0</v>
      </c>
      <c r="Z115" s="6">
        <f>+Tabla1[[#This Row],[Producción para venta nueva]]-Tabla1[[#This Row],[Facturación Venta nueva]]</f>
        <v>37182.036923872423</v>
      </c>
      <c r="AA115" s="6">
        <f>IF(AND(A115=1,Tabla1[[#This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5" s="6"/>
      <c r="AC115" s="6">
        <f>IF(Tabla1[[#This Row],[Disponible stock sin venta]]&gt;0,Tabla1[[#This Row],[Disponible stock sin venta]]+Tabla1[[#This Row],[Ajuste stock sin venta]],0)</f>
        <v>0</v>
      </c>
      <c r="AD115" s="3">
        <f>IFERROR(VLOOKUP(Tabla1[[#This Row],[Llave]],'[16]TD Puerto'!$A:$D,4,FALSE),0)</f>
        <v>0</v>
      </c>
      <c r="AE115" s="3">
        <v>0</v>
      </c>
      <c r="AF115" s="3">
        <f>+Tabla1[[#This Row],[Atraso a facturar]]+Tabla1[[#This Row],[Venta del mes]]+Tabla1[[#This Row],[En puerto a facturar]]+Tabla1[[#This Row],[Disponible stock sin venta]]</f>
        <v>0</v>
      </c>
      <c r="AG115" s="3">
        <f>+Tabla1[[#This Row],[En puerto a facturar]]</f>
        <v>0</v>
      </c>
      <c r="AH115" s="3">
        <f>+Tabla1[[#This Row],[Facturación atraso]]</f>
        <v>0</v>
      </c>
      <c r="AI115" s="3">
        <f>+Tabla1[[#This Row],[Plan Irrestricto]]-Tabla1[[#This Row],[Puerto ]]-Tabla1[[#This Row],[Atraso]]</f>
        <v>0</v>
      </c>
      <c r="AJ11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15" s="3">
        <f>+Tabla1[[#This Row],[Facturación atraso]]</f>
        <v>0</v>
      </c>
      <c r="AL115" s="3">
        <f>+Tabla1[[#This Row],[Plan Ajustado]]-Tabla1[[#This Row],[ Atraso ajustado]]-Tabla1[[#This Row],[Puerto ]]</f>
        <v>0</v>
      </c>
      <c r="AM115" s="3">
        <v>0</v>
      </c>
      <c r="AN115" s="3" t="str">
        <f>IF(Tabla1[[#This Row],[Plan Ajustado]]&gt;Tabla1[[#This Row],[En puerto a facturar]],"Si","No")</f>
        <v>No</v>
      </c>
      <c r="AO11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15" s="3">
        <f>IF(Tabla1[[#This Row],[Necesidad]]&gt;=Tabla1[[#This Row],[Stock al día]],Tabla1[[#This Row],[Stock al día]],Tabla1[[#This Row],[Necesidad]])</f>
        <v>0</v>
      </c>
      <c r="AQ115" s="3">
        <f>+Tabla1[[#This Row],[Necesidad]]-Tabla1[[#This Row],[Stock Plan]]</f>
        <v>0</v>
      </c>
      <c r="AR115" s="156">
        <f>IFERROR(VLOOKUP(Tabla1[[#This Row],[Oficina]],[22]Ponderación!$B$3:$G$9,6,FALSE),"")</f>
        <v>44754</v>
      </c>
      <c r="AS11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0.27311064718162842</v>
      </c>
      <c r="AT115" s="83">
        <f>IFERROR(VLOOKUP(Tabla1[[#This Row],[Llave]],[17]DELAY!$H:$W,16,FALSE),0)</f>
        <v>0</v>
      </c>
      <c r="AU11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15" s="5">
        <f>+Tabla1[[#This Row],[Plan Ajustado]]*Tabla1[[#This Row],[Precio ponderado]]</f>
        <v>0</v>
      </c>
      <c r="AW115" s="30">
        <f>IFERROR(VLOOKUP(Tabla1[[#This Row],[Llave]],'[13]Ultimos precios facturados'!$A:$G,7,FALSE),0)</f>
        <v>0.27311064718162842</v>
      </c>
      <c r="AX11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15" s="30"/>
      <c r="AZ115" s="30">
        <f>IF(Tabla1[[#This Row],[Ajuste precio IC]]="",Tabla1[[#This Row],[Precio ponderado]],Tabla1[[#This Row],[Precio ponderado]])</f>
        <v>0</v>
      </c>
      <c r="BA115" s="82"/>
      <c r="BB115" s="82" t="str">
        <f>IF(AND(Tabla1[[#This Row],[Atraso a facturar]]&gt;0,Tabla1[[#This Row],[Precio Atraso]]=0),"Revisar","OK")</f>
        <v>OK</v>
      </c>
      <c r="BC115" s="82" t="str">
        <f>IF(AND(Tabla1[[#This Row],[Venta del mes]]&gt;0,Tabla1[[#This Row],[Precio venta nueva]]=0),"Revisar","OK")</f>
        <v>OK</v>
      </c>
      <c r="BD115" s="20">
        <f>IFERROR(VLOOKUP(Tabla1[[#This Row],[Llave]],'[5]Consolidación planes'!$A:$M,9,FALSE),0)</f>
        <v>72000</v>
      </c>
      <c r="BE115" s="20">
        <f>IFERROR(VLOOKUP(Tabla1[[#This Row],[Llave]],'[5]Consolidación planes'!$A:$M,10,FALSE),0)</f>
        <v>48000</v>
      </c>
      <c r="BF115" s="20">
        <f>IFERROR(VLOOKUP(Tabla1[[#This Row],[Llave]],'[5]Consolidación planes'!$A:$M,11,FALSE),0)</f>
        <v>24000</v>
      </c>
      <c r="BG115" s="20">
        <f>IFERROR(VLOOKUP(Tabla1[[#This Row],[Llave]],'[5]Consolidación planes'!$A:$M,12,FALSE),0)</f>
        <v>48000</v>
      </c>
      <c r="BH115" s="20">
        <f>IFERROR(VLOOKUP(Tabla1[[#This Row],[Llave]],'[5]Consolidación planes'!$A:$M,13,FALSE),0)</f>
        <v>48000</v>
      </c>
      <c r="BI115" s="20">
        <f>IFERROR(VLOOKUP(Tabla1[[#This Row],[Llave]],'[13]Base ultimos planes'!$A:$M,13,FALSE),0)</f>
        <v>0</v>
      </c>
      <c r="BJ115" s="80">
        <f>IFERROR(VLOOKUP(Tabla1[[#This Row],[Llave]],'[13]Base ultimos planes'!$O:$AA,8,FALSE),0)</f>
        <v>21480</v>
      </c>
      <c r="BK115" s="20">
        <f>IFERROR(VLOOKUP(Tabla1[[#This Row],[Llave]],'[13]Base ultimos planes'!$O:$AA,9,FALSE),0)</f>
        <v>14400</v>
      </c>
      <c r="BL115" s="20">
        <f>IFERROR(VLOOKUP(Tabla1[[#This Row],[Llave]],'[13]Base ultimos planes'!$O:$AA,10,FALSE),0)</f>
        <v>6640</v>
      </c>
      <c r="BM115" s="20">
        <f>IFERROR(VLOOKUP(Tabla1[[#This Row],[Llave]],'[13]Base ultimos planes'!$O:$AA,11,FALSE),0)</f>
        <v>6480</v>
      </c>
      <c r="BN115" s="20">
        <f>IFERROR(VLOOKUP(Tabla1[[#This Row],[Llave]],'[13]Base ultimos planes'!$O:$AA,12,FALSE),0)</f>
        <v>12640</v>
      </c>
      <c r="BO115" s="20">
        <f>IFERROR(VLOOKUP(Tabla1[[#This Row],[Llave]],'[13]Base ultimos planes'!$O:$AA,13,FALSE),0)</f>
        <v>0</v>
      </c>
      <c r="BP115" s="20"/>
      <c r="BQ115" s="20">
        <f>+Tabla1[[#This Row],[ RV  Venta mes n+1]]*(1-Tabla1[[#This Row],[% Uti. producción]])</f>
        <v>0</v>
      </c>
      <c r="BR115" s="100"/>
    </row>
    <row r="116" spans="1:70" ht="16" hidden="1" x14ac:dyDescent="0.2">
      <c r="A116">
        <v>2</v>
      </c>
      <c r="B116" t="str">
        <f>Tabla1[[#This Row],[Oficina]]&amp;Tabla1[[#This Row],[Material]]</f>
        <v>Agrosuper Shanghai1021731</v>
      </c>
      <c r="C116" t="s">
        <v>6</v>
      </c>
      <c r="D116" t="s">
        <v>140</v>
      </c>
      <c r="E116">
        <v>1021731</v>
      </c>
      <c r="F116" t="s">
        <v>161</v>
      </c>
      <c r="G116" t="s">
        <v>159</v>
      </c>
      <c r="H116" t="s">
        <v>160</v>
      </c>
      <c r="I116" s="7">
        <f>IFERROR(VLOOKUP(Tabla1[[#This Row],[Llave]],'[7]RV Producción'!$C:$G,5,FALSE),0)</f>
        <v>0</v>
      </c>
      <c r="J116" s="3">
        <f>IFERROR(IF(Tabla1[[#This Row],[Oficina]]=$I$7,VLOOKUP(Tabla1[[#This Row],[Llave]],'[7]Shangai (Tomas)'!$A:$F,6,FALSE),VLOOKUP(Tabla1[[#This Row],[Llave]],'[7]RV plan de ventas'!$A:$E,5,FALSE)),0)</f>
        <v>0</v>
      </c>
      <c r="K116" s="8">
        <f>IFERROR(VLOOKUP(Tabla1[[#This Row],[Oficina]],[15]Ponderación!$B$2:$E$9,4,FALSE),0)</f>
        <v>0.45719439678473212</v>
      </c>
      <c r="L116" s="7">
        <f>+Tabla1[[#This Row],[ RV Producción mes n+1]]*Tabla1[[#This Row],[% Uti. producción]]</f>
        <v>0</v>
      </c>
      <c r="M116" s="7">
        <f>IFERROR(VLOOKUP(Tabla1[[#This Row],[Material]],'[17]TD Stock'!$E:$I,5,FALSE),0)</f>
        <v>75369.05887304018</v>
      </c>
      <c r="N116" s="7">
        <f>IFERROR(VLOOKUP(Tabla1[[#This Row],[Material]],[16]Produccion!$M:$N,2,FALSE),0)</f>
        <v>50576.52</v>
      </c>
      <c r="O116" s="7">
        <f>IFERROR(VLOOKUP(Tabla1[[#This Row],[Llave]],'[16]TD Conf-AP'!$I:$M,4,FALSE),0)</f>
        <v>0</v>
      </c>
      <c r="P116" s="14">
        <f>SUM(Tabla1[[#This Row],[Producción disponible]],Tabla1[[#This Row],[Stock al día]],(Tabla1[[#This Row],[Por producir mes N]]*0.9))-Tabla1[[#This Row],[Producción por despachar mes N]]</f>
        <v>120887.92687304018</v>
      </c>
      <c r="Q116" s="7">
        <f>IFERROR(VLOOKUP(Tabla1[[#This Row],[Llave]],[17]DELAY!$A:$D,4,FALSE),0)</f>
        <v>0</v>
      </c>
      <c r="R116" s="9">
        <v>24000</v>
      </c>
      <c r="S116" s="5">
        <f t="shared" si="30"/>
        <v>0</v>
      </c>
      <c r="T116" s="76">
        <v>0</v>
      </c>
      <c r="U116" s="5">
        <f>+Tabla1[[#This Row],[Atraso a facturar]]+Tabla1[[#This Row],[Ajuste atraso]]</f>
        <v>0</v>
      </c>
      <c r="V116" s="3">
        <f>+Tabla1[[#This Row],[Total disponible]]-Tabla1[[#This Row],[Facturación atraso]]</f>
        <v>120887.92687304018</v>
      </c>
      <c r="W116" s="6">
        <f>IFERROR(IF(AND(V116&gt;R116,J116&gt;=R116),ROUNDDOWN((Tabla1[[#This Row],[Producción para venta nueva]])/R116,0)*R116,0),0)</f>
        <v>0</v>
      </c>
      <c r="X116" s="76">
        <v>0</v>
      </c>
      <c r="Y116" s="6">
        <f>IF(Tabla1[[#This Row],[Venta del mes]]&gt;0,Tabla1[[#This Row],[Venta del mes]]+Tabla1[[#This Row],[Ajuste venta nueva]],0)</f>
        <v>0</v>
      </c>
      <c r="Z116" s="6">
        <f>+Tabla1[[#This Row],[Producción para venta nueva]]-Tabla1[[#This Row],[Facturación Venta nueva]]</f>
        <v>120887.92687304018</v>
      </c>
      <c r="AA116" s="6">
        <f>IF(AND(A116=1,Tabla1[[#This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6" s="6"/>
      <c r="AC116" s="6">
        <f>IF(Tabla1[[#This Row],[Disponible stock sin venta]]&gt;0,Tabla1[[#This Row],[Disponible stock sin venta]]+Tabla1[[#This Row],[Ajuste stock sin venta]],0)</f>
        <v>0</v>
      </c>
      <c r="AD116" s="3">
        <f>IFERROR(VLOOKUP(Tabla1[[#This Row],[Llave]],'[16]TD Puerto'!$A:$D,4,FALSE),0)</f>
        <v>0</v>
      </c>
      <c r="AE116" s="3">
        <v>0</v>
      </c>
      <c r="AF116" s="3">
        <f>+Tabla1[[#This Row],[Atraso a facturar]]+Tabla1[[#This Row],[Venta del mes]]+Tabla1[[#This Row],[En puerto a facturar]]+Tabla1[[#This Row],[Disponible stock sin venta]]</f>
        <v>0</v>
      </c>
      <c r="AG116" s="3">
        <f>+Tabla1[[#This Row],[En puerto a facturar]]</f>
        <v>0</v>
      </c>
      <c r="AH116" s="3">
        <f>+Tabla1[[#This Row],[Facturación atraso]]</f>
        <v>0</v>
      </c>
      <c r="AI116" s="3">
        <f>+Tabla1[[#This Row],[Plan Irrestricto]]-Tabla1[[#This Row],[Puerto ]]-Tabla1[[#This Row],[Atraso]]</f>
        <v>0</v>
      </c>
      <c r="AJ11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16" s="3">
        <f>+Tabla1[[#This Row],[Facturación atraso]]</f>
        <v>0</v>
      </c>
      <c r="AL116" s="3">
        <f>+Tabla1[[#This Row],[Plan Ajustado]]-Tabla1[[#This Row],[ Atraso ajustado]]-Tabla1[[#This Row],[Puerto ]]</f>
        <v>0</v>
      </c>
      <c r="AM116" s="3">
        <v>0</v>
      </c>
      <c r="AN116" s="3" t="str">
        <f>IF(Tabla1[[#This Row],[Plan Ajustado]]&gt;Tabla1[[#This Row],[En puerto a facturar]],"Si","No")</f>
        <v>No</v>
      </c>
      <c r="AO11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16" s="3">
        <f>IF(Tabla1[[#This Row],[Necesidad]]&gt;=Tabla1[[#This Row],[Stock al día]],Tabla1[[#This Row],[Stock al día]],Tabla1[[#This Row],[Necesidad]])</f>
        <v>0</v>
      </c>
      <c r="AQ116" s="3">
        <f>+Tabla1[[#This Row],[Necesidad]]-Tabla1[[#This Row],[Stock Plan]]</f>
        <v>0</v>
      </c>
      <c r="AR116" s="156">
        <f>IFERROR(VLOOKUP(Tabla1[[#This Row],[Oficina]],[22]Ponderación!$B$3:$G$9,6,FALSE),"")</f>
        <v>44754</v>
      </c>
      <c r="AS11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2.027044580218202</v>
      </c>
      <c r="AT116" s="83">
        <f>IFERROR(VLOOKUP(Tabla1[[#This Row],[Llave]],[17]DELAY!$H:$W,16,FALSE),0)</f>
        <v>0</v>
      </c>
      <c r="AU11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16" s="5">
        <f>+Tabla1[[#This Row],[Plan Ajustado]]*Tabla1[[#This Row],[Precio ponderado]]</f>
        <v>0</v>
      </c>
      <c r="AW116" s="30">
        <f>IFERROR(VLOOKUP(Tabla1[[#This Row],[Llave]],'[13]Ultimos precios facturados'!$A:$G,7,FALSE),0)</f>
        <v>2.027044580218202</v>
      </c>
      <c r="AX11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16" s="30"/>
      <c r="AZ116" s="30">
        <f>IF(Tabla1[[#This Row],[Ajuste precio IC]]="",Tabla1[[#This Row],[Precio ponderado]],Tabla1[[#This Row],[Precio ponderado]])</f>
        <v>0</v>
      </c>
      <c r="BA116" s="82"/>
      <c r="BB116" s="82" t="str">
        <f>IF(AND(Tabla1[[#This Row],[Atraso a facturar]]&gt;0,Tabla1[[#This Row],[Precio Atraso]]=0),"Revisar","OK")</f>
        <v>OK</v>
      </c>
      <c r="BC116" s="82" t="str">
        <f>IF(AND(Tabla1[[#This Row],[Venta del mes]]&gt;0,Tabla1[[#This Row],[Precio venta nueva]]=0),"Revisar","OK")</f>
        <v>OK</v>
      </c>
      <c r="BD116" s="20">
        <f>IFERROR(VLOOKUP(Tabla1[[#This Row],[Llave]],'[5]Consolidación planes'!$A:$M,9,FALSE),0)</f>
        <v>312000</v>
      </c>
      <c r="BE116" s="20">
        <f>IFERROR(VLOOKUP(Tabla1[[#This Row],[Llave]],'[5]Consolidación planes'!$A:$M,10,FALSE),0)</f>
        <v>216000</v>
      </c>
      <c r="BF116" s="20">
        <f>IFERROR(VLOOKUP(Tabla1[[#This Row],[Llave]],'[5]Consolidación planes'!$A:$M,11,FALSE),0)</f>
        <v>216000</v>
      </c>
      <c r="BG116" s="20">
        <f>IFERROR(VLOOKUP(Tabla1[[#This Row],[Llave]],'[5]Consolidación planes'!$A:$M,12,FALSE),0)</f>
        <v>144000</v>
      </c>
      <c r="BH116" s="20">
        <f>IFERROR(VLOOKUP(Tabla1[[#This Row],[Llave]],'[5]Consolidación planes'!$A:$M,13,FALSE),0)</f>
        <v>168000</v>
      </c>
      <c r="BI116" s="20">
        <f>IFERROR(VLOOKUP(Tabla1[[#This Row],[Llave]],'[13]Base ultimos planes'!$A:$M,13,FALSE),0)</f>
        <v>264000</v>
      </c>
      <c r="BJ116" s="80">
        <f>IFERROR(VLOOKUP(Tabla1[[#This Row],[Llave]],'[13]Base ultimos planes'!$O:$AA,8,FALSE),0)</f>
        <v>623108.57140000002</v>
      </c>
      <c r="BK116" s="20">
        <f>IFERROR(VLOOKUP(Tabla1[[#This Row],[Llave]],'[13]Base ultimos planes'!$O:$AA,9,FALSE),0)</f>
        <v>406080</v>
      </c>
      <c r="BL116" s="20">
        <f>IFERROR(VLOOKUP(Tabla1[[#This Row],[Llave]],'[13]Base ultimos planes'!$O:$AA,10,FALSE),0)</f>
        <v>403920</v>
      </c>
      <c r="BM116" s="20">
        <f>IFERROR(VLOOKUP(Tabla1[[#This Row],[Llave]],'[13]Base ultimos planes'!$O:$AA,11,FALSE),0)</f>
        <v>265334</v>
      </c>
      <c r="BN116" s="20">
        <f>IFERROR(VLOOKUP(Tabla1[[#This Row],[Llave]],'[13]Base ultimos planes'!$O:$AA,12,FALSE),0)</f>
        <v>325720</v>
      </c>
      <c r="BO116" s="20">
        <f>IFERROR(VLOOKUP(Tabla1[[#This Row],[Llave]],'[13]Base ultimos planes'!$O:$AA,13,FALSE),0)</f>
        <v>540233</v>
      </c>
      <c r="BP116" s="20"/>
      <c r="BQ116" s="20">
        <f>+Tabla1[[#This Row],[ RV  Venta mes n+1]]*(1-Tabla1[[#This Row],[% Uti. producción]])</f>
        <v>0</v>
      </c>
      <c r="BR116" s="100"/>
    </row>
    <row r="117" spans="1:70" ht="16" x14ac:dyDescent="0.2">
      <c r="A117">
        <v>2</v>
      </c>
      <c r="B117" t="str">
        <f>Tabla1[[#This Row],[Oficina]]&amp;Tabla1[[#This Row],[Material]]</f>
        <v>Agrosuper Shanghai1021733</v>
      </c>
      <c r="C117" t="s">
        <v>6</v>
      </c>
      <c r="D117" t="s">
        <v>140</v>
      </c>
      <c r="E117">
        <v>1021733</v>
      </c>
      <c r="F117" t="s">
        <v>166</v>
      </c>
      <c r="G117" t="s">
        <v>59</v>
      </c>
      <c r="H117" t="s">
        <v>62</v>
      </c>
      <c r="I117" s="7">
        <f>IFERROR(VLOOKUP(Tabla1[[#This Row],[Llave]],'[7]RV Producción'!$C:$G,5,FALSE),0)</f>
        <v>0</v>
      </c>
      <c r="J117" s="3">
        <f>IFERROR(IF(Tabla1[[#This Row],[Oficina]]=$I$7,VLOOKUP(Tabla1[[#This Row],[Llave]],'[7]Shangai (Tomas)'!$A:$F,6,FALSE),VLOOKUP(Tabla1[[#This Row],[Llave]],'[7]RV plan de ventas'!$A:$E,5,FALSE)),0)</f>
        <v>0</v>
      </c>
      <c r="K117" s="8">
        <f>IFERROR(VLOOKUP(Tabla1[[#This Row],[Oficina]],[15]Ponderación!$B$2:$E$9,4,FALSE),0)</f>
        <v>0.45719439678473212</v>
      </c>
      <c r="L117" s="7">
        <f>+Tabla1[[#This Row],[ RV Producción mes n+1]]*Tabla1[[#This Row],[% Uti. producción]]</f>
        <v>0</v>
      </c>
      <c r="M117" s="7">
        <f>IFERROR(VLOOKUP(Tabla1[[#This Row],[Material]],'[17]TD Stock'!$E:$I,5,FALSE),0)</f>
        <v>3816.6660000000002</v>
      </c>
      <c r="N117" s="7">
        <f>IFERROR(VLOOKUP(Tabla1[[#This Row],[Material]],[16]Produccion!$M:$N,2,FALSE),0)</f>
        <v>36246</v>
      </c>
      <c r="O117" s="7">
        <f>IFERROR(VLOOKUP(Tabla1[[#This Row],[Llave]],'[16]TD Conf-AP'!$I:$M,4,FALSE),0)</f>
        <v>0</v>
      </c>
      <c r="P117" s="14">
        <f>SUM(Tabla1[[#This Row],[Producción disponible]],Tabla1[[#This Row],[Stock al día]],(Tabla1[[#This Row],[Por producir mes N]]*0.9))-Tabla1[[#This Row],[Producción por despachar mes N]]</f>
        <v>36438.065999999999</v>
      </c>
      <c r="Q117" s="7">
        <f>IFERROR(VLOOKUP(Tabla1[[#This Row],[Llave]],[17]DELAY!$A:$D,4,FALSE),0)</f>
        <v>72000</v>
      </c>
      <c r="R117" s="9">
        <v>24000</v>
      </c>
      <c r="S117" s="5">
        <f t="shared" si="30"/>
        <v>24000</v>
      </c>
      <c r="T117" s="76">
        <v>0</v>
      </c>
      <c r="U117" s="5">
        <f>+Tabla1[[#This Row],[Atraso a facturar]]+Tabla1[[#This Row],[Ajuste atraso]]</f>
        <v>24000</v>
      </c>
      <c r="V117" s="3">
        <f>+Tabla1[[#This Row],[Total disponible]]-Tabla1[[#This Row],[Facturación atraso]]</f>
        <v>12438.065999999999</v>
      </c>
      <c r="W117" s="6">
        <f>IFERROR(IF(AND(V117&gt;R117,J117&gt;=R117),ROUNDDOWN((Tabla1[[#This Row],[Producción para venta nueva]])/R117,0)*R117,0),0)</f>
        <v>0</v>
      </c>
      <c r="X117" s="76">
        <v>0</v>
      </c>
      <c r="Y117" s="6">
        <f>IF(Tabla1[[#This Row],[Venta del mes]]&gt;0,Tabla1[[#This Row],[Venta del mes]]+Tabla1[[#This Row],[Ajuste venta nueva]],0)</f>
        <v>0</v>
      </c>
      <c r="Z117" s="6">
        <f>+Tabla1[[#This Row],[Producción para venta nueva]]-Tabla1[[#This Row],[Facturación Venta nueva]]</f>
        <v>12438.065999999999</v>
      </c>
      <c r="AA117" s="6">
        <f>IF(AND(A117=1,Tabla1[[#This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7" s="6"/>
      <c r="AC117" s="6">
        <f>IF(Tabla1[[#This Row],[Disponible stock sin venta]]&gt;0,Tabla1[[#This Row],[Disponible stock sin venta]]+Tabla1[[#This Row],[Ajuste stock sin venta]],0)</f>
        <v>0</v>
      </c>
      <c r="AD117" s="3">
        <f>IFERROR(VLOOKUP(Tabla1[[#This Row],[Llave]],'[16]TD Puerto'!$A:$D,4,FALSE),0)</f>
        <v>0</v>
      </c>
      <c r="AE117" s="3">
        <v>24000</v>
      </c>
      <c r="AF117" s="3">
        <f>+Tabla1[[#This Row],[Atraso a facturar]]+Tabla1[[#This Row],[Venta del mes]]+Tabla1[[#This Row],[En puerto a facturar]]+Tabla1[[#This Row],[Disponible stock sin venta]]</f>
        <v>24000</v>
      </c>
      <c r="AG117" s="3">
        <f>+Tabla1[[#This Row],[En puerto a facturar]]</f>
        <v>0</v>
      </c>
      <c r="AH117" s="3">
        <f>+Tabla1[[#This Row],[Facturación atraso]]</f>
        <v>24000</v>
      </c>
      <c r="AI117" s="3">
        <f>+Tabla1[[#This Row],[Plan Irrestricto]]-Tabla1[[#This Row],[Puerto ]]-Tabla1[[#This Row],[Atraso]]</f>
        <v>0</v>
      </c>
      <c r="AJ117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117" s="3">
        <f>+Tabla1[[#This Row],[Facturación atraso]]</f>
        <v>24000</v>
      </c>
      <c r="AL117" s="3">
        <f>+Tabla1[[#This Row],[Plan Ajustado]]-Tabla1[[#This Row],[ Atraso ajustado]]-Tabla1[[#This Row],[Puerto ]]</f>
        <v>0</v>
      </c>
      <c r="AM117" s="3">
        <v>0</v>
      </c>
      <c r="AN117" s="3" t="str">
        <f>IF(Tabla1[[#This Row],[Plan Ajustado]]&gt;Tabla1[[#This Row],[En puerto a facturar]],"Si","No")</f>
        <v>Si</v>
      </c>
      <c r="AO117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117" s="3">
        <f>IF(Tabla1[[#This Row],[Necesidad]]&gt;=Tabla1[[#This Row],[Stock al día]],Tabla1[[#This Row],[Stock al día]],Tabla1[[#This Row],[Necesidad]])</f>
        <v>3816.6660000000002</v>
      </c>
      <c r="AQ117" s="3">
        <f>+Tabla1[[#This Row],[Necesidad]]-Tabla1[[#This Row],[Stock Plan]]</f>
        <v>20183.333999999999</v>
      </c>
      <c r="AR117" s="156">
        <f>IFERROR(VLOOKUP(Tabla1[[#This Row],[Oficina]],[22]Ponderación!$B$3:$G$9,6,FALSE),"")</f>
        <v>44754</v>
      </c>
      <c r="AS11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2.3915819483973553</v>
      </c>
      <c r="AT117" s="83">
        <f>IFERROR(VLOOKUP(Tabla1[[#This Row],[Llave]],[17]DELAY!$H:$W,16,FALSE),0)</f>
        <v>2.8455833333333298</v>
      </c>
      <c r="AU11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2.8455833333333298</v>
      </c>
      <c r="AV117" s="5">
        <f>+Tabla1[[#This Row],[Plan Ajustado]]*Tabla1[[#This Row],[Precio ponderado]]</f>
        <v>68293.999999999913</v>
      </c>
      <c r="AW117" s="30">
        <f>IFERROR(VLOOKUP(Tabla1[[#This Row],[Llave]],'[13]Ultimos precios facturados'!$A:$G,7,FALSE),0)</f>
        <v>2.3915819483973553</v>
      </c>
      <c r="AX11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0.18983308735885446</v>
      </c>
      <c r="AY117" s="30"/>
      <c r="AZ117" s="30">
        <f>IF(Tabla1[[#This Row],[Ajuste precio IC]]="",Tabla1[[#This Row],[Precio ponderado]],Tabla1[[#This Row],[Precio ponderado]])</f>
        <v>2.8455833333333298</v>
      </c>
      <c r="BA117" s="82"/>
      <c r="BB117" s="82" t="str">
        <f>IF(AND(Tabla1[[#This Row],[Atraso a facturar]]&gt;0,Tabla1[[#This Row],[Precio Atraso]]=0),"Revisar","OK")</f>
        <v>OK</v>
      </c>
      <c r="BC117" s="82" t="str">
        <f>IF(AND(Tabla1[[#This Row],[Venta del mes]]&gt;0,Tabla1[[#This Row],[Precio venta nueva]]=0),"Revisar","OK")</f>
        <v>OK</v>
      </c>
      <c r="BD117" s="20">
        <f>IFERROR(VLOOKUP(Tabla1[[#This Row],[Llave]],'[5]Consolidación planes'!$A:$M,9,FALSE),0)</f>
        <v>96000</v>
      </c>
      <c r="BE117" s="20">
        <f>IFERROR(VLOOKUP(Tabla1[[#This Row],[Llave]],'[5]Consolidación planes'!$A:$M,10,FALSE),0)</f>
        <v>0</v>
      </c>
      <c r="BF117" s="20">
        <f>IFERROR(VLOOKUP(Tabla1[[#This Row],[Llave]],'[5]Consolidación planes'!$A:$M,11,FALSE),0)</f>
        <v>0</v>
      </c>
      <c r="BG117" s="20">
        <f>IFERROR(VLOOKUP(Tabla1[[#This Row],[Llave]],'[5]Consolidación planes'!$A:$M,12,FALSE),0)</f>
        <v>72000</v>
      </c>
      <c r="BH117" s="20">
        <f>IFERROR(VLOOKUP(Tabla1[[#This Row],[Llave]],'[5]Consolidación planes'!$A:$M,13,FALSE),0)</f>
        <v>24000</v>
      </c>
      <c r="BI117" s="20">
        <f>IFERROR(VLOOKUP(Tabla1[[#This Row],[Llave]],'[13]Base ultimos planes'!$A:$M,13,FALSE),0)</f>
        <v>0</v>
      </c>
      <c r="BJ117" s="80">
        <f>IFERROR(VLOOKUP(Tabla1[[#This Row],[Llave]],'[13]Base ultimos planes'!$O:$AA,8,FALSE),0)</f>
        <v>169760</v>
      </c>
      <c r="BK117" s="20">
        <f>IFERROR(VLOOKUP(Tabla1[[#This Row],[Llave]],'[13]Base ultimos planes'!$O:$AA,9,FALSE),0)</f>
        <v>0</v>
      </c>
      <c r="BL117" s="20">
        <f>IFERROR(VLOOKUP(Tabla1[[#This Row],[Llave]],'[13]Base ultimos planes'!$O:$AA,10,FALSE),0)</f>
        <v>0</v>
      </c>
      <c r="BM117" s="20">
        <f>IFERROR(VLOOKUP(Tabla1[[#This Row],[Llave]],'[13]Base ultimos planes'!$O:$AA,11,FALSE),0)</f>
        <v>65368</v>
      </c>
      <c r="BN117" s="20">
        <f>IFERROR(VLOOKUP(Tabla1[[#This Row],[Llave]],'[13]Base ultimos planes'!$O:$AA,12,FALSE),0)</f>
        <v>43579</v>
      </c>
      <c r="BO117" s="20">
        <f>IFERROR(VLOOKUP(Tabla1[[#This Row],[Llave]],'[13]Base ultimos planes'!$O:$AA,13,FALSE),0)</f>
        <v>0</v>
      </c>
      <c r="BP117" s="20"/>
      <c r="BQ117" s="20">
        <f>+Tabla1[[#This Row],[ RV  Venta mes n+1]]*(1-Tabla1[[#This Row],[% Uti. producción]])</f>
        <v>0</v>
      </c>
      <c r="BR117" s="100"/>
    </row>
    <row r="118" spans="1:70" ht="16" hidden="1" x14ac:dyDescent="0.2">
      <c r="A118">
        <v>2</v>
      </c>
      <c r="B118" t="str">
        <f>Tabla1[[#This Row],[Oficina]]&amp;Tabla1[[#This Row],[Material]]</f>
        <v>Agrosuper Shanghai1021735</v>
      </c>
      <c r="C118" t="s">
        <v>6</v>
      </c>
      <c r="D118" t="s">
        <v>140</v>
      </c>
      <c r="E118">
        <v>1021735</v>
      </c>
      <c r="F118" t="s">
        <v>169</v>
      </c>
      <c r="G118" t="s">
        <v>76</v>
      </c>
      <c r="H118" t="s">
        <v>77</v>
      </c>
      <c r="I118" s="7">
        <f>IFERROR(VLOOKUP(Tabla1[[#This Row],[Llave]],'[7]RV Producción'!$C:$G,5,FALSE),0)</f>
        <v>0</v>
      </c>
      <c r="J118" s="3">
        <f>IFERROR(IF(Tabla1[[#This Row],[Oficina]]=$I$7,VLOOKUP(Tabla1[[#This Row],[Llave]],'[7]Shangai (Tomas)'!$A:$F,6,FALSE),VLOOKUP(Tabla1[[#This Row],[Llave]],'[7]RV plan de ventas'!$A:$E,5,FALSE)),0)</f>
        <v>0</v>
      </c>
      <c r="K118" s="8">
        <f>IFERROR(VLOOKUP(Tabla1[[#This Row],[Oficina]],[15]Ponderación!$B$2:$E$9,4,FALSE),0)</f>
        <v>0.45719439678473212</v>
      </c>
      <c r="L118" s="7">
        <f>+Tabla1[[#This Row],[ RV Producción mes n+1]]*Tabla1[[#This Row],[% Uti. producción]]</f>
        <v>0</v>
      </c>
      <c r="M118" s="7">
        <f>IFERROR(VLOOKUP(Tabla1[[#This Row],[Material]],'[17]TD Stock'!$E:$I,5,FALSE),0)</f>
        <v>30112.668394175627</v>
      </c>
      <c r="N118" s="7">
        <f>IFERROR(VLOOKUP(Tabla1[[#This Row],[Material]],[16]Produccion!$M:$N,2,FALSE),0)</f>
        <v>46045.799999999996</v>
      </c>
      <c r="O118" s="7">
        <f>IFERROR(VLOOKUP(Tabla1[[#This Row],[Llave]],'[16]TD Conf-AP'!$I:$M,4,FALSE),0)</f>
        <v>0</v>
      </c>
      <c r="P118" s="14">
        <f>SUM(Tabla1[[#This Row],[Producción disponible]],Tabla1[[#This Row],[Stock al día]],(Tabla1[[#This Row],[Por producir mes N]]*0.9))-Tabla1[[#This Row],[Producción por despachar mes N]]</f>
        <v>71553.888394175621</v>
      </c>
      <c r="Q118" s="7">
        <f>IFERROR(VLOOKUP(Tabla1[[#This Row],[Llave]],[17]DELAY!$A:$D,4,FALSE),0)</f>
        <v>0</v>
      </c>
      <c r="R118" s="9">
        <v>24000</v>
      </c>
      <c r="S118" s="5">
        <f t="shared" si="30"/>
        <v>0</v>
      </c>
      <c r="T118" s="76">
        <v>0</v>
      </c>
      <c r="U118" s="5">
        <f>+Tabla1[[#This Row],[Atraso a facturar]]+Tabla1[[#This Row],[Ajuste atraso]]</f>
        <v>0</v>
      </c>
      <c r="V118" s="3">
        <f>+Tabla1[[#This Row],[Total disponible]]-Tabla1[[#This Row],[Facturación atraso]]</f>
        <v>71553.888394175621</v>
      </c>
      <c r="W118" s="6">
        <f>IFERROR(IF(AND(V118&gt;R118,J118&gt;=R118),ROUNDDOWN((Tabla1[[#This Row],[Producción para venta nueva]])/R118,0)*R118,0),0)</f>
        <v>0</v>
      </c>
      <c r="X118" s="76">
        <v>0</v>
      </c>
      <c r="Y118" s="6">
        <f>IF(Tabla1[[#This Row],[Venta del mes]]&gt;0,Tabla1[[#This Row],[Venta del mes]]+Tabla1[[#This Row],[Ajuste venta nueva]],0)</f>
        <v>0</v>
      </c>
      <c r="Z118" s="6">
        <f>+Tabla1[[#This Row],[Producción para venta nueva]]-Tabla1[[#This Row],[Facturación Venta nueva]]</f>
        <v>71553.888394175621</v>
      </c>
      <c r="AA118" s="6">
        <f>IF(AND(A118=1,Tabla1[[#This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8" s="6"/>
      <c r="AC118" s="6">
        <f>IF(Tabla1[[#This Row],[Disponible stock sin venta]]&gt;0,Tabla1[[#This Row],[Disponible stock sin venta]]+Tabla1[[#This Row],[Ajuste stock sin venta]],0)</f>
        <v>0</v>
      </c>
      <c r="AD118" s="3">
        <f>IFERROR(VLOOKUP(Tabla1[[#This Row],[Llave]],'[16]TD Puerto'!$A:$D,4,FALSE),0)</f>
        <v>0</v>
      </c>
      <c r="AE118" s="3">
        <v>0</v>
      </c>
      <c r="AF118" s="3">
        <f>+Tabla1[[#This Row],[Atraso a facturar]]+Tabla1[[#This Row],[Venta del mes]]+Tabla1[[#This Row],[En puerto a facturar]]+Tabla1[[#This Row],[Disponible stock sin venta]]</f>
        <v>0</v>
      </c>
      <c r="AG118" s="3">
        <f>+Tabla1[[#This Row],[En puerto a facturar]]</f>
        <v>0</v>
      </c>
      <c r="AH118" s="3">
        <f>+Tabla1[[#This Row],[Facturación atraso]]</f>
        <v>0</v>
      </c>
      <c r="AI118" s="3">
        <f>+Tabla1[[#This Row],[Plan Irrestricto]]-Tabla1[[#This Row],[Puerto ]]-Tabla1[[#This Row],[Atraso]]</f>
        <v>0</v>
      </c>
      <c r="AJ11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18" s="3">
        <f>+Tabla1[[#This Row],[Facturación atraso]]</f>
        <v>0</v>
      </c>
      <c r="AL118" s="3">
        <f>+Tabla1[[#This Row],[Plan Ajustado]]-Tabla1[[#This Row],[ Atraso ajustado]]-Tabla1[[#This Row],[Puerto ]]</f>
        <v>0</v>
      </c>
      <c r="AM118" s="3">
        <v>0</v>
      </c>
      <c r="AN118" s="3" t="str">
        <f>IF(Tabla1[[#This Row],[Plan Ajustado]]&gt;Tabla1[[#This Row],[En puerto a facturar]],"Si","No")</f>
        <v>No</v>
      </c>
      <c r="AO11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18" s="3">
        <f>IF(Tabla1[[#This Row],[Necesidad]]&gt;=Tabla1[[#This Row],[Stock al día]],Tabla1[[#This Row],[Stock al día]],Tabla1[[#This Row],[Necesidad]])</f>
        <v>0</v>
      </c>
      <c r="AQ118" s="3">
        <f>+Tabla1[[#This Row],[Necesidad]]-Tabla1[[#This Row],[Stock Plan]]</f>
        <v>0</v>
      </c>
      <c r="AR118" s="156">
        <f>IFERROR(VLOOKUP(Tabla1[[#This Row],[Oficina]],[22]Ponderación!$B$3:$G$9,6,FALSE),"")</f>
        <v>44754</v>
      </c>
      <c r="AS11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4.5709100369670814</v>
      </c>
      <c r="AT118" s="83">
        <f>IFERROR(VLOOKUP(Tabla1[[#This Row],[Llave]],[17]DELAY!$H:$W,16,FALSE),0)</f>
        <v>0</v>
      </c>
      <c r="AU11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18" s="5">
        <f>+Tabla1[[#This Row],[Plan Ajustado]]*Tabla1[[#This Row],[Precio ponderado]]</f>
        <v>0</v>
      </c>
      <c r="AW118" s="30">
        <f>IFERROR(VLOOKUP(Tabla1[[#This Row],[Llave]],'[13]Ultimos precios facturados'!$A:$G,7,FALSE),0)</f>
        <v>4.5709100369670814</v>
      </c>
      <c r="AX11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18" s="30"/>
      <c r="AZ118" s="30">
        <f>IF(Tabla1[[#This Row],[Ajuste precio IC]]="",Tabla1[[#This Row],[Precio ponderado]],Tabla1[[#This Row],[Precio ponderado]])</f>
        <v>0</v>
      </c>
      <c r="BA118" s="82"/>
      <c r="BB118" s="82" t="str">
        <f>IF(AND(Tabla1[[#This Row],[Atraso a facturar]]&gt;0,Tabla1[[#This Row],[Precio Atraso]]=0),"Revisar","OK")</f>
        <v>OK</v>
      </c>
      <c r="BC118" s="82" t="str">
        <f>IF(AND(Tabla1[[#This Row],[Venta del mes]]&gt;0,Tabla1[[#This Row],[Precio venta nueva]]=0),"Revisar","OK")</f>
        <v>OK</v>
      </c>
      <c r="BD118" s="20">
        <f>IFERROR(VLOOKUP(Tabla1[[#This Row],[Llave]],'[5]Consolidación planes'!$A:$M,9,FALSE),0)</f>
        <v>240000</v>
      </c>
      <c r="BE118" s="20">
        <f>IFERROR(VLOOKUP(Tabla1[[#This Row],[Llave]],'[5]Consolidación planes'!$A:$M,10,FALSE),0)</f>
        <v>96000</v>
      </c>
      <c r="BF118" s="20">
        <f>IFERROR(VLOOKUP(Tabla1[[#This Row],[Llave]],'[5]Consolidación planes'!$A:$M,11,FALSE),0)</f>
        <v>96000</v>
      </c>
      <c r="BG118" s="20">
        <f>IFERROR(VLOOKUP(Tabla1[[#This Row],[Llave]],'[5]Consolidación planes'!$A:$M,12,FALSE),0)</f>
        <v>0</v>
      </c>
      <c r="BH118" s="20">
        <f>IFERROR(VLOOKUP(Tabla1[[#This Row],[Llave]],'[5]Consolidación planes'!$A:$M,13,FALSE),0)</f>
        <v>186020</v>
      </c>
      <c r="BI118" s="20">
        <f>IFERROR(VLOOKUP(Tabla1[[#This Row],[Llave]],'[13]Base ultimos planes'!$A:$M,13,FALSE),0)</f>
        <v>72000</v>
      </c>
      <c r="BJ118" s="80">
        <f>IFERROR(VLOOKUP(Tabla1[[#This Row],[Llave]],'[13]Base ultimos planes'!$O:$AA,8,FALSE),0)</f>
        <v>982080</v>
      </c>
      <c r="BK118" s="20">
        <f>IFERROR(VLOOKUP(Tabla1[[#This Row],[Llave]],'[13]Base ultimos planes'!$O:$AA,9,FALSE),0)</f>
        <v>384000</v>
      </c>
      <c r="BL118" s="20">
        <f>IFERROR(VLOOKUP(Tabla1[[#This Row],[Llave]],'[13]Base ultimos planes'!$O:$AA,10,FALSE),0)</f>
        <v>393600</v>
      </c>
      <c r="BM118" s="20">
        <f>IFERROR(VLOOKUP(Tabla1[[#This Row],[Llave]],'[13]Base ultimos planes'!$O:$AA,11,FALSE),0)</f>
        <v>0</v>
      </c>
      <c r="BN118" s="20">
        <f>IFERROR(VLOOKUP(Tabla1[[#This Row],[Llave]],'[13]Base ultimos planes'!$O:$AA,12,FALSE),0)</f>
        <v>791853</v>
      </c>
      <c r="BO118" s="20">
        <f>IFERROR(VLOOKUP(Tabla1[[#This Row],[Llave]],'[13]Base ultimos planes'!$O:$AA,13,FALSE),0)</f>
        <v>325592</v>
      </c>
      <c r="BP118" s="20"/>
      <c r="BQ118" s="20">
        <f>+Tabla1[[#This Row],[ RV  Venta mes n+1]]*(1-Tabla1[[#This Row],[% Uti. producción]])</f>
        <v>0</v>
      </c>
      <c r="BR118" s="100"/>
    </row>
    <row r="119" spans="1:70" ht="16" hidden="1" x14ac:dyDescent="0.2">
      <c r="A119">
        <v>2</v>
      </c>
      <c r="B119" t="str">
        <f>Tabla1[[#This Row],[Oficina]]&amp;Tabla1[[#This Row],[Material]]</f>
        <v>Agrosuper Shanghai1021738</v>
      </c>
      <c r="C119" t="s">
        <v>6</v>
      </c>
      <c r="D119" t="s">
        <v>140</v>
      </c>
      <c r="E119">
        <v>1021738</v>
      </c>
      <c r="F119" t="s">
        <v>170</v>
      </c>
      <c r="G119" t="s">
        <v>76</v>
      </c>
      <c r="H119" t="s">
        <v>77</v>
      </c>
      <c r="I119" s="7">
        <f>IFERROR(VLOOKUP(Tabla1[[#This Row],[Llave]],'[7]RV Producción'!$C:$G,5,FALSE),0)</f>
        <v>0</v>
      </c>
      <c r="J119" s="3">
        <f>IFERROR(IF(Tabla1[[#This Row],[Oficina]]=$I$7,VLOOKUP(Tabla1[[#This Row],[Llave]],'[7]Shangai (Tomas)'!$A:$F,6,FALSE),VLOOKUP(Tabla1[[#This Row],[Llave]],'[7]RV plan de ventas'!$A:$E,5,FALSE)),0)</f>
        <v>0</v>
      </c>
      <c r="K119" s="8">
        <f>IFERROR(VLOOKUP(Tabla1[[#This Row],[Oficina]],[15]Ponderación!$B$2:$E$9,4,FALSE),0)</f>
        <v>0.45719439678473212</v>
      </c>
      <c r="L119" s="7">
        <f>+Tabla1[[#This Row],[ RV Producción mes n+1]]*Tabla1[[#This Row],[% Uti. producción]]</f>
        <v>0</v>
      </c>
      <c r="M119" s="7">
        <f>IFERROR(VLOOKUP(Tabla1[[#This Row],[Material]],'[17]TD Stock'!$E:$I,5,FALSE),0)</f>
        <v>0</v>
      </c>
      <c r="N119" s="7">
        <f>IFERROR(VLOOKUP(Tabla1[[#This Row],[Material]],[16]Produccion!$M:$N,2,FALSE),0)</f>
        <v>23536.395</v>
      </c>
      <c r="O119" s="7">
        <f>IFERROR(VLOOKUP(Tabla1[[#This Row],[Llave]],'[16]TD Conf-AP'!$I:$M,4,FALSE),0)</f>
        <v>0</v>
      </c>
      <c r="P119" s="14">
        <f>SUM(Tabla1[[#This Row],[Producción disponible]],Tabla1[[#This Row],[Stock al día]],(Tabla1[[#This Row],[Por producir mes N]]*0.9))-Tabla1[[#This Row],[Producción por despachar mes N]]</f>
        <v>21182.755499999999</v>
      </c>
      <c r="Q119" s="7">
        <f>IFERROR(VLOOKUP(Tabla1[[#This Row],[Llave]],[17]DELAY!$A:$D,4,FALSE),0)</f>
        <v>0</v>
      </c>
      <c r="R119" s="9">
        <v>24000</v>
      </c>
      <c r="S119" s="5">
        <f t="shared" si="30"/>
        <v>0</v>
      </c>
      <c r="T119" s="76">
        <v>0</v>
      </c>
      <c r="U119" s="5">
        <f>+Tabla1[[#This Row],[Atraso a facturar]]+Tabla1[[#This Row],[Ajuste atraso]]</f>
        <v>0</v>
      </c>
      <c r="V119" s="3">
        <f>+Tabla1[[#This Row],[Total disponible]]-Tabla1[[#This Row],[Facturación atraso]]</f>
        <v>21182.755499999999</v>
      </c>
      <c r="W119" s="6">
        <f>IFERROR(IF(AND(V119&gt;R119,J119&gt;=R119),ROUNDDOWN((Tabla1[[#This Row],[Producción para venta nueva]])/R119,0)*R119,0),0)</f>
        <v>0</v>
      </c>
      <c r="X119" s="76">
        <v>0</v>
      </c>
      <c r="Y119" s="6">
        <f>IF(Tabla1[[#This Row],[Venta del mes]]&gt;0,Tabla1[[#This Row],[Venta del mes]]+Tabla1[[#This Row],[Ajuste venta nueva]],0)</f>
        <v>0</v>
      </c>
      <c r="Z119" s="6">
        <f>+Tabla1[[#This Row],[Producción para venta nueva]]-Tabla1[[#This Row],[Facturación Venta nueva]]</f>
        <v>21182.755499999999</v>
      </c>
      <c r="AA119" s="6">
        <f>IF(AND(A119=1,Tabla1[[#This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19" s="6"/>
      <c r="AC119" s="6">
        <f>IF(Tabla1[[#This Row],[Disponible stock sin venta]]&gt;0,Tabla1[[#This Row],[Disponible stock sin venta]]+Tabla1[[#This Row],[Ajuste stock sin venta]],0)</f>
        <v>0</v>
      </c>
      <c r="AD119" s="3">
        <f>IFERROR(VLOOKUP(Tabla1[[#This Row],[Llave]],'[16]TD Puerto'!$A:$D,4,FALSE),0)</f>
        <v>0</v>
      </c>
      <c r="AE119" s="3">
        <v>0</v>
      </c>
      <c r="AF119" s="3">
        <f>+Tabla1[[#This Row],[Atraso a facturar]]+Tabla1[[#This Row],[Venta del mes]]+Tabla1[[#This Row],[En puerto a facturar]]+Tabla1[[#This Row],[Disponible stock sin venta]]</f>
        <v>0</v>
      </c>
      <c r="AG119" s="3">
        <f>+Tabla1[[#This Row],[En puerto a facturar]]</f>
        <v>0</v>
      </c>
      <c r="AH119" s="3">
        <f>+Tabla1[[#This Row],[Facturación atraso]]</f>
        <v>0</v>
      </c>
      <c r="AI119" s="3">
        <f>+Tabla1[[#This Row],[Plan Irrestricto]]-Tabla1[[#This Row],[Puerto ]]-Tabla1[[#This Row],[Atraso]]</f>
        <v>0</v>
      </c>
      <c r="AJ11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19" s="3">
        <f>+Tabla1[[#This Row],[Facturación atraso]]</f>
        <v>0</v>
      </c>
      <c r="AL119" s="3">
        <f>+Tabla1[[#This Row],[Plan Ajustado]]-Tabla1[[#This Row],[ Atraso ajustado]]-Tabla1[[#This Row],[Puerto ]]</f>
        <v>0</v>
      </c>
      <c r="AM119" s="3">
        <v>0</v>
      </c>
      <c r="AN119" s="3" t="str">
        <f>IF(Tabla1[[#This Row],[Plan Ajustado]]&gt;Tabla1[[#This Row],[En puerto a facturar]],"Si","No")</f>
        <v>No</v>
      </c>
      <c r="AO11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19" s="3">
        <f>IF(Tabla1[[#This Row],[Necesidad]]&gt;=Tabla1[[#This Row],[Stock al día]],Tabla1[[#This Row],[Stock al día]],Tabla1[[#This Row],[Necesidad]])</f>
        <v>0</v>
      </c>
      <c r="AQ119" s="3">
        <f>+Tabla1[[#This Row],[Necesidad]]-Tabla1[[#This Row],[Stock Plan]]</f>
        <v>0</v>
      </c>
      <c r="AR119" s="156">
        <f>IFERROR(VLOOKUP(Tabla1[[#This Row],[Oficina]],[22]Ponderación!$B$3:$G$9,6,FALSE),"")</f>
        <v>44754</v>
      </c>
      <c r="AS11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4.6108252378721257</v>
      </c>
      <c r="AT119" s="83">
        <f>IFERROR(VLOOKUP(Tabla1[[#This Row],[Llave]],[17]DELAY!$H:$W,16,FALSE),0)</f>
        <v>0</v>
      </c>
      <c r="AU11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19" s="5">
        <f>+Tabla1[[#This Row],[Plan Ajustado]]*Tabla1[[#This Row],[Precio ponderado]]</f>
        <v>0</v>
      </c>
      <c r="AW119" s="30">
        <f>IFERROR(VLOOKUP(Tabla1[[#This Row],[Llave]],'[13]Ultimos precios facturados'!$A:$G,7,FALSE),0)</f>
        <v>4.6108252378721257</v>
      </c>
      <c r="AX11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19" s="30"/>
      <c r="AZ119" s="30">
        <f>IF(Tabla1[[#This Row],[Ajuste precio IC]]="",Tabla1[[#This Row],[Precio ponderado]],Tabla1[[#This Row],[Precio ponderado]])</f>
        <v>0</v>
      </c>
      <c r="BA119" s="82"/>
      <c r="BB119" s="82" t="str">
        <f>IF(AND(Tabla1[[#This Row],[Atraso a facturar]]&gt;0,Tabla1[[#This Row],[Precio Atraso]]=0),"Revisar","OK")</f>
        <v>OK</v>
      </c>
      <c r="BC119" s="82" t="str">
        <f>IF(AND(Tabla1[[#This Row],[Venta del mes]]&gt;0,Tabla1[[#This Row],[Precio venta nueva]]=0),"Revisar","OK")</f>
        <v>OK</v>
      </c>
      <c r="BD119" s="20">
        <f>IFERROR(VLOOKUP(Tabla1[[#This Row],[Llave]],'[5]Consolidación planes'!$A:$M,9,FALSE),0)</f>
        <v>48000</v>
      </c>
      <c r="BE119" s="20">
        <f>IFERROR(VLOOKUP(Tabla1[[#This Row],[Llave]],'[5]Consolidación planes'!$A:$M,10,FALSE),0)</f>
        <v>0</v>
      </c>
      <c r="BF119" s="20">
        <f>IFERROR(VLOOKUP(Tabla1[[#This Row],[Llave]],'[5]Consolidación planes'!$A:$M,11,FALSE),0)</f>
        <v>0</v>
      </c>
      <c r="BG119" s="20">
        <f>IFERROR(VLOOKUP(Tabla1[[#This Row],[Llave]],'[5]Consolidación planes'!$A:$M,12,FALSE),0)</f>
        <v>24000</v>
      </c>
      <c r="BH119" s="20">
        <f>IFERROR(VLOOKUP(Tabla1[[#This Row],[Llave]],'[5]Consolidación planes'!$A:$M,13,FALSE),0)</f>
        <v>0</v>
      </c>
      <c r="BI119" s="20">
        <f>IFERROR(VLOOKUP(Tabla1[[#This Row],[Llave]],'[13]Base ultimos planes'!$A:$M,13,FALSE),0)</f>
        <v>0</v>
      </c>
      <c r="BJ119" s="80">
        <f>IFERROR(VLOOKUP(Tabla1[[#This Row],[Llave]],'[13]Base ultimos planes'!$O:$AA,8,FALSE),0)</f>
        <v>177600</v>
      </c>
      <c r="BK119" s="20">
        <f>IFERROR(VLOOKUP(Tabla1[[#This Row],[Llave]],'[13]Base ultimos planes'!$O:$AA,9,FALSE),0)</f>
        <v>0</v>
      </c>
      <c r="BL119" s="20">
        <f>IFERROR(VLOOKUP(Tabla1[[#This Row],[Llave]],'[13]Base ultimos planes'!$O:$AA,10,FALSE),0)</f>
        <v>0</v>
      </c>
      <c r="BM119" s="20">
        <f>IFERROR(VLOOKUP(Tabla1[[#This Row],[Llave]],'[13]Base ultimos planes'!$O:$AA,11,FALSE),0)</f>
        <v>46600</v>
      </c>
      <c r="BN119" s="20">
        <f>IFERROR(VLOOKUP(Tabla1[[#This Row],[Llave]],'[13]Base ultimos planes'!$O:$AA,12,FALSE),0)</f>
        <v>0</v>
      </c>
      <c r="BO119" s="20">
        <f>IFERROR(VLOOKUP(Tabla1[[#This Row],[Llave]],'[13]Base ultimos planes'!$O:$AA,13,FALSE),0)</f>
        <v>0</v>
      </c>
      <c r="BP119" s="20"/>
      <c r="BQ119" s="20">
        <f>+Tabla1[[#This Row],[ RV  Venta mes n+1]]*(1-Tabla1[[#This Row],[% Uti. producción]])</f>
        <v>0</v>
      </c>
      <c r="BR119" s="100"/>
    </row>
    <row r="120" spans="1:70" ht="16" hidden="1" x14ac:dyDescent="0.2">
      <c r="A120">
        <v>2</v>
      </c>
      <c r="B120" t="str">
        <f>Tabla1[[#This Row],[Oficina]]&amp;Tabla1[[#This Row],[Material]]</f>
        <v>Agrosuper Shanghai1021765</v>
      </c>
      <c r="C120" t="s">
        <v>6</v>
      </c>
      <c r="D120" t="s">
        <v>140</v>
      </c>
      <c r="E120">
        <v>1021765</v>
      </c>
      <c r="F120" t="s">
        <v>61</v>
      </c>
      <c r="G120" t="s">
        <v>59</v>
      </c>
      <c r="H120" t="s">
        <v>60</v>
      </c>
      <c r="I120" s="7">
        <f>IFERROR(VLOOKUP(Tabla1[[#This Row],[Llave]],'[7]RV Producción'!$C:$G,5,FALSE),0)</f>
        <v>2</v>
      </c>
      <c r="J120" s="3">
        <f>IFERROR(IF(Tabla1[[#This Row],[Oficina]]=$I$7,VLOOKUP(Tabla1[[#This Row],[Llave]],'[7]Shangai (Tomas)'!$A:$F,6,FALSE),VLOOKUP(Tabla1[[#This Row],[Llave]],'[7]RV plan de ventas'!$A:$E,5,FALSE)),0)</f>
        <v>0</v>
      </c>
      <c r="K120" s="8">
        <f>IFERROR(VLOOKUP(Tabla1[[#This Row],[Oficina]],[15]Ponderación!$B$2:$E$9,4,FALSE),0)</f>
        <v>0.45719439678473212</v>
      </c>
      <c r="L120" s="7">
        <f>+Tabla1[[#This Row],[ RV Producción mes n+1]]*Tabla1[[#This Row],[% Uti. producción]]</f>
        <v>0.91438879356946423</v>
      </c>
      <c r="M120" s="7">
        <f>IFERROR(VLOOKUP(Tabla1[[#This Row],[Material]],'[17]TD Stock'!$E:$I,5,FALSE),0)</f>
        <v>0</v>
      </c>
      <c r="N120" s="7">
        <f>IFERROR(VLOOKUP(Tabla1[[#This Row],[Material]],[16]Produccion!$M:$N,2,FALSE),0)</f>
        <v>0</v>
      </c>
      <c r="O120" s="7">
        <f>IFERROR(VLOOKUP(Tabla1[[#This Row],[Llave]],'[16]TD Conf-AP'!$I:$M,4,FALSE),0)</f>
        <v>0</v>
      </c>
      <c r="P120" s="14">
        <f>SUM(Tabla1[[#This Row],[Producción disponible]],Tabla1[[#This Row],[Stock al día]],(Tabla1[[#This Row],[Por producir mes N]]*0.9))-Tabla1[[#This Row],[Producción por despachar mes N]]</f>
        <v>0.91438879356946423</v>
      </c>
      <c r="Q120" s="7">
        <f>IFERROR(VLOOKUP(Tabla1[[#This Row],[Llave]],[17]DELAY!$A:$D,4,FALSE),0)</f>
        <v>0</v>
      </c>
      <c r="R120" s="9">
        <v>24000</v>
      </c>
      <c r="S120" s="5">
        <f t="shared" si="30"/>
        <v>0</v>
      </c>
      <c r="T120" s="76">
        <v>0</v>
      </c>
      <c r="U120" s="5">
        <f>+Tabla1[[#This Row],[Atraso a facturar]]+Tabla1[[#This Row],[Ajuste atraso]]</f>
        <v>0</v>
      </c>
      <c r="V120" s="3">
        <f>+Tabla1[[#This Row],[Total disponible]]-Tabla1[[#This Row],[Facturación atraso]]</f>
        <v>0.91438879356946423</v>
      </c>
      <c r="W120" s="6">
        <f>IFERROR(IF(AND(V120&gt;R120,J120&gt;=R120),ROUNDDOWN((Tabla1[[#This Row],[Producción para venta nueva]])/R120,0)*R120,0),0)</f>
        <v>0</v>
      </c>
      <c r="X120" s="76">
        <v>0</v>
      </c>
      <c r="Y120" s="6">
        <f>IF(Tabla1[[#This Row],[Venta del mes]]&gt;0,Tabla1[[#This Row],[Venta del mes]]+Tabla1[[#This Row],[Ajuste venta nueva]],0)</f>
        <v>0</v>
      </c>
      <c r="Z120" s="6">
        <f>+Tabla1[[#This Row],[Producción para venta nueva]]-Tabla1[[#This Row],[Facturación Venta nueva]]</f>
        <v>0.91438879356946423</v>
      </c>
      <c r="AA120" s="6">
        <f>IF(AND(A120=1,Tabla1[[#This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0" s="6"/>
      <c r="AC120" s="6">
        <f>IF(Tabla1[[#This Row],[Disponible stock sin venta]]&gt;0,Tabla1[[#This Row],[Disponible stock sin venta]]+Tabla1[[#This Row],[Ajuste stock sin venta]],0)</f>
        <v>0</v>
      </c>
      <c r="AD120" s="3">
        <f>IFERROR(VLOOKUP(Tabla1[[#This Row],[Llave]],'[16]TD Puerto'!$A:$D,4,FALSE),0)</f>
        <v>0</v>
      </c>
      <c r="AE120" s="3">
        <v>0</v>
      </c>
      <c r="AF120" s="3">
        <f>+Tabla1[[#This Row],[Atraso a facturar]]+Tabla1[[#This Row],[Venta del mes]]+Tabla1[[#This Row],[En puerto a facturar]]+Tabla1[[#This Row],[Disponible stock sin venta]]</f>
        <v>0</v>
      </c>
      <c r="AG120" s="3">
        <f>+Tabla1[[#This Row],[En puerto a facturar]]</f>
        <v>0</v>
      </c>
      <c r="AH120" s="3">
        <f>+Tabla1[[#This Row],[Facturación atraso]]</f>
        <v>0</v>
      </c>
      <c r="AI120" s="3">
        <f>+Tabla1[[#This Row],[Plan Irrestricto]]-Tabla1[[#This Row],[Puerto ]]-Tabla1[[#This Row],[Atraso]]</f>
        <v>0</v>
      </c>
      <c r="AJ12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20" s="3">
        <f>+Tabla1[[#This Row],[Facturación atraso]]</f>
        <v>0</v>
      </c>
      <c r="AL120" s="3">
        <f>+Tabla1[[#This Row],[Plan Ajustado]]-Tabla1[[#This Row],[ Atraso ajustado]]-Tabla1[[#This Row],[Puerto ]]</f>
        <v>0</v>
      </c>
      <c r="AM120" s="3">
        <v>0</v>
      </c>
      <c r="AN120" s="3" t="str">
        <f>IF(Tabla1[[#This Row],[Plan Ajustado]]&gt;Tabla1[[#This Row],[En puerto a facturar]],"Si","No")</f>
        <v>No</v>
      </c>
      <c r="AO12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20" s="3">
        <f>IF(Tabla1[[#This Row],[Necesidad]]&gt;=Tabla1[[#This Row],[Stock al día]],Tabla1[[#This Row],[Stock al día]],Tabla1[[#This Row],[Necesidad]])</f>
        <v>0</v>
      </c>
      <c r="AQ120" s="3">
        <f>+Tabla1[[#This Row],[Necesidad]]-Tabla1[[#This Row],[Stock Plan]]</f>
        <v>0</v>
      </c>
      <c r="AR120" s="156">
        <f>IFERROR(VLOOKUP(Tabla1[[#This Row],[Oficina]],[22]Ponderación!$B$3:$G$9,6,FALSE),"")</f>
        <v>44754</v>
      </c>
      <c r="AS12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1.0792734517433147</v>
      </c>
      <c r="AT120" s="83">
        <f>IFERROR(VLOOKUP(Tabla1[[#This Row],[Llave]],[17]DELAY!$H:$W,16,FALSE),0)</f>
        <v>0</v>
      </c>
      <c r="AU12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20" s="5">
        <f>+Tabla1[[#This Row],[Plan Ajustado]]*Tabla1[[#This Row],[Precio ponderado]]</f>
        <v>0</v>
      </c>
      <c r="AW120" s="30">
        <f>IFERROR(VLOOKUP(Tabla1[[#This Row],[Llave]],'[13]Ultimos precios facturados'!$A:$G,7,FALSE),0)</f>
        <v>1.0792734517433147</v>
      </c>
      <c r="AX12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20" s="30"/>
      <c r="AZ120" s="30">
        <f>IF(Tabla1[[#This Row],[Ajuste precio IC]]="",Tabla1[[#This Row],[Precio ponderado]],Tabla1[[#This Row],[Precio ponderado]])</f>
        <v>0</v>
      </c>
      <c r="BA120" s="82"/>
      <c r="BB120" s="82" t="str">
        <f>IF(AND(Tabla1[[#This Row],[Atraso a facturar]]&gt;0,Tabla1[[#This Row],[Precio Atraso]]=0),"Revisar","OK")</f>
        <v>OK</v>
      </c>
      <c r="BC120" s="82" t="str">
        <f>IF(AND(Tabla1[[#This Row],[Venta del mes]]&gt;0,Tabla1[[#This Row],[Precio venta nueva]]=0),"Revisar","OK")</f>
        <v>OK</v>
      </c>
      <c r="BD120" s="20">
        <f>IFERROR(VLOOKUP(Tabla1[[#This Row],[Llave]],'[5]Consolidación planes'!$A:$M,9,FALSE),0)</f>
        <v>0</v>
      </c>
      <c r="BE120" s="20">
        <f>IFERROR(VLOOKUP(Tabla1[[#This Row],[Llave]],'[5]Consolidación planes'!$A:$M,10,FALSE),0)</f>
        <v>0</v>
      </c>
      <c r="BF120" s="20">
        <f>IFERROR(VLOOKUP(Tabla1[[#This Row],[Llave]],'[5]Consolidación planes'!$A:$M,11,FALSE),0)</f>
        <v>6760</v>
      </c>
      <c r="BG120" s="20">
        <f>IFERROR(VLOOKUP(Tabla1[[#This Row],[Llave]],'[5]Consolidación planes'!$A:$M,12,FALSE),0)</f>
        <v>0</v>
      </c>
      <c r="BH120" s="20">
        <f>IFERROR(VLOOKUP(Tabla1[[#This Row],[Llave]],'[5]Consolidación planes'!$A:$M,13,FALSE),0)</f>
        <v>0</v>
      </c>
      <c r="BI120" s="20">
        <f>IFERROR(VLOOKUP(Tabla1[[#This Row],[Llave]],'[13]Base ultimos planes'!$A:$M,13,FALSE),0)</f>
        <v>0</v>
      </c>
      <c r="BJ120" s="80">
        <f>IFERROR(VLOOKUP(Tabla1[[#This Row],[Llave]],'[13]Base ultimos planes'!$O:$AA,8,FALSE),0)</f>
        <v>0</v>
      </c>
      <c r="BK120" s="20">
        <f>IFERROR(VLOOKUP(Tabla1[[#This Row],[Llave]],'[13]Base ultimos planes'!$O:$AA,9,FALSE),0)</f>
        <v>0</v>
      </c>
      <c r="BL120" s="20">
        <f>IFERROR(VLOOKUP(Tabla1[[#This Row],[Llave]],'[13]Base ultimos planes'!$O:$AA,10,FALSE),0)</f>
        <v>7323</v>
      </c>
      <c r="BM120" s="20">
        <f>IFERROR(VLOOKUP(Tabla1[[#This Row],[Llave]],'[13]Base ultimos planes'!$O:$AA,11,FALSE),0)</f>
        <v>0</v>
      </c>
      <c r="BN120" s="20">
        <f>IFERROR(VLOOKUP(Tabla1[[#This Row],[Llave]],'[13]Base ultimos planes'!$O:$AA,12,FALSE),0)</f>
        <v>0</v>
      </c>
      <c r="BO120" s="20">
        <f>IFERROR(VLOOKUP(Tabla1[[#This Row],[Llave]],'[13]Base ultimos planes'!$O:$AA,13,FALSE),0)</f>
        <v>0</v>
      </c>
      <c r="BP120" s="20"/>
      <c r="BQ120" s="20">
        <f>+Tabla1[[#This Row],[ RV  Venta mes n+1]]*(1-Tabla1[[#This Row],[% Uti. producción]])</f>
        <v>0</v>
      </c>
      <c r="BR120" s="100"/>
    </row>
    <row r="121" spans="1:70" ht="16" x14ac:dyDescent="0.2">
      <c r="A121">
        <v>2</v>
      </c>
      <c r="B121" t="str">
        <f>Tabla1[[#This Row],[Oficina]]&amp;Tabla1[[#This Row],[Material]]</f>
        <v>Agrosuper Shanghai1021992</v>
      </c>
      <c r="C121" t="s">
        <v>6</v>
      </c>
      <c r="D121" t="s">
        <v>140</v>
      </c>
      <c r="E121">
        <v>1021992</v>
      </c>
      <c r="F121" t="s">
        <v>49</v>
      </c>
      <c r="G121" t="s">
        <v>11</v>
      </c>
      <c r="H121" t="s">
        <v>15</v>
      </c>
      <c r="I121" s="7">
        <f>IFERROR(VLOOKUP(Tabla1[[#This Row],[Llave]],'[7]RV Producción'!$C:$G,5,FALSE),0)</f>
        <v>0</v>
      </c>
      <c r="J121" s="3">
        <f>IFERROR(IF(Tabla1[[#This Row],[Oficina]]=$I$7,VLOOKUP(Tabla1[[#This Row],[Llave]],'[7]Shangai (Tomas)'!$A:$F,6,FALSE),VLOOKUP(Tabla1[[#This Row],[Llave]],'[7]RV plan de ventas'!$A:$E,5,FALSE)),0)</f>
        <v>0</v>
      </c>
      <c r="K121" s="8">
        <f>IFERROR(VLOOKUP(Tabla1[[#This Row],[Oficina]],[15]Ponderación!$B$2:$E$9,4,FALSE),0)</f>
        <v>0.45719439678473212</v>
      </c>
      <c r="L121" s="7">
        <f>+Tabla1[[#This Row],[ RV Producción mes n+1]]*Tabla1[[#This Row],[% Uti. producción]]</f>
        <v>0</v>
      </c>
      <c r="M121" s="7">
        <f>IFERROR(VLOOKUP(Tabla1[[#This Row],[Material]],'[17]TD Stock'!$E:$I,5,FALSE),0)</f>
        <v>0</v>
      </c>
      <c r="N121" s="7">
        <f>IFERROR(VLOOKUP(Tabla1[[#This Row],[Material]],[16]Produccion!$M:$N,2,FALSE),0)</f>
        <v>74378</v>
      </c>
      <c r="O121" s="7">
        <f>IFERROR(VLOOKUP(Tabla1[[#This Row],[Llave]],'[16]TD Conf-AP'!$I:$M,4,FALSE),0)</f>
        <v>0</v>
      </c>
      <c r="P121" s="14">
        <f>SUM(Tabla1[[#This Row],[Producción disponible]],Tabla1[[#This Row],[Stock al día]],(Tabla1[[#This Row],[Por producir mes N]]*0.9))-Tabla1[[#This Row],[Producción por despachar mes N]]</f>
        <v>66940.2</v>
      </c>
      <c r="Q121" s="7">
        <f>IFERROR(VLOOKUP(Tabla1[[#This Row],[Llave]],[17]DELAY!$A:$D,4,FALSE),0)</f>
        <v>48000</v>
      </c>
      <c r="R121" s="9">
        <v>24000</v>
      </c>
      <c r="S121" s="5">
        <f t="shared" si="30"/>
        <v>48000</v>
      </c>
      <c r="T121" s="76">
        <v>0</v>
      </c>
      <c r="U121" s="5">
        <f>+Tabla1[[#This Row],[Atraso a facturar]]+Tabla1[[#This Row],[Ajuste atraso]]</f>
        <v>48000</v>
      </c>
      <c r="V121" s="3">
        <f>+Tabla1[[#This Row],[Total disponible]]-Tabla1[[#This Row],[Facturación atraso]]</f>
        <v>18940.199999999997</v>
      </c>
      <c r="W121" s="6">
        <f>IFERROR(IF(AND(V121&gt;R121,J121&gt;=R121),ROUNDDOWN((Tabla1[[#This Row],[Producción para venta nueva]])/R121,0)*R121,0),0)</f>
        <v>0</v>
      </c>
      <c r="X121" s="76">
        <v>0</v>
      </c>
      <c r="Y121" s="6">
        <f>IF(Tabla1[[#This Row],[Venta del mes]]&gt;0,Tabla1[[#This Row],[Venta del mes]]+Tabla1[[#This Row],[Ajuste venta nueva]],0)</f>
        <v>0</v>
      </c>
      <c r="Z121" s="6">
        <f>+Tabla1[[#This Row],[Producción para venta nueva]]-Tabla1[[#This Row],[Facturación Venta nueva]]</f>
        <v>18940.199999999997</v>
      </c>
      <c r="AA121" s="6">
        <f>IF(AND(A121=1,Tabla1[[#This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1" s="6"/>
      <c r="AC121" s="6">
        <f>IF(Tabla1[[#This Row],[Disponible stock sin venta]]&gt;0,Tabla1[[#This Row],[Disponible stock sin venta]]+Tabla1[[#This Row],[Ajuste stock sin venta]],0)</f>
        <v>0</v>
      </c>
      <c r="AD121" s="3">
        <f>IFERROR(VLOOKUP(Tabla1[[#This Row],[Llave]],'[16]TD Puerto'!$A:$D,4,FALSE),0)</f>
        <v>0</v>
      </c>
      <c r="AE121" s="3">
        <v>48000</v>
      </c>
      <c r="AF121" s="3">
        <f>+Tabla1[[#This Row],[Atraso a facturar]]+Tabla1[[#This Row],[Venta del mes]]+Tabla1[[#This Row],[En puerto a facturar]]+Tabla1[[#This Row],[Disponible stock sin venta]]</f>
        <v>48000</v>
      </c>
      <c r="AG121" s="3">
        <f>+Tabla1[[#This Row],[En puerto a facturar]]</f>
        <v>0</v>
      </c>
      <c r="AH121" s="3">
        <f>+Tabla1[[#This Row],[Facturación atraso]]</f>
        <v>48000</v>
      </c>
      <c r="AI121" s="3">
        <f>+Tabla1[[#This Row],[Plan Irrestricto]]-Tabla1[[#This Row],[Puerto ]]-Tabla1[[#This Row],[Atraso]]</f>
        <v>0</v>
      </c>
      <c r="AJ121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121" s="3">
        <f>+Tabla1[[#This Row],[Facturación atraso]]</f>
        <v>48000</v>
      </c>
      <c r="AL121" s="3">
        <f>+Tabla1[[#This Row],[Plan Ajustado]]-Tabla1[[#This Row],[ Atraso ajustado]]-Tabla1[[#This Row],[Puerto ]]</f>
        <v>0</v>
      </c>
      <c r="AM121" s="3">
        <v>0</v>
      </c>
      <c r="AN121" s="3" t="str">
        <f>IF(Tabla1[[#This Row],[Plan Ajustado]]&gt;Tabla1[[#This Row],[En puerto a facturar]],"Si","No")</f>
        <v>Si</v>
      </c>
      <c r="AO121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121" s="3">
        <f>IF(Tabla1[[#This Row],[Necesidad]]&gt;=Tabla1[[#This Row],[Stock al día]],Tabla1[[#This Row],[Stock al día]],Tabla1[[#This Row],[Necesidad]])</f>
        <v>0</v>
      </c>
      <c r="AQ121" s="3">
        <f>+Tabla1[[#This Row],[Necesidad]]-Tabla1[[#This Row],[Stock Plan]]</f>
        <v>48000</v>
      </c>
      <c r="AR121" s="156">
        <f>IFERROR(VLOOKUP(Tabla1[[#This Row],[Oficina]],[22]Ponderación!$B$3:$G$9,6,FALSE),"")</f>
        <v>44754</v>
      </c>
      <c r="AS12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1.32025540701486</v>
      </c>
      <c r="AT121" s="83">
        <f>IFERROR(VLOOKUP(Tabla1[[#This Row],[Llave]],[17]DELAY!$H:$W,16,FALSE),0)</f>
        <v>1.6387662656249997</v>
      </c>
      <c r="AU12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1.6387662656249997</v>
      </c>
      <c r="AV121" s="5">
        <f>+Tabla1[[#This Row],[Plan Ajustado]]*Tabla1[[#This Row],[Precio ponderado]]</f>
        <v>78660.780749999991</v>
      </c>
      <c r="AW121" s="30">
        <f>IFERROR(VLOOKUP(Tabla1[[#This Row],[Llave]],'[13]Ultimos precios facturados'!$A:$G,7,FALSE),0)</f>
        <v>1.32025540701486</v>
      </c>
      <c r="AX12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0.24124942561705015</v>
      </c>
      <c r="AY121" s="30"/>
      <c r="AZ121" s="30">
        <f>IF(Tabla1[[#This Row],[Ajuste precio IC]]="",Tabla1[[#This Row],[Precio ponderado]],Tabla1[[#This Row],[Precio ponderado]])</f>
        <v>1.6387662656249997</v>
      </c>
      <c r="BA121" s="82"/>
      <c r="BB121" s="82" t="str">
        <f>IF(AND(Tabla1[[#This Row],[Atraso a facturar]]&gt;0,Tabla1[[#This Row],[Precio Atraso]]=0),"Revisar","OK")</f>
        <v>OK</v>
      </c>
      <c r="BC121" s="82" t="str">
        <f>IF(AND(Tabla1[[#This Row],[Venta del mes]]&gt;0,Tabla1[[#This Row],[Precio venta nueva]]=0),"Revisar","OK")</f>
        <v>OK</v>
      </c>
      <c r="BD121" s="20">
        <f>IFERROR(VLOOKUP(Tabla1[[#This Row],[Llave]],'[5]Consolidación planes'!$A:$M,9,FALSE),0)</f>
        <v>96000</v>
      </c>
      <c r="BE121" s="20">
        <f>IFERROR(VLOOKUP(Tabla1[[#This Row],[Llave]],'[5]Consolidación planes'!$A:$M,10,FALSE),0)</f>
        <v>72000</v>
      </c>
      <c r="BF121" s="20">
        <f>IFERROR(VLOOKUP(Tabla1[[#This Row],[Llave]],'[5]Consolidación planes'!$A:$M,11,FALSE),0)</f>
        <v>120000</v>
      </c>
      <c r="BG121" s="20">
        <f>IFERROR(VLOOKUP(Tabla1[[#This Row],[Llave]],'[5]Consolidación planes'!$A:$M,12,FALSE),0)</f>
        <v>0</v>
      </c>
      <c r="BH121" s="20">
        <f>IFERROR(VLOOKUP(Tabla1[[#This Row],[Llave]],'[5]Consolidación planes'!$A:$M,13,FALSE),0)</f>
        <v>0</v>
      </c>
      <c r="BI121" s="20">
        <f>IFERROR(VLOOKUP(Tabla1[[#This Row],[Llave]],'[13]Base ultimos planes'!$A:$M,13,FALSE),0)</f>
        <v>0</v>
      </c>
      <c r="BJ121" s="80">
        <f>IFERROR(VLOOKUP(Tabla1[[#This Row],[Llave]],'[13]Base ultimos planes'!$O:$AA,8,FALSE),0)</f>
        <v>91200</v>
      </c>
      <c r="BK121" s="20">
        <f>IFERROR(VLOOKUP(Tabla1[[#This Row],[Llave]],'[13]Base ultimos planes'!$O:$AA,9,FALSE),0)</f>
        <v>63360</v>
      </c>
      <c r="BL121" s="20">
        <f>IFERROR(VLOOKUP(Tabla1[[#This Row],[Llave]],'[13]Base ultimos planes'!$O:$AA,10,FALSE),0)</f>
        <v>181390</v>
      </c>
      <c r="BM121" s="20">
        <f>IFERROR(VLOOKUP(Tabla1[[#This Row],[Llave]],'[13]Base ultimos planes'!$O:$AA,11,FALSE),0)</f>
        <v>0</v>
      </c>
      <c r="BN121" s="20">
        <f>IFERROR(VLOOKUP(Tabla1[[#This Row],[Llave]],'[13]Base ultimos planes'!$O:$AA,12,FALSE),0)</f>
        <v>0</v>
      </c>
      <c r="BO121" s="20">
        <f>IFERROR(VLOOKUP(Tabla1[[#This Row],[Llave]],'[13]Base ultimos planes'!$O:$AA,13,FALSE),0)</f>
        <v>0</v>
      </c>
      <c r="BP121" s="20"/>
      <c r="BQ121" s="20">
        <f>+Tabla1[[#This Row],[ RV  Venta mes n+1]]*(1-Tabla1[[#This Row],[% Uti. producción]])</f>
        <v>0</v>
      </c>
      <c r="BR121" s="100"/>
    </row>
    <row r="122" spans="1:70" ht="16" hidden="1" x14ac:dyDescent="0.2">
      <c r="A122">
        <v>2</v>
      </c>
      <c r="B122" t="str">
        <f>Tabla1[[#This Row],[Oficina]]&amp;Tabla1[[#This Row],[Material]]</f>
        <v>Agrosuper Shanghai1022073</v>
      </c>
      <c r="C122" t="s">
        <v>6</v>
      </c>
      <c r="D122" t="s">
        <v>140</v>
      </c>
      <c r="E122">
        <v>1022073</v>
      </c>
      <c r="F122" t="s">
        <v>150</v>
      </c>
      <c r="G122" t="s">
        <v>11</v>
      </c>
      <c r="H122" t="s">
        <v>47</v>
      </c>
      <c r="I122" s="7">
        <f>IFERROR(VLOOKUP(Tabla1[[#This Row],[Llave]],'[7]RV Producción'!$C:$G,5,FALSE),0)</f>
        <v>0</v>
      </c>
      <c r="J122" s="3">
        <f>IFERROR(IF(Tabla1[[#This Row],[Oficina]]=$I$7,VLOOKUP(Tabla1[[#This Row],[Llave]],'[7]Shangai (Tomas)'!$A:$F,6,FALSE),VLOOKUP(Tabla1[[#This Row],[Llave]],'[7]RV plan de ventas'!$A:$E,5,FALSE)),0)</f>
        <v>0</v>
      </c>
      <c r="K122" s="8">
        <f>IFERROR(VLOOKUP(Tabla1[[#This Row],[Oficina]],[15]Ponderación!$B$2:$E$9,4,FALSE),0)</f>
        <v>0.45719439678473212</v>
      </c>
      <c r="L122" s="7">
        <f>+Tabla1[[#This Row],[ RV Producción mes n+1]]*Tabla1[[#This Row],[% Uti. producción]]</f>
        <v>0</v>
      </c>
      <c r="M122" s="7">
        <f>IFERROR(VLOOKUP(Tabla1[[#This Row],[Material]],'[17]TD Stock'!$E:$I,5,FALSE),0)</f>
        <v>7022.7885006559563</v>
      </c>
      <c r="N122" s="7">
        <f>IFERROR(VLOOKUP(Tabla1[[#This Row],[Material]],[16]Produccion!$M:$N,2,FALSE),0)</f>
        <v>47566</v>
      </c>
      <c r="O122" s="7">
        <f>IFERROR(VLOOKUP(Tabla1[[#This Row],[Llave]],'[16]TD Conf-AP'!$I:$M,4,FALSE),0)</f>
        <v>0</v>
      </c>
      <c r="P122" s="14">
        <f>SUM(Tabla1[[#This Row],[Producción disponible]],Tabla1[[#This Row],[Stock al día]],(Tabla1[[#This Row],[Por producir mes N]]*0.9))-Tabla1[[#This Row],[Producción por despachar mes N]]</f>
        <v>49832.188500655961</v>
      </c>
      <c r="Q122" s="7">
        <f>IFERROR(VLOOKUP(Tabla1[[#This Row],[Llave]],[17]DELAY!$A:$D,4,FALSE),0)</f>
        <v>0</v>
      </c>
      <c r="R122" s="9">
        <v>24000</v>
      </c>
      <c r="S122" s="5">
        <f t="shared" si="30"/>
        <v>0</v>
      </c>
      <c r="T122" s="76">
        <v>0</v>
      </c>
      <c r="U122" s="5">
        <f>+Tabla1[[#This Row],[Atraso a facturar]]+Tabla1[[#This Row],[Ajuste atraso]]</f>
        <v>0</v>
      </c>
      <c r="V122" s="3">
        <f>+Tabla1[[#This Row],[Total disponible]]-Tabla1[[#This Row],[Facturación atraso]]</f>
        <v>49832.188500655961</v>
      </c>
      <c r="W122" s="6">
        <f>IFERROR(IF(AND(V122&gt;R122,J122&gt;=R122),ROUNDDOWN((Tabla1[[#This Row],[Producción para venta nueva]])/R122,0)*R122,0),0)</f>
        <v>0</v>
      </c>
      <c r="X122" s="76">
        <v>0</v>
      </c>
      <c r="Y122" s="6">
        <f>IF(Tabla1[[#This Row],[Venta del mes]]&gt;0,Tabla1[[#This Row],[Venta del mes]]+Tabla1[[#This Row],[Ajuste venta nueva]],0)</f>
        <v>0</v>
      </c>
      <c r="Z122" s="6">
        <f>+Tabla1[[#This Row],[Producción para venta nueva]]-Tabla1[[#This Row],[Facturación Venta nueva]]</f>
        <v>49832.188500655961</v>
      </c>
      <c r="AA122" s="6">
        <f>IF(AND(A122=1,Tabla1[[#This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2" s="6"/>
      <c r="AC122" s="6">
        <f>IF(Tabla1[[#This Row],[Disponible stock sin venta]]&gt;0,Tabla1[[#This Row],[Disponible stock sin venta]]+Tabla1[[#This Row],[Ajuste stock sin venta]],0)</f>
        <v>0</v>
      </c>
      <c r="AD122" s="3">
        <f>IFERROR(VLOOKUP(Tabla1[[#This Row],[Llave]],'[16]TD Puerto'!$A:$D,4,FALSE),0)</f>
        <v>0</v>
      </c>
      <c r="AE122" s="3">
        <v>0</v>
      </c>
      <c r="AF122" s="3">
        <f>+Tabla1[[#This Row],[Atraso a facturar]]+Tabla1[[#This Row],[Venta del mes]]+Tabla1[[#This Row],[En puerto a facturar]]+Tabla1[[#This Row],[Disponible stock sin venta]]</f>
        <v>0</v>
      </c>
      <c r="AG122" s="3">
        <f>+Tabla1[[#This Row],[En puerto a facturar]]</f>
        <v>0</v>
      </c>
      <c r="AH122" s="3">
        <f>+Tabla1[[#This Row],[Facturación atraso]]</f>
        <v>0</v>
      </c>
      <c r="AI122" s="3">
        <f>+Tabla1[[#This Row],[Plan Irrestricto]]-Tabla1[[#This Row],[Puerto ]]-Tabla1[[#This Row],[Atraso]]</f>
        <v>0</v>
      </c>
      <c r="AJ12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22" s="3">
        <f>+Tabla1[[#This Row],[Facturación atraso]]</f>
        <v>0</v>
      </c>
      <c r="AL122" s="3">
        <f>+Tabla1[[#This Row],[Plan Ajustado]]-Tabla1[[#This Row],[ Atraso ajustado]]-Tabla1[[#This Row],[Puerto ]]</f>
        <v>0</v>
      </c>
      <c r="AM122" s="3">
        <v>0</v>
      </c>
      <c r="AN122" s="3" t="str">
        <f>IF(Tabla1[[#This Row],[Plan Ajustado]]&gt;Tabla1[[#This Row],[En puerto a facturar]],"Si","No")</f>
        <v>No</v>
      </c>
      <c r="AO12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22" s="3">
        <f>IF(Tabla1[[#This Row],[Necesidad]]&gt;=Tabla1[[#This Row],[Stock al día]],Tabla1[[#This Row],[Stock al día]],Tabla1[[#This Row],[Necesidad]])</f>
        <v>0</v>
      </c>
      <c r="AQ122" s="3">
        <f>+Tabla1[[#This Row],[Necesidad]]-Tabla1[[#This Row],[Stock Plan]]</f>
        <v>0</v>
      </c>
      <c r="AR122" s="156">
        <f>IFERROR(VLOOKUP(Tabla1[[#This Row],[Oficina]],[22]Ponderación!$B$3:$G$9,6,FALSE),"")</f>
        <v>44754</v>
      </c>
      <c r="AS12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1.1385503377996782</v>
      </c>
      <c r="AT122" s="83">
        <f>IFERROR(VLOOKUP(Tabla1[[#This Row],[Llave]],[17]DELAY!$H:$W,16,FALSE),0)</f>
        <v>0</v>
      </c>
      <c r="AU12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22" s="5">
        <f>+Tabla1[[#This Row],[Plan Ajustado]]*Tabla1[[#This Row],[Precio ponderado]]</f>
        <v>0</v>
      </c>
      <c r="AW122" s="30">
        <f>IFERROR(VLOOKUP(Tabla1[[#This Row],[Llave]],'[13]Ultimos precios facturados'!$A:$G,7,FALSE),0)</f>
        <v>1.1385503377996782</v>
      </c>
      <c r="AX12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22" s="30"/>
      <c r="AZ122" s="30">
        <f>IF(Tabla1[[#This Row],[Ajuste precio IC]]="",Tabla1[[#This Row],[Precio ponderado]],Tabla1[[#This Row],[Precio ponderado]])</f>
        <v>0</v>
      </c>
      <c r="BA122" s="82"/>
      <c r="BB122" s="82" t="str">
        <f>IF(AND(Tabla1[[#This Row],[Atraso a facturar]]&gt;0,Tabla1[[#This Row],[Precio Atraso]]=0),"Revisar","OK")</f>
        <v>OK</v>
      </c>
      <c r="BC122" s="82" t="str">
        <f>IF(AND(Tabla1[[#This Row],[Venta del mes]]&gt;0,Tabla1[[#This Row],[Precio venta nueva]]=0),"Revisar","OK")</f>
        <v>OK</v>
      </c>
      <c r="BD122" s="20">
        <f>IFERROR(VLOOKUP(Tabla1[[#This Row],[Llave]],'[5]Consolidación planes'!$A:$M,9,FALSE),0)</f>
        <v>72000</v>
      </c>
      <c r="BE122" s="20">
        <f>IFERROR(VLOOKUP(Tabla1[[#This Row],[Llave]],'[5]Consolidación planes'!$A:$M,10,FALSE),0)</f>
        <v>0</v>
      </c>
      <c r="BF122" s="20">
        <f>IFERROR(VLOOKUP(Tabla1[[#This Row],[Llave]],'[5]Consolidación planes'!$A:$M,11,FALSE),0)</f>
        <v>0</v>
      </c>
      <c r="BG122" s="20">
        <f>IFERROR(VLOOKUP(Tabla1[[#This Row],[Llave]],'[5]Consolidación planes'!$A:$M,12,FALSE),0)</f>
        <v>0</v>
      </c>
      <c r="BH122" s="20">
        <f>IFERROR(VLOOKUP(Tabla1[[#This Row],[Llave]],'[5]Consolidación planes'!$A:$M,13,FALSE),0)</f>
        <v>24000</v>
      </c>
      <c r="BI122" s="20">
        <f>IFERROR(VLOOKUP(Tabla1[[#This Row],[Llave]],'[13]Base ultimos planes'!$A:$M,13,FALSE),0)</f>
        <v>48000</v>
      </c>
      <c r="BJ122" s="80">
        <f>IFERROR(VLOOKUP(Tabla1[[#This Row],[Llave]],'[13]Base ultimos planes'!$O:$AA,8,FALSE),0)</f>
        <v>48600</v>
      </c>
      <c r="BK122" s="20">
        <f>IFERROR(VLOOKUP(Tabla1[[#This Row],[Llave]],'[13]Base ultimos planes'!$O:$AA,9,FALSE),0)</f>
        <v>0</v>
      </c>
      <c r="BL122" s="20">
        <f>IFERROR(VLOOKUP(Tabla1[[#This Row],[Llave]],'[13]Base ultimos planes'!$O:$AA,10,FALSE),0)</f>
        <v>0</v>
      </c>
      <c r="BM122" s="20">
        <f>IFERROR(VLOOKUP(Tabla1[[#This Row],[Llave]],'[13]Base ultimos planes'!$O:$AA,11,FALSE),0)</f>
        <v>0</v>
      </c>
      <c r="BN122" s="20">
        <f>IFERROR(VLOOKUP(Tabla1[[#This Row],[Llave]],'[13]Base ultimos planes'!$O:$AA,12,FALSE),0)</f>
        <v>22800</v>
      </c>
      <c r="BO122" s="20">
        <f>IFERROR(VLOOKUP(Tabla1[[#This Row],[Llave]],'[13]Base ultimos planes'!$O:$AA,13,FALSE),0)</f>
        <v>52800</v>
      </c>
      <c r="BP122" s="20"/>
      <c r="BQ122" s="20">
        <f>+Tabla1[[#This Row],[ RV  Venta mes n+1]]*(1-Tabla1[[#This Row],[% Uti. producción]])</f>
        <v>0</v>
      </c>
      <c r="BR122" s="100"/>
    </row>
    <row r="123" spans="1:70" ht="16" hidden="1" x14ac:dyDescent="0.2">
      <c r="A123">
        <v>2</v>
      </c>
      <c r="B123" t="str">
        <f>Tabla1[[#This Row],[Oficina]]&amp;Tabla1[[#This Row],[Material]]</f>
        <v>Agrosuper Shanghai1022096</v>
      </c>
      <c r="C123" t="s">
        <v>6</v>
      </c>
      <c r="D123" t="s">
        <v>140</v>
      </c>
      <c r="E123">
        <v>1022096</v>
      </c>
      <c r="F123" t="s">
        <v>154</v>
      </c>
      <c r="G123" t="s">
        <v>92</v>
      </c>
      <c r="H123" t="s">
        <v>153</v>
      </c>
      <c r="I123" s="7">
        <f>IFERROR(VLOOKUP(Tabla1[[#This Row],[Llave]],'[7]RV Producción'!$C:$G,5,FALSE),0)</f>
        <v>0</v>
      </c>
      <c r="J123" s="3">
        <f>IFERROR(IF(Tabla1[[#This Row],[Oficina]]=$I$7,VLOOKUP(Tabla1[[#This Row],[Llave]],'[7]Shangai (Tomas)'!$A:$F,6,FALSE),VLOOKUP(Tabla1[[#This Row],[Llave]],'[7]RV plan de ventas'!$A:$E,5,FALSE)),0)</f>
        <v>0</v>
      </c>
      <c r="K123" s="8">
        <f>IFERROR(VLOOKUP(Tabla1[[#This Row],[Oficina]],[15]Ponderación!$B$2:$E$9,4,FALSE),0)</f>
        <v>0.45719439678473212</v>
      </c>
      <c r="L123" s="7">
        <f>+Tabla1[[#This Row],[ RV Producción mes n+1]]*Tabla1[[#This Row],[% Uti. producción]]</f>
        <v>0</v>
      </c>
      <c r="M123" s="7">
        <f>IFERROR(VLOOKUP(Tabla1[[#This Row],[Material]],'[17]TD Stock'!$E:$I,5,FALSE),0)</f>
        <v>60887.101726867477</v>
      </c>
      <c r="N123" s="7">
        <f>IFERROR(VLOOKUP(Tabla1[[#This Row],[Material]],[16]Produccion!$M:$N,2,FALSE),0)</f>
        <v>56950</v>
      </c>
      <c r="O123" s="7">
        <f>IFERROR(VLOOKUP(Tabla1[[#This Row],[Llave]],'[16]TD Conf-AP'!$I:$M,4,FALSE),0)</f>
        <v>0</v>
      </c>
      <c r="P123" s="14">
        <f>SUM(Tabla1[[#This Row],[Producción disponible]],Tabla1[[#This Row],[Stock al día]],(Tabla1[[#This Row],[Por producir mes N]]*0.9))-Tabla1[[#This Row],[Producción por despachar mes N]]</f>
        <v>112142.10172686748</v>
      </c>
      <c r="Q123" s="7">
        <f>IFERROR(VLOOKUP(Tabla1[[#This Row],[Llave]],[17]DELAY!$A:$D,4,FALSE),0)</f>
        <v>0</v>
      </c>
      <c r="R123" s="9">
        <v>24000</v>
      </c>
      <c r="S123" s="5">
        <f t="shared" si="30"/>
        <v>0</v>
      </c>
      <c r="T123" s="76">
        <v>0</v>
      </c>
      <c r="U123" s="5">
        <f>+Tabla1[[#This Row],[Atraso a facturar]]+Tabla1[[#This Row],[Ajuste atraso]]</f>
        <v>0</v>
      </c>
      <c r="V123" s="3">
        <f>+Tabla1[[#This Row],[Total disponible]]-Tabla1[[#This Row],[Facturación atraso]]</f>
        <v>112142.10172686748</v>
      </c>
      <c r="W123" s="6">
        <f>IFERROR(IF(AND(V123&gt;R123,J123&gt;=R123),ROUNDDOWN((Tabla1[[#This Row],[Producción para venta nueva]])/R123,0)*R123,0),0)</f>
        <v>0</v>
      </c>
      <c r="X123" s="76">
        <v>0</v>
      </c>
      <c r="Y123" s="6">
        <f>IF(Tabla1[[#This Row],[Venta del mes]]&gt;0,Tabla1[[#This Row],[Venta del mes]]+Tabla1[[#This Row],[Ajuste venta nueva]],0)</f>
        <v>0</v>
      </c>
      <c r="Z123" s="6">
        <f>+Tabla1[[#This Row],[Producción para venta nueva]]-Tabla1[[#This Row],[Facturación Venta nueva]]</f>
        <v>112142.10172686748</v>
      </c>
      <c r="AA123" s="6">
        <f>IF(AND(A123=1,Tabla1[[#This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3" s="6"/>
      <c r="AC123" s="6">
        <f>IF(Tabla1[[#This Row],[Disponible stock sin venta]]&gt;0,Tabla1[[#This Row],[Disponible stock sin venta]]+Tabla1[[#This Row],[Ajuste stock sin venta]],0)</f>
        <v>0</v>
      </c>
      <c r="AD123" s="3">
        <f>IFERROR(VLOOKUP(Tabla1[[#This Row],[Llave]],'[16]TD Puerto'!$A:$D,4,FALSE),0)</f>
        <v>0</v>
      </c>
      <c r="AE123" s="3">
        <v>0</v>
      </c>
      <c r="AF123" s="3">
        <f>+Tabla1[[#This Row],[Atraso a facturar]]+Tabla1[[#This Row],[Venta del mes]]+Tabla1[[#This Row],[En puerto a facturar]]+Tabla1[[#This Row],[Disponible stock sin venta]]</f>
        <v>0</v>
      </c>
      <c r="AG123" s="3">
        <f>+Tabla1[[#This Row],[En puerto a facturar]]</f>
        <v>0</v>
      </c>
      <c r="AH123" s="3">
        <f>+Tabla1[[#This Row],[Facturación atraso]]</f>
        <v>0</v>
      </c>
      <c r="AI123" s="3">
        <f>+Tabla1[[#This Row],[Plan Irrestricto]]-Tabla1[[#This Row],[Puerto ]]-Tabla1[[#This Row],[Atraso]]</f>
        <v>0</v>
      </c>
      <c r="AJ12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23" s="3">
        <f>+Tabla1[[#This Row],[Facturación atraso]]</f>
        <v>0</v>
      </c>
      <c r="AL123" s="3">
        <f>+Tabla1[[#This Row],[Plan Ajustado]]-Tabla1[[#This Row],[ Atraso ajustado]]-Tabla1[[#This Row],[Puerto ]]</f>
        <v>0</v>
      </c>
      <c r="AM123" s="3">
        <v>0</v>
      </c>
      <c r="AN123" s="3" t="str">
        <f>IF(Tabla1[[#This Row],[Plan Ajustado]]&gt;Tabla1[[#This Row],[En puerto a facturar]],"Si","No")</f>
        <v>No</v>
      </c>
      <c r="AO12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23" s="3">
        <f>IF(Tabla1[[#This Row],[Necesidad]]&gt;=Tabla1[[#This Row],[Stock al día]],Tabla1[[#This Row],[Stock al día]],Tabla1[[#This Row],[Necesidad]])</f>
        <v>0</v>
      </c>
      <c r="AQ123" s="3">
        <f>+Tabla1[[#This Row],[Necesidad]]-Tabla1[[#This Row],[Stock Plan]]</f>
        <v>0</v>
      </c>
      <c r="AR123" s="156">
        <f>IFERROR(VLOOKUP(Tabla1[[#This Row],[Oficina]],[22]Ponderación!$B$3:$G$9,6,FALSE),"")</f>
        <v>44754</v>
      </c>
      <c r="AS12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1.3502934734459686</v>
      </c>
      <c r="AT123" s="83">
        <f>IFERROR(VLOOKUP(Tabla1[[#This Row],[Llave]],[17]DELAY!$H:$W,16,FALSE),0)</f>
        <v>0</v>
      </c>
      <c r="AU12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23" s="5">
        <f>+Tabla1[[#This Row],[Plan Ajustado]]*Tabla1[[#This Row],[Precio ponderado]]</f>
        <v>0</v>
      </c>
      <c r="AW123" s="30">
        <f>IFERROR(VLOOKUP(Tabla1[[#This Row],[Llave]],'[13]Ultimos precios facturados'!$A:$G,7,FALSE),0)</f>
        <v>1.3502934734459686</v>
      </c>
      <c r="AX12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23" s="30"/>
      <c r="AZ123" s="30">
        <f>IF(Tabla1[[#This Row],[Ajuste precio IC]]="",Tabla1[[#This Row],[Precio ponderado]],Tabla1[[#This Row],[Precio ponderado]])</f>
        <v>0</v>
      </c>
      <c r="BA123" s="82"/>
      <c r="BB123" s="82" t="str">
        <f>IF(AND(Tabla1[[#This Row],[Atraso a facturar]]&gt;0,Tabla1[[#This Row],[Precio Atraso]]=0),"Revisar","OK")</f>
        <v>OK</v>
      </c>
      <c r="BC123" s="82" t="str">
        <f>IF(AND(Tabla1[[#This Row],[Venta del mes]]&gt;0,Tabla1[[#This Row],[Precio venta nueva]]=0),"Revisar","OK")</f>
        <v>OK</v>
      </c>
      <c r="BD123" s="20">
        <f>IFERROR(VLOOKUP(Tabla1[[#This Row],[Llave]],'[5]Consolidación planes'!$A:$M,9,FALSE),0)</f>
        <v>192000</v>
      </c>
      <c r="BE123" s="20">
        <f>IFERROR(VLOOKUP(Tabla1[[#This Row],[Llave]],'[5]Consolidación planes'!$A:$M,10,FALSE),0)</f>
        <v>264000</v>
      </c>
      <c r="BF123" s="20">
        <f>IFERROR(VLOOKUP(Tabla1[[#This Row],[Llave]],'[5]Consolidación planes'!$A:$M,11,FALSE),0)</f>
        <v>216000</v>
      </c>
      <c r="BG123" s="20">
        <f>IFERROR(VLOOKUP(Tabla1[[#This Row],[Llave]],'[5]Consolidación planes'!$A:$M,12,FALSE),0)</f>
        <v>192000</v>
      </c>
      <c r="BH123" s="20">
        <f>IFERROR(VLOOKUP(Tabla1[[#This Row],[Llave]],'[5]Consolidación planes'!$A:$M,13,FALSE),0)</f>
        <v>164571</v>
      </c>
      <c r="BI123" s="20">
        <f>IFERROR(VLOOKUP(Tabla1[[#This Row],[Llave]],'[13]Base ultimos planes'!$A:$M,13,FALSE),0)</f>
        <v>168000</v>
      </c>
      <c r="BJ123" s="80">
        <f>IFERROR(VLOOKUP(Tabla1[[#This Row],[Llave]],'[13]Base ultimos planes'!$O:$AA,8,FALSE),0)</f>
        <v>270080</v>
      </c>
      <c r="BK123" s="20">
        <f>IFERROR(VLOOKUP(Tabla1[[#This Row],[Llave]],'[13]Base ultimos planes'!$O:$AA,9,FALSE),0)</f>
        <v>312840</v>
      </c>
      <c r="BL123" s="20">
        <f>IFERROR(VLOOKUP(Tabla1[[#This Row],[Llave]],'[13]Base ultimos planes'!$O:$AA,10,FALSE),0)</f>
        <v>248400</v>
      </c>
      <c r="BM123" s="20">
        <f>IFERROR(VLOOKUP(Tabla1[[#This Row],[Llave]],'[13]Base ultimos planes'!$O:$AA,11,FALSE),0)</f>
        <v>222459</v>
      </c>
      <c r="BN123" s="20">
        <f>IFERROR(VLOOKUP(Tabla1[[#This Row],[Llave]],'[13]Base ultimos planes'!$O:$AA,12,FALSE),0)</f>
        <v>194168</v>
      </c>
      <c r="BO123" s="20">
        <f>IFERROR(VLOOKUP(Tabla1[[#This Row],[Llave]],'[13]Base ultimos planes'!$O:$AA,13,FALSE),0)</f>
        <v>223136</v>
      </c>
      <c r="BP123" s="20"/>
      <c r="BQ123" s="20">
        <f>+Tabla1[[#This Row],[ RV  Venta mes n+1]]*(1-Tabla1[[#This Row],[% Uti. producción]])</f>
        <v>0</v>
      </c>
      <c r="BR123" s="100"/>
    </row>
    <row r="124" spans="1:70" ht="16" hidden="1" x14ac:dyDescent="0.2">
      <c r="A124">
        <v>2</v>
      </c>
      <c r="B124" t="str">
        <f>Tabla1[[#This Row],[Oficina]]&amp;Tabla1[[#This Row],[Material]]</f>
        <v>Agrosuper Shanghai1022125</v>
      </c>
      <c r="C124" t="s">
        <v>6</v>
      </c>
      <c r="D124" t="s">
        <v>140</v>
      </c>
      <c r="E124">
        <v>1022125</v>
      </c>
      <c r="F124" t="s">
        <v>162</v>
      </c>
      <c r="G124" t="s">
        <v>159</v>
      </c>
      <c r="H124" t="s">
        <v>160</v>
      </c>
      <c r="I124" s="7">
        <f>IFERROR(VLOOKUP(Tabla1[[#This Row],[Llave]],'[7]RV Producción'!$C:$G,5,FALSE),0)</f>
        <v>0</v>
      </c>
      <c r="J124" s="3">
        <f>IFERROR(IF(Tabla1[[#This Row],[Oficina]]=$I$7,VLOOKUP(Tabla1[[#This Row],[Llave]],'[7]Shangai (Tomas)'!$A:$F,6,FALSE),VLOOKUP(Tabla1[[#This Row],[Llave]],'[7]RV plan de ventas'!$A:$E,5,FALSE)),0)</f>
        <v>0</v>
      </c>
      <c r="K124" s="8">
        <f>IFERROR(VLOOKUP(Tabla1[[#This Row],[Oficina]],[15]Ponderación!$B$2:$E$9,4,FALSE),0)</f>
        <v>0.45719439678473212</v>
      </c>
      <c r="L124" s="7">
        <f>+Tabla1[[#This Row],[ RV Producción mes n+1]]*Tabla1[[#This Row],[% Uti. producción]]</f>
        <v>0</v>
      </c>
      <c r="M124" s="7">
        <f>IFERROR(VLOOKUP(Tabla1[[#This Row],[Material]],'[17]TD Stock'!$E:$I,5,FALSE),0)</f>
        <v>16364.917952633603</v>
      </c>
      <c r="N124" s="7">
        <f>IFERROR(VLOOKUP(Tabla1[[#This Row],[Material]],[16]Produccion!$M:$N,2,FALSE),0)</f>
        <v>105670.05200000001</v>
      </c>
      <c r="O124" s="7">
        <f>IFERROR(VLOOKUP(Tabla1[[#This Row],[Llave]],'[16]TD Conf-AP'!$I:$M,4,FALSE),0)</f>
        <v>0</v>
      </c>
      <c r="P124" s="14">
        <f>SUM(Tabla1[[#This Row],[Producción disponible]],Tabla1[[#This Row],[Stock al día]],(Tabla1[[#This Row],[Por producir mes N]]*0.9))-Tabla1[[#This Row],[Producción por despachar mes N]]</f>
        <v>111467.96475263362</v>
      </c>
      <c r="Q124" s="7">
        <f>IFERROR(VLOOKUP(Tabla1[[#This Row],[Llave]],[17]DELAY!$A:$D,4,FALSE),0)</f>
        <v>0</v>
      </c>
      <c r="R124" s="9">
        <v>24000</v>
      </c>
      <c r="S124" s="5">
        <f t="shared" si="30"/>
        <v>0</v>
      </c>
      <c r="T124" s="76">
        <v>0</v>
      </c>
      <c r="U124" s="5">
        <f>+Tabla1[[#This Row],[Atraso a facturar]]+Tabla1[[#This Row],[Ajuste atraso]]</f>
        <v>0</v>
      </c>
      <c r="V124" s="3">
        <f>+Tabla1[[#This Row],[Total disponible]]-Tabla1[[#This Row],[Facturación atraso]]</f>
        <v>111467.96475263362</v>
      </c>
      <c r="W124" s="6">
        <f>IFERROR(IF(AND(V124&gt;R124,J124&gt;=R124),ROUNDDOWN((Tabla1[[#This Row],[Producción para venta nueva]])/R124,0)*R124,0),0)</f>
        <v>0</v>
      </c>
      <c r="X124" s="76">
        <v>0</v>
      </c>
      <c r="Y124" s="6">
        <f>IF(Tabla1[[#This Row],[Venta del mes]]&gt;0,Tabla1[[#This Row],[Venta del mes]]+Tabla1[[#This Row],[Ajuste venta nueva]],0)</f>
        <v>0</v>
      </c>
      <c r="Z124" s="6">
        <f>+Tabla1[[#This Row],[Producción para venta nueva]]-Tabla1[[#This Row],[Facturación Venta nueva]]</f>
        <v>111467.96475263362</v>
      </c>
      <c r="AA124" s="6">
        <f>IF(AND(A124=1,Tabla1[[#This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4" s="6"/>
      <c r="AC124" s="6">
        <f>IF(Tabla1[[#This Row],[Disponible stock sin venta]]&gt;0,Tabla1[[#This Row],[Disponible stock sin venta]]+Tabla1[[#This Row],[Ajuste stock sin venta]],0)</f>
        <v>0</v>
      </c>
      <c r="AD124" s="3">
        <f>IFERROR(VLOOKUP(Tabla1[[#This Row],[Llave]],'[16]TD Puerto'!$A:$D,4,FALSE),0)</f>
        <v>0</v>
      </c>
      <c r="AE124" s="3">
        <v>0</v>
      </c>
      <c r="AF124" s="3">
        <f>+Tabla1[[#This Row],[Atraso a facturar]]+Tabla1[[#This Row],[Venta del mes]]+Tabla1[[#This Row],[En puerto a facturar]]+Tabla1[[#This Row],[Disponible stock sin venta]]</f>
        <v>0</v>
      </c>
      <c r="AG124" s="3">
        <f>+Tabla1[[#This Row],[En puerto a facturar]]</f>
        <v>0</v>
      </c>
      <c r="AH124" s="3">
        <f>+Tabla1[[#This Row],[Facturación atraso]]</f>
        <v>0</v>
      </c>
      <c r="AI124" s="3">
        <f>+Tabla1[[#This Row],[Plan Irrestricto]]-Tabla1[[#This Row],[Puerto ]]-Tabla1[[#This Row],[Atraso]]</f>
        <v>0</v>
      </c>
      <c r="AJ12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24" s="3">
        <f>+Tabla1[[#This Row],[Facturación atraso]]</f>
        <v>0</v>
      </c>
      <c r="AL124" s="3">
        <f>+Tabla1[[#This Row],[Plan Ajustado]]-Tabla1[[#This Row],[ Atraso ajustado]]-Tabla1[[#This Row],[Puerto ]]</f>
        <v>0</v>
      </c>
      <c r="AM124" s="3">
        <v>0</v>
      </c>
      <c r="AN124" s="3" t="str">
        <f>IF(Tabla1[[#This Row],[Plan Ajustado]]&gt;Tabla1[[#This Row],[En puerto a facturar]],"Si","No")</f>
        <v>No</v>
      </c>
      <c r="AO12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24" s="3">
        <f>IF(Tabla1[[#This Row],[Necesidad]]&gt;=Tabla1[[#This Row],[Stock al día]],Tabla1[[#This Row],[Stock al día]],Tabla1[[#This Row],[Necesidad]])</f>
        <v>0</v>
      </c>
      <c r="AQ124" s="3">
        <f>+Tabla1[[#This Row],[Necesidad]]-Tabla1[[#This Row],[Stock Plan]]</f>
        <v>0</v>
      </c>
      <c r="AR124" s="156">
        <f>IFERROR(VLOOKUP(Tabla1[[#This Row],[Oficina]],[22]Ponderación!$B$3:$G$9,6,FALSE),"")</f>
        <v>44754</v>
      </c>
      <c r="AS12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2.9062861035260745</v>
      </c>
      <c r="AT124" s="83">
        <f>IFERROR(VLOOKUP(Tabla1[[#This Row],[Llave]],[17]DELAY!$H:$W,16,FALSE),0)</f>
        <v>0</v>
      </c>
      <c r="AU12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24" s="5">
        <f>+Tabla1[[#This Row],[Plan Ajustado]]*Tabla1[[#This Row],[Precio ponderado]]</f>
        <v>0</v>
      </c>
      <c r="AW124" s="30">
        <f>IFERROR(VLOOKUP(Tabla1[[#This Row],[Llave]],'[13]Ultimos precios facturados'!$A:$G,7,FALSE),0)</f>
        <v>2.9062861035260745</v>
      </c>
      <c r="AX12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24" s="30"/>
      <c r="AZ124" s="30">
        <f>IF(Tabla1[[#This Row],[Ajuste precio IC]]="",Tabla1[[#This Row],[Precio ponderado]],Tabla1[[#This Row],[Precio ponderado]])</f>
        <v>0</v>
      </c>
      <c r="BA124" s="82"/>
      <c r="BB124" s="82" t="str">
        <f>IF(AND(Tabla1[[#This Row],[Atraso a facturar]]&gt;0,Tabla1[[#This Row],[Precio Atraso]]=0),"Revisar","OK")</f>
        <v>OK</v>
      </c>
      <c r="BC124" s="82" t="str">
        <f>IF(AND(Tabla1[[#This Row],[Venta del mes]]&gt;0,Tabla1[[#This Row],[Precio venta nueva]]=0),"Revisar","OK")</f>
        <v>OK</v>
      </c>
      <c r="BD124" s="20">
        <f>IFERROR(VLOOKUP(Tabla1[[#This Row],[Llave]],'[5]Consolidación planes'!$A:$M,9,FALSE),0)</f>
        <v>216000</v>
      </c>
      <c r="BE124" s="20">
        <f>IFERROR(VLOOKUP(Tabla1[[#This Row],[Llave]],'[5]Consolidación planes'!$A:$M,10,FALSE),0)</f>
        <v>96000</v>
      </c>
      <c r="BF124" s="20">
        <f>IFERROR(VLOOKUP(Tabla1[[#This Row],[Llave]],'[5]Consolidación planes'!$A:$M,11,FALSE),0)</f>
        <v>96000</v>
      </c>
      <c r="BG124" s="20">
        <f>IFERROR(VLOOKUP(Tabla1[[#This Row],[Llave]],'[5]Consolidación planes'!$A:$M,12,FALSE),0)</f>
        <v>120000</v>
      </c>
      <c r="BH124" s="20">
        <f>IFERROR(VLOOKUP(Tabla1[[#This Row],[Llave]],'[5]Consolidación planes'!$A:$M,13,FALSE),0)</f>
        <v>96000</v>
      </c>
      <c r="BI124" s="20">
        <f>IFERROR(VLOOKUP(Tabla1[[#This Row],[Llave]],'[13]Base ultimos planes'!$A:$M,13,FALSE),0)</f>
        <v>72000</v>
      </c>
      <c r="BJ124" s="80">
        <f>IFERROR(VLOOKUP(Tabla1[[#This Row],[Llave]],'[13]Base ultimos planes'!$O:$AA,8,FALSE),0)</f>
        <v>586500</v>
      </c>
      <c r="BK124" s="20">
        <f>IFERROR(VLOOKUP(Tabla1[[#This Row],[Llave]],'[13]Base ultimos planes'!$O:$AA,9,FALSE),0)</f>
        <v>239040</v>
      </c>
      <c r="BL124" s="20">
        <f>IFERROR(VLOOKUP(Tabla1[[#This Row],[Llave]],'[13]Base ultimos planes'!$O:$AA,10,FALSE),0)</f>
        <v>233280</v>
      </c>
      <c r="BM124" s="20">
        <f>IFERROR(VLOOKUP(Tabla1[[#This Row],[Llave]],'[13]Base ultimos planes'!$O:$AA,11,FALSE),0)</f>
        <v>304970</v>
      </c>
      <c r="BN124" s="20">
        <f>IFERROR(VLOOKUP(Tabla1[[#This Row],[Llave]],'[13]Base ultimos planes'!$O:$AA,12,FALSE),0)</f>
        <v>246850</v>
      </c>
      <c r="BO124" s="20">
        <f>IFERROR(VLOOKUP(Tabla1[[#This Row],[Llave]],'[13]Base ultimos planes'!$O:$AA,13,FALSE),0)</f>
        <v>186360</v>
      </c>
      <c r="BP124" s="20"/>
      <c r="BQ124" s="20">
        <f>+Tabla1[[#This Row],[ RV  Venta mes n+1]]*(1-Tabla1[[#This Row],[% Uti. producción]])</f>
        <v>0</v>
      </c>
      <c r="BR124" s="100"/>
    </row>
    <row r="125" spans="1:70" ht="16" hidden="1" x14ac:dyDescent="0.2">
      <c r="A125">
        <v>2</v>
      </c>
      <c r="B125" t="str">
        <f>Tabla1[[#This Row],[Oficina]]&amp;Tabla1[[#This Row],[Material]]</f>
        <v>Agrosuper Shanghai1022183</v>
      </c>
      <c r="C125" t="s">
        <v>6</v>
      </c>
      <c r="D125" t="s">
        <v>140</v>
      </c>
      <c r="E125">
        <v>1022183</v>
      </c>
      <c r="F125" t="s">
        <v>165</v>
      </c>
      <c r="G125" t="s">
        <v>159</v>
      </c>
      <c r="H125" t="s">
        <v>164</v>
      </c>
      <c r="I125" s="7">
        <f>IFERROR(VLOOKUP(Tabla1[[#This Row],[Llave]],'[7]RV Producción'!$C:$G,5,FALSE),0)</f>
        <v>0</v>
      </c>
      <c r="J125" s="3">
        <f>IFERROR(IF(Tabla1[[#This Row],[Oficina]]=$I$7,VLOOKUP(Tabla1[[#This Row],[Llave]],'[7]Shangai (Tomas)'!$A:$F,6,FALSE),VLOOKUP(Tabla1[[#This Row],[Llave]],'[7]RV plan de ventas'!$A:$E,5,FALSE)),0)</f>
        <v>0</v>
      </c>
      <c r="K125" s="8">
        <f>IFERROR(VLOOKUP(Tabla1[[#This Row],[Oficina]],[15]Ponderación!$B$2:$E$9,4,FALSE),0)</f>
        <v>0.45719439678473212</v>
      </c>
      <c r="L125" s="7">
        <f>+Tabla1[[#This Row],[ RV Producción mes n+1]]*Tabla1[[#This Row],[% Uti. producción]]</f>
        <v>0</v>
      </c>
      <c r="M125" s="7">
        <f>IFERROR(VLOOKUP(Tabla1[[#This Row],[Material]],'[17]TD Stock'!$E:$I,5,FALSE),0)</f>
        <v>114526.99723983377</v>
      </c>
      <c r="N125" s="7">
        <f>IFERROR(VLOOKUP(Tabla1[[#This Row],[Material]],[16]Produccion!$M:$N,2,FALSE),0)</f>
        <v>200010.16199999998</v>
      </c>
      <c r="O125" s="7">
        <f>IFERROR(VLOOKUP(Tabla1[[#This Row],[Llave]],'[16]TD Conf-AP'!$I:$M,4,FALSE),0)</f>
        <v>0</v>
      </c>
      <c r="P125" s="14">
        <f>SUM(Tabla1[[#This Row],[Producción disponible]],Tabla1[[#This Row],[Stock al día]],(Tabla1[[#This Row],[Por producir mes N]]*0.9))-Tabla1[[#This Row],[Producción por despachar mes N]]</f>
        <v>294536.14303983375</v>
      </c>
      <c r="Q125" s="7">
        <f>IFERROR(VLOOKUP(Tabla1[[#This Row],[Llave]],[17]DELAY!$A:$D,4,FALSE),0)</f>
        <v>0</v>
      </c>
      <c r="R125" s="9">
        <v>24000</v>
      </c>
      <c r="S125" s="5">
        <f t="shared" si="30"/>
        <v>0</v>
      </c>
      <c r="T125" s="76">
        <v>0</v>
      </c>
      <c r="U125" s="5">
        <f>+Tabla1[[#This Row],[Atraso a facturar]]+Tabla1[[#This Row],[Ajuste atraso]]</f>
        <v>0</v>
      </c>
      <c r="V125" s="3">
        <f>+Tabla1[[#This Row],[Total disponible]]-Tabla1[[#This Row],[Facturación atraso]]</f>
        <v>294536.14303983375</v>
      </c>
      <c r="W125" s="6">
        <f>IFERROR(IF(AND(V125&gt;R125,J125&gt;=R125),ROUNDDOWN((Tabla1[[#This Row],[Producción para venta nueva]])/R125,0)*R125,0),0)</f>
        <v>0</v>
      </c>
      <c r="X125" s="76">
        <v>0</v>
      </c>
      <c r="Y125" s="6">
        <f>IF(Tabla1[[#This Row],[Venta del mes]]&gt;0,Tabla1[[#This Row],[Venta del mes]]+Tabla1[[#This Row],[Ajuste venta nueva]],0)</f>
        <v>0</v>
      </c>
      <c r="Z125" s="6">
        <f>+Tabla1[[#This Row],[Producción para venta nueva]]-Tabla1[[#This Row],[Facturación Venta nueva]]</f>
        <v>294536.14303983375</v>
      </c>
      <c r="AA125" s="6">
        <f>IF(AND(A125=1,Tabla1[[#This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5" s="6"/>
      <c r="AC125" s="6">
        <f>IF(Tabla1[[#This Row],[Disponible stock sin venta]]&gt;0,Tabla1[[#This Row],[Disponible stock sin venta]]+Tabla1[[#This Row],[Ajuste stock sin venta]],0)</f>
        <v>0</v>
      </c>
      <c r="AD125" s="3">
        <f>IFERROR(VLOOKUP(Tabla1[[#This Row],[Llave]],'[16]TD Puerto'!$A:$D,4,FALSE),0)</f>
        <v>0</v>
      </c>
      <c r="AE125" s="3">
        <v>0</v>
      </c>
      <c r="AF125" s="3">
        <f>+Tabla1[[#This Row],[Atraso a facturar]]+Tabla1[[#This Row],[Venta del mes]]+Tabla1[[#This Row],[En puerto a facturar]]+Tabla1[[#This Row],[Disponible stock sin venta]]</f>
        <v>0</v>
      </c>
      <c r="AG125" s="3">
        <f>+Tabla1[[#This Row],[En puerto a facturar]]</f>
        <v>0</v>
      </c>
      <c r="AH125" s="3">
        <f>+Tabla1[[#This Row],[Facturación atraso]]</f>
        <v>0</v>
      </c>
      <c r="AI125" s="3">
        <f>+Tabla1[[#This Row],[Plan Irrestricto]]-Tabla1[[#This Row],[Puerto ]]-Tabla1[[#This Row],[Atraso]]</f>
        <v>0</v>
      </c>
      <c r="AJ12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25" s="3">
        <f>+Tabla1[[#This Row],[Facturación atraso]]</f>
        <v>0</v>
      </c>
      <c r="AL125" s="3">
        <f>+Tabla1[[#This Row],[Plan Ajustado]]-Tabla1[[#This Row],[ Atraso ajustado]]-Tabla1[[#This Row],[Puerto ]]</f>
        <v>0</v>
      </c>
      <c r="AM125" s="3">
        <v>0</v>
      </c>
      <c r="AN125" s="3" t="str">
        <f>IF(Tabla1[[#This Row],[Plan Ajustado]]&gt;Tabla1[[#This Row],[En puerto a facturar]],"Si","No")</f>
        <v>No</v>
      </c>
      <c r="AO12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25" s="3">
        <f>IF(Tabla1[[#This Row],[Necesidad]]&gt;=Tabla1[[#This Row],[Stock al día]],Tabla1[[#This Row],[Stock al día]],Tabla1[[#This Row],[Necesidad]])</f>
        <v>0</v>
      </c>
      <c r="AQ125" s="3">
        <f>+Tabla1[[#This Row],[Necesidad]]-Tabla1[[#This Row],[Stock Plan]]</f>
        <v>0</v>
      </c>
      <c r="AR125" s="156">
        <f>IFERROR(VLOOKUP(Tabla1[[#This Row],[Oficina]],[22]Ponderación!$B$3:$G$9,6,FALSE),"")</f>
        <v>44754</v>
      </c>
      <c r="AS12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1.996143349312969</v>
      </c>
      <c r="AT125" s="83">
        <f>IFERROR(VLOOKUP(Tabla1[[#This Row],[Llave]],[17]DELAY!$H:$W,16,FALSE),0)</f>
        <v>0</v>
      </c>
      <c r="AU12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25" s="5">
        <f>+Tabla1[[#This Row],[Plan Ajustado]]*Tabla1[[#This Row],[Precio ponderado]]</f>
        <v>0</v>
      </c>
      <c r="AW125" s="30">
        <f>IFERROR(VLOOKUP(Tabla1[[#This Row],[Llave]],'[13]Ultimos precios facturados'!$A:$G,7,FALSE),0)</f>
        <v>1.996143349312969</v>
      </c>
      <c r="AX12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25" s="30"/>
      <c r="AZ125" s="30">
        <f>IF(Tabla1[[#This Row],[Ajuste precio IC]]="",Tabla1[[#This Row],[Precio ponderado]],Tabla1[[#This Row],[Precio ponderado]])</f>
        <v>0</v>
      </c>
      <c r="BA125" s="82"/>
      <c r="BB125" s="82" t="str">
        <f>IF(AND(Tabla1[[#This Row],[Atraso a facturar]]&gt;0,Tabla1[[#This Row],[Precio Atraso]]=0),"Revisar","OK")</f>
        <v>OK</v>
      </c>
      <c r="BC125" s="82" t="str">
        <f>IF(AND(Tabla1[[#This Row],[Venta del mes]]&gt;0,Tabla1[[#This Row],[Precio venta nueva]]=0),"Revisar","OK")</f>
        <v>OK</v>
      </c>
      <c r="BD125" s="20">
        <f>IFERROR(VLOOKUP(Tabla1[[#This Row],[Llave]],'[5]Consolidación planes'!$A:$M,9,FALSE),0)</f>
        <v>456000</v>
      </c>
      <c r="BE125" s="20">
        <f>IFERROR(VLOOKUP(Tabla1[[#This Row],[Llave]],'[5]Consolidación planes'!$A:$M,10,FALSE),0)</f>
        <v>408000</v>
      </c>
      <c r="BF125" s="20">
        <f>IFERROR(VLOOKUP(Tabla1[[#This Row],[Llave]],'[5]Consolidación planes'!$A:$M,11,FALSE),0)</f>
        <v>360000</v>
      </c>
      <c r="BG125" s="20">
        <f>IFERROR(VLOOKUP(Tabla1[[#This Row],[Llave]],'[5]Consolidación planes'!$A:$M,12,FALSE),0)</f>
        <v>551000</v>
      </c>
      <c r="BH125" s="20">
        <f>IFERROR(VLOOKUP(Tabla1[[#This Row],[Llave]],'[5]Consolidación planes'!$A:$M,13,FALSE),0)</f>
        <v>484400</v>
      </c>
      <c r="BI125" s="20">
        <f>IFERROR(VLOOKUP(Tabla1[[#This Row],[Llave]],'[13]Base ultimos planes'!$A:$M,13,FALSE),0)</f>
        <v>360000</v>
      </c>
      <c r="BJ125" s="80">
        <f>IFERROR(VLOOKUP(Tabla1[[#This Row],[Llave]],'[13]Base ultimos planes'!$O:$AA,8,FALSE),0)</f>
        <v>825106.66669999994</v>
      </c>
      <c r="BK125" s="20">
        <f>IFERROR(VLOOKUP(Tabla1[[#This Row],[Llave]],'[13]Base ultimos planes'!$O:$AA,9,FALSE),0)</f>
        <v>634440</v>
      </c>
      <c r="BL125" s="20">
        <f>IFERROR(VLOOKUP(Tabla1[[#This Row],[Llave]],'[13]Base ultimos planes'!$O:$AA,10,FALSE),0)</f>
        <v>601200</v>
      </c>
      <c r="BM125" s="20">
        <f>IFERROR(VLOOKUP(Tabla1[[#This Row],[Llave]],'[13]Base ultimos planes'!$O:$AA,11,FALSE),0)</f>
        <v>931630</v>
      </c>
      <c r="BN125" s="20">
        <f>IFERROR(VLOOKUP(Tabla1[[#This Row],[Llave]],'[13]Base ultimos planes'!$O:$AA,12,FALSE),0)</f>
        <v>890457</v>
      </c>
      <c r="BO125" s="20">
        <f>IFERROR(VLOOKUP(Tabla1[[#This Row],[Llave]],'[13]Base ultimos planes'!$O:$AA,13,FALSE),0)</f>
        <v>731662</v>
      </c>
      <c r="BP125" s="20"/>
      <c r="BQ125" s="20">
        <f>+Tabla1[[#This Row],[ RV  Venta mes n+1]]*(1-Tabla1[[#This Row],[% Uti. producción]])</f>
        <v>0</v>
      </c>
      <c r="BR125" s="100"/>
    </row>
    <row r="126" spans="1:70" ht="16" hidden="1" x14ac:dyDescent="0.2">
      <c r="A126">
        <v>2</v>
      </c>
      <c r="B126" t="str">
        <f>Tabla1[[#This Row],[Oficina]]&amp;Tabla1[[#This Row],[Material]]</f>
        <v>Agrosuper Shanghai1022186</v>
      </c>
      <c r="C126" t="s">
        <v>6</v>
      </c>
      <c r="D126" t="s">
        <v>140</v>
      </c>
      <c r="E126">
        <v>1022186</v>
      </c>
      <c r="F126" t="s">
        <v>151</v>
      </c>
      <c r="G126" t="s">
        <v>92</v>
      </c>
      <c r="H126" t="s">
        <v>93</v>
      </c>
      <c r="I126" s="7">
        <f>IFERROR(VLOOKUP(Tabla1[[#This Row],[Llave]],'[7]RV Producción'!$C:$G,5,FALSE),0)</f>
        <v>0</v>
      </c>
      <c r="J126" s="3">
        <f>IFERROR(IF(Tabla1[[#This Row],[Oficina]]=$I$7,VLOOKUP(Tabla1[[#This Row],[Llave]],'[7]Shangai (Tomas)'!$A:$F,6,FALSE),VLOOKUP(Tabla1[[#This Row],[Llave]],'[7]RV plan de ventas'!$A:$E,5,FALSE)),0)</f>
        <v>0</v>
      </c>
      <c r="K126" s="8">
        <f>IFERROR(VLOOKUP(Tabla1[[#This Row],[Oficina]],[15]Ponderación!$B$2:$E$9,4,FALSE),0)</f>
        <v>0.45719439678473212</v>
      </c>
      <c r="L126" s="7">
        <f>+Tabla1[[#This Row],[ RV Producción mes n+1]]*Tabla1[[#This Row],[% Uti. producción]]</f>
        <v>0</v>
      </c>
      <c r="M126" s="7">
        <f>IFERROR(VLOOKUP(Tabla1[[#This Row],[Material]],'[17]TD Stock'!$E:$I,5,FALSE),0)</f>
        <v>13061.999834575534</v>
      </c>
      <c r="N126" s="7">
        <f>IFERROR(VLOOKUP(Tabla1[[#This Row],[Material]],[16]Produccion!$M:$N,2,FALSE),0)</f>
        <v>16353</v>
      </c>
      <c r="O126" s="7">
        <f>IFERROR(VLOOKUP(Tabla1[[#This Row],[Llave]],'[16]TD Conf-AP'!$I:$M,4,FALSE),0)</f>
        <v>0</v>
      </c>
      <c r="P126" s="14">
        <f>SUM(Tabla1[[#This Row],[Producción disponible]],Tabla1[[#This Row],[Stock al día]],(Tabla1[[#This Row],[Por producir mes N]]*0.9))-Tabla1[[#This Row],[Producción por despachar mes N]]</f>
        <v>27779.699834575535</v>
      </c>
      <c r="Q126" s="7">
        <f>IFERROR(VLOOKUP(Tabla1[[#This Row],[Llave]],[17]DELAY!$A:$D,4,FALSE),0)</f>
        <v>0</v>
      </c>
      <c r="R126" s="9">
        <v>24000</v>
      </c>
      <c r="S126" s="5">
        <f t="shared" si="30"/>
        <v>0</v>
      </c>
      <c r="T126" s="76">
        <v>0</v>
      </c>
      <c r="U126" s="5">
        <f>+Tabla1[[#This Row],[Atraso a facturar]]+Tabla1[[#This Row],[Ajuste atraso]]</f>
        <v>0</v>
      </c>
      <c r="V126" s="3">
        <f>+Tabla1[[#This Row],[Total disponible]]-Tabla1[[#This Row],[Facturación atraso]]</f>
        <v>27779.699834575535</v>
      </c>
      <c r="W126" s="6">
        <f>IFERROR(IF(AND(V126&gt;R126,J126&gt;=R126),ROUNDDOWN((Tabla1[[#This Row],[Producción para venta nueva]])/R126,0)*R126,0),0)</f>
        <v>0</v>
      </c>
      <c r="X126" s="76">
        <v>0</v>
      </c>
      <c r="Y126" s="6">
        <f>IF(Tabla1[[#This Row],[Venta del mes]]&gt;0,Tabla1[[#This Row],[Venta del mes]]+Tabla1[[#This Row],[Ajuste venta nueva]],0)</f>
        <v>0</v>
      </c>
      <c r="Z126" s="6">
        <f>+Tabla1[[#This Row],[Producción para venta nueva]]-Tabla1[[#This Row],[Facturación Venta nueva]]</f>
        <v>27779.699834575535</v>
      </c>
      <c r="AA126" s="6">
        <f>IF(AND(A126=1,Tabla1[[#This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6" s="6"/>
      <c r="AC126" s="6">
        <f>IF(Tabla1[[#This Row],[Disponible stock sin venta]]&gt;0,Tabla1[[#This Row],[Disponible stock sin venta]]+Tabla1[[#This Row],[Ajuste stock sin venta]],0)</f>
        <v>0</v>
      </c>
      <c r="AD126" s="3">
        <f>IFERROR(VLOOKUP(Tabla1[[#This Row],[Llave]],'[16]TD Puerto'!$A:$D,4,FALSE),0)</f>
        <v>0</v>
      </c>
      <c r="AE126" s="3">
        <v>0</v>
      </c>
      <c r="AF126" s="3">
        <f>+Tabla1[[#This Row],[Atraso a facturar]]+Tabla1[[#This Row],[Venta del mes]]+Tabla1[[#This Row],[En puerto a facturar]]+Tabla1[[#This Row],[Disponible stock sin venta]]</f>
        <v>0</v>
      </c>
      <c r="AG126" s="3">
        <f>+Tabla1[[#This Row],[En puerto a facturar]]</f>
        <v>0</v>
      </c>
      <c r="AH126" s="3">
        <f>+Tabla1[[#This Row],[Facturación atraso]]</f>
        <v>0</v>
      </c>
      <c r="AI126" s="3">
        <f>+Tabla1[[#This Row],[Plan Irrestricto]]-Tabla1[[#This Row],[Puerto ]]-Tabla1[[#This Row],[Atraso]]</f>
        <v>0</v>
      </c>
      <c r="AJ12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26" s="3">
        <f>+Tabla1[[#This Row],[Facturación atraso]]</f>
        <v>0</v>
      </c>
      <c r="AL126" s="3">
        <f>+Tabla1[[#This Row],[Plan Ajustado]]-Tabla1[[#This Row],[ Atraso ajustado]]-Tabla1[[#This Row],[Puerto ]]</f>
        <v>0</v>
      </c>
      <c r="AM126" s="3">
        <v>0</v>
      </c>
      <c r="AN126" s="3" t="str">
        <f>IF(Tabla1[[#This Row],[Plan Ajustado]]&gt;Tabla1[[#This Row],[En puerto a facturar]],"Si","No")</f>
        <v>No</v>
      </c>
      <c r="AO12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26" s="3">
        <f>IF(Tabla1[[#This Row],[Necesidad]]&gt;=Tabla1[[#This Row],[Stock al día]],Tabla1[[#This Row],[Stock al día]],Tabla1[[#This Row],[Necesidad]])</f>
        <v>0</v>
      </c>
      <c r="AQ126" s="3">
        <f>+Tabla1[[#This Row],[Necesidad]]-Tabla1[[#This Row],[Stock Plan]]</f>
        <v>0</v>
      </c>
      <c r="AR126" s="156">
        <f>IFERROR(VLOOKUP(Tabla1[[#This Row],[Oficina]],[22]Ponderación!$B$3:$G$9,6,FALSE),"")</f>
        <v>44754</v>
      </c>
      <c r="AS12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0.95632338440399156</v>
      </c>
      <c r="AT126" s="83">
        <f>IFERROR(VLOOKUP(Tabla1[[#This Row],[Llave]],[17]DELAY!$H:$W,16,FALSE),0)</f>
        <v>0</v>
      </c>
      <c r="AU12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26" s="5">
        <f>+Tabla1[[#This Row],[Plan Ajustado]]*Tabla1[[#This Row],[Precio ponderado]]</f>
        <v>0</v>
      </c>
      <c r="AW126" s="30">
        <f>IFERROR(VLOOKUP(Tabla1[[#This Row],[Llave]],'[13]Ultimos precios facturados'!$A:$G,7,FALSE),0)</f>
        <v>0.95632338440399156</v>
      </c>
      <c r="AX12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26" s="30"/>
      <c r="AZ126" s="30">
        <f>IF(Tabla1[[#This Row],[Ajuste precio IC]]="",Tabla1[[#This Row],[Precio ponderado]],Tabla1[[#This Row],[Precio ponderado]])</f>
        <v>0</v>
      </c>
      <c r="BA126" s="82"/>
      <c r="BB126" s="82" t="str">
        <f>IF(AND(Tabla1[[#This Row],[Atraso a facturar]]&gt;0,Tabla1[[#This Row],[Precio Atraso]]=0),"Revisar","OK")</f>
        <v>OK</v>
      </c>
      <c r="BC126" s="82" t="str">
        <f>IF(AND(Tabla1[[#This Row],[Venta del mes]]&gt;0,Tabla1[[#This Row],[Precio venta nueva]]=0),"Revisar","OK")</f>
        <v>OK</v>
      </c>
      <c r="BD126" s="20">
        <f>IFERROR(VLOOKUP(Tabla1[[#This Row],[Llave]],'[5]Consolidación planes'!$A:$M,9,FALSE),0)</f>
        <v>48000</v>
      </c>
      <c r="BE126" s="20">
        <f>IFERROR(VLOOKUP(Tabla1[[#This Row],[Llave]],'[5]Consolidación planes'!$A:$M,10,FALSE),0)</f>
        <v>48000</v>
      </c>
      <c r="BF126" s="20">
        <f>IFERROR(VLOOKUP(Tabla1[[#This Row],[Llave]],'[5]Consolidación planes'!$A:$M,11,FALSE),0)</f>
        <v>24000</v>
      </c>
      <c r="BG126" s="20">
        <f>IFERROR(VLOOKUP(Tabla1[[#This Row],[Llave]],'[5]Consolidación planes'!$A:$M,12,FALSE),0)</f>
        <v>48000</v>
      </c>
      <c r="BH126" s="20">
        <f>IFERROR(VLOOKUP(Tabla1[[#This Row],[Llave]],'[5]Consolidación planes'!$A:$M,13,FALSE),0)</f>
        <v>48000</v>
      </c>
      <c r="BI126" s="20">
        <f>IFERROR(VLOOKUP(Tabla1[[#This Row],[Llave]],'[13]Base ultimos planes'!$A:$M,13,FALSE),0)</f>
        <v>24000</v>
      </c>
      <c r="BJ126" s="80">
        <f>IFERROR(VLOOKUP(Tabla1[[#This Row],[Llave]],'[13]Base ultimos planes'!$O:$AA,8,FALSE),0)</f>
        <v>40800</v>
      </c>
      <c r="BK126" s="20">
        <f>IFERROR(VLOOKUP(Tabla1[[#This Row],[Llave]],'[13]Base ultimos planes'!$O:$AA,9,FALSE),0)</f>
        <v>31200</v>
      </c>
      <c r="BL126" s="20">
        <f>IFERROR(VLOOKUP(Tabla1[[#This Row],[Llave]],'[13]Base ultimos planes'!$O:$AA,10,FALSE),0)</f>
        <v>19200</v>
      </c>
      <c r="BM126" s="20">
        <f>IFERROR(VLOOKUP(Tabla1[[#This Row],[Llave]],'[13]Base ultimos planes'!$O:$AA,11,FALSE),0)</f>
        <v>43458</v>
      </c>
      <c r="BN126" s="20">
        <f>IFERROR(VLOOKUP(Tabla1[[#This Row],[Llave]],'[13]Base ultimos planes'!$O:$AA,12,FALSE),0)</f>
        <v>38400</v>
      </c>
      <c r="BO126" s="20">
        <f>IFERROR(VLOOKUP(Tabla1[[#This Row],[Llave]],'[13]Base ultimos planes'!$O:$AA,13,FALSE),0)</f>
        <v>18796</v>
      </c>
      <c r="BP126" s="20"/>
      <c r="BQ126" s="20">
        <f>+Tabla1[[#This Row],[ RV  Venta mes n+1]]*(1-Tabla1[[#This Row],[% Uti. producción]])</f>
        <v>0</v>
      </c>
      <c r="BR126" s="100"/>
    </row>
    <row r="127" spans="1:70" ht="16" hidden="1" x14ac:dyDescent="0.2">
      <c r="A127">
        <v>2</v>
      </c>
      <c r="B127" t="str">
        <f>Tabla1[[#This Row],[Oficina]]&amp;Tabla1[[#This Row],[Material]]</f>
        <v>Agrosuper Shanghai1022291</v>
      </c>
      <c r="C127" t="s">
        <v>6</v>
      </c>
      <c r="D127" t="s">
        <v>140</v>
      </c>
      <c r="E127">
        <v>1022291</v>
      </c>
      <c r="F127" t="s">
        <v>163</v>
      </c>
      <c r="G127" t="s">
        <v>159</v>
      </c>
      <c r="H127" t="s">
        <v>160</v>
      </c>
      <c r="I127" s="7">
        <f>IFERROR(VLOOKUP(Tabla1[[#This Row],[Llave]],'[7]RV Producción'!$C:$G,5,FALSE),0)</f>
        <v>0</v>
      </c>
      <c r="J127" s="3">
        <f>IFERROR(IF(Tabla1[[#This Row],[Oficina]]=$I$7,VLOOKUP(Tabla1[[#This Row],[Llave]],'[7]Shangai (Tomas)'!$A:$F,6,FALSE),VLOOKUP(Tabla1[[#This Row],[Llave]],'[7]RV plan de ventas'!$A:$E,5,FALSE)),0)</f>
        <v>0</v>
      </c>
      <c r="K127" s="8">
        <f>IFERROR(VLOOKUP(Tabla1[[#This Row],[Oficina]],[15]Ponderación!$B$2:$E$9,4,FALSE),0)</f>
        <v>0.45719439678473212</v>
      </c>
      <c r="L127" s="7">
        <f>+Tabla1[[#This Row],[ RV Producción mes n+1]]*Tabla1[[#This Row],[% Uti. producción]]</f>
        <v>0</v>
      </c>
      <c r="M127" s="7">
        <f>IFERROR(VLOOKUP(Tabla1[[#This Row],[Material]],'[17]TD Stock'!$E:$I,5,FALSE),0)</f>
        <v>41506.422438338748</v>
      </c>
      <c r="N127" s="7">
        <f>IFERROR(VLOOKUP(Tabla1[[#This Row],[Material]],[16]Produccion!$M:$N,2,FALSE),0)</f>
        <v>6866.16</v>
      </c>
      <c r="O127" s="7">
        <f>IFERROR(VLOOKUP(Tabla1[[#This Row],[Llave]],'[16]TD Conf-AP'!$I:$M,4,FALSE),0)</f>
        <v>0</v>
      </c>
      <c r="P127" s="14">
        <f>SUM(Tabla1[[#This Row],[Producción disponible]],Tabla1[[#This Row],[Stock al día]],(Tabla1[[#This Row],[Por producir mes N]]*0.9))-Tabla1[[#This Row],[Producción por despachar mes N]]</f>
        <v>47685.96643833875</v>
      </c>
      <c r="Q127" s="7">
        <f>IFERROR(VLOOKUP(Tabla1[[#This Row],[Llave]],[17]DELAY!$A:$D,4,FALSE),0)</f>
        <v>0</v>
      </c>
      <c r="R127" s="9">
        <v>24000</v>
      </c>
      <c r="S127" s="5">
        <f t="shared" si="30"/>
        <v>0</v>
      </c>
      <c r="T127" s="76">
        <v>0</v>
      </c>
      <c r="U127" s="5">
        <f>+Tabla1[[#This Row],[Atraso a facturar]]+Tabla1[[#This Row],[Ajuste atraso]]</f>
        <v>0</v>
      </c>
      <c r="V127" s="3">
        <f>+Tabla1[[#This Row],[Total disponible]]-Tabla1[[#This Row],[Facturación atraso]]</f>
        <v>47685.96643833875</v>
      </c>
      <c r="W127" s="6">
        <f>IFERROR(IF(AND(V127&gt;R127,J127&gt;=R127),ROUNDDOWN((Tabla1[[#This Row],[Producción para venta nueva]])/R127,0)*R127,0),0)</f>
        <v>0</v>
      </c>
      <c r="X127" s="76">
        <v>0</v>
      </c>
      <c r="Y127" s="6">
        <f>IF(Tabla1[[#This Row],[Venta del mes]]&gt;0,Tabla1[[#This Row],[Venta del mes]]+Tabla1[[#This Row],[Ajuste venta nueva]],0)</f>
        <v>0</v>
      </c>
      <c r="Z127" s="6">
        <f>+Tabla1[[#This Row],[Producción para venta nueva]]-Tabla1[[#This Row],[Facturación Venta nueva]]</f>
        <v>47685.96643833875</v>
      </c>
      <c r="AA127" s="6">
        <f>IF(AND(A127=1,Tabla1[[#This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7" s="6"/>
      <c r="AC127" s="6">
        <f>IF(Tabla1[[#This Row],[Disponible stock sin venta]]&gt;0,Tabla1[[#This Row],[Disponible stock sin venta]]+Tabla1[[#This Row],[Ajuste stock sin venta]],0)</f>
        <v>0</v>
      </c>
      <c r="AD127" s="3">
        <f>IFERROR(VLOOKUP(Tabla1[[#This Row],[Llave]],'[16]TD Puerto'!$A:$D,4,FALSE),0)</f>
        <v>0</v>
      </c>
      <c r="AE127" s="3">
        <v>0</v>
      </c>
      <c r="AF127" s="3">
        <f>+Tabla1[[#This Row],[Atraso a facturar]]+Tabla1[[#This Row],[Venta del mes]]+Tabla1[[#This Row],[En puerto a facturar]]+Tabla1[[#This Row],[Disponible stock sin venta]]</f>
        <v>0</v>
      </c>
      <c r="AG127" s="3">
        <f>+Tabla1[[#This Row],[En puerto a facturar]]</f>
        <v>0</v>
      </c>
      <c r="AH127" s="3">
        <f>+Tabla1[[#This Row],[Facturación atraso]]</f>
        <v>0</v>
      </c>
      <c r="AI127" s="3">
        <f>+Tabla1[[#This Row],[Plan Irrestricto]]-Tabla1[[#This Row],[Puerto ]]-Tabla1[[#This Row],[Atraso]]</f>
        <v>0</v>
      </c>
      <c r="AJ12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27" s="3">
        <f>+Tabla1[[#This Row],[Facturación atraso]]</f>
        <v>0</v>
      </c>
      <c r="AL127" s="3">
        <f>+Tabla1[[#This Row],[Plan Ajustado]]-Tabla1[[#This Row],[ Atraso ajustado]]-Tabla1[[#This Row],[Puerto ]]</f>
        <v>0</v>
      </c>
      <c r="AM127" s="3">
        <v>0</v>
      </c>
      <c r="AN127" s="3" t="str">
        <f>IF(Tabla1[[#This Row],[Plan Ajustado]]&gt;Tabla1[[#This Row],[En puerto a facturar]],"Si","No")</f>
        <v>No</v>
      </c>
      <c r="AO12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27" s="3">
        <f>IF(Tabla1[[#This Row],[Necesidad]]&gt;=Tabla1[[#This Row],[Stock al día]],Tabla1[[#This Row],[Stock al día]],Tabla1[[#This Row],[Necesidad]])</f>
        <v>0</v>
      </c>
      <c r="AQ127" s="3">
        <f>+Tabla1[[#This Row],[Necesidad]]-Tabla1[[#This Row],[Stock Plan]]</f>
        <v>0</v>
      </c>
      <c r="AR127" s="156">
        <f>IFERROR(VLOOKUP(Tabla1[[#This Row],[Oficina]],[22]Ponderación!$B$3:$G$9,6,FALSE),"")</f>
        <v>44754</v>
      </c>
      <c r="AS12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1.8560866560447178</v>
      </c>
      <c r="AT127" s="83">
        <f>IFERROR(VLOOKUP(Tabla1[[#This Row],[Llave]],[17]DELAY!$H:$W,16,FALSE),0)</f>
        <v>0</v>
      </c>
      <c r="AU12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27" s="5">
        <f>+Tabla1[[#This Row],[Plan Ajustado]]*Tabla1[[#This Row],[Precio ponderado]]</f>
        <v>0</v>
      </c>
      <c r="AW127" s="30">
        <f>IFERROR(VLOOKUP(Tabla1[[#This Row],[Llave]],'[13]Ultimos precios facturados'!$A:$G,7,FALSE),0)</f>
        <v>1.8560866560447178</v>
      </c>
      <c r="AX12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27" s="30"/>
      <c r="AZ127" s="30">
        <f>IF(Tabla1[[#This Row],[Ajuste precio IC]]="",Tabla1[[#This Row],[Precio ponderado]],Tabla1[[#This Row],[Precio ponderado]])</f>
        <v>0</v>
      </c>
      <c r="BA127" s="82"/>
      <c r="BB127" s="82" t="str">
        <f>IF(AND(Tabla1[[#This Row],[Atraso a facturar]]&gt;0,Tabla1[[#This Row],[Precio Atraso]]=0),"Revisar","OK")</f>
        <v>OK</v>
      </c>
      <c r="BC127" s="82" t="str">
        <f>IF(AND(Tabla1[[#This Row],[Venta del mes]]&gt;0,Tabla1[[#This Row],[Precio venta nueva]]=0),"Revisar","OK")</f>
        <v>OK</v>
      </c>
      <c r="BD127" s="20">
        <f>IFERROR(VLOOKUP(Tabla1[[#This Row],[Llave]],'[5]Consolidación planes'!$A:$M,9,FALSE),0)</f>
        <v>48000</v>
      </c>
      <c r="BE127" s="20">
        <f>IFERROR(VLOOKUP(Tabla1[[#This Row],[Llave]],'[5]Consolidación planes'!$A:$M,10,FALSE),0)</f>
        <v>48000</v>
      </c>
      <c r="BF127" s="20">
        <f>IFERROR(VLOOKUP(Tabla1[[#This Row],[Llave]],'[5]Consolidación planes'!$A:$M,11,FALSE),0)</f>
        <v>48000</v>
      </c>
      <c r="BG127" s="20">
        <f>IFERROR(VLOOKUP(Tabla1[[#This Row],[Llave]],'[5]Consolidación planes'!$A:$M,12,FALSE),0)</f>
        <v>72000</v>
      </c>
      <c r="BH127" s="20">
        <f>IFERROR(VLOOKUP(Tabla1[[#This Row],[Llave]],'[5]Consolidación planes'!$A:$M,13,FALSE),0)</f>
        <v>119757</v>
      </c>
      <c r="BI127" s="20">
        <f>IFERROR(VLOOKUP(Tabla1[[#This Row],[Llave]],'[13]Base ultimos planes'!$A:$M,13,FALSE),0)</f>
        <v>48000</v>
      </c>
      <c r="BJ127" s="80">
        <f>IFERROR(VLOOKUP(Tabla1[[#This Row],[Llave]],'[13]Base ultimos planes'!$O:$AA,8,FALSE),0)</f>
        <v>77760</v>
      </c>
      <c r="BK127" s="20">
        <f>IFERROR(VLOOKUP(Tabla1[[#This Row],[Llave]],'[13]Base ultimos planes'!$O:$AA,9,FALSE),0)</f>
        <v>80400</v>
      </c>
      <c r="BL127" s="20">
        <f>IFERROR(VLOOKUP(Tabla1[[#This Row],[Llave]],'[13]Base ultimos planes'!$O:$AA,10,FALSE),0)</f>
        <v>82560</v>
      </c>
      <c r="BM127" s="20">
        <f>IFERROR(VLOOKUP(Tabla1[[#This Row],[Llave]],'[13]Base ultimos planes'!$O:$AA,11,FALSE),0)</f>
        <v>121706</v>
      </c>
      <c r="BN127" s="20">
        <f>IFERROR(VLOOKUP(Tabla1[[#This Row],[Llave]],'[13]Base ultimos planes'!$O:$AA,12,FALSE),0)</f>
        <v>206659</v>
      </c>
      <c r="BO127" s="20">
        <f>IFERROR(VLOOKUP(Tabla1[[#This Row],[Llave]],'[13]Base ultimos planes'!$O:$AA,13,FALSE),0)</f>
        <v>94133</v>
      </c>
      <c r="BP127" s="20"/>
      <c r="BQ127" s="20">
        <f>+Tabla1[[#This Row],[ RV  Venta mes n+1]]*(1-Tabla1[[#This Row],[% Uti. producción]])</f>
        <v>0</v>
      </c>
      <c r="BR127" s="100"/>
    </row>
    <row r="128" spans="1:70" ht="16" x14ac:dyDescent="0.2">
      <c r="A128">
        <v>2</v>
      </c>
      <c r="B128" t="str">
        <f>Tabla1[[#This Row],[Oficina]]&amp;Tabla1[[#This Row],[Material]]</f>
        <v>Agrosuper Shanghai1022373</v>
      </c>
      <c r="C128" t="s">
        <v>6</v>
      </c>
      <c r="D128" t="s">
        <v>140</v>
      </c>
      <c r="E128">
        <v>1022373</v>
      </c>
      <c r="F128" t="s">
        <v>168</v>
      </c>
      <c r="G128" t="s">
        <v>71</v>
      </c>
      <c r="H128" t="s">
        <v>72</v>
      </c>
      <c r="I128" s="7">
        <f>IFERROR(VLOOKUP(Tabla1[[#This Row],[Llave]],'[7]RV Producción'!$C:$G,5,FALSE),0)</f>
        <v>0</v>
      </c>
      <c r="J128" s="3">
        <f>IFERROR(IF(Tabla1[[#This Row],[Oficina]]=$I$7,VLOOKUP(Tabla1[[#This Row],[Llave]],'[7]Shangai (Tomas)'!$A:$F,6,FALSE),VLOOKUP(Tabla1[[#This Row],[Llave]],'[7]RV plan de ventas'!$A:$E,5,FALSE)),0)</f>
        <v>0</v>
      </c>
      <c r="K128" s="8">
        <f>IFERROR(VLOOKUP(Tabla1[[#This Row],[Oficina]],[15]Ponderación!$B$2:$E$9,4,FALSE),0)</f>
        <v>0.45719439678473212</v>
      </c>
      <c r="L128" s="7">
        <f>+Tabla1[[#This Row],[ RV Producción mes n+1]]*Tabla1[[#This Row],[% Uti. producción]]</f>
        <v>0</v>
      </c>
      <c r="M128" s="7">
        <f>IFERROR(VLOOKUP(Tabla1[[#This Row],[Material]],'[17]TD Stock'!$E:$I,5,FALSE),0)</f>
        <v>19663.751849159984</v>
      </c>
      <c r="N128" s="7">
        <f>IFERROR(VLOOKUP(Tabla1[[#This Row],[Material]],[16]Produccion!$M:$N,2,FALSE),0)</f>
        <v>12338</v>
      </c>
      <c r="O128" s="7">
        <f>IFERROR(VLOOKUP(Tabla1[[#This Row],[Llave]],'[16]TD Conf-AP'!$I:$M,4,FALSE),0)</f>
        <v>0</v>
      </c>
      <c r="P128" s="14">
        <f>SUM(Tabla1[[#This Row],[Producción disponible]],Tabla1[[#This Row],[Stock al día]],(Tabla1[[#This Row],[Por producir mes N]]*0.9))-Tabla1[[#This Row],[Producción por despachar mes N]]</f>
        <v>30767.951849159985</v>
      </c>
      <c r="Q128" s="7">
        <f>IFERROR(VLOOKUP(Tabla1[[#This Row],[Llave]],[17]DELAY!$A:$D,4,FALSE),0)</f>
        <v>24000</v>
      </c>
      <c r="R128" s="9">
        <v>24000</v>
      </c>
      <c r="S128" s="5">
        <f t="shared" si="30"/>
        <v>24000</v>
      </c>
      <c r="T128" s="76">
        <v>0</v>
      </c>
      <c r="U128" s="5">
        <f>+Tabla1[[#This Row],[Atraso a facturar]]+Tabla1[[#This Row],[Ajuste atraso]]</f>
        <v>24000</v>
      </c>
      <c r="V128" s="3">
        <f>+Tabla1[[#This Row],[Total disponible]]-Tabla1[[#This Row],[Facturación atraso]]</f>
        <v>6767.9518491599847</v>
      </c>
      <c r="W128" s="6">
        <f>IFERROR(IF(AND(V128&gt;R128,J128&gt;=R128),ROUNDDOWN((Tabla1[[#This Row],[Producción para venta nueva]])/R128,0)*R128,0),0)</f>
        <v>0</v>
      </c>
      <c r="X128" s="76">
        <v>0</v>
      </c>
      <c r="Y128" s="6">
        <f>IF(Tabla1[[#This Row],[Venta del mes]]&gt;0,Tabla1[[#This Row],[Venta del mes]]+Tabla1[[#This Row],[Ajuste venta nueva]],0)</f>
        <v>0</v>
      </c>
      <c r="Z128" s="6">
        <f>+Tabla1[[#This Row],[Producción para venta nueva]]-Tabla1[[#This Row],[Facturación Venta nueva]]</f>
        <v>6767.9518491599847</v>
      </c>
      <c r="AA128" s="6">
        <f>IF(AND(A128=1,Tabla1[[#This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8" s="6"/>
      <c r="AC128" s="6">
        <f>IF(Tabla1[[#This Row],[Disponible stock sin venta]]&gt;0,Tabla1[[#This Row],[Disponible stock sin venta]]+Tabla1[[#This Row],[Ajuste stock sin venta]],0)</f>
        <v>0</v>
      </c>
      <c r="AD128" s="3">
        <f>IFERROR(VLOOKUP(Tabla1[[#This Row],[Llave]],'[16]TD Puerto'!$A:$D,4,FALSE),0)</f>
        <v>0</v>
      </c>
      <c r="AE128" s="3">
        <v>24000</v>
      </c>
      <c r="AF128" s="3">
        <f>+Tabla1[[#This Row],[Atraso a facturar]]+Tabla1[[#This Row],[Venta del mes]]+Tabla1[[#This Row],[En puerto a facturar]]+Tabla1[[#This Row],[Disponible stock sin venta]]</f>
        <v>24000</v>
      </c>
      <c r="AG128" s="3">
        <f>+Tabla1[[#This Row],[En puerto a facturar]]</f>
        <v>0</v>
      </c>
      <c r="AH128" s="3">
        <f>+Tabla1[[#This Row],[Facturación atraso]]</f>
        <v>24000</v>
      </c>
      <c r="AI128" s="3">
        <f>+Tabla1[[#This Row],[Plan Irrestricto]]-Tabla1[[#This Row],[Puerto ]]-Tabla1[[#This Row],[Atraso]]</f>
        <v>0</v>
      </c>
      <c r="AJ128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128" s="3">
        <f>+Tabla1[[#This Row],[Facturación atraso]]</f>
        <v>24000</v>
      </c>
      <c r="AL128" s="3">
        <f>+Tabla1[[#This Row],[Plan Ajustado]]-Tabla1[[#This Row],[ Atraso ajustado]]-Tabla1[[#This Row],[Puerto ]]</f>
        <v>0</v>
      </c>
      <c r="AM128" s="3">
        <v>0</v>
      </c>
      <c r="AN128" s="3" t="str">
        <f>IF(Tabla1[[#This Row],[Plan Ajustado]]&gt;Tabla1[[#This Row],[En puerto a facturar]],"Si","No")</f>
        <v>Si</v>
      </c>
      <c r="AO128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128" s="3">
        <f>IF(Tabla1[[#This Row],[Necesidad]]&gt;=Tabla1[[#This Row],[Stock al día]],Tabla1[[#This Row],[Stock al día]],Tabla1[[#This Row],[Necesidad]])</f>
        <v>19663.751849159984</v>
      </c>
      <c r="AQ128" s="3">
        <f>+Tabla1[[#This Row],[Necesidad]]-Tabla1[[#This Row],[Stock Plan]]</f>
        <v>4336.248150840016</v>
      </c>
      <c r="AR128" s="156">
        <f>IFERROR(VLOOKUP(Tabla1[[#This Row],[Oficina]],[22]Ponderación!$B$3:$G$9,6,FALSE),"")</f>
        <v>44754</v>
      </c>
      <c r="AS12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1.2425567117466458</v>
      </c>
      <c r="AT128" s="83">
        <f>IFERROR(VLOOKUP(Tabla1[[#This Row],[Llave]],[17]DELAY!$H:$W,16,FALSE),0)</f>
        <v>1.4497916666666699</v>
      </c>
      <c r="AU12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1.4497916666666699</v>
      </c>
      <c r="AV128" s="5">
        <f>+Tabla1[[#This Row],[Plan Ajustado]]*Tabla1[[#This Row],[Precio ponderado]]</f>
        <v>34795.00000000008</v>
      </c>
      <c r="AW128" s="30">
        <f>IFERROR(VLOOKUP(Tabla1[[#This Row],[Llave]],'[13]Ultimos precios facturados'!$A:$G,7,FALSE),0)</f>
        <v>1.2425567117466458</v>
      </c>
      <c r="AX12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0.16678108368085398</v>
      </c>
      <c r="AY128" s="30"/>
      <c r="AZ128" s="30">
        <f>IF(Tabla1[[#This Row],[Ajuste precio IC]]="",Tabla1[[#This Row],[Precio ponderado]],Tabla1[[#This Row],[Precio ponderado]])</f>
        <v>1.4497916666666699</v>
      </c>
      <c r="BA128" s="82"/>
      <c r="BB128" s="82" t="str">
        <f>IF(AND(Tabla1[[#This Row],[Atraso a facturar]]&gt;0,Tabla1[[#This Row],[Precio Atraso]]=0),"Revisar","OK")</f>
        <v>OK</v>
      </c>
      <c r="BC128" s="82" t="str">
        <f>IF(AND(Tabla1[[#This Row],[Venta del mes]]&gt;0,Tabla1[[#This Row],[Precio venta nueva]]=0),"Revisar","OK")</f>
        <v>OK</v>
      </c>
      <c r="BD128" s="20">
        <f>IFERROR(VLOOKUP(Tabla1[[#This Row],[Llave]],'[5]Consolidación planes'!$A:$M,9,FALSE),0)</f>
        <v>96000</v>
      </c>
      <c r="BE128" s="20">
        <f>IFERROR(VLOOKUP(Tabla1[[#This Row],[Llave]],'[5]Consolidación planes'!$A:$M,10,FALSE),0)</f>
        <v>96000</v>
      </c>
      <c r="BF128" s="20">
        <f>IFERROR(VLOOKUP(Tabla1[[#This Row],[Llave]],'[5]Consolidación planes'!$A:$M,11,FALSE),0)</f>
        <v>48000</v>
      </c>
      <c r="BG128" s="20">
        <f>IFERROR(VLOOKUP(Tabla1[[#This Row],[Llave]],'[5]Consolidación planes'!$A:$M,12,FALSE),0)</f>
        <v>0</v>
      </c>
      <c r="BH128" s="20">
        <f>IFERROR(VLOOKUP(Tabla1[[#This Row],[Llave]],'[5]Consolidación planes'!$A:$M,13,FALSE),0)</f>
        <v>48000</v>
      </c>
      <c r="BI128" s="20">
        <f>IFERROR(VLOOKUP(Tabla1[[#This Row],[Llave]],'[13]Base ultimos planes'!$A:$M,13,FALSE),0)</f>
        <v>23984</v>
      </c>
      <c r="BJ128" s="80">
        <f>IFERROR(VLOOKUP(Tabla1[[#This Row],[Llave]],'[13]Base ultimos planes'!$O:$AA,8,FALSE),0)</f>
        <v>84000</v>
      </c>
      <c r="BK128" s="20">
        <f>IFERROR(VLOOKUP(Tabla1[[#This Row],[Llave]],'[13]Base ultimos planes'!$O:$AA,9,FALSE),0)</f>
        <v>81600</v>
      </c>
      <c r="BL128" s="20">
        <f>IFERROR(VLOOKUP(Tabla1[[#This Row],[Llave]],'[13]Base ultimos planes'!$O:$AA,10,FALSE),0)</f>
        <v>40800</v>
      </c>
      <c r="BM128" s="20">
        <f>IFERROR(VLOOKUP(Tabla1[[#This Row],[Llave]],'[13]Base ultimos planes'!$O:$AA,11,FALSE),0)</f>
        <v>0</v>
      </c>
      <c r="BN128" s="20">
        <f>IFERROR(VLOOKUP(Tabla1[[#This Row],[Llave]],'[13]Base ultimos planes'!$O:$AA,12,FALSE),0)</f>
        <v>50400</v>
      </c>
      <c r="BO128" s="20">
        <f>IFERROR(VLOOKUP(Tabla1[[#This Row],[Llave]],'[13]Base ultimos planes'!$O:$AA,13,FALSE),0)</f>
        <v>23025</v>
      </c>
      <c r="BP128" s="20"/>
      <c r="BQ128" s="20">
        <f>+Tabla1[[#This Row],[ RV  Venta mes n+1]]*(1-Tabla1[[#This Row],[% Uti. producción]])</f>
        <v>0</v>
      </c>
      <c r="BR128" s="100"/>
    </row>
    <row r="129" spans="1:70" ht="16" hidden="1" x14ac:dyDescent="0.2">
      <c r="A129">
        <v>2</v>
      </c>
      <c r="B129" t="str">
        <f>Tabla1[[#This Row],[Oficina]]&amp;Tabla1[[#This Row],[Material]]</f>
        <v>Agrosuper Shanghai1022378</v>
      </c>
      <c r="C129" t="s">
        <v>6</v>
      </c>
      <c r="D129" t="s">
        <v>140</v>
      </c>
      <c r="E129">
        <v>1022378</v>
      </c>
      <c r="F129" t="s">
        <v>152</v>
      </c>
      <c r="G129" t="s">
        <v>92</v>
      </c>
      <c r="H129" t="s">
        <v>93</v>
      </c>
      <c r="I129" s="7">
        <f>IFERROR(VLOOKUP(Tabla1[[#This Row],[Llave]],'[7]RV Producción'!$C:$G,5,FALSE),0)</f>
        <v>0</v>
      </c>
      <c r="J129" s="3">
        <f>IFERROR(IF(Tabla1[[#This Row],[Oficina]]=$I$7,VLOOKUP(Tabla1[[#This Row],[Llave]],'[7]Shangai (Tomas)'!$A:$F,6,FALSE),VLOOKUP(Tabla1[[#This Row],[Llave]],'[7]RV plan de ventas'!$A:$E,5,FALSE)),0)</f>
        <v>0</v>
      </c>
      <c r="K129" s="8">
        <f>IFERROR(VLOOKUP(Tabla1[[#This Row],[Oficina]],[15]Ponderación!$B$2:$E$9,4,FALSE),0)</f>
        <v>0.45719439678473212</v>
      </c>
      <c r="L129" s="7">
        <f>+Tabla1[[#This Row],[ RV Producción mes n+1]]*Tabla1[[#This Row],[% Uti. producción]]</f>
        <v>0</v>
      </c>
      <c r="M129" s="7">
        <f>IFERROR(VLOOKUP(Tabla1[[#This Row],[Material]],'[17]TD Stock'!$E:$I,5,FALSE),0)</f>
        <v>24466.492641618977</v>
      </c>
      <c r="N129" s="7">
        <f>IFERROR(VLOOKUP(Tabla1[[#This Row],[Material]],[16]Produccion!$M:$N,2,FALSE),0)</f>
        <v>26134</v>
      </c>
      <c r="O129" s="7">
        <f>IFERROR(VLOOKUP(Tabla1[[#This Row],[Llave]],'[16]TD Conf-AP'!$I:$M,4,FALSE),0)</f>
        <v>0</v>
      </c>
      <c r="P129" s="14">
        <f>SUM(Tabla1[[#This Row],[Producción disponible]],Tabla1[[#This Row],[Stock al día]],(Tabla1[[#This Row],[Por producir mes N]]*0.9))-Tabla1[[#This Row],[Producción por despachar mes N]]</f>
        <v>47987.092641618976</v>
      </c>
      <c r="Q129" s="7">
        <f>IFERROR(VLOOKUP(Tabla1[[#This Row],[Llave]],[17]DELAY!$A:$D,4,FALSE),0)</f>
        <v>0</v>
      </c>
      <c r="R129" s="9">
        <v>24000</v>
      </c>
      <c r="S129" s="5">
        <f t="shared" si="30"/>
        <v>0</v>
      </c>
      <c r="T129" s="76">
        <v>0</v>
      </c>
      <c r="U129" s="5">
        <f>+Tabla1[[#This Row],[Atraso a facturar]]+Tabla1[[#This Row],[Ajuste atraso]]</f>
        <v>0</v>
      </c>
      <c r="V129" s="3">
        <f>+Tabla1[[#This Row],[Total disponible]]-Tabla1[[#This Row],[Facturación atraso]]</f>
        <v>47987.092641618976</v>
      </c>
      <c r="W129" s="6">
        <f>IFERROR(IF(AND(V129&gt;R129,J129&gt;=R129),ROUNDDOWN((Tabla1[[#This Row],[Producción para venta nueva]])/R129,0)*R129,0),0)</f>
        <v>0</v>
      </c>
      <c r="X129" s="76">
        <v>0</v>
      </c>
      <c r="Y129" s="6">
        <f>IF(Tabla1[[#This Row],[Venta del mes]]&gt;0,Tabla1[[#This Row],[Venta del mes]]+Tabla1[[#This Row],[Ajuste venta nueva]],0)</f>
        <v>0</v>
      </c>
      <c r="Z129" s="6">
        <f>+Tabla1[[#This Row],[Producción para venta nueva]]-Tabla1[[#This Row],[Facturación Venta nueva]]</f>
        <v>47987.092641618976</v>
      </c>
      <c r="AA129" s="6">
        <f>IF(AND(A129=1,Tabla1[[#This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29" s="6"/>
      <c r="AC129" s="6">
        <f>IF(Tabla1[[#This Row],[Disponible stock sin venta]]&gt;0,Tabla1[[#This Row],[Disponible stock sin venta]]+Tabla1[[#This Row],[Ajuste stock sin venta]],0)</f>
        <v>0</v>
      </c>
      <c r="AD129" s="3">
        <f>IFERROR(VLOOKUP(Tabla1[[#This Row],[Llave]],'[16]TD Puerto'!$A:$D,4,FALSE),0)</f>
        <v>0</v>
      </c>
      <c r="AE129" s="3">
        <v>0</v>
      </c>
      <c r="AF129" s="3">
        <f>+Tabla1[[#This Row],[Atraso a facturar]]+Tabla1[[#This Row],[Venta del mes]]+Tabla1[[#This Row],[En puerto a facturar]]+Tabla1[[#This Row],[Disponible stock sin venta]]</f>
        <v>0</v>
      </c>
      <c r="AG129" s="3">
        <f>+Tabla1[[#This Row],[En puerto a facturar]]</f>
        <v>0</v>
      </c>
      <c r="AH129" s="3">
        <f>+Tabla1[[#This Row],[Facturación atraso]]</f>
        <v>0</v>
      </c>
      <c r="AI129" s="3">
        <f>+Tabla1[[#This Row],[Plan Irrestricto]]-Tabla1[[#This Row],[Puerto ]]-Tabla1[[#This Row],[Atraso]]</f>
        <v>0</v>
      </c>
      <c r="AJ12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29" s="3">
        <f>+Tabla1[[#This Row],[Facturación atraso]]</f>
        <v>0</v>
      </c>
      <c r="AL129" s="3">
        <f>+Tabla1[[#This Row],[Plan Ajustado]]-Tabla1[[#This Row],[ Atraso ajustado]]-Tabla1[[#This Row],[Puerto ]]</f>
        <v>0</v>
      </c>
      <c r="AM129" s="3">
        <v>0</v>
      </c>
      <c r="AN129" s="3" t="str">
        <f>IF(Tabla1[[#This Row],[Plan Ajustado]]&gt;Tabla1[[#This Row],[En puerto a facturar]],"Si","No")</f>
        <v>No</v>
      </c>
      <c r="AO12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29" s="3">
        <f>IF(Tabla1[[#This Row],[Necesidad]]&gt;=Tabla1[[#This Row],[Stock al día]],Tabla1[[#This Row],[Stock al día]],Tabla1[[#This Row],[Necesidad]])</f>
        <v>0</v>
      </c>
      <c r="AQ129" s="3">
        <f>+Tabla1[[#This Row],[Necesidad]]-Tabla1[[#This Row],[Stock Plan]]</f>
        <v>0</v>
      </c>
      <c r="AR129" s="156">
        <f>IFERROR(VLOOKUP(Tabla1[[#This Row],[Oficina]],[22]Ponderación!$B$3:$G$9,6,FALSE),"")</f>
        <v>44754</v>
      </c>
      <c r="AS12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1.9728670264988897</v>
      </c>
      <c r="AT129" s="83">
        <f>IFERROR(VLOOKUP(Tabla1[[#This Row],[Llave]],[17]DELAY!$H:$W,16,FALSE),0)</f>
        <v>0</v>
      </c>
      <c r="AU12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29" s="5">
        <f>+Tabla1[[#This Row],[Plan Ajustado]]*Tabla1[[#This Row],[Precio ponderado]]</f>
        <v>0</v>
      </c>
      <c r="AW129" s="30">
        <f>IFERROR(VLOOKUP(Tabla1[[#This Row],[Llave]],'[13]Ultimos precios facturados'!$A:$G,7,FALSE),0)</f>
        <v>1.9728670264988897</v>
      </c>
      <c r="AX12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29" s="30"/>
      <c r="AZ129" s="30">
        <f>IF(Tabla1[[#This Row],[Ajuste precio IC]]="",Tabla1[[#This Row],[Precio ponderado]],Tabla1[[#This Row],[Precio ponderado]])</f>
        <v>0</v>
      </c>
      <c r="BA129" s="82"/>
      <c r="BB129" s="82" t="str">
        <f>IF(AND(Tabla1[[#This Row],[Atraso a facturar]]&gt;0,Tabla1[[#This Row],[Precio Atraso]]=0),"Revisar","OK")</f>
        <v>OK</v>
      </c>
      <c r="BC129" s="82" t="str">
        <f>IF(AND(Tabla1[[#This Row],[Venta del mes]]&gt;0,Tabla1[[#This Row],[Precio venta nueva]]=0),"Revisar","OK")</f>
        <v>OK</v>
      </c>
      <c r="BD129" s="20">
        <f>IFERROR(VLOOKUP(Tabla1[[#This Row],[Llave]],'[5]Consolidación planes'!$A:$M,9,FALSE),0)</f>
        <v>72000</v>
      </c>
      <c r="BE129" s="20">
        <f>IFERROR(VLOOKUP(Tabla1[[#This Row],[Llave]],'[5]Consolidación planes'!$A:$M,10,FALSE),0)</f>
        <v>72000</v>
      </c>
      <c r="BF129" s="20">
        <f>IFERROR(VLOOKUP(Tabla1[[#This Row],[Llave]],'[5]Consolidación planes'!$A:$M,11,FALSE),0)</f>
        <v>96000</v>
      </c>
      <c r="BG129" s="20">
        <f>IFERROR(VLOOKUP(Tabla1[[#This Row],[Llave]],'[5]Consolidación planes'!$A:$M,12,FALSE),0)</f>
        <v>96000</v>
      </c>
      <c r="BH129" s="20">
        <f>IFERROR(VLOOKUP(Tabla1[[#This Row],[Llave]],'[5]Consolidación planes'!$A:$M,13,FALSE),0)</f>
        <v>96000</v>
      </c>
      <c r="BI129" s="20">
        <f>IFERROR(VLOOKUP(Tabla1[[#This Row],[Llave]],'[13]Base ultimos planes'!$A:$M,13,FALSE),0)</f>
        <v>72290</v>
      </c>
      <c r="BJ129" s="80">
        <f>IFERROR(VLOOKUP(Tabla1[[#This Row],[Llave]],'[13]Base ultimos planes'!$O:$AA,8,FALSE),0)</f>
        <v>168000</v>
      </c>
      <c r="BK129" s="20">
        <f>IFERROR(VLOOKUP(Tabla1[[#This Row],[Llave]],'[13]Base ultimos planes'!$O:$AA,9,FALSE),0)</f>
        <v>151200</v>
      </c>
      <c r="BL129" s="20">
        <f>IFERROR(VLOOKUP(Tabla1[[#This Row],[Llave]],'[13]Base ultimos planes'!$O:$AA,10,FALSE),0)</f>
        <v>187200</v>
      </c>
      <c r="BM129" s="20">
        <f>IFERROR(VLOOKUP(Tabla1[[#This Row],[Llave]],'[13]Base ultimos planes'!$O:$AA,11,FALSE),0)</f>
        <v>179840</v>
      </c>
      <c r="BN129" s="20">
        <f>IFERROR(VLOOKUP(Tabla1[[#This Row],[Llave]],'[13]Base ultimos planes'!$O:$AA,12,FALSE),0)</f>
        <v>177168</v>
      </c>
      <c r="BO129" s="20">
        <f>IFERROR(VLOOKUP(Tabla1[[#This Row],[Llave]],'[13]Base ultimos planes'!$O:$AA,13,FALSE),0)</f>
        <v>142066</v>
      </c>
      <c r="BP129" s="20"/>
      <c r="BQ129" s="20">
        <f>+Tabla1[[#This Row],[ RV  Venta mes n+1]]*(1-Tabla1[[#This Row],[% Uti. producción]])</f>
        <v>0</v>
      </c>
      <c r="BR129" s="100"/>
    </row>
    <row r="130" spans="1:70" ht="16" x14ac:dyDescent="0.2">
      <c r="A130">
        <v>2</v>
      </c>
      <c r="B130" t="str">
        <f>Tabla1[[#This Row],[Oficina]]&amp;Tabla1[[#This Row],[Material]]</f>
        <v>Agrosuper Shanghai1022379</v>
      </c>
      <c r="C130" t="s">
        <v>6</v>
      </c>
      <c r="D130" t="s">
        <v>140</v>
      </c>
      <c r="E130">
        <v>1022379</v>
      </c>
      <c r="F130" t="s">
        <v>158</v>
      </c>
      <c r="G130" t="s">
        <v>53</v>
      </c>
      <c r="H130" t="s">
        <v>54</v>
      </c>
      <c r="I130" s="7">
        <f>IFERROR(VLOOKUP(Tabla1[[#This Row],[Llave]],'[7]RV Producción'!$C:$G,5,FALSE),0)</f>
        <v>0</v>
      </c>
      <c r="J130" s="3">
        <f>IFERROR(IF(Tabla1[[#This Row],[Oficina]]=$I$7,VLOOKUP(Tabla1[[#This Row],[Llave]],'[7]Shangai (Tomas)'!$A:$F,6,FALSE),VLOOKUP(Tabla1[[#This Row],[Llave]],'[7]RV plan de ventas'!$A:$E,5,FALSE)),0)</f>
        <v>0</v>
      </c>
      <c r="K130" s="8">
        <f>IFERROR(VLOOKUP(Tabla1[[#This Row],[Oficina]],[15]Ponderación!$B$2:$E$9,4,FALSE),0)</f>
        <v>0.45719439678473212</v>
      </c>
      <c r="L130" s="7">
        <f>+Tabla1[[#This Row],[ RV Producción mes n+1]]*Tabla1[[#This Row],[% Uti. producción]]</f>
        <v>0</v>
      </c>
      <c r="M130" s="7">
        <f>IFERROR(VLOOKUP(Tabla1[[#This Row],[Material]],'[17]TD Stock'!$E:$I,5,FALSE),0)</f>
        <v>7803.2761512491224</v>
      </c>
      <c r="N130" s="7">
        <f>IFERROR(VLOOKUP(Tabla1[[#This Row],[Material]],[16]Produccion!$M:$N,2,FALSE),0)</f>
        <v>107143.35167548108</v>
      </c>
      <c r="O130" s="7">
        <f>IFERROR(VLOOKUP(Tabla1[[#This Row],[Llave]],'[16]TD Conf-AP'!$I:$M,4,FALSE),0)</f>
        <v>0</v>
      </c>
      <c r="P130" s="14">
        <f>SUM(Tabla1[[#This Row],[Producción disponible]],Tabla1[[#This Row],[Stock al día]],(Tabla1[[#This Row],[Por producir mes N]]*0.9))-Tabla1[[#This Row],[Producción por despachar mes N]]</f>
        <v>104232.2926591821</v>
      </c>
      <c r="Q130" s="7">
        <f>IFERROR(VLOOKUP(Tabla1[[#This Row],[Llave]],[17]DELAY!$A:$D,4,FALSE),0)</f>
        <v>48000</v>
      </c>
      <c r="R130" s="9">
        <v>24000</v>
      </c>
      <c r="S130" s="5">
        <f t="shared" si="30"/>
        <v>48000</v>
      </c>
      <c r="T130" s="76">
        <v>0</v>
      </c>
      <c r="U130" s="5">
        <f>+Tabla1[[#This Row],[Atraso a facturar]]+Tabla1[[#This Row],[Ajuste atraso]]</f>
        <v>48000</v>
      </c>
      <c r="V130" s="3">
        <f>+Tabla1[[#This Row],[Total disponible]]-Tabla1[[#This Row],[Facturación atraso]]</f>
        <v>56232.292659182101</v>
      </c>
      <c r="W130" s="6">
        <f>IFERROR(IF(AND(V130&gt;R130,J130&gt;=R130),ROUNDDOWN((Tabla1[[#This Row],[Producción para venta nueva]])/R130,0)*R130,0),0)</f>
        <v>0</v>
      </c>
      <c r="X130" s="76">
        <v>0</v>
      </c>
      <c r="Y130" s="6">
        <f>IF(Tabla1[[#This Row],[Venta del mes]]&gt;0,Tabla1[[#This Row],[Venta del mes]]+Tabla1[[#This Row],[Ajuste venta nueva]],0)</f>
        <v>0</v>
      </c>
      <c r="Z130" s="6">
        <f>+Tabla1[[#This Row],[Producción para venta nueva]]-Tabla1[[#This Row],[Facturación Venta nueva]]</f>
        <v>56232.292659182101</v>
      </c>
      <c r="AA130" s="6">
        <f>IF(AND(A130=1,Tabla1[[#This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0" s="6"/>
      <c r="AC130" s="6">
        <f>IF(Tabla1[[#This Row],[Disponible stock sin venta]]&gt;0,Tabla1[[#This Row],[Disponible stock sin venta]]+Tabla1[[#This Row],[Ajuste stock sin venta]],0)</f>
        <v>0</v>
      </c>
      <c r="AD130" s="3">
        <f>IFERROR(VLOOKUP(Tabla1[[#This Row],[Llave]],'[16]TD Puerto'!$A:$D,4,FALSE),0)</f>
        <v>0</v>
      </c>
      <c r="AE130" s="3">
        <v>48000</v>
      </c>
      <c r="AF130" s="3">
        <f>+Tabla1[[#This Row],[Atraso a facturar]]+Tabla1[[#This Row],[Venta del mes]]+Tabla1[[#This Row],[En puerto a facturar]]+Tabla1[[#This Row],[Disponible stock sin venta]]</f>
        <v>48000</v>
      </c>
      <c r="AG130" s="3">
        <f>+Tabla1[[#This Row],[En puerto a facturar]]</f>
        <v>0</v>
      </c>
      <c r="AH130" s="3">
        <f>+Tabla1[[#This Row],[Facturación atraso]]</f>
        <v>48000</v>
      </c>
      <c r="AI130" s="3">
        <f>+Tabla1[[#This Row],[Plan Irrestricto]]-Tabla1[[#This Row],[Puerto ]]-Tabla1[[#This Row],[Atraso]]</f>
        <v>0</v>
      </c>
      <c r="AJ130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130" s="3">
        <f>+Tabla1[[#This Row],[Facturación atraso]]</f>
        <v>48000</v>
      </c>
      <c r="AL130" s="3">
        <f>+Tabla1[[#This Row],[Plan Ajustado]]-Tabla1[[#This Row],[ Atraso ajustado]]-Tabla1[[#This Row],[Puerto ]]</f>
        <v>0</v>
      </c>
      <c r="AM130" s="3">
        <v>0</v>
      </c>
      <c r="AN130" s="3" t="str">
        <f>IF(Tabla1[[#This Row],[Plan Ajustado]]&gt;Tabla1[[#This Row],[En puerto a facturar]],"Si","No")</f>
        <v>Si</v>
      </c>
      <c r="AO130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130" s="3">
        <f>IF(Tabla1[[#This Row],[Necesidad]]&gt;=Tabla1[[#This Row],[Stock al día]],Tabla1[[#This Row],[Stock al día]],Tabla1[[#This Row],[Necesidad]])</f>
        <v>7803.2761512491224</v>
      </c>
      <c r="AQ130" s="3">
        <f>+Tabla1[[#This Row],[Necesidad]]-Tabla1[[#This Row],[Stock Plan]]</f>
        <v>40196.72384875088</v>
      </c>
      <c r="AR130" s="156">
        <f>IFERROR(VLOOKUP(Tabla1[[#This Row],[Oficina]],[22]Ponderación!$B$3:$G$9,6,FALSE),"")</f>
        <v>44754</v>
      </c>
      <c r="AS13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2.4256048984242096</v>
      </c>
      <c r="AT130" s="83">
        <f>IFERROR(VLOOKUP(Tabla1[[#This Row],[Llave]],[17]DELAY!$H:$W,16,FALSE),0)</f>
        <v>2.4993472222222199</v>
      </c>
      <c r="AU13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2.4993472222222199</v>
      </c>
      <c r="AV130" s="5">
        <f>+Tabla1[[#This Row],[Plan Ajustado]]*Tabla1[[#This Row],[Precio ponderado]]</f>
        <v>119968.66666666656</v>
      </c>
      <c r="AW130" s="30">
        <f>IFERROR(VLOOKUP(Tabla1[[#This Row],[Llave]],'[13]Ultimos precios facturados'!$A:$G,7,FALSE),0)</f>
        <v>2.4256048984242096</v>
      </c>
      <c r="AX13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3.0401622228713739E-2</v>
      </c>
      <c r="AY130" s="30"/>
      <c r="AZ130" s="30">
        <f>IF(Tabla1[[#This Row],[Ajuste precio IC]]="",Tabla1[[#This Row],[Precio ponderado]],Tabla1[[#This Row],[Precio ponderado]])</f>
        <v>2.4993472222222199</v>
      </c>
      <c r="BA130" s="82"/>
      <c r="BB130" s="82" t="str">
        <f>IF(AND(Tabla1[[#This Row],[Atraso a facturar]]&gt;0,Tabla1[[#This Row],[Precio Atraso]]=0),"Revisar","OK")</f>
        <v>OK</v>
      </c>
      <c r="BC130" s="82" t="str">
        <f>IF(AND(Tabla1[[#This Row],[Venta del mes]]&gt;0,Tabla1[[#This Row],[Precio venta nueva]]=0),"Revisar","OK")</f>
        <v>OK</v>
      </c>
      <c r="BD130" s="20">
        <f>IFERROR(VLOOKUP(Tabla1[[#This Row],[Llave]],'[5]Consolidación planes'!$A:$M,9,FALSE),0)</f>
        <v>48000</v>
      </c>
      <c r="BE130" s="20">
        <f>IFERROR(VLOOKUP(Tabla1[[#This Row],[Llave]],'[5]Consolidación planes'!$A:$M,10,FALSE),0)</f>
        <v>0</v>
      </c>
      <c r="BF130" s="20">
        <f>IFERROR(VLOOKUP(Tabla1[[#This Row],[Llave]],'[5]Consolidación planes'!$A:$M,11,FALSE),0)</f>
        <v>0</v>
      </c>
      <c r="BG130" s="20">
        <f>IFERROR(VLOOKUP(Tabla1[[#This Row],[Llave]],'[5]Consolidación planes'!$A:$M,12,FALSE),0)</f>
        <v>0</v>
      </c>
      <c r="BH130" s="20">
        <f>IFERROR(VLOOKUP(Tabla1[[#This Row],[Llave]],'[5]Consolidación planes'!$A:$M,13,FALSE),0)</f>
        <v>0</v>
      </c>
      <c r="BI130" s="20">
        <f>IFERROR(VLOOKUP(Tabla1[[#This Row],[Llave]],'[13]Base ultimos planes'!$A:$M,13,FALSE),0)</f>
        <v>0</v>
      </c>
      <c r="BJ130" s="80">
        <f>IFERROR(VLOOKUP(Tabla1[[#This Row],[Llave]],'[13]Base ultimos planes'!$O:$AA,8,FALSE),0)</f>
        <v>79200</v>
      </c>
      <c r="BK130" s="20">
        <f>IFERROR(VLOOKUP(Tabla1[[#This Row],[Llave]],'[13]Base ultimos planes'!$O:$AA,9,FALSE),0)</f>
        <v>0</v>
      </c>
      <c r="BL130" s="20">
        <f>IFERROR(VLOOKUP(Tabla1[[#This Row],[Llave]],'[13]Base ultimos planes'!$O:$AA,10,FALSE),0)</f>
        <v>0</v>
      </c>
      <c r="BM130" s="20">
        <f>IFERROR(VLOOKUP(Tabla1[[#This Row],[Llave]],'[13]Base ultimos planes'!$O:$AA,11,FALSE),0)</f>
        <v>0</v>
      </c>
      <c r="BN130" s="20">
        <f>IFERROR(VLOOKUP(Tabla1[[#This Row],[Llave]],'[13]Base ultimos planes'!$O:$AA,12,FALSE),0)</f>
        <v>0</v>
      </c>
      <c r="BO130" s="20">
        <f>IFERROR(VLOOKUP(Tabla1[[#This Row],[Llave]],'[13]Base ultimos planes'!$O:$AA,13,FALSE),0)</f>
        <v>0</v>
      </c>
      <c r="BP130" s="20"/>
      <c r="BQ130" s="20">
        <f>+Tabla1[[#This Row],[ RV  Venta mes n+1]]*(1-Tabla1[[#This Row],[% Uti. producción]])</f>
        <v>0</v>
      </c>
      <c r="BR130" s="100"/>
    </row>
    <row r="131" spans="1:70" ht="16" x14ac:dyDescent="0.2">
      <c r="A131">
        <v>2</v>
      </c>
      <c r="B131" t="str">
        <f>Tabla1[[#This Row],[Oficina]]&amp;Tabla1[[#This Row],[Material]]</f>
        <v>Agrosuper Shanghai1022381</v>
      </c>
      <c r="C131" t="s">
        <v>6</v>
      </c>
      <c r="D131" t="s">
        <v>140</v>
      </c>
      <c r="E131">
        <v>1022381</v>
      </c>
      <c r="F131" t="s">
        <v>147</v>
      </c>
      <c r="G131" t="s">
        <v>11</v>
      </c>
      <c r="H131" t="s">
        <v>41</v>
      </c>
      <c r="I131" s="7">
        <f>IFERROR(VLOOKUP(Tabla1[[#This Row],[Llave]],'[7]RV Producción'!$C:$G,5,FALSE),0)</f>
        <v>0</v>
      </c>
      <c r="J131" s="3">
        <f>IFERROR(IF(Tabla1[[#This Row],[Oficina]]=$I$7,VLOOKUP(Tabla1[[#This Row],[Llave]],'[7]Shangai (Tomas)'!$A:$F,6,FALSE),VLOOKUP(Tabla1[[#This Row],[Llave]],'[7]RV plan de ventas'!$A:$E,5,FALSE)),0)</f>
        <v>0</v>
      </c>
      <c r="K131" s="8">
        <f>IFERROR(VLOOKUP(Tabla1[[#This Row],[Oficina]],[15]Ponderación!$B$2:$E$9,4,FALSE),0)</f>
        <v>0.45719439678473212</v>
      </c>
      <c r="L131" s="7">
        <f>+Tabla1[[#This Row],[ RV Producción mes n+1]]*Tabla1[[#This Row],[% Uti. producción]]</f>
        <v>0</v>
      </c>
      <c r="M131" s="7">
        <f>IFERROR(VLOOKUP(Tabla1[[#This Row],[Material]],'[17]TD Stock'!$E:$I,5,FALSE),0)</f>
        <v>35365.00595552384</v>
      </c>
      <c r="N131" s="7">
        <f>IFERROR(VLOOKUP(Tabla1[[#This Row],[Material]],[16]Produccion!$M:$N,2,FALSE),0)</f>
        <v>31745</v>
      </c>
      <c r="O131" s="7">
        <f>IFERROR(VLOOKUP(Tabla1[[#This Row],[Llave]],'[16]TD Conf-AP'!$I:$M,4,FALSE),0)</f>
        <v>0</v>
      </c>
      <c r="P131" s="14">
        <f>SUM(Tabla1[[#This Row],[Producción disponible]],Tabla1[[#This Row],[Stock al día]],(Tabla1[[#This Row],[Por producir mes N]]*0.9))-Tabla1[[#This Row],[Producción por despachar mes N]]</f>
        <v>63935.50595552384</v>
      </c>
      <c r="Q131" s="7">
        <f>IFERROR(VLOOKUP(Tabla1[[#This Row],[Llave]],[17]DELAY!$A:$D,4,FALSE),0)</f>
        <v>96000</v>
      </c>
      <c r="R131" s="9">
        <v>24000</v>
      </c>
      <c r="S131" s="5">
        <f t="shared" ref="S131:S194" si="31">IF(AND(P131&gt;Q131,Q131&gt;0),Q131,IF(AND(P131&lt;Q131,Q131&gt;0),(ROUNDDOWN(P131/R131,0)*R131),0))</f>
        <v>48000</v>
      </c>
      <c r="T131" s="76">
        <v>0</v>
      </c>
      <c r="U131" s="5">
        <f>+Tabla1[[#This Row],[Atraso a facturar]]+Tabla1[[#This Row],[Ajuste atraso]]</f>
        <v>48000</v>
      </c>
      <c r="V131" s="3">
        <f>+Tabla1[[#This Row],[Total disponible]]-Tabla1[[#This Row],[Facturación atraso]]</f>
        <v>15935.50595552384</v>
      </c>
      <c r="W131" s="6">
        <f>IFERROR(IF(AND(V131&gt;R131,J131&gt;=R131),ROUNDDOWN((Tabla1[[#This Row],[Producción para venta nueva]])/R131,0)*R131,0),0)</f>
        <v>0</v>
      </c>
      <c r="X131" s="76">
        <v>0</v>
      </c>
      <c r="Y131" s="6">
        <f>IF(Tabla1[[#This Row],[Venta del mes]]&gt;0,Tabla1[[#This Row],[Venta del mes]]+Tabla1[[#This Row],[Ajuste venta nueva]],0)</f>
        <v>0</v>
      </c>
      <c r="Z131" s="6">
        <f>+Tabla1[[#This Row],[Producción para venta nueva]]-Tabla1[[#This Row],[Facturación Venta nueva]]</f>
        <v>15935.50595552384</v>
      </c>
      <c r="AA131" s="6">
        <f>IF(AND(A131=1,Tabla1[[#This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1" s="6"/>
      <c r="AC131" s="6">
        <f>IF(Tabla1[[#This Row],[Disponible stock sin venta]]&gt;0,Tabla1[[#This Row],[Disponible stock sin venta]]+Tabla1[[#This Row],[Ajuste stock sin venta]],0)</f>
        <v>0</v>
      </c>
      <c r="AD131" s="3">
        <f>IFERROR(VLOOKUP(Tabla1[[#This Row],[Llave]],'[16]TD Puerto'!$A:$D,4,FALSE),0)</f>
        <v>0</v>
      </c>
      <c r="AE131" s="3">
        <v>48000</v>
      </c>
      <c r="AF131" s="3">
        <f>+Tabla1[[#This Row],[Atraso a facturar]]+Tabla1[[#This Row],[Venta del mes]]+Tabla1[[#This Row],[En puerto a facturar]]+Tabla1[[#This Row],[Disponible stock sin venta]]</f>
        <v>48000</v>
      </c>
      <c r="AG131" s="3">
        <f>+Tabla1[[#This Row],[En puerto a facturar]]</f>
        <v>0</v>
      </c>
      <c r="AH131" s="3">
        <f>+Tabla1[[#This Row],[Facturación atraso]]</f>
        <v>48000</v>
      </c>
      <c r="AI131" s="3">
        <f>+Tabla1[[#This Row],[Plan Irrestricto]]-Tabla1[[#This Row],[Puerto ]]-Tabla1[[#This Row],[Atraso]]</f>
        <v>0</v>
      </c>
      <c r="AJ131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131" s="3">
        <f>+Tabla1[[#This Row],[Facturación atraso]]</f>
        <v>48000</v>
      </c>
      <c r="AL131" s="3">
        <f>+Tabla1[[#This Row],[Plan Ajustado]]-Tabla1[[#This Row],[ Atraso ajustado]]-Tabla1[[#This Row],[Puerto ]]</f>
        <v>0</v>
      </c>
      <c r="AM131" s="3">
        <v>0</v>
      </c>
      <c r="AN131" s="3" t="str">
        <f>IF(Tabla1[[#This Row],[Plan Ajustado]]&gt;Tabla1[[#This Row],[En puerto a facturar]],"Si","No")</f>
        <v>Si</v>
      </c>
      <c r="AO131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131" s="3">
        <f>IF(Tabla1[[#This Row],[Necesidad]]&gt;=Tabla1[[#This Row],[Stock al día]],Tabla1[[#This Row],[Stock al día]],Tabla1[[#This Row],[Necesidad]])</f>
        <v>35365.00595552384</v>
      </c>
      <c r="AQ131" s="3">
        <f>+Tabla1[[#This Row],[Necesidad]]-Tabla1[[#This Row],[Stock Plan]]</f>
        <v>12634.99404447616</v>
      </c>
      <c r="AR131" s="156">
        <f>IFERROR(VLOOKUP(Tabla1[[#This Row],[Oficina]],[22]Ponderación!$B$3:$G$9,6,FALSE),"")</f>
        <v>44754</v>
      </c>
      <c r="AS13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1.0371699456307273</v>
      </c>
      <c r="AT131" s="83">
        <f>IFERROR(VLOOKUP(Tabla1[[#This Row],[Llave]],[17]DELAY!$H:$W,16,FALSE),0)</f>
        <v>1.3325</v>
      </c>
      <c r="AU13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1.3325</v>
      </c>
      <c r="AV131" s="5">
        <f>+Tabla1[[#This Row],[Plan Ajustado]]*Tabla1[[#This Row],[Precio ponderado]]</f>
        <v>63960</v>
      </c>
      <c r="AW131" s="30">
        <f>IFERROR(VLOOKUP(Tabla1[[#This Row],[Llave]],'[13]Ultimos precios facturados'!$A:$G,7,FALSE),0)</f>
        <v>1.0371699456307273</v>
      </c>
      <c r="AX13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0.28474605884349613</v>
      </c>
      <c r="AY131" s="30"/>
      <c r="AZ131" s="30">
        <f>IF(Tabla1[[#This Row],[Ajuste precio IC]]="",Tabla1[[#This Row],[Precio ponderado]],Tabla1[[#This Row],[Precio ponderado]])</f>
        <v>1.3325</v>
      </c>
      <c r="BA131" s="82"/>
      <c r="BB131" s="82" t="str">
        <f>IF(AND(Tabla1[[#This Row],[Atraso a facturar]]&gt;0,Tabla1[[#This Row],[Precio Atraso]]=0),"Revisar","OK")</f>
        <v>OK</v>
      </c>
      <c r="BC131" s="82" t="str">
        <f>IF(AND(Tabla1[[#This Row],[Venta del mes]]&gt;0,Tabla1[[#This Row],[Precio venta nueva]]=0),"Revisar","OK")</f>
        <v>OK</v>
      </c>
      <c r="BD131" s="20">
        <f>IFERROR(VLOOKUP(Tabla1[[#This Row],[Llave]],'[5]Consolidación planes'!$A:$M,9,FALSE),0)</f>
        <v>24000</v>
      </c>
      <c r="BE131" s="20">
        <f>IFERROR(VLOOKUP(Tabla1[[#This Row],[Llave]],'[5]Consolidación planes'!$A:$M,10,FALSE),0)</f>
        <v>48000</v>
      </c>
      <c r="BF131" s="20">
        <f>IFERROR(VLOOKUP(Tabla1[[#This Row],[Llave]],'[5]Consolidación planes'!$A:$M,11,FALSE),0)</f>
        <v>72000</v>
      </c>
      <c r="BG131" s="20">
        <f>IFERROR(VLOOKUP(Tabla1[[#This Row],[Llave]],'[5]Consolidación planes'!$A:$M,12,FALSE),0)</f>
        <v>96000</v>
      </c>
      <c r="BH131" s="20">
        <f>IFERROR(VLOOKUP(Tabla1[[#This Row],[Llave]],'[5]Consolidación planes'!$A:$M,13,FALSE),0)</f>
        <v>96000</v>
      </c>
      <c r="BI131" s="20">
        <f>IFERROR(VLOOKUP(Tabla1[[#This Row],[Llave]],'[13]Base ultimos planes'!$A:$M,13,FALSE),0)</f>
        <v>72000</v>
      </c>
      <c r="BJ131" s="80">
        <f>IFERROR(VLOOKUP(Tabla1[[#This Row],[Llave]],'[13]Base ultimos planes'!$O:$AA,8,FALSE),0)</f>
        <v>14400</v>
      </c>
      <c r="BK131" s="20">
        <f>IFERROR(VLOOKUP(Tabla1[[#This Row],[Llave]],'[13]Base ultimos planes'!$O:$AA,9,FALSE),0)</f>
        <v>30240</v>
      </c>
      <c r="BL131" s="20">
        <f>IFERROR(VLOOKUP(Tabla1[[#This Row],[Llave]],'[13]Base ultimos planes'!$O:$AA,10,FALSE),0)</f>
        <v>52560</v>
      </c>
      <c r="BM131" s="20">
        <f>IFERROR(VLOOKUP(Tabla1[[#This Row],[Llave]],'[13]Base ultimos planes'!$O:$AA,11,FALSE),0)</f>
        <v>73280</v>
      </c>
      <c r="BN131" s="20">
        <f>IFERROR(VLOOKUP(Tabla1[[#This Row],[Llave]],'[13]Base ultimos planes'!$O:$AA,12,FALSE),0)</f>
        <v>83353</v>
      </c>
      <c r="BO131" s="20">
        <f>IFERROR(VLOOKUP(Tabla1[[#This Row],[Llave]],'[13]Base ultimos planes'!$O:$AA,13,FALSE),0)</f>
        <v>62400</v>
      </c>
      <c r="BP131" s="20"/>
      <c r="BQ131" s="20">
        <f>+Tabla1[[#This Row],[ RV  Venta mes n+1]]*(1-Tabla1[[#This Row],[% Uti. producción]])</f>
        <v>0</v>
      </c>
      <c r="BR131" s="100"/>
    </row>
    <row r="132" spans="1:70" ht="16" hidden="1" x14ac:dyDescent="0.2">
      <c r="A132">
        <v>2</v>
      </c>
      <c r="B132" t="str">
        <f>Tabla1[[#This Row],[Oficina]]&amp;Tabla1[[#This Row],[Material]]</f>
        <v>Agrosuper Shanghai1022389</v>
      </c>
      <c r="C132" t="s">
        <v>6</v>
      </c>
      <c r="D132" t="s">
        <v>140</v>
      </c>
      <c r="E132">
        <v>1022389</v>
      </c>
      <c r="F132" t="s">
        <v>145</v>
      </c>
      <c r="G132" t="s">
        <v>8</v>
      </c>
      <c r="H132" t="s">
        <v>34</v>
      </c>
      <c r="I132" s="7">
        <f>IFERROR(VLOOKUP(Tabla1[[#This Row],[Llave]],'[7]RV Producción'!$C:$G,5,FALSE),0)</f>
        <v>0</v>
      </c>
      <c r="J132" s="3">
        <f>IFERROR(IF(Tabla1[[#This Row],[Oficina]]=$I$7,VLOOKUP(Tabla1[[#This Row],[Llave]],'[7]Shangai (Tomas)'!$A:$F,6,FALSE),VLOOKUP(Tabla1[[#This Row],[Llave]],'[7]RV plan de ventas'!$A:$E,5,FALSE)),0)</f>
        <v>0</v>
      </c>
      <c r="K132" s="8">
        <f>IFERROR(VLOOKUP(Tabla1[[#This Row],[Oficina]],[15]Ponderación!$B$2:$E$9,4,FALSE),0)</f>
        <v>0.45719439678473212</v>
      </c>
      <c r="L132" s="7">
        <f>+Tabla1[[#This Row],[ RV Producción mes n+1]]*Tabla1[[#This Row],[% Uti. producción]]</f>
        <v>0</v>
      </c>
      <c r="M132" s="7">
        <f>IFERROR(VLOOKUP(Tabla1[[#This Row],[Material]],'[17]TD Stock'!$E:$I,5,FALSE),0)</f>
        <v>316</v>
      </c>
      <c r="N132" s="7">
        <f>IFERROR(VLOOKUP(Tabla1[[#This Row],[Material]],[16]Produccion!$M:$N,2,FALSE),0)</f>
        <v>0</v>
      </c>
      <c r="O132" s="7">
        <f>IFERROR(VLOOKUP(Tabla1[[#This Row],[Llave]],'[16]TD Conf-AP'!$I:$M,4,FALSE),0)</f>
        <v>0</v>
      </c>
      <c r="P132" s="14">
        <f>SUM(Tabla1[[#This Row],[Producción disponible]],Tabla1[[#This Row],[Stock al día]],(Tabla1[[#This Row],[Por producir mes N]]*0.9))-Tabla1[[#This Row],[Producción por despachar mes N]]</f>
        <v>316</v>
      </c>
      <c r="Q132" s="7">
        <f>IFERROR(VLOOKUP(Tabla1[[#This Row],[Llave]],[17]DELAY!$A:$D,4,FALSE),0)</f>
        <v>0</v>
      </c>
      <c r="R132" s="9">
        <v>24000</v>
      </c>
      <c r="S132" s="5">
        <f t="shared" si="31"/>
        <v>0</v>
      </c>
      <c r="T132" s="76">
        <v>0</v>
      </c>
      <c r="U132" s="5">
        <f>+Tabla1[[#This Row],[Atraso a facturar]]+Tabla1[[#This Row],[Ajuste atraso]]</f>
        <v>0</v>
      </c>
      <c r="V132" s="3">
        <f>+Tabla1[[#This Row],[Total disponible]]-Tabla1[[#This Row],[Facturación atraso]]</f>
        <v>316</v>
      </c>
      <c r="W132" s="6">
        <f>IFERROR(IF(AND(V132&gt;R132,J132&gt;=R132),ROUNDDOWN((Tabla1[[#This Row],[Producción para venta nueva]])/R132,0)*R132,0),0)</f>
        <v>0</v>
      </c>
      <c r="X132" s="76">
        <v>0</v>
      </c>
      <c r="Y132" s="6">
        <f>IF(Tabla1[[#This Row],[Venta del mes]]&gt;0,Tabla1[[#This Row],[Venta del mes]]+Tabla1[[#This Row],[Ajuste venta nueva]],0)</f>
        <v>0</v>
      </c>
      <c r="Z132" s="6">
        <f>+Tabla1[[#This Row],[Producción para venta nueva]]-Tabla1[[#This Row],[Facturación Venta nueva]]</f>
        <v>316</v>
      </c>
      <c r="AA132" s="6">
        <f>IF(AND(A132=1,Tabla1[[#This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2" s="6"/>
      <c r="AC132" s="6">
        <f>IF(Tabla1[[#This Row],[Disponible stock sin venta]]&gt;0,Tabla1[[#This Row],[Disponible stock sin venta]]+Tabla1[[#This Row],[Ajuste stock sin venta]],0)</f>
        <v>0</v>
      </c>
      <c r="AD132" s="3">
        <f>IFERROR(VLOOKUP(Tabla1[[#This Row],[Llave]],'[16]TD Puerto'!$A:$D,4,FALSE),0)</f>
        <v>0</v>
      </c>
      <c r="AE132" s="3">
        <v>0</v>
      </c>
      <c r="AF132" s="3">
        <f>+Tabla1[[#This Row],[Atraso a facturar]]+Tabla1[[#This Row],[Venta del mes]]+Tabla1[[#This Row],[En puerto a facturar]]+Tabla1[[#This Row],[Disponible stock sin venta]]</f>
        <v>0</v>
      </c>
      <c r="AG132" s="3">
        <f>+Tabla1[[#This Row],[En puerto a facturar]]</f>
        <v>0</v>
      </c>
      <c r="AH132" s="3">
        <f>+Tabla1[[#This Row],[Facturación atraso]]</f>
        <v>0</v>
      </c>
      <c r="AI132" s="3">
        <f>+Tabla1[[#This Row],[Plan Irrestricto]]-Tabla1[[#This Row],[Puerto ]]-Tabla1[[#This Row],[Atraso]]</f>
        <v>0</v>
      </c>
      <c r="AJ13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32" s="3">
        <f>+Tabla1[[#This Row],[Facturación atraso]]</f>
        <v>0</v>
      </c>
      <c r="AL132" s="3">
        <f>+Tabla1[[#This Row],[Plan Ajustado]]-Tabla1[[#This Row],[ Atraso ajustado]]-Tabla1[[#This Row],[Puerto ]]</f>
        <v>0</v>
      </c>
      <c r="AM132" s="3">
        <v>0</v>
      </c>
      <c r="AN132" s="3" t="str">
        <f>IF(Tabla1[[#This Row],[Plan Ajustado]]&gt;Tabla1[[#This Row],[En puerto a facturar]],"Si","No")</f>
        <v>No</v>
      </c>
      <c r="AO13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32" s="3">
        <f>IF(Tabla1[[#This Row],[Necesidad]]&gt;=Tabla1[[#This Row],[Stock al día]],Tabla1[[#This Row],[Stock al día]],Tabla1[[#This Row],[Necesidad]])</f>
        <v>0</v>
      </c>
      <c r="AQ132" s="3">
        <f>+Tabla1[[#This Row],[Necesidad]]-Tabla1[[#This Row],[Stock Plan]]</f>
        <v>0</v>
      </c>
      <c r="AR132" s="156">
        <f>IFERROR(VLOOKUP(Tabla1[[#This Row],[Oficina]],[22]Ponderación!$B$3:$G$9,6,FALSE),"")</f>
        <v>44754</v>
      </c>
      <c r="AS13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1.0931462000000001</v>
      </c>
      <c r="AT132" s="83">
        <f>IFERROR(VLOOKUP(Tabla1[[#This Row],[Llave]],[17]DELAY!$H:$W,16,FALSE),0)</f>
        <v>0</v>
      </c>
      <c r="AU13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32" s="5">
        <f>+Tabla1[[#This Row],[Plan Ajustado]]*Tabla1[[#This Row],[Precio ponderado]]</f>
        <v>0</v>
      </c>
      <c r="AW132" s="30">
        <f>IFERROR(VLOOKUP(Tabla1[[#This Row],[Llave]],'[13]Ultimos precios facturados'!$A:$G,7,FALSE),0)</f>
        <v>1.0931462000000001</v>
      </c>
      <c r="AX13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32" s="30"/>
      <c r="AZ132" s="30">
        <f>IF(Tabla1[[#This Row],[Ajuste precio IC]]="",Tabla1[[#This Row],[Precio ponderado]],Tabla1[[#This Row],[Precio ponderado]])</f>
        <v>0</v>
      </c>
      <c r="BA132" s="82"/>
      <c r="BB132" s="82" t="str">
        <f>IF(AND(Tabla1[[#This Row],[Atraso a facturar]]&gt;0,Tabla1[[#This Row],[Precio Atraso]]=0),"Revisar","OK")</f>
        <v>OK</v>
      </c>
      <c r="BC132" s="82" t="str">
        <f>IF(AND(Tabla1[[#This Row],[Venta del mes]]&gt;0,Tabla1[[#This Row],[Precio venta nueva]]=0),"Revisar","OK")</f>
        <v>OK</v>
      </c>
      <c r="BD132" s="20">
        <f>IFERROR(VLOOKUP(Tabla1[[#This Row],[Llave]],'[5]Consolidación planes'!$A:$M,9,FALSE),0)</f>
        <v>72000</v>
      </c>
      <c r="BE132" s="20">
        <f>IFERROR(VLOOKUP(Tabla1[[#This Row],[Llave]],'[5]Consolidación planes'!$A:$M,10,FALSE),0)</f>
        <v>0</v>
      </c>
      <c r="BF132" s="20">
        <f>IFERROR(VLOOKUP(Tabla1[[#This Row],[Llave]],'[5]Consolidación planes'!$A:$M,11,FALSE),0)</f>
        <v>0</v>
      </c>
      <c r="BG132" s="20">
        <f>IFERROR(VLOOKUP(Tabla1[[#This Row],[Llave]],'[5]Consolidación planes'!$A:$M,12,FALSE),0)</f>
        <v>0</v>
      </c>
      <c r="BH132" s="20">
        <f>IFERROR(VLOOKUP(Tabla1[[#This Row],[Llave]],'[5]Consolidación planes'!$A:$M,13,FALSE),0)</f>
        <v>0</v>
      </c>
      <c r="BI132" s="20">
        <f>IFERROR(VLOOKUP(Tabla1[[#This Row],[Llave]],'[13]Base ultimos planes'!$A:$M,13,FALSE),0)</f>
        <v>0</v>
      </c>
      <c r="BJ132" s="80">
        <f>IFERROR(VLOOKUP(Tabla1[[#This Row],[Llave]],'[13]Base ultimos planes'!$O:$AA,8,FALSE),0)</f>
        <v>72000</v>
      </c>
      <c r="BK132" s="20">
        <f>IFERROR(VLOOKUP(Tabla1[[#This Row],[Llave]],'[13]Base ultimos planes'!$O:$AA,9,FALSE),0)</f>
        <v>0</v>
      </c>
      <c r="BL132" s="20">
        <f>IFERROR(VLOOKUP(Tabla1[[#This Row],[Llave]],'[13]Base ultimos planes'!$O:$AA,10,FALSE),0)</f>
        <v>0</v>
      </c>
      <c r="BM132" s="20">
        <f>IFERROR(VLOOKUP(Tabla1[[#This Row],[Llave]],'[13]Base ultimos planes'!$O:$AA,11,FALSE),0)</f>
        <v>0</v>
      </c>
      <c r="BN132" s="20">
        <f>IFERROR(VLOOKUP(Tabla1[[#This Row],[Llave]],'[13]Base ultimos planes'!$O:$AA,12,FALSE),0)</f>
        <v>0</v>
      </c>
      <c r="BO132" s="20">
        <f>IFERROR(VLOOKUP(Tabla1[[#This Row],[Llave]],'[13]Base ultimos planes'!$O:$AA,13,FALSE),0)</f>
        <v>0</v>
      </c>
      <c r="BP132" s="20"/>
      <c r="BQ132" s="20">
        <f>+Tabla1[[#This Row],[ RV  Venta mes n+1]]*(1-Tabla1[[#This Row],[% Uti. producción]])</f>
        <v>0</v>
      </c>
      <c r="BR132" s="100"/>
    </row>
    <row r="133" spans="1:70" ht="16" x14ac:dyDescent="0.2">
      <c r="A133">
        <v>2</v>
      </c>
      <c r="B133" t="str">
        <f>Tabla1[[#This Row],[Oficina]]&amp;Tabla1[[#This Row],[Material]]</f>
        <v>Agrosuper Shanghai1022414</v>
      </c>
      <c r="C133" t="s">
        <v>6</v>
      </c>
      <c r="D133" t="s">
        <v>140</v>
      </c>
      <c r="E133">
        <v>1022414</v>
      </c>
      <c r="F133" t="s">
        <v>142</v>
      </c>
      <c r="G133" t="s">
        <v>18</v>
      </c>
      <c r="H133" t="s">
        <v>141</v>
      </c>
      <c r="I133" s="7">
        <f>IFERROR(VLOOKUP(Tabla1[[#This Row],[Llave]],'[7]RV Producción'!$C:$G,5,FALSE),0)</f>
        <v>0</v>
      </c>
      <c r="J133" s="3">
        <f>IFERROR(IF(Tabla1[[#This Row],[Oficina]]=$I$7,VLOOKUP(Tabla1[[#This Row],[Llave]],'[7]Shangai (Tomas)'!$A:$F,6,FALSE),VLOOKUP(Tabla1[[#This Row],[Llave]],'[7]RV plan de ventas'!$A:$E,5,FALSE)),0)</f>
        <v>0</v>
      </c>
      <c r="K133" s="8">
        <f>IFERROR(VLOOKUP(Tabla1[[#This Row],[Oficina]],[15]Ponderación!$B$2:$E$9,4,FALSE),0)</f>
        <v>0.45719439678473212</v>
      </c>
      <c r="L133" s="7">
        <f>+Tabla1[[#This Row],[ RV Producción mes n+1]]*Tabla1[[#This Row],[% Uti. producción]]</f>
        <v>0</v>
      </c>
      <c r="M133" s="7">
        <f>IFERROR(VLOOKUP(Tabla1[[#This Row],[Material]],'[17]TD Stock'!$E:$I,5,FALSE),0)</f>
        <v>59547.671828399914</v>
      </c>
      <c r="N133" s="7">
        <f>IFERROR(VLOOKUP(Tabla1[[#This Row],[Material]],[16]Produccion!$M:$N,2,FALSE),0)</f>
        <v>45307</v>
      </c>
      <c r="O133" s="7">
        <f>IFERROR(VLOOKUP(Tabla1[[#This Row],[Llave]],'[16]TD Conf-AP'!$I:$M,4,FALSE),0)</f>
        <v>0</v>
      </c>
      <c r="P133" s="14">
        <f>SUM(Tabla1[[#This Row],[Producción disponible]],Tabla1[[#This Row],[Stock al día]],(Tabla1[[#This Row],[Por producir mes N]]*0.9))-Tabla1[[#This Row],[Producción por despachar mes N]]</f>
        <v>100323.97182839992</v>
      </c>
      <c r="Q133" s="7">
        <f>IFERROR(VLOOKUP(Tabla1[[#This Row],[Llave]],[17]DELAY!$A:$D,4,FALSE),0)</f>
        <v>24000</v>
      </c>
      <c r="R133" s="9">
        <v>24000</v>
      </c>
      <c r="S133" s="5">
        <f t="shared" si="31"/>
        <v>24000</v>
      </c>
      <c r="T133" s="76">
        <v>0</v>
      </c>
      <c r="U133" s="5">
        <f>+Tabla1[[#This Row],[Atraso a facturar]]+Tabla1[[#This Row],[Ajuste atraso]]</f>
        <v>24000</v>
      </c>
      <c r="V133" s="3">
        <f>+Tabla1[[#This Row],[Total disponible]]-Tabla1[[#This Row],[Facturación atraso]]</f>
        <v>76323.971828399925</v>
      </c>
      <c r="W133" s="6">
        <f>IFERROR(IF(AND(V133&gt;R133,J133&gt;=R133),ROUNDDOWN((Tabla1[[#This Row],[Producción para venta nueva]])/R133,0)*R133,0),0)</f>
        <v>0</v>
      </c>
      <c r="X133" s="76">
        <v>0</v>
      </c>
      <c r="Y133" s="6">
        <f>IF(Tabla1[[#This Row],[Venta del mes]]&gt;0,Tabla1[[#This Row],[Venta del mes]]+Tabla1[[#This Row],[Ajuste venta nueva]],0)</f>
        <v>0</v>
      </c>
      <c r="Z133" s="6">
        <f>+Tabla1[[#This Row],[Producción para venta nueva]]-Tabla1[[#This Row],[Facturación Venta nueva]]</f>
        <v>76323.971828399925</v>
      </c>
      <c r="AA133" s="6">
        <f>IF(AND(A133=1,Tabla1[[#This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3" s="6"/>
      <c r="AC133" s="6">
        <f>IF(Tabla1[[#This Row],[Disponible stock sin venta]]&gt;0,Tabla1[[#This Row],[Disponible stock sin venta]]+Tabla1[[#This Row],[Ajuste stock sin venta]],0)</f>
        <v>0</v>
      </c>
      <c r="AD133" s="3">
        <f>IFERROR(VLOOKUP(Tabla1[[#This Row],[Llave]],'[16]TD Puerto'!$A:$D,4,FALSE),0)</f>
        <v>0</v>
      </c>
      <c r="AE133" s="3">
        <v>24000</v>
      </c>
      <c r="AF133" s="3">
        <f>+Tabla1[[#This Row],[Atraso a facturar]]+Tabla1[[#This Row],[Venta del mes]]+Tabla1[[#This Row],[En puerto a facturar]]+Tabla1[[#This Row],[Disponible stock sin venta]]</f>
        <v>24000</v>
      </c>
      <c r="AG133" s="3">
        <f>+Tabla1[[#This Row],[En puerto a facturar]]</f>
        <v>0</v>
      </c>
      <c r="AH133" s="3">
        <f>+Tabla1[[#This Row],[Facturación atraso]]</f>
        <v>24000</v>
      </c>
      <c r="AI133" s="3">
        <f>+Tabla1[[#This Row],[Plan Irrestricto]]-Tabla1[[#This Row],[Puerto ]]-Tabla1[[#This Row],[Atraso]]</f>
        <v>0</v>
      </c>
      <c r="AJ133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133" s="3">
        <f>+Tabla1[[#This Row],[Facturación atraso]]</f>
        <v>24000</v>
      </c>
      <c r="AL133" s="3">
        <f>+Tabla1[[#This Row],[Plan Ajustado]]-Tabla1[[#This Row],[ Atraso ajustado]]-Tabla1[[#This Row],[Puerto ]]</f>
        <v>0</v>
      </c>
      <c r="AM133" s="3">
        <v>0</v>
      </c>
      <c r="AN133" s="3" t="str">
        <f>IF(Tabla1[[#This Row],[Plan Ajustado]]&gt;Tabla1[[#This Row],[En puerto a facturar]],"Si","No")</f>
        <v>Si</v>
      </c>
      <c r="AO133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133" s="3">
        <f>IF(Tabla1[[#This Row],[Necesidad]]&gt;=Tabla1[[#This Row],[Stock al día]],Tabla1[[#This Row],[Stock al día]],Tabla1[[#This Row],[Necesidad]])</f>
        <v>24000</v>
      </c>
      <c r="AQ133" s="3">
        <f>+Tabla1[[#This Row],[Necesidad]]-Tabla1[[#This Row],[Stock Plan]]</f>
        <v>0</v>
      </c>
      <c r="AR133" s="156">
        <f>IFERROR(VLOOKUP(Tabla1[[#This Row],[Oficina]],[22]Ponderación!$B$3:$G$9,6,FALSE),"")</f>
        <v>44754</v>
      </c>
      <c r="AS13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1.0367536337129226</v>
      </c>
      <c r="AT133" s="83">
        <f>IFERROR(VLOOKUP(Tabla1[[#This Row],[Llave]],[17]DELAY!$H:$W,16,FALSE),0)</f>
        <v>1.1083333333333301</v>
      </c>
      <c r="AU13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1.1083333333333301</v>
      </c>
      <c r="AV133" s="5">
        <f>+Tabla1[[#This Row],[Plan Ajustado]]*Tabla1[[#This Row],[Precio ponderado]]</f>
        <v>26599.99999999992</v>
      </c>
      <c r="AW133" s="30">
        <f>IFERROR(VLOOKUP(Tabla1[[#This Row],[Llave]],'[13]Ultimos precios facturados'!$A:$G,7,FALSE),0)</f>
        <v>1.0367536337129226</v>
      </c>
      <c r="AX13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6.9042149738177711E-2</v>
      </c>
      <c r="AY133" s="30"/>
      <c r="AZ133" s="30">
        <f>IF(Tabla1[[#This Row],[Ajuste precio IC]]="",Tabla1[[#This Row],[Precio ponderado]],Tabla1[[#This Row],[Precio ponderado]])</f>
        <v>1.1083333333333301</v>
      </c>
      <c r="BA133" s="82"/>
      <c r="BB133" s="82" t="str">
        <f>IF(AND(Tabla1[[#This Row],[Atraso a facturar]]&gt;0,Tabla1[[#This Row],[Precio Atraso]]=0),"Revisar","OK")</f>
        <v>OK</v>
      </c>
      <c r="BC133" s="82" t="str">
        <f>IF(AND(Tabla1[[#This Row],[Venta del mes]]&gt;0,Tabla1[[#This Row],[Precio venta nueva]]=0),"Revisar","OK")</f>
        <v>OK</v>
      </c>
      <c r="BD133" s="20">
        <f>IFERROR(VLOOKUP(Tabla1[[#This Row],[Llave]],'[5]Consolidación planes'!$A:$M,9,FALSE),0)</f>
        <v>192000</v>
      </c>
      <c r="BE133" s="20">
        <f>IFERROR(VLOOKUP(Tabla1[[#This Row],[Llave]],'[5]Consolidación planes'!$A:$M,10,FALSE),0)</f>
        <v>192000</v>
      </c>
      <c r="BF133" s="20">
        <f>IFERROR(VLOOKUP(Tabla1[[#This Row],[Llave]],'[5]Consolidación planes'!$A:$M,11,FALSE),0)</f>
        <v>192000</v>
      </c>
      <c r="BG133" s="20">
        <f>IFERROR(VLOOKUP(Tabla1[[#This Row],[Llave]],'[5]Consolidación planes'!$A:$M,12,FALSE),0)</f>
        <v>120000</v>
      </c>
      <c r="BH133" s="20">
        <f>IFERROR(VLOOKUP(Tabla1[[#This Row],[Llave]],'[5]Consolidación planes'!$A:$M,13,FALSE),0)</f>
        <v>120000</v>
      </c>
      <c r="BI133" s="20">
        <f>IFERROR(VLOOKUP(Tabla1[[#This Row],[Llave]],'[13]Base ultimos planes'!$A:$M,13,FALSE),0)</f>
        <v>144000</v>
      </c>
      <c r="BJ133" s="80">
        <f>IFERROR(VLOOKUP(Tabla1[[#This Row],[Llave]],'[13]Base ultimos planes'!$O:$AA,8,FALSE),0)</f>
        <v>154240</v>
      </c>
      <c r="BK133" s="20">
        <f>IFERROR(VLOOKUP(Tabla1[[#This Row],[Llave]],'[13]Base ultimos planes'!$O:$AA,9,FALSE),0)</f>
        <v>158400</v>
      </c>
      <c r="BL133" s="20">
        <f>IFERROR(VLOOKUP(Tabla1[[#This Row],[Llave]],'[13]Base ultimos planes'!$O:$AA,10,FALSE),0)</f>
        <v>157440</v>
      </c>
      <c r="BM133" s="20">
        <f>IFERROR(VLOOKUP(Tabla1[[#This Row],[Llave]],'[13]Base ultimos planes'!$O:$AA,11,FALSE),0)</f>
        <v>100645</v>
      </c>
      <c r="BN133" s="20">
        <f>IFERROR(VLOOKUP(Tabla1[[#This Row],[Llave]],'[13]Base ultimos planes'!$O:$AA,12,FALSE),0)</f>
        <v>105556</v>
      </c>
      <c r="BO133" s="20">
        <f>IFERROR(VLOOKUP(Tabla1[[#This Row],[Llave]],'[13]Base ultimos planes'!$O:$AA,13,FALSE),0)</f>
        <v>133889</v>
      </c>
      <c r="BP133" s="20"/>
      <c r="BQ133" s="20">
        <f>+Tabla1[[#This Row],[ RV  Venta mes n+1]]*(1-Tabla1[[#This Row],[% Uti. producción]])</f>
        <v>0</v>
      </c>
      <c r="BR133" s="100"/>
    </row>
    <row r="134" spans="1:70" ht="16" hidden="1" x14ac:dyDescent="0.2">
      <c r="A134">
        <v>2</v>
      </c>
      <c r="B134" t="str">
        <f>Tabla1[[#This Row],[Oficina]]&amp;Tabla1[[#This Row],[Material]]</f>
        <v>Agrosuper Shanghai1022415</v>
      </c>
      <c r="C134" t="s">
        <v>6</v>
      </c>
      <c r="D134" t="s">
        <v>140</v>
      </c>
      <c r="E134">
        <v>1022415</v>
      </c>
      <c r="F134" t="s">
        <v>305</v>
      </c>
      <c r="G134" t="s">
        <v>71</v>
      </c>
      <c r="H134" t="s">
        <v>72</v>
      </c>
      <c r="I134" s="7">
        <f>IFERROR(VLOOKUP(Tabla1[[#This Row],[Llave]],'[7]RV Producción'!$C:$G,5,FALSE),0)</f>
        <v>0</v>
      </c>
      <c r="J134" s="3">
        <f>IFERROR(IF(Tabla1[[#This Row],[Oficina]]=$I$7,VLOOKUP(Tabla1[[#This Row],[Llave]],'[7]Shangai (Tomas)'!$A:$F,6,FALSE),VLOOKUP(Tabla1[[#This Row],[Llave]],'[7]RV plan de ventas'!$A:$E,5,FALSE)),0)</f>
        <v>0</v>
      </c>
      <c r="K134" s="8">
        <f>IFERROR(VLOOKUP(Tabla1[[#This Row],[Oficina]],[15]Ponderación!$B$2:$E$9,4,FALSE),0)</f>
        <v>0.45719439678473212</v>
      </c>
      <c r="L134" s="7">
        <f>+Tabla1[[#This Row],[ RV Producción mes n+1]]*Tabla1[[#This Row],[% Uti. producción]]</f>
        <v>0</v>
      </c>
      <c r="M134" s="7">
        <f>IFERROR(VLOOKUP(Tabla1[[#This Row],[Material]],'[17]TD Stock'!$E:$I,5,FALSE),0)</f>
        <v>44</v>
      </c>
      <c r="N134" s="7">
        <f>IFERROR(VLOOKUP(Tabla1[[#This Row],[Material]],[16]Produccion!$M:$N,2,FALSE),0)</f>
        <v>0</v>
      </c>
      <c r="O134" s="7">
        <f>IFERROR(VLOOKUP(Tabla1[[#This Row],[Llave]],'[16]TD Conf-AP'!$I:$M,4,FALSE),0)</f>
        <v>0</v>
      </c>
      <c r="P134" s="14">
        <f>SUM(Tabla1[[#This Row],[Producción disponible]],Tabla1[[#This Row],[Stock al día]],(Tabla1[[#This Row],[Por producir mes N]]*0.9))-Tabla1[[#This Row],[Producción por despachar mes N]]</f>
        <v>44</v>
      </c>
      <c r="Q134" s="7">
        <f>IFERROR(VLOOKUP(Tabla1[[#This Row],[Llave]],[17]DELAY!$A:$D,4,FALSE),0)</f>
        <v>0</v>
      </c>
      <c r="R134" s="9">
        <v>24000</v>
      </c>
      <c r="S134" s="5">
        <f t="shared" si="31"/>
        <v>0</v>
      </c>
      <c r="T134" s="76">
        <v>0</v>
      </c>
      <c r="U134" s="5">
        <f>+Tabla1[[#This Row],[Atraso a facturar]]+Tabla1[[#This Row],[Ajuste atraso]]</f>
        <v>0</v>
      </c>
      <c r="V134" s="3">
        <f>+Tabla1[[#This Row],[Total disponible]]-Tabla1[[#This Row],[Facturación atraso]]</f>
        <v>44</v>
      </c>
      <c r="W134" s="6">
        <f>IFERROR(IF(AND(V134&gt;R134,J134&gt;=R134),ROUNDDOWN((Tabla1[[#This Row],[Producción para venta nueva]])/R134,0)*R134,0),0)</f>
        <v>0</v>
      </c>
      <c r="X134" s="76">
        <v>0</v>
      </c>
      <c r="Y134" s="6">
        <f>IF(Tabla1[[#This Row],[Venta del mes]]&gt;0,Tabla1[[#This Row],[Venta del mes]]+Tabla1[[#This Row],[Ajuste venta nueva]],0)</f>
        <v>0</v>
      </c>
      <c r="Z134" s="6">
        <f>+Tabla1[[#This Row],[Producción para venta nueva]]-Tabla1[[#This Row],[Facturación Venta nueva]]</f>
        <v>44</v>
      </c>
      <c r="AA134" s="6">
        <f>IF(AND(A134=1,Tabla1[[#This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4" s="6"/>
      <c r="AC134" s="6">
        <f>IF(Tabla1[[#This Row],[Disponible stock sin venta]]&gt;0,Tabla1[[#This Row],[Disponible stock sin venta]]+Tabla1[[#This Row],[Ajuste stock sin venta]],0)</f>
        <v>0</v>
      </c>
      <c r="AD134" s="3">
        <f>IFERROR(VLOOKUP(Tabla1[[#This Row],[Llave]],'[16]TD Puerto'!$A:$D,4,FALSE),0)</f>
        <v>0</v>
      </c>
      <c r="AE134" s="3">
        <v>0</v>
      </c>
      <c r="AF134" s="3">
        <f>+Tabla1[[#This Row],[Atraso a facturar]]+Tabla1[[#This Row],[Venta del mes]]+Tabla1[[#This Row],[En puerto a facturar]]+Tabla1[[#This Row],[Disponible stock sin venta]]</f>
        <v>0</v>
      </c>
      <c r="AG134" s="3">
        <f>+Tabla1[[#This Row],[En puerto a facturar]]</f>
        <v>0</v>
      </c>
      <c r="AH134" s="3">
        <f>+Tabla1[[#This Row],[Facturación atraso]]</f>
        <v>0</v>
      </c>
      <c r="AI134" s="3">
        <f>+Tabla1[[#This Row],[Plan Irrestricto]]-Tabla1[[#This Row],[Puerto ]]-Tabla1[[#This Row],[Atraso]]</f>
        <v>0</v>
      </c>
      <c r="AJ13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34" s="3">
        <f>+Tabla1[[#This Row],[Facturación atraso]]</f>
        <v>0</v>
      </c>
      <c r="AL134" s="3">
        <f>+Tabla1[[#This Row],[Plan Ajustado]]-Tabla1[[#This Row],[ Atraso ajustado]]-Tabla1[[#This Row],[Puerto ]]</f>
        <v>0</v>
      </c>
      <c r="AM134" s="3">
        <v>0</v>
      </c>
      <c r="AN134" s="3" t="str">
        <f>IF(Tabla1[[#This Row],[Plan Ajustado]]&gt;Tabla1[[#This Row],[En puerto a facturar]],"Si","No")</f>
        <v>No</v>
      </c>
      <c r="AO13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34" s="3">
        <f>IF(Tabla1[[#This Row],[Necesidad]]&gt;=Tabla1[[#This Row],[Stock al día]],Tabla1[[#This Row],[Stock al día]],Tabla1[[#This Row],[Necesidad]])</f>
        <v>0</v>
      </c>
      <c r="AQ134" s="3">
        <f>+Tabla1[[#This Row],[Necesidad]]-Tabla1[[#This Row],[Stock Plan]]</f>
        <v>0</v>
      </c>
      <c r="AR134" s="156">
        <f>IFERROR(VLOOKUP(Tabla1[[#This Row],[Oficina]],[22]Ponderación!$B$3:$G$9,6,FALSE),"")</f>
        <v>44754</v>
      </c>
      <c r="AS13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0.88378860975609752</v>
      </c>
      <c r="AT134" s="83">
        <f>IFERROR(VLOOKUP(Tabla1[[#This Row],[Llave]],[17]DELAY!$H:$W,16,FALSE),0)</f>
        <v>0</v>
      </c>
      <c r="AU13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34" s="5">
        <f>+Tabla1[[#This Row],[Plan Ajustado]]*Tabla1[[#This Row],[Precio ponderado]]</f>
        <v>0</v>
      </c>
      <c r="AW134" s="30">
        <f>IFERROR(VLOOKUP(Tabla1[[#This Row],[Llave]],'[13]Ultimos precios facturados'!$A:$G,7,FALSE),0)</f>
        <v>0.88378860975609752</v>
      </c>
      <c r="AX13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34" s="30"/>
      <c r="AZ134" s="30">
        <f>IF(Tabla1[[#This Row],[Ajuste precio IC]]="",Tabla1[[#This Row],[Precio ponderado]],Tabla1[[#This Row],[Precio ponderado]])</f>
        <v>0</v>
      </c>
      <c r="BA134" s="82"/>
      <c r="BB134" s="82" t="str">
        <f>IF(AND(Tabla1[[#This Row],[Atraso a facturar]]&gt;0,Tabla1[[#This Row],[Precio Atraso]]=0),"Revisar","OK")</f>
        <v>OK</v>
      </c>
      <c r="BC134" s="82" t="str">
        <f>IF(AND(Tabla1[[#This Row],[Venta del mes]]&gt;0,Tabla1[[#This Row],[Precio venta nueva]]=0),"Revisar","OK")</f>
        <v>OK</v>
      </c>
      <c r="BD134" s="20">
        <f>IFERROR(VLOOKUP(Tabla1[[#This Row],[Llave]],'[5]Consolidación planes'!$A:$M,9,FALSE),0)</f>
        <v>0</v>
      </c>
      <c r="BE134" s="20">
        <f>IFERROR(VLOOKUP(Tabla1[[#This Row],[Llave]],'[5]Consolidación planes'!$A:$M,10,FALSE),0)</f>
        <v>0</v>
      </c>
      <c r="BF134" s="20">
        <f>IFERROR(VLOOKUP(Tabla1[[#This Row],[Llave]],'[5]Consolidación planes'!$A:$M,11,FALSE),0)</f>
        <v>4084</v>
      </c>
      <c r="BG134" s="20">
        <f>IFERROR(VLOOKUP(Tabla1[[#This Row],[Llave]],'[5]Consolidación planes'!$A:$M,12,FALSE),0)</f>
        <v>0</v>
      </c>
      <c r="BH134" s="20">
        <f>IFERROR(VLOOKUP(Tabla1[[#This Row],[Llave]],'[5]Consolidación planes'!$A:$M,13,FALSE),0)</f>
        <v>0</v>
      </c>
      <c r="BI134" s="20">
        <f>IFERROR(VLOOKUP(Tabla1[[#This Row],[Llave]],'[13]Base ultimos planes'!$A:$M,13,FALSE),0)</f>
        <v>0</v>
      </c>
      <c r="BJ134" s="80">
        <f>IFERROR(VLOOKUP(Tabla1[[#This Row],[Llave]],'[13]Base ultimos planes'!$O:$AA,8,FALSE),0)</f>
        <v>0</v>
      </c>
      <c r="BK134" s="20">
        <f>IFERROR(VLOOKUP(Tabla1[[#This Row],[Llave]],'[13]Base ultimos planes'!$O:$AA,9,FALSE),0)</f>
        <v>0</v>
      </c>
      <c r="BL134" s="20">
        <f>IFERROR(VLOOKUP(Tabla1[[#This Row],[Llave]],'[13]Base ultimos planes'!$O:$AA,10,FALSE),0)</f>
        <v>3608</v>
      </c>
      <c r="BM134" s="20">
        <f>IFERROR(VLOOKUP(Tabla1[[#This Row],[Llave]],'[13]Base ultimos planes'!$O:$AA,11,FALSE),0)</f>
        <v>0</v>
      </c>
      <c r="BN134" s="20">
        <f>IFERROR(VLOOKUP(Tabla1[[#This Row],[Llave]],'[13]Base ultimos planes'!$O:$AA,12,FALSE),0)</f>
        <v>0</v>
      </c>
      <c r="BO134" s="20">
        <f>IFERROR(VLOOKUP(Tabla1[[#This Row],[Llave]],'[13]Base ultimos planes'!$O:$AA,13,FALSE),0)</f>
        <v>0</v>
      </c>
      <c r="BP134" s="20"/>
      <c r="BQ134" s="20">
        <f>+Tabla1[[#This Row],[ RV  Venta mes n+1]]*(1-Tabla1[[#This Row],[% Uti. producción]])</f>
        <v>0</v>
      </c>
      <c r="BR134" s="100"/>
    </row>
    <row r="135" spans="1:70" ht="16" x14ac:dyDescent="0.2">
      <c r="A135">
        <v>2</v>
      </c>
      <c r="B135" t="str">
        <f>Tabla1[[#This Row],[Oficina]]&amp;Tabla1[[#This Row],[Material]]</f>
        <v>Agrosuper Shanghai1022417</v>
      </c>
      <c r="C135" t="s">
        <v>6</v>
      </c>
      <c r="D135" t="s">
        <v>140</v>
      </c>
      <c r="E135">
        <v>1022417</v>
      </c>
      <c r="F135" t="s">
        <v>144</v>
      </c>
      <c r="G135" t="s">
        <v>8</v>
      </c>
      <c r="H135" t="s">
        <v>32</v>
      </c>
      <c r="I135" s="7">
        <f>IFERROR(VLOOKUP(Tabla1[[#This Row],[Llave]],'[7]RV Producción'!$C:$G,5,FALSE),0)</f>
        <v>0</v>
      </c>
      <c r="J135" s="3">
        <f>IFERROR(IF(Tabla1[[#This Row],[Oficina]]=$I$7,VLOOKUP(Tabla1[[#This Row],[Llave]],'[7]Shangai (Tomas)'!$A:$F,6,FALSE),VLOOKUP(Tabla1[[#This Row],[Llave]],'[7]RV plan de ventas'!$A:$E,5,FALSE)),0)</f>
        <v>0</v>
      </c>
      <c r="K135" s="8">
        <f>IFERROR(VLOOKUP(Tabla1[[#This Row],[Oficina]],[15]Ponderación!$B$2:$E$9,4,FALSE),0)</f>
        <v>0.45719439678473212</v>
      </c>
      <c r="L135" s="7">
        <f>+Tabla1[[#This Row],[ RV Producción mes n+1]]*Tabla1[[#This Row],[% Uti. producción]]</f>
        <v>0</v>
      </c>
      <c r="M135" s="7">
        <f>IFERROR(VLOOKUP(Tabla1[[#This Row],[Material]],'[17]TD Stock'!$E:$I,5,FALSE),0)</f>
        <v>1048.801872074883</v>
      </c>
      <c r="N135" s="7">
        <f>IFERROR(VLOOKUP(Tabla1[[#This Row],[Material]],[16]Produccion!$M:$N,2,FALSE),0)</f>
        <v>120561</v>
      </c>
      <c r="O135" s="7">
        <f>IFERROR(VLOOKUP(Tabla1[[#This Row],[Llave]],'[16]TD Conf-AP'!$I:$M,4,FALSE),0)</f>
        <v>0</v>
      </c>
      <c r="P135" s="14">
        <f>SUM(Tabla1[[#This Row],[Producción disponible]],Tabla1[[#This Row],[Stock al día]],(Tabla1[[#This Row],[Por producir mes N]]*0.9))-Tabla1[[#This Row],[Producción por despachar mes N]]</f>
        <v>109553.70187207489</v>
      </c>
      <c r="Q135" s="7">
        <f>IFERROR(VLOOKUP(Tabla1[[#This Row],[Llave]],[17]DELAY!$A:$D,4,FALSE),0)</f>
        <v>72000</v>
      </c>
      <c r="R135" s="9">
        <v>24000</v>
      </c>
      <c r="S135" s="5">
        <f t="shared" si="31"/>
        <v>72000</v>
      </c>
      <c r="T135" s="76">
        <v>0</v>
      </c>
      <c r="U135" s="5">
        <f>+Tabla1[[#This Row],[Atraso a facturar]]+Tabla1[[#This Row],[Ajuste atraso]]</f>
        <v>72000</v>
      </c>
      <c r="V135" s="3">
        <f>+Tabla1[[#This Row],[Total disponible]]-Tabla1[[#This Row],[Facturación atraso]]</f>
        <v>37553.701872074889</v>
      </c>
      <c r="W135" s="6">
        <f>IFERROR(IF(AND(V135&gt;R135,J135&gt;=R135),ROUNDDOWN((Tabla1[[#This Row],[Producción para venta nueva]])/R135,0)*R135,0),0)</f>
        <v>0</v>
      </c>
      <c r="X135" s="76">
        <v>0</v>
      </c>
      <c r="Y135" s="6">
        <f>IF(Tabla1[[#This Row],[Venta del mes]]&gt;0,Tabla1[[#This Row],[Venta del mes]]+Tabla1[[#This Row],[Ajuste venta nueva]],0)</f>
        <v>0</v>
      </c>
      <c r="Z135" s="6">
        <f>+Tabla1[[#This Row],[Producción para venta nueva]]-Tabla1[[#This Row],[Facturación Venta nueva]]</f>
        <v>37553.701872074889</v>
      </c>
      <c r="AA135" s="6">
        <f>IF(AND(A135=1,Tabla1[[#This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5" s="6"/>
      <c r="AC135" s="6">
        <f>IF(Tabla1[[#This Row],[Disponible stock sin venta]]&gt;0,Tabla1[[#This Row],[Disponible stock sin venta]]+Tabla1[[#This Row],[Ajuste stock sin venta]],0)</f>
        <v>0</v>
      </c>
      <c r="AD135" s="3">
        <f>IFERROR(VLOOKUP(Tabla1[[#This Row],[Llave]],'[16]TD Puerto'!$A:$D,4,FALSE),0)</f>
        <v>25000</v>
      </c>
      <c r="AE135" s="3">
        <v>97000</v>
      </c>
      <c r="AF135" s="3">
        <f>+Tabla1[[#This Row],[Atraso a facturar]]+Tabla1[[#This Row],[Venta del mes]]+Tabla1[[#This Row],[En puerto a facturar]]+Tabla1[[#This Row],[Disponible stock sin venta]]</f>
        <v>97000</v>
      </c>
      <c r="AG135" s="3">
        <f>+Tabla1[[#This Row],[En puerto a facturar]]</f>
        <v>25000</v>
      </c>
      <c r="AH135" s="3">
        <f>+Tabla1[[#This Row],[Facturación atraso]]</f>
        <v>72000</v>
      </c>
      <c r="AI135" s="3">
        <f>+Tabla1[[#This Row],[Plan Irrestricto]]-Tabla1[[#This Row],[Puerto ]]-Tabla1[[#This Row],[Atraso]]</f>
        <v>0</v>
      </c>
      <c r="AJ135" s="3">
        <f>IF(Tabla1[[#This Row],[Plan Irrestricto]]&gt;0,SUM(Tabla1[[#This Row],[Facturación atraso]],Tabla1[[#This Row],[Facturación Venta nueva]],Tabla1[[#This Row],[Facturación stock]],Tabla1[[#This Row],[En puerto a facturar]]),0)</f>
        <v>97000</v>
      </c>
      <c r="AK135" s="3">
        <f>+Tabla1[[#This Row],[Facturación atraso]]</f>
        <v>72000</v>
      </c>
      <c r="AL135" s="3">
        <f>+Tabla1[[#This Row],[Plan Ajustado]]-Tabla1[[#This Row],[ Atraso ajustado]]-Tabla1[[#This Row],[Puerto ]]</f>
        <v>0</v>
      </c>
      <c r="AM135" s="3">
        <v>0</v>
      </c>
      <c r="AN135" s="3" t="str">
        <f>IF(Tabla1[[#This Row],[Plan Ajustado]]&gt;Tabla1[[#This Row],[En puerto a facturar]],"Si","No")</f>
        <v>Si</v>
      </c>
      <c r="AO135" s="3">
        <f>IF(AND(Tabla1[[#This Row],[Plan Ajustado]]&gt;0,Tabla1[[#This Row],[Plan Ajustado]]&gt;Tabla1[[#This Row],[En puerto a facturar]]),(Tabla1[[#This Row],[Plan Ajustado]]-Tabla1[[#This Row],[En puerto a facturar]]),0)</f>
        <v>72000</v>
      </c>
      <c r="AP135" s="3">
        <f>IF(Tabla1[[#This Row],[Necesidad]]&gt;=Tabla1[[#This Row],[Stock al día]],Tabla1[[#This Row],[Stock al día]],Tabla1[[#This Row],[Necesidad]])</f>
        <v>1048.801872074883</v>
      </c>
      <c r="AQ135" s="3">
        <f>+Tabla1[[#This Row],[Necesidad]]-Tabla1[[#This Row],[Stock Plan]]</f>
        <v>70951.198127925119</v>
      </c>
      <c r="AR135" s="156">
        <f>IFERROR(VLOOKUP(Tabla1[[#This Row],[Oficina]],[22]Ponderación!$B$3:$G$9,6,FALSE),"")</f>
        <v>44754</v>
      </c>
      <c r="AS13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0.78919672655778561</v>
      </c>
      <c r="AT135" s="83">
        <f>IFERROR(VLOOKUP(Tabla1[[#This Row],[Llave]],[17]DELAY!$H:$W,16,FALSE),0)</f>
        <v>0.79995833333333299</v>
      </c>
      <c r="AU13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0.79995833333333299</v>
      </c>
      <c r="AV135" s="5">
        <f>+Tabla1[[#This Row],[Plan Ajustado]]*Tabla1[[#This Row],[Precio ponderado]]</f>
        <v>77595.958333333299</v>
      </c>
      <c r="AW135" s="30">
        <f>IFERROR(VLOOKUP(Tabla1[[#This Row],[Llave]],'[13]Ultimos precios facturados'!$A:$G,7,FALSE),0)</f>
        <v>0.78919672655778561</v>
      </c>
      <c r="AX13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1.3636152322230153E-2</v>
      </c>
      <c r="AY135" s="30"/>
      <c r="AZ135" s="30">
        <f>IF(Tabla1[[#This Row],[Ajuste precio IC]]="",Tabla1[[#This Row],[Precio ponderado]],Tabla1[[#This Row],[Precio ponderado]])</f>
        <v>0.79995833333333299</v>
      </c>
      <c r="BA135" s="82"/>
      <c r="BB135" s="82" t="str">
        <f>IF(AND(Tabla1[[#This Row],[Atraso a facturar]]&gt;0,Tabla1[[#This Row],[Precio Atraso]]=0),"Revisar","OK")</f>
        <v>OK</v>
      </c>
      <c r="BC135" s="82" t="str">
        <f>IF(AND(Tabla1[[#This Row],[Venta del mes]]&gt;0,Tabla1[[#This Row],[Precio venta nueva]]=0),"Revisar","OK")</f>
        <v>OK</v>
      </c>
      <c r="BD135" s="20">
        <f>IFERROR(VLOOKUP(Tabla1[[#This Row],[Llave]],'[5]Consolidación planes'!$A:$M,9,FALSE),0)</f>
        <v>0</v>
      </c>
      <c r="BE135" s="20">
        <f>IFERROR(VLOOKUP(Tabla1[[#This Row],[Llave]],'[5]Consolidación planes'!$A:$M,10,FALSE),0)</f>
        <v>0</v>
      </c>
      <c r="BF135" s="20">
        <f>IFERROR(VLOOKUP(Tabla1[[#This Row],[Llave]],'[5]Consolidación planes'!$A:$M,11,FALSE),0)</f>
        <v>24000</v>
      </c>
      <c r="BG135" s="20">
        <f>IFERROR(VLOOKUP(Tabla1[[#This Row],[Llave]],'[5]Consolidación planes'!$A:$M,12,FALSE),0)</f>
        <v>48000</v>
      </c>
      <c r="BH135" s="20">
        <f>IFERROR(VLOOKUP(Tabla1[[#This Row],[Llave]],'[5]Consolidación planes'!$A:$M,13,FALSE),0)</f>
        <v>24000</v>
      </c>
      <c r="BI135" s="20">
        <f>IFERROR(VLOOKUP(Tabla1[[#This Row],[Llave]],'[13]Base ultimos planes'!$A:$M,13,FALSE),0)</f>
        <v>96000</v>
      </c>
      <c r="BJ135" s="80">
        <f>IFERROR(VLOOKUP(Tabla1[[#This Row],[Llave]],'[13]Base ultimos planes'!$O:$AA,8,FALSE),0)</f>
        <v>0</v>
      </c>
      <c r="BK135" s="20">
        <f>IFERROR(VLOOKUP(Tabla1[[#This Row],[Llave]],'[13]Base ultimos planes'!$O:$AA,9,FALSE),0)</f>
        <v>0</v>
      </c>
      <c r="BL135" s="20">
        <f>IFERROR(VLOOKUP(Tabla1[[#This Row],[Llave]],'[13]Base ultimos planes'!$O:$AA,10,FALSE),0)</f>
        <v>19920</v>
      </c>
      <c r="BM135" s="20">
        <f>IFERROR(VLOOKUP(Tabla1[[#This Row],[Llave]],'[13]Base ultimos planes'!$O:$AA,11,FALSE),0)</f>
        <v>24960</v>
      </c>
      <c r="BN135" s="20">
        <f>IFERROR(VLOOKUP(Tabla1[[#This Row],[Llave]],'[13]Base ultimos planes'!$O:$AA,12,FALSE),0)</f>
        <v>15600</v>
      </c>
      <c r="BO135" s="20">
        <f>IFERROR(VLOOKUP(Tabla1[[#This Row],[Llave]],'[13]Base ultimos planes'!$O:$AA,13,FALSE),0)</f>
        <v>62400</v>
      </c>
      <c r="BP135" s="20"/>
      <c r="BQ135" s="20">
        <f>+Tabla1[[#This Row],[ RV  Venta mes n+1]]*(1-Tabla1[[#This Row],[% Uti. producción]])</f>
        <v>0</v>
      </c>
      <c r="BR135" s="100"/>
    </row>
    <row r="136" spans="1:70" ht="16" hidden="1" x14ac:dyDescent="0.2">
      <c r="A136">
        <v>2</v>
      </c>
      <c r="B136" t="str">
        <f>Tabla1[[#This Row],[Oficina]]&amp;Tabla1[[#This Row],[Material]]</f>
        <v>Agrosuper Shanghai1022541</v>
      </c>
      <c r="C136" t="s">
        <v>6</v>
      </c>
      <c r="D136" t="s">
        <v>140</v>
      </c>
      <c r="E136">
        <v>1022541</v>
      </c>
      <c r="F136" t="s">
        <v>148</v>
      </c>
      <c r="G136" t="s">
        <v>11</v>
      </c>
      <c r="H136" t="s">
        <v>41</v>
      </c>
      <c r="I136" s="7">
        <f>IFERROR(VLOOKUP(Tabla1[[#This Row],[Llave]],'[7]RV Producción'!$C:$G,5,FALSE),0)</f>
        <v>0</v>
      </c>
      <c r="J136" s="3">
        <f>IFERROR(IF(Tabla1[[#This Row],[Oficina]]=$I$7,VLOOKUP(Tabla1[[#This Row],[Llave]],'[7]Shangai (Tomas)'!$A:$F,6,FALSE),VLOOKUP(Tabla1[[#This Row],[Llave]],'[7]RV plan de ventas'!$A:$E,5,FALSE)),0)</f>
        <v>0</v>
      </c>
      <c r="K136" s="8">
        <f>IFERROR(VLOOKUP(Tabla1[[#This Row],[Oficina]],[15]Ponderación!$B$2:$E$9,4,FALSE),0)</f>
        <v>0.45719439678473212</v>
      </c>
      <c r="L136" s="7">
        <f>+Tabla1[[#This Row],[ RV Producción mes n+1]]*Tabla1[[#This Row],[% Uti. producción]]</f>
        <v>0</v>
      </c>
      <c r="M136" s="7">
        <f>IFERROR(VLOOKUP(Tabla1[[#This Row],[Material]],'[17]TD Stock'!$E:$I,5,FALSE),0)</f>
        <v>135191.614</v>
      </c>
      <c r="N136" s="7">
        <f>IFERROR(VLOOKUP(Tabla1[[#This Row],[Material]],[16]Produccion!$M:$N,2,FALSE),0)</f>
        <v>30848</v>
      </c>
      <c r="O136" s="7">
        <f>IFERROR(VLOOKUP(Tabla1[[#This Row],[Llave]],'[16]TD Conf-AP'!$I:$M,4,FALSE),0)</f>
        <v>0</v>
      </c>
      <c r="P136" s="14">
        <f>SUM(Tabla1[[#This Row],[Producción disponible]],Tabla1[[#This Row],[Stock al día]],(Tabla1[[#This Row],[Por producir mes N]]*0.9))-Tabla1[[#This Row],[Producción por despachar mes N]]</f>
        <v>162954.81400000001</v>
      </c>
      <c r="Q136" s="7">
        <f>IFERROR(VLOOKUP(Tabla1[[#This Row],[Llave]],[17]DELAY!$A:$D,4,FALSE),0)</f>
        <v>0</v>
      </c>
      <c r="R136" s="9">
        <v>24000</v>
      </c>
      <c r="S136" s="5">
        <f t="shared" si="31"/>
        <v>0</v>
      </c>
      <c r="T136" s="76">
        <v>0</v>
      </c>
      <c r="U136" s="5">
        <f>+Tabla1[[#This Row],[Atraso a facturar]]+Tabla1[[#This Row],[Ajuste atraso]]</f>
        <v>0</v>
      </c>
      <c r="V136" s="3">
        <f>+Tabla1[[#This Row],[Total disponible]]-Tabla1[[#This Row],[Facturación atraso]]</f>
        <v>162954.81400000001</v>
      </c>
      <c r="W136" s="6">
        <f>IFERROR(IF(AND(V136&gt;R136,J136&gt;=R136),ROUNDDOWN((Tabla1[[#This Row],[Producción para venta nueva]])/R136,0)*R136,0),0)</f>
        <v>0</v>
      </c>
      <c r="X136" s="76">
        <v>0</v>
      </c>
      <c r="Y136" s="6">
        <f>IF(Tabla1[[#This Row],[Venta del mes]]&gt;0,Tabla1[[#This Row],[Venta del mes]]+Tabla1[[#This Row],[Ajuste venta nueva]],0)</f>
        <v>0</v>
      </c>
      <c r="Z136" s="6">
        <f>+Tabla1[[#This Row],[Producción para venta nueva]]-Tabla1[[#This Row],[Facturación Venta nueva]]</f>
        <v>162954.81400000001</v>
      </c>
      <c r="AA136" s="6">
        <f>IF(AND(A136=1,Tabla1[[#This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6" s="6"/>
      <c r="AC136" s="6">
        <f>IF(Tabla1[[#This Row],[Disponible stock sin venta]]&gt;0,Tabla1[[#This Row],[Disponible stock sin venta]]+Tabla1[[#This Row],[Ajuste stock sin venta]],0)</f>
        <v>0</v>
      </c>
      <c r="AD136" s="3">
        <f>IFERROR(VLOOKUP(Tabla1[[#This Row],[Llave]],'[16]TD Puerto'!$A:$D,4,FALSE),0)</f>
        <v>0</v>
      </c>
      <c r="AE136" s="3">
        <v>0</v>
      </c>
      <c r="AF136" s="3">
        <f>+Tabla1[[#This Row],[Atraso a facturar]]+Tabla1[[#This Row],[Venta del mes]]+Tabla1[[#This Row],[En puerto a facturar]]+Tabla1[[#This Row],[Disponible stock sin venta]]</f>
        <v>0</v>
      </c>
      <c r="AG136" s="3">
        <f>+Tabla1[[#This Row],[En puerto a facturar]]</f>
        <v>0</v>
      </c>
      <c r="AH136" s="3">
        <f>+Tabla1[[#This Row],[Facturación atraso]]</f>
        <v>0</v>
      </c>
      <c r="AI136" s="3">
        <f>+Tabla1[[#This Row],[Plan Irrestricto]]-Tabla1[[#This Row],[Puerto ]]-Tabla1[[#This Row],[Atraso]]</f>
        <v>0</v>
      </c>
      <c r="AJ13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36" s="3">
        <f>+Tabla1[[#This Row],[Facturación atraso]]</f>
        <v>0</v>
      </c>
      <c r="AL136" s="3">
        <f>+Tabla1[[#This Row],[Plan Ajustado]]-Tabla1[[#This Row],[ Atraso ajustado]]-Tabla1[[#This Row],[Puerto ]]</f>
        <v>0</v>
      </c>
      <c r="AM136" s="3">
        <v>0</v>
      </c>
      <c r="AN136" s="3" t="str">
        <f>IF(Tabla1[[#This Row],[Plan Ajustado]]&gt;Tabla1[[#This Row],[En puerto a facturar]],"Si","No")</f>
        <v>No</v>
      </c>
      <c r="AO13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36" s="3">
        <f>IF(Tabla1[[#This Row],[Necesidad]]&gt;=Tabla1[[#This Row],[Stock al día]],Tabla1[[#This Row],[Stock al día]],Tabla1[[#This Row],[Necesidad]])</f>
        <v>0</v>
      </c>
      <c r="AQ136" s="3">
        <f>+Tabla1[[#This Row],[Necesidad]]-Tabla1[[#This Row],[Stock Plan]]</f>
        <v>0</v>
      </c>
      <c r="AR136" s="156">
        <f>IFERROR(VLOOKUP(Tabla1[[#This Row],[Oficina]],[22]Ponderación!$B$3:$G$9,6,FALSE),"")</f>
        <v>44754</v>
      </c>
      <c r="AS13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1.1355042113809437</v>
      </c>
      <c r="AT136" s="83">
        <f>IFERROR(VLOOKUP(Tabla1[[#This Row],[Llave]],[17]DELAY!$H:$W,16,FALSE),0)</f>
        <v>0</v>
      </c>
      <c r="AU13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36" s="5">
        <f>+Tabla1[[#This Row],[Plan Ajustado]]*Tabla1[[#This Row],[Precio ponderado]]</f>
        <v>0</v>
      </c>
      <c r="AW136" s="30">
        <f>IFERROR(VLOOKUP(Tabla1[[#This Row],[Llave]],'[13]Ultimos precios facturados'!$A:$G,7,FALSE),0)</f>
        <v>1.1355042113809437</v>
      </c>
      <c r="AX13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36" s="30"/>
      <c r="AZ136" s="30">
        <f>IF(Tabla1[[#This Row],[Ajuste precio IC]]="",Tabla1[[#This Row],[Precio ponderado]],Tabla1[[#This Row],[Precio ponderado]])</f>
        <v>0</v>
      </c>
      <c r="BA136" s="82"/>
      <c r="BB136" s="82" t="str">
        <f>IF(AND(Tabla1[[#This Row],[Atraso a facturar]]&gt;0,Tabla1[[#This Row],[Precio Atraso]]=0),"Revisar","OK")</f>
        <v>OK</v>
      </c>
      <c r="BC136" s="82" t="str">
        <f>IF(AND(Tabla1[[#This Row],[Venta del mes]]&gt;0,Tabla1[[#This Row],[Precio venta nueva]]=0),"Revisar","OK")</f>
        <v>OK</v>
      </c>
      <c r="BD136" s="20">
        <f>IFERROR(VLOOKUP(Tabla1[[#This Row],[Llave]],'[5]Consolidación planes'!$A:$M,9,FALSE),0)</f>
        <v>24000</v>
      </c>
      <c r="BE136" s="20">
        <f>IFERROR(VLOOKUP(Tabla1[[#This Row],[Llave]],'[5]Consolidación planes'!$A:$M,10,FALSE),0)</f>
        <v>72000</v>
      </c>
      <c r="BF136" s="20">
        <f>IFERROR(VLOOKUP(Tabla1[[#This Row],[Llave]],'[5]Consolidación planes'!$A:$M,11,FALSE),0)</f>
        <v>48000</v>
      </c>
      <c r="BG136" s="20">
        <f>IFERROR(VLOOKUP(Tabla1[[#This Row],[Llave]],'[5]Consolidación planes'!$A:$M,12,FALSE),0)</f>
        <v>24000</v>
      </c>
      <c r="BH136" s="20">
        <f>IFERROR(VLOOKUP(Tabla1[[#This Row],[Llave]],'[5]Consolidación planes'!$A:$M,13,FALSE),0)</f>
        <v>168000</v>
      </c>
      <c r="BI136" s="20">
        <f>IFERROR(VLOOKUP(Tabla1[[#This Row],[Llave]],'[13]Base ultimos planes'!$A:$M,13,FALSE),0)</f>
        <v>144000</v>
      </c>
      <c r="BJ136" s="80">
        <f>IFERROR(VLOOKUP(Tabla1[[#This Row],[Llave]],'[13]Base ultimos planes'!$O:$AA,8,FALSE),0)</f>
        <v>14400</v>
      </c>
      <c r="BK136" s="20">
        <f>IFERROR(VLOOKUP(Tabla1[[#This Row],[Llave]],'[13]Base ultimos planes'!$O:$AA,9,FALSE),0)</f>
        <v>45360</v>
      </c>
      <c r="BL136" s="20">
        <f>IFERROR(VLOOKUP(Tabla1[[#This Row],[Llave]],'[13]Base ultimos planes'!$O:$AA,10,FALSE),0)</f>
        <v>32160</v>
      </c>
      <c r="BM136" s="20">
        <f>IFERROR(VLOOKUP(Tabla1[[#This Row],[Llave]],'[13]Base ultimos planes'!$O:$AA,11,FALSE),0)</f>
        <v>7720</v>
      </c>
      <c r="BN136" s="20">
        <f>IFERROR(VLOOKUP(Tabla1[[#This Row],[Llave]],'[13]Base ultimos planes'!$O:$AA,12,FALSE),0)</f>
        <v>145332</v>
      </c>
      <c r="BO136" s="20">
        <f>IFERROR(VLOOKUP(Tabla1[[#This Row],[Llave]],'[13]Base ultimos planes'!$O:$AA,13,FALSE),0)</f>
        <v>151177</v>
      </c>
      <c r="BP136" s="20"/>
      <c r="BQ136" s="20">
        <f>+Tabla1[[#This Row],[ RV  Venta mes n+1]]*(1-Tabla1[[#This Row],[% Uti. producción]])</f>
        <v>0</v>
      </c>
      <c r="BR136" s="100"/>
    </row>
    <row r="137" spans="1:70" ht="16" x14ac:dyDescent="0.2">
      <c r="A137">
        <v>2</v>
      </c>
      <c r="B137" t="str">
        <f>Tabla1[[#This Row],[Oficina]]&amp;Tabla1[[#This Row],[Material]]</f>
        <v>Agrosuper Shanghai1022637</v>
      </c>
      <c r="C137" t="s">
        <v>6</v>
      </c>
      <c r="D137" t="s">
        <v>140</v>
      </c>
      <c r="E137">
        <v>1022637</v>
      </c>
      <c r="F137" t="s">
        <v>155</v>
      </c>
      <c r="G137" t="s">
        <v>92</v>
      </c>
      <c r="H137" t="s">
        <v>153</v>
      </c>
      <c r="I137" s="7">
        <f>IFERROR(VLOOKUP(Tabla1[[#This Row],[Llave]],'[7]RV Producción'!$C:$G,5,FALSE),0)</f>
        <v>0</v>
      </c>
      <c r="J137" s="3">
        <f>IFERROR(IF(Tabla1[[#This Row],[Oficina]]=$I$7,VLOOKUP(Tabla1[[#This Row],[Llave]],'[7]Shangai (Tomas)'!$A:$F,6,FALSE),VLOOKUP(Tabla1[[#This Row],[Llave]],'[7]RV plan de ventas'!$A:$E,5,FALSE)),0)</f>
        <v>0</v>
      </c>
      <c r="K137" s="8">
        <f>IFERROR(VLOOKUP(Tabla1[[#This Row],[Oficina]],[15]Ponderación!$B$2:$E$9,4,FALSE),0)</f>
        <v>0.45719439678473212</v>
      </c>
      <c r="L137" s="7">
        <f>+Tabla1[[#This Row],[ RV Producción mes n+1]]*Tabla1[[#This Row],[% Uti. producción]]</f>
        <v>0</v>
      </c>
      <c r="M137" s="7">
        <f>IFERROR(VLOOKUP(Tabla1[[#This Row],[Material]],'[17]TD Stock'!$E:$I,5,FALSE),0)</f>
        <v>61396.334876648965</v>
      </c>
      <c r="N137" s="7">
        <f>IFERROR(VLOOKUP(Tabla1[[#This Row],[Material]],[16]Produccion!$M:$N,2,FALSE),0)</f>
        <v>29764</v>
      </c>
      <c r="O137" s="7">
        <f>IFERROR(VLOOKUP(Tabla1[[#This Row],[Llave]],'[16]TD Conf-AP'!$I:$M,4,FALSE),0)</f>
        <v>0</v>
      </c>
      <c r="P137" s="14">
        <f>SUM(Tabla1[[#This Row],[Producción disponible]],Tabla1[[#This Row],[Stock al día]],(Tabla1[[#This Row],[Por producir mes N]]*0.9))-Tabla1[[#This Row],[Producción por despachar mes N]]</f>
        <v>88183.934876648971</v>
      </c>
      <c r="Q137" s="7">
        <f>IFERROR(VLOOKUP(Tabla1[[#This Row],[Llave]],[17]DELAY!$A:$D,4,FALSE),0)</f>
        <v>0</v>
      </c>
      <c r="R137" s="9">
        <v>24000</v>
      </c>
      <c r="S137" s="5">
        <f t="shared" si="31"/>
        <v>0</v>
      </c>
      <c r="T137" s="76">
        <v>0</v>
      </c>
      <c r="U137" s="5">
        <f>+Tabla1[[#This Row],[Atraso a facturar]]+Tabla1[[#This Row],[Ajuste atraso]]</f>
        <v>0</v>
      </c>
      <c r="V137" s="3">
        <f>+Tabla1[[#This Row],[Total disponible]]-Tabla1[[#This Row],[Facturación atraso]]</f>
        <v>88183.934876648971</v>
      </c>
      <c r="W137" s="6">
        <f>IFERROR(IF(AND(V137&gt;R137,J137&gt;=R137),ROUNDDOWN((Tabla1[[#This Row],[Producción para venta nueva]])/R137,0)*R137,0),0)</f>
        <v>0</v>
      </c>
      <c r="X137" s="76">
        <v>0</v>
      </c>
      <c r="Y137" s="6">
        <f>IF(Tabla1[[#This Row],[Venta del mes]]&gt;0,Tabla1[[#This Row],[Venta del mes]]+Tabla1[[#This Row],[Ajuste venta nueva]],0)</f>
        <v>0</v>
      </c>
      <c r="Z137" s="6">
        <f>+Tabla1[[#This Row],[Producción para venta nueva]]-Tabla1[[#This Row],[Facturación Venta nueva]]</f>
        <v>88183.934876648971</v>
      </c>
      <c r="AA137" s="6">
        <f>IF(AND(A137=1,Tabla1[[#This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7" s="6"/>
      <c r="AC137" s="6">
        <f>IF(Tabla1[[#This Row],[Disponible stock sin venta]]&gt;0,Tabla1[[#This Row],[Disponible stock sin venta]]+Tabla1[[#This Row],[Ajuste stock sin venta]],0)</f>
        <v>0</v>
      </c>
      <c r="AD137" s="3">
        <f>IFERROR(VLOOKUP(Tabla1[[#This Row],[Llave]],'[16]TD Puerto'!$A:$D,4,FALSE),0)</f>
        <v>21210</v>
      </c>
      <c r="AE137" s="3">
        <v>21210</v>
      </c>
      <c r="AF137" s="3">
        <f>+Tabla1[[#This Row],[Atraso a facturar]]+Tabla1[[#This Row],[Venta del mes]]+Tabla1[[#This Row],[En puerto a facturar]]+Tabla1[[#This Row],[Disponible stock sin venta]]</f>
        <v>21210</v>
      </c>
      <c r="AG137" s="3">
        <f>+Tabla1[[#This Row],[En puerto a facturar]]</f>
        <v>21210</v>
      </c>
      <c r="AH137" s="3">
        <f>+Tabla1[[#This Row],[Facturación atraso]]</f>
        <v>0</v>
      </c>
      <c r="AI137" s="3">
        <f>+Tabla1[[#This Row],[Plan Irrestricto]]-Tabla1[[#This Row],[Puerto ]]-Tabla1[[#This Row],[Atraso]]</f>
        <v>0</v>
      </c>
      <c r="AJ137" s="3">
        <f>IF(Tabla1[[#This Row],[Plan Irrestricto]]&gt;0,SUM(Tabla1[[#This Row],[Facturación atraso]],Tabla1[[#This Row],[Facturación Venta nueva]],Tabla1[[#This Row],[Facturación stock]],Tabla1[[#This Row],[En puerto a facturar]]),0)</f>
        <v>21210</v>
      </c>
      <c r="AK137" s="3">
        <f>+Tabla1[[#This Row],[Facturación atraso]]</f>
        <v>0</v>
      </c>
      <c r="AL137" s="3">
        <f>+Tabla1[[#This Row],[Plan Ajustado]]-Tabla1[[#This Row],[ Atraso ajustado]]-Tabla1[[#This Row],[Puerto ]]</f>
        <v>0</v>
      </c>
      <c r="AM137" s="3">
        <v>0</v>
      </c>
      <c r="AN137" s="3" t="str">
        <f>IF(Tabla1[[#This Row],[Plan Ajustado]]&gt;Tabla1[[#This Row],[En puerto a facturar]],"Si","No")</f>
        <v>No</v>
      </c>
      <c r="AO13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37" s="3">
        <f>IF(Tabla1[[#This Row],[Necesidad]]&gt;=Tabla1[[#This Row],[Stock al día]],Tabla1[[#This Row],[Stock al día]],Tabla1[[#This Row],[Necesidad]])</f>
        <v>0</v>
      </c>
      <c r="AQ137" s="3">
        <f>+Tabla1[[#This Row],[Necesidad]]-Tabla1[[#This Row],[Stock Plan]]</f>
        <v>0</v>
      </c>
      <c r="AR137" s="156">
        <f>IFERROR(VLOOKUP(Tabla1[[#This Row],[Oficina]],[22]Ponderación!$B$3:$G$9,6,FALSE),"")</f>
        <v>44754</v>
      </c>
      <c r="AS13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1.1374107699502487</v>
      </c>
      <c r="AT137" s="84">
        <f>+Tabla1[[#This Row],[Precio venta nueva]]</f>
        <v>1.1374107699502487</v>
      </c>
      <c r="AU13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1.1374107699502487</v>
      </c>
      <c r="AV137" s="5">
        <f>+Tabla1[[#This Row],[Plan Ajustado]]*Tabla1[[#This Row],[Precio ponderado]]</f>
        <v>24124.482430644774</v>
      </c>
      <c r="AW137" s="30">
        <f>IFERROR(VLOOKUP(Tabla1[[#This Row],[Llave]],'[13]Ultimos precios facturados'!$A:$G,7,FALSE),0)</f>
        <v>1.1374107699502487</v>
      </c>
      <c r="AX13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137" s="30"/>
      <c r="AZ137" s="30">
        <f>IF(Tabla1[[#This Row],[Ajuste precio IC]]="",Tabla1[[#This Row],[Precio ponderado]],Tabla1[[#This Row],[Precio ponderado]])</f>
        <v>1.1374107699502487</v>
      </c>
      <c r="BA137" s="82"/>
      <c r="BB137" s="82" t="str">
        <f>IF(AND(Tabla1[[#This Row],[Atraso a facturar]]&gt;0,Tabla1[[#This Row],[Precio Atraso]]=0),"Revisar","OK")</f>
        <v>OK</v>
      </c>
      <c r="BC137" s="82" t="str">
        <f>IF(AND(Tabla1[[#This Row],[Venta del mes]]&gt;0,Tabla1[[#This Row],[Precio venta nueva]]=0),"Revisar","OK")</f>
        <v>OK</v>
      </c>
      <c r="BD137" s="20">
        <f>IFERROR(VLOOKUP(Tabla1[[#This Row],[Llave]],'[5]Consolidación planes'!$A:$M,9,FALSE),0)</f>
        <v>144000</v>
      </c>
      <c r="BE137" s="20">
        <f>IFERROR(VLOOKUP(Tabla1[[#This Row],[Llave]],'[5]Consolidación planes'!$A:$M,10,FALSE),0)</f>
        <v>144000</v>
      </c>
      <c r="BF137" s="20">
        <f>IFERROR(VLOOKUP(Tabla1[[#This Row],[Llave]],'[5]Consolidación planes'!$A:$M,11,FALSE),0)</f>
        <v>120000</v>
      </c>
      <c r="BG137" s="20">
        <f>IFERROR(VLOOKUP(Tabla1[[#This Row],[Llave]],'[5]Consolidación planes'!$A:$M,12,FALSE),0)</f>
        <v>144000</v>
      </c>
      <c r="BH137" s="20">
        <f>IFERROR(VLOOKUP(Tabla1[[#This Row],[Llave]],'[5]Consolidación planes'!$A:$M,13,FALSE),0)</f>
        <v>71100</v>
      </c>
      <c r="BI137" s="20">
        <f>IFERROR(VLOOKUP(Tabla1[[#This Row],[Llave]],'[13]Base ultimos planes'!$A:$M,13,FALSE),0)</f>
        <v>72000</v>
      </c>
      <c r="BJ137" s="80">
        <f>IFERROR(VLOOKUP(Tabla1[[#This Row],[Llave]],'[13]Base ultimos planes'!$O:$AA,8,FALSE),0)</f>
        <v>163350</v>
      </c>
      <c r="BK137" s="20">
        <f>IFERROR(VLOOKUP(Tabla1[[#This Row],[Llave]],'[13]Base ultimos planes'!$O:$AA,9,FALSE),0)</f>
        <v>144000</v>
      </c>
      <c r="BL137" s="20">
        <f>IFERROR(VLOOKUP(Tabla1[[#This Row],[Llave]],'[13]Base ultimos planes'!$O:$AA,10,FALSE),0)</f>
        <v>120000</v>
      </c>
      <c r="BM137" s="20">
        <f>IFERROR(VLOOKUP(Tabla1[[#This Row],[Llave]],'[13]Base ultimos planes'!$O:$AA,11,FALSE),0)</f>
        <v>142519</v>
      </c>
      <c r="BN137" s="20">
        <f>IFERROR(VLOOKUP(Tabla1[[#This Row],[Llave]],'[13]Base ultimos planes'!$O:$AA,12,FALSE),0)</f>
        <v>73751</v>
      </c>
      <c r="BO137" s="20">
        <f>IFERROR(VLOOKUP(Tabla1[[#This Row],[Llave]],'[13]Base ultimos planes'!$O:$AA,13,FALSE),0)</f>
        <v>79080</v>
      </c>
      <c r="BP137" s="20"/>
      <c r="BQ137" s="20">
        <f>+Tabla1[[#This Row],[ RV  Venta mes n+1]]*(1-Tabla1[[#This Row],[% Uti. producción]])</f>
        <v>0</v>
      </c>
      <c r="BR137" s="100"/>
    </row>
    <row r="138" spans="1:70" ht="16" hidden="1" x14ac:dyDescent="0.2">
      <c r="A138">
        <v>2</v>
      </c>
      <c r="B138" t="str">
        <f>Tabla1[[#This Row],[Oficina]]&amp;Tabla1[[#This Row],[Material]]</f>
        <v>Agrosuper Shanghai1022748</v>
      </c>
      <c r="C138" t="s">
        <v>6</v>
      </c>
      <c r="D138" t="s">
        <v>140</v>
      </c>
      <c r="E138">
        <v>1022748</v>
      </c>
      <c r="F138" t="s">
        <v>171</v>
      </c>
      <c r="G138" t="s">
        <v>76</v>
      </c>
      <c r="H138" t="s">
        <v>77</v>
      </c>
      <c r="I138" s="7">
        <f>IFERROR(VLOOKUP(Tabla1[[#This Row],[Llave]],'[7]RV Producción'!$C:$G,5,FALSE),0)</f>
        <v>0</v>
      </c>
      <c r="J138" s="3">
        <f>IFERROR(IF(Tabla1[[#This Row],[Oficina]]=$I$7,VLOOKUP(Tabla1[[#This Row],[Llave]],'[7]Shangai (Tomas)'!$A:$F,6,FALSE),VLOOKUP(Tabla1[[#This Row],[Llave]],'[7]RV plan de ventas'!$A:$E,5,FALSE)),0)</f>
        <v>0</v>
      </c>
      <c r="K138" s="8">
        <f>IFERROR(VLOOKUP(Tabla1[[#This Row],[Oficina]],[15]Ponderación!$B$2:$E$9,4,FALSE),0)</f>
        <v>0.45719439678473212</v>
      </c>
      <c r="L138" s="7">
        <f>+Tabla1[[#This Row],[ RV Producción mes n+1]]*Tabla1[[#This Row],[% Uti. producción]]</f>
        <v>0</v>
      </c>
      <c r="M138" s="7">
        <f>IFERROR(VLOOKUP(Tabla1[[#This Row],[Material]],'[17]TD Stock'!$E:$I,5,FALSE),0)</f>
        <v>40161.792632125886</v>
      </c>
      <c r="N138" s="7">
        <f>IFERROR(VLOOKUP(Tabla1[[#This Row],[Material]],[16]Produccion!$M:$N,2,FALSE),0)</f>
        <v>66347.78</v>
      </c>
      <c r="O138" s="7">
        <f>IFERROR(VLOOKUP(Tabla1[[#This Row],[Llave]],'[16]TD Conf-AP'!$I:$M,4,FALSE),0)</f>
        <v>0</v>
      </c>
      <c r="P138" s="14">
        <f>SUM(Tabla1[[#This Row],[Producción disponible]],Tabla1[[#This Row],[Stock al día]],(Tabla1[[#This Row],[Por producir mes N]]*0.9))-Tabla1[[#This Row],[Producción por despachar mes N]]</f>
        <v>99874.794632125879</v>
      </c>
      <c r="Q138" s="7">
        <f>IFERROR(VLOOKUP(Tabla1[[#This Row],[Llave]],[17]DELAY!$A:$D,4,FALSE),0)</f>
        <v>0</v>
      </c>
      <c r="R138" s="9">
        <v>24000</v>
      </c>
      <c r="S138" s="5">
        <f t="shared" si="31"/>
        <v>0</v>
      </c>
      <c r="T138" s="76">
        <v>0</v>
      </c>
      <c r="U138" s="5">
        <f>+Tabla1[[#This Row],[Atraso a facturar]]+Tabla1[[#This Row],[Ajuste atraso]]</f>
        <v>0</v>
      </c>
      <c r="V138" s="3">
        <f>+Tabla1[[#This Row],[Total disponible]]-Tabla1[[#This Row],[Facturación atraso]]</f>
        <v>99874.794632125879</v>
      </c>
      <c r="W138" s="6">
        <f>IFERROR(IF(AND(V138&gt;R138,J138&gt;=R138),ROUNDDOWN((Tabla1[[#This Row],[Producción para venta nueva]])/R138,0)*R138,0),0)</f>
        <v>0</v>
      </c>
      <c r="X138" s="76">
        <v>0</v>
      </c>
      <c r="Y138" s="6">
        <f>IF(Tabla1[[#This Row],[Venta del mes]]&gt;0,Tabla1[[#This Row],[Venta del mes]]+Tabla1[[#This Row],[Ajuste venta nueva]],0)</f>
        <v>0</v>
      </c>
      <c r="Z138" s="6">
        <f>+Tabla1[[#This Row],[Producción para venta nueva]]-Tabla1[[#This Row],[Facturación Venta nueva]]</f>
        <v>99874.794632125879</v>
      </c>
      <c r="AA138" s="6">
        <f>IF(AND(A138=1,Tabla1[[#This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8" s="6"/>
      <c r="AC138" s="6">
        <f>IF(Tabla1[[#This Row],[Disponible stock sin venta]]&gt;0,Tabla1[[#This Row],[Disponible stock sin venta]]+Tabla1[[#This Row],[Ajuste stock sin venta]],0)</f>
        <v>0</v>
      </c>
      <c r="AD138" s="3">
        <f>IFERROR(VLOOKUP(Tabla1[[#This Row],[Llave]],'[16]TD Puerto'!$A:$D,4,FALSE),0)</f>
        <v>0</v>
      </c>
      <c r="AE138" s="3">
        <v>0</v>
      </c>
      <c r="AF138" s="3">
        <f>+Tabla1[[#This Row],[Atraso a facturar]]+Tabla1[[#This Row],[Venta del mes]]+Tabla1[[#This Row],[En puerto a facturar]]+Tabla1[[#This Row],[Disponible stock sin venta]]</f>
        <v>0</v>
      </c>
      <c r="AG138" s="3">
        <f>+Tabla1[[#This Row],[En puerto a facturar]]</f>
        <v>0</v>
      </c>
      <c r="AH138" s="3">
        <f>+Tabla1[[#This Row],[Facturación atraso]]</f>
        <v>0</v>
      </c>
      <c r="AI138" s="3">
        <f>+Tabla1[[#This Row],[Plan Irrestricto]]-Tabla1[[#This Row],[Puerto ]]-Tabla1[[#This Row],[Atraso]]</f>
        <v>0</v>
      </c>
      <c r="AJ13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38" s="3">
        <f>+Tabla1[[#This Row],[Facturación atraso]]</f>
        <v>0</v>
      </c>
      <c r="AL138" s="3">
        <f>+Tabla1[[#This Row],[Plan Ajustado]]-Tabla1[[#This Row],[ Atraso ajustado]]-Tabla1[[#This Row],[Puerto ]]</f>
        <v>0</v>
      </c>
      <c r="AM138" s="3">
        <v>0</v>
      </c>
      <c r="AN138" s="3" t="str">
        <f>IF(Tabla1[[#This Row],[Plan Ajustado]]&gt;Tabla1[[#This Row],[En puerto a facturar]],"Si","No")</f>
        <v>No</v>
      </c>
      <c r="AO13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38" s="3">
        <f>IF(Tabla1[[#This Row],[Necesidad]]&gt;=Tabla1[[#This Row],[Stock al día]],Tabla1[[#This Row],[Stock al día]],Tabla1[[#This Row],[Necesidad]])</f>
        <v>0</v>
      </c>
      <c r="AQ138" s="3">
        <f>+Tabla1[[#This Row],[Necesidad]]-Tabla1[[#This Row],[Stock Plan]]</f>
        <v>0</v>
      </c>
      <c r="AR138" s="156">
        <f>IFERROR(VLOOKUP(Tabla1[[#This Row],[Oficina]],[22]Ponderación!$B$3:$G$9,6,FALSE),"")</f>
        <v>44754</v>
      </c>
      <c r="AS13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5.1230665429541196</v>
      </c>
      <c r="AT138" s="83">
        <f>IFERROR(VLOOKUP(Tabla1[[#This Row],[Llave]],[17]DELAY!$H:$W,16,FALSE),0)</f>
        <v>0</v>
      </c>
      <c r="AU13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38" s="5">
        <f>+Tabla1[[#This Row],[Plan Ajustado]]*Tabla1[[#This Row],[Precio ponderado]]</f>
        <v>0</v>
      </c>
      <c r="AW138" s="30">
        <f>IFERROR(VLOOKUP(Tabla1[[#This Row],[Llave]],'[13]Ultimos precios facturados'!$A:$G,7,FALSE),0)</f>
        <v>5.1230665429541196</v>
      </c>
      <c r="AX13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38" s="30"/>
      <c r="AZ138" s="30">
        <f>IF(Tabla1[[#This Row],[Ajuste precio IC]]="",Tabla1[[#This Row],[Precio ponderado]],Tabla1[[#This Row],[Precio ponderado]])</f>
        <v>0</v>
      </c>
      <c r="BA138" s="82"/>
      <c r="BB138" s="82" t="str">
        <f>IF(AND(Tabla1[[#This Row],[Atraso a facturar]]&gt;0,Tabla1[[#This Row],[Precio Atraso]]=0),"Revisar","OK")</f>
        <v>OK</v>
      </c>
      <c r="BC138" s="82" t="str">
        <f>IF(AND(Tabla1[[#This Row],[Venta del mes]]&gt;0,Tabla1[[#This Row],[Precio venta nueva]]=0),"Revisar","OK")</f>
        <v>OK</v>
      </c>
      <c r="BD138" s="20">
        <f>IFERROR(VLOOKUP(Tabla1[[#This Row],[Llave]],'[5]Consolidación planes'!$A:$M,9,FALSE),0)</f>
        <v>144000</v>
      </c>
      <c r="BE138" s="20">
        <f>IFERROR(VLOOKUP(Tabla1[[#This Row],[Llave]],'[5]Consolidación planes'!$A:$M,10,FALSE),0)</f>
        <v>0</v>
      </c>
      <c r="BF138" s="20">
        <f>IFERROR(VLOOKUP(Tabla1[[#This Row],[Llave]],'[5]Consolidación planes'!$A:$M,11,FALSE),0)</f>
        <v>84000</v>
      </c>
      <c r="BG138" s="20">
        <f>IFERROR(VLOOKUP(Tabla1[[#This Row],[Llave]],'[5]Consolidación planes'!$A:$M,12,FALSE),0)</f>
        <v>132000</v>
      </c>
      <c r="BH138" s="20">
        <f>IFERROR(VLOOKUP(Tabla1[[#This Row],[Llave]],'[5]Consolidación planes'!$A:$M,13,FALSE),0)</f>
        <v>96000</v>
      </c>
      <c r="BI138" s="20">
        <f>IFERROR(VLOOKUP(Tabla1[[#This Row],[Llave]],'[13]Base ultimos planes'!$A:$M,13,FALSE),0)</f>
        <v>68000</v>
      </c>
      <c r="BJ138" s="80">
        <f>IFERROR(VLOOKUP(Tabla1[[#This Row],[Llave]],'[13]Base ultimos planes'!$O:$AA,8,FALSE),0)</f>
        <v>636000</v>
      </c>
      <c r="BK138" s="20">
        <f>IFERROR(VLOOKUP(Tabla1[[#This Row],[Llave]],'[13]Base ultimos planes'!$O:$AA,9,FALSE),0)</f>
        <v>0</v>
      </c>
      <c r="BL138" s="20">
        <f>IFERROR(VLOOKUP(Tabla1[[#This Row],[Llave]],'[13]Base ultimos planes'!$O:$AA,10,FALSE),0)</f>
        <v>398160</v>
      </c>
      <c r="BM138" s="20">
        <f>IFERROR(VLOOKUP(Tabla1[[#This Row],[Llave]],'[13]Base ultimos planes'!$O:$AA,11,FALSE),0)</f>
        <v>623093</v>
      </c>
      <c r="BN138" s="20">
        <f>IFERROR(VLOOKUP(Tabla1[[#This Row],[Llave]],'[13]Base ultimos planes'!$O:$AA,12,FALSE),0)</f>
        <v>455946</v>
      </c>
      <c r="BO138" s="20">
        <f>IFERROR(VLOOKUP(Tabla1[[#This Row],[Llave]],'[13]Base ultimos planes'!$O:$AA,13,FALSE),0)</f>
        <v>342073</v>
      </c>
      <c r="BP138" s="20"/>
      <c r="BQ138" s="20">
        <f>+Tabla1[[#This Row],[ RV  Venta mes n+1]]*(1-Tabla1[[#This Row],[% Uti. producción]])</f>
        <v>0</v>
      </c>
      <c r="BR138" s="100"/>
    </row>
    <row r="139" spans="1:70" ht="16" x14ac:dyDescent="0.2">
      <c r="A139">
        <v>2</v>
      </c>
      <c r="B139" t="str">
        <f>Tabla1[[#This Row],[Oficina]]&amp;Tabla1[[#This Row],[Material]]</f>
        <v>Agrosuper Shanghai1022851</v>
      </c>
      <c r="C139" t="s">
        <v>6</v>
      </c>
      <c r="D139" t="s">
        <v>140</v>
      </c>
      <c r="E139">
        <v>1022851</v>
      </c>
      <c r="F139" t="s">
        <v>157</v>
      </c>
      <c r="G139" t="s">
        <v>53</v>
      </c>
      <c r="H139" t="s">
        <v>156</v>
      </c>
      <c r="I139" s="7">
        <f>IFERROR(VLOOKUP(Tabla1[[#This Row],[Llave]],'[7]RV Producción'!$C:$G,5,FALSE),0)</f>
        <v>0</v>
      </c>
      <c r="J139" s="3">
        <f>IFERROR(IF(Tabla1[[#This Row],[Oficina]]=$I$7,VLOOKUP(Tabla1[[#This Row],[Llave]],'[7]Shangai (Tomas)'!$A:$F,6,FALSE),VLOOKUP(Tabla1[[#This Row],[Llave]],'[7]RV plan de ventas'!$A:$E,5,FALSE)),0)</f>
        <v>0</v>
      </c>
      <c r="K139" s="8">
        <f>IFERROR(VLOOKUP(Tabla1[[#This Row],[Oficina]],[15]Ponderación!$B$2:$E$9,4,FALSE),0)</f>
        <v>0.45719439678473212</v>
      </c>
      <c r="L139" s="7">
        <f>+Tabla1[[#This Row],[ RV Producción mes n+1]]*Tabla1[[#This Row],[% Uti. producción]]</f>
        <v>0</v>
      </c>
      <c r="M139" s="7">
        <f>IFERROR(VLOOKUP(Tabla1[[#This Row],[Material]],'[17]TD Stock'!$E:$I,5,FALSE),0)</f>
        <v>0</v>
      </c>
      <c r="N139" s="7">
        <f>IFERROR(VLOOKUP(Tabla1[[#This Row],[Material]],[16]Produccion!$M:$N,2,FALSE),0)</f>
        <v>59631.846092371845</v>
      </c>
      <c r="O139" s="7">
        <f>IFERROR(VLOOKUP(Tabla1[[#This Row],[Llave]],'[16]TD Conf-AP'!$I:$M,4,FALSE),0)</f>
        <v>24000</v>
      </c>
      <c r="P139" s="14">
        <f>SUM(Tabla1[[#This Row],[Producción disponible]],Tabla1[[#This Row],[Stock al día]],(Tabla1[[#This Row],[Por producir mes N]]*0.9))-Tabla1[[#This Row],[Producción por despachar mes N]]</f>
        <v>29668.66148313466</v>
      </c>
      <c r="Q139" s="7">
        <f>IFERROR(VLOOKUP(Tabla1[[#This Row],[Llave]],[17]DELAY!$A:$D,4,FALSE),0)</f>
        <v>96000</v>
      </c>
      <c r="R139" s="9">
        <v>24000</v>
      </c>
      <c r="S139" s="5">
        <f t="shared" si="31"/>
        <v>24000</v>
      </c>
      <c r="T139" s="76">
        <v>0</v>
      </c>
      <c r="U139" s="5">
        <f>+Tabla1[[#This Row],[Atraso a facturar]]+Tabla1[[#This Row],[Ajuste atraso]]</f>
        <v>24000</v>
      </c>
      <c r="V139" s="3">
        <f>+Tabla1[[#This Row],[Total disponible]]-Tabla1[[#This Row],[Facturación atraso]]</f>
        <v>5668.6614831346596</v>
      </c>
      <c r="W139" s="6">
        <f>IFERROR(IF(AND(V139&gt;R139,J139&gt;=R139),ROUNDDOWN((Tabla1[[#This Row],[Producción para venta nueva]])/R139,0)*R139,0),0)</f>
        <v>0</v>
      </c>
      <c r="X139" s="76">
        <v>0</v>
      </c>
      <c r="Y139" s="6">
        <f>IF(Tabla1[[#This Row],[Venta del mes]]&gt;0,Tabla1[[#This Row],[Venta del mes]]+Tabla1[[#This Row],[Ajuste venta nueva]],0)</f>
        <v>0</v>
      </c>
      <c r="Z139" s="6">
        <f>+Tabla1[[#This Row],[Producción para venta nueva]]-Tabla1[[#This Row],[Facturación Venta nueva]]</f>
        <v>5668.6614831346596</v>
      </c>
      <c r="AA139" s="6">
        <f>IF(AND(A139=1,Tabla1[[#This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39" s="6"/>
      <c r="AC139" s="6">
        <f>IF(Tabla1[[#This Row],[Disponible stock sin venta]]&gt;0,Tabla1[[#This Row],[Disponible stock sin venta]]+Tabla1[[#This Row],[Ajuste stock sin venta]],0)</f>
        <v>0</v>
      </c>
      <c r="AD139" s="3">
        <f>IFERROR(VLOOKUP(Tabla1[[#This Row],[Llave]],'[16]TD Puerto'!$A:$D,4,FALSE),0)</f>
        <v>0</v>
      </c>
      <c r="AE139" s="3">
        <v>24000</v>
      </c>
      <c r="AF139" s="3">
        <f>+Tabla1[[#This Row],[Atraso a facturar]]+Tabla1[[#This Row],[Venta del mes]]+Tabla1[[#This Row],[En puerto a facturar]]+Tabla1[[#This Row],[Disponible stock sin venta]]</f>
        <v>24000</v>
      </c>
      <c r="AG139" s="3">
        <f>+Tabla1[[#This Row],[En puerto a facturar]]</f>
        <v>0</v>
      </c>
      <c r="AH139" s="3">
        <f>+Tabla1[[#This Row],[Facturación atraso]]</f>
        <v>24000</v>
      </c>
      <c r="AI139" s="3">
        <f>+Tabla1[[#This Row],[Plan Irrestricto]]-Tabla1[[#This Row],[Puerto ]]-Tabla1[[#This Row],[Atraso]]</f>
        <v>0</v>
      </c>
      <c r="AJ139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139" s="3">
        <f>+Tabla1[[#This Row],[Facturación atraso]]</f>
        <v>24000</v>
      </c>
      <c r="AL139" s="3">
        <f>+Tabla1[[#This Row],[Plan Ajustado]]-Tabla1[[#This Row],[ Atraso ajustado]]-Tabla1[[#This Row],[Puerto ]]</f>
        <v>0</v>
      </c>
      <c r="AM139" s="3">
        <v>0</v>
      </c>
      <c r="AN139" s="3" t="str">
        <f>IF(Tabla1[[#This Row],[Plan Ajustado]]&gt;Tabla1[[#This Row],[En puerto a facturar]],"Si","No")</f>
        <v>Si</v>
      </c>
      <c r="AO139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139" s="3">
        <f>IF(Tabla1[[#This Row],[Necesidad]]&gt;=Tabla1[[#This Row],[Stock al día]],Tabla1[[#This Row],[Stock al día]],Tabla1[[#This Row],[Necesidad]])</f>
        <v>0</v>
      </c>
      <c r="AQ139" s="3">
        <f>+Tabla1[[#This Row],[Necesidad]]-Tabla1[[#This Row],[Stock Plan]]</f>
        <v>24000</v>
      </c>
      <c r="AR139" s="156">
        <f>IFERROR(VLOOKUP(Tabla1[[#This Row],[Oficina]],[22]Ponderación!$B$3:$G$9,6,FALSE),"")</f>
        <v>44754</v>
      </c>
      <c r="AS13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1.7376307295444997</v>
      </c>
      <c r="AT139" s="83">
        <f>IFERROR(VLOOKUP(Tabla1[[#This Row],[Llave]],[17]DELAY!$H:$W,16,FALSE),0)</f>
        <v>1.7755270833333325</v>
      </c>
      <c r="AU13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1.7755270833333325</v>
      </c>
      <c r="AV139" s="5">
        <f>+Tabla1[[#This Row],[Plan Ajustado]]*Tabla1[[#This Row],[Precio ponderado]]</f>
        <v>42612.64999999998</v>
      </c>
      <c r="AW139" s="30">
        <f>IFERROR(VLOOKUP(Tabla1[[#This Row],[Llave]],'[13]Ultimos precios facturados'!$A:$G,7,FALSE),0)</f>
        <v>1.7376307295444997</v>
      </c>
      <c r="AX13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2.1809210175954316E-2</v>
      </c>
      <c r="AY139" s="30"/>
      <c r="AZ139" s="30">
        <f>IF(Tabla1[[#This Row],[Ajuste precio IC]]="",Tabla1[[#This Row],[Precio ponderado]],Tabla1[[#This Row],[Precio ponderado]])</f>
        <v>1.7755270833333325</v>
      </c>
      <c r="BA139" s="82"/>
      <c r="BB139" s="82" t="str">
        <f>IF(AND(Tabla1[[#This Row],[Atraso a facturar]]&gt;0,Tabla1[[#This Row],[Precio Atraso]]=0),"Revisar","OK")</f>
        <v>OK</v>
      </c>
      <c r="BC139" s="82" t="str">
        <f>IF(AND(Tabla1[[#This Row],[Venta del mes]]&gt;0,Tabla1[[#This Row],[Precio venta nueva]]=0),"Revisar","OK")</f>
        <v>OK</v>
      </c>
      <c r="BD139" s="20">
        <f>IFERROR(VLOOKUP(Tabla1[[#This Row],[Llave]],'[5]Consolidación planes'!$A:$M,9,FALSE),0)</f>
        <v>8596</v>
      </c>
      <c r="BE139" s="20">
        <f>IFERROR(VLOOKUP(Tabla1[[#This Row],[Llave]],'[5]Consolidación planes'!$A:$M,10,FALSE),0)</f>
        <v>0</v>
      </c>
      <c r="BF139" s="20">
        <f>IFERROR(VLOOKUP(Tabla1[[#This Row],[Llave]],'[5]Consolidación planes'!$A:$M,11,FALSE),0)</f>
        <v>8956</v>
      </c>
      <c r="BG139" s="20">
        <f>IFERROR(VLOOKUP(Tabla1[[#This Row],[Llave]],'[5]Consolidación planes'!$A:$M,12,FALSE),0)</f>
        <v>0</v>
      </c>
      <c r="BH139" s="20">
        <f>IFERROR(VLOOKUP(Tabla1[[#This Row],[Llave]],'[5]Consolidación planes'!$A:$M,13,FALSE),0)</f>
        <v>0</v>
      </c>
      <c r="BI139" s="20">
        <f>IFERROR(VLOOKUP(Tabla1[[#This Row],[Llave]],'[13]Base ultimos planes'!$A:$M,13,FALSE),0)</f>
        <v>0</v>
      </c>
      <c r="BJ139" s="80">
        <f>IFERROR(VLOOKUP(Tabla1[[#This Row],[Llave]],'[13]Base ultimos planes'!$O:$AA,8,FALSE),0)</f>
        <v>9025.7999999999993</v>
      </c>
      <c r="BK139" s="20">
        <f>IFERROR(VLOOKUP(Tabla1[[#This Row],[Llave]],'[13]Base ultimos planes'!$O:$AA,9,FALSE),0)</f>
        <v>0</v>
      </c>
      <c r="BL139" s="20">
        <f>IFERROR(VLOOKUP(Tabla1[[#This Row],[Llave]],'[13]Base ultimos planes'!$O:$AA,10,FALSE),0)</f>
        <v>9255</v>
      </c>
      <c r="BM139" s="20">
        <f>IFERROR(VLOOKUP(Tabla1[[#This Row],[Llave]],'[13]Base ultimos planes'!$O:$AA,11,FALSE),0)</f>
        <v>0</v>
      </c>
      <c r="BN139" s="20">
        <f>IFERROR(VLOOKUP(Tabla1[[#This Row],[Llave]],'[13]Base ultimos planes'!$O:$AA,12,FALSE),0)</f>
        <v>0</v>
      </c>
      <c r="BO139" s="20">
        <f>IFERROR(VLOOKUP(Tabla1[[#This Row],[Llave]],'[13]Base ultimos planes'!$O:$AA,13,FALSE),0)</f>
        <v>0</v>
      </c>
      <c r="BP139" s="20"/>
      <c r="BQ139" s="20">
        <f>+Tabla1[[#This Row],[ RV  Venta mes n+1]]*(1-Tabla1[[#This Row],[% Uti. producción]])</f>
        <v>0</v>
      </c>
      <c r="BR139" s="100"/>
    </row>
    <row r="140" spans="1:70" ht="16" x14ac:dyDescent="0.2">
      <c r="A140">
        <v>2</v>
      </c>
      <c r="B140" t="str">
        <f>Tabla1[[#This Row],[Oficina]]&amp;Tabla1[[#This Row],[Material]]</f>
        <v>Agrosuper Shanghai1022856</v>
      </c>
      <c r="C140" t="s">
        <v>6</v>
      </c>
      <c r="D140" t="s">
        <v>140</v>
      </c>
      <c r="E140">
        <v>1022856</v>
      </c>
      <c r="F140" t="s">
        <v>149</v>
      </c>
      <c r="G140" t="s">
        <v>11</v>
      </c>
      <c r="H140" t="s">
        <v>41</v>
      </c>
      <c r="I140" s="7">
        <f>IFERROR(VLOOKUP(Tabla1[[#This Row],[Llave]],'[7]RV Producción'!$C:$G,5,FALSE),0)</f>
        <v>165555</v>
      </c>
      <c r="J140" s="3">
        <f>IFERROR(IF(Tabla1[[#This Row],[Oficina]]=$I$7,VLOOKUP(Tabla1[[#This Row],[Llave]],'[7]Shangai (Tomas)'!$A:$F,6,FALSE),VLOOKUP(Tabla1[[#This Row],[Llave]],'[7]RV plan de ventas'!$A:$E,5,FALSE)),0)</f>
        <v>0</v>
      </c>
      <c r="K140" s="8">
        <f>IFERROR(VLOOKUP(Tabla1[[#This Row],[Oficina]],[15]Ponderación!$B$2:$E$9,4,FALSE),0)</f>
        <v>0.45719439678473212</v>
      </c>
      <c r="L140" s="7">
        <f>+Tabla1[[#This Row],[ RV Producción mes n+1]]*Tabla1[[#This Row],[% Uti. producción]]</f>
        <v>75690.818359696321</v>
      </c>
      <c r="M140" s="7">
        <f>IFERROR(VLOOKUP(Tabla1[[#This Row],[Material]],'[17]TD Stock'!$E:$I,5,FALSE),0)</f>
        <v>20750.067963235211</v>
      </c>
      <c r="N140" s="7">
        <f>IFERROR(VLOOKUP(Tabla1[[#This Row],[Material]],[16]Produccion!$M:$N,2,FALSE),0)</f>
        <v>47647</v>
      </c>
      <c r="O140" s="7">
        <f>IFERROR(VLOOKUP(Tabla1[[#This Row],[Llave]],'[16]TD Conf-AP'!$I:$M,4,FALSE),0)</f>
        <v>0</v>
      </c>
      <c r="P140" s="14">
        <f>SUM(Tabla1[[#This Row],[Producción disponible]],Tabla1[[#This Row],[Stock al día]],(Tabla1[[#This Row],[Por producir mes N]]*0.9))-Tabla1[[#This Row],[Producción por despachar mes N]]</f>
        <v>139323.18632293155</v>
      </c>
      <c r="Q140" s="7">
        <f>IFERROR(VLOOKUP(Tabla1[[#This Row],[Llave]],[17]DELAY!$A:$D,4,FALSE),0)</f>
        <v>72000</v>
      </c>
      <c r="R140" s="9">
        <v>24000</v>
      </c>
      <c r="S140" s="5">
        <f t="shared" si="31"/>
        <v>72000</v>
      </c>
      <c r="T140" s="76">
        <v>0</v>
      </c>
      <c r="U140" s="5">
        <f>+Tabla1[[#This Row],[Atraso a facturar]]+Tabla1[[#This Row],[Ajuste atraso]]</f>
        <v>72000</v>
      </c>
      <c r="V140" s="3">
        <f>+Tabla1[[#This Row],[Total disponible]]-Tabla1[[#This Row],[Facturación atraso]]</f>
        <v>67323.18632293155</v>
      </c>
      <c r="W140" s="6">
        <f>IFERROR(IF(AND(V140&gt;R140,J140&gt;=R140),ROUNDDOWN((Tabla1[[#This Row],[Producción para venta nueva]])/R140,0)*R140,0),0)</f>
        <v>0</v>
      </c>
      <c r="X140" s="76">
        <v>0</v>
      </c>
      <c r="Y140" s="6">
        <f>IF(Tabla1[[#This Row],[Venta del mes]]&gt;0,Tabla1[[#This Row],[Venta del mes]]+Tabla1[[#This Row],[Ajuste venta nueva]],0)</f>
        <v>0</v>
      </c>
      <c r="Z140" s="6">
        <f>+Tabla1[[#This Row],[Producción para venta nueva]]-Tabla1[[#This Row],[Facturación Venta nueva]]</f>
        <v>67323.18632293155</v>
      </c>
      <c r="AA140" s="6">
        <f>IF(AND(A140=1,Tabla1[[#This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0" s="6"/>
      <c r="AC140" s="6">
        <f>IF(Tabla1[[#This Row],[Disponible stock sin venta]]&gt;0,Tabla1[[#This Row],[Disponible stock sin venta]]+Tabla1[[#This Row],[Ajuste stock sin venta]],0)</f>
        <v>0</v>
      </c>
      <c r="AD140" s="3">
        <f>IFERROR(VLOOKUP(Tabla1[[#This Row],[Llave]],'[16]TD Puerto'!$A:$D,4,FALSE),0)</f>
        <v>48000</v>
      </c>
      <c r="AE140" s="3">
        <v>120000</v>
      </c>
      <c r="AF140" s="3">
        <f>+Tabla1[[#This Row],[Atraso a facturar]]+Tabla1[[#This Row],[Venta del mes]]+Tabla1[[#This Row],[En puerto a facturar]]+Tabla1[[#This Row],[Disponible stock sin venta]]</f>
        <v>120000</v>
      </c>
      <c r="AG140" s="3">
        <f>+Tabla1[[#This Row],[En puerto a facturar]]</f>
        <v>48000</v>
      </c>
      <c r="AH140" s="3">
        <f>+Tabla1[[#This Row],[Facturación atraso]]</f>
        <v>72000</v>
      </c>
      <c r="AI140" s="3">
        <f>+Tabla1[[#This Row],[Plan Irrestricto]]-Tabla1[[#This Row],[Puerto ]]-Tabla1[[#This Row],[Atraso]]</f>
        <v>0</v>
      </c>
      <c r="AJ140" s="3">
        <f>IF(Tabla1[[#This Row],[Plan Irrestricto]]&gt;0,SUM(Tabla1[[#This Row],[Facturación atraso]],Tabla1[[#This Row],[Facturación Venta nueva]],Tabla1[[#This Row],[Facturación stock]],Tabla1[[#This Row],[En puerto a facturar]]),0)</f>
        <v>120000</v>
      </c>
      <c r="AK140" s="3">
        <f>+Tabla1[[#This Row],[Facturación atraso]]</f>
        <v>72000</v>
      </c>
      <c r="AL140" s="3">
        <f>+Tabla1[[#This Row],[Plan Ajustado]]-Tabla1[[#This Row],[ Atraso ajustado]]-Tabla1[[#This Row],[Puerto ]]</f>
        <v>0</v>
      </c>
      <c r="AM140" s="3">
        <v>0</v>
      </c>
      <c r="AN140" s="3" t="str">
        <f>IF(Tabla1[[#This Row],[Plan Ajustado]]&gt;Tabla1[[#This Row],[En puerto a facturar]],"Si","No")</f>
        <v>Si</v>
      </c>
      <c r="AO140" s="3">
        <f>IF(AND(Tabla1[[#This Row],[Plan Ajustado]]&gt;0,Tabla1[[#This Row],[Plan Ajustado]]&gt;Tabla1[[#This Row],[En puerto a facturar]]),(Tabla1[[#This Row],[Plan Ajustado]]-Tabla1[[#This Row],[En puerto a facturar]]),0)</f>
        <v>72000</v>
      </c>
      <c r="AP140" s="3">
        <f>IF(Tabla1[[#This Row],[Necesidad]]&gt;=Tabla1[[#This Row],[Stock al día]],Tabla1[[#This Row],[Stock al día]],Tabla1[[#This Row],[Necesidad]])</f>
        <v>20750.067963235211</v>
      </c>
      <c r="AQ140" s="3">
        <f>+Tabla1[[#This Row],[Necesidad]]-Tabla1[[#This Row],[Stock Plan]]</f>
        <v>51249.932036764789</v>
      </c>
      <c r="AR140" s="156">
        <f>IFERROR(VLOOKUP(Tabla1[[#This Row],[Oficina]],[22]Ponderación!$B$3:$G$9,6,FALSE),"")</f>
        <v>44754</v>
      </c>
      <c r="AS14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0.96277822676154889</v>
      </c>
      <c r="AT140" s="83">
        <f>IFERROR(VLOOKUP(Tabla1[[#This Row],[Llave]],[17]DELAY!$H:$W,16,FALSE),0)</f>
        <v>1.25833333333333</v>
      </c>
      <c r="AU14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1.25833333333333</v>
      </c>
      <c r="AV140" s="5">
        <f>+Tabla1[[#This Row],[Plan Ajustado]]*Tabla1[[#This Row],[Precio ponderado]]</f>
        <v>150999.99999999959</v>
      </c>
      <c r="AW140" s="30">
        <f>IFERROR(VLOOKUP(Tabla1[[#This Row],[Llave]],'[13]Ultimos precios facturados'!$A:$G,7,FALSE),0)</f>
        <v>0.96277822676154889</v>
      </c>
      <c r="AX14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0.30698150244415651</v>
      </c>
      <c r="AY140" s="30"/>
      <c r="AZ140" s="30">
        <f>IF(Tabla1[[#This Row],[Ajuste precio IC]]="",Tabla1[[#This Row],[Precio ponderado]],Tabla1[[#This Row],[Precio ponderado]])</f>
        <v>1.25833333333333</v>
      </c>
      <c r="BA140" s="82"/>
      <c r="BB140" s="82" t="str">
        <f>IF(AND(Tabla1[[#This Row],[Atraso a facturar]]&gt;0,Tabla1[[#This Row],[Precio Atraso]]=0),"Revisar","OK")</f>
        <v>OK</v>
      </c>
      <c r="BC140" s="82" t="str">
        <f>IF(AND(Tabla1[[#This Row],[Venta del mes]]&gt;0,Tabla1[[#This Row],[Precio venta nueva]]=0),"Revisar","OK")</f>
        <v>OK</v>
      </c>
      <c r="BD140" s="20">
        <f>IFERROR(VLOOKUP(Tabla1[[#This Row],[Llave]],'[5]Consolidación planes'!$A:$M,9,FALSE),0)</f>
        <v>96000</v>
      </c>
      <c r="BE140" s="20">
        <f>IFERROR(VLOOKUP(Tabla1[[#This Row],[Llave]],'[5]Consolidación planes'!$A:$M,10,FALSE),0)</f>
        <v>24000</v>
      </c>
      <c r="BF140" s="20">
        <f>IFERROR(VLOOKUP(Tabla1[[#This Row],[Llave]],'[5]Consolidación planes'!$A:$M,11,FALSE),0)</f>
        <v>120000</v>
      </c>
      <c r="BG140" s="20">
        <f>IFERROR(VLOOKUP(Tabla1[[#This Row],[Llave]],'[5]Consolidación planes'!$A:$M,12,FALSE),0)</f>
        <v>120000</v>
      </c>
      <c r="BH140" s="20">
        <f>IFERROR(VLOOKUP(Tabla1[[#This Row],[Llave]],'[5]Consolidación planes'!$A:$M,13,FALSE),0)</f>
        <v>96000</v>
      </c>
      <c r="BI140" s="20">
        <f>IFERROR(VLOOKUP(Tabla1[[#This Row],[Llave]],'[13]Base ultimos planes'!$A:$M,13,FALSE),0)</f>
        <v>73012</v>
      </c>
      <c r="BJ140" s="80">
        <f>IFERROR(VLOOKUP(Tabla1[[#This Row],[Llave]],'[13]Base ultimos planes'!$O:$AA,8,FALSE),0)</f>
        <v>59626.666700000002</v>
      </c>
      <c r="BK140" s="20">
        <f>IFERROR(VLOOKUP(Tabla1[[#This Row],[Llave]],'[13]Base ultimos planes'!$O:$AA,9,FALSE),0)</f>
        <v>14400</v>
      </c>
      <c r="BL140" s="20">
        <f>IFERROR(VLOOKUP(Tabla1[[#This Row],[Llave]],'[13]Base ultimos planes'!$O:$AA,10,FALSE),0)</f>
        <v>90000</v>
      </c>
      <c r="BM140" s="20">
        <f>IFERROR(VLOOKUP(Tabla1[[#This Row],[Llave]],'[13]Base ultimos planes'!$O:$AA,11,FALSE),0)</f>
        <v>89108</v>
      </c>
      <c r="BN140" s="20">
        <f>IFERROR(VLOOKUP(Tabla1[[#This Row],[Llave]],'[13]Base ultimos planes'!$O:$AA,12,FALSE),0)</f>
        <v>84901</v>
      </c>
      <c r="BO140" s="20">
        <f>IFERROR(VLOOKUP(Tabla1[[#This Row],[Llave]],'[13]Base ultimos planes'!$O:$AA,13,FALSE),0)</f>
        <v>66191</v>
      </c>
      <c r="BP140" s="20"/>
      <c r="BQ140" s="20">
        <f>+Tabla1[[#This Row],[ RV  Venta mes n+1]]*(1-Tabla1[[#This Row],[% Uti. producción]])</f>
        <v>0</v>
      </c>
      <c r="BR140" s="100"/>
    </row>
    <row r="141" spans="1:70" ht="16" x14ac:dyDescent="0.2">
      <c r="A141">
        <v>2</v>
      </c>
      <c r="B141" t="str">
        <f>Tabla1[[#This Row],[Oficina]]&amp;Tabla1[[#This Row],[Material]]</f>
        <v>Agrosuper Shanghai1022945</v>
      </c>
      <c r="C141" t="s">
        <v>6</v>
      </c>
      <c r="D141" t="s">
        <v>140</v>
      </c>
      <c r="E141">
        <v>1022945</v>
      </c>
      <c r="F141" t="s">
        <v>150</v>
      </c>
      <c r="G141" t="s">
        <v>11</v>
      </c>
      <c r="H141" t="s">
        <v>47</v>
      </c>
      <c r="I141" s="7">
        <f>IFERROR(VLOOKUP(Tabla1[[#This Row],[Llave]],'[7]RV Producción'!$C:$G,5,FALSE),0)</f>
        <v>0</v>
      </c>
      <c r="J141" s="3">
        <f>IFERROR(IF(Tabla1[[#This Row],[Oficina]]=$I$7,VLOOKUP(Tabla1[[#This Row],[Llave]],'[7]Shangai (Tomas)'!$A:$F,6,FALSE),VLOOKUP(Tabla1[[#This Row],[Llave]],'[7]RV plan de ventas'!$A:$E,5,FALSE)),0)</f>
        <v>0</v>
      </c>
      <c r="K141" s="8">
        <f>IFERROR(VLOOKUP(Tabla1[[#This Row],[Oficina]],[15]Ponderación!$B$2:$E$9,4,FALSE),0)</f>
        <v>0.45719439678473212</v>
      </c>
      <c r="L141" s="7">
        <f>+Tabla1[[#This Row],[ RV Producción mes n+1]]*Tabla1[[#This Row],[% Uti. producción]]</f>
        <v>0</v>
      </c>
      <c r="M141" s="7">
        <f>IFERROR(VLOOKUP(Tabla1[[#This Row],[Material]],'[17]TD Stock'!$E:$I,5,FALSE),0)</f>
        <v>31712.082588748188</v>
      </c>
      <c r="N141" s="7">
        <f>IFERROR(VLOOKUP(Tabla1[[#This Row],[Material]],[16]Produccion!$M:$N,2,FALSE),0)</f>
        <v>33984</v>
      </c>
      <c r="O141" s="7">
        <f>IFERROR(VLOOKUP(Tabla1[[#This Row],[Llave]],'[16]TD Conf-AP'!$I:$M,4,FALSE),0)</f>
        <v>0</v>
      </c>
      <c r="P141" s="14">
        <f>SUM(Tabla1[[#This Row],[Producción disponible]],Tabla1[[#This Row],[Stock al día]],(Tabla1[[#This Row],[Por producir mes N]]*0.9))-Tabla1[[#This Row],[Producción por despachar mes N]]</f>
        <v>62297.68258874819</v>
      </c>
      <c r="Q141" s="7">
        <f>IFERROR(VLOOKUP(Tabla1[[#This Row],[Llave]],[17]DELAY!$A:$D,4,FALSE),0)</f>
        <v>0</v>
      </c>
      <c r="R141" s="9">
        <v>24000</v>
      </c>
      <c r="S141" s="5">
        <f t="shared" si="31"/>
        <v>0</v>
      </c>
      <c r="T141" s="76">
        <v>0</v>
      </c>
      <c r="U141" s="5">
        <f>+Tabla1[[#This Row],[Atraso a facturar]]+Tabla1[[#This Row],[Ajuste atraso]]</f>
        <v>0</v>
      </c>
      <c r="V141" s="3">
        <f>+Tabla1[[#This Row],[Total disponible]]-Tabla1[[#This Row],[Facturación atraso]]</f>
        <v>62297.68258874819</v>
      </c>
      <c r="W141" s="6">
        <f>IFERROR(IF(AND(V141&gt;R141,J141&gt;=R141),ROUNDDOWN((Tabla1[[#This Row],[Producción para venta nueva]])/R141,0)*R141,0),0)</f>
        <v>0</v>
      </c>
      <c r="X141" s="76">
        <v>0</v>
      </c>
      <c r="Y141" s="6">
        <f>IF(Tabla1[[#This Row],[Venta del mes]]&gt;0,Tabla1[[#This Row],[Venta del mes]]+Tabla1[[#This Row],[Ajuste venta nueva]],0)</f>
        <v>0</v>
      </c>
      <c r="Z141" s="6">
        <f>+Tabla1[[#This Row],[Producción para venta nueva]]-Tabla1[[#This Row],[Facturación Venta nueva]]</f>
        <v>62297.68258874819</v>
      </c>
      <c r="AA141" s="6">
        <f>IF(AND(A141=1,Tabla1[[#This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1" s="6"/>
      <c r="AC141" s="6">
        <f>IF(Tabla1[[#This Row],[Disponible stock sin venta]]&gt;0,Tabla1[[#This Row],[Disponible stock sin venta]]+Tabla1[[#This Row],[Ajuste stock sin venta]],0)</f>
        <v>0</v>
      </c>
      <c r="AD141" s="3">
        <f>IFERROR(VLOOKUP(Tabla1[[#This Row],[Llave]],'[16]TD Puerto'!$A:$D,4,FALSE),0)</f>
        <v>24080</v>
      </c>
      <c r="AE141" s="3">
        <v>24080</v>
      </c>
      <c r="AF141" s="3">
        <f>+Tabla1[[#This Row],[Atraso a facturar]]+Tabla1[[#This Row],[Venta del mes]]+Tabla1[[#This Row],[En puerto a facturar]]+Tabla1[[#This Row],[Disponible stock sin venta]]</f>
        <v>24080</v>
      </c>
      <c r="AG141" s="3">
        <f>+Tabla1[[#This Row],[En puerto a facturar]]</f>
        <v>24080</v>
      </c>
      <c r="AH141" s="3">
        <f>+Tabla1[[#This Row],[Facturación atraso]]</f>
        <v>0</v>
      </c>
      <c r="AI141" s="3">
        <f>+Tabla1[[#This Row],[Plan Irrestricto]]-Tabla1[[#This Row],[Puerto ]]-Tabla1[[#This Row],[Atraso]]</f>
        <v>0</v>
      </c>
      <c r="AJ141" s="3">
        <f>IF(Tabla1[[#This Row],[Plan Irrestricto]]&gt;0,SUM(Tabla1[[#This Row],[Facturación atraso]],Tabla1[[#This Row],[Facturación Venta nueva]],Tabla1[[#This Row],[Facturación stock]],Tabla1[[#This Row],[En puerto a facturar]]),0)</f>
        <v>24080</v>
      </c>
      <c r="AK141" s="3">
        <f>+Tabla1[[#This Row],[Facturación atraso]]</f>
        <v>0</v>
      </c>
      <c r="AL141" s="3">
        <f>+Tabla1[[#This Row],[Plan Ajustado]]-Tabla1[[#This Row],[ Atraso ajustado]]-Tabla1[[#This Row],[Puerto ]]</f>
        <v>0</v>
      </c>
      <c r="AM141" s="3">
        <v>0</v>
      </c>
      <c r="AN141" s="3" t="str">
        <f>IF(Tabla1[[#This Row],[Plan Ajustado]]&gt;Tabla1[[#This Row],[En puerto a facturar]],"Si","No")</f>
        <v>No</v>
      </c>
      <c r="AO14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41" s="3">
        <f>IF(Tabla1[[#This Row],[Necesidad]]&gt;=Tabla1[[#This Row],[Stock al día]],Tabla1[[#This Row],[Stock al día]],Tabla1[[#This Row],[Necesidad]])</f>
        <v>0</v>
      </c>
      <c r="AQ141" s="3">
        <f>+Tabla1[[#This Row],[Necesidad]]-Tabla1[[#This Row],[Stock Plan]]</f>
        <v>0</v>
      </c>
      <c r="AR141" s="156">
        <f>IFERROR(VLOOKUP(Tabla1[[#This Row],[Oficina]],[22]Ponderación!$B$3:$G$9,6,FALSE),"")</f>
        <v>44754</v>
      </c>
      <c r="AS14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1.1966437737237294</v>
      </c>
      <c r="AT141" s="84">
        <f>+Tabla1[[#This Row],[Precio venta nueva]]</f>
        <v>1.1966437737237294</v>
      </c>
      <c r="AU14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1.1966437737237294</v>
      </c>
      <c r="AV141" s="5">
        <f>+Tabla1[[#This Row],[Plan Ajustado]]*Tabla1[[#This Row],[Precio ponderado]]</f>
        <v>28815.182071267405</v>
      </c>
      <c r="AW141" s="30">
        <f>IFERROR(VLOOKUP(Tabla1[[#This Row],[Llave]],'[13]Ultimos precios facturados'!$A:$G,7,FALSE),0)</f>
        <v>1.1966437737237294</v>
      </c>
      <c r="AX14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141" s="30"/>
      <c r="AZ141" s="30">
        <f>IF(Tabla1[[#This Row],[Ajuste precio IC]]="",Tabla1[[#This Row],[Precio ponderado]],Tabla1[[#This Row],[Precio ponderado]])</f>
        <v>1.1966437737237294</v>
      </c>
      <c r="BA141" s="82"/>
      <c r="BB141" s="82" t="str">
        <f>IF(AND(Tabla1[[#This Row],[Atraso a facturar]]&gt;0,Tabla1[[#This Row],[Precio Atraso]]=0),"Revisar","OK")</f>
        <v>OK</v>
      </c>
      <c r="BC141" s="82" t="str">
        <f>IF(AND(Tabla1[[#This Row],[Venta del mes]]&gt;0,Tabla1[[#This Row],[Precio venta nueva]]=0),"Revisar","OK")</f>
        <v>OK</v>
      </c>
      <c r="BD141" s="20">
        <f>IFERROR(VLOOKUP(Tabla1[[#This Row],[Llave]],'[5]Consolidación planes'!$A:$M,9,FALSE),0)</f>
        <v>144000</v>
      </c>
      <c r="BE141" s="20">
        <f>IFERROR(VLOOKUP(Tabla1[[#This Row],[Llave]],'[5]Consolidación planes'!$A:$M,10,FALSE),0)</f>
        <v>0</v>
      </c>
      <c r="BF141" s="20">
        <f>IFERROR(VLOOKUP(Tabla1[[#This Row],[Llave]],'[5]Consolidación planes'!$A:$M,11,FALSE),0)</f>
        <v>0</v>
      </c>
      <c r="BG141" s="20">
        <f>IFERROR(VLOOKUP(Tabla1[[#This Row],[Llave]],'[5]Consolidación planes'!$A:$M,12,FALSE),0)</f>
        <v>0</v>
      </c>
      <c r="BH141" s="20">
        <f>IFERROR(VLOOKUP(Tabla1[[#This Row],[Llave]],'[5]Consolidación planes'!$A:$M,13,FALSE),0)</f>
        <v>48000</v>
      </c>
      <c r="BI141" s="20">
        <f>IFERROR(VLOOKUP(Tabla1[[#This Row],[Llave]],'[13]Base ultimos planes'!$A:$M,13,FALSE),0)</f>
        <v>48140</v>
      </c>
      <c r="BJ141" s="80">
        <f>IFERROR(VLOOKUP(Tabla1[[#This Row],[Llave]],'[13]Base ultimos planes'!$O:$AA,8,FALSE),0)</f>
        <v>94200</v>
      </c>
      <c r="BK141" s="20">
        <f>IFERROR(VLOOKUP(Tabla1[[#This Row],[Llave]],'[13]Base ultimos planes'!$O:$AA,9,FALSE),0)</f>
        <v>0</v>
      </c>
      <c r="BL141" s="20">
        <f>IFERROR(VLOOKUP(Tabla1[[#This Row],[Llave]],'[13]Base ultimos planes'!$O:$AA,10,FALSE),0)</f>
        <v>0</v>
      </c>
      <c r="BM141" s="20">
        <f>IFERROR(VLOOKUP(Tabla1[[#This Row],[Llave]],'[13]Base ultimos planes'!$O:$AA,11,FALSE),0)</f>
        <v>0</v>
      </c>
      <c r="BN141" s="20">
        <f>IFERROR(VLOOKUP(Tabla1[[#This Row],[Llave]],'[13]Base ultimos planes'!$O:$AA,12,FALSE),0)</f>
        <v>46080</v>
      </c>
      <c r="BO141" s="20">
        <f>IFERROR(VLOOKUP(Tabla1[[#This Row],[Llave]],'[13]Base ultimos planes'!$O:$AA,13,FALSE),0)</f>
        <v>45412</v>
      </c>
      <c r="BP141" s="20"/>
      <c r="BQ141" s="20">
        <f>+Tabla1[[#This Row],[ RV  Venta mes n+1]]*(1-Tabla1[[#This Row],[% Uti. producción]])</f>
        <v>0</v>
      </c>
      <c r="BR141" s="100"/>
    </row>
    <row r="142" spans="1:70" ht="16" x14ac:dyDescent="0.2">
      <c r="A142">
        <v>2</v>
      </c>
      <c r="B142" t="str">
        <f>Tabla1[[#This Row],[Oficina]]&amp;Tabla1[[#This Row],[Material]]</f>
        <v>Agrosuper Shanghai1023034</v>
      </c>
      <c r="C142" t="s">
        <v>6</v>
      </c>
      <c r="D142" t="s">
        <v>140</v>
      </c>
      <c r="E142">
        <v>1023034</v>
      </c>
      <c r="F142" t="s">
        <v>143</v>
      </c>
      <c r="G142" t="s">
        <v>8</v>
      </c>
      <c r="H142" t="s">
        <v>30</v>
      </c>
      <c r="I142" s="7">
        <f>IFERROR(VLOOKUP(Tabla1[[#This Row],[Llave]],'[7]RV Producción'!$C:$G,5,FALSE),0)</f>
        <v>0</v>
      </c>
      <c r="J142" s="3">
        <f>IFERROR(IF(Tabla1[[#This Row],[Oficina]]=$I$7,VLOOKUP(Tabla1[[#This Row],[Llave]],'[7]Shangai (Tomas)'!$A:$F,6,FALSE),VLOOKUP(Tabla1[[#This Row],[Llave]],'[7]RV plan de ventas'!$A:$E,5,FALSE)),0)</f>
        <v>0</v>
      </c>
      <c r="K142" s="8">
        <f>IFERROR(VLOOKUP(Tabla1[[#This Row],[Oficina]],[15]Ponderación!$B$2:$E$9,4,FALSE),0)</f>
        <v>0.45719439678473212</v>
      </c>
      <c r="L142" s="7">
        <f>+Tabla1[[#This Row],[ RV Producción mes n+1]]*Tabla1[[#This Row],[% Uti. producción]]</f>
        <v>0</v>
      </c>
      <c r="M142" s="7">
        <f>IFERROR(VLOOKUP(Tabla1[[#This Row],[Material]],'[17]TD Stock'!$E:$I,5,FALSE),0)</f>
        <v>21955.589366489392</v>
      </c>
      <c r="N142" s="7">
        <f>IFERROR(VLOOKUP(Tabla1[[#This Row],[Material]],[16]Produccion!$M:$N,2,FALSE),0)</f>
        <v>20540</v>
      </c>
      <c r="O142" s="7">
        <f>IFERROR(VLOOKUP(Tabla1[[#This Row],[Llave]],'[16]TD Conf-AP'!$I:$M,4,FALSE),0)</f>
        <v>0</v>
      </c>
      <c r="P142" s="14">
        <f>SUM(Tabla1[[#This Row],[Producción disponible]],Tabla1[[#This Row],[Stock al día]],(Tabla1[[#This Row],[Por producir mes N]]*0.9))-Tabla1[[#This Row],[Producción por despachar mes N]]</f>
        <v>40441.589366489396</v>
      </c>
      <c r="Q142" s="7">
        <f>IFERROR(VLOOKUP(Tabla1[[#This Row],[Llave]],[17]DELAY!$A:$D,4,FALSE),0)</f>
        <v>48000</v>
      </c>
      <c r="R142" s="9">
        <v>24000</v>
      </c>
      <c r="S142" s="5">
        <f t="shared" si="31"/>
        <v>24000</v>
      </c>
      <c r="T142" s="76">
        <v>0</v>
      </c>
      <c r="U142" s="5">
        <f>+Tabla1[[#This Row],[Atraso a facturar]]+Tabla1[[#This Row],[Ajuste atraso]]</f>
        <v>24000</v>
      </c>
      <c r="V142" s="3">
        <f>+Tabla1[[#This Row],[Total disponible]]-Tabla1[[#This Row],[Facturación atraso]]</f>
        <v>16441.589366489396</v>
      </c>
      <c r="W142" s="6">
        <f>IFERROR(IF(AND(V142&gt;R142,J142&gt;=R142),ROUNDDOWN((Tabla1[[#This Row],[Producción para venta nueva]])/R142,0)*R142,0),0)</f>
        <v>0</v>
      </c>
      <c r="X142" s="76">
        <v>0</v>
      </c>
      <c r="Y142" s="6">
        <f>IF(Tabla1[[#This Row],[Venta del mes]]&gt;0,Tabla1[[#This Row],[Venta del mes]]+Tabla1[[#This Row],[Ajuste venta nueva]],0)</f>
        <v>0</v>
      </c>
      <c r="Z142" s="6">
        <f>+Tabla1[[#This Row],[Producción para venta nueva]]-Tabla1[[#This Row],[Facturación Venta nueva]]</f>
        <v>16441.589366489396</v>
      </c>
      <c r="AA142" s="6">
        <f>IF(AND(A142=1,Tabla1[[#This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2" s="6"/>
      <c r="AC142" s="6">
        <f>IF(Tabla1[[#This Row],[Disponible stock sin venta]]&gt;0,Tabla1[[#This Row],[Disponible stock sin venta]]+Tabla1[[#This Row],[Ajuste stock sin venta]],0)</f>
        <v>0</v>
      </c>
      <c r="AD142" s="3">
        <f>IFERROR(VLOOKUP(Tabla1[[#This Row],[Llave]],'[16]TD Puerto'!$A:$D,4,FALSE),0)</f>
        <v>0</v>
      </c>
      <c r="AE142" s="3">
        <v>24000</v>
      </c>
      <c r="AF142" s="3">
        <f>+Tabla1[[#This Row],[Atraso a facturar]]+Tabla1[[#This Row],[Venta del mes]]+Tabla1[[#This Row],[En puerto a facturar]]+Tabla1[[#This Row],[Disponible stock sin venta]]</f>
        <v>24000</v>
      </c>
      <c r="AG142" s="3">
        <f>+Tabla1[[#This Row],[En puerto a facturar]]</f>
        <v>0</v>
      </c>
      <c r="AH142" s="3">
        <f>+Tabla1[[#This Row],[Facturación atraso]]</f>
        <v>24000</v>
      </c>
      <c r="AI142" s="3">
        <f>+Tabla1[[#This Row],[Plan Irrestricto]]-Tabla1[[#This Row],[Puerto ]]-Tabla1[[#This Row],[Atraso]]</f>
        <v>0</v>
      </c>
      <c r="AJ142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142" s="3">
        <f>+Tabla1[[#This Row],[Facturación atraso]]</f>
        <v>24000</v>
      </c>
      <c r="AL142" s="3">
        <f>+Tabla1[[#This Row],[Plan Ajustado]]-Tabla1[[#This Row],[ Atraso ajustado]]-Tabla1[[#This Row],[Puerto ]]</f>
        <v>0</v>
      </c>
      <c r="AM142" s="3">
        <v>0</v>
      </c>
      <c r="AN142" s="3" t="str">
        <f>IF(Tabla1[[#This Row],[Plan Ajustado]]&gt;Tabla1[[#This Row],[En puerto a facturar]],"Si","No")</f>
        <v>Si</v>
      </c>
      <c r="AO142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142" s="3">
        <f>IF(Tabla1[[#This Row],[Necesidad]]&gt;=Tabla1[[#This Row],[Stock al día]],Tabla1[[#This Row],[Stock al día]],Tabla1[[#This Row],[Necesidad]])</f>
        <v>21955.589366489392</v>
      </c>
      <c r="AQ142" s="3">
        <f>+Tabla1[[#This Row],[Necesidad]]-Tabla1[[#This Row],[Stock Plan]]</f>
        <v>2044.410633510608</v>
      </c>
      <c r="AR142" s="156">
        <f>IFERROR(VLOOKUP(Tabla1[[#This Row],[Oficina]],[22]Ponderación!$B$3:$G$9,6,FALSE),"")</f>
        <v>44754</v>
      </c>
      <c r="AS14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0.71877046736891992</v>
      </c>
      <c r="AT142" s="83">
        <f>IFERROR(VLOOKUP(Tabla1[[#This Row],[Llave]],[17]DELAY!$H:$W,16,FALSE),0)</f>
        <v>0.73333333333333284</v>
      </c>
      <c r="AU14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0.73333333333333284</v>
      </c>
      <c r="AV142" s="5">
        <f>+Tabla1[[#This Row],[Plan Ajustado]]*Tabla1[[#This Row],[Precio ponderado]]</f>
        <v>17599.999999999989</v>
      </c>
      <c r="AW142" s="30">
        <f>IFERROR(VLOOKUP(Tabla1[[#This Row],[Llave]],'[13]Ultimos precios facturados'!$A:$G,7,FALSE),0)</f>
        <v>0.71877046736891992</v>
      </c>
      <c r="AX14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2.0260801779628915E-2</v>
      </c>
      <c r="AY142" s="30"/>
      <c r="AZ142" s="30">
        <f>IF(Tabla1[[#This Row],[Ajuste precio IC]]="",Tabla1[[#This Row],[Precio ponderado]],Tabla1[[#This Row],[Precio ponderado]])</f>
        <v>0.73333333333333284</v>
      </c>
      <c r="BA142" s="82"/>
      <c r="BB142" s="82" t="str">
        <f>IF(AND(Tabla1[[#This Row],[Atraso a facturar]]&gt;0,Tabla1[[#This Row],[Precio Atraso]]=0),"Revisar","OK")</f>
        <v>OK</v>
      </c>
      <c r="BC142" s="82" t="str">
        <f>IF(AND(Tabla1[[#This Row],[Venta del mes]]&gt;0,Tabla1[[#This Row],[Precio venta nueva]]=0),"Revisar","OK")</f>
        <v>OK</v>
      </c>
      <c r="BD142" s="20">
        <f>IFERROR(VLOOKUP(Tabla1[[#This Row],[Llave]],'[5]Consolidación planes'!$A:$M,9,FALSE),0)</f>
        <v>120000</v>
      </c>
      <c r="BE142" s="20">
        <f>IFERROR(VLOOKUP(Tabla1[[#This Row],[Llave]],'[5]Consolidación planes'!$A:$M,10,FALSE),0)</f>
        <v>96000</v>
      </c>
      <c r="BF142" s="20">
        <f>IFERROR(VLOOKUP(Tabla1[[#This Row],[Llave]],'[5]Consolidación planes'!$A:$M,11,FALSE),0)</f>
        <v>24000</v>
      </c>
      <c r="BG142" s="20">
        <f>IFERROR(VLOOKUP(Tabla1[[#This Row],[Llave]],'[5]Consolidación planes'!$A:$M,12,FALSE),0)</f>
        <v>120000</v>
      </c>
      <c r="BH142" s="20">
        <f>IFERROR(VLOOKUP(Tabla1[[#This Row],[Llave]],'[5]Consolidación planes'!$A:$M,13,FALSE),0)</f>
        <v>72100</v>
      </c>
      <c r="BI142" s="20">
        <f>IFERROR(VLOOKUP(Tabla1[[#This Row],[Llave]],'[13]Base ultimos planes'!$A:$M,13,FALSE),0)</f>
        <v>72000</v>
      </c>
      <c r="BJ142" s="80">
        <f>IFERROR(VLOOKUP(Tabla1[[#This Row],[Llave]],'[13]Base ultimos planes'!$O:$AA,8,FALSE),0)</f>
        <v>34000</v>
      </c>
      <c r="BK142" s="20">
        <f>IFERROR(VLOOKUP(Tabla1[[#This Row],[Llave]],'[13]Base ultimos planes'!$O:$AA,9,FALSE),0)</f>
        <v>29760</v>
      </c>
      <c r="BL142" s="20">
        <f>IFERROR(VLOOKUP(Tabla1[[#This Row],[Llave]],'[13]Base ultimos planes'!$O:$AA,10,FALSE),0)</f>
        <v>7039</v>
      </c>
      <c r="BM142" s="20">
        <f>IFERROR(VLOOKUP(Tabla1[[#This Row],[Llave]],'[13]Base ultimos planes'!$O:$AA,11,FALSE),0)</f>
        <v>42744</v>
      </c>
      <c r="BN142" s="20">
        <f>IFERROR(VLOOKUP(Tabla1[[#This Row],[Llave]],'[13]Base ultimos planes'!$O:$AA,12,FALSE),0)</f>
        <v>37227</v>
      </c>
      <c r="BO142" s="20">
        <f>IFERROR(VLOOKUP(Tabla1[[#This Row],[Llave]],'[13]Base ultimos planes'!$O:$AA,13,FALSE),0)</f>
        <v>54000</v>
      </c>
      <c r="BP142" s="20"/>
      <c r="BQ142" s="20">
        <f>+Tabla1[[#This Row],[ RV  Venta mes n+1]]*(1-Tabla1[[#This Row],[% Uti. producción]])</f>
        <v>0</v>
      </c>
      <c r="BR142" s="100"/>
    </row>
    <row r="143" spans="1:70" ht="16" hidden="1" x14ac:dyDescent="0.2">
      <c r="A143">
        <v>2</v>
      </c>
      <c r="B143" t="str">
        <f>Tabla1[[#This Row],[Oficina]]&amp;Tabla1[[#This Row],[Material]]</f>
        <v>Agrosuper Shanghai1023093</v>
      </c>
      <c r="C143" t="s">
        <v>6</v>
      </c>
      <c r="D143" t="s">
        <v>140</v>
      </c>
      <c r="E143">
        <v>1023093</v>
      </c>
      <c r="F143" t="s">
        <v>306</v>
      </c>
      <c r="G143" t="s">
        <v>71</v>
      </c>
      <c r="H143" t="s">
        <v>72</v>
      </c>
      <c r="I143" s="7">
        <f>IFERROR(VLOOKUP(Tabla1[[#This Row],[Llave]],'[7]RV Producción'!$C:$G,5,FALSE),0)</f>
        <v>0</v>
      </c>
      <c r="J143" s="3">
        <f>IFERROR(IF(Tabla1[[#This Row],[Oficina]]=$I$7,VLOOKUP(Tabla1[[#This Row],[Llave]],'[7]Shangai (Tomas)'!$A:$F,6,FALSE),VLOOKUP(Tabla1[[#This Row],[Llave]],'[7]RV plan de ventas'!$A:$E,5,FALSE)),0)</f>
        <v>0</v>
      </c>
      <c r="K143" s="8">
        <f>IFERROR(VLOOKUP(Tabla1[[#This Row],[Oficina]],[15]Ponderación!$B$2:$E$9,4,FALSE),0)</f>
        <v>0.45719439678473212</v>
      </c>
      <c r="L143" s="7">
        <f>+Tabla1[[#This Row],[ RV Producción mes n+1]]*Tabla1[[#This Row],[% Uti. producción]]</f>
        <v>0</v>
      </c>
      <c r="M143" s="7">
        <f>IFERROR(VLOOKUP(Tabla1[[#This Row],[Material]],'[17]TD Stock'!$E:$I,5,FALSE),0)</f>
        <v>6359.6440000000002</v>
      </c>
      <c r="N143" s="7">
        <f>IFERROR(VLOOKUP(Tabla1[[#This Row],[Material]],[16]Produccion!$M:$N,2,FALSE),0)</f>
        <v>16028</v>
      </c>
      <c r="O143" s="7">
        <f>IFERROR(VLOOKUP(Tabla1[[#This Row],[Llave]],'[16]TD Conf-AP'!$I:$M,4,FALSE),0)</f>
        <v>0</v>
      </c>
      <c r="P143" s="14">
        <f>SUM(Tabla1[[#This Row],[Producción disponible]],Tabla1[[#This Row],[Stock al día]],(Tabla1[[#This Row],[Por producir mes N]]*0.9))-Tabla1[[#This Row],[Producción por despachar mes N]]</f>
        <v>20784.844000000001</v>
      </c>
      <c r="Q143" s="7">
        <f>IFERROR(VLOOKUP(Tabla1[[#This Row],[Llave]],[17]DELAY!$A:$D,4,FALSE),0)</f>
        <v>0</v>
      </c>
      <c r="R143" s="9">
        <v>24000</v>
      </c>
      <c r="S143" s="5">
        <f t="shared" si="31"/>
        <v>0</v>
      </c>
      <c r="T143" s="76">
        <v>0</v>
      </c>
      <c r="U143" s="5">
        <f>+Tabla1[[#This Row],[Atraso a facturar]]+Tabla1[[#This Row],[Ajuste atraso]]</f>
        <v>0</v>
      </c>
      <c r="V143" s="3">
        <f>+Tabla1[[#This Row],[Total disponible]]-Tabla1[[#This Row],[Facturación atraso]]</f>
        <v>20784.844000000001</v>
      </c>
      <c r="W143" s="6">
        <f>IFERROR(IF(AND(V143&gt;R143,J143&gt;=R143),ROUNDDOWN((Tabla1[[#This Row],[Producción para venta nueva]])/R143,0)*R143,0),0)</f>
        <v>0</v>
      </c>
      <c r="X143" s="76">
        <v>0</v>
      </c>
      <c r="Y143" s="6">
        <f>IF(Tabla1[[#This Row],[Venta del mes]]&gt;0,Tabla1[[#This Row],[Venta del mes]]+Tabla1[[#This Row],[Ajuste venta nueva]],0)</f>
        <v>0</v>
      </c>
      <c r="Z143" s="6">
        <f>+Tabla1[[#This Row],[Producción para venta nueva]]-Tabla1[[#This Row],[Facturación Venta nueva]]</f>
        <v>20784.844000000001</v>
      </c>
      <c r="AA143" s="6">
        <f>IF(AND(A143=1,Tabla1[[#This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3" s="6"/>
      <c r="AC143" s="6">
        <f>IF(Tabla1[[#This Row],[Disponible stock sin venta]]&gt;0,Tabla1[[#This Row],[Disponible stock sin venta]]+Tabla1[[#This Row],[Ajuste stock sin venta]],0)</f>
        <v>0</v>
      </c>
      <c r="AD143" s="3">
        <f>IFERROR(VLOOKUP(Tabla1[[#This Row],[Llave]],'[16]TD Puerto'!$A:$D,4,FALSE),0)</f>
        <v>0</v>
      </c>
      <c r="AE143" s="3">
        <v>0</v>
      </c>
      <c r="AF143" s="3">
        <f>+Tabla1[[#This Row],[Atraso a facturar]]+Tabla1[[#This Row],[Venta del mes]]+Tabla1[[#This Row],[En puerto a facturar]]+Tabla1[[#This Row],[Disponible stock sin venta]]</f>
        <v>0</v>
      </c>
      <c r="AG143" s="3">
        <f>+Tabla1[[#This Row],[En puerto a facturar]]</f>
        <v>0</v>
      </c>
      <c r="AH143" s="3">
        <f>+Tabla1[[#This Row],[Facturación atraso]]</f>
        <v>0</v>
      </c>
      <c r="AI143" s="3">
        <f>+Tabla1[[#This Row],[Plan Irrestricto]]-Tabla1[[#This Row],[Puerto ]]-Tabla1[[#This Row],[Atraso]]</f>
        <v>0</v>
      </c>
      <c r="AJ14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43" s="3">
        <f>+Tabla1[[#This Row],[Facturación atraso]]</f>
        <v>0</v>
      </c>
      <c r="AL143" s="3">
        <f>+Tabla1[[#This Row],[Plan Ajustado]]-Tabla1[[#This Row],[ Atraso ajustado]]-Tabla1[[#This Row],[Puerto ]]</f>
        <v>0</v>
      </c>
      <c r="AM143" s="3">
        <v>0</v>
      </c>
      <c r="AN143" s="3" t="str">
        <f>IF(Tabla1[[#This Row],[Plan Ajustado]]&gt;Tabla1[[#This Row],[En puerto a facturar]],"Si","No")</f>
        <v>No</v>
      </c>
      <c r="AO14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43" s="3">
        <f>IF(Tabla1[[#This Row],[Necesidad]]&gt;=Tabla1[[#This Row],[Stock al día]],Tabla1[[#This Row],[Stock al día]],Tabla1[[#This Row],[Necesidad]])</f>
        <v>0</v>
      </c>
      <c r="AQ143" s="3">
        <f>+Tabla1[[#This Row],[Necesidad]]-Tabla1[[#This Row],[Stock Plan]]</f>
        <v>0</v>
      </c>
      <c r="AR143" s="156">
        <f>IFERROR(VLOOKUP(Tabla1[[#This Row],[Oficina]],[22]Ponderación!$B$3:$G$9,6,FALSE),"")</f>
        <v>44754</v>
      </c>
      <c r="AS14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3.8624169164742792</v>
      </c>
      <c r="AT143" s="83">
        <f>IFERROR(VLOOKUP(Tabla1[[#This Row],[Llave]],[17]DELAY!$H:$W,16,FALSE),0)</f>
        <v>0</v>
      </c>
      <c r="AU14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43" s="5">
        <f>+Tabla1[[#This Row],[Plan Ajustado]]*Tabla1[[#This Row],[Precio ponderado]]</f>
        <v>0</v>
      </c>
      <c r="AW143" s="30">
        <f>IFERROR(VLOOKUP(Tabla1[[#This Row],[Llave]],'[13]Ultimos precios facturados'!$A:$G,7,FALSE),0)</f>
        <v>3.8624169164742792</v>
      </c>
      <c r="AX14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43" s="30"/>
      <c r="AZ143" s="30">
        <f>IF(Tabla1[[#This Row],[Ajuste precio IC]]="",Tabla1[[#This Row],[Precio ponderado]],Tabla1[[#This Row],[Precio ponderado]])</f>
        <v>0</v>
      </c>
      <c r="BA143" s="82"/>
      <c r="BB143" s="82" t="str">
        <f>IF(AND(Tabla1[[#This Row],[Atraso a facturar]]&gt;0,Tabla1[[#This Row],[Precio Atraso]]=0),"Revisar","OK")</f>
        <v>OK</v>
      </c>
      <c r="BC143" s="82" t="str">
        <f>IF(AND(Tabla1[[#This Row],[Venta del mes]]&gt;0,Tabla1[[#This Row],[Precio venta nueva]]=0),"Revisar","OK")</f>
        <v>OK</v>
      </c>
      <c r="BD143" s="20">
        <f>IFERROR(VLOOKUP(Tabla1[[#This Row],[Llave]],'[5]Consolidación planes'!$A:$M,9,FALSE),0)</f>
        <v>0</v>
      </c>
      <c r="BE143" s="20">
        <f>IFERROR(VLOOKUP(Tabla1[[#This Row],[Llave]],'[5]Consolidación planes'!$A:$M,10,FALSE),0)</f>
        <v>0</v>
      </c>
      <c r="BF143" s="20">
        <f>IFERROR(VLOOKUP(Tabla1[[#This Row],[Llave]],'[5]Consolidación planes'!$A:$M,11,FALSE),0)</f>
        <v>12000</v>
      </c>
      <c r="BG143" s="20">
        <f>IFERROR(VLOOKUP(Tabla1[[#This Row],[Llave]],'[5]Consolidación planes'!$A:$M,12,FALSE),0)</f>
        <v>12000</v>
      </c>
      <c r="BH143" s="20">
        <f>IFERROR(VLOOKUP(Tabla1[[#This Row],[Llave]],'[5]Consolidación planes'!$A:$M,13,FALSE),0)</f>
        <v>0</v>
      </c>
      <c r="BI143" s="20">
        <f>IFERROR(VLOOKUP(Tabla1[[#This Row],[Llave]],'[13]Base ultimos planes'!$A:$M,13,FALSE),0)</f>
        <v>0</v>
      </c>
      <c r="BJ143" s="80">
        <f>IFERROR(VLOOKUP(Tabla1[[#This Row],[Llave]],'[13]Base ultimos planes'!$O:$AA,8,FALSE),0)</f>
        <v>0</v>
      </c>
      <c r="BK143" s="20">
        <f>IFERROR(VLOOKUP(Tabla1[[#This Row],[Llave]],'[13]Base ultimos planes'!$O:$AA,9,FALSE),0)</f>
        <v>0</v>
      </c>
      <c r="BL143" s="20">
        <f>IFERROR(VLOOKUP(Tabla1[[#This Row],[Llave]],'[13]Base ultimos planes'!$O:$AA,10,FALSE),0)</f>
        <v>41800</v>
      </c>
      <c r="BM143" s="20">
        <f>IFERROR(VLOOKUP(Tabla1[[#This Row],[Llave]],'[13]Base ultimos planes'!$O:$AA,11,FALSE),0)</f>
        <v>20940</v>
      </c>
      <c r="BN143" s="20">
        <f>IFERROR(VLOOKUP(Tabla1[[#This Row],[Llave]],'[13]Base ultimos planes'!$O:$AA,12,FALSE),0)</f>
        <v>0</v>
      </c>
      <c r="BO143" s="20">
        <f>IFERROR(VLOOKUP(Tabla1[[#This Row],[Llave]],'[13]Base ultimos planes'!$O:$AA,13,FALSE),0)</f>
        <v>0</v>
      </c>
      <c r="BP143" s="20"/>
      <c r="BQ143" s="20">
        <f>+Tabla1[[#This Row],[ RV  Venta mes n+1]]*(1-Tabla1[[#This Row],[% Uti. producción]])</f>
        <v>0</v>
      </c>
      <c r="BR143" s="100"/>
    </row>
    <row r="144" spans="1:70" ht="16" hidden="1" x14ac:dyDescent="0.2">
      <c r="A144">
        <v>2</v>
      </c>
      <c r="B144" t="str">
        <f>Tabla1[[#This Row],[Oficina]]&amp;Tabla1[[#This Row],[Material]]</f>
        <v>Agrosuper Shanghai1023111</v>
      </c>
      <c r="C144" t="s">
        <v>6</v>
      </c>
      <c r="D144" t="s">
        <v>140</v>
      </c>
      <c r="E144">
        <v>1023111</v>
      </c>
      <c r="F144" t="s">
        <v>146</v>
      </c>
      <c r="G144" t="s">
        <v>11</v>
      </c>
      <c r="H144" t="s">
        <v>12</v>
      </c>
      <c r="I144" s="7">
        <f>IFERROR(VLOOKUP(Tabla1[[#This Row],[Llave]],'[7]RV Producción'!$C:$G,5,FALSE),0)</f>
        <v>0</v>
      </c>
      <c r="J144" s="3">
        <f>IFERROR(IF(Tabla1[[#This Row],[Oficina]]=$I$7,VLOOKUP(Tabla1[[#This Row],[Llave]],'[7]Shangai (Tomas)'!$A:$F,6,FALSE),VLOOKUP(Tabla1[[#This Row],[Llave]],'[7]RV plan de ventas'!$A:$E,5,FALSE)),0)</f>
        <v>0</v>
      </c>
      <c r="K144" s="8">
        <f>IFERROR(VLOOKUP(Tabla1[[#This Row],[Oficina]],[15]Ponderación!$B$2:$E$9,4,FALSE),0)</f>
        <v>0.45719439678473212</v>
      </c>
      <c r="L144" s="7">
        <f>+Tabla1[[#This Row],[ RV Producción mes n+1]]*Tabla1[[#This Row],[% Uti. producción]]</f>
        <v>0</v>
      </c>
      <c r="M144" s="7">
        <f>IFERROR(VLOOKUP(Tabla1[[#This Row],[Material]],'[17]TD Stock'!$E:$I,5,FALSE),0)</f>
        <v>1702.3545907995949</v>
      </c>
      <c r="N144" s="7">
        <f>IFERROR(VLOOKUP(Tabla1[[#This Row],[Material]],[16]Produccion!$M:$N,2,FALSE),0)</f>
        <v>0</v>
      </c>
      <c r="O144" s="7">
        <f>IFERROR(VLOOKUP(Tabla1[[#This Row],[Llave]],'[16]TD Conf-AP'!$I:$M,4,FALSE),0)</f>
        <v>0</v>
      </c>
      <c r="P144" s="14">
        <f>SUM(Tabla1[[#This Row],[Producción disponible]],Tabla1[[#This Row],[Stock al día]],(Tabla1[[#This Row],[Por producir mes N]]*0.9))-Tabla1[[#This Row],[Producción por despachar mes N]]</f>
        <v>1702.3545907995949</v>
      </c>
      <c r="Q144" s="7">
        <f>IFERROR(VLOOKUP(Tabla1[[#This Row],[Llave]],[17]DELAY!$A:$D,4,FALSE),0)</f>
        <v>0</v>
      </c>
      <c r="R144" s="9">
        <v>24000</v>
      </c>
      <c r="S144" s="5">
        <f t="shared" si="31"/>
        <v>0</v>
      </c>
      <c r="T144" s="76">
        <v>0</v>
      </c>
      <c r="U144" s="5">
        <f>+Tabla1[[#This Row],[Atraso a facturar]]+Tabla1[[#This Row],[Ajuste atraso]]</f>
        <v>0</v>
      </c>
      <c r="V144" s="3">
        <f>+Tabla1[[#This Row],[Total disponible]]-Tabla1[[#This Row],[Facturación atraso]]</f>
        <v>1702.3545907995949</v>
      </c>
      <c r="W144" s="6">
        <f>IFERROR(IF(AND(V144&gt;R144,J144&gt;=R144),ROUNDDOWN((Tabla1[[#This Row],[Producción para venta nueva]])/R144,0)*R144,0),0)</f>
        <v>0</v>
      </c>
      <c r="X144" s="76">
        <v>0</v>
      </c>
      <c r="Y144" s="6">
        <f>IF(Tabla1[[#This Row],[Venta del mes]]&gt;0,Tabla1[[#This Row],[Venta del mes]]+Tabla1[[#This Row],[Ajuste venta nueva]],0)</f>
        <v>0</v>
      </c>
      <c r="Z144" s="6">
        <f>+Tabla1[[#This Row],[Producción para venta nueva]]-Tabla1[[#This Row],[Facturación Venta nueva]]</f>
        <v>1702.3545907995949</v>
      </c>
      <c r="AA144" s="6">
        <f>IF(AND(A144=1,Tabla1[[#This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4" s="6"/>
      <c r="AC144" s="6">
        <f>IF(Tabla1[[#This Row],[Disponible stock sin venta]]&gt;0,Tabla1[[#This Row],[Disponible stock sin venta]]+Tabla1[[#This Row],[Ajuste stock sin venta]],0)</f>
        <v>0</v>
      </c>
      <c r="AD144" s="3">
        <f>IFERROR(VLOOKUP(Tabla1[[#This Row],[Llave]],'[16]TD Puerto'!$A:$D,4,FALSE),0)</f>
        <v>0</v>
      </c>
      <c r="AE144" s="3">
        <v>0</v>
      </c>
      <c r="AF144" s="3">
        <f>+Tabla1[[#This Row],[Atraso a facturar]]+Tabla1[[#This Row],[Venta del mes]]+Tabla1[[#This Row],[En puerto a facturar]]+Tabla1[[#This Row],[Disponible stock sin venta]]</f>
        <v>0</v>
      </c>
      <c r="AG144" s="3">
        <f>+Tabla1[[#This Row],[En puerto a facturar]]</f>
        <v>0</v>
      </c>
      <c r="AH144" s="3">
        <f>+Tabla1[[#This Row],[Facturación atraso]]</f>
        <v>0</v>
      </c>
      <c r="AI144" s="3">
        <f>+Tabla1[[#This Row],[Plan Irrestricto]]-Tabla1[[#This Row],[Puerto ]]-Tabla1[[#This Row],[Atraso]]</f>
        <v>0</v>
      </c>
      <c r="AJ14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44" s="3">
        <f>+Tabla1[[#This Row],[Facturación atraso]]</f>
        <v>0</v>
      </c>
      <c r="AL144" s="3">
        <f>+Tabla1[[#This Row],[Plan Ajustado]]-Tabla1[[#This Row],[ Atraso ajustado]]-Tabla1[[#This Row],[Puerto ]]</f>
        <v>0</v>
      </c>
      <c r="AM144" s="3">
        <v>0</v>
      </c>
      <c r="AN144" s="3" t="str">
        <f>IF(Tabla1[[#This Row],[Plan Ajustado]]&gt;Tabla1[[#This Row],[En puerto a facturar]],"Si","No")</f>
        <v>No</v>
      </c>
      <c r="AO14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44" s="3">
        <f>IF(Tabla1[[#This Row],[Necesidad]]&gt;=Tabla1[[#This Row],[Stock al día]],Tabla1[[#This Row],[Stock al día]],Tabla1[[#This Row],[Necesidad]])</f>
        <v>0</v>
      </c>
      <c r="AQ144" s="3">
        <f>+Tabla1[[#This Row],[Necesidad]]-Tabla1[[#This Row],[Stock Plan]]</f>
        <v>0</v>
      </c>
      <c r="AR144" s="156">
        <f>IFERROR(VLOOKUP(Tabla1[[#This Row],[Oficina]],[22]Ponderación!$B$3:$G$9,6,FALSE),"")</f>
        <v>44754</v>
      </c>
      <c r="AS14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0.66175301342866966</v>
      </c>
      <c r="AT144" s="83">
        <f>IFERROR(VLOOKUP(Tabla1[[#This Row],[Llave]],[17]DELAY!$H:$W,16,FALSE),0)</f>
        <v>0</v>
      </c>
      <c r="AU14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44" s="5">
        <f>+Tabla1[[#This Row],[Plan Ajustado]]*Tabla1[[#This Row],[Precio ponderado]]</f>
        <v>0</v>
      </c>
      <c r="AW144" s="30">
        <f>IFERROR(VLOOKUP(Tabla1[[#This Row],[Llave]],'[13]Ultimos precios facturados'!$A:$G,7,FALSE),0)</f>
        <v>0.66175301342866966</v>
      </c>
      <c r="AX14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44" s="30"/>
      <c r="AZ144" s="30">
        <f>IF(Tabla1[[#This Row],[Ajuste precio IC]]="",Tabla1[[#This Row],[Precio ponderado]],Tabla1[[#This Row],[Precio ponderado]])</f>
        <v>0</v>
      </c>
      <c r="BA144" s="82"/>
      <c r="BB144" s="82" t="str">
        <f>IF(AND(Tabla1[[#This Row],[Atraso a facturar]]&gt;0,Tabla1[[#This Row],[Precio Atraso]]=0),"Revisar","OK")</f>
        <v>OK</v>
      </c>
      <c r="BC144" s="82" t="str">
        <f>IF(AND(Tabla1[[#This Row],[Venta del mes]]&gt;0,Tabla1[[#This Row],[Precio venta nueva]]=0),"Revisar","OK")</f>
        <v>OK</v>
      </c>
      <c r="BD144" s="20">
        <f>IFERROR(VLOOKUP(Tabla1[[#This Row],[Llave]],'[5]Consolidación planes'!$A:$M,9,FALSE),0)</f>
        <v>48000</v>
      </c>
      <c r="BE144" s="20">
        <f>IFERROR(VLOOKUP(Tabla1[[#This Row],[Llave]],'[5]Consolidación planes'!$A:$M,10,FALSE),0)</f>
        <v>0</v>
      </c>
      <c r="BF144" s="20">
        <f>IFERROR(VLOOKUP(Tabla1[[#This Row],[Llave]],'[5]Consolidación planes'!$A:$M,11,FALSE),0)</f>
        <v>96000</v>
      </c>
      <c r="BG144" s="20">
        <f>IFERROR(VLOOKUP(Tabla1[[#This Row],[Llave]],'[5]Consolidación planes'!$A:$M,12,FALSE),0)</f>
        <v>0</v>
      </c>
      <c r="BH144" s="20">
        <f>IFERROR(VLOOKUP(Tabla1[[#This Row],[Llave]],'[5]Consolidación planes'!$A:$M,13,FALSE),0)</f>
        <v>24000</v>
      </c>
      <c r="BI144" s="20">
        <f>IFERROR(VLOOKUP(Tabla1[[#This Row],[Llave]],'[13]Base ultimos planes'!$A:$M,13,FALSE),0)</f>
        <v>0</v>
      </c>
      <c r="BJ144" s="80">
        <f>IFERROR(VLOOKUP(Tabla1[[#This Row],[Llave]],'[13]Base ultimos planes'!$O:$AA,8,FALSE),0)</f>
        <v>26400</v>
      </c>
      <c r="BK144" s="20">
        <f>IFERROR(VLOOKUP(Tabla1[[#This Row],[Llave]],'[13]Base ultimos planes'!$O:$AA,9,FALSE),0)</f>
        <v>0</v>
      </c>
      <c r="BL144" s="20">
        <f>IFERROR(VLOOKUP(Tabla1[[#This Row],[Llave]],'[13]Base ultimos planes'!$O:$AA,10,FALSE),0)</f>
        <v>58800</v>
      </c>
      <c r="BM144" s="20">
        <f>IFERROR(VLOOKUP(Tabla1[[#This Row],[Llave]],'[13]Base ultimos planes'!$O:$AA,11,FALSE),0)</f>
        <v>0</v>
      </c>
      <c r="BN144" s="20">
        <f>IFERROR(VLOOKUP(Tabla1[[#This Row],[Llave]],'[13]Base ultimos planes'!$O:$AA,12,FALSE),0)</f>
        <v>18800</v>
      </c>
      <c r="BO144" s="20">
        <f>IFERROR(VLOOKUP(Tabla1[[#This Row],[Llave]],'[13]Base ultimos planes'!$O:$AA,13,FALSE),0)</f>
        <v>0</v>
      </c>
      <c r="BP144" s="20"/>
      <c r="BQ144" s="20">
        <f>+Tabla1[[#This Row],[ RV  Venta mes n+1]]*(1-Tabla1[[#This Row],[% Uti. producción]])</f>
        <v>0</v>
      </c>
      <c r="BR144" s="100"/>
    </row>
    <row r="145" spans="1:70" ht="16" hidden="1" x14ac:dyDescent="0.2">
      <c r="A145">
        <v>2</v>
      </c>
      <c r="B145" t="str">
        <f>Tabla1[[#This Row],[Oficina]]&amp;Tabla1[[#This Row],[Material]]</f>
        <v>Agrosuper Shanghai1023131</v>
      </c>
      <c r="C145" t="s">
        <v>6</v>
      </c>
      <c r="D145" t="s">
        <v>140</v>
      </c>
      <c r="E145">
        <v>1023131</v>
      </c>
      <c r="F145" t="s">
        <v>167</v>
      </c>
      <c r="G145" t="s">
        <v>59</v>
      </c>
      <c r="H145" t="s">
        <v>62</v>
      </c>
      <c r="I145" s="7">
        <f>IFERROR(VLOOKUP(Tabla1[[#This Row],[Llave]],'[7]RV Producción'!$C:$G,5,FALSE),0)</f>
        <v>0</v>
      </c>
      <c r="J145" s="3">
        <f>IFERROR(IF(Tabla1[[#This Row],[Oficina]]=$I$7,VLOOKUP(Tabla1[[#This Row],[Llave]],'[7]Shangai (Tomas)'!$A:$F,6,FALSE),VLOOKUP(Tabla1[[#This Row],[Llave]],'[7]RV plan de ventas'!$A:$E,5,FALSE)),0)</f>
        <v>0</v>
      </c>
      <c r="K145" s="8">
        <f>IFERROR(VLOOKUP(Tabla1[[#This Row],[Oficina]],[15]Ponderación!$B$2:$E$9,4,FALSE),0)</f>
        <v>0.45719439678473212</v>
      </c>
      <c r="L145" s="7">
        <f>+Tabla1[[#This Row],[ RV Producción mes n+1]]*Tabla1[[#This Row],[% Uti. producción]]</f>
        <v>0</v>
      </c>
      <c r="M145" s="7">
        <f>IFERROR(VLOOKUP(Tabla1[[#This Row],[Material]],'[17]TD Stock'!$E:$I,5,FALSE),0)</f>
        <v>0</v>
      </c>
      <c r="N145" s="7">
        <f>IFERROR(VLOOKUP(Tabla1[[#This Row],[Material]],[16]Produccion!$M:$N,2,FALSE),0)</f>
        <v>0</v>
      </c>
      <c r="O145" s="7">
        <f>IFERROR(VLOOKUP(Tabla1[[#This Row],[Llave]],'[16]TD Conf-AP'!$I:$M,4,FALSE),0)</f>
        <v>0</v>
      </c>
      <c r="P145" s="14">
        <f>SUM(Tabla1[[#This Row],[Producción disponible]],Tabla1[[#This Row],[Stock al día]],(Tabla1[[#This Row],[Por producir mes N]]*0.9))-Tabla1[[#This Row],[Producción por despachar mes N]]</f>
        <v>0</v>
      </c>
      <c r="Q145" s="7">
        <f>IFERROR(VLOOKUP(Tabla1[[#This Row],[Llave]],[17]DELAY!$A:$D,4,FALSE),0)</f>
        <v>0</v>
      </c>
      <c r="R145" s="9">
        <v>24000</v>
      </c>
      <c r="S145" s="5">
        <f t="shared" si="31"/>
        <v>0</v>
      </c>
      <c r="T145" s="76">
        <v>0</v>
      </c>
      <c r="U145" s="5">
        <f>+Tabla1[[#This Row],[Atraso a facturar]]+Tabla1[[#This Row],[Ajuste atraso]]</f>
        <v>0</v>
      </c>
      <c r="V145" s="3">
        <f>+Tabla1[[#This Row],[Total disponible]]-Tabla1[[#This Row],[Facturación atraso]]</f>
        <v>0</v>
      </c>
      <c r="W145" s="6">
        <f>IFERROR(IF(AND(V145&gt;R145,J145&gt;=R145),ROUNDDOWN((Tabla1[[#This Row],[Producción para venta nueva]])/R145,0)*R145,0),0)</f>
        <v>0</v>
      </c>
      <c r="X145" s="76">
        <v>0</v>
      </c>
      <c r="Y145" s="6">
        <f>IF(Tabla1[[#This Row],[Venta del mes]]&gt;0,Tabla1[[#This Row],[Venta del mes]]+Tabla1[[#This Row],[Ajuste venta nueva]],0)</f>
        <v>0</v>
      </c>
      <c r="Z145" s="6">
        <f>+Tabla1[[#This Row],[Producción para venta nueva]]-Tabla1[[#This Row],[Facturación Venta nueva]]</f>
        <v>0</v>
      </c>
      <c r="AA145" s="6">
        <f>IF(AND(A145=1,Tabla1[[#This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5" s="6"/>
      <c r="AC145" s="6">
        <f>IF(Tabla1[[#This Row],[Disponible stock sin venta]]&gt;0,Tabla1[[#This Row],[Disponible stock sin venta]]+Tabla1[[#This Row],[Ajuste stock sin venta]],0)</f>
        <v>0</v>
      </c>
      <c r="AD145" s="3">
        <f>IFERROR(VLOOKUP(Tabla1[[#This Row],[Llave]],'[16]TD Puerto'!$A:$D,4,FALSE),0)</f>
        <v>0</v>
      </c>
      <c r="AE145" s="3">
        <v>0</v>
      </c>
      <c r="AF145" s="3">
        <f>+Tabla1[[#This Row],[Atraso a facturar]]+Tabla1[[#This Row],[Venta del mes]]+Tabla1[[#This Row],[En puerto a facturar]]+Tabla1[[#This Row],[Disponible stock sin venta]]</f>
        <v>0</v>
      </c>
      <c r="AG145" s="3">
        <f>+Tabla1[[#This Row],[En puerto a facturar]]</f>
        <v>0</v>
      </c>
      <c r="AH145" s="3">
        <f>+Tabla1[[#This Row],[Facturación atraso]]</f>
        <v>0</v>
      </c>
      <c r="AI145" s="3">
        <f>+Tabla1[[#This Row],[Plan Irrestricto]]-Tabla1[[#This Row],[Puerto ]]-Tabla1[[#This Row],[Atraso]]</f>
        <v>0</v>
      </c>
      <c r="AJ14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45" s="3">
        <f>+Tabla1[[#This Row],[Facturación atraso]]</f>
        <v>0</v>
      </c>
      <c r="AL145" s="3">
        <f>+Tabla1[[#This Row],[Plan Ajustado]]-Tabla1[[#This Row],[ Atraso ajustado]]-Tabla1[[#This Row],[Puerto ]]</f>
        <v>0</v>
      </c>
      <c r="AM145" s="3">
        <v>0</v>
      </c>
      <c r="AN145" s="3" t="str">
        <f>IF(Tabla1[[#This Row],[Plan Ajustado]]&gt;Tabla1[[#This Row],[En puerto a facturar]],"Si","No")</f>
        <v>No</v>
      </c>
      <c r="AO14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45" s="3">
        <f>IF(Tabla1[[#This Row],[Necesidad]]&gt;=Tabla1[[#This Row],[Stock al día]],Tabla1[[#This Row],[Stock al día]],Tabla1[[#This Row],[Necesidad]])</f>
        <v>0</v>
      </c>
      <c r="AQ145" s="3">
        <f>+Tabla1[[#This Row],[Necesidad]]-Tabla1[[#This Row],[Stock Plan]]</f>
        <v>0</v>
      </c>
      <c r="AR145" s="156">
        <f>IFERROR(VLOOKUP(Tabla1[[#This Row],[Oficina]],[22]Ponderación!$B$3:$G$9,6,FALSE),"")</f>
        <v>44754</v>
      </c>
      <c r="AS14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1.2301029646377153</v>
      </c>
      <c r="AT145" s="83">
        <f>IFERROR(VLOOKUP(Tabla1[[#This Row],[Llave]],[17]DELAY!$H:$W,16,FALSE),0)</f>
        <v>0</v>
      </c>
      <c r="AU14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45" s="5">
        <f>+Tabla1[[#This Row],[Plan Ajustado]]*Tabla1[[#This Row],[Precio ponderado]]</f>
        <v>0</v>
      </c>
      <c r="AW145" s="30">
        <f>IFERROR(VLOOKUP(Tabla1[[#This Row],[Llave]],'[13]Ultimos precios facturados'!$A:$G,7,FALSE),0)</f>
        <v>1.2301029646377153</v>
      </c>
      <c r="AX14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45" s="30"/>
      <c r="AZ145" s="30">
        <f>IF(Tabla1[[#This Row],[Ajuste precio IC]]="",Tabla1[[#This Row],[Precio ponderado]],Tabla1[[#This Row],[Precio ponderado]])</f>
        <v>0</v>
      </c>
      <c r="BA145" s="82"/>
      <c r="BB145" s="82" t="str">
        <f>IF(AND(Tabla1[[#This Row],[Atraso a facturar]]&gt;0,Tabla1[[#This Row],[Precio Atraso]]=0),"Revisar","OK")</f>
        <v>OK</v>
      </c>
      <c r="BC145" s="82" t="str">
        <f>IF(AND(Tabla1[[#This Row],[Venta del mes]]&gt;0,Tabla1[[#This Row],[Precio venta nueva]]=0),"Revisar","OK")</f>
        <v>OK</v>
      </c>
      <c r="BD145" s="20">
        <f>IFERROR(VLOOKUP(Tabla1[[#This Row],[Llave]],'[5]Consolidación planes'!$A:$M,9,FALSE),0)</f>
        <v>4224</v>
      </c>
      <c r="BE145" s="20">
        <f>IFERROR(VLOOKUP(Tabla1[[#This Row],[Llave]],'[5]Consolidación planes'!$A:$M,10,FALSE),0)</f>
        <v>0</v>
      </c>
      <c r="BF145" s="20">
        <f>IFERROR(VLOOKUP(Tabla1[[#This Row],[Llave]],'[5]Consolidación planes'!$A:$M,11,FALSE),0)</f>
        <v>4200</v>
      </c>
      <c r="BG145" s="20">
        <f>IFERROR(VLOOKUP(Tabla1[[#This Row],[Llave]],'[5]Consolidación planes'!$A:$M,12,FALSE),0)</f>
        <v>0</v>
      </c>
      <c r="BH145" s="20">
        <f>IFERROR(VLOOKUP(Tabla1[[#This Row],[Llave]],'[5]Consolidación planes'!$A:$M,13,FALSE),0)</f>
        <v>0</v>
      </c>
      <c r="BI145" s="20">
        <f>IFERROR(VLOOKUP(Tabla1[[#This Row],[Llave]],'[13]Base ultimos planes'!$A:$M,13,FALSE),0)</f>
        <v>0</v>
      </c>
      <c r="BJ145" s="80">
        <f>IFERROR(VLOOKUP(Tabla1[[#This Row],[Llave]],'[13]Base ultimos planes'!$O:$AA,8,FALSE),0)</f>
        <v>5280</v>
      </c>
      <c r="BK145" s="20">
        <f>IFERROR(VLOOKUP(Tabla1[[#This Row],[Llave]],'[13]Base ultimos planes'!$O:$AA,9,FALSE),0)</f>
        <v>0</v>
      </c>
      <c r="BL145" s="20">
        <f>IFERROR(VLOOKUP(Tabla1[[#This Row],[Llave]],'[13]Base ultimos planes'!$O:$AA,10,FALSE),0)</f>
        <v>5180</v>
      </c>
      <c r="BM145" s="20">
        <f>IFERROR(VLOOKUP(Tabla1[[#This Row],[Llave]],'[13]Base ultimos planes'!$O:$AA,11,FALSE),0)</f>
        <v>0</v>
      </c>
      <c r="BN145" s="20">
        <f>IFERROR(VLOOKUP(Tabla1[[#This Row],[Llave]],'[13]Base ultimos planes'!$O:$AA,12,FALSE),0)</f>
        <v>0</v>
      </c>
      <c r="BO145" s="20">
        <f>IFERROR(VLOOKUP(Tabla1[[#This Row],[Llave]],'[13]Base ultimos planes'!$O:$AA,13,FALSE),0)</f>
        <v>0</v>
      </c>
      <c r="BP145" s="20"/>
      <c r="BQ145" s="20">
        <f>+Tabla1[[#This Row],[ RV  Venta mes n+1]]*(1-Tabla1[[#This Row],[% Uti. producción]])</f>
        <v>0</v>
      </c>
      <c r="BR145" s="100"/>
    </row>
    <row r="146" spans="1:70" ht="16" x14ac:dyDescent="0.2">
      <c r="A146">
        <v>2</v>
      </c>
      <c r="B146" t="str">
        <f>Tabla1[[#This Row],[Oficina]]&amp;Tabla1[[#This Row],[Material]]</f>
        <v>Agrosuper Shanghai1023306</v>
      </c>
      <c r="C146" t="s">
        <v>6</v>
      </c>
      <c r="D146" t="s">
        <v>140</v>
      </c>
      <c r="E146">
        <v>1023306</v>
      </c>
      <c r="F146" t="s">
        <v>144</v>
      </c>
      <c r="G146" t="s">
        <v>8</v>
      </c>
      <c r="H146" t="s">
        <v>32</v>
      </c>
      <c r="I146" s="7">
        <f>IFERROR(VLOOKUP(Tabla1[[#This Row],[Llave]],'[7]RV Producción'!$C:$G,5,FALSE),0)</f>
        <v>0</v>
      </c>
      <c r="J146" s="3">
        <f>IFERROR(IF(Tabla1[[#This Row],[Oficina]]=$I$7,VLOOKUP(Tabla1[[#This Row],[Llave]],'[7]Shangai (Tomas)'!$A:$F,6,FALSE),VLOOKUP(Tabla1[[#This Row],[Llave]],'[7]RV plan de ventas'!$A:$E,5,FALSE)),0)</f>
        <v>0</v>
      </c>
      <c r="K146" s="8">
        <f>IFERROR(VLOOKUP(Tabla1[[#This Row],[Oficina]],[15]Ponderación!$B$2:$E$9,4,FALSE),0)</f>
        <v>0.45719439678473212</v>
      </c>
      <c r="L146" s="7">
        <f>+Tabla1[[#This Row],[ RV Producción mes n+1]]*Tabla1[[#This Row],[% Uti. producción]]</f>
        <v>0</v>
      </c>
      <c r="M146" s="7">
        <f>IFERROR(VLOOKUP(Tabla1[[#This Row],[Material]],'[17]TD Stock'!$E:$I,5,FALSE),0)</f>
        <v>15167.254797845711</v>
      </c>
      <c r="N146" s="7">
        <f>IFERROR(VLOOKUP(Tabla1[[#This Row],[Material]],[16]Produccion!$M:$N,2,FALSE),0)</f>
        <v>94458</v>
      </c>
      <c r="O146" s="7">
        <f>IFERROR(VLOOKUP(Tabla1[[#This Row],[Llave]],'[16]TD Conf-AP'!$I:$M,4,FALSE),0)</f>
        <v>0</v>
      </c>
      <c r="P146" s="14">
        <f>SUM(Tabla1[[#This Row],[Producción disponible]],Tabla1[[#This Row],[Stock al día]],(Tabla1[[#This Row],[Por producir mes N]]*0.9))-Tabla1[[#This Row],[Producción por despachar mes N]]</f>
        <v>100179.45479784571</v>
      </c>
      <c r="Q146" s="7">
        <f>IFERROR(VLOOKUP(Tabla1[[#This Row],[Llave]],[17]DELAY!$A:$D,4,FALSE),0)</f>
        <v>96000</v>
      </c>
      <c r="R146" s="9">
        <v>24000</v>
      </c>
      <c r="S146" s="5">
        <f t="shared" si="31"/>
        <v>96000</v>
      </c>
      <c r="T146" s="76">
        <v>0</v>
      </c>
      <c r="U146" s="5">
        <f>+Tabla1[[#This Row],[Atraso a facturar]]+Tabla1[[#This Row],[Ajuste atraso]]</f>
        <v>96000</v>
      </c>
      <c r="V146" s="3">
        <f>+Tabla1[[#This Row],[Total disponible]]-Tabla1[[#This Row],[Facturación atraso]]</f>
        <v>4179.4547978457122</v>
      </c>
      <c r="W146" s="6">
        <f>IFERROR(IF(AND(V146&gt;R146,J146&gt;=R146),ROUNDDOWN((Tabla1[[#This Row],[Producción para venta nueva]])/R146,0)*R146,0),0)</f>
        <v>0</v>
      </c>
      <c r="X146" s="76">
        <v>0</v>
      </c>
      <c r="Y146" s="6">
        <f>IF(Tabla1[[#This Row],[Venta del mes]]&gt;0,Tabla1[[#This Row],[Venta del mes]]+Tabla1[[#This Row],[Ajuste venta nueva]],0)</f>
        <v>0</v>
      </c>
      <c r="Z146" s="6">
        <f>+Tabla1[[#This Row],[Producción para venta nueva]]-Tabla1[[#This Row],[Facturación Venta nueva]]</f>
        <v>4179.4547978457122</v>
      </c>
      <c r="AA146" s="6">
        <f>IF(AND(A146=1,Tabla1[[#This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6" s="6"/>
      <c r="AC146" s="6">
        <f>IF(Tabla1[[#This Row],[Disponible stock sin venta]]&gt;0,Tabla1[[#This Row],[Disponible stock sin venta]]+Tabla1[[#This Row],[Ajuste stock sin venta]],0)</f>
        <v>0</v>
      </c>
      <c r="AD146" s="3">
        <f>IFERROR(VLOOKUP(Tabla1[[#This Row],[Llave]],'[16]TD Puerto'!$A:$D,4,FALSE),0)</f>
        <v>0</v>
      </c>
      <c r="AE146" s="3">
        <v>96000</v>
      </c>
      <c r="AF146" s="3">
        <f>+Tabla1[[#This Row],[Atraso a facturar]]+Tabla1[[#This Row],[Venta del mes]]+Tabla1[[#This Row],[En puerto a facturar]]+Tabla1[[#This Row],[Disponible stock sin venta]]</f>
        <v>96000</v>
      </c>
      <c r="AG146" s="3">
        <f>+Tabla1[[#This Row],[En puerto a facturar]]</f>
        <v>0</v>
      </c>
      <c r="AH146" s="3">
        <f>+Tabla1[[#This Row],[Facturación atraso]]</f>
        <v>96000</v>
      </c>
      <c r="AI146" s="3">
        <f>+Tabla1[[#This Row],[Plan Irrestricto]]-Tabla1[[#This Row],[Puerto ]]-Tabla1[[#This Row],[Atraso]]</f>
        <v>0</v>
      </c>
      <c r="AJ146" s="3">
        <f>IF(Tabla1[[#This Row],[Plan Irrestricto]]&gt;0,SUM(Tabla1[[#This Row],[Facturación atraso]],Tabla1[[#This Row],[Facturación Venta nueva]],Tabla1[[#This Row],[Facturación stock]],Tabla1[[#This Row],[En puerto a facturar]]),0)</f>
        <v>96000</v>
      </c>
      <c r="AK146" s="3">
        <f>+Tabla1[[#This Row],[Facturación atraso]]</f>
        <v>96000</v>
      </c>
      <c r="AL146" s="3">
        <f>+Tabla1[[#This Row],[Plan Ajustado]]-Tabla1[[#This Row],[ Atraso ajustado]]-Tabla1[[#This Row],[Puerto ]]</f>
        <v>0</v>
      </c>
      <c r="AM146" s="3">
        <v>0</v>
      </c>
      <c r="AN146" s="3" t="str">
        <f>IF(Tabla1[[#This Row],[Plan Ajustado]]&gt;Tabla1[[#This Row],[En puerto a facturar]],"Si","No")</f>
        <v>Si</v>
      </c>
      <c r="AO146" s="3">
        <f>IF(AND(Tabla1[[#This Row],[Plan Ajustado]]&gt;0,Tabla1[[#This Row],[Plan Ajustado]]&gt;Tabla1[[#This Row],[En puerto a facturar]]),(Tabla1[[#This Row],[Plan Ajustado]]-Tabla1[[#This Row],[En puerto a facturar]]),0)</f>
        <v>96000</v>
      </c>
      <c r="AP146" s="3">
        <f>IF(Tabla1[[#This Row],[Necesidad]]&gt;=Tabla1[[#This Row],[Stock al día]],Tabla1[[#This Row],[Stock al día]],Tabla1[[#This Row],[Necesidad]])</f>
        <v>15167.254797845711</v>
      </c>
      <c r="AQ146" s="3">
        <f>+Tabla1[[#This Row],[Necesidad]]-Tabla1[[#This Row],[Stock Plan]]</f>
        <v>80832.745202154285</v>
      </c>
      <c r="AR146" s="156">
        <f>IFERROR(VLOOKUP(Tabla1[[#This Row],[Oficina]],[22]Ponderación!$B$3:$G$9,6,FALSE),"")</f>
        <v>44754</v>
      </c>
      <c r="AS14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0.99529127087621494</v>
      </c>
      <c r="AT146" s="83">
        <f>IFERROR(VLOOKUP(Tabla1[[#This Row],[Llave]],[17]DELAY!$H:$W,16,FALSE),0)</f>
        <v>1.00484611969389</v>
      </c>
      <c r="AU14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1.00484611969389</v>
      </c>
      <c r="AV146" s="5">
        <f>+Tabla1[[#This Row],[Plan Ajustado]]*Tabla1[[#This Row],[Precio ponderado]]</f>
        <v>96465.227490613441</v>
      </c>
      <c r="AW146" s="30">
        <f>IFERROR(VLOOKUP(Tabla1[[#This Row],[Llave]],'[13]Ultimos precios facturados'!$A:$G,7,FALSE),0)</f>
        <v>0.99529127087621494</v>
      </c>
      <c r="AX14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9.6000528661960328E-3</v>
      </c>
      <c r="AY146" s="30"/>
      <c r="AZ146" s="30">
        <f>IF(Tabla1[[#This Row],[Ajuste precio IC]]="",Tabla1[[#This Row],[Precio ponderado]],Tabla1[[#This Row],[Precio ponderado]])</f>
        <v>1.00484611969389</v>
      </c>
      <c r="BA146" s="82"/>
      <c r="BB146" s="82" t="str">
        <f>IF(AND(Tabla1[[#This Row],[Atraso a facturar]]&gt;0,Tabla1[[#This Row],[Precio Atraso]]=0),"Revisar","OK")</f>
        <v>OK</v>
      </c>
      <c r="BC146" s="82" t="str">
        <f>IF(AND(Tabla1[[#This Row],[Venta del mes]]&gt;0,Tabla1[[#This Row],[Precio venta nueva]]=0),"Revisar","OK")</f>
        <v>OK</v>
      </c>
      <c r="BD146" s="20">
        <f>IFERROR(VLOOKUP(Tabla1[[#This Row],[Llave]],'[5]Consolidación planes'!$A:$M,9,FALSE),0)</f>
        <v>144000</v>
      </c>
      <c r="BE146" s="20">
        <f>IFERROR(VLOOKUP(Tabla1[[#This Row],[Llave]],'[5]Consolidación planes'!$A:$M,10,FALSE),0)</f>
        <v>72000</v>
      </c>
      <c r="BF146" s="20">
        <f>IFERROR(VLOOKUP(Tabla1[[#This Row],[Llave]],'[5]Consolidación planes'!$A:$M,11,FALSE),0)</f>
        <v>72000</v>
      </c>
      <c r="BG146" s="20">
        <f>IFERROR(VLOOKUP(Tabla1[[#This Row],[Llave]],'[5]Consolidación planes'!$A:$M,12,FALSE),0)</f>
        <v>144000</v>
      </c>
      <c r="BH146" s="20">
        <f>IFERROR(VLOOKUP(Tabla1[[#This Row],[Llave]],'[5]Consolidación planes'!$A:$M,13,FALSE),0)</f>
        <v>96000</v>
      </c>
      <c r="BI146" s="20">
        <f>IFERROR(VLOOKUP(Tabla1[[#This Row],[Llave]],'[13]Base ultimos planes'!$A:$M,13,FALSE),0)</f>
        <v>96000</v>
      </c>
      <c r="BJ146" s="80">
        <f>IFERROR(VLOOKUP(Tabla1[[#This Row],[Llave]],'[13]Base ultimos planes'!$O:$AA,8,FALSE),0)</f>
        <v>83520</v>
      </c>
      <c r="BK146" s="20">
        <f>IFERROR(VLOOKUP(Tabla1[[#This Row],[Llave]],'[13]Base ultimos planes'!$O:$AA,9,FALSE),0)</f>
        <v>46800</v>
      </c>
      <c r="BL146" s="20">
        <f>IFERROR(VLOOKUP(Tabla1[[#This Row],[Llave]],'[13]Base ultimos planes'!$O:$AA,10,FALSE),0)</f>
        <v>59760</v>
      </c>
      <c r="BM146" s="20">
        <f>IFERROR(VLOOKUP(Tabla1[[#This Row],[Llave]],'[13]Base ultimos planes'!$O:$AA,11,FALSE),0)</f>
        <v>108784</v>
      </c>
      <c r="BN146" s="20">
        <f>IFERROR(VLOOKUP(Tabla1[[#This Row],[Llave]],'[13]Base ultimos planes'!$O:$AA,12,FALSE),0)</f>
        <v>85572</v>
      </c>
      <c r="BO146" s="20">
        <f>IFERROR(VLOOKUP(Tabla1[[#This Row],[Llave]],'[13]Base ultimos planes'!$O:$AA,13,FALSE),0)</f>
        <v>76800</v>
      </c>
      <c r="BP146" s="20"/>
      <c r="BQ146" s="20">
        <f>+Tabla1[[#This Row],[ RV  Venta mes n+1]]*(1-Tabla1[[#This Row],[% Uti. producción]])</f>
        <v>0</v>
      </c>
      <c r="BR146" s="100"/>
    </row>
    <row r="147" spans="1:70" ht="16" x14ac:dyDescent="0.2">
      <c r="A147">
        <v>1</v>
      </c>
      <c r="B147" t="str">
        <f>Tabla1[[#This Row],[Oficina]]&amp;Tabla1[[#This Row],[Material]]</f>
        <v>Exportacion Directa1020105</v>
      </c>
      <c r="C147" t="s">
        <v>6</v>
      </c>
      <c r="D147" t="s">
        <v>88</v>
      </c>
      <c r="E147">
        <v>1020105</v>
      </c>
      <c r="F147" t="s">
        <v>101</v>
      </c>
      <c r="G147" t="s">
        <v>50</v>
      </c>
      <c r="H147" t="s">
        <v>51</v>
      </c>
      <c r="I147" s="7">
        <f>IFERROR(VLOOKUP(Tabla1[[#This Row],[Llave]],'[7]RV Producción'!$C:$G,5,FALSE),0)</f>
        <v>54186</v>
      </c>
      <c r="J147" s="3">
        <f>IFERROR(IF(Tabla1[[#This Row],[Oficina]]=$I$7,VLOOKUP(Tabla1[[#This Row],[Llave]],'[7]Shangai (Tomas)'!$A:$F,6,FALSE),VLOOKUP(Tabla1[[#This Row],[Llave]],'[7]RV plan de ventas'!$A:$E,5,FALSE)),0)</f>
        <v>60000</v>
      </c>
      <c r="K147" s="8">
        <f>IFERROR(VLOOKUP(Tabla1[[#This Row],[Oficina]],[15]Ponderación!$B$2:$E$9,4,FALSE),0)</f>
        <v>0.87158319035419651</v>
      </c>
      <c r="L147" s="7">
        <f>+Tabla1[[#This Row],[ RV Producción mes n+1]]*Tabla1[[#This Row],[% Uti. producción]]</f>
        <v>47227.606752532491</v>
      </c>
      <c r="M147" s="7">
        <f>IFERROR(VLOOKUP(Tabla1[[#This Row],[Material]],'[17]TD Stock'!$E:$I,5,FALSE),0)</f>
        <v>46134.966000000022</v>
      </c>
      <c r="N147" s="7">
        <f>IFERROR(VLOOKUP(Tabla1[[#This Row],[Material]],[16]Produccion!$M:$N,2,FALSE),0)</f>
        <v>21201.674294425084</v>
      </c>
      <c r="O147" s="7">
        <f>IFERROR(VLOOKUP(Tabla1[[#This Row],[Llave]],'[16]TD Conf-AP'!$I:$M,4,FALSE),0)</f>
        <v>7000</v>
      </c>
      <c r="P147" s="14">
        <f>SUM(Tabla1[[#This Row],[Producción disponible]],Tabla1[[#This Row],[Stock al día]],(Tabla1[[#This Row],[Por producir mes N]]*0.9))-Tabla1[[#This Row],[Producción por despachar mes N]]</f>
        <v>105444.07961751509</v>
      </c>
      <c r="Q147" s="7">
        <f>IFERROR(VLOOKUP(Tabla1[[#This Row],[Llave]],[17]DELAY!$A:$D,4,FALSE),0)</f>
        <v>75500</v>
      </c>
      <c r="R147" s="9">
        <v>2419.3548387096776</v>
      </c>
      <c r="S147" s="5">
        <f t="shared" si="31"/>
        <v>75500</v>
      </c>
      <c r="T147" s="76">
        <v>-35000</v>
      </c>
      <c r="U147" s="5">
        <f>+Tabla1[[#This Row],[Atraso a facturar]]+Tabla1[[#This Row],[Ajuste atraso]]</f>
        <v>40500</v>
      </c>
      <c r="V147" s="3">
        <f>+Tabla1[[#This Row],[Total disponible]]-Tabla1[[#This Row],[Facturación atraso]]</f>
        <v>64944.07961751509</v>
      </c>
      <c r="W147" s="6">
        <f>IFERROR(IF(AND(V147&gt;R147,J147&gt;=R147),ROUNDDOWN((Tabla1[[#This Row],[Producción para venta nueva]])/R147,0)*R147,0),0)</f>
        <v>62903.225806451614</v>
      </c>
      <c r="X147" s="76">
        <v>-30000</v>
      </c>
      <c r="Y147" s="6">
        <f>IF(Tabla1[[#This Row],[Venta del mes]]&gt;0,Tabla1[[#This Row],[Venta del mes]]+Tabla1[[#This Row],[Ajuste venta nueva]],0)</f>
        <v>32903.225806451614</v>
      </c>
      <c r="Z147" s="6">
        <f>+Tabla1[[#This Row],[Producción para venta nueva]]-Tabla1[[#This Row],[Facturación Venta nueva]]</f>
        <v>32040.853811063476</v>
      </c>
      <c r="AA147" s="6">
        <f>IF(AND(A147=1,Tabla1[[#This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7" s="6"/>
      <c r="AC147" s="6">
        <f>IF(Tabla1[[#This Row],[Disponible stock sin venta]]&gt;0,Tabla1[[#This Row],[Disponible stock sin venta]]+Tabla1[[#This Row],[Ajuste stock sin venta]],0)</f>
        <v>0</v>
      </c>
      <c r="AD147" s="3">
        <f>IFERROR(VLOOKUP(Tabla1[[#This Row],[Llave]],'[16]TD Puerto'!$A:$D,4,FALSE),0)</f>
        <v>0</v>
      </c>
      <c r="AE147" s="3">
        <v>104532.25806451612</v>
      </c>
      <c r="AF147" s="3">
        <f>+Tabla1[[#This Row],[Atraso a facturar]]+Tabla1[[#This Row],[Venta del mes]]+Tabla1[[#This Row],[En puerto a facturar]]+Tabla1[[#This Row],[Disponible stock sin venta]]</f>
        <v>138403.22580645161</v>
      </c>
      <c r="AG147" s="3">
        <f>+Tabla1[[#This Row],[En puerto a facturar]]</f>
        <v>0</v>
      </c>
      <c r="AH147" s="3">
        <f>+Tabla1[[#This Row],[Facturación atraso]]</f>
        <v>40500</v>
      </c>
      <c r="AI147" s="3">
        <f>+Tabla1[[#This Row],[Plan Irrestricto]]-Tabla1[[#This Row],[Puerto ]]-Tabla1[[#This Row],[Atraso]]</f>
        <v>97903.225806451606</v>
      </c>
      <c r="AJ147" s="3">
        <f>IF(Tabla1[[#This Row],[Plan Irrestricto]]&gt;0,SUM(Tabla1[[#This Row],[Facturación atraso]],Tabla1[[#This Row],[Facturación Venta nueva]],Tabla1[[#This Row],[Facturación stock]],Tabla1[[#This Row],[En puerto a facturar]]),0)</f>
        <v>73403.225806451606</v>
      </c>
      <c r="AK147" s="3">
        <f>+Tabla1[[#This Row],[Facturación atraso]]</f>
        <v>40500</v>
      </c>
      <c r="AL147" s="3">
        <f>+Tabla1[[#This Row],[Plan Ajustado]]-Tabla1[[#This Row],[ Atraso ajustado]]-Tabla1[[#This Row],[Puerto ]]</f>
        <v>32903.225806451606</v>
      </c>
      <c r="AM147" s="3" t="s">
        <v>789</v>
      </c>
      <c r="AN147" s="3" t="str">
        <f>IF(Tabla1[[#This Row],[Plan Ajustado]]&gt;Tabla1[[#This Row],[En puerto a facturar]],"Si","No")</f>
        <v>Si</v>
      </c>
      <c r="AO147" s="3">
        <f>IF(AND(Tabla1[[#This Row],[Plan Ajustado]]&gt;0,Tabla1[[#This Row],[Plan Ajustado]]&gt;Tabla1[[#This Row],[En puerto a facturar]]),(Tabla1[[#This Row],[Plan Ajustado]]-Tabla1[[#This Row],[En puerto a facturar]]),0)</f>
        <v>73403.225806451606</v>
      </c>
      <c r="AP147" s="3">
        <f>IF(Tabla1[[#This Row],[Necesidad]]&gt;=Tabla1[[#This Row],[Stock al día]],Tabla1[[#This Row],[Stock al día]],Tabla1[[#This Row],[Necesidad]])</f>
        <v>46134.966000000022</v>
      </c>
      <c r="AQ147" s="3">
        <f>+Tabla1[[#This Row],[Necesidad]]-Tabla1[[#This Row],[Stock Plan]]</f>
        <v>27268.259806451584</v>
      </c>
      <c r="AR147" s="156">
        <f>IFERROR(VLOOKUP(Tabla1[[#This Row],[Oficina]],[22]Ponderación!$B$3:$G$9,6,FALSE),"")</f>
        <v>44765</v>
      </c>
      <c r="AS14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3.7440000000000002</v>
      </c>
      <c r="AT147" s="83">
        <f>IFERROR(VLOOKUP(Tabla1[[#This Row],[Llave]],[17]DELAY!$H:$W,16,FALSE),0)</f>
        <v>3.8841560003642388</v>
      </c>
      <c r="AU14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3.8213306343473099</v>
      </c>
      <c r="AV147" s="5">
        <f>+Tabla1[[#This Row],[Plan Ajustado]]*Tabla1[[#This Row],[Precio ponderado]]</f>
        <v>280497.99543410656</v>
      </c>
      <c r="AW147" s="30">
        <f>IFERROR(VLOOKUP(Tabla1[[#This Row],[Llave]],'[13]Ultimos precios facturados'!$A:$G,7,FALSE),0)</f>
        <v>3.8362522068920182</v>
      </c>
      <c r="AX14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3.8896224074895088E-3</v>
      </c>
      <c r="AY147" s="30"/>
      <c r="AZ147" s="30">
        <f>IF(Tabla1[[#This Row],[Ajuste precio IC]]="",Tabla1[[#This Row],[Precio ponderado]],Tabla1[[#This Row],[Precio ponderado]])</f>
        <v>3.8213306343473099</v>
      </c>
      <c r="BA147" s="82"/>
      <c r="BB147" s="82" t="str">
        <f>IF(AND(Tabla1[[#This Row],[Atraso a facturar]]&gt;0,Tabla1[[#This Row],[Precio Atraso]]=0),"Revisar","OK")</f>
        <v>OK</v>
      </c>
      <c r="BC147" s="82" t="str">
        <f>IF(AND(Tabla1[[#This Row],[Venta del mes]]&gt;0,Tabla1[[#This Row],[Precio venta nueva]]=0),"Revisar","OK")</f>
        <v>OK</v>
      </c>
      <c r="BD147" s="20">
        <f>IFERROR(VLOOKUP(Tabla1[[#This Row],[Llave]],'[5]Consolidación planes'!$A:$M,9,FALSE),0)</f>
        <v>53000</v>
      </c>
      <c r="BE147" s="20">
        <f>IFERROR(VLOOKUP(Tabla1[[#This Row],[Llave]],'[5]Consolidación planes'!$A:$M,10,FALSE),0)</f>
        <v>35000</v>
      </c>
      <c r="BF147" s="20">
        <f>IFERROR(VLOOKUP(Tabla1[[#This Row],[Llave]],'[5]Consolidación planes'!$A:$M,11,FALSE),0)</f>
        <v>40000</v>
      </c>
      <c r="BG147" s="20">
        <f>IFERROR(VLOOKUP(Tabla1[[#This Row],[Llave]],'[5]Consolidación planes'!$A:$M,12,FALSE),0)</f>
        <v>55000</v>
      </c>
      <c r="BH147" s="20">
        <f>IFERROR(VLOOKUP(Tabla1[[#This Row],[Llave]],'[5]Consolidación planes'!$A:$M,13,FALSE),0)</f>
        <v>58500</v>
      </c>
      <c r="BI147" s="20">
        <f>IFERROR(VLOOKUP(Tabla1[[#This Row],[Llave]],'[13]Base ultimos planes'!$A:$M,13,FALSE),0)</f>
        <v>40113</v>
      </c>
      <c r="BJ147" s="80">
        <f>IFERROR(VLOOKUP(Tabla1[[#This Row],[Llave]],'[13]Base ultimos planes'!$O:$AA,8,FALSE),0)</f>
        <v>242802.9852</v>
      </c>
      <c r="BK147" s="20">
        <f>IFERROR(VLOOKUP(Tabla1[[#This Row],[Llave]],'[13]Base ultimos planes'!$O:$AA,9,FALSE),0)</f>
        <v>150434</v>
      </c>
      <c r="BL147" s="20">
        <f>IFERROR(VLOOKUP(Tabla1[[#This Row],[Llave]],'[13]Base ultimos planes'!$O:$AA,10,FALSE),0)</f>
        <v>172191</v>
      </c>
      <c r="BM147" s="20">
        <f>IFERROR(VLOOKUP(Tabla1[[#This Row],[Llave]],'[13]Base ultimos planes'!$O:$AA,11,FALSE),0)</f>
        <v>229340</v>
      </c>
      <c r="BN147" s="20">
        <f>IFERROR(VLOOKUP(Tabla1[[#This Row],[Llave]],'[13]Base ultimos planes'!$O:$AA,12,FALSE),0)</f>
        <v>240695</v>
      </c>
      <c r="BO147" s="20">
        <f>IFERROR(VLOOKUP(Tabla1[[#This Row],[Llave]],'[13]Base ultimos planes'!$O:$AA,13,FALSE),0)</f>
        <v>151021</v>
      </c>
      <c r="BP147" s="20"/>
      <c r="BQ147" s="20">
        <f>+Tabla1[[#This Row],[ RV  Venta mes n+1]]*(1-Tabla1[[#This Row],[% Uti. producción]])</f>
        <v>7705.0085787482094</v>
      </c>
      <c r="BR147" s="100"/>
    </row>
    <row r="148" spans="1:70" ht="16" x14ac:dyDescent="0.2">
      <c r="A148">
        <v>1</v>
      </c>
      <c r="B148" t="str">
        <f>Tabla1[[#This Row],[Oficina]]&amp;Tabla1[[#This Row],[Material]]</f>
        <v>Exportacion Directa1020110</v>
      </c>
      <c r="C148" t="s">
        <v>6</v>
      </c>
      <c r="D148" t="s">
        <v>88</v>
      </c>
      <c r="E148">
        <v>1020110</v>
      </c>
      <c r="F148" t="s">
        <v>104</v>
      </c>
      <c r="G148" t="s">
        <v>50</v>
      </c>
      <c r="H148" t="s">
        <v>103</v>
      </c>
      <c r="I148" s="7">
        <f>IFERROR(VLOOKUP(Tabla1[[#This Row],[Llave]],'[7]RV Producción'!$C:$G,5,FALSE),0)</f>
        <v>651088</v>
      </c>
      <c r="J148" s="3">
        <f>IFERROR(IF(Tabla1[[#This Row],[Oficina]]=$I$7,VLOOKUP(Tabla1[[#This Row],[Llave]],'[7]Shangai (Tomas)'!$A:$F,6,FALSE),VLOOKUP(Tabla1[[#This Row],[Llave]],'[7]RV plan de ventas'!$A:$E,5,FALSE)),0)</f>
        <v>420000</v>
      </c>
      <c r="K148" s="8">
        <f>IFERROR(VLOOKUP(Tabla1[[#This Row],[Oficina]],[15]Ponderación!$B$2:$E$9,4,FALSE),0)</f>
        <v>0.87158319035419651</v>
      </c>
      <c r="L148" s="7">
        <f>+Tabla1[[#This Row],[ RV Producción mes n+1]]*Tabla1[[#This Row],[% Uti. producción]]</f>
        <v>567477.35624133307</v>
      </c>
      <c r="M148" s="7">
        <f>IFERROR(VLOOKUP(Tabla1[[#This Row],[Material]],'[17]TD Stock'!$E:$I,5,FALSE),0)</f>
        <v>276000.68599999993</v>
      </c>
      <c r="N148" s="7">
        <f>IFERROR(VLOOKUP(Tabla1[[#This Row],[Material]],[16]Produccion!$M:$N,2,FALSE),0)</f>
        <v>187309.35999298067</v>
      </c>
      <c r="O148" s="7">
        <f>IFERROR(VLOOKUP(Tabla1[[#This Row],[Llave]],'[16]TD Conf-AP'!$I:$M,4,FALSE),0)</f>
        <v>168620</v>
      </c>
      <c r="P148" s="14">
        <f>SUM(Tabla1[[#This Row],[Producción disponible]],Tabla1[[#This Row],[Stock al día]],(Tabla1[[#This Row],[Por producir mes N]]*0.9))-Tabla1[[#This Row],[Producción por despachar mes N]]</f>
        <v>843436.46623501566</v>
      </c>
      <c r="Q148" s="7">
        <f>IFERROR(VLOOKUP(Tabla1[[#This Row],[Llave]],[17]DELAY!$A:$D,4,FALSE),0)</f>
        <v>546330</v>
      </c>
      <c r="R148" s="9">
        <v>6247.0588235294117</v>
      </c>
      <c r="S148" s="5">
        <f t="shared" si="31"/>
        <v>546330</v>
      </c>
      <c r="T148" s="76">
        <v>-120000</v>
      </c>
      <c r="U148" s="5">
        <f>+Tabla1[[#This Row],[Atraso a facturar]]+Tabla1[[#This Row],[Ajuste atraso]]</f>
        <v>426330</v>
      </c>
      <c r="V148" s="3">
        <f>+Tabla1[[#This Row],[Total disponible]]-Tabla1[[#This Row],[Facturación atraso]]</f>
        <v>417106.46623501566</v>
      </c>
      <c r="W148" s="6">
        <f>IFERROR(IF(AND(V148&gt;R148,J148&gt;=R148),ROUNDDOWN((Tabla1[[#This Row],[Producción para venta nueva]])/R148,0)*R148,0),0)</f>
        <v>412305.88235294115</v>
      </c>
      <c r="X148" s="76">
        <v>-200000</v>
      </c>
      <c r="Y148" s="6">
        <f>IF(Tabla1[[#This Row],[Venta del mes]]&gt;0,Tabla1[[#This Row],[Venta del mes]]+Tabla1[[#This Row],[Ajuste venta nueva]],0)</f>
        <v>212305.88235294115</v>
      </c>
      <c r="Z148" s="6">
        <f>+Tabla1[[#This Row],[Producción para venta nueva]]-Tabla1[[#This Row],[Facturación Venta nueva]]</f>
        <v>204800.58388207451</v>
      </c>
      <c r="AA148" s="6">
        <f>IF(AND(A148=1,Tabla1[[#This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8" s="6"/>
      <c r="AC148" s="6">
        <f>IF(Tabla1[[#This Row],[Disponible stock sin venta]]&gt;0,Tabla1[[#This Row],[Disponible stock sin venta]]+Tabla1[[#This Row],[Ajuste stock sin venta]],0)</f>
        <v>0</v>
      </c>
      <c r="AD148" s="3">
        <f>IFERROR(VLOOKUP(Tabla1[[#This Row],[Llave]],'[16]TD Puerto'!$A:$D,4,FALSE),0)</f>
        <v>0</v>
      </c>
      <c r="AE148" s="3">
        <v>839941.76470588241</v>
      </c>
      <c r="AF148" s="3">
        <f>+Tabla1[[#This Row],[Atraso a facturar]]+Tabla1[[#This Row],[Venta del mes]]+Tabla1[[#This Row],[En puerto a facturar]]+Tabla1[[#This Row],[Disponible stock sin venta]]</f>
        <v>958635.8823529412</v>
      </c>
      <c r="AG148" s="3">
        <f>+Tabla1[[#This Row],[En puerto a facturar]]</f>
        <v>0</v>
      </c>
      <c r="AH148" s="3">
        <f>+Tabla1[[#This Row],[Facturación atraso]]</f>
        <v>426330</v>
      </c>
      <c r="AI148" s="3">
        <f>+Tabla1[[#This Row],[Plan Irrestricto]]-Tabla1[[#This Row],[Puerto ]]-Tabla1[[#This Row],[Atraso]]</f>
        <v>532305.8823529412</v>
      </c>
      <c r="AJ148" s="3">
        <f>IF(Tabla1[[#This Row],[Plan Irrestricto]]&gt;0,SUM(Tabla1[[#This Row],[Facturación atraso]],Tabla1[[#This Row],[Facturación Venta nueva]],Tabla1[[#This Row],[Facturación stock]],Tabla1[[#This Row],[En puerto a facturar]]),0)</f>
        <v>638635.8823529412</v>
      </c>
      <c r="AK148" s="3">
        <f>+Tabla1[[#This Row],[Facturación atraso]]</f>
        <v>426330</v>
      </c>
      <c r="AL148" s="3">
        <f>+Tabla1[[#This Row],[Plan Ajustado]]-Tabla1[[#This Row],[ Atraso ajustado]]-Tabla1[[#This Row],[Puerto ]]</f>
        <v>212305.8823529412</v>
      </c>
      <c r="AM148" s="3" t="s">
        <v>789</v>
      </c>
      <c r="AN148" s="3" t="str">
        <f>IF(Tabla1[[#This Row],[Plan Ajustado]]&gt;Tabla1[[#This Row],[En puerto a facturar]],"Si","No")</f>
        <v>Si</v>
      </c>
      <c r="AO148" s="3">
        <f>IF(AND(Tabla1[[#This Row],[Plan Ajustado]]&gt;0,Tabla1[[#This Row],[Plan Ajustado]]&gt;Tabla1[[#This Row],[En puerto a facturar]]),(Tabla1[[#This Row],[Plan Ajustado]]-Tabla1[[#This Row],[En puerto a facturar]]),0)</f>
        <v>638635.8823529412</v>
      </c>
      <c r="AP148" s="3">
        <f>IF(Tabla1[[#This Row],[Necesidad]]&gt;=Tabla1[[#This Row],[Stock al día]],Tabla1[[#This Row],[Stock al día]],Tabla1[[#This Row],[Necesidad]])</f>
        <v>276000.68599999993</v>
      </c>
      <c r="AQ148" s="3">
        <f>+Tabla1[[#This Row],[Necesidad]]-Tabla1[[#This Row],[Stock Plan]]</f>
        <v>362635.19635294128</v>
      </c>
      <c r="AR148" s="156">
        <f>IFERROR(VLOOKUP(Tabla1[[#This Row],[Oficina]],[22]Ponderación!$B$3:$G$9,6,FALSE),"")</f>
        <v>44765</v>
      </c>
      <c r="AS14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3.3479999999999999</v>
      </c>
      <c r="AT148" s="84">
        <f>IFERROR(VLOOKUP(Tabla1[[#This Row],[Llave]],[17]DELAY!$H:$W,16,FALSE),0)</f>
        <v>3.4455554112766871</v>
      </c>
      <c r="AU14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3.4131244310550732</v>
      </c>
      <c r="AV148" s="5">
        <f>+Tabla1[[#This Row],[Plan Ajustado]]*Tabla1[[#This Row],[Precio ponderado]]</f>
        <v>2179743.7326072371</v>
      </c>
      <c r="AW148" s="30">
        <f>IFERROR(VLOOKUP(Tabla1[[#This Row],[Llave]],'[13]Ultimos precios facturados'!$A:$G,7,FALSE),0)</f>
        <v>3.3377215677232455</v>
      </c>
      <c r="AX14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2.2591118462664997E-2</v>
      </c>
      <c r="AY148" s="30"/>
      <c r="AZ148" s="30">
        <f>IF(Tabla1[[#This Row],[Ajuste precio IC]]="",Tabla1[[#This Row],[Precio ponderado]],Tabla1[[#This Row],[Precio ponderado]])</f>
        <v>3.4131244310550732</v>
      </c>
      <c r="BA148" s="82"/>
      <c r="BB148" s="82" t="str">
        <f>IF(AND(Tabla1[[#This Row],[Atraso a facturar]]&gt;0,Tabla1[[#This Row],[Precio Atraso]]=0),"Revisar","OK")</f>
        <v>OK</v>
      </c>
      <c r="BC148" s="82" t="str">
        <f>IF(AND(Tabla1[[#This Row],[Venta del mes]]&gt;0,Tabla1[[#This Row],[Precio venta nueva]]=0),"Revisar","OK")</f>
        <v>OK</v>
      </c>
      <c r="BD148" s="20">
        <f>IFERROR(VLOOKUP(Tabla1[[#This Row],[Llave]],'[5]Consolidación planes'!$A:$M,9,FALSE),0)</f>
        <v>412200</v>
      </c>
      <c r="BE148" s="20">
        <f>IFERROR(VLOOKUP(Tabla1[[#This Row],[Llave]],'[5]Consolidación planes'!$A:$M,10,FALSE),0)</f>
        <v>240000</v>
      </c>
      <c r="BF148" s="20">
        <f>IFERROR(VLOOKUP(Tabla1[[#This Row],[Llave]],'[5]Consolidación planes'!$A:$M,11,FALSE),0)</f>
        <v>400000</v>
      </c>
      <c r="BG148" s="20">
        <f>IFERROR(VLOOKUP(Tabla1[[#This Row],[Llave]],'[5]Consolidación planes'!$A:$M,12,FALSE),0)</f>
        <v>460000</v>
      </c>
      <c r="BH148" s="20">
        <f>IFERROR(VLOOKUP(Tabla1[[#This Row],[Llave]],'[5]Consolidación planes'!$A:$M,13,FALSE),0)</f>
        <v>600000</v>
      </c>
      <c r="BI148" s="20">
        <f>IFERROR(VLOOKUP(Tabla1[[#This Row],[Llave]],'[13]Base ultimos planes'!$A:$M,13,FALSE),0)</f>
        <v>690745</v>
      </c>
      <c r="BJ148" s="80">
        <f>IFERROR(VLOOKUP(Tabla1[[#This Row],[Llave]],'[13]Base ultimos planes'!$O:$AA,8,FALSE),0)</f>
        <v>1698264</v>
      </c>
      <c r="BK148" s="20">
        <f>IFERROR(VLOOKUP(Tabla1[[#This Row],[Llave]],'[13]Base ultimos planes'!$O:$AA,9,FALSE),0)</f>
        <v>924341</v>
      </c>
      <c r="BL148" s="20">
        <f>IFERROR(VLOOKUP(Tabla1[[#This Row],[Llave]],'[13]Base ultimos planes'!$O:$AA,10,FALSE),0)</f>
        <v>1528601</v>
      </c>
      <c r="BM148" s="20">
        <f>IFERROR(VLOOKUP(Tabla1[[#This Row],[Llave]],'[13]Base ultimos planes'!$O:$AA,11,FALSE),0)</f>
        <v>1681228</v>
      </c>
      <c r="BN148" s="20">
        <f>IFERROR(VLOOKUP(Tabla1[[#This Row],[Llave]],'[13]Base ultimos planes'!$O:$AA,12,FALSE),0)</f>
        <v>2172336</v>
      </c>
      <c r="BO148" s="20">
        <f>IFERROR(VLOOKUP(Tabla1[[#This Row],[Llave]],'[13]Base ultimos planes'!$O:$AA,13,FALSE),0)</f>
        <v>2287445</v>
      </c>
      <c r="BP148" s="20"/>
      <c r="BQ148" s="20">
        <f>+Tabla1[[#This Row],[ RV  Venta mes n+1]]*(1-Tabla1[[#This Row],[% Uti. producción]])</f>
        <v>53935.060051237466</v>
      </c>
      <c r="BR148" s="100"/>
    </row>
    <row r="149" spans="1:70" ht="16" x14ac:dyDescent="0.2">
      <c r="A149">
        <v>1</v>
      </c>
      <c r="B149" t="str">
        <f>Tabla1[[#This Row],[Oficina]]&amp;Tabla1[[#This Row],[Material]]</f>
        <v>Exportacion Directa1020284</v>
      </c>
      <c r="C149" t="s">
        <v>6</v>
      </c>
      <c r="D149" t="s">
        <v>88</v>
      </c>
      <c r="E149">
        <v>1020284</v>
      </c>
      <c r="F149" t="s">
        <v>129</v>
      </c>
      <c r="G149" t="s">
        <v>59</v>
      </c>
      <c r="H149" t="s">
        <v>65</v>
      </c>
      <c r="I149" s="7">
        <f>IFERROR(VLOOKUP(Tabla1[[#This Row],[Llave]],'[7]RV Producción'!$C:$G,5,FALSE),0)</f>
        <v>406</v>
      </c>
      <c r="J149" s="3">
        <f>IFERROR(IF(Tabla1[[#This Row],[Oficina]]=$I$7,VLOOKUP(Tabla1[[#This Row],[Llave]],'[7]Shangai (Tomas)'!$A:$F,6,FALSE),VLOOKUP(Tabla1[[#This Row],[Llave]],'[7]RV plan de ventas'!$A:$E,5,FALSE)),0)</f>
        <v>7000</v>
      </c>
      <c r="K149" s="8">
        <f>IFERROR(VLOOKUP(Tabla1[[#This Row],[Oficina]],[15]Ponderación!$B$2:$E$9,4,FALSE),0)</f>
        <v>0.87158319035419651</v>
      </c>
      <c r="L149" s="7">
        <f>+Tabla1[[#This Row],[ RV Producción mes n+1]]*Tabla1[[#This Row],[% Uti. producción]]</f>
        <v>353.86277528380378</v>
      </c>
      <c r="M149" s="7">
        <f>IFERROR(VLOOKUP(Tabla1[[#This Row],[Material]],'[17]TD Stock'!$E:$I,5,FALSE),0)</f>
        <v>16116.352999999997</v>
      </c>
      <c r="N149" s="7">
        <f>IFERROR(VLOOKUP(Tabla1[[#This Row],[Material]],[16]Produccion!$M:$N,2,FALSE),0)</f>
        <v>0</v>
      </c>
      <c r="O149" s="7">
        <f>IFERROR(VLOOKUP(Tabla1[[#This Row],[Llave]],'[16]TD Conf-AP'!$I:$M,4,FALSE),0)</f>
        <v>0</v>
      </c>
      <c r="P149" s="14">
        <f>SUM(Tabla1[[#This Row],[Producción disponible]],Tabla1[[#This Row],[Stock al día]],(Tabla1[[#This Row],[Por producir mes N]]*0.9))-Tabla1[[#This Row],[Producción por despachar mes N]]</f>
        <v>16470.215775283803</v>
      </c>
      <c r="Q149" s="7">
        <f>IFERROR(VLOOKUP(Tabla1[[#This Row],[Llave]],[17]DELAY!$A:$D,4,FALSE),0)</f>
        <v>7000</v>
      </c>
      <c r="R149" s="9">
        <v>2333.3333333333335</v>
      </c>
      <c r="S149" s="5">
        <f t="shared" si="31"/>
        <v>7000</v>
      </c>
      <c r="T149" s="76">
        <v>0</v>
      </c>
      <c r="U149" s="5">
        <f>+Tabla1[[#This Row],[Atraso a facturar]]+Tabla1[[#This Row],[Ajuste atraso]]</f>
        <v>7000</v>
      </c>
      <c r="V149" s="3">
        <f>+Tabla1[[#This Row],[Total disponible]]-Tabla1[[#This Row],[Facturación atraso]]</f>
        <v>9470.2157752838029</v>
      </c>
      <c r="W149" s="6">
        <f>IFERROR(IF(AND(V149&gt;R149,J149&gt;=R149),ROUNDDOWN((Tabla1[[#This Row],[Producción para venta nueva]])/R149,0)*R149,0),0)</f>
        <v>9333.3333333333339</v>
      </c>
      <c r="X149" s="76">
        <v>-4000</v>
      </c>
      <c r="Y149" s="6">
        <f>IF(Tabla1[[#This Row],[Venta del mes]]&gt;0,Tabla1[[#This Row],[Venta del mes]]+Tabla1[[#This Row],[Ajuste venta nueva]],0)</f>
        <v>5333.3333333333339</v>
      </c>
      <c r="Z149" s="6">
        <f>+Tabla1[[#This Row],[Producción para venta nueva]]-Tabla1[[#This Row],[Facturación Venta nueva]]</f>
        <v>4136.882441950469</v>
      </c>
      <c r="AA149" s="6">
        <f>IF(AND(A149=1,Tabla1[[#This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49" s="6"/>
      <c r="AC149" s="6">
        <f>IF(Tabla1[[#This Row],[Disponible stock sin venta]]&gt;0,Tabla1[[#This Row],[Disponible stock sin venta]]+Tabla1[[#This Row],[Ajuste stock sin venta]],0)</f>
        <v>0</v>
      </c>
      <c r="AD149" s="3">
        <f>IFERROR(VLOOKUP(Tabla1[[#This Row],[Llave]],'[16]TD Puerto'!$A:$D,4,FALSE),0)</f>
        <v>0</v>
      </c>
      <c r="AE149" s="3">
        <v>16333.333333333334</v>
      </c>
      <c r="AF149" s="3">
        <f>+Tabla1[[#This Row],[Atraso a facturar]]+Tabla1[[#This Row],[Venta del mes]]+Tabla1[[#This Row],[En puerto a facturar]]+Tabla1[[#This Row],[Disponible stock sin venta]]</f>
        <v>16333.333333333334</v>
      </c>
      <c r="AG149" s="3">
        <f>+Tabla1[[#This Row],[En puerto a facturar]]</f>
        <v>0</v>
      </c>
      <c r="AH149" s="3">
        <f>+Tabla1[[#This Row],[Facturación atraso]]</f>
        <v>7000</v>
      </c>
      <c r="AI149" s="3">
        <f>+Tabla1[[#This Row],[Plan Irrestricto]]-Tabla1[[#This Row],[Puerto ]]-Tabla1[[#This Row],[Atraso]]</f>
        <v>9333.3333333333339</v>
      </c>
      <c r="AJ149" s="3">
        <f>IF(Tabla1[[#This Row],[Plan Irrestricto]]&gt;0,SUM(Tabla1[[#This Row],[Facturación atraso]],Tabla1[[#This Row],[Facturación Venta nueva]],Tabla1[[#This Row],[Facturación stock]],Tabla1[[#This Row],[En puerto a facturar]]),0)</f>
        <v>12333.333333333334</v>
      </c>
      <c r="AK149" s="3">
        <f>+Tabla1[[#This Row],[Facturación atraso]]</f>
        <v>7000</v>
      </c>
      <c r="AL149" s="3">
        <f>+Tabla1[[#This Row],[Plan Ajustado]]-Tabla1[[#This Row],[ Atraso ajustado]]-Tabla1[[#This Row],[Puerto ]]</f>
        <v>5333.3333333333339</v>
      </c>
      <c r="AM149" s="3" t="s">
        <v>789</v>
      </c>
      <c r="AN149" s="3" t="str">
        <f>IF(Tabla1[[#This Row],[Plan Ajustado]]&gt;Tabla1[[#This Row],[En puerto a facturar]],"Si","No")</f>
        <v>Si</v>
      </c>
      <c r="AO149" s="3">
        <f>IF(AND(Tabla1[[#This Row],[Plan Ajustado]]&gt;0,Tabla1[[#This Row],[Plan Ajustado]]&gt;Tabla1[[#This Row],[En puerto a facturar]]),(Tabla1[[#This Row],[Plan Ajustado]]-Tabla1[[#This Row],[En puerto a facturar]]),0)</f>
        <v>12333.333333333334</v>
      </c>
      <c r="AP149" s="3">
        <f>IF(Tabla1[[#This Row],[Necesidad]]&gt;=Tabla1[[#This Row],[Stock al día]],Tabla1[[#This Row],[Stock al día]],Tabla1[[#This Row],[Necesidad]])</f>
        <v>12333.333333333334</v>
      </c>
      <c r="AQ149" s="3">
        <f>+Tabla1[[#This Row],[Necesidad]]-Tabla1[[#This Row],[Stock Plan]]</f>
        <v>0</v>
      </c>
      <c r="AR149" s="156">
        <f>IFERROR(VLOOKUP(Tabla1[[#This Row],[Oficina]],[22]Ponderación!$B$3:$G$9,6,FALSE),"")</f>
        <v>44765</v>
      </c>
      <c r="AS14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3.456</v>
      </c>
      <c r="AT149" s="83">
        <f>IFERROR(VLOOKUP(Tabla1[[#This Row],[Llave]],[17]DELAY!$H:$W,16,FALSE),0)</f>
        <v>3.6973310142857101</v>
      </c>
      <c r="AU14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3.5929716567567542</v>
      </c>
      <c r="AV149" s="5">
        <f>+Tabla1[[#This Row],[Plan Ajustado]]*Tabla1[[#This Row],[Precio ponderado]]</f>
        <v>44313.317099999971</v>
      </c>
      <c r="AW149" s="30">
        <f>IFERROR(VLOOKUP(Tabla1[[#This Row],[Llave]],'[13]Ultimos precios facturados'!$A:$G,7,FALSE),0)</f>
        <v>3.6560115307590015</v>
      </c>
      <c r="AX14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1.7242799556805556E-2</v>
      </c>
      <c r="AY149" s="30"/>
      <c r="AZ149" s="30">
        <f>IF(Tabla1[[#This Row],[Ajuste precio IC]]="",Tabla1[[#This Row],[Precio ponderado]],Tabla1[[#This Row],[Precio ponderado]])</f>
        <v>3.5929716567567542</v>
      </c>
      <c r="BA149" s="82" t="s">
        <v>753</v>
      </c>
      <c r="BB149" s="82" t="str">
        <f>IF(AND(Tabla1[[#This Row],[Atraso a facturar]]&gt;0,Tabla1[[#This Row],[Precio Atraso]]=0),"Revisar","OK")</f>
        <v>OK</v>
      </c>
      <c r="BC149" s="82" t="str">
        <f>IF(AND(Tabla1[[#This Row],[Venta del mes]]&gt;0,Tabla1[[#This Row],[Precio venta nueva]]=0),"Revisar","OK")</f>
        <v>OK</v>
      </c>
      <c r="BD149" s="20">
        <f>IFERROR(VLOOKUP(Tabla1[[#This Row],[Llave]],'[5]Consolidación planes'!$A:$M,9,FALSE),0)</f>
        <v>11750</v>
      </c>
      <c r="BE149" s="20">
        <f>IFERROR(VLOOKUP(Tabla1[[#This Row],[Llave]],'[5]Consolidación planes'!$A:$M,10,FALSE),0)</f>
        <v>5750</v>
      </c>
      <c r="BF149" s="20">
        <f>IFERROR(VLOOKUP(Tabla1[[#This Row],[Llave]],'[5]Consolidación planes'!$A:$M,11,FALSE),0)</f>
        <v>4000</v>
      </c>
      <c r="BG149" s="20">
        <f>IFERROR(VLOOKUP(Tabla1[[#This Row],[Llave]],'[5]Consolidación planes'!$A:$M,12,FALSE),0)</f>
        <v>17000</v>
      </c>
      <c r="BH149" s="20">
        <f>IFERROR(VLOOKUP(Tabla1[[#This Row],[Llave]],'[5]Consolidación planes'!$A:$M,13,FALSE),0)</f>
        <v>23200</v>
      </c>
      <c r="BI149" s="20">
        <f>IFERROR(VLOOKUP(Tabla1[[#This Row],[Llave]],'[13]Base ultimos planes'!$A:$M,13,FALSE),0)</f>
        <v>7667</v>
      </c>
      <c r="BJ149" s="80">
        <f>IFERROR(VLOOKUP(Tabla1[[#This Row],[Llave]],'[13]Base ultimos planes'!$O:$AA,8,FALSE),0)</f>
        <v>50760</v>
      </c>
      <c r="BK149" s="20">
        <f>IFERROR(VLOOKUP(Tabla1[[#This Row],[Llave]],'[13]Base ultimos planes'!$O:$AA,9,FALSE),0)</f>
        <v>23396</v>
      </c>
      <c r="BL149" s="20">
        <f>IFERROR(VLOOKUP(Tabla1[[#This Row],[Llave]],'[13]Base ultimos planes'!$O:$AA,10,FALSE),0)</f>
        <v>16318</v>
      </c>
      <c r="BM149" s="20">
        <f>IFERROR(VLOOKUP(Tabla1[[#This Row],[Llave]],'[13]Base ultimos planes'!$O:$AA,11,FALSE),0)</f>
        <v>67201</v>
      </c>
      <c r="BN149" s="20">
        <f>IFERROR(VLOOKUP(Tabla1[[#This Row],[Llave]],'[13]Base ultimos planes'!$O:$AA,12,FALSE),0)</f>
        <v>89295</v>
      </c>
      <c r="BO149" s="20">
        <f>IFERROR(VLOOKUP(Tabla1[[#This Row],[Llave]],'[13]Base ultimos planes'!$O:$AA,13,FALSE),0)</f>
        <v>27627</v>
      </c>
      <c r="BP149" s="20"/>
      <c r="BQ149" s="20">
        <f>+Tabla1[[#This Row],[ RV  Venta mes n+1]]*(1-Tabla1[[#This Row],[% Uti. producción]])</f>
        <v>898.91766752062438</v>
      </c>
      <c r="BR149" s="100"/>
    </row>
    <row r="150" spans="1:70" ht="16" x14ac:dyDescent="0.2">
      <c r="A150">
        <v>1</v>
      </c>
      <c r="B150" t="str">
        <f>Tabla1[[#This Row],[Oficina]]&amp;Tabla1[[#This Row],[Material]]</f>
        <v>Exportacion Directa1020326</v>
      </c>
      <c r="C150" t="s">
        <v>6</v>
      </c>
      <c r="D150" t="s">
        <v>88</v>
      </c>
      <c r="E150">
        <v>1020326</v>
      </c>
      <c r="F150" t="s">
        <v>117</v>
      </c>
      <c r="G150" t="s">
        <v>53</v>
      </c>
      <c r="H150" t="s">
        <v>54</v>
      </c>
      <c r="I150" s="7">
        <f>IFERROR(VLOOKUP(Tabla1[[#This Row],[Llave]],'[7]RV Producción'!$C:$G,5,FALSE),0)</f>
        <v>224894</v>
      </c>
      <c r="J150" s="3">
        <f>IFERROR(IF(Tabla1[[#This Row],[Oficina]]=$I$7,VLOOKUP(Tabla1[[#This Row],[Llave]],'[7]Shangai (Tomas)'!$A:$F,6,FALSE),VLOOKUP(Tabla1[[#This Row],[Llave]],'[7]RV plan de ventas'!$A:$E,5,FALSE)),0)</f>
        <v>264000</v>
      </c>
      <c r="K150" s="8">
        <f>IFERROR(VLOOKUP(Tabla1[[#This Row],[Oficina]],[15]Ponderación!$B$2:$E$9,4,FALSE),0)</f>
        <v>0.87158319035419651</v>
      </c>
      <c r="L150" s="7">
        <f>+Tabla1[[#This Row],[ RV Producción mes n+1]]*Tabla1[[#This Row],[% Uti. producción]]</f>
        <v>196013.83001151666</v>
      </c>
      <c r="M150" s="7">
        <f>IFERROR(VLOOKUP(Tabla1[[#This Row],[Material]],'[17]TD Stock'!$E:$I,5,FALSE),0)</f>
        <v>57625.84</v>
      </c>
      <c r="N150" s="7">
        <f>IFERROR(VLOOKUP(Tabla1[[#This Row],[Material]],[16]Produccion!$M:$N,2,FALSE),0)</f>
        <v>77155.199999999997</v>
      </c>
      <c r="O150" s="7">
        <f>IFERROR(VLOOKUP(Tabla1[[#This Row],[Llave]],'[16]TD Conf-AP'!$I:$M,4,FALSE),0)</f>
        <v>72000</v>
      </c>
      <c r="P150" s="14">
        <f>SUM(Tabla1[[#This Row],[Producción disponible]],Tabla1[[#This Row],[Stock al día]],(Tabla1[[#This Row],[Por producir mes N]]*0.9))-Tabla1[[#This Row],[Producción por despachar mes N]]</f>
        <v>251079.35001151665</v>
      </c>
      <c r="Q150" s="7">
        <f>IFERROR(VLOOKUP(Tabla1[[#This Row],[Llave]],[17]DELAY!$A:$D,4,FALSE),0)</f>
        <v>96000</v>
      </c>
      <c r="R150" s="9">
        <v>24000</v>
      </c>
      <c r="S150" s="5">
        <f t="shared" si="31"/>
        <v>96000</v>
      </c>
      <c r="T150" s="76">
        <v>-96000</v>
      </c>
      <c r="U150" s="5">
        <f>+Tabla1[[#This Row],[Atraso a facturar]]+Tabla1[[#This Row],[Ajuste atraso]]</f>
        <v>0</v>
      </c>
      <c r="V150" s="3">
        <f>+Tabla1[[#This Row],[Total disponible]]-Tabla1[[#This Row],[Facturación atraso]]</f>
        <v>251079.35001151665</v>
      </c>
      <c r="W150" s="6">
        <f>IFERROR(IF(AND(V150&gt;R150,J150&gt;=R150),ROUNDDOWN((Tabla1[[#This Row],[Producción para venta nueva]])/R150,0)*R150,0),0)</f>
        <v>240000</v>
      </c>
      <c r="X150" s="76">
        <v>-24000</v>
      </c>
      <c r="Y150" s="6">
        <f>IF(Tabla1[[#This Row],[Venta del mes]]&gt;0,Tabla1[[#This Row],[Venta del mes]]+Tabla1[[#This Row],[Ajuste venta nueva]],0)</f>
        <v>216000</v>
      </c>
      <c r="Z150" s="6">
        <f>+Tabla1[[#This Row],[Producción para venta nueva]]-Tabla1[[#This Row],[Facturación Venta nueva]]</f>
        <v>35079.350011516653</v>
      </c>
      <c r="AA150" s="6">
        <f>IF(AND(A150=1,Tabla1[[#This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0" s="6"/>
      <c r="AC150" s="6">
        <f>IF(Tabla1[[#This Row],[Disponible stock sin venta]]&gt;0,Tabla1[[#This Row],[Disponible stock sin venta]]+Tabla1[[#This Row],[Ajuste stock sin venta]],0)</f>
        <v>0</v>
      </c>
      <c r="AD150" s="3">
        <f>IFERROR(VLOOKUP(Tabla1[[#This Row],[Llave]],'[16]TD Puerto'!$A:$D,4,FALSE),0)</f>
        <v>0</v>
      </c>
      <c r="AE150" s="3">
        <v>240000</v>
      </c>
      <c r="AF150" s="3">
        <f>+Tabla1[[#This Row],[Atraso a facturar]]+Tabla1[[#This Row],[Venta del mes]]+Tabla1[[#This Row],[En puerto a facturar]]+Tabla1[[#This Row],[Disponible stock sin venta]]</f>
        <v>336000</v>
      </c>
      <c r="AG150" s="3">
        <f>+Tabla1[[#This Row],[En puerto a facturar]]</f>
        <v>0</v>
      </c>
      <c r="AH150" s="3">
        <f>+Tabla1[[#This Row],[Facturación atraso]]</f>
        <v>0</v>
      </c>
      <c r="AI150" s="3">
        <f>+Tabla1[[#This Row],[Plan Irrestricto]]-Tabla1[[#This Row],[Puerto ]]-Tabla1[[#This Row],[Atraso]]</f>
        <v>336000</v>
      </c>
      <c r="AJ150" s="3">
        <f>IF(Tabla1[[#This Row],[Plan Irrestricto]]&gt;0,SUM(Tabla1[[#This Row],[Facturación atraso]],Tabla1[[#This Row],[Facturación Venta nueva]],Tabla1[[#This Row],[Facturación stock]],Tabla1[[#This Row],[En puerto a facturar]]),0)</f>
        <v>216000</v>
      </c>
      <c r="AK150" s="3">
        <f>+Tabla1[[#This Row],[Facturación atraso]]</f>
        <v>0</v>
      </c>
      <c r="AL150" s="3">
        <f>+Tabla1[[#This Row],[Plan Ajustado]]-Tabla1[[#This Row],[ Atraso ajustado]]-Tabla1[[#This Row],[Puerto ]]</f>
        <v>216000</v>
      </c>
      <c r="AM150" s="3" t="s">
        <v>790</v>
      </c>
      <c r="AN150" s="3" t="str">
        <f>IF(Tabla1[[#This Row],[Plan Ajustado]]&gt;Tabla1[[#This Row],[En puerto a facturar]],"Si","No")</f>
        <v>Si</v>
      </c>
      <c r="AO150" s="3">
        <f>IF(AND(Tabla1[[#This Row],[Plan Ajustado]]&gt;0,Tabla1[[#This Row],[Plan Ajustado]]&gt;Tabla1[[#This Row],[En puerto a facturar]]),(Tabla1[[#This Row],[Plan Ajustado]]-Tabla1[[#This Row],[En puerto a facturar]]),0)</f>
        <v>216000</v>
      </c>
      <c r="AP150" s="3">
        <f>IF(Tabla1[[#This Row],[Necesidad]]&gt;=Tabla1[[#This Row],[Stock al día]],Tabla1[[#This Row],[Stock al día]],Tabla1[[#This Row],[Necesidad]])</f>
        <v>57625.84</v>
      </c>
      <c r="AQ150" s="3">
        <f>+Tabla1[[#This Row],[Necesidad]]-Tabla1[[#This Row],[Stock Plan]]</f>
        <v>158374.16</v>
      </c>
      <c r="AR150" s="156">
        <f>IFERROR(VLOOKUP(Tabla1[[#This Row],[Oficina]],[22]Ponderación!$B$3:$G$9,6,FALSE),"")</f>
        <v>44765</v>
      </c>
      <c r="AS15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2.52</v>
      </c>
      <c r="AT150" s="83">
        <f>IFERROR(VLOOKUP(Tabla1[[#This Row],[Llave]],[17]DELAY!$H:$W,16,FALSE),0)</f>
        <v>2.6569215234848498</v>
      </c>
      <c r="AU15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2.52</v>
      </c>
      <c r="AV150" s="5">
        <f>+Tabla1[[#This Row],[Plan Ajustado]]*Tabla1[[#This Row],[Precio ponderado]]</f>
        <v>544320</v>
      </c>
      <c r="AW150" s="30">
        <f>IFERROR(VLOOKUP(Tabla1[[#This Row],[Llave]],'[13]Ultimos precios facturados'!$A:$G,7,FALSE),0)</f>
        <v>2.4170818591050018</v>
      </c>
      <c r="AX15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4.2579501603270793E-2</v>
      </c>
      <c r="AY150" s="30"/>
      <c r="AZ150" s="30">
        <f>IF(Tabla1[[#This Row],[Ajuste precio IC]]="",Tabla1[[#This Row],[Precio ponderado]],Tabla1[[#This Row],[Precio ponderado]])</f>
        <v>2.52</v>
      </c>
      <c r="BA150" s="82" t="s">
        <v>754</v>
      </c>
      <c r="BB150" s="82" t="str">
        <f>IF(AND(Tabla1[[#This Row],[Atraso a facturar]]&gt;0,Tabla1[[#This Row],[Precio Atraso]]=0),"Revisar","OK")</f>
        <v>OK</v>
      </c>
      <c r="BC150" s="82" t="str">
        <f>IF(AND(Tabla1[[#This Row],[Venta del mes]]&gt;0,Tabla1[[#This Row],[Precio venta nueva]]=0),"Revisar","OK")</f>
        <v>OK</v>
      </c>
      <c r="BD150" s="20">
        <f>IFERROR(VLOOKUP(Tabla1[[#This Row],[Llave]],'[5]Consolidación planes'!$A:$M,9,FALSE),0)</f>
        <v>296000</v>
      </c>
      <c r="BE150" s="20">
        <f>IFERROR(VLOOKUP(Tabla1[[#This Row],[Llave]],'[5]Consolidación planes'!$A:$M,10,FALSE),0)</f>
        <v>264000</v>
      </c>
      <c r="BF150" s="20">
        <f>IFERROR(VLOOKUP(Tabla1[[#This Row],[Llave]],'[5]Consolidación planes'!$A:$M,11,FALSE),0)</f>
        <v>240000</v>
      </c>
      <c r="BG150" s="20">
        <f>IFERROR(VLOOKUP(Tabla1[[#This Row],[Llave]],'[5]Consolidación planes'!$A:$M,12,FALSE),0)</f>
        <v>408000</v>
      </c>
      <c r="BH150" s="20">
        <f>IFERROR(VLOOKUP(Tabla1[[#This Row],[Llave]],'[5]Consolidación planes'!$A:$M,13,FALSE),0)</f>
        <v>360000</v>
      </c>
      <c r="BI150" s="20">
        <f>IFERROR(VLOOKUP(Tabla1[[#This Row],[Llave]],'[13]Base ultimos planes'!$A:$M,13,FALSE),0)</f>
        <v>312000</v>
      </c>
      <c r="BJ150" s="80">
        <f>IFERROR(VLOOKUP(Tabla1[[#This Row],[Llave]],'[13]Base ultimos planes'!$O:$AA,8,FALSE),0)</f>
        <v>858400</v>
      </c>
      <c r="BK150" s="20">
        <f>IFERROR(VLOOKUP(Tabla1[[#This Row],[Llave]],'[13]Base ultimos planes'!$O:$AA,9,FALSE),0)</f>
        <v>679729</v>
      </c>
      <c r="BL150" s="20">
        <f>IFERROR(VLOOKUP(Tabla1[[#This Row],[Llave]],'[13]Base ultimos planes'!$O:$AA,10,FALSE),0)</f>
        <v>615492</v>
      </c>
      <c r="BM150" s="20">
        <f>IFERROR(VLOOKUP(Tabla1[[#This Row],[Llave]],'[13]Base ultimos planes'!$O:$AA,11,FALSE),0)</f>
        <v>1018883</v>
      </c>
      <c r="BN150" s="20">
        <f>IFERROR(VLOOKUP(Tabla1[[#This Row],[Llave]],'[13]Base ultimos planes'!$O:$AA,12,FALSE),0)</f>
        <v>897600</v>
      </c>
      <c r="BO150" s="20">
        <f>IFERROR(VLOOKUP(Tabla1[[#This Row],[Llave]],'[13]Base ultimos planes'!$O:$AA,13,FALSE),0)</f>
        <v>740745</v>
      </c>
      <c r="BP150" s="20"/>
      <c r="BQ150" s="20">
        <f>+Tabla1[[#This Row],[ RV  Venta mes n+1]]*(1-Tabla1[[#This Row],[% Uti. producción]])</f>
        <v>33902.037746492118</v>
      </c>
      <c r="BR150" s="100"/>
    </row>
    <row r="151" spans="1:70" ht="16" x14ac:dyDescent="0.2">
      <c r="A151">
        <v>1</v>
      </c>
      <c r="B151" t="str">
        <f>Tabla1[[#This Row],[Oficina]]&amp;Tabla1[[#This Row],[Material]]</f>
        <v>Exportacion Directa1020589</v>
      </c>
      <c r="C151" t="s">
        <v>6</v>
      </c>
      <c r="D151" t="s">
        <v>88</v>
      </c>
      <c r="E151">
        <v>1020589</v>
      </c>
      <c r="F151" t="s">
        <v>105</v>
      </c>
      <c r="G151" t="s">
        <v>50</v>
      </c>
      <c r="H151" t="s">
        <v>103</v>
      </c>
      <c r="I151" s="7">
        <f>IFERROR(VLOOKUP(Tabla1[[#This Row],[Llave]],'[7]RV Producción'!$C:$G,5,FALSE),0)</f>
        <v>114378</v>
      </c>
      <c r="J151" s="3">
        <f>IFERROR(IF(Tabla1[[#This Row],[Oficina]]=$I$7,VLOOKUP(Tabla1[[#This Row],[Llave]],'[7]Shangai (Tomas)'!$A:$F,6,FALSE),VLOOKUP(Tabla1[[#This Row],[Llave]],'[7]RV plan de ventas'!$A:$E,5,FALSE)),0)</f>
        <v>130000</v>
      </c>
      <c r="K151" s="8">
        <f>IFERROR(VLOOKUP(Tabla1[[#This Row],[Oficina]],[15]Ponderación!$B$2:$E$9,4,FALSE),0)</f>
        <v>0.87158319035419651</v>
      </c>
      <c r="L151" s="7">
        <f>+Tabla1[[#This Row],[ RV Producción mes n+1]]*Tabla1[[#This Row],[% Uti. producción]]</f>
        <v>99689.942146332294</v>
      </c>
      <c r="M151" s="7">
        <f>IFERROR(VLOOKUP(Tabla1[[#This Row],[Material]],'[17]TD Stock'!$E:$I,5,FALSE),0)</f>
        <v>91438.850000000035</v>
      </c>
      <c r="N151" s="7">
        <f>IFERROR(VLOOKUP(Tabla1[[#This Row],[Material]],[16]Produccion!$M:$N,2,FALSE),0)</f>
        <v>50365.716106776556</v>
      </c>
      <c r="O151" s="7">
        <f>IFERROR(VLOOKUP(Tabla1[[#This Row],[Llave]],'[16]TD Conf-AP'!$I:$M,4,FALSE),0)</f>
        <v>10000</v>
      </c>
      <c r="P151" s="14">
        <f>SUM(Tabla1[[#This Row],[Producción disponible]],Tabla1[[#This Row],[Stock al día]],(Tabla1[[#This Row],[Por producir mes N]]*0.9))-Tabla1[[#This Row],[Producción por despachar mes N]]</f>
        <v>226457.93664243125</v>
      </c>
      <c r="Q151" s="7">
        <f>IFERROR(VLOOKUP(Tabla1[[#This Row],[Llave]],[17]DELAY!$A:$D,4,FALSE),0)</f>
        <v>140200</v>
      </c>
      <c r="R151" s="9">
        <v>3265.3061224489797</v>
      </c>
      <c r="S151" s="5">
        <f t="shared" si="31"/>
        <v>140200</v>
      </c>
      <c r="T151" s="76">
        <v>-40000</v>
      </c>
      <c r="U151" s="5">
        <f>+Tabla1[[#This Row],[Atraso a facturar]]+Tabla1[[#This Row],[Ajuste atraso]]</f>
        <v>100200</v>
      </c>
      <c r="V151" s="3">
        <f>+Tabla1[[#This Row],[Total disponible]]-Tabla1[[#This Row],[Facturación atraso]]</f>
        <v>126257.93664243125</v>
      </c>
      <c r="W151" s="6">
        <f>IFERROR(IF(AND(V151&gt;R151,J151&gt;=R151),ROUNDDOWN((Tabla1[[#This Row],[Producción para venta nueva]])/R151,0)*R151,0),0)</f>
        <v>124081.63265306123</v>
      </c>
      <c r="X151" s="76">
        <v>-60000</v>
      </c>
      <c r="Y151" s="6">
        <f>IF(Tabla1[[#This Row],[Venta del mes]]&gt;0,Tabla1[[#This Row],[Venta del mes]]+Tabla1[[#This Row],[Ajuste venta nueva]],0)</f>
        <v>64081.632653061228</v>
      </c>
      <c r="Z151" s="6">
        <f>+Tabla1[[#This Row],[Producción para venta nueva]]-Tabla1[[#This Row],[Facturación Venta nueva]]</f>
        <v>62176.303989370019</v>
      </c>
      <c r="AA151" s="6">
        <f>IF(AND(A151=1,Tabla1[[#This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1" s="6"/>
      <c r="AC151" s="6">
        <f>IF(Tabla1[[#This Row],[Disponible stock sin venta]]&gt;0,Tabla1[[#This Row],[Disponible stock sin venta]]+Tabla1[[#This Row],[Ajuste stock sin venta]],0)</f>
        <v>0</v>
      </c>
      <c r="AD151" s="3">
        <f>IFERROR(VLOOKUP(Tabla1[[#This Row],[Llave]],'[16]TD Puerto'!$A:$D,4,FALSE),0)</f>
        <v>0</v>
      </c>
      <c r="AE151" s="3">
        <v>225097.95918367349</v>
      </c>
      <c r="AF151" s="3">
        <f>+Tabla1[[#This Row],[Atraso a facturar]]+Tabla1[[#This Row],[Venta del mes]]+Tabla1[[#This Row],[En puerto a facturar]]+Tabla1[[#This Row],[Disponible stock sin venta]]</f>
        <v>264281.63265306124</v>
      </c>
      <c r="AG151" s="3">
        <f>+Tabla1[[#This Row],[En puerto a facturar]]</f>
        <v>0</v>
      </c>
      <c r="AH151" s="3">
        <f>+Tabla1[[#This Row],[Facturación atraso]]</f>
        <v>100200</v>
      </c>
      <c r="AI151" s="3">
        <f>+Tabla1[[#This Row],[Plan Irrestricto]]-Tabla1[[#This Row],[Puerto ]]-Tabla1[[#This Row],[Atraso]]</f>
        <v>164081.63265306124</v>
      </c>
      <c r="AJ151" s="3">
        <f>IF(Tabla1[[#This Row],[Plan Irrestricto]]&gt;0,SUM(Tabla1[[#This Row],[Facturación atraso]],Tabla1[[#This Row],[Facturación Venta nueva]],Tabla1[[#This Row],[Facturación stock]],Tabla1[[#This Row],[En puerto a facturar]]),0)</f>
        <v>164281.63265306124</v>
      </c>
      <c r="AK151" s="3">
        <f>+Tabla1[[#This Row],[Facturación atraso]]</f>
        <v>100200</v>
      </c>
      <c r="AL151" s="3">
        <f>+Tabla1[[#This Row],[Plan Ajustado]]-Tabla1[[#This Row],[ Atraso ajustado]]-Tabla1[[#This Row],[Puerto ]]</f>
        <v>64081.632653061242</v>
      </c>
      <c r="AM151" s="3" t="s">
        <v>789</v>
      </c>
      <c r="AN151" s="3" t="str">
        <f>IF(Tabla1[[#This Row],[Plan Ajustado]]&gt;Tabla1[[#This Row],[En puerto a facturar]],"Si","No")</f>
        <v>Si</v>
      </c>
      <c r="AO151" s="3">
        <f>IF(AND(Tabla1[[#This Row],[Plan Ajustado]]&gt;0,Tabla1[[#This Row],[Plan Ajustado]]&gt;Tabla1[[#This Row],[En puerto a facturar]]),(Tabla1[[#This Row],[Plan Ajustado]]-Tabla1[[#This Row],[En puerto a facturar]]),0)</f>
        <v>164281.63265306124</v>
      </c>
      <c r="AP151" s="3">
        <f>IF(Tabla1[[#This Row],[Necesidad]]&gt;=Tabla1[[#This Row],[Stock al día]],Tabla1[[#This Row],[Stock al día]],Tabla1[[#This Row],[Necesidad]])</f>
        <v>91438.850000000035</v>
      </c>
      <c r="AQ151" s="3">
        <f>+Tabla1[[#This Row],[Necesidad]]-Tabla1[[#This Row],[Stock Plan]]</f>
        <v>72842.782653061207</v>
      </c>
      <c r="AR151" s="156">
        <f>IFERROR(VLOOKUP(Tabla1[[#This Row],[Oficina]],[22]Ponderación!$B$3:$G$9,6,FALSE),"")</f>
        <v>44765</v>
      </c>
      <c r="AS15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3.528</v>
      </c>
      <c r="AT151" s="83">
        <f>IFERROR(VLOOKUP(Tabla1[[#This Row],[Llave]],[17]DELAY!$H:$W,16,FALSE),0)</f>
        <v>3.6224449571089794</v>
      </c>
      <c r="AU15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3.5856046424027506</v>
      </c>
      <c r="AV151" s="5">
        <f>+Tabla1[[#This Row],[Plan Ajustado]]*Tabla1[[#This Row],[Precio ponderado]]</f>
        <v>589048.98470231972</v>
      </c>
      <c r="AW151" s="30">
        <f>IFERROR(VLOOKUP(Tabla1[[#This Row],[Llave]],'[13]Ultimos precios facturados'!$A:$G,7,FALSE),0)</f>
        <v>3.6351188872995008</v>
      </c>
      <c r="AX15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1.3621079923890464E-2</v>
      </c>
      <c r="AY151" s="30"/>
      <c r="AZ151" s="30">
        <f>IF(Tabla1[[#This Row],[Ajuste precio IC]]="",Tabla1[[#This Row],[Precio ponderado]],Tabla1[[#This Row],[Precio ponderado]])</f>
        <v>3.5856046424027506</v>
      </c>
      <c r="BA151" s="82"/>
      <c r="BB151" s="82" t="str">
        <f>IF(AND(Tabla1[[#This Row],[Atraso a facturar]]&gt;0,Tabla1[[#This Row],[Precio Atraso]]=0),"Revisar","OK")</f>
        <v>OK</v>
      </c>
      <c r="BC151" s="82" t="str">
        <f>IF(AND(Tabla1[[#This Row],[Venta del mes]]&gt;0,Tabla1[[#This Row],[Precio venta nueva]]=0),"Revisar","OK")</f>
        <v>OK</v>
      </c>
      <c r="BD151" s="20">
        <f>IFERROR(VLOOKUP(Tabla1[[#This Row],[Llave]],'[5]Consolidación planes'!$A:$M,9,FALSE),0)</f>
        <v>64100</v>
      </c>
      <c r="BE151" s="20">
        <f>IFERROR(VLOOKUP(Tabla1[[#This Row],[Llave]],'[5]Consolidación planes'!$A:$M,10,FALSE),0)</f>
        <v>43000</v>
      </c>
      <c r="BF151" s="20">
        <f>IFERROR(VLOOKUP(Tabla1[[#This Row],[Llave]],'[5]Consolidación planes'!$A:$M,11,FALSE),0)</f>
        <v>100000</v>
      </c>
      <c r="BG151" s="20">
        <f>IFERROR(VLOOKUP(Tabla1[[#This Row],[Llave]],'[5]Consolidación planes'!$A:$M,12,FALSE),0)</f>
        <v>110000</v>
      </c>
      <c r="BH151" s="20">
        <f>IFERROR(VLOOKUP(Tabla1[[#This Row],[Llave]],'[5]Consolidación planes'!$A:$M,13,FALSE),0)</f>
        <v>144100</v>
      </c>
      <c r="BI151" s="20">
        <f>IFERROR(VLOOKUP(Tabla1[[#This Row],[Llave]],'[13]Base ultimos planes'!$A:$M,13,FALSE),0)</f>
        <v>156329</v>
      </c>
      <c r="BJ151" s="80">
        <f>IFERROR(VLOOKUP(Tabla1[[#This Row],[Llave]],'[13]Base ultimos planes'!$O:$AA,8,FALSE),0)</f>
        <v>282040</v>
      </c>
      <c r="BK151" s="20">
        <f>IFERROR(VLOOKUP(Tabla1[[#This Row],[Llave]],'[13]Base ultimos planes'!$O:$AA,9,FALSE),0)</f>
        <v>174732</v>
      </c>
      <c r="BL151" s="20">
        <f>IFERROR(VLOOKUP(Tabla1[[#This Row],[Llave]],'[13]Base ultimos planes'!$O:$AA,10,FALSE),0)</f>
        <v>416231</v>
      </c>
      <c r="BM151" s="20">
        <f>IFERROR(VLOOKUP(Tabla1[[#This Row],[Llave]],'[13]Base ultimos planes'!$O:$AA,11,FALSE),0)</f>
        <v>439164</v>
      </c>
      <c r="BN151" s="20">
        <f>IFERROR(VLOOKUP(Tabla1[[#This Row],[Llave]],'[13]Base ultimos planes'!$O:$AA,12,FALSE),0)</f>
        <v>561670</v>
      </c>
      <c r="BO151" s="20">
        <f>IFERROR(VLOOKUP(Tabla1[[#This Row],[Llave]],'[13]Base ultimos planes'!$O:$AA,13,FALSE),0)</f>
        <v>552525</v>
      </c>
      <c r="BP151" s="20"/>
      <c r="BQ151" s="20">
        <f>+Tabla1[[#This Row],[ RV  Venta mes n+1]]*(1-Tabla1[[#This Row],[% Uti. producción]])</f>
        <v>16694.185253954452</v>
      </c>
      <c r="BR151" s="100"/>
    </row>
    <row r="152" spans="1:70" ht="16" x14ac:dyDescent="0.2">
      <c r="A152">
        <v>1</v>
      </c>
      <c r="B152" t="str">
        <f>Tabla1[[#This Row],[Oficina]]&amp;Tabla1[[#This Row],[Material]]</f>
        <v>Exportacion Directa1020592</v>
      </c>
      <c r="C152" t="s">
        <v>6</v>
      </c>
      <c r="D152" t="s">
        <v>88</v>
      </c>
      <c r="E152">
        <v>1020592</v>
      </c>
      <c r="F152" t="s">
        <v>111</v>
      </c>
      <c r="G152" t="s">
        <v>50</v>
      </c>
      <c r="H152" t="s">
        <v>110</v>
      </c>
      <c r="I152" s="7">
        <f>IFERROR(VLOOKUP(Tabla1[[#This Row],[Llave]],'[7]RV Producción'!$C:$G,5,FALSE),0)</f>
        <v>290787</v>
      </c>
      <c r="J152" s="3">
        <f>IFERROR(IF(Tabla1[[#This Row],[Oficina]]=$I$7,VLOOKUP(Tabla1[[#This Row],[Llave]],'[7]Shangai (Tomas)'!$A:$F,6,FALSE),VLOOKUP(Tabla1[[#This Row],[Llave]],'[7]RV plan de ventas'!$A:$E,5,FALSE)),0)</f>
        <v>210000</v>
      </c>
      <c r="K152" s="8">
        <f>IFERROR(VLOOKUP(Tabla1[[#This Row],[Oficina]],[15]Ponderación!$B$2:$E$9,4,FALSE),0)</f>
        <v>0.87158319035419651</v>
      </c>
      <c r="L152" s="7">
        <f>+Tabla1[[#This Row],[ RV Producción mes n+1]]*Tabla1[[#This Row],[% Uti. producción]]</f>
        <v>253445.06117352576</v>
      </c>
      <c r="M152" s="7">
        <f>IFERROR(VLOOKUP(Tabla1[[#This Row],[Material]],'[17]TD Stock'!$E:$I,5,FALSE),0)</f>
        <v>212087.21599999996</v>
      </c>
      <c r="N152" s="7">
        <f>IFERROR(VLOOKUP(Tabla1[[#This Row],[Material]],[16]Produccion!$M:$N,2,FALSE),0)</f>
        <v>14940.170520464697</v>
      </c>
      <c r="O152" s="7">
        <f>IFERROR(VLOOKUP(Tabla1[[#This Row],[Llave]],'[16]TD Conf-AP'!$I:$M,4,FALSE),0)</f>
        <v>58200</v>
      </c>
      <c r="P152" s="14">
        <f>SUM(Tabla1[[#This Row],[Producción disponible]],Tabla1[[#This Row],[Stock al día]],(Tabla1[[#This Row],[Por producir mes N]]*0.9))-Tabla1[[#This Row],[Producción por despachar mes N]]</f>
        <v>420778.43064194394</v>
      </c>
      <c r="Q152" s="7">
        <f>IFERROR(VLOOKUP(Tabla1[[#This Row],[Llave]],[17]DELAY!$A:$D,4,FALSE),0)</f>
        <v>219380</v>
      </c>
      <c r="R152" s="9">
        <v>6485.6164383561645</v>
      </c>
      <c r="S152" s="5">
        <f t="shared" si="31"/>
        <v>219380</v>
      </c>
      <c r="T152" s="76">
        <v>-50000</v>
      </c>
      <c r="U152" s="5">
        <f>+Tabla1[[#This Row],[Atraso a facturar]]+Tabla1[[#This Row],[Ajuste atraso]]</f>
        <v>169380</v>
      </c>
      <c r="V152" s="3">
        <f>+Tabla1[[#This Row],[Total disponible]]-Tabla1[[#This Row],[Facturación atraso]]</f>
        <v>251398.43064194394</v>
      </c>
      <c r="W152" s="6">
        <f>IFERROR(IF(AND(V152&gt;R152,J152&gt;=R152),ROUNDDOWN((Tabla1[[#This Row],[Producción para venta nueva]])/R152,0)*R152,0),0)</f>
        <v>246453.42465753425</v>
      </c>
      <c r="X152" s="76">
        <v>-170000</v>
      </c>
      <c r="Y152" s="6">
        <f>IF(Tabla1[[#This Row],[Venta del mes]]&gt;0,Tabla1[[#This Row],[Venta del mes]]+Tabla1[[#This Row],[Ajuste venta nueva]],0)</f>
        <v>76453.424657534255</v>
      </c>
      <c r="Z152" s="6">
        <f>+Tabla1[[#This Row],[Producción para venta nueva]]-Tabla1[[#This Row],[Facturación Venta nueva]]</f>
        <v>174945.00598440968</v>
      </c>
      <c r="AA152" s="6">
        <f>IF(AND(A152=1,Tabla1[[#This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2" s="6"/>
      <c r="AC152" s="6">
        <f>IF(Tabla1[[#This Row],[Disponible stock sin venta]]&gt;0,Tabla1[[#This Row],[Disponible stock sin venta]]+Tabla1[[#This Row],[Ajuste stock sin venta]],0)</f>
        <v>0</v>
      </c>
      <c r="AD152" s="3">
        <f>IFERROR(VLOOKUP(Tabla1[[#This Row],[Llave]],'[16]TD Puerto'!$A:$D,4,FALSE),0)</f>
        <v>0</v>
      </c>
      <c r="AE152" s="3">
        <v>420434.10958904109</v>
      </c>
      <c r="AF152" s="3">
        <f>+Tabla1[[#This Row],[Atraso a facturar]]+Tabla1[[#This Row],[Venta del mes]]+Tabla1[[#This Row],[En puerto a facturar]]+Tabla1[[#This Row],[Disponible stock sin venta]]</f>
        <v>465833.42465753423</v>
      </c>
      <c r="AG152" s="3">
        <f>+Tabla1[[#This Row],[En puerto a facturar]]</f>
        <v>0</v>
      </c>
      <c r="AH152" s="3">
        <f>+Tabla1[[#This Row],[Facturación atraso]]</f>
        <v>169380</v>
      </c>
      <c r="AI152" s="3">
        <f>+Tabla1[[#This Row],[Plan Irrestricto]]-Tabla1[[#This Row],[Puerto ]]-Tabla1[[#This Row],[Atraso]]</f>
        <v>296453.42465753423</v>
      </c>
      <c r="AJ152" s="3">
        <f>IF(Tabla1[[#This Row],[Plan Irrestricto]]&gt;0,SUM(Tabla1[[#This Row],[Facturación atraso]],Tabla1[[#This Row],[Facturación Venta nueva]],Tabla1[[#This Row],[Facturación stock]],Tabla1[[#This Row],[En puerto a facturar]]),0)</f>
        <v>245833.42465753425</v>
      </c>
      <c r="AK152" s="3">
        <f>+Tabla1[[#This Row],[Facturación atraso]]</f>
        <v>169380</v>
      </c>
      <c r="AL152" s="3">
        <f>+Tabla1[[#This Row],[Plan Ajustado]]-Tabla1[[#This Row],[ Atraso ajustado]]-Tabla1[[#This Row],[Puerto ]]</f>
        <v>76453.424657534255</v>
      </c>
      <c r="AM152" s="3" t="s">
        <v>789</v>
      </c>
      <c r="AN152" s="3" t="str">
        <f>IF(Tabla1[[#This Row],[Plan Ajustado]]&gt;Tabla1[[#This Row],[En puerto a facturar]],"Si","No")</f>
        <v>Si</v>
      </c>
      <c r="AO152" s="3">
        <f>IF(AND(Tabla1[[#This Row],[Plan Ajustado]]&gt;0,Tabla1[[#This Row],[Plan Ajustado]]&gt;Tabla1[[#This Row],[En puerto a facturar]]),(Tabla1[[#This Row],[Plan Ajustado]]-Tabla1[[#This Row],[En puerto a facturar]]),0)</f>
        <v>245833.42465753425</v>
      </c>
      <c r="AP152" s="3">
        <f>IF(Tabla1[[#This Row],[Necesidad]]&gt;=Tabla1[[#This Row],[Stock al día]],Tabla1[[#This Row],[Stock al día]],Tabla1[[#This Row],[Necesidad]])</f>
        <v>212087.21599999996</v>
      </c>
      <c r="AQ152" s="3">
        <f>+Tabla1[[#This Row],[Necesidad]]-Tabla1[[#This Row],[Stock Plan]]</f>
        <v>33746.208657534298</v>
      </c>
      <c r="AR152" s="156">
        <f>IFERROR(VLOOKUP(Tabla1[[#This Row],[Oficina]],[22]Ponderación!$B$3:$G$9,6,FALSE),"")</f>
        <v>44765</v>
      </c>
      <c r="AS15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3.456</v>
      </c>
      <c r="AT152" s="83">
        <f>IFERROR(VLOOKUP(Tabla1[[#This Row],[Llave]],[17]DELAY!$H:$W,16,FALSE),0)</f>
        <v>3.5675723760439277</v>
      </c>
      <c r="AU15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3.5328737167480262</v>
      </c>
      <c r="AV152" s="5">
        <f>+Tabla1[[#This Row],[Plan Ajustado]]*Tabla1[[#This Row],[Precio ponderado]]</f>
        <v>868498.44467075891</v>
      </c>
      <c r="AW152" s="30">
        <f>IFERROR(VLOOKUP(Tabla1[[#This Row],[Llave]],'[13]Ultimos precios facturados'!$A:$G,7,FALSE),0)</f>
        <v>3.5074788751133763</v>
      </c>
      <c r="AX15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7.2401980279436532E-3</v>
      </c>
      <c r="AY152" s="30"/>
      <c r="AZ152" s="30">
        <f>IF(Tabla1[[#This Row],[Ajuste precio IC]]="",Tabla1[[#This Row],[Precio ponderado]],Tabla1[[#This Row],[Precio ponderado]])</f>
        <v>3.5328737167480262</v>
      </c>
      <c r="BA152" s="82"/>
      <c r="BB152" s="82" t="str">
        <f>IF(AND(Tabla1[[#This Row],[Atraso a facturar]]&gt;0,Tabla1[[#This Row],[Precio Atraso]]=0),"Revisar","OK")</f>
        <v>OK</v>
      </c>
      <c r="BC152" s="82" t="str">
        <f>IF(AND(Tabla1[[#This Row],[Venta del mes]]&gt;0,Tabla1[[#This Row],[Precio venta nueva]]=0),"Revisar","OK")</f>
        <v>OK</v>
      </c>
      <c r="BD152" s="20">
        <f>IFERROR(VLOOKUP(Tabla1[[#This Row],[Llave]],'[5]Consolidación planes'!$A:$M,9,FALSE),0)</f>
        <v>0</v>
      </c>
      <c r="BE152" s="20">
        <f>IFERROR(VLOOKUP(Tabla1[[#This Row],[Llave]],'[5]Consolidación planes'!$A:$M,10,FALSE),0)</f>
        <v>90000</v>
      </c>
      <c r="BF152" s="20">
        <f>IFERROR(VLOOKUP(Tabla1[[#This Row],[Llave]],'[5]Consolidación planes'!$A:$M,11,FALSE),0)</f>
        <v>280000</v>
      </c>
      <c r="BG152" s="20">
        <f>IFERROR(VLOOKUP(Tabla1[[#This Row],[Llave]],'[5]Consolidación planes'!$A:$M,12,FALSE),0)</f>
        <v>280000</v>
      </c>
      <c r="BH152" s="20">
        <f>IFERROR(VLOOKUP(Tabla1[[#This Row],[Llave]],'[5]Consolidación planes'!$A:$M,13,FALSE),0)</f>
        <v>270000</v>
      </c>
      <c r="BI152" s="20">
        <f>IFERROR(VLOOKUP(Tabla1[[#This Row],[Llave]],'[13]Base ultimos planes'!$A:$M,13,FALSE),0)</f>
        <v>282647</v>
      </c>
      <c r="BJ152" s="80">
        <f>IFERROR(VLOOKUP(Tabla1[[#This Row],[Llave]],'[13]Base ultimos planes'!$O:$AA,8,FALSE),0)</f>
        <v>0</v>
      </c>
      <c r="BK152" s="20">
        <f>IFERROR(VLOOKUP(Tabla1[[#This Row],[Llave]],'[13]Base ultimos planes'!$O:$AA,9,FALSE),0)</f>
        <v>178762</v>
      </c>
      <c r="BL152" s="20">
        <f>IFERROR(VLOOKUP(Tabla1[[#This Row],[Llave]],'[13]Base ultimos planes'!$O:$AA,10,FALSE),0)</f>
        <v>1095385</v>
      </c>
      <c r="BM152" s="20">
        <f>IFERROR(VLOOKUP(Tabla1[[#This Row],[Llave]],'[13]Base ultimos planes'!$O:$AA,11,FALSE),0)</f>
        <v>1052959</v>
      </c>
      <c r="BN152" s="20">
        <f>IFERROR(VLOOKUP(Tabla1[[#This Row],[Llave]],'[13]Base ultimos planes'!$O:$AA,12,FALSE),0)</f>
        <v>1004342</v>
      </c>
      <c r="BO152" s="20">
        <f>IFERROR(VLOOKUP(Tabla1[[#This Row],[Llave]],'[13]Base ultimos planes'!$O:$AA,13,FALSE),0)</f>
        <v>966406</v>
      </c>
      <c r="BP152" s="20"/>
      <c r="BQ152" s="20">
        <f>+Tabla1[[#This Row],[ RV  Venta mes n+1]]*(1-Tabla1[[#This Row],[% Uti. producción]])</f>
        <v>26967.530025618733</v>
      </c>
      <c r="BR152" s="100"/>
    </row>
    <row r="153" spans="1:70" ht="16" x14ac:dyDescent="0.2">
      <c r="A153">
        <v>1</v>
      </c>
      <c r="B153" t="str">
        <f>Tabla1[[#This Row],[Oficina]]&amp;Tabla1[[#This Row],[Material]]</f>
        <v>Exportacion Directa1020620</v>
      </c>
      <c r="C153" t="s">
        <v>6</v>
      </c>
      <c r="D153" t="s">
        <v>88</v>
      </c>
      <c r="E153">
        <v>1020620</v>
      </c>
      <c r="F153" t="s">
        <v>112</v>
      </c>
      <c r="G153" t="s">
        <v>50</v>
      </c>
      <c r="H153" t="s">
        <v>110</v>
      </c>
      <c r="I153" s="7">
        <f>IFERROR(VLOOKUP(Tabla1[[#This Row],[Llave]],'[7]RV Producción'!$C:$G,5,FALSE),0)</f>
        <v>28424</v>
      </c>
      <c r="J153" s="3">
        <f>IFERROR(IF(Tabla1[[#This Row],[Oficina]]=$I$7,VLOOKUP(Tabla1[[#This Row],[Llave]],'[7]Shangai (Tomas)'!$A:$F,6,FALSE),VLOOKUP(Tabla1[[#This Row],[Llave]],'[7]RV plan de ventas'!$A:$E,5,FALSE)),0)</f>
        <v>30000</v>
      </c>
      <c r="K153" s="8">
        <f>IFERROR(VLOOKUP(Tabla1[[#This Row],[Oficina]],[15]Ponderación!$B$2:$E$9,4,FALSE),0)</f>
        <v>0.87158319035419651</v>
      </c>
      <c r="L153" s="7">
        <f>+Tabla1[[#This Row],[ RV Producción mes n+1]]*Tabla1[[#This Row],[% Uti. producción]]</f>
        <v>24773.880602627683</v>
      </c>
      <c r="M153" s="7">
        <f>IFERROR(VLOOKUP(Tabla1[[#This Row],[Material]],'[17]TD Stock'!$E:$I,5,FALSE),0)</f>
        <v>24215.04700000001</v>
      </c>
      <c r="N153" s="7">
        <f>IFERROR(VLOOKUP(Tabla1[[#This Row],[Material]],[16]Produccion!$M:$N,2,FALSE),0)</f>
        <v>6606.7658037771944</v>
      </c>
      <c r="O153" s="7">
        <f>IFERROR(VLOOKUP(Tabla1[[#This Row],[Llave]],'[16]TD Conf-AP'!$I:$M,4,FALSE),0)</f>
        <v>6400</v>
      </c>
      <c r="P153" s="14">
        <f>SUM(Tabla1[[#This Row],[Producción disponible]],Tabla1[[#This Row],[Stock al día]],(Tabla1[[#This Row],[Por producir mes N]]*0.9))-Tabla1[[#This Row],[Producción por despachar mes N]]</f>
        <v>48535.016826027168</v>
      </c>
      <c r="Q153" s="7">
        <f>IFERROR(VLOOKUP(Tabla1[[#This Row],[Llave]],[17]DELAY!$A:$D,4,FALSE),0)</f>
        <v>45000</v>
      </c>
      <c r="R153" s="9">
        <v>3142.8571428571427</v>
      </c>
      <c r="S153" s="5">
        <f t="shared" si="31"/>
        <v>45000</v>
      </c>
      <c r="T153" s="76">
        <v>-20000</v>
      </c>
      <c r="U153" s="5">
        <f>+Tabla1[[#This Row],[Atraso a facturar]]+Tabla1[[#This Row],[Ajuste atraso]]</f>
        <v>25000</v>
      </c>
      <c r="V153" s="3">
        <f>+Tabla1[[#This Row],[Total disponible]]-Tabla1[[#This Row],[Facturación atraso]]</f>
        <v>23535.016826027168</v>
      </c>
      <c r="W153" s="6">
        <f>IFERROR(IF(AND(V153&gt;R153,J153&gt;=R153),ROUNDDOWN((Tabla1[[#This Row],[Producción para venta nueva]])/R153,0)*R153,0),0)</f>
        <v>22000</v>
      </c>
      <c r="X153" s="76">
        <v>-10000</v>
      </c>
      <c r="Y153" s="6">
        <f>IF(Tabla1[[#This Row],[Venta del mes]]&gt;0,Tabla1[[#This Row],[Venta del mes]]+Tabla1[[#This Row],[Ajuste venta nueva]],0)</f>
        <v>12000</v>
      </c>
      <c r="Z153" s="6">
        <f>+Tabla1[[#This Row],[Producción para venta nueva]]-Tabla1[[#This Row],[Facturación Venta nueva]]</f>
        <v>11535.016826027168</v>
      </c>
      <c r="AA153" s="6">
        <f>IF(AND(A153=1,Tabla1[[#This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3" s="6"/>
      <c r="AC153" s="6">
        <f>IF(Tabla1[[#This Row],[Disponible stock sin venta]]&gt;0,Tabla1[[#This Row],[Disponible stock sin venta]]+Tabla1[[#This Row],[Ajuste stock sin venta]],0)</f>
        <v>0</v>
      </c>
      <c r="AD153" s="3">
        <f>IFERROR(VLOOKUP(Tabla1[[#This Row],[Llave]],'[16]TD Puerto'!$A:$D,4,FALSE),0)</f>
        <v>0</v>
      </c>
      <c r="AE153" s="3">
        <v>48142.857142857145</v>
      </c>
      <c r="AF153" s="3">
        <f>+Tabla1[[#This Row],[Atraso a facturar]]+Tabla1[[#This Row],[Venta del mes]]+Tabla1[[#This Row],[En puerto a facturar]]+Tabla1[[#This Row],[Disponible stock sin venta]]</f>
        <v>67000</v>
      </c>
      <c r="AG153" s="3">
        <f>+Tabla1[[#This Row],[En puerto a facturar]]</f>
        <v>0</v>
      </c>
      <c r="AH153" s="3">
        <f>+Tabla1[[#This Row],[Facturación atraso]]</f>
        <v>25000</v>
      </c>
      <c r="AI153" s="3">
        <f>+Tabla1[[#This Row],[Plan Irrestricto]]-Tabla1[[#This Row],[Puerto ]]-Tabla1[[#This Row],[Atraso]]</f>
        <v>42000</v>
      </c>
      <c r="AJ153" s="3">
        <f>IF(Tabla1[[#This Row],[Plan Irrestricto]]&gt;0,SUM(Tabla1[[#This Row],[Facturación atraso]],Tabla1[[#This Row],[Facturación Venta nueva]],Tabla1[[#This Row],[Facturación stock]],Tabla1[[#This Row],[En puerto a facturar]]),0)</f>
        <v>37000</v>
      </c>
      <c r="AK153" s="3">
        <f>+Tabla1[[#This Row],[Facturación atraso]]</f>
        <v>25000</v>
      </c>
      <c r="AL153" s="3">
        <f>+Tabla1[[#This Row],[Plan Ajustado]]-Tabla1[[#This Row],[ Atraso ajustado]]-Tabla1[[#This Row],[Puerto ]]</f>
        <v>12000</v>
      </c>
      <c r="AM153" s="3" t="s">
        <v>789</v>
      </c>
      <c r="AN153" s="3" t="str">
        <f>IF(Tabla1[[#This Row],[Plan Ajustado]]&gt;Tabla1[[#This Row],[En puerto a facturar]],"Si","No")</f>
        <v>Si</v>
      </c>
      <c r="AO153" s="3">
        <f>IF(AND(Tabla1[[#This Row],[Plan Ajustado]]&gt;0,Tabla1[[#This Row],[Plan Ajustado]]&gt;Tabla1[[#This Row],[En puerto a facturar]]),(Tabla1[[#This Row],[Plan Ajustado]]-Tabla1[[#This Row],[En puerto a facturar]]),0)</f>
        <v>37000</v>
      </c>
      <c r="AP153" s="3">
        <f>IF(Tabla1[[#This Row],[Necesidad]]&gt;=Tabla1[[#This Row],[Stock al día]],Tabla1[[#This Row],[Stock al día]],Tabla1[[#This Row],[Necesidad]])</f>
        <v>24215.04700000001</v>
      </c>
      <c r="AQ153" s="3">
        <f>+Tabla1[[#This Row],[Necesidad]]-Tabla1[[#This Row],[Stock Plan]]</f>
        <v>12784.95299999999</v>
      </c>
      <c r="AR153" s="156">
        <f>IFERROR(VLOOKUP(Tabla1[[#This Row],[Oficina]],[22]Ponderación!$B$3:$G$9,6,FALSE),"")</f>
        <v>44765</v>
      </c>
      <c r="AS15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3.456</v>
      </c>
      <c r="AT153" s="83">
        <f>IFERROR(VLOOKUP(Tabla1[[#This Row],[Llave]],[17]DELAY!$H:$W,16,FALSE),0)</f>
        <v>3.5190013063703689</v>
      </c>
      <c r="AU15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3.4985684502502492</v>
      </c>
      <c r="AV153" s="5">
        <f>+Tabla1[[#This Row],[Plan Ajustado]]*Tabla1[[#This Row],[Precio ponderado]]</f>
        <v>129447.03265925922</v>
      </c>
      <c r="AW153" s="30">
        <f>IFERROR(VLOOKUP(Tabla1[[#This Row],[Llave]],'[13]Ultimos precios facturados'!$A:$G,7,FALSE),0)</f>
        <v>3.4526044209162774</v>
      </c>
      <c r="AX15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1.3312857116070524E-2</v>
      </c>
      <c r="AY153" s="30"/>
      <c r="AZ153" s="30">
        <f>IF(Tabla1[[#This Row],[Ajuste precio IC]]="",Tabla1[[#This Row],[Precio ponderado]],Tabla1[[#This Row],[Precio ponderado]])</f>
        <v>3.4985684502502492</v>
      </c>
      <c r="BA153" s="82"/>
      <c r="BB153" s="82" t="str">
        <f>IF(AND(Tabla1[[#This Row],[Atraso a facturar]]&gt;0,Tabla1[[#This Row],[Precio Atraso]]=0),"Revisar","OK")</f>
        <v>OK</v>
      </c>
      <c r="BC153" s="82" t="str">
        <f>IF(AND(Tabla1[[#This Row],[Venta del mes]]&gt;0,Tabla1[[#This Row],[Precio venta nueva]]=0),"Revisar","OK")</f>
        <v>OK</v>
      </c>
      <c r="BD153" s="20">
        <f>IFERROR(VLOOKUP(Tabla1[[#This Row],[Llave]],'[5]Consolidación planes'!$A:$M,9,FALSE),0)</f>
        <v>17000</v>
      </c>
      <c r="BE153" s="20">
        <f>IFERROR(VLOOKUP(Tabla1[[#This Row],[Llave]],'[5]Consolidación planes'!$A:$M,10,FALSE),0)</f>
        <v>3000</v>
      </c>
      <c r="BF153" s="20">
        <f>IFERROR(VLOOKUP(Tabla1[[#This Row],[Llave]],'[5]Consolidación planes'!$A:$M,11,FALSE),0)</f>
        <v>16000</v>
      </c>
      <c r="BG153" s="20">
        <f>IFERROR(VLOOKUP(Tabla1[[#This Row],[Llave]],'[5]Consolidación planes'!$A:$M,12,FALSE),0)</f>
        <v>30000</v>
      </c>
      <c r="BH153" s="20">
        <f>IFERROR(VLOOKUP(Tabla1[[#This Row],[Llave]],'[5]Consolidación planes'!$A:$M,13,FALSE),0)</f>
        <v>40857</v>
      </c>
      <c r="BI153" s="20">
        <f>IFERROR(VLOOKUP(Tabla1[[#This Row],[Llave]],'[13]Base ultimos planes'!$A:$M,13,FALSE),0)</f>
        <v>48000</v>
      </c>
      <c r="BJ153" s="80">
        <f>IFERROR(VLOOKUP(Tabla1[[#This Row],[Llave]],'[13]Base ultimos planes'!$O:$AA,8,FALSE),0)</f>
        <v>70380</v>
      </c>
      <c r="BK153" s="20">
        <f>IFERROR(VLOOKUP(Tabla1[[#This Row],[Llave]],'[13]Base ultimos planes'!$O:$AA,9,FALSE),0)</f>
        <v>11767</v>
      </c>
      <c r="BL153" s="20">
        <f>IFERROR(VLOOKUP(Tabla1[[#This Row],[Llave]],'[13]Base ultimos planes'!$O:$AA,10,FALSE),0)</f>
        <v>62416</v>
      </c>
      <c r="BM153" s="20">
        <f>IFERROR(VLOOKUP(Tabla1[[#This Row],[Llave]],'[13]Base ultimos planes'!$O:$AA,11,FALSE),0)</f>
        <v>112375</v>
      </c>
      <c r="BN153" s="20">
        <f>IFERROR(VLOOKUP(Tabla1[[#This Row],[Llave]],'[13]Base ultimos planes'!$O:$AA,12,FALSE),0)</f>
        <v>149276</v>
      </c>
      <c r="BO153" s="20">
        <f>IFERROR(VLOOKUP(Tabla1[[#This Row],[Llave]],'[13]Base ultimos planes'!$O:$AA,13,FALSE),0)</f>
        <v>164118</v>
      </c>
      <c r="BP153" s="20"/>
      <c r="BQ153" s="20">
        <f>+Tabla1[[#This Row],[ RV  Venta mes n+1]]*(1-Tabla1[[#This Row],[% Uti. producción]])</f>
        <v>3852.5042893741047</v>
      </c>
      <c r="BR153" s="100"/>
    </row>
    <row r="154" spans="1:70" ht="16" x14ac:dyDescent="0.2">
      <c r="A154">
        <v>1</v>
      </c>
      <c r="B154" t="str">
        <f>Tabla1[[#This Row],[Oficina]]&amp;Tabla1[[#This Row],[Material]]</f>
        <v>Exportacion Directa1020636</v>
      </c>
      <c r="C154" t="s">
        <v>6</v>
      </c>
      <c r="D154" t="s">
        <v>88</v>
      </c>
      <c r="E154">
        <v>1020636</v>
      </c>
      <c r="F154" t="s">
        <v>89</v>
      </c>
      <c r="G154" t="s">
        <v>37</v>
      </c>
      <c r="H154" t="s">
        <v>38</v>
      </c>
      <c r="I154" s="7">
        <f>IFERROR(VLOOKUP(Tabla1[[#This Row],[Llave]],'[7]RV Producción'!$C:$G,5,FALSE),0)</f>
        <v>13582</v>
      </c>
      <c r="J154" s="3">
        <f>IFERROR(IF(Tabla1[[#This Row],[Oficina]]=$I$7,VLOOKUP(Tabla1[[#This Row],[Llave]],'[7]Shangai (Tomas)'!$A:$F,6,FALSE),VLOOKUP(Tabla1[[#This Row],[Llave]],'[7]RV plan de ventas'!$A:$E,5,FALSE)),0)</f>
        <v>13000</v>
      </c>
      <c r="K154" s="8">
        <f>IFERROR(VLOOKUP(Tabla1[[#This Row],[Oficina]],[15]Ponderación!$B$2:$E$9,4,FALSE),0)</f>
        <v>0.87158319035419651</v>
      </c>
      <c r="L154" s="7">
        <f>+Tabla1[[#This Row],[ RV Producción mes n+1]]*Tabla1[[#This Row],[% Uti. producción]]</f>
        <v>11837.842891390697</v>
      </c>
      <c r="M154" s="7">
        <f>IFERROR(VLOOKUP(Tabla1[[#This Row],[Material]],'[17]TD Stock'!$E:$I,5,FALSE),0)</f>
        <v>15850</v>
      </c>
      <c r="N154" s="7">
        <f>IFERROR(VLOOKUP(Tabla1[[#This Row],[Material]],[16]Produccion!$M:$N,2,FALSE),0)</f>
        <v>638.30331061601851</v>
      </c>
      <c r="O154" s="7">
        <f>IFERROR(VLOOKUP(Tabla1[[#This Row],[Llave]],'[16]TD Conf-AP'!$I:$M,4,FALSE),0)</f>
        <v>8250</v>
      </c>
      <c r="P154" s="14">
        <f>SUM(Tabla1[[#This Row],[Producción disponible]],Tabla1[[#This Row],[Stock al día]],(Tabla1[[#This Row],[Por producir mes N]]*0.9))-Tabla1[[#This Row],[Producción por despachar mes N]]</f>
        <v>20012.315870945113</v>
      </c>
      <c r="Q154" s="7">
        <f>IFERROR(VLOOKUP(Tabla1[[#This Row],[Llave]],[17]DELAY!$A:$D,4,FALSE),0)</f>
        <v>21250</v>
      </c>
      <c r="R154" s="9">
        <v>1333.3333333333333</v>
      </c>
      <c r="S154" s="5">
        <f t="shared" si="31"/>
        <v>20000</v>
      </c>
      <c r="T154" s="76">
        <v>-10000</v>
      </c>
      <c r="U154" s="5">
        <f>+Tabla1[[#This Row],[Atraso a facturar]]+Tabla1[[#This Row],[Ajuste atraso]]</f>
        <v>10000</v>
      </c>
      <c r="V154" s="3">
        <f>+Tabla1[[#This Row],[Total disponible]]-Tabla1[[#This Row],[Facturación atraso]]</f>
        <v>10012.315870945113</v>
      </c>
      <c r="W154" s="6">
        <f>IFERROR(IF(AND(V154&gt;R154,J154&gt;=R154),ROUNDDOWN((Tabla1[[#This Row],[Producción para venta nueva]])/R154,0)*R154,0),0)</f>
        <v>9333.3333333333321</v>
      </c>
      <c r="X154" s="76">
        <v>-4000</v>
      </c>
      <c r="Y154" s="6">
        <f>IF(Tabla1[[#This Row],[Venta del mes]]&gt;0,Tabla1[[#This Row],[Venta del mes]]+Tabla1[[#This Row],[Ajuste venta nueva]],0)</f>
        <v>5333.3333333333321</v>
      </c>
      <c r="Z154" s="6">
        <f>+Tabla1[[#This Row],[Producción para venta nueva]]-Tabla1[[#This Row],[Facturación Venta nueva]]</f>
        <v>4678.9825376117806</v>
      </c>
      <c r="AA154" s="6">
        <f>IF(AND(A154=1,Tabla1[[#This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4" s="6"/>
      <c r="AC154" s="6">
        <f>IF(Tabla1[[#This Row],[Disponible stock sin venta]]&gt;0,Tabla1[[#This Row],[Disponible stock sin venta]]+Tabla1[[#This Row],[Ajuste stock sin venta]],0)</f>
        <v>0</v>
      </c>
      <c r="AD154" s="3">
        <f>IFERROR(VLOOKUP(Tabla1[[#This Row],[Llave]],'[16]TD Puerto'!$A:$D,4,FALSE),0)</f>
        <v>0</v>
      </c>
      <c r="AE154" s="3">
        <v>20000</v>
      </c>
      <c r="AF154" s="3">
        <f>+Tabla1[[#This Row],[Atraso a facturar]]+Tabla1[[#This Row],[Venta del mes]]+Tabla1[[#This Row],[En puerto a facturar]]+Tabla1[[#This Row],[Disponible stock sin venta]]</f>
        <v>29333.333333333332</v>
      </c>
      <c r="AG154" s="3">
        <f>+Tabla1[[#This Row],[En puerto a facturar]]</f>
        <v>0</v>
      </c>
      <c r="AH154" s="3">
        <f>+Tabla1[[#This Row],[Facturación atraso]]</f>
        <v>10000</v>
      </c>
      <c r="AI154" s="3">
        <f>+Tabla1[[#This Row],[Plan Irrestricto]]-Tabla1[[#This Row],[Puerto ]]-Tabla1[[#This Row],[Atraso]]</f>
        <v>19333.333333333332</v>
      </c>
      <c r="AJ154" s="3">
        <f>IF(Tabla1[[#This Row],[Plan Irrestricto]]&gt;0,SUM(Tabla1[[#This Row],[Facturación atraso]],Tabla1[[#This Row],[Facturación Venta nueva]],Tabla1[[#This Row],[Facturación stock]],Tabla1[[#This Row],[En puerto a facturar]]),0)</f>
        <v>15333.333333333332</v>
      </c>
      <c r="AK154" s="3">
        <f>+Tabla1[[#This Row],[Facturación atraso]]</f>
        <v>10000</v>
      </c>
      <c r="AL154" s="3">
        <f>+Tabla1[[#This Row],[Plan Ajustado]]-Tabla1[[#This Row],[ Atraso ajustado]]-Tabla1[[#This Row],[Puerto ]]</f>
        <v>5333.3333333333321</v>
      </c>
      <c r="AM154" s="3" t="s">
        <v>789</v>
      </c>
      <c r="AN154" s="3" t="str">
        <f>IF(Tabla1[[#This Row],[Plan Ajustado]]&gt;Tabla1[[#This Row],[En puerto a facturar]],"Si","No")</f>
        <v>Si</v>
      </c>
      <c r="AO154" s="3">
        <f>IF(AND(Tabla1[[#This Row],[Plan Ajustado]]&gt;0,Tabla1[[#This Row],[Plan Ajustado]]&gt;Tabla1[[#This Row],[En puerto a facturar]]),(Tabla1[[#This Row],[Plan Ajustado]]-Tabla1[[#This Row],[En puerto a facturar]]),0)</f>
        <v>15333.333333333332</v>
      </c>
      <c r="AP154" s="3">
        <f>IF(Tabla1[[#This Row],[Necesidad]]&gt;=Tabla1[[#This Row],[Stock al día]],Tabla1[[#This Row],[Stock al día]],Tabla1[[#This Row],[Necesidad]])</f>
        <v>15333.333333333332</v>
      </c>
      <c r="AQ154" s="3">
        <f>+Tabla1[[#This Row],[Necesidad]]-Tabla1[[#This Row],[Stock Plan]]</f>
        <v>0</v>
      </c>
      <c r="AR154" s="156">
        <f>IFERROR(VLOOKUP(Tabla1[[#This Row],[Oficina]],[22]Ponderación!$B$3:$G$9,6,FALSE),"")</f>
        <v>44765</v>
      </c>
      <c r="AS15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4.1040000000000001</v>
      </c>
      <c r="AT154" s="83">
        <f>IFERROR(VLOOKUP(Tabla1[[#This Row],[Llave]],[17]DELAY!$H:$W,16,FALSE),0)</f>
        <v>4.2524462458952828</v>
      </c>
      <c r="AU15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4.2008127690621411</v>
      </c>
      <c r="AV154" s="5">
        <f>+Tabla1[[#This Row],[Plan Ajustado]]*Tabla1[[#This Row],[Precio ponderado]]</f>
        <v>64412.462458952825</v>
      </c>
      <c r="AW154" s="30">
        <f>IFERROR(VLOOKUP(Tabla1[[#This Row],[Llave]],'[13]Ultimos precios facturados'!$A:$G,7,FALSE),0)</f>
        <v>4.2774670760424121</v>
      </c>
      <c r="AX15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1.7920490238160499E-2</v>
      </c>
      <c r="AY154" s="30"/>
      <c r="AZ154" s="30">
        <f>IF(Tabla1[[#This Row],[Ajuste precio IC]]="",Tabla1[[#This Row],[Precio ponderado]],Tabla1[[#This Row],[Precio ponderado]])</f>
        <v>4.2008127690621411</v>
      </c>
      <c r="BA154" s="82"/>
      <c r="BB154" s="82" t="str">
        <f>IF(AND(Tabla1[[#This Row],[Atraso a facturar]]&gt;0,Tabla1[[#This Row],[Precio Atraso]]=0),"Revisar","OK")</f>
        <v>OK</v>
      </c>
      <c r="BC154" s="82" t="str">
        <f>IF(AND(Tabla1[[#This Row],[Venta del mes]]&gt;0,Tabla1[[#This Row],[Precio venta nueva]]=0),"Revisar","OK")</f>
        <v>OK</v>
      </c>
      <c r="BD154" s="20">
        <f>IFERROR(VLOOKUP(Tabla1[[#This Row],[Llave]],'[5]Consolidación planes'!$A:$M,9,FALSE),0)</f>
        <v>14500</v>
      </c>
      <c r="BE154" s="20">
        <f>IFERROR(VLOOKUP(Tabla1[[#This Row],[Llave]],'[5]Consolidación planes'!$A:$M,10,FALSE),0)</f>
        <v>14500</v>
      </c>
      <c r="BF154" s="20">
        <f>IFERROR(VLOOKUP(Tabla1[[#This Row],[Llave]],'[5]Consolidación planes'!$A:$M,11,FALSE),0)</f>
        <v>15000</v>
      </c>
      <c r="BG154" s="20">
        <f>IFERROR(VLOOKUP(Tabla1[[#This Row],[Llave]],'[5]Consolidación planes'!$A:$M,12,FALSE),0)</f>
        <v>18000</v>
      </c>
      <c r="BH154" s="20">
        <f>IFERROR(VLOOKUP(Tabla1[[#This Row],[Llave]],'[5]Consolidación planes'!$A:$M,13,FALSE),0)</f>
        <v>20000</v>
      </c>
      <c r="BI154" s="20">
        <f>IFERROR(VLOOKUP(Tabla1[[#This Row],[Llave]],'[13]Base ultimos planes'!$A:$M,13,FALSE),0)</f>
        <v>30333</v>
      </c>
      <c r="BJ154" s="80">
        <f>IFERROR(VLOOKUP(Tabla1[[#This Row],[Llave]],'[13]Base ultimos planes'!$O:$AA,8,FALSE),0)</f>
        <v>73613.435800000007</v>
      </c>
      <c r="BK154" s="20">
        <f>IFERROR(VLOOKUP(Tabla1[[#This Row],[Llave]],'[13]Base ultimos planes'!$O:$AA,9,FALSE),0)</f>
        <v>69303</v>
      </c>
      <c r="BL154" s="20">
        <f>IFERROR(VLOOKUP(Tabla1[[#This Row],[Llave]],'[13]Base ultimos planes'!$O:$AA,10,FALSE),0)</f>
        <v>71866</v>
      </c>
      <c r="BM154" s="20">
        <f>IFERROR(VLOOKUP(Tabla1[[#This Row],[Llave]],'[13]Base ultimos planes'!$O:$AA,11,FALSE),0)</f>
        <v>83082</v>
      </c>
      <c r="BN154" s="20">
        <f>IFERROR(VLOOKUP(Tabla1[[#This Row],[Llave]],'[13]Base ultimos planes'!$O:$AA,12,FALSE),0)</f>
        <v>89555</v>
      </c>
      <c r="BO154" s="20">
        <f>IFERROR(VLOOKUP(Tabla1[[#This Row],[Llave]],'[13]Base ultimos planes'!$O:$AA,13,FALSE),0)</f>
        <v>127020</v>
      </c>
      <c r="BP154" s="20"/>
      <c r="BQ154" s="20">
        <f>+Tabla1[[#This Row],[ RV  Venta mes n+1]]*(1-Tabla1[[#This Row],[% Uti. producción]])</f>
        <v>1669.4185253954454</v>
      </c>
      <c r="BR154" s="100"/>
    </row>
    <row r="155" spans="1:70" ht="16" x14ac:dyDescent="0.2">
      <c r="A155">
        <v>1</v>
      </c>
      <c r="B155" t="str">
        <f>Tabla1[[#This Row],[Oficina]]&amp;Tabla1[[#This Row],[Material]]</f>
        <v>Exportacion Directa1020637</v>
      </c>
      <c r="C155" t="s">
        <v>6</v>
      </c>
      <c r="D155" t="s">
        <v>88</v>
      </c>
      <c r="E155">
        <v>1020637</v>
      </c>
      <c r="F155" t="s">
        <v>121</v>
      </c>
      <c r="G155" t="s">
        <v>56</v>
      </c>
      <c r="H155" t="s">
        <v>57</v>
      </c>
      <c r="I155" s="7">
        <f>IFERROR(VLOOKUP(Tabla1[[#This Row],[Llave]],'[7]RV Producción'!$C:$G,5,FALSE),0)</f>
        <v>247648</v>
      </c>
      <c r="J155" s="3">
        <f>IFERROR(IF(Tabla1[[#This Row],[Oficina]]=$I$7,VLOOKUP(Tabla1[[#This Row],[Llave]],'[7]Shangai (Tomas)'!$A:$F,6,FALSE),VLOOKUP(Tabla1[[#This Row],[Llave]],'[7]RV plan de ventas'!$A:$E,5,FALSE)),0)</f>
        <v>200000</v>
      </c>
      <c r="K155" s="8">
        <f>IFERROR(VLOOKUP(Tabla1[[#This Row],[Oficina]],[15]Ponderación!$B$2:$E$9,4,FALSE),0)</f>
        <v>0.87158319035419651</v>
      </c>
      <c r="L155" s="7">
        <f>+Tabla1[[#This Row],[ RV Producción mes n+1]]*Tabla1[[#This Row],[% Uti. producción]]</f>
        <v>215845.83392483607</v>
      </c>
      <c r="M155" s="7">
        <f>IFERROR(VLOOKUP(Tabla1[[#This Row],[Material]],'[17]TD Stock'!$E:$I,5,FALSE),0)</f>
        <v>83307.762000000017</v>
      </c>
      <c r="N155" s="7">
        <f>IFERROR(VLOOKUP(Tabla1[[#This Row],[Material]],[16]Produccion!$M:$N,2,FALSE),0)</f>
        <v>73871.120460083199</v>
      </c>
      <c r="O155" s="7">
        <f>IFERROR(VLOOKUP(Tabla1[[#This Row],[Llave]],'[16]TD Conf-AP'!$I:$M,4,FALSE),0)</f>
        <v>56330</v>
      </c>
      <c r="P155" s="14">
        <f>SUM(Tabla1[[#This Row],[Producción disponible]],Tabla1[[#This Row],[Stock al día]],(Tabla1[[#This Row],[Por producir mes N]]*0.9))-Tabla1[[#This Row],[Producción por despachar mes N]]</f>
        <v>309307.60433891101</v>
      </c>
      <c r="Q155" s="7">
        <f>IFERROR(VLOOKUP(Tabla1[[#This Row],[Llave]],[17]DELAY!$A:$D,4,FALSE),0)</f>
        <v>220290</v>
      </c>
      <c r="R155" s="9">
        <v>4750</v>
      </c>
      <c r="S155" s="5">
        <f t="shared" si="31"/>
        <v>220290</v>
      </c>
      <c r="T155" s="76">
        <v>-100000</v>
      </c>
      <c r="U155" s="5">
        <f>+Tabla1[[#This Row],[Atraso a facturar]]+Tabla1[[#This Row],[Ajuste atraso]]</f>
        <v>120290</v>
      </c>
      <c r="V155" s="3">
        <f>+Tabla1[[#This Row],[Total disponible]]-Tabla1[[#This Row],[Facturación atraso]]</f>
        <v>189017.60433891101</v>
      </c>
      <c r="W155" s="6">
        <f>IFERROR(IF(AND(V155&gt;R155,J155&gt;=R155),ROUNDDOWN((Tabla1[[#This Row],[Producción para venta nueva]])/R155,0)*R155,0),0)</f>
        <v>185250</v>
      </c>
      <c r="X155" s="76">
        <v>-100000</v>
      </c>
      <c r="Y155" s="6">
        <f>IF(Tabla1[[#This Row],[Venta del mes]]&gt;0,Tabla1[[#This Row],[Venta del mes]]+Tabla1[[#This Row],[Ajuste venta nueva]],0)</f>
        <v>85250</v>
      </c>
      <c r="Z155" s="6">
        <f>+Tabla1[[#This Row],[Producción para venta nueva]]-Tabla1[[#This Row],[Facturación Venta nueva]]</f>
        <v>103767.60433891101</v>
      </c>
      <c r="AA155" s="6">
        <f>IF(AND(A155=1,Tabla1[[#This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5" s="6"/>
      <c r="AC155" s="6">
        <f>IF(Tabla1[[#This Row],[Disponible stock sin venta]]&gt;0,Tabla1[[#This Row],[Disponible stock sin venta]]+Tabla1[[#This Row],[Ajuste stock sin venta]],0)</f>
        <v>0</v>
      </c>
      <c r="AD155" s="3">
        <f>IFERROR(VLOOKUP(Tabla1[[#This Row],[Llave]],'[16]TD Puerto'!$A:$D,4,FALSE),0)</f>
        <v>0</v>
      </c>
      <c r="AE155" s="3">
        <v>305790</v>
      </c>
      <c r="AF155" s="3">
        <f>+Tabla1[[#This Row],[Atraso a facturar]]+Tabla1[[#This Row],[Venta del mes]]+Tabla1[[#This Row],[En puerto a facturar]]+Tabla1[[#This Row],[Disponible stock sin venta]]</f>
        <v>405540</v>
      </c>
      <c r="AG155" s="3">
        <f>+Tabla1[[#This Row],[En puerto a facturar]]</f>
        <v>0</v>
      </c>
      <c r="AH155" s="3">
        <f>+Tabla1[[#This Row],[Facturación atraso]]</f>
        <v>120290</v>
      </c>
      <c r="AI155" s="3">
        <f>+Tabla1[[#This Row],[Plan Irrestricto]]-Tabla1[[#This Row],[Puerto ]]-Tabla1[[#This Row],[Atraso]]</f>
        <v>285250</v>
      </c>
      <c r="AJ155" s="3">
        <f>IF(Tabla1[[#This Row],[Plan Irrestricto]]&gt;0,SUM(Tabla1[[#This Row],[Facturación atraso]],Tabla1[[#This Row],[Facturación Venta nueva]],Tabla1[[#This Row],[Facturación stock]],Tabla1[[#This Row],[En puerto a facturar]]),0)</f>
        <v>205540</v>
      </c>
      <c r="AK155" s="3">
        <f>+Tabla1[[#This Row],[Facturación atraso]]</f>
        <v>120290</v>
      </c>
      <c r="AL155" s="3">
        <f>+Tabla1[[#This Row],[Plan Ajustado]]-Tabla1[[#This Row],[ Atraso ajustado]]-Tabla1[[#This Row],[Puerto ]]</f>
        <v>85250</v>
      </c>
      <c r="AM155" s="3" t="s">
        <v>789</v>
      </c>
      <c r="AN155" s="3" t="str">
        <f>IF(Tabla1[[#This Row],[Plan Ajustado]]&gt;Tabla1[[#This Row],[En puerto a facturar]],"Si","No")</f>
        <v>Si</v>
      </c>
      <c r="AO155" s="3">
        <f>IF(AND(Tabla1[[#This Row],[Plan Ajustado]]&gt;0,Tabla1[[#This Row],[Plan Ajustado]]&gt;Tabla1[[#This Row],[En puerto a facturar]]),(Tabla1[[#This Row],[Plan Ajustado]]-Tabla1[[#This Row],[En puerto a facturar]]),0)</f>
        <v>205540</v>
      </c>
      <c r="AP155" s="3">
        <f>IF(Tabla1[[#This Row],[Necesidad]]&gt;=Tabla1[[#This Row],[Stock al día]],Tabla1[[#This Row],[Stock al día]],Tabla1[[#This Row],[Necesidad]])</f>
        <v>83307.762000000017</v>
      </c>
      <c r="AQ155" s="3">
        <f>+Tabla1[[#This Row],[Necesidad]]-Tabla1[[#This Row],[Stock Plan]]</f>
        <v>122232.23799999998</v>
      </c>
      <c r="AR155" s="156">
        <f>IFERROR(VLOOKUP(Tabla1[[#This Row],[Oficina]],[22]Ponderación!$B$3:$G$9,6,FALSE),"")</f>
        <v>44765</v>
      </c>
      <c r="AS15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4.8239999999999998</v>
      </c>
      <c r="AT155" s="83">
        <f>IFERROR(VLOOKUP(Tabla1[[#This Row],[Llave]],[17]DELAY!$H:$W,16,FALSE),0)</f>
        <v>4.9047618292413215</v>
      </c>
      <c r="AU15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4.8712649627295832</v>
      </c>
      <c r="AV155" s="5">
        <f>+Tabla1[[#This Row],[Plan Ajustado]]*Tabla1[[#This Row],[Precio ponderado]]</f>
        <v>1001239.8004394385</v>
      </c>
      <c r="AW155" s="30">
        <f>IFERROR(VLOOKUP(Tabla1[[#This Row],[Llave]],'[13]Ultimos precios facturados'!$A:$G,7,FALSE),0)</f>
        <v>4.5964683118190974</v>
      </c>
      <c r="AX15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5.9784302266130997E-2</v>
      </c>
      <c r="AY155" s="30"/>
      <c r="AZ155" s="30">
        <f>IF(Tabla1[[#This Row],[Ajuste precio IC]]="",Tabla1[[#This Row],[Precio ponderado]],Tabla1[[#This Row],[Precio ponderado]])</f>
        <v>4.8712649627295832</v>
      </c>
      <c r="BA155" s="82" t="s">
        <v>755</v>
      </c>
      <c r="BB155" s="82" t="str">
        <f>IF(AND(Tabla1[[#This Row],[Atraso a facturar]]&gt;0,Tabla1[[#This Row],[Precio Atraso]]=0),"Revisar","OK")</f>
        <v>OK</v>
      </c>
      <c r="BC155" s="82" t="str">
        <f>IF(AND(Tabla1[[#This Row],[Venta del mes]]&gt;0,Tabla1[[#This Row],[Precio venta nueva]]=0),"Revisar","OK")</f>
        <v>OK</v>
      </c>
      <c r="BD155" s="20">
        <f>IFERROR(VLOOKUP(Tabla1[[#This Row],[Llave]],'[5]Consolidación planes'!$A:$M,9,FALSE),0)</f>
        <v>193900</v>
      </c>
      <c r="BE155" s="20">
        <f>IFERROR(VLOOKUP(Tabla1[[#This Row],[Llave]],'[5]Consolidación planes'!$A:$M,10,FALSE),0)</f>
        <v>170000</v>
      </c>
      <c r="BF155" s="20">
        <f>IFERROR(VLOOKUP(Tabla1[[#This Row],[Llave]],'[5]Consolidación planes'!$A:$M,11,FALSE),0)</f>
        <v>190000</v>
      </c>
      <c r="BG155" s="20">
        <f>IFERROR(VLOOKUP(Tabla1[[#This Row],[Llave]],'[5]Consolidación planes'!$A:$M,12,FALSE),0)</f>
        <v>270000</v>
      </c>
      <c r="BH155" s="20">
        <f>IFERROR(VLOOKUP(Tabla1[[#This Row],[Llave]],'[5]Consolidación planes'!$A:$M,13,FALSE),0)</f>
        <v>253474</v>
      </c>
      <c r="BI155" s="20">
        <f>IFERROR(VLOOKUP(Tabla1[[#This Row],[Llave]],'[13]Base ultimos planes'!$A:$M,13,FALSE),0)</f>
        <v>227600</v>
      </c>
      <c r="BJ155" s="80">
        <f>IFERROR(VLOOKUP(Tabla1[[#This Row],[Llave]],'[13]Base ultimos planes'!$O:$AA,8,FALSE),0)</f>
        <v>942354</v>
      </c>
      <c r="BK155" s="20">
        <f>IFERROR(VLOOKUP(Tabla1[[#This Row],[Llave]],'[13]Base ultimos planes'!$O:$AA,9,FALSE),0)</f>
        <v>841715</v>
      </c>
      <c r="BL155" s="20">
        <f>IFERROR(VLOOKUP(Tabla1[[#This Row],[Llave]],'[13]Base ultimos planes'!$O:$AA,10,FALSE),0)</f>
        <v>947734</v>
      </c>
      <c r="BM155" s="20">
        <f>IFERROR(VLOOKUP(Tabla1[[#This Row],[Llave]],'[13]Base ultimos planes'!$O:$AA,11,FALSE),0)</f>
        <v>1311648</v>
      </c>
      <c r="BN155" s="20">
        <f>IFERROR(VLOOKUP(Tabla1[[#This Row],[Llave]],'[13]Base ultimos planes'!$O:$AA,12,FALSE),0)</f>
        <v>1212707</v>
      </c>
      <c r="BO155" s="20">
        <f>IFERROR(VLOOKUP(Tabla1[[#This Row],[Llave]],'[13]Base ultimos planes'!$O:$AA,13,FALSE),0)</f>
        <v>1012527</v>
      </c>
      <c r="BP155" s="20"/>
      <c r="BQ155" s="20">
        <f>+Tabla1[[#This Row],[ RV  Venta mes n+1]]*(1-Tabla1[[#This Row],[% Uti. producción]])</f>
        <v>25683.361929160696</v>
      </c>
      <c r="BR155" s="100"/>
    </row>
    <row r="156" spans="1:70" ht="16" x14ac:dyDescent="0.2">
      <c r="A156">
        <v>1</v>
      </c>
      <c r="B156" t="str">
        <f>Tabla1[[#This Row],[Oficina]]&amp;Tabla1[[#This Row],[Material]]</f>
        <v>Exportacion Directa1020662</v>
      </c>
      <c r="C156" t="s">
        <v>6</v>
      </c>
      <c r="D156" t="s">
        <v>88</v>
      </c>
      <c r="E156">
        <v>1020662</v>
      </c>
      <c r="F156" t="s">
        <v>130</v>
      </c>
      <c r="G156" t="s">
        <v>59</v>
      </c>
      <c r="H156" t="s">
        <v>65</v>
      </c>
      <c r="I156" s="7">
        <f>IFERROR(VLOOKUP(Tabla1[[#This Row],[Llave]],'[7]RV Producción'!$C:$G,5,FALSE),0)</f>
        <v>0</v>
      </c>
      <c r="J156" s="3">
        <f>IFERROR(IF(Tabla1[[#This Row],[Oficina]]=$I$7,VLOOKUP(Tabla1[[#This Row],[Llave]],'[7]Shangai (Tomas)'!$A:$F,6,FALSE),VLOOKUP(Tabla1[[#This Row],[Llave]],'[7]RV plan de ventas'!$A:$E,5,FALSE)),0)</f>
        <v>10000</v>
      </c>
      <c r="K156" s="8">
        <f>IFERROR(VLOOKUP(Tabla1[[#This Row],[Oficina]],[15]Ponderación!$B$2:$E$9,4,FALSE),0)</f>
        <v>0.87158319035419651</v>
      </c>
      <c r="L156" s="7">
        <f>+Tabla1[[#This Row],[ RV Producción mes n+1]]*Tabla1[[#This Row],[% Uti. producción]]</f>
        <v>0</v>
      </c>
      <c r="M156" s="7">
        <f>IFERROR(VLOOKUP(Tabla1[[#This Row],[Material]],'[17]TD Stock'!$E:$I,5,FALSE),0)</f>
        <v>12619.973</v>
      </c>
      <c r="N156" s="7">
        <f>IFERROR(VLOOKUP(Tabla1[[#This Row],[Material]],[16]Produccion!$M:$N,2,FALSE),0)</f>
        <v>7037.3200000000006</v>
      </c>
      <c r="O156" s="7">
        <f>IFERROR(VLOOKUP(Tabla1[[#This Row],[Llave]],'[16]TD Conf-AP'!$I:$M,4,FALSE),0)</f>
        <v>0</v>
      </c>
      <c r="P156" s="14">
        <f>SUM(Tabla1[[#This Row],[Producción disponible]],Tabla1[[#This Row],[Stock al día]],(Tabla1[[#This Row],[Por producir mes N]]*0.9))-Tabla1[[#This Row],[Producción por despachar mes N]]</f>
        <v>18953.561000000002</v>
      </c>
      <c r="Q156" s="7">
        <f>IFERROR(VLOOKUP(Tabla1[[#This Row],[Llave]],[17]DELAY!$A:$D,4,FALSE),0)</f>
        <v>13000</v>
      </c>
      <c r="R156" s="9">
        <v>5000</v>
      </c>
      <c r="S156" s="5">
        <f t="shared" si="31"/>
        <v>13000</v>
      </c>
      <c r="T156" s="76">
        <v>-5000</v>
      </c>
      <c r="U156" s="5">
        <f>+Tabla1[[#This Row],[Atraso a facturar]]+Tabla1[[#This Row],[Ajuste atraso]]</f>
        <v>8000</v>
      </c>
      <c r="V156" s="3">
        <f>+Tabla1[[#This Row],[Total disponible]]-Tabla1[[#This Row],[Facturación atraso]]</f>
        <v>10953.561000000002</v>
      </c>
      <c r="W156" s="6">
        <f>IFERROR(IF(AND(V156&gt;R156,J156&gt;=R156),ROUNDDOWN((Tabla1[[#This Row],[Producción para venta nueva]])/R156,0)*R156,0),0)</f>
        <v>10000</v>
      </c>
      <c r="X156" s="76">
        <v>-5000</v>
      </c>
      <c r="Y156" s="6">
        <f>IF(Tabla1[[#This Row],[Venta del mes]]&gt;0,Tabla1[[#This Row],[Venta del mes]]+Tabla1[[#This Row],[Ajuste venta nueva]],0)</f>
        <v>5000</v>
      </c>
      <c r="Z156" s="6">
        <f>+Tabla1[[#This Row],[Producción para venta nueva]]-Tabla1[[#This Row],[Facturación Venta nueva]]</f>
        <v>5953.5610000000015</v>
      </c>
      <c r="AA156" s="6">
        <f>IF(AND(A156=1,Tabla1[[#This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6" s="6"/>
      <c r="AC156" s="6">
        <f>IF(Tabla1[[#This Row],[Disponible stock sin venta]]&gt;0,Tabla1[[#This Row],[Disponible stock sin venta]]+Tabla1[[#This Row],[Ajuste stock sin venta]],0)</f>
        <v>0</v>
      </c>
      <c r="AD156" s="3">
        <f>IFERROR(VLOOKUP(Tabla1[[#This Row],[Llave]],'[16]TD Puerto'!$A:$D,4,FALSE),0)</f>
        <v>0</v>
      </c>
      <c r="AE156" s="3">
        <v>18000</v>
      </c>
      <c r="AF156" s="3">
        <f>+Tabla1[[#This Row],[Atraso a facturar]]+Tabla1[[#This Row],[Venta del mes]]+Tabla1[[#This Row],[En puerto a facturar]]+Tabla1[[#This Row],[Disponible stock sin venta]]</f>
        <v>23000</v>
      </c>
      <c r="AG156" s="3">
        <f>+Tabla1[[#This Row],[En puerto a facturar]]</f>
        <v>0</v>
      </c>
      <c r="AH156" s="3">
        <f>+Tabla1[[#This Row],[Facturación atraso]]</f>
        <v>8000</v>
      </c>
      <c r="AI156" s="3">
        <f>+Tabla1[[#This Row],[Plan Irrestricto]]-Tabla1[[#This Row],[Puerto ]]-Tabla1[[#This Row],[Atraso]]</f>
        <v>15000</v>
      </c>
      <c r="AJ156" s="3">
        <f>IF(Tabla1[[#This Row],[Plan Irrestricto]]&gt;0,SUM(Tabla1[[#This Row],[Facturación atraso]],Tabla1[[#This Row],[Facturación Venta nueva]],Tabla1[[#This Row],[Facturación stock]],Tabla1[[#This Row],[En puerto a facturar]]),0)</f>
        <v>13000</v>
      </c>
      <c r="AK156" s="3">
        <f>+Tabla1[[#This Row],[Facturación atraso]]</f>
        <v>8000</v>
      </c>
      <c r="AL156" s="3">
        <f>+Tabla1[[#This Row],[Plan Ajustado]]-Tabla1[[#This Row],[ Atraso ajustado]]-Tabla1[[#This Row],[Puerto ]]</f>
        <v>5000</v>
      </c>
      <c r="AM156" s="3" t="s">
        <v>789</v>
      </c>
      <c r="AN156" s="3" t="str">
        <f>IF(Tabla1[[#This Row],[Plan Ajustado]]&gt;Tabla1[[#This Row],[En puerto a facturar]],"Si","No")</f>
        <v>Si</v>
      </c>
      <c r="AO156" s="3">
        <f>IF(AND(Tabla1[[#This Row],[Plan Ajustado]]&gt;0,Tabla1[[#This Row],[Plan Ajustado]]&gt;Tabla1[[#This Row],[En puerto a facturar]]),(Tabla1[[#This Row],[Plan Ajustado]]-Tabla1[[#This Row],[En puerto a facturar]]),0)</f>
        <v>13000</v>
      </c>
      <c r="AP156" s="3">
        <f>IF(Tabla1[[#This Row],[Necesidad]]&gt;=Tabla1[[#This Row],[Stock al día]],Tabla1[[#This Row],[Stock al día]],Tabla1[[#This Row],[Necesidad]])</f>
        <v>12619.973</v>
      </c>
      <c r="AQ156" s="3">
        <f>+Tabla1[[#This Row],[Necesidad]]-Tabla1[[#This Row],[Stock Plan]]</f>
        <v>380.02700000000004</v>
      </c>
      <c r="AR156" s="156">
        <f>IFERROR(VLOOKUP(Tabla1[[#This Row],[Oficina]],[22]Ponderación!$B$3:$G$9,6,FALSE),"")</f>
        <v>44765</v>
      </c>
      <c r="AS15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3.492</v>
      </c>
      <c r="AT156" s="83">
        <f>IFERROR(VLOOKUP(Tabla1[[#This Row],[Llave]],[17]DELAY!$H:$W,16,FALSE),0)</f>
        <v>3.8103725784615388</v>
      </c>
      <c r="AU15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3.6879215867455626</v>
      </c>
      <c r="AV156" s="5">
        <f>+Tabla1[[#This Row],[Plan Ajustado]]*Tabla1[[#This Row],[Precio ponderado]]</f>
        <v>47942.980627692312</v>
      </c>
      <c r="AW156" s="30">
        <f>IFERROR(VLOOKUP(Tabla1[[#This Row],[Llave]],'[13]Ultimos precios facturados'!$A:$G,7,FALSE),0)</f>
        <v>3.6287107044202598</v>
      </c>
      <c r="AX15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1.6317333385980855E-2</v>
      </c>
      <c r="AY156" s="30"/>
      <c r="AZ156" s="30">
        <f>IF(Tabla1[[#This Row],[Ajuste precio IC]]="",Tabla1[[#This Row],[Precio ponderado]],Tabla1[[#This Row],[Precio ponderado]])</f>
        <v>3.6879215867455626</v>
      </c>
      <c r="BA156" s="82"/>
      <c r="BB156" s="82" t="str">
        <f>IF(AND(Tabla1[[#This Row],[Atraso a facturar]]&gt;0,Tabla1[[#This Row],[Precio Atraso]]=0),"Revisar","OK")</f>
        <v>OK</v>
      </c>
      <c r="BC156" s="82" t="str">
        <f>IF(AND(Tabla1[[#This Row],[Venta del mes]]&gt;0,Tabla1[[#This Row],[Precio venta nueva]]=0),"Revisar","OK")</f>
        <v>OK</v>
      </c>
      <c r="BD156" s="20">
        <f>IFERROR(VLOOKUP(Tabla1[[#This Row],[Llave]],'[5]Consolidación planes'!$A:$M,9,FALSE),0)</f>
        <v>30000</v>
      </c>
      <c r="BE156" s="20">
        <f>IFERROR(VLOOKUP(Tabla1[[#This Row],[Llave]],'[5]Consolidación planes'!$A:$M,10,FALSE),0)</f>
        <v>5000</v>
      </c>
      <c r="BF156" s="20">
        <f>IFERROR(VLOOKUP(Tabla1[[#This Row],[Llave]],'[5]Consolidación planes'!$A:$M,11,FALSE),0)</f>
        <v>4000</v>
      </c>
      <c r="BG156" s="20">
        <f>IFERROR(VLOOKUP(Tabla1[[#This Row],[Llave]],'[5]Consolidación planes'!$A:$M,12,FALSE),0)</f>
        <v>20000</v>
      </c>
      <c r="BH156" s="20">
        <f>IFERROR(VLOOKUP(Tabla1[[#This Row],[Llave]],'[5]Consolidación planes'!$A:$M,13,FALSE),0)</f>
        <v>22000</v>
      </c>
      <c r="BI156" s="20">
        <f>IFERROR(VLOOKUP(Tabla1[[#This Row],[Llave]],'[13]Base ultimos planes'!$A:$M,13,FALSE),0)</f>
        <v>31500</v>
      </c>
      <c r="BJ156" s="80">
        <f>IFERROR(VLOOKUP(Tabla1[[#This Row],[Llave]],'[13]Base ultimos planes'!$O:$AA,8,FALSE),0)</f>
        <v>139120.984</v>
      </c>
      <c r="BK156" s="20">
        <f>IFERROR(VLOOKUP(Tabla1[[#This Row],[Llave]],'[13]Base ultimos planes'!$O:$AA,9,FALSE),0)</f>
        <v>20587</v>
      </c>
      <c r="BL156" s="20">
        <f>IFERROR(VLOOKUP(Tabla1[[#This Row],[Llave]],'[13]Base ultimos planes'!$O:$AA,10,FALSE),0)</f>
        <v>16511</v>
      </c>
      <c r="BM156" s="20">
        <f>IFERROR(VLOOKUP(Tabla1[[#This Row],[Llave]],'[13]Base ultimos planes'!$O:$AA,11,FALSE),0)</f>
        <v>79963</v>
      </c>
      <c r="BN156" s="20">
        <f>IFERROR(VLOOKUP(Tabla1[[#This Row],[Llave]],'[13]Base ultimos planes'!$O:$AA,12,FALSE),0)</f>
        <v>84292</v>
      </c>
      <c r="BO156" s="20">
        <f>IFERROR(VLOOKUP(Tabla1[[#This Row],[Llave]],'[13]Base ultimos planes'!$O:$AA,13,FALSE),0)</f>
        <v>114721</v>
      </c>
      <c r="BP156" s="20"/>
      <c r="BQ156" s="20">
        <f>+Tabla1[[#This Row],[ RV  Venta mes n+1]]*(1-Tabla1[[#This Row],[% Uti. producción]])</f>
        <v>1284.1680964580348</v>
      </c>
      <c r="BR156" s="100"/>
    </row>
    <row r="157" spans="1:70" ht="16" x14ac:dyDescent="0.2">
      <c r="A157">
        <v>1</v>
      </c>
      <c r="B157" t="str">
        <f>Tabla1[[#This Row],[Oficina]]&amp;Tabla1[[#This Row],[Material]]</f>
        <v>Exportacion Directa1020664</v>
      </c>
      <c r="C157" t="s">
        <v>6</v>
      </c>
      <c r="D157" t="s">
        <v>88</v>
      </c>
      <c r="E157">
        <v>1020664</v>
      </c>
      <c r="F157" t="s">
        <v>294</v>
      </c>
      <c r="G157" t="s">
        <v>59</v>
      </c>
      <c r="H157" t="s">
        <v>65</v>
      </c>
      <c r="I157" s="7">
        <f>IFERROR(VLOOKUP(Tabla1[[#This Row],[Llave]],'[7]RV Producción'!$C:$G,5,FALSE),0)</f>
        <v>9087</v>
      </c>
      <c r="J157" s="3">
        <f>IFERROR(IF(Tabla1[[#This Row],[Oficina]]=$I$7,VLOOKUP(Tabla1[[#This Row],[Llave]],'[7]Shangai (Tomas)'!$A:$F,6,FALSE),VLOOKUP(Tabla1[[#This Row],[Llave]],'[7]RV plan de ventas'!$A:$E,5,FALSE)),0)</f>
        <v>8000</v>
      </c>
      <c r="K157" s="8">
        <f>IFERROR(VLOOKUP(Tabla1[[#This Row],[Oficina]],[15]Ponderación!$B$2:$E$9,4,FALSE),0)</f>
        <v>0.87158319035419651</v>
      </c>
      <c r="L157" s="7">
        <f>+Tabla1[[#This Row],[ RV Producción mes n+1]]*Tabla1[[#This Row],[% Uti. producción]]</f>
        <v>7920.0764507485837</v>
      </c>
      <c r="M157" s="7">
        <f>IFERROR(VLOOKUP(Tabla1[[#This Row],[Material]],'[17]TD Stock'!$E:$I,5,FALSE),0)</f>
        <v>1040.576</v>
      </c>
      <c r="N157" s="7">
        <f>IFERROR(VLOOKUP(Tabla1[[#This Row],[Material]],[16]Produccion!$M:$N,2,FALSE),0)</f>
        <v>0</v>
      </c>
      <c r="O157" s="7">
        <f>IFERROR(VLOOKUP(Tabla1[[#This Row],[Llave]],'[16]TD Conf-AP'!$I:$M,4,FALSE),0)</f>
        <v>0</v>
      </c>
      <c r="P157" s="14">
        <f>SUM(Tabla1[[#This Row],[Producción disponible]],Tabla1[[#This Row],[Stock al día]],(Tabla1[[#This Row],[Por producir mes N]]*0.9))-Tabla1[[#This Row],[Producción por despachar mes N]]</f>
        <v>8960.6524507485847</v>
      </c>
      <c r="Q157" s="7">
        <f>IFERROR(VLOOKUP(Tabla1[[#This Row],[Llave]],[17]DELAY!$A:$D,4,FALSE),0)</f>
        <v>11000</v>
      </c>
      <c r="R157" s="9">
        <v>3000</v>
      </c>
      <c r="S157" s="5">
        <f t="shared" si="31"/>
        <v>6000</v>
      </c>
      <c r="T157" s="76">
        <v>-3000</v>
      </c>
      <c r="U157" s="5">
        <f>+Tabla1[[#This Row],[Atraso a facturar]]+Tabla1[[#This Row],[Ajuste atraso]]</f>
        <v>3000</v>
      </c>
      <c r="V157" s="3">
        <f>+Tabla1[[#This Row],[Total disponible]]-Tabla1[[#This Row],[Facturación atraso]]</f>
        <v>5960.6524507485847</v>
      </c>
      <c r="W157" s="6">
        <f>IFERROR(IF(AND(V157&gt;R157,J157&gt;=R157),ROUNDDOWN((Tabla1[[#This Row],[Producción para venta nueva]])/R157,0)*R157,0),0)</f>
        <v>3000</v>
      </c>
      <c r="X157" s="76">
        <v>0</v>
      </c>
      <c r="Y157" s="6">
        <f>IF(Tabla1[[#This Row],[Venta del mes]]&gt;0,Tabla1[[#This Row],[Venta del mes]]+Tabla1[[#This Row],[Ajuste venta nueva]],0)</f>
        <v>3000</v>
      </c>
      <c r="Z157" s="6">
        <f>+Tabla1[[#This Row],[Producción para venta nueva]]-Tabla1[[#This Row],[Facturación Venta nueva]]</f>
        <v>2960.6524507485847</v>
      </c>
      <c r="AA157" s="6">
        <f>IF(AND(A157=1,Tabla1[[#This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7" s="6"/>
      <c r="AC157" s="6">
        <f>IF(Tabla1[[#This Row],[Disponible stock sin venta]]&gt;0,Tabla1[[#This Row],[Disponible stock sin venta]]+Tabla1[[#This Row],[Ajuste stock sin venta]],0)</f>
        <v>0</v>
      </c>
      <c r="AD157" s="3">
        <f>IFERROR(VLOOKUP(Tabla1[[#This Row],[Llave]],'[16]TD Puerto'!$A:$D,4,FALSE),0)</f>
        <v>0</v>
      </c>
      <c r="AE157" s="3">
        <v>6000</v>
      </c>
      <c r="AF157" s="3">
        <f>+Tabla1[[#This Row],[Atraso a facturar]]+Tabla1[[#This Row],[Venta del mes]]+Tabla1[[#This Row],[En puerto a facturar]]+Tabla1[[#This Row],[Disponible stock sin venta]]</f>
        <v>9000</v>
      </c>
      <c r="AG157" s="3">
        <f>+Tabla1[[#This Row],[En puerto a facturar]]</f>
        <v>0</v>
      </c>
      <c r="AH157" s="3">
        <f>+Tabla1[[#This Row],[Facturación atraso]]</f>
        <v>3000</v>
      </c>
      <c r="AI157" s="3">
        <f>+Tabla1[[#This Row],[Plan Irrestricto]]-Tabla1[[#This Row],[Puerto ]]-Tabla1[[#This Row],[Atraso]]</f>
        <v>6000</v>
      </c>
      <c r="AJ157" s="3">
        <f>IF(Tabla1[[#This Row],[Plan Irrestricto]]&gt;0,SUM(Tabla1[[#This Row],[Facturación atraso]],Tabla1[[#This Row],[Facturación Venta nueva]],Tabla1[[#This Row],[Facturación stock]],Tabla1[[#This Row],[En puerto a facturar]]),0)</f>
        <v>6000</v>
      </c>
      <c r="AK157" s="3">
        <f>+Tabla1[[#This Row],[Facturación atraso]]</f>
        <v>3000</v>
      </c>
      <c r="AL157" s="3">
        <f>+Tabla1[[#This Row],[Plan Ajustado]]-Tabla1[[#This Row],[ Atraso ajustado]]-Tabla1[[#This Row],[Puerto ]]</f>
        <v>3000</v>
      </c>
      <c r="AM157" s="3" t="s">
        <v>789</v>
      </c>
      <c r="AN157" s="3" t="str">
        <f>IF(Tabla1[[#This Row],[Plan Ajustado]]&gt;Tabla1[[#This Row],[En puerto a facturar]],"Si","No")</f>
        <v>Si</v>
      </c>
      <c r="AO157" s="3">
        <f>IF(AND(Tabla1[[#This Row],[Plan Ajustado]]&gt;0,Tabla1[[#This Row],[Plan Ajustado]]&gt;Tabla1[[#This Row],[En puerto a facturar]]),(Tabla1[[#This Row],[Plan Ajustado]]-Tabla1[[#This Row],[En puerto a facturar]]),0)</f>
        <v>6000</v>
      </c>
      <c r="AP157" s="3">
        <f>IF(Tabla1[[#This Row],[Necesidad]]&gt;=Tabla1[[#This Row],[Stock al día]],Tabla1[[#This Row],[Stock al día]],Tabla1[[#This Row],[Necesidad]])</f>
        <v>1040.576</v>
      </c>
      <c r="AQ157" s="3">
        <f>+Tabla1[[#This Row],[Necesidad]]-Tabla1[[#This Row],[Stock Plan]]</f>
        <v>4959.424</v>
      </c>
      <c r="AR157" s="156">
        <f>IFERROR(VLOOKUP(Tabla1[[#This Row],[Oficina]],[22]Ponderación!$B$3:$G$9,6,FALSE),"")</f>
        <v>44765</v>
      </c>
      <c r="AS15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3.492</v>
      </c>
      <c r="AT157" s="83">
        <f>IFERROR(VLOOKUP(Tabla1[[#This Row],[Llave]],[17]DELAY!$H:$W,16,FALSE),0)</f>
        <v>3.7112629636363637</v>
      </c>
      <c r="AU15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3.6016314818181816</v>
      </c>
      <c r="AV157" s="5">
        <f>+Tabla1[[#This Row],[Plan Ajustado]]*Tabla1[[#This Row],[Precio ponderado]]</f>
        <v>21609.788890909091</v>
      </c>
      <c r="AW157" s="30">
        <f>IFERROR(VLOOKUP(Tabla1[[#This Row],[Llave]],'[13]Ultimos precios facturados'!$A:$G,7,FALSE),0)</f>
        <v>3.6628625872497613</v>
      </c>
      <c r="AX15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1.6716735605840659E-2</v>
      </c>
      <c r="AY157" s="30"/>
      <c r="AZ157" s="30">
        <f>IF(Tabla1[[#This Row],[Ajuste precio IC]]="",Tabla1[[#This Row],[Precio ponderado]],Tabla1[[#This Row],[Precio ponderado]])</f>
        <v>3.6016314818181816</v>
      </c>
      <c r="BA157" s="82"/>
      <c r="BB157" s="82" t="str">
        <f>IF(AND(Tabla1[[#This Row],[Atraso a facturar]]&gt;0,Tabla1[[#This Row],[Precio Atraso]]=0),"Revisar","OK")</f>
        <v>OK</v>
      </c>
      <c r="BC157" s="82" t="str">
        <f>IF(AND(Tabla1[[#This Row],[Venta del mes]]&gt;0,Tabla1[[#This Row],[Precio venta nueva]]=0),"Revisar","OK")</f>
        <v>OK</v>
      </c>
      <c r="BD157" s="20">
        <f>IFERROR(VLOOKUP(Tabla1[[#This Row],[Llave]],'[5]Consolidación planes'!$A:$M,9,FALSE),0)</f>
        <v>0</v>
      </c>
      <c r="BE157" s="20">
        <f>IFERROR(VLOOKUP(Tabla1[[#This Row],[Llave]],'[5]Consolidación planes'!$A:$M,10,FALSE),0)</f>
        <v>3000</v>
      </c>
      <c r="BF157" s="20">
        <f>IFERROR(VLOOKUP(Tabla1[[#This Row],[Llave]],'[5]Consolidación planes'!$A:$M,11,FALSE),0)</f>
        <v>3000</v>
      </c>
      <c r="BG157" s="20">
        <f>IFERROR(VLOOKUP(Tabla1[[#This Row],[Llave]],'[5]Consolidación planes'!$A:$M,12,FALSE),0)</f>
        <v>3000</v>
      </c>
      <c r="BH157" s="20">
        <f>IFERROR(VLOOKUP(Tabla1[[#This Row],[Llave]],'[5]Consolidación planes'!$A:$M,13,FALSE),0)</f>
        <v>0</v>
      </c>
      <c r="BI157" s="20">
        <f>IFERROR(VLOOKUP(Tabla1[[#This Row],[Llave]],'[13]Base ultimos planes'!$A:$M,13,FALSE),0)</f>
        <v>3000</v>
      </c>
      <c r="BJ157" s="80">
        <f>IFERROR(VLOOKUP(Tabla1[[#This Row],[Llave]],'[13]Base ultimos planes'!$O:$AA,8,FALSE),0)</f>
        <v>0</v>
      </c>
      <c r="BK157" s="20">
        <f>IFERROR(VLOOKUP(Tabla1[[#This Row],[Llave]],'[13]Base ultimos planes'!$O:$AA,9,FALSE),0)</f>
        <v>12115</v>
      </c>
      <c r="BL157" s="20">
        <f>IFERROR(VLOOKUP(Tabla1[[#This Row],[Llave]],'[13]Base ultimos planes'!$O:$AA,10,FALSE),0)</f>
        <v>12506</v>
      </c>
      <c r="BM157" s="20">
        <f>IFERROR(VLOOKUP(Tabla1[[#This Row],[Llave]],'[13]Base ultimos planes'!$O:$AA,11,FALSE),0)</f>
        <v>12074</v>
      </c>
      <c r="BN157" s="20">
        <f>IFERROR(VLOOKUP(Tabla1[[#This Row],[Llave]],'[13]Base ultimos planes'!$O:$AA,12,FALSE),0)</f>
        <v>0</v>
      </c>
      <c r="BO157" s="20">
        <f>IFERROR(VLOOKUP(Tabla1[[#This Row],[Llave]],'[13]Base ultimos planes'!$O:$AA,13,FALSE),0)</f>
        <v>10926</v>
      </c>
      <c r="BP157" s="20"/>
      <c r="BQ157" s="20">
        <f>+Tabla1[[#This Row],[ RV  Venta mes n+1]]*(1-Tabla1[[#This Row],[% Uti. producción]])</f>
        <v>1027.3344771664279</v>
      </c>
      <c r="BR157" s="100"/>
    </row>
    <row r="158" spans="1:70" ht="16" x14ac:dyDescent="0.2">
      <c r="A158">
        <v>1</v>
      </c>
      <c r="B158" t="str">
        <f>Tabla1[[#This Row],[Oficina]]&amp;Tabla1[[#This Row],[Material]]</f>
        <v>Exportacion Directa1020665</v>
      </c>
      <c r="C158" t="s">
        <v>6</v>
      </c>
      <c r="D158" t="s">
        <v>88</v>
      </c>
      <c r="E158">
        <v>1020665</v>
      </c>
      <c r="F158" t="s">
        <v>131</v>
      </c>
      <c r="G158" t="s">
        <v>59</v>
      </c>
      <c r="H158" t="s">
        <v>65</v>
      </c>
      <c r="I158" s="7">
        <f>IFERROR(VLOOKUP(Tabla1[[#This Row],[Llave]],'[7]RV Producción'!$C:$G,5,FALSE),0)</f>
        <v>0</v>
      </c>
      <c r="J158" s="3">
        <f>IFERROR(IF(Tabla1[[#This Row],[Oficina]]=$I$7,VLOOKUP(Tabla1[[#This Row],[Llave]],'[7]Shangai (Tomas)'!$A:$F,6,FALSE),VLOOKUP(Tabla1[[#This Row],[Llave]],'[7]RV plan de ventas'!$A:$E,5,FALSE)),0)</f>
        <v>11000</v>
      </c>
      <c r="K158" s="8">
        <f>IFERROR(VLOOKUP(Tabla1[[#This Row],[Oficina]],[15]Ponderación!$B$2:$E$9,4,FALSE),0)</f>
        <v>0.87158319035419651</v>
      </c>
      <c r="L158" s="7">
        <f>+Tabla1[[#This Row],[ RV Producción mes n+1]]*Tabla1[[#This Row],[% Uti. producción]]</f>
        <v>0</v>
      </c>
      <c r="M158" s="7">
        <f>IFERROR(VLOOKUP(Tabla1[[#This Row],[Material]],'[17]TD Stock'!$E:$I,5,FALSE),0)</f>
        <v>9790.9099999999962</v>
      </c>
      <c r="N158" s="7">
        <f>IFERROR(VLOOKUP(Tabla1[[#This Row],[Material]],[16]Produccion!$M:$N,2,FALSE),0)</f>
        <v>5477.4000000000005</v>
      </c>
      <c r="O158" s="7">
        <f>IFERROR(VLOOKUP(Tabla1[[#This Row],[Llave]],'[16]TD Conf-AP'!$I:$M,4,FALSE),0)</f>
        <v>6900</v>
      </c>
      <c r="P158" s="14">
        <f>SUM(Tabla1[[#This Row],[Producción disponible]],Tabla1[[#This Row],[Stock al día]],(Tabla1[[#This Row],[Por producir mes N]]*0.9))-Tabla1[[#This Row],[Producción por despachar mes N]]</f>
        <v>7820.5699999999961</v>
      </c>
      <c r="Q158" s="7">
        <f>IFERROR(VLOOKUP(Tabla1[[#This Row],[Llave]],[17]DELAY!$A:$D,4,FALSE),0)</f>
        <v>13500</v>
      </c>
      <c r="R158" s="9">
        <v>2333.3333333333335</v>
      </c>
      <c r="S158" s="5">
        <f t="shared" si="31"/>
        <v>7000</v>
      </c>
      <c r="T158" s="76">
        <v>-4000</v>
      </c>
      <c r="U158" s="5">
        <f>+Tabla1[[#This Row],[Atraso a facturar]]+Tabla1[[#This Row],[Ajuste atraso]]</f>
        <v>3000</v>
      </c>
      <c r="V158" s="3">
        <f>+Tabla1[[#This Row],[Total disponible]]-Tabla1[[#This Row],[Facturación atraso]]</f>
        <v>4820.5699999999961</v>
      </c>
      <c r="W158" s="6">
        <f>IFERROR(IF(AND(V158&gt;R158,J158&gt;=R158),ROUNDDOWN((Tabla1[[#This Row],[Producción para venta nueva]])/R158,0)*R158,0),0)</f>
        <v>4666.666666666667</v>
      </c>
      <c r="X158" s="76">
        <v>0</v>
      </c>
      <c r="Y158" s="6">
        <f>IF(Tabla1[[#This Row],[Venta del mes]]&gt;0,Tabla1[[#This Row],[Venta del mes]]+Tabla1[[#This Row],[Ajuste venta nueva]],0)</f>
        <v>4666.666666666667</v>
      </c>
      <c r="Z158" s="6">
        <f>+Tabla1[[#This Row],[Producción para venta nueva]]-Tabla1[[#This Row],[Facturación Venta nueva]]</f>
        <v>153.9033333333291</v>
      </c>
      <c r="AA158" s="6">
        <f>IF(AND(A158=1,Tabla1[[#This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8" s="6"/>
      <c r="AC158" s="6">
        <f>IF(Tabla1[[#This Row],[Disponible stock sin venta]]&gt;0,Tabla1[[#This Row],[Disponible stock sin venta]]+Tabla1[[#This Row],[Ajuste stock sin venta]],0)</f>
        <v>0</v>
      </c>
      <c r="AD158" s="3">
        <f>IFERROR(VLOOKUP(Tabla1[[#This Row],[Llave]],'[16]TD Puerto'!$A:$D,4,FALSE),0)</f>
        <v>0</v>
      </c>
      <c r="AE158" s="3">
        <v>7000</v>
      </c>
      <c r="AF158" s="3">
        <f>+Tabla1[[#This Row],[Atraso a facturar]]+Tabla1[[#This Row],[Venta del mes]]+Tabla1[[#This Row],[En puerto a facturar]]+Tabla1[[#This Row],[Disponible stock sin venta]]</f>
        <v>11666.666666666668</v>
      </c>
      <c r="AG158" s="3">
        <f>+Tabla1[[#This Row],[En puerto a facturar]]</f>
        <v>0</v>
      </c>
      <c r="AH158" s="3">
        <f>+Tabla1[[#This Row],[Facturación atraso]]</f>
        <v>3000</v>
      </c>
      <c r="AI158" s="3">
        <f>+Tabla1[[#This Row],[Plan Irrestricto]]-Tabla1[[#This Row],[Puerto ]]-Tabla1[[#This Row],[Atraso]]</f>
        <v>8666.6666666666679</v>
      </c>
      <c r="AJ158" s="3">
        <f>IF(Tabla1[[#This Row],[Plan Irrestricto]]&gt;0,SUM(Tabla1[[#This Row],[Facturación atraso]],Tabla1[[#This Row],[Facturación Venta nueva]],Tabla1[[#This Row],[Facturación stock]],Tabla1[[#This Row],[En puerto a facturar]]),0)</f>
        <v>7666.666666666667</v>
      </c>
      <c r="AK158" s="3">
        <f>+Tabla1[[#This Row],[Facturación atraso]]</f>
        <v>3000</v>
      </c>
      <c r="AL158" s="3">
        <f>+Tabla1[[#This Row],[Plan Ajustado]]-Tabla1[[#This Row],[ Atraso ajustado]]-Tabla1[[#This Row],[Puerto ]]</f>
        <v>4666.666666666667</v>
      </c>
      <c r="AM158" s="3" t="s">
        <v>789</v>
      </c>
      <c r="AN158" s="3" t="str">
        <f>IF(Tabla1[[#This Row],[Plan Ajustado]]&gt;Tabla1[[#This Row],[En puerto a facturar]],"Si","No")</f>
        <v>Si</v>
      </c>
      <c r="AO158" s="3">
        <f>IF(AND(Tabla1[[#This Row],[Plan Ajustado]]&gt;0,Tabla1[[#This Row],[Plan Ajustado]]&gt;Tabla1[[#This Row],[En puerto a facturar]]),(Tabla1[[#This Row],[Plan Ajustado]]-Tabla1[[#This Row],[En puerto a facturar]]),0)</f>
        <v>7666.666666666667</v>
      </c>
      <c r="AP158" s="3">
        <f>IF(Tabla1[[#This Row],[Necesidad]]&gt;=Tabla1[[#This Row],[Stock al día]],Tabla1[[#This Row],[Stock al día]],Tabla1[[#This Row],[Necesidad]])</f>
        <v>7666.666666666667</v>
      </c>
      <c r="AQ158" s="3">
        <f>+Tabla1[[#This Row],[Necesidad]]-Tabla1[[#This Row],[Stock Plan]]</f>
        <v>0</v>
      </c>
      <c r="AR158" s="156">
        <f>IFERROR(VLOOKUP(Tabla1[[#This Row],[Oficina]],[22]Ponderación!$B$3:$G$9,6,FALSE),"")</f>
        <v>44765</v>
      </c>
      <c r="AS15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3.456</v>
      </c>
      <c r="AT158" s="83">
        <f>IFERROR(VLOOKUP(Tabla1[[#This Row],[Llave]],[17]DELAY!$H:$W,16,FALSE),0)</f>
        <v>3.5993951333333323</v>
      </c>
      <c r="AU15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3.5121111391304338</v>
      </c>
      <c r="AV158" s="5">
        <f>+Tabla1[[#This Row],[Plan Ajustado]]*Tabla1[[#This Row],[Precio ponderado]]</f>
        <v>26926.185399999995</v>
      </c>
      <c r="AW158" s="30">
        <f>IFERROR(VLOOKUP(Tabla1[[#This Row],[Llave]],'[13]Ultimos precios facturados'!$A:$G,7,FALSE),0)</f>
        <v>3.6290607430446027</v>
      </c>
      <c r="AX15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3.2225860131526465E-2</v>
      </c>
      <c r="AY158" s="30"/>
      <c r="AZ158" s="30">
        <f>IF(Tabla1[[#This Row],[Ajuste precio IC]]="",Tabla1[[#This Row],[Precio ponderado]],Tabla1[[#This Row],[Precio ponderado]])</f>
        <v>3.5121111391304338</v>
      </c>
      <c r="BA158" s="82" t="s">
        <v>756</v>
      </c>
      <c r="BB158" s="82" t="str">
        <f>IF(AND(Tabla1[[#This Row],[Atraso a facturar]]&gt;0,Tabla1[[#This Row],[Precio Atraso]]=0),"Revisar","OK")</f>
        <v>OK</v>
      </c>
      <c r="BC158" s="82" t="str">
        <f>IF(AND(Tabla1[[#This Row],[Venta del mes]]&gt;0,Tabla1[[#This Row],[Precio venta nueva]]=0),"Revisar","OK")</f>
        <v>OK</v>
      </c>
      <c r="BD158" s="20">
        <f>IFERROR(VLOOKUP(Tabla1[[#This Row],[Llave]],'[5]Consolidación planes'!$A:$M,9,FALSE),0)</f>
        <v>11750</v>
      </c>
      <c r="BE158" s="20">
        <f>IFERROR(VLOOKUP(Tabla1[[#This Row],[Llave]],'[5]Consolidación planes'!$A:$M,10,FALSE),0)</f>
        <v>4750</v>
      </c>
      <c r="BF158" s="20">
        <f>IFERROR(VLOOKUP(Tabla1[[#This Row],[Llave]],'[5]Consolidación planes'!$A:$M,11,FALSE),0)</f>
        <v>5000</v>
      </c>
      <c r="BG158" s="20">
        <f>IFERROR(VLOOKUP(Tabla1[[#This Row],[Llave]],'[5]Consolidación planes'!$A:$M,12,FALSE),0)</f>
        <v>15000</v>
      </c>
      <c r="BH158" s="20">
        <f>IFERROR(VLOOKUP(Tabla1[[#This Row],[Llave]],'[5]Consolidación planes'!$A:$M,13,FALSE),0)</f>
        <v>17000</v>
      </c>
      <c r="BI158" s="20">
        <f>IFERROR(VLOOKUP(Tabla1[[#This Row],[Llave]],'[13]Base ultimos planes'!$A:$M,13,FALSE),0)</f>
        <v>9100</v>
      </c>
      <c r="BJ158" s="80">
        <f>IFERROR(VLOOKUP(Tabla1[[#This Row],[Llave]],'[13]Base ultimos planes'!$O:$AA,8,FALSE),0)</f>
        <v>50760</v>
      </c>
      <c r="BK158" s="20">
        <f>IFERROR(VLOOKUP(Tabla1[[#This Row],[Llave]],'[13]Base ultimos planes'!$O:$AA,9,FALSE),0)</f>
        <v>19327</v>
      </c>
      <c r="BL158" s="20">
        <f>IFERROR(VLOOKUP(Tabla1[[#This Row],[Llave]],'[13]Base ultimos planes'!$O:$AA,10,FALSE),0)</f>
        <v>20397</v>
      </c>
      <c r="BM158" s="20">
        <f>IFERROR(VLOOKUP(Tabla1[[#This Row],[Llave]],'[13]Base ultimos planes'!$O:$AA,11,FALSE),0)</f>
        <v>59295</v>
      </c>
      <c r="BN158" s="20">
        <f>IFERROR(VLOOKUP(Tabla1[[#This Row],[Llave]],'[13]Base ultimos planes'!$O:$AA,12,FALSE),0)</f>
        <v>65444</v>
      </c>
      <c r="BO158" s="20">
        <f>IFERROR(VLOOKUP(Tabla1[[#This Row],[Llave]],'[13]Base ultimos planes'!$O:$AA,13,FALSE),0)</f>
        <v>32792</v>
      </c>
      <c r="BP158" s="20"/>
      <c r="BQ158" s="20">
        <f>+Tabla1[[#This Row],[ RV  Venta mes n+1]]*(1-Tabla1[[#This Row],[% Uti. producción]])</f>
        <v>1412.5849061038384</v>
      </c>
      <c r="BR158" s="100"/>
    </row>
    <row r="159" spans="1:70" ht="16" hidden="1" x14ac:dyDescent="0.2">
      <c r="A159">
        <v>1</v>
      </c>
      <c r="B159" t="str">
        <f>Tabla1[[#This Row],[Oficina]]&amp;Tabla1[[#This Row],[Material]]</f>
        <v>Exportacion Directa1020678</v>
      </c>
      <c r="C159" t="s">
        <v>6</v>
      </c>
      <c r="D159" t="s">
        <v>88</v>
      </c>
      <c r="E159">
        <v>1020678</v>
      </c>
      <c r="F159" t="s">
        <v>291</v>
      </c>
      <c r="G159" t="s">
        <v>50</v>
      </c>
      <c r="H159" t="s">
        <v>51</v>
      </c>
      <c r="I159" s="7">
        <f>IFERROR(VLOOKUP(Tabla1[[#This Row],[Llave]],'[7]RV Producción'!$C:$G,5,FALSE),0)</f>
        <v>0</v>
      </c>
      <c r="J159" s="3">
        <f>IFERROR(IF(Tabla1[[#This Row],[Oficina]]=$I$7,VLOOKUP(Tabla1[[#This Row],[Llave]],'[7]Shangai (Tomas)'!$A:$F,6,FALSE),VLOOKUP(Tabla1[[#This Row],[Llave]],'[7]RV plan de ventas'!$A:$E,5,FALSE)),0)</f>
        <v>0</v>
      </c>
      <c r="K159" s="8">
        <f>IFERROR(VLOOKUP(Tabla1[[#This Row],[Oficina]],[15]Ponderación!$B$2:$E$9,4,FALSE),0)</f>
        <v>0.87158319035419651</v>
      </c>
      <c r="L159" s="7">
        <f>+Tabla1[[#This Row],[ RV Producción mes n+1]]*Tabla1[[#This Row],[% Uti. producción]]</f>
        <v>0</v>
      </c>
      <c r="M159" s="7">
        <f>IFERROR(VLOOKUP(Tabla1[[#This Row],[Material]],'[17]TD Stock'!$E:$I,5,FALSE),0)</f>
        <v>0</v>
      </c>
      <c r="N159" s="7">
        <f>IFERROR(VLOOKUP(Tabla1[[#This Row],[Material]],[16]Produccion!$M:$N,2,FALSE),0)</f>
        <v>0</v>
      </c>
      <c r="O159" s="7">
        <f>IFERROR(VLOOKUP(Tabla1[[#This Row],[Llave]],'[16]TD Conf-AP'!$I:$M,4,FALSE),0)</f>
        <v>0</v>
      </c>
      <c r="P159" s="14">
        <f>SUM(Tabla1[[#This Row],[Producción disponible]],Tabla1[[#This Row],[Stock al día]],(Tabla1[[#This Row],[Por producir mes N]]*0.9))-Tabla1[[#This Row],[Producción por despachar mes N]]</f>
        <v>0</v>
      </c>
      <c r="Q159" s="7">
        <f>IFERROR(VLOOKUP(Tabla1[[#This Row],[Llave]],[17]DELAY!$A:$D,4,FALSE),0)</f>
        <v>500</v>
      </c>
      <c r="R159" s="9">
        <v>500</v>
      </c>
      <c r="S159" s="5">
        <f t="shared" si="31"/>
        <v>0</v>
      </c>
      <c r="T159" s="76">
        <v>0</v>
      </c>
      <c r="U159" s="5">
        <f>+Tabla1[[#This Row],[Atraso a facturar]]+Tabla1[[#This Row],[Ajuste atraso]]</f>
        <v>0</v>
      </c>
      <c r="V159" s="3">
        <f>+Tabla1[[#This Row],[Total disponible]]-Tabla1[[#This Row],[Facturación atraso]]</f>
        <v>0</v>
      </c>
      <c r="W159" s="6">
        <f>IFERROR(IF(AND(V159&gt;R159,J159&gt;=R159),ROUNDDOWN((Tabla1[[#This Row],[Producción para venta nueva]])/R159,0)*R159,0),0)</f>
        <v>0</v>
      </c>
      <c r="X159" s="76">
        <v>0</v>
      </c>
      <c r="Y159" s="6">
        <f>IF(Tabla1[[#This Row],[Venta del mes]]&gt;0,Tabla1[[#This Row],[Venta del mes]]+Tabla1[[#This Row],[Ajuste venta nueva]],0)</f>
        <v>0</v>
      </c>
      <c r="Z159" s="6">
        <f>+Tabla1[[#This Row],[Producción para venta nueva]]-Tabla1[[#This Row],[Facturación Venta nueva]]</f>
        <v>0</v>
      </c>
      <c r="AA159" s="6">
        <f>IF(AND(A159=1,Tabla1[[#This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59" s="6"/>
      <c r="AC159" s="6">
        <f>IF(Tabla1[[#This Row],[Disponible stock sin venta]]&gt;0,Tabla1[[#This Row],[Disponible stock sin venta]]+Tabla1[[#This Row],[Ajuste stock sin venta]],0)</f>
        <v>0</v>
      </c>
      <c r="AD159" s="3">
        <f>IFERROR(VLOOKUP(Tabla1[[#This Row],[Llave]],'[16]TD Puerto'!$A:$D,4,FALSE),0)</f>
        <v>0</v>
      </c>
      <c r="AE159" s="3">
        <v>0</v>
      </c>
      <c r="AF159" s="3">
        <f>+Tabla1[[#This Row],[Atraso a facturar]]+Tabla1[[#This Row],[Venta del mes]]+Tabla1[[#This Row],[En puerto a facturar]]+Tabla1[[#This Row],[Disponible stock sin venta]]</f>
        <v>0</v>
      </c>
      <c r="AG159" s="3">
        <f>+Tabla1[[#This Row],[En puerto a facturar]]</f>
        <v>0</v>
      </c>
      <c r="AH159" s="3">
        <f>+Tabla1[[#This Row],[Facturación atraso]]</f>
        <v>0</v>
      </c>
      <c r="AI159" s="3">
        <f>+Tabla1[[#This Row],[Plan Irrestricto]]-Tabla1[[#This Row],[Puerto ]]-Tabla1[[#This Row],[Atraso]]</f>
        <v>0</v>
      </c>
      <c r="AJ15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59" s="3">
        <f>+Tabla1[[#This Row],[Facturación atraso]]</f>
        <v>0</v>
      </c>
      <c r="AL159" s="3">
        <f>+Tabla1[[#This Row],[Plan Ajustado]]-Tabla1[[#This Row],[ Atraso ajustado]]-Tabla1[[#This Row],[Puerto ]]</f>
        <v>0</v>
      </c>
      <c r="AM159" s="3">
        <v>0</v>
      </c>
      <c r="AN159" s="3" t="str">
        <f>IF(Tabla1[[#This Row],[Plan Ajustado]]&gt;Tabla1[[#This Row],[En puerto a facturar]],"Si","No")</f>
        <v>No</v>
      </c>
      <c r="AO15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59" s="3">
        <f>IF(Tabla1[[#This Row],[Necesidad]]&gt;=Tabla1[[#This Row],[Stock al día]],Tabla1[[#This Row],[Stock al día]],Tabla1[[#This Row],[Necesidad]])</f>
        <v>0</v>
      </c>
      <c r="AQ159" s="3">
        <f>+Tabla1[[#This Row],[Necesidad]]-Tabla1[[#This Row],[Stock Plan]]</f>
        <v>0</v>
      </c>
      <c r="AR159" s="156">
        <f>IFERROR(VLOOKUP(Tabla1[[#This Row],[Oficina]],[22]Ponderación!$B$3:$G$9,6,FALSE),"")</f>
        <v>44765</v>
      </c>
      <c r="AS15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4.5102402320556001</v>
      </c>
      <c r="AT159" s="83">
        <f>IFERROR(VLOOKUP(Tabla1[[#This Row],[Llave]],[17]DELAY!$H:$W,16,FALSE),0)</f>
        <v>4.7351428000000002</v>
      </c>
      <c r="AU15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59" s="5">
        <f>+Tabla1[[#This Row],[Plan Ajustado]]*Tabla1[[#This Row],[Precio ponderado]]</f>
        <v>0</v>
      </c>
      <c r="AW159" s="30">
        <f>IFERROR(VLOOKUP(Tabla1[[#This Row],[Llave]],'[13]Ultimos precios facturados'!$A:$G,7,FALSE),0)</f>
        <v>4.5102402320556001</v>
      </c>
      <c r="AX15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59" s="30"/>
      <c r="AZ159" s="30">
        <f>IF(Tabla1[[#This Row],[Ajuste precio IC]]="",Tabla1[[#This Row],[Precio ponderado]],Tabla1[[#This Row],[Precio ponderado]])</f>
        <v>0</v>
      </c>
      <c r="BA159" s="82"/>
      <c r="BB159" s="82" t="str">
        <f>IF(AND(Tabla1[[#This Row],[Atraso a facturar]]&gt;0,Tabla1[[#This Row],[Precio Atraso]]=0),"Revisar","OK")</f>
        <v>OK</v>
      </c>
      <c r="BC159" s="82" t="str">
        <f>IF(AND(Tabla1[[#This Row],[Venta del mes]]&gt;0,Tabla1[[#This Row],[Precio venta nueva]]=0),"Revisar","OK")</f>
        <v>OK</v>
      </c>
      <c r="BD159" s="20">
        <f>IFERROR(VLOOKUP(Tabla1[[#This Row],[Llave]],'[5]Consolidación planes'!$A:$M,9,FALSE),0)</f>
        <v>0</v>
      </c>
      <c r="BE159" s="20">
        <f>IFERROR(VLOOKUP(Tabla1[[#This Row],[Llave]],'[5]Consolidación planes'!$A:$M,10,FALSE),0)</f>
        <v>500</v>
      </c>
      <c r="BF159" s="20">
        <f>IFERROR(VLOOKUP(Tabla1[[#This Row],[Llave]],'[5]Consolidación planes'!$A:$M,11,FALSE),0)</f>
        <v>0</v>
      </c>
      <c r="BG159" s="20">
        <f>IFERROR(VLOOKUP(Tabla1[[#This Row],[Llave]],'[5]Consolidación planes'!$A:$M,12,FALSE),0)</f>
        <v>500</v>
      </c>
      <c r="BH159" s="20">
        <f>IFERROR(VLOOKUP(Tabla1[[#This Row],[Llave]],'[5]Consolidación planes'!$A:$M,13,FALSE),0)</f>
        <v>500</v>
      </c>
      <c r="BI159" s="20">
        <f>IFERROR(VLOOKUP(Tabla1[[#This Row],[Llave]],'[13]Base ultimos planes'!$A:$M,13,FALSE),0)</f>
        <v>0</v>
      </c>
      <c r="BJ159" s="80">
        <f>IFERROR(VLOOKUP(Tabla1[[#This Row],[Llave]],'[13]Base ultimos planes'!$O:$AA,8,FALSE),0)</f>
        <v>0</v>
      </c>
      <c r="BK159" s="20">
        <f>IFERROR(VLOOKUP(Tabla1[[#This Row],[Llave]],'[13]Base ultimos planes'!$O:$AA,9,FALSE),0)</f>
        <v>2794</v>
      </c>
      <c r="BL159" s="20">
        <f>IFERROR(VLOOKUP(Tabla1[[#This Row],[Llave]],'[13]Base ultimos planes'!$O:$AA,10,FALSE),0)</f>
        <v>0</v>
      </c>
      <c r="BM159" s="20">
        <f>IFERROR(VLOOKUP(Tabla1[[#This Row],[Llave]],'[13]Base ultimos planes'!$O:$AA,11,FALSE),0)</f>
        <v>1255</v>
      </c>
      <c r="BN159" s="20">
        <f>IFERROR(VLOOKUP(Tabla1[[#This Row],[Llave]],'[13]Base ultimos planes'!$O:$AA,12,FALSE),0)</f>
        <v>2382</v>
      </c>
      <c r="BO159" s="20">
        <f>IFERROR(VLOOKUP(Tabla1[[#This Row],[Llave]],'[13]Base ultimos planes'!$O:$AA,13,FALSE),0)</f>
        <v>0</v>
      </c>
      <c r="BP159" s="20"/>
      <c r="BQ159" s="20">
        <f>+Tabla1[[#This Row],[ RV  Venta mes n+1]]*(1-Tabla1[[#This Row],[% Uti. producción]])</f>
        <v>0</v>
      </c>
      <c r="BR159" s="100"/>
    </row>
    <row r="160" spans="1:70" ht="16" x14ac:dyDescent="0.2">
      <c r="A160">
        <v>1</v>
      </c>
      <c r="B160" t="str">
        <f>Tabla1[[#This Row],[Oficina]]&amp;Tabla1[[#This Row],[Material]]</f>
        <v>Exportacion Directa1020681</v>
      </c>
      <c r="C160" t="s">
        <v>6</v>
      </c>
      <c r="D160" t="s">
        <v>88</v>
      </c>
      <c r="E160">
        <v>1020681</v>
      </c>
      <c r="F160" t="s">
        <v>106</v>
      </c>
      <c r="G160" t="s">
        <v>50</v>
      </c>
      <c r="H160" t="s">
        <v>103</v>
      </c>
      <c r="I160" s="7">
        <f>IFERROR(VLOOKUP(Tabla1[[#This Row],[Llave]],'[7]RV Producción'!$C:$G,5,FALSE),0)</f>
        <v>7332</v>
      </c>
      <c r="J160" s="3">
        <f>IFERROR(IF(Tabla1[[#This Row],[Oficina]]=$I$7,VLOOKUP(Tabla1[[#This Row],[Llave]],'[7]Shangai (Tomas)'!$A:$F,6,FALSE),VLOOKUP(Tabla1[[#This Row],[Llave]],'[7]RV plan de ventas'!$A:$E,5,FALSE)),0)</f>
        <v>12000</v>
      </c>
      <c r="K160" s="8">
        <f>IFERROR(VLOOKUP(Tabla1[[#This Row],[Oficina]],[15]Ponderación!$B$2:$E$9,4,FALSE),0)</f>
        <v>0.87158319035419651</v>
      </c>
      <c r="L160" s="7">
        <f>+Tabla1[[#This Row],[ RV Producción mes n+1]]*Tabla1[[#This Row],[% Uti. producción]]</f>
        <v>6390.4479516769688</v>
      </c>
      <c r="M160" s="7">
        <f>IFERROR(VLOOKUP(Tabla1[[#This Row],[Material]],'[17]TD Stock'!$E:$I,5,FALSE),0)</f>
        <v>14161.431000000004</v>
      </c>
      <c r="N160" s="7">
        <f>IFERROR(VLOOKUP(Tabla1[[#This Row],[Material]],[16]Produccion!$M:$N,2,FALSE),0)</f>
        <v>2943.4221121450109</v>
      </c>
      <c r="O160" s="7">
        <f>IFERROR(VLOOKUP(Tabla1[[#This Row],[Llave]],'[16]TD Conf-AP'!$I:$M,4,FALSE),0)</f>
        <v>6000</v>
      </c>
      <c r="P160" s="14">
        <f>SUM(Tabla1[[#This Row],[Producción disponible]],Tabla1[[#This Row],[Stock al día]],(Tabla1[[#This Row],[Por producir mes N]]*0.9))-Tabla1[[#This Row],[Producción por despachar mes N]]</f>
        <v>17200.95885260748</v>
      </c>
      <c r="Q160" s="7">
        <f>IFERROR(VLOOKUP(Tabla1[[#This Row],[Llave]],[17]DELAY!$A:$D,4,FALSE),0)</f>
        <v>14000</v>
      </c>
      <c r="R160" s="9">
        <v>6666.666666666667</v>
      </c>
      <c r="S160" s="5">
        <f t="shared" si="31"/>
        <v>14000</v>
      </c>
      <c r="T160" s="76">
        <v>-6000</v>
      </c>
      <c r="U160" s="5">
        <f>+Tabla1[[#This Row],[Atraso a facturar]]+Tabla1[[#This Row],[Ajuste atraso]]</f>
        <v>8000</v>
      </c>
      <c r="V160" s="3">
        <f>+Tabla1[[#This Row],[Total disponible]]-Tabla1[[#This Row],[Facturación atraso]]</f>
        <v>9200.9588526074804</v>
      </c>
      <c r="W160" s="6">
        <f>IFERROR(IF(AND(V160&gt;R160,J160&gt;=R160),ROUNDDOWN((Tabla1[[#This Row],[Producción para venta nueva]])/R160,0)*R160,0),0)</f>
        <v>6666.666666666667</v>
      </c>
      <c r="X160" s="76">
        <v>-3000</v>
      </c>
      <c r="Y160" s="6">
        <f>IF(Tabla1[[#This Row],[Venta del mes]]&gt;0,Tabla1[[#This Row],[Venta del mes]]+Tabla1[[#This Row],[Ajuste venta nueva]],0)</f>
        <v>3666.666666666667</v>
      </c>
      <c r="Z160" s="6">
        <f>+Tabla1[[#This Row],[Producción para venta nueva]]-Tabla1[[#This Row],[Facturación Venta nueva]]</f>
        <v>5534.2921859408134</v>
      </c>
      <c r="AA160" s="6">
        <f>IF(AND(A160=1,Tabla1[[#This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0" s="6"/>
      <c r="AC160" s="6">
        <f>IF(Tabla1[[#This Row],[Disponible stock sin venta]]&gt;0,Tabla1[[#This Row],[Disponible stock sin venta]]+Tabla1[[#This Row],[Ajuste stock sin venta]],0)</f>
        <v>0</v>
      </c>
      <c r="AD160" s="3">
        <f>IFERROR(VLOOKUP(Tabla1[[#This Row],[Llave]],'[16]TD Puerto'!$A:$D,4,FALSE),0)</f>
        <v>0</v>
      </c>
      <c r="AE160" s="3">
        <v>14000</v>
      </c>
      <c r="AF160" s="3">
        <f>+Tabla1[[#This Row],[Atraso a facturar]]+Tabla1[[#This Row],[Venta del mes]]+Tabla1[[#This Row],[En puerto a facturar]]+Tabla1[[#This Row],[Disponible stock sin venta]]</f>
        <v>20666.666666666668</v>
      </c>
      <c r="AG160" s="3">
        <f>+Tabla1[[#This Row],[En puerto a facturar]]</f>
        <v>0</v>
      </c>
      <c r="AH160" s="3">
        <f>+Tabla1[[#This Row],[Facturación atraso]]</f>
        <v>8000</v>
      </c>
      <c r="AI160" s="3">
        <f>+Tabla1[[#This Row],[Plan Irrestricto]]-Tabla1[[#This Row],[Puerto ]]-Tabla1[[#This Row],[Atraso]]</f>
        <v>12666.666666666668</v>
      </c>
      <c r="AJ160" s="3">
        <f>IF(Tabla1[[#This Row],[Plan Irrestricto]]&gt;0,SUM(Tabla1[[#This Row],[Facturación atraso]],Tabla1[[#This Row],[Facturación Venta nueva]],Tabla1[[#This Row],[Facturación stock]],Tabla1[[#This Row],[En puerto a facturar]]),0)</f>
        <v>11666.666666666668</v>
      </c>
      <c r="AK160" s="3">
        <f>+Tabla1[[#This Row],[Facturación atraso]]</f>
        <v>8000</v>
      </c>
      <c r="AL160" s="3">
        <f>+Tabla1[[#This Row],[Plan Ajustado]]-Tabla1[[#This Row],[ Atraso ajustado]]-Tabla1[[#This Row],[Puerto ]]</f>
        <v>3666.6666666666679</v>
      </c>
      <c r="AM160" s="3" t="s">
        <v>789</v>
      </c>
      <c r="AN160" s="3" t="str">
        <f>IF(Tabla1[[#This Row],[Plan Ajustado]]&gt;Tabla1[[#This Row],[En puerto a facturar]],"Si","No")</f>
        <v>Si</v>
      </c>
      <c r="AO160" s="3">
        <f>IF(AND(Tabla1[[#This Row],[Plan Ajustado]]&gt;0,Tabla1[[#This Row],[Plan Ajustado]]&gt;Tabla1[[#This Row],[En puerto a facturar]]),(Tabla1[[#This Row],[Plan Ajustado]]-Tabla1[[#This Row],[En puerto a facturar]]),0)</f>
        <v>11666.666666666668</v>
      </c>
      <c r="AP160" s="3">
        <f>IF(Tabla1[[#This Row],[Necesidad]]&gt;=Tabla1[[#This Row],[Stock al día]],Tabla1[[#This Row],[Stock al día]],Tabla1[[#This Row],[Necesidad]])</f>
        <v>11666.666666666668</v>
      </c>
      <c r="AQ160" s="3">
        <f>+Tabla1[[#This Row],[Necesidad]]-Tabla1[[#This Row],[Stock Plan]]</f>
        <v>0</v>
      </c>
      <c r="AR160" s="156">
        <f>IFERROR(VLOOKUP(Tabla1[[#This Row],[Oficina]],[22]Ponderación!$B$3:$G$9,6,FALSE),"")</f>
        <v>44765</v>
      </c>
      <c r="AS16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3.78</v>
      </c>
      <c r="AT160" s="83">
        <f>IFERROR(VLOOKUP(Tabla1[[#This Row],[Llave]],[17]DELAY!$H:$W,16,FALSE),0)</f>
        <v>3.9155074657142852</v>
      </c>
      <c r="AU16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3.8729194050612237</v>
      </c>
      <c r="AV160" s="5">
        <f>+Tabla1[[#This Row],[Plan Ajustado]]*Tabla1[[#This Row],[Precio ponderado]]</f>
        <v>45184.05972571428</v>
      </c>
      <c r="AW160" s="30">
        <f>IFERROR(VLOOKUP(Tabla1[[#This Row],[Llave]],'[13]Ultimos precios facturados'!$A:$G,7,FALSE),0)</f>
        <v>3.8465315744997439</v>
      </c>
      <c r="AX16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6.8601622137760797E-3</v>
      </c>
      <c r="AY160" s="30"/>
      <c r="AZ160" s="30">
        <f>IF(Tabla1[[#This Row],[Ajuste precio IC]]="",Tabla1[[#This Row],[Precio ponderado]],Tabla1[[#This Row],[Precio ponderado]])</f>
        <v>3.8729194050612237</v>
      </c>
      <c r="BA160" s="82"/>
      <c r="BB160" s="82" t="str">
        <f>IF(AND(Tabla1[[#This Row],[Atraso a facturar]]&gt;0,Tabla1[[#This Row],[Precio Atraso]]=0),"Revisar","OK")</f>
        <v>OK</v>
      </c>
      <c r="BC160" s="82" t="str">
        <f>IF(AND(Tabla1[[#This Row],[Venta del mes]]&gt;0,Tabla1[[#This Row],[Precio venta nueva]]=0),"Revisar","OK")</f>
        <v>OK</v>
      </c>
      <c r="BD160" s="20">
        <f>IFERROR(VLOOKUP(Tabla1[[#This Row],[Llave]],'[5]Consolidación planes'!$A:$M,9,FALSE),0)</f>
        <v>14250</v>
      </c>
      <c r="BE160" s="20">
        <f>IFERROR(VLOOKUP(Tabla1[[#This Row],[Llave]],'[5]Consolidación planes'!$A:$M,10,FALSE),0)</f>
        <v>11250</v>
      </c>
      <c r="BF160" s="20">
        <f>IFERROR(VLOOKUP(Tabla1[[#This Row],[Llave]],'[5]Consolidación planes'!$A:$M,11,FALSE),0)</f>
        <v>15000</v>
      </c>
      <c r="BG160" s="20">
        <f>IFERROR(VLOOKUP(Tabla1[[#This Row],[Llave]],'[5]Consolidación planes'!$A:$M,12,FALSE),0)</f>
        <v>22000</v>
      </c>
      <c r="BH160" s="20">
        <f>IFERROR(VLOOKUP(Tabla1[[#This Row],[Llave]],'[5]Consolidación planes'!$A:$M,13,FALSE),0)</f>
        <v>20545</v>
      </c>
      <c r="BI160" s="20">
        <f>IFERROR(VLOOKUP(Tabla1[[#This Row],[Llave]],'[13]Base ultimos planes'!$A:$M,13,FALSE),0)</f>
        <v>15000</v>
      </c>
      <c r="BJ160" s="80">
        <f>IFERROR(VLOOKUP(Tabla1[[#This Row],[Llave]],'[13]Base ultimos planes'!$O:$AA,8,FALSE),0)</f>
        <v>62607.7163</v>
      </c>
      <c r="BK160" s="20">
        <f>IFERROR(VLOOKUP(Tabla1[[#This Row],[Llave]],'[13]Base ultimos planes'!$O:$AA,9,FALSE),0)</f>
        <v>48073</v>
      </c>
      <c r="BL160" s="20">
        <f>IFERROR(VLOOKUP(Tabla1[[#This Row],[Llave]],'[13]Base ultimos planes'!$O:$AA,10,FALSE),0)</f>
        <v>63995</v>
      </c>
      <c r="BM160" s="20">
        <f>IFERROR(VLOOKUP(Tabla1[[#This Row],[Llave]],'[13]Base ultimos planes'!$O:$AA,11,FALSE),0)</f>
        <v>91022</v>
      </c>
      <c r="BN160" s="20">
        <f>IFERROR(VLOOKUP(Tabla1[[#This Row],[Llave]],'[13]Base ultimos planes'!$O:$AA,12,FALSE),0)</f>
        <v>82702</v>
      </c>
      <c r="BO160" s="20">
        <f>IFERROR(VLOOKUP(Tabla1[[#This Row],[Llave]],'[13]Base ultimos planes'!$O:$AA,13,FALSE),0)</f>
        <v>56473</v>
      </c>
      <c r="BP160" s="20"/>
      <c r="BQ160" s="20">
        <f>+Tabla1[[#This Row],[ RV  Venta mes n+1]]*(1-Tabla1[[#This Row],[% Uti. producción]])</f>
        <v>1541.0017157496418</v>
      </c>
      <c r="BR160" s="100"/>
    </row>
    <row r="161" spans="1:70" ht="16" x14ac:dyDescent="0.2">
      <c r="A161">
        <v>1</v>
      </c>
      <c r="B161" t="str">
        <f>Tabla1[[#This Row],[Oficina]]&amp;Tabla1[[#This Row],[Material]]</f>
        <v>Exportacion Directa1020704</v>
      </c>
      <c r="C161" t="s">
        <v>6</v>
      </c>
      <c r="D161" t="s">
        <v>88</v>
      </c>
      <c r="E161">
        <v>1020704</v>
      </c>
      <c r="F161" t="s">
        <v>290</v>
      </c>
      <c r="G161" t="s">
        <v>37</v>
      </c>
      <c r="H161" t="s">
        <v>38</v>
      </c>
      <c r="I161" s="7">
        <f>IFERROR(VLOOKUP(Tabla1[[#This Row],[Llave]],'[7]RV Producción'!$C:$G,5,FALSE),0)</f>
        <v>440</v>
      </c>
      <c r="J161" s="3">
        <f>IFERROR(IF(Tabla1[[#This Row],[Oficina]]=$I$7,VLOOKUP(Tabla1[[#This Row],[Llave]],'[7]Shangai (Tomas)'!$A:$F,6,FALSE),VLOOKUP(Tabla1[[#This Row],[Llave]],'[7]RV plan de ventas'!$A:$E,5,FALSE)),0)</f>
        <v>1000</v>
      </c>
      <c r="K161" s="8">
        <f>IFERROR(VLOOKUP(Tabla1[[#This Row],[Oficina]],[15]Ponderación!$B$2:$E$9,4,FALSE),0)</f>
        <v>0.87158319035419651</v>
      </c>
      <c r="L161" s="7">
        <f>+Tabla1[[#This Row],[ RV Producción mes n+1]]*Tabla1[[#This Row],[% Uti. producción]]</f>
        <v>383.49660375584648</v>
      </c>
      <c r="M161" s="7">
        <f>IFERROR(VLOOKUP(Tabla1[[#This Row],[Material]],'[17]TD Stock'!$E:$I,5,FALSE),0)</f>
        <v>1200</v>
      </c>
      <c r="N161" s="7">
        <f>IFERROR(VLOOKUP(Tabla1[[#This Row],[Material]],[16]Produccion!$M:$N,2,FALSE),0)</f>
        <v>0</v>
      </c>
      <c r="O161" s="7">
        <f>IFERROR(VLOOKUP(Tabla1[[#This Row],[Llave]],'[16]TD Conf-AP'!$I:$M,4,FALSE),0)</f>
        <v>0</v>
      </c>
      <c r="P161" s="14">
        <f>SUM(Tabla1[[#This Row],[Producción disponible]],Tabla1[[#This Row],[Stock al día]],(Tabla1[[#This Row],[Por producir mes N]]*0.9))-Tabla1[[#This Row],[Producción por despachar mes N]]</f>
        <v>1583.4966037558465</v>
      </c>
      <c r="Q161" s="7">
        <f>IFERROR(VLOOKUP(Tabla1[[#This Row],[Llave]],[17]DELAY!$A:$D,4,FALSE),0)</f>
        <v>1000</v>
      </c>
      <c r="R161" s="9">
        <v>500</v>
      </c>
      <c r="S161" s="5">
        <f t="shared" si="31"/>
        <v>1000</v>
      </c>
      <c r="T161" s="76">
        <v>0</v>
      </c>
      <c r="U161" s="5">
        <f>+Tabla1[[#This Row],[Atraso a facturar]]+Tabla1[[#This Row],[Ajuste atraso]]</f>
        <v>1000</v>
      </c>
      <c r="V161" s="3">
        <f>+Tabla1[[#This Row],[Total disponible]]-Tabla1[[#This Row],[Facturación atraso]]</f>
        <v>583.49660375584654</v>
      </c>
      <c r="W161" s="6">
        <f>IFERROR(IF(AND(V161&gt;R161,J161&gt;=R161),ROUNDDOWN((Tabla1[[#This Row],[Producción para venta nueva]])/R161,0)*R161,0),0)</f>
        <v>500</v>
      </c>
      <c r="X161" s="76">
        <v>0</v>
      </c>
      <c r="Y161" s="6">
        <f>IF(Tabla1[[#This Row],[Venta del mes]]&gt;0,Tabla1[[#This Row],[Venta del mes]]+Tabla1[[#This Row],[Ajuste venta nueva]],0)</f>
        <v>500</v>
      </c>
      <c r="Z161" s="6">
        <f>+Tabla1[[#This Row],[Producción para venta nueva]]-Tabla1[[#This Row],[Facturación Venta nueva]]</f>
        <v>83.496603755846536</v>
      </c>
      <c r="AA161" s="6">
        <f>IF(AND(A161=1,Tabla1[[#This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1" s="6"/>
      <c r="AC161" s="6">
        <f>IF(Tabla1[[#This Row],[Disponible stock sin venta]]&gt;0,Tabla1[[#This Row],[Disponible stock sin venta]]+Tabla1[[#This Row],[Ajuste stock sin venta]],0)</f>
        <v>0</v>
      </c>
      <c r="AD161" s="3">
        <f>IFERROR(VLOOKUP(Tabla1[[#This Row],[Llave]],'[16]TD Puerto'!$A:$D,4,FALSE),0)</f>
        <v>0</v>
      </c>
      <c r="AE161" s="3">
        <v>1500</v>
      </c>
      <c r="AF161" s="3">
        <f>+Tabla1[[#This Row],[Atraso a facturar]]+Tabla1[[#This Row],[Venta del mes]]+Tabla1[[#This Row],[En puerto a facturar]]+Tabla1[[#This Row],[Disponible stock sin venta]]</f>
        <v>1500</v>
      </c>
      <c r="AG161" s="3">
        <f>+Tabla1[[#This Row],[En puerto a facturar]]</f>
        <v>0</v>
      </c>
      <c r="AH161" s="3">
        <f>+Tabla1[[#This Row],[Facturación atraso]]</f>
        <v>1000</v>
      </c>
      <c r="AI161" s="3">
        <f>+Tabla1[[#This Row],[Plan Irrestricto]]-Tabla1[[#This Row],[Puerto ]]-Tabla1[[#This Row],[Atraso]]</f>
        <v>500</v>
      </c>
      <c r="AJ161" s="3">
        <f>IF(Tabla1[[#This Row],[Plan Irrestricto]]&gt;0,SUM(Tabla1[[#This Row],[Facturación atraso]],Tabla1[[#This Row],[Facturación Venta nueva]],Tabla1[[#This Row],[Facturación stock]],Tabla1[[#This Row],[En puerto a facturar]]),0)</f>
        <v>1500</v>
      </c>
      <c r="AK161" s="3">
        <f>+Tabla1[[#This Row],[Facturación atraso]]</f>
        <v>1000</v>
      </c>
      <c r="AL161" s="3">
        <f>+Tabla1[[#This Row],[Plan Ajustado]]-Tabla1[[#This Row],[ Atraso ajustado]]-Tabla1[[#This Row],[Puerto ]]</f>
        <v>500</v>
      </c>
      <c r="AM161" s="3">
        <v>0</v>
      </c>
      <c r="AN161" s="3" t="str">
        <f>IF(Tabla1[[#This Row],[Plan Ajustado]]&gt;Tabla1[[#This Row],[En puerto a facturar]],"Si","No")</f>
        <v>Si</v>
      </c>
      <c r="AO161" s="3">
        <f>IF(AND(Tabla1[[#This Row],[Plan Ajustado]]&gt;0,Tabla1[[#This Row],[Plan Ajustado]]&gt;Tabla1[[#This Row],[En puerto a facturar]]),(Tabla1[[#This Row],[Plan Ajustado]]-Tabla1[[#This Row],[En puerto a facturar]]),0)</f>
        <v>1500</v>
      </c>
      <c r="AP161" s="3">
        <f>IF(Tabla1[[#This Row],[Necesidad]]&gt;=Tabla1[[#This Row],[Stock al día]],Tabla1[[#This Row],[Stock al día]],Tabla1[[#This Row],[Necesidad]])</f>
        <v>1200</v>
      </c>
      <c r="AQ161" s="3">
        <f>+Tabla1[[#This Row],[Necesidad]]-Tabla1[[#This Row],[Stock Plan]]</f>
        <v>300</v>
      </c>
      <c r="AR161" s="156">
        <f>IFERROR(VLOOKUP(Tabla1[[#This Row],[Oficina]],[22]Ponderación!$B$3:$G$9,6,FALSE),"")</f>
        <v>44765</v>
      </c>
      <c r="AS16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4.2480000000000002</v>
      </c>
      <c r="AT161" s="83">
        <f>IFERROR(VLOOKUP(Tabla1[[#This Row],[Llave]],[17]DELAY!$H:$W,16,FALSE),0)</f>
        <v>4.5916537000000002</v>
      </c>
      <c r="AU16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4.4771024666666666</v>
      </c>
      <c r="AV161" s="5">
        <f>+Tabla1[[#This Row],[Plan Ajustado]]*Tabla1[[#This Row],[Precio ponderado]]</f>
        <v>6715.6536999999998</v>
      </c>
      <c r="AW161" s="30">
        <f>IFERROR(VLOOKUP(Tabla1[[#This Row],[Llave]],'[13]Ultimos precios facturados'!$A:$G,7,FALSE),0)</f>
        <v>4.3982075249500996</v>
      </c>
      <c r="AX16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1.7937976157107793E-2</v>
      </c>
      <c r="AY161" s="30"/>
      <c r="AZ161" s="30">
        <f>IF(Tabla1[[#This Row],[Ajuste precio IC]]="",Tabla1[[#This Row],[Precio ponderado]],Tabla1[[#This Row],[Precio ponderado]])</f>
        <v>4.4771024666666666</v>
      </c>
      <c r="BA161" s="82"/>
      <c r="BB161" s="82" t="str">
        <f>IF(AND(Tabla1[[#This Row],[Atraso a facturar]]&gt;0,Tabla1[[#This Row],[Precio Atraso]]=0),"Revisar","OK")</f>
        <v>OK</v>
      </c>
      <c r="BC161" s="82" t="str">
        <f>IF(AND(Tabla1[[#This Row],[Venta del mes]]&gt;0,Tabla1[[#This Row],[Precio venta nueva]]=0),"Revisar","OK")</f>
        <v>OK</v>
      </c>
      <c r="BD161" s="20">
        <f>IFERROR(VLOOKUP(Tabla1[[#This Row],[Llave]],'[5]Consolidación planes'!$A:$M,9,FALSE),0)</f>
        <v>0</v>
      </c>
      <c r="BE161" s="20">
        <f>IFERROR(VLOOKUP(Tabla1[[#This Row],[Llave]],'[5]Consolidación planes'!$A:$M,10,FALSE),0)</f>
        <v>500</v>
      </c>
      <c r="BF161" s="20">
        <f>IFERROR(VLOOKUP(Tabla1[[#This Row],[Llave]],'[5]Consolidación planes'!$A:$M,11,FALSE),0)</f>
        <v>500</v>
      </c>
      <c r="BG161" s="20">
        <f>IFERROR(VLOOKUP(Tabla1[[#This Row],[Llave]],'[5]Consolidación planes'!$A:$M,12,FALSE),0)</f>
        <v>1500</v>
      </c>
      <c r="BH161" s="20">
        <f>IFERROR(VLOOKUP(Tabla1[[#This Row],[Llave]],'[5]Consolidación planes'!$A:$M,13,FALSE),0)</f>
        <v>1500</v>
      </c>
      <c r="BI161" s="20">
        <f>IFERROR(VLOOKUP(Tabla1[[#This Row],[Llave]],'[13]Base ultimos planes'!$A:$M,13,FALSE),0)</f>
        <v>2000</v>
      </c>
      <c r="BJ161" s="80">
        <f>IFERROR(VLOOKUP(Tabla1[[#This Row],[Llave]],'[13]Base ultimos planes'!$O:$AA,8,FALSE),0)</f>
        <v>0</v>
      </c>
      <c r="BK161" s="20">
        <f>IFERROR(VLOOKUP(Tabla1[[#This Row],[Llave]],'[13]Base ultimos planes'!$O:$AA,9,FALSE),0)</f>
        <v>2544</v>
      </c>
      <c r="BL161" s="20">
        <f>IFERROR(VLOOKUP(Tabla1[[#This Row],[Llave]],'[13]Base ultimos planes'!$O:$AA,10,FALSE),0)</f>
        <v>2594</v>
      </c>
      <c r="BM161" s="20">
        <f>IFERROR(VLOOKUP(Tabla1[[#This Row],[Llave]],'[13]Base ultimos planes'!$O:$AA,11,FALSE),0)</f>
        <v>7446</v>
      </c>
      <c r="BN161" s="20">
        <f>IFERROR(VLOOKUP(Tabla1[[#This Row],[Llave]],'[13]Base ultimos planes'!$O:$AA,12,FALSE),0)</f>
        <v>7399</v>
      </c>
      <c r="BO161" s="20">
        <f>IFERROR(VLOOKUP(Tabla1[[#This Row],[Llave]],'[13]Base ultimos planes'!$O:$AA,13,FALSE),0)</f>
        <v>8913</v>
      </c>
      <c r="BP161" s="20"/>
      <c r="BQ161" s="20">
        <f>+Tabla1[[#This Row],[ RV  Venta mes n+1]]*(1-Tabla1[[#This Row],[% Uti. producción]])</f>
        <v>128.41680964580348</v>
      </c>
      <c r="BR161" s="100"/>
    </row>
    <row r="162" spans="1:70" ht="16" x14ac:dyDescent="0.2">
      <c r="A162">
        <v>1</v>
      </c>
      <c r="B162" t="str">
        <f>Tabla1[[#This Row],[Oficina]]&amp;Tabla1[[#This Row],[Material]]</f>
        <v>Exportacion Directa1020715</v>
      </c>
      <c r="C162" t="s">
        <v>6</v>
      </c>
      <c r="D162" t="s">
        <v>88</v>
      </c>
      <c r="E162">
        <v>1020715</v>
      </c>
      <c r="F162" t="s">
        <v>119</v>
      </c>
      <c r="G162" t="s">
        <v>56</v>
      </c>
      <c r="H162" t="s">
        <v>118</v>
      </c>
      <c r="I162" s="7">
        <f>IFERROR(VLOOKUP(Tabla1[[#This Row],[Llave]],'[7]RV Producción'!$C:$G,5,FALSE),0)</f>
        <v>4157</v>
      </c>
      <c r="J162" s="3">
        <f>IFERROR(IF(Tabla1[[#This Row],[Oficina]]=$I$7,VLOOKUP(Tabla1[[#This Row],[Llave]],'[7]Shangai (Tomas)'!$A:$F,6,FALSE),VLOOKUP(Tabla1[[#This Row],[Llave]],'[7]RV plan de ventas'!$A:$E,5,FALSE)),0)</f>
        <v>2000</v>
      </c>
      <c r="K162" s="8">
        <f>IFERROR(VLOOKUP(Tabla1[[#This Row],[Oficina]],[15]Ponderación!$B$2:$E$9,4,FALSE),0)</f>
        <v>0.87158319035419651</v>
      </c>
      <c r="L162" s="7">
        <f>+Tabla1[[#This Row],[ RV Producción mes n+1]]*Tabla1[[#This Row],[% Uti. producción]]</f>
        <v>3623.1713223023949</v>
      </c>
      <c r="M162" s="7">
        <f>IFERROR(VLOOKUP(Tabla1[[#This Row],[Material]],'[17]TD Stock'!$E:$I,5,FALSE),0)</f>
        <v>2149.701</v>
      </c>
      <c r="N162" s="7">
        <f>IFERROR(VLOOKUP(Tabla1[[#This Row],[Material]],[16]Produccion!$M:$N,2,FALSE),0)</f>
        <v>266.05994556795434</v>
      </c>
      <c r="O162" s="7">
        <f>IFERROR(VLOOKUP(Tabla1[[#This Row],[Llave]],'[16]TD Conf-AP'!$I:$M,4,FALSE),0)</f>
        <v>0</v>
      </c>
      <c r="P162" s="14">
        <f>SUM(Tabla1[[#This Row],[Producción disponible]],Tabla1[[#This Row],[Stock al día]],(Tabla1[[#This Row],[Por producir mes N]]*0.9))-Tabla1[[#This Row],[Producción por despachar mes N]]</f>
        <v>6012.3262733135543</v>
      </c>
      <c r="Q162" s="7">
        <f>IFERROR(VLOOKUP(Tabla1[[#This Row],[Llave]],[17]DELAY!$A:$D,4,FALSE),0)</f>
        <v>4000</v>
      </c>
      <c r="R162" s="9">
        <v>2000</v>
      </c>
      <c r="S162" s="5">
        <f t="shared" si="31"/>
        <v>4000</v>
      </c>
      <c r="T162" s="76">
        <v>-2000</v>
      </c>
      <c r="U162" s="5">
        <f>+Tabla1[[#This Row],[Atraso a facturar]]+Tabla1[[#This Row],[Ajuste atraso]]</f>
        <v>2000</v>
      </c>
      <c r="V162" s="3">
        <f>+Tabla1[[#This Row],[Total disponible]]-Tabla1[[#This Row],[Facturación atraso]]</f>
        <v>4012.3262733135543</v>
      </c>
      <c r="W162" s="6">
        <f>IFERROR(IF(AND(V162&gt;R162,J162&gt;=R162),ROUNDDOWN((Tabla1[[#This Row],[Producción para venta nueva]])/R162,0)*R162,0),0)</f>
        <v>4000</v>
      </c>
      <c r="X162" s="76">
        <v>-2000</v>
      </c>
      <c r="Y162" s="6">
        <f>IF(Tabla1[[#This Row],[Venta del mes]]&gt;0,Tabla1[[#This Row],[Venta del mes]]+Tabla1[[#This Row],[Ajuste venta nueva]],0)</f>
        <v>2000</v>
      </c>
      <c r="Z162" s="6">
        <f>+Tabla1[[#This Row],[Producción para venta nueva]]-Tabla1[[#This Row],[Facturación Venta nueva]]</f>
        <v>2012.3262733135543</v>
      </c>
      <c r="AA162" s="6">
        <f>IF(AND(A162=1,Tabla1[[#This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2" s="6"/>
      <c r="AC162" s="6">
        <f>IF(Tabla1[[#This Row],[Disponible stock sin venta]]&gt;0,Tabla1[[#This Row],[Disponible stock sin venta]]+Tabla1[[#This Row],[Ajuste stock sin venta]],0)</f>
        <v>0</v>
      </c>
      <c r="AD162" s="3">
        <f>IFERROR(VLOOKUP(Tabla1[[#This Row],[Llave]],'[16]TD Puerto'!$A:$D,4,FALSE),0)</f>
        <v>0</v>
      </c>
      <c r="AE162" s="3">
        <v>6000</v>
      </c>
      <c r="AF162" s="3">
        <f>+Tabla1[[#This Row],[Atraso a facturar]]+Tabla1[[#This Row],[Venta del mes]]+Tabla1[[#This Row],[En puerto a facturar]]+Tabla1[[#This Row],[Disponible stock sin venta]]</f>
        <v>8000</v>
      </c>
      <c r="AG162" s="3">
        <f>+Tabla1[[#This Row],[En puerto a facturar]]</f>
        <v>0</v>
      </c>
      <c r="AH162" s="3">
        <f>+Tabla1[[#This Row],[Facturación atraso]]</f>
        <v>2000</v>
      </c>
      <c r="AI162" s="3">
        <f>+Tabla1[[#This Row],[Plan Irrestricto]]-Tabla1[[#This Row],[Puerto ]]-Tabla1[[#This Row],[Atraso]]</f>
        <v>6000</v>
      </c>
      <c r="AJ162" s="3">
        <f>IF(Tabla1[[#This Row],[Plan Irrestricto]]&gt;0,SUM(Tabla1[[#This Row],[Facturación atraso]],Tabla1[[#This Row],[Facturación Venta nueva]],Tabla1[[#This Row],[Facturación stock]],Tabla1[[#This Row],[En puerto a facturar]]),0)</f>
        <v>4000</v>
      </c>
      <c r="AK162" s="3">
        <f>+Tabla1[[#This Row],[Facturación atraso]]</f>
        <v>2000</v>
      </c>
      <c r="AL162" s="3">
        <f>+Tabla1[[#This Row],[Plan Ajustado]]-Tabla1[[#This Row],[ Atraso ajustado]]-Tabla1[[#This Row],[Puerto ]]</f>
        <v>2000</v>
      </c>
      <c r="AM162" s="3" t="s">
        <v>789</v>
      </c>
      <c r="AN162" s="3" t="str">
        <f>IF(Tabla1[[#This Row],[Plan Ajustado]]&gt;Tabla1[[#This Row],[En puerto a facturar]],"Si","No")</f>
        <v>Si</v>
      </c>
      <c r="AO162" s="3">
        <f>IF(AND(Tabla1[[#This Row],[Plan Ajustado]]&gt;0,Tabla1[[#This Row],[Plan Ajustado]]&gt;Tabla1[[#This Row],[En puerto a facturar]]),(Tabla1[[#This Row],[Plan Ajustado]]-Tabla1[[#This Row],[En puerto a facturar]]),0)</f>
        <v>4000</v>
      </c>
      <c r="AP162" s="3">
        <f>IF(Tabla1[[#This Row],[Necesidad]]&gt;=Tabla1[[#This Row],[Stock al día]],Tabla1[[#This Row],[Stock al día]],Tabla1[[#This Row],[Necesidad]])</f>
        <v>2149.701</v>
      </c>
      <c r="AQ162" s="3">
        <f>+Tabla1[[#This Row],[Necesidad]]-Tabla1[[#This Row],[Stock Plan]]</f>
        <v>1850.299</v>
      </c>
      <c r="AR162" s="156">
        <f>IFERROR(VLOOKUP(Tabla1[[#This Row],[Oficina]],[22]Ponderación!$B$3:$G$9,6,FALSE),"")</f>
        <v>44765</v>
      </c>
      <c r="AS16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4.6440000000000001</v>
      </c>
      <c r="AT162" s="83">
        <f>IFERROR(VLOOKUP(Tabla1[[#This Row],[Llave]],[17]DELAY!$H:$W,16,FALSE),0)</f>
        <v>4.5740240500000002</v>
      </c>
      <c r="AU16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4.6090120250000002</v>
      </c>
      <c r="AV162" s="5">
        <f>+Tabla1[[#This Row],[Plan Ajustado]]*Tabla1[[#This Row],[Precio ponderado]]</f>
        <v>18436.0481</v>
      </c>
      <c r="AW162" s="30">
        <f>IFERROR(VLOOKUP(Tabla1[[#This Row],[Llave]],'[13]Ultimos precios facturados'!$A:$G,7,FALSE),0)</f>
        <v>4.263710328272837</v>
      </c>
      <c r="AX16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8.0986199845109907E-2</v>
      </c>
      <c r="AY162" s="30"/>
      <c r="AZ162" s="30">
        <f>IF(Tabla1[[#This Row],[Ajuste precio IC]]="",Tabla1[[#This Row],[Precio ponderado]],Tabla1[[#This Row],[Precio ponderado]])</f>
        <v>4.6090120250000002</v>
      </c>
      <c r="BA162" s="82"/>
      <c r="BB162" s="82" t="str">
        <f>IF(AND(Tabla1[[#This Row],[Atraso a facturar]]&gt;0,Tabla1[[#This Row],[Precio Atraso]]=0),"Revisar","OK")</f>
        <v>OK</v>
      </c>
      <c r="BC162" s="82" t="str">
        <f>IF(AND(Tabla1[[#This Row],[Venta del mes]]&gt;0,Tabla1[[#This Row],[Precio venta nueva]]=0),"Revisar","OK")</f>
        <v>OK</v>
      </c>
      <c r="BD162" s="20">
        <f>IFERROR(VLOOKUP(Tabla1[[#This Row],[Llave]],'[5]Consolidación planes'!$A:$M,9,FALSE),0)</f>
        <v>3000</v>
      </c>
      <c r="BE162" s="20">
        <f>IFERROR(VLOOKUP(Tabla1[[#This Row],[Llave]],'[5]Consolidación planes'!$A:$M,10,FALSE),0)</f>
        <v>2000</v>
      </c>
      <c r="BF162" s="20">
        <f>IFERROR(VLOOKUP(Tabla1[[#This Row],[Llave]],'[5]Consolidación planes'!$A:$M,11,FALSE),0)</f>
        <v>2000</v>
      </c>
      <c r="BG162" s="20">
        <f>IFERROR(VLOOKUP(Tabla1[[#This Row],[Llave]],'[5]Consolidación planes'!$A:$M,12,FALSE),0)</f>
        <v>4000</v>
      </c>
      <c r="BH162" s="20">
        <f>IFERROR(VLOOKUP(Tabla1[[#This Row],[Llave]],'[5]Consolidación planes'!$A:$M,13,FALSE),0)</f>
        <v>6000</v>
      </c>
      <c r="BI162" s="20">
        <f>IFERROR(VLOOKUP(Tabla1[[#This Row],[Llave]],'[13]Base ultimos planes'!$A:$M,13,FALSE),0)</f>
        <v>2000</v>
      </c>
      <c r="BJ162" s="80">
        <f>IFERROR(VLOOKUP(Tabla1[[#This Row],[Llave]],'[13]Base ultimos planes'!$O:$AA,8,FALSE),0)</f>
        <v>14885.3922</v>
      </c>
      <c r="BK162" s="20">
        <f>IFERROR(VLOOKUP(Tabla1[[#This Row],[Llave]],'[13]Base ultimos planes'!$O:$AA,9,FALSE),0)</f>
        <v>9329</v>
      </c>
      <c r="BL162" s="20">
        <f>IFERROR(VLOOKUP(Tabla1[[#This Row],[Llave]],'[13]Base ultimos planes'!$O:$AA,10,FALSE),0)</f>
        <v>9271</v>
      </c>
      <c r="BM162" s="20">
        <f>IFERROR(VLOOKUP(Tabla1[[#This Row],[Llave]],'[13]Base ultimos planes'!$O:$AA,11,FALSE),0)</f>
        <v>18229</v>
      </c>
      <c r="BN162" s="20">
        <f>IFERROR(VLOOKUP(Tabla1[[#This Row],[Llave]],'[13]Base ultimos planes'!$O:$AA,12,FALSE),0)</f>
        <v>26806</v>
      </c>
      <c r="BO162" s="20">
        <f>IFERROR(VLOOKUP(Tabla1[[#This Row],[Llave]],'[13]Base ultimos planes'!$O:$AA,13,FALSE),0)</f>
        <v>8421</v>
      </c>
      <c r="BP162" s="20"/>
      <c r="BQ162" s="20">
        <f>+Tabla1[[#This Row],[ RV  Venta mes n+1]]*(1-Tabla1[[#This Row],[% Uti. producción]])</f>
        <v>256.83361929160696</v>
      </c>
      <c r="BR162" s="100"/>
    </row>
    <row r="163" spans="1:70" ht="16" x14ac:dyDescent="0.2">
      <c r="A163">
        <v>1</v>
      </c>
      <c r="B163" t="str">
        <f>Tabla1[[#This Row],[Oficina]]&amp;Tabla1[[#This Row],[Material]]</f>
        <v>Exportacion Directa1020731</v>
      </c>
      <c r="C163" t="s">
        <v>6</v>
      </c>
      <c r="D163" t="s">
        <v>88</v>
      </c>
      <c r="E163">
        <v>1020731</v>
      </c>
      <c r="F163" t="s">
        <v>122</v>
      </c>
      <c r="G163" t="s">
        <v>56</v>
      </c>
      <c r="H163" t="s">
        <v>57</v>
      </c>
      <c r="I163" s="7">
        <f>IFERROR(VLOOKUP(Tabla1[[#This Row],[Llave]],'[7]RV Producción'!$C:$G,5,FALSE),0)</f>
        <v>26440</v>
      </c>
      <c r="J163" s="3">
        <f>IFERROR(IF(Tabla1[[#This Row],[Oficina]]=$I$7,VLOOKUP(Tabla1[[#This Row],[Llave]],'[7]Shangai (Tomas)'!$A:$F,6,FALSE),VLOOKUP(Tabla1[[#This Row],[Llave]],'[7]RV plan de ventas'!$A:$E,5,FALSE)),0)</f>
        <v>25000</v>
      </c>
      <c r="K163" s="8">
        <f>IFERROR(VLOOKUP(Tabla1[[#This Row],[Oficina]],[15]Ponderación!$B$2:$E$9,4,FALSE),0)</f>
        <v>0.87158319035419651</v>
      </c>
      <c r="L163" s="7">
        <f>+Tabla1[[#This Row],[ RV Producción mes n+1]]*Tabla1[[#This Row],[% Uti. producción]]</f>
        <v>23044.659552964957</v>
      </c>
      <c r="M163" s="7">
        <f>IFERROR(VLOOKUP(Tabla1[[#This Row],[Material]],'[17]TD Stock'!$E:$I,5,FALSE),0)</f>
        <v>6286.2269999999999</v>
      </c>
      <c r="N163" s="7">
        <f>IFERROR(VLOOKUP(Tabla1[[#This Row],[Material]],[16]Produccion!$M:$N,2,FALSE),0)</f>
        <v>5430.3878089216096</v>
      </c>
      <c r="O163" s="7">
        <f>IFERROR(VLOOKUP(Tabla1[[#This Row],[Llave]],'[16]TD Conf-AP'!$I:$M,4,FALSE),0)</f>
        <v>0</v>
      </c>
      <c r="P163" s="14">
        <f>SUM(Tabla1[[#This Row],[Producción disponible]],Tabla1[[#This Row],[Stock al día]],(Tabla1[[#This Row],[Por producir mes N]]*0.9))-Tabla1[[#This Row],[Producción por despachar mes N]]</f>
        <v>34218.235580994406</v>
      </c>
      <c r="Q163" s="7">
        <f>IFERROR(VLOOKUP(Tabla1[[#This Row],[Llave]],[17]DELAY!$A:$D,4,FALSE),0)</f>
        <v>30900</v>
      </c>
      <c r="R163" s="9">
        <v>2500</v>
      </c>
      <c r="S163" s="5">
        <f t="shared" si="31"/>
        <v>30900</v>
      </c>
      <c r="T163" s="76">
        <v>-12000</v>
      </c>
      <c r="U163" s="5">
        <f>+Tabla1[[#This Row],[Atraso a facturar]]+Tabla1[[#This Row],[Ajuste atraso]]</f>
        <v>18900</v>
      </c>
      <c r="V163" s="3">
        <f>+Tabla1[[#This Row],[Total disponible]]-Tabla1[[#This Row],[Facturación atraso]]</f>
        <v>15318.235580994406</v>
      </c>
      <c r="W163" s="6">
        <f>IFERROR(IF(AND(V163&gt;R163,J163&gt;=R163),ROUNDDOWN((Tabla1[[#This Row],[Producción para venta nueva]])/R163,0)*R163,0),0)</f>
        <v>15000</v>
      </c>
      <c r="X163" s="76">
        <v>-8000</v>
      </c>
      <c r="Y163" s="6">
        <f>IF(Tabla1[[#This Row],[Venta del mes]]&gt;0,Tabla1[[#This Row],[Venta del mes]]+Tabla1[[#This Row],[Ajuste venta nueva]],0)</f>
        <v>7000</v>
      </c>
      <c r="Z163" s="6">
        <f>+Tabla1[[#This Row],[Producción para venta nueva]]-Tabla1[[#This Row],[Facturación Venta nueva]]</f>
        <v>8318.2355809944056</v>
      </c>
      <c r="AA163" s="6">
        <f>IF(AND(A163=1,Tabla1[[#This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3" s="6"/>
      <c r="AC163" s="6">
        <f>IF(Tabla1[[#This Row],[Disponible stock sin venta]]&gt;0,Tabla1[[#This Row],[Disponible stock sin venta]]+Tabla1[[#This Row],[Ajuste stock sin venta]],0)</f>
        <v>0</v>
      </c>
      <c r="AD163" s="3">
        <f>IFERROR(VLOOKUP(Tabla1[[#This Row],[Llave]],'[16]TD Puerto'!$A:$D,4,FALSE),0)</f>
        <v>0</v>
      </c>
      <c r="AE163" s="3">
        <v>33400</v>
      </c>
      <c r="AF163" s="3">
        <f>+Tabla1[[#This Row],[Atraso a facturar]]+Tabla1[[#This Row],[Venta del mes]]+Tabla1[[#This Row],[En puerto a facturar]]+Tabla1[[#This Row],[Disponible stock sin venta]]</f>
        <v>45900</v>
      </c>
      <c r="AG163" s="3">
        <f>+Tabla1[[#This Row],[En puerto a facturar]]</f>
        <v>0</v>
      </c>
      <c r="AH163" s="3">
        <f>+Tabla1[[#This Row],[Facturación atraso]]</f>
        <v>18900</v>
      </c>
      <c r="AI163" s="3">
        <f>+Tabla1[[#This Row],[Plan Irrestricto]]-Tabla1[[#This Row],[Puerto ]]-Tabla1[[#This Row],[Atraso]]</f>
        <v>27000</v>
      </c>
      <c r="AJ163" s="3">
        <f>IF(Tabla1[[#This Row],[Plan Irrestricto]]&gt;0,SUM(Tabla1[[#This Row],[Facturación atraso]],Tabla1[[#This Row],[Facturación Venta nueva]],Tabla1[[#This Row],[Facturación stock]],Tabla1[[#This Row],[En puerto a facturar]]),0)</f>
        <v>25900</v>
      </c>
      <c r="AK163" s="3">
        <f>+Tabla1[[#This Row],[Facturación atraso]]</f>
        <v>18900</v>
      </c>
      <c r="AL163" s="3">
        <f>+Tabla1[[#This Row],[Plan Ajustado]]-Tabla1[[#This Row],[ Atraso ajustado]]-Tabla1[[#This Row],[Puerto ]]</f>
        <v>7000</v>
      </c>
      <c r="AM163" s="3" t="s">
        <v>789</v>
      </c>
      <c r="AN163" s="3" t="str">
        <f>IF(Tabla1[[#This Row],[Plan Ajustado]]&gt;Tabla1[[#This Row],[En puerto a facturar]],"Si","No")</f>
        <v>Si</v>
      </c>
      <c r="AO163" s="3">
        <f>IF(AND(Tabla1[[#This Row],[Plan Ajustado]]&gt;0,Tabla1[[#This Row],[Plan Ajustado]]&gt;Tabla1[[#This Row],[En puerto a facturar]]),(Tabla1[[#This Row],[Plan Ajustado]]-Tabla1[[#This Row],[En puerto a facturar]]),0)</f>
        <v>25900</v>
      </c>
      <c r="AP163" s="3">
        <f>IF(Tabla1[[#This Row],[Necesidad]]&gt;=Tabla1[[#This Row],[Stock al día]],Tabla1[[#This Row],[Stock al día]],Tabla1[[#This Row],[Necesidad]])</f>
        <v>6286.2269999999999</v>
      </c>
      <c r="AQ163" s="3">
        <f>+Tabla1[[#This Row],[Necesidad]]-Tabla1[[#This Row],[Stock Plan]]</f>
        <v>19613.773000000001</v>
      </c>
      <c r="AR163" s="156">
        <f>IFERROR(VLOOKUP(Tabla1[[#This Row],[Oficina]],[22]Ponderación!$B$3:$G$9,6,FALSE),"")</f>
        <v>44765</v>
      </c>
      <c r="AS16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5.1120000000000001</v>
      </c>
      <c r="AT163" s="83">
        <f>IFERROR(VLOOKUP(Tabla1[[#This Row],[Llave]],[17]DELAY!$H:$W,16,FALSE),0)</f>
        <v>5.1522354432200652</v>
      </c>
      <c r="AU16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5.141360999106535</v>
      </c>
      <c r="AV163" s="5">
        <f>+Tabla1[[#This Row],[Plan Ajustado]]*Tabla1[[#This Row],[Precio ponderado]]</f>
        <v>133161.24987685925</v>
      </c>
      <c r="AW163" s="30">
        <f>IFERROR(VLOOKUP(Tabla1[[#This Row],[Llave]],'[13]Ultimos precios facturados'!$A:$G,7,FALSE),0)</f>
        <v>4.6909003988665523</v>
      </c>
      <c r="AX16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9.6028600468435893E-2</v>
      </c>
      <c r="AY163" s="30"/>
      <c r="AZ163" s="30">
        <f>IF(Tabla1[[#This Row],[Ajuste precio IC]]="",Tabla1[[#This Row],[Precio ponderado]],Tabla1[[#This Row],[Precio ponderado]])</f>
        <v>5.141360999106535</v>
      </c>
      <c r="BA163" s="82"/>
      <c r="BB163" s="82" t="str">
        <f>IF(AND(Tabla1[[#This Row],[Atraso a facturar]]&gt;0,Tabla1[[#This Row],[Precio Atraso]]=0),"Revisar","OK")</f>
        <v>OK</v>
      </c>
      <c r="BC163" s="82" t="str">
        <f>IF(AND(Tabla1[[#This Row],[Venta del mes]]&gt;0,Tabla1[[#This Row],[Precio venta nueva]]=0),"Revisar","OK")</f>
        <v>OK</v>
      </c>
      <c r="BD163" s="20">
        <f>IFERROR(VLOOKUP(Tabla1[[#This Row],[Llave]],'[5]Consolidación planes'!$A:$M,9,FALSE),0)</f>
        <v>18000</v>
      </c>
      <c r="BE163" s="20">
        <f>IFERROR(VLOOKUP(Tabla1[[#This Row],[Llave]],'[5]Consolidación planes'!$A:$M,10,FALSE),0)</f>
        <v>6000</v>
      </c>
      <c r="BF163" s="20">
        <f>IFERROR(VLOOKUP(Tabla1[[#This Row],[Llave]],'[5]Consolidación planes'!$A:$M,11,FALSE),0)</f>
        <v>10000</v>
      </c>
      <c r="BG163" s="20">
        <f>IFERROR(VLOOKUP(Tabla1[[#This Row],[Llave]],'[5]Consolidación planes'!$A:$M,12,FALSE),0)</f>
        <v>20000</v>
      </c>
      <c r="BH163" s="20">
        <f>IFERROR(VLOOKUP(Tabla1[[#This Row],[Llave]],'[5]Consolidación planes'!$A:$M,13,FALSE),0)</f>
        <v>18000</v>
      </c>
      <c r="BI163" s="20">
        <f>IFERROR(VLOOKUP(Tabla1[[#This Row],[Llave]],'[13]Base ultimos planes'!$A:$M,13,FALSE),0)</f>
        <v>22000</v>
      </c>
      <c r="BJ163" s="80">
        <f>IFERROR(VLOOKUP(Tabla1[[#This Row],[Llave]],'[13]Base ultimos planes'!$O:$AA,8,FALSE),0)</f>
        <v>99485.017300000007</v>
      </c>
      <c r="BK163" s="20">
        <f>IFERROR(VLOOKUP(Tabla1[[#This Row],[Llave]],'[13]Base ultimos planes'!$O:$AA,9,FALSE),0)</f>
        <v>31124</v>
      </c>
      <c r="BL163" s="20">
        <f>IFERROR(VLOOKUP(Tabla1[[#This Row],[Llave]],'[13]Base ultimos planes'!$O:$AA,10,FALSE),0)</f>
        <v>51494</v>
      </c>
      <c r="BM163" s="20">
        <f>IFERROR(VLOOKUP(Tabla1[[#This Row],[Llave]],'[13]Base ultimos planes'!$O:$AA,11,FALSE),0)</f>
        <v>100776</v>
      </c>
      <c r="BN163" s="20">
        <f>IFERROR(VLOOKUP(Tabla1[[#This Row],[Llave]],'[13]Base ultimos planes'!$O:$AA,12,FALSE),0)</f>
        <v>87382</v>
      </c>
      <c r="BO163" s="20">
        <f>IFERROR(VLOOKUP(Tabla1[[#This Row],[Llave]],'[13]Base ultimos planes'!$O:$AA,13,FALSE),0)</f>
        <v>101929</v>
      </c>
      <c r="BP163" s="20"/>
      <c r="BQ163" s="20">
        <f>+Tabla1[[#This Row],[ RV  Venta mes n+1]]*(1-Tabla1[[#This Row],[% Uti. producción]])</f>
        <v>3210.4202411450869</v>
      </c>
      <c r="BR163" s="100"/>
    </row>
    <row r="164" spans="1:70" ht="16" x14ac:dyDescent="0.2">
      <c r="A164">
        <v>1</v>
      </c>
      <c r="B164" t="str">
        <f>Tabla1[[#This Row],[Oficina]]&amp;Tabla1[[#This Row],[Material]]</f>
        <v>Exportacion Directa1020758</v>
      </c>
      <c r="C164" t="s">
        <v>6</v>
      </c>
      <c r="D164" t="s">
        <v>88</v>
      </c>
      <c r="E164">
        <v>1020758</v>
      </c>
      <c r="F164" t="s">
        <v>113</v>
      </c>
      <c r="G164" t="s">
        <v>50</v>
      </c>
      <c r="H164" t="s">
        <v>110</v>
      </c>
      <c r="I164" s="7">
        <f>IFERROR(VLOOKUP(Tabla1[[#This Row],[Llave]],'[7]RV Producción'!$C:$G,5,FALSE),0)</f>
        <v>14148</v>
      </c>
      <c r="J164" s="3">
        <f>IFERROR(IF(Tabla1[[#This Row],[Oficina]]=$I$7,VLOOKUP(Tabla1[[#This Row],[Llave]],'[7]Shangai (Tomas)'!$A:$F,6,FALSE),VLOOKUP(Tabla1[[#This Row],[Llave]],'[7]RV plan de ventas'!$A:$E,5,FALSE)),0)</f>
        <v>9000</v>
      </c>
      <c r="K164" s="8">
        <f>IFERROR(VLOOKUP(Tabla1[[#This Row],[Oficina]],[15]Ponderación!$B$2:$E$9,4,FALSE),0)</f>
        <v>0.87158319035419651</v>
      </c>
      <c r="L164" s="7">
        <f>+Tabla1[[#This Row],[ RV Producción mes n+1]]*Tabla1[[#This Row],[% Uti. producción]]</f>
        <v>12331.158977131172</v>
      </c>
      <c r="M164" s="7">
        <f>IFERROR(VLOOKUP(Tabla1[[#This Row],[Material]],'[17]TD Stock'!$E:$I,5,FALSE),0)</f>
        <v>605.85599999999999</v>
      </c>
      <c r="N164" s="7">
        <f>IFERROR(VLOOKUP(Tabla1[[#This Row],[Material]],[16]Produccion!$M:$N,2,FALSE),0)</f>
        <v>0</v>
      </c>
      <c r="O164" s="7">
        <f>IFERROR(VLOOKUP(Tabla1[[#This Row],[Llave]],'[16]TD Conf-AP'!$I:$M,4,FALSE),0)</f>
        <v>0</v>
      </c>
      <c r="P164" s="14">
        <f>SUM(Tabla1[[#This Row],[Producción disponible]],Tabla1[[#This Row],[Stock al día]],(Tabla1[[#This Row],[Por producir mes N]]*0.9))-Tabla1[[#This Row],[Producción por despachar mes N]]</f>
        <v>12937.014977131172</v>
      </c>
      <c r="Q164" s="7">
        <f>IFERROR(VLOOKUP(Tabla1[[#This Row],[Llave]],[17]DELAY!$A:$D,4,FALSE),0)</f>
        <v>9000</v>
      </c>
      <c r="R164" s="9">
        <v>3250</v>
      </c>
      <c r="S164" s="5">
        <f t="shared" si="31"/>
        <v>9000</v>
      </c>
      <c r="T164" s="76">
        <v>-3000</v>
      </c>
      <c r="U164" s="5">
        <f>+Tabla1[[#This Row],[Atraso a facturar]]+Tabla1[[#This Row],[Ajuste atraso]]</f>
        <v>6000</v>
      </c>
      <c r="V164" s="3">
        <f>+Tabla1[[#This Row],[Total disponible]]-Tabla1[[#This Row],[Facturación atraso]]</f>
        <v>6937.0149771311717</v>
      </c>
      <c r="W164" s="6">
        <f>IFERROR(IF(AND(V164&gt;R164,J164&gt;=R164),ROUNDDOWN((Tabla1[[#This Row],[Producción para venta nueva]])/R164,0)*R164,0),0)</f>
        <v>6500</v>
      </c>
      <c r="X164" s="76">
        <v>-3000</v>
      </c>
      <c r="Y164" s="6">
        <f>IF(Tabla1[[#This Row],[Venta del mes]]&gt;0,Tabla1[[#This Row],[Venta del mes]]+Tabla1[[#This Row],[Ajuste venta nueva]],0)</f>
        <v>3500</v>
      </c>
      <c r="Z164" s="6">
        <f>+Tabla1[[#This Row],[Producción para venta nueva]]-Tabla1[[#This Row],[Facturación Venta nueva]]</f>
        <v>3437.0149771311717</v>
      </c>
      <c r="AA164" s="6">
        <f>IF(AND(A164=1,Tabla1[[#This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4" s="6"/>
      <c r="AC164" s="6">
        <f>IF(Tabla1[[#This Row],[Disponible stock sin venta]]&gt;0,Tabla1[[#This Row],[Disponible stock sin venta]]+Tabla1[[#This Row],[Ajuste stock sin venta]],0)</f>
        <v>0</v>
      </c>
      <c r="AD164" s="3">
        <f>IFERROR(VLOOKUP(Tabla1[[#This Row],[Llave]],'[16]TD Puerto'!$A:$D,4,FALSE),0)</f>
        <v>0</v>
      </c>
      <c r="AE164" s="3">
        <v>12250</v>
      </c>
      <c r="AF164" s="3">
        <f>+Tabla1[[#This Row],[Atraso a facturar]]+Tabla1[[#This Row],[Venta del mes]]+Tabla1[[#This Row],[En puerto a facturar]]+Tabla1[[#This Row],[Disponible stock sin venta]]</f>
        <v>15500</v>
      </c>
      <c r="AG164" s="3">
        <f>+Tabla1[[#This Row],[En puerto a facturar]]</f>
        <v>0</v>
      </c>
      <c r="AH164" s="3">
        <f>+Tabla1[[#This Row],[Facturación atraso]]</f>
        <v>6000</v>
      </c>
      <c r="AI164" s="3">
        <f>+Tabla1[[#This Row],[Plan Irrestricto]]-Tabla1[[#This Row],[Puerto ]]-Tabla1[[#This Row],[Atraso]]</f>
        <v>9500</v>
      </c>
      <c r="AJ164" s="3">
        <f>IF(Tabla1[[#This Row],[Plan Irrestricto]]&gt;0,SUM(Tabla1[[#This Row],[Facturación atraso]],Tabla1[[#This Row],[Facturación Venta nueva]],Tabla1[[#This Row],[Facturación stock]],Tabla1[[#This Row],[En puerto a facturar]]),0)</f>
        <v>9500</v>
      </c>
      <c r="AK164" s="3">
        <f>+Tabla1[[#This Row],[Facturación atraso]]</f>
        <v>6000</v>
      </c>
      <c r="AL164" s="3">
        <f>+Tabla1[[#This Row],[Plan Ajustado]]-Tabla1[[#This Row],[ Atraso ajustado]]-Tabla1[[#This Row],[Puerto ]]</f>
        <v>3500</v>
      </c>
      <c r="AM164" s="3" t="s">
        <v>789</v>
      </c>
      <c r="AN164" s="3" t="str">
        <f>IF(Tabla1[[#This Row],[Plan Ajustado]]&gt;Tabla1[[#This Row],[En puerto a facturar]],"Si","No")</f>
        <v>Si</v>
      </c>
      <c r="AO164" s="3">
        <f>IF(AND(Tabla1[[#This Row],[Plan Ajustado]]&gt;0,Tabla1[[#This Row],[Plan Ajustado]]&gt;Tabla1[[#This Row],[En puerto a facturar]]),(Tabla1[[#This Row],[Plan Ajustado]]-Tabla1[[#This Row],[En puerto a facturar]]),0)</f>
        <v>9500</v>
      </c>
      <c r="AP164" s="3">
        <f>IF(Tabla1[[#This Row],[Necesidad]]&gt;=Tabla1[[#This Row],[Stock al día]],Tabla1[[#This Row],[Stock al día]],Tabla1[[#This Row],[Necesidad]])</f>
        <v>605.85599999999999</v>
      </c>
      <c r="AQ164" s="3">
        <f>+Tabla1[[#This Row],[Necesidad]]-Tabla1[[#This Row],[Stock Plan]]</f>
        <v>8894.1440000000002</v>
      </c>
      <c r="AR164" s="156">
        <f>IFERROR(VLOOKUP(Tabla1[[#This Row],[Oficina]],[22]Ponderación!$B$3:$G$9,6,FALSE),"")</f>
        <v>44765</v>
      </c>
      <c r="AS16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3.78</v>
      </c>
      <c r="AT164" s="83">
        <f>IFERROR(VLOOKUP(Tabla1[[#This Row],[Llave]],[17]DELAY!$H:$W,16,FALSE),0)</f>
        <v>3.9300091777777806</v>
      </c>
      <c r="AU16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3.8747426385964929</v>
      </c>
      <c r="AV164" s="5">
        <f>+Tabla1[[#This Row],[Plan Ajustado]]*Tabla1[[#This Row],[Precio ponderado]]</f>
        <v>36810.055066666682</v>
      </c>
      <c r="AW164" s="30">
        <f>IFERROR(VLOOKUP(Tabla1[[#This Row],[Llave]],'[13]Ultimos precios facturados'!$A:$G,7,FALSE),0)</f>
        <v>3.8340117762394943</v>
      </c>
      <c r="AX16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1.062356214172837E-2</v>
      </c>
      <c r="AY164" s="30"/>
      <c r="AZ164" s="30">
        <f>IF(Tabla1[[#This Row],[Ajuste precio IC]]="",Tabla1[[#This Row],[Precio ponderado]],Tabla1[[#This Row],[Precio ponderado]])</f>
        <v>3.8747426385964929</v>
      </c>
      <c r="BA164" s="82"/>
      <c r="BB164" s="82" t="str">
        <f>IF(AND(Tabla1[[#This Row],[Atraso a facturar]]&gt;0,Tabla1[[#This Row],[Precio Atraso]]=0),"Revisar","OK")</f>
        <v>OK</v>
      </c>
      <c r="BC164" s="82" t="str">
        <f>IF(AND(Tabla1[[#This Row],[Venta del mes]]&gt;0,Tabla1[[#This Row],[Precio venta nueva]]=0),"Revisar","OK")</f>
        <v>OK</v>
      </c>
      <c r="BD164" s="20">
        <f>IFERROR(VLOOKUP(Tabla1[[#This Row],[Llave]],'[5]Consolidación planes'!$A:$M,9,FALSE),0)</f>
        <v>8000</v>
      </c>
      <c r="BE164" s="20">
        <f>IFERROR(VLOOKUP(Tabla1[[#This Row],[Llave]],'[5]Consolidación planes'!$A:$M,10,FALSE),0)</f>
        <v>5000</v>
      </c>
      <c r="BF164" s="20">
        <f>IFERROR(VLOOKUP(Tabla1[[#This Row],[Llave]],'[5]Consolidación planes'!$A:$M,11,FALSE),0)</f>
        <v>8000</v>
      </c>
      <c r="BG164" s="20">
        <f>IFERROR(VLOOKUP(Tabla1[[#This Row],[Llave]],'[5]Consolidación planes'!$A:$M,12,FALSE),0)</f>
        <v>12000</v>
      </c>
      <c r="BH164" s="20">
        <f>IFERROR(VLOOKUP(Tabla1[[#This Row],[Llave]],'[5]Consolidación planes'!$A:$M,13,FALSE),0)</f>
        <v>6000</v>
      </c>
      <c r="BI164" s="20">
        <f>IFERROR(VLOOKUP(Tabla1[[#This Row],[Llave]],'[13]Base ultimos planes'!$A:$M,13,FALSE),0)</f>
        <v>3000</v>
      </c>
      <c r="BJ164" s="80">
        <f>IFERROR(VLOOKUP(Tabla1[[#This Row],[Llave]],'[13]Base ultimos planes'!$O:$AA,8,FALSE),0)</f>
        <v>35636.778700000003</v>
      </c>
      <c r="BK164" s="20">
        <f>IFERROR(VLOOKUP(Tabla1[[#This Row],[Llave]],'[13]Base ultimos planes'!$O:$AA,9,FALSE),0)</f>
        <v>20917</v>
      </c>
      <c r="BL164" s="20">
        <f>IFERROR(VLOOKUP(Tabla1[[#This Row],[Llave]],'[13]Base ultimos planes'!$O:$AA,10,FALSE),0)</f>
        <v>33318</v>
      </c>
      <c r="BM164" s="20">
        <f>IFERROR(VLOOKUP(Tabla1[[#This Row],[Llave]],'[13]Base ultimos planes'!$O:$AA,11,FALSE),0)</f>
        <v>48487</v>
      </c>
      <c r="BN164" s="20">
        <f>IFERROR(VLOOKUP(Tabla1[[#This Row],[Llave]],'[13]Base ultimos planes'!$O:$AA,12,FALSE),0)</f>
        <v>23733</v>
      </c>
      <c r="BO164" s="20">
        <f>IFERROR(VLOOKUP(Tabla1[[#This Row],[Llave]],'[13]Base ultimos planes'!$O:$AA,13,FALSE),0)</f>
        <v>11179</v>
      </c>
      <c r="BP164" s="20"/>
      <c r="BQ164" s="20">
        <f>+Tabla1[[#This Row],[ RV  Venta mes n+1]]*(1-Tabla1[[#This Row],[% Uti. producción]])</f>
        <v>1155.7512868122315</v>
      </c>
      <c r="BR164" s="100"/>
    </row>
    <row r="165" spans="1:70" ht="16" x14ac:dyDescent="0.2">
      <c r="A165">
        <v>1</v>
      </c>
      <c r="B165" t="str">
        <f>Tabla1[[#This Row],[Oficina]]&amp;Tabla1[[#This Row],[Material]]</f>
        <v>Exportacion Directa1020774</v>
      </c>
      <c r="C165" t="s">
        <v>6</v>
      </c>
      <c r="D165" t="s">
        <v>88</v>
      </c>
      <c r="E165">
        <v>1020774</v>
      </c>
      <c r="F165" t="s">
        <v>136</v>
      </c>
      <c r="G165" t="s">
        <v>134</v>
      </c>
      <c r="H165" t="s">
        <v>135</v>
      </c>
      <c r="I165" s="7">
        <f>IFERROR(VLOOKUP(Tabla1[[#This Row],[Llave]],'[7]RV Producción'!$C:$G,5,FALSE),0)</f>
        <v>11440</v>
      </c>
      <c r="J165" s="3">
        <f>IFERROR(IF(Tabla1[[#This Row],[Oficina]]=$I$7,VLOOKUP(Tabla1[[#This Row],[Llave]],'[7]Shangai (Tomas)'!$A:$F,6,FALSE),VLOOKUP(Tabla1[[#This Row],[Llave]],'[7]RV plan de ventas'!$A:$E,5,FALSE)),0)</f>
        <v>9000</v>
      </c>
      <c r="K165" s="8">
        <f>IFERROR(VLOOKUP(Tabla1[[#This Row],[Oficina]],[15]Ponderación!$B$2:$E$9,4,FALSE),0)</f>
        <v>0.87158319035419651</v>
      </c>
      <c r="L165" s="7">
        <f>+Tabla1[[#This Row],[ RV Producción mes n+1]]*Tabla1[[#This Row],[% Uti. producción]]</f>
        <v>9970.9116976520072</v>
      </c>
      <c r="M165" s="7">
        <f>IFERROR(VLOOKUP(Tabla1[[#This Row],[Material]],'[17]TD Stock'!$E:$I,5,FALSE),0)</f>
        <v>4205</v>
      </c>
      <c r="N165" s="7">
        <f>IFERROR(VLOOKUP(Tabla1[[#This Row],[Material]],[16]Produccion!$M:$N,2,FALSE),0)</f>
        <v>3207</v>
      </c>
      <c r="O165" s="7">
        <f>IFERROR(VLOOKUP(Tabla1[[#This Row],[Llave]],'[16]TD Conf-AP'!$I:$M,4,FALSE),0)</f>
        <v>0</v>
      </c>
      <c r="P165" s="14">
        <f>SUM(Tabla1[[#This Row],[Producción disponible]],Tabla1[[#This Row],[Stock al día]],(Tabla1[[#This Row],[Por producir mes N]]*0.9))-Tabla1[[#This Row],[Producción por despachar mes N]]</f>
        <v>17062.211697652008</v>
      </c>
      <c r="Q165" s="7">
        <f>IFERROR(VLOOKUP(Tabla1[[#This Row],[Llave]],[17]DELAY!$A:$D,4,FALSE),0)</f>
        <v>10000</v>
      </c>
      <c r="R165" s="9">
        <v>952.38095238095241</v>
      </c>
      <c r="S165" s="5">
        <f t="shared" si="31"/>
        <v>10000</v>
      </c>
      <c r="T165" s="76">
        <v>-4000</v>
      </c>
      <c r="U165" s="5">
        <f>+Tabla1[[#This Row],[Atraso a facturar]]+Tabla1[[#This Row],[Ajuste atraso]]</f>
        <v>6000</v>
      </c>
      <c r="V165" s="3">
        <f>+Tabla1[[#This Row],[Total disponible]]-Tabla1[[#This Row],[Facturación atraso]]</f>
        <v>11062.211697652008</v>
      </c>
      <c r="W165" s="6">
        <f>IFERROR(IF(AND(V165&gt;R165,J165&gt;=R165),ROUNDDOWN((Tabla1[[#This Row],[Producción para venta nueva]])/R165,0)*R165,0),0)</f>
        <v>10476.190476190477</v>
      </c>
      <c r="X165" s="76">
        <v>-5000</v>
      </c>
      <c r="Y165" s="6">
        <f>IF(Tabla1[[#This Row],[Venta del mes]]&gt;0,Tabla1[[#This Row],[Venta del mes]]+Tabla1[[#This Row],[Ajuste venta nueva]],0)</f>
        <v>5476.1904761904771</v>
      </c>
      <c r="Z165" s="6">
        <f>+Tabla1[[#This Row],[Producción para venta nueva]]-Tabla1[[#This Row],[Facturación Venta nueva]]</f>
        <v>5586.0212214615312</v>
      </c>
      <c r="AA165" s="6">
        <f>IF(AND(A165=1,Tabla1[[#This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5" s="6"/>
      <c r="AC165" s="6">
        <f>IF(Tabla1[[#This Row],[Disponible stock sin venta]]&gt;0,Tabla1[[#This Row],[Disponible stock sin venta]]+Tabla1[[#This Row],[Ajuste stock sin venta]],0)</f>
        <v>0</v>
      </c>
      <c r="AD165" s="3">
        <f>IFERROR(VLOOKUP(Tabla1[[#This Row],[Llave]],'[16]TD Puerto'!$A:$D,4,FALSE),0)</f>
        <v>0</v>
      </c>
      <c r="AE165" s="3">
        <v>16666.666666666668</v>
      </c>
      <c r="AF165" s="3">
        <f>+Tabla1[[#This Row],[Atraso a facturar]]+Tabla1[[#This Row],[Venta del mes]]+Tabla1[[#This Row],[En puerto a facturar]]+Tabla1[[#This Row],[Disponible stock sin venta]]</f>
        <v>20476.190476190477</v>
      </c>
      <c r="AG165" s="3">
        <f>+Tabla1[[#This Row],[En puerto a facturar]]</f>
        <v>0</v>
      </c>
      <c r="AH165" s="3">
        <f>+Tabla1[[#This Row],[Facturación atraso]]</f>
        <v>6000</v>
      </c>
      <c r="AI165" s="3">
        <f>+Tabla1[[#This Row],[Plan Irrestricto]]-Tabla1[[#This Row],[Puerto ]]-Tabla1[[#This Row],[Atraso]]</f>
        <v>14476.190476190477</v>
      </c>
      <c r="AJ165" s="3">
        <f>IF(Tabla1[[#This Row],[Plan Irrestricto]]&gt;0,SUM(Tabla1[[#This Row],[Facturación atraso]],Tabla1[[#This Row],[Facturación Venta nueva]],Tabla1[[#This Row],[Facturación stock]],Tabla1[[#This Row],[En puerto a facturar]]),0)</f>
        <v>11476.190476190477</v>
      </c>
      <c r="AK165" s="3">
        <f>+Tabla1[[#This Row],[Facturación atraso]]</f>
        <v>6000</v>
      </c>
      <c r="AL165" s="3">
        <f>+Tabla1[[#This Row],[Plan Ajustado]]-Tabla1[[#This Row],[ Atraso ajustado]]-Tabla1[[#This Row],[Puerto ]]</f>
        <v>5476.1904761904771</v>
      </c>
      <c r="AM165" s="3" t="s">
        <v>789</v>
      </c>
      <c r="AN165" s="3" t="str">
        <f>IF(Tabla1[[#This Row],[Plan Ajustado]]&gt;Tabla1[[#This Row],[En puerto a facturar]],"Si","No")</f>
        <v>Si</v>
      </c>
      <c r="AO165" s="3">
        <f>IF(AND(Tabla1[[#This Row],[Plan Ajustado]]&gt;0,Tabla1[[#This Row],[Plan Ajustado]]&gt;Tabla1[[#This Row],[En puerto a facturar]]),(Tabla1[[#This Row],[Plan Ajustado]]-Tabla1[[#This Row],[En puerto a facturar]]),0)</f>
        <v>11476.190476190477</v>
      </c>
      <c r="AP165" s="3">
        <f>IF(Tabla1[[#This Row],[Necesidad]]&gt;=Tabla1[[#This Row],[Stock al día]],Tabla1[[#This Row],[Stock al día]],Tabla1[[#This Row],[Necesidad]])</f>
        <v>4205</v>
      </c>
      <c r="AQ165" s="3">
        <f>+Tabla1[[#This Row],[Necesidad]]-Tabla1[[#This Row],[Stock Plan]]</f>
        <v>7271.1904761904771</v>
      </c>
      <c r="AR165" s="156">
        <f>IFERROR(VLOOKUP(Tabla1[[#This Row],[Oficina]],[22]Ponderación!$B$3:$G$9,6,FALSE),"")</f>
        <v>44765</v>
      </c>
      <c r="AS16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5.76</v>
      </c>
      <c r="AT165" s="83">
        <f>IFERROR(VLOOKUP(Tabla1[[#This Row],[Llave]],[17]DELAY!$H:$W,16,FALSE),0)</f>
        <v>5.9922204887499957</v>
      </c>
      <c r="AU16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5.8814098820850598</v>
      </c>
      <c r="AV165" s="5">
        <f>+Tabla1[[#This Row],[Plan Ajustado]]*Tabla1[[#This Row],[Precio ponderado]]</f>
        <v>67496.180075357115</v>
      </c>
      <c r="AW165" s="30">
        <f>IFERROR(VLOOKUP(Tabla1[[#This Row],[Llave]],'[13]Ultimos precios facturados'!$A:$G,7,FALSE),0)</f>
        <v>5.6729462993861182</v>
      </c>
      <c r="AX16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3.6746969158072219E-2</v>
      </c>
      <c r="AY165" s="30"/>
      <c r="AZ165" s="30">
        <f>IF(Tabla1[[#This Row],[Ajuste precio IC]]="",Tabla1[[#This Row],[Precio ponderado]],Tabla1[[#This Row],[Precio ponderado]])</f>
        <v>5.8814098820850598</v>
      </c>
      <c r="BA165" s="82"/>
      <c r="BB165" s="82" t="str">
        <f>IF(AND(Tabla1[[#This Row],[Atraso a facturar]]&gt;0,Tabla1[[#This Row],[Precio Atraso]]=0),"Revisar","OK")</f>
        <v>OK</v>
      </c>
      <c r="BC165" s="82" t="str">
        <f>IF(AND(Tabla1[[#This Row],[Venta del mes]]&gt;0,Tabla1[[#This Row],[Precio venta nueva]]=0),"Revisar","OK")</f>
        <v>OK</v>
      </c>
      <c r="BD165" s="20">
        <f>IFERROR(VLOOKUP(Tabla1[[#This Row],[Llave]],'[5]Consolidación planes'!$A:$M,9,FALSE),0)</f>
        <v>6500</v>
      </c>
      <c r="BE165" s="20">
        <f>IFERROR(VLOOKUP(Tabla1[[#This Row],[Llave]],'[5]Consolidación planes'!$A:$M,10,FALSE),0)</f>
        <v>9000</v>
      </c>
      <c r="BF165" s="20">
        <f>IFERROR(VLOOKUP(Tabla1[[#This Row],[Llave]],'[5]Consolidación planes'!$A:$M,11,FALSE),0)</f>
        <v>7000</v>
      </c>
      <c r="BG165" s="20">
        <f>IFERROR(VLOOKUP(Tabla1[[#This Row],[Llave]],'[5]Consolidación planes'!$A:$M,12,FALSE),0)</f>
        <v>7000</v>
      </c>
      <c r="BH165" s="20">
        <f>IFERROR(VLOOKUP(Tabla1[[#This Row],[Llave]],'[5]Consolidación planes'!$A:$M,13,FALSE),0)</f>
        <v>12778</v>
      </c>
      <c r="BI165" s="20">
        <f>IFERROR(VLOOKUP(Tabla1[[#This Row],[Llave]],'[13]Base ultimos planes'!$A:$M,13,FALSE),0)</f>
        <v>13810</v>
      </c>
      <c r="BJ165" s="80">
        <f>IFERROR(VLOOKUP(Tabla1[[#This Row],[Llave]],'[13]Base ultimos planes'!$O:$AA,8,FALSE),0)</f>
        <v>39650</v>
      </c>
      <c r="BK165" s="20">
        <f>IFERROR(VLOOKUP(Tabla1[[#This Row],[Llave]],'[13]Base ultimos planes'!$O:$AA,9,FALSE),0)</f>
        <v>55209</v>
      </c>
      <c r="BL165" s="20">
        <f>IFERROR(VLOOKUP(Tabla1[[#This Row],[Llave]],'[13]Base ultimos planes'!$O:$AA,10,FALSE),0)</f>
        <v>42742</v>
      </c>
      <c r="BM165" s="20">
        <f>IFERROR(VLOOKUP(Tabla1[[#This Row],[Llave]],'[13]Base ultimos planes'!$O:$AA,11,FALSE),0)</f>
        <v>42209</v>
      </c>
      <c r="BN165" s="20">
        <f>IFERROR(VLOOKUP(Tabla1[[#This Row],[Llave]],'[13]Base ultimos planes'!$O:$AA,12,FALSE),0)</f>
        <v>76257</v>
      </c>
      <c r="BO165" s="20">
        <f>IFERROR(VLOOKUP(Tabla1[[#This Row],[Llave]],'[13]Base ultimos planes'!$O:$AA,13,FALSE),0)</f>
        <v>77987</v>
      </c>
      <c r="BP165" s="20"/>
      <c r="BQ165" s="20">
        <f>+Tabla1[[#This Row],[ RV  Venta mes n+1]]*(1-Tabla1[[#This Row],[% Uti. producción]])</f>
        <v>1155.7512868122315</v>
      </c>
      <c r="BR165" s="100"/>
    </row>
    <row r="166" spans="1:70" ht="16" x14ac:dyDescent="0.2">
      <c r="A166">
        <v>1</v>
      </c>
      <c r="B166" t="str">
        <f>Tabla1[[#This Row],[Oficina]]&amp;Tabla1[[#This Row],[Material]]</f>
        <v>Exportacion Directa1020802</v>
      </c>
      <c r="C166" t="s">
        <v>6</v>
      </c>
      <c r="D166" t="s">
        <v>88</v>
      </c>
      <c r="E166">
        <v>1020802</v>
      </c>
      <c r="F166" t="s">
        <v>123</v>
      </c>
      <c r="G166" t="s">
        <v>56</v>
      </c>
      <c r="H166" t="s">
        <v>57</v>
      </c>
      <c r="I166" s="7">
        <f>IFERROR(VLOOKUP(Tabla1[[#This Row],[Llave]],'[7]RV Producción'!$C:$G,5,FALSE),0)</f>
        <v>13111</v>
      </c>
      <c r="J166" s="3">
        <f>IFERROR(IF(Tabla1[[#This Row],[Oficina]]=$I$7,VLOOKUP(Tabla1[[#This Row],[Llave]],'[7]Shangai (Tomas)'!$A:$F,6,FALSE),VLOOKUP(Tabla1[[#This Row],[Llave]],'[7]RV plan de ventas'!$A:$E,5,FALSE)),0)</f>
        <v>41000</v>
      </c>
      <c r="K166" s="8">
        <f>IFERROR(VLOOKUP(Tabla1[[#This Row],[Oficina]],[15]Ponderación!$B$2:$E$9,4,FALSE),0)</f>
        <v>0.87158319035419651</v>
      </c>
      <c r="L166" s="7">
        <f>+Tabla1[[#This Row],[ RV Producción mes n+1]]*Tabla1[[#This Row],[% Uti. producción]]</f>
        <v>11427.32720873387</v>
      </c>
      <c r="M166" s="7">
        <f>IFERROR(VLOOKUP(Tabla1[[#This Row],[Material]],'[17]TD Stock'!$E:$I,5,FALSE),0)</f>
        <v>45186.582999999991</v>
      </c>
      <c r="N166" s="7">
        <f>IFERROR(VLOOKUP(Tabla1[[#This Row],[Material]],[16]Produccion!$M:$N,2,FALSE),0)</f>
        <v>3692.4089590727685</v>
      </c>
      <c r="O166" s="7">
        <f>IFERROR(VLOOKUP(Tabla1[[#This Row],[Llave]],'[16]TD Conf-AP'!$I:$M,4,FALSE),0)</f>
        <v>30500</v>
      </c>
      <c r="P166" s="14">
        <f>SUM(Tabla1[[#This Row],[Producción disponible]],Tabla1[[#This Row],[Stock al día]],(Tabla1[[#This Row],[Por producir mes N]]*0.9))-Tabla1[[#This Row],[Producción por despachar mes N]]</f>
        <v>29437.078271899351</v>
      </c>
      <c r="Q166" s="7">
        <f>IFERROR(VLOOKUP(Tabla1[[#This Row],[Llave]],[17]DELAY!$A:$D,4,FALSE),0)</f>
        <v>38900</v>
      </c>
      <c r="R166" s="9">
        <v>8437.5</v>
      </c>
      <c r="S166" s="5">
        <f t="shared" si="31"/>
        <v>25312.5</v>
      </c>
      <c r="T166" s="76">
        <v>-10000</v>
      </c>
      <c r="U166" s="5">
        <f>+Tabla1[[#This Row],[Atraso a facturar]]+Tabla1[[#This Row],[Ajuste atraso]]</f>
        <v>15312.5</v>
      </c>
      <c r="V166" s="3">
        <f>+Tabla1[[#This Row],[Total disponible]]-Tabla1[[#This Row],[Facturación atraso]]</f>
        <v>14124.578271899351</v>
      </c>
      <c r="W166" s="6">
        <f>IFERROR(IF(AND(V166&gt;R166,J166&gt;=R166),ROUNDDOWN((Tabla1[[#This Row],[Producción para venta nueva]])/R166,0)*R166,0),0)</f>
        <v>8437.5</v>
      </c>
      <c r="X166" s="76">
        <v>-3000</v>
      </c>
      <c r="Y166" s="6">
        <f>IF(Tabla1[[#This Row],[Venta del mes]]&gt;0,Tabla1[[#This Row],[Venta del mes]]+Tabla1[[#This Row],[Ajuste venta nueva]],0)</f>
        <v>5437.5</v>
      </c>
      <c r="Z166" s="6">
        <f>+Tabla1[[#This Row],[Producción para venta nueva]]-Tabla1[[#This Row],[Facturación Venta nueva]]</f>
        <v>8687.0782718993505</v>
      </c>
      <c r="AA166" s="6">
        <f>IF(AND(A166=1,Tabla1[[#This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6" s="6"/>
      <c r="AC166" s="6">
        <f>IF(Tabla1[[#This Row],[Disponible stock sin venta]]&gt;0,Tabla1[[#This Row],[Disponible stock sin venta]]+Tabla1[[#This Row],[Ajuste stock sin venta]],0)</f>
        <v>0</v>
      </c>
      <c r="AD166" s="3">
        <f>IFERROR(VLOOKUP(Tabla1[[#This Row],[Llave]],'[16]TD Puerto'!$A:$D,4,FALSE),0)</f>
        <v>0</v>
      </c>
      <c r="AE166" s="3">
        <v>25312.5</v>
      </c>
      <c r="AF166" s="3">
        <f>+Tabla1[[#This Row],[Atraso a facturar]]+Tabla1[[#This Row],[Venta del mes]]+Tabla1[[#This Row],[En puerto a facturar]]+Tabla1[[#This Row],[Disponible stock sin venta]]</f>
        <v>33750</v>
      </c>
      <c r="AG166" s="3">
        <f>+Tabla1[[#This Row],[En puerto a facturar]]</f>
        <v>0</v>
      </c>
      <c r="AH166" s="3">
        <f>+Tabla1[[#This Row],[Facturación atraso]]</f>
        <v>15312.5</v>
      </c>
      <c r="AI166" s="3">
        <f>+Tabla1[[#This Row],[Plan Irrestricto]]-Tabla1[[#This Row],[Puerto ]]-Tabla1[[#This Row],[Atraso]]</f>
        <v>18437.5</v>
      </c>
      <c r="AJ166" s="3">
        <f>IF(Tabla1[[#This Row],[Plan Irrestricto]]&gt;0,SUM(Tabla1[[#This Row],[Facturación atraso]],Tabla1[[#This Row],[Facturación Venta nueva]],Tabla1[[#This Row],[Facturación stock]],Tabla1[[#This Row],[En puerto a facturar]]),0)</f>
        <v>20750</v>
      </c>
      <c r="AK166" s="3">
        <f>+Tabla1[[#This Row],[Facturación atraso]]</f>
        <v>15312.5</v>
      </c>
      <c r="AL166" s="3">
        <f>+Tabla1[[#This Row],[Plan Ajustado]]-Tabla1[[#This Row],[ Atraso ajustado]]-Tabla1[[#This Row],[Puerto ]]</f>
        <v>5437.5</v>
      </c>
      <c r="AM166" s="3" t="s">
        <v>789</v>
      </c>
      <c r="AN166" s="3" t="str">
        <f>IF(Tabla1[[#This Row],[Plan Ajustado]]&gt;Tabla1[[#This Row],[En puerto a facturar]],"Si","No")</f>
        <v>Si</v>
      </c>
      <c r="AO166" s="3">
        <f>IF(AND(Tabla1[[#This Row],[Plan Ajustado]]&gt;0,Tabla1[[#This Row],[Plan Ajustado]]&gt;Tabla1[[#This Row],[En puerto a facturar]]),(Tabla1[[#This Row],[Plan Ajustado]]-Tabla1[[#This Row],[En puerto a facturar]]),0)</f>
        <v>20750</v>
      </c>
      <c r="AP166" s="3">
        <f>IF(Tabla1[[#This Row],[Necesidad]]&gt;=Tabla1[[#This Row],[Stock al día]],Tabla1[[#This Row],[Stock al día]],Tabla1[[#This Row],[Necesidad]])</f>
        <v>20750</v>
      </c>
      <c r="AQ166" s="3">
        <f>+Tabla1[[#This Row],[Necesidad]]-Tabla1[[#This Row],[Stock Plan]]</f>
        <v>0</v>
      </c>
      <c r="AR166" s="156">
        <f>IFERROR(VLOOKUP(Tabla1[[#This Row],[Oficina]],[22]Ponderación!$B$3:$G$9,6,FALSE),"")</f>
        <v>44765</v>
      </c>
      <c r="AS16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4.68</v>
      </c>
      <c r="AT166" s="83">
        <f>IFERROR(VLOOKUP(Tabla1[[#This Row],[Llave]],[17]DELAY!$H:$W,16,FALSE),0)</f>
        <v>4.584109561641271</v>
      </c>
      <c r="AU16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4.6092374777172029</v>
      </c>
      <c r="AV166" s="5">
        <f>+Tabla1[[#This Row],[Plan Ajustado]]*Tabla1[[#This Row],[Precio ponderado]]</f>
        <v>95641.677662631962</v>
      </c>
      <c r="AW166" s="30">
        <f>IFERROR(VLOOKUP(Tabla1[[#This Row],[Llave]],'[13]Ultimos precios facturados'!$A:$G,7,FALSE),0)</f>
        <v>4.3342186644834548</v>
      </c>
      <c r="AX16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6.3452916090130956E-2</v>
      </c>
      <c r="AY166" s="30"/>
      <c r="AZ166" s="30">
        <f>IF(Tabla1[[#This Row],[Ajuste precio IC]]="",Tabla1[[#This Row],[Precio ponderado]],Tabla1[[#This Row],[Precio ponderado]])</f>
        <v>4.6092374777172029</v>
      </c>
      <c r="BA166" s="82" t="s">
        <v>757</v>
      </c>
      <c r="BB166" s="82" t="str">
        <f>IF(AND(Tabla1[[#This Row],[Atraso a facturar]]&gt;0,Tabla1[[#This Row],[Precio Atraso]]=0),"Revisar","OK")</f>
        <v>OK</v>
      </c>
      <c r="BC166" s="82" t="str">
        <f>IF(AND(Tabla1[[#This Row],[Venta del mes]]&gt;0,Tabla1[[#This Row],[Precio venta nueva]]=0),"Revisar","OK")</f>
        <v>OK</v>
      </c>
      <c r="BD166" s="20">
        <f>IFERROR(VLOOKUP(Tabla1[[#This Row],[Llave]],'[5]Consolidación planes'!$A:$M,9,FALSE),0)</f>
        <v>103000</v>
      </c>
      <c r="BE166" s="20">
        <f>IFERROR(VLOOKUP(Tabla1[[#This Row],[Llave]],'[5]Consolidación planes'!$A:$M,10,FALSE),0)</f>
        <v>47000</v>
      </c>
      <c r="BF166" s="20">
        <f>IFERROR(VLOOKUP(Tabla1[[#This Row],[Llave]],'[5]Consolidación planes'!$A:$M,11,FALSE),0)</f>
        <v>95000</v>
      </c>
      <c r="BG166" s="20">
        <f>IFERROR(VLOOKUP(Tabla1[[#This Row],[Llave]],'[5]Consolidación planes'!$A:$M,12,FALSE),0)</f>
        <v>130000</v>
      </c>
      <c r="BH166" s="20">
        <f>IFERROR(VLOOKUP(Tabla1[[#This Row],[Llave]],'[5]Consolidación planes'!$A:$M,13,FALSE),0)</f>
        <v>92821</v>
      </c>
      <c r="BI166" s="20">
        <f>IFERROR(VLOOKUP(Tabla1[[#This Row],[Llave]],'[13]Base ultimos planes'!$A:$M,13,FALSE),0)</f>
        <v>95563</v>
      </c>
      <c r="BJ166" s="80">
        <f>IFERROR(VLOOKUP(Tabla1[[#This Row],[Llave]],'[13]Base ultimos planes'!$O:$AA,8,FALSE),0)</f>
        <v>518029.43709999998</v>
      </c>
      <c r="BK166" s="20">
        <f>IFERROR(VLOOKUP(Tabla1[[#This Row],[Llave]],'[13]Base ultimos planes'!$O:$AA,9,FALSE),0)</f>
        <v>220820</v>
      </c>
      <c r="BL166" s="20">
        <f>IFERROR(VLOOKUP(Tabla1[[#This Row],[Llave]],'[13]Base ultimos planes'!$O:$AA,10,FALSE),0)</f>
        <v>445408</v>
      </c>
      <c r="BM166" s="20">
        <f>IFERROR(VLOOKUP(Tabla1[[#This Row],[Llave]],'[13]Base ultimos planes'!$O:$AA,11,FALSE),0)</f>
        <v>591029</v>
      </c>
      <c r="BN166" s="20">
        <f>IFERROR(VLOOKUP(Tabla1[[#This Row],[Llave]],'[13]Base ultimos planes'!$O:$AA,12,FALSE),0)</f>
        <v>410262</v>
      </c>
      <c r="BO166" s="20">
        <f>IFERROR(VLOOKUP(Tabla1[[#This Row],[Llave]],'[13]Base ultimos planes'!$O:$AA,13,FALSE),0)</f>
        <v>398697</v>
      </c>
      <c r="BP166" s="20"/>
      <c r="BQ166" s="20">
        <f>+Tabla1[[#This Row],[ RV  Venta mes n+1]]*(1-Tabla1[[#This Row],[% Uti. producción]])</f>
        <v>5265.0891954779427</v>
      </c>
      <c r="BR166" s="100"/>
    </row>
    <row r="167" spans="1:70" ht="16" x14ac:dyDescent="0.2">
      <c r="A167">
        <v>1</v>
      </c>
      <c r="B167" t="str">
        <f>Tabla1[[#This Row],[Oficina]]&amp;Tabla1[[#This Row],[Material]]</f>
        <v>Exportacion Directa1020810</v>
      </c>
      <c r="C167" t="s">
        <v>6</v>
      </c>
      <c r="D167" t="s">
        <v>88</v>
      </c>
      <c r="E167">
        <v>1020810</v>
      </c>
      <c r="F167" t="s">
        <v>138</v>
      </c>
      <c r="G167" t="s">
        <v>76</v>
      </c>
      <c r="H167" t="s">
        <v>79</v>
      </c>
      <c r="I167" s="7">
        <f>IFERROR(VLOOKUP(Tabla1[[#This Row],[Llave]],'[7]RV Producción'!$C:$G,5,FALSE),0)</f>
        <v>1487</v>
      </c>
      <c r="J167" s="3">
        <f>IFERROR(IF(Tabla1[[#This Row],[Oficina]]=$I$7,VLOOKUP(Tabla1[[#This Row],[Llave]],'[7]Shangai (Tomas)'!$A:$F,6,FALSE),VLOOKUP(Tabla1[[#This Row],[Llave]],'[7]RV plan de ventas'!$A:$E,5,FALSE)),0)</f>
        <v>2000</v>
      </c>
      <c r="K167" s="8">
        <f>IFERROR(VLOOKUP(Tabla1[[#This Row],[Oficina]],[15]Ponderación!$B$2:$E$9,4,FALSE),0)</f>
        <v>0.87158319035419651</v>
      </c>
      <c r="L167" s="7">
        <f>+Tabla1[[#This Row],[ RV Producción mes n+1]]*Tabla1[[#This Row],[% Uti. producción]]</f>
        <v>1296.0442040566902</v>
      </c>
      <c r="M167" s="7">
        <f>IFERROR(VLOOKUP(Tabla1[[#This Row],[Material]],'[17]TD Stock'!$E:$I,5,FALSE),0)</f>
        <v>950.17</v>
      </c>
      <c r="N167" s="7">
        <f>IFERROR(VLOOKUP(Tabla1[[#This Row],[Material]],[16]Produccion!$M:$N,2,FALSE),0)</f>
        <v>3500</v>
      </c>
      <c r="O167" s="7">
        <f>IFERROR(VLOOKUP(Tabla1[[#This Row],[Llave]],'[16]TD Conf-AP'!$I:$M,4,FALSE),0)</f>
        <v>0</v>
      </c>
      <c r="P167" s="14">
        <f>SUM(Tabla1[[#This Row],[Producción disponible]],Tabla1[[#This Row],[Stock al día]],(Tabla1[[#This Row],[Por producir mes N]]*0.9))-Tabla1[[#This Row],[Producción por despachar mes N]]</f>
        <v>5396.2142040566905</v>
      </c>
      <c r="Q167" s="7">
        <f>IFERROR(VLOOKUP(Tabla1[[#This Row],[Llave]],[17]DELAY!$A:$D,4,FALSE),0)</f>
        <v>4330</v>
      </c>
      <c r="R167" s="9">
        <v>1500</v>
      </c>
      <c r="S167" s="5">
        <f t="shared" si="31"/>
        <v>4330</v>
      </c>
      <c r="T167" s="76">
        <v>0</v>
      </c>
      <c r="U167" s="5">
        <f>+Tabla1[[#This Row],[Atraso a facturar]]+Tabla1[[#This Row],[Ajuste atraso]]</f>
        <v>4330</v>
      </c>
      <c r="V167" s="3">
        <f>+Tabla1[[#This Row],[Total disponible]]-Tabla1[[#This Row],[Facturación atraso]]</f>
        <v>1066.2142040566905</v>
      </c>
      <c r="W167" s="6">
        <f>IFERROR(IF(AND(V167&gt;R167,J167&gt;=R167),ROUNDDOWN((Tabla1[[#This Row],[Producción para venta nueva]])/R167,0)*R167,0),0)</f>
        <v>0</v>
      </c>
      <c r="X167" s="76">
        <v>0</v>
      </c>
      <c r="Y167" s="6">
        <f>IF(Tabla1[[#This Row],[Venta del mes]]&gt;0,Tabla1[[#This Row],[Venta del mes]]+Tabla1[[#This Row],[Ajuste venta nueva]],0)</f>
        <v>0</v>
      </c>
      <c r="Z167" s="6">
        <f>+Tabla1[[#This Row],[Producción para venta nueva]]-Tabla1[[#This Row],[Facturación Venta nueva]]</f>
        <v>1066.2142040566905</v>
      </c>
      <c r="AA167" s="6">
        <f>IF(AND(A167=1,Tabla1[[#This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7" s="6"/>
      <c r="AC167" s="6">
        <f>IF(Tabla1[[#This Row],[Disponible stock sin venta]]&gt;0,Tabla1[[#This Row],[Disponible stock sin venta]]+Tabla1[[#This Row],[Ajuste stock sin venta]],0)</f>
        <v>0</v>
      </c>
      <c r="AD167" s="3">
        <f>IFERROR(VLOOKUP(Tabla1[[#This Row],[Llave]],'[16]TD Puerto'!$A:$D,4,FALSE),0)</f>
        <v>0</v>
      </c>
      <c r="AE167" s="3">
        <v>4330</v>
      </c>
      <c r="AF167" s="3">
        <f>+Tabla1[[#This Row],[Atraso a facturar]]+Tabla1[[#This Row],[Venta del mes]]+Tabla1[[#This Row],[En puerto a facturar]]+Tabla1[[#This Row],[Disponible stock sin venta]]</f>
        <v>4330</v>
      </c>
      <c r="AG167" s="3">
        <f>+Tabla1[[#This Row],[En puerto a facturar]]</f>
        <v>0</v>
      </c>
      <c r="AH167" s="3">
        <f>+Tabla1[[#This Row],[Facturación atraso]]</f>
        <v>4330</v>
      </c>
      <c r="AI167" s="3">
        <f>+Tabla1[[#This Row],[Plan Irrestricto]]-Tabla1[[#This Row],[Puerto ]]-Tabla1[[#This Row],[Atraso]]</f>
        <v>0</v>
      </c>
      <c r="AJ167" s="3">
        <f>IF(Tabla1[[#This Row],[Plan Irrestricto]]&gt;0,SUM(Tabla1[[#This Row],[Facturación atraso]],Tabla1[[#This Row],[Facturación Venta nueva]],Tabla1[[#This Row],[Facturación stock]],Tabla1[[#This Row],[En puerto a facturar]]),0)</f>
        <v>4330</v>
      </c>
      <c r="AK167" s="3">
        <f>+Tabla1[[#This Row],[Facturación atraso]]</f>
        <v>4330</v>
      </c>
      <c r="AL167" s="3">
        <f>+Tabla1[[#This Row],[Plan Ajustado]]-Tabla1[[#This Row],[ Atraso ajustado]]-Tabla1[[#This Row],[Puerto ]]</f>
        <v>0</v>
      </c>
      <c r="AM167" s="3">
        <v>0</v>
      </c>
      <c r="AN167" s="3" t="str">
        <f>IF(Tabla1[[#This Row],[Plan Ajustado]]&gt;Tabla1[[#This Row],[En puerto a facturar]],"Si","No")</f>
        <v>Si</v>
      </c>
      <c r="AO167" s="3">
        <f>IF(AND(Tabla1[[#This Row],[Plan Ajustado]]&gt;0,Tabla1[[#This Row],[Plan Ajustado]]&gt;Tabla1[[#This Row],[En puerto a facturar]]),(Tabla1[[#This Row],[Plan Ajustado]]-Tabla1[[#This Row],[En puerto a facturar]]),0)</f>
        <v>4330</v>
      </c>
      <c r="AP167" s="3">
        <f>IF(Tabla1[[#This Row],[Necesidad]]&gt;=Tabla1[[#This Row],[Stock al día]],Tabla1[[#This Row],[Stock al día]],Tabla1[[#This Row],[Necesidad]])</f>
        <v>950.17</v>
      </c>
      <c r="AQ167" s="3">
        <f>+Tabla1[[#This Row],[Necesidad]]-Tabla1[[#This Row],[Stock Plan]]</f>
        <v>3379.83</v>
      </c>
      <c r="AR167" s="156">
        <f>IFERROR(VLOOKUP(Tabla1[[#This Row],[Oficina]],[22]Ponderación!$B$3:$G$9,6,FALSE),"")</f>
        <v>44765</v>
      </c>
      <c r="AS16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3.96</v>
      </c>
      <c r="AT167" s="83">
        <f>IFERROR(VLOOKUP(Tabla1[[#This Row],[Llave]],[17]DELAY!$H:$W,16,FALSE),0)</f>
        <v>3.5806411476474156</v>
      </c>
      <c r="AU16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3.5806411476474156</v>
      </c>
      <c r="AV167" s="5">
        <f>+Tabla1[[#This Row],[Plan Ajustado]]*Tabla1[[#This Row],[Precio ponderado]]</f>
        <v>15504.17616931331</v>
      </c>
      <c r="AW167" s="30">
        <f>IFERROR(VLOOKUP(Tabla1[[#This Row],[Llave]],'[13]Ultimos precios facturados'!$A:$G,7,FALSE),0)</f>
        <v>3.243279405128205</v>
      </c>
      <c r="AX16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0.10401871081035488</v>
      </c>
      <c r="AY167" s="30"/>
      <c r="AZ167" s="30">
        <f>IF(Tabla1[[#This Row],[Ajuste precio IC]]="",Tabla1[[#This Row],[Precio ponderado]],Tabla1[[#This Row],[Precio ponderado]])</f>
        <v>3.5806411476474156</v>
      </c>
      <c r="BA167" s="82"/>
      <c r="BB167" s="82" t="str">
        <f>IF(AND(Tabla1[[#This Row],[Atraso a facturar]]&gt;0,Tabla1[[#This Row],[Precio Atraso]]=0),"Revisar","OK")</f>
        <v>OK</v>
      </c>
      <c r="BC167" s="82" t="str">
        <f>IF(AND(Tabla1[[#This Row],[Venta del mes]]&gt;0,Tabla1[[#This Row],[Precio venta nueva]]=0),"Revisar","OK")</f>
        <v>OK</v>
      </c>
      <c r="BD167" s="20">
        <f>IFERROR(VLOOKUP(Tabla1[[#This Row],[Llave]],'[5]Consolidación planes'!$A:$M,9,FALSE),0)</f>
        <v>5000</v>
      </c>
      <c r="BE167" s="20">
        <f>IFERROR(VLOOKUP(Tabla1[[#This Row],[Llave]],'[5]Consolidación planes'!$A:$M,10,FALSE),0)</f>
        <v>6000</v>
      </c>
      <c r="BF167" s="20">
        <f>IFERROR(VLOOKUP(Tabla1[[#This Row],[Llave]],'[5]Consolidación planes'!$A:$M,11,FALSE),0)</f>
        <v>2500</v>
      </c>
      <c r="BG167" s="20">
        <f>IFERROR(VLOOKUP(Tabla1[[#This Row],[Llave]],'[5]Consolidación planes'!$A:$M,12,FALSE),0)</f>
        <v>0</v>
      </c>
      <c r="BH167" s="20">
        <f>IFERROR(VLOOKUP(Tabla1[[#This Row],[Llave]],'[5]Consolidación planes'!$A:$M,13,FALSE),0)</f>
        <v>6000</v>
      </c>
      <c r="BI167" s="20">
        <f>IFERROR(VLOOKUP(Tabla1[[#This Row],[Llave]],'[13]Base ultimos planes'!$A:$M,13,FALSE),0)</f>
        <v>1500</v>
      </c>
      <c r="BJ167" s="80">
        <f>IFERROR(VLOOKUP(Tabla1[[#This Row],[Llave]],'[13]Base ultimos planes'!$O:$AA,8,FALSE),0)</f>
        <v>17987.201300000001</v>
      </c>
      <c r="BK167" s="20">
        <f>IFERROR(VLOOKUP(Tabla1[[#This Row],[Llave]],'[13]Base ultimos planes'!$O:$AA,9,FALSE),0)</f>
        <v>21135</v>
      </c>
      <c r="BL167" s="20">
        <f>IFERROR(VLOOKUP(Tabla1[[#This Row],[Llave]],'[13]Base ultimos planes'!$O:$AA,10,FALSE),0)</f>
        <v>8690</v>
      </c>
      <c r="BM167" s="20">
        <f>IFERROR(VLOOKUP(Tabla1[[#This Row],[Llave]],'[13]Base ultimos planes'!$O:$AA,11,FALSE),0)</f>
        <v>0</v>
      </c>
      <c r="BN167" s="20">
        <f>IFERROR(VLOOKUP(Tabla1[[#This Row],[Llave]],'[13]Base ultimos planes'!$O:$AA,12,FALSE),0)</f>
        <v>20254</v>
      </c>
      <c r="BO167" s="20">
        <f>IFERROR(VLOOKUP(Tabla1[[#This Row],[Llave]],'[13]Base ultimos planes'!$O:$AA,13,FALSE),0)</f>
        <v>4841</v>
      </c>
      <c r="BP167" s="20"/>
      <c r="BQ167" s="20">
        <f>+Tabla1[[#This Row],[ RV  Venta mes n+1]]*(1-Tabla1[[#This Row],[% Uti. producción]])</f>
        <v>256.83361929160696</v>
      </c>
      <c r="BR167" s="100"/>
    </row>
    <row r="168" spans="1:70" ht="16" hidden="1" x14ac:dyDescent="0.2">
      <c r="A168">
        <v>1</v>
      </c>
      <c r="B168" t="str">
        <f>Tabla1[[#This Row],[Oficina]]&amp;Tabla1[[#This Row],[Material]]</f>
        <v>Exportacion Directa1020914</v>
      </c>
      <c r="C168" t="s">
        <v>6</v>
      </c>
      <c r="D168" t="s">
        <v>88</v>
      </c>
      <c r="E168">
        <v>1020914</v>
      </c>
      <c r="F168" t="s">
        <v>120</v>
      </c>
      <c r="G168" t="s">
        <v>56</v>
      </c>
      <c r="H168" t="s">
        <v>118</v>
      </c>
      <c r="I168" s="7">
        <f>IFERROR(VLOOKUP(Tabla1[[#This Row],[Llave]],'[7]RV Producción'!$C:$G,5,FALSE),0)</f>
        <v>23027</v>
      </c>
      <c r="J168" s="3">
        <f>IFERROR(IF(Tabla1[[#This Row],[Oficina]]=$I$7,VLOOKUP(Tabla1[[#This Row],[Llave]],'[7]Shangai (Tomas)'!$A:$F,6,FALSE),VLOOKUP(Tabla1[[#This Row],[Llave]],'[7]RV plan de ventas'!$A:$E,5,FALSE)),0)</f>
        <v>9000</v>
      </c>
      <c r="K168" s="8">
        <f>IFERROR(VLOOKUP(Tabla1[[#This Row],[Oficina]],[15]Ponderación!$B$2:$E$9,4,FALSE),0)</f>
        <v>0.87158319035419651</v>
      </c>
      <c r="L168" s="7">
        <f>+Tabla1[[#This Row],[ RV Producción mes n+1]]*Tabla1[[#This Row],[% Uti. producción]]</f>
        <v>20069.946124286082</v>
      </c>
      <c r="M168" s="7">
        <f>IFERROR(VLOOKUP(Tabla1[[#This Row],[Material]],'[17]TD Stock'!$E:$I,5,FALSE),0)</f>
        <v>1720</v>
      </c>
      <c r="N168" s="7">
        <f>IFERROR(VLOOKUP(Tabla1[[#This Row],[Material]],[16]Produccion!$M:$N,2,FALSE),0)</f>
        <v>2893</v>
      </c>
      <c r="O168" s="7">
        <f>IFERROR(VLOOKUP(Tabla1[[#This Row],[Llave]],'[16]TD Conf-AP'!$I:$M,4,FALSE),0)</f>
        <v>2000</v>
      </c>
      <c r="P168" s="14">
        <f>SUM(Tabla1[[#This Row],[Producción disponible]],Tabla1[[#This Row],[Stock al día]],(Tabla1[[#This Row],[Por producir mes N]]*0.9))-Tabla1[[#This Row],[Producción por despachar mes N]]</f>
        <v>22393.646124286082</v>
      </c>
      <c r="Q168" s="7">
        <f>IFERROR(VLOOKUP(Tabla1[[#This Row],[Llave]],[17]DELAY!$A:$D,4,FALSE),0)</f>
        <v>17000</v>
      </c>
      <c r="R168" s="9">
        <v>1285.7142857142858</v>
      </c>
      <c r="S168" s="5">
        <f t="shared" si="31"/>
        <v>17000</v>
      </c>
      <c r="T168" s="76">
        <v>-17000</v>
      </c>
      <c r="U168" s="5">
        <f>+Tabla1[[#This Row],[Atraso a facturar]]+Tabla1[[#This Row],[Ajuste atraso]]</f>
        <v>0</v>
      </c>
      <c r="V168" s="3">
        <f>+Tabla1[[#This Row],[Total disponible]]-Tabla1[[#This Row],[Facturación atraso]]</f>
        <v>22393.646124286082</v>
      </c>
      <c r="W168" s="6">
        <f>IFERROR(IF(AND(V168&gt;R168,J168&gt;=R168),ROUNDDOWN((Tabla1[[#This Row],[Producción para venta nueva]])/R168,0)*R168,0),0)</f>
        <v>21857.142857142859</v>
      </c>
      <c r="X168" s="76">
        <v>-21857</v>
      </c>
      <c r="Y168" s="6">
        <f>IF(Tabla1[[#This Row],[Venta del mes]]&gt;0,Tabla1[[#This Row],[Venta del mes]]+Tabla1[[#This Row],[Ajuste venta nueva]],0)</f>
        <v>0.14285714285870199</v>
      </c>
      <c r="Z168" s="6">
        <f>+Tabla1[[#This Row],[Producción para venta nueva]]-Tabla1[[#This Row],[Facturación Venta nueva]]</f>
        <v>22393.503267143224</v>
      </c>
      <c r="AA168" s="6">
        <f>IF(AND(A168=1,Tabla1[[#This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8" s="6"/>
      <c r="AC168" s="6">
        <f>IF(Tabla1[[#This Row],[Disponible stock sin venta]]&gt;0,Tabla1[[#This Row],[Disponible stock sin venta]]+Tabla1[[#This Row],[Ajuste stock sin venta]],0)</f>
        <v>0</v>
      </c>
      <c r="AD168" s="3">
        <f>IFERROR(VLOOKUP(Tabla1[[#This Row],[Llave]],'[16]TD Puerto'!$A:$D,4,FALSE),0)</f>
        <v>0</v>
      </c>
      <c r="AE168" s="3">
        <v>22142.857142857145</v>
      </c>
      <c r="AF168" s="3">
        <f>+Tabla1[[#This Row],[Atraso a facturar]]+Tabla1[[#This Row],[Venta del mes]]+Tabla1[[#This Row],[En puerto a facturar]]+Tabla1[[#This Row],[Disponible stock sin venta]]</f>
        <v>38857.142857142855</v>
      </c>
      <c r="AG168" s="3">
        <f>+Tabla1[[#This Row],[En puerto a facturar]]</f>
        <v>0</v>
      </c>
      <c r="AH168" s="3">
        <f>+Tabla1[[#This Row],[Facturación atraso]]</f>
        <v>0</v>
      </c>
      <c r="AI168" s="3">
        <f>+Tabla1[[#This Row],[Plan Irrestricto]]-Tabla1[[#This Row],[Puerto ]]-Tabla1[[#This Row],[Atraso]]</f>
        <v>38857.142857142855</v>
      </c>
      <c r="AJ168" s="3">
        <f>IF(Tabla1[[#This Row],[Plan Irrestricto]]&gt;0,SUM(Tabla1[[#This Row],[Facturación atraso]],Tabla1[[#This Row],[Facturación Venta nueva]],Tabla1[[#This Row],[Facturación stock]],Tabla1[[#This Row],[En puerto a facturar]]),0)</f>
        <v>0.14285714285870199</v>
      </c>
      <c r="AK168" s="3">
        <f>+Tabla1[[#This Row],[Facturación atraso]]</f>
        <v>0</v>
      </c>
      <c r="AL168" s="3">
        <f>+Tabla1[[#This Row],[Plan Ajustado]]-Tabla1[[#This Row],[ Atraso ajustado]]-Tabla1[[#This Row],[Puerto ]]</f>
        <v>0.14285714285870199</v>
      </c>
      <c r="AM168" s="3">
        <v>0</v>
      </c>
      <c r="AN168" s="3" t="str">
        <f>IF(Tabla1[[#This Row],[Plan Ajustado]]&gt;Tabla1[[#This Row],[En puerto a facturar]],"Si","No")</f>
        <v>Si</v>
      </c>
      <c r="AO168" s="3">
        <f>IF(AND(Tabla1[[#This Row],[Plan Ajustado]]&gt;0,Tabla1[[#This Row],[Plan Ajustado]]&gt;Tabla1[[#This Row],[En puerto a facturar]]),(Tabla1[[#This Row],[Plan Ajustado]]-Tabla1[[#This Row],[En puerto a facturar]]),0)</f>
        <v>0.14285714285870199</v>
      </c>
      <c r="AP168" s="3">
        <f>IF(Tabla1[[#This Row],[Necesidad]]&gt;=Tabla1[[#This Row],[Stock al día]],Tabla1[[#This Row],[Stock al día]],Tabla1[[#This Row],[Necesidad]])</f>
        <v>0.14285714285870199</v>
      </c>
      <c r="AQ168" s="3">
        <f>+Tabla1[[#This Row],[Necesidad]]-Tabla1[[#This Row],[Stock Plan]]</f>
        <v>0</v>
      </c>
      <c r="AR168" s="156">
        <f>IFERROR(VLOOKUP(Tabla1[[#This Row],[Oficina]],[22]Ponderación!$B$3:$G$9,6,FALSE),"")</f>
        <v>44765</v>
      </c>
      <c r="AS16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5.4</v>
      </c>
      <c r="AT168" s="83">
        <f>IFERROR(VLOOKUP(Tabla1[[#This Row],[Llave]],[17]DELAY!$H:$W,16,FALSE),0)</f>
        <v>5.4333122729225023</v>
      </c>
      <c r="AU16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5.4</v>
      </c>
      <c r="AV168" s="5">
        <f>+Tabla1[[#This Row],[Plan Ajustado]]*Tabla1[[#This Row],[Precio ponderado]]</f>
        <v>0.77142857143699084</v>
      </c>
      <c r="AW168" s="30">
        <f>IFERROR(VLOOKUP(Tabla1[[#This Row],[Llave]],'[13]Ultimos precios facturados'!$A:$G,7,FALSE),0)</f>
        <v>5.1318059372396556</v>
      </c>
      <c r="AX16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5.2261146668496884E-2</v>
      </c>
      <c r="AY168" s="30"/>
      <c r="AZ168" s="30">
        <f>IF(Tabla1[[#This Row],[Ajuste precio IC]]="",Tabla1[[#This Row],[Precio ponderado]],Tabla1[[#This Row],[Precio ponderado]])</f>
        <v>5.4</v>
      </c>
      <c r="BA168" s="82"/>
      <c r="BB168" s="82" t="str">
        <f>IF(AND(Tabla1[[#This Row],[Atraso a facturar]]&gt;0,Tabla1[[#This Row],[Precio Atraso]]=0),"Revisar","OK")</f>
        <v>OK</v>
      </c>
      <c r="BC168" s="82" t="str">
        <f>IF(AND(Tabla1[[#This Row],[Venta del mes]]&gt;0,Tabla1[[#This Row],[Precio venta nueva]]=0),"Revisar","OK")</f>
        <v>OK</v>
      </c>
      <c r="BD168" s="20">
        <f>IFERROR(VLOOKUP(Tabla1[[#This Row],[Llave]],'[5]Consolidación planes'!$A:$M,9,FALSE),0)</f>
        <v>3000</v>
      </c>
      <c r="BE168" s="20">
        <f>IFERROR(VLOOKUP(Tabla1[[#This Row],[Llave]],'[5]Consolidación planes'!$A:$M,10,FALSE),0)</f>
        <v>0</v>
      </c>
      <c r="BF168" s="20">
        <f>IFERROR(VLOOKUP(Tabla1[[#This Row],[Llave]],'[5]Consolidación planes'!$A:$M,11,FALSE),0)</f>
        <v>3000</v>
      </c>
      <c r="BG168" s="20">
        <f>IFERROR(VLOOKUP(Tabla1[[#This Row],[Llave]],'[5]Consolidación planes'!$A:$M,12,FALSE),0)</f>
        <v>15000</v>
      </c>
      <c r="BH168" s="20">
        <f>IFERROR(VLOOKUP(Tabla1[[#This Row],[Llave]],'[5]Consolidación planes'!$A:$M,13,FALSE),0)</f>
        <v>10000</v>
      </c>
      <c r="BI168" s="20">
        <f>IFERROR(VLOOKUP(Tabla1[[#This Row],[Llave]],'[13]Base ultimos planes'!$A:$M,13,FALSE),0)</f>
        <v>12786</v>
      </c>
      <c r="BJ168" s="80">
        <f>IFERROR(VLOOKUP(Tabla1[[#This Row],[Llave]],'[13]Base ultimos planes'!$O:$AA,8,FALSE),0)</f>
        <v>17508.131799999999</v>
      </c>
      <c r="BK168" s="20">
        <f>IFERROR(VLOOKUP(Tabla1[[#This Row],[Llave]],'[13]Base ultimos planes'!$O:$AA,9,FALSE),0)</f>
        <v>0</v>
      </c>
      <c r="BL168" s="20">
        <f>IFERROR(VLOOKUP(Tabla1[[#This Row],[Llave]],'[13]Base ultimos planes'!$O:$AA,10,FALSE),0)</f>
        <v>17286</v>
      </c>
      <c r="BM168" s="20">
        <f>IFERROR(VLOOKUP(Tabla1[[#This Row],[Llave]],'[13]Base ultimos planes'!$O:$AA,11,FALSE),0)</f>
        <v>84027</v>
      </c>
      <c r="BN168" s="20">
        <f>IFERROR(VLOOKUP(Tabla1[[#This Row],[Llave]],'[13]Base ultimos planes'!$O:$AA,12,FALSE),0)</f>
        <v>55306</v>
      </c>
      <c r="BO168" s="20">
        <f>IFERROR(VLOOKUP(Tabla1[[#This Row],[Llave]],'[13]Base ultimos planes'!$O:$AA,13,FALSE),0)</f>
        <v>65820</v>
      </c>
      <c r="BP168" s="20"/>
      <c r="BQ168" s="20">
        <f>+Tabla1[[#This Row],[ RV  Venta mes n+1]]*(1-Tabla1[[#This Row],[% Uti. producción]])</f>
        <v>1155.7512868122315</v>
      </c>
      <c r="BR168" s="100"/>
    </row>
    <row r="169" spans="1:70" ht="16" x14ac:dyDescent="0.2">
      <c r="A169">
        <v>1</v>
      </c>
      <c r="B169" t="str">
        <f>Tabla1[[#This Row],[Oficina]]&amp;Tabla1[[#This Row],[Material]]</f>
        <v>Exportacion Directa1020990</v>
      </c>
      <c r="C169" t="s">
        <v>6</v>
      </c>
      <c r="D169" t="s">
        <v>88</v>
      </c>
      <c r="E169">
        <v>1020990</v>
      </c>
      <c r="F169" t="s">
        <v>132</v>
      </c>
      <c r="G169" t="s">
        <v>59</v>
      </c>
      <c r="H169" t="s">
        <v>65</v>
      </c>
      <c r="I169" s="7">
        <f>IFERROR(VLOOKUP(Tabla1[[#This Row],[Llave]],'[7]RV Producción'!$C:$G,5,FALSE),0)</f>
        <v>1181</v>
      </c>
      <c r="J169" s="3">
        <f>IFERROR(IF(Tabla1[[#This Row],[Oficina]]=$I$7,VLOOKUP(Tabla1[[#This Row],[Llave]],'[7]Shangai (Tomas)'!$A:$F,6,FALSE),VLOOKUP(Tabla1[[#This Row],[Llave]],'[7]RV plan de ventas'!$A:$E,5,FALSE)),0)</f>
        <v>5000</v>
      </c>
      <c r="K169" s="8">
        <f>IFERROR(VLOOKUP(Tabla1[[#This Row],[Oficina]],[15]Ponderación!$B$2:$E$9,4,FALSE),0)</f>
        <v>0.87158319035419651</v>
      </c>
      <c r="L169" s="7">
        <f>+Tabla1[[#This Row],[ RV Producción mes n+1]]*Tabla1[[#This Row],[% Uti. producción]]</f>
        <v>1029.3397478083061</v>
      </c>
      <c r="M169" s="7">
        <f>IFERROR(VLOOKUP(Tabla1[[#This Row],[Material]],'[17]TD Stock'!$E:$I,5,FALSE),0)</f>
        <v>15808.163999999999</v>
      </c>
      <c r="N169" s="7">
        <f>IFERROR(VLOOKUP(Tabla1[[#This Row],[Material]],[16]Produccion!$M:$N,2,FALSE),0)</f>
        <v>0</v>
      </c>
      <c r="O169" s="7">
        <f>IFERROR(VLOOKUP(Tabla1[[#This Row],[Llave]],'[16]TD Conf-AP'!$I:$M,4,FALSE),0)</f>
        <v>0</v>
      </c>
      <c r="P169" s="14">
        <f>SUM(Tabla1[[#This Row],[Producción disponible]],Tabla1[[#This Row],[Stock al día]],(Tabla1[[#This Row],[Por producir mes N]]*0.9))-Tabla1[[#This Row],[Producción por despachar mes N]]</f>
        <v>16837.503747808303</v>
      </c>
      <c r="Q169" s="7">
        <f>IFERROR(VLOOKUP(Tabla1[[#This Row],[Llave]],[17]DELAY!$A:$D,4,FALSE),0)</f>
        <v>5000</v>
      </c>
      <c r="R169" s="9">
        <v>2666.6666666666665</v>
      </c>
      <c r="S169" s="5">
        <f t="shared" si="31"/>
        <v>5000</v>
      </c>
      <c r="T169" s="76">
        <v>-1000</v>
      </c>
      <c r="U169" s="5">
        <f>+Tabla1[[#This Row],[Atraso a facturar]]+Tabla1[[#This Row],[Ajuste atraso]]</f>
        <v>4000</v>
      </c>
      <c r="V169" s="3">
        <f>+Tabla1[[#This Row],[Total disponible]]-Tabla1[[#This Row],[Facturación atraso]]</f>
        <v>12837.503747808303</v>
      </c>
      <c r="W169" s="6">
        <f>IFERROR(IF(AND(V169&gt;R169,J169&gt;=R169),ROUNDDOWN((Tabla1[[#This Row],[Producción para venta nueva]])/R169,0)*R169,0),0)</f>
        <v>10666.666666666666</v>
      </c>
      <c r="X169" s="76">
        <v>-3000</v>
      </c>
      <c r="Y169" s="6">
        <f>IF(Tabla1[[#This Row],[Venta del mes]]&gt;0,Tabla1[[#This Row],[Venta del mes]]+Tabla1[[#This Row],[Ajuste venta nueva]],0)</f>
        <v>7666.6666666666661</v>
      </c>
      <c r="Z169" s="6">
        <f>+Tabla1[[#This Row],[Producción para venta nueva]]-Tabla1[[#This Row],[Facturación Venta nueva]]</f>
        <v>5170.8370811416371</v>
      </c>
      <c r="AA169" s="6">
        <f>IF(AND(A169=1,Tabla1[[#This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69" s="6"/>
      <c r="AC169" s="6">
        <f>IF(Tabla1[[#This Row],[Disponible stock sin venta]]&gt;0,Tabla1[[#This Row],[Disponible stock sin venta]]+Tabla1[[#This Row],[Ajuste stock sin venta]],0)</f>
        <v>0</v>
      </c>
      <c r="AD169" s="3">
        <f>IFERROR(VLOOKUP(Tabla1[[#This Row],[Llave]],'[16]TD Puerto'!$A:$D,4,FALSE),0)</f>
        <v>0</v>
      </c>
      <c r="AE169" s="3">
        <v>15666.666666666666</v>
      </c>
      <c r="AF169" s="3">
        <f>+Tabla1[[#This Row],[Atraso a facturar]]+Tabla1[[#This Row],[Venta del mes]]+Tabla1[[#This Row],[En puerto a facturar]]+Tabla1[[#This Row],[Disponible stock sin venta]]</f>
        <v>15666.666666666666</v>
      </c>
      <c r="AG169" s="3">
        <f>+Tabla1[[#This Row],[En puerto a facturar]]</f>
        <v>0</v>
      </c>
      <c r="AH169" s="3">
        <f>+Tabla1[[#This Row],[Facturación atraso]]</f>
        <v>4000</v>
      </c>
      <c r="AI169" s="3">
        <f>+Tabla1[[#This Row],[Plan Irrestricto]]-Tabla1[[#This Row],[Puerto ]]-Tabla1[[#This Row],[Atraso]]</f>
        <v>11666.666666666666</v>
      </c>
      <c r="AJ169" s="3">
        <f>IF(Tabla1[[#This Row],[Plan Irrestricto]]&gt;0,SUM(Tabla1[[#This Row],[Facturación atraso]],Tabla1[[#This Row],[Facturación Venta nueva]],Tabla1[[#This Row],[Facturación stock]],Tabla1[[#This Row],[En puerto a facturar]]),0)</f>
        <v>11666.666666666666</v>
      </c>
      <c r="AK169" s="3">
        <f>+Tabla1[[#This Row],[Facturación atraso]]</f>
        <v>4000</v>
      </c>
      <c r="AL169" s="3">
        <f>+Tabla1[[#This Row],[Plan Ajustado]]-Tabla1[[#This Row],[ Atraso ajustado]]-Tabla1[[#This Row],[Puerto ]]</f>
        <v>7666.6666666666661</v>
      </c>
      <c r="AM169" s="3" t="s">
        <v>789</v>
      </c>
      <c r="AN169" s="3" t="str">
        <f>IF(Tabla1[[#This Row],[Plan Ajustado]]&gt;Tabla1[[#This Row],[En puerto a facturar]],"Si","No")</f>
        <v>Si</v>
      </c>
      <c r="AO169" s="3">
        <f>IF(AND(Tabla1[[#This Row],[Plan Ajustado]]&gt;0,Tabla1[[#This Row],[Plan Ajustado]]&gt;Tabla1[[#This Row],[En puerto a facturar]]),(Tabla1[[#This Row],[Plan Ajustado]]-Tabla1[[#This Row],[En puerto a facturar]]),0)</f>
        <v>11666.666666666666</v>
      </c>
      <c r="AP169" s="3">
        <f>IF(Tabla1[[#This Row],[Necesidad]]&gt;=Tabla1[[#This Row],[Stock al día]],Tabla1[[#This Row],[Stock al día]],Tabla1[[#This Row],[Necesidad]])</f>
        <v>11666.666666666666</v>
      </c>
      <c r="AQ169" s="3">
        <f>+Tabla1[[#This Row],[Necesidad]]-Tabla1[[#This Row],[Stock Plan]]</f>
        <v>0</v>
      </c>
      <c r="AR169" s="156">
        <f>IFERROR(VLOOKUP(Tabla1[[#This Row],[Oficina]],[22]Ponderación!$B$3:$G$9,6,FALSE),"")</f>
        <v>44765</v>
      </c>
      <c r="AS16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3.456</v>
      </c>
      <c r="AT169" s="83">
        <f>IFERROR(VLOOKUP(Tabla1[[#This Row],[Llave]],[17]DELAY!$H:$W,16,FALSE),0)</f>
        <v>3.4698292199999998</v>
      </c>
      <c r="AU16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3.4607414468571429</v>
      </c>
      <c r="AV169" s="5">
        <f>+Tabla1[[#This Row],[Plan Ajustado]]*Tabla1[[#This Row],[Precio ponderado]]</f>
        <v>40375.316879999998</v>
      </c>
      <c r="AW169" s="30">
        <f>IFERROR(VLOOKUP(Tabla1[[#This Row],[Llave]],'[13]Ultimos precios facturados'!$A:$G,7,FALSE),0)</f>
        <v>3.6921862292727035</v>
      </c>
      <c r="AX16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6.268502400572333E-2</v>
      </c>
      <c r="AY169" s="30"/>
      <c r="AZ169" s="30">
        <f>IF(Tabla1[[#This Row],[Ajuste precio IC]]="",Tabla1[[#This Row],[Precio ponderado]],Tabla1[[#This Row],[Precio ponderado]])</f>
        <v>3.4607414468571429</v>
      </c>
      <c r="BA169" s="82"/>
      <c r="BB169" s="82" t="str">
        <f>IF(AND(Tabla1[[#This Row],[Atraso a facturar]]&gt;0,Tabla1[[#This Row],[Precio Atraso]]=0),"Revisar","OK")</f>
        <v>OK</v>
      </c>
      <c r="BC169" s="82" t="str">
        <f>IF(AND(Tabla1[[#This Row],[Venta del mes]]&gt;0,Tabla1[[#This Row],[Precio venta nueva]]=0),"Revisar","OK")</f>
        <v>OK</v>
      </c>
      <c r="BD169" s="20">
        <f>IFERROR(VLOOKUP(Tabla1[[#This Row],[Llave]],'[5]Consolidación planes'!$A:$M,9,FALSE),0)</f>
        <v>8750</v>
      </c>
      <c r="BE169" s="20">
        <f>IFERROR(VLOOKUP(Tabla1[[#This Row],[Llave]],'[5]Consolidación planes'!$A:$M,10,FALSE),0)</f>
        <v>4750</v>
      </c>
      <c r="BF169" s="20">
        <f>IFERROR(VLOOKUP(Tabla1[[#This Row],[Llave]],'[5]Consolidación planes'!$A:$M,11,FALSE),0)</f>
        <v>7000</v>
      </c>
      <c r="BG169" s="20">
        <f>IFERROR(VLOOKUP(Tabla1[[#This Row],[Llave]],'[5]Consolidación planes'!$A:$M,12,FALSE),0)</f>
        <v>13000</v>
      </c>
      <c r="BH169" s="20">
        <f>IFERROR(VLOOKUP(Tabla1[[#This Row],[Llave]],'[5]Consolidación planes'!$A:$M,13,FALSE),0)</f>
        <v>13000</v>
      </c>
      <c r="BI169" s="20">
        <f>IFERROR(VLOOKUP(Tabla1[[#This Row],[Llave]],'[13]Base ultimos planes'!$A:$M,13,FALSE),0)</f>
        <v>8000</v>
      </c>
      <c r="BJ169" s="80">
        <f>IFERROR(VLOOKUP(Tabla1[[#This Row],[Llave]],'[13]Base ultimos planes'!$O:$AA,8,FALSE),0)</f>
        <v>36645.971899999997</v>
      </c>
      <c r="BK169" s="20">
        <f>IFERROR(VLOOKUP(Tabla1[[#This Row],[Llave]],'[13]Base ultimos planes'!$O:$AA,9,FALSE),0)</f>
        <v>19327</v>
      </c>
      <c r="BL169" s="20">
        <f>IFERROR(VLOOKUP(Tabla1[[#This Row],[Llave]],'[13]Base ultimos planes'!$O:$AA,10,FALSE),0)</f>
        <v>28598</v>
      </c>
      <c r="BM169" s="20">
        <f>IFERROR(VLOOKUP(Tabla1[[#This Row],[Llave]],'[13]Base ultimos planes'!$O:$AA,11,FALSE),0)</f>
        <v>51483</v>
      </c>
      <c r="BN169" s="20">
        <f>IFERROR(VLOOKUP(Tabla1[[#This Row],[Llave]],'[13]Base ultimos planes'!$O:$AA,12,FALSE),0)</f>
        <v>50072</v>
      </c>
      <c r="BO169" s="20">
        <f>IFERROR(VLOOKUP(Tabla1[[#This Row],[Llave]],'[13]Base ultimos planes'!$O:$AA,13,FALSE),0)</f>
        <v>28828</v>
      </c>
      <c r="BP169" s="20"/>
      <c r="BQ169" s="20">
        <f>+Tabla1[[#This Row],[ RV  Venta mes n+1]]*(1-Tabla1[[#This Row],[% Uti. producción]])</f>
        <v>642.08404822901741</v>
      </c>
      <c r="BR169" s="100"/>
    </row>
    <row r="170" spans="1:70" ht="16" hidden="1" x14ac:dyDescent="0.2">
      <c r="A170">
        <v>1</v>
      </c>
      <c r="B170" t="str">
        <f>Tabla1[[#This Row],[Oficina]]&amp;Tabla1[[#This Row],[Material]]</f>
        <v>Exportacion Directa1020991</v>
      </c>
      <c r="C170" t="s">
        <v>6</v>
      </c>
      <c r="D170" t="s">
        <v>88</v>
      </c>
      <c r="E170">
        <v>1020991</v>
      </c>
      <c r="F170" t="s">
        <v>133</v>
      </c>
      <c r="G170" t="s">
        <v>59</v>
      </c>
      <c r="H170" t="s">
        <v>65</v>
      </c>
      <c r="I170" s="7">
        <f>IFERROR(VLOOKUP(Tabla1[[#This Row],[Llave]],'[7]RV Producción'!$C:$G,5,FALSE),0)</f>
        <v>14017</v>
      </c>
      <c r="J170" s="3">
        <f>IFERROR(IF(Tabla1[[#This Row],[Oficina]]=$I$7,VLOOKUP(Tabla1[[#This Row],[Llave]],'[7]Shangai (Tomas)'!$A:$F,6,FALSE),VLOOKUP(Tabla1[[#This Row],[Llave]],'[7]RV plan de ventas'!$A:$E,5,FALSE)),0)</f>
        <v>9000</v>
      </c>
      <c r="K170" s="8">
        <f>IFERROR(VLOOKUP(Tabla1[[#This Row],[Oficina]],[15]Ponderación!$B$2:$E$9,4,FALSE),0)</f>
        <v>0.87158319035419651</v>
      </c>
      <c r="L170" s="7">
        <f>+Tabla1[[#This Row],[ RV Producción mes n+1]]*Tabla1[[#This Row],[% Uti. producción]]</f>
        <v>12216.981579194773</v>
      </c>
      <c r="M170" s="7">
        <f>IFERROR(VLOOKUP(Tabla1[[#This Row],[Material]],'[17]TD Stock'!$E:$I,5,FALSE),0)</f>
        <v>7361.6999999999989</v>
      </c>
      <c r="N170" s="7">
        <f>IFERROR(VLOOKUP(Tabla1[[#This Row],[Material]],[16]Produccion!$M:$N,2,FALSE),0)</f>
        <v>3438.93</v>
      </c>
      <c r="O170" s="7">
        <f>IFERROR(VLOOKUP(Tabla1[[#This Row],[Llave]],'[16]TD Conf-AP'!$I:$M,4,FALSE),0)</f>
        <v>12600</v>
      </c>
      <c r="P170" s="14">
        <f>SUM(Tabla1[[#This Row],[Producción disponible]],Tabla1[[#This Row],[Stock al día]],(Tabla1[[#This Row],[Por producir mes N]]*0.9))-Tabla1[[#This Row],[Producción por despachar mes N]]</f>
        <v>10073.718579194774</v>
      </c>
      <c r="Q170" s="7">
        <f>IFERROR(VLOOKUP(Tabla1[[#This Row],[Llave]],[17]DELAY!$A:$D,4,FALSE),0)</f>
        <v>16500</v>
      </c>
      <c r="R170" s="9">
        <v>3333.3333333333335</v>
      </c>
      <c r="S170" s="5">
        <f t="shared" si="31"/>
        <v>10000</v>
      </c>
      <c r="T170" s="76">
        <v>-10000</v>
      </c>
      <c r="U170" s="5">
        <f>+Tabla1[[#This Row],[Atraso a facturar]]+Tabla1[[#This Row],[Ajuste atraso]]</f>
        <v>0</v>
      </c>
      <c r="V170" s="3">
        <f>+Tabla1[[#This Row],[Total disponible]]-Tabla1[[#This Row],[Facturación atraso]]</f>
        <v>10073.718579194774</v>
      </c>
      <c r="W170" s="6">
        <f>IFERROR(IF(AND(V170&gt;R170,J170&gt;=R170),ROUNDDOWN((Tabla1[[#This Row],[Producción para venta nueva]])/R170,0)*R170,0),0)</f>
        <v>10000</v>
      </c>
      <c r="X170" s="76">
        <v>-10000</v>
      </c>
      <c r="Y170" s="6">
        <f>IF(Tabla1[[#This Row],[Venta del mes]]&gt;0,Tabla1[[#This Row],[Venta del mes]]+Tabla1[[#This Row],[Ajuste venta nueva]],0)</f>
        <v>0</v>
      </c>
      <c r="Z170" s="6">
        <f>+Tabla1[[#This Row],[Producción para venta nueva]]-Tabla1[[#This Row],[Facturación Venta nueva]]</f>
        <v>10073.718579194774</v>
      </c>
      <c r="AA170" s="6">
        <f>IF(AND(A170=1,Tabla1[[#This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0" s="6"/>
      <c r="AC170" s="6">
        <f>IF(Tabla1[[#This Row],[Disponible stock sin venta]]&gt;0,Tabla1[[#This Row],[Disponible stock sin venta]]+Tabla1[[#This Row],[Ajuste stock sin venta]],0)</f>
        <v>0</v>
      </c>
      <c r="AD170" s="3">
        <f>IFERROR(VLOOKUP(Tabla1[[#This Row],[Llave]],'[16]TD Puerto'!$A:$D,4,FALSE),0)</f>
        <v>0</v>
      </c>
      <c r="AE170" s="3">
        <v>10000</v>
      </c>
      <c r="AF170" s="3">
        <f>+Tabla1[[#This Row],[Atraso a facturar]]+Tabla1[[#This Row],[Venta del mes]]+Tabla1[[#This Row],[En puerto a facturar]]+Tabla1[[#This Row],[Disponible stock sin venta]]</f>
        <v>20000</v>
      </c>
      <c r="AG170" s="3">
        <f>+Tabla1[[#This Row],[En puerto a facturar]]</f>
        <v>0</v>
      </c>
      <c r="AH170" s="3">
        <f>+Tabla1[[#This Row],[Facturación atraso]]</f>
        <v>0</v>
      </c>
      <c r="AI170" s="3">
        <f>+Tabla1[[#This Row],[Plan Irrestricto]]-Tabla1[[#This Row],[Puerto ]]-Tabla1[[#This Row],[Atraso]]</f>
        <v>20000</v>
      </c>
      <c r="AJ17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70" s="3">
        <f>+Tabla1[[#This Row],[Facturación atraso]]</f>
        <v>0</v>
      </c>
      <c r="AL170" s="3">
        <f>+Tabla1[[#This Row],[Plan Ajustado]]-Tabla1[[#This Row],[ Atraso ajustado]]-Tabla1[[#This Row],[Puerto ]]</f>
        <v>0</v>
      </c>
      <c r="AM170" s="3">
        <v>0</v>
      </c>
      <c r="AN170" s="3" t="str">
        <f>IF(Tabla1[[#This Row],[Plan Ajustado]]&gt;Tabla1[[#This Row],[En puerto a facturar]],"Si","No")</f>
        <v>No</v>
      </c>
      <c r="AO17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70" s="3">
        <f>IF(Tabla1[[#This Row],[Necesidad]]&gt;=Tabla1[[#This Row],[Stock al día]],Tabla1[[#This Row],[Stock al día]],Tabla1[[#This Row],[Necesidad]])</f>
        <v>0</v>
      </c>
      <c r="AQ170" s="3">
        <f>+Tabla1[[#This Row],[Necesidad]]-Tabla1[[#This Row],[Stock Plan]]</f>
        <v>0</v>
      </c>
      <c r="AR170" s="156">
        <f>IFERROR(VLOOKUP(Tabla1[[#This Row],[Oficina]],[22]Ponderación!$B$3:$G$9,6,FALSE),"")</f>
        <v>44765</v>
      </c>
      <c r="AS17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3.456</v>
      </c>
      <c r="AT170" s="83">
        <f>IFERROR(VLOOKUP(Tabla1[[#This Row],[Llave]],[17]DELAY!$H:$W,16,FALSE),0)</f>
        <v>3.61048676969697</v>
      </c>
      <c r="AU17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70" s="5">
        <f>+Tabla1[[#This Row],[Plan Ajustado]]*Tabla1[[#This Row],[Precio ponderado]]</f>
        <v>0</v>
      </c>
      <c r="AW170" s="30">
        <f>IFERROR(VLOOKUP(Tabla1[[#This Row],[Llave]],'[13]Ultimos precios facturados'!$A:$G,7,FALSE),0)</f>
        <v>3.5987652719465575</v>
      </c>
      <c r="AX17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70" s="30"/>
      <c r="AZ170" s="30">
        <f>IF(Tabla1[[#This Row],[Ajuste precio IC]]="",Tabla1[[#This Row],[Precio ponderado]],Tabla1[[#This Row],[Precio ponderado]])</f>
        <v>0</v>
      </c>
      <c r="BA170" s="82"/>
      <c r="BB170" s="82" t="str">
        <f>IF(AND(Tabla1[[#This Row],[Atraso a facturar]]&gt;0,Tabla1[[#This Row],[Precio Atraso]]=0),"Revisar","OK")</f>
        <v>OK</v>
      </c>
      <c r="BC170" s="82" t="str">
        <f>IF(AND(Tabla1[[#This Row],[Venta del mes]]&gt;0,Tabla1[[#This Row],[Precio venta nueva]]=0),"Revisar","OK")</f>
        <v>OK</v>
      </c>
      <c r="BD170" s="20">
        <f>IFERROR(VLOOKUP(Tabla1[[#This Row],[Llave]],'[5]Consolidación planes'!$A:$M,9,FALSE),0)</f>
        <v>1250</v>
      </c>
      <c r="BE170" s="20">
        <f>IFERROR(VLOOKUP(Tabla1[[#This Row],[Llave]],'[5]Consolidación planes'!$A:$M,10,FALSE),0)</f>
        <v>5000</v>
      </c>
      <c r="BF170" s="20">
        <f>IFERROR(VLOOKUP(Tabla1[[#This Row],[Llave]],'[5]Consolidación planes'!$A:$M,11,FALSE),0)</f>
        <v>5000</v>
      </c>
      <c r="BG170" s="20">
        <f>IFERROR(VLOOKUP(Tabla1[[#This Row],[Llave]],'[5]Consolidación planes'!$A:$M,12,FALSE),0)</f>
        <v>60000</v>
      </c>
      <c r="BH170" s="20">
        <f>IFERROR(VLOOKUP(Tabla1[[#This Row],[Llave]],'[5]Consolidación planes'!$A:$M,13,FALSE),0)</f>
        <v>10000</v>
      </c>
      <c r="BI170" s="20">
        <f>IFERROR(VLOOKUP(Tabla1[[#This Row],[Llave]],'[13]Base ultimos planes'!$A:$M,13,FALSE),0)</f>
        <v>10000</v>
      </c>
      <c r="BJ170" s="80">
        <f>IFERROR(VLOOKUP(Tabla1[[#This Row],[Llave]],'[13]Base ultimos planes'!$O:$AA,8,FALSE),0)</f>
        <v>5233.6656000000003</v>
      </c>
      <c r="BK170" s="20">
        <f>IFERROR(VLOOKUP(Tabla1[[#This Row],[Llave]],'[13]Base ultimos planes'!$O:$AA,9,FALSE),0)</f>
        <v>20319</v>
      </c>
      <c r="BL170" s="20">
        <f>IFERROR(VLOOKUP(Tabla1[[#This Row],[Llave]],'[13]Base ultimos planes'!$O:$AA,10,FALSE),0)</f>
        <v>20402</v>
      </c>
      <c r="BM170" s="20">
        <f>IFERROR(VLOOKUP(Tabla1[[#This Row],[Llave]],'[13]Base ultimos planes'!$O:$AA,11,FALSE),0)</f>
        <v>237274</v>
      </c>
      <c r="BN170" s="20">
        <f>IFERROR(VLOOKUP(Tabla1[[#This Row],[Llave]],'[13]Base ultimos planes'!$O:$AA,12,FALSE),0)</f>
        <v>38437</v>
      </c>
      <c r="BO170" s="20">
        <f>IFERROR(VLOOKUP(Tabla1[[#This Row],[Llave]],'[13]Base ultimos planes'!$O:$AA,13,FALSE),0)</f>
        <v>36035</v>
      </c>
      <c r="BP170" s="20"/>
      <c r="BQ170" s="20">
        <f>+Tabla1[[#This Row],[ RV  Venta mes n+1]]*(1-Tabla1[[#This Row],[% Uti. producción]])</f>
        <v>1155.7512868122315</v>
      </c>
      <c r="BR170" s="100"/>
    </row>
    <row r="171" spans="1:70" ht="16" x14ac:dyDescent="0.2">
      <c r="A171">
        <v>1</v>
      </c>
      <c r="B171" t="str">
        <f>Tabla1[[#This Row],[Oficina]]&amp;Tabla1[[#This Row],[Material]]</f>
        <v>Exportacion Directa1021136</v>
      </c>
      <c r="C171" t="s">
        <v>6</v>
      </c>
      <c r="D171" t="s">
        <v>88</v>
      </c>
      <c r="E171">
        <v>1021136</v>
      </c>
      <c r="F171" t="s">
        <v>139</v>
      </c>
      <c r="G171" t="s">
        <v>76</v>
      </c>
      <c r="H171" t="s">
        <v>84</v>
      </c>
      <c r="I171" s="7">
        <f>IFERROR(VLOOKUP(Tabla1[[#This Row],[Llave]],'[7]RV Producción'!$C:$G,5,FALSE),0)</f>
        <v>0</v>
      </c>
      <c r="J171" s="3">
        <f>IFERROR(IF(Tabla1[[#This Row],[Oficina]]=$I$7,VLOOKUP(Tabla1[[#This Row],[Llave]],'[7]Shangai (Tomas)'!$A:$F,6,FALSE),VLOOKUP(Tabla1[[#This Row],[Llave]],'[7]RV plan de ventas'!$A:$E,5,FALSE)),0)</f>
        <v>2000</v>
      </c>
      <c r="K171" s="8">
        <f>IFERROR(VLOOKUP(Tabla1[[#This Row],[Oficina]],[15]Ponderación!$B$2:$E$9,4,FALSE),0)</f>
        <v>0.87158319035419651</v>
      </c>
      <c r="L171" s="7">
        <f>+Tabla1[[#This Row],[ RV Producción mes n+1]]*Tabla1[[#This Row],[% Uti. producción]]</f>
        <v>0</v>
      </c>
      <c r="M171" s="7">
        <f>IFERROR(VLOOKUP(Tabla1[[#This Row],[Material]],'[17]TD Stock'!$E:$I,5,FALSE),0)</f>
        <v>5970.04</v>
      </c>
      <c r="N171" s="7">
        <f>IFERROR(VLOOKUP(Tabla1[[#This Row],[Material]],[16]Produccion!$M:$N,2,FALSE),0)</f>
        <v>2456</v>
      </c>
      <c r="O171" s="7">
        <f>IFERROR(VLOOKUP(Tabla1[[#This Row],[Llave]],'[16]TD Conf-AP'!$I:$M,4,FALSE),0)</f>
        <v>0</v>
      </c>
      <c r="P171" s="14">
        <f>SUM(Tabla1[[#This Row],[Producción disponible]],Tabla1[[#This Row],[Stock al día]],(Tabla1[[#This Row],[Por producir mes N]]*0.9))-Tabla1[[#This Row],[Producción por despachar mes N]]</f>
        <v>8180.4400000000005</v>
      </c>
      <c r="Q171" s="7">
        <f>IFERROR(VLOOKUP(Tabla1[[#This Row],[Llave]],[17]DELAY!$A:$D,4,FALSE),0)</f>
        <v>2000</v>
      </c>
      <c r="R171" s="9">
        <v>2666.6666666666665</v>
      </c>
      <c r="S171" s="5">
        <f t="shared" si="31"/>
        <v>2000</v>
      </c>
      <c r="T171" s="76">
        <v>0</v>
      </c>
      <c r="U171" s="5">
        <f>+Tabla1[[#This Row],[Atraso a facturar]]+Tabla1[[#This Row],[Ajuste atraso]]</f>
        <v>2000</v>
      </c>
      <c r="V171" s="3">
        <f>+Tabla1[[#This Row],[Total disponible]]-Tabla1[[#This Row],[Facturación atraso]]</f>
        <v>6180.4400000000005</v>
      </c>
      <c r="W171" s="6">
        <f>IFERROR(IF(AND(V171&gt;R171,J171&gt;=R171),ROUNDDOWN((Tabla1[[#This Row],[Producción para venta nueva]])/R171,0)*R171,0),0)</f>
        <v>0</v>
      </c>
      <c r="X171" s="76">
        <v>0</v>
      </c>
      <c r="Y171" s="6">
        <f>IF(Tabla1[[#This Row],[Venta del mes]]&gt;0,Tabla1[[#This Row],[Venta del mes]]+Tabla1[[#This Row],[Ajuste venta nueva]],0)</f>
        <v>0</v>
      </c>
      <c r="Z171" s="6">
        <f>+Tabla1[[#This Row],[Producción para venta nueva]]-Tabla1[[#This Row],[Facturación Venta nueva]]</f>
        <v>6180.4400000000005</v>
      </c>
      <c r="AA171" s="6">
        <f>IF(AND(A171=1,Tabla1[[#This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5333.333333333333</v>
      </c>
      <c r="AB171" s="6"/>
      <c r="AC171" s="6">
        <f>IF(Tabla1[[#This Row],[Disponible stock sin venta]]&gt;0,Tabla1[[#This Row],[Disponible stock sin venta]]+Tabla1[[#This Row],[Ajuste stock sin venta]],0)</f>
        <v>5333.333333333333</v>
      </c>
      <c r="AD171" s="3">
        <f>IFERROR(VLOOKUP(Tabla1[[#This Row],[Llave]],'[16]TD Puerto'!$A:$D,4,FALSE),0)</f>
        <v>0</v>
      </c>
      <c r="AE171" s="3">
        <v>7333.333333333333</v>
      </c>
      <c r="AF171" s="3">
        <f>+Tabla1[[#This Row],[Atraso a facturar]]+Tabla1[[#This Row],[Venta del mes]]+Tabla1[[#This Row],[En puerto a facturar]]+Tabla1[[#This Row],[Disponible stock sin venta]]</f>
        <v>7333.333333333333</v>
      </c>
      <c r="AG171" s="3">
        <f>+Tabla1[[#This Row],[En puerto a facturar]]</f>
        <v>0</v>
      </c>
      <c r="AH171" s="3">
        <f>+Tabla1[[#This Row],[Facturación atraso]]</f>
        <v>2000</v>
      </c>
      <c r="AI171" s="3">
        <f>+Tabla1[[#This Row],[Plan Irrestricto]]-Tabla1[[#This Row],[Puerto ]]-Tabla1[[#This Row],[Atraso]]</f>
        <v>5333.333333333333</v>
      </c>
      <c r="AJ171" s="3">
        <f>IF(Tabla1[[#This Row],[Plan Irrestricto]]&gt;0,SUM(Tabla1[[#This Row],[Facturación atraso]],Tabla1[[#This Row],[Facturación Venta nueva]],Tabla1[[#This Row],[Facturación stock]],Tabla1[[#This Row],[En puerto a facturar]]),0)</f>
        <v>7333.333333333333</v>
      </c>
      <c r="AK171" s="3">
        <f>+Tabla1[[#This Row],[Facturación atraso]]</f>
        <v>2000</v>
      </c>
      <c r="AL171" s="3">
        <f>+Tabla1[[#This Row],[Plan Ajustado]]-Tabla1[[#This Row],[ Atraso ajustado]]-Tabla1[[#This Row],[Puerto ]]</f>
        <v>5333.333333333333</v>
      </c>
      <c r="AM171" s="3">
        <v>0</v>
      </c>
      <c r="AN171" s="3" t="str">
        <f>IF(Tabla1[[#This Row],[Plan Ajustado]]&gt;Tabla1[[#This Row],[En puerto a facturar]],"Si","No")</f>
        <v>Si</v>
      </c>
      <c r="AO171" s="3">
        <f>IF(AND(Tabla1[[#This Row],[Plan Ajustado]]&gt;0,Tabla1[[#This Row],[Plan Ajustado]]&gt;Tabla1[[#This Row],[En puerto a facturar]]),(Tabla1[[#This Row],[Plan Ajustado]]-Tabla1[[#This Row],[En puerto a facturar]]),0)</f>
        <v>7333.333333333333</v>
      </c>
      <c r="AP171" s="3">
        <f>IF(Tabla1[[#This Row],[Necesidad]]&gt;=Tabla1[[#This Row],[Stock al día]],Tabla1[[#This Row],[Stock al día]],Tabla1[[#This Row],[Necesidad]])</f>
        <v>5970.04</v>
      </c>
      <c r="AQ171" s="3">
        <f>+Tabla1[[#This Row],[Necesidad]]-Tabla1[[#This Row],[Stock Plan]]</f>
        <v>1363.2933333333331</v>
      </c>
      <c r="AR171" s="156">
        <f>IFERROR(VLOOKUP(Tabla1[[#This Row],[Oficina]],[22]Ponderación!$B$3:$G$9,6,FALSE),"")</f>
        <v>44765</v>
      </c>
      <c r="AS17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2.6640000000000001</v>
      </c>
      <c r="AT171" s="83">
        <f>IFERROR(VLOOKUP(Tabla1[[#This Row],[Llave]],[17]DELAY!$H:$W,16,FALSE),0)</f>
        <v>2.4264629499999999</v>
      </c>
      <c r="AU17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2.4264629499999999</v>
      </c>
      <c r="AV171" s="5">
        <f>+Tabla1[[#This Row],[Plan Ajustado]]*Tabla1[[#This Row],[Precio ponderado]]</f>
        <v>17794.061633333331</v>
      </c>
      <c r="AW171" s="30">
        <f>IFERROR(VLOOKUP(Tabla1[[#This Row],[Llave]],'[13]Ultimos precios facturados'!$A:$G,7,FALSE),0)</f>
        <v>2.5468413105263159</v>
      </c>
      <c r="AX17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4.7265748371828981E-2</v>
      </c>
      <c r="AY171" s="30"/>
      <c r="AZ171" s="30">
        <f>IF(Tabla1[[#This Row],[Ajuste precio IC]]="",Tabla1[[#This Row],[Precio ponderado]],Tabla1[[#This Row],[Precio ponderado]])</f>
        <v>2.4264629499999999</v>
      </c>
      <c r="BA171" s="82"/>
      <c r="BB171" s="82" t="str">
        <f>IF(AND(Tabla1[[#This Row],[Atraso a facturar]]&gt;0,Tabla1[[#This Row],[Precio Atraso]]=0),"Revisar","OK")</f>
        <v>OK</v>
      </c>
      <c r="BC171" s="82" t="str">
        <f>IF(AND(Tabla1[[#This Row],[Venta del mes]]&gt;0,Tabla1[[#This Row],[Precio venta nueva]]=0),"Revisar","OK")</f>
        <v>OK</v>
      </c>
      <c r="BD171" s="20">
        <f>IFERROR(VLOOKUP(Tabla1[[#This Row],[Llave]],'[5]Consolidación planes'!$A:$M,9,FALSE),0)</f>
        <v>5000</v>
      </c>
      <c r="BE171" s="20">
        <f>IFERROR(VLOOKUP(Tabla1[[#This Row],[Llave]],'[5]Consolidación planes'!$A:$M,10,FALSE),0)</f>
        <v>3000</v>
      </c>
      <c r="BF171" s="20">
        <f>IFERROR(VLOOKUP(Tabla1[[#This Row],[Llave]],'[5]Consolidación planes'!$A:$M,11,FALSE),0)</f>
        <v>4000</v>
      </c>
      <c r="BG171" s="20">
        <f>IFERROR(VLOOKUP(Tabla1[[#This Row],[Llave]],'[5]Consolidación planes'!$A:$M,12,FALSE),0)</f>
        <v>5000</v>
      </c>
      <c r="BH171" s="20">
        <f>IFERROR(VLOOKUP(Tabla1[[#This Row],[Llave]],'[5]Consolidación planes'!$A:$M,13,FALSE),0)</f>
        <v>7200</v>
      </c>
      <c r="BI171" s="20">
        <f>IFERROR(VLOOKUP(Tabla1[[#This Row],[Llave]],'[13]Base ultimos planes'!$A:$M,13,FALSE),0)</f>
        <v>8000</v>
      </c>
      <c r="BJ171" s="80">
        <f>IFERROR(VLOOKUP(Tabla1[[#This Row],[Llave]],'[13]Base ultimos planes'!$O:$AA,8,FALSE),0)</f>
        <v>14419.3794</v>
      </c>
      <c r="BK171" s="20">
        <f>IFERROR(VLOOKUP(Tabla1[[#This Row],[Llave]],'[13]Base ultimos planes'!$O:$AA,9,FALSE),0)</f>
        <v>6405</v>
      </c>
      <c r="BL171" s="20">
        <f>IFERROR(VLOOKUP(Tabla1[[#This Row],[Llave]],'[13]Base ultimos planes'!$O:$AA,10,FALSE),0)</f>
        <v>11558</v>
      </c>
      <c r="BM171" s="20">
        <f>IFERROR(VLOOKUP(Tabla1[[#This Row],[Llave]],'[13]Base ultimos planes'!$O:$AA,11,FALSE),0)</f>
        <v>13732</v>
      </c>
      <c r="BN171" s="20">
        <f>IFERROR(VLOOKUP(Tabla1[[#This Row],[Llave]],'[13]Base ultimos planes'!$O:$AA,12,FALSE),0)</f>
        <v>20064</v>
      </c>
      <c r="BO171" s="20">
        <f>IFERROR(VLOOKUP(Tabla1[[#This Row],[Llave]],'[13]Base ultimos planes'!$O:$AA,13,FALSE),0)</f>
        <v>19670</v>
      </c>
      <c r="BP171" s="20"/>
      <c r="BQ171" s="20">
        <f>+Tabla1[[#This Row],[ RV  Venta mes n+1]]*(1-Tabla1[[#This Row],[% Uti. producción]])</f>
        <v>256.83361929160696</v>
      </c>
      <c r="BR171" s="100"/>
    </row>
    <row r="172" spans="1:70" ht="16" x14ac:dyDescent="0.2">
      <c r="A172">
        <v>1</v>
      </c>
      <c r="B172" t="str">
        <f>Tabla1[[#This Row],[Oficina]]&amp;Tabla1[[#This Row],[Material]]</f>
        <v>Exportacion Directa1021533</v>
      </c>
      <c r="C172" t="s">
        <v>6</v>
      </c>
      <c r="D172" t="s">
        <v>88</v>
      </c>
      <c r="E172">
        <v>1021533</v>
      </c>
      <c r="F172" t="s">
        <v>124</v>
      </c>
      <c r="G172" t="s">
        <v>56</v>
      </c>
      <c r="H172" t="s">
        <v>57</v>
      </c>
      <c r="I172" s="7">
        <f>IFERROR(VLOOKUP(Tabla1[[#This Row],[Llave]],'[7]RV Producción'!$C:$G,5,FALSE),0)</f>
        <v>0</v>
      </c>
      <c r="J172" s="3">
        <f>IFERROR(IF(Tabla1[[#This Row],[Oficina]]=$I$7,VLOOKUP(Tabla1[[#This Row],[Llave]],'[7]Shangai (Tomas)'!$A:$F,6,FALSE),VLOOKUP(Tabla1[[#This Row],[Llave]],'[7]RV plan de ventas'!$A:$E,5,FALSE)),0)</f>
        <v>15000</v>
      </c>
      <c r="K172" s="8">
        <f>IFERROR(VLOOKUP(Tabla1[[#This Row],[Oficina]],[15]Ponderación!$B$2:$E$9,4,FALSE),0)</f>
        <v>0.87158319035419651</v>
      </c>
      <c r="L172" s="7">
        <f>+Tabla1[[#This Row],[ RV Producción mes n+1]]*Tabla1[[#This Row],[% Uti. producción]]</f>
        <v>0</v>
      </c>
      <c r="M172" s="7">
        <f>IFERROR(VLOOKUP(Tabla1[[#This Row],[Material]],'[17]TD Stock'!$E:$I,5,FALSE),0)</f>
        <v>8474.2780000000002</v>
      </c>
      <c r="N172" s="7">
        <f>IFERROR(VLOOKUP(Tabla1[[#This Row],[Material]],[16]Produccion!$M:$N,2,FALSE),0)</f>
        <v>0</v>
      </c>
      <c r="O172" s="7">
        <f>IFERROR(VLOOKUP(Tabla1[[#This Row],[Llave]],'[16]TD Conf-AP'!$I:$M,4,FALSE),0)</f>
        <v>5000</v>
      </c>
      <c r="P172" s="14">
        <f>SUM(Tabla1[[#This Row],[Producción disponible]],Tabla1[[#This Row],[Stock al día]],(Tabla1[[#This Row],[Por producir mes N]]*0.9))-Tabla1[[#This Row],[Producción por despachar mes N]]</f>
        <v>3474.2780000000002</v>
      </c>
      <c r="Q172" s="7">
        <f>IFERROR(VLOOKUP(Tabla1[[#This Row],[Llave]],[17]DELAY!$A:$D,4,FALSE),0)</f>
        <v>5000</v>
      </c>
      <c r="R172" s="9">
        <v>3000</v>
      </c>
      <c r="S172" s="5">
        <f t="shared" si="31"/>
        <v>3000</v>
      </c>
      <c r="T172" s="76">
        <v>0</v>
      </c>
      <c r="U172" s="5">
        <f>+Tabla1[[#This Row],[Atraso a facturar]]+Tabla1[[#This Row],[Ajuste atraso]]</f>
        <v>3000</v>
      </c>
      <c r="V172" s="3">
        <f>+Tabla1[[#This Row],[Total disponible]]-Tabla1[[#This Row],[Facturación atraso]]</f>
        <v>474.27800000000025</v>
      </c>
      <c r="W172" s="6">
        <f>IFERROR(IF(AND(V172&gt;R172,J172&gt;=R172),ROUNDDOWN((Tabla1[[#This Row],[Producción para venta nueva]])/R172,0)*R172,0),0)</f>
        <v>0</v>
      </c>
      <c r="X172" s="76">
        <v>0</v>
      </c>
      <c r="Y172" s="6">
        <f>IF(Tabla1[[#This Row],[Venta del mes]]&gt;0,Tabla1[[#This Row],[Venta del mes]]+Tabla1[[#This Row],[Ajuste venta nueva]],0)</f>
        <v>0</v>
      </c>
      <c r="Z172" s="6">
        <f>+Tabla1[[#This Row],[Producción para venta nueva]]-Tabla1[[#This Row],[Facturación Venta nueva]]</f>
        <v>474.27800000000025</v>
      </c>
      <c r="AA172" s="6">
        <f>IF(AND(A172=1,Tabla1[[#This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2" s="6"/>
      <c r="AC172" s="6">
        <f>IF(Tabla1[[#This Row],[Disponible stock sin venta]]&gt;0,Tabla1[[#This Row],[Disponible stock sin venta]]+Tabla1[[#This Row],[Ajuste stock sin venta]],0)</f>
        <v>0</v>
      </c>
      <c r="AD172" s="3">
        <f>IFERROR(VLOOKUP(Tabla1[[#This Row],[Llave]],'[16]TD Puerto'!$A:$D,4,FALSE),0)</f>
        <v>0</v>
      </c>
      <c r="AE172" s="3">
        <v>3000</v>
      </c>
      <c r="AF172" s="3">
        <f>+Tabla1[[#This Row],[Atraso a facturar]]+Tabla1[[#This Row],[Venta del mes]]+Tabla1[[#This Row],[En puerto a facturar]]+Tabla1[[#This Row],[Disponible stock sin venta]]</f>
        <v>3000</v>
      </c>
      <c r="AG172" s="3">
        <f>+Tabla1[[#This Row],[En puerto a facturar]]</f>
        <v>0</v>
      </c>
      <c r="AH172" s="3">
        <f>+Tabla1[[#This Row],[Facturación atraso]]</f>
        <v>3000</v>
      </c>
      <c r="AI172" s="3">
        <f>+Tabla1[[#This Row],[Plan Irrestricto]]-Tabla1[[#This Row],[Puerto ]]-Tabla1[[#This Row],[Atraso]]</f>
        <v>0</v>
      </c>
      <c r="AJ172" s="3">
        <f>IF(Tabla1[[#This Row],[Plan Irrestricto]]&gt;0,SUM(Tabla1[[#This Row],[Facturación atraso]],Tabla1[[#This Row],[Facturación Venta nueva]],Tabla1[[#This Row],[Facturación stock]],Tabla1[[#This Row],[En puerto a facturar]]),0)</f>
        <v>3000</v>
      </c>
      <c r="AK172" s="3">
        <f>+Tabla1[[#This Row],[Facturación atraso]]</f>
        <v>3000</v>
      </c>
      <c r="AL172" s="3">
        <f>+Tabla1[[#This Row],[Plan Ajustado]]-Tabla1[[#This Row],[ Atraso ajustado]]-Tabla1[[#This Row],[Puerto ]]</f>
        <v>0</v>
      </c>
      <c r="AM172" s="3">
        <v>0</v>
      </c>
      <c r="AN172" s="3" t="str">
        <f>IF(Tabla1[[#This Row],[Plan Ajustado]]&gt;Tabla1[[#This Row],[En puerto a facturar]],"Si","No")</f>
        <v>Si</v>
      </c>
      <c r="AO172" s="3">
        <f>IF(AND(Tabla1[[#This Row],[Plan Ajustado]]&gt;0,Tabla1[[#This Row],[Plan Ajustado]]&gt;Tabla1[[#This Row],[En puerto a facturar]]),(Tabla1[[#This Row],[Plan Ajustado]]-Tabla1[[#This Row],[En puerto a facturar]]),0)</f>
        <v>3000</v>
      </c>
      <c r="AP172" s="3">
        <f>IF(Tabla1[[#This Row],[Necesidad]]&gt;=Tabla1[[#This Row],[Stock al día]],Tabla1[[#This Row],[Stock al día]],Tabla1[[#This Row],[Necesidad]])</f>
        <v>3000</v>
      </c>
      <c r="AQ172" s="3">
        <f>+Tabla1[[#This Row],[Necesidad]]-Tabla1[[#This Row],[Stock Plan]]</f>
        <v>0</v>
      </c>
      <c r="AR172" s="156">
        <f>IFERROR(VLOOKUP(Tabla1[[#This Row],[Oficina]],[22]Ponderación!$B$3:$G$9,6,FALSE),"")</f>
        <v>44765</v>
      </c>
      <c r="AS17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5.22</v>
      </c>
      <c r="AT172" s="83">
        <f>IFERROR(VLOOKUP(Tabla1[[#This Row],[Llave]],[17]DELAY!$H:$W,16,FALSE),0)</f>
        <v>4.5563170949999998</v>
      </c>
      <c r="AU17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4.5563170949999998</v>
      </c>
      <c r="AV172" s="5">
        <f>+Tabla1[[#This Row],[Plan Ajustado]]*Tabla1[[#This Row],[Precio ponderado]]</f>
        <v>13668.951284999999</v>
      </c>
      <c r="AW172" s="30">
        <f>IFERROR(VLOOKUP(Tabla1[[#This Row],[Llave]],'[13]Ultimos precios facturados'!$A:$G,7,FALSE),0)</f>
        <v>4.7062714353962054</v>
      </c>
      <c r="AX17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3.1862662928531536E-2</v>
      </c>
      <c r="AY172" s="30"/>
      <c r="AZ172" s="30">
        <f>IF(Tabla1[[#This Row],[Ajuste precio IC]]="",Tabla1[[#This Row],[Precio ponderado]],Tabla1[[#This Row],[Precio ponderado]])</f>
        <v>4.5563170949999998</v>
      </c>
      <c r="BA172" s="82"/>
      <c r="BB172" s="82" t="str">
        <f>IF(AND(Tabla1[[#This Row],[Atraso a facturar]]&gt;0,Tabla1[[#This Row],[Precio Atraso]]=0),"Revisar","OK")</f>
        <v>OK</v>
      </c>
      <c r="BC172" s="82" t="str">
        <f>IF(AND(Tabla1[[#This Row],[Venta del mes]]&gt;0,Tabla1[[#This Row],[Precio venta nueva]]=0),"Revisar","OK")</f>
        <v>OK</v>
      </c>
      <c r="BD172" s="20">
        <f>IFERROR(VLOOKUP(Tabla1[[#This Row],[Llave]],'[5]Consolidación planes'!$A:$M,9,FALSE),0)</f>
        <v>2000</v>
      </c>
      <c r="BE172" s="20">
        <f>IFERROR(VLOOKUP(Tabla1[[#This Row],[Llave]],'[5]Consolidación planes'!$A:$M,10,FALSE),0)</f>
        <v>18000</v>
      </c>
      <c r="BF172" s="20">
        <f>IFERROR(VLOOKUP(Tabla1[[#This Row],[Llave]],'[5]Consolidación planes'!$A:$M,11,FALSE),0)</f>
        <v>15000</v>
      </c>
      <c r="BG172" s="20">
        <f>IFERROR(VLOOKUP(Tabla1[[#This Row],[Llave]],'[5]Consolidación planes'!$A:$M,12,FALSE),0)</f>
        <v>10000</v>
      </c>
      <c r="BH172" s="20">
        <f>IFERROR(VLOOKUP(Tabla1[[#This Row],[Llave]],'[5]Consolidación planes'!$A:$M,13,FALSE),0)</f>
        <v>15400</v>
      </c>
      <c r="BI172" s="20">
        <f>IFERROR(VLOOKUP(Tabla1[[#This Row],[Llave]],'[13]Base ultimos planes'!$A:$M,13,FALSE),0)</f>
        <v>3000</v>
      </c>
      <c r="BJ172" s="80">
        <f>IFERROR(VLOOKUP(Tabla1[[#This Row],[Llave]],'[13]Base ultimos planes'!$O:$AA,8,FALSE),0)</f>
        <v>10613.774600000001</v>
      </c>
      <c r="BK172" s="20">
        <f>IFERROR(VLOOKUP(Tabla1[[#This Row],[Llave]],'[13]Base ultimos planes'!$O:$AA,9,FALSE),0)</f>
        <v>93240</v>
      </c>
      <c r="BL172" s="20">
        <f>IFERROR(VLOOKUP(Tabla1[[#This Row],[Llave]],'[13]Base ultimos planes'!$O:$AA,10,FALSE),0)</f>
        <v>77606</v>
      </c>
      <c r="BM172" s="20">
        <f>IFERROR(VLOOKUP(Tabla1[[#This Row],[Llave]],'[13]Base ultimos planes'!$O:$AA,11,FALSE),0)</f>
        <v>49787</v>
      </c>
      <c r="BN172" s="20">
        <f>IFERROR(VLOOKUP(Tabla1[[#This Row],[Llave]],'[13]Base ultimos planes'!$O:$AA,12,FALSE),0)</f>
        <v>75485</v>
      </c>
      <c r="BO172" s="20">
        <f>IFERROR(VLOOKUP(Tabla1[[#This Row],[Llave]],'[13]Base ultimos planes'!$O:$AA,13,FALSE),0)</f>
        <v>14015</v>
      </c>
      <c r="BP172" s="20"/>
      <c r="BQ172" s="20">
        <f>+Tabla1[[#This Row],[ RV  Venta mes n+1]]*(1-Tabla1[[#This Row],[% Uti. producción]])</f>
        <v>1926.2521446870524</v>
      </c>
      <c r="BR172" s="100"/>
    </row>
    <row r="173" spans="1:70" ht="16" x14ac:dyDescent="0.2">
      <c r="A173">
        <v>1</v>
      </c>
      <c r="B173" t="str">
        <f>Tabla1[[#This Row],[Oficina]]&amp;Tabla1[[#This Row],[Material]]</f>
        <v>Exportacion Directa1021603</v>
      </c>
      <c r="C173" t="s">
        <v>6</v>
      </c>
      <c r="D173" t="s">
        <v>88</v>
      </c>
      <c r="E173">
        <v>1021603</v>
      </c>
      <c r="F173" t="s">
        <v>107</v>
      </c>
      <c r="G173" t="s">
        <v>50</v>
      </c>
      <c r="H173" t="s">
        <v>103</v>
      </c>
      <c r="I173" s="7">
        <f>IFERROR(VLOOKUP(Tabla1[[#This Row],[Llave]],'[7]RV Producción'!$C:$G,5,FALSE),0)</f>
        <v>9817</v>
      </c>
      <c r="J173" s="3">
        <f>IFERROR(IF(Tabla1[[#This Row],[Oficina]]=$I$7,VLOOKUP(Tabla1[[#This Row],[Llave]],'[7]Shangai (Tomas)'!$A:$F,6,FALSE),VLOOKUP(Tabla1[[#This Row],[Llave]],'[7]RV plan de ventas'!$A:$E,5,FALSE)),0)</f>
        <v>7000</v>
      </c>
      <c r="K173" s="8">
        <f>IFERROR(VLOOKUP(Tabla1[[#This Row],[Oficina]],[15]Ponderación!$B$2:$E$9,4,FALSE),0)</f>
        <v>0.87158319035419651</v>
      </c>
      <c r="L173" s="7">
        <f>+Tabla1[[#This Row],[ RV Producción mes n+1]]*Tabla1[[#This Row],[% Uti. producción]]</f>
        <v>8556.3321797071476</v>
      </c>
      <c r="M173" s="7">
        <f>IFERROR(VLOOKUP(Tabla1[[#This Row],[Material]],'[17]TD Stock'!$E:$I,5,FALSE),0)</f>
        <v>5009.6920000000009</v>
      </c>
      <c r="N173" s="7">
        <f>IFERROR(VLOOKUP(Tabla1[[#This Row],[Material]],[16]Produccion!$M:$N,2,FALSE),0)</f>
        <v>620.03558269568566</v>
      </c>
      <c r="O173" s="7">
        <f>IFERROR(VLOOKUP(Tabla1[[#This Row],[Llave]],'[16]TD Conf-AP'!$I:$M,4,FALSE),0)</f>
        <v>0</v>
      </c>
      <c r="P173" s="14">
        <f>SUM(Tabla1[[#This Row],[Producción disponible]],Tabla1[[#This Row],[Stock al día]],(Tabla1[[#This Row],[Por producir mes N]]*0.9))-Tabla1[[#This Row],[Producción por despachar mes N]]</f>
        <v>14124.056204133265</v>
      </c>
      <c r="Q173" s="7">
        <f>IFERROR(VLOOKUP(Tabla1[[#This Row],[Llave]],[17]DELAY!$A:$D,4,FALSE),0)</f>
        <v>10500</v>
      </c>
      <c r="R173" s="9">
        <v>5000</v>
      </c>
      <c r="S173" s="5">
        <f t="shared" si="31"/>
        <v>10500</v>
      </c>
      <c r="T173" s="76">
        <v>-3000</v>
      </c>
      <c r="U173" s="5">
        <f>+Tabla1[[#This Row],[Atraso a facturar]]+Tabla1[[#This Row],[Ajuste atraso]]</f>
        <v>7500</v>
      </c>
      <c r="V173" s="3">
        <f>+Tabla1[[#This Row],[Total disponible]]-Tabla1[[#This Row],[Facturación atraso]]</f>
        <v>6624.0562041332651</v>
      </c>
      <c r="W173" s="6">
        <f>IFERROR(IF(AND(V173&gt;R173,J173&gt;=R173),ROUNDDOWN((Tabla1[[#This Row],[Producción para venta nueva]])/R173,0)*R173,0),0)</f>
        <v>5000</v>
      </c>
      <c r="X173" s="76">
        <v>-3000</v>
      </c>
      <c r="Y173" s="6">
        <f>IF(Tabla1[[#This Row],[Venta del mes]]&gt;0,Tabla1[[#This Row],[Venta del mes]]+Tabla1[[#This Row],[Ajuste venta nueva]],0)</f>
        <v>2000</v>
      </c>
      <c r="Z173" s="6">
        <f>+Tabla1[[#This Row],[Producción para venta nueva]]-Tabla1[[#This Row],[Facturación Venta nueva]]</f>
        <v>4624.0562041332651</v>
      </c>
      <c r="AA173" s="6">
        <f>IF(AND(A173=1,Tabla1[[#This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3" s="6"/>
      <c r="AC173" s="6">
        <f>IF(Tabla1[[#This Row],[Disponible stock sin venta]]&gt;0,Tabla1[[#This Row],[Disponible stock sin venta]]+Tabla1[[#This Row],[Ajuste stock sin venta]],0)</f>
        <v>0</v>
      </c>
      <c r="AD173" s="3">
        <f>IFERROR(VLOOKUP(Tabla1[[#This Row],[Llave]],'[16]TD Puerto'!$A:$D,4,FALSE),0)</f>
        <v>0</v>
      </c>
      <c r="AE173" s="3">
        <v>10500</v>
      </c>
      <c r="AF173" s="3">
        <f>+Tabla1[[#This Row],[Atraso a facturar]]+Tabla1[[#This Row],[Venta del mes]]+Tabla1[[#This Row],[En puerto a facturar]]+Tabla1[[#This Row],[Disponible stock sin venta]]</f>
        <v>15500</v>
      </c>
      <c r="AG173" s="3">
        <f>+Tabla1[[#This Row],[En puerto a facturar]]</f>
        <v>0</v>
      </c>
      <c r="AH173" s="3">
        <f>+Tabla1[[#This Row],[Facturación atraso]]</f>
        <v>7500</v>
      </c>
      <c r="AI173" s="3">
        <f>+Tabla1[[#This Row],[Plan Irrestricto]]-Tabla1[[#This Row],[Puerto ]]-Tabla1[[#This Row],[Atraso]]</f>
        <v>8000</v>
      </c>
      <c r="AJ173" s="3">
        <f>IF(Tabla1[[#This Row],[Plan Irrestricto]]&gt;0,SUM(Tabla1[[#This Row],[Facturación atraso]],Tabla1[[#This Row],[Facturación Venta nueva]],Tabla1[[#This Row],[Facturación stock]],Tabla1[[#This Row],[En puerto a facturar]]),0)</f>
        <v>9500</v>
      </c>
      <c r="AK173" s="3">
        <f>+Tabla1[[#This Row],[Facturación atraso]]</f>
        <v>7500</v>
      </c>
      <c r="AL173" s="3">
        <f>+Tabla1[[#This Row],[Plan Ajustado]]-Tabla1[[#This Row],[ Atraso ajustado]]-Tabla1[[#This Row],[Puerto ]]</f>
        <v>2000</v>
      </c>
      <c r="AM173" s="3" t="s">
        <v>789</v>
      </c>
      <c r="AN173" s="3" t="str">
        <f>IF(Tabla1[[#This Row],[Plan Ajustado]]&gt;Tabla1[[#This Row],[En puerto a facturar]],"Si","No")</f>
        <v>Si</v>
      </c>
      <c r="AO173" s="3">
        <f>IF(AND(Tabla1[[#This Row],[Plan Ajustado]]&gt;0,Tabla1[[#This Row],[Plan Ajustado]]&gt;Tabla1[[#This Row],[En puerto a facturar]]),(Tabla1[[#This Row],[Plan Ajustado]]-Tabla1[[#This Row],[En puerto a facturar]]),0)</f>
        <v>9500</v>
      </c>
      <c r="AP173" s="3">
        <f>IF(Tabla1[[#This Row],[Necesidad]]&gt;=Tabla1[[#This Row],[Stock al día]],Tabla1[[#This Row],[Stock al día]],Tabla1[[#This Row],[Necesidad]])</f>
        <v>5009.6920000000009</v>
      </c>
      <c r="AQ173" s="3">
        <f>+Tabla1[[#This Row],[Necesidad]]-Tabla1[[#This Row],[Stock Plan]]</f>
        <v>4490.3079999999991</v>
      </c>
      <c r="AR173" s="156">
        <f>IFERROR(VLOOKUP(Tabla1[[#This Row],[Oficina]],[22]Ponderación!$B$3:$G$9,6,FALSE),"")</f>
        <v>44765</v>
      </c>
      <c r="AS17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3.78</v>
      </c>
      <c r="AT173" s="83">
        <f>IFERROR(VLOOKUP(Tabla1[[#This Row],[Llave]],[17]DELAY!$H:$W,16,FALSE),0)</f>
        <v>3.8105075619047635</v>
      </c>
      <c r="AU17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3.8040849172932343</v>
      </c>
      <c r="AV173" s="5">
        <f>+Tabla1[[#This Row],[Plan Ajustado]]*Tabla1[[#This Row],[Precio ponderado]]</f>
        <v>36138.806714285725</v>
      </c>
      <c r="AW173" s="30">
        <f>IFERROR(VLOOKUP(Tabla1[[#This Row],[Llave]],'[13]Ultimos precios facturados'!$A:$G,7,FALSE),0)</f>
        <v>3.8470577949383378</v>
      </c>
      <c r="AX17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1.1170322863785382E-2</v>
      </c>
      <c r="AY173" s="30"/>
      <c r="AZ173" s="30">
        <f>IF(Tabla1[[#This Row],[Ajuste precio IC]]="",Tabla1[[#This Row],[Precio ponderado]],Tabla1[[#This Row],[Precio ponderado]])</f>
        <v>3.8040849172932343</v>
      </c>
      <c r="BA173" s="82"/>
      <c r="BB173" s="82" t="str">
        <f>IF(AND(Tabla1[[#This Row],[Atraso a facturar]]&gt;0,Tabla1[[#This Row],[Precio Atraso]]=0),"Revisar","OK")</f>
        <v>OK</v>
      </c>
      <c r="BC173" s="82" t="str">
        <f>IF(AND(Tabla1[[#This Row],[Venta del mes]]&gt;0,Tabla1[[#This Row],[Precio venta nueva]]=0),"Revisar","OK")</f>
        <v>OK</v>
      </c>
      <c r="BD173" s="20">
        <f>IFERROR(VLOOKUP(Tabla1[[#This Row],[Llave]],'[5]Consolidación planes'!$A:$M,9,FALSE),0)</f>
        <v>5000</v>
      </c>
      <c r="BE173" s="20">
        <f>IFERROR(VLOOKUP(Tabla1[[#This Row],[Llave]],'[5]Consolidación planes'!$A:$M,10,FALSE),0)</f>
        <v>3000</v>
      </c>
      <c r="BF173" s="20">
        <f>IFERROR(VLOOKUP(Tabla1[[#This Row],[Llave]],'[5]Consolidación planes'!$A:$M,11,FALSE),0)</f>
        <v>4000</v>
      </c>
      <c r="BG173" s="20">
        <f>IFERROR(VLOOKUP(Tabla1[[#This Row],[Llave]],'[5]Consolidación planes'!$A:$M,12,FALSE),0)</f>
        <v>5000</v>
      </c>
      <c r="BH173" s="20">
        <f>IFERROR(VLOOKUP(Tabla1[[#This Row],[Llave]],'[5]Consolidación planes'!$A:$M,13,FALSE),0)</f>
        <v>7000</v>
      </c>
      <c r="BI173" s="20">
        <f>IFERROR(VLOOKUP(Tabla1[[#This Row],[Llave]],'[13]Base ultimos planes'!$A:$M,13,FALSE),0)</f>
        <v>5500</v>
      </c>
      <c r="BJ173" s="80">
        <f>IFERROR(VLOOKUP(Tabla1[[#This Row],[Llave]],'[13]Base ultimos planes'!$O:$AA,8,FALSE),0)</f>
        <v>22909.446899999999</v>
      </c>
      <c r="BK173" s="20">
        <f>IFERROR(VLOOKUP(Tabla1[[#This Row],[Llave]],'[13]Base ultimos planes'!$O:$AA,9,FALSE),0)</f>
        <v>12940</v>
      </c>
      <c r="BL173" s="20">
        <f>IFERROR(VLOOKUP(Tabla1[[#This Row],[Llave]],'[13]Base ultimos planes'!$O:$AA,10,FALSE),0)</f>
        <v>17412</v>
      </c>
      <c r="BM173" s="20">
        <f>IFERROR(VLOOKUP(Tabla1[[#This Row],[Llave]],'[13]Base ultimos planes'!$O:$AA,11,FALSE),0)</f>
        <v>20869</v>
      </c>
      <c r="BN173" s="20">
        <f>IFERROR(VLOOKUP(Tabla1[[#This Row],[Llave]],'[13]Base ultimos planes'!$O:$AA,12,FALSE),0)</f>
        <v>27713</v>
      </c>
      <c r="BO173" s="20">
        <f>IFERROR(VLOOKUP(Tabla1[[#This Row],[Llave]],'[13]Base ultimos planes'!$O:$AA,13,FALSE),0)</f>
        <v>20622</v>
      </c>
      <c r="BP173" s="20"/>
      <c r="BQ173" s="20">
        <f>+Tabla1[[#This Row],[ RV  Venta mes n+1]]*(1-Tabla1[[#This Row],[% Uti. producción]])</f>
        <v>898.91766752062438</v>
      </c>
      <c r="BR173" s="100"/>
    </row>
    <row r="174" spans="1:70" ht="16" x14ac:dyDescent="0.2">
      <c r="A174">
        <v>1</v>
      </c>
      <c r="B174" t="str">
        <f>Tabla1[[#This Row],[Oficina]]&amp;Tabla1[[#This Row],[Material]]</f>
        <v>Exportacion Directa1021609</v>
      </c>
      <c r="C174" t="s">
        <v>6</v>
      </c>
      <c r="D174" t="s">
        <v>88</v>
      </c>
      <c r="E174">
        <v>1021609</v>
      </c>
      <c r="F174" t="s">
        <v>90</v>
      </c>
      <c r="G174" t="s">
        <v>37</v>
      </c>
      <c r="H174" t="s">
        <v>38</v>
      </c>
      <c r="I174" s="7">
        <f>IFERROR(VLOOKUP(Tabla1[[#This Row],[Llave]],'[7]RV Producción'!$C:$G,5,FALSE),0)</f>
        <v>70488</v>
      </c>
      <c r="J174" s="3">
        <f>IFERROR(IF(Tabla1[[#This Row],[Oficina]]=$I$7,VLOOKUP(Tabla1[[#This Row],[Llave]],'[7]Shangai (Tomas)'!$A:$F,6,FALSE),VLOOKUP(Tabla1[[#This Row],[Llave]],'[7]RV plan de ventas'!$A:$E,5,FALSE)),0)</f>
        <v>20000</v>
      </c>
      <c r="K174" s="8">
        <f>IFERROR(VLOOKUP(Tabla1[[#This Row],[Oficina]],[15]Ponderación!$B$2:$E$9,4,FALSE),0)</f>
        <v>0.87158319035419651</v>
      </c>
      <c r="L174" s="7">
        <f>+Tabla1[[#This Row],[ RV Producción mes n+1]]*Tabla1[[#This Row],[% Uti. producción]]</f>
        <v>61436.155921686601</v>
      </c>
      <c r="M174" s="7">
        <f>IFERROR(VLOOKUP(Tabla1[[#This Row],[Material]],'[17]TD Stock'!$E:$I,5,FALSE),0)</f>
        <v>3625.7219999999993</v>
      </c>
      <c r="N174" s="7">
        <f>IFERROR(VLOOKUP(Tabla1[[#This Row],[Material]],[16]Produccion!$M:$N,2,FALSE),0)</f>
        <v>11056.291695533571</v>
      </c>
      <c r="O174" s="7">
        <f>IFERROR(VLOOKUP(Tabla1[[#This Row],[Llave]],'[16]TD Conf-AP'!$I:$M,4,FALSE),0)</f>
        <v>0</v>
      </c>
      <c r="P174" s="14">
        <f>SUM(Tabla1[[#This Row],[Producción disponible]],Tabla1[[#This Row],[Stock al día]],(Tabla1[[#This Row],[Por producir mes N]]*0.9))-Tabla1[[#This Row],[Producción por despachar mes N]]</f>
        <v>75012.540447666819</v>
      </c>
      <c r="Q174" s="7">
        <f>IFERROR(VLOOKUP(Tabla1[[#This Row],[Llave]],[17]DELAY!$A:$D,4,FALSE),0)</f>
        <v>60000</v>
      </c>
      <c r="R174" s="9">
        <v>8000</v>
      </c>
      <c r="S174" s="5">
        <f t="shared" si="31"/>
        <v>60000</v>
      </c>
      <c r="T174" s="76">
        <v>-20000</v>
      </c>
      <c r="U174" s="5">
        <f>+Tabla1[[#This Row],[Atraso a facturar]]+Tabla1[[#This Row],[Ajuste atraso]]</f>
        <v>40000</v>
      </c>
      <c r="V174" s="3">
        <f>+Tabla1[[#This Row],[Total disponible]]-Tabla1[[#This Row],[Facturación atraso]]</f>
        <v>35012.540447666819</v>
      </c>
      <c r="W174" s="6">
        <f>IFERROR(IF(AND(V174&gt;R174,J174&gt;=R174),ROUNDDOWN((Tabla1[[#This Row],[Producción para venta nueva]])/R174,0)*R174,0),0)</f>
        <v>32000</v>
      </c>
      <c r="X174" s="76">
        <v>-20000</v>
      </c>
      <c r="Y174" s="6">
        <f>IF(Tabla1[[#This Row],[Venta del mes]]&gt;0,Tabla1[[#This Row],[Venta del mes]]+Tabla1[[#This Row],[Ajuste venta nueva]],0)</f>
        <v>12000</v>
      </c>
      <c r="Z174" s="6">
        <f>+Tabla1[[#This Row],[Producción para venta nueva]]-Tabla1[[#This Row],[Facturación Venta nueva]]</f>
        <v>23012.540447666819</v>
      </c>
      <c r="AA174" s="6">
        <f>IF(AND(A174=1,Tabla1[[#This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4" s="6"/>
      <c r="AC174" s="6">
        <f>IF(Tabla1[[#This Row],[Disponible stock sin venta]]&gt;0,Tabla1[[#This Row],[Disponible stock sin venta]]+Tabla1[[#This Row],[Ajuste stock sin venta]],0)</f>
        <v>0</v>
      </c>
      <c r="AD174" s="3">
        <f>IFERROR(VLOOKUP(Tabla1[[#This Row],[Llave]],'[16]TD Puerto'!$A:$D,4,FALSE),0)</f>
        <v>0</v>
      </c>
      <c r="AE174" s="3">
        <v>68000</v>
      </c>
      <c r="AF174" s="3">
        <f>+Tabla1[[#This Row],[Atraso a facturar]]+Tabla1[[#This Row],[Venta del mes]]+Tabla1[[#This Row],[En puerto a facturar]]+Tabla1[[#This Row],[Disponible stock sin venta]]</f>
        <v>92000</v>
      </c>
      <c r="AG174" s="3">
        <f>+Tabla1[[#This Row],[En puerto a facturar]]</f>
        <v>0</v>
      </c>
      <c r="AH174" s="3">
        <f>+Tabla1[[#This Row],[Facturación atraso]]</f>
        <v>40000</v>
      </c>
      <c r="AI174" s="3">
        <f>+Tabla1[[#This Row],[Plan Irrestricto]]-Tabla1[[#This Row],[Puerto ]]-Tabla1[[#This Row],[Atraso]]</f>
        <v>52000</v>
      </c>
      <c r="AJ174" s="3">
        <f>IF(Tabla1[[#This Row],[Plan Irrestricto]]&gt;0,SUM(Tabla1[[#This Row],[Facturación atraso]],Tabla1[[#This Row],[Facturación Venta nueva]],Tabla1[[#This Row],[Facturación stock]],Tabla1[[#This Row],[En puerto a facturar]]),0)</f>
        <v>52000</v>
      </c>
      <c r="AK174" s="3">
        <f>+Tabla1[[#This Row],[Facturación atraso]]</f>
        <v>40000</v>
      </c>
      <c r="AL174" s="3">
        <f>+Tabla1[[#This Row],[Plan Ajustado]]-Tabla1[[#This Row],[ Atraso ajustado]]-Tabla1[[#This Row],[Puerto ]]</f>
        <v>12000</v>
      </c>
      <c r="AM174" s="3" t="s">
        <v>789</v>
      </c>
      <c r="AN174" s="3" t="str">
        <f>IF(Tabla1[[#This Row],[Plan Ajustado]]&gt;Tabla1[[#This Row],[En puerto a facturar]],"Si","No")</f>
        <v>Si</v>
      </c>
      <c r="AO174" s="3">
        <f>IF(AND(Tabla1[[#This Row],[Plan Ajustado]]&gt;0,Tabla1[[#This Row],[Plan Ajustado]]&gt;Tabla1[[#This Row],[En puerto a facturar]]),(Tabla1[[#This Row],[Plan Ajustado]]-Tabla1[[#This Row],[En puerto a facturar]]),0)</f>
        <v>52000</v>
      </c>
      <c r="AP174" s="3">
        <f>IF(Tabla1[[#This Row],[Necesidad]]&gt;=Tabla1[[#This Row],[Stock al día]],Tabla1[[#This Row],[Stock al día]],Tabla1[[#This Row],[Necesidad]])</f>
        <v>3625.7219999999993</v>
      </c>
      <c r="AQ174" s="3">
        <f>+Tabla1[[#This Row],[Necesidad]]-Tabla1[[#This Row],[Stock Plan]]</f>
        <v>48374.277999999998</v>
      </c>
      <c r="AR174" s="156">
        <f>IFERROR(VLOOKUP(Tabla1[[#This Row],[Oficina]],[22]Ponderación!$B$3:$G$9,6,FALSE),"")</f>
        <v>44765</v>
      </c>
      <c r="AS17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4.32</v>
      </c>
      <c r="AT174" s="83">
        <f>IFERROR(VLOOKUP(Tabla1[[#This Row],[Llave]],[17]DELAY!$H:$W,16,FALSE),0)</f>
        <v>4.5044507433333338</v>
      </c>
      <c r="AU17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4.4618851871794876</v>
      </c>
      <c r="AV174" s="5">
        <f>+Tabla1[[#This Row],[Plan Ajustado]]*Tabla1[[#This Row],[Precio ponderado]]</f>
        <v>232018.02973333336</v>
      </c>
      <c r="AW174" s="30">
        <f>IFERROR(VLOOKUP(Tabla1[[#This Row],[Llave]],'[13]Ultimos precios facturados'!$A:$G,7,FALSE),0)</f>
        <v>4.4282683686810635</v>
      </c>
      <c r="AX17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7.5914140019559409E-3</v>
      </c>
      <c r="AY174" s="30"/>
      <c r="AZ174" s="30">
        <f>IF(Tabla1[[#This Row],[Ajuste precio IC]]="",Tabla1[[#This Row],[Precio ponderado]],Tabla1[[#This Row],[Precio ponderado]])</f>
        <v>4.4618851871794876</v>
      </c>
      <c r="BA174" s="82"/>
      <c r="BB174" s="82" t="str">
        <f>IF(AND(Tabla1[[#This Row],[Atraso a facturar]]&gt;0,Tabla1[[#This Row],[Precio Atraso]]=0),"Revisar","OK")</f>
        <v>OK</v>
      </c>
      <c r="BC174" s="82" t="str">
        <f>IF(AND(Tabla1[[#This Row],[Venta del mes]]&gt;0,Tabla1[[#This Row],[Precio venta nueva]]=0),"Revisar","OK")</f>
        <v>OK</v>
      </c>
      <c r="BD174" s="20">
        <f>IFERROR(VLOOKUP(Tabla1[[#This Row],[Llave]],'[5]Consolidación planes'!$A:$M,9,FALSE),0)</f>
        <v>16500</v>
      </c>
      <c r="BE174" s="20">
        <f>IFERROR(VLOOKUP(Tabla1[[#This Row],[Llave]],'[5]Consolidación planes'!$A:$M,10,FALSE),0)</f>
        <v>6500</v>
      </c>
      <c r="BF174" s="20">
        <f>IFERROR(VLOOKUP(Tabla1[[#This Row],[Llave]],'[5]Consolidación planes'!$A:$M,11,FALSE),0)</f>
        <v>3000</v>
      </c>
      <c r="BG174" s="20">
        <f>IFERROR(VLOOKUP(Tabla1[[#This Row],[Llave]],'[5]Consolidación planes'!$A:$M,12,FALSE),0)</f>
        <v>5000</v>
      </c>
      <c r="BH174" s="20">
        <f>IFERROR(VLOOKUP(Tabla1[[#This Row],[Llave]],'[5]Consolidación planes'!$A:$M,13,FALSE),0)</f>
        <v>0</v>
      </c>
      <c r="BI174" s="20">
        <f>IFERROR(VLOOKUP(Tabla1[[#This Row],[Llave]],'[13]Base ultimos planes'!$A:$M,13,FALSE),0)</f>
        <v>0</v>
      </c>
      <c r="BJ174" s="80">
        <f>IFERROR(VLOOKUP(Tabla1[[#This Row],[Llave]],'[13]Base ultimos planes'!$O:$AA,8,FALSE),0)</f>
        <v>84517.474000000002</v>
      </c>
      <c r="BK174" s="20">
        <f>IFERROR(VLOOKUP(Tabla1[[#This Row],[Llave]],'[13]Base ultimos planes'!$O:$AA,9,FALSE),0)</f>
        <v>31345</v>
      </c>
      <c r="BL174" s="20">
        <f>IFERROR(VLOOKUP(Tabla1[[#This Row],[Llave]],'[13]Base ultimos planes'!$O:$AA,10,FALSE),0)</f>
        <v>14512</v>
      </c>
      <c r="BM174" s="20">
        <f>IFERROR(VLOOKUP(Tabla1[[#This Row],[Llave]],'[13]Base ultimos planes'!$O:$AA,11,FALSE),0)</f>
        <v>24062</v>
      </c>
      <c r="BN174" s="20">
        <f>IFERROR(VLOOKUP(Tabla1[[#This Row],[Llave]],'[13]Base ultimos planes'!$O:$AA,12,FALSE),0)</f>
        <v>0</v>
      </c>
      <c r="BO174" s="20">
        <f>IFERROR(VLOOKUP(Tabla1[[#This Row],[Llave]],'[13]Base ultimos planes'!$O:$AA,13,FALSE),0)</f>
        <v>0</v>
      </c>
      <c r="BP174" s="20"/>
      <c r="BQ174" s="20">
        <f>+Tabla1[[#This Row],[ RV  Venta mes n+1]]*(1-Tabla1[[#This Row],[% Uti. producción]])</f>
        <v>2568.3361929160696</v>
      </c>
      <c r="BR174" s="100"/>
    </row>
    <row r="175" spans="1:70" ht="16" hidden="1" x14ac:dyDescent="0.2">
      <c r="A175">
        <v>1</v>
      </c>
      <c r="B175" t="str">
        <f>Tabla1[[#This Row],[Oficina]]&amp;Tabla1[[#This Row],[Material]]</f>
        <v>Exportacion Directa1022282</v>
      </c>
      <c r="C175" t="s">
        <v>6</v>
      </c>
      <c r="D175" t="s">
        <v>88</v>
      </c>
      <c r="E175">
        <v>1022282</v>
      </c>
      <c r="F175" t="s">
        <v>137</v>
      </c>
      <c r="G175" t="s">
        <v>134</v>
      </c>
      <c r="H175" t="s">
        <v>135</v>
      </c>
      <c r="I175" s="7">
        <f>IFERROR(VLOOKUP(Tabla1[[#This Row],[Llave]],'[7]RV Producción'!$C:$G,5,FALSE),0)</f>
        <v>0</v>
      </c>
      <c r="J175" s="3">
        <f>IFERROR(IF(Tabla1[[#This Row],[Oficina]]=$I$7,VLOOKUP(Tabla1[[#This Row],[Llave]],'[7]Shangai (Tomas)'!$A:$F,6,FALSE),VLOOKUP(Tabla1[[#This Row],[Llave]],'[7]RV plan de ventas'!$A:$E,5,FALSE)),0)</f>
        <v>0</v>
      </c>
      <c r="K175" s="8">
        <f>IFERROR(VLOOKUP(Tabla1[[#This Row],[Oficina]],[15]Ponderación!$B$2:$E$9,4,FALSE),0)</f>
        <v>0.87158319035419651</v>
      </c>
      <c r="L175" s="7">
        <f>+Tabla1[[#This Row],[ RV Producción mes n+1]]*Tabla1[[#This Row],[% Uti. producción]]</f>
        <v>0</v>
      </c>
      <c r="M175" s="7">
        <f>IFERROR(VLOOKUP(Tabla1[[#This Row],[Material]],'[17]TD Stock'!$E:$I,5,FALSE),0)</f>
        <v>0</v>
      </c>
      <c r="N175" s="7">
        <f>IFERROR(VLOOKUP(Tabla1[[#This Row],[Material]],[16]Produccion!$M:$N,2,FALSE),0)</f>
        <v>0</v>
      </c>
      <c r="O175" s="7">
        <f>IFERROR(VLOOKUP(Tabla1[[#This Row],[Llave]],'[16]TD Conf-AP'!$I:$M,4,FALSE),0)</f>
        <v>0</v>
      </c>
      <c r="P175" s="14">
        <f>SUM(Tabla1[[#This Row],[Producción disponible]],Tabla1[[#This Row],[Stock al día]],(Tabla1[[#This Row],[Por producir mes N]]*0.9))-Tabla1[[#This Row],[Producción por despachar mes N]]</f>
        <v>0</v>
      </c>
      <c r="Q175" s="7">
        <f>IFERROR(VLOOKUP(Tabla1[[#This Row],[Llave]],[17]DELAY!$A:$D,4,FALSE),0)</f>
        <v>0</v>
      </c>
      <c r="R175" s="9">
        <v>2000</v>
      </c>
      <c r="S175" s="5">
        <f t="shared" si="31"/>
        <v>0</v>
      </c>
      <c r="T175" s="76">
        <v>0</v>
      </c>
      <c r="U175" s="5">
        <f>+Tabla1[[#This Row],[Atraso a facturar]]+Tabla1[[#This Row],[Ajuste atraso]]</f>
        <v>0</v>
      </c>
      <c r="V175" s="3">
        <f>+Tabla1[[#This Row],[Total disponible]]-Tabla1[[#This Row],[Facturación atraso]]</f>
        <v>0</v>
      </c>
      <c r="W175" s="6">
        <f>IFERROR(IF(AND(V175&gt;R175,J175&gt;=R175),ROUNDDOWN((Tabla1[[#This Row],[Producción para venta nueva]])/R175,0)*R175,0),0)</f>
        <v>0</v>
      </c>
      <c r="X175" s="76">
        <v>0</v>
      </c>
      <c r="Y175" s="6">
        <f>IF(Tabla1[[#This Row],[Venta del mes]]&gt;0,Tabla1[[#This Row],[Venta del mes]]+Tabla1[[#This Row],[Ajuste venta nueva]],0)</f>
        <v>0</v>
      </c>
      <c r="Z175" s="6">
        <f>+Tabla1[[#This Row],[Producción para venta nueva]]-Tabla1[[#This Row],[Facturación Venta nueva]]</f>
        <v>0</v>
      </c>
      <c r="AA175" s="6">
        <f>IF(AND(A175=1,Tabla1[[#This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5" s="6"/>
      <c r="AC175" s="6">
        <f>IF(Tabla1[[#This Row],[Disponible stock sin venta]]&gt;0,Tabla1[[#This Row],[Disponible stock sin venta]]+Tabla1[[#This Row],[Ajuste stock sin venta]],0)</f>
        <v>0</v>
      </c>
      <c r="AD175" s="3">
        <f>IFERROR(VLOOKUP(Tabla1[[#This Row],[Llave]],'[16]TD Puerto'!$A:$D,4,FALSE),0)</f>
        <v>0</v>
      </c>
      <c r="AE175" s="3">
        <v>0</v>
      </c>
      <c r="AF175" s="3">
        <f>+Tabla1[[#This Row],[Atraso a facturar]]+Tabla1[[#This Row],[Venta del mes]]+Tabla1[[#This Row],[En puerto a facturar]]+Tabla1[[#This Row],[Disponible stock sin venta]]</f>
        <v>0</v>
      </c>
      <c r="AG175" s="3">
        <f>+Tabla1[[#This Row],[En puerto a facturar]]</f>
        <v>0</v>
      </c>
      <c r="AH175" s="3">
        <f>+Tabla1[[#This Row],[Facturación atraso]]</f>
        <v>0</v>
      </c>
      <c r="AI175" s="3">
        <f>+Tabla1[[#This Row],[Plan Irrestricto]]-Tabla1[[#This Row],[Puerto ]]-Tabla1[[#This Row],[Atraso]]</f>
        <v>0</v>
      </c>
      <c r="AJ17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75" s="3">
        <f>+Tabla1[[#This Row],[Facturación atraso]]</f>
        <v>0</v>
      </c>
      <c r="AL175" s="3">
        <f>+Tabla1[[#This Row],[Plan Ajustado]]-Tabla1[[#This Row],[ Atraso ajustado]]-Tabla1[[#This Row],[Puerto ]]</f>
        <v>0</v>
      </c>
      <c r="AM175" s="3">
        <v>0</v>
      </c>
      <c r="AN175" s="3" t="str">
        <f>IF(Tabla1[[#This Row],[Plan Ajustado]]&gt;Tabla1[[#This Row],[En puerto a facturar]],"Si","No")</f>
        <v>No</v>
      </c>
      <c r="AO17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75" s="3">
        <f>IF(Tabla1[[#This Row],[Necesidad]]&gt;=Tabla1[[#This Row],[Stock al día]],Tabla1[[#This Row],[Stock al día]],Tabla1[[#This Row],[Necesidad]])</f>
        <v>0</v>
      </c>
      <c r="AQ175" s="3">
        <f>+Tabla1[[#This Row],[Necesidad]]-Tabla1[[#This Row],[Stock Plan]]</f>
        <v>0</v>
      </c>
      <c r="AR175" s="156">
        <f>IFERROR(VLOOKUP(Tabla1[[#This Row],[Oficina]],[22]Ponderación!$B$3:$G$9,6,FALSE),"")</f>
        <v>44765</v>
      </c>
      <c r="AS17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175" s="83">
        <f>IFERROR(VLOOKUP(Tabla1[[#This Row],[Llave]],[17]DELAY!$H:$W,16,FALSE),0)</f>
        <v>0</v>
      </c>
      <c r="AU17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75" s="5">
        <f>+Tabla1[[#This Row],[Plan Ajustado]]*Tabla1[[#This Row],[Precio ponderado]]</f>
        <v>0</v>
      </c>
      <c r="AW175" s="30">
        <f>IFERROR(VLOOKUP(Tabla1[[#This Row],[Llave]],'[13]Ultimos precios facturados'!$A:$G,7,FALSE),0)</f>
        <v>0</v>
      </c>
      <c r="AX17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75" s="30"/>
      <c r="AZ175" s="30">
        <f>IF(Tabla1[[#This Row],[Ajuste precio IC]]="",Tabla1[[#This Row],[Precio ponderado]],Tabla1[[#This Row],[Precio ponderado]])</f>
        <v>0</v>
      </c>
      <c r="BA175" s="82"/>
      <c r="BB175" s="82" t="str">
        <f>IF(AND(Tabla1[[#This Row],[Atraso a facturar]]&gt;0,Tabla1[[#This Row],[Precio Atraso]]=0),"Revisar","OK")</f>
        <v>OK</v>
      </c>
      <c r="BC175" s="82" t="str">
        <f>IF(AND(Tabla1[[#This Row],[Venta del mes]]&gt;0,Tabla1[[#This Row],[Precio venta nueva]]=0),"Revisar","OK")</f>
        <v>OK</v>
      </c>
      <c r="BD175" s="20">
        <f>IFERROR(VLOOKUP(Tabla1[[#This Row],[Llave]],'[5]Consolidación planes'!$A:$M,9,FALSE),0)</f>
        <v>0</v>
      </c>
      <c r="BE175" s="20">
        <f>IFERROR(VLOOKUP(Tabla1[[#This Row],[Llave]],'[5]Consolidación planes'!$A:$M,10,FALSE),0)</f>
        <v>0</v>
      </c>
      <c r="BF175" s="20">
        <f>IFERROR(VLOOKUP(Tabla1[[#This Row],[Llave]],'[5]Consolidación planes'!$A:$M,11,FALSE),0)</f>
        <v>0</v>
      </c>
      <c r="BG175" s="20">
        <f>IFERROR(VLOOKUP(Tabla1[[#This Row],[Llave]],'[5]Consolidación planes'!$A:$M,12,FALSE),0)</f>
        <v>3000</v>
      </c>
      <c r="BH175" s="20">
        <f>IFERROR(VLOOKUP(Tabla1[[#This Row],[Llave]],'[5]Consolidación planes'!$A:$M,13,FALSE),0)</f>
        <v>2000</v>
      </c>
      <c r="BI175" s="20">
        <f>IFERROR(VLOOKUP(Tabla1[[#This Row],[Llave]],'[13]Base ultimos planes'!$A:$M,13,FALSE),0)</f>
        <v>0</v>
      </c>
      <c r="BJ175" s="80">
        <f>IFERROR(VLOOKUP(Tabla1[[#This Row],[Llave]],'[13]Base ultimos planes'!$O:$AA,8,FALSE),0)</f>
        <v>0</v>
      </c>
      <c r="BK175" s="20">
        <f>IFERROR(VLOOKUP(Tabla1[[#This Row],[Llave]],'[13]Base ultimos planes'!$O:$AA,9,FALSE),0)</f>
        <v>0</v>
      </c>
      <c r="BL175" s="20">
        <f>IFERROR(VLOOKUP(Tabla1[[#This Row],[Llave]],'[13]Base ultimos planes'!$O:$AA,10,FALSE),0)</f>
        <v>0</v>
      </c>
      <c r="BM175" s="20">
        <f>IFERROR(VLOOKUP(Tabla1[[#This Row],[Llave]],'[13]Base ultimos planes'!$O:$AA,11,FALSE),0)</f>
        <v>18786</v>
      </c>
      <c r="BN175" s="20">
        <f>IFERROR(VLOOKUP(Tabla1[[#This Row],[Llave]],'[13]Base ultimos planes'!$O:$AA,12,FALSE),0)</f>
        <v>12524</v>
      </c>
      <c r="BO175" s="20">
        <f>IFERROR(VLOOKUP(Tabla1[[#This Row],[Llave]],'[13]Base ultimos planes'!$O:$AA,13,FALSE),0)</f>
        <v>0</v>
      </c>
      <c r="BP175" s="20"/>
      <c r="BQ175" s="20">
        <f>+Tabla1[[#This Row],[ RV  Venta mes n+1]]*(1-Tabla1[[#This Row],[% Uti. producción]])</f>
        <v>0</v>
      </c>
      <c r="BR175" s="100"/>
    </row>
    <row r="176" spans="1:70" ht="16" x14ac:dyDescent="0.2">
      <c r="A176">
        <v>1</v>
      </c>
      <c r="B176" t="str">
        <f>Tabla1[[#This Row],[Oficina]]&amp;Tabla1[[#This Row],[Material]]</f>
        <v>Exportacion Directa1022313</v>
      </c>
      <c r="C176" t="s">
        <v>6</v>
      </c>
      <c r="D176" t="s">
        <v>88</v>
      </c>
      <c r="E176">
        <v>1022313</v>
      </c>
      <c r="F176" t="s">
        <v>96</v>
      </c>
      <c r="G176" t="s">
        <v>50</v>
      </c>
      <c r="H176" t="s">
        <v>95</v>
      </c>
      <c r="I176" s="7">
        <f>IFERROR(VLOOKUP(Tabla1[[#This Row],[Llave]],'[7]RV Producción'!$C:$G,5,FALSE),0)</f>
        <v>7654</v>
      </c>
      <c r="J176" s="3">
        <f>IFERROR(IF(Tabla1[[#This Row],[Oficina]]=$I$7,VLOOKUP(Tabla1[[#This Row],[Llave]],'[7]Shangai (Tomas)'!$A:$F,6,FALSE),VLOOKUP(Tabla1[[#This Row],[Llave]],'[7]RV plan de ventas'!$A:$E,5,FALSE)),0)</f>
        <v>10000</v>
      </c>
      <c r="K176" s="8">
        <f>IFERROR(VLOOKUP(Tabla1[[#This Row],[Oficina]],[15]Ponderación!$B$2:$E$9,4,FALSE),0)</f>
        <v>0.87158319035419651</v>
      </c>
      <c r="L176" s="7">
        <f>+Tabla1[[#This Row],[ RV Producción mes n+1]]*Tabla1[[#This Row],[% Uti. producción]]</f>
        <v>6671.0977389710197</v>
      </c>
      <c r="M176" s="7">
        <f>IFERROR(VLOOKUP(Tabla1[[#This Row],[Material]],'[17]TD Stock'!$E:$I,5,FALSE),0)</f>
        <v>5324.0709999999999</v>
      </c>
      <c r="N176" s="7">
        <f>IFERROR(VLOOKUP(Tabla1[[#This Row],[Material]],[16]Produccion!$M:$N,2,FALSE),0)</f>
        <v>258.67273955010967</v>
      </c>
      <c r="O176" s="7">
        <f>IFERROR(VLOOKUP(Tabla1[[#This Row],[Llave]],'[16]TD Conf-AP'!$I:$M,4,FALSE),0)</f>
        <v>0</v>
      </c>
      <c r="P176" s="14">
        <f>SUM(Tabla1[[#This Row],[Producción disponible]],Tabla1[[#This Row],[Stock al día]],(Tabla1[[#This Row],[Por producir mes N]]*0.9))-Tabla1[[#This Row],[Producción por despachar mes N]]</f>
        <v>12227.974204566119</v>
      </c>
      <c r="Q176" s="7">
        <f>IFERROR(VLOOKUP(Tabla1[[#This Row],[Llave]],[17]DELAY!$A:$D,4,FALSE),0)</f>
        <v>10000</v>
      </c>
      <c r="R176" s="9">
        <v>2666.6666666666665</v>
      </c>
      <c r="S176" s="5">
        <f t="shared" si="31"/>
        <v>10000</v>
      </c>
      <c r="T176" s="76">
        <v>-3000</v>
      </c>
      <c r="U176" s="5">
        <f>+Tabla1[[#This Row],[Atraso a facturar]]+Tabla1[[#This Row],[Ajuste atraso]]</f>
        <v>7000</v>
      </c>
      <c r="V176" s="3">
        <f>+Tabla1[[#This Row],[Total disponible]]-Tabla1[[#This Row],[Facturación atraso]]</f>
        <v>5227.9742045661187</v>
      </c>
      <c r="W176" s="6">
        <f>IFERROR(IF(AND(V176&gt;R176,J176&gt;=R176),ROUNDDOWN((Tabla1[[#This Row],[Producción para venta nueva]])/R176,0)*R176,0),0)</f>
        <v>2666.6666666666665</v>
      </c>
      <c r="X176" s="76">
        <v>-1000</v>
      </c>
      <c r="Y176" s="6">
        <f>IF(Tabla1[[#This Row],[Venta del mes]]&gt;0,Tabla1[[#This Row],[Venta del mes]]+Tabla1[[#This Row],[Ajuste venta nueva]],0)</f>
        <v>1666.6666666666665</v>
      </c>
      <c r="Z176" s="6">
        <f>+Tabla1[[#This Row],[Producción para venta nueva]]-Tabla1[[#This Row],[Facturación Venta nueva]]</f>
        <v>3561.3075378994522</v>
      </c>
      <c r="AA176" s="6">
        <f>IF(AND(A176=1,Tabla1[[#This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6" s="6"/>
      <c r="AC176" s="6">
        <f>IF(Tabla1[[#This Row],[Disponible stock sin venta]]&gt;0,Tabla1[[#This Row],[Disponible stock sin venta]]+Tabla1[[#This Row],[Ajuste stock sin venta]],0)</f>
        <v>0</v>
      </c>
      <c r="AD176" s="3">
        <f>IFERROR(VLOOKUP(Tabla1[[#This Row],[Llave]],'[16]TD Puerto'!$A:$D,4,FALSE),0)</f>
        <v>0</v>
      </c>
      <c r="AE176" s="3">
        <v>10000</v>
      </c>
      <c r="AF176" s="3">
        <f>+Tabla1[[#This Row],[Atraso a facturar]]+Tabla1[[#This Row],[Venta del mes]]+Tabla1[[#This Row],[En puerto a facturar]]+Tabla1[[#This Row],[Disponible stock sin venta]]</f>
        <v>12666.666666666666</v>
      </c>
      <c r="AG176" s="3">
        <f>+Tabla1[[#This Row],[En puerto a facturar]]</f>
        <v>0</v>
      </c>
      <c r="AH176" s="3">
        <f>+Tabla1[[#This Row],[Facturación atraso]]</f>
        <v>7000</v>
      </c>
      <c r="AI176" s="3">
        <f>+Tabla1[[#This Row],[Plan Irrestricto]]-Tabla1[[#This Row],[Puerto ]]-Tabla1[[#This Row],[Atraso]]</f>
        <v>5666.6666666666661</v>
      </c>
      <c r="AJ176" s="3">
        <f>IF(Tabla1[[#This Row],[Plan Irrestricto]]&gt;0,SUM(Tabla1[[#This Row],[Facturación atraso]],Tabla1[[#This Row],[Facturación Venta nueva]],Tabla1[[#This Row],[Facturación stock]],Tabla1[[#This Row],[En puerto a facturar]]),0)</f>
        <v>8666.6666666666661</v>
      </c>
      <c r="AK176" s="3">
        <f>+Tabla1[[#This Row],[Facturación atraso]]</f>
        <v>7000</v>
      </c>
      <c r="AL176" s="3">
        <f>+Tabla1[[#This Row],[Plan Ajustado]]-Tabla1[[#This Row],[ Atraso ajustado]]-Tabla1[[#This Row],[Puerto ]]</f>
        <v>1666.6666666666661</v>
      </c>
      <c r="AM176" s="3" t="s">
        <v>789</v>
      </c>
      <c r="AN176" s="3" t="str">
        <f>IF(Tabla1[[#This Row],[Plan Ajustado]]&gt;Tabla1[[#This Row],[En puerto a facturar]],"Si","No")</f>
        <v>Si</v>
      </c>
      <c r="AO176" s="3">
        <f>IF(AND(Tabla1[[#This Row],[Plan Ajustado]]&gt;0,Tabla1[[#This Row],[Plan Ajustado]]&gt;Tabla1[[#This Row],[En puerto a facturar]]),(Tabla1[[#This Row],[Plan Ajustado]]-Tabla1[[#This Row],[En puerto a facturar]]),0)</f>
        <v>8666.6666666666661</v>
      </c>
      <c r="AP176" s="3">
        <f>IF(Tabla1[[#This Row],[Necesidad]]&gt;=Tabla1[[#This Row],[Stock al día]],Tabla1[[#This Row],[Stock al día]],Tabla1[[#This Row],[Necesidad]])</f>
        <v>5324.0709999999999</v>
      </c>
      <c r="AQ176" s="3">
        <f>+Tabla1[[#This Row],[Necesidad]]-Tabla1[[#This Row],[Stock Plan]]</f>
        <v>3342.5956666666661</v>
      </c>
      <c r="AR176" s="156">
        <f>IFERROR(VLOOKUP(Tabla1[[#This Row],[Oficina]],[22]Ponderación!$B$3:$G$9,6,FALSE),"")</f>
        <v>44765</v>
      </c>
      <c r="AS17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3.8519999999999999</v>
      </c>
      <c r="AT176" s="83">
        <f>IFERROR(VLOOKUP(Tabla1[[#This Row],[Llave]],[17]DELAY!$H:$W,16,FALSE),0)</f>
        <v>3.8676856000000002</v>
      </c>
      <c r="AU17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3.8646691384615388</v>
      </c>
      <c r="AV176" s="5">
        <f>+Tabla1[[#This Row],[Plan Ajustado]]*Tabla1[[#This Row],[Precio ponderado]]</f>
        <v>33493.799200000001</v>
      </c>
      <c r="AW176" s="30">
        <f>IFERROR(VLOOKUP(Tabla1[[#This Row],[Llave]],'[13]Ultimos precios facturados'!$A:$G,7,FALSE),0)</f>
        <v>3.9109571706657729</v>
      </c>
      <c r="AX17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1.1835474075609555E-2</v>
      </c>
      <c r="AY176" s="30"/>
      <c r="AZ176" s="30">
        <f>IF(Tabla1[[#This Row],[Ajuste precio IC]]="",Tabla1[[#This Row],[Precio ponderado]],Tabla1[[#This Row],[Precio ponderado]])</f>
        <v>3.8646691384615388</v>
      </c>
      <c r="BA176" s="82" t="s">
        <v>758</v>
      </c>
      <c r="BB176" s="82" t="str">
        <f>IF(AND(Tabla1[[#This Row],[Atraso a facturar]]&gt;0,Tabla1[[#This Row],[Precio Atraso]]=0),"Revisar","OK")</f>
        <v>OK</v>
      </c>
      <c r="BC176" s="82" t="str">
        <f>IF(AND(Tabla1[[#This Row],[Venta del mes]]&gt;0,Tabla1[[#This Row],[Precio venta nueva]]=0),"Revisar","OK")</f>
        <v>OK</v>
      </c>
      <c r="BD176" s="20">
        <f>IFERROR(VLOOKUP(Tabla1[[#This Row],[Llave]],'[5]Consolidación planes'!$A:$M,9,FALSE),0)</f>
        <v>17750</v>
      </c>
      <c r="BE176" s="20">
        <f>IFERROR(VLOOKUP(Tabla1[[#This Row],[Llave]],'[5]Consolidación planes'!$A:$M,10,FALSE),0)</f>
        <v>9000</v>
      </c>
      <c r="BF176" s="20">
        <f>IFERROR(VLOOKUP(Tabla1[[#This Row],[Llave]],'[5]Consolidación planes'!$A:$M,11,FALSE),0)</f>
        <v>8000</v>
      </c>
      <c r="BG176" s="20">
        <f>IFERROR(VLOOKUP(Tabla1[[#This Row],[Llave]],'[5]Consolidación planes'!$A:$M,12,FALSE),0)</f>
        <v>7000</v>
      </c>
      <c r="BH176" s="20">
        <f>IFERROR(VLOOKUP(Tabla1[[#This Row],[Llave]],'[5]Consolidación planes'!$A:$M,13,FALSE),0)</f>
        <v>7000</v>
      </c>
      <c r="BI176" s="20">
        <f>IFERROR(VLOOKUP(Tabla1[[#This Row],[Llave]],'[13]Base ultimos planes'!$A:$M,13,FALSE),0)</f>
        <v>10000</v>
      </c>
      <c r="BJ176" s="80">
        <f>IFERROR(VLOOKUP(Tabla1[[#This Row],[Llave]],'[13]Base ultimos planes'!$O:$AA,8,FALSE),0)</f>
        <v>81701.657600000006</v>
      </c>
      <c r="BK176" s="20">
        <f>IFERROR(VLOOKUP(Tabla1[[#This Row],[Llave]],'[13]Base ultimos planes'!$O:$AA,9,FALSE),0)</f>
        <v>39113</v>
      </c>
      <c r="BL176" s="20">
        <f>IFERROR(VLOOKUP(Tabla1[[#This Row],[Llave]],'[13]Base ultimos planes'!$O:$AA,10,FALSE),0)</f>
        <v>34968</v>
      </c>
      <c r="BM176" s="20">
        <f>IFERROR(VLOOKUP(Tabla1[[#This Row],[Llave]],'[13]Base ultimos planes'!$O:$AA,11,FALSE),0)</f>
        <v>28931</v>
      </c>
      <c r="BN176" s="20">
        <f>IFERROR(VLOOKUP(Tabla1[[#This Row],[Llave]],'[13]Base ultimos planes'!$O:$AA,12,FALSE),0)</f>
        <v>26913</v>
      </c>
      <c r="BO176" s="20">
        <f>IFERROR(VLOOKUP(Tabla1[[#This Row],[Llave]],'[13]Base ultimos planes'!$O:$AA,13,FALSE),0)</f>
        <v>37649</v>
      </c>
      <c r="BP176" s="20"/>
      <c r="BQ176" s="20">
        <f>+Tabla1[[#This Row],[ RV  Venta mes n+1]]*(1-Tabla1[[#This Row],[% Uti. producción]])</f>
        <v>1284.1680964580348</v>
      </c>
      <c r="BR176" s="100"/>
    </row>
    <row r="177" spans="1:70" ht="16" x14ac:dyDescent="0.2">
      <c r="A177">
        <v>1</v>
      </c>
      <c r="B177" t="str">
        <f>Tabla1[[#This Row],[Oficina]]&amp;Tabla1[[#This Row],[Material]]</f>
        <v>Exportacion Directa1022326</v>
      </c>
      <c r="C177" t="s">
        <v>6</v>
      </c>
      <c r="D177" t="s">
        <v>88</v>
      </c>
      <c r="E177">
        <v>1022326</v>
      </c>
      <c r="F177" t="s">
        <v>97</v>
      </c>
      <c r="G177" t="s">
        <v>50</v>
      </c>
      <c r="H177" t="s">
        <v>95</v>
      </c>
      <c r="I177" s="7">
        <f>IFERROR(VLOOKUP(Tabla1[[#This Row],[Llave]],'[7]RV Producción'!$C:$G,5,FALSE),0)</f>
        <v>13500</v>
      </c>
      <c r="J177" s="3">
        <f>IFERROR(IF(Tabla1[[#This Row],[Oficina]]=$I$7,VLOOKUP(Tabla1[[#This Row],[Llave]],'[7]Shangai (Tomas)'!$A:$F,6,FALSE),VLOOKUP(Tabla1[[#This Row],[Llave]],'[7]RV plan de ventas'!$A:$E,5,FALSE)),0)</f>
        <v>15000</v>
      </c>
      <c r="K177" s="8">
        <f>IFERROR(VLOOKUP(Tabla1[[#This Row],[Oficina]],[15]Ponderación!$B$2:$E$9,4,FALSE),0)</f>
        <v>0.87158319035419651</v>
      </c>
      <c r="L177" s="7">
        <f>+Tabla1[[#This Row],[ RV Producción mes n+1]]*Tabla1[[#This Row],[% Uti. producción]]</f>
        <v>11766.373069781654</v>
      </c>
      <c r="M177" s="7">
        <f>IFERROR(VLOOKUP(Tabla1[[#This Row],[Material]],'[17]TD Stock'!$E:$I,5,FALSE),0)</f>
        <v>26930.624000000003</v>
      </c>
      <c r="N177" s="7">
        <f>IFERROR(VLOOKUP(Tabla1[[#This Row],[Material]],[16]Produccion!$M:$N,2,FALSE),0)</f>
        <v>5884.8749020828336</v>
      </c>
      <c r="O177" s="7">
        <f>IFERROR(VLOOKUP(Tabla1[[#This Row],[Llave]],'[16]TD Conf-AP'!$I:$M,4,FALSE),0)</f>
        <v>20000</v>
      </c>
      <c r="P177" s="14">
        <f>SUM(Tabla1[[#This Row],[Producción disponible]],Tabla1[[#This Row],[Stock al día]],(Tabla1[[#This Row],[Por producir mes N]]*0.9))-Tabla1[[#This Row],[Producción por despachar mes N]]</f>
        <v>23993.384481656212</v>
      </c>
      <c r="Q177" s="7">
        <f>IFERROR(VLOOKUP(Tabla1[[#This Row],[Llave]],[17]DELAY!$A:$D,4,FALSE),0)</f>
        <v>10000</v>
      </c>
      <c r="R177" s="9">
        <v>5833.333333333333</v>
      </c>
      <c r="S177" s="5">
        <f t="shared" si="31"/>
        <v>10000</v>
      </c>
      <c r="T177" s="76">
        <v>-3000</v>
      </c>
      <c r="U177" s="5">
        <f>+Tabla1[[#This Row],[Atraso a facturar]]+Tabla1[[#This Row],[Ajuste atraso]]</f>
        <v>7000</v>
      </c>
      <c r="V177" s="3">
        <f>+Tabla1[[#This Row],[Total disponible]]-Tabla1[[#This Row],[Facturación atraso]]</f>
        <v>16993.384481656212</v>
      </c>
      <c r="W177" s="6">
        <f>IFERROR(IF(AND(V177&gt;R177,J177&gt;=R177),ROUNDDOWN((Tabla1[[#This Row],[Producción para venta nueva]])/R177,0)*R177,0),0)</f>
        <v>11666.666666666666</v>
      </c>
      <c r="X177" s="76">
        <v>-5000</v>
      </c>
      <c r="Y177" s="6">
        <f>IF(Tabla1[[#This Row],[Venta del mes]]&gt;0,Tabla1[[#This Row],[Venta del mes]]+Tabla1[[#This Row],[Ajuste venta nueva]],0)</f>
        <v>6666.6666666666661</v>
      </c>
      <c r="Z177" s="6">
        <f>+Tabla1[[#This Row],[Producción para venta nueva]]-Tabla1[[#This Row],[Facturación Venta nueva]]</f>
        <v>10326.717814989546</v>
      </c>
      <c r="AA177" s="6">
        <f>IF(AND(A177=1,Tabla1[[#This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7" s="6"/>
      <c r="AC177" s="6">
        <f>IF(Tabla1[[#This Row],[Disponible stock sin venta]]&gt;0,Tabla1[[#This Row],[Disponible stock sin venta]]+Tabla1[[#This Row],[Ajuste stock sin venta]],0)</f>
        <v>0</v>
      </c>
      <c r="AD177" s="3">
        <f>IFERROR(VLOOKUP(Tabla1[[#This Row],[Llave]],'[16]TD Puerto'!$A:$D,4,FALSE),0)</f>
        <v>0</v>
      </c>
      <c r="AE177" s="3">
        <v>21666.666666666664</v>
      </c>
      <c r="AF177" s="3">
        <f>+Tabla1[[#This Row],[Atraso a facturar]]+Tabla1[[#This Row],[Venta del mes]]+Tabla1[[#This Row],[En puerto a facturar]]+Tabla1[[#This Row],[Disponible stock sin venta]]</f>
        <v>21666.666666666664</v>
      </c>
      <c r="AG177" s="3">
        <f>+Tabla1[[#This Row],[En puerto a facturar]]</f>
        <v>0</v>
      </c>
      <c r="AH177" s="3">
        <f>+Tabla1[[#This Row],[Facturación atraso]]</f>
        <v>7000</v>
      </c>
      <c r="AI177" s="3">
        <f>+Tabla1[[#This Row],[Plan Irrestricto]]-Tabla1[[#This Row],[Puerto ]]-Tabla1[[#This Row],[Atraso]]</f>
        <v>14666.666666666664</v>
      </c>
      <c r="AJ177" s="3">
        <f>IF(Tabla1[[#This Row],[Plan Irrestricto]]&gt;0,SUM(Tabla1[[#This Row],[Facturación atraso]],Tabla1[[#This Row],[Facturación Venta nueva]],Tabla1[[#This Row],[Facturación stock]],Tabla1[[#This Row],[En puerto a facturar]]),0)</f>
        <v>13666.666666666666</v>
      </c>
      <c r="AK177" s="3">
        <f>+Tabla1[[#This Row],[Facturación atraso]]</f>
        <v>7000</v>
      </c>
      <c r="AL177" s="3">
        <f>+Tabla1[[#This Row],[Plan Ajustado]]-Tabla1[[#This Row],[ Atraso ajustado]]-Tabla1[[#This Row],[Puerto ]]</f>
        <v>6666.6666666666661</v>
      </c>
      <c r="AM177" s="3" t="s">
        <v>789</v>
      </c>
      <c r="AN177" s="3" t="str">
        <f>IF(Tabla1[[#This Row],[Plan Ajustado]]&gt;Tabla1[[#This Row],[En puerto a facturar]],"Si","No")</f>
        <v>Si</v>
      </c>
      <c r="AO177" s="3">
        <f>IF(AND(Tabla1[[#This Row],[Plan Ajustado]]&gt;0,Tabla1[[#This Row],[Plan Ajustado]]&gt;Tabla1[[#This Row],[En puerto a facturar]]),(Tabla1[[#This Row],[Plan Ajustado]]-Tabla1[[#This Row],[En puerto a facturar]]),0)</f>
        <v>13666.666666666666</v>
      </c>
      <c r="AP177" s="3">
        <f>IF(Tabla1[[#This Row],[Necesidad]]&gt;=Tabla1[[#This Row],[Stock al día]],Tabla1[[#This Row],[Stock al día]],Tabla1[[#This Row],[Necesidad]])</f>
        <v>13666.666666666666</v>
      </c>
      <c r="AQ177" s="3">
        <f>+Tabla1[[#This Row],[Necesidad]]-Tabla1[[#This Row],[Stock Plan]]</f>
        <v>0</v>
      </c>
      <c r="AR177" s="156">
        <f>IFERROR(VLOOKUP(Tabla1[[#This Row],[Oficina]],[22]Ponderación!$B$3:$G$9,6,FALSE),"")</f>
        <v>44765</v>
      </c>
      <c r="AS17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3.492</v>
      </c>
      <c r="AT177" s="83">
        <f>IFERROR(VLOOKUP(Tabla1[[#This Row],[Llave]],[17]DELAY!$H:$W,16,FALSE),0)</f>
        <v>3.3282738219999999</v>
      </c>
      <c r="AU17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3.4081402502926825</v>
      </c>
      <c r="AV177" s="5">
        <f>+Tabla1[[#This Row],[Plan Ajustado]]*Tabla1[[#This Row],[Precio ponderado]]</f>
        <v>46577.916753999991</v>
      </c>
      <c r="AW177" s="30">
        <f>IFERROR(VLOOKUP(Tabla1[[#This Row],[Llave]],'[13]Ultimos precios facturados'!$A:$G,7,FALSE),0)</f>
        <v>3.2422517287046131</v>
      </c>
      <c r="AX17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5.1164602710952183E-2</v>
      </c>
      <c r="AY177" s="30"/>
      <c r="AZ177" s="30">
        <f>IF(Tabla1[[#This Row],[Ajuste precio IC]]="",Tabla1[[#This Row],[Precio ponderado]],Tabla1[[#This Row],[Precio ponderado]])</f>
        <v>3.4081402502926825</v>
      </c>
      <c r="BA177" s="82"/>
      <c r="BB177" s="82" t="str">
        <f>IF(AND(Tabla1[[#This Row],[Atraso a facturar]]&gt;0,Tabla1[[#This Row],[Precio Atraso]]=0),"Revisar","OK")</f>
        <v>OK</v>
      </c>
      <c r="BC177" s="82" t="str">
        <f>IF(AND(Tabla1[[#This Row],[Venta del mes]]&gt;0,Tabla1[[#This Row],[Precio venta nueva]]=0),"Revisar","OK")</f>
        <v>OK</v>
      </c>
      <c r="BD177" s="20">
        <f>IFERROR(VLOOKUP(Tabla1[[#This Row],[Llave]],'[5]Consolidación planes'!$A:$M,9,FALSE),0)</f>
        <v>35000</v>
      </c>
      <c r="BE177" s="20">
        <f>IFERROR(VLOOKUP(Tabla1[[#This Row],[Llave]],'[5]Consolidación planes'!$A:$M,10,FALSE),0)</f>
        <v>23000</v>
      </c>
      <c r="BF177" s="20">
        <f>IFERROR(VLOOKUP(Tabla1[[#This Row],[Llave]],'[5]Consolidación planes'!$A:$M,11,FALSE),0)</f>
        <v>45000</v>
      </c>
      <c r="BG177" s="20">
        <f>IFERROR(VLOOKUP(Tabla1[[#This Row],[Llave]],'[5]Consolidación planes'!$A:$M,12,FALSE),0)</f>
        <v>30000</v>
      </c>
      <c r="BH177" s="20">
        <f>IFERROR(VLOOKUP(Tabla1[[#This Row],[Llave]],'[5]Consolidación planes'!$A:$M,13,FALSE),0)</f>
        <v>41343</v>
      </c>
      <c r="BI177" s="20">
        <f>IFERROR(VLOOKUP(Tabla1[[#This Row],[Llave]],'[13]Base ultimos planes'!$A:$M,13,FALSE),0)</f>
        <v>41667</v>
      </c>
      <c r="BJ177" s="80">
        <f>IFERROR(VLOOKUP(Tabla1[[#This Row],[Llave]],'[13]Base ultimos planes'!$O:$AA,8,FALSE),0)</f>
        <v>153650</v>
      </c>
      <c r="BK177" s="20">
        <f>IFERROR(VLOOKUP(Tabla1[[#This Row],[Llave]],'[13]Base ultimos planes'!$O:$AA,9,FALSE),0)</f>
        <v>87386</v>
      </c>
      <c r="BL177" s="20">
        <f>IFERROR(VLOOKUP(Tabla1[[#This Row],[Llave]],'[13]Base ultimos planes'!$O:$AA,10,FALSE),0)</f>
        <v>155377</v>
      </c>
      <c r="BM177" s="20">
        <f>IFERROR(VLOOKUP(Tabla1[[#This Row],[Llave]],'[13]Base ultimos planes'!$O:$AA,11,FALSE),0)</f>
        <v>103333</v>
      </c>
      <c r="BN177" s="20">
        <f>IFERROR(VLOOKUP(Tabla1[[#This Row],[Llave]],'[13]Base ultimos planes'!$O:$AA,12,FALSE),0)</f>
        <v>141388</v>
      </c>
      <c r="BO177" s="20">
        <f>IFERROR(VLOOKUP(Tabla1[[#This Row],[Llave]],'[13]Base ultimos planes'!$O:$AA,13,FALSE),0)</f>
        <v>134460</v>
      </c>
      <c r="BP177" s="20"/>
      <c r="BQ177" s="20">
        <f>+Tabla1[[#This Row],[ RV  Venta mes n+1]]*(1-Tabla1[[#This Row],[% Uti. producción]])</f>
        <v>1926.2521446870524</v>
      </c>
      <c r="BR177" s="100"/>
    </row>
    <row r="178" spans="1:70" ht="16" x14ac:dyDescent="0.2">
      <c r="A178">
        <v>1</v>
      </c>
      <c r="B178" t="str">
        <f>Tabla1[[#This Row],[Oficina]]&amp;Tabla1[[#This Row],[Material]]</f>
        <v>Exportacion Directa1022370</v>
      </c>
      <c r="C178" t="s">
        <v>6</v>
      </c>
      <c r="D178" t="s">
        <v>88</v>
      </c>
      <c r="E178">
        <v>1022370</v>
      </c>
      <c r="F178" t="s">
        <v>108</v>
      </c>
      <c r="G178" t="s">
        <v>50</v>
      </c>
      <c r="H178" t="s">
        <v>103</v>
      </c>
      <c r="I178" s="7">
        <f>IFERROR(VLOOKUP(Tabla1[[#This Row],[Llave]],'[7]RV Producción'!$C:$G,5,FALSE),0)</f>
        <v>25742</v>
      </c>
      <c r="J178" s="3">
        <f>IFERROR(IF(Tabla1[[#This Row],[Oficina]]=$I$7,VLOOKUP(Tabla1[[#This Row],[Llave]],'[7]Shangai (Tomas)'!$A:$F,6,FALSE),VLOOKUP(Tabla1[[#This Row],[Llave]],'[7]RV plan de ventas'!$A:$E,5,FALSE)),0)</f>
        <v>20000</v>
      </c>
      <c r="K178" s="8">
        <f>IFERROR(VLOOKUP(Tabla1[[#This Row],[Oficina]],[15]Ponderación!$B$2:$E$9,4,FALSE),0)</f>
        <v>0.87158319035419651</v>
      </c>
      <c r="L178" s="7">
        <f>+Tabla1[[#This Row],[ RV Producción mes n+1]]*Tabla1[[#This Row],[% Uti. producción]]</f>
        <v>22436.294486097726</v>
      </c>
      <c r="M178" s="7">
        <f>IFERROR(VLOOKUP(Tabla1[[#This Row],[Material]],'[17]TD Stock'!$E:$I,5,FALSE),0)</f>
        <v>28902.286999999993</v>
      </c>
      <c r="N178" s="7">
        <f>IFERROR(VLOOKUP(Tabla1[[#This Row],[Material]],[16]Produccion!$M:$N,2,FALSE),0)</f>
        <v>17214.218854131188</v>
      </c>
      <c r="O178" s="7">
        <f>IFERROR(VLOOKUP(Tabla1[[#This Row],[Llave]],'[16]TD Conf-AP'!$I:$M,4,FALSE),0)</f>
        <v>14000</v>
      </c>
      <c r="P178" s="14">
        <f>SUM(Tabla1[[#This Row],[Producción disponible]],Tabla1[[#This Row],[Stock al día]],(Tabla1[[#This Row],[Por producir mes N]]*0.9))-Tabla1[[#This Row],[Producción por despachar mes N]]</f>
        <v>52831.378454815786</v>
      </c>
      <c r="Q178" s="7">
        <f>IFERROR(VLOOKUP(Tabla1[[#This Row],[Llave]],[17]DELAY!$A:$D,4,FALSE),0)</f>
        <v>60000</v>
      </c>
      <c r="R178" s="9">
        <v>2500</v>
      </c>
      <c r="S178" s="5">
        <f t="shared" si="31"/>
        <v>52500</v>
      </c>
      <c r="T178" s="76">
        <v>-20000</v>
      </c>
      <c r="U178" s="5">
        <f>+Tabla1[[#This Row],[Atraso a facturar]]+Tabla1[[#This Row],[Ajuste atraso]]</f>
        <v>32500</v>
      </c>
      <c r="V178" s="3">
        <f>+Tabla1[[#This Row],[Total disponible]]-Tabla1[[#This Row],[Facturación atraso]]</f>
        <v>20331.378454815786</v>
      </c>
      <c r="W178" s="6">
        <f>IFERROR(IF(AND(V178&gt;R178,J178&gt;=R178),ROUNDDOWN((Tabla1[[#This Row],[Producción para venta nueva]])/R178,0)*R178,0),0)</f>
        <v>20000</v>
      </c>
      <c r="X178" s="76">
        <v>-10000</v>
      </c>
      <c r="Y178" s="6">
        <f>IF(Tabla1[[#This Row],[Venta del mes]]&gt;0,Tabla1[[#This Row],[Venta del mes]]+Tabla1[[#This Row],[Ajuste venta nueva]],0)</f>
        <v>10000</v>
      </c>
      <c r="Z178" s="6">
        <f>+Tabla1[[#This Row],[Producción para venta nueva]]-Tabla1[[#This Row],[Facturación Venta nueva]]</f>
        <v>10331.378454815786</v>
      </c>
      <c r="AA178" s="6">
        <f>IF(AND(A178=1,Tabla1[[#This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8" s="6"/>
      <c r="AC178" s="6">
        <f>IF(Tabla1[[#This Row],[Disponible stock sin venta]]&gt;0,Tabla1[[#This Row],[Disponible stock sin venta]]+Tabla1[[#This Row],[Ajuste stock sin venta]],0)</f>
        <v>0</v>
      </c>
      <c r="AD178" s="3">
        <f>IFERROR(VLOOKUP(Tabla1[[#This Row],[Llave]],'[16]TD Puerto'!$A:$D,4,FALSE),0)</f>
        <v>0</v>
      </c>
      <c r="AE178" s="3">
        <v>52500</v>
      </c>
      <c r="AF178" s="3">
        <f>+Tabla1[[#This Row],[Atraso a facturar]]+Tabla1[[#This Row],[Venta del mes]]+Tabla1[[#This Row],[En puerto a facturar]]+Tabla1[[#This Row],[Disponible stock sin venta]]</f>
        <v>72500</v>
      </c>
      <c r="AG178" s="3">
        <f>+Tabla1[[#This Row],[En puerto a facturar]]</f>
        <v>0</v>
      </c>
      <c r="AH178" s="3">
        <f>+Tabla1[[#This Row],[Facturación atraso]]</f>
        <v>32500</v>
      </c>
      <c r="AI178" s="3">
        <f>+Tabla1[[#This Row],[Plan Irrestricto]]-Tabla1[[#This Row],[Puerto ]]-Tabla1[[#This Row],[Atraso]]</f>
        <v>40000</v>
      </c>
      <c r="AJ178" s="3">
        <f>IF(Tabla1[[#This Row],[Plan Irrestricto]]&gt;0,SUM(Tabla1[[#This Row],[Facturación atraso]],Tabla1[[#This Row],[Facturación Venta nueva]],Tabla1[[#This Row],[Facturación stock]],Tabla1[[#This Row],[En puerto a facturar]]),0)</f>
        <v>42500</v>
      </c>
      <c r="AK178" s="3">
        <f>+Tabla1[[#This Row],[Facturación atraso]]</f>
        <v>32500</v>
      </c>
      <c r="AL178" s="3">
        <f>+Tabla1[[#This Row],[Plan Ajustado]]-Tabla1[[#This Row],[ Atraso ajustado]]-Tabla1[[#This Row],[Puerto ]]</f>
        <v>10000</v>
      </c>
      <c r="AM178" s="3" t="s">
        <v>789</v>
      </c>
      <c r="AN178" s="3" t="str">
        <f>IF(Tabla1[[#This Row],[Plan Ajustado]]&gt;Tabla1[[#This Row],[En puerto a facturar]],"Si","No")</f>
        <v>Si</v>
      </c>
      <c r="AO178" s="3">
        <f>IF(AND(Tabla1[[#This Row],[Plan Ajustado]]&gt;0,Tabla1[[#This Row],[Plan Ajustado]]&gt;Tabla1[[#This Row],[En puerto a facturar]]),(Tabla1[[#This Row],[Plan Ajustado]]-Tabla1[[#This Row],[En puerto a facturar]]),0)</f>
        <v>42500</v>
      </c>
      <c r="AP178" s="3">
        <f>IF(Tabla1[[#This Row],[Necesidad]]&gt;=Tabla1[[#This Row],[Stock al día]],Tabla1[[#This Row],[Stock al día]],Tabla1[[#This Row],[Necesidad]])</f>
        <v>28902.286999999993</v>
      </c>
      <c r="AQ178" s="3">
        <f>+Tabla1[[#This Row],[Necesidad]]-Tabla1[[#This Row],[Stock Plan]]</f>
        <v>13597.713000000007</v>
      </c>
      <c r="AR178" s="156">
        <f>IFERROR(VLOOKUP(Tabla1[[#This Row],[Oficina]],[22]Ponderación!$B$3:$G$9,6,FALSE),"")</f>
        <v>44765</v>
      </c>
      <c r="AS17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3.6</v>
      </c>
      <c r="AT178" s="83">
        <f>IFERROR(VLOOKUP(Tabla1[[#This Row],[Llave]],[17]DELAY!$H:$W,16,FALSE),0)</f>
        <v>3.7137364816666669</v>
      </c>
      <c r="AU17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3.6869749565686276</v>
      </c>
      <c r="AV178" s="5">
        <f>+Tabla1[[#This Row],[Plan Ajustado]]*Tabla1[[#This Row],[Precio ponderado]]</f>
        <v>156696.43565416668</v>
      </c>
      <c r="AW178" s="30">
        <f>IFERROR(VLOOKUP(Tabla1[[#This Row],[Llave]],'[13]Ultimos precios facturados'!$A:$G,7,FALSE),0)</f>
        <v>3.5816533000515935</v>
      </c>
      <c r="AX17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2.9405877033245209E-2</v>
      </c>
      <c r="AY178" s="30"/>
      <c r="AZ178" s="30">
        <f>IF(Tabla1[[#This Row],[Ajuste precio IC]]="",Tabla1[[#This Row],[Precio ponderado]],Tabla1[[#This Row],[Precio ponderado]])</f>
        <v>3.6869749565686276</v>
      </c>
      <c r="BA178" s="82"/>
      <c r="BB178" s="82" t="str">
        <f>IF(AND(Tabla1[[#This Row],[Atraso a facturar]]&gt;0,Tabla1[[#This Row],[Precio Atraso]]=0),"Revisar","OK")</f>
        <v>OK</v>
      </c>
      <c r="BC178" s="82" t="str">
        <f>IF(AND(Tabla1[[#This Row],[Venta del mes]]&gt;0,Tabla1[[#This Row],[Precio venta nueva]]=0),"Revisar","OK")</f>
        <v>OK</v>
      </c>
      <c r="BD178" s="20">
        <f>IFERROR(VLOOKUP(Tabla1[[#This Row],[Llave]],'[5]Consolidación planes'!$A:$M,9,FALSE),0)</f>
        <v>30000</v>
      </c>
      <c r="BE178" s="20">
        <f>IFERROR(VLOOKUP(Tabla1[[#This Row],[Llave]],'[5]Consolidación planes'!$A:$M,10,FALSE),0)</f>
        <v>13000</v>
      </c>
      <c r="BF178" s="20">
        <f>IFERROR(VLOOKUP(Tabla1[[#This Row],[Llave]],'[5]Consolidación planes'!$A:$M,11,FALSE),0)</f>
        <v>18000</v>
      </c>
      <c r="BG178" s="20">
        <f>IFERROR(VLOOKUP(Tabla1[[#This Row],[Llave]],'[5]Consolidación planes'!$A:$M,12,FALSE),0)</f>
        <v>35000</v>
      </c>
      <c r="BH178" s="20">
        <f>IFERROR(VLOOKUP(Tabla1[[#This Row],[Llave]],'[5]Consolidación planes'!$A:$M,13,FALSE),0)</f>
        <v>30000</v>
      </c>
      <c r="BI178" s="20">
        <f>IFERROR(VLOOKUP(Tabla1[[#This Row],[Llave]],'[13]Base ultimos planes'!$A:$M,13,FALSE),0)</f>
        <v>42500</v>
      </c>
      <c r="BJ178" s="80">
        <f>IFERROR(VLOOKUP(Tabla1[[#This Row],[Llave]],'[13]Base ultimos planes'!$O:$AA,8,FALSE),0)</f>
        <v>126000</v>
      </c>
      <c r="BK178" s="20">
        <f>IFERROR(VLOOKUP(Tabla1[[#This Row],[Llave]],'[13]Base ultimos planes'!$O:$AA,9,FALSE),0)</f>
        <v>52063</v>
      </c>
      <c r="BL178" s="20">
        <f>IFERROR(VLOOKUP(Tabla1[[#This Row],[Llave]],'[13]Base ultimos planes'!$O:$AA,10,FALSE),0)</f>
        <v>72039</v>
      </c>
      <c r="BM178" s="20">
        <f>IFERROR(VLOOKUP(Tabla1[[#This Row],[Llave]],'[13]Base ultimos planes'!$O:$AA,11,FALSE),0)</f>
        <v>136267</v>
      </c>
      <c r="BN178" s="20">
        <f>IFERROR(VLOOKUP(Tabla1[[#This Row],[Llave]],'[13]Base ultimos planes'!$O:$AA,12,FALSE),0)</f>
        <v>110039</v>
      </c>
      <c r="BO178" s="20">
        <f>IFERROR(VLOOKUP(Tabla1[[#This Row],[Llave]],'[13]Base ultimos planes'!$O:$AA,13,FALSE),0)</f>
        <v>151844</v>
      </c>
      <c r="BP178" s="20"/>
      <c r="BQ178" s="20">
        <f>+Tabla1[[#This Row],[ RV  Venta mes n+1]]*(1-Tabla1[[#This Row],[% Uti. producción]])</f>
        <v>2568.3361929160696</v>
      </c>
      <c r="BR178" s="100"/>
    </row>
    <row r="179" spans="1:70" ht="16" x14ac:dyDescent="0.2">
      <c r="A179">
        <v>1</v>
      </c>
      <c r="B179" t="str">
        <f>Tabla1[[#This Row],[Oficina]]&amp;Tabla1[[#This Row],[Material]]</f>
        <v>Exportacion Directa1022371</v>
      </c>
      <c r="C179" t="s">
        <v>6</v>
      </c>
      <c r="D179" t="s">
        <v>88</v>
      </c>
      <c r="E179">
        <v>1022371</v>
      </c>
      <c r="F179" t="s">
        <v>125</v>
      </c>
      <c r="G179" t="s">
        <v>56</v>
      </c>
      <c r="H179" t="s">
        <v>57</v>
      </c>
      <c r="I179" s="7">
        <f>IFERROR(VLOOKUP(Tabla1[[#This Row],[Llave]],'[7]RV Producción'!$C:$G,5,FALSE),0)</f>
        <v>36965</v>
      </c>
      <c r="J179" s="3">
        <f>IFERROR(IF(Tabla1[[#This Row],[Oficina]]=$I$7,VLOOKUP(Tabla1[[#This Row],[Llave]],'[7]Shangai (Tomas)'!$A:$F,6,FALSE),VLOOKUP(Tabla1[[#This Row],[Llave]],'[7]RV plan de ventas'!$A:$E,5,FALSE)),0)</f>
        <v>19000</v>
      </c>
      <c r="K179" s="8">
        <f>IFERROR(VLOOKUP(Tabla1[[#This Row],[Oficina]],[15]Ponderación!$B$2:$E$9,4,FALSE),0)</f>
        <v>0.87158319035419651</v>
      </c>
      <c r="L179" s="7">
        <f>+Tabla1[[#This Row],[ RV Producción mes n+1]]*Tabla1[[#This Row],[% Uti. producción]]</f>
        <v>32218.072631442876</v>
      </c>
      <c r="M179" s="7">
        <f>IFERROR(VLOOKUP(Tabla1[[#This Row],[Material]],'[17]TD Stock'!$E:$I,5,FALSE),0)</f>
        <v>11577.777</v>
      </c>
      <c r="N179" s="7">
        <f>IFERROR(VLOOKUP(Tabla1[[#This Row],[Material]],[16]Produccion!$M:$N,2,FALSE),0)</f>
        <v>1052.4868171434778</v>
      </c>
      <c r="O179" s="7">
        <f>IFERROR(VLOOKUP(Tabla1[[#This Row],[Llave]],'[16]TD Conf-AP'!$I:$M,4,FALSE),0)</f>
        <v>0</v>
      </c>
      <c r="P179" s="14">
        <f>SUM(Tabla1[[#This Row],[Producción disponible]],Tabla1[[#This Row],[Stock al día]],(Tabla1[[#This Row],[Por producir mes N]]*0.9))-Tabla1[[#This Row],[Producción por despachar mes N]]</f>
        <v>44743.087766872006</v>
      </c>
      <c r="Q179" s="7">
        <f>IFERROR(VLOOKUP(Tabla1[[#This Row],[Llave]],[17]DELAY!$A:$D,4,FALSE),0)</f>
        <v>28000</v>
      </c>
      <c r="R179" s="9">
        <v>3900</v>
      </c>
      <c r="S179" s="5">
        <f t="shared" si="31"/>
        <v>28000</v>
      </c>
      <c r="T179" s="76">
        <v>-10000</v>
      </c>
      <c r="U179" s="5">
        <f>+Tabla1[[#This Row],[Atraso a facturar]]+Tabla1[[#This Row],[Ajuste atraso]]</f>
        <v>18000</v>
      </c>
      <c r="V179" s="3">
        <f>+Tabla1[[#This Row],[Total disponible]]-Tabla1[[#This Row],[Facturación atraso]]</f>
        <v>26743.087766872006</v>
      </c>
      <c r="W179" s="6">
        <f>IFERROR(IF(AND(V179&gt;R179,J179&gt;=R179),ROUNDDOWN((Tabla1[[#This Row],[Producción para venta nueva]])/R179,0)*R179,0),0)</f>
        <v>23400</v>
      </c>
      <c r="X179" s="76">
        <v>-10000</v>
      </c>
      <c r="Y179" s="6">
        <f>IF(Tabla1[[#This Row],[Venta del mes]]&gt;0,Tabla1[[#This Row],[Venta del mes]]+Tabla1[[#This Row],[Ajuste venta nueva]],0)</f>
        <v>13400</v>
      </c>
      <c r="Z179" s="6">
        <f>+Tabla1[[#This Row],[Producción para venta nueva]]-Tabla1[[#This Row],[Facturación Venta nueva]]</f>
        <v>13343.087766872006</v>
      </c>
      <c r="AA179" s="6">
        <f>IF(AND(A179=1,Tabla1[[#This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79" s="6"/>
      <c r="AC179" s="6">
        <f>IF(Tabla1[[#This Row],[Disponible stock sin venta]]&gt;0,Tabla1[[#This Row],[Disponible stock sin venta]]+Tabla1[[#This Row],[Ajuste stock sin venta]],0)</f>
        <v>0</v>
      </c>
      <c r="AD179" s="3">
        <f>IFERROR(VLOOKUP(Tabla1[[#This Row],[Llave]],'[16]TD Puerto'!$A:$D,4,FALSE),0)</f>
        <v>0</v>
      </c>
      <c r="AE179" s="3">
        <v>43600</v>
      </c>
      <c r="AF179" s="3">
        <f>+Tabla1[[#This Row],[Atraso a facturar]]+Tabla1[[#This Row],[Venta del mes]]+Tabla1[[#This Row],[En puerto a facturar]]+Tabla1[[#This Row],[Disponible stock sin venta]]</f>
        <v>51400</v>
      </c>
      <c r="AG179" s="3">
        <f>+Tabla1[[#This Row],[En puerto a facturar]]</f>
        <v>0</v>
      </c>
      <c r="AH179" s="3">
        <f>+Tabla1[[#This Row],[Facturación atraso]]</f>
        <v>18000</v>
      </c>
      <c r="AI179" s="3">
        <f>+Tabla1[[#This Row],[Plan Irrestricto]]-Tabla1[[#This Row],[Puerto ]]-Tabla1[[#This Row],[Atraso]]</f>
        <v>33400</v>
      </c>
      <c r="AJ179" s="3">
        <f>IF(Tabla1[[#This Row],[Plan Irrestricto]]&gt;0,SUM(Tabla1[[#This Row],[Facturación atraso]],Tabla1[[#This Row],[Facturación Venta nueva]],Tabla1[[#This Row],[Facturación stock]],Tabla1[[#This Row],[En puerto a facturar]]),0)</f>
        <v>31400</v>
      </c>
      <c r="AK179" s="3">
        <f>+Tabla1[[#This Row],[Facturación atraso]]</f>
        <v>18000</v>
      </c>
      <c r="AL179" s="3">
        <f>+Tabla1[[#This Row],[Plan Ajustado]]-Tabla1[[#This Row],[ Atraso ajustado]]-Tabla1[[#This Row],[Puerto ]]</f>
        <v>13400</v>
      </c>
      <c r="AM179" s="3" t="s">
        <v>789</v>
      </c>
      <c r="AN179" s="3" t="str">
        <f>IF(Tabla1[[#This Row],[Plan Ajustado]]&gt;Tabla1[[#This Row],[En puerto a facturar]],"Si","No")</f>
        <v>Si</v>
      </c>
      <c r="AO179" s="3">
        <f>IF(AND(Tabla1[[#This Row],[Plan Ajustado]]&gt;0,Tabla1[[#This Row],[Plan Ajustado]]&gt;Tabla1[[#This Row],[En puerto a facturar]]),(Tabla1[[#This Row],[Plan Ajustado]]-Tabla1[[#This Row],[En puerto a facturar]]),0)</f>
        <v>31400</v>
      </c>
      <c r="AP179" s="3">
        <f>IF(Tabla1[[#This Row],[Necesidad]]&gt;=Tabla1[[#This Row],[Stock al día]],Tabla1[[#This Row],[Stock al día]],Tabla1[[#This Row],[Necesidad]])</f>
        <v>11577.777</v>
      </c>
      <c r="AQ179" s="3">
        <f>+Tabla1[[#This Row],[Necesidad]]-Tabla1[[#This Row],[Stock Plan]]</f>
        <v>19822.222999999998</v>
      </c>
      <c r="AR179" s="156">
        <f>IFERROR(VLOOKUP(Tabla1[[#This Row],[Oficina]],[22]Ponderación!$B$3:$G$9,6,FALSE),"")</f>
        <v>44765</v>
      </c>
      <c r="AS17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4.68</v>
      </c>
      <c r="AT179" s="83">
        <f>IFERROR(VLOOKUP(Tabla1[[#This Row],[Llave]],[17]DELAY!$H:$W,16,FALSE),0)</f>
        <v>4.6143291267857141</v>
      </c>
      <c r="AU17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4.6423542765013641</v>
      </c>
      <c r="AV179" s="5">
        <f>+Tabla1[[#This Row],[Plan Ajustado]]*Tabla1[[#This Row],[Precio ponderado]]</f>
        <v>145769.92428214283</v>
      </c>
      <c r="AW179" s="30">
        <f>IFERROR(VLOOKUP(Tabla1[[#This Row],[Llave]],'[13]Ultimos precios facturados'!$A:$G,7,FALSE),0)</f>
        <v>4.3143990845145517</v>
      </c>
      <c r="AX17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7.6014106614273338E-2</v>
      </c>
      <c r="AY179" s="30"/>
      <c r="AZ179" s="30">
        <f>IF(Tabla1[[#This Row],[Ajuste precio IC]]="",Tabla1[[#This Row],[Precio ponderado]],Tabla1[[#This Row],[Precio ponderado]])</f>
        <v>4.6423542765013641</v>
      </c>
      <c r="BA179" s="82"/>
      <c r="BB179" s="82" t="str">
        <f>IF(AND(Tabla1[[#This Row],[Atraso a facturar]]&gt;0,Tabla1[[#This Row],[Precio Atraso]]=0),"Revisar","OK")</f>
        <v>OK</v>
      </c>
      <c r="BC179" s="82" t="str">
        <f>IF(AND(Tabla1[[#This Row],[Venta del mes]]&gt;0,Tabla1[[#This Row],[Precio venta nueva]]=0),"Revisar","OK")</f>
        <v>OK</v>
      </c>
      <c r="BD179" s="20">
        <f>IFERROR(VLOOKUP(Tabla1[[#This Row],[Llave]],'[5]Consolidación planes'!$A:$M,9,FALSE),0)</f>
        <v>15000</v>
      </c>
      <c r="BE179" s="20">
        <f>IFERROR(VLOOKUP(Tabla1[[#This Row],[Llave]],'[5]Consolidación planes'!$A:$M,10,FALSE),0)</f>
        <v>30000</v>
      </c>
      <c r="BF179" s="20">
        <f>IFERROR(VLOOKUP(Tabla1[[#This Row],[Llave]],'[5]Consolidación planes'!$A:$M,11,FALSE),0)</f>
        <v>25000</v>
      </c>
      <c r="BG179" s="20">
        <f>IFERROR(VLOOKUP(Tabla1[[#This Row],[Llave]],'[5]Consolidación planes'!$A:$M,12,FALSE),0)</f>
        <v>22000</v>
      </c>
      <c r="BH179" s="20">
        <f>IFERROR(VLOOKUP(Tabla1[[#This Row],[Llave]],'[5]Consolidación planes'!$A:$M,13,FALSE),0)</f>
        <v>12000</v>
      </c>
      <c r="BI179" s="20">
        <f>IFERROR(VLOOKUP(Tabla1[[#This Row],[Llave]],'[13]Base ultimos planes'!$A:$M,13,FALSE),0)</f>
        <v>24700</v>
      </c>
      <c r="BJ179" s="80">
        <f>IFERROR(VLOOKUP(Tabla1[[#This Row],[Llave]],'[13]Base ultimos planes'!$O:$AA,8,FALSE),0)</f>
        <v>73701.857300000003</v>
      </c>
      <c r="BK179" s="20">
        <f>IFERROR(VLOOKUP(Tabla1[[#This Row],[Llave]],'[13]Base ultimos planes'!$O:$AA,9,FALSE),0)</f>
        <v>106487</v>
      </c>
      <c r="BL179" s="20">
        <f>IFERROR(VLOOKUP(Tabla1[[#This Row],[Llave]],'[13]Base ultimos planes'!$O:$AA,10,FALSE),0)</f>
        <v>116125</v>
      </c>
      <c r="BM179" s="20">
        <f>IFERROR(VLOOKUP(Tabla1[[#This Row],[Llave]],'[13]Base ultimos planes'!$O:$AA,11,FALSE),0)</f>
        <v>98645</v>
      </c>
      <c r="BN179" s="20">
        <f>IFERROR(VLOOKUP(Tabla1[[#This Row],[Llave]],'[13]Base ultimos planes'!$O:$AA,12,FALSE),0)</f>
        <v>53380</v>
      </c>
      <c r="BO179" s="20">
        <f>IFERROR(VLOOKUP(Tabla1[[#This Row],[Llave]],'[13]Base ultimos planes'!$O:$AA,13,FALSE),0)</f>
        <v>103051</v>
      </c>
      <c r="BP179" s="20"/>
      <c r="BQ179" s="20">
        <f>+Tabla1[[#This Row],[ RV  Venta mes n+1]]*(1-Tabla1[[#This Row],[% Uti. producción]])</f>
        <v>2439.9193832702663</v>
      </c>
      <c r="BR179" s="100"/>
    </row>
    <row r="180" spans="1:70" ht="16" x14ac:dyDescent="0.2">
      <c r="A180">
        <v>1</v>
      </c>
      <c r="B180" t="str">
        <f>Tabla1[[#This Row],[Oficina]]&amp;Tabla1[[#This Row],[Material]]</f>
        <v>Exportacion Directa1022472</v>
      </c>
      <c r="C180" t="s">
        <v>6</v>
      </c>
      <c r="D180" t="s">
        <v>88</v>
      </c>
      <c r="E180">
        <v>1022472</v>
      </c>
      <c r="F180" t="s">
        <v>102</v>
      </c>
      <c r="G180" t="s">
        <v>50</v>
      </c>
      <c r="H180" t="s">
        <v>51</v>
      </c>
      <c r="I180" s="7">
        <f>IFERROR(VLOOKUP(Tabla1[[#This Row],[Llave]],'[7]RV Producción'!$C:$G,5,FALSE),0)</f>
        <v>0</v>
      </c>
      <c r="J180" s="3">
        <f>IFERROR(IF(Tabla1[[#This Row],[Oficina]]=$I$7,VLOOKUP(Tabla1[[#This Row],[Llave]],'[7]Shangai (Tomas)'!$A:$F,6,FALSE),VLOOKUP(Tabla1[[#This Row],[Llave]],'[7]RV plan de ventas'!$A:$E,5,FALSE)),0)</f>
        <v>0</v>
      </c>
      <c r="K180" s="8">
        <f>IFERROR(VLOOKUP(Tabla1[[#This Row],[Oficina]],[15]Ponderación!$B$2:$E$9,4,FALSE),0)</f>
        <v>0.87158319035419651</v>
      </c>
      <c r="L180" s="7">
        <f>+Tabla1[[#This Row],[ RV Producción mes n+1]]*Tabla1[[#This Row],[% Uti. producción]]</f>
        <v>0</v>
      </c>
      <c r="M180" s="7">
        <f>IFERROR(VLOOKUP(Tabla1[[#This Row],[Material]],'[17]TD Stock'!$E:$I,5,FALSE),0)</f>
        <v>20160.351999999995</v>
      </c>
      <c r="N180" s="7">
        <f>IFERROR(VLOOKUP(Tabla1[[#This Row],[Material]],[16]Produccion!$M:$N,2,FALSE),0)</f>
        <v>0</v>
      </c>
      <c r="O180" s="7">
        <f>IFERROR(VLOOKUP(Tabla1[[#This Row],[Llave]],'[16]TD Conf-AP'!$I:$M,4,FALSE),0)</f>
        <v>0</v>
      </c>
      <c r="P180" s="14">
        <f>SUM(Tabla1[[#This Row],[Producción disponible]],Tabla1[[#This Row],[Stock al día]],(Tabla1[[#This Row],[Por producir mes N]]*0.9))-Tabla1[[#This Row],[Producción por despachar mes N]]</f>
        <v>20160.351999999995</v>
      </c>
      <c r="Q180" s="7">
        <f>IFERROR(VLOOKUP(Tabla1[[#This Row],[Llave]],[17]DELAY!$A:$D,4,FALSE),0)</f>
        <v>0</v>
      </c>
      <c r="R180" s="9">
        <v>2500</v>
      </c>
      <c r="S180" s="5">
        <f t="shared" si="31"/>
        <v>0</v>
      </c>
      <c r="T180" s="76">
        <v>0</v>
      </c>
      <c r="U180" s="5">
        <f>+Tabla1[[#This Row],[Atraso a facturar]]+Tabla1[[#This Row],[Ajuste atraso]]</f>
        <v>0</v>
      </c>
      <c r="V180" s="3">
        <f>+Tabla1[[#This Row],[Total disponible]]-Tabla1[[#This Row],[Facturación atraso]]</f>
        <v>20160.351999999995</v>
      </c>
      <c r="W180" s="6">
        <f>IFERROR(IF(AND(V180&gt;R180,J180&gt;=R180),ROUNDDOWN((Tabla1[[#This Row],[Producción para venta nueva]])/R180,0)*R180,0),0)</f>
        <v>0</v>
      </c>
      <c r="X180" s="76">
        <v>0</v>
      </c>
      <c r="Y180" s="6">
        <f>IF(Tabla1[[#This Row],[Venta del mes]]&gt;0,Tabla1[[#This Row],[Venta del mes]]+Tabla1[[#This Row],[Ajuste venta nueva]],0)</f>
        <v>0</v>
      </c>
      <c r="Z180" s="6">
        <f>+Tabla1[[#This Row],[Producción para venta nueva]]-Tabla1[[#This Row],[Facturación Venta nueva]]</f>
        <v>20160.351999999995</v>
      </c>
      <c r="AA180" s="6">
        <f>IF(AND(A180=1,Tabla1[[#This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20000</v>
      </c>
      <c r="AB180" s="6"/>
      <c r="AC180" s="6">
        <f>IF(Tabla1[[#This Row],[Disponible stock sin venta]]&gt;0,Tabla1[[#This Row],[Disponible stock sin venta]]+Tabla1[[#This Row],[Ajuste stock sin venta]],0)</f>
        <v>20000</v>
      </c>
      <c r="AD180" s="3">
        <f>IFERROR(VLOOKUP(Tabla1[[#This Row],[Llave]],'[16]TD Puerto'!$A:$D,4,FALSE),0)</f>
        <v>0</v>
      </c>
      <c r="AE180" s="3">
        <v>20000</v>
      </c>
      <c r="AF180" s="3">
        <f>+Tabla1[[#This Row],[Atraso a facturar]]+Tabla1[[#This Row],[Venta del mes]]+Tabla1[[#This Row],[En puerto a facturar]]+Tabla1[[#This Row],[Disponible stock sin venta]]</f>
        <v>20000</v>
      </c>
      <c r="AG180" s="3">
        <f>+Tabla1[[#This Row],[En puerto a facturar]]</f>
        <v>0</v>
      </c>
      <c r="AH180" s="3">
        <f>+Tabla1[[#This Row],[Facturación atraso]]</f>
        <v>0</v>
      </c>
      <c r="AI180" s="3">
        <f>+Tabla1[[#This Row],[Plan Irrestricto]]-Tabla1[[#This Row],[Puerto ]]-Tabla1[[#This Row],[Atraso]]</f>
        <v>20000</v>
      </c>
      <c r="AJ180" s="3">
        <f>IF(Tabla1[[#This Row],[Plan Irrestricto]]&gt;0,SUM(Tabla1[[#This Row],[Facturación atraso]],Tabla1[[#This Row],[Facturación Venta nueva]],Tabla1[[#This Row],[Facturación stock]],Tabla1[[#This Row],[En puerto a facturar]]),0)</f>
        <v>20000</v>
      </c>
      <c r="AK180" s="3">
        <f>+Tabla1[[#This Row],[Facturación atraso]]</f>
        <v>0</v>
      </c>
      <c r="AL180" s="3">
        <f>+Tabla1[[#This Row],[Plan Ajustado]]-Tabla1[[#This Row],[ Atraso ajustado]]-Tabla1[[#This Row],[Puerto ]]</f>
        <v>20000</v>
      </c>
      <c r="AM180" s="3">
        <v>0</v>
      </c>
      <c r="AN180" s="3" t="str">
        <f>IF(Tabla1[[#This Row],[Plan Ajustado]]&gt;Tabla1[[#This Row],[En puerto a facturar]],"Si","No")</f>
        <v>Si</v>
      </c>
      <c r="AO180" s="3">
        <f>IF(AND(Tabla1[[#This Row],[Plan Ajustado]]&gt;0,Tabla1[[#This Row],[Plan Ajustado]]&gt;Tabla1[[#This Row],[En puerto a facturar]]),(Tabla1[[#This Row],[Plan Ajustado]]-Tabla1[[#This Row],[En puerto a facturar]]),0)</f>
        <v>20000</v>
      </c>
      <c r="AP180" s="3">
        <f>IF(Tabla1[[#This Row],[Necesidad]]&gt;=Tabla1[[#This Row],[Stock al día]],Tabla1[[#This Row],[Stock al día]],Tabla1[[#This Row],[Necesidad]])</f>
        <v>20000</v>
      </c>
      <c r="AQ180" s="3">
        <f>+Tabla1[[#This Row],[Necesidad]]-Tabla1[[#This Row],[Stock Plan]]</f>
        <v>0</v>
      </c>
      <c r="AR180" s="156">
        <f>IFERROR(VLOOKUP(Tabla1[[#This Row],[Oficina]],[22]Ponderación!$B$3:$G$9,6,FALSE),"")</f>
        <v>44765</v>
      </c>
      <c r="AS18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3.7963107231352309</v>
      </c>
      <c r="AT180" s="84">
        <f>+Tabla1[[#This Row],[Precio venta nueva]]</f>
        <v>3.7963107231352309</v>
      </c>
      <c r="AU18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3.7963107231352309</v>
      </c>
      <c r="AV180" s="5">
        <f>+Tabla1[[#This Row],[Plan Ajustado]]*Tabla1[[#This Row],[Precio ponderado]]</f>
        <v>75926.214462704622</v>
      </c>
      <c r="AW180" s="30">
        <f>IFERROR(VLOOKUP(Tabla1[[#This Row],[Llave]],'[13]Ultimos precios facturados'!$A:$G,7,FALSE),0)</f>
        <v>3.7963107231352309</v>
      </c>
      <c r="AX18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180" s="30"/>
      <c r="AZ180" s="30">
        <f>IF(Tabla1[[#This Row],[Ajuste precio IC]]="",Tabla1[[#This Row],[Precio ponderado]],Tabla1[[#This Row],[Precio ponderado]])</f>
        <v>3.7963107231352309</v>
      </c>
      <c r="BA180" s="82"/>
      <c r="BB180" s="82" t="str">
        <f>IF(AND(Tabla1[[#This Row],[Atraso a facturar]]&gt;0,Tabla1[[#This Row],[Precio Atraso]]=0),"Revisar","OK")</f>
        <v>OK</v>
      </c>
      <c r="BC180" s="82" t="str">
        <f>IF(AND(Tabla1[[#This Row],[Venta del mes]]&gt;0,Tabla1[[#This Row],[Precio venta nueva]]=0),"Revisar","OK")</f>
        <v>OK</v>
      </c>
      <c r="BD180" s="20">
        <f>IFERROR(VLOOKUP(Tabla1[[#This Row],[Llave]],'[5]Consolidación planes'!$A:$M,9,FALSE),0)</f>
        <v>7000</v>
      </c>
      <c r="BE180" s="20">
        <f>IFERROR(VLOOKUP(Tabla1[[#This Row],[Llave]],'[5]Consolidación planes'!$A:$M,10,FALSE),0)</f>
        <v>5000</v>
      </c>
      <c r="BF180" s="20">
        <f>IFERROR(VLOOKUP(Tabla1[[#This Row],[Llave]],'[5]Consolidación planes'!$A:$M,11,FALSE),0)</f>
        <v>3000</v>
      </c>
      <c r="BG180" s="20">
        <f>IFERROR(VLOOKUP(Tabla1[[#This Row],[Llave]],'[5]Consolidación planes'!$A:$M,12,FALSE),0)</f>
        <v>10000</v>
      </c>
      <c r="BH180" s="20">
        <f>IFERROR(VLOOKUP(Tabla1[[#This Row],[Llave]],'[5]Consolidación planes'!$A:$M,13,FALSE),0)</f>
        <v>4333</v>
      </c>
      <c r="BI180" s="20">
        <f>IFERROR(VLOOKUP(Tabla1[[#This Row],[Llave]],'[13]Base ultimos planes'!$A:$M,13,FALSE),0)</f>
        <v>18000</v>
      </c>
      <c r="BJ180" s="80">
        <f>IFERROR(VLOOKUP(Tabla1[[#This Row],[Llave]],'[13]Base ultimos planes'!$O:$AA,8,FALSE),0)</f>
        <v>32709.190900000001</v>
      </c>
      <c r="BK180" s="20">
        <f>IFERROR(VLOOKUP(Tabla1[[#This Row],[Llave]],'[13]Base ultimos planes'!$O:$AA,9,FALSE),0)</f>
        <v>21977</v>
      </c>
      <c r="BL180" s="20">
        <f>IFERROR(VLOOKUP(Tabla1[[#This Row],[Llave]],'[13]Base ultimos planes'!$O:$AA,10,FALSE),0)</f>
        <v>13095</v>
      </c>
      <c r="BM180" s="20">
        <f>IFERROR(VLOOKUP(Tabla1[[#This Row],[Llave]],'[13]Base ultimos planes'!$O:$AA,11,FALSE),0)</f>
        <v>42120</v>
      </c>
      <c r="BN180" s="20">
        <f>IFERROR(VLOOKUP(Tabla1[[#This Row],[Llave]],'[13]Base ultimos planes'!$O:$AA,12,FALSE),0)</f>
        <v>17417</v>
      </c>
      <c r="BO180" s="20">
        <f>IFERROR(VLOOKUP(Tabla1[[#This Row],[Llave]],'[13]Base ultimos planes'!$O:$AA,13,FALSE),0)</f>
        <v>69842</v>
      </c>
      <c r="BP180" s="20"/>
      <c r="BQ180" s="20">
        <f>+Tabla1[[#This Row],[ RV  Venta mes n+1]]*(1-Tabla1[[#This Row],[% Uti. producción]])</f>
        <v>0</v>
      </c>
      <c r="BR180" s="100"/>
    </row>
    <row r="181" spans="1:70" ht="16" hidden="1" x14ac:dyDescent="0.2">
      <c r="A181">
        <v>1</v>
      </c>
      <c r="B181" t="str">
        <f>Tabla1[[#This Row],[Oficina]]&amp;Tabla1[[#This Row],[Material]]</f>
        <v>Exportacion Directa1022499</v>
      </c>
      <c r="C181" t="s">
        <v>6</v>
      </c>
      <c r="D181" t="s">
        <v>88</v>
      </c>
      <c r="E181">
        <v>1022499</v>
      </c>
      <c r="F181" t="s">
        <v>114</v>
      </c>
      <c r="G181" t="s">
        <v>50</v>
      </c>
      <c r="H181" t="s">
        <v>110</v>
      </c>
      <c r="I181" s="7">
        <f>IFERROR(VLOOKUP(Tabla1[[#This Row],[Llave]],'[7]RV Producción'!$C:$G,5,FALSE),0)</f>
        <v>20626</v>
      </c>
      <c r="J181" s="3">
        <f>IFERROR(IF(Tabla1[[#This Row],[Oficina]]=$I$7,VLOOKUP(Tabla1[[#This Row],[Llave]],'[7]Shangai (Tomas)'!$A:$F,6,FALSE),VLOOKUP(Tabla1[[#This Row],[Llave]],'[7]RV plan de ventas'!$A:$E,5,FALSE)),0)</f>
        <v>27000</v>
      </c>
      <c r="K181" s="8">
        <f>IFERROR(VLOOKUP(Tabla1[[#This Row],[Oficina]],[15]Ponderación!$B$2:$E$9,4,FALSE),0)</f>
        <v>0.87158319035419651</v>
      </c>
      <c r="L181" s="7">
        <f>+Tabla1[[#This Row],[ RV Producción mes n+1]]*Tabla1[[#This Row],[% Uti. producción]]</f>
        <v>17977.274884245657</v>
      </c>
      <c r="M181" s="7">
        <f>IFERROR(VLOOKUP(Tabla1[[#This Row],[Material]],'[17]TD Stock'!$E:$I,5,FALSE),0)</f>
        <v>6206.4009999999998</v>
      </c>
      <c r="N181" s="7">
        <f>IFERROR(VLOOKUP(Tabla1[[#This Row],[Material]],[16]Produccion!$M:$N,2,FALSE),0)</f>
        <v>0</v>
      </c>
      <c r="O181" s="7">
        <f>IFERROR(VLOOKUP(Tabla1[[#This Row],[Llave]],'[16]TD Conf-AP'!$I:$M,4,FALSE),0)</f>
        <v>12000</v>
      </c>
      <c r="P181" s="14">
        <f>SUM(Tabla1[[#This Row],[Producción disponible]],Tabla1[[#This Row],[Stock al día]],(Tabla1[[#This Row],[Por producir mes N]]*0.9))-Tabla1[[#This Row],[Producción por despachar mes N]]</f>
        <v>12183.675884245655</v>
      </c>
      <c r="Q181" s="7">
        <f>IFERROR(VLOOKUP(Tabla1[[#This Row],[Llave]],[17]DELAY!$A:$D,4,FALSE),0)</f>
        <v>30000</v>
      </c>
      <c r="R181" s="9">
        <v>2500</v>
      </c>
      <c r="S181" s="5">
        <f t="shared" si="31"/>
        <v>10000</v>
      </c>
      <c r="T181" s="76">
        <v>-10000</v>
      </c>
      <c r="U181" s="5">
        <f>+Tabla1[[#This Row],[Atraso a facturar]]+Tabla1[[#This Row],[Ajuste atraso]]</f>
        <v>0</v>
      </c>
      <c r="V181" s="3">
        <f>+Tabla1[[#This Row],[Total disponible]]-Tabla1[[#This Row],[Facturación atraso]]</f>
        <v>12183.675884245655</v>
      </c>
      <c r="W181" s="6">
        <f>IFERROR(IF(AND(V181&gt;R181,J181&gt;=R181),ROUNDDOWN((Tabla1[[#This Row],[Producción para venta nueva]])/R181,0)*R181,0),0)</f>
        <v>10000</v>
      </c>
      <c r="X181" s="76">
        <v>-10000</v>
      </c>
      <c r="Y181" s="6">
        <f>IF(Tabla1[[#This Row],[Venta del mes]]&gt;0,Tabla1[[#This Row],[Venta del mes]]+Tabla1[[#This Row],[Ajuste venta nueva]],0)</f>
        <v>0</v>
      </c>
      <c r="Z181" s="6">
        <f>+Tabla1[[#This Row],[Producción para venta nueva]]-Tabla1[[#This Row],[Facturación Venta nueva]]</f>
        <v>12183.675884245655</v>
      </c>
      <c r="AA181" s="6">
        <f>IF(AND(A181=1,Tabla1[[#This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81" s="6"/>
      <c r="AC181" s="6">
        <f>IF(Tabla1[[#This Row],[Disponible stock sin venta]]&gt;0,Tabla1[[#This Row],[Disponible stock sin venta]]+Tabla1[[#This Row],[Ajuste stock sin venta]],0)</f>
        <v>0</v>
      </c>
      <c r="AD181" s="3">
        <f>IFERROR(VLOOKUP(Tabla1[[#This Row],[Llave]],'[16]TD Puerto'!$A:$D,4,FALSE),0)</f>
        <v>0</v>
      </c>
      <c r="AE181" s="3">
        <v>10000</v>
      </c>
      <c r="AF181" s="3">
        <f>+Tabla1[[#This Row],[Atraso a facturar]]+Tabla1[[#This Row],[Venta del mes]]+Tabla1[[#This Row],[En puerto a facturar]]+Tabla1[[#This Row],[Disponible stock sin venta]]</f>
        <v>20000</v>
      </c>
      <c r="AG181" s="3">
        <f>+Tabla1[[#This Row],[En puerto a facturar]]</f>
        <v>0</v>
      </c>
      <c r="AH181" s="3">
        <f>+Tabla1[[#This Row],[Facturación atraso]]</f>
        <v>0</v>
      </c>
      <c r="AI181" s="3">
        <f>+Tabla1[[#This Row],[Plan Irrestricto]]-Tabla1[[#This Row],[Puerto ]]-Tabla1[[#This Row],[Atraso]]</f>
        <v>20000</v>
      </c>
      <c r="AJ18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81" s="3">
        <f>+Tabla1[[#This Row],[Facturación atraso]]</f>
        <v>0</v>
      </c>
      <c r="AL181" s="3">
        <f>+Tabla1[[#This Row],[Plan Ajustado]]-Tabla1[[#This Row],[ Atraso ajustado]]-Tabla1[[#This Row],[Puerto ]]</f>
        <v>0</v>
      </c>
      <c r="AM181" s="3">
        <v>0</v>
      </c>
      <c r="AN181" s="3" t="str">
        <f>IF(Tabla1[[#This Row],[Plan Ajustado]]&gt;Tabla1[[#This Row],[En puerto a facturar]],"Si","No")</f>
        <v>No</v>
      </c>
      <c r="AO18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81" s="3">
        <f>IF(Tabla1[[#This Row],[Necesidad]]&gt;=Tabla1[[#This Row],[Stock al día]],Tabla1[[#This Row],[Stock al día]],Tabla1[[#This Row],[Necesidad]])</f>
        <v>0</v>
      </c>
      <c r="AQ181" s="3">
        <f>+Tabla1[[#This Row],[Necesidad]]-Tabla1[[#This Row],[Stock Plan]]</f>
        <v>0</v>
      </c>
      <c r="AR181" s="156">
        <f>IFERROR(VLOOKUP(Tabla1[[#This Row],[Oficina]],[22]Ponderación!$B$3:$G$9,6,FALSE),"")</f>
        <v>44765</v>
      </c>
      <c r="AS18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3.8519999999999999</v>
      </c>
      <c r="AT181" s="83">
        <f>IFERROR(VLOOKUP(Tabla1[[#This Row],[Llave]],[17]DELAY!$H:$W,16,FALSE),0)</f>
        <v>4.0434622209523807</v>
      </c>
      <c r="AU18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81" s="5">
        <f>+Tabla1[[#This Row],[Plan Ajustado]]*Tabla1[[#This Row],[Precio ponderado]]</f>
        <v>0</v>
      </c>
      <c r="AW181" s="30">
        <f>IFERROR(VLOOKUP(Tabla1[[#This Row],[Llave]],'[13]Ultimos precios facturados'!$A:$G,7,FALSE),0)</f>
        <v>3.9018611014260087</v>
      </c>
      <c r="AX18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81" s="30"/>
      <c r="AZ181" s="30">
        <f>IF(Tabla1[[#This Row],[Ajuste precio IC]]="",Tabla1[[#This Row],[Precio ponderado]],Tabla1[[#This Row],[Precio ponderado]])</f>
        <v>0</v>
      </c>
      <c r="BA181" s="82"/>
      <c r="BB181" s="82" t="str">
        <f>IF(AND(Tabla1[[#This Row],[Atraso a facturar]]&gt;0,Tabla1[[#This Row],[Precio Atraso]]=0),"Revisar","OK")</f>
        <v>OK</v>
      </c>
      <c r="BC181" s="82" t="str">
        <f>IF(AND(Tabla1[[#This Row],[Venta del mes]]&gt;0,Tabla1[[#This Row],[Precio venta nueva]]=0),"Revisar","OK")</f>
        <v>OK</v>
      </c>
      <c r="BD181" s="20">
        <f>IFERROR(VLOOKUP(Tabla1[[#This Row],[Llave]],'[5]Consolidación planes'!$A:$M,9,FALSE),0)</f>
        <v>16000</v>
      </c>
      <c r="BE181" s="20">
        <f>IFERROR(VLOOKUP(Tabla1[[#This Row],[Llave]],'[5]Consolidación planes'!$A:$M,10,FALSE),0)</f>
        <v>3000</v>
      </c>
      <c r="BF181" s="20">
        <f>IFERROR(VLOOKUP(Tabla1[[#This Row],[Llave]],'[5]Consolidación planes'!$A:$M,11,FALSE),0)</f>
        <v>5000</v>
      </c>
      <c r="BG181" s="20">
        <f>IFERROR(VLOOKUP(Tabla1[[#This Row],[Llave]],'[5]Consolidación planes'!$A:$M,12,FALSE),0)</f>
        <v>20000</v>
      </c>
      <c r="BH181" s="20">
        <f>IFERROR(VLOOKUP(Tabla1[[#This Row],[Llave]],'[5]Consolidación planes'!$A:$M,13,FALSE),0)</f>
        <v>15000</v>
      </c>
      <c r="BI181" s="20">
        <f>IFERROR(VLOOKUP(Tabla1[[#This Row],[Llave]],'[13]Base ultimos planes'!$A:$M,13,FALSE),0)</f>
        <v>23500</v>
      </c>
      <c r="BJ181" s="80">
        <f>IFERROR(VLOOKUP(Tabla1[[#This Row],[Llave]],'[13]Base ultimos planes'!$O:$AA,8,FALSE),0)</f>
        <v>75542.537400000001</v>
      </c>
      <c r="BK181" s="20">
        <f>IFERROR(VLOOKUP(Tabla1[[#This Row],[Llave]],'[13]Base ultimos planes'!$O:$AA,9,FALSE),0)</f>
        <v>13294</v>
      </c>
      <c r="BL181" s="20">
        <f>IFERROR(VLOOKUP(Tabla1[[#This Row],[Llave]],'[13]Base ultimos planes'!$O:$AA,10,FALSE),0)</f>
        <v>22218</v>
      </c>
      <c r="BM181" s="20">
        <f>IFERROR(VLOOKUP(Tabla1[[#This Row],[Llave]],'[13]Base ultimos planes'!$O:$AA,11,FALSE),0)</f>
        <v>85842</v>
      </c>
      <c r="BN181" s="20">
        <f>IFERROR(VLOOKUP(Tabla1[[#This Row],[Llave]],'[13]Base ultimos planes'!$O:$AA,12,FALSE),0)</f>
        <v>61744</v>
      </c>
      <c r="BO181" s="20">
        <f>IFERROR(VLOOKUP(Tabla1[[#This Row],[Llave]],'[13]Base ultimos planes'!$O:$AA,13,FALSE),0)</f>
        <v>91183</v>
      </c>
      <c r="BP181" s="20"/>
      <c r="BQ181" s="20">
        <f>+Tabla1[[#This Row],[ RV  Venta mes n+1]]*(1-Tabla1[[#This Row],[% Uti. producción]])</f>
        <v>3467.2538604366941</v>
      </c>
      <c r="BR181" s="100"/>
    </row>
    <row r="182" spans="1:70" ht="16" x14ac:dyDescent="0.2">
      <c r="A182">
        <v>1</v>
      </c>
      <c r="B182" t="str">
        <f>Tabla1[[#This Row],[Oficina]]&amp;Tabla1[[#This Row],[Material]]</f>
        <v>Exportacion Directa1022587</v>
      </c>
      <c r="C182" t="s">
        <v>6</v>
      </c>
      <c r="D182" t="s">
        <v>88</v>
      </c>
      <c r="E182">
        <v>1022587</v>
      </c>
      <c r="F182" t="s">
        <v>98</v>
      </c>
      <c r="G182" t="s">
        <v>50</v>
      </c>
      <c r="H182" t="s">
        <v>95</v>
      </c>
      <c r="I182" s="7">
        <f>IFERROR(VLOOKUP(Tabla1[[#This Row],[Llave]],'[7]RV Producción'!$C:$G,5,FALSE),0)</f>
        <v>2573</v>
      </c>
      <c r="J182" s="3">
        <f>IFERROR(IF(Tabla1[[#This Row],[Oficina]]=$I$7,VLOOKUP(Tabla1[[#This Row],[Llave]],'[7]Shangai (Tomas)'!$A:$F,6,FALSE),VLOOKUP(Tabla1[[#This Row],[Llave]],'[7]RV plan de ventas'!$A:$E,5,FALSE)),0)</f>
        <v>3000</v>
      </c>
      <c r="K182" s="8">
        <f>IFERROR(VLOOKUP(Tabla1[[#This Row],[Oficina]],[15]Ponderación!$B$2:$E$9,4,FALSE),0)</f>
        <v>0.87158319035419651</v>
      </c>
      <c r="L182" s="7">
        <f>+Tabla1[[#This Row],[ RV Producción mes n+1]]*Tabla1[[#This Row],[% Uti. producción]]</f>
        <v>2242.5835487813474</v>
      </c>
      <c r="M182" s="7">
        <f>IFERROR(VLOOKUP(Tabla1[[#This Row],[Material]],'[17]TD Stock'!$E:$I,5,FALSE),0)</f>
        <v>2974.8369999999995</v>
      </c>
      <c r="N182" s="7">
        <f>IFERROR(VLOOKUP(Tabla1[[#This Row],[Material]],[16]Produccion!$M:$N,2,FALSE),0)</f>
        <v>0</v>
      </c>
      <c r="O182" s="7">
        <f>IFERROR(VLOOKUP(Tabla1[[#This Row],[Llave]],'[16]TD Conf-AP'!$I:$M,4,FALSE),0)</f>
        <v>0</v>
      </c>
      <c r="P182" s="14">
        <f>SUM(Tabla1[[#This Row],[Producción disponible]],Tabla1[[#This Row],[Stock al día]],(Tabla1[[#This Row],[Por producir mes N]]*0.9))-Tabla1[[#This Row],[Producción por despachar mes N]]</f>
        <v>5217.420548781347</v>
      </c>
      <c r="Q182" s="7">
        <f>IFERROR(VLOOKUP(Tabla1[[#This Row],[Llave]],[17]DELAY!$A:$D,4,FALSE),0)</f>
        <v>3000</v>
      </c>
      <c r="R182" s="9">
        <v>3000</v>
      </c>
      <c r="S182" s="5">
        <f t="shared" si="31"/>
        <v>3000</v>
      </c>
      <c r="T182" s="76">
        <v>0</v>
      </c>
      <c r="U182" s="5">
        <f>+Tabla1[[#This Row],[Atraso a facturar]]+Tabla1[[#This Row],[Ajuste atraso]]</f>
        <v>3000</v>
      </c>
      <c r="V182" s="3">
        <f>+Tabla1[[#This Row],[Total disponible]]-Tabla1[[#This Row],[Facturación atraso]]</f>
        <v>2217.420548781347</v>
      </c>
      <c r="W182" s="6">
        <f>IFERROR(IF(AND(V182&gt;R182,J182&gt;=R182),ROUNDDOWN((Tabla1[[#This Row],[Producción para venta nueva]])/R182,0)*R182,0),0)</f>
        <v>0</v>
      </c>
      <c r="X182" s="76">
        <v>0</v>
      </c>
      <c r="Y182" s="6">
        <f>IF(Tabla1[[#This Row],[Venta del mes]]&gt;0,Tabla1[[#This Row],[Venta del mes]]+Tabla1[[#This Row],[Ajuste venta nueva]],0)</f>
        <v>0</v>
      </c>
      <c r="Z182" s="6">
        <f>+Tabla1[[#This Row],[Producción para venta nueva]]-Tabla1[[#This Row],[Facturación Venta nueva]]</f>
        <v>2217.420548781347</v>
      </c>
      <c r="AA182" s="6">
        <f>IF(AND(A182=1,Tabla1[[#This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82" s="6"/>
      <c r="AC182" s="6">
        <f>IF(Tabla1[[#This Row],[Disponible stock sin venta]]&gt;0,Tabla1[[#This Row],[Disponible stock sin venta]]+Tabla1[[#This Row],[Ajuste stock sin venta]],0)</f>
        <v>0</v>
      </c>
      <c r="AD182" s="3">
        <f>IFERROR(VLOOKUP(Tabla1[[#This Row],[Llave]],'[16]TD Puerto'!$A:$D,4,FALSE),0)</f>
        <v>0</v>
      </c>
      <c r="AE182" s="3">
        <v>3000</v>
      </c>
      <c r="AF182" s="3">
        <f>+Tabla1[[#This Row],[Atraso a facturar]]+Tabla1[[#This Row],[Venta del mes]]+Tabla1[[#This Row],[En puerto a facturar]]+Tabla1[[#This Row],[Disponible stock sin venta]]</f>
        <v>3000</v>
      </c>
      <c r="AG182" s="3">
        <f>+Tabla1[[#This Row],[En puerto a facturar]]</f>
        <v>0</v>
      </c>
      <c r="AH182" s="3">
        <f>+Tabla1[[#This Row],[Facturación atraso]]</f>
        <v>3000</v>
      </c>
      <c r="AI182" s="3">
        <f>+Tabla1[[#This Row],[Plan Irrestricto]]-Tabla1[[#This Row],[Puerto ]]-Tabla1[[#This Row],[Atraso]]</f>
        <v>0</v>
      </c>
      <c r="AJ182" s="3">
        <f>IF(Tabla1[[#This Row],[Plan Irrestricto]]&gt;0,SUM(Tabla1[[#This Row],[Facturación atraso]],Tabla1[[#This Row],[Facturación Venta nueva]],Tabla1[[#This Row],[Facturación stock]],Tabla1[[#This Row],[En puerto a facturar]]),0)</f>
        <v>3000</v>
      </c>
      <c r="AK182" s="3">
        <f>+Tabla1[[#This Row],[Facturación atraso]]</f>
        <v>3000</v>
      </c>
      <c r="AL182" s="3">
        <f>+Tabla1[[#This Row],[Plan Ajustado]]-Tabla1[[#This Row],[ Atraso ajustado]]-Tabla1[[#This Row],[Puerto ]]</f>
        <v>0</v>
      </c>
      <c r="AM182" s="3">
        <v>0</v>
      </c>
      <c r="AN182" s="3" t="str">
        <f>IF(Tabla1[[#This Row],[Plan Ajustado]]&gt;Tabla1[[#This Row],[En puerto a facturar]],"Si","No")</f>
        <v>Si</v>
      </c>
      <c r="AO182" s="3">
        <f>IF(AND(Tabla1[[#This Row],[Plan Ajustado]]&gt;0,Tabla1[[#This Row],[Plan Ajustado]]&gt;Tabla1[[#This Row],[En puerto a facturar]]),(Tabla1[[#This Row],[Plan Ajustado]]-Tabla1[[#This Row],[En puerto a facturar]]),0)</f>
        <v>3000</v>
      </c>
      <c r="AP182" s="3">
        <f>IF(Tabla1[[#This Row],[Necesidad]]&gt;=Tabla1[[#This Row],[Stock al día]],Tabla1[[#This Row],[Stock al día]],Tabla1[[#This Row],[Necesidad]])</f>
        <v>2974.8369999999995</v>
      </c>
      <c r="AQ182" s="3">
        <f>+Tabla1[[#This Row],[Necesidad]]-Tabla1[[#This Row],[Stock Plan]]</f>
        <v>25.163000000000466</v>
      </c>
      <c r="AR182" s="156">
        <f>IFERROR(VLOOKUP(Tabla1[[#This Row],[Oficina]],[22]Ponderación!$B$3:$G$9,6,FALSE),"")</f>
        <v>44765</v>
      </c>
      <c r="AS18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3.8879999999999999</v>
      </c>
      <c r="AT182" s="83">
        <f>IFERROR(VLOOKUP(Tabla1[[#This Row],[Llave]],[17]DELAY!$H:$W,16,FALSE),0)</f>
        <v>4.2024936666666699</v>
      </c>
      <c r="AU18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4.2024936666666699</v>
      </c>
      <c r="AV182" s="5">
        <f>+Tabla1[[#This Row],[Plan Ajustado]]*Tabla1[[#This Row],[Precio ponderado]]</f>
        <v>12607.481000000009</v>
      </c>
      <c r="AW182" s="30">
        <f>IFERROR(VLOOKUP(Tabla1[[#This Row],[Llave]],'[13]Ultimos precios facturados'!$A:$G,7,FALSE),0)</f>
        <v>3.9239751912689664</v>
      </c>
      <c r="AX18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7.0978653488284138E-2</v>
      </c>
      <c r="AY182" s="30"/>
      <c r="AZ182" s="30">
        <f>IF(Tabla1[[#This Row],[Ajuste precio IC]]="",Tabla1[[#This Row],[Precio ponderado]],Tabla1[[#This Row],[Precio ponderado]])</f>
        <v>4.2024936666666699</v>
      </c>
      <c r="BA182" s="82"/>
      <c r="BB182" s="82" t="str">
        <f>IF(AND(Tabla1[[#This Row],[Atraso a facturar]]&gt;0,Tabla1[[#This Row],[Precio Atraso]]=0),"Revisar","OK")</f>
        <v>OK</v>
      </c>
      <c r="BC182" s="82" t="str">
        <f>IF(AND(Tabla1[[#This Row],[Venta del mes]]&gt;0,Tabla1[[#This Row],[Precio venta nueva]]=0),"Revisar","OK")</f>
        <v>OK</v>
      </c>
      <c r="BD182" s="20">
        <f>IFERROR(VLOOKUP(Tabla1[[#This Row],[Llave]],'[5]Consolidación planes'!$A:$M,9,FALSE),0)</f>
        <v>5000</v>
      </c>
      <c r="BE182" s="20">
        <f>IFERROR(VLOOKUP(Tabla1[[#This Row],[Llave]],'[5]Consolidación planes'!$A:$M,10,FALSE),0)</f>
        <v>5000</v>
      </c>
      <c r="BF182" s="20">
        <f>IFERROR(VLOOKUP(Tabla1[[#This Row],[Llave]],'[5]Consolidación planes'!$A:$M,11,FALSE),0)</f>
        <v>5000</v>
      </c>
      <c r="BG182" s="20">
        <f>IFERROR(VLOOKUP(Tabla1[[#This Row],[Llave]],'[5]Consolidación planes'!$A:$M,12,FALSE),0)</f>
        <v>6000</v>
      </c>
      <c r="BH182" s="20">
        <f>IFERROR(VLOOKUP(Tabla1[[#This Row],[Llave]],'[5]Consolidación planes'!$A:$M,13,FALSE),0)</f>
        <v>3000</v>
      </c>
      <c r="BI182" s="20">
        <f>IFERROR(VLOOKUP(Tabla1[[#This Row],[Llave]],'[13]Base ultimos planes'!$A:$M,13,FALSE),0)</f>
        <v>6000</v>
      </c>
      <c r="BJ182" s="80">
        <f>IFERROR(VLOOKUP(Tabla1[[#This Row],[Llave]],'[13]Base ultimos planes'!$O:$AA,8,FALSE),0)</f>
        <v>23140.260300000002</v>
      </c>
      <c r="BK182" s="20">
        <f>IFERROR(VLOOKUP(Tabla1[[#This Row],[Llave]],'[13]Base ultimos planes'!$O:$AA,9,FALSE),0)</f>
        <v>21784</v>
      </c>
      <c r="BL182" s="20">
        <f>IFERROR(VLOOKUP(Tabla1[[#This Row],[Llave]],'[13]Base ultimos planes'!$O:$AA,10,FALSE),0)</f>
        <v>21814</v>
      </c>
      <c r="BM182" s="20">
        <f>IFERROR(VLOOKUP(Tabla1[[#This Row],[Llave]],'[13]Base ultimos planes'!$O:$AA,11,FALSE),0)</f>
        <v>24491</v>
      </c>
      <c r="BN182" s="20">
        <f>IFERROR(VLOOKUP(Tabla1[[#This Row],[Llave]],'[13]Base ultimos planes'!$O:$AA,12,FALSE),0)</f>
        <v>11934</v>
      </c>
      <c r="BO182" s="20">
        <f>IFERROR(VLOOKUP(Tabla1[[#This Row],[Llave]],'[13]Base ultimos planes'!$O:$AA,13,FALSE),0)</f>
        <v>22820</v>
      </c>
      <c r="BP182" s="20"/>
      <c r="BQ182" s="20">
        <f>+Tabla1[[#This Row],[ RV  Venta mes n+1]]*(1-Tabla1[[#This Row],[% Uti. producción]])</f>
        <v>385.25042893741045</v>
      </c>
      <c r="BR182" s="100"/>
    </row>
    <row r="183" spans="1:70" ht="16" x14ac:dyDescent="0.2">
      <c r="A183">
        <v>1</v>
      </c>
      <c r="B183" t="str">
        <f>Tabla1[[#This Row],[Oficina]]&amp;Tabla1[[#This Row],[Material]]</f>
        <v>Exportacion Directa1022600</v>
      </c>
      <c r="C183" t="s">
        <v>6</v>
      </c>
      <c r="D183" t="s">
        <v>88</v>
      </c>
      <c r="E183">
        <v>1022600</v>
      </c>
      <c r="F183" t="s">
        <v>115</v>
      </c>
      <c r="G183" t="s">
        <v>50</v>
      </c>
      <c r="H183" t="s">
        <v>110</v>
      </c>
      <c r="I183" s="7">
        <f>IFERROR(VLOOKUP(Tabla1[[#This Row],[Llave]],'[7]RV Producción'!$C:$G,5,FALSE),0)</f>
        <v>4658</v>
      </c>
      <c r="J183" s="3">
        <f>IFERROR(IF(Tabla1[[#This Row],[Oficina]]=$I$7,VLOOKUP(Tabla1[[#This Row],[Llave]],'[7]Shangai (Tomas)'!$A:$F,6,FALSE),VLOOKUP(Tabla1[[#This Row],[Llave]],'[7]RV plan de ventas'!$A:$E,5,FALSE)),0)</f>
        <v>10000</v>
      </c>
      <c r="K183" s="8">
        <f>IFERROR(VLOOKUP(Tabla1[[#This Row],[Oficina]],[15]Ponderación!$B$2:$E$9,4,FALSE),0)</f>
        <v>0.87158319035419651</v>
      </c>
      <c r="L183" s="7">
        <f>+Tabla1[[#This Row],[ RV Producción mes n+1]]*Tabla1[[#This Row],[% Uti. producción]]</f>
        <v>4059.8345006698473</v>
      </c>
      <c r="M183" s="7">
        <f>IFERROR(VLOOKUP(Tabla1[[#This Row],[Material]],'[17]TD Stock'!$E:$I,5,FALSE),0)</f>
        <v>17708.169999999998</v>
      </c>
      <c r="N183" s="7">
        <f>IFERROR(VLOOKUP(Tabla1[[#This Row],[Material]],[16]Produccion!$M:$N,2,FALSE),0)</f>
        <v>0</v>
      </c>
      <c r="O183" s="7">
        <f>IFERROR(VLOOKUP(Tabla1[[#This Row],[Llave]],'[16]TD Conf-AP'!$I:$M,4,FALSE),0)</f>
        <v>5500</v>
      </c>
      <c r="P183" s="14">
        <f>SUM(Tabla1[[#This Row],[Producción disponible]],Tabla1[[#This Row],[Stock al día]],(Tabla1[[#This Row],[Por producir mes N]]*0.9))-Tabla1[[#This Row],[Producción por despachar mes N]]</f>
        <v>16268.004500669846</v>
      </c>
      <c r="Q183" s="7">
        <f>IFERROR(VLOOKUP(Tabla1[[#This Row],[Llave]],[17]DELAY!$A:$D,4,FALSE),0)</f>
        <v>22500</v>
      </c>
      <c r="R183" s="9">
        <v>2166.6666666666665</v>
      </c>
      <c r="S183" s="5">
        <f t="shared" si="31"/>
        <v>15166.666666666666</v>
      </c>
      <c r="T183" s="76">
        <v>-3000</v>
      </c>
      <c r="U183" s="5">
        <f>+Tabla1[[#This Row],[Atraso a facturar]]+Tabla1[[#This Row],[Ajuste atraso]]</f>
        <v>12166.666666666666</v>
      </c>
      <c r="V183" s="3">
        <f>+Tabla1[[#This Row],[Total disponible]]-Tabla1[[#This Row],[Facturación atraso]]</f>
        <v>4101.3378340031795</v>
      </c>
      <c r="W183" s="6">
        <f>IFERROR(IF(AND(V183&gt;R183,J183&gt;=R183),ROUNDDOWN((Tabla1[[#This Row],[Producción para venta nueva]])/R183,0)*R183,0),0)</f>
        <v>2166.6666666666665</v>
      </c>
      <c r="X183" s="76">
        <v>0</v>
      </c>
      <c r="Y183" s="6">
        <f>IF(Tabla1[[#This Row],[Venta del mes]]&gt;0,Tabla1[[#This Row],[Venta del mes]]+Tabla1[[#This Row],[Ajuste venta nueva]],0)</f>
        <v>2166.6666666666665</v>
      </c>
      <c r="Z183" s="6">
        <f>+Tabla1[[#This Row],[Producción para venta nueva]]-Tabla1[[#This Row],[Facturación Venta nueva]]</f>
        <v>1934.671167336513</v>
      </c>
      <c r="AA183" s="6">
        <f>IF(AND(A183=1,Tabla1[[#This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83" s="6"/>
      <c r="AC183" s="6">
        <f>IF(Tabla1[[#This Row],[Disponible stock sin venta]]&gt;0,Tabla1[[#This Row],[Disponible stock sin venta]]+Tabla1[[#This Row],[Ajuste stock sin venta]],0)</f>
        <v>0</v>
      </c>
      <c r="AD183" s="3">
        <f>IFERROR(VLOOKUP(Tabla1[[#This Row],[Llave]],'[16]TD Puerto'!$A:$D,4,FALSE),0)</f>
        <v>0</v>
      </c>
      <c r="AE183" s="3">
        <v>15166.666666666666</v>
      </c>
      <c r="AF183" s="3">
        <f>+Tabla1[[#This Row],[Atraso a facturar]]+Tabla1[[#This Row],[Venta del mes]]+Tabla1[[#This Row],[En puerto a facturar]]+Tabla1[[#This Row],[Disponible stock sin venta]]</f>
        <v>17333.333333333332</v>
      </c>
      <c r="AG183" s="3">
        <f>+Tabla1[[#This Row],[En puerto a facturar]]</f>
        <v>0</v>
      </c>
      <c r="AH183" s="3">
        <f>+Tabla1[[#This Row],[Facturación atraso]]</f>
        <v>12166.666666666666</v>
      </c>
      <c r="AI183" s="3">
        <f>+Tabla1[[#This Row],[Plan Irrestricto]]-Tabla1[[#This Row],[Puerto ]]-Tabla1[[#This Row],[Atraso]]</f>
        <v>5166.6666666666661</v>
      </c>
      <c r="AJ183" s="3">
        <f>IF(Tabla1[[#This Row],[Plan Irrestricto]]&gt;0,SUM(Tabla1[[#This Row],[Facturación atraso]],Tabla1[[#This Row],[Facturación Venta nueva]],Tabla1[[#This Row],[Facturación stock]],Tabla1[[#This Row],[En puerto a facturar]]),0)</f>
        <v>14333.333333333332</v>
      </c>
      <c r="AK183" s="3">
        <f>+Tabla1[[#This Row],[Facturación atraso]]</f>
        <v>12166.666666666666</v>
      </c>
      <c r="AL183" s="3">
        <f>+Tabla1[[#This Row],[Plan Ajustado]]-Tabla1[[#This Row],[ Atraso ajustado]]-Tabla1[[#This Row],[Puerto ]]</f>
        <v>2166.6666666666661</v>
      </c>
      <c r="AM183" s="3" t="s">
        <v>789</v>
      </c>
      <c r="AN183" s="3" t="str">
        <f>IF(Tabla1[[#This Row],[Plan Ajustado]]&gt;Tabla1[[#This Row],[En puerto a facturar]],"Si","No")</f>
        <v>Si</v>
      </c>
      <c r="AO183" s="3">
        <f>IF(AND(Tabla1[[#This Row],[Plan Ajustado]]&gt;0,Tabla1[[#This Row],[Plan Ajustado]]&gt;Tabla1[[#This Row],[En puerto a facturar]]),(Tabla1[[#This Row],[Plan Ajustado]]-Tabla1[[#This Row],[En puerto a facturar]]),0)</f>
        <v>14333.333333333332</v>
      </c>
      <c r="AP183" s="3">
        <f>IF(Tabla1[[#This Row],[Necesidad]]&gt;=Tabla1[[#This Row],[Stock al día]],Tabla1[[#This Row],[Stock al día]],Tabla1[[#This Row],[Necesidad]])</f>
        <v>14333.333333333332</v>
      </c>
      <c r="AQ183" s="3">
        <f>+Tabla1[[#This Row],[Necesidad]]-Tabla1[[#This Row],[Stock Plan]]</f>
        <v>0</v>
      </c>
      <c r="AR183" s="156">
        <f>IFERROR(VLOOKUP(Tabla1[[#This Row],[Oficina]],[22]Ponderación!$B$3:$G$9,6,FALSE),"")</f>
        <v>44765</v>
      </c>
      <c r="AS18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3.6</v>
      </c>
      <c r="AT183" s="83">
        <f>IFERROR(VLOOKUP(Tabla1[[#This Row],[Llave]],[17]DELAY!$H:$W,16,FALSE),0)</f>
        <v>3.6250919335555563</v>
      </c>
      <c r="AU18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3.621298966855298</v>
      </c>
      <c r="AV183" s="5">
        <f>+Tabla1[[#This Row],[Plan Ajustado]]*Tabla1[[#This Row],[Precio ponderado]]</f>
        <v>51905.2851915926</v>
      </c>
      <c r="AW183" s="30">
        <f>IFERROR(VLOOKUP(Tabla1[[#This Row],[Llave]],'[13]Ultimos precios facturados'!$A:$G,7,FALSE),0)</f>
        <v>3.6468606392292067</v>
      </c>
      <c r="AX18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7.0092265382840028E-3</v>
      </c>
      <c r="AY183" s="30"/>
      <c r="AZ183" s="30">
        <f>IF(Tabla1[[#This Row],[Ajuste precio IC]]="",Tabla1[[#This Row],[Precio ponderado]],Tabla1[[#This Row],[Precio ponderado]])</f>
        <v>3.621298966855298</v>
      </c>
      <c r="BA183" s="82"/>
      <c r="BB183" s="82" t="str">
        <f>IF(AND(Tabla1[[#This Row],[Atraso a facturar]]&gt;0,Tabla1[[#This Row],[Precio Atraso]]=0),"Revisar","OK")</f>
        <v>OK</v>
      </c>
      <c r="BC183" s="82" t="str">
        <f>IF(AND(Tabla1[[#This Row],[Venta del mes]]&gt;0,Tabla1[[#This Row],[Precio venta nueva]]=0),"Revisar","OK")</f>
        <v>OK</v>
      </c>
      <c r="BD183" s="20">
        <f>IFERROR(VLOOKUP(Tabla1[[#This Row],[Llave]],'[5]Consolidación planes'!$A:$M,9,FALSE),0)</f>
        <v>18000</v>
      </c>
      <c r="BE183" s="20">
        <f>IFERROR(VLOOKUP(Tabla1[[#This Row],[Llave]],'[5]Consolidación planes'!$A:$M,10,FALSE),0)</f>
        <v>3000</v>
      </c>
      <c r="BF183" s="20">
        <f>IFERROR(VLOOKUP(Tabla1[[#This Row],[Llave]],'[5]Consolidación planes'!$A:$M,11,FALSE),0)</f>
        <v>11000</v>
      </c>
      <c r="BG183" s="20">
        <f>IFERROR(VLOOKUP(Tabla1[[#This Row],[Llave]],'[5]Consolidación planes'!$A:$M,12,FALSE),0)</f>
        <v>20000</v>
      </c>
      <c r="BH183" s="20">
        <f>IFERROR(VLOOKUP(Tabla1[[#This Row],[Llave]],'[5]Consolidación planes'!$A:$M,13,FALSE),0)</f>
        <v>19625</v>
      </c>
      <c r="BI183" s="20">
        <f>IFERROR(VLOOKUP(Tabla1[[#This Row],[Llave]],'[13]Base ultimos planes'!$A:$M,13,FALSE),0)</f>
        <v>27333</v>
      </c>
      <c r="BJ183" s="80">
        <f>IFERROR(VLOOKUP(Tabla1[[#This Row],[Llave]],'[13]Base ultimos planes'!$O:$AA,8,FALSE),0)</f>
        <v>78722.423299999995</v>
      </c>
      <c r="BK183" s="20">
        <f>IFERROR(VLOOKUP(Tabla1[[#This Row],[Llave]],'[13]Base ultimos planes'!$O:$AA,9,FALSE),0)</f>
        <v>12324</v>
      </c>
      <c r="BL183" s="20">
        <f>IFERROR(VLOOKUP(Tabla1[[#This Row],[Llave]],'[13]Base ultimos planes'!$O:$AA,10,FALSE),0)</f>
        <v>44841</v>
      </c>
      <c r="BM183" s="20">
        <f>IFERROR(VLOOKUP(Tabla1[[#This Row],[Llave]],'[13]Base ultimos planes'!$O:$AA,11,FALSE),0)</f>
        <v>78794</v>
      </c>
      <c r="BN183" s="20">
        <f>IFERROR(VLOOKUP(Tabla1[[#This Row],[Llave]],'[13]Base ultimos planes'!$O:$AA,12,FALSE),0)</f>
        <v>75391</v>
      </c>
      <c r="BO183" s="20">
        <f>IFERROR(VLOOKUP(Tabla1[[#This Row],[Llave]],'[13]Base ultimos planes'!$O:$AA,13,FALSE),0)</f>
        <v>97657</v>
      </c>
      <c r="BP183" s="20"/>
      <c r="BQ183" s="20">
        <f>+Tabla1[[#This Row],[ RV  Venta mes n+1]]*(1-Tabla1[[#This Row],[% Uti. producción]])</f>
        <v>1284.1680964580348</v>
      </c>
      <c r="BR183" s="100"/>
    </row>
    <row r="184" spans="1:70" ht="16" x14ac:dyDescent="0.2">
      <c r="A184">
        <v>1</v>
      </c>
      <c r="B184" t="str">
        <f>Tabla1[[#This Row],[Oficina]]&amp;Tabla1[[#This Row],[Material]]</f>
        <v>Exportacion Directa1022664</v>
      </c>
      <c r="C184" t="s">
        <v>6</v>
      </c>
      <c r="D184" t="s">
        <v>88</v>
      </c>
      <c r="E184">
        <v>1022664</v>
      </c>
      <c r="F184" t="s">
        <v>99</v>
      </c>
      <c r="G184" t="s">
        <v>50</v>
      </c>
      <c r="H184" t="s">
        <v>95</v>
      </c>
      <c r="I184" s="7">
        <f>IFERROR(VLOOKUP(Tabla1[[#This Row],[Llave]],'[7]RV Producción'!$C:$G,5,FALSE),0)</f>
        <v>107035</v>
      </c>
      <c r="J184" s="3">
        <f>IFERROR(IF(Tabla1[[#This Row],[Oficina]]=$I$7,VLOOKUP(Tabla1[[#This Row],[Llave]],'[7]Shangai (Tomas)'!$A:$F,6,FALSE),VLOOKUP(Tabla1[[#This Row],[Llave]],'[7]RV plan de ventas'!$A:$E,5,FALSE)),0)</f>
        <v>57000</v>
      </c>
      <c r="K184" s="8">
        <f>IFERROR(VLOOKUP(Tabla1[[#This Row],[Oficina]],[15]Ponderación!$B$2:$E$9,4,FALSE),0)</f>
        <v>0.87158319035419651</v>
      </c>
      <c r="L184" s="7">
        <f>+Tabla1[[#This Row],[ RV Producción mes n+1]]*Tabla1[[#This Row],[% Uti. producción]]</f>
        <v>93289.906779561425</v>
      </c>
      <c r="M184" s="7">
        <f>IFERROR(VLOOKUP(Tabla1[[#This Row],[Material]],'[17]TD Stock'!$E:$I,5,FALSE),0)</f>
        <v>30324.214999999986</v>
      </c>
      <c r="N184" s="7">
        <f>IFERROR(VLOOKUP(Tabla1[[#This Row],[Material]],[16]Produccion!$M:$N,2,FALSE),0)</f>
        <v>11769.943747240315</v>
      </c>
      <c r="O184" s="7">
        <f>IFERROR(VLOOKUP(Tabla1[[#This Row],[Llave]],'[16]TD Conf-AP'!$I:$M,4,FALSE),0)</f>
        <v>18000</v>
      </c>
      <c r="P184" s="14">
        <f>SUM(Tabla1[[#This Row],[Producción disponible]],Tabla1[[#This Row],[Stock al día]],(Tabla1[[#This Row],[Por producir mes N]]*0.9))-Tabla1[[#This Row],[Producción por despachar mes N]]</f>
        <v>116207.0711520777</v>
      </c>
      <c r="Q184" s="7">
        <f>IFERROR(VLOOKUP(Tabla1[[#This Row],[Llave]],[17]DELAY!$A:$D,4,FALSE),0)</f>
        <v>92000</v>
      </c>
      <c r="R184" s="9">
        <v>3333.3333333333335</v>
      </c>
      <c r="S184" s="5">
        <f t="shared" si="31"/>
        <v>92000</v>
      </c>
      <c r="T184" s="76">
        <v>-45000</v>
      </c>
      <c r="U184" s="5">
        <f>+Tabla1[[#This Row],[Atraso a facturar]]+Tabla1[[#This Row],[Ajuste atraso]]</f>
        <v>47000</v>
      </c>
      <c r="V184" s="3">
        <f>+Tabla1[[#This Row],[Total disponible]]-Tabla1[[#This Row],[Facturación atraso]]</f>
        <v>69207.071152077697</v>
      </c>
      <c r="W184" s="6">
        <f>IFERROR(IF(AND(V184&gt;R184,J184&gt;=R184),ROUNDDOWN((Tabla1[[#This Row],[Producción para venta nueva]])/R184,0)*R184,0),0)</f>
        <v>66666.666666666672</v>
      </c>
      <c r="X184" s="76">
        <v>-40000</v>
      </c>
      <c r="Y184" s="6">
        <f>IF(Tabla1[[#This Row],[Venta del mes]]&gt;0,Tabla1[[#This Row],[Venta del mes]]+Tabla1[[#This Row],[Ajuste venta nueva]],0)</f>
        <v>26666.666666666672</v>
      </c>
      <c r="Z184" s="6">
        <f>+Tabla1[[#This Row],[Producción para venta nueva]]-Tabla1[[#This Row],[Facturación Venta nueva]]</f>
        <v>42540.404485411025</v>
      </c>
      <c r="AA184" s="6">
        <f>IF(AND(A184=1,Tabla1[[#This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84" s="6"/>
      <c r="AC184" s="6">
        <f>IF(Tabla1[[#This Row],[Disponible stock sin venta]]&gt;0,Tabla1[[#This Row],[Disponible stock sin venta]]+Tabla1[[#This Row],[Ajuste stock sin venta]],0)</f>
        <v>0</v>
      </c>
      <c r="AD184" s="3">
        <f>IFERROR(VLOOKUP(Tabla1[[#This Row],[Llave]],'[16]TD Puerto'!$A:$D,4,FALSE),0)</f>
        <v>0</v>
      </c>
      <c r="AE184" s="3">
        <v>115333.33333333334</v>
      </c>
      <c r="AF184" s="3">
        <f>+Tabla1[[#This Row],[Atraso a facturar]]+Tabla1[[#This Row],[Venta del mes]]+Tabla1[[#This Row],[En puerto a facturar]]+Tabla1[[#This Row],[Disponible stock sin venta]]</f>
        <v>158666.66666666669</v>
      </c>
      <c r="AG184" s="3">
        <f>+Tabla1[[#This Row],[En puerto a facturar]]</f>
        <v>0</v>
      </c>
      <c r="AH184" s="3">
        <f>+Tabla1[[#This Row],[Facturación atraso]]</f>
        <v>47000</v>
      </c>
      <c r="AI184" s="3">
        <f>+Tabla1[[#This Row],[Plan Irrestricto]]-Tabla1[[#This Row],[Puerto ]]-Tabla1[[#This Row],[Atraso]]</f>
        <v>111666.66666666669</v>
      </c>
      <c r="AJ184" s="3">
        <f>IF(Tabla1[[#This Row],[Plan Irrestricto]]&gt;0,SUM(Tabla1[[#This Row],[Facturación atraso]],Tabla1[[#This Row],[Facturación Venta nueva]],Tabla1[[#This Row],[Facturación stock]],Tabla1[[#This Row],[En puerto a facturar]]),0)</f>
        <v>73666.666666666672</v>
      </c>
      <c r="AK184" s="3">
        <f>+Tabla1[[#This Row],[Facturación atraso]]</f>
        <v>47000</v>
      </c>
      <c r="AL184" s="3">
        <f>+Tabla1[[#This Row],[Plan Ajustado]]-Tabla1[[#This Row],[ Atraso ajustado]]-Tabla1[[#This Row],[Puerto ]]</f>
        <v>26666.666666666672</v>
      </c>
      <c r="AM184" s="3" t="s">
        <v>789</v>
      </c>
      <c r="AN184" s="3" t="str">
        <f>IF(Tabla1[[#This Row],[Plan Ajustado]]&gt;Tabla1[[#This Row],[En puerto a facturar]],"Si","No")</f>
        <v>Si</v>
      </c>
      <c r="AO184" s="3">
        <f>IF(AND(Tabla1[[#This Row],[Plan Ajustado]]&gt;0,Tabla1[[#This Row],[Plan Ajustado]]&gt;Tabla1[[#This Row],[En puerto a facturar]]),(Tabla1[[#This Row],[Plan Ajustado]]-Tabla1[[#This Row],[En puerto a facturar]]),0)</f>
        <v>73666.666666666672</v>
      </c>
      <c r="AP184" s="3">
        <f>IF(Tabla1[[#This Row],[Necesidad]]&gt;=Tabla1[[#This Row],[Stock al día]],Tabla1[[#This Row],[Stock al día]],Tabla1[[#This Row],[Necesidad]])</f>
        <v>30324.214999999986</v>
      </c>
      <c r="AQ184" s="3">
        <f>+Tabla1[[#This Row],[Necesidad]]-Tabla1[[#This Row],[Stock Plan]]</f>
        <v>43342.45166666669</v>
      </c>
      <c r="AR184" s="156">
        <f>IFERROR(VLOOKUP(Tabla1[[#This Row],[Oficina]],[22]Ponderación!$B$3:$G$9,6,FALSE),"")</f>
        <v>44765</v>
      </c>
      <c r="AS18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3.6360000000000001</v>
      </c>
      <c r="AT184" s="83">
        <f>IFERROR(VLOOKUP(Tabla1[[#This Row],[Llave]],[17]DELAY!$H:$W,16,FALSE),0)</f>
        <v>3.6490553347826093</v>
      </c>
      <c r="AU18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3.6443294217391307</v>
      </c>
      <c r="AV184" s="5">
        <f>+Tabla1[[#This Row],[Plan Ajustado]]*Tabla1[[#This Row],[Precio ponderado]]</f>
        <v>268465.60073478264</v>
      </c>
      <c r="AW184" s="30">
        <f>IFERROR(VLOOKUP(Tabla1[[#This Row],[Llave]],'[13]Ultimos precios facturados'!$A:$G,7,FALSE),0)</f>
        <v>3.3810340079353502</v>
      </c>
      <c r="AX18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7.7874228175706342E-2</v>
      </c>
      <c r="AY184" s="30"/>
      <c r="AZ184" s="30">
        <f>IF(Tabla1[[#This Row],[Ajuste precio IC]]="",Tabla1[[#This Row],[Precio ponderado]],Tabla1[[#This Row],[Precio ponderado]])</f>
        <v>3.6443294217391307</v>
      </c>
      <c r="BA184" s="82"/>
      <c r="BB184" s="82" t="str">
        <f>IF(AND(Tabla1[[#This Row],[Atraso a facturar]]&gt;0,Tabla1[[#This Row],[Precio Atraso]]=0),"Revisar","OK")</f>
        <v>OK</v>
      </c>
      <c r="BC184" s="82" t="str">
        <f>IF(AND(Tabla1[[#This Row],[Venta del mes]]&gt;0,Tabla1[[#This Row],[Precio venta nueva]]=0),"Revisar","OK")</f>
        <v>OK</v>
      </c>
      <c r="BD184" s="20">
        <f>IFERROR(VLOOKUP(Tabla1[[#This Row],[Llave]],'[5]Consolidación planes'!$A:$M,9,FALSE),0)</f>
        <v>43000</v>
      </c>
      <c r="BE184" s="20">
        <f>IFERROR(VLOOKUP(Tabla1[[#This Row],[Llave]],'[5]Consolidación planes'!$A:$M,10,FALSE),0)</f>
        <v>23700</v>
      </c>
      <c r="BF184" s="20">
        <f>IFERROR(VLOOKUP(Tabla1[[#This Row],[Llave]],'[5]Consolidación planes'!$A:$M,11,FALSE),0)</f>
        <v>17000</v>
      </c>
      <c r="BG184" s="20">
        <f>IFERROR(VLOOKUP(Tabla1[[#This Row],[Llave]],'[5]Consolidación planes'!$A:$M,12,FALSE),0)</f>
        <v>30000</v>
      </c>
      <c r="BH184" s="20">
        <f>IFERROR(VLOOKUP(Tabla1[[#This Row],[Llave]],'[5]Consolidación planes'!$A:$M,13,FALSE),0)</f>
        <v>35000</v>
      </c>
      <c r="BI184" s="20">
        <f>IFERROR(VLOOKUP(Tabla1[[#This Row],[Llave]],'[13]Base ultimos planes'!$A:$M,13,FALSE),0)</f>
        <v>30667</v>
      </c>
      <c r="BJ184" s="80">
        <f>IFERROR(VLOOKUP(Tabla1[[#This Row],[Llave]],'[13]Base ultimos planes'!$O:$AA,8,FALSE),0)</f>
        <v>175870</v>
      </c>
      <c r="BK184" s="20">
        <f>IFERROR(VLOOKUP(Tabla1[[#This Row],[Llave]],'[13]Base ultimos planes'!$O:$AA,9,FALSE),0)</f>
        <v>88630</v>
      </c>
      <c r="BL184" s="20">
        <f>IFERROR(VLOOKUP(Tabla1[[#This Row],[Llave]],'[13]Base ultimos planes'!$O:$AA,10,FALSE),0)</f>
        <v>59165</v>
      </c>
      <c r="BM184" s="20">
        <f>IFERROR(VLOOKUP(Tabla1[[#This Row],[Llave]],'[13]Base ultimos planes'!$O:$AA,11,FALSE),0)</f>
        <v>105866</v>
      </c>
      <c r="BN184" s="20">
        <f>IFERROR(VLOOKUP(Tabla1[[#This Row],[Llave]],'[13]Base ultimos planes'!$O:$AA,12,FALSE),0)</f>
        <v>122382</v>
      </c>
      <c r="BO184" s="20">
        <f>IFERROR(VLOOKUP(Tabla1[[#This Row],[Llave]],'[13]Base ultimos planes'!$O:$AA,13,FALSE),0)</f>
        <v>103440</v>
      </c>
      <c r="BP184" s="20"/>
      <c r="BQ184" s="20">
        <f>+Tabla1[[#This Row],[ RV  Venta mes n+1]]*(1-Tabla1[[#This Row],[% Uti. producción]])</f>
        <v>7319.7581498107984</v>
      </c>
      <c r="BR184" s="100"/>
    </row>
    <row r="185" spans="1:70" ht="16" hidden="1" x14ac:dyDescent="0.2">
      <c r="A185">
        <v>1</v>
      </c>
      <c r="B185" t="str">
        <f>Tabla1[[#This Row],[Oficina]]&amp;Tabla1[[#This Row],[Material]]</f>
        <v>Exportacion Directa1022817</v>
      </c>
      <c r="C185" t="s">
        <v>6</v>
      </c>
      <c r="D185" t="s">
        <v>88</v>
      </c>
      <c r="E185">
        <v>1022817</v>
      </c>
      <c r="F185" t="s">
        <v>323</v>
      </c>
      <c r="G185" t="s">
        <v>266</v>
      </c>
      <c r="H185" t="s">
        <v>266</v>
      </c>
      <c r="I185" s="7">
        <f>IFERROR(VLOOKUP(Tabla1[[#This Row],[Llave]],'[7]RV Producción'!$C:$G,5,FALSE),0)</f>
        <v>0</v>
      </c>
      <c r="J185" s="3">
        <f>IFERROR(IF(Tabla1[[#This Row],[Oficina]]=$I$7,VLOOKUP(Tabla1[[#This Row],[Llave]],'[7]Shangai (Tomas)'!$A:$F,6,FALSE),VLOOKUP(Tabla1[[#This Row],[Llave]],'[7]RV plan de ventas'!$A:$E,5,FALSE)),0)</f>
        <v>0</v>
      </c>
      <c r="K185" s="8">
        <f>IFERROR(VLOOKUP(Tabla1[[#This Row],[Oficina]],[15]Ponderación!$B$2:$E$9,4,FALSE),0)</f>
        <v>0.87158319035419651</v>
      </c>
      <c r="L185" s="7">
        <f>+Tabla1[[#This Row],[ RV Producción mes n+1]]*Tabla1[[#This Row],[% Uti. producción]]</f>
        <v>0</v>
      </c>
      <c r="M185" s="7">
        <f>IFERROR(VLOOKUP(Tabla1[[#This Row],[Material]],'[17]TD Stock'!$E:$I,5,FALSE),0)</f>
        <v>0</v>
      </c>
      <c r="N185" s="7">
        <f>IFERROR(VLOOKUP(Tabla1[[#This Row],[Material]],[16]Produccion!$M:$N,2,FALSE),0)</f>
        <v>0</v>
      </c>
      <c r="O185" s="7">
        <f>IFERROR(VLOOKUP(Tabla1[[#This Row],[Llave]],'[16]TD Conf-AP'!$I:$M,4,FALSE),0)</f>
        <v>0</v>
      </c>
      <c r="P185" s="14">
        <f>SUM(Tabla1[[#This Row],[Producción disponible]],Tabla1[[#This Row],[Stock al día]],(Tabla1[[#This Row],[Por producir mes N]]*0.9))-Tabla1[[#This Row],[Producción por despachar mes N]]</f>
        <v>0</v>
      </c>
      <c r="Q185" s="7">
        <f>IFERROR(VLOOKUP(Tabla1[[#This Row],[Llave]],[17]DELAY!$A:$D,4,FALSE),0)</f>
        <v>0</v>
      </c>
      <c r="R185" s="9">
        <v>5000</v>
      </c>
      <c r="S185" s="5">
        <f t="shared" si="31"/>
        <v>0</v>
      </c>
      <c r="T185" s="76">
        <v>0</v>
      </c>
      <c r="U185" s="5">
        <f>+Tabla1[[#This Row],[Atraso a facturar]]+Tabla1[[#This Row],[Ajuste atraso]]</f>
        <v>0</v>
      </c>
      <c r="V185" s="3">
        <f>+Tabla1[[#This Row],[Total disponible]]-Tabla1[[#This Row],[Facturación atraso]]</f>
        <v>0</v>
      </c>
      <c r="W185" s="6">
        <f>IFERROR(IF(AND(V185&gt;R185,J185&gt;=R185),ROUNDDOWN((Tabla1[[#This Row],[Producción para venta nueva]])/R185,0)*R185,0),0)</f>
        <v>0</v>
      </c>
      <c r="X185" s="76">
        <v>0</v>
      </c>
      <c r="Y185" s="6">
        <f>IF(Tabla1[[#This Row],[Venta del mes]]&gt;0,Tabla1[[#This Row],[Venta del mes]]+Tabla1[[#This Row],[Ajuste venta nueva]],0)</f>
        <v>0</v>
      </c>
      <c r="Z185" s="6">
        <f>+Tabla1[[#This Row],[Producción para venta nueva]]-Tabla1[[#This Row],[Facturación Venta nueva]]</f>
        <v>0</v>
      </c>
      <c r="AA185" s="6">
        <f>IF(AND(A185=1,Tabla1[[#This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85" s="6"/>
      <c r="AC185" s="6">
        <f>IF(Tabla1[[#This Row],[Disponible stock sin venta]]&gt;0,Tabla1[[#This Row],[Disponible stock sin venta]]+Tabla1[[#This Row],[Ajuste stock sin venta]],0)</f>
        <v>0</v>
      </c>
      <c r="AD185" s="3">
        <f>IFERROR(VLOOKUP(Tabla1[[#This Row],[Llave]],'[16]TD Puerto'!$A:$D,4,FALSE),0)</f>
        <v>0</v>
      </c>
      <c r="AE185" s="3">
        <v>0</v>
      </c>
      <c r="AF185" s="3">
        <f>+Tabla1[[#This Row],[Atraso a facturar]]+Tabla1[[#This Row],[Venta del mes]]+Tabla1[[#This Row],[En puerto a facturar]]+Tabla1[[#This Row],[Disponible stock sin venta]]</f>
        <v>0</v>
      </c>
      <c r="AG185" s="3">
        <f>+Tabla1[[#This Row],[En puerto a facturar]]</f>
        <v>0</v>
      </c>
      <c r="AH185" s="3">
        <f>+Tabla1[[#This Row],[Facturación atraso]]</f>
        <v>0</v>
      </c>
      <c r="AI185" s="3">
        <f>+Tabla1[[#This Row],[Plan Irrestricto]]-Tabla1[[#This Row],[Puerto ]]-Tabla1[[#This Row],[Atraso]]</f>
        <v>0</v>
      </c>
      <c r="AJ18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85" s="3">
        <f>+Tabla1[[#This Row],[Facturación atraso]]</f>
        <v>0</v>
      </c>
      <c r="AL185" s="3">
        <f>+Tabla1[[#This Row],[Plan Ajustado]]-Tabla1[[#This Row],[ Atraso ajustado]]-Tabla1[[#This Row],[Puerto ]]</f>
        <v>0</v>
      </c>
      <c r="AM185" s="3">
        <v>0</v>
      </c>
      <c r="AN185" s="3" t="str">
        <f>IF(Tabla1[[#This Row],[Plan Ajustado]]&gt;Tabla1[[#This Row],[En puerto a facturar]],"Si","No")</f>
        <v>No</v>
      </c>
      <c r="AO18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85" s="3">
        <f>IF(Tabla1[[#This Row],[Necesidad]]&gt;=Tabla1[[#This Row],[Stock al día]],Tabla1[[#This Row],[Stock al día]],Tabla1[[#This Row],[Necesidad]])</f>
        <v>0</v>
      </c>
      <c r="AQ185" s="3">
        <f>+Tabla1[[#This Row],[Necesidad]]-Tabla1[[#This Row],[Stock Plan]]</f>
        <v>0</v>
      </c>
      <c r="AR185" s="156">
        <f>IFERROR(VLOOKUP(Tabla1[[#This Row],[Oficina]],[22]Ponderación!$B$3:$G$9,6,FALSE),"")</f>
        <v>44765</v>
      </c>
      <c r="AS18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3.5331456657730116</v>
      </c>
      <c r="AT185" s="83">
        <f>IFERROR(VLOOKUP(Tabla1[[#This Row],[Llave]],[17]DELAY!$H:$W,16,FALSE),0)</f>
        <v>0</v>
      </c>
      <c r="AU18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85" s="5">
        <f>+Tabla1[[#This Row],[Plan Ajustado]]*Tabla1[[#This Row],[Precio ponderado]]</f>
        <v>0</v>
      </c>
      <c r="AW185" s="30">
        <f>IFERROR(VLOOKUP(Tabla1[[#This Row],[Llave]],'[13]Ultimos precios facturados'!$A:$G,7,FALSE),0)</f>
        <v>3.5331456657730116</v>
      </c>
      <c r="AX18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85" s="30"/>
      <c r="AZ185" s="30">
        <f>IF(Tabla1[[#This Row],[Ajuste precio IC]]="",Tabla1[[#This Row],[Precio ponderado]],Tabla1[[#This Row],[Precio ponderado]])</f>
        <v>0</v>
      </c>
      <c r="BA185" s="82"/>
      <c r="BB185" s="82" t="str">
        <f>IF(AND(Tabla1[[#This Row],[Atraso a facturar]]&gt;0,Tabla1[[#This Row],[Precio Atraso]]=0),"Revisar","OK")</f>
        <v>OK</v>
      </c>
      <c r="BC185" s="82" t="str">
        <f>IF(AND(Tabla1[[#This Row],[Venta del mes]]&gt;0,Tabla1[[#This Row],[Precio venta nueva]]=0),"Revisar","OK")</f>
        <v>OK</v>
      </c>
      <c r="BD185" s="20">
        <f>IFERROR(VLOOKUP(Tabla1[[#This Row],[Llave]],'[5]Consolidación planes'!$A:$M,9,FALSE),0)</f>
        <v>0</v>
      </c>
      <c r="BE185" s="20">
        <f>IFERROR(VLOOKUP(Tabla1[[#This Row],[Llave]],'[5]Consolidación planes'!$A:$M,10,FALSE),0)</f>
        <v>0</v>
      </c>
      <c r="BF185" s="20">
        <f>IFERROR(VLOOKUP(Tabla1[[#This Row],[Llave]],'[5]Consolidación planes'!$A:$M,11,FALSE),0)</f>
        <v>0</v>
      </c>
      <c r="BG185" s="20">
        <f>IFERROR(VLOOKUP(Tabla1[[#This Row],[Llave]],'[5]Consolidación planes'!$A:$M,12,FALSE),0)</f>
        <v>0</v>
      </c>
      <c r="BH185" s="20">
        <f>IFERROR(VLOOKUP(Tabla1[[#This Row],[Llave]],'[5]Consolidación planes'!$A:$M,13,FALSE),0)</f>
        <v>0</v>
      </c>
      <c r="BI185" s="20">
        <f>IFERROR(VLOOKUP(Tabla1[[#This Row],[Llave]],'[13]Base ultimos planes'!$A:$M,13,FALSE),0)</f>
        <v>0</v>
      </c>
      <c r="BJ185" s="80">
        <f>IFERROR(VLOOKUP(Tabla1[[#This Row],[Llave]],'[13]Base ultimos planes'!$O:$AA,8,FALSE),0)</f>
        <v>0</v>
      </c>
      <c r="BK185" s="20">
        <f>IFERROR(VLOOKUP(Tabla1[[#This Row],[Llave]],'[13]Base ultimos planes'!$O:$AA,9,FALSE),0)</f>
        <v>0</v>
      </c>
      <c r="BL185" s="20">
        <f>IFERROR(VLOOKUP(Tabla1[[#This Row],[Llave]],'[13]Base ultimos planes'!$O:$AA,10,FALSE),0)</f>
        <v>0</v>
      </c>
      <c r="BM185" s="20">
        <f>IFERROR(VLOOKUP(Tabla1[[#This Row],[Llave]],'[13]Base ultimos planes'!$O:$AA,11,FALSE),0)</f>
        <v>0</v>
      </c>
      <c r="BN185" s="20">
        <f>IFERROR(VLOOKUP(Tabla1[[#This Row],[Llave]],'[13]Base ultimos planes'!$O:$AA,12,FALSE),0)</f>
        <v>0</v>
      </c>
      <c r="BO185" s="20">
        <f>IFERROR(VLOOKUP(Tabla1[[#This Row],[Llave]],'[13]Base ultimos planes'!$O:$AA,13,FALSE),0)</f>
        <v>0</v>
      </c>
      <c r="BP185" s="20"/>
      <c r="BQ185" s="20">
        <f>+Tabla1[[#This Row],[ RV  Venta mes n+1]]*(1-Tabla1[[#This Row],[% Uti. producción]])</f>
        <v>0</v>
      </c>
      <c r="BR185" s="100"/>
    </row>
    <row r="186" spans="1:70" ht="16" hidden="1" x14ac:dyDescent="0.2">
      <c r="A186">
        <v>1</v>
      </c>
      <c r="B186" t="str">
        <f>Tabla1[[#This Row],[Oficina]]&amp;Tabla1[[#This Row],[Material]]</f>
        <v>Exportacion Directa1022869</v>
      </c>
      <c r="C186" t="s">
        <v>6</v>
      </c>
      <c r="D186" t="s">
        <v>88</v>
      </c>
      <c r="E186">
        <v>1022869</v>
      </c>
      <c r="F186" t="s">
        <v>94</v>
      </c>
      <c r="G186" t="s">
        <v>92</v>
      </c>
      <c r="H186" t="s">
        <v>93</v>
      </c>
      <c r="I186" s="7">
        <f>IFERROR(VLOOKUP(Tabla1[[#This Row],[Llave]],'[7]RV Producción'!$C:$G,5,FALSE),0)</f>
        <v>0</v>
      </c>
      <c r="J186" s="3">
        <f>IFERROR(IF(Tabla1[[#This Row],[Oficina]]=$I$7,VLOOKUP(Tabla1[[#This Row],[Llave]],'[7]Shangai (Tomas)'!$A:$F,6,FALSE),VLOOKUP(Tabla1[[#This Row],[Llave]],'[7]RV plan de ventas'!$A:$E,5,FALSE)),0)</f>
        <v>0</v>
      </c>
      <c r="K186" s="8">
        <f>IFERROR(VLOOKUP(Tabla1[[#This Row],[Oficina]],[15]Ponderación!$B$2:$E$9,4,FALSE),0)</f>
        <v>0.87158319035419651</v>
      </c>
      <c r="L186" s="7">
        <f>+Tabla1[[#This Row],[ RV Producción mes n+1]]*Tabla1[[#This Row],[% Uti. producción]]</f>
        <v>0</v>
      </c>
      <c r="M186" s="7">
        <f>IFERROR(VLOOKUP(Tabla1[[#This Row],[Material]],'[17]TD Stock'!$E:$I,5,FALSE),0)</f>
        <v>0</v>
      </c>
      <c r="N186" s="7">
        <f>IFERROR(VLOOKUP(Tabla1[[#This Row],[Material]],[16]Produccion!$M:$N,2,FALSE),0)</f>
        <v>0</v>
      </c>
      <c r="O186" s="7">
        <f>IFERROR(VLOOKUP(Tabla1[[#This Row],[Llave]],'[16]TD Conf-AP'!$I:$M,4,FALSE),0)</f>
        <v>0</v>
      </c>
      <c r="P186" s="14">
        <f>SUM(Tabla1[[#This Row],[Producción disponible]],Tabla1[[#This Row],[Stock al día]],(Tabla1[[#This Row],[Por producir mes N]]*0.9))-Tabla1[[#This Row],[Producción por despachar mes N]]</f>
        <v>0</v>
      </c>
      <c r="Q186" s="7">
        <f>IFERROR(VLOOKUP(Tabla1[[#This Row],[Llave]],[17]DELAY!$A:$D,4,FALSE),0)</f>
        <v>0</v>
      </c>
      <c r="R186" s="9">
        <v>800</v>
      </c>
      <c r="S186" s="5">
        <f t="shared" si="31"/>
        <v>0</v>
      </c>
      <c r="T186" s="76">
        <v>0</v>
      </c>
      <c r="U186" s="5">
        <f>+Tabla1[[#This Row],[Atraso a facturar]]+Tabla1[[#This Row],[Ajuste atraso]]</f>
        <v>0</v>
      </c>
      <c r="V186" s="3">
        <f>+Tabla1[[#This Row],[Total disponible]]-Tabla1[[#This Row],[Facturación atraso]]</f>
        <v>0</v>
      </c>
      <c r="W186" s="6">
        <f>IFERROR(IF(AND(V186&gt;R186,J186&gt;=R186),ROUNDDOWN((Tabla1[[#This Row],[Producción para venta nueva]])/R186,0)*R186,0),0)</f>
        <v>0</v>
      </c>
      <c r="X186" s="76">
        <v>0</v>
      </c>
      <c r="Y186" s="6">
        <f>IF(Tabla1[[#This Row],[Venta del mes]]&gt;0,Tabla1[[#This Row],[Venta del mes]]+Tabla1[[#This Row],[Ajuste venta nueva]],0)</f>
        <v>0</v>
      </c>
      <c r="Z186" s="6">
        <f>+Tabla1[[#This Row],[Producción para venta nueva]]-Tabla1[[#This Row],[Facturación Venta nueva]]</f>
        <v>0</v>
      </c>
      <c r="AA186" s="6">
        <f>IF(AND(A186=1,Tabla1[[#This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86" s="6"/>
      <c r="AC186" s="6">
        <f>IF(Tabla1[[#This Row],[Disponible stock sin venta]]&gt;0,Tabla1[[#This Row],[Disponible stock sin venta]]+Tabla1[[#This Row],[Ajuste stock sin venta]],0)</f>
        <v>0</v>
      </c>
      <c r="AD186" s="3">
        <f>IFERROR(VLOOKUP(Tabla1[[#This Row],[Llave]],'[16]TD Puerto'!$A:$D,4,FALSE),0)</f>
        <v>0</v>
      </c>
      <c r="AE186" s="3">
        <v>0</v>
      </c>
      <c r="AF186" s="3">
        <f>+Tabla1[[#This Row],[Atraso a facturar]]+Tabla1[[#This Row],[Venta del mes]]+Tabla1[[#This Row],[En puerto a facturar]]+Tabla1[[#This Row],[Disponible stock sin venta]]</f>
        <v>0</v>
      </c>
      <c r="AG186" s="3">
        <f>+Tabla1[[#This Row],[En puerto a facturar]]</f>
        <v>0</v>
      </c>
      <c r="AH186" s="3">
        <f>+Tabla1[[#This Row],[Facturación atraso]]</f>
        <v>0</v>
      </c>
      <c r="AI186" s="3">
        <f>+Tabla1[[#This Row],[Plan Irrestricto]]-Tabla1[[#This Row],[Puerto ]]-Tabla1[[#This Row],[Atraso]]</f>
        <v>0</v>
      </c>
      <c r="AJ18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86" s="3">
        <f>+Tabla1[[#This Row],[Facturación atraso]]</f>
        <v>0</v>
      </c>
      <c r="AL186" s="3">
        <f>+Tabla1[[#This Row],[Plan Ajustado]]-Tabla1[[#This Row],[ Atraso ajustado]]-Tabla1[[#This Row],[Puerto ]]</f>
        <v>0</v>
      </c>
      <c r="AM186" s="3">
        <v>0</v>
      </c>
      <c r="AN186" s="3" t="str">
        <f>IF(Tabla1[[#This Row],[Plan Ajustado]]&gt;Tabla1[[#This Row],[En puerto a facturar]],"Si","No")</f>
        <v>No</v>
      </c>
      <c r="AO18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86" s="3">
        <f>IF(Tabla1[[#This Row],[Necesidad]]&gt;=Tabla1[[#This Row],[Stock al día]],Tabla1[[#This Row],[Stock al día]],Tabla1[[#This Row],[Necesidad]])</f>
        <v>0</v>
      </c>
      <c r="AQ186" s="3">
        <f>+Tabla1[[#This Row],[Necesidad]]-Tabla1[[#This Row],[Stock Plan]]</f>
        <v>0</v>
      </c>
      <c r="AR186" s="156">
        <f>IFERROR(VLOOKUP(Tabla1[[#This Row],[Oficina]],[22]Ponderación!$B$3:$G$9,6,FALSE),"")</f>
        <v>44765</v>
      </c>
      <c r="AS18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2.705669670781893</v>
      </c>
      <c r="AT186" s="83">
        <f>IFERROR(VLOOKUP(Tabla1[[#This Row],[Llave]],[17]DELAY!$H:$W,16,FALSE),0)</f>
        <v>0</v>
      </c>
      <c r="AU18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86" s="5">
        <f>+Tabla1[[#This Row],[Plan Ajustado]]*Tabla1[[#This Row],[Precio ponderado]]</f>
        <v>0</v>
      </c>
      <c r="AW186" s="30">
        <f>IFERROR(VLOOKUP(Tabla1[[#This Row],[Llave]],'[13]Ultimos precios facturados'!$A:$G,7,FALSE),0)</f>
        <v>2.705669670781893</v>
      </c>
      <c r="AX18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86" s="30"/>
      <c r="AZ186" s="30">
        <f>IF(Tabla1[[#This Row],[Ajuste precio IC]]="",Tabla1[[#This Row],[Precio ponderado]],Tabla1[[#This Row],[Precio ponderado]])</f>
        <v>0</v>
      </c>
      <c r="BA186" s="82"/>
      <c r="BB186" s="82" t="str">
        <f>IF(AND(Tabla1[[#This Row],[Atraso a facturar]]&gt;0,Tabla1[[#This Row],[Precio Atraso]]=0),"Revisar","OK")</f>
        <v>OK</v>
      </c>
      <c r="BC186" s="82" t="str">
        <f>IF(AND(Tabla1[[#This Row],[Venta del mes]]&gt;0,Tabla1[[#This Row],[Precio venta nueva]]=0),"Revisar","OK")</f>
        <v>OK</v>
      </c>
      <c r="BD186" s="20">
        <f>IFERROR(VLOOKUP(Tabla1[[#This Row],[Llave]],'[5]Consolidación planes'!$A:$M,9,FALSE),0)</f>
        <v>500</v>
      </c>
      <c r="BE186" s="20">
        <f>IFERROR(VLOOKUP(Tabla1[[#This Row],[Llave]],'[5]Consolidación planes'!$A:$M,10,FALSE),0)</f>
        <v>1300</v>
      </c>
      <c r="BF186" s="20">
        <f>IFERROR(VLOOKUP(Tabla1[[#This Row],[Llave]],'[5]Consolidación planes'!$A:$M,11,FALSE),0)</f>
        <v>2400</v>
      </c>
      <c r="BG186" s="20">
        <f>IFERROR(VLOOKUP(Tabla1[[#This Row],[Llave]],'[5]Consolidación planes'!$A:$M,12,FALSE),0)</f>
        <v>800</v>
      </c>
      <c r="BH186" s="20">
        <f>IFERROR(VLOOKUP(Tabla1[[#This Row],[Llave]],'[5]Consolidación planes'!$A:$M,13,FALSE),0)</f>
        <v>800</v>
      </c>
      <c r="BI186" s="20">
        <f>IFERROR(VLOOKUP(Tabla1[[#This Row],[Llave]],'[13]Base ultimos planes'!$A:$M,13,FALSE),0)</f>
        <v>0</v>
      </c>
      <c r="BJ186" s="80">
        <f>IFERROR(VLOOKUP(Tabla1[[#This Row],[Llave]],'[13]Base ultimos planes'!$O:$AA,8,FALSE),0)</f>
        <v>1446.6365000000001</v>
      </c>
      <c r="BK186" s="20">
        <f>IFERROR(VLOOKUP(Tabla1[[#This Row],[Llave]],'[13]Base ultimos planes'!$O:$AA,9,FALSE),0)</f>
        <v>3691</v>
      </c>
      <c r="BL186" s="20">
        <f>IFERROR(VLOOKUP(Tabla1[[#This Row],[Llave]],'[13]Base ultimos planes'!$O:$AA,10,FALSE),0)</f>
        <v>6801</v>
      </c>
      <c r="BM186" s="20">
        <f>IFERROR(VLOOKUP(Tabla1[[#This Row],[Llave]],'[13]Base ultimos planes'!$O:$AA,11,FALSE),0)</f>
        <v>2158</v>
      </c>
      <c r="BN186" s="20">
        <f>IFERROR(VLOOKUP(Tabla1[[#This Row],[Llave]],'[13]Base ultimos planes'!$O:$AA,12,FALSE),0)</f>
        <v>2158</v>
      </c>
      <c r="BO186" s="20">
        <f>IFERROR(VLOOKUP(Tabla1[[#This Row],[Llave]],'[13]Base ultimos planes'!$O:$AA,13,FALSE),0)</f>
        <v>0</v>
      </c>
      <c r="BP186" s="20"/>
      <c r="BQ186" s="20">
        <f>+Tabla1[[#This Row],[ RV  Venta mes n+1]]*(1-Tabla1[[#This Row],[% Uti. producción]])</f>
        <v>0</v>
      </c>
      <c r="BR186" s="100"/>
    </row>
    <row r="187" spans="1:70" ht="16" x14ac:dyDescent="0.2">
      <c r="A187">
        <v>1</v>
      </c>
      <c r="B187" t="str">
        <f>Tabla1[[#This Row],[Oficina]]&amp;Tabla1[[#This Row],[Material]]</f>
        <v>Exportacion Directa1022901</v>
      </c>
      <c r="C187" t="s">
        <v>6</v>
      </c>
      <c r="D187" t="s">
        <v>88</v>
      </c>
      <c r="E187">
        <v>1022901</v>
      </c>
      <c r="F187" t="s">
        <v>126</v>
      </c>
      <c r="G187" t="s">
        <v>56</v>
      </c>
      <c r="H187" t="s">
        <v>57</v>
      </c>
      <c r="I187" s="7">
        <f>IFERROR(VLOOKUP(Tabla1[[#This Row],[Llave]],'[7]RV Producción'!$C:$G,5,FALSE),0)</f>
        <v>0</v>
      </c>
      <c r="J187" s="3">
        <f>IFERROR(IF(Tabla1[[#This Row],[Oficina]]=$I$7,VLOOKUP(Tabla1[[#This Row],[Llave]],'[7]Shangai (Tomas)'!$A:$F,6,FALSE),VLOOKUP(Tabla1[[#This Row],[Llave]],'[7]RV plan de ventas'!$A:$E,5,FALSE)),0)</f>
        <v>0</v>
      </c>
      <c r="K187" s="8">
        <f>IFERROR(VLOOKUP(Tabla1[[#This Row],[Oficina]],[15]Ponderación!$B$2:$E$9,4,FALSE),0)</f>
        <v>0.87158319035419651</v>
      </c>
      <c r="L187" s="7">
        <f>+Tabla1[[#This Row],[ RV Producción mes n+1]]*Tabla1[[#This Row],[% Uti. producción]]</f>
        <v>0</v>
      </c>
      <c r="M187" s="7">
        <f>IFERROR(VLOOKUP(Tabla1[[#This Row],[Material]],'[17]TD Stock'!$E:$I,5,FALSE),0)</f>
        <v>7281.8429999999989</v>
      </c>
      <c r="N187" s="7">
        <f>IFERROR(VLOOKUP(Tabla1[[#This Row],[Material]],[16]Produccion!$M:$N,2,FALSE),0)</f>
        <v>698.6609890098099</v>
      </c>
      <c r="O187" s="7">
        <f>IFERROR(VLOOKUP(Tabla1[[#This Row],[Llave]],'[16]TD Conf-AP'!$I:$M,4,FALSE),0)</f>
        <v>0</v>
      </c>
      <c r="P187" s="14">
        <f>SUM(Tabla1[[#This Row],[Producción disponible]],Tabla1[[#This Row],[Stock al día]],(Tabla1[[#This Row],[Por producir mes N]]*0.9))-Tabla1[[#This Row],[Producción por despachar mes N]]</f>
        <v>7910.6378901088283</v>
      </c>
      <c r="Q187" s="7">
        <f>IFERROR(VLOOKUP(Tabla1[[#This Row],[Llave]],[17]DELAY!$A:$D,4,FALSE),0)</f>
        <v>1000</v>
      </c>
      <c r="R187" s="9">
        <v>5000</v>
      </c>
      <c r="S187" s="5">
        <f t="shared" si="31"/>
        <v>1000</v>
      </c>
      <c r="T187" s="76">
        <v>0</v>
      </c>
      <c r="U187" s="5">
        <f>+Tabla1[[#This Row],[Atraso a facturar]]+Tabla1[[#This Row],[Ajuste atraso]]</f>
        <v>1000</v>
      </c>
      <c r="V187" s="3">
        <f>+Tabla1[[#This Row],[Total disponible]]-Tabla1[[#This Row],[Facturación atraso]]</f>
        <v>6910.6378901088283</v>
      </c>
      <c r="W187" s="6">
        <f>IFERROR(IF(AND(V187&gt;R187,J187&gt;=R187),ROUNDDOWN((Tabla1[[#This Row],[Producción para venta nueva]])/R187,0)*R187,0),0)</f>
        <v>0</v>
      </c>
      <c r="X187" s="76">
        <v>0</v>
      </c>
      <c r="Y187" s="6">
        <f>IF(Tabla1[[#This Row],[Venta del mes]]&gt;0,Tabla1[[#This Row],[Venta del mes]]+Tabla1[[#This Row],[Ajuste venta nueva]],0)</f>
        <v>0</v>
      </c>
      <c r="Z187" s="6">
        <f>+Tabla1[[#This Row],[Producción para venta nueva]]-Tabla1[[#This Row],[Facturación Venta nueva]]</f>
        <v>6910.6378901088283</v>
      </c>
      <c r="AA187" s="6">
        <f>IF(AND(A187=1,Tabla1[[#This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5000</v>
      </c>
      <c r="AB187" s="6"/>
      <c r="AC187" s="6">
        <f>IF(Tabla1[[#This Row],[Disponible stock sin venta]]&gt;0,Tabla1[[#This Row],[Disponible stock sin venta]]+Tabla1[[#This Row],[Ajuste stock sin venta]],0)</f>
        <v>5000</v>
      </c>
      <c r="AD187" s="3">
        <f>IFERROR(VLOOKUP(Tabla1[[#This Row],[Llave]],'[16]TD Puerto'!$A:$D,4,FALSE),0)</f>
        <v>0</v>
      </c>
      <c r="AE187" s="3">
        <v>6000</v>
      </c>
      <c r="AF187" s="3">
        <f>+Tabla1[[#This Row],[Atraso a facturar]]+Tabla1[[#This Row],[Venta del mes]]+Tabla1[[#This Row],[En puerto a facturar]]+Tabla1[[#This Row],[Disponible stock sin venta]]</f>
        <v>6000</v>
      </c>
      <c r="AG187" s="3">
        <f>+Tabla1[[#This Row],[En puerto a facturar]]</f>
        <v>0</v>
      </c>
      <c r="AH187" s="3">
        <f>+Tabla1[[#This Row],[Facturación atraso]]</f>
        <v>1000</v>
      </c>
      <c r="AI187" s="3">
        <f>+Tabla1[[#This Row],[Plan Irrestricto]]-Tabla1[[#This Row],[Puerto ]]-Tabla1[[#This Row],[Atraso]]</f>
        <v>5000</v>
      </c>
      <c r="AJ187" s="3">
        <f>IF(Tabla1[[#This Row],[Plan Irrestricto]]&gt;0,SUM(Tabla1[[#This Row],[Facturación atraso]],Tabla1[[#This Row],[Facturación Venta nueva]],Tabla1[[#This Row],[Facturación stock]],Tabla1[[#This Row],[En puerto a facturar]]),0)</f>
        <v>6000</v>
      </c>
      <c r="AK187" s="3">
        <f>+Tabla1[[#This Row],[Facturación atraso]]</f>
        <v>1000</v>
      </c>
      <c r="AL187" s="3">
        <f>+Tabla1[[#This Row],[Plan Ajustado]]-Tabla1[[#This Row],[ Atraso ajustado]]-Tabla1[[#This Row],[Puerto ]]</f>
        <v>5000</v>
      </c>
      <c r="AM187" s="3">
        <v>0</v>
      </c>
      <c r="AN187" s="3" t="str">
        <f>IF(Tabla1[[#This Row],[Plan Ajustado]]&gt;Tabla1[[#This Row],[En puerto a facturar]],"Si","No")</f>
        <v>Si</v>
      </c>
      <c r="AO187" s="3">
        <f>IF(AND(Tabla1[[#This Row],[Plan Ajustado]]&gt;0,Tabla1[[#This Row],[Plan Ajustado]]&gt;Tabla1[[#This Row],[En puerto a facturar]]),(Tabla1[[#This Row],[Plan Ajustado]]-Tabla1[[#This Row],[En puerto a facturar]]),0)</f>
        <v>6000</v>
      </c>
      <c r="AP187" s="3">
        <f>IF(Tabla1[[#This Row],[Necesidad]]&gt;=Tabla1[[#This Row],[Stock al día]],Tabla1[[#This Row],[Stock al día]],Tabla1[[#This Row],[Necesidad]])</f>
        <v>6000</v>
      </c>
      <c r="AQ187" s="3">
        <f>+Tabla1[[#This Row],[Necesidad]]-Tabla1[[#This Row],[Stock Plan]]</f>
        <v>0</v>
      </c>
      <c r="AR187" s="156">
        <f>IFERROR(VLOOKUP(Tabla1[[#This Row],[Oficina]],[22]Ponderación!$B$3:$G$9,6,FALSE),"")</f>
        <v>44765</v>
      </c>
      <c r="AS18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4.5450262641281531</v>
      </c>
      <c r="AT187" s="83">
        <f>IFERROR(VLOOKUP(Tabla1[[#This Row],[Llave]],[17]DELAY!$H:$W,16,FALSE),0)</f>
        <v>4.4589070199999998</v>
      </c>
      <c r="AU18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4.4589070199999998</v>
      </c>
      <c r="AV187" s="5">
        <f>+Tabla1[[#This Row],[Plan Ajustado]]*Tabla1[[#This Row],[Precio ponderado]]</f>
        <v>26753.44212</v>
      </c>
      <c r="AW187" s="30">
        <f>IFERROR(VLOOKUP(Tabla1[[#This Row],[Llave]],'[13]Ultimos precios facturados'!$A:$G,7,FALSE),0)</f>
        <v>4.5450262641281531</v>
      </c>
      <c r="AX18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1.8948019026392374E-2</v>
      </c>
      <c r="AY187" s="30"/>
      <c r="AZ187" s="30">
        <f>IF(Tabla1[[#This Row],[Ajuste precio IC]]="",Tabla1[[#This Row],[Precio ponderado]],Tabla1[[#This Row],[Precio ponderado]])</f>
        <v>4.4589070199999998</v>
      </c>
      <c r="BA187" s="82"/>
      <c r="BB187" s="82" t="str">
        <f>IF(AND(Tabla1[[#This Row],[Atraso a facturar]]&gt;0,Tabla1[[#This Row],[Precio Atraso]]=0),"Revisar","OK")</f>
        <v>OK</v>
      </c>
      <c r="BC187" s="82" t="str">
        <f>IF(AND(Tabla1[[#This Row],[Venta del mes]]&gt;0,Tabla1[[#This Row],[Precio venta nueva]]=0),"Revisar","OK")</f>
        <v>OK</v>
      </c>
      <c r="BD187" s="20">
        <f>IFERROR(VLOOKUP(Tabla1[[#This Row],[Llave]],'[5]Consolidación planes'!$A:$M,9,FALSE),0)</f>
        <v>15000</v>
      </c>
      <c r="BE187" s="20">
        <f>IFERROR(VLOOKUP(Tabla1[[#This Row],[Llave]],'[5]Consolidación planes'!$A:$M,10,FALSE),0)</f>
        <v>12000</v>
      </c>
      <c r="BF187" s="20">
        <f>IFERROR(VLOOKUP(Tabla1[[#This Row],[Llave]],'[5]Consolidación planes'!$A:$M,11,FALSE),0)</f>
        <v>13000</v>
      </c>
      <c r="BG187" s="20">
        <f>IFERROR(VLOOKUP(Tabla1[[#This Row],[Llave]],'[5]Consolidación planes'!$A:$M,12,FALSE),0)</f>
        <v>18000</v>
      </c>
      <c r="BH187" s="20">
        <f>IFERROR(VLOOKUP(Tabla1[[#This Row],[Llave]],'[5]Consolidación planes'!$A:$M,13,FALSE),0)</f>
        <v>18000</v>
      </c>
      <c r="BI187" s="20">
        <f>IFERROR(VLOOKUP(Tabla1[[#This Row],[Llave]],'[13]Base ultimos planes'!$A:$M,13,FALSE),0)</f>
        <v>13000</v>
      </c>
      <c r="BJ187" s="80">
        <f>IFERROR(VLOOKUP(Tabla1[[#This Row],[Llave]],'[13]Base ultimos planes'!$O:$AA,8,FALSE),0)</f>
        <v>77324.533299999996</v>
      </c>
      <c r="BK187" s="20">
        <f>IFERROR(VLOOKUP(Tabla1[[#This Row],[Llave]],'[13]Base ultimos planes'!$O:$AA,9,FALSE),0)</f>
        <v>59373</v>
      </c>
      <c r="BL187" s="20">
        <f>IFERROR(VLOOKUP(Tabla1[[#This Row],[Llave]],'[13]Base ultimos planes'!$O:$AA,10,FALSE),0)</f>
        <v>64866</v>
      </c>
      <c r="BM187" s="20">
        <f>IFERROR(VLOOKUP(Tabla1[[#This Row],[Llave]],'[13]Base ultimos planes'!$O:$AA,11,FALSE),0)</f>
        <v>87127</v>
      </c>
      <c r="BN187" s="20">
        <f>IFERROR(VLOOKUP(Tabla1[[#This Row],[Llave]],'[13]Base ultimos planes'!$O:$AA,12,FALSE),0)</f>
        <v>85715</v>
      </c>
      <c r="BO187" s="20">
        <f>IFERROR(VLOOKUP(Tabla1[[#This Row],[Llave]],'[13]Base ultimos planes'!$O:$AA,13,FALSE),0)</f>
        <v>57833</v>
      </c>
      <c r="BP187" s="20"/>
      <c r="BQ187" s="20">
        <f>+Tabla1[[#This Row],[ RV  Venta mes n+1]]*(1-Tabla1[[#This Row],[% Uti. producción]])</f>
        <v>0</v>
      </c>
      <c r="BR187" s="100"/>
    </row>
    <row r="188" spans="1:70" ht="16" hidden="1" x14ac:dyDescent="0.2">
      <c r="A188">
        <v>1</v>
      </c>
      <c r="B188" t="str">
        <f>Tabla1[[#This Row],[Oficina]]&amp;Tabla1[[#This Row],[Material]]</f>
        <v>Exportacion Directa1022919</v>
      </c>
      <c r="C188" t="s">
        <v>6</v>
      </c>
      <c r="D188" t="s">
        <v>88</v>
      </c>
      <c r="E188">
        <v>1022919</v>
      </c>
      <c r="F188" t="s">
        <v>109</v>
      </c>
      <c r="G188" t="s">
        <v>50</v>
      </c>
      <c r="H188" t="s">
        <v>103</v>
      </c>
      <c r="I188" s="7">
        <f>IFERROR(VLOOKUP(Tabla1[[#This Row],[Llave]],'[7]RV Producción'!$C:$G,5,FALSE),0)</f>
        <v>8057</v>
      </c>
      <c r="J188" s="3">
        <f>IFERROR(IF(Tabla1[[#This Row],[Oficina]]=$I$7,VLOOKUP(Tabla1[[#This Row],[Llave]],'[7]Shangai (Tomas)'!$A:$F,6,FALSE),VLOOKUP(Tabla1[[#This Row],[Llave]],'[7]RV plan de ventas'!$A:$E,5,FALSE)),0)</f>
        <v>0</v>
      </c>
      <c r="K188" s="8">
        <f>IFERROR(VLOOKUP(Tabla1[[#This Row],[Oficina]],[15]Ponderación!$B$2:$E$9,4,FALSE),0)</f>
        <v>0.87158319035419651</v>
      </c>
      <c r="L188" s="7">
        <f>+Tabla1[[#This Row],[ RV Producción mes n+1]]*Tabla1[[#This Row],[% Uti. producción]]</f>
        <v>7022.3457646837614</v>
      </c>
      <c r="M188" s="7">
        <f>IFERROR(VLOOKUP(Tabla1[[#This Row],[Material]],'[17]TD Stock'!$E:$I,5,FALSE),0)</f>
        <v>3766.3409999999994</v>
      </c>
      <c r="N188" s="7">
        <f>IFERROR(VLOOKUP(Tabla1[[#This Row],[Material]],[16]Produccion!$M:$N,2,FALSE),0)</f>
        <v>0</v>
      </c>
      <c r="O188" s="7">
        <f>IFERROR(VLOOKUP(Tabla1[[#This Row],[Llave]],'[16]TD Conf-AP'!$I:$M,4,FALSE),0)</f>
        <v>0</v>
      </c>
      <c r="P188" s="14">
        <f>SUM(Tabla1[[#This Row],[Producción disponible]],Tabla1[[#This Row],[Stock al día]],(Tabla1[[#This Row],[Por producir mes N]]*0.9))-Tabla1[[#This Row],[Producción por despachar mes N]]</f>
        <v>10788.68676468376</v>
      </c>
      <c r="Q188" s="7">
        <f>IFERROR(VLOOKUP(Tabla1[[#This Row],[Llave]],[17]DELAY!$A:$D,4,FALSE),0)</f>
        <v>24000</v>
      </c>
      <c r="R188" s="9">
        <v>12000</v>
      </c>
      <c r="S188" s="5">
        <f t="shared" si="31"/>
        <v>0</v>
      </c>
      <c r="T188" s="76">
        <v>0</v>
      </c>
      <c r="U188" s="5">
        <f>+Tabla1[[#This Row],[Atraso a facturar]]+Tabla1[[#This Row],[Ajuste atraso]]</f>
        <v>0</v>
      </c>
      <c r="V188" s="3">
        <f>+Tabla1[[#This Row],[Total disponible]]-Tabla1[[#This Row],[Facturación atraso]]</f>
        <v>10788.68676468376</v>
      </c>
      <c r="W188" s="6">
        <f>IFERROR(IF(AND(V188&gt;R188,J188&gt;=R188),ROUNDDOWN((Tabla1[[#This Row],[Producción para venta nueva]])/R188,0)*R188,0),0)</f>
        <v>0</v>
      </c>
      <c r="X188" s="76">
        <v>0</v>
      </c>
      <c r="Y188" s="6">
        <f>IF(Tabla1[[#This Row],[Venta del mes]]&gt;0,Tabla1[[#This Row],[Venta del mes]]+Tabla1[[#This Row],[Ajuste venta nueva]],0)</f>
        <v>0</v>
      </c>
      <c r="Z188" s="6">
        <f>+Tabla1[[#This Row],[Producción para venta nueva]]-Tabla1[[#This Row],[Facturación Venta nueva]]</f>
        <v>10788.68676468376</v>
      </c>
      <c r="AA188" s="6">
        <f>IF(AND(A188=1,Tabla1[[#This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88" s="6"/>
      <c r="AC188" s="6">
        <f>IF(Tabla1[[#This Row],[Disponible stock sin venta]]&gt;0,Tabla1[[#This Row],[Disponible stock sin venta]]+Tabla1[[#This Row],[Ajuste stock sin venta]],0)</f>
        <v>0</v>
      </c>
      <c r="AD188" s="3">
        <f>IFERROR(VLOOKUP(Tabla1[[#This Row],[Llave]],'[16]TD Puerto'!$A:$D,4,FALSE),0)</f>
        <v>0</v>
      </c>
      <c r="AE188" s="3">
        <v>0</v>
      </c>
      <c r="AF188" s="3">
        <f>+Tabla1[[#This Row],[Atraso a facturar]]+Tabla1[[#This Row],[Venta del mes]]+Tabla1[[#This Row],[En puerto a facturar]]+Tabla1[[#This Row],[Disponible stock sin venta]]</f>
        <v>0</v>
      </c>
      <c r="AG188" s="3">
        <f>+Tabla1[[#This Row],[En puerto a facturar]]</f>
        <v>0</v>
      </c>
      <c r="AH188" s="3">
        <f>+Tabla1[[#This Row],[Facturación atraso]]</f>
        <v>0</v>
      </c>
      <c r="AI188" s="3">
        <f>+Tabla1[[#This Row],[Plan Irrestricto]]-Tabla1[[#This Row],[Puerto ]]-Tabla1[[#This Row],[Atraso]]</f>
        <v>0</v>
      </c>
      <c r="AJ18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88" s="3">
        <f>+Tabla1[[#This Row],[Facturación atraso]]</f>
        <v>0</v>
      </c>
      <c r="AL188" s="3">
        <f>+Tabla1[[#This Row],[Plan Ajustado]]-Tabla1[[#This Row],[ Atraso ajustado]]-Tabla1[[#This Row],[Puerto ]]</f>
        <v>0</v>
      </c>
      <c r="AM188" s="3">
        <v>0</v>
      </c>
      <c r="AN188" s="3" t="str">
        <f>IF(Tabla1[[#This Row],[Plan Ajustado]]&gt;Tabla1[[#This Row],[En puerto a facturar]],"Si","No")</f>
        <v>No</v>
      </c>
      <c r="AO18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88" s="3">
        <f>IF(Tabla1[[#This Row],[Necesidad]]&gt;=Tabla1[[#This Row],[Stock al día]],Tabla1[[#This Row],[Stock al día]],Tabla1[[#This Row],[Necesidad]])</f>
        <v>0</v>
      </c>
      <c r="AQ188" s="3">
        <f>+Tabla1[[#This Row],[Necesidad]]-Tabla1[[#This Row],[Stock Plan]]</f>
        <v>0</v>
      </c>
      <c r="AR188" s="156">
        <f>IFERROR(VLOOKUP(Tabla1[[#This Row],[Oficina]],[22]Ponderación!$B$3:$G$9,6,FALSE),"")</f>
        <v>44765</v>
      </c>
      <c r="AS18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3.6177795658399878</v>
      </c>
      <c r="AT188" s="83">
        <f>IFERROR(VLOOKUP(Tabla1[[#This Row],[Llave]],[17]DELAY!$H:$W,16,FALSE),0)</f>
        <v>4.0470470583333302</v>
      </c>
      <c r="AU18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88" s="5">
        <f>+Tabla1[[#This Row],[Plan Ajustado]]*Tabla1[[#This Row],[Precio ponderado]]</f>
        <v>0</v>
      </c>
      <c r="AW188" s="30">
        <f>IFERROR(VLOOKUP(Tabla1[[#This Row],[Llave]],'[13]Ultimos precios facturados'!$A:$G,7,FALSE),0)</f>
        <v>3.6177795658399878</v>
      </c>
      <c r="AX18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88" s="30"/>
      <c r="AZ188" s="30">
        <f>IF(Tabla1[[#This Row],[Ajuste precio IC]]="",Tabla1[[#This Row],[Precio ponderado]],Tabla1[[#This Row],[Precio ponderado]])</f>
        <v>0</v>
      </c>
      <c r="BA188" s="82"/>
      <c r="BB188" s="82" t="str">
        <f>IF(AND(Tabla1[[#This Row],[Atraso a facturar]]&gt;0,Tabla1[[#This Row],[Precio Atraso]]=0),"Revisar","OK")</f>
        <v>OK</v>
      </c>
      <c r="BC188" s="82" t="str">
        <f>IF(AND(Tabla1[[#This Row],[Venta del mes]]&gt;0,Tabla1[[#This Row],[Precio venta nueva]]=0),"Revisar","OK")</f>
        <v>OK</v>
      </c>
      <c r="BD188" s="20">
        <f>IFERROR(VLOOKUP(Tabla1[[#This Row],[Llave]],'[5]Consolidación planes'!$A:$M,9,FALSE),0)</f>
        <v>15000</v>
      </c>
      <c r="BE188" s="20">
        <f>IFERROR(VLOOKUP(Tabla1[[#This Row],[Llave]],'[5]Consolidación planes'!$A:$M,10,FALSE),0)</f>
        <v>48000</v>
      </c>
      <c r="BF188" s="20">
        <f>IFERROR(VLOOKUP(Tabla1[[#This Row],[Llave]],'[5]Consolidación planes'!$A:$M,11,FALSE),0)</f>
        <v>5000</v>
      </c>
      <c r="BG188" s="20">
        <f>IFERROR(VLOOKUP(Tabla1[[#This Row],[Llave]],'[5]Consolidación planes'!$A:$M,12,FALSE),0)</f>
        <v>24000</v>
      </c>
      <c r="BH188" s="20">
        <f>IFERROR(VLOOKUP(Tabla1[[#This Row],[Llave]],'[5]Consolidación planes'!$A:$M,13,FALSE),0)</f>
        <v>23000</v>
      </c>
      <c r="BI188" s="20">
        <f>IFERROR(VLOOKUP(Tabla1[[#This Row],[Llave]],'[13]Base ultimos planes'!$A:$M,13,FALSE),0)</f>
        <v>12000</v>
      </c>
      <c r="BJ188" s="80">
        <f>IFERROR(VLOOKUP(Tabla1[[#This Row],[Llave]],'[13]Base ultimos planes'!$O:$AA,8,FALSE),0)</f>
        <v>61076.933900000004</v>
      </c>
      <c r="BK188" s="20">
        <f>IFERROR(VLOOKUP(Tabla1[[#This Row],[Llave]],'[13]Base ultimos planes'!$O:$AA,9,FALSE),0)</f>
        <v>200184</v>
      </c>
      <c r="BL188" s="20">
        <f>IFERROR(VLOOKUP(Tabla1[[#This Row],[Llave]],'[13]Base ultimos planes'!$O:$AA,10,FALSE),0)</f>
        <v>20962</v>
      </c>
      <c r="BM188" s="20">
        <f>IFERROR(VLOOKUP(Tabla1[[#This Row],[Llave]],'[13]Base ultimos planes'!$O:$AA,11,FALSE),0)</f>
        <v>92261</v>
      </c>
      <c r="BN188" s="20">
        <f>IFERROR(VLOOKUP(Tabla1[[#This Row],[Llave]],'[13]Base ultimos planes'!$O:$AA,12,FALSE),0)</f>
        <v>84285</v>
      </c>
      <c r="BO188" s="20">
        <f>IFERROR(VLOOKUP(Tabla1[[#This Row],[Llave]],'[13]Base ultimos planes'!$O:$AA,13,FALSE),0)</f>
        <v>42413</v>
      </c>
      <c r="BP188" s="20"/>
      <c r="BQ188" s="20">
        <f>+Tabla1[[#This Row],[ RV  Venta mes n+1]]*(1-Tabla1[[#This Row],[% Uti. producción]])</f>
        <v>0</v>
      </c>
      <c r="BR188" s="100"/>
    </row>
    <row r="189" spans="1:70" ht="16" x14ac:dyDescent="0.2">
      <c r="A189">
        <v>1</v>
      </c>
      <c r="B189" t="str">
        <f>Tabla1[[#This Row],[Oficina]]&amp;Tabla1[[#This Row],[Material]]</f>
        <v>Exportacion Directa1022931</v>
      </c>
      <c r="C189" t="s">
        <v>6</v>
      </c>
      <c r="D189" t="s">
        <v>88</v>
      </c>
      <c r="E189">
        <v>1022931</v>
      </c>
      <c r="F189" t="s">
        <v>91</v>
      </c>
      <c r="G189" t="s">
        <v>37</v>
      </c>
      <c r="H189" t="s">
        <v>38</v>
      </c>
      <c r="I189" s="7">
        <f>IFERROR(VLOOKUP(Tabla1[[#This Row],[Llave]],'[7]RV Producción'!$C:$G,5,FALSE),0)</f>
        <v>33920</v>
      </c>
      <c r="J189" s="3">
        <f>IFERROR(IF(Tabla1[[#This Row],[Oficina]]=$I$7,VLOOKUP(Tabla1[[#This Row],[Llave]],'[7]Shangai (Tomas)'!$A:$F,6,FALSE),VLOOKUP(Tabla1[[#This Row],[Llave]],'[7]RV plan de ventas'!$A:$E,5,FALSE)),0)</f>
        <v>20000</v>
      </c>
      <c r="K189" s="8">
        <f>IFERROR(VLOOKUP(Tabla1[[#This Row],[Oficina]],[15]Ponderación!$B$2:$E$9,4,FALSE),0)</f>
        <v>0.87158319035419651</v>
      </c>
      <c r="L189" s="7">
        <f>+Tabla1[[#This Row],[ RV Producción mes n+1]]*Tabla1[[#This Row],[% Uti. producción]]</f>
        <v>29564.101816814346</v>
      </c>
      <c r="M189" s="7">
        <f>IFERROR(VLOOKUP(Tabla1[[#This Row],[Material]],'[17]TD Stock'!$E:$I,5,FALSE),0)</f>
        <v>41516.490999999995</v>
      </c>
      <c r="N189" s="7">
        <f>IFERROR(VLOOKUP(Tabla1[[#This Row],[Material]],[16]Produccion!$M:$N,2,FALSE),0)</f>
        <v>6029.5318717303862</v>
      </c>
      <c r="O189" s="7">
        <f>IFERROR(VLOOKUP(Tabla1[[#This Row],[Llave]],'[16]TD Conf-AP'!$I:$M,4,FALSE),0)</f>
        <v>4000</v>
      </c>
      <c r="P189" s="14">
        <f>SUM(Tabla1[[#This Row],[Producción disponible]],Tabla1[[#This Row],[Stock al día]],(Tabla1[[#This Row],[Por producir mes N]]*0.9))-Tabla1[[#This Row],[Producción por despachar mes N]]</f>
        <v>72507.171501371689</v>
      </c>
      <c r="Q189" s="7">
        <f>IFERROR(VLOOKUP(Tabla1[[#This Row],[Llave]],[17]DELAY!$A:$D,4,FALSE),0)</f>
        <v>28000</v>
      </c>
      <c r="R189" s="9">
        <v>3000</v>
      </c>
      <c r="S189" s="5">
        <f t="shared" si="31"/>
        <v>28000</v>
      </c>
      <c r="T189" s="76">
        <v>-10000</v>
      </c>
      <c r="U189" s="5">
        <f>+Tabla1[[#This Row],[Atraso a facturar]]+Tabla1[[#This Row],[Ajuste atraso]]</f>
        <v>18000</v>
      </c>
      <c r="V189" s="3">
        <f>+Tabla1[[#This Row],[Total disponible]]-Tabla1[[#This Row],[Facturación atraso]]</f>
        <v>54507.171501371689</v>
      </c>
      <c r="W189" s="6">
        <f>IFERROR(IF(AND(V189&gt;R189,J189&gt;=R189),ROUNDDOWN((Tabla1[[#This Row],[Producción para venta nueva]])/R189,0)*R189,0),0)</f>
        <v>54000</v>
      </c>
      <c r="X189" s="76">
        <v>-30000</v>
      </c>
      <c r="Y189" s="6">
        <f>IF(Tabla1[[#This Row],[Venta del mes]]&gt;0,Tabla1[[#This Row],[Venta del mes]]+Tabla1[[#This Row],[Ajuste venta nueva]],0)</f>
        <v>24000</v>
      </c>
      <c r="Z189" s="6">
        <f>+Tabla1[[#This Row],[Producción para venta nueva]]-Tabla1[[#This Row],[Facturación Venta nueva]]</f>
        <v>30507.171501371689</v>
      </c>
      <c r="AA189" s="6">
        <f>IF(AND(A189=1,Tabla1[[#This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89" s="6"/>
      <c r="AC189" s="6">
        <f>IF(Tabla1[[#This Row],[Disponible stock sin venta]]&gt;0,Tabla1[[#This Row],[Disponible stock sin venta]]+Tabla1[[#This Row],[Ajuste stock sin venta]],0)</f>
        <v>0</v>
      </c>
      <c r="AD189" s="3">
        <f>IFERROR(VLOOKUP(Tabla1[[#This Row],[Llave]],'[16]TD Puerto'!$A:$D,4,FALSE),0)</f>
        <v>0</v>
      </c>
      <c r="AE189" s="3">
        <v>70000</v>
      </c>
      <c r="AF189" s="3">
        <f>+Tabla1[[#This Row],[Atraso a facturar]]+Tabla1[[#This Row],[Venta del mes]]+Tabla1[[#This Row],[En puerto a facturar]]+Tabla1[[#This Row],[Disponible stock sin venta]]</f>
        <v>82000</v>
      </c>
      <c r="AG189" s="3">
        <f>+Tabla1[[#This Row],[En puerto a facturar]]</f>
        <v>0</v>
      </c>
      <c r="AH189" s="3">
        <f>+Tabla1[[#This Row],[Facturación atraso]]</f>
        <v>18000</v>
      </c>
      <c r="AI189" s="3">
        <f>+Tabla1[[#This Row],[Plan Irrestricto]]-Tabla1[[#This Row],[Puerto ]]-Tabla1[[#This Row],[Atraso]]</f>
        <v>64000</v>
      </c>
      <c r="AJ189" s="3">
        <f>IF(Tabla1[[#This Row],[Plan Irrestricto]]&gt;0,SUM(Tabla1[[#This Row],[Facturación atraso]],Tabla1[[#This Row],[Facturación Venta nueva]],Tabla1[[#This Row],[Facturación stock]],Tabla1[[#This Row],[En puerto a facturar]]),0)</f>
        <v>42000</v>
      </c>
      <c r="AK189" s="3">
        <f>+Tabla1[[#This Row],[Facturación atraso]]</f>
        <v>18000</v>
      </c>
      <c r="AL189" s="3">
        <f>+Tabla1[[#This Row],[Plan Ajustado]]-Tabla1[[#This Row],[ Atraso ajustado]]-Tabla1[[#This Row],[Puerto ]]</f>
        <v>24000</v>
      </c>
      <c r="AM189" s="3" t="s">
        <v>789</v>
      </c>
      <c r="AN189" s="3" t="str">
        <f>IF(Tabla1[[#This Row],[Plan Ajustado]]&gt;Tabla1[[#This Row],[En puerto a facturar]],"Si","No")</f>
        <v>Si</v>
      </c>
      <c r="AO189" s="3">
        <f>IF(AND(Tabla1[[#This Row],[Plan Ajustado]]&gt;0,Tabla1[[#This Row],[Plan Ajustado]]&gt;Tabla1[[#This Row],[En puerto a facturar]]),(Tabla1[[#This Row],[Plan Ajustado]]-Tabla1[[#This Row],[En puerto a facturar]]),0)</f>
        <v>42000</v>
      </c>
      <c r="AP189" s="3">
        <f>IF(Tabla1[[#This Row],[Necesidad]]&gt;=Tabla1[[#This Row],[Stock al día]],Tabla1[[#This Row],[Stock al día]],Tabla1[[#This Row],[Necesidad]])</f>
        <v>41516.490999999995</v>
      </c>
      <c r="AQ189" s="3">
        <f>+Tabla1[[#This Row],[Necesidad]]-Tabla1[[#This Row],[Stock Plan]]</f>
        <v>483.50900000000547</v>
      </c>
      <c r="AR189" s="156">
        <f>IFERROR(VLOOKUP(Tabla1[[#This Row],[Oficina]],[22]Ponderación!$B$3:$G$9,6,FALSE),"")</f>
        <v>44765</v>
      </c>
      <c r="AS18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4.1040000000000001</v>
      </c>
      <c r="AT189" s="83">
        <f>IFERROR(VLOOKUP(Tabla1[[#This Row],[Llave]],[17]DELAY!$H:$W,16,FALSE),0)</f>
        <v>4.3744137811224491</v>
      </c>
      <c r="AU18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4.2198916204810502</v>
      </c>
      <c r="AV189" s="5">
        <f>+Tabla1[[#This Row],[Plan Ajustado]]*Tabla1[[#This Row],[Precio ponderado]]</f>
        <v>177235.4480602041</v>
      </c>
      <c r="AW189" s="30">
        <f>IFERROR(VLOOKUP(Tabla1[[#This Row],[Llave]],'[13]Ultimos precios facturados'!$A:$G,7,FALSE),0)</f>
        <v>4.1706834574325811</v>
      </c>
      <c r="AX18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1.1798584944339314E-2</v>
      </c>
      <c r="AY189" s="30"/>
      <c r="AZ189" s="30">
        <f>IF(Tabla1[[#This Row],[Ajuste precio IC]]="",Tabla1[[#This Row],[Precio ponderado]],Tabla1[[#This Row],[Precio ponderado]])</f>
        <v>4.2198916204810502</v>
      </c>
      <c r="BA189" s="82"/>
      <c r="BB189" s="82" t="str">
        <f>IF(AND(Tabla1[[#This Row],[Atraso a facturar]]&gt;0,Tabla1[[#This Row],[Precio Atraso]]=0),"Revisar","OK")</f>
        <v>OK</v>
      </c>
      <c r="BC189" s="82" t="str">
        <f>IF(AND(Tabla1[[#This Row],[Venta del mes]]&gt;0,Tabla1[[#This Row],[Precio venta nueva]]=0),"Revisar","OK")</f>
        <v>OK</v>
      </c>
      <c r="BD189" s="20">
        <f>IFERROR(VLOOKUP(Tabla1[[#This Row],[Llave]],'[5]Consolidación planes'!$A:$M,9,FALSE),0)</f>
        <v>0</v>
      </c>
      <c r="BE189" s="20">
        <f>IFERROR(VLOOKUP(Tabla1[[#This Row],[Llave]],'[5]Consolidación planes'!$A:$M,10,FALSE),0)</f>
        <v>0</v>
      </c>
      <c r="BF189" s="20">
        <f>IFERROR(VLOOKUP(Tabla1[[#This Row],[Llave]],'[5]Consolidación planes'!$A:$M,11,FALSE),0)</f>
        <v>0</v>
      </c>
      <c r="BG189" s="20">
        <f>IFERROR(VLOOKUP(Tabla1[[#This Row],[Llave]],'[5]Consolidación planes'!$A:$M,12,FALSE),0)</f>
        <v>20000</v>
      </c>
      <c r="BH189" s="20">
        <f>IFERROR(VLOOKUP(Tabla1[[#This Row],[Llave]],'[5]Consolidación planes'!$A:$M,13,FALSE),0)</f>
        <v>20182</v>
      </c>
      <c r="BI189" s="20">
        <f>IFERROR(VLOOKUP(Tabla1[[#This Row],[Llave]],'[13]Base ultimos planes'!$A:$M,13,FALSE),0)</f>
        <v>24000</v>
      </c>
      <c r="BJ189" s="80">
        <f>IFERROR(VLOOKUP(Tabla1[[#This Row],[Llave]],'[13]Base ultimos planes'!$O:$AA,8,FALSE),0)</f>
        <v>0</v>
      </c>
      <c r="BK189" s="20">
        <f>IFERROR(VLOOKUP(Tabla1[[#This Row],[Llave]],'[13]Base ultimos planes'!$O:$AA,9,FALSE),0)</f>
        <v>0</v>
      </c>
      <c r="BL189" s="20">
        <f>IFERROR(VLOOKUP(Tabla1[[#This Row],[Llave]],'[13]Base ultimos planes'!$O:$AA,10,FALSE),0)</f>
        <v>0</v>
      </c>
      <c r="BM189" s="20">
        <f>IFERROR(VLOOKUP(Tabla1[[#This Row],[Llave]],'[13]Base ultimos planes'!$O:$AA,11,FALSE),0)</f>
        <v>45277</v>
      </c>
      <c r="BN189" s="20">
        <f>IFERROR(VLOOKUP(Tabla1[[#This Row],[Llave]],'[13]Base ultimos planes'!$O:$AA,12,FALSE),0)</f>
        <v>89258</v>
      </c>
      <c r="BO189" s="20">
        <f>IFERROR(VLOOKUP(Tabla1[[#This Row],[Llave]],'[13]Base ultimos planes'!$O:$AA,13,FALSE),0)</f>
        <v>101421</v>
      </c>
      <c r="BP189" s="20"/>
      <c r="BQ189" s="20">
        <f>+Tabla1[[#This Row],[ RV  Venta mes n+1]]*(1-Tabla1[[#This Row],[% Uti. producción]])</f>
        <v>2568.3361929160696</v>
      </c>
      <c r="BR189" s="100"/>
    </row>
    <row r="190" spans="1:70" ht="16" x14ac:dyDescent="0.2">
      <c r="A190">
        <v>1</v>
      </c>
      <c r="B190" t="str">
        <f>Tabla1[[#This Row],[Oficina]]&amp;Tabla1[[#This Row],[Material]]</f>
        <v>Exportacion Directa1022987</v>
      </c>
      <c r="C190" t="s">
        <v>6</v>
      </c>
      <c r="D190" t="s">
        <v>88</v>
      </c>
      <c r="E190">
        <v>1022987</v>
      </c>
      <c r="F190" t="s">
        <v>295</v>
      </c>
      <c r="G190" t="s">
        <v>67</v>
      </c>
      <c r="H190" t="s">
        <v>68</v>
      </c>
      <c r="I190" s="7">
        <f>IFERROR(VLOOKUP(Tabla1[[#This Row],[Llave]],'[7]RV Producción'!$C:$G,5,FALSE),0)</f>
        <v>41771</v>
      </c>
      <c r="J190" s="3">
        <f>IFERROR(IF(Tabla1[[#This Row],[Oficina]]=$I$7,VLOOKUP(Tabla1[[#This Row],[Llave]],'[7]Shangai (Tomas)'!$A:$F,6,FALSE),VLOOKUP(Tabla1[[#This Row],[Llave]],'[7]RV plan de ventas'!$A:$E,5,FALSE)),0)</f>
        <v>24000</v>
      </c>
      <c r="K190" s="8">
        <f>IFERROR(VLOOKUP(Tabla1[[#This Row],[Oficina]],[15]Ponderación!$B$2:$E$9,4,FALSE),0)</f>
        <v>0.87158319035419651</v>
      </c>
      <c r="L190" s="7">
        <f>+Tabla1[[#This Row],[ RV Producción mes n+1]]*Tabla1[[#This Row],[% Uti. producción]]</f>
        <v>36406.90144428514</v>
      </c>
      <c r="M190" s="7">
        <f>IFERROR(VLOOKUP(Tabla1[[#This Row],[Material]],'[17]TD Stock'!$E:$I,5,FALSE),0)</f>
        <v>2660</v>
      </c>
      <c r="N190" s="7">
        <f>IFERROR(VLOOKUP(Tabla1[[#This Row],[Material]],[16]Produccion!$M:$N,2,FALSE),0)</f>
        <v>13358</v>
      </c>
      <c r="O190" s="7">
        <f>IFERROR(VLOOKUP(Tabla1[[#This Row],[Llave]],'[16]TD Conf-AP'!$I:$M,4,FALSE),0)</f>
        <v>0</v>
      </c>
      <c r="P190" s="14">
        <f>SUM(Tabla1[[#This Row],[Producción disponible]],Tabla1[[#This Row],[Stock al día]],(Tabla1[[#This Row],[Por producir mes N]]*0.9))-Tabla1[[#This Row],[Producción por despachar mes N]]</f>
        <v>51089.101444285145</v>
      </c>
      <c r="Q190" s="7">
        <f>IFERROR(VLOOKUP(Tabla1[[#This Row],[Llave]],[17]DELAY!$A:$D,4,FALSE),0)</f>
        <v>48000</v>
      </c>
      <c r="R190" s="9">
        <v>24000</v>
      </c>
      <c r="S190" s="5">
        <f t="shared" si="31"/>
        <v>48000</v>
      </c>
      <c r="T190" s="76">
        <v>-24000</v>
      </c>
      <c r="U190" s="5">
        <f>+Tabla1[[#This Row],[Atraso a facturar]]+Tabla1[[#This Row],[Ajuste atraso]]</f>
        <v>24000</v>
      </c>
      <c r="V190" s="3">
        <f>+Tabla1[[#This Row],[Total disponible]]-Tabla1[[#This Row],[Facturación atraso]]</f>
        <v>27089.101444285145</v>
      </c>
      <c r="W190" s="6">
        <f>IFERROR(IF(AND(V190&gt;R190,J190&gt;=R190),ROUNDDOWN((Tabla1[[#This Row],[Producción para venta nueva]])/R190,0)*R190,0),0)</f>
        <v>24000</v>
      </c>
      <c r="X190" s="76">
        <v>0</v>
      </c>
      <c r="Y190" s="6">
        <f>IF(Tabla1[[#This Row],[Venta del mes]]&gt;0,Tabla1[[#This Row],[Venta del mes]]+Tabla1[[#This Row],[Ajuste venta nueva]],0)</f>
        <v>24000</v>
      </c>
      <c r="Z190" s="6">
        <f>+Tabla1[[#This Row],[Producción para venta nueva]]-Tabla1[[#This Row],[Facturación Venta nueva]]</f>
        <v>3089.1014442851447</v>
      </c>
      <c r="AA190" s="6">
        <f>IF(AND(A190=1,Tabla1[[#This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90" s="6"/>
      <c r="AC190" s="6">
        <f>IF(Tabla1[[#This Row],[Disponible stock sin venta]]&gt;0,Tabla1[[#This Row],[Disponible stock sin venta]]+Tabla1[[#This Row],[Ajuste stock sin venta]],0)</f>
        <v>0</v>
      </c>
      <c r="AD190" s="3">
        <f>IFERROR(VLOOKUP(Tabla1[[#This Row],[Llave]],'[16]TD Puerto'!$A:$D,4,FALSE),0)</f>
        <v>0</v>
      </c>
      <c r="AE190" s="3">
        <v>48000</v>
      </c>
      <c r="AF190" s="3">
        <f>+Tabla1[[#This Row],[Atraso a facturar]]+Tabla1[[#This Row],[Venta del mes]]+Tabla1[[#This Row],[En puerto a facturar]]+Tabla1[[#This Row],[Disponible stock sin venta]]</f>
        <v>72000</v>
      </c>
      <c r="AG190" s="3">
        <f>+Tabla1[[#This Row],[En puerto a facturar]]</f>
        <v>0</v>
      </c>
      <c r="AH190" s="3">
        <f>+Tabla1[[#This Row],[Facturación atraso]]</f>
        <v>24000</v>
      </c>
      <c r="AI190" s="3">
        <f>+Tabla1[[#This Row],[Plan Irrestricto]]-Tabla1[[#This Row],[Puerto ]]-Tabla1[[#This Row],[Atraso]]</f>
        <v>48000</v>
      </c>
      <c r="AJ190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190" s="3">
        <f>+Tabla1[[#This Row],[Facturación atraso]]</f>
        <v>24000</v>
      </c>
      <c r="AL190" s="3">
        <f>+Tabla1[[#This Row],[Plan Ajustado]]-Tabla1[[#This Row],[ Atraso ajustado]]-Tabla1[[#This Row],[Puerto ]]</f>
        <v>24000</v>
      </c>
      <c r="AM190" s="3" t="s">
        <v>791</v>
      </c>
      <c r="AN190" s="3" t="str">
        <f>IF(Tabla1[[#This Row],[Plan Ajustado]]&gt;Tabla1[[#This Row],[En puerto a facturar]],"Si","No")</f>
        <v>Si</v>
      </c>
      <c r="AO190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190" s="3">
        <f>IF(Tabla1[[#This Row],[Necesidad]]&gt;=Tabla1[[#This Row],[Stock al día]],Tabla1[[#This Row],[Stock al día]],Tabla1[[#This Row],[Necesidad]])</f>
        <v>2660</v>
      </c>
      <c r="AQ190" s="3">
        <f>+Tabla1[[#This Row],[Necesidad]]-Tabla1[[#This Row],[Stock Plan]]</f>
        <v>45340</v>
      </c>
      <c r="AR190" s="156">
        <f>IFERROR(VLOOKUP(Tabla1[[#This Row],[Oficina]],[22]Ponderación!$B$3:$G$9,6,FALSE),"")</f>
        <v>44765</v>
      </c>
      <c r="AS19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</v>
      </c>
      <c r="AT190" s="83">
        <f>IFERROR(VLOOKUP(Tabla1[[#This Row],[Llave]],[17]DELAY!$H:$W,16,FALSE),0)</f>
        <v>1.620076675</v>
      </c>
      <c r="AU19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1.7100383375000001</v>
      </c>
      <c r="AV190" s="5">
        <f>+Tabla1[[#This Row],[Plan Ajustado]]*Tabla1[[#This Row],[Precio ponderado]]</f>
        <v>82081.840200000006</v>
      </c>
      <c r="AW190" s="30">
        <f>IFERROR(VLOOKUP(Tabla1[[#This Row],[Llave]],'[13]Ultimos precios facturados'!$A:$G,7,FALSE),0)</f>
        <v>1.2680407029761904</v>
      </c>
      <c r="AX19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0.34856738706131968</v>
      </c>
      <c r="AY190" s="30"/>
      <c r="AZ190" s="30">
        <f>IF(Tabla1[[#This Row],[Ajuste precio IC]]="",Tabla1[[#This Row],[Precio ponderado]],Tabla1[[#This Row],[Precio ponderado]])</f>
        <v>1.7100383375000001</v>
      </c>
      <c r="BA190" s="82"/>
      <c r="BB190" s="82" t="str">
        <f>IF(AND(Tabla1[[#This Row],[Atraso a facturar]]&gt;0,Tabla1[[#This Row],[Precio Atraso]]=0),"Revisar","OK")</f>
        <v>OK</v>
      </c>
      <c r="BC190" s="82" t="str">
        <f>IF(AND(Tabla1[[#This Row],[Venta del mes]]&gt;0,Tabla1[[#This Row],[Precio venta nueva]]=0),"Revisar","OK")</f>
        <v>OK</v>
      </c>
      <c r="BD190" s="20">
        <f>IFERROR(VLOOKUP(Tabla1[[#This Row],[Llave]],'[5]Consolidación planes'!$A:$M,9,FALSE),0)</f>
        <v>0</v>
      </c>
      <c r="BE190" s="20">
        <f>IFERROR(VLOOKUP(Tabla1[[#This Row],[Llave]],'[5]Consolidación planes'!$A:$M,10,FALSE),0)</f>
        <v>30000</v>
      </c>
      <c r="BF190" s="20">
        <f>IFERROR(VLOOKUP(Tabla1[[#This Row],[Llave]],'[5]Consolidación planes'!$A:$M,11,FALSE),0)</f>
        <v>24000</v>
      </c>
      <c r="BG190" s="20">
        <f>IFERROR(VLOOKUP(Tabla1[[#This Row],[Llave]],'[5]Consolidación planes'!$A:$M,12,FALSE),0)</f>
        <v>48000</v>
      </c>
      <c r="BH190" s="20">
        <f>IFERROR(VLOOKUP(Tabla1[[#This Row],[Llave]],'[5]Consolidación planes'!$A:$M,13,FALSE),0)</f>
        <v>24000</v>
      </c>
      <c r="BI190" s="20">
        <f>IFERROR(VLOOKUP(Tabla1[[#This Row],[Llave]],'[13]Base ultimos planes'!$A:$M,13,FALSE),0)</f>
        <v>24000</v>
      </c>
      <c r="BJ190" s="80">
        <f>IFERROR(VLOOKUP(Tabla1[[#This Row],[Llave]],'[13]Base ultimos planes'!$O:$AA,8,FALSE),0)</f>
        <v>0</v>
      </c>
      <c r="BK190" s="20">
        <f>IFERROR(VLOOKUP(Tabla1[[#This Row],[Llave]],'[13]Base ultimos planes'!$O:$AA,9,FALSE),0)</f>
        <v>39945</v>
      </c>
      <c r="BL190" s="20">
        <f>IFERROR(VLOOKUP(Tabla1[[#This Row],[Llave]],'[13]Base ultimos planes'!$O:$AA,10,FALSE),0)</f>
        <v>32309</v>
      </c>
      <c r="BM190" s="20">
        <f>IFERROR(VLOOKUP(Tabla1[[#This Row],[Llave]],'[13]Base ultimos planes'!$O:$AA,11,FALSE),0)</f>
        <v>64234</v>
      </c>
      <c r="BN190" s="20">
        <f>IFERROR(VLOOKUP(Tabla1[[#This Row],[Llave]],'[13]Base ultimos planes'!$O:$AA,12,FALSE),0)</f>
        <v>31541</v>
      </c>
      <c r="BO190" s="20">
        <f>IFERROR(VLOOKUP(Tabla1[[#This Row],[Llave]],'[13]Base ultimos planes'!$O:$AA,13,FALSE),0)</f>
        <v>32086</v>
      </c>
      <c r="BP190" s="20"/>
      <c r="BQ190" s="20">
        <f>+Tabla1[[#This Row],[ RV  Venta mes n+1]]*(1-Tabla1[[#This Row],[% Uti. producción]])</f>
        <v>3082.0034314992836</v>
      </c>
      <c r="BR190" s="100"/>
    </row>
    <row r="191" spans="1:70" ht="16" x14ac:dyDescent="0.2">
      <c r="A191">
        <v>1</v>
      </c>
      <c r="B191" t="str">
        <f>Tabla1[[#This Row],[Oficina]]&amp;Tabla1[[#This Row],[Material]]</f>
        <v>Exportacion Directa1022990</v>
      </c>
      <c r="C191" t="s">
        <v>6</v>
      </c>
      <c r="D191" t="s">
        <v>88</v>
      </c>
      <c r="E191">
        <v>1022990</v>
      </c>
      <c r="F191" t="s">
        <v>127</v>
      </c>
      <c r="G191" t="s">
        <v>56</v>
      </c>
      <c r="H191" t="s">
        <v>57</v>
      </c>
      <c r="I191" s="7">
        <f>IFERROR(VLOOKUP(Tabla1[[#This Row],[Llave]],'[7]RV Producción'!$C:$G,5,FALSE),0)</f>
        <v>0</v>
      </c>
      <c r="J191" s="3">
        <f>IFERROR(IF(Tabla1[[#This Row],[Oficina]]=$I$7,VLOOKUP(Tabla1[[#This Row],[Llave]],'[7]Shangai (Tomas)'!$A:$F,6,FALSE),VLOOKUP(Tabla1[[#This Row],[Llave]],'[7]RV plan de ventas'!$A:$E,5,FALSE)),0)</f>
        <v>0</v>
      </c>
      <c r="K191" s="8">
        <f>IFERROR(VLOOKUP(Tabla1[[#This Row],[Oficina]],[15]Ponderación!$B$2:$E$9,4,FALSE),0)</f>
        <v>0.87158319035419651</v>
      </c>
      <c r="L191" s="7">
        <f>+Tabla1[[#This Row],[ RV Producción mes n+1]]*Tabla1[[#This Row],[% Uti. producción]]</f>
        <v>0</v>
      </c>
      <c r="M191" s="7">
        <f>IFERROR(VLOOKUP(Tabla1[[#This Row],[Material]],'[17]TD Stock'!$E:$I,5,FALSE),0)</f>
        <v>25041.455000000005</v>
      </c>
      <c r="N191" s="7">
        <f>IFERROR(VLOOKUP(Tabla1[[#This Row],[Material]],[16]Produccion!$M:$N,2,FALSE),0)</f>
        <v>0</v>
      </c>
      <c r="O191" s="7">
        <f>IFERROR(VLOOKUP(Tabla1[[#This Row],[Llave]],'[16]TD Conf-AP'!$I:$M,4,FALSE),0)</f>
        <v>0</v>
      </c>
      <c r="P191" s="14">
        <f>SUM(Tabla1[[#This Row],[Producción disponible]],Tabla1[[#This Row],[Stock al día]],(Tabla1[[#This Row],[Por producir mes N]]*0.9))-Tabla1[[#This Row],[Producción por despachar mes N]]</f>
        <v>25041.455000000005</v>
      </c>
      <c r="Q191" s="7">
        <f>IFERROR(VLOOKUP(Tabla1[[#This Row],[Llave]],[17]DELAY!$A:$D,4,FALSE),0)</f>
        <v>0</v>
      </c>
      <c r="R191" s="9">
        <v>3571.4285714285716</v>
      </c>
      <c r="S191" s="5">
        <f t="shared" si="31"/>
        <v>0</v>
      </c>
      <c r="T191" s="76">
        <v>0</v>
      </c>
      <c r="U191" s="5">
        <f>+Tabla1[[#This Row],[Atraso a facturar]]+Tabla1[[#This Row],[Ajuste atraso]]</f>
        <v>0</v>
      </c>
      <c r="V191" s="3">
        <f>+Tabla1[[#This Row],[Total disponible]]-Tabla1[[#This Row],[Facturación atraso]]</f>
        <v>25041.455000000005</v>
      </c>
      <c r="W191" s="6">
        <f>IFERROR(IF(AND(V191&gt;R191,J191&gt;=R191),ROUNDDOWN((Tabla1[[#This Row],[Producción para venta nueva]])/R191,0)*R191,0),0)</f>
        <v>0</v>
      </c>
      <c r="X191" s="76">
        <v>0</v>
      </c>
      <c r="Y191" s="6">
        <f>IF(Tabla1[[#This Row],[Venta del mes]]&gt;0,Tabla1[[#This Row],[Venta del mes]]+Tabla1[[#This Row],[Ajuste venta nueva]],0)</f>
        <v>0</v>
      </c>
      <c r="Z191" s="6">
        <f>+Tabla1[[#This Row],[Producción para venta nueva]]-Tabla1[[#This Row],[Facturación Venta nueva]]</f>
        <v>25041.455000000005</v>
      </c>
      <c r="AA191" s="6">
        <f>IF(AND(A191=1,Tabla1[[#This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25000</v>
      </c>
      <c r="AB191" s="6"/>
      <c r="AC191" s="6">
        <f>IF(Tabla1[[#This Row],[Disponible stock sin venta]]&gt;0,Tabla1[[#This Row],[Disponible stock sin venta]]+Tabla1[[#This Row],[Ajuste stock sin venta]],0)</f>
        <v>25000</v>
      </c>
      <c r="AD191" s="3">
        <f>IFERROR(VLOOKUP(Tabla1[[#This Row],[Llave]],'[16]TD Puerto'!$A:$D,4,FALSE),0)</f>
        <v>0</v>
      </c>
      <c r="AE191" s="3">
        <v>25000</v>
      </c>
      <c r="AF191" s="3">
        <f>+Tabla1[[#This Row],[Atraso a facturar]]+Tabla1[[#This Row],[Venta del mes]]+Tabla1[[#This Row],[En puerto a facturar]]+Tabla1[[#This Row],[Disponible stock sin venta]]</f>
        <v>25000</v>
      </c>
      <c r="AG191" s="3">
        <f>+Tabla1[[#This Row],[En puerto a facturar]]</f>
        <v>0</v>
      </c>
      <c r="AH191" s="3">
        <f>+Tabla1[[#This Row],[Facturación atraso]]</f>
        <v>0</v>
      </c>
      <c r="AI191" s="3">
        <f>+Tabla1[[#This Row],[Plan Irrestricto]]-Tabla1[[#This Row],[Puerto ]]-Tabla1[[#This Row],[Atraso]]</f>
        <v>25000</v>
      </c>
      <c r="AJ191" s="3">
        <f>IF(Tabla1[[#This Row],[Plan Irrestricto]]&gt;0,SUM(Tabla1[[#This Row],[Facturación atraso]],Tabla1[[#This Row],[Facturación Venta nueva]],Tabla1[[#This Row],[Facturación stock]],Tabla1[[#This Row],[En puerto a facturar]]),0)</f>
        <v>25000</v>
      </c>
      <c r="AK191" s="3">
        <f>+Tabla1[[#This Row],[Facturación atraso]]</f>
        <v>0</v>
      </c>
      <c r="AL191" s="3">
        <f>+Tabla1[[#This Row],[Plan Ajustado]]-Tabla1[[#This Row],[ Atraso ajustado]]-Tabla1[[#This Row],[Puerto ]]</f>
        <v>25000</v>
      </c>
      <c r="AM191" s="3">
        <v>0</v>
      </c>
      <c r="AN191" s="3" t="str">
        <f>IF(Tabla1[[#This Row],[Plan Ajustado]]&gt;Tabla1[[#This Row],[En puerto a facturar]],"Si","No")</f>
        <v>Si</v>
      </c>
      <c r="AO191" s="3">
        <f>IF(AND(Tabla1[[#This Row],[Plan Ajustado]]&gt;0,Tabla1[[#This Row],[Plan Ajustado]]&gt;Tabla1[[#This Row],[En puerto a facturar]]),(Tabla1[[#This Row],[Plan Ajustado]]-Tabla1[[#This Row],[En puerto a facturar]]),0)</f>
        <v>25000</v>
      </c>
      <c r="AP191" s="3">
        <f>IF(Tabla1[[#This Row],[Necesidad]]&gt;=Tabla1[[#This Row],[Stock al día]],Tabla1[[#This Row],[Stock al día]],Tabla1[[#This Row],[Necesidad]])</f>
        <v>25000</v>
      </c>
      <c r="AQ191" s="3">
        <f>+Tabla1[[#This Row],[Necesidad]]-Tabla1[[#This Row],[Stock Plan]]</f>
        <v>0</v>
      </c>
      <c r="AR191" s="156">
        <f>IFERROR(VLOOKUP(Tabla1[[#This Row],[Oficina]],[22]Ponderación!$B$3:$G$9,6,FALSE),"")</f>
        <v>44765</v>
      </c>
      <c r="AS19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4.9990390677484369</v>
      </c>
      <c r="AT191" s="84">
        <v>4.8</v>
      </c>
      <c r="AU19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4.8</v>
      </c>
      <c r="AV191" s="5">
        <f>+Tabla1[[#This Row],[Plan Ajustado]]*Tabla1[[#This Row],[Precio ponderado]]</f>
        <v>120000</v>
      </c>
      <c r="AW191" s="30">
        <f>IFERROR(VLOOKUP(Tabla1[[#This Row],[Llave]],'[13]Ultimos precios facturados'!$A:$G,7,FALSE),0)</f>
        <v>4.9990390677484369</v>
      </c>
      <c r="AX19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3.9815465542677599E-2</v>
      </c>
      <c r="AY191" s="30"/>
      <c r="AZ191" s="30">
        <f>IF(Tabla1[[#This Row],[Ajuste precio IC]]="",Tabla1[[#This Row],[Precio ponderado]],Tabla1[[#This Row],[Precio ponderado]])</f>
        <v>4.8</v>
      </c>
      <c r="BA191" s="82"/>
      <c r="BB191" s="82" t="str">
        <f>IF(AND(Tabla1[[#This Row],[Atraso a facturar]]&gt;0,Tabla1[[#This Row],[Precio Atraso]]=0),"Revisar","OK")</f>
        <v>OK</v>
      </c>
      <c r="BC191" s="82" t="str">
        <f>IF(AND(Tabla1[[#This Row],[Venta del mes]]&gt;0,Tabla1[[#This Row],[Precio venta nueva]]=0),"Revisar","OK")</f>
        <v>OK</v>
      </c>
      <c r="BD191" s="20">
        <f>IFERROR(VLOOKUP(Tabla1[[#This Row],[Llave]],'[5]Consolidación planes'!$A:$M,9,FALSE),0)</f>
        <v>10000</v>
      </c>
      <c r="BE191" s="20">
        <f>IFERROR(VLOOKUP(Tabla1[[#This Row],[Llave]],'[5]Consolidación planes'!$A:$M,10,FALSE),0)</f>
        <v>20000</v>
      </c>
      <c r="BF191" s="20">
        <f>IFERROR(VLOOKUP(Tabla1[[#This Row],[Llave]],'[5]Consolidación planes'!$A:$M,11,FALSE),0)</f>
        <v>13000</v>
      </c>
      <c r="BG191" s="20">
        <f>IFERROR(VLOOKUP(Tabla1[[#This Row],[Llave]],'[5]Consolidación planes'!$A:$M,12,FALSE),0)</f>
        <v>0</v>
      </c>
      <c r="BH191" s="20">
        <f>IFERROR(VLOOKUP(Tabla1[[#This Row],[Llave]],'[5]Consolidación planes'!$A:$M,13,FALSE),0)</f>
        <v>0</v>
      </c>
      <c r="BI191" s="20">
        <f>IFERROR(VLOOKUP(Tabla1[[#This Row],[Llave]],'[13]Base ultimos planes'!$A:$M,13,FALSE),0)</f>
        <v>0</v>
      </c>
      <c r="BJ191" s="80">
        <f>IFERROR(VLOOKUP(Tabla1[[#This Row],[Llave]],'[13]Base ultimos planes'!$O:$AA,8,FALSE),0)</f>
        <v>49521.519800000002</v>
      </c>
      <c r="BK191" s="20">
        <f>IFERROR(VLOOKUP(Tabla1[[#This Row],[Llave]],'[13]Base ultimos planes'!$O:$AA,9,FALSE),0)</f>
        <v>99032</v>
      </c>
      <c r="BL191" s="20">
        <f>IFERROR(VLOOKUP(Tabla1[[#This Row],[Llave]],'[13]Base ultimos planes'!$O:$AA,10,FALSE),0)</f>
        <v>64807</v>
      </c>
      <c r="BM191" s="20">
        <f>IFERROR(VLOOKUP(Tabla1[[#This Row],[Llave]],'[13]Base ultimos planes'!$O:$AA,11,FALSE),0)</f>
        <v>0</v>
      </c>
      <c r="BN191" s="20">
        <f>IFERROR(VLOOKUP(Tabla1[[#This Row],[Llave]],'[13]Base ultimos planes'!$O:$AA,12,FALSE),0)</f>
        <v>0</v>
      </c>
      <c r="BO191" s="20">
        <f>IFERROR(VLOOKUP(Tabla1[[#This Row],[Llave]],'[13]Base ultimos planes'!$O:$AA,13,FALSE),0)</f>
        <v>0</v>
      </c>
      <c r="BP191" s="20"/>
      <c r="BQ191" s="20">
        <f>+Tabla1[[#This Row],[ RV  Venta mes n+1]]*(1-Tabla1[[#This Row],[% Uti. producción]])</f>
        <v>0</v>
      </c>
      <c r="BR191" s="100"/>
    </row>
    <row r="192" spans="1:70" ht="16" hidden="1" x14ac:dyDescent="0.2">
      <c r="A192">
        <v>1</v>
      </c>
      <c r="B192" t="str">
        <f>Tabla1[[#This Row],[Oficina]]&amp;Tabla1[[#This Row],[Material]]</f>
        <v>Exportacion Directa1023051</v>
      </c>
      <c r="C192" t="s">
        <v>6</v>
      </c>
      <c r="D192" t="s">
        <v>88</v>
      </c>
      <c r="E192">
        <v>1023051</v>
      </c>
      <c r="F192" t="s">
        <v>292</v>
      </c>
      <c r="G192" t="s">
        <v>50</v>
      </c>
      <c r="H192" t="s">
        <v>110</v>
      </c>
      <c r="I192" s="7">
        <f>IFERROR(VLOOKUP(Tabla1[[#This Row],[Llave]],'[7]RV Producción'!$C:$G,5,FALSE),0)</f>
        <v>0</v>
      </c>
      <c r="J192" s="3">
        <f>IFERROR(IF(Tabla1[[#This Row],[Oficina]]=$I$7,VLOOKUP(Tabla1[[#This Row],[Llave]],'[7]Shangai (Tomas)'!$A:$F,6,FALSE),VLOOKUP(Tabla1[[#This Row],[Llave]],'[7]RV plan de ventas'!$A:$E,5,FALSE)),0)</f>
        <v>0</v>
      </c>
      <c r="K192" s="8">
        <f>IFERROR(VLOOKUP(Tabla1[[#This Row],[Oficina]],[15]Ponderación!$B$2:$E$9,4,FALSE),0)</f>
        <v>0.87158319035419651</v>
      </c>
      <c r="L192" s="7">
        <f>+Tabla1[[#This Row],[ RV Producción mes n+1]]*Tabla1[[#This Row],[% Uti. producción]]</f>
        <v>0</v>
      </c>
      <c r="M192" s="7">
        <f>IFERROR(VLOOKUP(Tabla1[[#This Row],[Material]],'[17]TD Stock'!$E:$I,5,FALSE),0)</f>
        <v>752.61300000000006</v>
      </c>
      <c r="N192" s="7">
        <f>IFERROR(VLOOKUP(Tabla1[[#This Row],[Material]],[16]Produccion!$M:$N,2,FALSE),0)</f>
        <v>0</v>
      </c>
      <c r="O192" s="7">
        <f>IFERROR(VLOOKUP(Tabla1[[#This Row],[Llave]],'[16]TD Conf-AP'!$I:$M,4,FALSE),0)</f>
        <v>0</v>
      </c>
      <c r="P192" s="14">
        <f>SUM(Tabla1[[#This Row],[Producción disponible]],Tabla1[[#This Row],[Stock al día]],(Tabla1[[#This Row],[Por producir mes N]]*0.9))-Tabla1[[#This Row],[Producción por despachar mes N]]</f>
        <v>752.61300000000006</v>
      </c>
      <c r="Q192" s="7">
        <f>IFERROR(VLOOKUP(Tabla1[[#This Row],[Llave]],[17]DELAY!$A:$D,4,FALSE),0)</f>
        <v>5000</v>
      </c>
      <c r="R192" s="9">
        <v>3000</v>
      </c>
      <c r="S192" s="5">
        <f t="shared" si="31"/>
        <v>0</v>
      </c>
      <c r="T192" s="76">
        <v>0</v>
      </c>
      <c r="U192" s="5">
        <f>+Tabla1[[#This Row],[Atraso a facturar]]+Tabla1[[#This Row],[Ajuste atraso]]</f>
        <v>0</v>
      </c>
      <c r="V192" s="3">
        <f>+Tabla1[[#This Row],[Total disponible]]-Tabla1[[#This Row],[Facturación atraso]]</f>
        <v>752.61300000000006</v>
      </c>
      <c r="W192" s="6">
        <f>IFERROR(IF(AND(V192&gt;R192,J192&gt;=R192),ROUNDDOWN((Tabla1[[#This Row],[Producción para venta nueva]])/R192,0)*R192,0),0)</f>
        <v>0</v>
      </c>
      <c r="X192" s="76">
        <v>0</v>
      </c>
      <c r="Y192" s="6">
        <f>IF(Tabla1[[#This Row],[Venta del mes]]&gt;0,Tabla1[[#This Row],[Venta del mes]]+Tabla1[[#This Row],[Ajuste venta nueva]],0)</f>
        <v>0</v>
      </c>
      <c r="Z192" s="6">
        <f>+Tabla1[[#This Row],[Producción para venta nueva]]-Tabla1[[#This Row],[Facturación Venta nueva]]</f>
        <v>752.61300000000006</v>
      </c>
      <c r="AA192" s="6">
        <f>IF(AND(A192=1,Tabla1[[#This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92" s="6"/>
      <c r="AC192" s="6">
        <f>IF(Tabla1[[#This Row],[Disponible stock sin venta]]&gt;0,Tabla1[[#This Row],[Disponible stock sin venta]]+Tabla1[[#This Row],[Ajuste stock sin venta]],0)</f>
        <v>0</v>
      </c>
      <c r="AD192" s="3">
        <f>IFERROR(VLOOKUP(Tabla1[[#This Row],[Llave]],'[16]TD Puerto'!$A:$D,4,FALSE),0)</f>
        <v>0</v>
      </c>
      <c r="AE192" s="3">
        <v>0</v>
      </c>
      <c r="AF192" s="3">
        <f>+Tabla1[[#This Row],[Atraso a facturar]]+Tabla1[[#This Row],[Venta del mes]]+Tabla1[[#This Row],[En puerto a facturar]]+Tabla1[[#This Row],[Disponible stock sin venta]]</f>
        <v>0</v>
      </c>
      <c r="AG192" s="3">
        <f>+Tabla1[[#This Row],[En puerto a facturar]]</f>
        <v>0</v>
      </c>
      <c r="AH192" s="3">
        <f>+Tabla1[[#This Row],[Facturación atraso]]</f>
        <v>0</v>
      </c>
      <c r="AI192" s="3">
        <f>+Tabla1[[#This Row],[Plan Irrestricto]]-Tabla1[[#This Row],[Puerto ]]-Tabla1[[#This Row],[Atraso]]</f>
        <v>0</v>
      </c>
      <c r="AJ19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92" s="3">
        <f>+Tabla1[[#This Row],[Facturación atraso]]</f>
        <v>0</v>
      </c>
      <c r="AL192" s="3">
        <f>+Tabla1[[#This Row],[Plan Ajustado]]-Tabla1[[#This Row],[ Atraso ajustado]]-Tabla1[[#This Row],[Puerto ]]</f>
        <v>0</v>
      </c>
      <c r="AM192" s="3">
        <v>0</v>
      </c>
      <c r="AN192" s="3" t="str">
        <f>IF(Tabla1[[#This Row],[Plan Ajustado]]&gt;Tabla1[[#This Row],[En puerto a facturar]],"Si","No")</f>
        <v>No</v>
      </c>
      <c r="AO19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92" s="3">
        <f>IF(Tabla1[[#This Row],[Necesidad]]&gt;=Tabla1[[#This Row],[Stock al día]],Tabla1[[#This Row],[Stock al día]],Tabla1[[#This Row],[Necesidad]])</f>
        <v>0</v>
      </c>
      <c r="AQ192" s="3">
        <f>+Tabla1[[#This Row],[Necesidad]]-Tabla1[[#This Row],[Stock Plan]]</f>
        <v>0</v>
      </c>
      <c r="AR192" s="156">
        <f>IFERROR(VLOOKUP(Tabla1[[#This Row],[Oficina]],[22]Ponderación!$B$3:$G$9,6,FALSE),"")</f>
        <v>44765</v>
      </c>
      <c r="AS19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3.5398638326943392</v>
      </c>
      <c r="AT192" s="83">
        <f>IFERROR(VLOOKUP(Tabla1[[#This Row],[Llave]],[17]DELAY!$H:$W,16,FALSE),0)</f>
        <v>3.4832440599999979</v>
      </c>
      <c r="AU19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92" s="5">
        <f>+Tabla1[[#This Row],[Plan Ajustado]]*Tabla1[[#This Row],[Precio ponderado]]</f>
        <v>0</v>
      </c>
      <c r="AW192" s="30">
        <f>IFERROR(VLOOKUP(Tabla1[[#This Row],[Llave]],'[13]Ultimos precios facturados'!$A:$G,7,FALSE),0)</f>
        <v>3.5398638326943392</v>
      </c>
      <c r="AX19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92" s="30"/>
      <c r="AZ192" s="30">
        <f>IF(Tabla1[[#This Row],[Ajuste precio IC]]="",Tabla1[[#This Row],[Precio ponderado]],Tabla1[[#This Row],[Precio ponderado]])</f>
        <v>0</v>
      </c>
      <c r="BA192" s="82"/>
      <c r="BB192" s="82" t="str">
        <f>IF(AND(Tabla1[[#This Row],[Atraso a facturar]]&gt;0,Tabla1[[#This Row],[Precio Atraso]]=0),"Revisar","OK")</f>
        <v>OK</v>
      </c>
      <c r="BC192" s="82" t="str">
        <f>IF(AND(Tabla1[[#This Row],[Venta del mes]]&gt;0,Tabla1[[#This Row],[Precio venta nueva]]=0),"Revisar","OK")</f>
        <v>OK</v>
      </c>
      <c r="BD192" s="20">
        <f>IFERROR(VLOOKUP(Tabla1[[#This Row],[Llave]],'[5]Consolidación planes'!$A:$M,9,FALSE),0)</f>
        <v>0</v>
      </c>
      <c r="BE192" s="20">
        <f>IFERROR(VLOOKUP(Tabla1[[#This Row],[Llave]],'[5]Consolidación planes'!$A:$M,10,FALSE),0)</f>
        <v>0</v>
      </c>
      <c r="BF192" s="20">
        <f>IFERROR(VLOOKUP(Tabla1[[#This Row],[Llave]],'[5]Consolidación planes'!$A:$M,11,FALSE),0)</f>
        <v>0</v>
      </c>
      <c r="BG192" s="20">
        <f>IFERROR(VLOOKUP(Tabla1[[#This Row],[Llave]],'[5]Consolidación planes'!$A:$M,12,FALSE),0)</f>
        <v>3000</v>
      </c>
      <c r="BH192" s="20">
        <f>IFERROR(VLOOKUP(Tabla1[[#This Row],[Llave]],'[5]Consolidación planes'!$A:$M,13,FALSE),0)</f>
        <v>2500</v>
      </c>
      <c r="BI192" s="20">
        <f>IFERROR(VLOOKUP(Tabla1[[#This Row],[Llave]],'[13]Base ultimos planes'!$A:$M,13,FALSE),0)</f>
        <v>0</v>
      </c>
      <c r="BJ192" s="80">
        <f>IFERROR(VLOOKUP(Tabla1[[#This Row],[Llave]],'[13]Base ultimos planes'!$O:$AA,8,FALSE),0)</f>
        <v>0</v>
      </c>
      <c r="BK192" s="20">
        <f>IFERROR(VLOOKUP(Tabla1[[#This Row],[Llave]],'[13]Base ultimos planes'!$O:$AA,9,FALSE),0)</f>
        <v>0</v>
      </c>
      <c r="BL192" s="20">
        <f>IFERROR(VLOOKUP(Tabla1[[#This Row],[Llave]],'[13]Base ultimos planes'!$O:$AA,10,FALSE),0)</f>
        <v>0</v>
      </c>
      <c r="BM192" s="20">
        <f>IFERROR(VLOOKUP(Tabla1[[#This Row],[Llave]],'[13]Base ultimos planes'!$O:$AA,11,FALSE),0)</f>
        <v>11945</v>
      </c>
      <c r="BN192" s="20">
        <f>IFERROR(VLOOKUP(Tabla1[[#This Row],[Llave]],'[13]Base ultimos planes'!$O:$AA,12,FALSE),0)</f>
        <v>9324</v>
      </c>
      <c r="BO192" s="20">
        <f>IFERROR(VLOOKUP(Tabla1[[#This Row],[Llave]],'[13]Base ultimos planes'!$O:$AA,13,FALSE),0)</f>
        <v>0</v>
      </c>
      <c r="BP192" s="20"/>
      <c r="BQ192" s="20">
        <f>+Tabla1[[#This Row],[ RV  Venta mes n+1]]*(1-Tabla1[[#This Row],[% Uti. producción]])</f>
        <v>0</v>
      </c>
      <c r="BR192" s="100"/>
    </row>
    <row r="193" spans="1:70" ht="16" hidden="1" x14ac:dyDescent="0.2">
      <c r="A193">
        <v>1</v>
      </c>
      <c r="B193" t="str">
        <f>Tabla1[[#This Row],[Oficina]]&amp;Tabla1[[#This Row],[Material]]</f>
        <v>Exportacion Directa1023055</v>
      </c>
      <c r="C193" t="s">
        <v>6</v>
      </c>
      <c r="D193" t="s">
        <v>88</v>
      </c>
      <c r="E193">
        <v>1023055</v>
      </c>
      <c r="F193" t="s">
        <v>293</v>
      </c>
      <c r="G193" t="s">
        <v>50</v>
      </c>
      <c r="H193" t="s">
        <v>110</v>
      </c>
      <c r="I193" s="7">
        <f>IFERROR(VLOOKUP(Tabla1[[#This Row],[Llave]],'[7]RV Producción'!$C:$G,5,FALSE),0)</f>
        <v>1384</v>
      </c>
      <c r="J193" s="3">
        <f>IFERROR(IF(Tabla1[[#This Row],[Oficina]]=$I$7,VLOOKUP(Tabla1[[#This Row],[Llave]],'[7]Shangai (Tomas)'!$A:$F,6,FALSE),VLOOKUP(Tabla1[[#This Row],[Llave]],'[7]RV plan de ventas'!$A:$E,5,FALSE)),0)</f>
        <v>0</v>
      </c>
      <c r="K193" s="8">
        <f>IFERROR(VLOOKUP(Tabla1[[#This Row],[Oficina]],[15]Ponderación!$B$2:$E$9,4,FALSE),0)</f>
        <v>0.87158319035419651</v>
      </c>
      <c r="L193" s="7">
        <f>+Tabla1[[#This Row],[ RV Producción mes n+1]]*Tabla1[[#This Row],[% Uti. producción]]</f>
        <v>1206.271135450208</v>
      </c>
      <c r="M193" s="7">
        <f>IFERROR(VLOOKUP(Tabla1[[#This Row],[Material]],'[17]TD Stock'!$E:$I,5,FALSE),0)</f>
        <v>724.0920000000001</v>
      </c>
      <c r="N193" s="7">
        <f>IFERROR(VLOOKUP(Tabla1[[#This Row],[Material]],[16]Produccion!$M:$N,2,FALSE),0)</f>
        <v>0</v>
      </c>
      <c r="O193" s="7">
        <f>IFERROR(VLOOKUP(Tabla1[[#This Row],[Llave]],'[16]TD Conf-AP'!$I:$M,4,FALSE),0)</f>
        <v>0</v>
      </c>
      <c r="P193" s="14">
        <f>SUM(Tabla1[[#This Row],[Producción disponible]],Tabla1[[#This Row],[Stock al día]],(Tabla1[[#This Row],[Por producir mes N]]*0.9))-Tabla1[[#This Row],[Producción por despachar mes N]]</f>
        <v>1930.3631354502081</v>
      </c>
      <c r="Q193" s="7">
        <f>IFERROR(VLOOKUP(Tabla1[[#This Row],[Llave]],[17]DELAY!$A:$D,4,FALSE),0)</f>
        <v>10000</v>
      </c>
      <c r="R193" s="9">
        <v>3500</v>
      </c>
      <c r="S193" s="5">
        <f t="shared" si="31"/>
        <v>0</v>
      </c>
      <c r="T193" s="76">
        <v>0</v>
      </c>
      <c r="U193" s="5">
        <f>+Tabla1[[#This Row],[Atraso a facturar]]+Tabla1[[#This Row],[Ajuste atraso]]</f>
        <v>0</v>
      </c>
      <c r="V193" s="3">
        <f>+Tabla1[[#This Row],[Total disponible]]-Tabla1[[#This Row],[Facturación atraso]]</f>
        <v>1930.3631354502081</v>
      </c>
      <c r="W193" s="6">
        <f>IFERROR(IF(AND(V193&gt;R193,J193&gt;=R193),ROUNDDOWN((Tabla1[[#This Row],[Producción para venta nueva]])/R193,0)*R193,0),0)</f>
        <v>0</v>
      </c>
      <c r="X193" s="76">
        <v>0</v>
      </c>
      <c r="Y193" s="6">
        <f>IF(Tabla1[[#This Row],[Venta del mes]]&gt;0,Tabla1[[#This Row],[Venta del mes]]+Tabla1[[#This Row],[Ajuste venta nueva]],0)</f>
        <v>0</v>
      </c>
      <c r="Z193" s="6">
        <f>+Tabla1[[#This Row],[Producción para venta nueva]]-Tabla1[[#This Row],[Facturación Venta nueva]]</f>
        <v>1930.3631354502081</v>
      </c>
      <c r="AA193" s="6">
        <f>IF(AND(A193=1,Tabla1[[#This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93" s="6"/>
      <c r="AC193" s="6">
        <f>IF(Tabla1[[#This Row],[Disponible stock sin venta]]&gt;0,Tabla1[[#This Row],[Disponible stock sin venta]]+Tabla1[[#This Row],[Ajuste stock sin venta]],0)</f>
        <v>0</v>
      </c>
      <c r="AD193" s="3">
        <f>IFERROR(VLOOKUP(Tabla1[[#This Row],[Llave]],'[16]TD Puerto'!$A:$D,4,FALSE),0)</f>
        <v>0</v>
      </c>
      <c r="AE193" s="3">
        <v>0</v>
      </c>
      <c r="AF193" s="3">
        <f>+Tabla1[[#This Row],[Atraso a facturar]]+Tabla1[[#This Row],[Venta del mes]]+Tabla1[[#This Row],[En puerto a facturar]]+Tabla1[[#This Row],[Disponible stock sin venta]]</f>
        <v>0</v>
      </c>
      <c r="AG193" s="3">
        <f>+Tabla1[[#This Row],[En puerto a facturar]]</f>
        <v>0</v>
      </c>
      <c r="AH193" s="3">
        <f>+Tabla1[[#This Row],[Facturación atraso]]</f>
        <v>0</v>
      </c>
      <c r="AI193" s="3">
        <f>+Tabla1[[#This Row],[Plan Irrestricto]]-Tabla1[[#This Row],[Puerto ]]-Tabla1[[#This Row],[Atraso]]</f>
        <v>0</v>
      </c>
      <c r="AJ19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93" s="3">
        <f>+Tabla1[[#This Row],[Facturación atraso]]</f>
        <v>0</v>
      </c>
      <c r="AL193" s="3">
        <f>+Tabla1[[#This Row],[Plan Ajustado]]-Tabla1[[#This Row],[ Atraso ajustado]]-Tabla1[[#This Row],[Puerto ]]</f>
        <v>0</v>
      </c>
      <c r="AM193" s="3">
        <v>0</v>
      </c>
      <c r="AN193" s="3" t="str">
        <f>IF(Tabla1[[#This Row],[Plan Ajustado]]&gt;Tabla1[[#This Row],[En puerto a facturar]],"Si","No")</f>
        <v>No</v>
      </c>
      <c r="AO19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93" s="3">
        <f>IF(Tabla1[[#This Row],[Necesidad]]&gt;=Tabla1[[#This Row],[Stock al día]],Tabla1[[#This Row],[Stock al día]],Tabla1[[#This Row],[Necesidad]])</f>
        <v>0</v>
      </c>
      <c r="AQ193" s="3">
        <f>+Tabla1[[#This Row],[Necesidad]]-Tabla1[[#This Row],[Stock Plan]]</f>
        <v>0</v>
      </c>
      <c r="AR193" s="156">
        <f>IFERROR(VLOOKUP(Tabla1[[#This Row],[Oficina]],[22]Ponderación!$B$3:$G$9,6,FALSE),"")</f>
        <v>44765</v>
      </c>
      <c r="AS19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3.5226289691535433</v>
      </c>
      <c r="AT193" s="83">
        <f>IFERROR(VLOOKUP(Tabla1[[#This Row],[Llave]],[17]DELAY!$H:$W,16,FALSE),0)</f>
        <v>3.4865977499999992</v>
      </c>
      <c r="AU19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93" s="5">
        <f>+Tabla1[[#This Row],[Plan Ajustado]]*Tabla1[[#This Row],[Precio ponderado]]</f>
        <v>0</v>
      </c>
      <c r="AW193" s="30">
        <f>IFERROR(VLOOKUP(Tabla1[[#This Row],[Llave]],'[13]Ultimos precios facturados'!$A:$G,7,FALSE),0)</f>
        <v>3.5226289691535433</v>
      </c>
      <c r="AX19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93" s="30"/>
      <c r="AZ193" s="30">
        <f>IF(Tabla1[[#This Row],[Ajuste precio IC]]="",Tabla1[[#This Row],[Precio ponderado]],Tabla1[[#This Row],[Precio ponderado]])</f>
        <v>0</v>
      </c>
      <c r="BA193" s="82"/>
      <c r="BB193" s="82" t="str">
        <f>IF(AND(Tabla1[[#This Row],[Atraso a facturar]]&gt;0,Tabla1[[#This Row],[Precio Atraso]]=0),"Revisar","OK")</f>
        <v>OK</v>
      </c>
      <c r="BC193" s="82" t="str">
        <f>IF(AND(Tabla1[[#This Row],[Venta del mes]]&gt;0,Tabla1[[#This Row],[Precio venta nueva]]=0),"Revisar","OK")</f>
        <v>OK</v>
      </c>
      <c r="BD193" s="20">
        <f>IFERROR(VLOOKUP(Tabla1[[#This Row],[Llave]],'[5]Consolidación planes'!$A:$M,9,FALSE),0)</f>
        <v>0</v>
      </c>
      <c r="BE193" s="20">
        <f>IFERROR(VLOOKUP(Tabla1[[#This Row],[Llave]],'[5]Consolidación planes'!$A:$M,10,FALSE),0)</f>
        <v>0</v>
      </c>
      <c r="BF193" s="20">
        <f>IFERROR(VLOOKUP(Tabla1[[#This Row],[Llave]],'[5]Consolidación planes'!$A:$M,11,FALSE),0)</f>
        <v>5000</v>
      </c>
      <c r="BG193" s="20">
        <f>IFERROR(VLOOKUP(Tabla1[[#This Row],[Llave]],'[5]Consolidación planes'!$A:$M,12,FALSE),0)</f>
        <v>7000</v>
      </c>
      <c r="BH193" s="20">
        <f>IFERROR(VLOOKUP(Tabla1[[#This Row],[Llave]],'[5]Consolidación planes'!$A:$M,13,FALSE),0)</f>
        <v>5000</v>
      </c>
      <c r="BI193" s="20">
        <f>IFERROR(VLOOKUP(Tabla1[[#This Row],[Llave]],'[13]Base ultimos planes'!$A:$M,13,FALSE),0)</f>
        <v>3500</v>
      </c>
      <c r="BJ193" s="80">
        <f>IFERROR(VLOOKUP(Tabla1[[#This Row],[Llave]],'[13]Base ultimos planes'!$O:$AA,8,FALSE),0)</f>
        <v>0</v>
      </c>
      <c r="BK193" s="20">
        <f>IFERROR(VLOOKUP(Tabla1[[#This Row],[Llave]],'[13]Base ultimos planes'!$O:$AA,9,FALSE),0)</f>
        <v>0</v>
      </c>
      <c r="BL193" s="20">
        <f>IFERROR(VLOOKUP(Tabla1[[#This Row],[Llave]],'[13]Base ultimos planes'!$O:$AA,10,FALSE),0)</f>
        <v>9981</v>
      </c>
      <c r="BM193" s="20">
        <f>IFERROR(VLOOKUP(Tabla1[[#This Row],[Llave]],'[13]Base ultimos planes'!$O:$AA,11,FALSE),0)</f>
        <v>25759</v>
      </c>
      <c r="BN193" s="20">
        <f>IFERROR(VLOOKUP(Tabla1[[#This Row],[Llave]],'[13]Base ultimos planes'!$O:$AA,12,FALSE),0)</f>
        <v>17599</v>
      </c>
      <c r="BO193" s="20">
        <f>IFERROR(VLOOKUP(Tabla1[[#This Row],[Llave]],'[13]Base ultimos planes'!$O:$AA,13,FALSE),0)</f>
        <v>11967</v>
      </c>
      <c r="BP193" s="20"/>
      <c r="BQ193" s="20">
        <f>+Tabla1[[#This Row],[ RV  Venta mes n+1]]*(1-Tabla1[[#This Row],[% Uti. producción]])</f>
        <v>0</v>
      </c>
      <c r="BR193" s="100"/>
    </row>
    <row r="194" spans="1:70" ht="16" x14ac:dyDescent="0.2">
      <c r="A194">
        <v>1</v>
      </c>
      <c r="B194" t="str">
        <f>Tabla1[[#This Row],[Oficina]]&amp;Tabla1[[#This Row],[Material]]</f>
        <v>Exportacion Directa1023163</v>
      </c>
      <c r="C194" t="s">
        <v>6</v>
      </c>
      <c r="D194" t="s">
        <v>88</v>
      </c>
      <c r="E194">
        <v>1023163</v>
      </c>
      <c r="F194" t="s">
        <v>116</v>
      </c>
      <c r="G194" t="s">
        <v>50</v>
      </c>
      <c r="H194" t="s">
        <v>110</v>
      </c>
      <c r="I194" s="7">
        <f>IFERROR(VLOOKUP(Tabla1[[#This Row],[Llave]],'[7]RV Producción'!$C:$G,5,FALSE),0)</f>
        <v>27526</v>
      </c>
      <c r="J194" s="3">
        <f>IFERROR(IF(Tabla1[[#This Row],[Oficina]]=$I$7,VLOOKUP(Tabla1[[#This Row],[Llave]],'[7]Shangai (Tomas)'!$A:$F,6,FALSE),VLOOKUP(Tabla1[[#This Row],[Llave]],'[7]RV plan de ventas'!$A:$E,5,FALSE)),0)</f>
        <v>25000</v>
      </c>
      <c r="K194" s="8">
        <f>IFERROR(VLOOKUP(Tabla1[[#This Row],[Oficina]],[15]Ponderación!$B$2:$E$9,4,FALSE),0)</f>
        <v>0.87158319035419651</v>
      </c>
      <c r="L194" s="7">
        <f>+Tabla1[[#This Row],[ RV Producción mes n+1]]*Tabla1[[#This Row],[% Uti. producción]]</f>
        <v>23991.198897689614</v>
      </c>
      <c r="M194" s="7">
        <f>IFERROR(VLOOKUP(Tabla1[[#This Row],[Material]],'[17]TD Stock'!$E:$I,5,FALSE),0)</f>
        <v>17589.546000000006</v>
      </c>
      <c r="N194" s="7">
        <f>IFERROR(VLOOKUP(Tabla1[[#This Row],[Material]],[16]Produccion!$M:$N,2,FALSE),0)</f>
        <v>5162.4898641656464</v>
      </c>
      <c r="O194" s="7">
        <f>IFERROR(VLOOKUP(Tabla1[[#This Row],[Llave]],'[16]TD Conf-AP'!$I:$M,4,FALSE),0)</f>
        <v>0</v>
      </c>
      <c r="P194" s="14">
        <f>SUM(Tabla1[[#This Row],[Producción disponible]],Tabla1[[#This Row],[Stock al día]],(Tabla1[[#This Row],[Por producir mes N]]*0.9))-Tabla1[[#This Row],[Producción por despachar mes N]]</f>
        <v>46226.985775438705</v>
      </c>
      <c r="Q194" s="7">
        <f>IFERROR(VLOOKUP(Tabla1[[#This Row],[Llave]],[17]DELAY!$A:$D,4,FALSE),0)</f>
        <v>30000</v>
      </c>
      <c r="R194" s="9">
        <v>5000</v>
      </c>
      <c r="S194" s="5">
        <f t="shared" si="31"/>
        <v>30000</v>
      </c>
      <c r="T194" s="76">
        <v>-10000</v>
      </c>
      <c r="U194" s="5">
        <f>+Tabla1[[#This Row],[Atraso a facturar]]+Tabla1[[#This Row],[Ajuste atraso]]</f>
        <v>20000</v>
      </c>
      <c r="V194" s="3">
        <f>+Tabla1[[#This Row],[Total disponible]]-Tabla1[[#This Row],[Facturación atraso]]</f>
        <v>26226.985775438705</v>
      </c>
      <c r="W194" s="6">
        <f>IFERROR(IF(AND(V194&gt;R194,J194&gt;=R194),ROUNDDOWN((Tabla1[[#This Row],[Producción para venta nueva]])/R194,0)*R194,0),0)</f>
        <v>25000</v>
      </c>
      <c r="X194" s="76">
        <v>-15000</v>
      </c>
      <c r="Y194" s="6">
        <f>IF(Tabla1[[#This Row],[Venta del mes]]&gt;0,Tabla1[[#This Row],[Venta del mes]]+Tabla1[[#This Row],[Ajuste venta nueva]],0)</f>
        <v>10000</v>
      </c>
      <c r="Z194" s="6">
        <f>+Tabla1[[#This Row],[Producción para venta nueva]]-Tabla1[[#This Row],[Facturación Venta nueva]]</f>
        <v>16226.985775438705</v>
      </c>
      <c r="AA194" s="6">
        <f>IF(AND(A194=1,Tabla1[[#This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94" s="6"/>
      <c r="AC194" s="6">
        <f>IF(Tabla1[[#This Row],[Disponible stock sin venta]]&gt;0,Tabla1[[#This Row],[Disponible stock sin venta]]+Tabla1[[#This Row],[Ajuste stock sin venta]],0)</f>
        <v>0</v>
      </c>
      <c r="AD194" s="3">
        <f>IFERROR(VLOOKUP(Tabla1[[#This Row],[Llave]],'[16]TD Puerto'!$A:$D,4,FALSE),0)</f>
        <v>0</v>
      </c>
      <c r="AE194" s="3">
        <v>45000</v>
      </c>
      <c r="AF194" s="3">
        <f>+Tabla1[[#This Row],[Atraso a facturar]]+Tabla1[[#This Row],[Venta del mes]]+Tabla1[[#This Row],[En puerto a facturar]]+Tabla1[[#This Row],[Disponible stock sin venta]]</f>
        <v>55000</v>
      </c>
      <c r="AG194" s="3">
        <f>+Tabla1[[#This Row],[En puerto a facturar]]</f>
        <v>0</v>
      </c>
      <c r="AH194" s="3">
        <f>+Tabla1[[#This Row],[Facturación atraso]]</f>
        <v>20000</v>
      </c>
      <c r="AI194" s="3">
        <f>+Tabla1[[#This Row],[Plan Irrestricto]]-Tabla1[[#This Row],[Puerto ]]-Tabla1[[#This Row],[Atraso]]</f>
        <v>35000</v>
      </c>
      <c r="AJ194" s="3">
        <f>IF(Tabla1[[#This Row],[Plan Irrestricto]]&gt;0,SUM(Tabla1[[#This Row],[Facturación atraso]],Tabla1[[#This Row],[Facturación Venta nueva]],Tabla1[[#This Row],[Facturación stock]],Tabla1[[#This Row],[En puerto a facturar]]),0)</f>
        <v>30000</v>
      </c>
      <c r="AK194" s="3">
        <f>+Tabla1[[#This Row],[Facturación atraso]]</f>
        <v>20000</v>
      </c>
      <c r="AL194" s="3">
        <f>+Tabla1[[#This Row],[Plan Ajustado]]-Tabla1[[#This Row],[ Atraso ajustado]]-Tabla1[[#This Row],[Puerto ]]</f>
        <v>10000</v>
      </c>
      <c r="AM194" s="3" t="s">
        <v>789</v>
      </c>
      <c r="AN194" s="3" t="str">
        <f>IF(Tabla1[[#This Row],[Plan Ajustado]]&gt;Tabla1[[#This Row],[En puerto a facturar]],"Si","No")</f>
        <v>Si</v>
      </c>
      <c r="AO194" s="3">
        <f>IF(AND(Tabla1[[#This Row],[Plan Ajustado]]&gt;0,Tabla1[[#This Row],[Plan Ajustado]]&gt;Tabla1[[#This Row],[En puerto a facturar]]),(Tabla1[[#This Row],[Plan Ajustado]]-Tabla1[[#This Row],[En puerto a facturar]]),0)</f>
        <v>30000</v>
      </c>
      <c r="AP194" s="3">
        <f>IF(Tabla1[[#This Row],[Necesidad]]&gt;=Tabla1[[#This Row],[Stock al día]],Tabla1[[#This Row],[Stock al día]],Tabla1[[#This Row],[Necesidad]])</f>
        <v>17589.546000000006</v>
      </c>
      <c r="AQ194" s="3">
        <f>+Tabla1[[#This Row],[Necesidad]]-Tabla1[[#This Row],[Stock Plan]]</f>
        <v>12410.453999999994</v>
      </c>
      <c r="AR194" s="156">
        <f>IFERROR(VLOOKUP(Tabla1[[#This Row],[Oficina]],[22]Ponderación!$B$3:$G$9,6,FALSE),"")</f>
        <v>44765</v>
      </c>
      <c r="AS19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3.6720000000000002</v>
      </c>
      <c r="AT194" s="83">
        <f>IFERROR(VLOOKUP(Tabla1[[#This Row],[Llave]],[17]DELAY!$H:$W,16,FALSE),0)</f>
        <v>3.7861838873333333</v>
      </c>
      <c r="AU19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3.7481225915555556</v>
      </c>
      <c r="AV194" s="5">
        <f>+Tabla1[[#This Row],[Plan Ajustado]]*Tabla1[[#This Row],[Precio ponderado]]</f>
        <v>112443.67774666667</v>
      </c>
      <c r="AW194" s="30">
        <f>IFERROR(VLOOKUP(Tabla1[[#This Row],[Llave]],'[13]Ultimos precios facturados'!$A:$G,7,FALSE),0)</f>
        <v>3.5821976468831527</v>
      </c>
      <c r="AX19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4.6319315969841353E-2</v>
      </c>
      <c r="AY194" s="30"/>
      <c r="AZ194" s="30">
        <f>IF(Tabla1[[#This Row],[Ajuste precio IC]]="",Tabla1[[#This Row],[Precio ponderado]],Tabla1[[#This Row],[Precio ponderado]])</f>
        <v>3.7481225915555556</v>
      </c>
      <c r="BA194" s="82"/>
      <c r="BB194" s="82" t="str">
        <f>IF(AND(Tabla1[[#This Row],[Atraso a facturar]]&gt;0,Tabla1[[#This Row],[Precio Atraso]]=0),"Revisar","OK")</f>
        <v>OK</v>
      </c>
      <c r="BC194" s="82" t="str">
        <f>IF(AND(Tabla1[[#This Row],[Venta del mes]]&gt;0,Tabla1[[#This Row],[Precio venta nueva]]=0),"Revisar","OK")</f>
        <v>OK</v>
      </c>
      <c r="BD194" s="20">
        <f>IFERROR(VLOOKUP(Tabla1[[#This Row],[Llave]],'[5]Consolidación planes'!$A:$M,9,FALSE),0)</f>
        <v>15000</v>
      </c>
      <c r="BE194" s="20">
        <f>IFERROR(VLOOKUP(Tabla1[[#This Row],[Llave]],'[5]Consolidación planes'!$A:$M,10,FALSE),0)</f>
        <v>7000</v>
      </c>
      <c r="BF194" s="20">
        <f>IFERROR(VLOOKUP(Tabla1[[#This Row],[Llave]],'[5]Consolidación planes'!$A:$M,11,FALSE),0)</f>
        <v>4000</v>
      </c>
      <c r="BG194" s="20">
        <f>IFERROR(VLOOKUP(Tabla1[[#This Row],[Llave]],'[5]Consolidación planes'!$A:$M,12,FALSE),0)</f>
        <v>20000</v>
      </c>
      <c r="BH194" s="20">
        <f>IFERROR(VLOOKUP(Tabla1[[#This Row],[Llave]],'[5]Consolidación planes'!$A:$M,13,FALSE),0)</f>
        <v>15000</v>
      </c>
      <c r="BI194" s="20">
        <f>IFERROR(VLOOKUP(Tabla1[[#This Row],[Llave]],'[13]Base ultimos planes'!$A:$M,13,FALSE),0)</f>
        <v>36000</v>
      </c>
      <c r="BJ194" s="80">
        <f>IFERROR(VLOOKUP(Tabla1[[#This Row],[Llave]],'[13]Base ultimos planes'!$O:$AA,8,FALSE),0)</f>
        <v>65452.199099999998</v>
      </c>
      <c r="BK194" s="20">
        <f>IFERROR(VLOOKUP(Tabla1[[#This Row],[Llave]],'[13]Base ultimos planes'!$O:$AA,9,FALSE),0)</f>
        <v>28910</v>
      </c>
      <c r="BL194" s="20">
        <f>IFERROR(VLOOKUP(Tabla1[[#This Row],[Llave]],'[13]Base ultimos planes'!$O:$AA,10,FALSE),0)</f>
        <v>15584</v>
      </c>
      <c r="BM194" s="20">
        <f>IFERROR(VLOOKUP(Tabla1[[#This Row],[Llave]],'[13]Base ultimos planes'!$O:$AA,11,FALSE),0)</f>
        <v>76644</v>
      </c>
      <c r="BN194" s="20">
        <f>IFERROR(VLOOKUP(Tabla1[[#This Row],[Llave]],'[13]Base ultimos planes'!$O:$AA,12,FALSE),0)</f>
        <v>56279</v>
      </c>
      <c r="BO194" s="20">
        <f>IFERROR(VLOOKUP(Tabla1[[#This Row],[Llave]],'[13]Base ultimos planes'!$O:$AA,13,FALSE),0)</f>
        <v>128621</v>
      </c>
      <c r="BP194" s="20"/>
      <c r="BQ194" s="20">
        <f>+Tabla1[[#This Row],[ RV  Venta mes n+1]]*(1-Tabla1[[#This Row],[% Uti. producción]])</f>
        <v>3210.4202411450869</v>
      </c>
      <c r="BR194" s="100"/>
    </row>
    <row r="195" spans="1:70" ht="16" x14ac:dyDescent="0.2">
      <c r="A195">
        <v>1</v>
      </c>
      <c r="B195" t="str">
        <f>Tabla1[[#This Row],[Oficina]]&amp;Tabla1[[#This Row],[Material]]</f>
        <v>Exportacion Directa1023194</v>
      </c>
      <c r="C195" t="s">
        <v>6</v>
      </c>
      <c r="D195" t="s">
        <v>88</v>
      </c>
      <c r="E195">
        <v>1023194</v>
      </c>
      <c r="F195" t="s">
        <v>128</v>
      </c>
      <c r="G195" t="s">
        <v>56</v>
      </c>
      <c r="H195" t="s">
        <v>57</v>
      </c>
      <c r="I195" s="7">
        <f>IFERROR(VLOOKUP(Tabla1[[#This Row],[Llave]],'[7]RV Producción'!$C:$G,5,FALSE),0)</f>
        <v>9298</v>
      </c>
      <c r="J195" s="3">
        <f>IFERROR(IF(Tabla1[[#This Row],[Oficina]]=$I$7,VLOOKUP(Tabla1[[#This Row],[Llave]],'[7]Shangai (Tomas)'!$A:$F,6,FALSE),VLOOKUP(Tabla1[[#This Row],[Llave]],'[7]RV plan de ventas'!$A:$E,5,FALSE)),0)</f>
        <v>10000</v>
      </c>
      <c r="K195" s="8">
        <f>IFERROR(VLOOKUP(Tabla1[[#This Row],[Oficina]],[15]Ponderación!$B$2:$E$9,4,FALSE),0)</f>
        <v>0.87158319035419651</v>
      </c>
      <c r="L195" s="7">
        <f>+Tabla1[[#This Row],[ RV Producción mes n+1]]*Tabla1[[#This Row],[% Uti. producción]]</f>
        <v>8103.9805039133189</v>
      </c>
      <c r="M195" s="7">
        <f>IFERROR(VLOOKUP(Tabla1[[#This Row],[Material]],'[17]TD Stock'!$E:$I,5,FALSE),0)</f>
        <v>6705.5779999999995</v>
      </c>
      <c r="N195" s="7">
        <f>IFERROR(VLOOKUP(Tabla1[[#This Row],[Material]],[16]Produccion!$M:$N,2,FALSE),0)</f>
        <v>5345</v>
      </c>
      <c r="O195" s="7">
        <f>IFERROR(VLOOKUP(Tabla1[[#This Row],[Llave]],'[16]TD Conf-AP'!$I:$M,4,FALSE),0)</f>
        <v>4500</v>
      </c>
      <c r="P195" s="14">
        <f>SUM(Tabla1[[#This Row],[Producción disponible]],Tabla1[[#This Row],[Stock al día]],(Tabla1[[#This Row],[Por producir mes N]]*0.9))-Tabla1[[#This Row],[Producción por despachar mes N]]</f>
        <v>15120.058503913318</v>
      </c>
      <c r="Q195" s="7">
        <f>IFERROR(VLOOKUP(Tabla1[[#This Row],[Llave]],[17]DELAY!$A:$D,4,FALSE),0)</f>
        <v>13500</v>
      </c>
      <c r="R195" s="9">
        <v>2000</v>
      </c>
      <c r="S195" s="5">
        <f t="shared" ref="S195:S256" si="32">IF(AND(P195&gt;Q195,Q195&gt;0),Q195,IF(AND(P195&lt;Q195,Q195&gt;0),(ROUNDDOWN(P195/R195,0)*R195),0))</f>
        <v>13500</v>
      </c>
      <c r="T195" s="76">
        <v>-4000</v>
      </c>
      <c r="U195" s="5">
        <f>+Tabla1[[#This Row],[Atraso a facturar]]+Tabla1[[#This Row],[Ajuste atraso]]</f>
        <v>9500</v>
      </c>
      <c r="V195" s="3">
        <f>+Tabla1[[#This Row],[Total disponible]]-Tabla1[[#This Row],[Facturación atraso]]</f>
        <v>5620.0585039133184</v>
      </c>
      <c r="W195" s="6">
        <f>IFERROR(IF(AND(V195&gt;R195,J195&gt;=R195),ROUNDDOWN((Tabla1[[#This Row],[Producción para venta nueva]])/R195,0)*R195,0),0)</f>
        <v>4000</v>
      </c>
      <c r="X195" s="76">
        <v>-2000</v>
      </c>
      <c r="Y195" s="6">
        <f>IF(Tabla1[[#This Row],[Venta del mes]]&gt;0,Tabla1[[#This Row],[Venta del mes]]+Tabla1[[#This Row],[Ajuste venta nueva]],0)</f>
        <v>2000</v>
      </c>
      <c r="Z195" s="6">
        <f>+Tabla1[[#This Row],[Producción para venta nueva]]-Tabla1[[#This Row],[Facturación Venta nueva]]</f>
        <v>3620.0585039133184</v>
      </c>
      <c r="AA195" s="6">
        <f>IF(AND(A195=1,Tabla1[[#This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95" s="6"/>
      <c r="AC195" s="6">
        <f>IF(Tabla1[[#This Row],[Disponible stock sin venta]]&gt;0,Tabla1[[#This Row],[Disponible stock sin venta]]+Tabla1[[#This Row],[Ajuste stock sin venta]],0)</f>
        <v>0</v>
      </c>
      <c r="AD195" s="3">
        <f>IFERROR(VLOOKUP(Tabla1[[#This Row],[Llave]],'[16]TD Puerto'!$A:$D,4,FALSE),0)</f>
        <v>0</v>
      </c>
      <c r="AE195" s="3">
        <v>13500</v>
      </c>
      <c r="AF195" s="3">
        <f>+Tabla1[[#This Row],[Atraso a facturar]]+Tabla1[[#This Row],[Venta del mes]]+Tabla1[[#This Row],[En puerto a facturar]]+Tabla1[[#This Row],[Disponible stock sin venta]]</f>
        <v>17500</v>
      </c>
      <c r="AG195" s="3">
        <f>+Tabla1[[#This Row],[En puerto a facturar]]</f>
        <v>0</v>
      </c>
      <c r="AH195" s="3">
        <f>+Tabla1[[#This Row],[Facturación atraso]]</f>
        <v>9500</v>
      </c>
      <c r="AI195" s="3">
        <f>+Tabla1[[#This Row],[Plan Irrestricto]]-Tabla1[[#This Row],[Puerto ]]-Tabla1[[#This Row],[Atraso]]</f>
        <v>8000</v>
      </c>
      <c r="AJ195" s="3">
        <f>IF(Tabla1[[#This Row],[Plan Irrestricto]]&gt;0,SUM(Tabla1[[#This Row],[Facturación atraso]],Tabla1[[#This Row],[Facturación Venta nueva]],Tabla1[[#This Row],[Facturación stock]],Tabla1[[#This Row],[En puerto a facturar]]),0)</f>
        <v>11500</v>
      </c>
      <c r="AK195" s="3">
        <f>+Tabla1[[#This Row],[Facturación atraso]]</f>
        <v>9500</v>
      </c>
      <c r="AL195" s="3">
        <f>+Tabla1[[#This Row],[Plan Ajustado]]-Tabla1[[#This Row],[ Atraso ajustado]]-Tabla1[[#This Row],[Puerto ]]</f>
        <v>2000</v>
      </c>
      <c r="AM195" s="3" t="s">
        <v>789</v>
      </c>
      <c r="AN195" s="3" t="str">
        <f>IF(Tabla1[[#This Row],[Plan Ajustado]]&gt;Tabla1[[#This Row],[En puerto a facturar]],"Si","No")</f>
        <v>Si</v>
      </c>
      <c r="AO195" s="3">
        <f>IF(AND(Tabla1[[#This Row],[Plan Ajustado]]&gt;0,Tabla1[[#This Row],[Plan Ajustado]]&gt;Tabla1[[#This Row],[En puerto a facturar]]),(Tabla1[[#This Row],[Plan Ajustado]]-Tabla1[[#This Row],[En puerto a facturar]]),0)</f>
        <v>11500</v>
      </c>
      <c r="AP195" s="3">
        <f>IF(Tabla1[[#This Row],[Necesidad]]&gt;=Tabla1[[#This Row],[Stock al día]],Tabla1[[#This Row],[Stock al día]],Tabla1[[#This Row],[Necesidad]])</f>
        <v>6705.5779999999995</v>
      </c>
      <c r="AQ195" s="3">
        <f>+Tabla1[[#This Row],[Necesidad]]-Tabla1[[#This Row],[Stock Plan]]</f>
        <v>4794.4220000000005</v>
      </c>
      <c r="AR195" s="156">
        <f>IFERROR(VLOOKUP(Tabla1[[#This Row],[Oficina]],[22]Ponderación!$B$3:$G$9,6,FALSE),"")</f>
        <v>44765</v>
      </c>
      <c r="AS19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2.88</v>
      </c>
      <c r="AT195" s="83">
        <f>IFERROR(VLOOKUP(Tabla1[[#This Row],[Llave]],[17]DELAY!$H:$W,16,FALSE),0)</f>
        <v>2.97845876111111</v>
      </c>
      <c r="AU19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2.961335498309178</v>
      </c>
      <c r="AV195" s="5">
        <f>+Tabla1[[#This Row],[Plan Ajustado]]*Tabla1[[#This Row],[Precio ponderado]]</f>
        <v>34055.358230555546</v>
      </c>
      <c r="AW195" s="30">
        <f>IFERROR(VLOOKUP(Tabla1[[#This Row],[Llave]],'[13]Ultimos precios facturados'!$A:$G,7,FALSE),0)</f>
        <v>2.9803342754671172</v>
      </c>
      <c r="AX19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6.3747135059074693E-3</v>
      </c>
      <c r="AY195" s="30"/>
      <c r="AZ195" s="30">
        <f>IF(Tabla1[[#This Row],[Ajuste precio IC]]="",Tabla1[[#This Row],[Precio ponderado]],Tabla1[[#This Row],[Precio ponderado]])</f>
        <v>2.961335498309178</v>
      </c>
      <c r="BA195" s="82" t="s">
        <v>759</v>
      </c>
      <c r="BB195" s="82" t="str">
        <f>IF(AND(Tabla1[[#This Row],[Atraso a facturar]]&gt;0,Tabla1[[#This Row],[Precio Atraso]]=0),"Revisar","OK")</f>
        <v>OK</v>
      </c>
      <c r="BC195" s="82" t="str">
        <f>IF(AND(Tabla1[[#This Row],[Venta del mes]]&gt;0,Tabla1[[#This Row],[Precio venta nueva]]=0),"Revisar","OK")</f>
        <v>OK</v>
      </c>
      <c r="BD195" s="20">
        <f>IFERROR(VLOOKUP(Tabla1[[#This Row],[Llave]],'[5]Consolidación planes'!$A:$M,9,FALSE),0)</f>
        <v>9000</v>
      </c>
      <c r="BE195" s="20">
        <f>IFERROR(VLOOKUP(Tabla1[[#This Row],[Llave]],'[5]Consolidación planes'!$A:$M,10,FALSE),0)</f>
        <v>5000</v>
      </c>
      <c r="BF195" s="20">
        <f>IFERROR(VLOOKUP(Tabla1[[#This Row],[Llave]],'[5]Consolidación planes'!$A:$M,11,FALSE),0)</f>
        <v>6000</v>
      </c>
      <c r="BG195" s="20">
        <f>IFERROR(VLOOKUP(Tabla1[[#This Row],[Llave]],'[5]Consolidación planes'!$A:$M,12,FALSE),0)</f>
        <v>12000</v>
      </c>
      <c r="BH195" s="20">
        <f>IFERROR(VLOOKUP(Tabla1[[#This Row],[Llave]],'[5]Consolidación planes'!$A:$M,13,FALSE),0)</f>
        <v>7000</v>
      </c>
      <c r="BI195" s="20">
        <f>IFERROR(VLOOKUP(Tabla1[[#This Row],[Llave]],'[13]Base ultimos planes'!$A:$M,13,FALSE),0)</f>
        <v>12000</v>
      </c>
      <c r="BJ195" s="80">
        <f>IFERROR(VLOOKUP(Tabla1[[#This Row],[Llave]],'[13]Base ultimos planes'!$O:$AA,8,FALSE),0)</f>
        <v>31228.744600000002</v>
      </c>
      <c r="BK195" s="20">
        <f>IFERROR(VLOOKUP(Tabla1[[#This Row],[Llave]],'[13]Base ultimos planes'!$O:$AA,9,FALSE),0)</f>
        <v>16284</v>
      </c>
      <c r="BL195" s="20">
        <f>IFERROR(VLOOKUP(Tabla1[[#This Row],[Llave]],'[13]Base ultimos planes'!$O:$AA,10,FALSE),0)</f>
        <v>19454</v>
      </c>
      <c r="BM195" s="20">
        <f>IFERROR(VLOOKUP(Tabla1[[#This Row],[Llave]],'[13]Base ultimos planes'!$O:$AA,11,FALSE),0)</f>
        <v>38303</v>
      </c>
      <c r="BN195" s="20">
        <f>IFERROR(VLOOKUP(Tabla1[[#This Row],[Llave]],'[13]Base ultimos planes'!$O:$AA,12,FALSE),0)</f>
        <v>21812</v>
      </c>
      <c r="BO195" s="20">
        <f>IFERROR(VLOOKUP(Tabla1[[#This Row],[Llave]],'[13]Base ultimos planes'!$O:$AA,13,FALSE),0)</f>
        <v>35498</v>
      </c>
      <c r="BP195" s="20"/>
      <c r="BQ195" s="20">
        <f>+Tabla1[[#This Row],[ RV  Venta mes n+1]]*(1-Tabla1[[#This Row],[% Uti. producción]])</f>
        <v>1284.1680964580348</v>
      </c>
      <c r="BR195" s="100"/>
    </row>
    <row r="196" spans="1:70" ht="16" x14ac:dyDescent="0.2">
      <c r="A196">
        <v>1</v>
      </c>
      <c r="B196" t="str">
        <f>Tabla1[[#This Row],[Oficina]]&amp;Tabla1[[#This Row],[Material]]</f>
        <v>Exportacion Directa1023301</v>
      </c>
      <c r="C196" t="s">
        <v>6</v>
      </c>
      <c r="D196" t="s">
        <v>88</v>
      </c>
      <c r="E196">
        <v>1023301</v>
      </c>
      <c r="F196" t="s">
        <v>100</v>
      </c>
      <c r="G196" t="s">
        <v>50</v>
      </c>
      <c r="H196" t="s">
        <v>95</v>
      </c>
      <c r="I196" s="7">
        <f>IFERROR(VLOOKUP(Tabla1[[#This Row],[Llave]],'[7]RV Producción'!$C:$G,5,FALSE),0)</f>
        <v>1331</v>
      </c>
      <c r="J196" s="3">
        <f>IFERROR(IF(Tabla1[[#This Row],[Oficina]]=$I$7,VLOOKUP(Tabla1[[#This Row],[Llave]],'[7]Shangai (Tomas)'!$A:$F,6,FALSE),VLOOKUP(Tabla1[[#This Row],[Llave]],'[7]RV plan de ventas'!$A:$E,5,FALSE)),0)</f>
        <v>0</v>
      </c>
      <c r="K196" s="8">
        <f>IFERROR(VLOOKUP(Tabla1[[#This Row],[Oficina]],[15]Ponderación!$B$2:$E$9,4,FALSE),0)</f>
        <v>0.87158319035419651</v>
      </c>
      <c r="L196" s="7">
        <f>+Tabla1[[#This Row],[ RV Producción mes n+1]]*Tabla1[[#This Row],[% Uti. producción]]</f>
        <v>1160.0772263614356</v>
      </c>
      <c r="M196" s="7">
        <f>IFERROR(VLOOKUP(Tabla1[[#This Row],[Material]],'[17]TD Stock'!$E:$I,5,FALSE),0)</f>
        <v>32737.43199999999</v>
      </c>
      <c r="N196" s="7">
        <f>IFERROR(VLOOKUP(Tabla1[[#This Row],[Material]],[16]Produccion!$M:$N,2,FALSE),0)</f>
        <v>5094.9000000000005</v>
      </c>
      <c r="O196" s="7">
        <f>IFERROR(VLOOKUP(Tabla1[[#This Row],[Llave]],'[16]TD Conf-AP'!$I:$M,4,FALSE),0)</f>
        <v>0</v>
      </c>
      <c r="P196" s="14">
        <f>SUM(Tabla1[[#This Row],[Producción disponible]],Tabla1[[#This Row],[Stock al día]],(Tabla1[[#This Row],[Por producir mes N]]*0.9))-Tabla1[[#This Row],[Producción por despachar mes N]]</f>
        <v>38482.919226361431</v>
      </c>
      <c r="Q196" s="7">
        <f>IFERROR(VLOOKUP(Tabla1[[#This Row],[Llave]],[17]DELAY!$A:$D,4,FALSE),0)</f>
        <v>23500</v>
      </c>
      <c r="R196" s="9">
        <v>23500</v>
      </c>
      <c r="S196" s="5">
        <f t="shared" si="32"/>
        <v>23500</v>
      </c>
      <c r="T196" s="76">
        <v>-10000</v>
      </c>
      <c r="U196" s="5">
        <f>+Tabla1[[#This Row],[Atraso a facturar]]+Tabla1[[#This Row],[Ajuste atraso]]</f>
        <v>13500</v>
      </c>
      <c r="V196" s="3">
        <f>+Tabla1[[#This Row],[Total disponible]]-Tabla1[[#This Row],[Facturación atraso]]</f>
        <v>24982.919226361431</v>
      </c>
      <c r="W196" s="6">
        <f>IFERROR(IF(AND(V196&gt;R196,J196&gt;=R196),ROUNDDOWN((Tabla1[[#This Row],[Producción para venta nueva]])/R196,0)*R196,0),0)</f>
        <v>0</v>
      </c>
      <c r="X196" s="76">
        <v>0</v>
      </c>
      <c r="Y196" s="6">
        <f>IF(Tabla1[[#This Row],[Venta del mes]]&gt;0,Tabla1[[#This Row],[Venta del mes]]+Tabla1[[#This Row],[Ajuste venta nueva]],0)</f>
        <v>0</v>
      </c>
      <c r="Z196" s="6">
        <f>+Tabla1[[#This Row],[Producción para venta nueva]]-Tabla1[[#This Row],[Facturación Venta nueva]]</f>
        <v>24982.919226361431</v>
      </c>
      <c r="AA196" s="6">
        <f>IF(AND(A196=1,Tabla1[[#This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23500</v>
      </c>
      <c r="AB196" s="6"/>
      <c r="AC196" s="6">
        <f>IF(Tabla1[[#This Row],[Disponible stock sin venta]]&gt;0,Tabla1[[#This Row],[Disponible stock sin venta]]+Tabla1[[#This Row],[Ajuste stock sin venta]],0)</f>
        <v>23500</v>
      </c>
      <c r="AD196" s="3">
        <f>IFERROR(VLOOKUP(Tabla1[[#This Row],[Llave]],'[16]TD Puerto'!$A:$D,4,FALSE),0)</f>
        <v>0</v>
      </c>
      <c r="AE196" s="3">
        <v>23500</v>
      </c>
      <c r="AF196" s="3">
        <f>+Tabla1[[#This Row],[Atraso a facturar]]+Tabla1[[#This Row],[Venta del mes]]+Tabla1[[#This Row],[En puerto a facturar]]+Tabla1[[#This Row],[Disponible stock sin venta]]</f>
        <v>47000</v>
      </c>
      <c r="AG196" s="3">
        <f>+Tabla1[[#This Row],[En puerto a facturar]]</f>
        <v>0</v>
      </c>
      <c r="AH196" s="3">
        <f>+Tabla1[[#This Row],[Facturación atraso]]</f>
        <v>13500</v>
      </c>
      <c r="AI196" s="3">
        <f>+Tabla1[[#This Row],[Plan Irrestricto]]-Tabla1[[#This Row],[Puerto ]]-Tabla1[[#This Row],[Atraso]]</f>
        <v>33500</v>
      </c>
      <c r="AJ196" s="3">
        <f>IF(Tabla1[[#This Row],[Plan Irrestricto]]&gt;0,SUM(Tabla1[[#This Row],[Facturación atraso]],Tabla1[[#This Row],[Facturación Venta nueva]],Tabla1[[#This Row],[Facturación stock]],Tabla1[[#This Row],[En puerto a facturar]]),0)</f>
        <v>37000</v>
      </c>
      <c r="AK196" s="3">
        <f>+Tabla1[[#This Row],[Facturación atraso]]</f>
        <v>13500</v>
      </c>
      <c r="AL196" s="3">
        <f>+Tabla1[[#This Row],[Plan Ajustado]]-Tabla1[[#This Row],[ Atraso ajustado]]-Tabla1[[#This Row],[Puerto ]]</f>
        <v>23500</v>
      </c>
      <c r="AM196" s="3" t="s">
        <v>789</v>
      </c>
      <c r="AN196" s="3" t="str">
        <f>IF(Tabla1[[#This Row],[Plan Ajustado]]&gt;Tabla1[[#This Row],[En puerto a facturar]],"Si","No")</f>
        <v>Si</v>
      </c>
      <c r="AO196" s="3">
        <f>IF(AND(Tabla1[[#This Row],[Plan Ajustado]]&gt;0,Tabla1[[#This Row],[Plan Ajustado]]&gt;Tabla1[[#This Row],[En puerto a facturar]]),(Tabla1[[#This Row],[Plan Ajustado]]-Tabla1[[#This Row],[En puerto a facturar]]),0)</f>
        <v>37000</v>
      </c>
      <c r="AP196" s="3">
        <f>IF(Tabla1[[#This Row],[Necesidad]]&gt;=Tabla1[[#This Row],[Stock al día]],Tabla1[[#This Row],[Stock al día]],Tabla1[[#This Row],[Necesidad]])</f>
        <v>32737.43199999999</v>
      </c>
      <c r="AQ196" s="3">
        <f>+Tabla1[[#This Row],[Necesidad]]-Tabla1[[#This Row],[Stock Plan]]</f>
        <v>4262.5680000000102</v>
      </c>
      <c r="AR196" s="156">
        <f>IFERROR(VLOOKUP(Tabla1[[#This Row],[Oficina]],[22]Ponderación!$B$3:$G$9,6,FALSE),"")</f>
        <v>44765</v>
      </c>
      <c r="AS19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3.8371083868837044</v>
      </c>
      <c r="AT196" s="83">
        <f>IFERROR(VLOOKUP(Tabla1[[#This Row],[Llave]],[17]DELAY!$H:$W,16,FALSE),0)</f>
        <v>3.6380178340425502</v>
      </c>
      <c r="AU19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3.6380178340425497</v>
      </c>
      <c r="AV196" s="5">
        <f>+Tabla1[[#This Row],[Plan Ajustado]]*Tabla1[[#This Row],[Precio ponderado]]</f>
        <v>134606.65985957434</v>
      </c>
      <c r="AW196" s="30">
        <f>IFERROR(VLOOKUP(Tabla1[[#This Row],[Llave]],'[13]Ultimos precios facturados'!$A:$G,7,FALSE),0)</f>
        <v>3.8371083868837044</v>
      </c>
      <c r="AX19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5.1885569227520675E-2</v>
      </c>
      <c r="AY196" s="30"/>
      <c r="AZ196" s="30">
        <f>IF(Tabla1[[#This Row],[Ajuste precio IC]]="",Tabla1[[#This Row],[Precio ponderado]],Tabla1[[#This Row],[Precio ponderado]])</f>
        <v>3.6380178340425497</v>
      </c>
      <c r="BA196" s="82"/>
      <c r="BB196" s="82" t="str">
        <f>IF(AND(Tabla1[[#This Row],[Atraso a facturar]]&gt;0,Tabla1[[#This Row],[Precio Atraso]]=0),"Revisar","OK")</f>
        <v>OK</v>
      </c>
      <c r="BC196" s="82" t="str">
        <f>IF(AND(Tabla1[[#This Row],[Venta del mes]]&gt;0,Tabla1[[#This Row],[Precio venta nueva]]=0),"Revisar","OK")</f>
        <v>OK</v>
      </c>
      <c r="BD196" s="20">
        <f>IFERROR(VLOOKUP(Tabla1[[#This Row],[Llave]],'[5]Consolidación planes'!$A:$M,9,FALSE),0)</f>
        <v>60000</v>
      </c>
      <c r="BE196" s="20">
        <f>IFERROR(VLOOKUP(Tabla1[[#This Row],[Llave]],'[5]Consolidación planes'!$A:$M,10,FALSE),0)</f>
        <v>70000</v>
      </c>
      <c r="BF196" s="20">
        <f>IFERROR(VLOOKUP(Tabla1[[#This Row],[Llave]],'[5]Consolidación planes'!$A:$M,11,FALSE),0)</f>
        <v>35000</v>
      </c>
      <c r="BG196" s="20">
        <f>IFERROR(VLOOKUP(Tabla1[[#This Row],[Llave]],'[5]Consolidación planes'!$A:$M,12,FALSE),0)</f>
        <v>23500</v>
      </c>
      <c r="BH196" s="20">
        <f>IFERROR(VLOOKUP(Tabla1[[#This Row],[Llave]],'[5]Consolidación planes'!$A:$M,13,FALSE),0)</f>
        <v>23500</v>
      </c>
      <c r="BI196" s="20">
        <f>IFERROR(VLOOKUP(Tabla1[[#This Row],[Llave]],'[13]Base ultimos planes'!$A:$M,13,FALSE),0)</f>
        <v>30000</v>
      </c>
      <c r="BJ196" s="80">
        <f>IFERROR(VLOOKUP(Tabla1[[#This Row],[Llave]],'[13]Base ultimos planes'!$O:$AA,8,FALSE),0)</f>
        <v>249969.11989999999</v>
      </c>
      <c r="BK196" s="20">
        <f>IFERROR(VLOOKUP(Tabla1[[#This Row],[Llave]],'[13]Base ultimos planes'!$O:$AA,9,FALSE),0)</f>
        <v>294283</v>
      </c>
      <c r="BL196" s="20">
        <f>IFERROR(VLOOKUP(Tabla1[[#This Row],[Llave]],'[13]Base ultimos planes'!$O:$AA,10,FALSE),0)</f>
        <v>148549</v>
      </c>
      <c r="BM196" s="20">
        <f>IFERROR(VLOOKUP(Tabla1[[#This Row],[Llave]],'[13]Base ultimos planes'!$O:$AA,11,FALSE),0)</f>
        <v>96585</v>
      </c>
      <c r="BN196" s="20">
        <f>IFERROR(VLOOKUP(Tabla1[[#This Row],[Llave]],'[13]Base ultimos planes'!$O:$AA,12,FALSE),0)</f>
        <v>90551</v>
      </c>
      <c r="BO196" s="20">
        <f>IFERROR(VLOOKUP(Tabla1[[#This Row],[Llave]],'[13]Base ultimos planes'!$O:$AA,13,FALSE),0)</f>
        <v>111333</v>
      </c>
      <c r="BP196" s="20"/>
      <c r="BQ196" s="20">
        <f>+Tabla1[[#This Row],[ RV  Venta mes n+1]]*(1-Tabla1[[#This Row],[% Uti. producción]])</f>
        <v>0</v>
      </c>
      <c r="BR196" s="100"/>
    </row>
    <row r="197" spans="1:70" ht="16" hidden="1" x14ac:dyDescent="0.2">
      <c r="A197">
        <v>1</v>
      </c>
      <c r="B197" t="str">
        <f>Tabla1[[#This Row],[Oficina]]&amp;Tabla1[[#This Row],[Material]]</f>
        <v>Exportacion Directa1023349</v>
      </c>
      <c r="C197" t="s">
        <v>6</v>
      </c>
      <c r="D197" t="s">
        <v>88</v>
      </c>
      <c r="E197">
        <v>1023349</v>
      </c>
      <c r="F197" t="s">
        <v>301</v>
      </c>
      <c r="G197" t="s">
        <v>50</v>
      </c>
      <c r="H197" t="s">
        <v>51</v>
      </c>
      <c r="I197" s="7">
        <f>IFERROR(VLOOKUP(Tabla1[[#This Row],[Llave]],'[7]RV Producción'!$C:$G,5,FALSE),0)</f>
        <v>12866</v>
      </c>
      <c r="J197" s="3">
        <f>IFERROR(IF(Tabla1[[#This Row],[Oficina]]=$I$7,VLOOKUP(Tabla1[[#This Row],[Llave]],'[7]Shangai (Tomas)'!$A:$F,6,FALSE),VLOOKUP(Tabla1[[#This Row],[Llave]],'[7]RV plan de ventas'!$A:$E,5,FALSE)),0)</f>
        <v>5000</v>
      </c>
      <c r="K197" s="8">
        <f>IFERROR(VLOOKUP(Tabla1[[#This Row],[Oficina]],[15]Ponderación!$B$2:$E$9,4,FALSE),0)</f>
        <v>0.87158319035419651</v>
      </c>
      <c r="L197" s="7">
        <f>+Tabla1[[#This Row],[ RV Producción mes n+1]]*Tabla1[[#This Row],[% Uti. producción]]</f>
        <v>11213.789327097093</v>
      </c>
      <c r="M197" s="7">
        <f>IFERROR(VLOOKUP(Tabla1[[#This Row],[Material]],'[17]TD Stock'!$E:$I,5,FALSE),0)</f>
        <v>6264.6100000000006</v>
      </c>
      <c r="N197" s="7">
        <f>IFERROR(VLOOKUP(Tabla1[[#This Row],[Material]],[16]Produccion!$M:$N,2,FALSE),0)</f>
        <v>611.17269231705757</v>
      </c>
      <c r="O197" s="7">
        <f>IFERROR(VLOOKUP(Tabla1[[#This Row],[Llave]],'[16]TD Conf-AP'!$I:$M,4,FALSE),0)</f>
        <v>7500</v>
      </c>
      <c r="P197" s="14">
        <f>SUM(Tabla1[[#This Row],[Producción disponible]],Tabla1[[#This Row],[Stock al día]],(Tabla1[[#This Row],[Por producir mes N]]*0.9))-Tabla1[[#This Row],[Producción por despachar mes N]]</f>
        <v>10528.454750182445</v>
      </c>
      <c r="Q197" s="7">
        <f>IFERROR(VLOOKUP(Tabla1[[#This Row],[Llave]],[17]DELAY!$A:$D,4,FALSE),0)</f>
        <v>5000</v>
      </c>
      <c r="R197" s="9">
        <v>2500</v>
      </c>
      <c r="S197" s="5">
        <f t="shared" si="32"/>
        <v>5000</v>
      </c>
      <c r="T197" s="76">
        <v>-5000</v>
      </c>
      <c r="U197" s="5">
        <f>+Tabla1[[#This Row],[Atraso a facturar]]+Tabla1[[#This Row],[Ajuste atraso]]</f>
        <v>0</v>
      </c>
      <c r="V197" s="3">
        <f>+Tabla1[[#This Row],[Total disponible]]-Tabla1[[#This Row],[Facturación atraso]]</f>
        <v>10528.454750182445</v>
      </c>
      <c r="W197" s="6">
        <f>IFERROR(IF(AND(V197&gt;R197,J197&gt;=R197),ROUNDDOWN((Tabla1[[#This Row],[Producción para venta nueva]])/R197,0)*R197,0),0)</f>
        <v>10000</v>
      </c>
      <c r="X197" s="76">
        <v>-10000</v>
      </c>
      <c r="Y197" s="6">
        <f>IF(Tabla1[[#This Row],[Venta del mes]]&gt;0,Tabla1[[#This Row],[Venta del mes]]+Tabla1[[#This Row],[Ajuste venta nueva]],0)</f>
        <v>0</v>
      </c>
      <c r="Z197" s="6">
        <f>+Tabla1[[#This Row],[Producción para venta nueva]]-Tabla1[[#This Row],[Facturación Venta nueva]]</f>
        <v>10528.454750182445</v>
      </c>
      <c r="AA197" s="6">
        <f>IF(AND(A197=1,Tabla1[[#This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97" s="6"/>
      <c r="AC197" s="6">
        <f>IF(Tabla1[[#This Row],[Disponible stock sin venta]]&gt;0,Tabla1[[#This Row],[Disponible stock sin venta]]+Tabla1[[#This Row],[Ajuste stock sin venta]],0)</f>
        <v>0</v>
      </c>
      <c r="AD197" s="3">
        <f>IFERROR(VLOOKUP(Tabla1[[#This Row],[Llave]],'[16]TD Puerto'!$A:$D,4,FALSE),0)</f>
        <v>0</v>
      </c>
      <c r="AE197" s="3">
        <v>10000</v>
      </c>
      <c r="AF197" s="3">
        <f>+Tabla1[[#This Row],[Atraso a facturar]]+Tabla1[[#This Row],[Venta del mes]]+Tabla1[[#This Row],[En puerto a facturar]]+Tabla1[[#This Row],[Disponible stock sin venta]]</f>
        <v>15000</v>
      </c>
      <c r="AG197" s="3">
        <f>+Tabla1[[#This Row],[En puerto a facturar]]</f>
        <v>0</v>
      </c>
      <c r="AH197" s="3">
        <f>+Tabla1[[#This Row],[Facturación atraso]]</f>
        <v>0</v>
      </c>
      <c r="AI197" s="3">
        <f>+Tabla1[[#This Row],[Plan Irrestricto]]-Tabla1[[#This Row],[Puerto ]]-Tabla1[[#This Row],[Atraso]]</f>
        <v>15000</v>
      </c>
      <c r="AJ19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197" s="3">
        <f>+Tabla1[[#This Row],[Facturación atraso]]</f>
        <v>0</v>
      </c>
      <c r="AL197" s="3">
        <f>+Tabla1[[#This Row],[Plan Ajustado]]-Tabla1[[#This Row],[ Atraso ajustado]]-Tabla1[[#This Row],[Puerto ]]</f>
        <v>0</v>
      </c>
      <c r="AM197" s="3">
        <v>0</v>
      </c>
      <c r="AN197" s="3" t="str">
        <f>IF(Tabla1[[#This Row],[Plan Ajustado]]&gt;Tabla1[[#This Row],[En puerto a facturar]],"Si","No")</f>
        <v>No</v>
      </c>
      <c r="AO19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197" s="3">
        <f>IF(Tabla1[[#This Row],[Necesidad]]&gt;=Tabla1[[#This Row],[Stock al día]],Tabla1[[#This Row],[Stock al día]],Tabla1[[#This Row],[Necesidad]])</f>
        <v>0</v>
      </c>
      <c r="AQ197" s="3">
        <f>+Tabla1[[#This Row],[Necesidad]]-Tabla1[[#This Row],[Stock Plan]]</f>
        <v>0</v>
      </c>
      <c r="AR197" s="156">
        <f>IFERROR(VLOOKUP(Tabla1[[#This Row],[Oficina]],[22]Ponderación!$B$3:$G$9,6,FALSE),"")</f>
        <v>44765</v>
      </c>
      <c r="AS19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3.7440000000000002</v>
      </c>
      <c r="AT197" s="83">
        <f>IFERROR(VLOOKUP(Tabla1[[#This Row],[Llave]],[17]DELAY!$H:$W,16,FALSE),0)</f>
        <v>3.7015324399999998</v>
      </c>
      <c r="AU19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197" s="5">
        <f>+Tabla1[[#This Row],[Plan Ajustado]]*Tabla1[[#This Row],[Precio ponderado]]</f>
        <v>0</v>
      </c>
      <c r="AW197" s="30">
        <f>IFERROR(VLOOKUP(Tabla1[[#This Row],[Llave]],'[13]Ultimos precios facturados'!$A:$G,7,FALSE),0)</f>
        <v>3.7802830970233039</v>
      </c>
      <c r="AX19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197" s="30"/>
      <c r="AZ197" s="30">
        <f>IF(Tabla1[[#This Row],[Ajuste precio IC]]="",Tabla1[[#This Row],[Precio ponderado]],Tabla1[[#This Row],[Precio ponderado]])</f>
        <v>0</v>
      </c>
      <c r="BA197" s="82"/>
      <c r="BB197" s="82" t="str">
        <f>IF(AND(Tabla1[[#This Row],[Atraso a facturar]]&gt;0,Tabla1[[#This Row],[Precio Atraso]]=0),"Revisar","OK")</f>
        <v>OK</v>
      </c>
      <c r="BC197" s="82" t="str">
        <f>IF(AND(Tabla1[[#This Row],[Venta del mes]]&gt;0,Tabla1[[#This Row],[Precio venta nueva]]=0),"Revisar","OK")</f>
        <v>OK</v>
      </c>
      <c r="BD197" s="20">
        <f>IFERROR(VLOOKUP(Tabla1[[#This Row],[Llave]],'[5]Consolidación planes'!$A:$M,9,FALSE),0)</f>
        <v>0</v>
      </c>
      <c r="BE197" s="20">
        <f>IFERROR(VLOOKUP(Tabla1[[#This Row],[Llave]],'[5]Consolidación planes'!$A:$M,10,FALSE),0)</f>
        <v>0</v>
      </c>
      <c r="BF197" s="20">
        <f>IFERROR(VLOOKUP(Tabla1[[#This Row],[Llave]],'[5]Consolidación planes'!$A:$M,11,FALSE),0)</f>
        <v>2000</v>
      </c>
      <c r="BG197" s="20">
        <f>IFERROR(VLOOKUP(Tabla1[[#This Row],[Llave]],'[5]Consolidación planes'!$A:$M,12,FALSE),0)</f>
        <v>5000</v>
      </c>
      <c r="BH197" s="20">
        <f>IFERROR(VLOOKUP(Tabla1[[#This Row],[Llave]],'[5]Consolidación planes'!$A:$M,13,FALSE),0)</f>
        <v>7500</v>
      </c>
      <c r="BI197" s="20">
        <f>IFERROR(VLOOKUP(Tabla1[[#This Row],[Llave]],'[13]Base ultimos planes'!$A:$M,13,FALSE),0)</f>
        <v>12500</v>
      </c>
      <c r="BJ197" s="80">
        <f>IFERROR(VLOOKUP(Tabla1[[#This Row],[Llave]],'[13]Base ultimos planes'!$O:$AA,8,FALSE),0)</f>
        <v>0</v>
      </c>
      <c r="BK197" s="20">
        <f>IFERROR(VLOOKUP(Tabla1[[#This Row],[Llave]],'[13]Base ultimos planes'!$O:$AA,9,FALSE),0)</f>
        <v>0</v>
      </c>
      <c r="BL197" s="20">
        <f>IFERROR(VLOOKUP(Tabla1[[#This Row],[Llave]],'[13]Base ultimos planes'!$O:$AA,10,FALSE),0)</f>
        <v>8694</v>
      </c>
      <c r="BM197" s="20">
        <f>IFERROR(VLOOKUP(Tabla1[[#This Row],[Llave]],'[13]Base ultimos planes'!$O:$AA,11,FALSE),0)</f>
        <v>20882</v>
      </c>
      <c r="BN197" s="20">
        <f>IFERROR(VLOOKUP(Tabla1[[#This Row],[Llave]],'[13]Base ultimos planes'!$O:$AA,12,FALSE),0)</f>
        <v>30493</v>
      </c>
      <c r="BO197" s="20">
        <f>IFERROR(VLOOKUP(Tabla1[[#This Row],[Llave]],'[13]Base ultimos planes'!$O:$AA,13,FALSE),0)</f>
        <v>47061</v>
      </c>
      <c r="BP197" s="20"/>
      <c r="BQ197" s="20">
        <f>+Tabla1[[#This Row],[ RV  Venta mes n+1]]*(1-Tabla1[[#This Row],[% Uti. producción]])</f>
        <v>642.08404822901741</v>
      </c>
      <c r="BR197" s="100"/>
    </row>
    <row r="198" spans="1:70" ht="16" x14ac:dyDescent="0.2">
      <c r="A198">
        <v>1</v>
      </c>
      <c r="B198" t="str">
        <f>Tabla1[[#This Row],[Oficina]]&amp;Tabla1[[#This Row],[Material]]</f>
        <v>Exportacion Directa1023350</v>
      </c>
      <c r="C198" t="s">
        <v>6</v>
      </c>
      <c r="D198" t="s">
        <v>88</v>
      </c>
      <c r="E198">
        <v>1023350</v>
      </c>
      <c r="F198" t="s">
        <v>302</v>
      </c>
      <c r="G198" t="s">
        <v>50</v>
      </c>
      <c r="H198" t="s">
        <v>110</v>
      </c>
      <c r="I198" s="7">
        <f>IFERROR(VLOOKUP(Tabla1[[#This Row],[Llave]],'[7]RV Producción'!$C:$G,5,FALSE),0)</f>
        <v>15398</v>
      </c>
      <c r="J198" s="3">
        <f>IFERROR(IF(Tabla1[[#This Row],[Oficina]]=$I$7,VLOOKUP(Tabla1[[#This Row],[Llave]],'[7]Shangai (Tomas)'!$A:$F,6,FALSE),VLOOKUP(Tabla1[[#This Row],[Llave]],'[7]RV plan de ventas'!$A:$E,5,FALSE)),0)</f>
        <v>20000</v>
      </c>
      <c r="K198" s="8">
        <f>IFERROR(VLOOKUP(Tabla1[[#This Row],[Oficina]],[15]Ponderación!$B$2:$E$9,4,FALSE),0)</f>
        <v>0.87158319035419651</v>
      </c>
      <c r="L198" s="7">
        <f>+Tabla1[[#This Row],[ RV Producción mes n+1]]*Tabla1[[#This Row],[% Uti. producción]]</f>
        <v>13420.637965073918</v>
      </c>
      <c r="M198" s="7">
        <f>IFERROR(VLOOKUP(Tabla1[[#This Row],[Material]],'[17]TD Stock'!$E:$I,5,FALSE),0)</f>
        <v>19054.394999999997</v>
      </c>
      <c r="N198" s="7">
        <f>IFERROR(VLOOKUP(Tabla1[[#This Row],[Material]],[16]Produccion!$M:$N,2,FALSE),0)</f>
        <v>12451.553339192336</v>
      </c>
      <c r="O198" s="7">
        <f>IFERROR(VLOOKUP(Tabla1[[#This Row],[Llave]],'[16]TD Conf-AP'!$I:$M,4,FALSE),0)</f>
        <v>5000</v>
      </c>
      <c r="P198" s="14">
        <f>SUM(Tabla1[[#This Row],[Producción disponible]],Tabla1[[#This Row],[Stock al día]],(Tabla1[[#This Row],[Por producir mes N]]*0.9))-Tabla1[[#This Row],[Producción por despachar mes N]]</f>
        <v>38681.430970347021</v>
      </c>
      <c r="Q198" s="7">
        <f>IFERROR(VLOOKUP(Tabla1[[#This Row],[Llave]],[17]DELAY!$A:$D,4,FALSE),0)</f>
        <v>20000</v>
      </c>
      <c r="R198" s="9">
        <v>5000</v>
      </c>
      <c r="S198" s="5">
        <f t="shared" si="32"/>
        <v>20000</v>
      </c>
      <c r="T198" s="76">
        <v>-10000</v>
      </c>
      <c r="U198" s="5">
        <f>+Tabla1[[#This Row],[Atraso a facturar]]+Tabla1[[#This Row],[Ajuste atraso]]</f>
        <v>10000</v>
      </c>
      <c r="V198" s="3">
        <f>+Tabla1[[#This Row],[Total disponible]]-Tabla1[[#This Row],[Facturación atraso]]</f>
        <v>28681.430970347021</v>
      </c>
      <c r="W198" s="6">
        <f>IFERROR(IF(AND(V198&gt;R198,J198&gt;=R198),ROUNDDOWN((Tabla1[[#This Row],[Producción para venta nueva]])/R198,0)*R198,0),0)</f>
        <v>25000</v>
      </c>
      <c r="X198" s="76">
        <v>-15000</v>
      </c>
      <c r="Y198" s="6">
        <f>IF(Tabla1[[#This Row],[Venta del mes]]&gt;0,Tabla1[[#This Row],[Venta del mes]]+Tabla1[[#This Row],[Ajuste venta nueva]],0)</f>
        <v>10000</v>
      </c>
      <c r="Z198" s="6">
        <f>+Tabla1[[#This Row],[Producción para venta nueva]]-Tabla1[[#This Row],[Facturación Venta nueva]]</f>
        <v>18681.430970347021</v>
      </c>
      <c r="AA198" s="6">
        <f>IF(AND(A198=1,Tabla1[[#This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98" s="6"/>
      <c r="AC198" s="6">
        <f>IF(Tabla1[[#This Row],[Disponible stock sin venta]]&gt;0,Tabla1[[#This Row],[Disponible stock sin venta]]+Tabla1[[#This Row],[Ajuste stock sin venta]],0)</f>
        <v>0</v>
      </c>
      <c r="AD198" s="3">
        <f>IFERROR(VLOOKUP(Tabla1[[#This Row],[Llave]],'[16]TD Puerto'!$A:$D,4,FALSE),0)</f>
        <v>0</v>
      </c>
      <c r="AE198" s="3">
        <v>35000</v>
      </c>
      <c r="AF198" s="3">
        <f>+Tabla1[[#This Row],[Atraso a facturar]]+Tabla1[[#This Row],[Venta del mes]]+Tabla1[[#This Row],[En puerto a facturar]]+Tabla1[[#This Row],[Disponible stock sin venta]]</f>
        <v>45000</v>
      </c>
      <c r="AG198" s="3">
        <f>+Tabla1[[#This Row],[En puerto a facturar]]</f>
        <v>0</v>
      </c>
      <c r="AH198" s="3">
        <f>+Tabla1[[#This Row],[Facturación atraso]]</f>
        <v>10000</v>
      </c>
      <c r="AI198" s="3">
        <f>+Tabla1[[#This Row],[Plan Irrestricto]]-Tabla1[[#This Row],[Puerto ]]-Tabla1[[#This Row],[Atraso]]</f>
        <v>35000</v>
      </c>
      <c r="AJ198" s="3">
        <f>IF(Tabla1[[#This Row],[Plan Irrestricto]]&gt;0,SUM(Tabla1[[#This Row],[Facturación atraso]],Tabla1[[#This Row],[Facturación Venta nueva]],Tabla1[[#This Row],[Facturación stock]],Tabla1[[#This Row],[En puerto a facturar]]),0)</f>
        <v>20000</v>
      </c>
      <c r="AK198" s="3">
        <f>+Tabla1[[#This Row],[Facturación atraso]]</f>
        <v>10000</v>
      </c>
      <c r="AL198" s="3">
        <f>+Tabla1[[#This Row],[Plan Ajustado]]-Tabla1[[#This Row],[ Atraso ajustado]]-Tabla1[[#This Row],[Puerto ]]</f>
        <v>10000</v>
      </c>
      <c r="AM198" s="3" t="s">
        <v>789</v>
      </c>
      <c r="AN198" s="3" t="str">
        <f>IF(Tabla1[[#This Row],[Plan Ajustado]]&gt;Tabla1[[#This Row],[En puerto a facturar]],"Si","No")</f>
        <v>Si</v>
      </c>
      <c r="AO198" s="3">
        <f>IF(AND(Tabla1[[#This Row],[Plan Ajustado]]&gt;0,Tabla1[[#This Row],[Plan Ajustado]]&gt;Tabla1[[#This Row],[En puerto a facturar]]),(Tabla1[[#This Row],[Plan Ajustado]]-Tabla1[[#This Row],[En puerto a facturar]]),0)</f>
        <v>20000</v>
      </c>
      <c r="AP198" s="3">
        <f>IF(Tabla1[[#This Row],[Necesidad]]&gt;=Tabla1[[#This Row],[Stock al día]],Tabla1[[#This Row],[Stock al día]],Tabla1[[#This Row],[Necesidad]])</f>
        <v>19054.394999999997</v>
      </c>
      <c r="AQ198" s="3">
        <f>+Tabla1[[#This Row],[Necesidad]]-Tabla1[[#This Row],[Stock Plan]]</f>
        <v>945.6050000000032</v>
      </c>
      <c r="AR198" s="156">
        <f>IFERROR(VLOOKUP(Tabla1[[#This Row],[Oficina]],[22]Ponderación!$B$3:$G$9,6,FALSE),"")</f>
        <v>44765</v>
      </c>
      <c r="AS19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3.3839999999999999</v>
      </c>
      <c r="AT198" s="83">
        <f>IFERROR(VLOOKUP(Tabla1[[#This Row],[Llave]],[17]DELAY!$H:$W,16,FALSE),0)</f>
        <v>3.5535312499999998</v>
      </c>
      <c r="AU19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3.4687656250000001</v>
      </c>
      <c r="AV198" s="5">
        <f>+Tabla1[[#This Row],[Plan Ajustado]]*Tabla1[[#This Row],[Precio ponderado]]</f>
        <v>69375.3125</v>
      </c>
      <c r="AW198" s="30">
        <f>IFERROR(VLOOKUP(Tabla1[[#This Row],[Llave]],'[13]Ultimos precios facturados'!$A:$G,7,FALSE),0)</f>
        <v>3.4435291759521225</v>
      </c>
      <c r="AX19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7.3286584078091355E-3</v>
      </c>
      <c r="AY198" s="30"/>
      <c r="AZ198" s="30">
        <f>IF(Tabla1[[#This Row],[Ajuste precio IC]]="",Tabla1[[#This Row],[Precio ponderado]],Tabla1[[#This Row],[Precio ponderado]])</f>
        <v>3.4687656250000001</v>
      </c>
      <c r="BA198" s="82"/>
      <c r="BB198" s="82" t="str">
        <f>IF(AND(Tabla1[[#This Row],[Atraso a facturar]]&gt;0,Tabla1[[#This Row],[Precio Atraso]]=0),"Revisar","OK")</f>
        <v>OK</v>
      </c>
      <c r="BC198" s="82" t="str">
        <f>IF(AND(Tabla1[[#This Row],[Venta del mes]]&gt;0,Tabla1[[#This Row],[Precio venta nueva]]=0),"Revisar","OK")</f>
        <v>OK</v>
      </c>
      <c r="BD198" s="20">
        <f>IFERROR(VLOOKUP(Tabla1[[#This Row],[Llave]],'[5]Consolidación planes'!$A:$M,9,FALSE),0)</f>
        <v>0</v>
      </c>
      <c r="BE198" s="20">
        <f>IFERROR(VLOOKUP(Tabla1[[#This Row],[Llave]],'[5]Consolidación planes'!$A:$M,10,FALSE),0)</f>
        <v>0</v>
      </c>
      <c r="BF198" s="20">
        <f>IFERROR(VLOOKUP(Tabla1[[#This Row],[Llave]],'[5]Consolidación planes'!$A:$M,11,FALSE),0)</f>
        <v>35000</v>
      </c>
      <c r="BG198" s="20">
        <f>IFERROR(VLOOKUP(Tabla1[[#This Row],[Llave]],'[5]Consolidación planes'!$A:$M,12,FALSE),0)</f>
        <v>15000</v>
      </c>
      <c r="BH198" s="20">
        <f>IFERROR(VLOOKUP(Tabla1[[#This Row],[Llave]],'[5]Consolidación planes'!$A:$M,13,FALSE),0)</f>
        <v>41143</v>
      </c>
      <c r="BI198" s="20">
        <f>IFERROR(VLOOKUP(Tabla1[[#This Row],[Llave]],'[13]Base ultimos planes'!$A:$M,13,FALSE),0)</f>
        <v>26000</v>
      </c>
      <c r="BJ198" s="80">
        <f>IFERROR(VLOOKUP(Tabla1[[#This Row],[Llave]],'[13]Base ultimos planes'!$O:$AA,8,FALSE),0)</f>
        <v>0</v>
      </c>
      <c r="BK198" s="20">
        <f>IFERROR(VLOOKUP(Tabla1[[#This Row],[Llave]],'[13]Base ultimos planes'!$O:$AA,9,FALSE),0)</f>
        <v>0</v>
      </c>
      <c r="BL198" s="20">
        <f>IFERROR(VLOOKUP(Tabla1[[#This Row],[Llave]],'[13]Base ultimos planes'!$O:$AA,10,FALSE),0)</f>
        <v>138326</v>
      </c>
      <c r="BM198" s="20">
        <f>IFERROR(VLOOKUP(Tabla1[[#This Row],[Llave]],'[13]Base ultimos planes'!$O:$AA,11,FALSE),0)</f>
        <v>56520</v>
      </c>
      <c r="BN198" s="20">
        <f>IFERROR(VLOOKUP(Tabla1[[#This Row],[Llave]],'[13]Base ultimos planes'!$O:$AA,12,FALSE),0)</f>
        <v>150241</v>
      </c>
      <c r="BO198" s="20">
        <f>IFERROR(VLOOKUP(Tabla1[[#This Row],[Llave]],'[13]Base ultimos planes'!$O:$AA,13,FALSE),0)</f>
        <v>88897</v>
      </c>
      <c r="BP198" s="20"/>
      <c r="BQ198" s="20">
        <f>+Tabla1[[#This Row],[ RV  Venta mes n+1]]*(1-Tabla1[[#This Row],[% Uti. producción]])</f>
        <v>2568.3361929160696</v>
      </c>
      <c r="BR198" s="100"/>
    </row>
    <row r="199" spans="1:70" ht="16" x14ac:dyDescent="0.2">
      <c r="A199">
        <v>1</v>
      </c>
      <c r="B199" t="str">
        <f>Tabla1[[#This Row],[Oficina]]&amp;Tabla1[[#This Row],[Material]]</f>
        <v>Exportacion Directa1023351</v>
      </c>
      <c r="C199" t="s">
        <v>6</v>
      </c>
      <c r="D199" t="s">
        <v>88</v>
      </c>
      <c r="E199">
        <v>1023351</v>
      </c>
      <c r="F199" t="s">
        <v>303</v>
      </c>
      <c r="G199" t="s">
        <v>56</v>
      </c>
      <c r="H199" t="s">
        <v>57</v>
      </c>
      <c r="I199" s="7">
        <f>IFERROR(VLOOKUP(Tabla1[[#This Row],[Llave]],'[7]RV Producción'!$C:$G,5,FALSE),0)</f>
        <v>8327</v>
      </c>
      <c r="J199" s="3">
        <f>IFERROR(IF(Tabla1[[#This Row],[Oficina]]=$I$7,VLOOKUP(Tabla1[[#This Row],[Llave]],'[7]Shangai (Tomas)'!$A:$F,6,FALSE),VLOOKUP(Tabla1[[#This Row],[Llave]],'[7]RV plan de ventas'!$A:$E,5,FALSE)),0)</f>
        <v>5000</v>
      </c>
      <c r="K199" s="8">
        <f>IFERROR(VLOOKUP(Tabla1[[#This Row],[Oficina]],[15]Ponderación!$B$2:$E$9,4,FALSE),0)</f>
        <v>0.87158319035419651</v>
      </c>
      <c r="L199" s="7">
        <f>+Tabla1[[#This Row],[ RV Producción mes n+1]]*Tabla1[[#This Row],[% Uti. producción]]</f>
        <v>7257.6732260793942</v>
      </c>
      <c r="M199" s="7">
        <f>IFERROR(VLOOKUP(Tabla1[[#This Row],[Material]],'[17]TD Stock'!$E:$I,5,FALSE),0)</f>
        <v>2433.4389999999999</v>
      </c>
      <c r="N199" s="7">
        <f>IFERROR(VLOOKUP(Tabla1[[#This Row],[Material]],[16]Produccion!$M:$N,2,FALSE),0)</f>
        <v>11.868219998063868</v>
      </c>
      <c r="O199" s="7">
        <f>IFERROR(VLOOKUP(Tabla1[[#This Row],[Llave]],'[16]TD Conf-AP'!$I:$M,4,FALSE),0)</f>
        <v>0</v>
      </c>
      <c r="P199" s="14">
        <f>SUM(Tabla1[[#This Row],[Producción disponible]],Tabla1[[#This Row],[Stock al día]],(Tabla1[[#This Row],[Por producir mes N]]*0.9))-Tabla1[[#This Row],[Producción por despachar mes N]]</f>
        <v>9701.7936240776526</v>
      </c>
      <c r="Q199" s="7">
        <f>IFERROR(VLOOKUP(Tabla1[[#This Row],[Llave]],[17]DELAY!$A:$D,4,FALSE),0)</f>
        <v>5000</v>
      </c>
      <c r="R199" s="9">
        <v>10000</v>
      </c>
      <c r="S199" s="5">
        <f t="shared" si="32"/>
        <v>5000</v>
      </c>
      <c r="T199" s="76">
        <v>0</v>
      </c>
      <c r="U199" s="5">
        <f>+Tabla1[[#This Row],[Atraso a facturar]]+Tabla1[[#This Row],[Ajuste atraso]]</f>
        <v>5000</v>
      </c>
      <c r="V199" s="3">
        <f>+Tabla1[[#This Row],[Total disponible]]-Tabla1[[#This Row],[Facturación atraso]]</f>
        <v>4701.7936240776526</v>
      </c>
      <c r="W199" s="6">
        <f>IFERROR(IF(AND(V199&gt;R199,J199&gt;=R199),ROUNDDOWN((Tabla1[[#This Row],[Producción para venta nueva]])/R199,0)*R199,0),0)</f>
        <v>0</v>
      </c>
      <c r="X199" s="76">
        <v>0</v>
      </c>
      <c r="Y199" s="6">
        <f>IF(Tabla1[[#This Row],[Venta del mes]]&gt;0,Tabla1[[#This Row],[Venta del mes]]+Tabla1[[#This Row],[Ajuste venta nueva]],0)</f>
        <v>0</v>
      </c>
      <c r="Z199" s="6">
        <f>+Tabla1[[#This Row],[Producción para venta nueva]]-Tabla1[[#This Row],[Facturación Venta nueva]]</f>
        <v>4701.7936240776526</v>
      </c>
      <c r="AA199" s="6">
        <f>IF(AND(A199=1,Tabla1[[#This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199" s="6"/>
      <c r="AC199" s="6">
        <f>IF(Tabla1[[#This Row],[Disponible stock sin venta]]&gt;0,Tabla1[[#This Row],[Disponible stock sin venta]]+Tabla1[[#This Row],[Ajuste stock sin venta]],0)</f>
        <v>0</v>
      </c>
      <c r="AD199" s="3">
        <f>IFERROR(VLOOKUP(Tabla1[[#This Row],[Llave]],'[16]TD Puerto'!$A:$D,4,FALSE),0)</f>
        <v>0</v>
      </c>
      <c r="AE199" s="3">
        <v>5000</v>
      </c>
      <c r="AF199" s="3">
        <f>+Tabla1[[#This Row],[Atraso a facturar]]+Tabla1[[#This Row],[Venta del mes]]+Tabla1[[#This Row],[En puerto a facturar]]+Tabla1[[#This Row],[Disponible stock sin venta]]</f>
        <v>5000</v>
      </c>
      <c r="AG199" s="3">
        <f>+Tabla1[[#This Row],[En puerto a facturar]]</f>
        <v>0</v>
      </c>
      <c r="AH199" s="3">
        <f>+Tabla1[[#This Row],[Facturación atraso]]</f>
        <v>5000</v>
      </c>
      <c r="AI199" s="3">
        <f>+Tabla1[[#This Row],[Plan Irrestricto]]-Tabla1[[#This Row],[Puerto ]]-Tabla1[[#This Row],[Atraso]]</f>
        <v>0</v>
      </c>
      <c r="AJ199" s="3">
        <f>IF(Tabla1[[#This Row],[Plan Irrestricto]]&gt;0,SUM(Tabla1[[#This Row],[Facturación atraso]],Tabla1[[#This Row],[Facturación Venta nueva]],Tabla1[[#This Row],[Facturación stock]],Tabla1[[#This Row],[En puerto a facturar]]),0)</f>
        <v>5000</v>
      </c>
      <c r="AK199" s="3">
        <f>+Tabla1[[#This Row],[Facturación atraso]]</f>
        <v>5000</v>
      </c>
      <c r="AL199" s="3">
        <f>+Tabla1[[#This Row],[Plan Ajustado]]-Tabla1[[#This Row],[ Atraso ajustado]]-Tabla1[[#This Row],[Puerto ]]</f>
        <v>0</v>
      </c>
      <c r="AM199" s="3">
        <v>0</v>
      </c>
      <c r="AN199" s="3" t="str">
        <f>IF(Tabla1[[#This Row],[Plan Ajustado]]&gt;Tabla1[[#This Row],[En puerto a facturar]],"Si","No")</f>
        <v>Si</v>
      </c>
      <c r="AO199" s="3">
        <f>IF(AND(Tabla1[[#This Row],[Plan Ajustado]]&gt;0,Tabla1[[#This Row],[Plan Ajustado]]&gt;Tabla1[[#This Row],[En puerto a facturar]]),(Tabla1[[#This Row],[Plan Ajustado]]-Tabla1[[#This Row],[En puerto a facturar]]),0)</f>
        <v>5000</v>
      </c>
      <c r="AP199" s="3">
        <f>IF(Tabla1[[#This Row],[Necesidad]]&gt;=Tabla1[[#This Row],[Stock al día]],Tabla1[[#This Row],[Stock al día]],Tabla1[[#This Row],[Necesidad]])</f>
        <v>2433.4389999999999</v>
      </c>
      <c r="AQ199" s="3">
        <f>+Tabla1[[#This Row],[Necesidad]]-Tabla1[[#This Row],[Stock Plan]]</f>
        <v>2566.5610000000001</v>
      </c>
      <c r="AR199" s="156">
        <f>IFERROR(VLOOKUP(Tabla1[[#This Row],[Oficina]],[22]Ponderación!$B$3:$G$9,6,FALSE),"")</f>
        <v>44765</v>
      </c>
      <c r="AS19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4.7519999999999998</v>
      </c>
      <c r="AT199" s="83">
        <f>IFERROR(VLOOKUP(Tabla1[[#This Row],[Llave]],[17]DELAY!$H:$W,16,FALSE),0)</f>
        <v>4.2384909400000002</v>
      </c>
      <c r="AU19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4.2384909400000002</v>
      </c>
      <c r="AV199" s="5">
        <f>+Tabla1[[#This Row],[Plan Ajustado]]*Tabla1[[#This Row],[Precio ponderado]]</f>
        <v>21192.454700000002</v>
      </c>
      <c r="AW199" s="30">
        <f>IFERROR(VLOOKUP(Tabla1[[#This Row],[Llave]],'[13]Ultimos precios facturados'!$A:$G,7,FALSE),0)</f>
        <v>4.3200179318768388</v>
      </c>
      <c r="AX19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1.8871910525014676E-2</v>
      </c>
      <c r="AY199" s="30"/>
      <c r="AZ199" s="30">
        <f>IF(Tabla1[[#This Row],[Ajuste precio IC]]="",Tabla1[[#This Row],[Precio ponderado]],Tabla1[[#This Row],[Precio ponderado]])</f>
        <v>4.2384909400000002</v>
      </c>
      <c r="BA199" s="82"/>
      <c r="BB199" s="82" t="str">
        <f>IF(AND(Tabla1[[#This Row],[Atraso a facturar]]&gt;0,Tabla1[[#This Row],[Precio Atraso]]=0),"Revisar","OK")</f>
        <v>OK</v>
      </c>
      <c r="BC199" s="82" t="str">
        <f>IF(AND(Tabla1[[#This Row],[Venta del mes]]&gt;0,Tabla1[[#This Row],[Precio venta nueva]]=0),"Revisar","OK")</f>
        <v>OK</v>
      </c>
      <c r="BD199" s="20">
        <f>IFERROR(VLOOKUP(Tabla1[[#This Row],[Llave]],'[5]Consolidación planes'!$A:$M,9,FALSE),0)</f>
        <v>0</v>
      </c>
      <c r="BE199" s="20">
        <f>IFERROR(VLOOKUP(Tabla1[[#This Row],[Llave]],'[5]Consolidación planes'!$A:$M,10,FALSE),0)</f>
        <v>0</v>
      </c>
      <c r="BF199" s="20">
        <f>IFERROR(VLOOKUP(Tabla1[[#This Row],[Llave]],'[5]Consolidación planes'!$A:$M,11,FALSE),0)</f>
        <v>3000</v>
      </c>
      <c r="BG199" s="20">
        <f>IFERROR(VLOOKUP(Tabla1[[#This Row],[Llave]],'[5]Consolidación planes'!$A:$M,12,FALSE),0)</f>
        <v>8000</v>
      </c>
      <c r="BH199" s="20">
        <f>IFERROR(VLOOKUP(Tabla1[[#This Row],[Llave]],'[5]Consolidación planes'!$A:$M,13,FALSE),0)</f>
        <v>8214</v>
      </c>
      <c r="BI199" s="20">
        <f>IFERROR(VLOOKUP(Tabla1[[#This Row],[Llave]],'[13]Base ultimos planes'!$A:$M,13,FALSE),0)</f>
        <v>5000</v>
      </c>
      <c r="BJ199" s="80">
        <f>IFERROR(VLOOKUP(Tabla1[[#This Row],[Llave]],'[13]Base ultimos planes'!$O:$AA,8,FALSE),0)</f>
        <v>0</v>
      </c>
      <c r="BK199" s="20">
        <f>IFERROR(VLOOKUP(Tabla1[[#This Row],[Llave]],'[13]Base ultimos planes'!$O:$AA,9,FALSE),0)</f>
        <v>0</v>
      </c>
      <c r="BL199" s="20">
        <f>IFERROR(VLOOKUP(Tabla1[[#This Row],[Llave]],'[13]Base ultimos planes'!$O:$AA,10,FALSE),0)</f>
        <v>7484</v>
      </c>
      <c r="BM199" s="20">
        <f>IFERROR(VLOOKUP(Tabla1[[#This Row],[Llave]],'[13]Base ultimos planes'!$O:$AA,11,FALSE),0)</f>
        <v>37402</v>
      </c>
      <c r="BN199" s="20">
        <f>IFERROR(VLOOKUP(Tabla1[[#This Row],[Llave]],'[13]Base ultimos planes'!$O:$AA,12,FALSE),0)</f>
        <v>36664</v>
      </c>
      <c r="BO199" s="20">
        <f>IFERROR(VLOOKUP(Tabla1[[#This Row],[Llave]],'[13]Base ultimos planes'!$O:$AA,13,FALSE),0)</f>
        <v>20861</v>
      </c>
      <c r="BP199" s="20"/>
      <c r="BQ199" s="20">
        <f>+Tabla1[[#This Row],[ RV  Venta mes n+1]]*(1-Tabla1[[#This Row],[% Uti. producción]])</f>
        <v>642.08404822901741</v>
      </c>
      <c r="BR199" s="100"/>
    </row>
    <row r="200" spans="1:70" ht="16" x14ac:dyDescent="0.2">
      <c r="A200">
        <v>1</v>
      </c>
      <c r="B200" t="str">
        <f>Tabla1[[#This Row],[Oficina]]&amp;Tabla1[[#This Row],[Material]]</f>
        <v>Exportacion Directa1023352</v>
      </c>
      <c r="C200" t="s">
        <v>6</v>
      </c>
      <c r="D200" t="s">
        <v>88</v>
      </c>
      <c r="E200">
        <v>1023352</v>
      </c>
      <c r="F200" t="s">
        <v>304</v>
      </c>
      <c r="G200" t="s">
        <v>56</v>
      </c>
      <c r="H200" t="s">
        <v>57</v>
      </c>
      <c r="I200" s="7">
        <f>IFERROR(VLOOKUP(Tabla1[[#This Row],[Llave]],'[7]RV Producción'!$C:$G,5,FALSE),0)</f>
        <v>26631</v>
      </c>
      <c r="J200" s="3">
        <f>IFERROR(IF(Tabla1[[#This Row],[Oficina]]=$I$7,VLOOKUP(Tabla1[[#This Row],[Llave]],'[7]Shangai (Tomas)'!$A:$F,6,FALSE),VLOOKUP(Tabla1[[#This Row],[Llave]],'[7]RV plan de ventas'!$A:$E,5,FALSE)),0)</f>
        <v>40000</v>
      </c>
      <c r="K200" s="8">
        <f>IFERROR(VLOOKUP(Tabla1[[#This Row],[Oficina]],[15]Ponderación!$B$2:$E$9,4,FALSE),0)</f>
        <v>0.87158319035419651</v>
      </c>
      <c r="L200" s="7">
        <f>+Tabla1[[#This Row],[ RV Producción mes n+1]]*Tabla1[[#This Row],[% Uti. producción]]</f>
        <v>23211.131942322609</v>
      </c>
      <c r="M200" s="7">
        <f>IFERROR(VLOOKUP(Tabla1[[#This Row],[Material]],'[17]TD Stock'!$E:$I,5,FALSE),0)</f>
        <v>35045.349999999984</v>
      </c>
      <c r="N200" s="7">
        <f>IFERROR(VLOOKUP(Tabla1[[#This Row],[Material]],[16]Produccion!$M:$N,2,FALSE),0)</f>
        <v>34321.68572210722</v>
      </c>
      <c r="O200" s="7">
        <f>IFERROR(VLOOKUP(Tabla1[[#This Row],[Llave]],'[16]TD Conf-AP'!$I:$M,4,FALSE),0)</f>
        <v>12500</v>
      </c>
      <c r="P200" s="14">
        <f>SUM(Tabla1[[#This Row],[Producción disponible]],Tabla1[[#This Row],[Stock al día]],(Tabla1[[#This Row],[Por producir mes N]]*0.9))-Tabla1[[#This Row],[Producción por despachar mes N]]</f>
        <v>76645.999092219092</v>
      </c>
      <c r="Q200" s="7">
        <f>IFERROR(VLOOKUP(Tabla1[[#This Row],[Llave]],[17]DELAY!$A:$D,4,FALSE),0)</f>
        <v>28000</v>
      </c>
      <c r="R200" s="9">
        <v>6470.588235294118</v>
      </c>
      <c r="S200" s="5">
        <f t="shared" si="32"/>
        <v>28000</v>
      </c>
      <c r="T200" s="76">
        <v>0</v>
      </c>
      <c r="U200" s="5">
        <f>+Tabla1[[#This Row],[Atraso a facturar]]+Tabla1[[#This Row],[Ajuste atraso]]</f>
        <v>28000</v>
      </c>
      <c r="V200" s="3">
        <f>+Tabla1[[#This Row],[Total disponible]]-Tabla1[[#This Row],[Facturación atraso]]</f>
        <v>48645.999092219092</v>
      </c>
      <c r="W200" s="6">
        <f>IFERROR(IF(AND(V200&gt;R200,J200&gt;=R200),ROUNDDOWN((Tabla1[[#This Row],[Producción para venta nueva]])/R200,0)*R200,0),0)</f>
        <v>45294.117647058825</v>
      </c>
      <c r="X200" s="76">
        <v>-15000</v>
      </c>
      <c r="Y200" s="6">
        <f>IF(Tabla1[[#This Row],[Venta del mes]]&gt;0,Tabla1[[#This Row],[Venta del mes]]+Tabla1[[#This Row],[Ajuste venta nueva]],0)</f>
        <v>30294.117647058825</v>
      </c>
      <c r="Z200" s="6">
        <f>+Tabla1[[#This Row],[Producción para venta nueva]]-Tabla1[[#This Row],[Facturación Venta nueva]]</f>
        <v>18351.881445160267</v>
      </c>
      <c r="AA200" s="6">
        <f>IF(AND(A200=1,Tabla1[[#This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00" s="6"/>
      <c r="AC200" s="6">
        <f>IF(Tabla1[[#This Row],[Disponible stock sin venta]]&gt;0,Tabla1[[#This Row],[Disponible stock sin venta]]+Tabla1[[#This Row],[Ajuste stock sin venta]],0)</f>
        <v>0</v>
      </c>
      <c r="AD200" s="3">
        <f>IFERROR(VLOOKUP(Tabla1[[#This Row],[Llave]],'[16]TD Puerto'!$A:$D,4,FALSE),0)</f>
        <v>0</v>
      </c>
      <c r="AE200" s="3">
        <v>73294.117647058825</v>
      </c>
      <c r="AF200" s="3">
        <f>+Tabla1[[#This Row],[Atraso a facturar]]+Tabla1[[#This Row],[Venta del mes]]+Tabla1[[#This Row],[En puerto a facturar]]+Tabla1[[#This Row],[Disponible stock sin venta]]</f>
        <v>73294.117647058825</v>
      </c>
      <c r="AG200" s="3">
        <f>+Tabla1[[#This Row],[En puerto a facturar]]</f>
        <v>0</v>
      </c>
      <c r="AH200" s="3">
        <f>+Tabla1[[#This Row],[Facturación atraso]]</f>
        <v>28000</v>
      </c>
      <c r="AI200" s="3">
        <f>+Tabla1[[#This Row],[Plan Irrestricto]]-Tabla1[[#This Row],[Puerto ]]-Tabla1[[#This Row],[Atraso]]</f>
        <v>45294.117647058825</v>
      </c>
      <c r="AJ200" s="3">
        <f>IF(Tabla1[[#This Row],[Plan Irrestricto]]&gt;0,SUM(Tabla1[[#This Row],[Facturación atraso]],Tabla1[[#This Row],[Facturación Venta nueva]],Tabla1[[#This Row],[Facturación stock]],Tabla1[[#This Row],[En puerto a facturar]]),0)</f>
        <v>58294.117647058825</v>
      </c>
      <c r="AK200" s="3">
        <f>+Tabla1[[#This Row],[Facturación atraso]]</f>
        <v>28000</v>
      </c>
      <c r="AL200" s="3">
        <f>+Tabla1[[#This Row],[Plan Ajustado]]-Tabla1[[#This Row],[ Atraso ajustado]]-Tabla1[[#This Row],[Puerto ]]</f>
        <v>30294.117647058825</v>
      </c>
      <c r="AM200" s="3" t="s">
        <v>789</v>
      </c>
      <c r="AN200" s="3" t="str">
        <f>IF(Tabla1[[#This Row],[Plan Ajustado]]&gt;Tabla1[[#This Row],[En puerto a facturar]],"Si","No")</f>
        <v>Si</v>
      </c>
      <c r="AO200" s="3">
        <f>IF(AND(Tabla1[[#This Row],[Plan Ajustado]]&gt;0,Tabla1[[#This Row],[Plan Ajustado]]&gt;Tabla1[[#This Row],[En puerto a facturar]]),(Tabla1[[#This Row],[Plan Ajustado]]-Tabla1[[#This Row],[En puerto a facturar]]),0)</f>
        <v>58294.117647058825</v>
      </c>
      <c r="AP200" s="3">
        <f>IF(Tabla1[[#This Row],[Necesidad]]&gt;=Tabla1[[#This Row],[Stock al día]],Tabla1[[#This Row],[Stock al día]],Tabla1[[#This Row],[Necesidad]])</f>
        <v>35045.349999999984</v>
      </c>
      <c r="AQ200" s="3">
        <f>+Tabla1[[#This Row],[Necesidad]]-Tabla1[[#This Row],[Stock Plan]]</f>
        <v>23248.767647058841</v>
      </c>
      <c r="AR200" s="156">
        <f>IFERROR(VLOOKUP(Tabla1[[#This Row],[Oficina]],[22]Ponderación!$B$3:$G$9,6,FALSE),"")</f>
        <v>44765</v>
      </c>
      <c r="AS20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5.04</v>
      </c>
      <c r="AT200" s="83">
        <f>IFERROR(VLOOKUP(Tabla1[[#This Row],[Llave]],[17]DELAY!$H:$W,16,FALSE),0)</f>
        <v>4.4167922974776781</v>
      </c>
      <c r="AU20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4.7406590651860485</v>
      </c>
      <c r="AV200" s="5">
        <f>+Tabla1[[#This Row],[Plan Ajustado]]*Tabla1[[#This Row],[Precio ponderado]]</f>
        <v>276352.53727055143</v>
      </c>
      <c r="AW200" s="30">
        <f>IFERROR(VLOOKUP(Tabla1[[#This Row],[Llave]],'[13]Ultimos precios facturados'!$A:$G,7,FALSE),0)</f>
        <v>4.4209225537576984</v>
      </c>
      <c r="AX20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7.232348170328845E-2</v>
      </c>
      <c r="AY200" s="30"/>
      <c r="AZ200" s="30">
        <f>IF(Tabla1[[#This Row],[Ajuste precio IC]]="",Tabla1[[#This Row],[Precio ponderado]],Tabla1[[#This Row],[Precio ponderado]])</f>
        <v>4.7406590651860485</v>
      </c>
      <c r="BA200" s="82"/>
      <c r="BB200" s="82" t="str">
        <f>IF(AND(Tabla1[[#This Row],[Atraso a facturar]]&gt;0,Tabla1[[#This Row],[Precio Atraso]]=0),"Revisar","OK")</f>
        <v>OK</v>
      </c>
      <c r="BC200" s="82" t="str">
        <f>IF(AND(Tabla1[[#This Row],[Venta del mes]]&gt;0,Tabla1[[#This Row],[Precio venta nueva]]=0),"Revisar","OK")</f>
        <v>OK</v>
      </c>
      <c r="BD200" s="20">
        <f>IFERROR(VLOOKUP(Tabla1[[#This Row],[Llave]],'[5]Consolidación planes'!$A:$M,9,FALSE),0)</f>
        <v>0</v>
      </c>
      <c r="BE200" s="20">
        <f>IFERROR(VLOOKUP(Tabla1[[#This Row],[Llave]],'[5]Consolidación planes'!$A:$M,10,FALSE),0)</f>
        <v>0</v>
      </c>
      <c r="BF200" s="20">
        <f>IFERROR(VLOOKUP(Tabla1[[#This Row],[Llave]],'[5]Consolidación planes'!$A:$M,11,FALSE),0)</f>
        <v>0</v>
      </c>
      <c r="BG200" s="20">
        <f>IFERROR(VLOOKUP(Tabla1[[#This Row],[Llave]],'[5]Consolidación planes'!$A:$M,12,FALSE),0)</f>
        <v>45000</v>
      </c>
      <c r="BH200" s="20">
        <f>IFERROR(VLOOKUP(Tabla1[[#This Row],[Llave]],'[5]Consolidación planes'!$A:$M,13,FALSE),0)</f>
        <v>118342</v>
      </c>
      <c r="BI200" s="20">
        <f>IFERROR(VLOOKUP(Tabla1[[#This Row],[Llave]],'[13]Base ultimos planes'!$A:$M,13,FALSE),0)</f>
        <v>77647</v>
      </c>
      <c r="BJ200" s="80">
        <f>IFERROR(VLOOKUP(Tabla1[[#This Row],[Llave]],'[13]Base ultimos planes'!$O:$AA,8,FALSE),0)</f>
        <v>0</v>
      </c>
      <c r="BK200" s="20">
        <f>IFERROR(VLOOKUP(Tabla1[[#This Row],[Llave]],'[13]Base ultimos planes'!$O:$AA,9,FALSE),0)</f>
        <v>0</v>
      </c>
      <c r="BL200" s="20">
        <f>IFERROR(VLOOKUP(Tabla1[[#This Row],[Llave]],'[13]Base ultimos planes'!$O:$AA,10,FALSE),0)</f>
        <v>0</v>
      </c>
      <c r="BM200" s="20">
        <f>IFERROR(VLOOKUP(Tabla1[[#This Row],[Llave]],'[13]Base ultimos planes'!$O:$AA,11,FALSE),0)</f>
        <v>217858</v>
      </c>
      <c r="BN200" s="20">
        <f>IFERROR(VLOOKUP(Tabla1[[#This Row],[Llave]],'[13]Base ultimos planes'!$O:$AA,12,FALSE),0)</f>
        <v>566146</v>
      </c>
      <c r="BO200" s="20">
        <f>IFERROR(VLOOKUP(Tabla1[[#This Row],[Llave]],'[13]Base ultimos planes'!$O:$AA,13,FALSE),0)</f>
        <v>344236</v>
      </c>
      <c r="BP200" s="20"/>
      <c r="BQ200" s="20">
        <f>+Tabla1[[#This Row],[ RV  Venta mes n+1]]*(1-Tabla1[[#This Row],[% Uti. producción]])</f>
        <v>5136.6723858321393</v>
      </c>
      <c r="BR200" s="100"/>
    </row>
    <row r="201" spans="1:70" ht="16" x14ac:dyDescent="0.2">
      <c r="A201">
        <v>1</v>
      </c>
      <c r="B201" t="str">
        <f>Tabla1[[#This Row],[Oficina]]&amp;Tabla1[[#This Row],[Material]]</f>
        <v>Agro Sudamerica1030224</v>
      </c>
      <c r="C201" t="s">
        <v>204</v>
      </c>
      <c r="D201" t="s">
        <v>17</v>
      </c>
      <c r="E201">
        <v>1030224</v>
      </c>
      <c r="F201" t="s">
        <v>219</v>
      </c>
      <c r="G201" t="s">
        <v>217</v>
      </c>
      <c r="H201" t="s">
        <v>218</v>
      </c>
      <c r="I201" s="7">
        <f>IFERROR(VLOOKUP(Tabla1[[#This Row],[Llave]],'[7]RV Producción'!$C:$G,5,FALSE),0)</f>
        <v>7249</v>
      </c>
      <c r="J201" s="3">
        <f>IFERROR(IF(Tabla1[[#This Row],[Oficina]]=$I$7,VLOOKUP(Tabla1[[#This Row],[Llave]],'[7]Shangai (Tomas)'!$A:$F,6,FALSE),VLOOKUP(Tabla1[[#This Row],[Llave]],'[7]RV plan de ventas'!$A:$E,5,FALSE)),0)</f>
        <v>24000</v>
      </c>
      <c r="K201" s="8">
        <f>IFERROR(VLOOKUP(Tabla1[[#This Row],[Oficina]],[15]Ponderación!$B$2:$E$9,4,FALSE),0)</f>
        <v>0.45719439678473212</v>
      </c>
      <c r="L201" s="7">
        <f>+Tabla1[[#This Row],[ RV Producción mes n+1]]*Tabla1[[#This Row],[% Uti. producción]]</f>
        <v>3314.202182292523</v>
      </c>
      <c r="M201" s="7">
        <f>IFERROR(VLOOKUP(Tabla1[[#This Row],[Material]],'[17]TD Stock'!$E:$I,5,FALSE),0)</f>
        <v>76971.372000000003</v>
      </c>
      <c r="N201" s="7">
        <f>IFERROR(VLOOKUP(Tabla1[[#This Row],[Material]],[16]Produccion!$M:$N,2,FALSE),0)</f>
        <v>0</v>
      </c>
      <c r="O201" s="7">
        <f>IFERROR(VLOOKUP(Tabla1[[#This Row],[Llave]],'[16]TD Conf-AP'!$I:$M,4,FALSE),0)</f>
        <v>0</v>
      </c>
      <c r="P201" s="14">
        <f>SUM(Tabla1[[#This Row],[Producción disponible]],Tabla1[[#This Row],[Stock al día]],(Tabla1[[#This Row],[Por producir mes N]]*0.9))-Tabla1[[#This Row],[Producción por despachar mes N]]</f>
        <v>80285.574182292519</v>
      </c>
      <c r="Q201" s="7">
        <f>IFERROR(VLOOKUP(Tabla1[[#This Row],[Llave]],[17]DELAY!$A:$D,4,FALSE),0)</f>
        <v>0</v>
      </c>
      <c r="R201" s="9">
        <v>24000</v>
      </c>
      <c r="S201" s="5">
        <f t="shared" si="32"/>
        <v>0</v>
      </c>
      <c r="T201" s="76">
        <v>0</v>
      </c>
      <c r="U201" s="5">
        <f>+Tabla1[[#This Row],[Atraso a facturar]]+Tabla1[[#This Row],[Ajuste atraso]]</f>
        <v>0</v>
      </c>
      <c r="V201" s="3">
        <f>+Tabla1[[#This Row],[Total disponible]]-Tabla1[[#This Row],[Facturación atraso]]</f>
        <v>80285.574182292519</v>
      </c>
      <c r="W201" s="6">
        <f>IFERROR(IF(AND(V201&gt;R201,J201&gt;=R201),ROUNDDOWN((Tabla1[[#This Row],[Producción para venta nueva]])/R201,0)*R201,0),0)</f>
        <v>72000</v>
      </c>
      <c r="X201" s="76">
        <v>0</v>
      </c>
      <c r="Y201" s="6">
        <f>IF(Tabla1[[#This Row],[Venta del mes]]&gt;0,Tabla1[[#This Row],[Venta del mes]]+Tabla1[[#This Row],[Ajuste venta nueva]],0)</f>
        <v>72000</v>
      </c>
      <c r="Z201" s="6">
        <f>+Tabla1[[#This Row],[Producción para venta nueva]]-Tabla1[[#This Row],[Facturación Venta nueva]]</f>
        <v>8285.5741822925193</v>
      </c>
      <c r="AA201" s="6">
        <f>IF(AND(A201=1,Tabla1[[#This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01" s="6"/>
      <c r="AC201" s="6">
        <f>IF(Tabla1[[#This Row],[Disponible stock sin venta]]&gt;0,Tabla1[[#This Row],[Disponible stock sin venta]]+Tabla1[[#This Row],[Ajuste stock sin venta]],0)</f>
        <v>0</v>
      </c>
      <c r="AD201" s="3">
        <f>IFERROR(VLOOKUP(Tabla1[[#This Row],[Llave]],'[16]TD Puerto'!$A:$D,4,FALSE),0)</f>
        <v>0</v>
      </c>
      <c r="AE201" s="3">
        <v>72000</v>
      </c>
      <c r="AF201" s="3">
        <f>+Tabla1[[#This Row],[Atraso a facturar]]+Tabla1[[#This Row],[Venta del mes]]+Tabla1[[#This Row],[En puerto a facturar]]+Tabla1[[#This Row],[Disponible stock sin venta]]</f>
        <v>72000</v>
      </c>
      <c r="AG201" s="3">
        <f>+Tabla1[[#This Row],[En puerto a facturar]]</f>
        <v>0</v>
      </c>
      <c r="AH201" s="3">
        <f>+Tabla1[[#This Row],[Facturación atraso]]</f>
        <v>0</v>
      </c>
      <c r="AI201" s="3">
        <f>+Tabla1[[#This Row],[Plan Irrestricto]]-Tabla1[[#This Row],[Puerto ]]-Tabla1[[#This Row],[Atraso]]</f>
        <v>72000</v>
      </c>
      <c r="AJ201" s="3">
        <f>IF(Tabla1[[#This Row],[Plan Irrestricto]]&gt;0,SUM(Tabla1[[#This Row],[Facturación atraso]],Tabla1[[#This Row],[Facturación Venta nueva]],Tabla1[[#This Row],[Facturación stock]],Tabla1[[#This Row],[En puerto a facturar]]),0)</f>
        <v>72000</v>
      </c>
      <c r="AK201" s="3">
        <f>+Tabla1[[#This Row],[Facturación atraso]]</f>
        <v>0</v>
      </c>
      <c r="AL201" s="3">
        <f>+Tabla1[[#This Row],[Plan Ajustado]]-Tabla1[[#This Row],[ Atraso ajustado]]-Tabla1[[#This Row],[Puerto ]]</f>
        <v>72000</v>
      </c>
      <c r="AM201" s="3">
        <v>0</v>
      </c>
      <c r="AN201" s="3" t="str">
        <f>IF(Tabla1[[#This Row],[Plan Ajustado]]&gt;Tabla1[[#This Row],[En puerto a facturar]],"Si","No")</f>
        <v>Si</v>
      </c>
      <c r="AO201" s="3">
        <f>IF(AND(Tabla1[[#This Row],[Plan Ajustado]]&gt;0,Tabla1[[#This Row],[Plan Ajustado]]&gt;Tabla1[[#This Row],[En puerto a facturar]]),(Tabla1[[#This Row],[Plan Ajustado]]-Tabla1[[#This Row],[En puerto a facturar]]),0)</f>
        <v>72000</v>
      </c>
      <c r="AP201" s="3">
        <f>IF(Tabla1[[#This Row],[Necesidad]]&gt;=Tabla1[[#This Row],[Stock al día]],Tabla1[[#This Row],[Stock al día]],Tabla1[[#This Row],[Necesidad]])</f>
        <v>72000</v>
      </c>
      <c r="AQ201" s="3">
        <f>+Tabla1[[#This Row],[Necesidad]]-Tabla1[[#This Row],[Stock Plan]]</f>
        <v>0</v>
      </c>
      <c r="AR201" s="156">
        <f>IFERROR(VLOOKUP(Tabla1[[#This Row],[Oficina]],[22]Ponderación!$B$3:$G$9,6,FALSE),"")</f>
        <v>44757</v>
      </c>
      <c r="AS20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2.1900416666666702</v>
      </c>
      <c r="AT201" s="83">
        <f>IFERROR(VLOOKUP(Tabla1[[#This Row],[Llave]],[17]DELAY!$H:$W,16,FALSE),0)</f>
        <v>0</v>
      </c>
      <c r="AU20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2.1900416666666702</v>
      </c>
      <c r="AV201" s="5">
        <f>+Tabla1[[#This Row],[Plan Ajustado]]*Tabla1[[#This Row],[Precio ponderado]]</f>
        <v>157683.00000000026</v>
      </c>
      <c r="AW201" s="30">
        <f>IFERROR(VLOOKUP(Tabla1[[#This Row],[Llave]],'[13]Ultimos precios facturados'!$A:$G,7,FALSE),0)</f>
        <v>1.9830595639172326</v>
      </c>
      <c r="AX20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0.10437513149659305</v>
      </c>
      <c r="AY201" s="30"/>
      <c r="AZ201" s="30">
        <f>IF(Tabla1[[#This Row],[Ajuste precio IC]]="",Tabla1[[#This Row],[Precio ponderado]],Tabla1[[#This Row],[Precio ponderado]])</f>
        <v>2.1900416666666702</v>
      </c>
      <c r="BA201" s="82"/>
      <c r="BB201" s="82" t="str">
        <f>IF(AND(Tabla1[[#This Row],[Atraso a facturar]]&gt;0,Tabla1[[#This Row],[Precio Atraso]]=0),"Revisar","OK")</f>
        <v>OK</v>
      </c>
      <c r="BC201" s="82" t="str">
        <f>IF(AND(Tabla1[[#This Row],[Venta del mes]]&gt;0,Tabla1[[#This Row],[Precio venta nueva]]=0),"Revisar","OK")</f>
        <v>OK</v>
      </c>
      <c r="BD201" s="20">
        <f>IFERROR(VLOOKUP(Tabla1[[#This Row],[Llave]],'[5]Consolidación planes'!$A:$M,9,FALSE),0)</f>
        <v>48000</v>
      </c>
      <c r="BE201" s="20">
        <f>IFERROR(VLOOKUP(Tabla1[[#This Row],[Llave]],'[5]Consolidación planes'!$A:$M,10,FALSE),0)</f>
        <v>72000</v>
      </c>
      <c r="BF201" s="20">
        <f>IFERROR(VLOOKUP(Tabla1[[#This Row],[Llave]],'[5]Consolidación planes'!$A:$M,11,FALSE),0)</f>
        <v>48000</v>
      </c>
      <c r="BG201" s="20">
        <f>IFERROR(VLOOKUP(Tabla1[[#This Row],[Llave]],'[5]Consolidación planes'!$A:$M,12,FALSE),0)</f>
        <v>48000</v>
      </c>
      <c r="BH201" s="20">
        <f>IFERROR(VLOOKUP(Tabla1[[#This Row],[Llave]],'[5]Consolidación planes'!$A:$M,13,FALSE),0)</f>
        <v>48000</v>
      </c>
      <c r="BI201" s="20">
        <f>IFERROR(VLOOKUP(Tabla1[[#This Row],[Llave]],'[13]Base ultimos planes'!$A:$M,13,FALSE),0)</f>
        <v>168009</v>
      </c>
      <c r="BJ201" s="80">
        <f>IFERROR(VLOOKUP(Tabla1[[#This Row],[Llave]],'[13]Base ultimos planes'!$O:$AA,8,FALSE),0)</f>
        <v>96960</v>
      </c>
      <c r="BK201" s="20">
        <f>IFERROR(VLOOKUP(Tabla1[[#This Row],[Llave]],'[13]Base ultimos planes'!$O:$AA,9,FALSE),0)</f>
        <v>151019</v>
      </c>
      <c r="BL201" s="20">
        <f>IFERROR(VLOOKUP(Tabla1[[#This Row],[Llave]],'[13]Base ultimos planes'!$O:$AA,10,FALSE),0)</f>
        <v>91200</v>
      </c>
      <c r="BM201" s="20">
        <f>IFERROR(VLOOKUP(Tabla1[[#This Row],[Llave]],'[13]Base ultimos planes'!$O:$AA,11,FALSE),0)</f>
        <v>89040</v>
      </c>
      <c r="BN201" s="20">
        <f>IFERROR(VLOOKUP(Tabla1[[#This Row],[Llave]],'[13]Base ultimos planes'!$O:$AA,12,FALSE),0)</f>
        <v>96480</v>
      </c>
      <c r="BO201" s="20">
        <f>IFERROR(VLOOKUP(Tabla1[[#This Row],[Llave]],'[13]Base ultimos planes'!$O:$AA,13,FALSE),0)</f>
        <v>363684</v>
      </c>
      <c r="BP201" s="20"/>
      <c r="BQ201" s="20">
        <f>+Tabla1[[#This Row],[ RV  Venta mes n+1]]*(1-Tabla1[[#This Row],[% Uti. producción]])</f>
        <v>13027.334477166431</v>
      </c>
      <c r="BR201" s="100"/>
    </row>
    <row r="202" spans="1:70" ht="16" x14ac:dyDescent="0.2">
      <c r="A202">
        <v>1</v>
      </c>
      <c r="B202" t="str">
        <f>Tabla1[[#This Row],[Oficina]]&amp;Tabla1[[#This Row],[Material]]</f>
        <v>Agro Sudamerica1030332</v>
      </c>
      <c r="C202" t="s">
        <v>204</v>
      </c>
      <c r="D202" t="s">
        <v>17</v>
      </c>
      <c r="E202">
        <v>1030332</v>
      </c>
      <c r="F202" t="s">
        <v>207</v>
      </c>
      <c r="G202" t="s">
        <v>205</v>
      </c>
      <c r="H202" t="s">
        <v>206</v>
      </c>
      <c r="I202" s="7">
        <f>IFERROR(VLOOKUP(Tabla1[[#This Row],[Llave]],'[7]RV Producción'!$C:$G,5,FALSE),0)</f>
        <v>0</v>
      </c>
      <c r="J202" s="3">
        <f>IFERROR(IF(Tabla1[[#This Row],[Oficina]]=$I$7,VLOOKUP(Tabla1[[#This Row],[Llave]],'[7]Shangai (Tomas)'!$A:$F,6,FALSE),VLOOKUP(Tabla1[[#This Row],[Llave]],'[7]RV plan de ventas'!$A:$E,5,FALSE)),0)</f>
        <v>38160</v>
      </c>
      <c r="K202" s="8">
        <f>IFERROR(VLOOKUP(Tabla1[[#This Row],[Oficina]],[15]Ponderación!$B$2:$E$9,4,FALSE),0)</f>
        <v>0.45719439678473212</v>
      </c>
      <c r="L202" s="7">
        <f>+Tabla1[[#This Row],[ RV Producción mes n+1]]*Tabla1[[#This Row],[% Uti. producción]]</f>
        <v>0</v>
      </c>
      <c r="M202" s="7">
        <f>IFERROR(VLOOKUP(Tabla1[[#This Row],[Material]],'[17]TD Stock'!$E:$I,5,FALSE),0)</f>
        <v>44680</v>
      </c>
      <c r="N202" s="7">
        <f>IFERROR(VLOOKUP(Tabla1[[#This Row],[Material]],[16]Produccion!$M:$N,2,FALSE),0)</f>
        <v>0</v>
      </c>
      <c r="O202" s="7">
        <f>IFERROR(VLOOKUP(Tabla1[[#This Row],[Llave]],'[16]TD Conf-AP'!$I:$M,4,FALSE),0)</f>
        <v>0</v>
      </c>
      <c r="P202" s="14">
        <f>SUM(Tabla1[[#This Row],[Producción disponible]],Tabla1[[#This Row],[Stock al día]],(Tabla1[[#This Row],[Por producir mes N]]*0.9))-Tabla1[[#This Row],[Producción por despachar mes N]]</f>
        <v>44680</v>
      </c>
      <c r="Q202" s="7">
        <f>IFERROR(VLOOKUP(Tabla1[[#This Row],[Llave]],[17]DELAY!$A:$D,4,FALSE),0)</f>
        <v>0</v>
      </c>
      <c r="R202" s="9">
        <v>24000</v>
      </c>
      <c r="S202" s="5">
        <f t="shared" si="32"/>
        <v>0</v>
      </c>
      <c r="T202" s="76">
        <v>0</v>
      </c>
      <c r="U202" s="5">
        <f>+Tabla1[[#This Row],[Atraso a facturar]]+Tabla1[[#This Row],[Ajuste atraso]]</f>
        <v>0</v>
      </c>
      <c r="V202" s="3">
        <f>+Tabla1[[#This Row],[Total disponible]]-Tabla1[[#This Row],[Facturación atraso]]</f>
        <v>44680</v>
      </c>
      <c r="W202" s="6">
        <f>IFERROR(IF(AND(V202&gt;R202,J202&gt;=R202),ROUNDDOWN((Tabla1[[#This Row],[Producción para venta nueva]])/R202,0)*R202,0),0)</f>
        <v>24000</v>
      </c>
      <c r="X202" s="76">
        <v>0</v>
      </c>
      <c r="Y202" s="6">
        <f>IF(Tabla1[[#This Row],[Venta del mes]]&gt;0,Tabla1[[#This Row],[Venta del mes]]+Tabla1[[#This Row],[Ajuste venta nueva]],0)</f>
        <v>24000</v>
      </c>
      <c r="Z202" s="6">
        <f>+Tabla1[[#This Row],[Producción para venta nueva]]-Tabla1[[#This Row],[Facturación Venta nueva]]</f>
        <v>20680</v>
      </c>
      <c r="AA202" s="6">
        <f>IF(AND(A202=1,Tabla1[[#This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02" s="6"/>
      <c r="AC202" s="6">
        <f>IF(Tabla1[[#This Row],[Disponible stock sin venta]]&gt;0,Tabla1[[#This Row],[Disponible stock sin venta]]+Tabla1[[#This Row],[Ajuste stock sin venta]],0)</f>
        <v>0</v>
      </c>
      <c r="AD202" s="3">
        <f>IFERROR(VLOOKUP(Tabla1[[#This Row],[Llave]],'[16]TD Puerto'!$A:$D,4,FALSE),0)</f>
        <v>0</v>
      </c>
      <c r="AE202" s="3">
        <v>24000</v>
      </c>
      <c r="AF202" s="3">
        <f>+Tabla1[[#This Row],[Atraso a facturar]]+Tabla1[[#This Row],[Venta del mes]]+Tabla1[[#This Row],[En puerto a facturar]]+Tabla1[[#This Row],[Disponible stock sin venta]]</f>
        <v>24000</v>
      </c>
      <c r="AG202" s="3">
        <f>+Tabla1[[#This Row],[En puerto a facturar]]</f>
        <v>0</v>
      </c>
      <c r="AH202" s="3">
        <f>+Tabla1[[#This Row],[Facturación atraso]]</f>
        <v>0</v>
      </c>
      <c r="AI202" s="3">
        <f>+Tabla1[[#This Row],[Plan Irrestricto]]-Tabla1[[#This Row],[Puerto ]]-Tabla1[[#This Row],[Atraso]]</f>
        <v>24000</v>
      </c>
      <c r="AJ202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202" s="3">
        <f>+Tabla1[[#This Row],[Facturación atraso]]</f>
        <v>0</v>
      </c>
      <c r="AL202" s="3">
        <f>+Tabla1[[#This Row],[Plan Ajustado]]-Tabla1[[#This Row],[ Atraso ajustado]]-Tabla1[[#This Row],[Puerto ]]</f>
        <v>24000</v>
      </c>
      <c r="AM202" s="3">
        <v>0</v>
      </c>
      <c r="AN202" s="3" t="str">
        <f>IF(Tabla1[[#This Row],[Plan Ajustado]]&gt;Tabla1[[#This Row],[En puerto a facturar]],"Si","No")</f>
        <v>Si</v>
      </c>
      <c r="AO202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202" s="3">
        <f>IF(Tabla1[[#This Row],[Necesidad]]&gt;=Tabla1[[#This Row],[Stock al día]],Tabla1[[#This Row],[Stock al día]],Tabla1[[#This Row],[Necesidad]])</f>
        <v>24000</v>
      </c>
      <c r="AQ202" s="3">
        <f>+Tabla1[[#This Row],[Necesidad]]-Tabla1[[#This Row],[Stock Plan]]</f>
        <v>0</v>
      </c>
      <c r="AR202" s="156">
        <f>IFERROR(VLOOKUP(Tabla1[[#This Row],[Oficina]],[22]Ponderación!$B$3:$G$9,6,FALSE),"")</f>
        <v>44757</v>
      </c>
      <c r="AS20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1.5866614255765199</v>
      </c>
      <c r="AT202" s="83">
        <f>IFERROR(VLOOKUP(Tabla1[[#This Row],[Llave]],[17]DELAY!$H:$W,16,FALSE),0)</f>
        <v>0</v>
      </c>
      <c r="AU20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1.5866614255765199</v>
      </c>
      <c r="AV202" s="5">
        <f>+Tabla1[[#This Row],[Plan Ajustado]]*Tabla1[[#This Row],[Precio ponderado]]</f>
        <v>38079.874213836476</v>
      </c>
      <c r="AW202" s="30">
        <f>IFERROR(VLOOKUP(Tabla1[[#This Row],[Llave]],'[13]Ultimos precios facturados'!$A:$G,7,FALSE),0)</f>
        <v>1.4685837500000001</v>
      </c>
      <c r="AX20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8.0402411899573187E-2</v>
      </c>
      <c r="AY202" s="30"/>
      <c r="AZ202" s="30">
        <f>IF(Tabla1[[#This Row],[Ajuste precio IC]]="",Tabla1[[#This Row],[Precio ponderado]],Tabla1[[#This Row],[Precio ponderado]])</f>
        <v>1.5866614255765199</v>
      </c>
      <c r="BA202" s="82"/>
      <c r="BB202" s="82" t="str">
        <f>IF(AND(Tabla1[[#This Row],[Atraso a facturar]]&gt;0,Tabla1[[#This Row],[Precio Atraso]]=0),"Revisar","OK")</f>
        <v>OK</v>
      </c>
      <c r="BC202" s="82" t="str">
        <f>IF(AND(Tabla1[[#This Row],[Venta del mes]]&gt;0,Tabla1[[#This Row],[Precio venta nueva]]=0),"Revisar","OK")</f>
        <v>OK</v>
      </c>
      <c r="BD202" s="20">
        <f>IFERROR(VLOOKUP(Tabla1[[#This Row],[Llave]],'[5]Consolidación planes'!$A:$M,9,FALSE),0)</f>
        <v>48000</v>
      </c>
      <c r="BE202" s="20">
        <f>IFERROR(VLOOKUP(Tabla1[[#This Row],[Llave]],'[5]Consolidación planes'!$A:$M,10,FALSE),0)</f>
        <v>168000</v>
      </c>
      <c r="BF202" s="20">
        <f>IFERROR(VLOOKUP(Tabla1[[#This Row],[Llave]],'[5]Consolidación planes'!$A:$M,11,FALSE),0)</f>
        <v>72000</v>
      </c>
      <c r="BG202" s="20">
        <f>IFERROR(VLOOKUP(Tabla1[[#This Row],[Llave]],'[5]Consolidación planes'!$A:$M,12,FALSE),0)</f>
        <v>48000</v>
      </c>
      <c r="BH202" s="20">
        <f>IFERROR(VLOOKUP(Tabla1[[#This Row],[Llave]],'[5]Consolidación planes'!$A:$M,13,FALSE),0)</f>
        <v>48000</v>
      </c>
      <c r="BI202" s="20">
        <f>IFERROR(VLOOKUP(Tabla1[[#This Row],[Llave]],'[13]Base ultimos planes'!$A:$M,13,FALSE),0)</f>
        <v>0</v>
      </c>
      <c r="BJ202" s="80">
        <f>IFERROR(VLOOKUP(Tabla1[[#This Row],[Llave]],'[13]Base ultimos planes'!$O:$AA,8,FALSE),0)</f>
        <v>72000</v>
      </c>
      <c r="BK202" s="20">
        <f>IFERROR(VLOOKUP(Tabla1[[#This Row],[Llave]],'[13]Base ultimos planes'!$O:$AA,9,FALSE),0)</f>
        <v>251769</v>
      </c>
      <c r="BL202" s="20">
        <f>IFERROR(VLOOKUP(Tabla1[[#This Row],[Llave]],'[13]Base ultimos planes'!$O:$AA,10,FALSE),0)</f>
        <v>111840</v>
      </c>
      <c r="BM202" s="20">
        <f>IFERROR(VLOOKUP(Tabla1[[#This Row],[Llave]],'[13]Base ultimos planes'!$O:$AA,11,FALSE),0)</f>
        <v>64800</v>
      </c>
      <c r="BN202" s="20">
        <f>IFERROR(VLOOKUP(Tabla1[[#This Row],[Llave]],'[13]Base ultimos planes'!$O:$AA,12,FALSE),0)</f>
        <v>72000</v>
      </c>
      <c r="BO202" s="20">
        <f>IFERROR(VLOOKUP(Tabla1[[#This Row],[Llave]],'[13]Base ultimos planes'!$O:$AA,13,FALSE),0)</f>
        <v>0</v>
      </c>
      <c r="BP202" s="20"/>
      <c r="BQ202" s="20">
        <f>+Tabla1[[#This Row],[ RV  Venta mes n+1]]*(1-Tabla1[[#This Row],[% Uti. producción]])</f>
        <v>20713.461818694625</v>
      </c>
      <c r="BR202" s="100"/>
    </row>
    <row r="203" spans="1:70" ht="16" hidden="1" x14ac:dyDescent="0.2">
      <c r="A203">
        <v>1</v>
      </c>
      <c r="B203" t="str">
        <f>Tabla1[[#This Row],[Oficina]]&amp;Tabla1[[#This Row],[Material]]</f>
        <v>Agro Sudamerica1030498</v>
      </c>
      <c r="C203" t="s">
        <v>204</v>
      </c>
      <c r="D203" t="s">
        <v>17</v>
      </c>
      <c r="E203">
        <v>1030498</v>
      </c>
      <c r="F203" t="s">
        <v>211</v>
      </c>
      <c r="G203" t="s">
        <v>209</v>
      </c>
      <c r="H203" t="s">
        <v>210</v>
      </c>
      <c r="I203" s="7">
        <f>IFERROR(VLOOKUP(Tabla1[[#This Row],[Llave]],'[7]RV Producción'!$C:$G,5,FALSE),0)</f>
        <v>0</v>
      </c>
      <c r="J203" s="3">
        <f>IFERROR(IF(Tabla1[[#This Row],[Oficina]]=$I$7,VLOOKUP(Tabla1[[#This Row],[Llave]],'[7]Shangai (Tomas)'!$A:$F,6,FALSE),VLOOKUP(Tabla1[[#This Row],[Llave]],'[7]RV plan de ventas'!$A:$E,5,FALSE)),0)</f>
        <v>0</v>
      </c>
      <c r="K203" s="8">
        <f>IFERROR(VLOOKUP(Tabla1[[#This Row],[Oficina]],[15]Ponderación!$B$2:$E$9,4,FALSE),0)</f>
        <v>0.45719439678473212</v>
      </c>
      <c r="L203" s="7">
        <f>+Tabla1[[#This Row],[ RV Producción mes n+1]]*Tabla1[[#This Row],[% Uti. producción]]</f>
        <v>0</v>
      </c>
      <c r="M203" s="7">
        <f>IFERROR(VLOOKUP(Tabla1[[#This Row],[Material]],'[17]TD Stock'!$E:$I,5,FALSE),0)</f>
        <v>15690</v>
      </c>
      <c r="N203" s="7">
        <f>IFERROR(VLOOKUP(Tabla1[[#This Row],[Material]],[16]Produccion!$M:$N,2,FALSE),0)</f>
        <v>4630.0856103238402</v>
      </c>
      <c r="O203" s="7">
        <f>IFERROR(VLOOKUP(Tabla1[[#This Row],[Llave]],'[16]TD Conf-AP'!$I:$M,4,FALSE),0)</f>
        <v>0</v>
      </c>
      <c r="P203" s="14">
        <f>SUM(Tabla1[[#This Row],[Producción disponible]],Tabla1[[#This Row],[Stock al día]],(Tabla1[[#This Row],[Por producir mes N]]*0.9))-Tabla1[[#This Row],[Producción por despachar mes N]]</f>
        <v>19857.077049291456</v>
      </c>
      <c r="Q203" s="7">
        <f>IFERROR(VLOOKUP(Tabla1[[#This Row],[Llave]],[17]DELAY!$A:$D,4,FALSE),0)</f>
        <v>0</v>
      </c>
      <c r="R203" s="9">
        <v>24000</v>
      </c>
      <c r="S203" s="5">
        <f t="shared" si="32"/>
        <v>0</v>
      </c>
      <c r="T203" s="76">
        <v>0</v>
      </c>
      <c r="U203" s="5">
        <f>+Tabla1[[#This Row],[Atraso a facturar]]+Tabla1[[#This Row],[Ajuste atraso]]</f>
        <v>0</v>
      </c>
      <c r="V203" s="3">
        <f>+Tabla1[[#This Row],[Total disponible]]-Tabla1[[#This Row],[Facturación atraso]]</f>
        <v>19857.077049291456</v>
      </c>
      <c r="W203" s="6">
        <f>IFERROR(IF(AND(V203&gt;R203,J203&gt;=R203),ROUNDDOWN((Tabla1[[#This Row],[Producción para venta nueva]])/R203,0)*R203,0),0)</f>
        <v>0</v>
      </c>
      <c r="X203" s="76">
        <v>0</v>
      </c>
      <c r="Y203" s="6">
        <f>IF(Tabla1[[#This Row],[Venta del mes]]&gt;0,Tabla1[[#This Row],[Venta del mes]]+Tabla1[[#This Row],[Ajuste venta nueva]],0)</f>
        <v>0</v>
      </c>
      <c r="Z203" s="6">
        <f>+Tabla1[[#This Row],[Producción para venta nueva]]-Tabla1[[#This Row],[Facturación Venta nueva]]</f>
        <v>19857.077049291456</v>
      </c>
      <c r="AA203" s="6">
        <f>IF(AND(A203=1,Tabla1[[#This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03" s="6"/>
      <c r="AC203" s="6">
        <f>IF(Tabla1[[#This Row],[Disponible stock sin venta]]&gt;0,Tabla1[[#This Row],[Disponible stock sin venta]]+Tabla1[[#This Row],[Ajuste stock sin venta]],0)</f>
        <v>0</v>
      </c>
      <c r="AD203" s="3">
        <f>IFERROR(VLOOKUP(Tabla1[[#This Row],[Llave]],'[16]TD Puerto'!$A:$D,4,FALSE),0)</f>
        <v>0</v>
      </c>
      <c r="AE203" s="3">
        <v>0</v>
      </c>
      <c r="AF203" s="3">
        <f>+Tabla1[[#This Row],[Atraso a facturar]]+Tabla1[[#This Row],[Venta del mes]]+Tabla1[[#This Row],[En puerto a facturar]]+Tabla1[[#This Row],[Disponible stock sin venta]]</f>
        <v>0</v>
      </c>
      <c r="AG203" s="3">
        <f>+Tabla1[[#This Row],[En puerto a facturar]]</f>
        <v>0</v>
      </c>
      <c r="AH203" s="3">
        <f>+Tabla1[[#This Row],[Facturación atraso]]</f>
        <v>0</v>
      </c>
      <c r="AI203" s="3">
        <f>+Tabla1[[#This Row],[Plan Irrestricto]]-Tabla1[[#This Row],[Puerto ]]-Tabla1[[#This Row],[Atraso]]</f>
        <v>0</v>
      </c>
      <c r="AJ20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03" s="3">
        <f>+Tabla1[[#This Row],[Facturación atraso]]</f>
        <v>0</v>
      </c>
      <c r="AL203" s="3">
        <f>+Tabla1[[#This Row],[Plan Ajustado]]-Tabla1[[#This Row],[ Atraso ajustado]]-Tabla1[[#This Row],[Puerto ]]</f>
        <v>0</v>
      </c>
      <c r="AM203" s="3">
        <v>0</v>
      </c>
      <c r="AN203" s="3" t="str">
        <f>IF(Tabla1[[#This Row],[Plan Ajustado]]&gt;Tabla1[[#This Row],[En puerto a facturar]],"Si","No")</f>
        <v>No</v>
      </c>
      <c r="AO20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03" s="3">
        <f>IF(Tabla1[[#This Row],[Necesidad]]&gt;=Tabla1[[#This Row],[Stock al día]],Tabla1[[#This Row],[Stock al día]],Tabla1[[#This Row],[Necesidad]])</f>
        <v>0</v>
      </c>
      <c r="AQ203" s="3">
        <f>+Tabla1[[#This Row],[Necesidad]]-Tabla1[[#This Row],[Stock Plan]]</f>
        <v>0</v>
      </c>
      <c r="AR203" s="156">
        <f>IFERROR(VLOOKUP(Tabla1[[#This Row],[Oficina]],[22]Ponderación!$B$3:$G$9,6,FALSE),"")</f>
        <v>44757</v>
      </c>
      <c r="AS20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1.8314070833333331</v>
      </c>
      <c r="AT203" s="83">
        <f>IFERROR(VLOOKUP(Tabla1[[#This Row],[Llave]],[17]DELAY!$H:$W,16,FALSE),0)</f>
        <v>0</v>
      </c>
      <c r="AU20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03" s="5">
        <f>+Tabla1[[#This Row],[Plan Ajustado]]*Tabla1[[#This Row],[Precio ponderado]]</f>
        <v>0</v>
      </c>
      <c r="AW203" s="30">
        <f>IFERROR(VLOOKUP(Tabla1[[#This Row],[Llave]],'[13]Ultimos precios facturados'!$A:$G,7,FALSE),0)</f>
        <v>1.8314070833333331</v>
      </c>
      <c r="AX20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03" s="30"/>
      <c r="AZ203" s="30">
        <f>IF(Tabla1[[#This Row],[Ajuste precio IC]]="",Tabla1[[#This Row],[Precio ponderado]],Tabla1[[#This Row],[Precio ponderado]])</f>
        <v>0</v>
      </c>
      <c r="BA203" s="82"/>
      <c r="BB203" s="82" t="str">
        <f>IF(AND(Tabla1[[#This Row],[Atraso a facturar]]&gt;0,Tabla1[[#This Row],[Precio Atraso]]=0),"Revisar","OK")</f>
        <v>OK</v>
      </c>
      <c r="BC203" s="82" t="str">
        <f>IF(AND(Tabla1[[#This Row],[Venta del mes]]&gt;0,Tabla1[[#This Row],[Precio venta nueva]]=0),"Revisar","OK")</f>
        <v>OK</v>
      </c>
      <c r="BD203" s="20">
        <f>IFERROR(VLOOKUP(Tabla1[[#This Row],[Llave]],'[5]Consolidación planes'!$A:$M,9,FALSE),0)</f>
        <v>0</v>
      </c>
      <c r="BE203" s="20">
        <f>IFERROR(VLOOKUP(Tabla1[[#This Row],[Llave]],'[5]Consolidación planes'!$A:$M,10,FALSE),0)</f>
        <v>0</v>
      </c>
      <c r="BF203" s="20">
        <f>IFERROR(VLOOKUP(Tabla1[[#This Row],[Llave]],'[5]Consolidación planes'!$A:$M,11,FALSE),0)</f>
        <v>0</v>
      </c>
      <c r="BG203" s="20">
        <f>IFERROR(VLOOKUP(Tabla1[[#This Row],[Llave]],'[5]Consolidación planes'!$A:$M,12,FALSE),0)</f>
        <v>0</v>
      </c>
      <c r="BH203" s="20">
        <f>IFERROR(VLOOKUP(Tabla1[[#This Row],[Llave]],'[5]Consolidación planes'!$A:$M,13,FALSE),0)</f>
        <v>0</v>
      </c>
      <c r="BI203" s="20">
        <f>IFERROR(VLOOKUP(Tabla1[[#This Row],[Llave]],'[13]Base ultimos planes'!$A:$M,13,FALSE),0)</f>
        <v>0</v>
      </c>
      <c r="BJ203" s="80">
        <f>IFERROR(VLOOKUP(Tabla1[[#This Row],[Llave]],'[13]Base ultimos planes'!$O:$AA,8,FALSE),0)</f>
        <v>0</v>
      </c>
      <c r="BK203" s="20">
        <f>IFERROR(VLOOKUP(Tabla1[[#This Row],[Llave]],'[13]Base ultimos planes'!$O:$AA,9,FALSE),0)</f>
        <v>0</v>
      </c>
      <c r="BL203" s="20">
        <f>IFERROR(VLOOKUP(Tabla1[[#This Row],[Llave]],'[13]Base ultimos planes'!$O:$AA,10,FALSE),0)</f>
        <v>0</v>
      </c>
      <c r="BM203" s="20">
        <f>IFERROR(VLOOKUP(Tabla1[[#This Row],[Llave]],'[13]Base ultimos planes'!$O:$AA,11,FALSE),0)</f>
        <v>0</v>
      </c>
      <c r="BN203" s="20">
        <f>IFERROR(VLOOKUP(Tabla1[[#This Row],[Llave]],'[13]Base ultimos planes'!$O:$AA,12,FALSE),0)</f>
        <v>0</v>
      </c>
      <c r="BO203" s="20">
        <f>IFERROR(VLOOKUP(Tabla1[[#This Row],[Llave]],'[13]Base ultimos planes'!$O:$AA,13,FALSE),0)</f>
        <v>0</v>
      </c>
      <c r="BP203" s="20"/>
      <c r="BQ203" s="20">
        <f>+Tabla1[[#This Row],[ RV  Venta mes n+1]]*(1-Tabla1[[#This Row],[% Uti. producción]])</f>
        <v>0</v>
      </c>
      <c r="BR203" s="100"/>
    </row>
    <row r="204" spans="1:70" ht="16" hidden="1" x14ac:dyDescent="0.2">
      <c r="A204">
        <v>1</v>
      </c>
      <c r="B204" t="str">
        <f>Tabla1[[#This Row],[Oficina]]&amp;Tabla1[[#This Row],[Material]]</f>
        <v>Agro Sudamerica1030545</v>
      </c>
      <c r="C204" t="s">
        <v>204</v>
      </c>
      <c r="D204" t="s">
        <v>17</v>
      </c>
      <c r="E204">
        <v>1030545</v>
      </c>
      <c r="F204" t="s">
        <v>222</v>
      </c>
      <c r="G204" t="s">
        <v>220</v>
      </c>
      <c r="H204" t="s">
        <v>221</v>
      </c>
      <c r="I204" s="7">
        <f>IFERROR(VLOOKUP(Tabla1[[#This Row],[Llave]],'[7]RV Producción'!$C:$G,5,FALSE),0)</f>
        <v>0</v>
      </c>
      <c r="J204" s="3">
        <f>IFERROR(IF(Tabla1[[#This Row],[Oficina]]=$I$7,VLOOKUP(Tabla1[[#This Row],[Llave]],'[7]Shangai (Tomas)'!$A:$F,6,FALSE),VLOOKUP(Tabla1[[#This Row],[Llave]],'[7]RV plan de ventas'!$A:$E,5,FALSE)),0)</f>
        <v>0</v>
      </c>
      <c r="K204" s="8">
        <f>IFERROR(VLOOKUP(Tabla1[[#This Row],[Oficina]],[15]Ponderación!$B$2:$E$9,4,FALSE),0)</f>
        <v>0.45719439678473212</v>
      </c>
      <c r="L204" s="7">
        <f>+Tabla1[[#This Row],[ RV Producción mes n+1]]*Tabla1[[#This Row],[% Uti. producción]]</f>
        <v>0</v>
      </c>
      <c r="M204" s="7">
        <f>IFERROR(VLOOKUP(Tabla1[[#This Row],[Material]],'[17]TD Stock'!$E:$I,5,FALSE),0)</f>
        <v>11550</v>
      </c>
      <c r="N204" s="7">
        <f>IFERROR(VLOOKUP(Tabla1[[#This Row],[Material]],[16]Produccion!$M:$N,2,FALSE),0)</f>
        <v>0</v>
      </c>
      <c r="O204" s="7">
        <f>IFERROR(VLOOKUP(Tabla1[[#This Row],[Llave]],'[16]TD Conf-AP'!$I:$M,4,FALSE),0)</f>
        <v>0</v>
      </c>
      <c r="P204" s="14">
        <f>SUM(Tabla1[[#This Row],[Producción disponible]],Tabla1[[#This Row],[Stock al día]],(Tabla1[[#This Row],[Por producir mes N]]*0.9))-Tabla1[[#This Row],[Producción por despachar mes N]]</f>
        <v>11550</v>
      </c>
      <c r="Q204" s="7">
        <f>IFERROR(VLOOKUP(Tabla1[[#This Row],[Llave]],[17]DELAY!$A:$D,4,FALSE),0)</f>
        <v>24000</v>
      </c>
      <c r="R204" s="9">
        <v>24000</v>
      </c>
      <c r="S204" s="5">
        <f t="shared" si="32"/>
        <v>0</v>
      </c>
      <c r="T204" s="76">
        <v>0</v>
      </c>
      <c r="U204" s="5">
        <f>+Tabla1[[#This Row],[Atraso a facturar]]+Tabla1[[#This Row],[Ajuste atraso]]</f>
        <v>0</v>
      </c>
      <c r="V204" s="3">
        <f>+Tabla1[[#This Row],[Total disponible]]-Tabla1[[#This Row],[Facturación atraso]]</f>
        <v>11550</v>
      </c>
      <c r="W204" s="6">
        <f>IFERROR(IF(AND(V204&gt;R204,J204&gt;=R204),ROUNDDOWN((Tabla1[[#This Row],[Producción para venta nueva]])/R204,0)*R204,0),0)</f>
        <v>0</v>
      </c>
      <c r="X204" s="76">
        <v>0</v>
      </c>
      <c r="Y204" s="6">
        <f>IF(Tabla1[[#This Row],[Venta del mes]]&gt;0,Tabla1[[#This Row],[Venta del mes]]+Tabla1[[#This Row],[Ajuste venta nueva]],0)</f>
        <v>0</v>
      </c>
      <c r="Z204" s="6">
        <f>+Tabla1[[#This Row],[Producción para venta nueva]]-Tabla1[[#This Row],[Facturación Venta nueva]]</f>
        <v>11550</v>
      </c>
      <c r="AA204" s="6">
        <f>IF(AND(A204=1,Tabla1[[#This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04" s="6"/>
      <c r="AC204" s="6">
        <f>IF(Tabla1[[#This Row],[Disponible stock sin venta]]&gt;0,Tabla1[[#This Row],[Disponible stock sin venta]]+Tabla1[[#This Row],[Ajuste stock sin venta]],0)</f>
        <v>0</v>
      </c>
      <c r="AD204" s="3">
        <f>IFERROR(VLOOKUP(Tabla1[[#This Row],[Llave]],'[16]TD Puerto'!$A:$D,4,FALSE),0)</f>
        <v>0</v>
      </c>
      <c r="AE204" s="3">
        <v>0</v>
      </c>
      <c r="AF204" s="3">
        <f>+Tabla1[[#This Row],[Atraso a facturar]]+Tabla1[[#This Row],[Venta del mes]]+Tabla1[[#This Row],[En puerto a facturar]]+Tabla1[[#This Row],[Disponible stock sin venta]]</f>
        <v>0</v>
      </c>
      <c r="AG204" s="3">
        <f>+Tabla1[[#This Row],[En puerto a facturar]]</f>
        <v>0</v>
      </c>
      <c r="AH204" s="3">
        <f>+Tabla1[[#This Row],[Facturación atraso]]</f>
        <v>0</v>
      </c>
      <c r="AI204" s="3">
        <f>+Tabla1[[#This Row],[Plan Irrestricto]]-Tabla1[[#This Row],[Puerto ]]-Tabla1[[#This Row],[Atraso]]</f>
        <v>0</v>
      </c>
      <c r="AJ20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04" s="3">
        <f>+Tabla1[[#This Row],[Facturación atraso]]</f>
        <v>0</v>
      </c>
      <c r="AL204" s="3">
        <f>+Tabla1[[#This Row],[Plan Ajustado]]-Tabla1[[#This Row],[ Atraso ajustado]]-Tabla1[[#This Row],[Puerto ]]</f>
        <v>0</v>
      </c>
      <c r="AM204" s="3">
        <v>0</v>
      </c>
      <c r="AN204" s="3" t="str">
        <f>IF(Tabla1[[#This Row],[Plan Ajustado]]&gt;Tabla1[[#This Row],[En puerto a facturar]],"Si","No")</f>
        <v>No</v>
      </c>
      <c r="AO20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04" s="3">
        <f>IF(Tabla1[[#This Row],[Necesidad]]&gt;=Tabla1[[#This Row],[Stock al día]],Tabla1[[#This Row],[Stock al día]],Tabla1[[#This Row],[Necesidad]])</f>
        <v>0</v>
      </c>
      <c r="AQ204" s="3">
        <f>+Tabla1[[#This Row],[Necesidad]]-Tabla1[[#This Row],[Stock Plan]]</f>
        <v>0</v>
      </c>
      <c r="AR204" s="156">
        <f>IFERROR(VLOOKUP(Tabla1[[#This Row],[Oficina]],[22]Ponderación!$B$3:$G$9,6,FALSE),"")</f>
        <v>44757</v>
      </c>
      <c r="AS20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4.434040416666666</v>
      </c>
      <c r="AT204" s="83">
        <f>IFERROR(VLOOKUP(Tabla1[[#This Row],[Llave]],[17]DELAY!$H:$W,16,FALSE),0)</f>
        <v>4.5999999999999996</v>
      </c>
      <c r="AU20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04" s="5">
        <f>+Tabla1[[#This Row],[Plan Ajustado]]*Tabla1[[#This Row],[Precio ponderado]]</f>
        <v>0</v>
      </c>
      <c r="AW204" s="30">
        <f>IFERROR(VLOOKUP(Tabla1[[#This Row],[Llave]],'[13]Ultimos precios facturados'!$A:$G,7,FALSE),0)</f>
        <v>4.434040416666666</v>
      </c>
      <c r="AX20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04" s="30"/>
      <c r="AZ204" s="30">
        <f>IF(Tabla1[[#This Row],[Ajuste precio IC]]="",Tabla1[[#This Row],[Precio ponderado]],Tabla1[[#This Row],[Precio ponderado]])</f>
        <v>0</v>
      </c>
      <c r="BA204" s="82"/>
      <c r="BB204" s="82" t="str">
        <f>IF(AND(Tabla1[[#This Row],[Atraso a facturar]]&gt;0,Tabla1[[#This Row],[Precio Atraso]]=0),"Revisar","OK")</f>
        <v>OK</v>
      </c>
      <c r="BC204" s="82" t="str">
        <f>IF(AND(Tabla1[[#This Row],[Venta del mes]]&gt;0,Tabla1[[#This Row],[Precio venta nueva]]=0),"Revisar","OK")</f>
        <v>OK</v>
      </c>
      <c r="BD204" s="20">
        <f>IFERROR(VLOOKUP(Tabla1[[#This Row],[Llave]],'[5]Consolidación planes'!$A:$M,9,FALSE),0)</f>
        <v>24000</v>
      </c>
      <c r="BE204" s="20">
        <f>IFERROR(VLOOKUP(Tabla1[[#This Row],[Llave]],'[5]Consolidación planes'!$A:$M,10,FALSE),0)</f>
        <v>48000</v>
      </c>
      <c r="BF204" s="20">
        <f>IFERROR(VLOOKUP(Tabla1[[#This Row],[Llave]],'[5]Consolidación planes'!$A:$M,11,FALSE),0)</f>
        <v>44000</v>
      </c>
      <c r="BG204" s="20">
        <f>IFERROR(VLOOKUP(Tabla1[[#This Row],[Llave]],'[5]Consolidación planes'!$A:$M,12,FALSE),0)</f>
        <v>24000</v>
      </c>
      <c r="BH204" s="20">
        <f>IFERROR(VLOOKUP(Tabla1[[#This Row],[Llave]],'[5]Consolidación planes'!$A:$M,13,FALSE),0)</f>
        <v>72000</v>
      </c>
      <c r="BI204" s="20">
        <f>IFERROR(VLOOKUP(Tabla1[[#This Row],[Llave]],'[13]Base ultimos planes'!$A:$M,13,FALSE),0)</f>
        <v>0</v>
      </c>
      <c r="BJ204" s="80">
        <f>IFERROR(VLOOKUP(Tabla1[[#This Row],[Llave]],'[13]Base ultimos planes'!$O:$AA,8,FALSE),0)</f>
        <v>102960</v>
      </c>
      <c r="BK204" s="20">
        <f>IFERROR(VLOOKUP(Tabla1[[#This Row],[Llave]],'[13]Base ultimos planes'!$O:$AA,9,FALSE),0)</f>
        <v>198670</v>
      </c>
      <c r="BL204" s="20">
        <f>IFERROR(VLOOKUP(Tabla1[[#This Row],[Llave]],'[13]Base ultimos planes'!$O:$AA,10,FALSE),0)</f>
        <v>190200</v>
      </c>
      <c r="BM204" s="20">
        <f>IFERROR(VLOOKUP(Tabla1[[#This Row],[Llave]],'[13]Base ultimos planes'!$O:$AA,11,FALSE),0)</f>
        <v>104400</v>
      </c>
      <c r="BN204" s="20">
        <f>IFERROR(VLOOKUP(Tabla1[[#This Row],[Llave]],'[13]Base ultimos planes'!$O:$AA,12,FALSE),0)</f>
        <v>308400</v>
      </c>
      <c r="BO204" s="20">
        <f>IFERROR(VLOOKUP(Tabla1[[#This Row],[Llave]],'[13]Base ultimos planes'!$O:$AA,13,FALSE),0)</f>
        <v>0</v>
      </c>
      <c r="BP204" s="20"/>
      <c r="BQ204" s="20">
        <f>+Tabla1[[#This Row],[ RV  Venta mes n+1]]*(1-Tabla1[[#This Row],[% Uti. producción]])</f>
        <v>0</v>
      </c>
      <c r="BR204" s="100"/>
    </row>
    <row r="205" spans="1:70" ht="16" x14ac:dyDescent="0.2">
      <c r="A205">
        <v>1</v>
      </c>
      <c r="B205" t="str">
        <f>Tabla1[[#This Row],[Oficina]]&amp;Tabla1[[#This Row],[Material]]</f>
        <v>Agro Sudamerica1030670</v>
      </c>
      <c r="C205" t="s">
        <v>204</v>
      </c>
      <c r="D205" t="s">
        <v>17</v>
      </c>
      <c r="E205">
        <v>1030670</v>
      </c>
      <c r="F205" t="s">
        <v>214</v>
      </c>
      <c r="G205" t="s">
        <v>212</v>
      </c>
      <c r="H205" t="s">
        <v>213</v>
      </c>
      <c r="I205" s="7">
        <f>IFERROR(VLOOKUP(Tabla1[[#This Row],[Llave]],'[7]RV Producción'!$C:$G,5,FALSE),0)</f>
        <v>0</v>
      </c>
      <c r="J205" s="3">
        <f>IFERROR(IF(Tabla1[[#This Row],[Oficina]]=$I$7,VLOOKUP(Tabla1[[#This Row],[Llave]],'[7]Shangai (Tomas)'!$A:$F,6,FALSE),VLOOKUP(Tabla1[[#This Row],[Llave]],'[7]RV plan de ventas'!$A:$E,5,FALSE)),0)</f>
        <v>0</v>
      </c>
      <c r="K205" s="8">
        <f>IFERROR(VLOOKUP(Tabla1[[#This Row],[Oficina]],[15]Ponderación!$B$2:$E$9,4,FALSE),0)</f>
        <v>0.45719439678473212</v>
      </c>
      <c r="L205" s="7">
        <f>+Tabla1[[#This Row],[ RV Producción mes n+1]]*Tabla1[[#This Row],[% Uti. producción]]</f>
        <v>0</v>
      </c>
      <c r="M205" s="7">
        <f>IFERROR(VLOOKUP(Tabla1[[#This Row],[Material]],'[17]TD Stock'!$E:$I,5,FALSE),0)</f>
        <v>51045</v>
      </c>
      <c r="N205" s="7">
        <f>IFERROR(VLOOKUP(Tabla1[[#This Row],[Material]],[16]Produccion!$M:$N,2,FALSE),0)</f>
        <v>0</v>
      </c>
      <c r="O205" s="7">
        <f>IFERROR(VLOOKUP(Tabla1[[#This Row],[Llave]],'[16]TD Conf-AP'!$I:$M,4,FALSE),0)</f>
        <v>0</v>
      </c>
      <c r="P205" s="14">
        <f>SUM(Tabla1[[#This Row],[Producción disponible]],Tabla1[[#This Row],[Stock al día]],(Tabla1[[#This Row],[Por producir mes N]]*0.9))-Tabla1[[#This Row],[Producción por despachar mes N]]</f>
        <v>51045</v>
      </c>
      <c r="Q205" s="7">
        <f>IFERROR(VLOOKUP(Tabla1[[#This Row],[Llave]],[17]DELAY!$A:$D,4,FALSE),0)</f>
        <v>0</v>
      </c>
      <c r="R205" s="9">
        <v>24000</v>
      </c>
      <c r="S205" s="5">
        <f t="shared" si="32"/>
        <v>0</v>
      </c>
      <c r="T205" s="76">
        <v>0</v>
      </c>
      <c r="U205" s="5">
        <f>+Tabla1[[#This Row],[Atraso a facturar]]+Tabla1[[#This Row],[Ajuste atraso]]</f>
        <v>0</v>
      </c>
      <c r="V205" s="3">
        <f>+Tabla1[[#This Row],[Total disponible]]-Tabla1[[#This Row],[Facturación atraso]]</f>
        <v>51045</v>
      </c>
      <c r="W205" s="6">
        <f>IFERROR(IF(AND(V205&gt;R205,J205&gt;=R205),ROUNDDOWN((Tabla1[[#This Row],[Producción para venta nueva]])/R205,0)*R205,0),0)</f>
        <v>0</v>
      </c>
      <c r="X205" s="76">
        <v>0</v>
      </c>
      <c r="Y205" s="6">
        <f>IF(Tabla1[[#This Row],[Venta del mes]]&gt;0,Tabla1[[#This Row],[Venta del mes]]+Tabla1[[#This Row],[Ajuste venta nueva]],0)</f>
        <v>0</v>
      </c>
      <c r="Z205" s="6">
        <f>+Tabla1[[#This Row],[Producción para venta nueva]]-Tabla1[[#This Row],[Facturación Venta nueva]]</f>
        <v>51045</v>
      </c>
      <c r="AA205" s="6">
        <f>IF(AND(A205=1,Tabla1[[#This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48000</v>
      </c>
      <c r="AB205" s="6"/>
      <c r="AC205" s="6">
        <f>IF(Tabla1[[#This Row],[Disponible stock sin venta]]&gt;0,Tabla1[[#This Row],[Disponible stock sin venta]]+Tabla1[[#This Row],[Ajuste stock sin venta]],0)</f>
        <v>48000</v>
      </c>
      <c r="AD205" s="3">
        <f>IFERROR(VLOOKUP(Tabla1[[#This Row],[Llave]],'[16]TD Puerto'!$A:$D,4,FALSE),0)</f>
        <v>0</v>
      </c>
      <c r="AE205" s="3">
        <v>48000</v>
      </c>
      <c r="AF205" s="3">
        <f>+Tabla1[[#This Row],[Atraso a facturar]]+Tabla1[[#This Row],[Venta del mes]]+Tabla1[[#This Row],[En puerto a facturar]]+Tabla1[[#This Row],[Disponible stock sin venta]]</f>
        <v>48000</v>
      </c>
      <c r="AG205" s="3">
        <f>+Tabla1[[#This Row],[En puerto a facturar]]</f>
        <v>0</v>
      </c>
      <c r="AH205" s="3">
        <f>+Tabla1[[#This Row],[Facturación atraso]]</f>
        <v>0</v>
      </c>
      <c r="AI205" s="3">
        <f>+Tabla1[[#This Row],[Plan Irrestricto]]-Tabla1[[#This Row],[Puerto ]]-Tabla1[[#This Row],[Atraso]]</f>
        <v>48000</v>
      </c>
      <c r="AJ205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205" s="3">
        <f>+Tabla1[[#This Row],[Facturación atraso]]</f>
        <v>0</v>
      </c>
      <c r="AL205" s="3">
        <f>+Tabla1[[#This Row],[Plan Ajustado]]-Tabla1[[#This Row],[ Atraso ajustado]]-Tabla1[[#This Row],[Puerto ]]</f>
        <v>48000</v>
      </c>
      <c r="AM205" s="3">
        <v>0</v>
      </c>
      <c r="AN205" s="3" t="str">
        <f>IF(Tabla1[[#This Row],[Plan Ajustado]]&gt;Tabla1[[#This Row],[En puerto a facturar]],"Si","No")</f>
        <v>Si</v>
      </c>
      <c r="AO205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205" s="3">
        <f>IF(Tabla1[[#This Row],[Necesidad]]&gt;=Tabla1[[#This Row],[Stock al día]],Tabla1[[#This Row],[Stock al día]],Tabla1[[#This Row],[Necesidad]])</f>
        <v>48000</v>
      </c>
      <c r="AQ205" s="3">
        <f>+Tabla1[[#This Row],[Necesidad]]-Tabla1[[#This Row],[Stock Plan]]</f>
        <v>0</v>
      </c>
      <c r="AR205" s="156">
        <f>IFERROR(VLOOKUP(Tabla1[[#This Row],[Oficina]],[22]Ponderación!$B$3:$G$9,6,FALSE),"")</f>
        <v>44757</v>
      </c>
      <c r="AS20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9.2431968452380939</v>
      </c>
      <c r="AT205" s="84">
        <f>+Tabla1[[#This Row],[Precio venta nueva]]</f>
        <v>9.2431968452380939</v>
      </c>
      <c r="AU20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9.2431968452380939</v>
      </c>
      <c r="AV205" s="5">
        <f>+Tabla1[[#This Row],[Plan Ajustado]]*Tabla1[[#This Row],[Precio ponderado]]</f>
        <v>443673.44857142848</v>
      </c>
      <c r="AW205" s="30">
        <f>IFERROR(VLOOKUP(Tabla1[[#This Row],[Llave]],'[13]Ultimos precios facturados'!$A:$G,7,FALSE),0)</f>
        <v>9.2431968452380939</v>
      </c>
      <c r="AX20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205" s="30"/>
      <c r="AZ205" s="30">
        <f>IF(Tabla1[[#This Row],[Ajuste precio IC]]="",Tabla1[[#This Row],[Precio ponderado]],Tabla1[[#This Row],[Precio ponderado]])</f>
        <v>9.2431968452380939</v>
      </c>
      <c r="BA205" s="82"/>
      <c r="BB205" s="82" t="str">
        <f>IF(AND(Tabla1[[#This Row],[Atraso a facturar]]&gt;0,Tabla1[[#This Row],[Precio Atraso]]=0),"Revisar","OK")</f>
        <v>OK</v>
      </c>
      <c r="BC205" s="82" t="str">
        <f>IF(AND(Tabla1[[#This Row],[Venta del mes]]&gt;0,Tabla1[[#This Row],[Precio venta nueva]]=0),"Revisar","OK")</f>
        <v>OK</v>
      </c>
      <c r="BD205" s="20">
        <f>IFERROR(VLOOKUP(Tabla1[[#This Row],[Llave]],'[5]Consolidación planes'!$A:$M,9,FALSE),0)</f>
        <v>24000</v>
      </c>
      <c r="BE205" s="20">
        <f>IFERROR(VLOOKUP(Tabla1[[#This Row],[Llave]],'[5]Consolidación planes'!$A:$M,10,FALSE),0)</f>
        <v>96000</v>
      </c>
      <c r="BF205" s="20">
        <f>IFERROR(VLOOKUP(Tabla1[[#This Row],[Llave]],'[5]Consolidación planes'!$A:$M,11,FALSE),0)</f>
        <v>48000</v>
      </c>
      <c r="BG205" s="20">
        <f>IFERROR(VLOOKUP(Tabla1[[#This Row],[Llave]],'[5]Consolidación planes'!$A:$M,12,FALSE),0)</f>
        <v>72000</v>
      </c>
      <c r="BH205" s="20">
        <f>IFERROR(VLOOKUP(Tabla1[[#This Row],[Llave]],'[5]Consolidación planes'!$A:$M,13,FALSE),0)</f>
        <v>72000</v>
      </c>
      <c r="BI205" s="20">
        <f>IFERROR(VLOOKUP(Tabla1[[#This Row],[Llave]],'[13]Base ultimos planes'!$A:$M,13,FALSE),0)</f>
        <v>48000</v>
      </c>
      <c r="BJ205" s="80">
        <f>IFERROR(VLOOKUP(Tabla1[[#This Row],[Llave]],'[13]Base ultimos planes'!$O:$AA,8,FALSE),0)</f>
        <v>170400</v>
      </c>
      <c r="BK205" s="20">
        <f>IFERROR(VLOOKUP(Tabla1[[#This Row],[Llave]],'[13]Base ultimos planes'!$O:$AA,9,FALSE),0)</f>
        <v>703800</v>
      </c>
      <c r="BL205" s="20">
        <f>IFERROR(VLOOKUP(Tabla1[[#This Row],[Llave]],'[13]Base ultimos planes'!$O:$AA,10,FALSE),0)</f>
        <v>393280</v>
      </c>
      <c r="BM205" s="20">
        <f>IFERROR(VLOOKUP(Tabla1[[#This Row],[Llave]],'[13]Base ultimos planes'!$O:$AA,11,FALSE),0)</f>
        <v>579360</v>
      </c>
      <c r="BN205" s="20">
        <f>IFERROR(VLOOKUP(Tabla1[[#This Row],[Llave]],'[13]Base ultimos planes'!$O:$AA,12,FALSE),0)</f>
        <v>752400</v>
      </c>
      <c r="BO205" s="20">
        <f>IFERROR(VLOOKUP(Tabla1[[#This Row],[Llave]],'[13]Base ultimos planes'!$O:$AA,13,FALSE),0)</f>
        <v>572402</v>
      </c>
      <c r="BP205" s="20"/>
      <c r="BQ205" s="20">
        <f>+Tabla1[[#This Row],[ RV  Venta mes n+1]]*(1-Tabla1[[#This Row],[% Uti. producción]])</f>
        <v>0</v>
      </c>
      <c r="BR205" s="100"/>
    </row>
    <row r="206" spans="1:70" ht="16" x14ac:dyDescent="0.2">
      <c r="A206">
        <v>1</v>
      </c>
      <c r="B206" t="str">
        <f>Tabla1[[#This Row],[Oficina]]&amp;Tabla1[[#This Row],[Material]]</f>
        <v>Agro Sudamerica1030720</v>
      </c>
      <c r="C206" t="s">
        <v>204</v>
      </c>
      <c r="D206" t="s">
        <v>17</v>
      </c>
      <c r="E206">
        <v>1030720</v>
      </c>
      <c r="F206" t="s">
        <v>216</v>
      </c>
      <c r="G206" t="s">
        <v>71</v>
      </c>
      <c r="H206" t="s">
        <v>215</v>
      </c>
      <c r="I206" s="7">
        <f>IFERROR(VLOOKUP(Tabla1[[#This Row],[Llave]],'[7]RV Producción'!$C:$G,5,FALSE),0)</f>
        <v>0</v>
      </c>
      <c r="J206" s="3">
        <f>IFERROR(IF(Tabla1[[#This Row],[Oficina]]=$I$7,VLOOKUP(Tabla1[[#This Row],[Llave]],'[7]Shangai (Tomas)'!$A:$F,6,FALSE),VLOOKUP(Tabla1[[#This Row],[Llave]],'[7]RV plan de ventas'!$A:$E,5,FALSE)),0)</f>
        <v>0</v>
      </c>
      <c r="K206" s="8">
        <f>IFERROR(VLOOKUP(Tabla1[[#This Row],[Oficina]],[15]Ponderación!$B$2:$E$9,4,FALSE),0)</f>
        <v>0.45719439678473212</v>
      </c>
      <c r="L206" s="7">
        <f>+Tabla1[[#This Row],[ RV Producción mes n+1]]*Tabla1[[#This Row],[% Uti. producción]]</f>
        <v>0</v>
      </c>
      <c r="M206" s="7">
        <f>IFERROR(VLOOKUP(Tabla1[[#This Row],[Material]],'[17]TD Stock'!$E:$I,5,FALSE),0)</f>
        <v>19812.350000000002</v>
      </c>
      <c r="N206" s="7">
        <f>IFERROR(VLOOKUP(Tabla1[[#This Row],[Material]],[16]Produccion!$M:$N,2,FALSE),0)</f>
        <v>6000</v>
      </c>
      <c r="O206" s="7">
        <f>IFERROR(VLOOKUP(Tabla1[[#This Row],[Llave]],'[16]TD Conf-AP'!$I:$M,4,FALSE),0)</f>
        <v>0</v>
      </c>
      <c r="P206" s="14">
        <f>SUM(Tabla1[[#This Row],[Producción disponible]],Tabla1[[#This Row],[Stock al día]],(Tabla1[[#This Row],[Por producir mes N]]*0.9))-Tabla1[[#This Row],[Producción por despachar mes N]]</f>
        <v>25212.350000000002</v>
      </c>
      <c r="Q206" s="7">
        <f>IFERROR(VLOOKUP(Tabla1[[#This Row],[Llave]],[17]DELAY!$A:$D,4,FALSE),0)</f>
        <v>0</v>
      </c>
      <c r="R206" s="9">
        <v>24000</v>
      </c>
      <c r="S206" s="5">
        <f t="shared" si="32"/>
        <v>0</v>
      </c>
      <c r="T206" s="76">
        <v>0</v>
      </c>
      <c r="U206" s="5">
        <f>+Tabla1[[#This Row],[Atraso a facturar]]+Tabla1[[#This Row],[Ajuste atraso]]</f>
        <v>0</v>
      </c>
      <c r="V206" s="3">
        <f>+Tabla1[[#This Row],[Total disponible]]-Tabla1[[#This Row],[Facturación atraso]]</f>
        <v>25212.350000000002</v>
      </c>
      <c r="W206" s="6">
        <f>IFERROR(IF(AND(V206&gt;R206,J206&gt;=R206),ROUNDDOWN((Tabla1[[#This Row],[Producción para venta nueva]])/R206,0)*R206,0),0)</f>
        <v>0</v>
      </c>
      <c r="X206" s="76">
        <v>0</v>
      </c>
      <c r="Y206" s="6">
        <f>IF(Tabla1[[#This Row],[Venta del mes]]&gt;0,Tabla1[[#This Row],[Venta del mes]]+Tabla1[[#This Row],[Ajuste venta nueva]],0)</f>
        <v>0</v>
      </c>
      <c r="Z206" s="6">
        <f>+Tabla1[[#This Row],[Producción para venta nueva]]-Tabla1[[#This Row],[Facturación Venta nueva]]</f>
        <v>25212.350000000002</v>
      </c>
      <c r="AA206" s="6">
        <f>IF(AND(A206=1,Tabla1[[#This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24000</v>
      </c>
      <c r="AB206" s="6"/>
      <c r="AC206" s="6">
        <f>IF(Tabla1[[#This Row],[Disponible stock sin venta]]&gt;0,Tabla1[[#This Row],[Disponible stock sin venta]]+Tabla1[[#This Row],[Ajuste stock sin venta]],0)</f>
        <v>24000</v>
      </c>
      <c r="AD206" s="3">
        <f>IFERROR(VLOOKUP(Tabla1[[#This Row],[Llave]],'[16]TD Puerto'!$A:$D,4,FALSE),0)</f>
        <v>0</v>
      </c>
      <c r="AE206" s="3">
        <v>24000</v>
      </c>
      <c r="AF206" s="3">
        <f>+Tabla1[[#This Row],[Atraso a facturar]]+Tabla1[[#This Row],[Venta del mes]]+Tabla1[[#This Row],[En puerto a facturar]]+Tabla1[[#This Row],[Disponible stock sin venta]]</f>
        <v>24000</v>
      </c>
      <c r="AG206" s="3">
        <f>+Tabla1[[#This Row],[En puerto a facturar]]</f>
        <v>0</v>
      </c>
      <c r="AH206" s="3">
        <f>+Tabla1[[#This Row],[Facturación atraso]]</f>
        <v>0</v>
      </c>
      <c r="AI206" s="3">
        <f>+Tabla1[[#This Row],[Plan Irrestricto]]-Tabla1[[#This Row],[Puerto ]]-Tabla1[[#This Row],[Atraso]]</f>
        <v>24000</v>
      </c>
      <c r="AJ206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206" s="3">
        <f>+Tabla1[[#This Row],[Facturación atraso]]</f>
        <v>0</v>
      </c>
      <c r="AL206" s="3">
        <f>+Tabla1[[#This Row],[Plan Ajustado]]-Tabla1[[#This Row],[ Atraso ajustado]]-Tabla1[[#This Row],[Puerto ]]</f>
        <v>24000</v>
      </c>
      <c r="AM206" s="3">
        <v>0</v>
      </c>
      <c r="AN206" s="3" t="str">
        <f>IF(Tabla1[[#This Row],[Plan Ajustado]]&gt;Tabla1[[#This Row],[En puerto a facturar]],"Si","No")</f>
        <v>Si</v>
      </c>
      <c r="AO206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206" s="3">
        <f>IF(Tabla1[[#This Row],[Necesidad]]&gt;=Tabla1[[#This Row],[Stock al día]],Tabla1[[#This Row],[Stock al día]],Tabla1[[#This Row],[Necesidad]])</f>
        <v>19812.350000000002</v>
      </c>
      <c r="AQ206" s="3">
        <f>+Tabla1[[#This Row],[Necesidad]]-Tabla1[[#This Row],[Stock Plan]]</f>
        <v>4187.6499999999978</v>
      </c>
      <c r="AR206" s="156">
        <f>IFERROR(VLOOKUP(Tabla1[[#This Row],[Oficina]],[22]Ponderación!$B$3:$G$9,6,FALSE),"")</f>
        <v>44757</v>
      </c>
      <c r="AS20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0.55210199730274134</v>
      </c>
      <c r="AT206" s="84">
        <f>+Tabla1[[#This Row],[Precio venta nueva]]</f>
        <v>0.55210199730274134</v>
      </c>
      <c r="AU20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0.55210199730274134</v>
      </c>
      <c r="AV206" s="5">
        <f>+Tabla1[[#This Row],[Plan Ajustado]]*Tabla1[[#This Row],[Precio ponderado]]</f>
        <v>13250.447935265793</v>
      </c>
      <c r="AW206" s="30">
        <f>IFERROR(VLOOKUP(Tabla1[[#This Row],[Llave]],'[13]Ultimos precios facturados'!$A:$G,7,FALSE),0)</f>
        <v>0.55210199730274134</v>
      </c>
      <c r="AX20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</v>
      </c>
      <c r="AY206" s="30"/>
      <c r="AZ206" s="30">
        <f>IF(Tabla1[[#This Row],[Ajuste precio IC]]="",Tabla1[[#This Row],[Precio ponderado]],Tabla1[[#This Row],[Precio ponderado]])</f>
        <v>0.55210199730274134</v>
      </c>
      <c r="BA206" s="82"/>
      <c r="BB206" s="82" t="str">
        <f>IF(AND(Tabla1[[#This Row],[Atraso a facturar]]&gt;0,Tabla1[[#This Row],[Precio Atraso]]=0),"Revisar","OK")</f>
        <v>OK</v>
      </c>
      <c r="BC206" s="82" t="str">
        <f>IF(AND(Tabla1[[#This Row],[Venta del mes]]&gt;0,Tabla1[[#This Row],[Precio venta nueva]]=0),"Revisar","OK")</f>
        <v>OK</v>
      </c>
      <c r="BD206" s="20">
        <f>IFERROR(VLOOKUP(Tabla1[[#This Row],[Llave]],'[5]Consolidación planes'!$A:$M,9,FALSE),0)</f>
        <v>0</v>
      </c>
      <c r="BE206" s="20">
        <f>IFERROR(VLOOKUP(Tabla1[[#This Row],[Llave]],'[5]Consolidación planes'!$A:$M,10,FALSE),0)</f>
        <v>24000</v>
      </c>
      <c r="BF206" s="20">
        <f>IFERROR(VLOOKUP(Tabla1[[#This Row],[Llave]],'[5]Consolidación planes'!$A:$M,11,FALSE),0)</f>
        <v>24000</v>
      </c>
      <c r="BG206" s="20">
        <f>IFERROR(VLOOKUP(Tabla1[[#This Row],[Llave]],'[5]Consolidación planes'!$A:$M,12,FALSE),0)</f>
        <v>28001</v>
      </c>
      <c r="BH206" s="20">
        <f>IFERROR(VLOOKUP(Tabla1[[#This Row],[Llave]],'[5]Consolidación planes'!$A:$M,13,FALSE),0)</f>
        <v>48000</v>
      </c>
      <c r="BI206" s="20">
        <f>IFERROR(VLOOKUP(Tabla1[[#This Row],[Llave]],'[13]Base ultimos planes'!$A:$M,13,FALSE),0)</f>
        <v>24000</v>
      </c>
      <c r="BJ206" s="80">
        <f>IFERROR(VLOOKUP(Tabla1[[#This Row],[Llave]],'[13]Base ultimos planes'!$O:$AA,8,FALSE),0)</f>
        <v>0</v>
      </c>
      <c r="BK206" s="20">
        <f>IFERROR(VLOOKUP(Tabla1[[#This Row],[Llave]],'[13]Base ultimos planes'!$O:$AA,9,FALSE),0)</f>
        <v>12000</v>
      </c>
      <c r="BL206" s="20">
        <f>IFERROR(VLOOKUP(Tabla1[[#This Row],[Llave]],'[13]Base ultimos planes'!$O:$AA,10,FALSE),0)</f>
        <v>12469</v>
      </c>
      <c r="BM206" s="20">
        <f>IFERROR(VLOOKUP(Tabla1[[#This Row],[Llave]],'[13]Base ultimos planes'!$O:$AA,11,FALSE),0)</f>
        <v>12880</v>
      </c>
      <c r="BN206" s="20">
        <f>IFERROR(VLOOKUP(Tabla1[[#This Row],[Llave]],'[13]Base ultimos planes'!$O:$AA,12,FALSE),0)</f>
        <v>22427</v>
      </c>
      <c r="BO206" s="20">
        <f>IFERROR(VLOOKUP(Tabla1[[#This Row],[Llave]],'[13]Base ultimos planes'!$O:$AA,13,FALSE),0)</f>
        <v>12960</v>
      </c>
      <c r="BP206" s="20"/>
      <c r="BQ206" s="20">
        <f>+Tabla1[[#This Row],[ RV  Venta mes n+1]]*(1-Tabla1[[#This Row],[% Uti. producción]])</f>
        <v>0</v>
      </c>
      <c r="BR206" s="100"/>
    </row>
    <row r="207" spans="1:70" ht="16" hidden="1" x14ac:dyDescent="0.2">
      <c r="A207">
        <v>1</v>
      </c>
      <c r="B207" t="str">
        <f>Tabla1[[#This Row],[Oficina]]&amp;Tabla1[[#This Row],[Material]]</f>
        <v>Agro Sudamerica1030732</v>
      </c>
      <c r="C207" t="s">
        <v>204</v>
      </c>
      <c r="D207" t="s">
        <v>17</v>
      </c>
      <c r="E207">
        <v>1030732</v>
      </c>
      <c r="F207" t="s">
        <v>320</v>
      </c>
      <c r="G207" t="s">
        <v>212</v>
      </c>
      <c r="H207" t="s">
        <v>319</v>
      </c>
      <c r="I207" s="7">
        <f>IFERROR(VLOOKUP(Tabla1[[#This Row],[Llave]],'[7]RV Producción'!$C:$G,5,FALSE),0)</f>
        <v>0</v>
      </c>
      <c r="J207" s="3">
        <f>IFERROR(IF(Tabla1[[#This Row],[Oficina]]=$I$7,VLOOKUP(Tabla1[[#This Row],[Llave]],'[7]Shangai (Tomas)'!$A:$F,6,FALSE),VLOOKUP(Tabla1[[#This Row],[Llave]],'[7]RV plan de ventas'!$A:$E,5,FALSE)),0)</f>
        <v>0</v>
      </c>
      <c r="K207" s="8">
        <f>IFERROR(VLOOKUP(Tabla1[[#This Row],[Oficina]],[15]Ponderación!$B$2:$E$9,4,FALSE),0)</f>
        <v>0.45719439678473212</v>
      </c>
      <c r="L207" s="7">
        <f>+Tabla1[[#This Row],[ RV Producción mes n+1]]*Tabla1[[#This Row],[% Uti. producción]]</f>
        <v>0</v>
      </c>
      <c r="M207" s="7">
        <f>IFERROR(VLOOKUP(Tabla1[[#This Row],[Material]],'[17]TD Stock'!$E:$I,5,FALSE),0)</f>
        <v>0</v>
      </c>
      <c r="N207" s="7">
        <f>IFERROR(VLOOKUP(Tabla1[[#This Row],[Material]],[16]Produccion!$M:$N,2,FALSE),0)</f>
        <v>0</v>
      </c>
      <c r="O207" s="7">
        <f>IFERROR(VLOOKUP(Tabla1[[#This Row],[Llave]],'[16]TD Conf-AP'!$I:$M,4,FALSE),0)</f>
        <v>0</v>
      </c>
      <c r="P207" s="14">
        <f>SUM(Tabla1[[#This Row],[Producción disponible]],Tabla1[[#This Row],[Stock al día]],(Tabla1[[#This Row],[Por producir mes N]]*0.9))-Tabla1[[#This Row],[Producción por despachar mes N]]</f>
        <v>0</v>
      </c>
      <c r="Q207" s="7">
        <f>IFERROR(VLOOKUP(Tabla1[[#This Row],[Llave]],[17]DELAY!$A:$D,4,FALSE),0)</f>
        <v>0</v>
      </c>
      <c r="R207" s="9">
        <v>24000</v>
      </c>
      <c r="S207" s="5">
        <f t="shared" si="32"/>
        <v>0</v>
      </c>
      <c r="T207" s="76">
        <v>0</v>
      </c>
      <c r="U207" s="5">
        <f>+Tabla1[[#This Row],[Atraso a facturar]]+Tabla1[[#This Row],[Ajuste atraso]]</f>
        <v>0</v>
      </c>
      <c r="V207" s="3">
        <f>+Tabla1[[#This Row],[Total disponible]]-Tabla1[[#This Row],[Facturación atraso]]</f>
        <v>0</v>
      </c>
      <c r="W207" s="6">
        <f>IFERROR(IF(AND(V207&gt;R207,J207&gt;=R207),ROUNDDOWN((Tabla1[[#This Row],[Producción para venta nueva]])/R207,0)*R207,0),0)</f>
        <v>0</v>
      </c>
      <c r="X207" s="76">
        <v>0</v>
      </c>
      <c r="Y207" s="6">
        <f>IF(Tabla1[[#This Row],[Venta del mes]]&gt;0,Tabla1[[#This Row],[Venta del mes]]+Tabla1[[#This Row],[Ajuste venta nueva]],0)</f>
        <v>0</v>
      </c>
      <c r="Z207" s="6">
        <f>+Tabla1[[#This Row],[Producción para venta nueva]]-Tabla1[[#This Row],[Facturación Venta nueva]]</f>
        <v>0</v>
      </c>
      <c r="AA207" s="6">
        <f>IF(AND(A207=1,Tabla1[[#This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07" s="6"/>
      <c r="AC207" s="6">
        <f>IF(Tabla1[[#This Row],[Disponible stock sin venta]]&gt;0,Tabla1[[#This Row],[Disponible stock sin venta]]+Tabla1[[#This Row],[Ajuste stock sin venta]],0)</f>
        <v>0</v>
      </c>
      <c r="AD207" s="3">
        <f>IFERROR(VLOOKUP(Tabla1[[#This Row],[Llave]],'[16]TD Puerto'!$A:$D,4,FALSE),0)</f>
        <v>0</v>
      </c>
      <c r="AE207" s="3">
        <v>0</v>
      </c>
      <c r="AF207" s="3">
        <f>+Tabla1[[#This Row],[Atraso a facturar]]+Tabla1[[#This Row],[Venta del mes]]+Tabla1[[#This Row],[En puerto a facturar]]+Tabla1[[#This Row],[Disponible stock sin venta]]</f>
        <v>0</v>
      </c>
      <c r="AG207" s="3">
        <f>+Tabla1[[#This Row],[En puerto a facturar]]</f>
        <v>0</v>
      </c>
      <c r="AH207" s="3">
        <f>+Tabla1[[#This Row],[Facturación atraso]]</f>
        <v>0</v>
      </c>
      <c r="AI207" s="3">
        <f>+Tabla1[[#This Row],[Plan Irrestricto]]-Tabla1[[#This Row],[Puerto ]]-Tabla1[[#This Row],[Atraso]]</f>
        <v>0</v>
      </c>
      <c r="AJ20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07" s="3">
        <f>+Tabla1[[#This Row],[Facturación atraso]]</f>
        <v>0</v>
      </c>
      <c r="AL207" s="3">
        <f>+Tabla1[[#This Row],[Plan Ajustado]]-Tabla1[[#This Row],[ Atraso ajustado]]-Tabla1[[#This Row],[Puerto ]]</f>
        <v>0</v>
      </c>
      <c r="AM207" s="3">
        <v>0</v>
      </c>
      <c r="AN207" s="3" t="str">
        <f>IF(Tabla1[[#This Row],[Plan Ajustado]]&gt;Tabla1[[#This Row],[En puerto a facturar]],"Si","No")</f>
        <v>No</v>
      </c>
      <c r="AO20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07" s="3">
        <f>IF(Tabla1[[#This Row],[Necesidad]]&gt;=Tabla1[[#This Row],[Stock al día]],Tabla1[[#This Row],[Stock al día]],Tabla1[[#This Row],[Necesidad]])</f>
        <v>0</v>
      </c>
      <c r="AQ207" s="3">
        <f>+Tabla1[[#This Row],[Necesidad]]-Tabla1[[#This Row],[Stock Plan]]</f>
        <v>0</v>
      </c>
      <c r="AR207" s="156">
        <f>IFERROR(VLOOKUP(Tabla1[[#This Row],[Oficina]],[22]Ponderación!$B$3:$G$9,6,FALSE),"")</f>
        <v>44757</v>
      </c>
      <c r="AS20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4.4073391337950358</v>
      </c>
      <c r="AT207" s="83">
        <f>IFERROR(VLOOKUP(Tabla1[[#This Row],[Llave]],[17]DELAY!$H:$W,16,FALSE),0)</f>
        <v>0</v>
      </c>
      <c r="AU20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07" s="5">
        <f>+Tabla1[[#This Row],[Plan Ajustado]]*Tabla1[[#This Row],[Precio ponderado]]</f>
        <v>0</v>
      </c>
      <c r="AW207" s="30">
        <f>IFERROR(VLOOKUP(Tabla1[[#This Row],[Llave]],'[13]Ultimos precios facturados'!$A:$G,7,FALSE),0)</f>
        <v>4.4073391337950358</v>
      </c>
      <c r="AX20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07" s="30"/>
      <c r="AZ207" s="30">
        <f>IF(Tabla1[[#This Row],[Ajuste precio IC]]="",Tabla1[[#This Row],[Precio ponderado]],Tabla1[[#This Row],[Precio ponderado]])</f>
        <v>0</v>
      </c>
      <c r="BA207" s="82"/>
      <c r="BB207" s="82" t="str">
        <f>IF(AND(Tabla1[[#This Row],[Atraso a facturar]]&gt;0,Tabla1[[#This Row],[Precio Atraso]]=0),"Revisar","OK")</f>
        <v>OK</v>
      </c>
      <c r="BC207" s="82" t="str">
        <f>IF(AND(Tabla1[[#This Row],[Venta del mes]]&gt;0,Tabla1[[#This Row],[Precio venta nueva]]=0),"Revisar","OK")</f>
        <v>OK</v>
      </c>
      <c r="BD207" s="20">
        <f>IFERROR(VLOOKUP(Tabla1[[#This Row],[Llave]],'[5]Consolidación planes'!$A:$M,9,FALSE),0)</f>
        <v>0</v>
      </c>
      <c r="BE207" s="20">
        <f>IFERROR(VLOOKUP(Tabla1[[#This Row],[Llave]],'[5]Consolidación planes'!$A:$M,10,FALSE),0)</f>
        <v>0</v>
      </c>
      <c r="BF207" s="20">
        <f>IFERROR(VLOOKUP(Tabla1[[#This Row],[Llave]],'[5]Consolidación planes'!$A:$M,11,FALSE),0)</f>
        <v>0</v>
      </c>
      <c r="BG207" s="20">
        <f>IFERROR(VLOOKUP(Tabla1[[#This Row],[Llave]],'[5]Consolidación planes'!$A:$M,12,FALSE),0)</f>
        <v>0</v>
      </c>
      <c r="BH207" s="20">
        <f>IFERROR(VLOOKUP(Tabla1[[#This Row],[Llave]],'[5]Consolidación planes'!$A:$M,13,FALSE),0)</f>
        <v>0</v>
      </c>
      <c r="BI207" s="20">
        <f>IFERROR(VLOOKUP(Tabla1[[#This Row],[Llave]],'[13]Base ultimos planes'!$A:$M,13,FALSE),0)</f>
        <v>0</v>
      </c>
      <c r="BJ207" s="80">
        <f>IFERROR(VLOOKUP(Tabla1[[#This Row],[Llave]],'[13]Base ultimos planes'!$O:$AA,8,FALSE),0)</f>
        <v>0</v>
      </c>
      <c r="BK207" s="20">
        <f>IFERROR(VLOOKUP(Tabla1[[#This Row],[Llave]],'[13]Base ultimos planes'!$O:$AA,9,FALSE),0)</f>
        <v>0</v>
      </c>
      <c r="BL207" s="20">
        <f>IFERROR(VLOOKUP(Tabla1[[#This Row],[Llave]],'[13]Base ultimos planes'!$O:$AA,10,FALSE),0)</f>
        <v>0</v>
      </c>
      <c r="BM207" s="20">
        <f>IFERROR(VLOOKUP(Tabla1[[#This Row],[Llave]],'[13]Base ultimos planes'!$O:$AA,11,FALSE),0)</f>
        <v>0</v>
      </c>
      <c r="BN207" s="20">
        <f>IFERROR(VLOOKUP(Tabla1[[#This Row],[Llave]],'[13]Base ultimos planes'!$O:$AA,12,FALSE),0)</f>
        <v>0</v>
      </c>
      <c r="BO207" s="20">
        <f>IFERROR(VLOOKUP(Tabla1[[#This Row],[Llave]],'[13]Base ultimos planes'!$O:$AA,13,FALSE),0)</f>
        <v>0</v>
      </c>
      <c r="BP207" s="20"/>
      <c r="BQ207" s="20">
        <f>+Tabla1[[#This Row],[ RV  Venta mes n+1]]*(1-Tabla1[[#This Row],[% Uti. producción]])</f>
        <v>0</v>
      </c>
      <c r="BR207" s="100"/>
    </row>
    <row r="208" spans="1:70" ht="16" hidden="1" x14ac:dyDescent="0.2">
      <c r="A208">
        <v>1</v>
      </c>
      <c r="B208" t="str">
        <f>Tabla1[[#This Row],[Oficina]]&amp;Tabla1[[#This Row],[Material]]</f>
        <v>Agro Sudamerica1030739</v>
      </c>
      <c r="C208" t="s">
        <v>204</v>
      </c>
      <c r="D208" t="s">
        <v>17</v>
      </c>
      <c r="E208">
        <v>1030739</v>
      </c>
      <c r="F208" t="s">
        <v>208</v>
      </c>
      <c r="G208" t="s">
        <v>205</v>
      </c>
      <c r="H208" t="s">
        <v>206</v>
      </c>
      <c r="I208" s="7">
        <f>IFERROR(VLOOKUP(Tabla1[[#This Row],[Llave]],'[7]RV Producción'!$C:$G,5,FALSE),0)</f>
        <v>0</v>
      </c>
      <c r="J208" s="3">
        <f>IFERROR(IF(Tabla1[[#This Row],[Oficina]]=$I$7,VLOOKUP(Tabla1[[#This Row],[Llave]],'[7]Shangai (Tomas)'!$A:$F,6,FALSE),VLOOKUP(Tabla1[[#This Row],[Llave]],'[7]RV plan de ventas'!$A:$E,5,FALSE)),0)</f>
        <v>0</v>
      </c>
      <c r="K208" s="8">
        <f>IFERROR(VLOOKUP(Tabla1[[#This Row],[Oficina]],[15]Ponderación!$B$2:$E$9,4,FALSE),0)</f>
        <v>0.45719439678473212</v>
      </c>
      <c r="L208" s="7">
        <f>+Tabla1[[#This Row],[ RV Producción mes n+1]]*Tabla1[[#This Row],[% Uti. producción]]</f>
        <v>0</v>
      </c>
      <c r="M208" s="7">
        <f>IFERROR(VLOOKUP(Tabla1[[#This Row],[Material]],'[17]TD Stock'!$E:$I,5,FALSE),0)</f>
        <v>0</v>
      </c>
      <c r="N208" s="7">
        <f>IFERROR(VLOOKUP(Tabla1[[#This Row],[Material]],[16]Produccion!$M:$N,2,FALSE),0)</f>
        <v>0</v>
      </c>
      <c r="O208" s="7">
        <f>IFERROR(VLOOKUP(Tabla1[[#This Row],[Llave]],'[16]TD Conf-AP'!$I:$M,4,FALSE),0)</f>
        <v>0</v>
      </c>
      <c r="P208" s="14">
        <f>SUM(Tabla1[[#This Row],[Producción disponible]],Tabla1[[#This Row],[Stock al día]],(Tabla1[[#This Row],[Por producir mes N]]*0.9))-Tabla1[[#This Row],[Producción por despachar mes N]]</f>
        <v>0</v>
      </c>
      <c r="Q208" s="7">
        <f>IFERROR(VLOOKUP(Tabla1[[#This Row],[Llave]],[17]DELAY!$A:$D,4,FALSE),0)</f>
        <v>0</v>
      </c>
      <c r="R208" s="9">
        <v>24000</v>
      </c>
      <c r="S208" s="5">
        <f t="shared" si="32"/>
        <v>0</v>
      </c>
      <c r="T208" s="76">
        <v>0</v>
      </c>
      <c r="U208" s="5">
        <f>+Tabla1[[#This Row],[Atraso a facturar]]+Tabla1[[#This Row],[Ajuste atraso]]</f>
        <v>0</v>
      </c>
      <c r="V208" s="3">
        <f>+Tabla1[[#This Row],[Total disponible]]-Tabla1[[#This Row],[Facturación atraso]]</f>
        <v>0</v>
      </c>
      <c r="W208" s="6">
        <f>IFERROR(IF(AND(V208&gt;R208,J208&gt;=R208),ROUNDDOWN((Tabla1[[#This Row],[Producción para venta nueva]])/R208,0)*R208,0),0)</f>
        <v>0</v>
      </c>
      <c r="X208" s="76">
        <v>0</v>
      </c>
      <c r="Y208" s="6">
        <f>IF(Tabla1[[#This Row],[Venta del mes]]&gt;0,Tabla1[[#This Row],[Venta del mes]]+Tabla1[[#This Row],[Ajuste venta nueva]],0)</f>
        <v>0</v>
      </c>
      <c r="Z208" s="6">
        <f>+Tabla1[[#This Row],[Producción para venta nueva]]-Tabla1[[#This Row],[Facturación Venta nueva]]</f>
        <v>0</v>
      </c>
      <c r="AA208" s="6">
        <f>IF(AND(A208=1,Tabla1[[#This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08" s="6"/>
      <c r="AC208" s="6">
        <f>IF(Tabla1[[#This Row],[Disponible stock sin venta]]&gt;0,Tabla1[[#This Row],[Disponible stock sin venta]]+Tabla1[[#This Row],[Ajuste stock sin venta]],0)</f>
        <v>0</v>
      </c>
      <c r="AD208" s="3">
        <f>IFERROR(VLOOKUP(Tabla1[[#This Row],[Llave]],'[16]TD Puerto'!$A:$D,4,FALSE),0)</f>
        <v>0</v>
      </c>
      <c r="AE208" s="3">
        <v>0</v>
      </c>
      <c r="AF208" s="3">
        <f>+Tabla1[[#This Row],[Atraso a facturar]]+Tabla1[[#This Row],[Venta del mes]]+Tabla1[[#This Row],[En puerto a facturar]]+Tabla1[[#This Row],[Disponible stock sin venta]]</f>
        <v>0</v>
      </c>
      <c r="AG208" s="3">
        <f>+Tabla1[[#This Row],[En puerto a facturar]]</f>
        <v>0</v>
      </c>
      <c r="AH208" s="3">
        <f>+Tabla1[[#This Row],[Facturación atraso]]</f>
        <v>0</v>
      </c>
      <c r="AI208" s="3">
        <f>+Tabla1[[#This Row],[Plan Irrestricto]]-Tabla1[[#This Row],[Puerto ]]-Tabla1[[#This Row],[Atraso]]</f>
        <v>0</v>
      </c>
      <c r="AJ20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08" s="3">
        <f>+Tabla1[[#This Row],[Facturación atraso]]</f>
        <v>0</v>
      </c>
      <c r="AL208" s="3">
        <f>+Tabla1[[#This Row],[Plan Ajustado]]-Tabla1[[#This Row],[ Atraso ajustado]]-Tabla1[[#This Row],[Puerto ]]</f>
        <v>0</v>
      </c>
      <c r="AM208" s="3">
        <v>0</v>
      </c>
      <c r="AN208" s="3" t="str">
        <f>IF(Tabla1[[#This Row],[Plan Ajustado]]&gt;Tabla1[[#This Row],[En puerto a facturar]],"Si","No")</f>
        <v>No</v>
      </c>
      <c r="AO20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08" s="3">
        <f>IF(Tabla1[[#This Row],[Necesidad]]&gt;=Tabla1[[#This Row],[Stock al día]],Tabla1[[#This Row],[Stock al día]],Tabla1[[#This Row],[Necesidad]])</f>
        <v>0</v>
      </c>
      <c r="AQ208" s="3">
        <f>+Tabla1[[#This Row],[Necesidad]]-Tabla1[[#This Row],[Stock Plan]]</f>
        <v>0</v>
      </c>
      <c r="AR208" s="156">
        <f>IFERROR(VLOOKUP(Tabla1[[#This Row],[Oficina]],[22]Ponderación!$B$3:$G$9,6,FALSE),"")</f>
        <v>44757</v>
      </c>
      <c r="AS20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08" s="83">
        <f>IFERROR(VLOOKUP(Tabla1[[#This Row],[Llave]],[17]DELAY!$H:$W,16,FALSE),0)</f>
        <v>0</v>
      </c>
      <c r="AU20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08" s="5">
        <f>+Tabla1[[#This Row],[Plan Ajustado]]*Tabla1[[#This Row],[Precio ponderado]]</f>
        <v>0</v>
      </c>
      <c r="AW208" s="30">
        <f>IFERROR(VLOOKUP(Tabla1[[#This Row],[Llave]],'[13]Ultimos precios facturados'!$A:$G,7,FALSE),0)</f>
        <v>0</v>
      </c>
      <c r="AX20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08" s="30"/>
      <c r="AZ208" s="30">
        <f>IF(Tabla1[[#This Row],[Ajuste precio IC]]="",Tabla1[[#This Row],[Precio ponderado]],Tabla1[[#This Row],[Precio ponderado]])</f>
        <v>0</v>
      </c>
      <c r="BA208" s="82"/>
      <c r="BB208" s="82" t="str">
        <f>IF(AND(Tabla1[[#This Row],[Atraso a facturar]]&gt;0,Tabla1[[#This Row],[Precio Atraso]]=0),"Revisar","OK")</f>
        <v>OK</v>
      </c>
      <c r="BC208" s="82" t="str">
        <f>IF(AND(Tabla1[[#This Row],[Venta del mes]]&gt;0,Tabla1[[#This Row],[Precio venta nueva]]=0),"Revisar","OK")</f>
        <v>OK</v>
      </c>
      <c r="BD208" s="20">
        <f>IFERROR(VLOOKUP(Tabla1[[#This Row],[Llave]],'[5]Consolidación planes'!$A:$M,9,FALSE),0)</f>
        <v>0</v>
      </c>
      <c r="BE208" s="20">
        <f>IFERROR(VLOOKUP(Tabla1[[#This Row],[Llave]],'[5]Consolidación planes'!$A:$M,10,FALSE),0)</f>
        <v>0</v>
      </c>
      <c r="BF208" s="20">
        <f>IFERROR(VLOOKUP(Tabla1[[#This Row],[Llave]],'[5]Consolidación planes'!$A:$M,11,FALSE),0)</f>
        <v>0</v>
      </c>
      <c r="BG208" s="20">
        <f>IFERROR(VLOOKUP(Tabla1[[#This Row],[Llave]],'[5]Consolidación planes'!$A:$M,12,FALSE),0)</f>
        <v>0</v>
      </c>
      <c r="BH208" s="20">
        <f>IFERROR(VLOOKUP(Tabla1[[#This Row],[Llave]],'[5]Consolidación planes'!$A:$M,13,FALSE),0)</f>
        <v>0</v>
      </c>
      <c r="BI208" s="20">
        <f>IFERROR(VLOOKUP(Tabla1[[#This Row],[Llave]],'[13]Base ultimos planes'!$A:$M,13,FALSE),0)</f>
        <v>0</v>
      </c>
      <c r="BJ208" s="80">
        <f>IFERROR(VLOOKUP(Tabla1[[#This Row],[Llave]],'[13]Base ultimos planes'!$O:$AA,8,FALSE),0)</f>
        <v>0</v>
      </c>
      <c r="BK208" s="20">
        <f>IFERROR(VLOOKUP(Tabla1[[#This Row],[Llave]],'[13]Base ultimos planes'!$O:$AA,9,FALSE),0)</f>
        <v>0</v>
      </c>
      <c r="BL208" s="20">
        <f>IFERROR(VLOOKUP(Tabla1[[#This Row],[Llave]],'[13]Base ultimos planes'!$O:$AA,10,FALSE),0)</f>
        <v>0</v>
      </c>
      <c r="BM208" s="20">
        <f>IFERROR(VLOOKUP(Tabla1[[#This Row],[Llave]],'[13]Base ultimos planes'!$O:$AA,11,FALSE),0)</f>
        <v>0</v>
      </c>
      <c r="BN208" s="20">
        <f>IFERROR(VLOOKUP(Tabla1[[#This Row],[Llave]],'[13]Base ultimos planes'!$O:$AA,12,FALSE),0)</f>
        <v>0</v>
      </c>
      <c r="BO208" s="20">
        <f>IFERROR(VLOOKUP(Tabla1[[#This Row],[Llave]],'[13]Base ultimos planes'!$O:$AA,13,FALSE),0)</f>
        <v>0</v>
      </c>
      <c r="BP208" s="20"/>
      <c r="BQ208" s="20">
        <f>+Tabla1[[#This Row],[ RV  Venta mes n+1]]*(1-Tabla1[[#This Row],[% Uti. producción]])</f>
        <v>0</v>
      </c>
      <c r="BR208" s="100"/>
    </row>
    <row r="209" spans="1:70" ht="16" hidden="1" x14ac:dyDescent="0.2">
      <c r="A209">
        <v>1</v>
      </c>
      <c r="B209" t="str">
        <f>Tabla1[[#This Row],[Oficina]]&amp;Tabla1[[#This Row],[Material]]</f>
        <v>Agro Sudamerica1030780</v>
      </c>
      <c r="C209" t="s">
        <v>204</v>
      </c>
      <c r="D209" t="s">
        <v>17</v>
      </c>
      <c r="E209">
        <v>1030780</v>
      </c>
      <c r="F209" t="s">
        <v>318</v>
      </c>
      <c r="G209" t="s">
        <v>316</v>
      </c>
      <c r="H209" t="s">
        <v>317</v>
      </c>
      <c r="I209" s="7">
        <f>IFERROR(VLOOKUP(Tabla1[[#This Row],[Llave]],'[7]RV Producción'!$C:$G,5,FALSE),0)</f>
        <v>0</v>
      </c>
      <c r="J209" s="3">
        <f>IFERROR(IF(Tabla1[[#This Row],[Oficina]]=$I$7,VLOOKUP(Tabla1[[#This Row],[Llave]],'[7]Shangai (Tomas)'!$A:$F,6,FALSE),VLOOKUP(Tabla1[[#This Row],[Llave]],'[7]RV plan de ventas'!$A:$E,5,FALSE)),0)</f>
        <v>0</v>
      </c>
      <c r="K209" s="8">
        <f>IFERROR(VLOOKUP(Tabla1[[#This Row],[Oficina]],[15]Ponderación!$B$2:$E$9,4,FALSE),0)</f>
        <v>0.45719439678473212</v>
      </c>
      <c r="L209" s="7">
        <f>+Tabla1[[#This Row],[ RV Producción mes n+1]]*Tabla1[[#This Row],[% Uti. producción]]</f>
        <v>0</v>
      </c>
      <c r="M209" s="7">
        <f>IFERROR(VLOOKUP(Tabla1[[#This Row],[Material]],'[17]TD Stock'!$E:$I,5,FALSE),0)</f>
        <v>0</v>
      </c>
      <c r="N209" s="7">
        <f>IFERROR(VLOOKUP(Tabla1[[#This Row],[Material]],[16]Produccion!$M:$N,2,FALSE),0)</f>
        <v>0</v>
      </c>
      <c r="O209" s="7">
        <f>IFERROR(VLOOKUP(Tabla1[[#This Row],[Llave]],'[16]TD Conf-AP'!$I:$M,4,FALSE),0)</f>
        <v>0</v>
      </c>
      <c r="P209" s="14">
        <f>SUM(Tabla1[[#This Row],[Producción disponible]],Tabla1[[#This Row],[Stock al día]],(Tabla1[[#This Row],[Por producir mes N]]*0.9))-Tabla1[[#This Row],[Producción por despachar mes N]]</f>
        <v>0</v>
      </c>
      <c r="Q209" s="7">
        <f>IFERROR(VLOOKUP(Tabla1[[#This Row],[Llave]],[17]DELAY!$A:$D,4,FALSE),0)</f>
        <v>0</v>
      </c>
      <c r="R209" s="9">
        <v>24000</v>
      </c>
      <c r="S209" s="5">
        <f t="shared" si="32"/>
        <v>0</v>
      </c>
      <c r="T209" s="76">
        <v>0</v>
      </c>
      <c r="U209" s="5">
        <f>+Tabla1[[#This Row],[Atraso a facturar]]+Tabla1[[#This Row],[Ajuste atraso]]</f>
        <v>0</v>
      </c>
      <c r="V209" s="3">
        <f>+Tabla1[[#This Row],[Total disponible]]-Tabla1[[#This Row],[Facturación atraso]]</f>
        <v>0</v>
      </c>
      <c r="W209" s="6">
        <f>IFERROR(IF(AND(V209&gt;R209,J209&gt;=R209),ROUNDDOWN((Tabla1[[#This Row],[Producción para venta nueva]])/R209,0)*R209,0),0)</f>
        <v>0</v>
      </c>
      <c r="X209" s="76">
        <v>0</v>
      </c>
      <c r="Y209" s="6">
        <f>IF(Tabla1[[#This Row],[Venta del mes]]&gt;0,Tabla1[[#This Row],[Venta del mes]]+Tabla1[[#This Row],[Ajuste venta nueva]],0)</f>
        <v>0</v>
      </c>
      <c r="Z209" s="6">
        <f>+Tabla1[[#This Row],[Producción para venta nueva]]-Tabla1[[#This Row],[Facturación Venta nueva]]</f>
        <v>0</v>
      </c>
      <c r="AA209" s="6">
        <f>IF(AND(A209=1,Tabla1[[#This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09" s="6"/>
      <c r="AC209" s="6">
        <f>IF(Tabla1[[#This Row],[Disponible stock sin venta]]&gt;0,Tabla1[[#This Row],[Disponible stock sin venta]]+Tabla1[[#This Row],[Ajuste stock sin venta]],0)</f>
        <v>0</v>
      </c>
      <c r="AD209" s="3">
        <f>IFERROR(VLOOKUP(Tabla1[[#This Row],[Llave]],'[16]TD Puerto'!$A:$D,4,FALSE),0)</f>
        <v>0</v>
      </c>
      <c r="AE209" s="3">
        <v>0</v>
      </c>
      <c r="AF209" s="3">
        <f>+Tabla1[[#This Row],[Atraso a facturar]]+Tabla1[[#This Row],[Venta del mes]]+Tabla1[[#This Row],[En puerto a facturar]]+Tabla1[[#This Row],[Disponible stock sin venta]]</f>
        <v>0</v>
      </c>
      <c r="AG209" s="3">
        <f>+Tabla1[[#This Row],[En puerto a facturar]]</f>
        <v>0</v>
      </c>
      <c r="AH209" s="3">
        <f>+Tabla1[[#This Row],[Facturación atraso]]</f>
        <v>0</v>
      </c>
      <c r="AI209" s="3">
        <f>+Tabla1[[#This Row],[Plan Irrestricto]]-Tabla1[[#This Row],[Puerto ]]-Tabla1[[#This Row],[Atraso]]</f>
        <v>0</v>
      </c>
      <c r="AJ20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09" s="3">
        <f>+Tabla1[[#This Row],[Facturación atraso]]</f>
        <v>0</v>
      </c>
      <c r="AL209" s="3">
        <f>+Tabla1[[#This Row],[Plan Ajustado]]-Tabla1[[#This Row],[ Atraso ajustado]]-Tabla1[[#This Row],[Puerto ]]</f>
        <v>0</v>
      </c>
      <c r="AM209" s="3">
        <v>0</v>
      </c>
      <c r="AN209" s="3" t="str">
        <f>IF(Tabla1[[#This Row],[Plan Ajustado]]&gt;Tabla1[[#This Row],[En puerto a facturar]],"Si","No")</f>
        <v>No</v>
      </c>
      <c r="AO20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09" s="3">
        <f>IF(Tabla1[[#This Row],[Necesidad]]&gt;=Tabla1[[#This Row],[Stock al día]],Tabla1[[#This Row],[Stock al día]],Tabla1[[#This Row],[Necesidad]])</f>
        <v>0</v>
      </c>
      <c r="AQ209" s="3">
        <f>+Tabla1[[#This Row],[Necesidad]]-Tabla1[[#This Row],[Stock Plan]]</f>
        <v>0</v>
      </c>
      <c r="AR209" s="156">
        <f>IFERROR(VLOOKUP(Tabla1[[#This Row],[Oficina]],[22]Ponderación!$B$3:$G$9,6,FALSE),"")</f>
        <v>44757</v>
      </c>
      <c r="AS20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4.4073392249438417</v>
      </c>
      <c r="AT209" s="83">
        <f>IFERROR(VLOOKUP(Tabla1[[#This Row],[Llave]],[17]DELAY!$H:$W,16,FALSE),0)</f>
        <v>0</v>
      </c>
      <c r="AU20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09" s="5">
        <f>+Tabla1[[#This Row],[Plan Ajustado]]*Tabla1[[#This Row],[Precio ponderado]]</f>
        <v>0</v>
      </c>
      <c r="AW209" s="30">
        <f>IFERROR(VLOOKUP(Tabla1[[#This Row],[Llave]],'[13]Ultimos precios facturados'!$A:$G,7,FALSE),0)</f>
        <v>4.4073392249438417</v>
      </c>
      <c r="AX20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09" s="30"/>
      <c r="AZ209" s="30">
        <f>IF(Tabla1[[#This Row],[Ajuste precio IC]]="",Tabla1[[#This Row],[Precio ponderado]],Tabla1[[#This Row],[Precio ponderado]])</f>
        <v>0</v>
      </c>
      <c r="BA209" s="82"/>
      <c r="BB209" s="82" t="str">
        <f>IF(AND(Tabla1[[#This Row],[Atraso a facturar]]&gt;0,Tabla1[[#This Row],[Precio Atraso]]=0),"Revisar","OK")</f>
        <v>OK</v>
      </c>
      <c r="BC209" s="82" t="str">
        <f>IF(AND(Tabla1[[#This Row],[Venta del mes]]&gt;0,Tabla1[[#This Row],[Precio venta nueva]]=0),"Revisar","OK")</f>
        <v>OK</v>
      </c>
      <c r="BD209" s="20">
        <f>IFERROR(VLOOKUP(Tabla1[[#This Row],[Llave]],'[5]Consolidación planes'!$A:$M,9,FALSE),0)</f>
        <v>0</v>
      </c>
      <c r="BE209" s="20">
        <f>IFERROR(VLOOKUP(Tabla1[[#This Row],[Llave]],'[5]Consolidación planes'!$A:$M,10,FALSE),0)</f>
        <v>0</v>
      </c>
      <c r="BF209" s="20">
        <f>IFERROR(VLOOKUP(Tabla1[[#This Row],[Llave]],'[5]Consolidación planes'!$A:$M,11,FALSE),0)</f>
        <v>0</v>
      </c>
      <c r="BG209" s="20">
        <f>IFERROR(VLOOKUP(Tabla1[[#This Row],[Llave]],'[5]Consolidación planes'!$A:$M,12,FALSE),0)</f>
        <v>0</v>
      </c>
      <c r="BH209" s="20">
        <f>IFERROR(VLOOKUP(Tabla1[[#This Row],[Llave]],'[5]Consolidación planes'!$A:$M,13,FALSE),0)</f>
        <v>0</v>
      </c>
      <c r="BI209" s="20">
        <f>IFERROR(VLOOKUP(Tabla1[[#This Row],[Llave]],'[13]Base ultimos planes'!$A:$M,13,FALSE),0)</f>
        <v>0</v>
      </c>
      <c r="BJ209" s="80">
        <f>IFERROR(VLOOKUP(Tabla1[[#This Row],[Llave]],'[13]Base ultimos planes'!$O:$AA,8,FALSE),0)</f>
        <v>0</v>
      </c>
      <c r="BK209" s="20">
        <f>IFERROR(VLOOKUP(Tabla1[[#This Row],[Llave]],'[13]Base ultimos planes'!$O:$AA,9,FALSE),0)</f>
        <v>0</v>
      </c>
      <c r="BL209" s="20">
        <f>IFERROR(VLOOKUP(Tabla1[[#This Row],[Llave]],'[13]Base ultimos planes'!$O:$AA,10,FALSE),0)</f>
        <v>0</v>
      </c>
      <c r="BM209" s="20">
        <f>IFERROR(VLOOKUP(Tabla1[[#This Row],[Llave]],'[13]Base ultimos planes'!$O:$AA,11,FALSE),0)</f>
        <v>0</v>
      </c>
      <c r="BN209" s="20">
        <f>IFERROR(VLOOKUP(Tabla1[[#This Row],[Llave]],'[13]Base ultimos planes'!$O:$AA,12,FALSE),0)</f>
        <v>0</v>
      </c>
      <c r="BO209" s="20">
        <f>IFERROR(VLOOKUP(Tabla1[[#This Row],[Llave]],'[13]Base ultimos planes'!$O:$AA,13,FALSE),0)</f>
        <v>0</v>
      </c>
      <c r="BP209" s="20"/>
      <c r="BQ209" s="20">
        <f>+Tabla1[[#This Row],[ RV  Venta mes n+1]]*(1-Tabla1[[#This Row],[% Uti. producción]])</f>
        <v>0</v>
      </c>
      <c r="BR209" s="100"/>
    </row>
    <row r="210" spans="1:70" ht="16" hidden="1" x14ac:dyDescent="0.2">
      <c r="A210">
        <v>1</v>
      </c>
      <c r="B210" t="str">
        <f>Tabla1[[#This Row],[Oficina]]&amp;Tabla1[[#This Row],[Material]]</f>
        <v>Agrosuper Asia1030309</v>
      </c>
      <c r="C210" t="s">
        <v>204</v>
      </c>
      <c r="D210" t="s">
        <v>173</v>
      </c>
      <c r="E210">
        <v>1030309</v>
      </c>
      <c r="F210" t="s">
        <v>224</v>
      </c>
      <c r="G210" t="s">
        <v>209</v>
      </c>
      <c r="H210" t="s">
        <v>223</v>
      </c>
      <c r="I210" s="7">
        <f>IFERROR(VLOOKUP(Tabla1[[#This Row],[Llave]],'[7]RV Producción'!$C:$G,5,FALSE),0)</f>
        <v>0</v>
      </c>
      <c r="J210" s="3">
        <f>IFERROR(IF(Tabla1[[#This Row],[Oficina]]=$I$7,VLOOKUP(Tabla1[[#This Row],[Llave]],'[7]Shangai (Tomas)'!$A:$F,6,FALSE),VLOOKUP(Tabla1[[#This Row],[Llave]],'[7]RV plan de ventas'!$A:$E,5,FALSE)),0)</f>
        <v>0</v>
      </c>
      <c r="K210" s="8">
        <f>IFERROR(VLOOKUP(Tabla1[[#This Row],[Oficina]],[15]Ponderación!$B$2:$E$9,4,FALSE),0)</f>
        <v>0.45719439678473212</v>
      </c>
      <c r="L210" s="7">
        <f>+Tabla1[[#This Row],[ RV Producción mes n+1]]*Tabla1[[#This Row],[% Uti. producción]]</f>
        <v>0</v>
      </c>
      <c r="M210" s="7">
        <f>IFERROR(VLOOKUP(Tabla1[[#This Row],[Material]],'[17]TD Stock'!$E:$I,5,FALSE),0)</f>
        <v>0</v>
      </c>
      <c r="N210" s="7">
        <f>IFERROR(VLOOKUP(Tabla1[[#This Row],[Material]],[16]Produccion!$M:$N,2,FALSE),0)</f>
        <v>0</v>
      </c>
      <c r="O210" s="7">
        <f>IFERROR(VLOOKUP(Tabla1[[#This Row],[Llave]],'[16]TD Conf-AP'!$I:$M,4,FALSE),0)</f>
        <v>0</v>
      </c>
      <c r="P210" s="14">
        <f>SUM(Tabla1[[#This Row],[Producción disponible]],Tabla1[[#This Row],[Stock al día]],(Tabla1[[#This Row],[Por producir mes N]]*0.9))-Tabla1[[#This Row],[Producción por despachar mes N]]</f>
        <v>0</v>
      </c>
      <c r="Q210" s="7">
        <f>IFERROR(VLOOKUP(Tabla1[[#This Row],[Llave]],[17]DELAY!$A:$D,4,FALSE),0)</f>
        <v>0</v>
      </c>
      <c r="R210" s="9">
        <v>22000</v>
      </c>
      <c r="S210" s="5">
        <f t="shared" si="32"/>
        <v>0</v>
      </c>
      <c r="T210" s="76">
        <v>0</v>
      </c>
      <c r="U210" s="5">
        <f>+Tabla1[[#This Row],[Atraso a facturar]]+Tabla1[[#This Row],[Ajuste atraso]]</f>
        <v>0</v>
      </c>
      <c r="V210" s="3">
        <f>+Tabla1[[#This Row],[Total disponible]]-Tabla1[[#This Row],[Facturación atraso]]</f>
        <v>0</v>
      </c>
      <c r="W210" s="6">
        <f>IFERROR(IF(AND(V210&gt;R210,J210&gt;=R210),ROUNDDOWN((Tabla1[[#This Row],[Producción para venta nueva]])/R210,0)*R210,0),0)</f>
        <v>0</v>
      </c>
      <c r="X210" s="76">
        <v>0</v>
      </c>
      <c r="Y210" s="6">
        <f>IF(Tabla1[[#This Row],[Venta del mes]]&gt;0,Tabla1[[#This Row],[Venta del mes]]+Tabla1[[#This Row],[Ajuste venta nueva]],0)</f>
        <v>0</v>
      </c>
      <c r="Z210" s="6">
        <f>+Tabla1[[#This Row],[Producción para venta nueva]]-Tabla1[[#This Row],[Facturación Venta nueva]]</f>
        <v>0</v>
      </c>
      <c r="AA210" s="6">
        <f>IF(AND(A210=1,Tabla1[[#This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0" s="6"/>
      <c r="AC210" s="6">
        <f>IF(Tabla1[[#This Row],[Disponible stock sin venta]]&gt;0,Tabla1[[#This Row],[Disponible stock sin venta]]+Tabla1[[#This Row],[Ajuste stock sin venta]],0)</f>
        <v>0</v>
      </c>
      <c r="AD210" s="3">
        <f>IFERROR(VLOOKUP(Tabla1[[#This Row],[Llave]],'[16]TD Puerto'!$A:$D,4,FALSE),0)</f>
        <v>0</v>
      </c>
      <c r="AE210" s="3">
        <v>0</v>
      </c>
      <c r="AF210" s="3">
        <f>+Tabla1[[#This Row],[Atraso a facturar]]+Tabla1[[#This Row],[Venta del mes]]+Tabla1[[#This Row],[En puerto a facturar]]+Tabla1[[#This Row],[Disponible stock sin venta]]</f>
        <v>0</v>
      </c>
      <c r="AG210" s="3">
        <f>+Tabla1[[#This Row],[En puerto a facturar]]</f>
        <v>0</v>
      </c>
      <c r="AH210" s="3">
        <f>+Tabla1[[#This Row],[Facturación atraso]]</f>
        <v>0</v>
      </c>
      <c r="AI210" s="3">
        <f>+Tabla1[[#This Row],[Plan Irrestricto]]-Tabla1[[#This Row],[Puerto ]]-Tabla1[[#This Row],[Atraso]]</f>
        <v>0</v>
      </c>
      <c r="AJ21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10" s="3">
        <f>+Tabla1[[#This Row],[Facturación atraso]]</f>
        <v>0</v>
      </c>
      <c r="AL210" s="3">
        <f>+Tabla1[[#This Row],[Plan Ajustado]]-Tabla1[[#This Row],[ Atraso ajustado]]-Tabla1[[#This Row],[Puerto ]]</f>
        <v>0</v>
      </c>
      <c r="AM210" s="3">
        <v>0</v>
      </c>
      <c r="AN210" s="3" t="str">
        <f>IF(Tabla1[[#This Row],[Plan Ajustado]]&gt;Tabla1[[#This Row],[En puerto a facturar]],"Si","No")</f>
        <v>No</v>
      </c>
      <c r="AO21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10" s="3">
        <f>IF(Tabla1[[#This Row],[Necesidad]]&gt;=Tabla1[[#This Row],[Stock al día]],Tabla1[[#This Row],[Stock al día]],Tabla1[[#This Row],[Necesidad]])</f>
        <v>0</v>
      </c>
      <c r="AQ210" s="3">
        <f>+Tabla1[[#This Row],[Necesidad]]-Tabla1[[#This Row],[Stock Plan]]</f>
        <v>0</v>
      </c>
      <c r="AR210" s="156">
        <f>IFERROR(VLOOKUP(Tabla1[[#This Row],[Oficina]],[22]Ponderación!$B$3:$G$9,6,FALSE),"")</f>
        <v>44754</v>
      </c>
      <c r="AS21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1.3082260734693878</v>
      </c>
      <c r="AT210" s="83">
        <f>IFERROR(VLOOKUP(Tabla1[[#This Row],[Llave]],[17]DELAY!$H:$W,16,FALSE),0)</f>
        <v>0</v>
      </c>
      <c r="AU21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10" s="5">
        <f>+Tabla1[[#This Row],[Plan Ajustado]]*Tabla1[[#This Row],[Precio ponderado]]</f>
        <v>0</v>
      </c>
      <c r="AW210" s="30">
        <f>IFERROR(VLOOKUP(Tabla1[[#This Row],[Llave]],'[13]Ultimos precios facturados'!$A:$G,7,FALSE),0)</f>
        <v>1.3082260734693878</v>
      </c>
      <c r="AX21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10" s="30"/>
      <c r="AZ210" s="30">
        <f>IF(Tabla1[[#This Row],[Ajuste precio IC]]="",Tabla1[[#This Row],[Precio ponderado]],Tabla1[[#This Row],[Precio ponderado]])</f>
        <v>0</v>
      </c>
      <c r="BA210" s="82"/>
      <c r="BB210" s="82" t="str">
        <f>IF(AND(Tabla1[[#This Row],[Atraso a facturar]]&gt;0,Tabla1[[#This Row],[Precio Atraso]]=0),"Revisar","OK")</f>
        <v>OK</v>
      </c>
      <c r="BC210" s="82" t="str">
        <f>IF(AND(Tabla1[[#This Row],[Venta del mes]]&gt;0,Tabla1[[#This Row],[Precio venta nueva]]=0),"Revisar","OK")</f>
        <v>OK</v>
      </c>
      <c r="BD210" s="20">
        <f>IFERROR(VLOOKUP(Tabla1[[#This Row],[Llave]],'[5]Consolidación planes'!$A:$M,9,FALSE),0)</f>
        <v>16000</v>
      </c>
      <c r="BE210" s="20">
        <f>IFERROR(VLOOKUP(Tabla1[[#This Row],[Llave]],'[5]Consolidación planes'!$A:$M,10,FALSE),0)</f>
        <v>0</v>
      </c>
      <c r="BF210" s="20">
        <f>IFERROR(VLOOKUP(Tabla1[[#This Row],[Llave]],'[5]Consolidación planes'!$A:$M,11,FALSE),0)</f>
        <v>22000</v>
      </c>
      <c r="BG210" s="20">
        <f>IFERROR(VLOOKUP(Tabla1[[#This Row],[Llave]],'[5]Consolidación planes'!$A:$M,12,FALSE),0)</f>
        <v>0</v>
      </c>
      <c r="BH210" s="20">
        <f>IFERROR(VLOOKUP(Tabla1[[#This Row],[Llave]],'[5]Consolidación planes'!$A:$M,13,FALSE),0)</f>
        <v>0</v>
      </c>
      <c r="BI210" s="20">
        <f>IFERROR(VLOOKUP(Tabla1[[#This Row],[Llave]],'[13]Base ultimos planes'!$A:$M,13,FALSE),0)</f>
        <v>0</v>
      </c>
      <c r="BJ210" s="80">
        <f>IFERROR(VLOOKUP(Tabla1[[#This Row],[Llave]],'[13]Base ultimos planes'!$O:$AA,8,FALSE),0)</f>
        <v>21120</v>
      </c>
      <c r="BK210" s="20">
        <f>IFERROR(VLOOKUP(Tabla1[[#This Row],[Llave]],'[13]Base ultimos planes'!$O:$AA,9,FALSE),0)</f>
        <v>0</v>
      </c>
      <c r="BL210" s="20">
        <f>IFERROR(VLOOKUP(Tabla1[[#This Row],[Llave]],'[13]Base ultimos planes'!$O:$AA,10,FALSE),0)</f>
        <v>28600</v>
      </c>
      <c r="BM210" s="20">
        <f>IFERROR(VLOOKUP(Tabla1[[#This Row],[Llave]],'[13]Base ultimos planes'!$O:$AA,11,FALSE),0)</f>
        <v>0</v>
      </c>
      <c r="BN210" s="20">
        <f>IFERROR(VLOOKUP(Tabla1[[#This Row],[Llave]],'[13]Base ultimos planes'!$O:$AA,12,FALSE),0)</f>
        <v>0</v>
      </c>
      <c r="BO210" s="20">
        <f>IFERROR(VLOOKUP(Tabla1[[#This Row],[Llave]],'[13]Base ultimos planes'!$O:$AA,13,FALSE),0)</f>
        <v>0</v>
      </c>
      <c r="BP210" s="20"/>
      <c r="BQ210" s="20">
        <f>+Tabla1[[#This Row],[ RV  Venta mes n+1]]*(1-Tabla1[[#This Row],[% Uti. producción]])</f>
        <v>0</v>
      </c>
      <c r="BR210" s="100"/>
    </row>
    <row r="211" spans="1:70" ht="16" hidden="1" x14ac:dyDescent="0.2">
      <c r="A211">
        <v>1</v>
      </c>
      <c r="B211" t="str">
        <f>Tabla1[[#This Row],[Oficina]]&amp;Tabla1[[#This Row],[Material]]</f>
        <v>Agrosuper Asia1030535</v>
      </c>
      <c r="C211" t="s">
        <v>204</v>
      </c>
      <c r="D211" t="s">
        <v>173</v>
      </c>
      <c r="E211">
        <v>1030535</v>
      </c>
      <c r="F211" t="s">
        <v>226</v>
      </c>
      <c r="G211" t="s">
        <v>217</v>
      </c>
      <c r="H211" t="s">
        <v>218</v>
      </c>
      <c r="I211" s="7">
        <f>IFERROR(VLOOKUP(Tabla1[[#This Row],[Llave]],'[7]RV Producción'!$C:$G,5,FALSE),0)</f>
        <v>0</v>
      </c>
      <c r="J211" s="3">
        <f>IFERROR(IF(Tabla1[[#This Row],[Oficina]]=$I$7,VLOOKUP(Tabla1[[#This Row],[Llave]],'[7]Shangai (Tomas)'!$A:$F,6,FALSE),VLOOKUP(Tabla1[[#This Row],[Llave]],'[7]RV plan de ventas'!$A:$E,5,FALSE)),0)</f>
        <v>0</v>
      </c>
      <c r="K211" s="8">
        <f>IFERROR(VLOOKUP(Tabla1[[#This Row],[Oficina]],[15]Ponderación!$B$2:$E$9,4,FALSE),0)</f>
        <v>0.45719439678473212</v>
      </c>
      <c r="L211" s="7">
        <f>+Tabla1[[#This Row],[ RV Producción mes n+1]]*Tabla1[[#This Row],[% Uti. producción]]</f>
        <v>0</v>
      </c>
      <c r="M211" s="7">
        <f>IFERROR(VLOOKUP(Tabla1[[#This Row],[Material]],'[17]TD Stock'!$E:$I,5,FALSE),0)</f>
        <v>150.96600000000001</v>
      </c>
      <c r="N211" s="7">
        <f>IFERROR(VLOOKUP(Tabla1[[#This Row],[Material]],[16]Produccion!$M:$N,2,FALSE),0)</f>
        <v>0</v>
      </c>
      <c r="O211" s="7">
        <f>IFERROR(VLOOKUP(Tabla1[[#This Row],[Llave]],'[16]TD Conf-AP'!$I:$M,4,FALSE),0)</f>
        <v>0</v>
      </c>
      <c r="P211" s="14">
        <f>SUM(Tabla1[[#This Row],[Producción disponible]],Tabla1[[#This Row],[Stock al día]],(Tabla1[[#This Row],[Por producir mes N]]*0.9))-Tabla1[[#This Row],[Producción por despachar mes N]]</f>
        <v>150.96600000000001</v>
      </c>
      <c r="Q211" s="7">
        <f>IFERROR(VLOOKUP(Tabla1[[#This Row],[Llave]],[17]DELAY!$A:$D,4,FALSE),0)</f>
        <v>19500</v>
      </c>
      <c r="R211" s="9">
        <v>22000</v>
      </c>
      <c r="S211" s="5">
        <f t="shared" si="32"/>
        <v>0</v>
      </c>
      <c r="T211" s="76">
        <v>0</v>
      </c>
      <c r="U211" s="5">
        <f>+Tabla1[[#This Row],[Atraso a facturar]]+Tabla1[[#This Row],[Ajuste atraso]]</f>
        <v>0</v>
      </c>
      <c r="V211" s="3">
        <f>+Tabla1[[#This Row],[Total disponible]]-Tabla1[[#This Row],[Facturación atraso]]</f>
        <v>150.96600000000001</v>
      </c>
      <c r="W211" s="6">
        <f>IFERROR(IF(AND(V211&gt;R211,J211&gt;=R211),ROUNDDOWN((Tabla1[[#This Row],[Producción para venta nueva]])/R211,0)*R211,0),0)</f>
        <v>0</v>
      </c>
      <c r="X211" s="76">
        <v>0</v>
      </c>
      <c r="Y211" s="6">
        <f>IF(Tabla1[[#This Row],[Venta del mes]]&gt;0,Tabla1[[#This Row],[Venta del mes]]+Tabla1[[#This Row],[Ajuste venta nueva]],0)</f>
        <v>0</v>
      </c>
      <c r="Z211" s="6">
        <f>+Tabla1[[#This Row],[Producción para venta nueva]]-Tabla1[[#This Row],[Facturación Venta nueva]]</f>
        <v>150.96600000000001</v>
      </c>
      <c r="AA211" s="6">
        <f>IF(AND(A211=1,Tabla1[[#This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1" s="6"/>
      <c r="AC211" s="6">
        <f>IF(Tabla1[[#This Row],[Disponible stock sin venta]]&gt;0,Tabla1[[#This Row],[Disponible stock sin venta]]+Tabla1[[#This Row],[Ajuste stock sin venta]],0)</f>
        <v>0</v>
      </c>
      <c r="AD211" s="3">
        <f>IFERROR(VLOOKUP(Tabla1[[#This Row],[Llave]],'[16]TD Puerto'!$A:$D,4,FALSE),0)</f>
        <v>0</v>
      </c>
      <c r="AE211" s="3">
        <v>0</v>
      </c>
      <c r="AF211" s="3">
        <f>+Tabla1[[#This Row],[Atraso a facturar]]+Tabla1[[#This Row],[Venta del mes]]+Tabla1[[#This Row],[En puerto a facturar]]+Tabla1[[#This Row],[Disponible stock sin venta]]</f>
        <v>0</v>
      </c>
      <c r="AG211" s="3">
        <f>+Tabla1[[#This Row],[En puerto a facturar]]</f>
        <v>0</v>
      </c>
      <c r="AH211" s="3">
        <f>+Tabla1[[#This Row],[Facturación atraso]]</f>
        <v>0</v>
      </c>
      <c r="AI211" s="3">
        <f>+Tabla1[[#This Row],[Plan Irrestricto]]-Tabla1[[#This Row],[Puerto ]]-Tabla1[[#This Row],[Atraso]]</f>
        <v>0</v>
      </c>
      <c r="AJ21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11" s="3">
        <f>+Tabla1[[#This Row],[Facturación atraso]]</f>
        <v>0</v>
      </c>
      <c r="AL211" s="3">
        <f>+Tabla1[[#This Row],[Plan Ajustado]]-Tabla1[[#This Row],[ Atraso ajustado]]-Tabla1[[#This Row],[Puerto ]]</f>
        <v>0</v>
      </c>
      <c r="AM211" s="3">
        <v>0</v>
      </c>
      <c r="AN211" s="3" t="str">
        <f>IF(Tabla1[[#This Row],[Plan Ajustado]]&gt;Tabla1[[#This Row],[En puerto a facturar]],"Si","No")</f>
        <v>No</v>
      </c>
      <c r="AO21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11" s="3">
        <f>IF(Tabla1[[#This Row],[Necesidad]]&gt;=Tabla1[[#This Row],[Stock al día]],Tabla1[[#This Row],[Stock al día]],Tabla1[[#This Row],[Necesidad]])</f>
        <v>0</v>
      </c>
      <c r="AQ211" s="3">
        <f>+Tabla1[[#This Row],[Necesidad]]-Tabla1[[#This Row],[Stock Plan]]</f>
        <v>0</v>
      </c>
      <c r="AR211" s="156">
        <f>IFERROR(VLOOKUP(Tabla1[[#This Row],[Oficina]],[22]Ponderación!$B$3:$G$9,6,FALSE),"")</f>
        <v>44754</v>
      </c>
      <c r="AS21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2.3329240227442081</v>
      </c>
      <c r="AT211" s="83">
        <f>IFERROR(VLOOKUP(Tabla1[[#This Row],[Llave]],[17]DELAY!$H:$W,16,FALSE),0)</f>
        <v>2.6</v>
      </c>
      <c r="AU21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11" s="5">
        <f>+Tabla1[[#This Row],[Plan Ajustado]]*Tabla1[[#This Row],[Precio ponderado]]</f>
        <v>0</v>
      </c>
      <c r="AW211" s="30">
        <f>IFERROR(VLOOKUP(Tabla1[[#This Row],[Llave]],'[13]Ultimos precios facturados'!$A:$G,7,FALSE),0)</f>
        <v>2.3329240227442081</v>
      </c>
      <c r="AX21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11" s="30"/>
      <c r="AZ211" s="30">
        <f>IF(Tabla1[[#This Row],[Ajuste precio IC]]="",Tabla1[[#This Row],[Precio ponderado]],Tabla1[[#This Row],[Precio ponderado]])</f>
        <v>0</v>
      </c>
      <c r="BA211" s="82"/>
      <c r="BB211" s="82" t="str">
        <f>IF(AND(Tabla1[[#This Row],[Atraso a facturar]]&gt;0,Tabla1[[#This Row],[Precio Atraso]]=0),"Revisar","OK")</f>
        <v>OK</v>
      </c>
      <c r="BC211" s="82" t="str">
        <f>IF(AND(Tabla1[[#This Row],[Venta del mes]]&gt;0,Tabla1[[#This Row],[Precio venta nueva]]=0),"Revisar","OK")</f>
        <v>OK</v>
      </c>
      <c r="BD211" s="20">
        <f>IFERROR(VLOOKUP(Tabla1[[#This Row],[Llave]],'[5]Consolidación planes'!$A:$M,9,FALSE),0)</f>
        <v>6000</v>
      </c>
      <c r="BE211" s="20">
        <f>IFERROR(VLOOKUP(Tabla1[[#This Row],[Llave]],'[5]Consolidación planes'!$A:$M,10,FALSE),0)</f>
        <v>0</v>
      </c>
      <c r="BF211" s="20">
        <f>IFERROR(VLOOKUP(Tabla1[[#This Row],[Llave]],'[5]Consolidación planes'!$A:$M,11,FALSE),0)</f>
        <v>28000</v>
      </c>
      <c r="BG211" s="20">
        <f>IFERROR(VLOOKUP(Tabla1[[#This Row],[Llave]],'[5]Consolidación planes'!$A:$M,12,FALSE),0)</f>
        <v>44000</v>
      </c>
      <c r="BH211" s="20">
        <f>IFERROR(VLOOKUP(Tabla1[[#This Row],[Llave]],'[5]Consolidación planes'!$A:$M,13,FALSE),0)</f>
        <v>43998</v>
      </c>
      <c r="BI211" s="20">
        <f>IFERROR(VLOOKUP(Tabla1[[#This Row],[Llave]],'[13]Base ultimos planes'!$A:$M,13,FALSE),0)</f>
        <v>22000</v>
      </c>
      <c r="BJ211" s="80">
        <f>IFERROR(VLOOKUP(Tabla1[[#This Row],[Llave]],'[13]Base ultimos planes'!$O:$AA,8,FALSE),0)</f>
        <v>12420</v>
      </c>
      <c r="BK211" s="20">
        <f>IFERROR(VLOOKUP(Tabla1[[#This Row],[Llave]],'[13]Base ultimos planes'!$O:$AA,9,FALSE),0)</f>
        <v>0</v>
      </c>
      <c r="BL211" s="20">
        <f>IFERROR(VLOOKUP(Tabla1[[#This Row],[Llave]],'[13]Base ultimos planes'!$O:$AA,10,FALSE),0)</f>
        <v>58940</v>
      </c>
      <c r="BM211" s="20">
        <f>IFERROR(VLOOKUP(Tabla1[[#This Row],[Llave]],'[13]Base ultimos planes'!$O:$AA,11,FALSE),0)</f>
        <v>104751</v>
      </c>
      <c r="BN211" s="20">
        <f>IFERROR(VLOOKUP(Tabla1[[#This Row],[Llave]],'[13]Base ultimos planes'!$O:$AA,12,FALSE),0)</f>
        <v>49774</v>
      </c>
      <c r="BO211" s="20">
        <f>IFERROR(VLOOKUP(Tabla1[[#This Row],[Llave]],'[13]Base ultimos planes'!$O:$AA,13,FALSE),0)</f>
        <v>50891</v>
      </c>
      <c r="BP211" s="20"/>
      <c r="BQ211" s="20">
        <f>+Tabla1[[#This Row],[ RV  Venta mes n+1]]*(1-Tabla1[[#This Row],[% Uti. producción]])</f>
        <v>0</v>
      </c>
      <c r="BR211" s="100"/>
    </row>
    <row r="212" spans="1:70" ht="16" hidden="1" x14ac:dyDescent="0.2">
      <c r="A212">
        <v>1</v>
      </c>
      <c r="B212" t="str">
        <f>Tabla1[[#This Row],[Oficina]]&amp;Tabla1[[#This Row],[Material]]</f>
        <v>Agrosuper Asia1030542</v>
      </c>
      <c r="C212" t="s">
        <v>204</v>
      </c>
      <c r="D212" t="s">
        <v>173</v>
      </c>
      <c r="E212">
        <v>1030542</v>
      </c>
      <c r="F212" t="s">
        <v>225</v>
      </c>
      <c r="G212" t="s">
        <v>212</v>
      </c>
      <c r="H212" t="s">
        <v>213</v>
      </c>
      <c r="I212" s="7">
        <f>IFERROR(VLOOKUP(Tabla1[[#This Row],[Llave]],'[7]RV Producción'!$C:$G,5,FALSE),0)</f>
        <v>0</v>
      </c>
      <c r="J212" s="3">
        <f>IFERROR(IF(Tabla1[[#This Row],[Oficina]]=$I$7,VLOOKUP(Tabla1[[#This Row],[Llave]],'[7]Shangai (Tomas)'!$A:$F,6,FALSE),VLOOKUP(Tabla1[[#This Row],[Llave]],'[7]RV plan de ventas'!$A:$E,5,FALSE)),0)</f>
        <v>0</v>
      </c>
      <c r="K212" s="8">
        <f>IFERROR(VLOOKUP(Tabla1[[#This Row],[Oficina]],[15]Ponderación!$B$2:$E$9,4,FALSE),0)</f>
        <v>0.45719439678473212</v>
      </c>
      <c r="L212" s="7">
        <f>+Tabla1[[#This Row],[ RV Producción mes n+1]]*Tabla1[[#This Row],[% Uti. producción]]</f>
        <v>0</v>
      </c>
      <c r="M212" s="7">
        <f>IFERROR(VLOOKUP(Tabla1[[#This Row],[Material]],'[17]TD Stock'!$E:$I,5,FALSE),0)</f>
        <v>1050</v>
      </c>
      <c r="N212" s="7">
        <f>IFERROR(VLOOKUP(Tabla1[[#This Row],[Material]],[16]Produccion!$M:$N,2,FALSE),0)</f>
        <v>0</v>
      </c>
      <c r="O212" s="7">
        <f>IFERROR(VLOOKUP(Tabla1[[#This Row],[Llave]],'[16]TD Conf-AP'!$I:$M,4,FALSE),0)</f>
        <v>0</v>
      </c>
      <c r="P212" s="14">
        <f>SUM(Tabla1[[#This Row],[Producción disponible]],Tabla1[[#This Row],[Stock al día]],(Tabla1[[#This Row],[Por producir mes N]]*0.9))-Tabla1[[#This Row],[Producción por despachar mes N]]</f>
        <v>1050</v>
      </c>
      <c r="Q212" s="7">
        <f>IFERROR(VLOOKUP(Tabla1[[#This Row],[Llave]],[17]DELAY!$A:$D,4,FALSE),0)</f>
        <v>2500</v>
      </c>
      <c r="R212" s="9">
        <v>24000</v>
      </c>
      <c r="S212" s="5">
        <f t="shared" si="32"/>
        <v>0</v>
      </c>
      <c r="T212" s="76">
        <v>0</v>
      </c>
      <c r="U212" s="5">
        <f>+Tabla1[[#This Row],[Atraso a facturar]]+Tabla1[[#This Row],[Ajuste atraso]]</f>
        <v>0</v>
      </c>
      <c r="V212" s="3">
        <f>+Tabla1[[#This Row],[Total disponible]]-Tabla1[[#This Row],[Facturación atraso]]</f>
        <v>1050</v>
      </c>
      <c r="W212" s="6">
        <f>IFERROR(IF(AND(V212&gt;R212,J212&gt;=R212),ROUNDDOWN((Tabla1[[#This Row],[Producción para venta nueva]])/R212,0)*R212,0),0)</f>
        <v>0</v>
      </c>
      <c r="X212" s="76">
        <v>0</v>
      </c>
      <c r="Y212" s="6">
        <f>IF(Tabla1[[#This Row],[Venta del mes]]&gt;0,Tabla1[[#This Row],[Venta del mes]]+Tabla1[[#This Row],[Ajuste venta nueva]],0)</f>
        <v>0</v>
      </c>
      <c r="Z212" s="6">
        <f>+Tabla1[[#This Row],[Producción para venta nueva]]-Tabla1[[#This Row],[Facturación Venta nueva]]</f>
        <v>1050</v>
      </c>
      <c r="AA212" s="6">
        <f>IF(AND(A212=1,Tabla1[[#This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2" s="6"/>
      <c r="AC212" s="6">
        <f>IF(Tabla1[[#This Row],[Disponible stock sin venta]]&gt;0,Tabla1[[#This Row],[Disponible stock sin venta]]+Tabla1[[#This Row],[Ajuste stock sin venta]],0)</f>
        <v>0</v>
      </c>
      <c r="AD212" s="3">
        <f>IFERROR(VLOOKUP(Tabla1[[#This Row],[Llave]],'[16]TD Puerto'!$A:$D,4,FALSE),0)</f>
        <v>0</v>
      </c>
      <c r="AE212" s="3">
        <v>0</v>
      </c>
      <c r="AF212" s="3">
        <f>+Tabla1[[#This Row],[Atraso a facturar]]+Tabla1[[#This Row],[Venta del mes]]+Tabla1[[#This Row],[En puerto a facturar]]+Tabla1[[#This Row],[Disponible stock sin venta]]</f>
        <v>0</v>
      </c>
      <c r="AG212" s="3">
        <f>+Tabla1[[#This Row],[En puerto a facturar]]</f>
        <v>0</v>
      </c>
      <c r="AH212" s="3">
        <f>+Tabla1[[#This Row],[Facturación atraso]]</f>
        <v>0</v>
      </c>
      <c r="AI212" s="3">
        <f>+Tabla1[[#This Row],[Plan Irrestricto]]-Tabla1[[#This Row],[Puerto ]]-Tabla1[[#This Row],[Atraso]]</f>
        <v>0</v>
      </c>
      <c r="AJ21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12" s="3">
        <f>+Tabla1[[#This Row],[Facturación atraso]]</f>
        <v>0</v>
      </c>
      <c r="AL212" s="3">
        <f>+Tabla1[[#This Row],[Plan Ajustado]]-Tabla1[[#This Row],[ Atraso ajustado]]-Tabla1[[#This Row],[Puerto ]]</f>
        <v>0</v>
      </c>
      <c r="AM212" s="3">
        <v>0</v>
      </c>
      <c r="AN212" s="3" t="str">
        <f>IF(Tabla1[[#This Row],[Plan Ajustado]]&gt;Tabla1[[#This Row],[En puerto a facturar]],"Si","No")</f>
        <v>No</v>
      </c>
      <c r="AO21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12" s="3">
        <f>IF(Tabla1[[#This Row],[Necesidad]]&gt;=Tabla1[[#This Row],[Stock al día]],Tabla1[[#This Row],[Stock al día]],Tabla1[[#This Row],[Necesidad]])</f>
        <v>0</v>
      </c>
      <c r="AQ212" s="3">
        <f>+Tabla1[[#This Row],[Necesidad]]-Tabla1[[#This Row],[Stock Plan]]</f>
        <v>0</v>
      </c>
      <c r="AR212" s="156">
        <f>IFERROR(VLOOKUP(Tabla1[[#This Row],[Oficina]],[22]Ponderación!$B$3:$G$9,6,FALSE),"")</f>
        <v>44754</v>
      </c>
      <c r="AS21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10.199214861847922</v>
      </c>
      <c r="AT212" s="83">
        <f>IFERROR(VLOOKUP(Tabla1[[#This Row],[Llave]],[17]DELAY!$H:$W,16,FALSE),0)</f>
        <v>12.580466530612201</v>
      </c>
      <c r="AU21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12" s="5">
        <f>+Tabla1[[#This Row],[Plan Ajustado]]*Tabla1[[#This Row],[Precio ponderado]]</f>
        <v>0</v>
      </c>
      <c r="AW212" s="30">
        <f>IFERROR(VLOOKUP(Tabla1[[#This Row],[Llave]],'[13]Ultimos precios facturados'!$A:$G,7,FALSE),0)</f>
        <v>10.199214861847922</v>
      </c>
      <c r="AX21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12" s="30"/>
      <c r="AZ212" s="30">
        <f>IF(Tabla1[[#This Row],[Ajuste precio IC]]="",Tabla1[[#This Row],[Precio ponderado]],Tabla1[[#This Row],[Precio ponderado]])</f>
        <v>0</v>
      </c>
      <c r="BA212" s="82"/>
      <c r="BB212" s="82" t="str">
        <f>IF(AND(Tabla1[[#This Row],[Atraso a facturar]]&gt;0,Tabla1[[#This Row],[Precio Atraso]]=0),"Revisar","OK")</f>
        <v>OK</v>
      </c>
      <c r="BC212" s="82" t="str">
        <f>IF(AND(Tabla1[[#This Row],[Venta del mes]]&gt;0,Tabla1[[#This Row],[Precio venta nueva]]=0),"Revisar","OK")</f>
        <v>OK</v>
      </c>
      <c r="BD212" s="20">
        <f>IFERROR(VLOOKUP(Tabla1[[#This Row],[Llave]],'[5]Consolidación planes'!$A:$M,9,FALSE),0)</f>
        <v>0</v>
      </c>
      <c r="BE212" s="20">
        <f>IFERROR(VLOOKUP(Tabla1[[#This Row],[Llave]],'[5]Consolidación planes'!$A:$M,10,FALSE),0)</f>
        <v>0</v>
      </c>
      <c r="BF212" s="20">
        <f>IFERROR(VLOOKUP(Tabla1[[#This Row],[Llave]],'[5]Consolidación planes'!$A:$M,11,FALSE),0)</f>
        <v>0</v>
      </c>
      <c r="BG212" s="20">
        <f>IFERROR(VLOOKUP(Tabla1[[#This Row],[Llave]],'[5]Consolidación planes'!$A:$M,12,FALSE),0)</f>
        <v>0</v>
      </c>
      <c r="BH212" s="20">
        <f>IFERROR(VLOOKUP(Tabla1[[#This Row],[Llave]],'[5]Consolidación planes'!$A:$M,13,FALSE),0)</f>
        <v>0</v>
      </c>
      <c r="BI212" s="20">
        <f>IFERROR(VLOOKUP(Tabla1[[#This Row],[Llave]],'[13]Base ultimos planes'!$A:$M,13,FALSE),0)</f>
        <v>0</v>
      </c>
      <c r="BJ212" s="80">
        <f>IFERROR(VLOOKUP(Tabla1[[#This Row],[Llave]],'[13]Base ultimos planes'!$O:$AA,8,FALSE),0)</f>
        <v>0</v>
      </c>
      <c r="BK212" s="20">
        <f>IFERROR(VLOOKUP(Tabla1[[#This Row],[Llave]],'[13]Base ultimos planes'!$O:$AA,9,FALSE),0)</f>
        <v>0</v>
      </c>
      <c r="BL212" s="20">
        <f>IFERROR(VLOOKUP(Tabla1[[#This Row],[Llave]],'[13]Base ultimos planes'!$O:$AA,10,FALSE),0)</f>
        <v>0</v>
      </c>
      <c r="BM212" s="20">
        <f>IFERROR(VLOOKUP(Tabla1[[#This Row],[Llave]],'[13]Base ultimos planes'!$O:$AA,11,FALSE),0)</f>
        <v>0</v>
      </c>
      <c r="BN212" s="20">
        <f>IFERROR(VLOOKUP(Tabla1[[#This Row],[Llave]],'[13]Base ultimos planes'!$O:$AA,12,FALSE),0)</f>
        <v>0</v>
      </c>
      <c r="BO212" s="20">
        <f>IFERROR(VLOOKUP(Tabla1[[#This Row],[Llave]],'[13]Base ultimos planes'!$O:$AA,13,FALSE),0)</f>
        <v>0</v>
      </c>
      <c r="BP212" s="20"/>
      <c r="BQ212" s="20">
        <f>+Tabla1[[#This Row],[ RV  Venta mes n+1]]*(1-Tabla1[[#This Row],[% Uti. producción]])</f>
        <v>0</v>
      </c>
      <c r="BR212" s="100"/>
    </row>
    <row r="213" spans="1:70" ht="16" x14ac:dyDescent="0.2">
      <c r="A213">
        <v>1</v>
      </c>
      <c r="B213" t="str">
        <f>Tabla1[[#This Row],[Oficina]]&amp;Tabla1[[#This Row],[Material]]</f>
        <v>Agro Sudamerica1010877</v>
      </c>
      <c r="C213" t="s">
        <v>227</v>
      </c>
      <c r="D213" t="s">
        <v>17</v>
      </c>
      <c r="E213">
        <v>1010877</v>
      </c>
      <c r="F213" t="s">
        <v>243</v>
      </c>
      <c r="G213" t="s">
        <v>209</v>
      </c>
      <c r="H213" t="s">
        <v>210</v>
      </c>
      <c r="I213" s="7">
        <f>IFERROR(VLOOKUP(Tabla1[[#This Row],[Llave]],'[7]RV Producción'!$C:$G,5,FALSE),0)</f>
        <v>118400</v>
      </c>
      <c r="J213" s="3">
        <f>IFERROR(IF(Tabla1[[#This Row],[Oficina]]=$I$7,VLOOKUP(Tabla1[[#This Row],[Llave]],'[7]Shangai (Tomas)'!$A:$F,6,FALSE),VLOOKUP(Tabla1[[#This Row],[Llave]],'[7]RV plan de ventas'!$A:$E,5,FALSE)),0)</f>
        <v>96263</v>
      </c>
      <c r="K213" s="8">
        <f>IFERROR(VLOOKUP(Tabla1[[#This Row],[Oficina]],[15]Ponderación!$B$2:$E$9,4,FALSE),0)</f>
        <v>0.45719439678473212</v>
      </c>
      <c r="L213" s="7">
        <f>+Tabla1[[#This Row],[ RV Producción mes n+1]]*Tabla1[[#This Row],[% Uti. producción]]</f>
        <v>54131.816579312283</v>
      </c>
      <c r="M213" s="7">
        <f>IFERROR(VLOOKUP(Tabla1[[#This Row],[Material]],'[17]TD Stock'!$E:$I,5,FALSE),0)</f>
        <v>107870</v>
      </c>
      <c r="N213" s="7">
        <f>IFERROR(VLOOKUP(Tabla1[[#This Row],[Material]],[16]Produccion!$M:$N,2,FALSE),0)</f>
        <v>6660</v>
      </c>
      <c r="O213" s="7">
        <f>IFERROR(VLOOKUP(Tabla1[[#This Row],[Llave]],'[16]TD Conf-AP'!$I:$M,4,FALSE),0)</f>
        <v>0</v>
      </c>
      <c r="P213" s="14">
        <f>SUM(Tabla1[[#This Row],[Producción disponible]],Tabla1[[#This Row],[Stock al día]],(Tabla1[[#This Row],[Por producir mes N]]*0.9))-Tabla1[[#This Row],[Producción por despachar mes N]]</f>
        <v>167995.81657931229</v>
      </c>
      <c r="Q213" s="7">
        <f>IFERROR(VLOOKUP(Tabla1[[#This Row],[Llave]],[17]DELAY!$A:$D,4,FALSE),0)</f>
        <v>52590</v>
      </c>
      <c r="R213" s="9">
        <v>24000</v>
      </c>
      <c r="S213" s="5">
        <f t="shared" si="32"/>
        <v>52590</v>
      </c>
      <c r="T213" s="76">
        <v>0</v>
      </c>
      <c r="U213" s="5">
        <f>+Tabla1[[#This Row],[Atraso a facturar]]+Tabla1[[#This Row],[Ajuste atraso]]</f>
        <v>52590</v>
      </c>
      <c r="V213" s="3">
        <f>+Tabla1[[#This Row],[Total disponible]]-Tabla1[[#This Row],[Facturación atraso]]</f>
        <v>115405.81657931229</v>
      </c>
      <c r="W213" s="6">
        <f>IFERROR(IF(AND(V213&gt;R213,J213&gt;=R213),ROUNDDOWN((Tabla1[[#This Row],[Producción para venta nueva]])/R213,0)*R213,0),0)</f>
        <v>96000</v>
      </c>
      <c r="X213" s="76">
        <v>0</v>
      </c>
      <c r="Y213" s="6">
        <f>IF(Tabla1[[#This Row],[Venta del mes]]&gt;0,Tabla1[[#This Row],[Venta del mes]]+Tabla1[[#This Row],[Ajuste venta nueva]],0)</f>
        <v>96000</v>
      </c>
      <c r="Z213" s="6">
        <f>+Tabla1[[#This Row],[Producción para venta nueva]]-Tabla1[[#This Row],[Facturación Venta nueva]]</f>
        <v>19405.81657931229</v>
      </c>
      <c r="AA213" s="6">
        <f>IF(AND(A213=1,Tabla1[[#This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3" s="6"/>
      <c r="AC213" s="6">
        <f>IF(Tabla1[[#This Row],[Disponible stock sin venta]]&gt;0,Tabla1[[#This Row],[Disponible stock sin venta]]+Tabla1[[#This Row],[Ajuste stock sin venta]],0)</f>
        <v>0</v>
      </c>
      <c r="AD213" s="3">
        <f>IFERROR(VLOOKUP(Tabla1[[#This Row],[Llave]],'[16]TD Puerto'!$A:$D,4,FALSE),0)</f>
        <v>0</v>
      </c>
      <c r="AE213" s="3">
        <v>148590</v>
      </c>
      <c r="AF213" s="3">
        <f>+Tabla1[[#This Row],[Atraso a facturar]]+Tabla1[[#This Row],[Venta del mes]]+Tabla1[[#This Row],[En puerto a facturar]]+Tabla1[[#This Row],[Disponible stock sin venta]]</f>
        <v>148590</v>
      </c>
      <c r="AG213" s="3">
        <f>+Tabla1[[#This Row],[En puerto a facturar]]</f>
        <v>0</v>
      </c>
      <c r="AH213" s="3">
        <f>+Tabla1[[#This Row],[Facturación atraso]]</f>
        <v>52590</v>
      </c>
      <c r="AI213" s="3">
        <f>+Tabla1[[#This Row],[Plan Irrestricto]]-Tabla1[[#This Row],[Puerto ]]-Tabla1[[#This Row],[Atraso]]</f>
        <v>96000</v>
      </c>
      <c r="AJ213" s="3">
        <f>IF(Tabla1[[#This Row],[Plan Irrestricto]]&gt;0,SUM(Tabla1[[#This Row],[Facturación atraso]],Tabla1[[#This Row],[Facturación Venta nueva]],Tabla1[[#This Row],[Facturación stock]],Tabla1[[#This Row],[En puerto a facturar]]),0)</f>
        <v>148590</v>
      </c>
      <c r="AK213" s="3">
        <f>+Tabla1[[#This Row],[Facturación atraso]]</f>
        <v>52590</v>
      </c>
      <c r="AL213" s="3">
        <f>+Tabla1[[#This Row],[Plan Ajustado]]-Tabla1[[#This Row],[ Atraso ajustado]]-Tabla1[[#This Row],[Puerto ]]</f>
        <v>96000</v>
      </c>
      <c r="AM213" s="3">
        <v>0</v>
      </c>
      <c r="AN213" s="3" t="str">
        <f>IF(Tabla1[[#This Row],[Plan Ajustado]]&gt;Tabla1[[#This Row],[En puerto a facturar]],"Si","No")</f>
        <v>Si</v>
      </c>
      <c r="AO213" s="3">
        <f>IF(AND(Tabla1[[#This Row],[Plan Ajustado]]&gt;0,Tabla1[[#This Row],[Plan Ajustado]]&gt;Tabla1[[#This Row],[En puerto a facturar]]),(Tabla1[[#This Row],[Plan Ajustado]]-Tabla1[[#This Row],[En puerto a facturar]]),0)</f>
        <v>148590</v>
      </c>
      <c r="AP213" s="3">
        <f>IF(Tabla1[[#This Row],[Necesidad]]&gt;=Tabla1[[#This Row],[Stock al día]],Tabla1[[#This Row],[Stock al día]],Tabla1[[#This Row],[Necesidad]])</f>
        <v>107870</v>
      </c>
      <c r="AQ213" s="3">
        <f>+Tabla1[[#This Row],[Necesidad]]-Tabla1[[#This Row],[Stock Plan]]</f>
        <v>40720</v>
      </c>
      <c r="AR213" s="156">
        <f>IFERROR(VLOOKUP(Tabla1[[#This Row],[Oficina]],[22]Ponderación!$B$3:$G$9,6,FALSE),"")</f>
        <v>44757</v>
      </c>
      <c r="AS21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1.08666881356284</v>
      </c>
      <c r="AT213" s="83">
        <f>IFERROR(VLOOKUP(Tabla1[[#This Row],[Llave]],[17]DELAY!$H:$W,16,FALSE),0)</f>
        <v>1.0866246355166032</v>
      </c>
      <c r="AU21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1.0866531777633137</v>
      </c>
      <c r="AV213" s="5">
        <f>+Tabla1[[#This Row],[Plan Ajustado]]*Tabla1[[#This Row],[Precio ponderado]]</f>
        <v>161465.7956838508</v>
      </c>
      <c r="AW213" s="30">
        <f>IFERROR(VLOOKUP(Tabla1[[#This Row],[Llave]],'[13]Ultimos precios facturados'!$A:$G,7,FALSE),0)</f>
        <v>1.0253207113973615</v>
      </c>
      <c r="AX21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5.9817836199139197E-2</v>
      </c>
      <c r="AY213" s="30"/>
      <c r="AZ213" s="30">
        <f>IF(Tabla1[[#This Row],[Ajuste precio IC]]="",Tabla1[[#This Row],[Precio ponderado]],Tabla1[[#This Row],[Precio ponderado]])</f>
        <v>1.0866531777633137</v>
      </c>
      <c r="BA213" s="82"/>
      <c r="BB213" s="82" t="str">
        <f>IF(AND(Tabla1[[#This Row],[Atraso a facturar]]&gt;0,Tabla1[[#This Row],[Precio Atraso]]=0),"Revisar","OK")</f>
        <v>OK</v>
      </c>
      <c r="BC213" s="82" t="str">
        <f>IF(AND(Tabla1[[#This Row],[Venta del mes]]&gt;0,Tabla1[[#This Row],[Precio venta nueva]]=0),"Revisar","OK")</f>
        <v>OK</v>
      </c>
      <c r="BD213" s="20">
        <f>IFERROR(VLOOKUP(Tabla1[[#This Row],[Llave]],'[5]Consolidación planes'!$A:$M,9,FALSE),0)</f>
        <v>96000</v>
      </c>
      <c r="BE213" s="20">
        <f>IFERROR(VLOOKUP(Tabla1[[#This Row],[Llave]],'[5]Consolidación planes'!$A:$M,10,FALSE),0)</f>
        <v>123000</v>
      </c>
      <c r="BF213" s="20">
        <f>IFERROR(VLOOKUP(Tabla1[[#This Row],[Llave]],'[5]Consolidación planes'!$A:$M,11,FALSE),0)</f>
        <v>95960</v>
      </c>
      <c r="BG213" s="20">
        <f>IFERROR(VLOOKUP(Tabla1[[#This Row],[Llave]],'[5]Consolidación planes'!$A:$M,12,FALSE),0)</f>
        <v>48000</v>
      </c>
      <c r="BH213" s="20">
        <f>IFERROR(VLOOKUP(Tabla1[[#This Row],[Llave]],'[5]Consolidación planes'!$A:$M,13,FALSE),0)</f>
        <v>115000</v>
      </c>
      <c r="BI213" s="20">
        <f>IFERROR(VLOOKUP(Tabla1[[#This Row],[Llave]],'[13]Base ultimos planes'!$A:$M,13,FALSE),0)</f>
        <v>162334</v>
      </c>
      <c r="BJ213" s="80">
        <f>IFERROR(VLOOKUP(Tabla1[[#This Row],[Llave]],'[13]Base ultimos planes'!$O:$AA,8,FALSE),0)</f>
        <v>106278.39999999999</v>
      </c>
      <c r="BK213" s="20">
        <f>IFERROR(VLOOKUP(Tabla1[[#This Row],[Llave]],'[13]Base ultimos planes'!$O:$AA,9,FALSE),0)</f>
        <v>135580</v>
      </c>
      <c r="BL213" s="20">
        <f>IFERROR(VLOOKUP(Tabla1[[#This Row],[Llave]],'[13]Base ultimos planes'!$O:$AA,10,FALSE),0)</f>
        <v>95964</v>
      </c>
      <c r="BM213" s="20">
        <f>IFERROR(VLOOKUP(Tabla1[[#This Row],[Llave]],'[13]Base ultimos planes'!$O:$AA,11,FALSE),0)</f>
        <v>44149</v>
      </c>
      <c r="BN213" s="20">
        <f>IFERROR(VLOOKUP(Tabla1[[#This Row],[Llave]],'[13]Base ultimos planes'!$O:$AA,12,FALSE),0)</f>
        <v>123460</v>
      </c>
      <c r="BO213" s="20">
        <f>IFERROR(VLOOKUP(Tabla1[[#This Row],[Llave]],'[13]Base ultimos planes'!$O:$AA,13,FALSE),0)</f>
        <v>173356</v>
      </c>
      <c r="BP213" s="20"/>
      <c r="BQ213" s="20">
        <f>+Tabla1[[#This Row],[ RV  Venta mes n+1]]*(1-Tabla1[[#This Row],[% Uti. producción]])</f>
        <v>52252.095782311335</v>
      </c>
      <c r="BR213" s="100"/>
    </row>
    <row r="214" spans="1:70" ht="16" x14ac:dyDescent="0.2">
      <c r="A214">
        <v>1</v>
      </c>
      <c r="B214" t="str">
        <f>Tabla1[[#This Row],[Oficina]]&amp;Tabla1[[#This Row],[Material]]</f>
        <v>Agro Sudamerica1011042</v>
      </c>
      <c r="C214" t="s">
        <v>227</v>
      </c>
      <c r="D214" t="s">
        <v>17</v>
      </c>
      <c r="E214">
        <v>1011042</v>
      </c>
      <c r="F214" t="s">
        <v>242</v>
      </c>
      <c r="G214" t="s">
        <v>240</v>
      </c>
      <c r="H214" t="s">
        <v>241</v>
      </c>
      <c r="I214" s="7">
        <f>IFERROR(VLOOKUP(Tabla1[[#This Row],[Llave]],'[7]RV Producción'!$C:$G,5,FALSE),0)</f>
        <v>0</v>
      </c>
      <c r="J214" s="3">
        <f>IFERROR(IF(Tabla1[[#This Row],[Oficina]]=$I$7,VLOOKUP(Tabla1[[#This Row],[Llave]],'[7]Shangai (Tomas)'!$A:$F,6,FALSE),VLOOKUP(Tabla1[[#This Row],[Llave]],'[7]RV plan de ventas'!$A:$E,5,FALSE)),0)</f>
        <v>0</v>
      </c>
      <c r="K214" s="8">
        <f>IFERROR(VLOOKUP(Tabla1[[#This Row],[Oficina]],[15]Ponderación!$B$2:$E$9,4,FALSE),0)</f>
        <v>0.45719439678473212</v>
      </c>
      <c r="L214" s="7">
        <f>+Tabla1[[#This Row],[ RV Producción mes n+1]]*Tabla1[[#This Row],[% Uti. producción]]</f>
        <v>0</v>
      </c>
      <c r="M214" s="7">
        <f>IFERROR(VLOOKUP(Tabla1[[#This Row],[Material]],'[17]TD Stock'!$E:$I,5,FALSE),0)</f>
        <v>35030</v>
      </c>
      <c r="N214" s="7">
        <f>IFERROR(VLOOKUP(Tabla1[[#This Row],[Material]],[16]Produccion!$M:$N,2,FALSE),0)</f>
        <v>0</v>
      </c>
      <c r="O214" s="7">
        <f>IFERROR(VLOOKUP(Tabla1[[#This Row],[Llave]],'[16]TD Conf-AP'!$I:$M,4,FALSE),0)</f>
        <v>0</v>
      </c>
      <c r="P214" s="14">
        <f>SUM(Tabla1[[#This Row],[Producción disponible]],Tabla1[[#This Row],[Stock al día]],(Tabla1[[#This Row],[Por producir mes N]]*0.9))-Tabla1[[#This Row],[Producción por despachar mes N]]</f>
        <v>35030</v>
      </c>
      <c r="Q214" s="7">
        <f>IFERROR(VLOOKUP(Tabla1[[#This Row],[Llave]],[17]DELAY!$A:$D,4,FALSE),0)</f>
        <v>55410</v>
      </c>
      <c r="R214" s="9">
        <v>24000</v>
      </c>
      <c r="S214" s="5">
        <f t="shared" si="32"/>
        <v>24000</v>
      </c>
      <c r="T214" s="76">
        <v>0</v>
      </c>
      <c r="U214" s="5">
        <f>+Tabla1[[#This Row],[Atraso a facturar]]+Tabla1[[#This Row],[Ajuste atraso]]</f>
        <v>24000</v>
      </c>
      <c r="V214" s="3">
        <f>+Tabla1[[#This Row],[Total disponible]]-Tabla1[[#This Row],[Facturación atraso]]</f>
        <v>11030</v>
      </c>
      <c r="W214" s="6">
        <f>IFERROR(IF(AND(V214&gt;R214,J214&gt;=R214),ROUNDDOWN((Tabla1[[#This Row],[Producción para venta nueva]])/R214,0)*R214,0),0)</f>
        <v>0</v>
      </c>
      <c r="X214" s="76">
        <v>0</v>
      </c>
      <c r="Y214" s="6">
        <f>IF(Tabla1[[#This Row],[Venta del mes]]&gt;0,Tabla1[[#This Row],[Venta del mes]]+Tabla1[[#This Row],[Ajuste venta nueva]],0)</f>
        <v>0</v>
      </c>
      <c r="Z214" s="6">
        <f>+Tabla1[[#This Row],[Producción para venta nueva]]-Tabla1[[#This Row],[Facturación Venta nueva]]</f>
        <v>11030</v>
      </c>
      <c r="AA214" s="6">
        <f>IF(AND(A214=1,Tabla1[[#This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4" s="6"/>
      <c r="AC214" s="6">
        <f>IF(Tabla1[[#This Row],[Disponible stock sin venta]]&gt;0,Tabla1[[#This Row],[Disponible stock sin venta]]+Tabla1[[#This Row],[Ajuste stock sin venta]],0)</f>
        <v>0</v>
      </c>
      <c r="AD214" s="3">
        <f>IFERROR(VLOOKUP(Tabla1[[#This Row],[Llave]],'[16]TD Puerto'!$A:$D,4,FALSE),0)</f>
        <v>0</v>
      </c>
      <c r="AE214" s="3">
        <v>24000</v>
      </c>
      <c r="AF214" s="3">
        <f>+Tabla1[[#This Row],[Atraso a facturar]]+Tabla1[[#This Row],[Venta del mes]]+Tabla1[[#This Row],[En puerto a facturar]]+Tabla1[[#This Row],[Disponible stock sin venta]]</f>
        <v>24000</v>
      </c>
      <c r="AG214" s="3">
        <f>+Tabla1[[#This Row],[En puerto a facturar]]</f>
        <v>0</v>
      </c>
      <c r="AH214" s="3">
        <f>+Tabla1[[#This Row],[Facturación atraso]]</f>
        <v>24000</v>
      </c>
      <c r="AI214" s="3">
        <f>+Tabla1[[#This Row],[Plan Irrestricto]]-Tabla1[[#This Row],[Puerto ]]-Tabla1[[#This Row],[Atraso]]</f>
        <v>0</v>
      </c>
      <c r="AJ214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214" s="3">
        <f>+Tabla1[[#This Row],[Facturación atraso]]</f>
        <v>24000</v>
      </c>
      <c r="AL214" s="3">
        <f>+Tabla1[[#This Row],[Plan Ajustado]]-Tabla1[[#This Row],[ Atraso ajustado]]-Tabla1[[#This Row],[Puerto ]]</f>
        <v>0</v>
      </c>
      <c r="AM214" s="3">
        <v>0</v>
      </c>
      <c r="AN214" s="3" t="str">
        <f>IF(Tabla1[[#This Row],[Plan Ajustado]]&gt;Tabla1[[#This Row],[En puerto a facturar]],"Si","No")</f>
        <v>Si</v>
      </c>
      <c r="AO214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214" s="3">
        <f>IF(Tabla1[[#This Row],[Necesidad]]&gt;=Tabla1[[#This Row],[Stock al día]],Tabla1[[#This Row],[Stock al día]],Tabla1[[#This Row],[Necesidad]])</f>
        <v>24000</v>
      </c>
      <c r="AQ214" s="3">
        <f>+Tabla1[[#This Row],[Necesidad]]-Tabla1[[#This Row],[Stock Plan]]</f>
        <v>0</v>
      </c>
      <c r="AR214" s="156">
        <f>IFERROR(VLOOKUP(Tabla1[[#This Row],[Oficina]],[22]Ponderación!$B$3:$G$9,6,FALSE),"")</f>
        <v>44757</v>
      </c>
      <c r="AS21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0.50865314388899452</v>
      </c>
      <c r="AT214" s="83">
        <f>IFERROR(VLOOKUP(Tabla1[[#This Row],[Llave]],[17]DELAY!$H:$W,16,FALSE),0)</f>
        <v>0.68</v>
      </c>
      <c r="AU21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0.68</v>
      </c>
      <c r="AV214" s="5">
        <f>+Tabla1[[#This Row],[Plan Ajustado]]*Tabla1[[#This Row],[Precio ponderado]]</f>
        <v>16320.000000000002</v>
      </c>
      <c r="AW214" s="30">
        <f>IFERROR(VLOOKUP(Tabla1[[#This Row],[Llave]],'[13]Ultimos precios facturados'!$A:$G,7,FALSE),0)</f>
        <v>0.50865314388899452</v>
      </c>
      <c r="AX21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0.33686384950055331</v>
      </c>
      <c r="AY214" s="30"/>
      <c r="AZ214" s="30">
        <f>IF(Tabla1[[#This Row],[Ajuste precio IC]]="",Tabla1[[#This Row],[Precio ponderado]],Tabla1[[#This Row],[Precio ponderado]])</f>
        <v>0.68</v>
      </c>
      <c r="BA214" s="82"/>
      <c r="BB214" s="82" t="str">
        <f>IF(AND(Tabla1[[#This Row],[Atraso a facturar]]&gt;0,Tabla1[[#This Row],[Precio Atraso]]=0),"Revisar","OK")</f>
        <v>OK</v>
      </c>
      <c r="BC214" s="82" t="str">
        <f>IF(AND(Tabla1[[#This Row],[Venta del mes]]&gt;0,Tabla1[[#This Row],[Precio venta nueva]]=0),"Revisar","OK")</f>
        <v>OK</v>
      </c>
      <c r="BD214" s="20">
        <f>IFERROR(VLOOKUP(Tabla1[[#This Row],[Llave]],'[5]Consolidación planes'!$A:$M,9,FALSE),0)</f>
        <v>24000</v>
      </c>
      <c r="BE214" s="20">
        <f>IFERROR(VLOOKUP(Tabla1[[#This Row],[Llave]],'[5]Consolidación planes'!$A:$M,10,FALSE),0)</f>
        <v>0</v>
      </c>
      <c r="BF214" s="20">
        <f>IFERROR(VLOOKUP(Tabla1[[#This Row],[Llave]],'[5]Consolidación planes'!$A:$M,11,FALSE),0)</f>
        <v>23960</v>
      </c>
      <c r="BG214" s="20">
        <f>IFERROR(VLOOKUP(Tabla1[[#This Row],[Llave]],'[5]Consolidación planes'!$A:$M,12,FALSE),0)</f>
        <v>0</v>
      </c>
      <c r="BH214" s="20">
        <f>IFERROR(VLOOKUP(Tabla1[[#This Row],[Llave]],'[5]Consolidación planes'!$A:$M,13,FALSE),0)</f>
        <v>72000</v>
      </c>
      <c r="BI214" s="20">
        <f>IFERROR(VLOOKUP(Tabla1[[#This Row],[Llave]],'[13]Base ultimos planes'!$A:$M,13,FALSE),0)</f>
        <v>36000</v>
      </c>
      <c r="BJ214" s="80">
        <f>IFERROR(VLOOKUP(Tabla1[[#This Row],[Llave]],'[13]Base ultimos planes'!$O:$AA,8,FALSE),0)</f>
        <v>10800</v>
      </c>
      <c r="BK214" s="20">
        <f>IFERROR(VLOOKUP(Tabla1[[#This Row],[Llave]],'[13]Base ultimos planes'!$O:$AA,9,FALSE),0)</f>
        <v>0</v>
      </c>
      <c r="BL214" s="20">
        <f>IFERROR(VLOOKUP(Tabla1[[#This Row],[Llave]],'[13]Base ultimos planes'!$O:$AA,10,FALSE),0)</f>
        <v>9584</v>
      </c>
      <c r="BM214" s="20">
        <f>IFERROR(VLOOKUP(Tabla1[[#This Row],[Llave]],'[13]Base ultimos planes'!$O:$AA,11,FALSE),0)</f>
        <v>0</v>
      </c>
      <c r="BN214" s="20">
        <f>IFERROR(VLOOKUP(Tabla1[[#This Row],[Llave]],'[13]Base ultimos planes'!$O:$AA,12,FALSE),0)</f>
        <v>36177</v>
      </c>
      <c r="BO214" s="20">
        <f>IFERROR(VLOOKUP(Tabla1[[#This Row],[Llave]],'[13]Base ultimos planes'!$O:$AA,13,FALSE),0)</f>
        <v>20036</v>
      </c>
      <c r="BP214" s="20"/>
      <c r="BQ214" s="20">
        <f>+Tabla1[[#This Row],[ RV  Venta mes n+1]]*(1-Tabla1[[#This Row],[% Uti. producción]])</f>
        <v>0</v>
      </c>
      <c r="BR214" s="100"/>
    </row>
    <row r="215" spans="1:70" ht="16" hidden="1" x14ac:dyDescent="0.2">
      <c r="A215">
        <v>1</v>
      </c>
      <c r="B215" t="str">
        <f>Tabla1[[#This Row],[Oficina]]&amp;Tabla1[[#This Row],[Material]]</f>
        <v>Agro Sudamerica1011047</v>
      </c>
      <c r="C215" t="s">
        <v>227</v>
      </c>
      <c r="D215" t="s">
        <v>17</v>
      </c>
      <c r="E215">
        <v>1011047</v>
      </c>
      <c r="F215" t="s">
        <v>249</v>
      </c>
      <c r="G215" t="s">
        <v>247</v>
      </c>
      <c r="H215" t="s">
        <v>248</v>
      </c>
      <c r="I215" s="7">
        <f>IFERROR(VLOOKUP(Tabla1[[#This Row],[Llave]],'[7]RV Producción'!$C:$G,5,FALSE),0)</f>
        <v>0</v>
      </c>
      <c r="J215" s="3">
        <f>IFERROR(IF(Tabla1[[#This Row],[Oficina]]=$I$7,VLOOKUP(Tabla1[[#This Row],[Llave]],'[7]Shangai (Tomas)'!$A:$F,6,FALSE),VLOOKUP(Tabla1[[#This Row],[Llave]],'[7]RV plan de ventas'!$A:$E,5,FALSE)),0)</f>
        <v>0</v>
      </c>
      <c r="K215" s="8">
        <f>IFERROR(VLOOKUP(Tabla1[[#This Row],[Oficina]],[15]Ponderación!$B$2:$E$9,4,FALSE),0)</f>
        <v>0.45719439678473212</v>
      </c>
      <c r="L215" s="7">
        <f>+Tabla1[[#This Row],[ RV Producción mes n+1]]*Tabla1[[#This Row],[% Uti. producción]]</f>
        <v>0</v>
      </c>
      <c r="M215" s="7">
        <f>IFERROR(VLOOKUP(Tabla1[[#This Row],[Material]],'[17]TD Stock'!$E:$I,5,FALSE),0)</f>
        <v>120</v>
      </c>
      <c r="N215" s="7">
        <f>IFERROR(VLOOKUP(Tabla1[[#This Row],[Material]],[16]Produccion!$M:$N,2,FALSE),0)</f>
        <v>0</v>
      </c>
      <c r="O215" s="7">
        <f>IFERROR(VLOOKUP(Tabla1[[#This Row],[Llave]],'[16]TD Conf-AP'!$I:$M,4,FALSE),0)</f>
        <v>0</v>
      </c>
      <c r="P215" s="14">
        <f>SUM(Tabla1[[#This Row],[Producción disponible]],Tabla1[[#This Row],[Stock al día]],(Tabla1[[#This Row],[Por producir mes N]]*0.9))-Tabla1[[#This Row],[Producción por despachar mes N]]</f>
        <v>120</v>
      </c>
      <c r="Q215" s="7">
        <f>IFERROR(VLOOKUP(Tabla1[[#This Row],[Llave]],[17]DELAY!$A:$D,4,FALSE),0)</f>
        <v>0</v>
      </c>
      <c r="R215" s="9">
        <v>24000</v>
      </c>
      <c r="S215" s="5">
        <f t="shared" si="32"/>
        <v>0</v>
      </c>
      <c r="T215" s="76">
        <v>0</v>
      </c>
      <c r="U215" s="5">
        <f>+Tabla1[[#This Row],[Atraso a facturar]]+Tabla1[[#This Row],[Ajuste atraso]]</f>
        <v>0</v>
      </c>
      <c r="V215" s="3">
        <f>+Tabla1[[#This Row],[Total disponible]]-Tabla1[[#This Row],[Facturación atraso]]</f>
        <v>120</v>
      </c>
      <c r="W215" s="6">
        <f>IFERROR(IF(AND(V215&gt;R215,J215&gt;=R215),ROUNDDOWN((Tabla1[[#This Row],[Producción para venta nueva]])/R215,0)*R215,0),0)</f>
        <v>0</v>
      </c>
      <c r="X215" s="76">
        <v>0</v>
      </c>
      <c r="Y215" s="6">
        <f>IF(Tabla1[[#This Row],[Venta del mes]]&gt;0,Tabla1[[#This Row],[Venta del mes]]+Tabla1[[#This Row],[Ajuste venta nueva]],0)</f>
        <v>0</v>
      </c>
      <c r="Z215" s="6">
        <f>+Tabla1[[#This Row],[Producción para venta nueva]]-Tabla1[[#This Row],[Facturación Venta nueva]]</f>
        <v>120</v>
      </c>
      <c r="AA215" s="6">
        <f>IF(AND(A215=1,Tabla1[[#This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5" s="6"/>
      <c r="AC215" s="6">
        <f>IF(Tabla1[[#This Row],[Disponible stock sin venta]]&gt;0,Tabla1[[#This Row],[Disponible stock sin venta]]+Tabla1[[#This Row],[Ajuste stock sin venta]],0)</f>
        <v>0</v>
      </c>
      <c r="AD215" s="3">
        <f>IFERROR(VLOOKUP(Tabla1[[#This Row],[Llave]],'[16]TD Puerto'!$A:$D,4,FALSE),0)</f>
        <v>0</v>
      </c>
      <c r="AE215" s="3">
        <v>0</v>
      </c>
      <c r="AF215" s="3">
        <f>+Tabla1[[#This Row],[Atraso a facturar]]+Tabla1[[#This Row],[Venta del mes]]+Tabla1[[#This Row],[En puerto a facturar]]+Tabla1[[#This Row],[Disponible stock sin venta]]</f>
        <v>0</v>
      </c>
      <c r="AG215" s="3">
        <f>+Tabla1[[#This Row],[En puerto a facturar]]</f>
        <v>0</v>
      </c>
      <c r="AH215" s="3">
        <f>+Tabla1[[#This Row],[Facturación atraso]]</f>
        <v>0</v>
      </c>
      <c r="AI215" s="3">
        <f>+Tabla1[[#This Row],[Plan Irrestricto]]-Tabla1[[#This Row],[Puerto ]]-Tabla1[[#This Row],[Atraso]]</f>
        <v>0</v>
      </c>
      <c r="AJ21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15" s="3">
        <f>+Tabla1[[#This Row],[Facturación atraso]]</f>
        <v>0</v>
      </c>
      <c r="AL215" s="3">
        <f>+Tabla1[[#This Row],[Plan Ajustado]]-Tabla1[[#This Row],[ Atraso ajustado]]-Tabla1[[#This Row],[Puerto ]]</f>
        <v>0</v>
      </c>
      <c r="AM215" s="3">
        <v>0</v>
      </c>
      <c r="AN215" s="3" t="str">
        <f>IF(Tabla1[[#This Row],[Plan Ajustado]]&gt;Tabla1[[#This Row],[En puerto a facturar]],"Si","No")</f>
        <v>No</v>
      </c>
      <c r="AO21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15" s="3">
        <f>IF(Tabla1[[#This Row],[Necesidad]]&gt;=Tabla1[[#This Row],[Stock al día]],Tabla1[[#This Row],[Stock al día]],Tabla1[[#This Row],[Necesidad]])</f>
        <v>0</v>
      </c>
      <c r="AQ215" s="3">
        <f>+Tabla1[[#This Row],[Necesidad]]-Tabla1[[#This Row],[Stock Plan]]</f>
        <v>0</v>
      </c>
      <c r="AR215" s="156">
        <f>IFERROR(VLOOKUP(Tabla1[[#This Row],[Oficina]],[22]Ponderación!$B$3:$G$9,6,FALSE),"")</f>
        <v>44757</v>
      </c>
      <c r="AS21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15" s="83">
        <f>IFERROR(VLOOKUP(Tabla1[[#This Row],[Llave]],[17]DELAY!$H:$W,16,FALSE),0)</f>
        <v>0</v>
      </c>
      <c r="AU21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15" s="5">
        <f>+Tabla1[[#This Row],[Plan Ajustado]]*Tabla1[[#This Row],[Precio ponderado]]</f>
        <v>0</v>
      </c>
      <c r="AW215" s="30">
        <f>IFERROR(VLOOKUP(Tabla1[[#This Row],[Llave]],'[13]Ultimos precios facturados'!$A:$G,7,FALSE),0)</f>
        <v>0</v>
      </c>
      <c r="AX21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15" s="30"/>
      <c r="AZ215" s="30">
        <f>IF(Tabla1[[#This Row],[Ajuste precio IC]]="",Tabla1[[#This Row],[Precio ponderado]],Tabla1[[#This Row],[Precio ponderado]])</f>
        <v>0</v>
      </c>
      <c r="BA215" s="82"/>
      <c r="BB215" s="82" t="str">
        <f>IF(AND(Tabla1[[#This Row],[Atraso a facturar]]&gt;0,Tabla1[[#This Row],[Precio Atraso]]=0),"Revisar","OK")</f>
        <v>OK</v>
      </c>
      <c r="BC215" s="82" t="str">
        <f>IF(AND(Tabla1[[#This Row],[Venta del mes]]&gt;0,Tabla1[[#This Row],[Precio venta nueva]]=0),"Revisar","OK")</f>
        <v>OK</v>
      </c>
      <c r="BD215" s="20">
        <f>IFERROR(VLOOKUP(Tabla1[[#This Row],[Llave]],'[5]Consolidación planes'!$A:$M,9,FALSE),0)</f>
        <v>0</v>
      </c>
      <c r="BE215" s="20">
        <f>IFERROR(VLOOKUP(Tabla1[[#This Row],[Llave]],'[5]Consolidación planes'!$A:$M,10,FALSE),0)</f>
        <v>0</v>
      </c>
      <c r="BF215" s="20">
        <f>IFERROR(VLOOKUP(Tabla1[[#This Row],[Llave]],'[5]Consolidación planes'!$A:$M,11,FALSE),0)</f>
        <v>0</v>
      </c>
      <c r="BG215" s="20">
        <f>IFERROR(VLOOKUP(Tabla1[[#This Row],[Llave]],'[5]Consolidación planes'!$A:$M,12,FALSE),0)</f>
        <v>0</v>
      </c>
      <c r="BH215" s="20">
        <f>IFERROR(VLOOKUP(Tabla1[[#This Row],[Llave]],'[5]Consolidación planes'!$A:$M,13,FALSE),0)</f>
        <v>0</v>
      </c>
      <c r="BI215" s="20">
        <f>IFERROR(VLOOKUP(Tabla1[[#This Row],[Llave]],'[13]Base ultimos planes'!$A:$M,13,FALSE),0)</f>
        <v>0</v>
      </c>
      <c r="BJ215" s="80">
        <f>IFERROR(VLOOKUP(Tabla1[[#This Row],[Llave]],'[13]Base ultimos planes'!$O:$AA,8,FALSE),0)</f>
        <v>0</v>
      </c>
      <c r="BK215" s="20">
        <f>IFERROR(VLOOKUP(Tabla1[[#This Row],[Llave]],'[13]Base ultimos planes'!$O:$AA,9,FALSE),0)</f>
        <v>0</v>
      </c>
      <c r="BL215" s="20">
        <f>IFERROR(VLOOKUP(Tabla1[[#This Row],[Llave]],'[13]Base ultimos planes'!$O:$AA,10,FALSE),0)</f>
        <v>0</v>
      </c>
      <c r="BM215" s="20">
        <f>IFERROR(VLOOKUP(Tabla1[[#This Row],[Llave]],'[13]Base ultimos planes'!$O:$AA,11,FALSE),0)</f>
        <v>0</v>
      </c>
      <c r="BN215" s="20">
        <f>IFERROR(VLOOKUP(Tabla1[[#This Row],[Llave]],'[13]Base ultimos planes'!$O:$AA,12,FALSE),0)</f>
        <v>0</v>
      </c>
      <c r="BO215" s="20">
        <f>IFERROR(VLOOKUP(Tabla1[[#This Row],[Llave]],'[13]Base ultimos planes'!$O:$AA,13,FALSE),0)</f>
        <v>0</v>
      </c>
      <c r="BP215" s="20"/>
      <c r="BQ215" s="20">
        <f>+Tabla1[[#This Row],[ RV  Venta mes n+1]]*(1-Tabla1[[#This Row],[% Uti. producción]])</f>
        <v>0</v>
      </c>
      <c r="BR215" s="100"/>
    </row>
    <row r="216" spans="1:70" ht="16" hidden="1" x14ac:dyDescent="0.2">
      <c r="A216">
        <v>1</v>
      </c>
      <c r="B216" t="str">
        <f>Tabla1[[#This Row],[Oficina]]&amp;Tabla1[[#This Row],[Material]]</f>
        <v>Agro Sudamerica1011250</v>
      </c>
      <c r="C216" t="s">
        <v>227</v>
      </c>
      <c r="D216" t="s">
        <v>17</v>
      </c>
      <c r="E216">
        <v>1011250</v>
      </c>
      <c r="F216" t="s">
        <v>321</v>
      </c>
      <c r="G216" t="s">
        <v>247</v>
      </c>
      <c r="H216" t="s">
        <v>248</v>
      </c>
      <c r="I216" s="7">
        <f>IFERROR(VLOOKUP(Tabla1[[#This Row],[Llave]],'[7]RV Producción'!$C:$G,5,FALSE),0)</f>
        <v>0</v>
      </c>
      <c r="J216" s="3">
        <f>IFERROR(IF(Tabla1[[#This Row],[Oficina]]=$I$7,VLOOKUP(Tabla1[[#This Row],[Llave]],'[7]Shangai (Tomas)'!$A:$F,6,FALSE),VLOOKUP(Tabla1[[#This Row],[Llave]],'[7]RV plan de ventas'!$A:$E,5,FALSE)),0)</f>
        <v>0</v>
      </c>
      <c r="K216" s="8">
        <f>IFERROR(VLOOKUP(Tabla1[[#This Row],[Oficina]],[15]Ponderación!$B$2:$E$9,4,FALSE),0)</f>
        <v>0.45719439678473212</v>
      </c>
      <c r="L216" s="7">
        <f>+Tabla1[[#This Row],[ RV Producción mes n+1]]*Tabla1[[#This Row],[% Uti. producción]]</f>
        <v>0</v>
      </c>
      <c r="M216" s="7">
        <f>IFERROR(VLOOKUP(Tabla1[[#This Row],[Material]],'[17]TD Stock'!$E:$I,5,FALSE),0)</f>
        <v>11591.46</v>
      </c>
      <c r="N216" s="7">
        <f>IFERROR(VLOOKUP(Tabla1[[#This Row],[Material]],[16]Produccion!$M:$N,2,FALSE),0)</f>
        <v>0</v>
      </c>
      <c r="O216" s="7">
        <f>IFERROR(VLOOKUP(Tabla1[[#This Row],[Llave]],'[16]TD Conf-AP'!$I:$M,4,FALSE),0)</f>
        <v>0</v>
      </c>
      <c r="P216" s="14">
        <f>SUM(Tabla1[[#This Row],[Producción disponible]],Tabla1[[#This Row],[Stock al día]],(Tabla1[[#This Row],[Por producir mes N]]*0.9))-Tabla1[[#This Row],[Producción por despachar mes N]]</f>
        <v>11591.46</v>
      </c>
      <c r="Q216" s="7">
        <f>IFERROR(VLOOKUP(Tabla1[[#This Row],[Llave]],[17]DELAY!$A:$D,4,FALSE),0)</f>
        <v>0</v>
      </c>
      <c r="R216" s="9">
        <v>24000</v>
      </c>
      <c r="S216" s="5">
        <f t="shared" si="32"/>
        <v>0</v>
      </c>
      <c r="T216" s="76">
        <v>0</v>
      </c>
      <c r="U216" s="5">
        <f>+Tabla1[[#This Row],[Atraso a facturar]]+Tabla1[[#This Row],[Ajuste atraso]]</f>
        <v>0</v>
      </c>
      <c r="V216" s="3">
        <f>+Tabla1[[#This Row],[Total disponible]]-Tabla1[[#This Row],[Facturación atraso]]</f>
        <v>11591.46</v>
      </c>
      <c r="W216" s="6">
        <f>IFERROR(IF(AND(V216&gt;R216,J216&gt;=R216),ROUNDDOWN((Tabla1[[#This Row],[Producción para venta nueva]])/R216,0)*R216,0),0)</f>
        <v>0</v>
      </c>
      <c r="X216" s="76">
        <v>0</v>
      </c>
      <c r="Y216" s="6">
        <f>IF(Tabla1[[#This Row],[Venta del mes]]&gt;0,Tabla1[[#This Row],[Venta del mes]]+Tabla1[[#This Row],[Ajuste venta nueva]],0)</f>
        <v>0</v>
      </c>
      <c r="Z216" s="6">
        <f>+Tabla1[[#This Row],[Producción para venta nueva]]-Tabla1[[#This Row],[Facturación Venta nueva]]</f>
        <v>11591.46</v>
      </c>
      <c r="AA216" s="6">
        <f>IF(AND(A216=1,Tabla1[[#This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6" s="6"/>
      <c r="AC216" s="6">
        <f>IF(Tabla1[[#This Row],[Disponible stock sin venta]]&gt;0,Tabla1[[#This Row],[Disponible stock sin venta]]+Tabla1[[#This Row],[Ajuste stock sin venta]],0)</f>
        <v>0</v>
      </c>
      <c r="AD216" s="3">
        <f>IFERROR(VLOOKUP(Tabla1[[#This Row],[Llave]],'[16]TD Puerto'!$A:$D,4,FALSE),0)</f>
        <v>0</v>
      </c>
      <c r="AE216" s="3">
        <v>0</v>
      </c>
      <c r="AF216" s="3">
        <f>+Tabla1[[#This Row],[Atraso a facturar]]+Tabla1[[#This Row],[Venta del mes]]+Tabla1[[#This Row],[En puerto a facturar]]+Tabla1[[#This Row],[Disponible stock sin venta]]</f>
        <v>0</v>
      </c>
      <c r="AG216" s="3">
        <f>+Tabla1[[#This Row],[En puerto a facturar]]</f>
        <v>0</v>
      </c>
      <c r="AH216" s="3">
        <f>+Tabla1[[#This Row],[Facturación atraso]]</f>
        <v>0</v>
      </c>
      <c r="AI216" s="3">
        <f>+Tabla1[[#This Row],[Plan Irrestricto]]-Tabla1[[#This Row],[Puerto ]]-Tabla1[[#This Row],[Atraso]]</f>
        <v>0</v>
      </c>
      <c r="AJ21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16" s="3">
        <f>+Tabla1[[#This Row],[Facturación atraso]]</f>
        <v>0</v>
      </c>
      <c r="AL216" s="3">
        <f>+Tabla1[[#This Row],[Plan Ajustado]]-Tabla1[[#This Row],[ Atraso ajustado]]-Tabla1[[#This Row],[Puerto ]]</f>
        <v>0</v>
      </c>
      <c r="AM216" s="3">
        <v>0</v>
      </c>
      <c r="AN216" s="3" t="str">
        <f>IF(Tabla1[[#This Row],[Plan Ajustado]]&gt;Tabla1[[#This Row],[En puerto a facturar]],"Si","No")</f>
        <v>No</v>
      </c>
      <c r="AO21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16" s="3">
        <f>IF(Tabla1[[#This Row],[Necesidad]]&gt;=Tabla1[[#This Row],[Stock al día]],Tabla1[[#This Row],[Stock al día]],Tabla1[[#This Row],[Necesidad]])</f>
        <v>0</v>
      </c>
      <c r="AQ216" s="3">
        <f>+Tabla1[[#This Row],[Necesidad]]-Tabla1[[#This Row],[Stock Plan]]</f>
        <v>0</v>
      </c>
      <c r="AR216" s="156">
        <f>IFERROR(VLOOKUP(Tabla1[[#This Row],[Oficina]],[22]Ponderación!$B$3:$G$9,6,FALSE),"")</f>
        <v>44757</v>
      </c>
      <c r="AS21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3.3855725381418802</v>
      </c>
      <c r="AT216" s="83">
        <f>IFERROR(VLOOKUP(Tabla1[[#This Row],[Llave]],[17]DELAY!$H:$W,16,FALSE),0)</f>
        <v>0</v>
      </c>
      <c r="AU21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16" s="5">
        <f>+Tabla1[[#This Row],[Plan Ajustado]]*Tabla1[[#This Row],[Precio ponderado]]</f>
        <v>0</v>
      </c>
      <c r="AW216" s="30">
        <f>IFERROR(VLOOKUP(Tabla1[[#This Row],[Llave]],'[13]Ultimos precios facturados'!$A:$G,7,FALSE),0)</f>
        <v>3.3855725381418802</v>
      </c>
      <c r="AX21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16" s="30"/>
      <c r="AZ216" s="30">
        <f>IF(Tabla1[[#This Row],[Ajuste precio IC]]="",Tabla1[[#This Row],[Precio ponderado]],Tabla1[[#This Row],[Precio ponderado]])</f>
        <v>0</v>
      </c>
      <c r="BA216" s="82"/>
      <c r="BB216" s="82" t="str">
        <f>IF(AND(Tabla1[[#This Row],[Atraso a facturar]]&gt;0,Tabla1[[#This Row],[Precio Atraso]]=0),"Revisar","OK")</f>
        <v>OK</v>
      </c>
      <c r="BC216" s="82" t="str">
        <f>IF(AND(Tabla1[[#This Row],[Venta del mes]]&gt;0,Tabla1[[#This Row],[Precio venta nueva]]=0),"Revisar","OK")</f>
        <v>OK</v>
      </c>
      <c r="BD216" s="20">
        <f>IFERROR(VLOOKUP(Tabla1[[#This Row],[Llave]],'[5]Consolidación planes'!$A:$M,9,FALSE),0)</f>
        <v>0</v>
      </c>
      <c r="BE216" s="20">
        <f>IFERROR(VLOOKUP(Tabla1[[#This Row],[Llave]],'[5]Consolidación planes'!$A:$M,10,FALSE),0)</f>
        <v>0</v>
      </c>
      <c r="BF216" s="20">
        <f>IFERROR(VLOOKUP(Tabla1[[#This Row],[Llave]],'[5]Consolidación planes'!$A:$M,11,FALSE),0)</f>
        <v>0</v>
      </c>
      <c r="BG216" s="20">
        <f>IFERROR(VLOOKUP(Tabla1[[#This Row],[Llave]],'[5]Consolidación planes'!$A:$M,12,FALSE),0)</f>
        <v>0</v>
      </c>
      <c r="BH216" s="20">
        <f>IFERROR(VLOOKUP(Tabla1[[#This Row],[Llave]],'[5]Consolidación planes'!$A:$M,13,FALSE),0)</f>
        <v>0</v>
      </c>
      <c r="BI216" s="20">
        <f>IFERROR(VLOOKUP(Tabla1[[#This Row],[Llave]],'[13]Base ultimos planes'!$A:$M,13,FALSE),0)</f>
        <v>0</v>
      </c>
      <c r="BJ216" s="80">
        <f>IFERROR(VLOOKUP(Tabla1[[#This Row],[Llave]],'[13]Base ultimos planes'!$O:$AA,8,FALSE),0)</f>
        <v>0</v>
      </c>
      <c r="BK216" s="20">
        <f>IFERROR(VLOOKUP(Tabla1[[#This Row],[Llave]],'[13]Base ultimos planes'!$O:$AA,9,FALSE),0)</f>
        <v>0</v>
      </c>
      <c r="BL216" s="20">
        <f>IFERROR(VLOOKUP(Tabla1[[#This Row],[Llave]],'[13]Base ultimos planes'!$O:$AA,10,FALSE),0)</f>
        <v>0</v>
      </c>
      <c r="BM216" s="20">
        <f>IFERROR(VLOOKUP(Tabla1[[#This Row],[Llave]],'[13]Base ultimos planes'!$O:$AA,11,FALSE),0)</f>
        <v>0</v>
      </c>
      <c r="BN216" s="20">
        <f>IFERROR(VLOOKUP(Tabla1[[#This Row],[Llave]],'[13]Base ultimos planes'!$O:$AA,12,FALSE),0)</f>
        <v>0</v>
      </c>
      <c r="BO216" s="20">
        <f>IFERROR(VLOOKUP(Tabla1[[#This Row],[Llave]],'[13]Base ultimos planes'!$O:$AA,13,FALSE),0)</f>
        <v>0</v>
      </c>
      <c r="BP216" s="20"/>
      <c r="BQ216" s="20">
        <f>+Tabla1[[#This Row],[ RV  Venta mes n+1]]*(1-Tabla1[[#This Row],[% Uti. producción]])</f>
        <v>0</v>
      </c>
      <c r="BR216" s="100"/>
    </row>
    <row r="217" spans="1:70" ht="16" hidden="1" x14ac:dyDescent="0.2">
      <c r="A217">
        <v>1</v>
      </c>
      <c r="B217" t="str">
        <f>Tabla1[[#This Row],[Oficina]]&amp;Tabla1[[#This Row],[Material]]</f>
        <v>Agro Sudamerica1011290</v>
      </c>
      <c r="C217" t="s">
        <v>227</v>
      </c>
      <c r="D217" t="s">
        <v>17</v>
      </c>
      <c r="E217">
        <v>1011290</v>
      </c>
      <c r="F217" t="s">
        <v>258</v>
      </c>
      <c r="G217" t="s">
        <v>76</v>
      </c>
      <c r="H217" t="s">
        <v>257</v>
      </c>
      <c r="I217" s="7">
        <f>IFERROR(VLOOKUP(Tabla1[[#This Row],[Llave]],'[7]RV Producción'!$C:$G,5,FALSE),0)</f>
        <v>0</v>
      </c>
      <c r="J217" s="3">
        <f>IFERROR(IF(Tabla1[[#This Row],[Oficina]]=$I$7,VLOOKUP(Tabla1[[#This Row],[Llave]],'[7]Shangai (Tomas)'!$A:$F,6,FALSE),VLOOKUP(Tabla1[[#This Row],[Llave]],'[7]RV plan de ventas'!$A:$E,5,FALSE)),0)</f>
        <v>0</v>
      </c>
      <c r="K217" s="8">
        <f>IFERROR(VLOOKUP(Tabla1[[#This Row],[Oficina]],[15]Ponderación!$B$2:$E$9,4,FALSE),0)</f>
        <v>0.45719439678473212</v>
      </c>
      <c r="L217" s="7">
        <f>+Tabla1[[#This Row],[ RV Producción mes n+1]]*Tabla1[[#This Row],[% Uti. producción]]</f>
        <v>0</v>
      </c>
      <c r="M217" s="7">
        <f>IFERROR(VLOOKUP(Tabla1[[#This Row],[Material]],'[17]TD Stock'!$E:$I,5,FALSE),0)</f>
        <v>499.31</v>
      </c>
      <c r="N217" s="7">
        <f>IFERROR(VLOOKUP(Tabla1[[#This Row],[Material]],[16]Produccion!$M:$N,2,FALSE),0)</f>
        <v>0</v>
      </c>
      <c r="O217" s="7">
        <f>IFERROR(VLOOKUP(Tabla1[[#This Row],[Llave]],'[16]TD Conf-AP'!$I:$M,4,FALSE),0)</f>
        <v>0</v>
      </c>
      <c r="P217" s="14">
        <f>SUM(Tabla1[[#This Row],[Producción disponible]],Tabla1[[#This Row],[Stock al día]],(Tabla1[[#This Row],[Por producir mes N]]*0.9))-Tabla1[[#This Row],[Producción por despachar mes N]]</f>
        <v>499.31</v>
      </c>
      <c r="Q217" s="7">
        <f>IFERROR(VLOOKUP(Tabla1[[#This Row],[Llave]],[17]DELAY!$A:$D,4,FALSE),0)</f>
        <v>0</v>
      </c>
      <c r="R217" s="9">
        <v>24000</v>
      </c>
      <c r="S217" s="5">
        <f t="shared" si="32"/>
        <v>0</v>
      </c>
      <c r="T217" s="76">
        <v>0</v>
      </c>
      <c r="U217" s="5">
        <f>+Tabla1[[#This Row],[Atraso a facturar]]+Tabla1[[#This Row],[Ajuste atraso]]</f>
        <v>0</v>
      </c>
      <c r="V217" s="3">
        <f>+Tabla1[[#This Row],[Total disponible]]-Tabla1[[#This Row],[Facturación atraso]]</f>
        <v>499.31</v>
      </c>
      <c r="W217" s="6">
        <f>IFERROR(IF(AND(V217&gt;R217,J217&gt;=R217),ROUNDDOWN((Tabla1[[#This Row],[Producción para venta nueva]])/R217,0)*R217,0),0)</f>
        <v>0</v>
      </c>
      <c r="X217" s="76">
        <v>0</v>
      </c>
      <c r="Y217" s="6">
        <f>IF(Tabla1[[#This Row],[Venta del mes]]&gt;0,Tabla1[[#This Row],[Venta del mes]]+Tabla1[[#This Row],[Ajuste venta nueva]],0)</f>
        <v>0</v>
      </c>
      <c r="Z217" s="6">
        <f>+Tabla1[[#This Row],[Producción para venta nueva]]-Tabla1[[#This Row],[Facturación Venta nueva]]</f>
        <v>499.31</v>
      </c>
      <c r="AA217" s="6">
        <f>IF(AND(A217=1,Tabla1[[#This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7" s="6"/>
      <c r="AC217" s="6">
        <f>IF(Tabla1[[#This Row],[Disponible stock sin venta]]&gt;0,Tabla1[[#This Row],[Disponible stock sin venta]]+Tabla1[[#This Row],[Ajuste stock sin venta]],0)</f>
        <v>0</v>
      </c>
      <c r="AD217" s="3">
        <f>IFERROR(VLOOKUP(Tabla1[[#This Row],[Llave]],'[16]TD Puerto'!$A:$D,4,FALSE),0)</f>
        <v>0</v>
      </c>
      <c r="AE217" s="3">
        <v>0</v>
      </c>
      <c r="AF217" s="3">
        <f>+Tabla1[[#This Row],[Atraso a facturar]]+Tabla1[[#This Row],[Venta del mes]]+Tabla1[[#This Row],[En puerto a facturar]]+Tabla1[[#This Row],[Disponible stock sin venta]]</f>
        <v>0</v>
      </c>
      <c r="AG217" s="3">
        <f>+Tabla1[[#This Row],[En puerto a facturar]]</f>
        <v>0</v>
      </c>
      <c r="AH217" s="3">
        <f>+Tabla1[[#This Row],[Facturación atraso]]</f>
        <v>0</v>
      </c>
      <c r="AI217" s="3">
        <f>+Tabla1[[#This Row],[Plan Irrestricto]]-Tabla1[[#This Row],[Puerto ]]-Tabla1[[#This Row],[Atraso]]</f>
        <v>0</v>
      </c>
      <c r="AJ21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17" s="3">
        <f>+Tabla1[[#This Row],[Facturación atraso]]</f>
        <v>0</v>
      </c>
      <c r="AL217" s="3">
        <f>+Tabla1[[#This Row],[Plan Ajustado]]-Tabla1[[#This Row],[ Atraso ajustado]]-Tabla1[[#This Row],[Puerto ]]</f>
        <v>0</v>
      </c>
      <c r="AM217" s="3">
        <v>0</v>
      </c>
      <c r="AN217" s="3" t="str">
        <f>IF(Tabla1[[#This Row],[Plan Ajustado]]&gt;Tabla1[[#This Row],[En puerto a facturar]],"Si","No")</f>
        <v>No</v>
      </c>
      <c r="AO21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17" s="3">
        <f>IF(Tabla1[[#This Row],[Necesidad]]&gt;=Tabla1[[#This Row],[Stock al día]],Tabla1[[#This Row],[Stock al día]],Tabla1[[#This Row],[Necesidad]])</f>
        <v>0</v>
      </c>
      <c r="AQ217" s="3">
        <f>+Tabla1[[#This Row],[Necesidad]]-Tabla1[[#This Row],[Stock Plan]]</f>
        <v>0</v>
      </c>
      <c r="AR217" s="156">
        <f>IFERROR(VLOOKUP(Tabla1[[#This Row],[Oficina]],[22]Ponderación!$B$3:$G$9,6,FALSE),"")</f>
        <v>44757</v>
      </c>
      <c r="AS21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0.33913127577993563</v>
      </c>
      <c r="AT217" s="83">
        <f>IFERROR(VLOOKUP(Tabla1[[#This Row],[Llave]],[17]DELAY!$H:$W,16,FALSE),0)</f>
        <v>0</v>
      </c>
      <c r="AU21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17" s="5">
        <f>+Tabla1[[#This Row],[Plan Ajustado]]*Tabla1[[#This Row],[Precio ponderado]]</f>
        <v>0</v>
      </c>
      <c r="AW217" s="30">
        <f>IFERROR(VLOOKUP(Tabla1[[#This Row],[Llave]],'[13]Ultimos precios facturados'!$A:$G,7,FALSE),0)</f>
        <v>0.33913127577993563</v>
      </c>
      <c r="AX21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17" s="30"/>
      <c r="AZ217" s="30">
        <f>IF(Tabla1[[#This Row],[Ajuste precio IC]]="",Tabla1[[#This Row],[Precio ponderado]],Tabla1[[#This Row],[Precio ponderado]])</f>
        <v>0</v>
      </c>
      <c r="BA217" s="82"/>
      <c r="BB217" s="82" t="str">
        <f>IF(AND(Tabla1[[#This Row],[Atraso a facturar]]&gt;0,Tabla1[[#This Row],[Precio Atraso]]=0),"Revisar","OK")</f>
        <v>OK</v>
      </c>
      <c r="BC217" s="82" t="str">
        <f>IF(AND(Tabla1[[#This Row],[Venta del mes]]&gt;0,Tabla1[[#This Row],[Precio venta nueva]]=0),"Revisar","OK")</f>
        <v>OK</v>
      </c>
      <c r="BD217" s="20">
        <f>IFERROR(VLOOKUP(Tabla1[[#This Row],[Llave]],'[5]Consolidación planes'!$A:$M,9,FALSE),0)</f>
        <v>24000</v>
      </c>
      <c r="BE217" s="20">
        <f>IFERROR(VLOOKUP(Tabla1[[#This Row],[Llave]],'[5]Consolidación planes'!$A:$M,10,FALSE),0)</f>
        <v>23700</v>
      </c>
      <c r="BF217" s="20">
        <f>IFERROR(VLOOKUP(Tabla1[[#This Row],[Llave]],'[5]Consolidación planes'!$A:$M,11,FALSE),0)</f>
        <v>0</v>
      </c>
      <c r="BG217" s="20">
        <f>IFERROR(VLOOKUP(Tabla1[[#This Row],[Llave]],'[5]Consolidación planes'!$A:$M,12,FALSE),0)</f>
        <v>24000</v>
      </c>
      <c r="BH217" s="20">
        <f>IFERROR(VLOOKUP(Tabla1[[#This Row],[Llave]],'[5]Consolidación planes'!$A:$M,13,FALSE),0)</f>
        <v>0</v>
      </c>
      <c r="BI217" s="20">
        <f>IFERROR(VLOOKUP(Tabla1[[#This Row],[Llave]],'[13]Base ultimos planes'!$A:$M,13,FALSE),0)</f>
        <v>8000</v>
      </c>
      <c r="BJ217" s="80">
        <f>IFERROR(VLOOKUP(Tabla1[[#This Row],[Llave]],'[13]Base ultimos planes'!$O:$AA,8,FALSE),0)</f>
        <v>14800</v>
      </c>
      <c r="BK217" s="20">
        <f>IFERROR(VLOOKUP(Tabla1[[#This Row],[Llave]],'[13]Base ultimos planes'!$O:$AA,9,FALSE),0)</f>
        <v>14615</v>
      </c>
      <c r="BL217" s="20">
        <f>IFERROR(VLOOKUP(Tabla1[[#This Row],[Llave]],'[13]Base ultimos planes'!$O:$AA,10,FALSE),0)</f>
        <v>0</v>
      </c>
      <c r="BM217" s="20">
        <f>IFERROR(VLOOKUP(Tabla1[[#This Row],[Llave]],'[13]Base ultimos planes'!$O:$AA,11,FALSE),0)</f>
        <v>12000</v>
      </c>
      <c r="BN217" s="20">
        <f>IFERROR(VLOOKUP(Tabla1[[#This Row],[Llave]],'[13]Base ultimos planes'!$O:$AA,12,FALSE),0)</f>
        <v>0</v>
      </c>
      <c r="BO217" s="20">
        <f>IFERROR(VLOOKUP(Tabla1[[#This Row],[Llave]],'[13]Base ultimos planes'!$O:$AA,13,FALSE),0)</f>
        <v>3942</v>
      </c>
      <c r="BP217" s="20"/>
      <c r="BQ217" s="20">
        <f>+Tabla1[[#This Row],[ RV  Venta mes n+1]]*(1-Tabla1[[#This Row],[% Uti. producción]])</f>
        <v>0</v>
      </c>
      <c r="BR217" s="100"/>
    </row>
    <row r="218" spans="1:70" ht="16" x14ac:dyDescent="0.2">
      <c r="A218">
        <v>1</v>
      </c>
      <c r="B218" t="str">
        <f>Tabla1[[#This Row],[Oficina]]&amp;Tabla1[[#This Row],[Material]]</f>
        <v>Agro Sudamerica1011421</v>
      </c>
      <c r="C218" t="s">
        <v>227</v>
      </c>
      <c r="D218" t="s">
        <v>17</v>
      </c>
      <c r="E218">
        <v>1011421</v>
      </c>
      <c r="F218" t="s">
        <v>238</v>
      </c>
      <c r="G218" t="s">
        <v>233</v>
      </c>
      <c r="H218" t="s">
        <v>237</v>
      </c>
      <c r="I218" s="7">
        <f>IFERROR(VLOOKUP(Tabla1[[#This Row],[Llave]],'[7]RV Producción'!$C:$G,5,FALSE),0)</f>
        <v>912643</v>
      </c>
      <c r="J218" s="3">
        <f>IFERROR(IF(Tabla1[[#This Row],[Oficina]]=$I$7,VLOOKUP(Tabla1[[#This Row],[Llave]],'[7]Shangai (Tomas)'!$A:$F,6,FALSE),VLOOKUP(Tabla1[[#This Row],[Llave]],'[7]RV plan de ventas'!$A:$E,5,FALSE)),0)</f>
        <v>826199</v>
      </c>
      <c r="K218" s="8">
        <v>0.8</v>
      </c>
      <c r="L218" s="7">
        <f>+Tabla1[[#This Row],[ RV Producción mes n+1]]*Tabla1[[#This Row],[% Uti. producción]]</f>
        <v>730114.4</v>
      </c>
      <c r="M218" s="7">
        <f>IFERROR(VLOOKUP(Tabla1[[#This Row],[Material]],'[17]TD Stock'!$E:$I,5,FALSE),0)</f>
        <v>70233.347999999969</v>
      </c>
      <c r="N218" s="7">
        <f>IFERROR(VLOOKUP(Tabla1[[#This Row],[Material]],[16]Produccion!$M:$N,2,FALSE),0)</f>
        <v>108000</v>
      </c>
      <c r="O218" s="7">
        <f>IFERROR(VLOOKUP(Tabla1[[#This Row],[Llave]],'[16]TD Conf-AP'!$I:$M,4,FALSE),0)</f>
        <v>0</v>
      </c>
      <c r="P218" s="14">
        <f>SUM(Tabla1[[#This Row],[Producción disponible]],Tabla1[[#This Row],[Stock al día]],(Tabla1[[#This Row],[Por producir mes N]]*0.9))-Tabla1[[#This Row],[Producción por despachar mes N]]</f>
        <v>897547.74800000002</v>
      </c>
      <c r="Q218" s="7">
        <f>IFERROR(VLOOKUP(Tabla1[[#This Row],[Llave]],[17]DELAY!$A:$D,4,FALSE),0)</f>
        <v>596000</v>
      </c>
      <c r="R218" s="9">
        <v>24000</v>
      </c>
      <c r="S218" s="5">
        <f t="shared" si="32"/>
        <v>596000</v>
      </c>
      <c r="T218" s="76">
        <v>0</v>
      </c>
      <c r="U218" s="5">
        <f>+Tabla1[[#This Row],[Atraso a facturar]]+Tabla1[[#This Row],[Ajuste atraso]]</f>
        <v>596000</v>
      </c>
      <c r="V218" s="3">
        <f>+Tabla1[[#This Row],[Total disponible]]-Tabla1[[#This Row],[Facturación atraso]]</f>
        <v>301547.74800000002</v>
      </c>
      <c r="W218" s="6">
        <f>IFERROR(IF(AND(V218&gt;R218,J218&gt;=R218),ROUNDDOWN((Tabla1[[#This Row],[Producción para venta nueva]])/R218,0)*R218,0),0)</f>
        <v>288000</v>
      </c>
      <c r="X218" s="76">
        <v>0</v>
      </c>
      <c r="Y218" s="6">
        <f>IF(Tabla1[[#This Row],[Venta del mes]]&gt;0,Tabla1[[#This Row],[Venta del mes]]+Tabla1[[#This Row],[Ajuste venta nueva]],0)</f>
        <v>288000</v>
      </c>
      <c r="Z218" s="6">
        <f>+Tabla1[[#This Row],[Producción para venta nueva]]-Tabla1[[#This Row],[Facturación Venta nueva]]</f>
        <v>13547.748000000021</v>
      </c>
      <c r="AA218" s="6">
        <f>IF(AND(A218=1,Tabla1[[#This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8" s="6"/>
      <c r="AC218" s="6">
        <f>IF(Tabla1[[#This Row],[Disponible stock sin venta]]&gt;0,Tabla1[[#This Row],[Disponible stock sin venta]]+Tabla1[[#This Row],[Ajuste stock sin venta]],0)</f>
        <v>0</v>
      </c>
      <c r="AD218" s="3">
        <f>IFERROR(VLOOKUP(Tabla1[[#This Row],[Llave]],'[16]TD Puerto'!$A:$D,4,FALSE),0)</f>
        <v>24000</v>
      </c>
      <c r="AE218" s="3">
        <v>908000</v>
      </c>
      <c r="AF218" s="3">
        <f>+Tabla1[[#This Row],[Atraso a facturar]]+Tabla1[[#This Row],[Venta del mes]]+Tabla1[[#This Row],[En puerto a facturar]]+Tabla1[[#This Row],[Disponible stock sin venta]]</f>
        <v>908000</v>
      </c>
      <c r="AG218" s="3">
        <f>+Tabla1[[#This Row],[En puerto a facturar]]</f>
        <v>24000</v>
      </c>
      <c r="AH218" s="3">
        <f>+Tabla1[[#This Row],[Facturación atraso]]</f>
        <v>596000</v>
      </c>
      <c r="AI218" s="3">
        <f>+Tabla1[[#This Row],[Plan Irrestricto]]-Tabla1[[#This Row],[Puerto ]]-Tabla1[[#This Row],[Atraso]]</f>
        <v>288000</v>
      </c>
      <c r="AJ218" s="3">
        <f>IF(Tabla1[[#This Row],[Plan Irrestricto]]&gt;0,SUM(Tabla1[[#This Row],[Facturación atraso]],Tabla1[[#This Row],[Facturación Venta nueva]],Tabla1[[#This Row],[Facturación stock]],Tabla1[[#This Row],[En puerto a facturar]]),0)</f>
        <v>908000</v>
      </c>
      <c r="AK218" s="3">
        <f>+Tabla1[[#This Row],[Facturación atraso]]</f>
        <v>596000</v>
      </c>
      <c r="AL218" s="3">
        <f>+Tabla1[[#This Row],[Plan Ajustado]]-Tabla1[[#This Row],[ Atraso ajustado]]-Tabla1[[#This Row],[Puerto ]]</f>
        <v>288000</v>
      </c>
      <c r="AM218" s="3">
        <v>0</v>
      </c>
      <c r="AN218" s="3" t="str">
        <f>IF(Tabla1[[#This Row],[Plan Ajustado]]&gt;Tabla1[[#This Row],[En puerto a facturar]],"Si","No")</f>
        <v>Si</v>
      </c>
      <c r="AO218" s="3">
        <f>IF(AND(Tabla1[[#This Row],[Plan Ajustado]]&gt;0,Tabla1[[#This Row],[Plan Ajustado]]&gt;Tabla1[[#This Row],[En puerto a facturar]]),(Tabla1[[#This Row],[Plan Ajustado]]-Tabla1[[#This Row],[En puerto a facturar]]),0)</f>
        <v>884000</v>
      </c>
      <c r="AP218" s="3">
        <f>IF(Tabla1[[#This Row],[Necesidad]]&gt;=Tabla1[[#This Row],[Stock al día]],Tabla1[[#This Row],[Stock al día]],Tabla1[[#This Row],[Necesidad]])</f>
        <v>70233.347999999969</v>
      </c>
      <c r="AQ218" s="3">
        <f>+Tabla1[[#This Row],[Necesidad]]-Tabla1[[#This Row],[Stock Plan]]</f>
        <v>813766.652</v>
      </c>
      <c r="AR218" s="156">
        <f>IFERROR(VLOOKUP(Tabla1[[#This Row],[Oficina]],[22]Ponderación!$B$3:$G$9,6,FALSE),"")</f>
        <v>44757</v>
      </c>
      <c r="AS21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0.91999990317102798</v>
      </c>
      <c r="AT218" s="83">
        <f>IFERROR(VLOOKUP(Tabla1[[#This Row],[Llave]],[17]DELAY!$H:$W,16,FALSE),0)</f>
        <v>1.067787641236754</v>
      </c>
      <c r="AU21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1.0209122353304443</v>
      </c>
      <c r="AV218" s="5">
        <f>+Tabla1[[#This Row],[Plan Ajustado]]*Tabla1[[#This Row],[Precio ponderado]]</f>
        <v>926988.30968004337</v>
      </c>
      <c r="AW218" s="30">
        <f>IFERROR(VLOOKUP(Tabla1[[#This Row],[Llave]],'[13]Ultimos precios facturados'!$A:$G,7,FALSE),0)</f>
        <v>0.88706680368727775</v>
      </c>
      <c r="AX21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0.15088540241480139</v>
      </c>
      <c r="AY218" s="30"/>
      <c r="AZ218" s="30">
        <f>IF(Tabla1[[#This Row],[Ajuste precio IC]]="",Tabla1[[#This Row],[Precio ponderado]],Tabla1[[#This Row],[Precio ponderado]])</f>
        <v>1.0209122353304443</v>
      </c>
      <c r="BA218" s="82"/>
      <c r="BB218" s="82" t="str">
        <f>IF(AND(Tabla1[[#This Row],[Atraso a facturar]]&gt;0,Tabla1[[#This Row],[Precio Atraso]]=0),"Revisar","OK")</f>
        <v>OK</v>
      </c>
      <c r="BC218" s="82" t="str">
        <f>IF(AND(Tabla1[[#This Row],[Venta del mes]]&gt;0,Tabla1[[#This Row],[Precio venta nueva]]=0),"Revisar","OK")</f>
        <v>OK</v>
      </c>
      <c r="BD218" s="20">
        <f>IFERROR(VLOOKUP(Tabla1[[#This Row],[Llave]],'[5]Consolidación planes'!$A:$M,9,FALSE),0)</f>
        <v>620000</v>
      </c>
      <c r="BE218" s="20">
        <f>IFERROR(VLOOKUP(Tabla1[[#This Row],[Llave]],'[5]Consolidación planes'!$A:$M,10,FALSE),0)</f>
        <v>696000</v>
      </c>
      <c r="BF218" s="20">
        <f>IFERROR(VLOOKUP(Tabla1[[#This Row],[Llave]],'[5]Consolidación planes'!$A:$M,11,FALSE),0)</f>
        <v>840000</v>
      </c>
      <c r="BG218" s="20">
        <f>IFERROR(VLOOKUP(Tabla1[[#This Row],[Llave]],'[5]Consolidación planes'!$A:$M,12,FALSE),0)</f>
        <v>720000</v>
      </c>
      <c r="BH218" s="20">
        <f>IFERROR(VLOOKUP(Tabla1[[#This Row],[Llave]],'[5]Consolidación planes'!$A:$M,13,FALSE),0)</f>
        <v>888000</v>
      </c>
      <c r="BI218" s="20">
        <f>IFERROR(VLOOKUP(Tabla1[[#This Row],[Llave]],'[13]Base ultimos planes'!$A:$M,13,FALSE),0)</f>
        <v>647996</v>
      </c>
      <c r="BJ218" s="80">
        <f>IFERROR(VLOOKUP(Tabla1[[#This Row],[Llave]],'[13]Base ultimos planes'!$O:$AA,8,FALSE),0)</f>
        <v>527000</v>
      </c>
      <c r="BK218" s="20">
        <f>IFERROR(VLOOKUP(Tabla1[[#This Row],[Llave]],'[13]Base ultimos planes'!$O:$AA,9,FALSE),0)</f>
        <v>487200</v>
      </c>
      <c r="BL218" s="20">
        <f>IFERROR(VLOOKUP(Tabla1[[#This Row],[Llave]],'[13]Base ultimos planes'!$O:$AA,10,FALSE),0)</f>
        <v>630000</v>
      </c>
      <c r="BM218" s="20">
        <f>IFERROR(VLOOKUP(Tabla1[[#This Row],[Llave]],'[13]Base ultimos planes'!$O:$AA,11,FALSE),0)</f>
        <v>562800</v>
      </c>
      <c r="BN218" s="20">
        <f>IFERROR(VLOOKUP(Tabla1[[#This Row],[Llave]],'[13]Base ultimos planes'!$O:$AA,12,FALSE),0)</f>
        <v>700080</v>
      </c>
      <c r="BO218" s="20">
        <f>IFERROR(VLOOKUP(Tabla1[[#This Row],[Llave]],'[13]Base ultimos planes'!$O:$AA,13,FALSE),0)</f>
        <v>639293</v>
      </c>
      <c r="BP218" s="20"/>
      <c r="BQ218" s="20">
        <f>+Tabla1[[#This Row],[ RV  Venta mes n+1]]*(1-Tabla1[[#This Row],[% Uti. producción]])</f>
        <v>165239.79999999996</v>
      </c>
      <c r="BR218" s="100"/>
    </row>
    <row r="219" spans="1:70" ht="16" hidden="1" x14ac:dyDescent="0.2">
      <c r="A219">
        <v>1</v>
      </c>
      <c r="B219" t="str">
        <f>Tabla1[[#This Row],[Oficina]]&amp;Tabla1[[#This Row],[Material]]</f>
        <v>Agro Sudamerica1011422</v>
      </c>
      <c r="C219" t="s">
        <v>227</v>
      </c>
      <c r="D219" t="s">
        <v>17</v>
      </c>
      <c r="E219">
        <v>1011422</v>
      </c>
      <c r="F219" t="s">
        <v>259</v>
      </c>
      <c r="G219" t="s">
        <v>76</v>
      </c>
      <c r="H219" t="s">
        <v>257</v>
      </c>
      <c r="I219" s="7">
        <f>IFERROR(VLOOKUP(Tabla1[[#This Row],[Llave]],'[7]RV Producción'!$C:$G,5,FALSE),0)</f>
        <v>0</v>
      </c>
      <c r="J219" s="3">
        <f>IFERROR(IF(Tabla1[[#This Row],[Oficina]]=$I$7,VLOOKUP(Tabla1[[#This Row],[Llave]],'[7]Shangai (Tomas)'!$A:$F,6,FALSE),VLOOKUP(Tabla1[[#This Row],[Llave]],'[7]RV plan de ventas'!$A:$E,5,FALSE)),0)</f>
        <v>1403</v>
      </c>
      <c r="K219" s="8">
        <f>IFERROR(VLOOKUP(Tabla1[[#This Row],[Oficina]],[15]Ponderación!$B$2:$E$9,4,FALSE),0)</f>
        <v>0.45719439678473212</v>
      </c>
      <c r="L219" s="7">
        <f>+Tabla1[[#This Row],[ RV Producción mes n+1]]*Tabla1[[#This Row],[% Uti. producción]]</f>
        <v>0</v>
      </c>
      <c r="M219" s="7">
        <f>IFERROR(VLOOKUP(Tabla1[[#This Row],[Material]],'[17]TD Stock'!$E:$I,5,FALSE),0)</f>
        <v>1251.9760000000001</v>
      </c>
      <c r="N219" s="7">
        <f>IFERROR(VLOOKUP(Tabla1[[#This Row],[Material]],[16]Produccion!$M:$N,2,FALSE),0)</f>
        <v>0</v>
      </c>
      <c r="O219" s="7">
        <f>IFERROR(VLOOKUP(Tabla1[[#This Row],[Llave]],'[16]TD Conf-AP'!$I:$M,4,FALSE),0)</f>
        <v>0</v>
      </c>
      <c r="P219" s="14">
        <f>SUM(Tabla1[[#This Row],[Producción disponible]],Tabla1[[#This Row],[Stock al día]],(Tabla1[[#This Row],[Por producir mes N]]*0.9))-Tabla1[[#This Row],[Producción por despachar mes N]]</f>
        <v>1251.9760000000001</v>
      </c>
      <c r="Q219" s="7">
        <f>IFERROR(VLOOKUP(Tabla1[[#This Row],[Llave]],[17]DELAY!$A:$D,4,FALSE),0)</f>
        <v>0</v>
      </c>
      <c r="R219" s="9">
        <v>24000</v>
      </c>
      <c r="S219" s="5">
        <f t="shared" si="32"/>
        <v>0</v>
      </c>
      <c r="T219" s="76">
        <v>0</v>
      </c>
      <c r="U219" s="5">
        <f>+Tabla1[[#This Row],[Atraso a facturar]]+Tabla1[[#This Row],[Ajuste atraso]]</f>
        <v>0</v>
      </c>
      <c r="V219" s="3">
        <f>+Tabla1[[#This Row],[Total disponible]]-Tabla1[[#This Row],[Facturación atraso]]</f>
        <v>1251.9760000000001</v>
      </c>
      <c r="W219" s="6">
        <f>IFERROR(IF(AND(V219&gt;R219,J219&gt;=R219),ROUNDDOWN((Tabla1[[#This Row],[Producción para venta nueva]])/R219,0)*R219,0),0)</f>
        <v>0</v>
      </c>
      <c r="X219" s="76">
        <v>0</v>
      </c>
      <c r="Y219" s="6">
        <f>IF(Tabla1[[#This Row],[Venta del mes]]&gt;0,Tabla1[[#This Row],[Venta del mes]]+Tabla1[[#This Row],[Ajuste venta nueva]],0)</f>
        <v>0</v>
      </c>
      <c r="Z219" s="6">
        <f>+Tabla1[[#This Row],[Producción para venta nueva]]-Tabla1[[#This Row],[Facturación Venta nueva]]</f>
        <v>1251.9760000000001</v>
      </c>
      <c r="AA219" s="6">
        <f>IF(AND(A219=1,Tabla1[[#This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19" s="6"/>
      <c r="AC219" s="6">
        <f>IF(Tabla1[[#This Row],[Disponible stock sin venta]]&gt;0,Tabla1[[#This Row],[Disponible stock sin venta]]+Tabla1[[#This Row],[Ajuste stock sin venta]],0)</f>
        <v>0</v>
      </c>
      <c r="AD219" s="3">
        <f>IFERROR(VLOOKUP(Tabla1[[#This Row],[Llave]],'[16]TD Puerto'!$A:$D,4,FALSE),0)</f>
        <v>0</v>
      </c>
      <c r="AE219" s="3">
        <v>0</v>
      </c>
      <c r="AF219" s="3">
        <f>+Tabla1[[#This Row],[Atraso a facturar]]+Tabla1[[#This Row],[Venta del mes]]+Tabla1[[#This Row],[En puerto a facturar]]+Tabla1[[#This Row],[Disponible stock sin venta]]</f>
        <v>0</v>
      </c>
      <c r="AG219" s="3">
        <f>+Tabla1[[#This Row],[En puerto a facturar]]</f>
        <v>0</v>
      </c>
      <c r="AH219" s="3">
        <f>+Tabla1[[#This Row],[Facturación atraso]]</f>
        <v>0</v>
      </c>
      <c r="AI219" s="3">
        <f>+Tabla1[[#This Row],[Plan Irrestricto]]-Tabla1[[#This Row],[Puerto ]]-Tabla1[[#This Row],[Atraso]]</f>
        <v>0</v>
      </c>
      <c r="AJ21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19" s="3">
        <f>+Tabla1[[#This Row],[Facturación atraso]]</f>
        <v>0</v>
      </c>
      <c r="AL219" s="3">
        <f>+Tabla1[[#This Row],[Plan Ajustado]]-Tabla1[[#This Row],[ Atraso ajustado]]-Tabla1[[#This Row],[Puerto ]]</f>
        <v>0</v>
      </c>
      <c r="AM219" s="3">
        <v>0</v>
      </c>
      <c r="AN219" s="3" t="str">
        <f>IF(Tabla1[[#This Row],[Plan Ajustado]]&gt;Tabla1[[#This Row],[En puerto a facturar]],"Si","No")</f>
        <v>No</v>
      </c>
      <c r="AO21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19" s="3">
        <f>IF(Tabla1[[#This Row],[Necesidad]]&gt;=Tabla1[[#This Row],[Stock al día]],Tabla1[[#This Row],[Stock al día]],Tabla1[[#This Row],[Necesidad]])</f>
        <v>0</v>
      </c>
      <c r="AQ219" s="3">
        <f>+Tabla1[[#This Row],[Necesidad]]-Tabla1[[#This Row],[Stock Plan]]</f>
        <v>0</v>
      </c>
      <c r="AR219" s="156">
        <f>IFERROR(VLOOKUP(Tabla1[[#This Row],[Oficina]],[22]Ponderación!$B$3:$G$9,6,FALSE),"")</f>
        <v>44757</v>
      </c>
      <c r="AS21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0.58660014255167503</v>
      </c>
      <c r="AT219" s="83">
        <f>IFERROR(VLOOKUP(Tabla1[[#This Row],[Llave]],[17]DELAY!$H:$W,16,FALSE),0)</f>
        <v>0</v>
      </c>
      <c r="AU21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19" s="5">
        <f>+Tabla1[[#This Row],[Plan Ajustado]]*Tabla1[[#This Row],[Precio ponderado]]</f>
        <v>0</v>
      </c>
      <c r="AW219" s="30">
        <f>IFERROR(VLOOKUP(Tabla1[[#This Row],[Llave]],'[13]Ultimos precios facturados'!$A:$G,7,FALSE),0)</f>
        <v>0.49996981893025388</v>
      </c>
      <c r="AX21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19" s="30"/>
      <c r="AZ219" s="30">
        <f>IF(Tabla1[[#This Row],[Ajuste precio IC]]="",Tabla1[[#This Row],[Precio ponderado]],Tabla1[[#This Row],[Precio ponderado]])</f>
        <v>0</v>
      </c>
      <c r="BA219" s="82"/>
      <c r="BB219" s="82" t="str">
        <f>IF(AND(Tabla1[[#This Row],[Atraso a facturar]]&gt;0,Tabla1[[#This Row],[Precio Atraso]]=0),"Revisar","OK")</f>
        <v>OK</v>
      </c>
      <c r="BC219" s="82" t="str">
        <f>IF(AND(Tabla1[[#This Row],[Venta del mes]]&gt;0,Tabla1[[#This Row],[Precio venta nueva]]=0),"Revisar","OK")</f>
        <v>OK</v>
      </c>
      <c r="BD219" s="20">
        <f>IFERROR(VLOOKUP(Tabla1[[#This Row],[Llave]],'[5]Consolidación planes'!$A:$M,9,FALSE),0)</f>
        <v>0</v>
      </c>
      <c r="BE219" s="20">
        <f>IFERROR(VLOOKUP(Tabla1[[#This Row],[Llave]],'[5]Consolidación planes'!$A:$M,10,FALSE),0)</f>
        <v>0</v>
      </c>
      <c r="BF219" s="20">
        <f>IFERROR(VLOOKUP(Tabla1[[#This Row],[Llave]],'[5]Consolidación planes'!$A:$M,11,FALSE),0)</f>
        <v>24000</v>
      </c>
      <c r="BG219" s="20">
        <f>IFERROR(VLOOKUP(Tabla1[[#This Row],[Llave]],'[5]Consolidación planes'!$A:$M,12,FALSE),0)</f>
        <v>0</v>
      </c>
      <c r="BH219" s="20">
        <f>IFERROR(VLOOKUP(Tabla1[[#This Row],[Llave]],'[5]Consolidación planes'!$A:$M,13,FALSE),0)</f>
        <v>0</v>
      </c>
      <c r="BI219" s="20">
        <f>IFERROR(VLOOKUP(Tabla1[[#This Row],[Llave]],'[13]Base ultimos planes'!$A:$M,13,FALSE),0)</f>
        <v>0</v>
      </c>
      <c r="BJ219" s="80">
        <f>IFERROR(VLOOKUP(Tabla1[[#This Row],[Llave]],'[13]Base ultimos planes'!$O:$AA,8,FALSE),0)</f>
        <v>0</v>
      </c>
      <c r="BK219" s="20">
        <f>IFERROR(VLOOKUP(Tabla1[[#This Row],[Llave]],'[13]Base ultimos planes'!$O:$AA,9,FALSE),0)</f>
        <v>0</v>
      </c>
      <c r="BL219" s="20">
        <f>IFERROR(VLOOKUP(Tabla1[[#This Row],[Llave]],'[13]Base ultimos planes'!$O:$AA,10,FALSE),0)</f>
        <v>12000</v>
      </c>
      <c r="BM219" s="20">
        <f>IFERROR(VLOOKUP(Tabla1[[#This Row],[Llave]],'[13]Base ultimos planes'!$O:$AA,11,FALSE),0)</f>
        <v>0</v>
      </c>
      <c r="BN219" s="20">
        <f>IFERROR(VLOOKUP(Tabla1[[#This Row],[Llave]],'[13]Base ultimos planes'!$O:$AA,12,FALSE),0)</f>
        <v>0</v>
      </c>
      <c r="BO219" s="20">
        <f>IFERROR(VLOOKUP(Tabla1[[#This Row],[Llave]],'[13]Base ultimos planes'!$O:$AA,13,FALSE),0)</f>
        <v>0</v>
      </c>
      <c r="BP219" s="20"/>
      <c r="BQ219" s="20">
        <f>+Tabla1[[#This Row],[ RV  Venta mes n+1]]*(1-Tabla1[[#This Row],[% Uti. producción]])</f>
        <v>761.55626131102088</v>
      </c>
      <c r="BR219" s="100"/>
    </row>
    <row r="220" spans="1:70" ht="16" x14ac:dyDescent="0.2">
      <c r="A220">
        <v>1</v>
      </c>
      <c r="B220" t="str">
        <f>Tabla1[[#This Row],[Oficina]]&amp;Tabla1[[#This Row],[Material]]</f>
        <v>Agro Sudamerica1011558</v>
      </c>
      <c r="C220" t="s">
        <v>227</v>
      </c>
      <c r="D220" t="s">
        <v>17</v>
      </c>
      <c r="E220">
        <v>1011558</v>
      </c>
      <c r="F220" t="s">
        <v>239</v>
      </c>
      <c r="G220" t="s">
        <v>233</v>
      </c>
      <c r="H220" t="s">
        <v>237</v>
      </c>
      <c r="I220" s="7">
        <f>IFERROR(VLOOKUP(Tabla1[[#This Row],[Llave]],'[7]RV Producción'!$C:$G,5,FALSE),0)</f>
        <v>96000</v>
      </c>
      <c r="J220" s="3">
        <f>IFERROR(IF(Tabla1[[#This Row],[Oficina]]=$I$7,VLOOKUP(Tabla1[[#This Row],[Llave]],'[7]Shangai (Tomas)'!$A:$F,6,FALSE),VLOOKUP(Tabla1[[#This Row],[Llave]],'[7]RV plan de ventas'!$A:$E,5,FALSE)),0)</f>
        <v>102583</v>
      </c>
      <c r="K220" s="8">
        <v>0.8</v>
      </c>
      <c r="L220" s="7">
        <f>+Tabla1[[#This Row],[ RV Producción mes n+1]]*Tabla1[[#This Row],[% Uti. producción]]</f>
        <v>76800</v>
      </c>
      <c r="M220" s="163">
        <f>IFERROR(VLOOKUP(Tabla1[[#This Row],[Material]],'[17]TD Stock'!$E:$I,5,FALSE),0)+280000</f>
        <v>310349.745</v>
      </c>
      <c r="N220" s="7">
        <f>IFERROR(VLOOKUP(Tabla1[[#This Row],[Material]],[16]Produccion!$M:$N,2,FALSE),0)</f>
        <v>0</v>
      </c>
      <c r="O220" s="7">
        <f>IFERROR(VLOOKUP(Tabla1[[#This Row],[Llave]],'[16]TD Conf-AP'!$I:$M,4,FALSE),0)</f>
        <v>0</v>
      </c>
      <c r="P220" s="14">
        <f>SUM(Tabla1[[#This Row],[Producción disponible]],Tabla1[[#This Row],[Stock al día]],(Tabla1[[#This Row],[Por producir mes N]]*0.9))-Tabla1[[#This Row],[Producción por despachar mes N]]</f>
        <v>387149.745</v>
      </c>
      <c r="Q220" s="7">
        <f>IFERROR(VLOOKUP(Tabla1[[#This Row],[Llave]],[17]DELAY!$A:$D,4,FALSE),0)</f>
        <v>55000</v>
      </c>
      <c r="R220" s="9">
        <v>24000</v>
      </c>
      <c r="S220" s="5">
        <f t="shared" si="32"/>
        <v>55000</v>
      </c>
      <c r="T220" s="76">
        <v>0</v>
      </c>
      <c r="U220" s="5">
        <f>+Tabla1[[#This Row],[Atraso a facturar]]+Tabla1[[#This Row],[Ajuste atraso]]</f>
        <v>55000</v>
      </c>
      <c r="V220" s="3">
        <f>+Tabla1[[#This Row],[Total disponible]]-Tabla1[[#This Row],[Facturación atraso]]</f>
        <v>332149.745</v>
      </c>
      <c r="W220" s="6">
        <f>IFERROR(IF(AND(V220&gt;R220,J220&gt;=R220),ROUNDDOWN((Tabla1[[#This Row],[Producción para venta nueva]])/R220,0)*R220,0),0)</f>
        <v>312000</v>
      </c>
      <c r="X220" s="76">
        <v>-120000</v>
      </c>
      <c r="Y220" s="6">
        <f>IF(Tabla1[[#This Row],[Venta del mes]]&gt;0,Tabla1[[#This Row],[Venta del mes]]+Tabla1[[#This Row],[Ajuste venta nueva]],0)</f>
        <v>192000</v>
      </c>
      <c r="Z220" s="6">
        <f>+Tabla1[[#This Row],[Producción para venta nueva]]-Tabla1[[#This Row],[Facturación Venta nueva]]</f>
        <v>140149.745</v>
      </c>
      <c r="AA220" s="6">
        <f>IF(AND(A220=1,Tabla1[[#This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0" s="6"/>
      <c r="AC220" s="6">
        <f>IF(Tabla1[[#This Row],[Disponible stock sin venta]]&gt;0,Tabla1[[#This Row],[Disponible stock sin venta]]+Tabla1[[#This Row],[Ajuste stock sin venta]],0)</f>
        <v>0</v>
      </c>
      <c r="AD220" s="3">
        <f>IFERROR(VLOOKUP(Tabla1[[#This Row],[Llave]],'[16]TD Puerto'!$A:$D,4,FALSE),0)</f>
        <v>0</v>
      </c>
      <c r="AE220" s="3">
        <v>367000</v>
      </c>
      <c r="AF220" s="3">
        <f>+Tabla1[[#This Row],[Atraso a facturar]]+Tabla1[[#This Row],[Venta del mes]]+Tabla1[[#This Row],[En puerto a facturar]]+Tabla1[[#This Row],[Disponible stock sin venta]]</f>
        <v>367000</v>
      </c>
      <c r="AG220" s="3">
        <f>+Tabla1[[#This Row],[En puerto a facturar]]</f>
        <v>0</v>
      </c>
      <c r="AH220" s="3">
        <f>+Tabla1[[#This Row],[Facturación atraso]]</f>
        <v>55000</v>
      </c>
      <c r="AI220" s="3">
        <f>+Tabla1[[#This Row],[Plan Irrestricto]]-Tabla1[[#This Row],[Puerto ]]-Tabla1[[#This Row],[Atraso]]</f>
        <v>312000</v>
      </c>
      <c r="AJ220" s="3">
        <f>IF(Tabla1[[#This Row],[Plan Irrestricto]]&gt;0,SUM(Tabla1[[#This Row],[Facturación atraso]],Tabla1[[#This Row],[Facturación Venta nueva]],Tabla1[[#This Row],[Facturación stock]],Tabla1[[#This Row],[En puerto a facturar]]),0)</f>
        <v>247000</v>
      </c>
      <c r="AK220" s="3">
        <f>+Tabla1[[#This Row],[Facturación atraso]]</f>
        <v>55000</v>
      </c>
      <c r="AL220" s="3">
        <f>+Tabla1[[#This Row],[Plan Ajustado]]-Tabla1[[#This Row],[ Atraso ajustado]]-Tabla1[[#This Row],[Puerto ]]</f>
        <v>192000</v>
      </c>
      <c r="AM220" s="3">
        <v>0</v>
      </c>
      <c r="AN220" s="3" t="str">
        <f>IF(Tabla1[[#This Row],[Plan Ajustado]]&gt;Tabla1[[#This Row],[En puerto a facturar]],"Si","No")</f>
        <v>Si</v>
      </c>
      <c r="AO220" s="3">
        <f>IF(AND(Tabla1[[#This Row],[Plan Ajustado]]&gt;0,Tabla1[[#This Row],[Plan Ajustado]]&gt;Tabla1[[#This Row],[En puerto a facturar]]),(Tabla1[[#This Row],[Plan Ajustado]]-Tabla1[[#This Row],[En puerto a facturar]]),0)</f>
        <v>247000</v>
      </c>
      <c r="AP220" s="3">
        <f>IF(Tabla1[[#This Row],[Necesidad]]&gt;=Tabla1[[#This Row],[Stock al día]],Tabla1[[#This Row],[Stock al día]],Tabla1[[#This Row],[Necesidad]])</f>
        <v>247000</v>
      </c>
      <c r="AQ220" s="3">
        <f>+Tabla1[[#This Row],[Necesidad]]-Tabla1[[#This Row],[Stock Plan]]</f>
        <v>0</v>
      </c>
      <c r="AR220" s="156">
        <f>IFERROR(VLOOKUP(Tabla1[[#This Row],[Oficina]],[22]Ponderación!$B$3:$G$9,6,FALSE),"")</f>
        <v>44757</v>
      </c>
      <c r="AS22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0.93000789604515399</v>
      </c>
      <c r="AT220" s="83">
        <f>IFERROR(VLOOKUP(Tabla1[[#This Row],[Llave]],[17]DELAY!$H:$W,16,FALSE),0)</f>
        <v>0.96350607314421466</v>
      </c>
      <c r="AU22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0.93746700430607854</v>
      </c>
      <c r="AV220" s="5">
        <f>+Tabla1[[#This Row],[Plan Ajustado]]*Tabla1[[#This Row],[Precio ponderado]]</f>
        <v>231554.35006360139</v>
      </c>
      <c r="AW220" s="30">
        <f>IFERROR(VLOOKUP(Tabla1[[#This Row],[Llave]],'[13]Ultimos precios facturados'!$A:$G,7,FALSE),0)</f>
        <v>0.8810934502253609</v>
      </c>
      <c r="AX22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6.3981356422861554E-2</v>
      </c>
      <c r="AY220" s="30"/>
      <c r="AZ220" s="30">
        <f>IF(Tabla1[[#This Row],[Ajuste precio IC]]="",Tabla1[[#This Row],[Precio ponderado]],Tabla1[[#This Row],[Precio ponderado]])</f>
        <v>0.93746700430607854</v>
      </c>
      <c r="BA220" s="82"/>
      <c r="BB220" s="82" t="str">
        <f>IF(AND(Tabla1[[#This Row],[Atraso a facturar]]&gt;0,Tabla1[[#This Row],[Precio Atraso]]=0),"Revisar","OK")</f>
        <v>OK</v>
      </c>
      <c r="BC220" s="82" t="str">
        <f>IF(AND(Tabla1[[#This Row],[Venta del mes]]&gt;0,Tabla1[[#This Row],[Precio venta nueva]]=0),"Revisar","OK")</f>
        <v>OK</v>
      </c>
      <c r="BD220" s="20">
        <f>IFERROR(VLOOKUP(Tabla1[[#This Row],[Llave]],'[5]Consolidación planes'!$A:$M,9,FALSE),0)</f>
        <v>192000</v>
      </c>
      <c r="BE220" s="20">
        <f>IFERROR(VLOOKUP(Tabla1[[#This Row],[Llave]],'[5]Consolidación planes'!$A:$M,10,FALSE),0)</f>
        <v>408000</v>
      </c>
      <c r="BF220" s="20">
        <f>IFERROR(VLOOKUP(Tabla1[[#This Row],[Llave]],'[5]Consolidación planes'!$A:$M,11,FALSE),0)</f>
        <v>288000</v>
      </c>
      <c r="BG220" s="20">
        <f>IFERROR(VLOOKUP(Tabla1[[#This Row],[Llave]],'[5]Consolidación planes'!$A:$M,12,FALSE),0)</f>
        <v>264000</v>
      </c>
      <c r="BH220" s="20">
        <f>IFERROR(VLOOKUP(Tabla1[[#This Row],[Llave]],'[5]Consolidación planes'!$A:$M,13,FALSE),0)</f>
        <v>168000</v>
      </c>
      <c r="BI220" s="20">
        <f>IFERROR(VLOOKUP(Tabla1[[#This Row],[Llave]],'[13]Base ultimos planes'!$A:$M,13,FALSE),0)</f>
        <v>119997</v>
      </c>
      <c r="BJ220" s="80">
        <f>IFERROR(VLOOKUP(Tabla1[[#This Row],[Llave]],'[13]Base ultimos planes'!$O:$AA,8,FALSE),0)</f>
        <v>172800</v>
      </c>
      <c r="BK220" s="20">
        <f>IFERROR(VLOOKUP(Tabla1[[#This Row],[Llave]],'[13]Base ultimos planes'!$O:$AA,9,FALSE),0)</f>
        <v>399280</v>
      </c>
      <c r="BL220" s="20">
        <f>IFERROR(VLOOKUP(Tabla1[[#This Row],[Llave]],'[13]Base ultimos planes'!$O:$AA,10,FALSE),0)</f>
        <v>225819</v>
      </c>
      <c r="BM220" s="20">
        <f>IFERROR(VLOOKUP(Tabla1[[#This Row],[Llave]],'[13]Base ultimos planes'!$O:$AA,11,FALSE),0)</f>
        <v>212400</v>
      </c>
      <c r="BN220" s="20">
        <f>IFERROR(VLOOKUP(Tabla1[[#This Row],[Llave]],'[13]Base ultimos planes'!$O:$AA,12,FALSE),0)</f>
        <v>115440</v>
      </c>
      <c r="BO220" s="20">
        <f>IFERROR(VLOOKUP(Tabla1[[#This Row],[Llave]],'[13]Base ultimos planes'!$O:$AA,13,FALSE),0)</f>
        <v>138381</v>
      </c>
      <c r="BP220" s="20"/>
      <c r="BQ220" s="20">
        <f>+Tabla1[[#This Row],[ RV  Venta mes n+1]]*(1-Tabla1[[#This Row],[% Uti. producción]])</f>
        <v>20516.599999999995</v>
      </c>
      <c r="BR220" s="100"/>
    </row>
    <row r="221" spans="1:70" ht="16" hidden="1" x14ac:dyDescent="0.2">
      <c r="A221">
        <v>1</v>
      </c>
      <c r="B221" t="str">
        <f>Tabla1[[#This Row],[Oficina]]&amp;Tabla1[[#This Row],[Material]]</f>
        <v>Agro Sudamerica1011582</v>
      </c>
      <c r="C221" t="s">
        <v>227</v>
      </c>
      <c r="D221" t="s">
        <v>17</v>
      </c>
      <c r="E221">
        <v>1011582</v>
      </c>
      <c r="F221" t="s">
        <v>255</v>
      </c>
      <c r="G221" t="s">
        <v>253</v>
      </c>
      <c r="H221" t="s">
        <v>254</v>
      </c>
      <c r="I221" s="7">
        <f>IFERROR(VLOOKUP(Tabla1[[#This Row],[Llave]],'[7]RV Producción'!$C:$G,5,FALSE),0)</f>
        <v>0</v>
      </c>
      <c r="J221" s="3">
        <f>IFERROR(IF(Tabla1[[#This Row],[Oficina]]=$I$7,VLOOKUP(Tabla1[[#This Row],[Llave]],'[7]Shangai (Tomas)'!$A:$F,6,FALSE),VLOOKUP(Tabla1[[#This Row],[Llave]],'[7]RV plan de ventas'!$A:$E,5,FALSE)),0)</f>
        <v>0</v>
      </c>
      <c r="K221" s="8">
        <f>IFERROR(VLOOKUP(Tabla1[[#This Row],[Oficina]],[15]Ponderación!$B$2:$E$9,4,FALSE),0)</f>
        <v>0.45719439678473212</v>
      </c>
      <c r="L221" s="7">
        <f>+Tabla1[[#This Row],[ RV Producción mes n+1]]*Tabla1[[#This Row],[% Uti. producción]]</f>
        <v>0</v>
      </c>
      <c r="M221" s="7">
        <f>IFERROR(VLOOKUP(Tabla1[[#This Row],[Material]],'[17]TD Stock'!$E:$I,5,FALSE),0)</f>
        <v>1545.6689999999999</v>
      </c>
      <c r="N221" s="7">
        <f>IFERROR(VLOOKUP(Tabla1[[#This Row],[Material]],[16]Produccion!$M:$N,2,FALSE),0)</f>
        <v>0</v>
      </c>
      <c r="O221" s="7">
        <f>IFERROR(VLOOKUP(Tabla1[[#This Row],[Llave]],'[16]TD Conf-AP'!$I:$M,4,FALSE),0)</f>
        <v>0</v>
      </c>
      <c r="P221" s="14">
        <f>SUM(Tabla1[[#This Row],[Producción disponible]],Tabla1[[#This Row],[Stock al día]],(Tabla1[[#This Row],[Por producir mes N]]*0.9))-Tabla1[[#This Row],[Producción por despachar mes N]]</f>
        <v>1545.6689999999999</v>
      </c>
      <c r="Q221" s="7">
        <f>IFERROR(VLOOKUP(Tabla1[[#This Row],[Llave]],[17]DELAY!$A:$D,4,FALSE),0)</f>
        <v>0</v>
      </c>
      <c r="R221" s="9">
        <v>24000</v>
      </c>
      <c r="S221" s="5">
        <f t="shared" si="32"/>
        <v>0</v>
      </c>
      <c r="T221" s="76">
        <v>0</v>
      </c>
      <c r="U221" s="5">
        <f>+Tabla1[[#This Row],[Atraso a facturar]]+Tabla1[[#This Row],[Ajuste atraso]]</f>
        <v>0</v>
      </c>
      <c r="V221" s="3">
        <f>+Tabla1[[#This Row],[Total disponible]]-Tabla1[[#This Row],[Facturación atraso]]</f>
        <v>1545.6689999999999</v>
      </c>
      <c r="W221" s="6">
        <f>IFERROR(IF(AND(V221&gt;R221,J221&gt;=R221),ROUNDDOWN((Tabla1[[#This Row],[Producción para venta nueva]])/R221,0)*R221,0),0)</f>
        <v>0</v>
      </c>
      <c r="X221" s="76">
        <v>0</v>
      </c>
      <c r="Y221" s="6">
        <f>IF(Tabla1[[#This Row],[Venta del mes]]&gt;0,Tabla1[[#This Row],[Venta del mes]]+Tabla1[[#This Row],[Ajuste venta nueva]],0)</f>
        <v>0</v>
      </c>
      <c r="Z221" s="6">
        <f>+Tabla1[[#This Row],[Producción para venta nueva]]-Tabla1[[#This Row],[Facturación Venta nueva]]</f>
        <v>1545.6689999999999</v>
      </c>
      <c r="AA221" s="6">
        <f>IF(AND(A221=1,Tabla1[[#This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1" s="6"/>
      <c r="AC221" s="6">
        <f>IF(Tabla1[[#This Row],[Disponible stock sin venta]]&gt;0,Tabla1[[#This Row],[Disponible stock sin venta]]+Tabla1[[#This Row],[Ajuste stock sin venta]],0)</f>
        <v>0</v>
      </c>
      <c r="AD221" s="3">
        <f>IFERROR(VLOOKUP(Tabla1[[#This Row],[Llave]],'[16]TD Puerto'!$A:$D,4,FALSE),0)</f>
        <v>0</v>
      </c>
      <c r="AE221" s="3">
        <v>0</v>
      </c>
      <c r="AF221" s="3">
        <f>+Tabla1[[#This Row],[Atraso a facturar]]+Tabla1[[#This Row],[Venta del mes]]+Tabla1[[#This Row],[En puerto a facturar]]+Tabla1[[#This Row],[Disponible stock sin venta]]</f>
        <v>0</v>
      </c>
      <c r="AG221" s="3">
        <f>+Tabla1[[#This Row],[En puerto a facturar]]</f>
        <v>0</v>
      </c>
      <c r="AH221" s="3">
        <f>+Tabla1[[#This Row],[Facturación atraso]]</f>
        <v>0</v>
      </c>
      <c r="AI221" s="3">
        <f>+Tabla1[[#This Row],[Plan Irrestricto]]-Tabla1[[#This Row],[Puerto ]]-Tabla1[[#This Row],[Atraso]]</f>
        <v>0</v>
      </c>
      <c r="AJ22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21" s="3">
        <f>+Tabla1[[#This Row],[Facturación atraso]]</f>
        <v>0</v>
      </c>
      <c r="AL221" s="3">
        <f>+Tabla1[[#This Row],[Plan Ajustado]]-Tabla1[[#This Row],[ Atraso ajustado]]-Tabla1[[#This Row],[Puerto ]]</f>
        <v>0</v>
      </c>
      <c r="AM221" s="3">
        <v>0</v>
      </c>
      <c r="AN221" s="3" t="str">
        <f>IF(Tabla1[[#This Row],[Plan Ajustado]]&gt;Tabla1[[#This Row],[En puerto a facturar]],"Si","No")</f>
        <v>No</v>
      </c>
      <c r="AO22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21" s="3">
        <f>IF(Tabla1[[#This Row],[Necesidad]]&gt;=Tabla1[[#This Row],[Stock al día]],Tabla1[[#This Row],[Stock al día]],Tabla1[[#This Row],[Necesidad]])</f>
        <v>0</v>
      </c>
      <c r="AQ221" s="3">
        <f>+Tabla1[[#This Row],[Necesidad]]-Tabla1[[#This Row],[Stock Plan]]</f>
        <v>0</v>
      </c>
      <c r="AR221" s="156">
        <f>IFERROR(VLOOKUP(Tabla1[[#This Row],[Oficina]],[22]Ponderación!$B$3:$G$9,6,FALSE),"")</f>
        <v>44757</v>
      </c>
      <c r="AS22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0.97356360829804833</v>
      </c>
      <c r="AT221" s="83">
        <f>IFERROR(VLOOKUP(Tabla1[[#This Row],[Llave]],[17]DELAY!$H:$W,16,FALSE),0)</f>
        <v>0</v>
      </c>
      <c r="AU22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21" s="5">
        <f>+Tabla1[[#This Row],[Plan Ajustado]]*Tabla1[[#This Row],[Precio ponderado]]</f>
        <v>0</v>
      </c>
      <c r="AW221" s="30">
        <f>IFERROR(VLOOKUP(Tabla1[[#This Row],[Llave]],'[13]Ultimos precios facturados'!$A:$G,7,FALSE),0)</f>
        <v>0.97356360829804833</v>
      </c>
      <c r="AX22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21" s="30"/>
      <c r="AZ221" s="30">
        <f>IF(Tabla1[[#This Row],[Ajuste precio IC]]="",Tabla1[[#This Row],[Precio ponderado]],Tabla1[[#This Row],[Precio ponderado]])</f>
        <v>0</v>
      </c>
      <c r="BA221" s="82"/>
      <c r="BB221" s="82" t="str">
        <f>IF(AND(Tabla1[[#This Row],[Atraso a facturar]]&gt;0,Tabla1[[#This Row],[Precio Atraso]]=0),"Revisar","OK")</f>
        <v>OK</v>
      </c>
      <c r="BC221" s="82" t="str">
        <f>IF(AND(Tabla1[[#This Row],[Venta del mes]]&gt;0,Tabla1[[#This Row],[Precio venta nueva]]=0),"Revisar","OK")</f>
        <v>OK</v>
      </c>
      <c r="BD221" s="20">
        <f>IFERROR(VLOOKUP(Tabla1[[#This Row],[Llave]],'[5]Consolidación planes'!$A:$M,9,FALSE),0)</f>
        <v>24000</v>
      </c>
      <c r="BE221" s="20">
        <f>IFERROR(VLOOKUP(Tabla1[[#This Row],[Llave]],'[5]Consolidación planes'!$A:$M,10,FALSE),0)</f>
        <v>82000</v>
      </c>
      <c r="BF221" s="20">
        <f>IFERROR(VLOOKUP(Tabla1[[#This Row],[Llave]],'[5]Consolidación planes'!$A:$M,11,FALSE),0)</f>
        <v>60000</v>
      </c>
      <c r="BG221" s="20">
        <f>IFERROR(VLOOKUP(Tabla1[[#This Row],[Llave]],'[5]Consolidación planes'!$A:$M,12,FALSE),0)</f>
        <v>24000</v>
      </c>
      <c r="BH221" s="20">
        <f>IFERROR(VLOOKUP(Tabla1[[#This Row],[Llave]],'[5]Consolidación planes'!$A:$M,13,FALSE),0)</f>
        <v>46500</v>
      </c>
      <c r="BI221" s="20">
        <f>IFERROR(VLOOKUP(Tabla1[[#This Row],[Llave]],'[13]Base ultimos planes'!$A:$M,13,FALSE),0)</f>
        <v>0</v>
      </c>
      <c r="BJ221" s="80">
        <f>IFERROR(VLOOKUP(Tabla1[[#This Row],[Llave]],'[13]Base ultimos planes'!$O:$AA,8,FALSE),0)</f>
        <v>22240</v>
      </c>
      <c r="BK221" s="20">
        <f>IFERROR(VLOOKUP(Tabla1[[#This Row],[Llave]],'[13]Base ultimos planes'!$O:$AA,9,FALSE),0)</f>
        <v>79107</v>
      </c>
      <c r="BL221" s="20">
        <f>IFERROR(VLOOKUP(Tabla1[[#This Row],[Llave]],'[13]Base ultimos planes'!$O:$AA,10,FALSE),0)</f>
        <v>58200</v>
      </c>
      <c r="BM221" s="20">
        <f>IFERROR(VLOOKUP(Tabla1[[#This Row],[Llave]],'[13]Base ultimos planes'!$O:$AA,11,FALSE),0)</f>
        <v>19680</v>
      </c>
      <c r="BN221" s="20">
        <f>IFERROR(VLOOKUP(Tabla1[[#This Row],[Llave]],'[13]Base ultimos planes'!$O:$AA,12,FALSE),0)</f>
        <v>45105</v>
      </c>
      <c r="BO221" s="20">
        <f>IFERROR(VLOOKUP(Tabla1[[#This Row],[Llave]],'[13]Base ultimos planes'!$O:$AA,13,FALSE),0)</f>
        <v>0</v>
      </c>
      <c r="BP221" s="20"/>
      <c r="BQ221" s="20">
        <f>+Tabla1[[#This Row],[ RV  Venta mes n+1]]*(1-Tabla1[[#This Row],[% Uti. producción]])</f>
        <v>0</v>
      </c>
      <c r="BR221" s="100"/>
    </row>
    <row r="222" spans="1:70" ht="16" hidden="1" x14ac:dyDescent="0.2">
      <c r="A222">
        <v>1</v>
      </c>
      <c r="B222" t="str">
        <f>Tabla1[[#This Row],[Oficina]]&amp;Tabla1[[#This Row],[Material]]</f>
        <v>Agro Sudamerica1011888</v>
      </c>
      <c r="C222" t="s">
        <v>227</v>
      </c>
      <c r="D222" t="s">
        <v>17</v>
      </c>
      <c r="E222">
        <v>1011888</v>
      </c>
      <c r="F222" t="s">
        <v>260</v>
      </c>
      <c r="G222" t="s">
        <v>76</v>
      </c>
      <c r="H222" t="s">
        <v>257</v>
      </c>
      <c r="I222" s="7">
        <f>IFERROR(VLOOKUP(Tabla1[[#This Row],[Llave]],'[7]RV Producción'!$C:$G,5,FALSE),0)</f>
        <v>0</v>
      </c>
      <c r="J222" s="3">
        <f>IFERROR(IF(Tabla1[[#This Row],[Oficina]]=$I$7,VLOOKUP(Tabla1[[#This Row],[Llave]],'[7]Shangai (Tomas)'!$A:$F,6,FALSE),VLOOKUP(Tabla1[[#This Row],[Llave]],'[7]RV plan de ventas'!$A:$E,5,FALSE)),0)</f>
        <v>0</v>
      </c>
      <c r="K222" s="8">
        <f>IFERROR(VLOOKUP(Tabla1[[#This Row],[Oficina]],[15]Ponderación!$B$2:$E$9,4,FALSE),0)</f>
        <v>0.45719439678473212</v>
      </c>
      <c r="L222" s="7">
        <f>+Tabla1[[#This Row],[ RV Producción mes n+1]]*Tabla1[[#This Row],[% Uti. producción]]</f>
        <v>0</v>
      </c>
      <c r="M222" s="7">
        <f>IFERROR(VLOOKUP(Tabla1[[#This Row],[Material]],'[17]TD Stock'!$E:$I,5,FALSE),0)</f>
        <v>0</v>
      </c>
      <c r="N222" s="7">
        <f>IFERROR(VLOOKUP(Tabla1[[#This Row],[Material]],[16]Produccion!$M:$N,2,FALSE),0)</f>
        <v>0</v>
      </c>
      <c r="O222" s="7">
        <f>IFERROR(VLOOKUP(Tabla1[[#This Row],[Llave]],'[16]TD Conf-AP'!$I:$M,4,FALSE),0)</f>
        <v>0</v>
      </c>
      <c r="P222" s="14">
        <f>SUM(Tabla1[[#This Row],[Producción disponible]],Tabla1[[#This Row],[Stock al día]],(Tabla1[[#This Row],[Por producir mes N]]*0.9))-Tabla1[[#This Row],[Producción por despachar mes N]]</f>
        <v>0</v>
      </c>
      <c r="Q222" s="7">
        <f>IFERROR(VLOOKUP(Tabla1[[#This Row],[Llave]],[17]DELAY!$A:$D,4,FALSE),0)</f>
        <v>0</v>
      </c>
      <c r="R222" s="9">
        <v>24000</v>
      </c>
      <c r="S222" s="5">
        <f t="shared" si="32"/>
        <v>0</v>
      </c>
      <c r="T222" s="76">
        <v>0</v>
      </c>
      <c r="U222" s="5">
        <f>+Tabla1[[#This Row],[Atraso a facturar]]+Tabla1[[#This Row],[Ajuste atraso]]</f>
        <v>0</v>
      </c>
      <c r="V222" s="3">
        <f>+Tabla1[[#This Row],[Total disponible]]-Tabla1[[#This Row],[Facturación atraso]]</f>
        <v>0</v>
      </c>
      <c r="W222" s="6">
        <f>IFERROR(IF(AND(V222&gt;R222,J222&gt;=R222),ROUNDDOWN((Tabla1[[#This Row],[Producción para venta nueva]])/R222,0)*R222,0),0)</f>
        <v>0</v>
      </c>
      <c r="X222" s="76">
        <v>0</v>
      </c>
      <c r="Y222" s="6">
        <f>IF(Tabla1[[#This Row],[Venta del mes]]&gt;0,Tabla1[[#This Row],[Venta del mes]]+Tabla1[[#This Row],[Ajuste venta nueva]],0)</f>
        <v>0</v>
      </c>
      <c r="Z222" s="6">
        <f>+Tabla1[[#This Row],[Producción para venta nueva]]-Tabla1[[#This Row],[Facturación Venta nueva]]</f>
        <v>0</v>
      </c>
      <c r="AA222" s="6">
        <f>IF(AND(A222=1,Tabla1[[#This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2" s="6"/>
      <c r="AC222" s="6">
        <f>IF(Tabla1[[#This Row],[Disponible stock sin venta]]&gt;0,Tabla1[[#This Row],[Disponible stock sin venta]]+Tabla1[[#This Row],[Ajuste stock sin venta]],0)</f>
        <v>0</v>
      </c>
      <c r="AD222" s="3">
        <f>IFERROR(VLOOKUP(Tabla1[[#This Row],[Llave]],'[16]TD Puerto'!$A:$D,4,FALSE),0)</f>
        <v>0</v>
      </c>
      <c r="AE222" s="3">
        <v>0</v>
      </c>
      <c r="AF222" s="3">
        <f>+Tabla1[[#This Row],[Atraso a facturar]]+Tabla1[[#This Row],[Venta del mes]]+Tabla1[[#This Row],[En puerto a facturar]]+Tabla1[[#This Row],[Disponible stock sin venta]]</f>
        <v>0</v>
      </c>
      <c r="AG222" s="3">
        <f>+Tabla1[[#This Row],[En puerto a facturar]]</f>
        <v>0</v>
      </c>
      <c r="AH222" s="3">
        <f>+Tabla1[[#This Row],[Facturación atraso]]</f>
        <v>0</v>
      </c>
      <c r="AI222" s="3">
        <f>+Tabla1[[#This Row],[Plan Irrestricto]]-Tabla1[[#This Row],[Puerto ]]-Tabla1[[#This Row],[Atraso]]</f>
        <v>0</v>
      </c>
      <c r="AJ22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22" s="3">
        <f>+Tabla1[[#This Row],[Facturación atraso]]</f>
        <v>0</v>
      </c>
      <c r="AL222" s="3">
        <f>+Tabla1[[#This Row],[Plan Ajustado]]-Tabla1[[#This Row],[ Atraso ajustado]]-Tabla1[[#This Row],[Puerto ]]</f>
        <v>0</v>
      </c>
      <c r="AM222" s="3">
        <v>0</v>
      </c>
      <c r="AN222" s="3" t="str">
        <f>IF(Tabla1[[#This Row],[Plan Ajustado]]&gt;Tabla1[[#This Row],[En puerto a facturar]],"Si","No")</f>
        <v>No</v>
      </c>
      <c r="AO22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22" s="3">
        <f>IF(Tabla1[[#This Row],[Necesidad]]&gt;=Tabla1[[#This Row],[Stock al día]],Tabla1[[#This Row],[Stock al día]],Tabla1[[#This Row],[Necesidad]])</f>
        <v>0</v>
      </c>
      <c r="AQ222" s="3">
        <f>+Tabla1[[#This Row],[Necesidad]]-Tabla1[[#This Row],[Stock Plan]]</f>
        <v>0</v>
      </c>
      <c r="AR222" s="156">
        <f>IFERROR(VLOOKUP(Tabla1[[#This Row],[Oficina]],[22]Ponderación!$B$3:$G$9,6,FALSE),"")</f>
        <v>44757</v>
      </c>
      <c r="AS22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22" s="83">
        <f>IFERROR(VLOOKUP(Tabla1[[#This Row],[Llave]],[17]DELAY!$H:$W,16,FALSE),0)</f>
        <v>0</v>
      </c>
      <c r="AU22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22" s="5">
        <f>+Tabla1[[#This Row],[Plan Ajustado]]*Tabla1[[#This Row],[Precio ponderado]]</f>
        <v>0</v>
      </c>
      <c r="AW222" s="30">
        <f>IFERROR(VLOOKUP(Tabla1[[#This Row],[Llave]],'[13]Ultimos precios facturados'!$A:$G,7,FALSE),0)</f>
        <v>0</v>
      </c>
      <c r="AX22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22" s="30"/>
      <c r="AZ222" s="30">
        <f>IF(Tabla1[[#This Row],[Ajuste precio IC]]="",Tabla1[[#This Row],[Precio ponderado]],Tabla1[[#This Row],[Precio ponderado]])</f>
        <v>0</v>
      </c>
      <c r="BA222" s="82"/>
      <c r="BB222" s="82" t="str">
        <f>IF(AND(Tabla1[[#This Row],[Atraso a facturar]]&gt;0,Tabla1[[#This Row],[Precio Atraso]]=0),"Revisar","OK")</f>
        <v>OK</v>
      </c>
      <c r="BC222" s="82" t="str">
        <f>IF(AND(Tabla1[[#This Row],[Venta del mes]]&gt;0,Tabla1[[#This Row],[Precio venta nueva]]=0),"Revisar","OK")</f>
        <v>OK</v>
      </c>
      <c r="BD222" s="20">
        <f>IFERROR(VLOOKUP(Tabla1[[#This Row],[Llave]],'[5]Consolidación planes'!$A:$M,9,FALSE),0)</f>
        <v>0</v>
      </c>
      <c r="BE222" s="20">
        <f>IFERROR(VLOOKUP(Tabla1[[#This Row],[Llave]],'[5]Consolidación planes'!$A:$M,10,FALSE),0)</f>
        <v>0</v>
      </c>
      <c r="BF222" s="20">
        <f>IFERROR(VLOOKUP(Tabla1[[#This Row],[Llave]],'[5]Consolidación planes'!$A:$M,11,FALSE),0)</f>
        <v>0</v>
      </c>
      <c r="BG222" s="20">
        <f>IFERROR(VLOOKUP(Tabla1[[#This Row],[Llave]],'[5]Consolidación planes'!$A:$M,12,FALSE),0)</f>
        <v>0</v>
      </c>
      <c r="BH222" s="20">
        <f>IFERROR(VLOOKUP(Tabla1[[#This Row],[Llave]],'[5]Consolidación planes'!$A:$M,13,FALSE),0)</f>
        <v>0</v>
      </c>
      <c r="BI222" s="20">
        <f>IFERROR(VLOOKUP(Tabla1[[#This Row],[Llave]],'[13]Base ultimos planes'!$A:$M,13,FALSE),0)</f>
        <v>0</v>
      </c>
      <c r="BJ222" s="80">
        <f>IFERROR(VLOOKUP(Tabla1[[#This Row],[Llave]],'[13]Base ultimos planes'!$O:$AA,8,FALSE),0)</f>
        <v>0</v>
      </c>
      <c r="BK222" s="20">
        <f>IFERROR(VLOOKUP(Tabla1[[#This Row],[Llave]],'[13]Base ultimos planes'!$O:$AA,9,FALSE),0)</f>
        <v>0</v>
      </c>
      <c r="BL222" s="20">
        <f>IFERROR(VLOOKUP(Tabla1[[#This Row],[Llave]],'[13]Base ultimos planes'!$O:$AA,10,FALSE),0)</f>
        <v>0</v>
      </c>
      <c r="BM222" s="20">
        <f>IFERROR(VLOOKUP(Tabla1[[#This Row],[Llave]],'[13]Base ultimos planes'!$O:$AA,11,FALSE),0)</f>
        <v>0</v>
      </c>
      <c r="BN222" s="20">
        <f>IFERROR(VLOOKUP(Tabla1[[#This Row],[Llave]],'[13]Base ultimos planes'!$O:$AA,12,FALSE),0)</f>
        <v>0</v>
      </c>
      <c r="BO222" s="20">
        <f>IFERROR(VLOOKUP(Tabla1[[#This Row],[Llave]],'[13]Base ultimos planes'!$O:$AA,13,FALSE),0)</f>
        <v>0</v>
      </c>
      <c r="BP222" s="20"/>
      <c r="BQ222" s="20">
        <f>+Tabla1[[#This Row],[ RV  Venta mes n+1]]*(1-Tabla1[[#This Row],[% Uti. producción]])</f>
        <v>0</v>
      </c>
      <c r="BR222" s="100"/>
    </row>
    <row r="223" spans="1:70" ht="16" hidden="1" x14ac:dyDescent="0.2">
      <c r="A223">
        <v>1</v>
      </c>
      <c r="B223" t="str">
        <f>Tabla1[[#This Row],[Oficina]]&amp;Tabla1[[#This Row],[Material]]</f>
        <v>Agro Sudamerica1011939</v>
      </c>
      <c r="C223" t="s">
        <v>227</v>
      </c>
      <c r="D223" t="s">
        <v>17</v>
      </c>
      <c r="E223">
        <v>1011939</v>
      </c>
      <c r="F223" t="s">
        <v>261</v>
      </c>
      <c r="G223" t="s">
        <v>217</v>
      </c>
      <c r="H223" t="s">
        <v>218</v>
      </c>
      <c r="I223" s="7">
        <f>IFERROR(VLOOKUP(Tabla1[[#This Row],[Llave]],'[7]RV Producción'!$C:$G,5,FALSE),0)</f>
        <v>0</v>
      </c>
      <c r="J223" s="3">
        <f>IFERROR(IF(Tabla1[[#This Row],[Oficina]]=$I$7,VLOOKUP(Tabla1[[#This Row],[Llave]],'[7]Shangai (Tomas)'!$A:$F,6,FALSE),VLOOKUP(Tabla1[[#This Row],[Llave]],'[7]RV plan de ventas'!$A:$E,5,FALSE)),0)</f>
        <v>0</v>
      </c>
      <c r="K223" s="8">
        <f>IFERROR(VLOOKUP(Tabla1[[#This Row],[Oficina]],[15]Ponderación!$B$2:$E$9,4,FALSE),0)</f>
        <v>0.45719439678473212</v>
      </c>
      <c r="L223" s="7">
        <f>+Tabla1[[#This Row],[ RV Producción mes n+1]]*Tabla1[[#This Row],[% Uti. producción]]</f>
        <v>0</v>
      </c>
      <c r="M223" s="7">
        <f>IFERROR(VLOOKUP(Tabla1[[#This Row],[Material]],'[17]TD Stock'!$E:$I,5,FALSE),0)</f>
        <v>0</v>
      </c>
      <c r="N223" s="7">
        <f>IFERROR(VLOOKUP(Tabla1[[#This Row],[Material]],[16]Produccion!$M:$N,2,FALSE),0)</f>
        <v>0</v>
      </c>
      <c r="O223" s="7">
        <f>IFERROR(VLOOKUP(Tabla1[[#This Row],[Llave]],'[16]TD Conf-AP'!$I:$M,4,FALSE),0)</f>
        <v>0</v>
      </c>
      <c r="P223" s="14">
        <f>SUM(Tabla1[[#This Row],[Producción disponible]],Tabla1[[#This Row],[Stock al día]],(Tabla1[[#This Row],[Por producir mes N]]*0.9))-Tabla1[[#This Row],[Producción por despachar mes N]]</f>
        <v>0</v>
      </c>
      <c r="Q223" s="7">
        <f>IFERROR(VLOOKUP(Tabla1[[#This Row],[Llave]],[17]DELAY!$A:$D,4,FALSE),0)</f>
        <v>0</v>
      </c>
      <c r="R223" s="9">
        <v>24000</v>
      </c>
      <c r="S223" s="5">
        <f t="shared" si="32"/>
        <v>0</v>
      </c>
      <c r="T223" s="76">
        <v>0</v>
      </c>
      <c r="U223" s="5">
        <f>+Tabla1[[#This Row],[Atraso a facturar]]+Tabla1[[#This Row],[Ajuste atraso]]</f>
        <v>0</v>
      </c>
      <c r="V223" s="3">
        <f>+Tabla1[[#This Row],[Total disponible]]-Tabla1[[#This Row],[Facturación atraso]]</f>
        <v>0</v>
      </c>
      <c r="W223" s="6">
        <f>IFERROR(IF(AND(V223&gt;R223,J223&gt;=R223),ROUNDDOWN((Tabla1[[#This Row],[Producción para venta nueva]])/R223,0)*R223,0),0)</f>
        <v>0</v>
      </c>
      <c r="X223" s="76">
        <v>0</v>
      </c>
      <c r="Y223" s="6">
        <f>IF(Tabla1[[#This Row],[Venta del mes]]&gt;0,Tabla1[[#This Row],[Venta del mes]]+Tabla1[[#This Row],[Ajuste venta nueva]],0)</f>
        <v>0</v>
      </c>
      <c r="Z223" s="6">
        <f>+Tabla1[[#This Row],[Producción para venta nueva]]-Tabla1[[#This Row],[Facturación Venta nueva]]</f>
        <v>0</v>
      </c>
      <c r="AA223" s="6">
        <f>IF(AND(A223=1,Tabla1[[#This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3" s="6"/>
      <c r="AC223" s="6">
        <f>IF(Tabla1[[#This Row],[Disponible stock sin venta]]&gt;0,Tabla1[[#This Row],[Disponible stock sin venta]]+Tabla1[[#This Row],[Ajuste stock sin venta]],0)</f>
        <v>0</v>
      </c>
      <c r="AD223" s="3">
        <f>IFERROR(VLOOKUP(Tabla1[[#This Row],[Llave]],'[16]TD Puerto'!$A:$D,4,FALSE),0)</f>
        <v>0</v>
      </c>
      <c r="AE223" s="3">
        <v>0</v>
      </c>
      <c r="AF223" s="3">
        <f>+Tabla1[[#This Row],[Atraso a facturar]]+Tabla1[[#This Row],[Venta del mes]]+Tabla1[[#This Row],[En puerto a facturar]]+Tabla1[[#This Row],[Disponible stock sin venta]]</f>
        <v>0</v>
      </c>
      <c r="AG223" s="3">
        <f>+Tabla1[[#This Row],[En puerto a facturar]]</f>
        <v>0</v>
      </c>
      <c r="AH223" s="3">
        <f>+Tabla1[[#This Row],[Facturación atraso]]</f>
        <v>0</v>
      </c>
      <c r="AI223" s="3">
        <f>+Tabla1[[#This Row],[Plan Irrestricto]]-Tabla1[[#This Row],[Puerto ]]-Tabla1[[#This Row],[Atraso]]</f>
        <v>0</v>
      </c>
      <c r="AJ22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23" s="3">
        <f>+Tabla1[[#This Row],[Facturación atraso]]</f>
        <v>0</v>
      </c>
      <c r="AL223" s="3">
        <f>+Tabla1[[#This Row],[Plan Ajustado]]-Tabla1[[#This Row],[ Atraso ajustado]]-Tabla1[[#This Row],[Puerto ]]</f>
        <v>0</v>
      </c>
      <c r="AM223" s="3">
        <v>0</v>
      </c>
      <c r="AN223" s="3" t="str">
        <f>IF(Tabla1[[#This Row],[Plan Ajustado]]&gt;Tabla1[[#This Row],[En puerto a facturar]],"Si","No")</f>
        <v>No</v>
      </c>
      <c r="AO22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23" s="3">
        <f>IF(Tabla1[[#This Row],[Necesidad]]&gt;=Tabla1[[#This Row],[Stock al día]],Tabla1[[#This Row],[Stock al día]],Tabla1[[#This Row],[Necesidad]])</f>
        <v>0</v>
      </c>
      <c r="AQ223" s="3">
        <f>+Tabla1[[#This Row],[Necesidad]]-Tabla1[[#This Row],[Stock Plan]]</f>
        <v>0</v>
      </c>
      <c r="AR223" s="156">
        <f>IFERROR(VLOOKUP(Tabla1[[#This Row],[Oficina]],[22]Ponderación!$B$3:$G$9,6,FALSE),"")</f>
        <v>44757</v>
      </c>
      <c r="AS22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23" s="83">
        <f>IFERROR(VLOOKUP(Tabla1[[#This Row],[Llave]],[17]DELAY!$H:$W,16,FALSE),0)</f>
        <v>0</v>
      </c>
      <c r="AU22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23" s="5">
        <f>+Tabla1[[#This Row],[Plan Ajustado]]*Tabla1[[#This Row],[Precio ponderado]]</f>
        <v>0</v>
      </c>
      <c r="AW223" s="30">
        <f>IFERROR(VLOOKUP(Tabla1[[#This Row],[Llave]],'[13]Ultimos precios facturados'!$A:$G,7,FALSE),0)</f>
        <v>0</v>
      </c>
      <c r="AX22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23" s="30"/>
      <c r="AZ223" s="30">
        <f>IF(Tabla1[[#This Row],[Ajuste precio IC]]="",Tabla1[[#This Row],[Precio ponderado]],Tabla1[[#This Row],[Precio ponderado]])</f>
        <v>0</v>
      </c>
      <c r="BA223" s="82"/>
      <c r="BB223" s="82" t="str">
        <f>IF(AND(Tabla1[[#This Row],[Atraso a facturar]]&gt;0,Tabla1[[#This Row],[Precio Atraso]]=0),"Revisar","OK")</f>
        <v>OK</v>
      </c>
      <c r="BC223" s="82" t="str">
        <f>IF(AND(Tabla1[[#This Row],[Venta del mes]]&gt;0,Tabla1[[#This Row],[Precio venta nueva]]=0),"Revisar","OK")</f>
        <v>OK</v>
      </c>
      <c r="BD223" s="20">
        <f>IFERROR(VLOOKUP(Tabla1[[#This Row],[Llave]],'[5]Consolidación planes'!$A:$M,9,FALSE),0)</f>
        <v>0</v>
      </c>
      <c r="BE223" s="20">
        <f>IFERROR(VLOOKUP(Tabla1[[#This Row],[Llave]],'[5]Consolidación planes'!$A:$M,10,FALSE),0)</f>
        <v>0</v>
      </c>
      <c r="BF223" s="20">
        <f>IFERROR(VLOOKUP(Tabla1[[#This Row],[Llave]],'[5]Consolidación planes'!$A:$M,11,FALSE),0)</f>
        <v>0</v>
      </c>
      <c r="BG223" s="20">
        <f>IFERROR(VLOOKUP(Tabla1[[#This Row],[Llave]],'[5]Consolidación planes'!$A:$M,12,FALSE),0)</f>
        <v>0</v>
      </c>
      <c r="BH223" s="20">
        <f>IFERROR(VLOOKUP(Tabla1[[#This Row],[Llave]],'[5]Consolidación planes'!$A:$M,13,FALSE),0)</f>
        <v>0</v>
      </c>
      <c r="BI223" s="20">
        <f>IFERROR(VLOOKUP(Tabla1[[#This Row],[Llave]],'[13]Base ultimos planes'!$A:$M,13,FALSE),0)</f>
        <v>0</v>
      </c>
      <c r="BJ223" s="80">
        <f>IFERROR(VLOOKUP(Tabla1[[#This Row],[Llave]],'[13]Base ultimos planes'!$O:$AA,8,FALSE),0)</f>
        <v>0</v>
      </c>
      <c r="BK223" s="20">
        <f>IFERROR(VLOOKUP(Tabla1[[#This Row],[Llave]],'[13]Base ultimos planes'!$O:$AA,9,FALSE),0)</f>
        <v>0</v>
      </c>
      <c r="BL223" s="20">
        <f>IFERROR(VLOOKUP(Tabla1[[#This Row],[Llave]],'[13]Base ultimos planes'!$O:$AA,10,FALSE),0)</f>
        <v>0</v>
      </c>
      <c r="BM223" s="20">
        <f>IFERROR(VLOOKUP(Tabla1[[#This Row],[Llave]],'[13]Base ultimos planes'!$O:$AA,11,FALSE),0)</f>
        <v>0</v>
      </c>
      <c r="BN223" s="20">
        <f>IFERROR(VLOOKUP(Tabla1[[#This Row],[Llave]],'[13]Base ultimos planes'!$O:$AA,12,FALSE),0)</f>
        <v>0</v>
      </c>
      <c r="BO223" s="20">
        <f>IFERROR(VLOOKUP(Tabla1[[#This Row],[Llave]],'[13]Base ultimos planes'!$O:$AA,13,FALSE),0)</f>
        <v>0</v>
      </c>
      <c r="BP223" s="20"/>
      <c r="BQ223" s="20">
        <f>+Tabla1[[#This Row],[ RV  Venta mes n+1]]*(1-Tabla1[[#This Row],[% Uti. producción]])</f>
        <v>0</v>
      </c>
      <c r="BR223" s="100"/>
    </row>
    <row r="224" spans="1:70" ht="16" x14ac:dyDescent="0.2">
      <c r="A224">
        <v>1</v>
      </c>
      <c r="B224" t="str">
        <f>Tabla1[[#This Row],[Oficina]]&amp;Tabla1[[#This Row],[Material]]</f>
        <v>Agro Sudamerica1012207</v>
      </c>
      <c r="C224" t="s">
        <v>227</v>
      </c>
      <c r="D224" t="s">
        <v>17</v>
      </c>
      <c r="E224">
        <v>1012207</v>
      </c>
      <c r="F224" t="s">
        <v>244</v>
      </c>
      <c r="G224" t="s">
        <v>209</v>
      </c>
      <c r="H224" t="s">
        <v>210</v>
      </c>
      <c r="I224" s="7">
        <f>IFERROR(VLOOKUP(Tabla1[[#This Row],[Llave]],'[7]RV Producción'!$C:$G,5,FALSE),0)</f>
        <v>0</v>
      </c>
      <c r="J224" s="3">
        <f>IFERROR(IF(Tabla1[[#This Row],[Oficina]]=$I$7,VLOOKUP(Tabla1[[#This Row],[Llave]],'[7]Shangai (Tomas)'!$A:$F,6,FALSE),VLOOKUP(Tabla1[[#This Row],[Llave]],'[7]RV plan de ventas'!$A:$E,5,FALSE)),0)</f>
        <v>0</v>
      </c>
      <c r="K224" s="8">
        <f>IFERROR(VLOOKUP(Tabla1[[#This Row],[Oficina]],[15]Ponderación!$B$2:$E$9,4,FALSE),0)</f>
        <v>0.45719439678473212</v>
      </c>
      <c r="L224" s="7">
        <f>+Tabla1[[#This Row],[ RV Producción mes n+1]]*Tabla1[[#This Row],[% Uti. producción]]</f>
        <v>0</v>
      </c>
      <c r="M224" s="7">
        <f>IFERROR(VLOOKUP(Tabla1[[#This Row],[Material]],'[17]TD Stock'!$E:$I,5,FALSE),0)</f>
        <v>7152</v>
      </c>
      <c r="N224" s="7">
        <f>IFERROR(VLOOKUP(Tabla1[[#This Row],[Material]],[16]Produccion!$M:$N,2,FALSE),0)</f>
        <v>31107</v>
      </c>
      <c r="O224" s="7">
        <f>IFERROR(VLOOKUP(Tabla1[[#This Row],[Llave]],'[16]TD Conf-AP'!$I:$M,4,FALSE),0)</f>
        <v>0</v>
      </c>
      <c r="P224" s="14">
        <f>SUM(Tabla1[[#This Row],[Producción disponible]],Tabla1[[#This Row],[Stock al día]],(Tabla1[[#This Row],[Por producir mes N]]*0.9))-Tabla1[[#This Row],[Producción por despachar mes N]]</f>
        <v>35148.300000000003</v>
      </c>
      <c r="Q224" s="7">
        <f>IFERROR(VLOOKUP(Tabla1[[#This Row],[Llave]],[17]DELAY!$A:$D,4,FALSE),0)</f>
        <v>24000</v>
      </c>
      <c r="R224" s="9">
        <v>24000</v>
      </c>
      <c r="S224" s="5">
        <f t="shared" si="32"/>
        <v>24000</v>
      </c>
      <c r="T224" s="76">
        <v>0</v>
      </c>
      <c r="U224" s="5">
        <f>+Tabla1[[#This Row],[Atraso a facturar]]+Tabla1[[#This Row],[Ajuste atraso]]</f>
        <v>24000</v>
      </c>
      <c r="V224" s="3">
        <f>+Tabla1[[#This Row],[Total disponible]]-Tabla1[[#This Row],[Facturación atraso]]</f>
        <v>11148.300000000003</v>
      </c>
      <c r="W224" s="6">
        <f>IFERROR(IF(AND(V224&gt;R224,J224&gt;=R224),ROUNDDOWN((Tabla1[[#This Row],[Producción para venta nueva]])/R224,0)*R224,0),0)</f>
        <v>0</v>
      </c>
      <c r="X224" s="76">
        <v>0</v>
      </c>
      <c r="Y224" s="6">
        <f>IF(Tabla1[[#This Row],[Venta del mes]]&gt;0,Tabla1[[#This Row],[Venta del mes]]+Tabla1[[#This Row],[Ajuste venta nueva]],0)</f>
        <v>0</v>
      </c>
      <c r="Z224" s="6">
        <f>+Tabla1[[#This Row],[Producción para venta nueva]]-Tabla1[[#This Row],[Facturación Venta nueva]]</f>
        <v>11148.300000000003</v>
      </c>
      <c r="AA224" s="6">
        <f>IF(AND(A224=1,Tabla1[[#This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4" s="6"/>
      <c r="AC224" s="6">
        <f>IF(Tabla1[[#This Row],[Disponible stock sin venta]]&gt;0,Tabla1[[#This Row],[Disponible stock sin venta]]+Tabla1[[#This Row],[Ajuste stock sin venta]],0)</f>
        <v>0</v>
      </c>
      <c r="AD224" s="3">
        <f>IFERROR(VLOOKUP(Tabla1[[#This Row],[Llave]],'[16]TD Puerto'!$A:$D,4,FALSE),0)</f>
        <v>0</v>
      </c>
      <c r="AE224" s="3">
        <v>24000</v>
      </c>
      <c r="AF224" s="3">
        <f>+Tabla1[[#This Row],[Atraso a facturar]]+Tabla1[[#This Row],[Venta del mes]]+Tabla1[[#This Row],[En puerto a facturar]]+Tabla1[[#This Row],[Disponible stock sin venta]]</f>
        <v>24000</v>
      </c>
      <c r="AG224" s="3">
        <f>+Tabla1[[#This Row],[En puerto a facturar]]</f>
        <v>0</v>
      </c>
      <c r="AH224" s="3">
        <f>+Tabla1[[#This Row],[Facturación atraso]]</f>
        <v>24000</v>
      </c>
      <c r="AI224" s="3">
        <f>+Tabla1[[#This Row],[Plan Irrestricto]]-Tabla1[[#This Row],[Puerto ]]-Tabla1[[#This Row],[Atraso]]</f>
        <v>0</v>
      </c>
      <c r="AJ224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224" s="3">
        <f>+Tabla1[[#This Row],[Facturación atraso]]</f>
        <v>24000</v>
      </c>
      <c r="AL224" s="3">
        <f>+Tabla1[[#This Row],[Plan Ajustado]]-Tabla1[[#This Row],[ Atraso ajustado]]-Tabla1[[#This Row],[Puerto ]]</f>
        <v>0</v>
      </c>
      <c r="AM224" s="3">
        <v>0</v>
      </c>
      <c r="AN224" s="3" t="str">
        <f>IF(Tabla1[[#This Row],[Plan Ajustado]]&gt;Tabla1[[#This Row],[En puerto a facturar]],"Si","No")</f>
        <v>Si</v>
      </c>
      <c r="AO224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224" s="3">
        <f>IF(Tabla1[[#This Row],[Necesidad]]&gt;=Tabla1[[#This Row],[Stock al día]],Tabla1[[#This Row],[Stock al día]],Tabla1[[#This Row],[Necesidad]])</f>
        <v>7152</v>
      </c>
      <c r="AQ224" s="3">
        <f>+Tabla1[[#This Row],[Necesidad]]-Tabla1[[#This Row],[Stock Plan]]</f>
        <v>16848</v>
      </c>
      <c r="AR224" s="156">
        <f>IFERROR(VLOOKUP(Tabla1[[#This Row],[Oficina]],[22]Ponderación!$B$3:$G$9,6,FALSE),"")</f>
        <v>44757</v>
      </c>
      <c r="AS22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1.2396354139619969</v>
      </c>
      <c r="AT224" s="83">
        <f>IFERROR(VLOOKUP(Tabla1[[#This Row],[Llave]],[17]DELAY!$H:$W,16,FALSE),0)</f>
        <v>1.20729166666667</v>
      </c>
      <c r="AU22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1.20729166666667</v>
      </c>
      <c r="AV224" s="5">
        <f>+Tabla1[[#This Row],[Plan Ajustado]]*Tabla1[[#This Row],[Precio ponderado]]</f>
        <v>28975.00000000008</v>
      </c>
      <c r="AW224" s="30">
        <f>IFERROR(VLOOKUP(Tabla1[[#This Row],[Llave]],'[13]Ultimos precios facturados'!$A:$G,7,FALSE),0)</f>
        <v>1.2396354139619969</v>
      </c>
      <c r="AX224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2.609133857506794E-2</v>
      </c>
      <c r="AY224" s="30"/>
      <c r="AZ224" s="30">
        <f>IF(Tabla1[[#This Row],[Ajuste precio IC]]="",Tabla1[[#This Row],[Precio ponderado]],Tabla1[[#This Row],[Precio ponderado]])</f>
        <v>1.20729166666667</v>
      </c>
      <c r="BA224" s="82"/>
      <c r="BB224" s="82" t="str">
        <f>IF(AND(Tabla1[[#This Row],[Atraso a facturar]]&gt;0,Tabla1[[#This Row],[Precio Atraso]]=0),"Revisar","OK")</f>
        <v>OK</v>
      </c>
      <c r="BC224" s="82" t="str">
        <f>IF(AND(Tabla1[[#This Row],[Venta del mes]]&gt;0,Tabla1[[#This Row],[Precio venta nueva]]=0),"Revisar","OK")</f>
        <v>OK</v>
      </c>
      <c r="BD224" s="20">
        <f>IFERROR(VLOOKUP(Tabla1[[#This Row],[Llave]],'[5]Consolidación planes'!$A:$M,9,FALSE),0)</f>
        <v>24000</v>
      </c>
      <c r="BE224" s="20">
        <f>IFERROR(VLOOKUP(Tabla1[[#This Row],[Llave]],'[5]Consolidación planes'!$A:$M,10,FALSE),0)</f>
        <v>60000</v>
      </c>
      <c r="BF224" s="20">
        <f>IFERROR(VLOOKUP(Tabla1[[#This Row],[Llave]],'[5]Consolidación planes'!$A:$M,11,FALSE),0)</f>
        <v>55476</v>
      </c>
      <c r="BG224" s="20">
        <f>IFERROR(VLOOKUP(Tabla1[[#This Row],[Llave]],'[5]Consolidación planes'!$A:$M,12,FALSE),0)</f>
        <v>24000</v>
      </c>
      <c r="BH224" s="20">
        <f>IFERROR(VLOOKUP(Tabla1[[#This Row],[Llave]],'[5]Consolidación planes'!$A:$M,13,FALSE),0)</f>
        <v>48000</v>
      </c>
      <c r="BI224" s="20">
        <f>IFERROR(VLOOKUP(Tabla1[[#This Row],[Llave]],'[13]Base ultimos planes'!$A:$M,13,FALSE),0)</f>
        <v>72000</v>
      </c>
      <c r="BJ224" s="80">
        <f>IFERROR(VLOOKUP(Tabla1[[#This Row],[Llave]],'[13]Base ultimos planes'!$O:$AA,8,FALSE),0)</f>
        <v>31254.7673</v>
      </c>
      <c r="BK224" s="20">
        <f>IFERROR(VLOOKUP(Tabla1[[#This Row],[Llave]],'[13]Base ultimos planes'!$O:$AA,9,FALSE),0)</f>
        <v>73760</v>
      </c>
      <c r="BL224" s="20">
        <f>IFERROR(VLOOKUP(Tabla1[[#This Row],[Llave]],'[13]Base ultimos planes'!$O:$AA,10,FALSE),0)</f>
        <v>63571</v>
      </c>
      <c r="BM224" s="20">
        <f>IFERROR(VLOOKUP(Tabla1[[#This Row],[Llave]],'[13]Base ultimos planes'!$O:$AA,11,FALSE),0)</f>
        <v>22080</v>
      </c>
      <c r="BN224" s="20">
        <f>IFERROR(VLOOKUP(Tabla1[[#This Row],[Llave]],'[13]Base ultimos planes'!$O:$AA,12,FALSE),0)</f>
        <v>58667</v>
      </c>
      <c r="BO224" s="20">
        <f>IFERROR(VLOOKUP(Tabla1[[#This Row],[Llave]],'[13]Base ultimos planes'!$O:$AA,13,FALSE),0)</f>
        <v>90939</v>
      </c>
      <c r="BP224" s="20"/>
      <c r="BQ224" s="20">
        <f>+Tabla1[[#This Row],[ RV  Venta mes n+1]]*(1-Tabla1[[#This Row],[% Uti. producción]])</f>
        <v>0</v>
      </c>
      <c r="BR224" s="100"/>
    </row>
    <row r="225" spans="1:70" ht="16" x14ac:dyDescent="0.2">
      <c r="A225">
        <v>1</v>
      </c>
      <c r="B225" t="str">
        <f>Tabla1[[#This Row],[Oficina]]&amp;Tabla1[[#This Row],[Material]]</f>
        <v>Agro Sudamerica1012208</v>
      </c>
      <c r="C225" t="s">
        <v>227</v>
      </c>
      <c r="D225" t="s">
        <v>17</v>
      </c>
      <c r="E225">
        <v>1012208</v>
      </c>
      <c r="F225" t="s">
        <v>256</v>
      </c>
      <c r="G225" t="s">
        <v>253</v>
      </c>
      <c r="H225" t="s">
        <v>254</v>
      </c>
      <c r="I225" s="7">
        <f>IFERROR(VLOOKUP(Tabla1[[#This Row],[Llave]],'[7]RV Producción'!$C:$G,5,FALSE),0)</f>
        <v>24000</v>
      </c>
      <c r="J225" s="3">
        <f>IFERROR(IF(Tabla1[[#This Row],[Oficina]]=$I$7,VLOOKUP(Tabla1[[#This Row],[Llave]],'[7]Shangai (Tomas)'!$A:$F,6,FALSE),VLOOKUP(Tabla1[[#This Row],[Llave]],'[7]RV plan de ventas'!$A:$E,5,FALSE)),0)</f>
        <v>6743</v>
      </c>
      <c r="K225" s="8">
        <f>IFERROR(VLOOKUP(Tabla1[[#This Row],[Oficina]],[15]Ponderación!$B$2:$E$9,4,FALSE),0)</f>
        <v>0.45719439678473212</v>
      </c>
      <c r="L225" s="7">
        <f>+Tabla1[[#This Row],[ RV Producción mes n+1]]*Tabla1[[#This Row],[% Uti. producción]]</f>
        <v>10972.665522833571</v>
      </c>
      <c r="M225" s="7">
        <f>IFERROR(VLOOKUP(Tabla1[[#This Row],[Material]],'[17]TD Stock'!$E:$I,5,FALSE),0)</f>
        <v>17467.392999999996</v>
      </c>
      <c r="N225" s="7">
        <f>IFERROR(VLOOKUP(Tabla1[[#This Row],[Material]],[16]Produccion!$M:$N,2,FALSE),0)</f>
        <v>4000</v>
      </c>
      <c r="O225" s="7">
        <f>IFERROR(VLOOKUP(Tabla1[[#This Row],[Llave]],'[16]TD Conf-AP'!$I:$M,4,FALSE),0)</f>
        <v>0</v>
      </c>
      <c r="P225" s="14">
        <f>SUM(Tabla1[[#This Row],[Producción disponible]],Tabla1[[#This Row],[Stock al día]],(Tabla1[[#This Row],[Por producir mes N]]*0.9))-Tabla1[[#This Row],[Producción por despachar mes N]]</f>
        <v>32040.058522833569</v>
      </c>
      <c r="Q225" s="7">
        <f>IFERROR(VLOOKUP(Tabla1[[#This Row],[Llave]],[17]DELAY!$A:$D,4,FALSE),0)</f>
        <v>48000</v>
      </c>
      <c r="R225" s="9">
        <v>24000</v>
      </c>
      <c r="S225" s="5">
        <f t="shared" si="32"/>
        <v>24000</v>
      </c>
      <c r="T225" s="76">
        <v>0</v>
      </c>
      <c r="U225" s="5">
        <f>+Tabla1[[#This Row],[Atraso a facturar]]+Tabla1[[#This Row],[Ajuste atraso]]</f>
        <v>24000</v>
      </c>
      <c r="V225" s="3">
        <f>+Tabla1[[#This Row],[Total disponible]]-Tabla1[[#This Row],[Facturación atraso]]</f>
        <v>8040.0585228335694</v>
      </c>
      <c r="W225" s="6">
        <f>IFERROR(IF(AND(V225&gt;R225,J225&gt;=R225),ROUNDDOWN((Tabla1[[#This Row],[Producción para venta nueva]])/R225,0)*R225,0),0)</f>
        <v>0</v>
      </c>
      <c r="X225" s="76">
        <v>0</v>
      </c>
      <c r="Y225" s="6">
        <f>IF(Tabla1[[#This Row],[Venta del mes]]&gt;0,Tabla1[[#This Row],[Venta del mes]]+Tabla1[[#This Row],[Ajuste venta nueva]],0)</f>
        <v>0</v>
      </c>
      <c r="Z225" s="6">
        <f>+Tabla1[[#This Row],[Producción para venta nueva]]-Tabla1[[#This Row],[Facturación Venta nueva]]</f>
        <v>8040.0585228335694</v>
      </c>
      <c r="AA225" s="6">
        <f>IF(AND(A225=1,Tabla1[[#This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5" s="6"/>
      <c r="AC225" s="6">
        <f>IF(Tabla1[[#This Row],[Disponible stock sin venta]]&gt;0,Tabla1[[#This Row],[Disponible stock sin venta]]+Tabla1[[#This Row],[Ajuste stock sin venta]],0)</f>
        <v>0</v>
      </c>
      <c r="AD225" s="3">
        <f>IFERROR(VLOOKUP(Tabla1[[#This Row],[Llave]],'[16]TD Puerto'!$A:$D,4,FALSE),0)</f>
        <v>0</v>
      </c>
      <c r="AE225" s="3">
        <v>24000</v>
      </c>
      <c r="AF225" s="3">
        <f>+Tabla1[[#This Row],[Atraso a facturar]]+Tabla1[[#This Row],[Venta del mes]]+Tabla1[[#This Row],[En puerto a facturar]]+Tabla1[[#This Row],[Disponible stock sin venta]]</f>
        <v>24000</v>
      </c>
      <c r="AG225" s="3">
        <f>+Tabla1[[#This Row],[En puerto a facturar]]</f>
        <v>0</v>
      </c>
      <c r="AH225" s="3">
        <f>+Tabla1[[#This Row],[Facturación atraso]]</f>
        <v>24000</v>
      </c>
      <c r="AI225" s="3">
        <f>+Tabla1[[#This Row],[Plan Irrestricto]]-Tabla1[[#This Row],[Puerto ]]-Tabla1[[#This Row],[Atraso]]</f>
        <v>0</v>
      </c>
      <c r="AJ225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225" s="3">
        <f>+Tabla1[[#This Row],[Facturación atraso]]</f>
        <v>24000</v>
      </c>
      <c r="AL225" s="3">
        <f>+Tabla1[[#This Row],[Plan Ajustado]]-Tabla1[[#This Row],[ Atraso ajustado]]-Tabla1[[#This Row],[Puerto ]]</f>
        <v>0</v>
      </c>
      <c r="AM225" s="3">
        <v>0</v>
      </c>
      <c r="AN225" s="3" t="str">
        <f>IF(Tabla1[[#This Row],[Plan Ajustado]]&gt;Tabla1[[#This Row],[En puerto a facturar]],"Si","No")</f>
        <v>Si</v>
      </c>
      <c r="AO225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225" s="3">
        <f>IF(Tabla1[[#This Row],[Necesidad]]&gt;=Tabla1[[#This Row],[Stock al día]],Tabla1[[#This Row],[Stock al día]],Tabla1[[#This Row],[Necesidad]])</f>
        <v>17467.392999999996</v>
      </c>
      <c r="AQ225" s="3">
        <f>+Tabla1[[#This Row],[Necesidad]]-Tabla1[[#This Row],[Stock Plan]]</f>
        <v>6532.6070000000036</v>
      </c>
      <c r="AR225" s="156">
        <f>IFERROR(VLOOKUP(Tabla1[[#This Row],[Oficina]],[22]Ponderación!$B$3:$G$9,6,FALSE),"")</f>
        <v>44757</v>
      </c>
      <c r="AS22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1.5312175589500201</v>
      </c>
      <c r="AT225" s="83">
        <f>IFERROR(VLOOKUP(Tabla1[[#This Row],[Llave]],[17]DELAY!$H:$W,16,FALSE),0)</f>
        <v>1.5060833333333352</v>
      </c>
      <c r="AU22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1.5060833333333352</v>
      </c>
      <c r="AV225" s="5">
        <f>+Tabla1[[#This Row],[Plan Ajustado]]*Tabla1[[#This Row],[Precio ponderado]]</f>
        <v>36146.000000000044</v>
      </c>
      <c r="AW225" s="30">
        <f>IFERROR(VLOOKUP(Tabla1[[#This Row],[Llave]],'[13]Ultimos precios facturados'!$A:$G,7,FALSE),0)</f>
        <v>1.451056198695132</v>
      </c>
      <c r="AX22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3.7922125061514884E-2</v>
      </c>
      <c r="AY225" s="30"/>
      <c r="AZ225" s="30">
        <f>IF(Tabla1[[#This Row],[Ajuste precio IC]]="",Tabla1[[#This Row],[Precio ponderado]],Tabla1[[#This Row],[Precio ponderado]])</f>
        <v>1.5060833333333352</v>
      </c>
      <c r="BA225" s="82"/>
      <c r="BB225" s="82" t="str">
        <f>IF(AND(Tabla1[[#This Row],[Atraso a facturar]]&gt;0,Tabla1[[#This Row],[Precio Atraso]]=0),"Revisar","OK")</f>
        <v>OK</v>
      </c>
      <c r="BC225" s="82" t="str">
        <f>IF(AND(Tabla1[[#This Row],[Venta del mes]]&gt;0,Tabla1[[#This Row],[Precio venta nueva]]=0),"Revisar","OK")</f>
        <v>OK</v>
      </c>
      <c r="BD225" s="20">
        <f>IFERROR(VLOOKUP(Tabla1[[#This Row],[Llave]],'[5]Consolidación planes'!$A:$M,9,FALSE),0)</f>
        <v>24000</v>
      </c>
      <c r="BE225" s="20">
        <f>IFERROR(VLOOKUP(Tabla1[[#This Row],[Llave]],'[5]Consolidación planes'!$A:$M,10,FALSE),0)</f>
        <v>120000</v>
      </c>
      <c r="BF225" s="20">
        <f>IFERROR(VLOOKUP(Tabla1[[#This Row],[Llave]],'[5]Consolidación planes'!$A:$M,11,FALSE),0)</f>
        <v>72000</v>
      </c>
      <c r="BG225" s="20">
        <f>IFERROR(VLOOKUP(Tabla1[[#This Row],[Llave]],'[5]Consolidación planes'!$A:$M,12,FALSE),0)</f>
        <v>0</v>
      </c>
      <c r="BH225" s="20">
        <f>IFERROR(VLOOKUP(Tabla1[[#This Row],[Llave]],'[5]Consolidación planes'!$A:$M,13,FALSE),0)</f>
        <v>24000</v>
      </c>
      <c r="BI225" s="20">
        <f>IFERROR(VLOOKUP(Tabla1[[#This Row],[Llave]],'[13]Base ultimos planes'!$A:$M,13,FALSE),0)</f>
        <v>24000</v>
      </c>
      <c r="BJ225" s="80">
        <f>IFERROR(VLOOKUP(Tabla1[[#This Row],[Llave]],'[13]Base ultimos planes'!$O:$AA,8,FALSE),0)</f>
        <v>34374.025999999998</v>
      </c>
      <c r="BK225" s="20">
        <f>IFERROR(VLOOKUP(Tabla1[[#This Row],[Llave]],'[13]Base ultimos planes'!$O:$AA,9,FALSE),0)</f>
        <v>172320</v>
      </c>
      <c r="BL225" s="20">
        <f>IFERROR(VLOOKUP(Tabla1[[#This Row],[Llave]],'[13]Base ultimos planes'!$O:$AA,10,FALSE),0)</f>
        <v>105840</v>
      </c>
      <c r="BM225" s="20">
        <f>IFERROR(VLOOKUP(Tabla1[[#This Row],[Llave]],'[13]Base ultimos planes'!$O:$AA,11,FALSE),0)</f>
        <v>0</v>
      </c>
      <c r="BN225" s="20">
        <f>IFERROR(VLOOKUP(Tabla1[[#This Row],[Llave]],'[13]Base ultimos planes'!$O:$AA,12,FALSE),0)</f>
        <v>34080</v>
      </c>
      <c r="BO225" s="20">
        <f>IFERROR(VLOOKUP(Tabla1[[#This Row],[Llave]],'[13]Base ultimos planes'!$O:$AA,13,FALSE),0)</f>
        <v>36052</v>
      </c>
      <c r="BP225" s="20"/>
      <c r="BQ225" s="20">
        <f>+Tabla1[[#This Row],[ RV  Venta mes n+1]]*(1-Tabla1[[#This Row],[% Uti. producción]])</f>
        <v>3660.1381824805517</v>
      </c>
      <c r="BR225" s="100"/>
    </row>
    <row r="226" spans="1:70" ht="16" x14ac:dyDescent="0.2">
      <c r="A226">
        <v>1</v>
      </c>
      <c r="B226" t="str">
        <f>Tabla1[[#This Row],[Oficina]]&amp;Tabla1[[#This Row],[Material]]</f>
        <v>Agro Sudamerica1012283</v>
      </c>
      <c r="C226" t="s">
        <v>227</v>
      </c>
      <c r="D226" t="s">
        <v>17</v>
      </c>
      <c r="E226">
        <v>1012283</v>
      </c>
      <c r="F226" t="s">
        <v>246</v>
      </c>
      <c r="G226" t="s">
        <v>209</v>
      </c>
      <c r="H226" t="s">
        <v>245</v>
      </c>
      <c r="I226" s="7">
        <f>IFERROR(VLOOKUP(Tabla1[[#This Row],[Llave]],'[7]RV Producción'!$C:$G,5,FALSE),0)</f>
        <v>48021</v>
      </c>
      <c r="J226" s="3">
        <f>IFERROR(IF(Tabla1[[#This Row],[Oficina]]=$I$7,VLOOKUP(Tabla1[[#This Row],[Llave]],'[7]Shangai (Tomas)'!$A:$F,6,FALSE),VLOOKUP(Tabla1[[#This Row],[Llave]],'[7]RV plan de ventas'!$A:$E,5,FALSE)),0)</f>
        <v>49802</v>
      </c>
      <c r="K226" s="8">
        <f>IFERROR(VLOOKUP(Tabla1[[#This Row],[Oficina]],[15]Ponderación!$B$2:$E$9,4,FALSE),0)</f>
        <v>0.45719439678473212</v>
      </c>
      <c r="L226" s="7">
        <f>+Tabla1[[#This Row],[ RV Producción mes n+1]]*Tabla1[[#This Row],[% Uti. producción]]</f>
        <v>21954.932127999622</v>
      </c>
      <c r="M226" s="7">
        <f>IFERROR(VLOOKUP(Tabla1[[#This Row],[Material]],'[17]TD Stock'!$E:$I,5,FALSE),0)</f>
        <v>34541.485000000008</v>
      </c>
      <c r="N226" s="7">
        <f>IFERROR(VLOOKUP(Tabla1[[#This Row],[Material]],[16]Produccion!$M:$N,2,FALSE),0)</f>
        <v>0</v>
      </c>
      <c r="O226" s="7">
        <f>IFERROR(VLOOKUP(Tabla1[[#This Row],[Llave]],'[16]TD Conf-AP'!$I:$M,4,FALSE),0)</f>
        <v>0</v>
      </c>
      <c r="P226" s="14">
        <f>SUM(Tabla1[[#This Row],[Producción disponible]],Tabla1[[#This Row],[Stock al día]],(Tabla1[[#This Row],[Por producir mes N]]*0.9))-Tabla1[[#This Row],[Producción por despachar mes N]]</f>
        <v>56496.41712799963</v>
      </c>
      <c r="Q226" s="7">
        <f>IFERROR(VLOOKUP(Tabla1[[#This Row],[Llave]],[17]DELAY!$A:$D,4,FALSE),0)</f>
        <v>23000</v>
      </c>
      <c r="R226" s="9">
        <v>24000</v>
      </c>
      <c r="S226" s="5">
        <f t="shared" si="32"/>
        <v>23000</v>
      </c>
      <c r="T226" s="76">
        <v>0</v>
      </c>
      <c r="U226" s="5">
        <f>+Tabla1[[#This Row],[Atraso a facturar]]+Tabla1[[#This Row],[Ajuste atraso]]</f>
        <v>23000</v>
      </c>
      <c r="V226" s="3">
        <f>+Tabla1[[#This Row],[Total disponible]]-Tabla1[[#This Row],[Facturación atraso]]</f>
        <v>33496.41712799963</v>
      </c>
      <c r="W226" s="6">
        <f>IFERROR(IF(AND(V226&gt;R226,J226&gt;=R226),ROUNDDOWN((Tabla1[[#This Row],[Producción para venta nueva]])/R226,0)*R226,0),0)</f>
        <v>24000</v>
      </c>
      <c r="X226" s="76">
        <v>0</v>
      </c>
      <c r="Y226" s="6">
        <f>IF(Tabla1[[#This Row],[Venta del mes]]&gt;0,Tabla1[[#This Row],[Venta del mes]]+Tabla1[[#This Row],[Ajuste venta nueva]],0)</f>
        <v>24000</v>
      </c>
      <c r="Z226" s="6">
        <f>+Tabla1[[#This Row],[Producción para venta nueva]]-Tabla1[[#This Row],[Facturación Venta nueva]]</f>
        <v>9496.4171279996299</v>
      </c>
      <c r="AA226" s="6">
        <f>IF(AND(A226=1,Tabla1[[#This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6" s="6"/>
      <c r="AC226" s="6">
        <f>IF(Tabla1[[#This Row],[Disponible stock sin venta]]&gt;0,Tabla1[[#This Row],[Disponible stock sin venta]]+Tabla1[[#This Row],[Ajuste stock sin venta]],0)</f>
        <v>0</v>
      </c>
      <c r="AD226" s="3">
        <f>IFERROR(VLOOKUP(Tabla1[[#This Row],[Llave]],'[16]TD Puerto'!$A:$D,4,FALSE),0)</f>
        <v>0</v>
      </c>
      <c r="AE226" s="3">
        <v>47000</v>
      </c>
      <c r="AF226" s="3">
        <f>+Tabla1[[#This Row],[Atraso a facturar]]+Tabla1[[#This Row],[Venta del mes]]+Tabla1[[#This Row],[En puerto a facturar]]+Tabla1[[#This Row],[Disponible stock sin venta]]</f>
        <v>47000</v>
      </c>
      <c r="AG226" s="3">
        <f>+Tabla1[[#This Row],[En puerto a facturar]]</f>
        <v>0</v>
      </c>
      <c r="AH226" s="3">
        <f>+Tabla1[[#This Row],[Facturación atraso]]</f>
        <v>23000</v>
      </c>
      <c r="AI226" s="3">
        <f>+Tabla1[[#This Row],[Plan Irrestricto]]-Tabla1[[#This Row],[Puerto ]]-Tabla1[[#This Row],[Atraso]]</f>
        <v>24000</v>
      </c>
      <c r="AJ226" s="3">
        <f>IF(Tabla1[[#This Row],[Plan Irrestricto]]&gt;0,SUM(Tabla1[[#This Row],[Facturación atraso]],Tabla1[[#This Row],[Facturación Venta nueva]],Tabla1[[#This Row],[Facturación stock]],Tabla1[[#This Row],[En puerto a facturar]]),0)</f>
        <v>47000</v>
      </c>
      <c r="AK226" s="3">
        <f>+Tabla1[[#This Row],[Facturación atraso]]</f>
        <v>23000</v>
      </c>
      <c r="AL226" s="3">
        <f>+Tabla1[[#This Row],[Plan Ajustado]]-Tabla1[[#This Row],[ Atraso ajustado]]-Tabla1[[#This Row],[Puerto ]]</f>
        <v>24000</v>
      </c>
      <c r="AM226" s="3">
        <v>0</v>
      </c>
      <c r="AN226" s="3" t="str">
        <f>IF(Tabla1[[#This Row],[Plan Ajustado]]&gt;Tabla1[[#This Row],[En puerto a facturar]],"Si","No")</f>
        <v>Si</v>
      </c>
      <c r="AO226" s="3">
        <f>IF(AND(Tabla1[[#This Row],[Plan Ajustado]]&gt;0,Tabla1[[#This Row],[Plan Ajustado]]&gt;Tabla1[[#This Row],[En puerto a facturar]]),(Tabla1[[#This Row],[Plan Ajustado]]-Tabla1[[#This Row],[En puerto a facturar]]),0)</f>
        <v>47000</v>
      </c>
      <c r="AP226" s="3">
        <f>IF(Tabla1[[#This Row],[Necesidad]]&gt;=Tabla1[[#This Row],[Stock al día]],Tabla1[[#This Row],[Stock al día]],Tabla1[[#This Row],[Necesidad]])</f>
        <v>34541.485000000008</v>
      </c>
      <c r="AQ226" s="3">
        <f>+Tabla1[[#This Row],[Necesidad]]-Tabla1[[#This Row],[Stock Plan]]</f>
        <v>12458.514999999992</v>
      </c>
      <c r="AR226" s="156">
        <f>IFERROR(VLOOKUP(Tabla1[[#This Row],[Oficina]],[22]Ponderación!$B$3:$G$9,6,FALSE),"")</f>
        <v>44757</v>
      </c>
      <c r="AS226" s="106">
        <v>0.786673611111111</v>
      </c>
      <c r="AT226" s="83">
        <f>IFERROR(VLOOKUP(Tabla1[[#This Row],[Llave]],[17]DELAY!$H:$W,16,FALSE),0)</f>
        <v>0.852281437125749</v>
      </c>
      <c r="AU22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0.81877956852252953</v>
      </c>
      <c r="AV226" s="5">
        <f>+Tabla1[[#This Row],[Plan Ajustado]]*Tabla1[[#This Row],[Precio ponderado]]</f>
        <v>38482.639720558887</v>
      </c>
      <c r="AW226" s="30">
        <f>IFERROR(VLOOKUP(Tabla1[[#This Row],[Llave]],'[13]Ultimos precios facturados'!$A:$G,7,FALSE),0)</f>
        <v>0.82966486310629084</v>
      </c>
      <c r="AX22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1.3120110381686442E-2</v>
      </c>
      <c r="AY226" s="30"/>
      <c r="AZ226" s="30">
        <f>IF(Tabla1[[#This Row],[Ajuste precio IC]]="",Tabla1[[#This Row],[Precio ponderado]],Tabla1[[#This Row],[Precio ponderado]])</f>
        <v>0.81877956852252953</v>
      </c>
      <c r="BA226" s="82"/>
      <c r="BB226" s="82" t="str">
        <f>IF(AND(Tabla1[[#This Row],[Atraso a facturar]]&gt;0,Tabla1[[#This Row],[Precio Atraso]]=0),"Revisar","OK")</f>
        <v>OK</v>
      </c>
      <c r="BC226" s="82" t="str">
        <f>IF(AND(Tabla1[[#This Row],[Venta del mes]]&gt;0,Tabla1[[#This Row],[Precio venta nueva]]=0),"Revisar","OK")</f>
        <v>OK</v>
      </c>
      <c r="BD226" s="20">
        <f>IFERROR(VLOOKUP(Tabla1[[#This Row],[Llave]],'[5]Consolidación planes'!$A:$M,9,FALSE),0)</f>
        <v>72000</v>
      </c>
      <c r="BE226" s="20">
        <f>IFERROR(VLOOKUP(Tabla1[[#This Row],[Llave]],'[5]Consolidación planes'!$A:$M,10,FALSE),0)</f>
        <v>48000</v>
      </c>
      <c r="BF226" s="20">
        <f>IFERROR(VLOOKUP(Tabla1[[#This Row],[Llave]],'[5]Consolidación planes'!$A:$M,11,FALSE),0)</f>
        <v>60779</v>
      </c>
      <c r="BG226" s="20">
        <f>IFERROR(VLOOKUP(Tabla1[[#This Row],[Llave]],'[5]Consolidación planes'!$A:$M,12,FALSE),0)</f>
        <v>48000</v>
      </c>
      <c r="BH226" s="20">
        <f>IFERROR(VLOOKUP(Tabla1[[#This Row],[Llave]],'[5]Consolidación planes'!$A:$M,13,FALSE),0)</f>
        <v>48000</v>
      </c>
      <c r="BI226" s="20">
        <f>IFERROR(VLOOKUP(Tabla1[[#This Row],[Llave]],'[13]Base ultimos planes'!$A:$M,13,FALSE),0)</f>
        <v>48000</v>
      </c>
      <c r="BJ226" s="80">
        <f>IFERROR(VLOOKUP(Tabla1[[#This Row],[Llave]],'[13]Base ultimos planes'!$O:$AA,8,FALSE),0)</f>
        <v>50924.302000000003</v>
      </c>
      <c r="BK226" s="20">
        <f>IFERROR(VLOOKUP(Tabla1[[#This Row],[Llave]],'[13]Base ultimos planes'!$O:$AA,9,FALSE),0)</f>
        <v>34400</v>
      </c>
      <c r="BL226" s="20">
        <f>IFERROR(VLOOKUP(Tabla1[[#This Row],[Llave]],'[13]Base ultimos planes'!$O:$AA,10,FALSE),0)</f>
        <v>42545</v>
      </c>
      <c r="BM226" s="20">
        <f>IFERROR(VLOOKUP(Tabla1[[#This Row],[Llave]],'[13]Base ultimos planes'!$O:$AA,11,FALSE),0)</f>
        <v>36960</v>
      </c>
      <c r="BN226" s="20">
        <f>IFERROR(VLOOKUP(Tabla1[[#This Row],[Llave]],'[13]Base ultimos planes'!$O:$AA,12,FALSE),0)</f>
        <v>38133</v>
      </c>
      <c r="BO226" s="20">
        <f>IFERROR(VLOOKUP(Tabla1[[#This Row],[Llave]],'[13]Base ultimos planes'!$O:$AA,13,FALSE),0)</f>
        <v>38287</v>
      </c>
      <c r="BP226" s="20"/>
      <c r="BQ226" s="20">
        <f>+Tabla1[[#This Row],[ RV  Venta mes n+1]]*(1-Tabla1[[#This Row],[% Uti. producción]])</f>
        <v>27032.804651326773</v>
      </c>
      <c r="BR226" s="100"/>
    </row>
    <row r="227" spans="1:70" ht="16" x14ac:dyDescent="0.2">
      <c r="A227">
        <v>2</v>
      </c>
      <c r="B227" t="str">
        <f>Tabla1[[#This Row],[Oficina]]&amp;Tabla1[[#This Row],[Material]]</f>
        <v>Agro Sudamerica1012362</v>
      </c>
      <c r="C227" t="s">
        <v>227</v>
      </c>
      <c r="D227" t="s">
        <v>17</v>
      </c>
      <c r="E227">
        <v>1012362</v>
      </c>
      <c r="F227" t="s">
        <v>229</v>
      </c>
      <c r="G227" t="s">
        <v>209</v>
      </c>
      <c r="H227" t="s">
        <v>228</v>
      </c>
      <c r="I227" s="7">
        <f>IFERROR(VLOOKUP(Tabla1[[#This Row],[Llave]],'[7]RV Producción'!$C:$G,5,FALSE),0)</f>
        <v>0</v>
      </c>
      <c r="J227" s="3">
        <f>IFERROR(IF(Tabla1[[#This Row],[Oficina]]=$I$7,VLOOKUP(Tabla1[[#This Row],[Llave]],'[7]Shangai (Tomas)'!$A:$F,6,FALSE),VLOOKUP(Tabla1[[#This Row],[Llave]],'[7]RV plan de ventas'!$A:$E,5,FALSE)),0)</f>
        <v>0</v>
      </c>
      <c r="K227" s="8">
        <f>IFERROR(VLOOKUP(Tabla1[[#This Row],[Oficina]],[15]Ponderación!$B$2:$E$9,4,FALSE),0)</f>
        <v>0.45719439678473212</v>
      </c>
      <c r="L227" s="7">
        <f>+Tabla1[[#This Row],[ RV Producción mes n+1]]*Tabla1[[#This Row],[% Uti. producción]]</f>
        <v>0</v>
      </c>
      <c r="M227" s="7">
        <f>IFERROR(VLOOKUP(Tabla1[[#This Row],[Material]],'[17]TD Stock'!$E:$I,5,FALSE),0)</f>
        <v>36936</v>
      </c>
      <c r="N227" s="7">
        <f>IFERROR(VLOOKUP(Tabla1[[#This Row],[Material]],[16]Produccion!$M:$N,2,FALSE),0)</f>
        <v>9020</v>
      </c>
      <c r="O227" s="7">
        <f>IFERROR(VLOOKUP(Tabla1[[#This Row],[Llave]],'[16]TD Conf-AP'!$I:$M,4,FALSE),0)</f>
        <v>0</v>
      </c>
      <c r="P227" s="14">
        <f>SUM(Tabla1[[#This Row],[Producción disponible]],Tabla1[[#This Row],[Stock al día]],(Tabla1[[#This Row],[Por producir mes N]]*0.9))-Tabla1[[#This Row],[Producción por despachar mes N]]</f>
        <v>45054</v>
      </c>
      <c r="Q227" s="7">
        <f>IFERROR(VLOOKUP(Tabla1[[#This Row],[Llave]],[17]DELAY!$A:$D,4,FALSE),0)</f>
        <v>29000</v>
      </c>
      <c r="R227" s="9">
        <v>24000</v>
      </c>
      <c r="S227" s="5">
        <f t="shared" si="32"/>
        <v>29000</v>
      </c>
      <c r="T227" s="76">
        <v>0</v>
      </c>
      <c r="U227" s="5">
        <f>+Tabla1[[#This Row],[Atraso a facturar]]+Tabla1[[#This Row],[Ajuste atraso]]</f>
        <v>29000</v>
      </c>
      <c r="V227" s="3">
        <f>+Tabla1[[#This Row],[Total disponible]]-Tabla1[[#This Row],[Facturación atraso]]</f>
        <v>16054</v>
      </c>
      <c r="W227" s="6">
        <f>IFERROR(IF(AND(V227&gt;R227,J227&gt;=R227),ROUNDDOWN((Tabla1[[#This Row],[Producción para venta nueva]])/R227,0)*R227,0),0)</f>
        <v>0</v>
      </c>
      <c r="X227" s="76">
        <v>0</v>
      </c>
      <c r="Y227" s="6">
        <f>IF(Tabla1[[#This Row],[Venta del mes]]&gt;0,Tabla1[[#This Row],[Venta del mes]]+Tabla1[[#This Row],[Ajuste venta nueva]],0)</f>
        <v>0</v>
      </c>
      <c r="Z227" s="6">
        <f>+Tabla1[[#This Row],[Producción para venta nueva]]-Tabla1[[#This Row],[Facturación Venta nueva]]</f>
        <v>16054</v>
      </c>
      <c r="AA227" s="6">
        <f>IF(AND(A227=1,Tabla1[[#This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7" s="6"/>
      <c r="AC227" s="6">
        <f>IF(Tabla1[[#This Row],[Disponible stock sin venta]]&gt;0,Tabla1[[#This Row],[Disponible stock sin venta]]+Tabla1[[#This Row],[Ajuste stock sin venta]],0)</f>
        <v>0</v>
      </c>
      <c r="AD227" s="3">
        <f>IFERROR(VLOOKUP(Tabla1[[#This Row],[Llave]],'[16]TD Puerto'!$A:$D,4,FALSE),0)</f>
        <v>0</v>
      </c>
      <c r="AE227" s="3">
        <v>29000</v>
      </c>
      <c r="AF227" s="3">
        <f>+Tabla1[[#This Row],[Atraso a facturar]]+Tabla1[[#This Row],[Venta del mes]]+Tabla1[[#This Row],[En puerto a facturar]]+Tabla1[[#This Row],[Disponible stock sin venta]]</f>
        <v>29000</v>
      </c>
      <c r="AG227" s="3">
        <f>+Tabla1[[#This Row],[En puerto a facturar]]</f>
        <v>0</v>
      </c>
      <c r="AH227" s="3">
        <f>+Tabla1[[#This Row],[Facturación atraso]]</f>
        <v>29000</v>
      </c>
      <c r="AI227" s="3">
        <f>+Tabla1[[#This Row],[Plan Irrestricto]]-Tabla1[[#This Row],[Puerto ]]-Tabla1[[#This Row],[Atraso]]</f>
        <v>0</v>
      </c>
      <c r="AJ227" s="3">
        <f>IF(Tabla1[[#This Row],[Plan Irrestricto]]&gt;0,SUM(Tabla1[[#This Row],[Facturación atraso]],Tabla1[[#This Row],[Facturación Venta nueva]],Tabla1[[#This Row],[Facturación stock]],Tabla1[[#This Row],[En puerto a facturar]]),0)</f>
        <v>29000</v>
      </c>
      <c r="AK227" s="3">
        <f>+Tabla1[[#This Row],[Facturación atraso]]</f>
        <v>29000</v>
      </c>
      <c r="AL227" s="3">
        <f>+Tabla1[[#This Row],[Plan Ajustado]]-Tabla1[[#This Row],[ Atraso ajustado]]-Tabla1[[#This Row],[Puerto ]]</f>
        <v>0</v>
      </c>
      <c r="AM227" s="3">
        <v>0</v>
      </c>
      <c r="AN227" s="3" t="str">
        <f>IF(Tabla1[[#This Row],[Plan Ajustado]]&gt;Tabla1[[#This Row],[En puerto a facturar]],"Si","No")</f>
        <v>Si</v>
      </c>
      <c r="AO227" s="3">
        <f>IF(AND(Tabla1[[#This Row],[Plan Ajustado]]&gt;0,Tabla1[[#This Row],[Plan Ajustado]]&gt;Tabla1[[#This Row],[En puerto a facturar]]),(Tabla1[[#This Row],[Plan Ajustado]]-Tabla1[[#This Row],[En puerto a facturar]]),0)</f>
        <v>29000</v>
      </c>
      <c r="AP227" s="3">
        <f>IF(Tabla1[[#This Row],[Necesidad]]&gt;=Tabla1[[#This Row],[Stock al día]],Tabla1[[#This Row],[Stock al día]],Tabla1[[#This Row],[Necesidad]])</f>
        <v>29000</v>
      </c>
      <c r="AQ227" s="3">
        <f>+Tabla1[[#This Row],[Necesidad]]-Tabla1[[#This Row],[Stock Plan]]</f>
        <v>0</v>
      </c>
      <c r="AR227" s="156">
        <f>IFERROR(VLOOKUP(Tabla1[[#This Row],[Oficina]],[22]Ponderación!$B$3:$G$9,6,FALSE),"")</f>
        <v>44757</v>
      </c>
      <c r="AS22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0.70593220424209169</v>
      </c>
      <c r="AT227" s="83">
        <f>IFERROR(VLOOKUP(Tabla1[[#This Row],[Llave]],[17]DELAY!$H:$W,16,FALSE),0)</f>
        <v>0.81251149310344795</v>
      </c>
      <c r="AU22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0.81251149310344795</v>
      </c>
      <c r="AV227" s="5">
        <f>+Tabla1[[#This Row],[Plan Ajustado]]*Tabla1[[#This Row],[Precio ponderado]]</f>
        <v>23562.833299999991</v>
      </c>
      <c r="AW227" s="30">
        <f>IFERROR(VLOOKUP(Tabla1[[#This Row],[Llave]],'[13]Ultimos precios facturados'!$A:$G,7,FALSE),0)</f>
        <v>0.70593220424209169</v>
      </c>
      <c r="AX22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0.1509766635108859</v>
      </c>
      <c r="AY227" s="30"/>
      <c r="AZ227" s="30">
        <f>IF(Tabla1[[#This Row],[Ajuste precio IC]]="",Tabla1[[#This Row],[Precio ponderado]],Tabla1[[#This Row],[Precio ponderado]])</f>
        <v>0.81251149310344795</v>
      </c>
      <c r="BA227" s="82"/>
      <c r="BB227" s="82" t="str">
        <f>IF(AND(Tabla1[[#This Row],[Atraso a facturar]]&gt;0,Tabla1[[#This Row],[Precio Atraso]]=0),"Revisar","OK")</f>
        <v>OK</v>
      </c>
      <c r="BC227" s="82" t="str">
        <f>IF(AND(Tabla1[[#This Row],[Venta del mes]]&gt;0,Tabla1[[#This Row],[Precio venta nueva]]=0),"Revisar","OK")</f>
        <v>OK</v>
      </c>
      <c r="BD227" s="20">
        <f>IFERROR(VLOOKUP(Tabla1[[#This Row],[Llave]],'[5]Consolidación planes'!$A:$M,9,FALSE),0)</f>
        <v>0</v>
      </c>
      <c r="BE227" s="20">
        <f>IFERROR(VLOOKUP(Tabla1[[#This Row],[Llave]],'[5]Consolidación planes'!$A:$M,10,FALSE),0)</f>
        <v>3000</v>
      </c>
      <c r="BF227" s="20">
        <f>IFERROR(VLOOKUP(Tabla1[[#This Row],[Llave]],'[5]Consolidación planes'!$A:$M,11,FALSE),0)</f>
        <v>0</v>
      </c>
      <c r="BG227" s="20">
        <f>IFERROR(VLOOKUP(Tabla1[[#This Row],[Llave]],'[5]Consolidación planes'!$A:$M,12,FALSE),0)</f>
        <v>0</v>
      </c>
      <c r="BH227" s="20">
        <f>IFERROR(VLOOKUP(Tabla1[[#This Row],[Llave]],'[5]Consolidación planes'!$A:$M,13,FALSE),0)</f>
        <v>13000</v>
      </c>
      <c r="BI227" s="20">
        <f>IFERROR(VLOOKUP(Tabla1[[#This Row],[Llave]],'[13]Base ultimos planes'!$A:$M,13,FALSE),0)</f>
        <v>10000</v>
      </c>
      <c r="BJ227" s="80">
        <f>IFERROR(VLOOKUP(Tabla1[[#This Row],[Llave]],'[13]Base ultimos planes'!$O:$AA,8,FALSE),0)</f>
        <v>0</v>
      </c>
      <c r="BK227" s="20">
        <f>IFERROR(VLOOKUP(Tabla1[[#This Row],[Llave]],'[13]Base ultimos planes'!$O:$AA,9,FALSE),0)</f>
        <v>1790</v>
      </c>
      <c r="BL227" s="20">
        <f>IFERROR(VLOOKUP(Tabla1[[#This Row],[Llave]],'[13]Base ultimos planes'!$O:$AA,10,FALSE),0)</f>
        <v>0</v>
      </c>
      <c r="BM227" s="20">
        <f>IFERROR(VLOOKUP(Tabla1[[#This Row],[Llave]],'[13]Base ultimos planes'!$O:$AA,11,FALSE),0)</f>
        <v>0</v>
      </c>
      <c r="BN227" s="20">
        <f>IFERROR(VLOOKUP(Tabla1[[#This Row],[Llave]],'[13]Base ultimos planes'!$O:$AA,12,FALSE),0)</f>
        <v>10310</v>
      </c>
      <c r="BO227" s="20">
        <f>IFERROR(VLOOKUP(Tabla1[[#This Row],[Llave]],'[13]Base ultimos planes'!$O:$AA,13,FALSE),0)</f>
        <v>7859</v>
      </c>
      <c r="BP227" s="20"/>
      <c r="BQ227" s="20">
        <f>+Tabla1[[#This Row],[ RV  Venta mes n+1]]*(1-Tabla1[[#This Row],[% Uti. producción]])</f>
        <v>0</v>
      </c>
      <c r="BR227" s="100"/>
    </row>
    <row r="228" spans="1:70" ht="16" x14ac:dyDescent="0.2">
      <c r="A228">
        <v>1</v>
      </c>
      <c r="B228" t="str">
        <f>Tabla1[[#This Row],[Oficina]]&amp;Tabla1[[#This Row],[Material]]</f>
        <v>Agro Sudamerica1012552</v>
      </c>
      <c r="C228" t="s">
        <v>227</v>
      </c>
      <c r="D228" t="s">
        <v>17</v>
      </c>
      <c r="E228">
        <v>1012552</v>
      </c>
      <c r="F228" t="s">
        <v>251</v>
      </c>
      <c r="G228" t="s">
        <v>247</v>
      </c>
      <c r="H228" t="s">
        <v>248</v>
      </c>
      <c r="I228" s="7">
        <f>IFERROR(VLOOKUP(Tabla1[[#This Row],[Llave]],'[7]RV Producción'!$C:$G,5,FALSE),0)</f>
        <v>47900</v>
      </c>
      <c r="J228" s="3">
        <f>IFERROR(IF(Tabla1[[#This Row],[Oficina]]=$I$7,VLOOKUP(Tabla1[[#This Row],[Llave]],'[7]Shangai (Tomas)'!$A:$F,6,FALSE),VLOOKUP(Tabla1[[#This Row],[Llave]],'[7]RV plan de ventas'!$A:$E,5,FALSE)),0)</f>
        <v>48000</v>
      </c>
      <c r="K228" s="8">
        <f>IFERROR(VLOOKUP(Tabla1[[#This Row],[Oficina]],[15]Ponderación!$B$2:$E$9,4,FALSE),0)</f>
        <v>0.45719439678473212</v>
      </c>
      <c r="L228" s="7">
        <f>+Tabla1[[#This Row],[ RV Producción mes n+1]]*Tabla1[[#This Row],[% Uti. producción]]</f>
        <v>21899.61160598867</v>
      </c>
      <c r="M228" s="7">
        <f>IFERROR(VLOOKUP(Tabla1[[#This Row],[Material]],'[17]TD Stock'!$E:$I,5,FALSE),0)</f>
        <v>45820</v>
      </c>
      <c r="N228" s="7">
        <f>IFERROR(VLOOKUP(Tabla1[[#This Row],[Material]],[16]Produccion!$M:$N,2,FALSE),0)</f>
        <v>0</v>
      </c>
      <c r="O228" s="7">
        <f>IFERROR(VLOOKUP(Tabla1[[#This Row],[Llave]],'[16]TD Conf-AP'!$I:$M,4,FALSE),0)</f>
        <v>0</v>
      </c>
      <c r="P228" s="14">
        <f>SUM(Tabla1[[#This Row],[Producción disponible]],Tabla1[[#This Row],[Stock al día]],(Tabla1[[#This Row],[Por producir mes N]]*0.9))-Tabla1[[#This Row],[Producción por despachar mes N]]</f>
        <v>67719.61160598867</v>
      </c>
      <c r="Q228" s="7">
        <f>IFERROR(VLOOKUP(Tabla1[[#This Row],[Llave]],[17]DELAY!$A:$D,4,FALSE),0)</f>
        <v>47000</v>
      </c>
      <c r="R228" s="9">
        <v>24000</v>
      </c>
      <c r="S228" s="5">
        <f t="shared" si="32"/>
        <v>47000</v>
      </c>
      <c r="T228" s="76">
        <v>0</v>
      </c>
      <c r="U228" s="5">
        <f>+Tabla1[[#This Row],[Atraso a facturar]]+Tabla1[[#This Row],[Ajuste atraso]]</f>
        <v>47000</v>
      </c>
      <c r="V228" s="3">
        <f>+Tabla1[[#This Row],[Total disponible]]-Tabla1[[#This Row],[Facturación atraso]]</f>
        <v>20719.61160598867</v>
      </c>
      <c r="W228" s="6">
        <f>IFERROR(IF(AND(V228&gt;R228,J228&gt;=R228),ROUNDDOWN((Tabla1[[#This Row],[Producción para venta nueva]])/R228,0)*R228,0),0)</f>
        <v>0</v>
      </c>
      <c r="X228" s="76">
        <v>0</v>
      </c>
      <c r="Y228" s="6">
        <f>IF(Tabla1[[#This Row],[Venta del mes]]&gt;0,Tabla1[[#This Row],[Venta del mes]]+Tabla1[[#This Row],[Ajuste venta nueva]],0)</f>
        <v>0</v>
      </c>
      <c r="Z228" s="6">
        <f>+Tabla1[[#This Row],[Producción para venta nueva]]-Tabla1[[#This Row],[Facturación Venta nueva]]</f>
        <v>20719.61160598867</v>
      </c>
      <c r="AA228" s="6">
        <f>IF(AND(A228=1,Tabla1[[#This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8" s="6"/>
      <c r="AC228" s="6">
        <f>IF(Tabla1[[#This Row],[Disponible stock sin venta]]&gt;0,Tabla1[[#This Row],[Disponible stock sin venta]]+Tabla1[[#This Row],[Ajuste stock sin venta]],0)</f>
        <v>0</v>
      </c>
      <c r="AD228" s="3">
        <f>IFERROR(VLOOKUP(Tabla1[[#This Row],[Llave]],'[16]TD Puerto'!$A:$D,4,FALSE),0)</f>
        <v>0</v>
      </c>
      <c r="AE228" s="3">
        <v>47000</v>
      </c>
      <c r="AF228" s="3">
        <f>+Tabla1[[#This Row],[Atraso a facturar]]+Tabla1[[#This Row],[Venta del mes]]+Tabla1[[#This Row],[En puerto a facturar]]+Tabla1[[#This Row],[Disponible stock sin venta]]</f>
        <v>47000</v>
      </c>
      <c r="AG228" s="3">
        <f>+Tabla1[[#This Row],[En puerto a facturar]]</f>
        <v>0</v>
      </c>
      <c r="AH228" s="3">
        <f>+Tabla1[[#This Row],[Facturación atraso]]</f>
        <v>47000</v>
      </c>
      <c r="AI228" s="3">
        <f>+Tabla1[[#This Row],[Plan Irrestricto]]-Tabla1[[#This Row],[Puerto ]]-Tabla1[[#This Row],[Atraso]]</f>
        <v>0</v>
      </c>
      <c r="AJ228" s="3">
        <f>IF(Tabla1[[#This Row],[Plan Irrestricto]]&gt;0,SUM(Tabla1[[#This Row],[Facturación atraso]],Tabla1[[#This Row],[Facturación Venta nueva]],Tabla1[[#This Row],[Facturación stock]],Tabla1[[#This Row],[En puerto a facturar]]),0)</f>
        <v>47000</v>
      </c>
      <c r="AK228" s="3">
        <f>+Tabla1[[#This Row],[Facturación atraso]]</f>
        <v>47000</v>
      </c>
      <c r="AL228" s="3">
        <f>+Tabla1[[#This Row],[Plan Ajustado]]-Tabla1[[#This Row],[ Atraso ajustado]]-Tabla1[[#This Row],[Puerto ]]</f>
        <v>0</v>
      </c>
      <c r="AM228" s="3">
        <v>0</v>
      </c>
      <c r="AN228" s="3" t="str">
        <f>IF(Tabla1[[#This Row],[Plan Ajustado]]&gt;Tabla1[[#This Row],[En puerto a facturar]],"Si","No")</f>
        <v>Si</v>
      </c>
      <c r="AO228" s="3">
        <f>IF(AND(Tabla1[[#This Row],[Plan Ajustado]]&gt;0,Tabla1[[#This Row],[Plan Ajustado]]&gt;Tabla1[[#This Row],[En puerto a facturar]]),(Tabla1[[#This Row],[Plan Ajustado]]-Tabla1[[#This Row],[En puerto a facturar]]),0)</f>
        <v>47000</v>
      </c>
      <c r="AP228" s="3">
        <f>IF(Tabla1[[#This Row],[Necesidad]]&gt;=Tabla1[[#This Row],[Stock al día]],Tabla1[[#This Row],[Stock al día]],Tabla1[[#This Row],[Necesidad]])</f>
        <v>45820</v>
      </c>
      <c r="AQ228" s="3">
        <f>+Tabla1[[#This Row],[Necesidad]]-Tabla1[[#This Row],[Stock Plan]]</f>
        <v>1180</v>
      </c>
      <c r="AR228" s="156">
        <f>IFERROR(VLOOKUP(Tabla1[[#This Row],[Oficina]],[22]Ponderación!$B$3:$G$9,6,FALSE),"")</f>
        <v>44757</v>
      </c>
      <c r="AS22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3.5</v>
      </c>
      <c r="AT228" s="83">
        <f>IFERROR(VLOOKUP(Tabla1[[#This Row],[Llave]],[17]DELAY!$H:$W,16,FALSE),0)</f>
        <v>4.2734042553191491</v>
      </c>
      <c r="AU22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4.2734042553191491</v>
      </c>
      <c r="AV228" s="5">
        <f>+Tabla1[[#This Row],[Plan Ajustado]]*Tabla1[[#This Row],[Precio ponderado]]</f>
        <v>200850</v>
      </c>
      <c r="AW228" s="30">
        <f>IFERROR(VLOOKUP(Tabla1[[#This Row],[Llave]],'[13]Ultimos precios facturados'!$A:$G,7,FALSE),0)</f>
        <v>4.0301468478826594</v>
      </c>
      <c r="AX22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6.0359440144046164E-2</v>
      </c>
      <c r="AY228" s="30"/>
      <c r="AZ228" s="30">
        <f>IF(Tabla1[[#This Row],[Ajuste precio IC]]="",Tabla1[[#This Row],[Precio ponderado]],Tabla1[[#This Row],[Precio ponderado]])</f>
        <v>4.2734042553191491</v>
      </c>
      <c r="BA228" s="82"/>
      <c r="BB228" s="82" t="str">
        <f>IF(AND(Tabla1[[#This Row],[Atraso a facturar]]&gt;0,Tabla1[[#This Row],[Precio Atraso]]=0),"Revisar","OK")</f>
        <v>OK</v>
      </c>
      <c r="BC228" s="82" t="str">
        <f>IF(AND(Tabla1[[#This Row],[Venta del mes]]&gt;0,Tabla1[[#This Row],[Precio venta nueva]]=0),"Revisar","OK")</f>
        <v>OK</v>
      </c>
      <c r="BD228" s="20">
        <f>IFERROR(VLOOKUP(Tabla1[[#This Row],[Llave]],'[5]Consolidación planes'!$A:$M,9,FALSE),0)</f>
        <v>48000</v>
      </c>
      <c r="BE228" s="20">
        <f>IFERROR(VLOOKUP(Tabla1[[#This Row],[Llave]],'[5]Consolidación planes'!$A:$M,10,FALSE),0)</f>
        <v>48000</v>
      </c>
      <c r="BF228" s="20">
        <f>IFERROR(VLOOKUP(Tabla1[[#This Row],[Llave]],'[5]Consolidación planes'!$A:$M,11,FALSE),0)</f>
        <v>48000</v>
      </c>
      <c r="BG228" s="20">
        <f>IFERROR(VLOOKUP(Tabla1[[#This Row],[Llave]],'[5]Consolidación planes'!$A:$M,12,FALSE),0)</f>
        <v>24000</v>
      </c>
      <c r="BH228" s="20">
        <f>IFERROR(VLOOKUP(Tabla1[[#This Row],[Llave]],'[5]Consolidación planes'!$A:$M,13,FALSE),0)</f>
        <v>72000</v>
      </c>
      <c r="BI228" s="20">
        <f>IFERROR(VLOOKUP(Tabla1[[#This Row],[Llave]],'[13]Base ultimos planes'!$A:$M,13,FALSE),0)</f>
        <v>46000</v>
      </c>
      <c r="BJ228" s="80">
        <f>IFERROR(VLOOKUP(Tabla1[[#This Row],[Llave]],'[13]Base ultimos planes'!$O:$AA,8,FALSE),0)</f>
        <v>168000</v>
      </c>
      <c r="BK228" s="20">
        <f>IFERROR(VLOOKUP(Tabla1[[#This Row],[Llave]],'[13]Base ultimos planes'!$O:$AA,9,FALSE),0)</f>
        <v>176400</v>
      </c>
      <c r="BL228" s="20">
        <f>IFERROR(VLOOKUP(Tabla1[[#This Row],[Llave]],'[13]Base ultimos planes'!$O:$AA,10,FALSE),0)</f>
        <v>194629</v>
      </c>
      <c r="BM228" s="20">
        <f>IFERROR(VLOOKUP(Tabla1[[#This Row],[Llave]],'[13]Base ultimos planes'!$O:$AA,11,FALSE),0)</f>
        <v>94080</v>
      </c>
      <c r="BN228" s="20">
        <f>IFERROR(VLOOKUP(Tabla1[[#This Row],[Llave]],'[13]Base ultimos planes'!$O:$AA,12,FALSE),0)</f>
        <v>321014</v>
      </c>
      <c r="BO228" s="20">
        <f>IFERROR(VLOOKUP(Tabla1[[#This Row],[Llave]],'[13]Base ultimos planes'!$O:$AA,13,FALSE),0)</f>
        <v>207000</v>
      </c>
      <c r="BP228" s="20"/>
      <c r="BQ228" s="20">
        <f>+Tabla1[[#This Row],[ RV  Venta mes n+1]]*(1-Tabla1[[#This Row],[% Uti. producción]])</f>
        <v>26054.668954332861</v>
      </c>
      <c r="BR228" s="100"/>
    </row>
    <row r="229" spans="1:70" ht="16" x14ac:dyDescent="0.2">
      <c r="A229">
        <v>1</v>
      </c>
      <c r="B229" t="str">
        <f>Tabla1[[#This Row],[Oficina]]&amp;Tabla1[[#This Row],[Material]]</f>
        <v>Agro Sudamerica1012556</v>
      </c>
      <c r="C229" t="s">
        <v>227</v>
      </c>
      <c r="D229" t="s">
        <v>17</v>
      </c>
      <c r="E229">
        <v>1012556</v>
      </c>
      <c r="F229" t="s">
        <v>235</v>
      </c>
      <c r="G229" t="s">
        <v>233</v>
      </c>
      <c r="H229" t="s">
        <v>234</v>
      </c>
      <c r="I229" s="7">
        <f>IFERROR(VLOOKUP(Tabla1[[#This Row],[Llave]],'[7]RV Producción'!$C:$G,5,FALSE),0)</f>
        <v>270907</v>
      </c>
      <c r="J229" s="3">
        <f>IFERROR(IF(Tabla1[[#This Row],[Oficina]]=$I$7,VLOOKUP(Tabla1[[#This Row],[Llave]],'[7]Shangai (Tomas)'!$A:$F,6,FALSE),VLOOKUP(Tabla1[[#This Row],[Llave]],'[7]RV plan de ventas'!$A:$E,5,FALSE)),0)</f>
        <v>240000</v>
      </c>
      <c r="K229" s="8">
        <v>0.8</v>
      </c>
      <c r="L229" s="7">
        <f>+Tabla1[[#This Row],[ RV Producción mes n+1]]*Tabla1[[#This Row],[% Uti. producción]]</f>
        <v>216725.6</v>
      </c>
      <c r="M229" s="7">
        <f>IFERROR(VLOOKUP(Tabla1[[#This Row],[Material]],'[17]TD Stock'!$E:$I,5,FALSE),0)</f>
        <v>0</v>
      </c>
      <c r="N229" s="7">
        <f>IFERROR(VLOOKUP(Tabla1[[#This Row],[Material]],[16]Produccion!$M:$N,2,FALSE),0)</f>
        <v>30000</v>
      </c>
      <c r="O229" s="7">
        <f>IFERROR(VLOOKUP(Tabla1[[#This Row],[Llave]],'[16]TD Conf-AP'!$I:$M,4,FALSE),0)</f>
        <v>0</v>
      </c>
      <c r="P229" s="14">
        <f>SUM(Tabla1[[#This Row],[Producción disponible]],Tabla1[[#This Row],[Stock al día]],(Tabla1[[#This Row],[Por producir mes N]]*0.9))-Tabla1[[#This Row],[Producción por despachar mes N]]</f>
        <v>243725.6</v>
      </c>
      <c r="Q229" s="7">
        <f>IFERROR(VLOOKUP(Tabla1[[#This Row],[Llave]],[17]DELAY!$A:$D,4,FALSE),0)</f>
        <v>148000</v>
      </c>
      <c r="R229" s="9">
        <v>24000</v>
      </c>
      <c r="S229" s="5">
        <f t="shared" si="32"/>
        <v>148000</v>
      </c>
      <c r="T229" s="76">
        <v>0</v>
      </c>
      <c r="U229" s="5">
        <f>+Tabla1[[#This Row],[Atraso a facturar]]+Tabla1[[#This Row],[Ajuste atraso]]</f>
        <v>148000</v>
      </c>
      <c r="V229" s="3">
        <f>+Tabla1[[#This Row],[Total disponible]]-Tabla1[[#This Row],[Facturación atraso]]</f>
        <v>95725.6</v>
      </c>
      <c r="W229" s="6">
        <f>IFERROR(IF(AND(V229&gt;R229,J229&gt;=R229),ROUNDDOWN((Tabla1[[#This Row],[Producción para venta nueva]])/R229,0)*R229,0),0)</f>
        <v>72000</v>
      </c>
      <c r="X229" s="76">
        <v>0</v>
      </c>
      <c r="Y229" s="6">
        <f>IF(Tabla1[[#This Row],[Venta del mes]]&gt;0,Tabla1[[#This Row],[Venta del mes]]+Tabla1[[#This Row],[Ajuste venta nueva]],0)</f>
        <v>72000</v>
      </c>
      <c r="Z229" s="6">
        <f>+Tabla1[[#This Row],[Producción para venta nueva]]-Tabla1[[#This Row],[Facturación Venta nueva]]</f>
        <v>23725.600000000006</v>
      </c>
      <c r="AA229" s="6">
        <f>IF(AND(A229=1,Tabla1[[#This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29" s="6"/>
      <c r="AC229" s="6">
        <f>IF(Tabla1[[#This Row],[Disponible stock sin venta]]&gt;0,Tabla1[[#This Row],[Disponible stock sin venta]]+Tabla1[[#This Row],[Ajuste stock sin venta]],0)</f>
        <v>0</v>
      </c>
      <c r="AD229" s="3">
        <f>IFERROR(VLOOKUP(Tabla1[[#This Row],[Llave]],'[16]TD Puerto'!$A:$D,4,FALSE),0)</f>
        <v>0</v>
      </c>
      <c r="AE229" s="3">
        <v>220000</v>
      </c>
      <c r="AF229" s="3">
        <f>+Tabla1[[#This Row],[Atraso a facturar]]+Tabla1[[#This Row],[Venta del mes]]+Tabla1[[#This Row],[En puerto a facturar]]+Tabla1[[#This Row],[Disponible stock sin venta]]</f>
        <v>220000</v>
      </c>
      <c r="AG229" s="3">
        <f>+Tabla1[[#This Row],[En puerto a facturar]]</f>
        <v>0</v>
      </c>
      <c r="AH229" s="3">
        <f>+Tabla1[[#This Row],[Facturación atraso]]</f>
        <v>148000</v>
      </c>
      <c r="AI229" s="3">
        <f>+Tabla1[[#This Row],[Plan Irrestricto]]-Tabla1[[#This Row],[Puerto ]]-Tabla1[[#This Row],[Atraso]]</f>
        <v>72000</v>
      </c>
      <c r="AJ229" s="3">
        <f>IF(Tabla1[[#This Row],[Plan Irrestricto]]&gt;0,SUM(Tabla1[[#This Row],[Facturación atraso]],Tabla1[[#This Row],[Facturación Venta nueva]],Tabla1[[#This Row],[Facturación stock]],Tabla1[[#This Row],[En puerto a facturar]]),0)</f>
        <v>220000</v>
      </c>
      <c r="AK229" s="3">
        <f>+Tabla1[[#This Row],[Facturación atraso]]</f>
        <v>148000</v>
      </c>
      <c r="AL229" s="3">
        <f>+Tabla1[[#This Row],[Plan Ajustado]]-Tabla1[[#This Row],[ Atraso ajustado]]-Tabla1[[#This Row],[Puerto ]]</f>
        <v>72000</v>
      </c>
      <c r="AM229" s="3">
        <v>0</v>
      </c>
      <c r="AN229" s="3" t="str">
        <f>IF(Tabla1[[#This Row],[Plan Ajustado]]&gt;Tabla1[[#This Row],[En puerto a facturar]],"Si","No")</f>
        <v>Si</v>
      </c>
      <c r="AO229" s="3">
        <f>IF(AND(Tabla1[[#This Row],[Plan Ajustado]]&gt;0,Tabla1[[#This Row],[Plan Ajustado]]&gt;Tabla1[[#This Row],[En puerto a facturar]]),(Tabla1[[#This Row],[Plan Ajustado]]-Tabla1[[#This Row],[En puerto a facturar]]),0)</f>
        <v>220000</v>
      </c>
      <c r="AP229" s="3">
        <f>IF(Tabla1[[#This Row],[Necesidad]]&gt;=Tabla1[[#This Row],[Stock al día]],Tabla1[[#This Row],[Stock al día]],Tabla1[[#This Row],[Necesidad]])</f>
        <v>0</v>
      </c>
      <c r="AQ229" s="3">
        <f>+Tabla1[[#This Row],[Necesidad]]-Tabla1[[#This Row],[Stock Plan]]</f>
        <v>220000</v>
      </c>
      <c r="AR229" s="156">
        <f>IFERROR(VLOOKUP(Tabla1[[#This Row],[Oficina]],[22]Ponderación!$B$3:$G$9,6,FALSE),"")</f>
        <v>44757</v>
      </c>
      <c r="AS22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</v>
      </c>
      <c r="AT229" s="83">
        <f>IFERROR(VLOOKUP(Tabla1[[#This Row],[Llave]],[17]DELAY!$H:$W,16,FALSE),0)</f>
        <v>1.1676406040816301</v>
      </c>
      <c r="AU22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1.1127764063821874</v>
      </c>
      <c r="AV229" s="5">
        <f>+Tabla1[[#This Row],[Plan Ajustado]]*Tabla1[[#This Row],[Precio ponderado]]</f>
        <v>244810.80940408123</v>
      </c>
      <c r="AW229" s="30">
        <f>IFERROR(VLOOKUP(Tabla1[[#This Row],[Llave]],'[13]Ultimos precios facturados'!$A:$G,7,FALSE),0)</f>
        <v>1.0177098867856129</v>
      </c>
      <c r="AX22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9.3412200108262192E-2</v>
      </c>
      <c r="AY229" s="30"/>
      <c r="AZ229" s="30">
        <f>IF(Tabla1[[#This Row],[Ajuste precio IC]]="",Tabla1[[#This Row],[Precio ponderado]],Tabla1[[#This Row],[Precio ponderado]])</f>
        <v>1.1127764063821874</v>
      </c>
      <c r="BA229" s="82"/>
      <c r="BB229" s="82" t="str">
        <f>IF(AND(Tabla1[[#This Row],[Atraso a facturar]]&gt;0,Tabla1[[#This Row],[Precio Atraso]]=0),"Revisar","OK")</f>
        <v>OK</v>
      </c>
      <c r="BC229" s="82" t="str">
        <f>IF(AND(Tabla1[[#This Row],[Venta del mes]]&gt;0,Tabla1[[#This Row],[Precio venta nueva]]=0),"Revisar","OK")</f>
        <v>OK</v>
      </c>
      <c r="BD229" s="20">
        <f>IFERROR(VLOOKUP(Tabla1[[#This Row],[Llave]],'[5]Consolidación planes'!$A:$M,9,FALSE),0)</f>
        <v>0</v>
      </c>
      <c r="BE229" s="20">
        <f>IFERROR(VLOOKUP(Tabla1[[#This Row],[Llave]],'[5]Consolidación planes'!$A:$M,10,FALSE),0)</f>
        <v>0</v>
      </c>
      <c r="BF229" s="20">
        <f>IFERROR(VLOOKUP(Tabla1[[#This Row],[Llave]],'[5]Consolidación planes'!$A:$M,11,FALSE),0)</f>
        <v>24000</v>
      </c>
      <c r="BG229" s="20">
        <f>IFERROR(VLOOKUP(Tabla1[[#This Row],[Llave]],'[5]Consolidación planes'!$A:$M,12,FALSE),0)</f>
        <v>72000</v>
      </c>
      <c r="BH229" s="20">
        <f>IFERROR(VLOOKUP(Tabla1[[#This Row],[Llave]],'[5]Consolidación planes'!$A:$M,13,FALSE),0)</f>
        <v>48000</v>
      </c>
      <c r="BI229" s="20">
        <f>IFERROR(VLOOKUP(Tabla1[[#This Row],[Llave]],'[13]Base ultimos planes'!$A:$M,13,FALSE),0)</f>
        <v>0</v>
      </c>
      <c r="BJ229" s="80">
        <f>IFERROR(VLOOKUP(Tabla1[[#This Row],[Llave]],'[13]Base ultimos planes'!$O:$AA,8,FALSE),0)</f>
        <v>0</v>
      </c>
      <c r="BK229" s="20">
        <f>IFERROR(VLOOKUP(Tabla1[[#This Row],[Llave]],'[13]Base ultimos planes'!$O:$AA,9,FALSE),0)</f>
        <v>0</v>
      </c>
      <c r="BL229" s="20">
        <f>IFERROR(VLOOKUP(Tabla1[[#This Row],[Llave]],'[13]Base ultimos planes'!$O:$AA,10,FALSE),0)</f>
        <v>18950</v>
      </c>
      <c r="BM229" s="20">
        <f>IFERROR(VLOOKUP(Tabla1[[#This Row],[Llave]],'[13]Base ultimos planes'!$O:$AA,11,FALSE),0)</f>
        <v>57600</v>
      </c>
      <c r="BN229" s="20">
        <f>IFERROR(VLOOKUP(Tabla1[[#This Row],[Llave]],'[13]Base ultimos planes'!$O:$AA,12,FALSE),0)</f>
        <v>38400</v>
      </c>
      <c r="BO229" s="20">
        <f>IFERROR(VLOOKUP(Tabla1[[#This Row],[Llave]],'[13]Base ultimos planes'!$O:$AA,13,FALSE),0)</f>
        <v>0</v>
      </c>
      <c r="BP229" s="20"/>
      <c r="BQ229" s="20">
        <f>+Tabla1[[#This Row],[ RV  Venta mes n+1]]*(1-Tabla1[[#This Row],[% Uti. producción]])</f>
        <v>47999.999999999993</v>
      </c>
      <c r="BR229" s="100"/>
    </row>
    <row r="230" spans="1:70" ht="16" hidden="1" x14ac:dyDescent="0.2">
      <c r="A230">
        <v>1</v>
      </c>
      <c r="B230" t="str">
        <f>Tabla1[[#This Row],[Oficina]]&amp;Tabla1[[#This Row],[Material]]</f>
        <v>Agro Sudamerica1012602</v>
      </c>
      <c r="C230" t="s">
        <v>227</v>
      </c>
      <c r="D230" t="s">
        <v>17</v>
      </c>
      <c r="E230">
        <v>1012602</v>
      </c>
      <c r="F230" t="s">
        <v>232</v>
      </c>
      <c r="G230" t="s">
        <v>205</v>
      </c>
      <c r="H230" t="s">
        <v>231</v>
      </c>
      <c r="I230" s="7">
        <f>IFERROR(VLOOKUP(Tabla1[[#This Row],[Llave]],'[7]RV Producción'!$C:$G,5,FALSE),0)</f>
        <v>0</v>
      </c>
      <c r="J230" s="3">
        <f>IFERROR(IF(Tabla1[[#This Row],[Oficina]]=$I$7,VLOOKUP(Tabla1[[#This Row],[Llave]],'[7]Shangai (Tomas)'!$A:$F,6,FALSE),VLOOKUP(Tabla1[[#This Row],[Llave]],'[7]RV plan de ventas'!$A:$E,5,FALSE)),0)</f>
        <v>0</v>
      </c>
      <c r="K230" s="8">
        <f>IFERROR(VLOOKUP(Tabla1[[#This Row],[Oficina]],[15]Ponderación!$B$2:$E$9,4,FALSE),0)</f>
        <v>0.45719439678473212</v>
      </c>
      <c r="L230" s="7">
        <f>+Tabla1[[#This Row],[ RV Producción mes n+1]]*Tabla1[[#This Row],[% Uti. producción]]</f>
        <v>0</v>
      </c>
      <c r="M230" s="7">
        <f>IFERROR(VLOOKUP(Tabla1[[#This Row],[Material]],'[17]TD Stock'!$E:$I,5,FALSE),0)</f>
        <v>0</v>
      </c>
      <c r="N230" s="7">
        <f>IFERROR(VLOOKUP(Tabla1[[#This Row],[Material]],[16]Produccion!$M:$N,2,FALSE),0)</f>
        <v>0</v>
      </c>
      <c r="O230" s="7">
        <f>IFERROR(VLOOKUP(Tabla1[[#This Row],[Llave]],'[16]TD Conf-AP'!$I:$M,4,FALSE),0)</f>
        <v>0</v>
      </c>
      <c r="P230" s="14">
        <f>SUM(Tabla1[[#This Row],[Producción disponible]],Tabla1[[#This Row],[Stock al día]],(Tabla1[[#This Row],[Por producir mes N]]*0.9))-Tabla1[[#This Row],[Producción por despachar mes N]]</f>
        <v>0</v>
      </c>
      <c r="Q230" s="7">
        <f>IFERROR(VLOOKUP(Tabla1[[#This Row],[Llave]],[17]DELAY!$A:$D,4,FALSE),0)</f>
        <v>0</v>
      </c>
      <c r="R230" s="9">
        <v>24000</v>
      </c>
      <c r="S230" s="5">
        <f t="shared" si="32"/>
        <v>0</v>
      </c>
      <c r="T230" s="76">
        <v>0</v>
      </c>
      <c r="U230" s="5">
        <f>+Tabla1[[#This Row],[Atraso a facturar]]+Tabla1[[#This Row],[Ajuste atraso]]</f>
        <v>0</v>
      </c>
      <c r="V230" s="3">
        <f>+Tabla1[[#This Row],[Total disponible]]-Tabla1[[#This Row],[Facturación atraso]]</f>
        <v>0</v>
      </c>
      <c r="W230" s="6">
        <f>IFERROR(IF(AND(V230&gt;R230,J230&gt;=R230),ROUNDDOWN((Tabla1[[#This Row],[Producción para venta nueva]])/R230,0)*R230,0),0)</f>
        <v>0</v>
      </c>
      <c r="X230" s="76">
        <v>0</v>
      </c>
      <c r="Y230" s="6">
        <f>IF(Tabla1[[#This Row],[Venta del mes]]&gt;0,Tabla1[[#This Row],[Venta del mes]]+Tabla1[[#This Row],[Ajuste venta nueva]],0)</f>
        <v>0</v>
      </c>
      <c r="Z230" s="6">
        <f>+Tabla1[[#This Row],[Producción para venta nueva]]-Tabla1[[#This Row],[Facturación Venta nueva]]</f>
        <v>0</v>
      </c>
      <c r="AA230" s="6">
        <f>IF(AND(A230=1,Tabla1[[#This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0" s="6"/>
      <c r="AC230" s="6">
        <f>IF(Tabla1[[#This Row],[Disponible stock sin venta]]&gt;0,Tabla1[[#This Row],[Disponible stock sin venta]]+Tabla1[[#This Row],[Ajuste stock sin venta]],0)</f>
        <v>0</v>
      </c>
      <c r="AD230" s="3">
        <f>IFERROR(VLOOKUP(Tabla1[[#This Row],[Llave]],'[16]TD Puerto'!$A:$D,4,FALSE),0)</f>
        <v>0</v>
      </c>
      <c r="AE230" s="3">
        <v>0</v>
      </c>
      <c r="AF230" s="3">
        <f>+Tabla1[[#This Row],[Atraso a facturar]]+Tabla1[[#This Row],[Venta del mes]]+Tabla1[[#This Row],[En puerto a facturar]]+Tabla1[[#This Row],[Disponible stock sin venta]]</f>
        <v>0</v>
      </c>
      <c r="AG230" s="3">
        <f>+Tabla1[[#This Row],[En puerto a facturar]]</f>
        <v>0</v>
      </c>
      <c r="AH230" s="3">
        <f>+Tabla1[[#This Row],[Facturación atraso]]</f>
        <v>0</v>
      </c>
      <c r="AI230" s="3">
        <f>+Tabla1[[#This Row],[Plan Irrestricto]]-Tabla1[[#This Row],[Puerto ]]-Tabla1[[#This Row],[Atraso]]</f>
        <v>0</v>
      </c>
      <c r="AJ23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30" s="3">
        <f>+Tabla1[[#This Row],[Facturación atraso]]</f>
        <v>0</v>
      </c>
      <c r="AL230" s="3">
        <f>+Tabla1[[#This Row],[Plan Ajustado]]-Tabla1[[#This Row],[ Atraso ajustado]]-Tabla1[[#This Row],[Puerto ]]</f>
        <v>0</v>
      </c>
      <c r="AM230" s="3">
        <v>0</v>
      </c>
      <c r="AN230" s="3" t="str">
        <f>IF(Tabla1[[#This Row],[Plan Ajustado]]&gt;Tabla1[[#This Row],[En puerto a facturar]],"Si","No")</f>
        <v>No</v>
      </c>
      <c r="AO23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30" s="3">
        <f>IF(Tabla1[[#This Row],[Necesidad]]&gt;=Tabla1[[#This Row],[Stock al día]],Tabla1[[#This Row],[Stock al día]],Tabla1[[#This Row],[Necesidad]])</f>
        <v>0</v>
      </c>
      <c r="AQ230" s="3">
        <f>+Tabla1[[#This Row],[Necesidad]]-Tabla1[[#This Row],[Stock Plan]]</f>
        <v>0</v>
      </c>
      <c r="AR230" s="156">
        <f>IFERROR(VLOOKUP(Tabla1[[#This Row],[Oficina]],[22]Ponderación!$B$3:$G$9,6,FALSE),"")</f>
        <v>44757</v>
      </c>
      <c r="AS23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30" s="83">
        <f>IFERROR(VLOOKUP(Tabla1[[#This Row],[Llave]],[17]DELAY!$H:$W,16,FALSE),0)</f>
        <v>0</v>
      </c>
      <c r="AU23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30" s="5">
        <f>+Tabla1[[#This Row],[Plan Ajustado]]*Tabla1[[#This Row],[Precio ponderado]]</f>
        <v>0</v>
      </c>
      <c r="AW230" s="30">
        <f>IFERROR(VLOOKUP(Tabla1[[#This Row],[Llave]],'[13]Ultimos precios facturados'!$A:$G,7,FALSE),0)</f>
        <v>0</v>
      </c>
      <c r="AX23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30" s="30"/>
      <c r="AZ230" s="30">
        <f>IF(Tabla1[[#This Row],[Ajuste precio IC]]="",Tabla1[[#This Row],[Precio ponderado]],Tabla1[[#This Row],[Precio ponderado]])</f>
        <v>0</v>
      </c>
      <c r="BA230" s="82"/>
      <c r="BB230" s="82" t="str">
        <f>IF(AND(Tabla1[[#This Row],[Atraso a facturar]]&gt;0,Tabla1[[#This Row],[Precio Atraso]]=0),"Revisar","OK")</f>
        <v>OK</v>
      </c>
      <c r="BC230" s="82" t="str">
        <f>IF(AND(Tabla1[[#This Row],[Venta del mes]]&gt;0,Tabla1[[#This Row],[Precio venta nueva]]=0),"Revisar","OK")</f>
        <v>OK</v>
      </c>
      <c r="BD230" s="20">
        <f>IFERROR(VLOOKUP(Tabla1[[#This Row],[Llave]],'[5]Consolidación planes'!$A:$M,9,FALSE),0)</f>
        <v>0</v>
      </c>
      <c r="BE230" s="20">
        <f>IFERROR(VLOOKUP(Tabla1[[#This Row],[Llave]],'[5]Consolidación planes'!$A:$M,10,FALSE),0)</f>
        <v>0</v>
      </c>
      <c r="BF230" s="20">
        <f>IFERROR(VLOOKUP(Tabla1[[#This Row],[Llave]],'[5]Consolidación planes'!$A:$M,11,FALSE),0)</f>
        <v>0</v>
      </c>
      <c r="BG230" s="20">
        <f>IFERROR(VLOOKUP(Tabla1[[#This Row],[Llave]],'[5]Consolidación planes'!$A:$M,12,FALSE),0)</f>
        <v>0</v>
      </c>
      <c r="BH230" s="20">
        <f>IFERROR(VLOOKUP(Tabla1[[#This Row],[Llave]],'[5]Consolidación planes'!$A:$M,13,FALSE),0)</f>
        <v>0</v>
      </c>
      <c r="BI230" s="20">
        <f>IFERROR(VLOOKUP(Tabla1[[#This Row],[Llave]],'[13]Base ultimos planes'!$A:$M,13,FALSE),0)</f>
        <v>0</v>
      </c>
      <c r="BJ230" s="80">
        <f>IFERROR(VLOOKUP(Tabla1[[#This Row],[Llave]],'[13]Base ultimos planes'!$O:$AA,8,FALSE),0)</f>
        <v>0</v>
      </c>
      <c r="BK230" s="20">
        <f>IFERROR(VLOOKUP(Tabla1[[#This Row],[Llave]],'[13]Base ultimos planes'!$O:$AA,9,FALSE),0)</f>
        <v>0</v>
      </c>
      <c r="BL230" s="20">
        <f>IFERROR(VLOOKUP(Tabla1[[#This Row],[Llave]],'[13]Base ultimos planes'!$O:$AA,10,FALSE),0)</f>
        <v>0</v>
      </c>
      <c r="BM230" s="20">
        <f>IFERROR(VLOOKUP(Tabla1[[#This Row],[Llave]],'[13]Base ultimos planes'!$O:$AA,11,FALSE),0)</f>
        <v>0</v>
      </c>
      <c r="BN230" s="20">
        <f>IFERROR(VLOOKUP(Tabla1[[#This Row],[Llave]],'[13]Base ultimos planes'!$O:$AA,12,FALSE),0)</f>
        <v>0</v>
      </c>
      <c r="BO230" s="20">
        <f>IFERROR(VLOOKUP(Tabla1[[#This Row],[Llave]],'[13]Base ultimos planes'!$O:$AA,13,FALSE),0)</f>
        <v>0</v>
      </c>
      <c r="BP230" s="20"/>
      <c r="BQ230" s="20">
        <f>+Tabla1[[#This Row],[ RV  Venta mes n+1]]*(1-Tabla1[[#This Row],[% Uti. producción]])</f>
        <v>0</v>
      </c>
      <c r="BR230" s="100"/>
    </row>
    <row r="231" spans="1:70" ht="16" hidden="1" x14ac:dyDescent="0.2">
      <c r="A231">
        <v>1</v>
      </c>
      <c r="B231" t="str">
        <f>Tabla1[[#This Row],[Oficina]]&amp;Tabla1[[#This Row],[Material]]</f>
        <v>Agro Sudamerica1012698</v>
      </c>
      <c r="C231" t="s">
        <v>227</v>
      </c>
      <c r="D231" t="s">
        <v>17</v>
      </c>
      <c r="E231">
        <v>1012698</v>
      </c>
      <c r="F231" t="s">
        <v>308</v>
      </c>
      <c r="G231" t="s">
        <v>37</v>
      </c>
      <c r="H231" t="s">
        <v>37</v>
      </c>
      <c r="I231" s="7">
        <f>IFERROR(VLOOKUP(Tabla1[[#This Row],[Llave]],'[7]RV Producción'!$C:$G,5,FALSE),0)</f>
        <v>0</v>
      </c>
      <c r="J231" s="3">
        <f>IFERROR(IF(Tabla1[[#This Row],[Oficina]]=$I$7,VLOOKUP(Tabla1[[#This Row],[Llave]],'[7]Shangai (Tomas)'!$A:$F,6,FALSE),VLOOKUP(Tabla1[[#This Row],[Llave]],'[7]RV plan de ventas'!$A:$E,5,FALSE)),0)</f>
        <v>0</v>
      </c>
      <c r="K231" s="8">
        <f>IFERROR(VLOOKUP(Tabla1[[#This Row],[Oficina]],[15]Ponderación!$B$2:$E$9,4,FALSE),0)</f>
        <v>0.45719439678473212</v>
      </c>
      <c r="L231" s="7">
        <f>+Tabla1[[#This Row],[ RV Producción mes n+1]]*Tabla1[[#This Row],[% Uti. producción]]</f>
        <v>0</v>
      </c>
      <c r="M231" s="7">
        <f>IFERROR(VLOOKUP(Tabla1[[#This Row],[Material]],'[17]TD Stock'!$E:$I,5,FALSE),0)</f>
        <v>0</v>
      </c>
      <c r="N231" s="7">
        <f>IFERROR(VLOOKUP(Tabla1[[#This Row],[Material]],[16]Produccion!$M:$N,2,FALSE),0)</f>
        <v>0</v>
      </c>
      <c r="O231" s="7">
        <f>IFERROR(VLOOKUP(Tabla1[[#This Row],[Llave]],'[16]TD Conf-AP'!$I:$M,4,FALSE),0)</f>
        <v>0</v>
      </c>
      <c r="P231" s="14">
        <f>SUM(Tabla1[[#This Row],[Producción disponible]],Tabla1[[#This Row],[Stock al día]],(Tabla1[[#This Row],[Por producir mes N]]*0.9))-Tabla1[[#This Row],[Producción por despachar mes N]]</f>
        <v>0</v>
      </c>
      <c r="Q231" s="7">
        <f>IFERROR(VLOOKUP(Tabla1[[#This Row],[Llave]],[17]DELAY!$A:$D,4,FALSE),0)</f>
        <v>0</v>
      </c>
      <c r="R231" s="9">
        <v>24000</v>
      </c>
      <c r="S231" s="5">
        <f t="shared" si="32"/>
        <v>0</v>
      </c>
      <c r="T231" s="76">
        <v>0</v>
      </c>
      <c r="U231" s="5">
        <f>+Tabla1[[#This Row],[Atraso a facturar]]+Tabla1[[#This Row],[Ajuste atraso]]</f>
        <v>0</v>
      </c>
      <c r="V231" s="3">
        <f>+Tabla1[[#This Row],[Total disponible]]-Tabla1[[#This Row],[Facturación atraso]]</f>
        <v>0</v>
      </c>
      <c r="W231" s="6">
        <f>IFERROR(IF(AND(V231&gt;R231,J231&gt;=R231),ROUNDDOWN((Tabla1[[#This Row],[Producción para venta nueva]])/R231,0)*R231,0),0)</f>
        <v>0</v>
      </c>
      <c r="X231" s="76">
        <v>0</v>
      </c>
      <c r="Y231" s="6">
        <f>IF(Tabla1[[#This Row],[Venta del mes]]&gt;0,Tabla1[[#This Row],[Venta del mes]]+Tabla1[[#This Row],[Ajuste venta nueva]],0)</f>
        <v>0</v>
      </c>
      <c r="Z231" s="6">
        <f>+Tabla1[[#This Row],[Producción para venta nueva]]-Tabla1[[#This Row],[Facturación Venta nueva]]</f>
        <v>0</v>
      </c>
      <c r="AA231" s="6">
        <f>IF(AND(A231=1,Tabla1[[#This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1" s="6"/>
      <c r="AC231" s="6">
        <f>IF(Tabla1[[#This Row],[Disponible stock sin venta]]&gt;0,Tabla1[[#This Row],[Disponible stock sin venta]]+Tabla1[[#This Row],[Ajuste stock sin venta]],0)</f>
        <v>0</v>
      </c>
      <c r="AD231" s="3">
        <f>IFERROR(VLOOKUP(Tabla1[[#This Row],[Llave]],'[16]TD Puerto'!$A:$D,4,FALSE),0)</f>
        <v>0</v>
      </c>
      <c r="AE231" s="3">
        <v>0</v>
      </c>
      <c r="AF231" s="3">
        <f>+Tabla1[[#This Row],[Atraso a facturar]]+Tabla1[[#This Row],[Venta del mes]]+Tabla1[[#This Row],[En puerto a facturar]]+Tabla1[[#This Row],[Disponible stock sin venta]]</f>
        <v>0</v>
      </c>
      <c r="AG231" s="3">
        <f>+Tabla1[[#This Row],[En puerto a facturar]]</f>
        <v>0</v>
      </c>
      <c r="AH231" s="3">
        <f>+Tabla1[[#This Row],[Facturación atraso]]</f>
        <v>0</v>
      </c>
      <c r="AI231" s="3">
        <f>+Tabla1[[#This Row],[Plan Irrestricto]]-Tabla1[[#This Row],[Puerto ]]-Tabla1[[#This Row],[Atraso]]</f>
        <v>0</v>
      </c>
      <c r="AJ23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31" s="3">
        <f>+Tabla1[[#This Row],[Facturación atraso]]</f>
        <v>0</v>
      </c>
      <c r="AL231" s="3">
        <f>+Tabla1[[#This Row],[Plan Ajustado]]-Tabla1[[#This Row],[ Atraso ajustado]]-Tabla1[[#This Row],[Puerto ]]</f>
        <v>0</v>
      </c>
      <c r="AM231" s="3">
        <v>0</v>
      </c>
      <c r="AN231" s="3" t="str">
        <f>IF(Tabla1[[#This Row],[Plan Ajustado]]&gt;Tabla1[[#This Row],[En puerto a facturar]],"Si","No")</f>
        <v>No</v>
      </c>
      <c r="AO23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31" s="3">
        <f>IF(Tabla1[[#This Row],[Necesidad]]&gt;=Tabla1[[#This Row],[Stock al día]],Tabla1[[#This Row],[Stock al día]],Tabla1[[#This Row],[Necesidad]])</f>
        <v>0</v>
      </c>
      <c r="AQ231" s="3">
        <f>+Tabla1[[#This Row],[Necesidad]]-Tabla1[[#This Row],[Stock Plan]]</f>
        <v>0</v>
      </c>
      <c r="AR231" s="156">
        <f>IFERROR(VLOOKUP(Tabla1[[#This Row],[Oficina]],[22]Ponderación!$B$3:$G$9,6,FALSE),"")</f>
        <v>44757</v>
      </c>
      <c r="AS23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0.92774166666666658</v>
      </c>
      <c r="AT231" s="83">
        <f>IFERROR(VLOOKUP(Tabla1[[#This Row],[Llave]],[17]DELAY!$H:$W,16,FALSE),0)</f>
        <v>0</v>
      </c>
      <c r="AU23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31" s="5">
        <f>+Tabla1[[#This Row],[Plan Ajustado]]*Tabla1[[#This Row],[Precio ponderado]]</f>
        <v>0</v>
      </c>
      <c r="AW231" s="30">
        <f>IFERROR(VLOOKUP(Tabla1[[#This Row],[Llave]],'[13]Ultimos precios facturados'!$A:$G,7,FALSE),0)</f>
        <v>0.92774166666666658</v>
      </c>
      <c r="AX23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31" s="30"/>
      <c r="AZ231" s="30">
        <f>IF(Tabla1[[#This Row],[Ajuste precio IC]]="",Tabla1[[#This Row],[Precio ponderado]],Tabla1[[#This Row],[Precio ponderado]])</f>
        <v>0</v>
      </c>
      <c r="BA231" s="82"/>
      <c r="BB231" s="82" t="str">
        <f>IF(AND(Tabla1[[#This Row],[Atraso a facturar]]&gt;0,Tabla1[[#This Row],[Precio Atraso]]=0),"Revisar","OK")</f>
        <v>OK</v>
      </c>
      <c r="BC231" s="82" t="str">
        <f>IF(AND(Tabla1[[#This Row],[Venta del mes]]&gt;0,Tabla1[[#This Row],[Precio venta nueva]]=0),"Revisar","OK")</f>
        <v>OK</v>
      </c>
      <c r="BD231" s="20">
        <f>IFERROR(VLOOKUP(Tabla1[[#This Row],[Llave]],'[5]Consolidación planes'!$A:$M,9,FALSE),0)</f>
        <v>0</v>
      </c>
      <c r="BE231" s="20">
        <f>IFERROR(VLOOKUP(Tabla1[[#This Row],[Llave]],'[5]Consolidación planes'!$A:$M,10,FALSE),0)</f>
        <v>0</v>
      </c>
      <c r="BF231" s="20">
        <f>IFERROR(VLOOKUP(Tabla1[[#This Row],[Llave]],'[5]Consolidación planes'!$A:$M,11,FALSE),0)</f>
        <v>80</v>
      </c>
      <c r="BG231" s="20">
        <f>IFERROR(VLOOKUP(Tabla1[[#This Row],[Llave]],'[5]Consolidación planes'!$A:$M,12,FALSE),0)</f>
        <v>0</v>
      </c>
      <c r="BH231" s="20">
        <f>IFERROR(VLOOKUP(Tabla1[[#This Row],[Llave]],'[5]Consolidación planes'!$A:$M,13,FALSE),0)</f>
        <v>0</v>
      </c>
      <c r="BI231" s="20">
        <f>IFERROR(VLOOKUP(Tabla1[[#This Row],[Llave]],'[13]Base ultimos planes'!$A:$M,13,FALSE),0)</f>
        <v>0</v>
      </c>
      <c r="BJ231" s="80">
        <f>IFERROR(VLOOKUP(Tabla1[[#This Row],[Llave]],'[13]Base ultimos planes'!$O:$AA,8,FALSE),0)</f>
        <v>0</v>
      </c>
      <c r="BK231" s="20">
        <f>IFERROR(VLOOKUP(Tabla1[[#This Row],[Llave]],'[13]Base ultimos planes'!$O:$AA,9,FALSE),0)</f>
        <v>0</v>
      </c>
      <c r="BL231" s="20">
        <f>IFERROR(VLOOKUP(Tabla1[[#This Row],[Llave]],'[13]Base ultimos planes'!$O:$AA,10,FALSE),0)</f>
        <v>480</v>
      </c>
      <c r="BM231" s="20">
        <f>IFERROR(VLOOKUP(Tabla1[[#This Row],[Llave]],'[13]Base ultimos planes'!$O:$AA,11,FALSE),0)</f>
        <v>0</v>
      </c>
      <c r="BN231" s="20">
        <f>IFERROR(VLOOKUP(Tabla1[[#This Row],[Llave]],'[13]Base ultimos planes'!$O:$AA,12,FALSE),0)</f>
        <v>0</v>
      </c>
      <c r="BO231" s="20">
        <f>IFERROR(VLOOKUP(Tabla1[[#This Row],[Llave]],'[13]Base ultimos planes'!$O:$AA,13,FALSE),0)</f>
        <v>0</v>
      </c>
      <c r="BP231" s="20"/>
      <c r="BQ231" s="20">
        <f>+Tabla1[[#This Row],[ RV  Venta mes n+1]]*(1-Tabla1[[#This Row],[% Uti. producción]])</f>
        <v>0</v>
      </c>
      <c r="BR231" s="100"/>
    </row>
    <row r="232" spans="1:70" ht="16" hidden="1" x14ac:dyDescent="0.2">
      <c r="A232">
        <v>1</v>
      </c>
      <c r="B232" t="str">
        <f>Tabla1[[#This Row],[Oficina]]&amp;Tabla1[[#This Row],[Material]]</f>
        <v>Agro Sudamerica1012699</v>
      </c>
      <c r="C232" t="s">
        <v>227</v>
      </c>
      <c r="D232" t="s">
        <v>17</v>
      </c>
      <c r="E232">
        <v>1012699</v>
      </c>
      <c r="F232" t="s">
        <v>307</v>
      </c>
      <c r="G232" t="s">
        <v>205</v>
      </c>
      <c r="H232" t="s">
        <v>206</v>
      </c>
      <c r="I232" s="7">
        <f>IFERROR(VLOOKUP(Tabla1[[#This Row],[Llave]],'[7]RV Producción'!$C:$G,5,FALSE),0)</f>
        <v>0</v>
      </c>
      <c r="J232" s="3">
        <f>IFERROR(IF(Tabla1[[#This Row],[Oficina]]=$I$7,VLOOKUP(Tabla1[[#This Row],[Llave]],'[7]Shangai (Tomas)'!$A:$F,6,FALSE),VLOOKUP(Tabla1[[#This Row],[Llave]],'[7]RV plan de ventas'!$A:$E,5,FALSE)),0)</f>
        <v>0</v>
      </c>
      <c r="K232" s="8">
        <f>IFERROR(VLOOKUP(Tabla1[[#This Row],[Oficina]],[15]Ponderación!$B$2:$E$9,4,FALSE),0)</f>
        <v>0.45719439678473212</v>
      </c>
      <c r="L232" s="7">
        <f>+Tabla1[[#This Row],[ RV Producción mes n+1]]*Tabla1[[#This Row],[% Uti. producción]]</f>
        <v>0</v>
      </c>
      <c r="M232" s="7">
        <f>IFERROR(VLOOKUP(Tabla1[[#This Row],[Material]],'[17]TD Stock'!$E:$I,5,FALSE),0)</f>
        <v>0</v>
      </c>
      <c r="N232" s="7">
        <f>IFERROR(VLOOKUP(Tabla1[[#This Row],[Material]],[16]Produccion!$M:$N,2,FALSE),0)</f>
        <v>0</v>
      </c>
      <c r="O232" s="7">
        <f>IFERROR(VLOOKUP(Tabla1[[#This Row],[Llave]],'[16]TD Conf-AP'!$I:$M,4,FALSE),0)</f>
        <v>0</v>
      </c>
      <c r="P232" s="14">
        <f>SUM(Tabla1[[#This Row],[Producción disponible]],Tabla1[[#This Row],[Stock al día]],(Tabla1[[#This Row],[Por producir mes N]]*0.9))-Tabla1[[#This Row],[Producción por despachar mes N]]</f>
        <v>0</v>
      </c>
      <c r="Q232" s="7">
        <f>IFERROR(VLOOKUP(Tabla1[[#This Row],[Llave]],[17]DELAY!$A:$D,4,FALSE),0)</f>
        <v>0</v>
      </c>
      <c r="R232" s="9">
        <v>24000</v>
      </c>
      <c r="S232" s="5">
        <f t="shared" si="32"/>
        <v>0</v>
      </c>
      <c r="T232" s="76">
        <v>0</v>
      </c>
      <c r="U232" s="5">
        <f>+Tabla1[[#This Row],[Atraso a facturar]]+Tabla1[[#This Row],[Ajuste atraso]]</f>
        <v>0</v>
      </c>
      <c r="V232" s="3">
        <f>+Tabla1[[#This Row],[Total disponible]]-Tabla1[[#This Row],[Facturación atraso]]</f>
        <v>0</v>
      </c>
      <c r="W232" s="6">
        <f>IFERROR(IF(AND(V232&gt;R232,J232&gt;=R232),ROUNDDOWN((Tabla1[[#This Row],[Producción para venta nueva]])/R232,0)*R232,0),0)</f>
        <v>0</v>
      </c>
      <c r="X232" s="76">
        <v>0</v>
      </c>
      <c r="Y232" s="6">
        <f>IF(Tabla1[[#This Row],[Venta del mes]]&gt;0,Tabla1[[#This Row],[Venta del mes]]+Tabla1[[#This Row],[Ajuste venta nueva]],0)</f>
        <v>0</v>
      </c>
      <c r="Z232" s="6">
        <f>+Tabla1[[#This Row],[Producción para venta nueva]]-Tabla1[[#This Row],[Facturación Venta nueva]]</f>
        <v>0</v>
      </c>
      <c r="AA232" s="6">
        <f>IF(AND(A232=1,Tabla1[[#This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2" s="6"/>
      <c r="AC232" s="6">
        <f>IF(Tabla1[[#This Row],[Disponible stock sin venta]]&gt;0,Tabla1[[#This Row],[Disponible stock sin venta]]+Tabla1[[#This Row],[Ajuste stock sin venta]],0)</f>
        <v>0</v>
      </c>
      <c r="AD232" s="3">
        <f>IFERROR(VLOOKUP(Tabla1[[#This Row],[Llave]],'[16]TD Puerto'!$A:$D,4,FALSE),0)</f>
        <v>0</v>
      </c>
      <c r="AE232" s="3">
        <v>0</v>
      </c>
      <c r="AF232" s="3">
        <f>+Tabla1[[#This Row],[Atraso a facturar]]+Tabla1[[#This Row],[Venta del mes]]+Tabla1[[#This Row],[En puerto a facturar]]+Tabla1[[#This Row],[Disponible stock sin venta]]</f>
        <v>0</v>
      </c>
      <c r="AG232" s="3">
        <f>+Tabla1[[#This Row],[En puerto a facturar]]</f>
        <v>0</v>
      </c>
      <c r="AH232" s="3">
        <f>+Tabla1[[#This Row],[Facturación atraso]]</f>
        <v>0</v>
      </c>
      <c r="AI232" s="3">
        <f>+Tabla1[[#This Row],[Plan Irrestricto]]-Tabla1[[#This Row],[Puerto ]]-Tabla1[[#This Row],[Atraso]]</f>
        <v>0</v>
      </c>
      <c r="AJ23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32" s="3">
        <f>+Tabla1[[#This Row],[Facturación atraso]]</f>
        <v>0</v>
      </c>
      <c r="AL232" s="3">
        <f>+Tabla1[[#This Row],[Plan Ajustado]]-Tabla1[[#This Row],[ Atraso ajustado]]-Tabla1[[#This Row],[Puerto ]]</f>
        <v>0</v>
      </c>
      <c r="AM232" s="3">
        <v>0</v>
      </c>
      <c r="AN232" s="3" t="str">
        <f>IF(Tabla1[[#This Row],[Plan Ajustado]]&gt;Tabla1[[#This Row],[En puerto a facturar]],"Si","No")</f>
        <v>No</v>
      </c>
      <c r="AO23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32" s="3">
        <f>IF(Tabla1[[#This Row],[Necesidad]]&gt;=Tabla1[[#This Row],[Stock al día]],Tabla1[[#This Row],[Stock al día]],Tabla1[[#This Row],[Necesidad]])</f>
        <v>0</v>
      </c>
      <c r="AQ232" s="3">
        <f>+Tabla1[[#This Row],[Necesidad]]-Tabla1[[#This Row],[Stock Plan]]</f>
        <v>0</v>
      </c>
      <c r="AR232" s="156">
        <f>IFERROR(VLOOKUP(Tabla1[[#This Row],[Oficina]],[22]Ponderación!$B$3:$G$9,6,FALSE),"")</f>
        <v>44757</v>
      </c>
      <c r="AS23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0.92774166666666658</v>
      </c>
      <c r="AT232" s="83">
        <f>IFERROR(VLOOKUP(Tabla1[[#This Row],[Llave]],[17]DELAY!$H:$W,16,FALSE),0)</f>
        <v>0</v>
      </c>
      <c r="AU23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32" s="5">
        <f>+Tabla1[[#This Row],[Plan Ajustado]]*Tabla1[[#This Row],[Precio ponderado]]</f>
        <v>0</v>
      </c>
      <c r="AW232" s="30">
        <f>IFERROR(VLOOKUP(Tabla1[[#This Row],[Llave]],'[13]Ultimos precios facturados'!$A:$G,7,FALSE),0)</f>
        <v>0.92774166666666658</v>
      </c>
      <c r="AX23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32" s="30"/>
      <c r="AZ232" s="30">
        <f>IF(Tabla1[[#This Row],[Ajuste precio IC]]="",Tabla1[[#This Row],[Precio ponderado]],Tabla1[[#This Row],[Precio ponderado]])</f>
        <v>0</v>
      </c>
      <c r="BA232" s="82"/>
      <c r="BB232" s="82" t="str">
        <f>IF(AND(Tabla1[[#This Row],[Atraso a facturar]]&gt;0,Tabla1[[#This Row],[Precio Atraso]]=0),"Revisar","OK")</f>
        <v>OK</v>
      </c>
      <c r="BC232" s="82" t="str">
        <f>IF(AND(Tabla1[[#This Row],[Venta del mes]]&gt;0,Tabla1[[#This Row],[Precio venta nueva]]=0),"Revisar","OK")</f>
        <v>OK</v>
      </c>
      <c r="BD232" s="20">
        <f>IFERROR(VLOOKUP(Tabla1[[#This Row],[Llave]],'[5]Consolidación planes'!$A:$M,9,FALSE),0)</f>
        <v>0</v>
      </c>
      <c r="BE232" s="20">
        <f>IFERROR(VLOOKUP(Tabla1[[#This Row],[Llave]],'[5]Consolidación planes'!$A:$M,10,FALSE),0)</f>
        <v>0</v>
      </c>
      <c r="BF232" s="20">
        <f>IFERROR(VLOOKUP(Tabla1[[#This Row],[Llave]],'[5]Consolidación planes'!$A:$M,11,FALSE),0)</f>
        <v>80</v>
      </c>
      <c r="BG232" s="20">
        <f>IFERROR(VLOOKUP(Tabla1[[#This Row],[Llave]],'[5]Consolidación planes'!$A:$M,12,FALSE),0)</f>
        <v>0</v>
      </c>
      <c r="BH232" s="20">
        <f>IFERROR(VLOOKUP(Tabla1[[#This Row],[Llave]],'[5]Consolidación planes'!$A:$M,13,FALSE),0)</f>
        <v>0</v>
      </c>
      <c r="BI232" s="20">
        <f>IFERROR(VLOOKUP(Tabla1[[#This Row],[Llave]],'[13]Base ultimos planes'!$A:$M,13,FALSE),0)</f>
        <v>0</v>
      </c>
      <c r="BJ232" s="80">
        <f>IFERROR(VLOOKUP(Tabla1[[#This Row],[Llave]],'[13]Base ultimos planes'!$O:$AA,8,FALSE),0)</f>
        <v>0</v>
      </c>
      <c r="BK232" s="20">
        <f>IFERROR(VLOOKUP(Tabla1[[#This Row],[Llave]],'[13]Base ultimos planes'!$O:$AA,9,FALSE),0)</f>
        <v>0</v>
      </c>
      <c r="BL232" s="20">
        <f>IFERROR(VLOOKUP(Tabla1[[#This Row],[Llave]],'[13]Base ultimos planes'!$O:$AA,10,FALSE),0)</f>
        <v>520</v>
      </c>
      <c r="BM232" s="20">
        <f>IFERROR(VLOOKUP(Tabla1[[#This Row],[Llave]],'[13]Base ultimos planes'!$O:$AA,11,FALSE),0)</f>
        <v>0</v>
      </c>
      <c r="BN232" s="20">
        <f>IFERROR(VLOOKUP(Tabla1[[#This Row],[Llave]],'[13]Base ultimos planes'!$O:$AA,12,FALSE),0)</f>
        <v>0</v>
      </c>
      <c r="BO232" s="20">
        <f>IFERROR(VLOOKUP(Tabla1[[#This Row],[Llave]],'[13]Base ultimos planes'!$O:$AA,13,FALSE),0)</f>
        <v>0</v>
      </c>
      <c r="BP232" s="20"/>
      <c r="BQ232" s="20">
        <f>+Tabla1[[#This Row],[ RV  Venta mes n+1]]*(1-Tabla1[[#This Row],[% Uti. producción]])</f>
        <v>0</v>
      </c>
      <c r="BR232" s="100"/>
    </row>
    <row r="233" spans="1:70" ht="16" x14ac:dyDescent="0.2">
      <c r="A233">
        <v>1</v>
      </c>
      <c r="B233" t="str">
        <f>Tabla1[[#This Row],[Oficina]]&amp;Tabla1[[#This Row],[Material]]</f>
        <v>Agro Sudamerica1012719</v>
      </c>
      <c r="C233" t="s">
        <v>227</v>
      </c>
      <c r="D233" t="s">
        <v>17</v>
      </c>
      <c r="E233">
        <v>1012719</v>
      </c>
      <c r="F233" t="s">
        <v>236</v>
      </c>
      <c r="G233" t="s">
        <v>233</v>
      </c>
      <c r="H233" t="s">
        <v>234</v>
      </c>
      <c r="I233" s="7">
        <f>IFERROR(VLOOKUP(Tabla1[[#This Row],[Llave]],'[7]RV Producción'!$C:$G,5,FALSE),0)</f>
        <v>348886</v>
      </c>
      <c r="J233" s="3">
        <f>IFERROR(IF(Tabla1[[#This Row],[Oficina]]=$I$7,VLOOKUP(Tabla1[[#This Row],[Llave]],'[7]Shangai (Tomas)'!$A:$F,6,FALSE),VLOOKUP(Tabla1[[#This Row],[Llave]],'[7]RV plan de ventas'!$A:$E,5,FALSE)),0)</f>
        <v>434000</v>
      </c>
      <c r="K233" s="8">
        <v>0.8</v>
      </c>
      <c r="L233" s="7">
        <f>+Tabla1[[#This Row],[ RV Producción mes n+1]]*Tabla1[[#This Row],[% Uti. producción]]</f>
        <v>279108.8</v>
      </c>
      <c r="M233" s="7">
        <f>IFERROR(VLOOKUP(Tabla1[[#This Row],[Material]],'[17]TD Stock'!$E:$I,5,FALSE),0)</f>
        <v>39995.399999999987</v>
      </c>
      <c r="N233" s="7">
        <f>IFERROR(VLOOKUP(Tabla1[[#This Row],[Material]],[16]Produccion!$M:$N,2,FALSE),0)</f>
        <v>78450</v>
      </c>
      <c r="O233" s="7">
        <f>IFERROR(VLOOKUP(Tabla1[[#This Row],[Llave]],'[16]TD Conf-AP'!$I:$M,4,FALSE),0)</f>
        <v>0</v>
      </c>
      <c r="P233" s="14">
        <f>SUM(Tabla1[[#This Row],[Producción disponible]],Tabla1[[#This Row],[Stock al día]],(Tabla1[[#This Row],[Por producir mes N]]*0.9))-Tabla1[[#This Row],[Producción por despachar mes N]]</f>
        <v>389709.19999999995</v>
      </c>
      <c r="Q233" s="7">
        <f>IFERROR(VLOOKUP(Tabla1[[#This Row],[Llave]],[17]DELAY!$A:$D,4,FALSE),0)</f>
        <v>45880</v>
      </c>
      <c r="R233" s="9">
        <v>24000</v>
      </c>
      <c r="S233" s="5">
        <f t="shared" si="32"/>
        <v>45880</v>
      </c>
      <c r="T233" s="76">
        <v>0</v>
      </c>
      <c r="U233" s="5">
        <f>+Tabla1[[#This Row],[Atraso a facturar]]+Tabla1[[#This Row],[Ajuste atraso]]</f>
        <v>45880</v>
      </c>
      <c r="V233" s="3">
        <f>+Tabla1[[#This Row],[Total disponible]]-Tabla1[[#This Row],[Facturación atraso]]</f>
        <v>343829.19999999995</v>
      </c>
      <c r="W233" s="6">
        <f>IFERROR(IF(AND(V233&gt;R233,J233&gt;=R233),ROUNDDOWN((Tabla1[[#This Row],[Producción para venta nueva]])/R233,0)*R233,0),0)</f>
        <v>336000</v>
      </c>
      <c r="X233" s="76">
        <v>0</v>
      </c>
      <c r="Y233" s="6">
        <f>IF(Tabla1[[#This Row],[Venta del mes]]&gt;0,Tabla1[[#This Row],[Venta del mes]]+Tabla1[[#This Row],[Ajuste venta nueva]],0)</f>
        <v>336000</v>
      </c>
      <c r="Z233" s="6">
        <f>+Tabla1[[#This Row],[Producción para venta nueva]]-Tabla1[[#This Row],[Facturación Venta nueva]]</f>
        <v>7829.1999999999534</v>
      </c>
      <c r="AA233" s="6">
        <f>IF(AND(A233=1,Tabla1[[#This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3" s="6"/>
      <c r="AC233" s="6">
        <f>IF(Tabla1[[#This Row],[Disponible stock sin venta]]&gt;0,Tabla1[[#This Row],[Disponible stock sin venta]]+Tabla1[[#This Row],[Ajuste stock sin venta]],0)</f>
        <v>0</v>
      </c>
      <c r="AD233" s="3">
        <f>IFERROR(VLOOKUP(Tabla1[[#This Row],[Llave]],'[16]TD Puerto'!$A:$D,4,FALSE),0)</f>
        <v>0</v>
      </c>
      <c r="AE233" s="3">
        <v>381880</v>
      </c>
      <c r="AF233" s="3">
        <f>+Tabla1[[#This Row],[Atraso a facturar]]+Tabla1[[#This Row],[Venta del mes]]+Tabla1[[#This Row],[En puerto a facturar]]+Tabla1[[#This Row],[Disponible stock sin venta]]</f>
        <v>381880</v>
      </c>
      <c r="AG233" s="3">
        <f>+Tabla1[[#This Row],[En puerto a facturar]]</f>
        <v>0</v>
      </c>
      <c r="AH233" s="3">
        <f>+Tabla1[[#This Row],[Facturación atraso]]</f>
        <v>45880</v>
      </c>
      <c r="AI233" s="3">
        <f>+Tabla1[[#This Row],[Plan Irrestricto]]-Tabla1[[#This Row],[Puerto ]]-Tabla1[[#This Row],[Atraso]]</f>
        <v>336000</v>
      </c>
      <c r="AJ233" s="3">
        <f>IF(Tabla1[[#This Row],[Plan Irrestricto]]&gt;0,SUM(Tabla1[[#This Row],[Facturación atraso]],Tabla1[[#This Row],[Facturación Venta nueva]],Tabla1[[#This Row],[Facturación stock]],Tabla1[[#This Row],[En puerto a facturar]]),0)</f>
        <v>381880</v>
      </c>
      <c r="AK233" s="3">
        <f>+Tabla1[[#This Row],[Facturación atraso]]</f>
        <v>45880</v>
      </c>
      <c r="AL233" s="3">
        <f>+Tabla1[[#This Row],[Plan Ajustado]]-Tabla1[[#This Row],[ Atraso ajustado]]-Tabla1[[#This Row],[Puerto ]]</f>
        <v>336000</v>
      </c>
      <c r="AM233" s="3">
        <v>0</v>
      </c>
      <c r="AN233" s="3" t="str">
        <f>IF(Tabla1[[#This Row],[Plan Ajustado]]&gt;Tabla1[[#This Row],[En puerto a facturar]],"Si","No")</f>
        <v>Si</v>
      </c>
      <c r="AO233" s="3">
        <f>IF(AND(Tabla1[[#This Row],[Plan Ajustado]]&gt;0,Tabla1[[#This Row],[Plan Ajustado]]&gt;Tabla1[[#This Row],[En puerto a facturar]]),(Tabla1[[#This Row],[Plan Ajustado]]-Tabla1[[#This Row],[En puerto a facturar]]),0)</f>
        <v>381880</v>
      </c>
      <c r="AP233" s="3">
        <f>IF(Tabla1[[#This Row],[Necesidad]]&gt;=Tabla1[[#This Row],[Stock al día]],Tabla1[[#This Row],[Stock al día]],Tabla1[[#This Row],[Necesidad]])</f>
        <v>39995.399999999987</v>
      </c>
      <c r="AQ233" s="3">
        <f>+Tabla1[[#This Row],[Necesidad]]-Tabla1[[#This Row],[Stock Plan]]</f>
        <v>341884.60000000003</v>
      </c>
      <c r="AR233" s="156">
        <f>IFERROR(VLOOKUP(Tabla1[[#This Row],[Oficina]],[22]Ponderación!$B$3:$G$9,6,FALSE),"")</f>
        <v>44757</v>
      </c>
      <c r="AS23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0.92</v>
      </c>
      <c r="AT233" s="83">
        <f>IFERROR(VLOOKUP(Tabla1[[#This Row],[Llave]],[17]DELAY!$H:$W,16,FALSE),0)</f>
        <v>0.60986732532150889</v>
      </c>
      <c r="AU23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0.88273989966940092</v>
      </c>
      <c r="AV233" s="5">
        <f>+Tabla1[[#This Row],[Plan Ajustado]]*Tabla1[[#This Row],[Precio ponderado]]</f>
        <v>337100.71288575081</v>
      </c>
      <c r="AW233" s="30">
        <f>IFERROR(VLOOKUP(Tabla1[[#This Row],[Llave]],'[13]Ultimos precios facturados'!$A:$G,7,FALSE),0)</f>
        <v>0.6535970937088772</v>
      </c>
      <c r="AX23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0.35058724735178776</v>
      </c>
      <c r="AY233" s="30"/>
      <c r="AZ233" s="30">
        <f>IF(Tabla1[[#This Row],[Ajuste precio IC]]="",Tabla1[[#This Row],[Precio ponderado]],Tabla1[[#This Row],[Precio ponderado]])</f>
        <v>0.88273989966940092</v>
      </c>
      <c r="BA233" s="82"/>
      <c r="BB233" s="82" t="str">
        <f>IF(AND(Tabla1[[#This Row],[Atraso a facturar]]&gt;0,Tabla1[[#This Row],[Precio Atraso]]=0),"Revisar","OK")</f>
        <v>OK</v>
      </c>
      <c r="BC233" s="82" t="str">
        <f>IF(AND(Tabla1[[#This Row],[Venta del mes]]&gt;0,Tabla1[[#This Row],[Precio venta nueva]]=0),"Revisar","OK")</f>
        <v>OK</v>
      </c>
      <c r="BD233" s="20">
        <f>IFERROR(VLOOKUP(Tabla1[[#This Row],[Llave]],'[5]Consolidación planes'!$A:$M,9,FALSE),0)</f>
        <v>192000</v>
      </c>
      <c r="BE233" s="20">
        <f>IFERROR(VLOOKUP(Tabla1[[#This Row],[Llave]],'[5]Consolidación planes'!$A:$M,10,FALSE),0)</f>
        <v>423600</v>
      </c>
      <c r="BF233" s="20">
        <f>IFERROR(VLOOKUP(Tabla1[[#This Row],[Llave]],'[5]Consolidación planes'!$A:$M,11,FALSE),0)</f>
        <v>357200</v>
      </c>
      <c r="BG233" s="20">
        <f>IFERROR(VLOOKUP(Tabla1[[#This Row],[Llave]],'[5]Consolidación planes'!$A:$M,12,FALSE),0)</f>
        <v>144000</v>
      </c>
      <c r="BH233" s="20">
        <f>IFERROR(VLOOKUP(Tabla1[[#This Row],[Llave]],'[5]Consolidación planes'!$A:$M,13,FALSE),0)</f>
        <v>358600</v>
      </c>
      <c r="BI233" s="20">
        <f>IFERROR(VLOOKUP(Tabla1[[#This Row],[Llave]],'[13]Base ultimos planes'!$A:$M,13,FALSE),0)</f>
        <v>24000</v>
      </c>
      <c r="BJ233" s="80">
        <f>IFERROR(VLOOKUP(Tabla1[[#This Row],[Llave]],'[13]Base ultimos planes'!$O:$AA,8,FALSE),0)</f>
        <v>134400</v>
      </c>
      <c r="BK233" s="20">
        <f>IFERROR(VLOOKUP(Tabla1[[#This Row],[Llave]],'[13]Base ultimos planes'!$O:$AA,9,FALSE),0)</f>
        <v>285844</v>
      </c>
      <c r="BL233" s="20">
        <f>IFERROR(VLOOKUP(Tabla1[[#This Row],[Llave]],'[13]Base ultimos planes'!$O:$AA,10,FALSE),0)</f>
        <v>241660</v>
      </c>
      <c r="BM233" s="20">
        <f>IFERROR(VLOOKUP(Tabla1[[#This Row],[Llave]],'[13]Base ultimos planes'!$O:$AA,11,FALSE),0)</f>
        <v>80640</v>
      </c>
      <c r="BN233" s="20">
        <f>IFERROR(VLOOKUP(Tabla1[[#This Row],[Llave]],'[13]Base ultimos planes'!$O:$AA,12,FALSE),0)</f>
        <v>251432</v>
      </c>
      <c r="BO233" s="20">
        <f>IFERROR(VLOOKUP(Tabla1[[#This Row],[Llave]],'[13]Base ultimos planes'!$O:$AA,13,FALSE),0)</f>
        <v>16965</v>
      </c>
      <c r="BP233" s="20" t="s">
        <v>629</v>
      </c>
      <c r="BQ233" s="20">
        <f>+Tabla1[[#This Row],[ RV  Venta mes n+1]]*(1-Tabla1[[#This Row],[% Uti. producción]])</f>
        <v>86799.999999999985</v>
      </c>
      <c r="BR233" s="100"/>
    </row>
    <row r="234" spans="1:70" ht="16" hidden="1" x14ac:dyDescent="0.2">
      <c r="A234">
        <v>1</v>
      </c>
      <c r="B234" t="str">
        <f>Tabla1[[#This Row],[Oficina]]&amp;Tabla1[[#This Row],[Material]]</f>
        <v>Agro Sudamerica1012744</v>
      </c>
      <c r="C234" t="s">
        <v>227</v>
      </c>
      <c r="D234" t="s">
        <v>17</v>
      </c>
      <c r="E234">
        <v>1012744</v>
      </c>
      <c r="F234" t="s">
        <v>252</v>
      </c>
      <c r="G234" t="s">
        <v>247</v>
      </c>
      <c r="H234" t="s">
        <v>248</v>
      </c>
      <c r="I234" s="7">
        <f>IFERROR(VLOOKUP(Tabla1[[#This Row],[Llave]],'[7]RV Producción'!$C:$G,5,FALSE),0)</f>
        <v>0</v>
      </c>
      <c r="J234" s="3">
        <f>IFERROR(IF(Tabla1[[#This Row],[Oficina]]=$I$7,VLOOKUP(Tabla1[[#This Row],[Llave]],'[7]Shangai (Tomas)'!$A:$F,6,FALSE),VLOOKUP(Tabla1[[#This Row],[Llave]],'[7]RV plan de ventas'!$A:$E,5,FALSE)),0)</f>
        <v>0</v>
      </c>
      <c r="K234" s="8">
        <f>IFERROR(VLOOKUP(Tabla1[[#This Row],[Oficina]],[15]Ponderación!$B$2:$E$9,4,FALSE),0)</f>
        <v>0.45719439678473212</v>
      </c>
      <c r="L234" s="7">
        <f>+Tabla1[[#This Row],[ RV Producción mes n+1]]*Tabla1[[#This Row],[% Uti. producción]]</f>
        <v>0</v>
      </c>
      <c r="M234" s="7">
        <f>IFERROR(VLOOKUP(Tabla1[[#This Row],[Material]],'[17]TD Stock'!$E:$I,5,FALSE),0)</f>
        <v>0</v>
      </c>
      <c r="N234" s="7">
        <f>IFERROR(VLOOKUP(Tabla1[[#This Row],[Material]],[16]Produccion!$M:$N,2,FALSE),0)</f>
        <v>0</v>
      </c>
      <c r="O234" s="7">
        <f>IFERROR(VLOOKUP(Tabla1[[#This Row],[Llave]],'[16]TD Conf-AP'!$I:$M,4,FALSE),0)</f>
        <v>0</v>
      </c>
      <c r="P234" s="14">
        <f>SUM(Tabla1[[#This Row],[Producción disponible]],Tabla1[[#This Row],[Stock al día]],(Tabla1[[#This Row],[Por producir mes N]]*0.9))-Tabla1[[#This Row],[Producción por despachar mes N]]</f>
        <v>0</v>
      </c>
      <c r="Q234" s="7">
        <f>IFERROR(VLOOKUP(Tabla1[[#This Row],[Llave]],[17]DELAY!$A:$D,4,FALSE),0)</f>
        <v>0</v>
      </c>
      <c r="R234" s="9">
        <v>24000</v>
      </c>
      <c r="S234" s="5">
        <f t="shared" si="32"/>
        <v>0</v>
      </c>
      <c r="T234" s="76">
        <v>0</v>
      </c>
      <c r="U234" s="5">
        <f>+Tabla1[[#This Row],[Atraso a facturar]]+Tabla1[[#This Row],[Ajuste atraso]]</f>
        <v>0</v>
      </c>
      <c r="V234" s="3">
        <f>+Tabla1[[#This Row],[Total disponible]]-Tabla1[[#This Row],[Facturación atraso]]</f>
        <v>0</v>
      </c>
      <c r="W234" s="6">
        <f>IFERROR(IF(AND(V234&gt;R234,J234&gt;=R234),ROUNDDOWN((Tabla1[[#This Row],[Producción para venta nueva]])/R234,0)*R234,0),0)</f>
        <v>0</v>
      </c>
      <c r="X234" s="76">
        <v>0</v>
      </c>
      <c r="Y234" s="6">
        <f>IF(Tabla1[[#This Row],[Venta del mes]]&gt;0,Tabla1[[#This Row],[Venta del mes]]+Tabla1[[#This Row],[Ajuste venta nueva]],0)</f>
        <v>0</v>
      </c>
      <c r="Z234" s="6">
        <f>+Tabla1[[#This Row],[Producción para venta nueva]]-Tabla1[[#This Row],[Facturación Venta nueva]]</f>
        <v>0</v>
      </c>
      <c r="AA234" s="6">
        <f>IF(AND(A234=1,Tabla1[[#This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4" s="6"/>
      <c r="AC234" s="6">
        <f>IF(Tabla1[[#This Row],[Disponible stock sin venta]]&gt;0,Tabla1[[#This Row],[Disponible stock sin venta]]+Tabla1[[#This Row],[Ajuste stock sin venta]],0)</f>
        <v>0</v>
      </c>
      <c r="AD234" s="3">
        <f>IFERROR(VLOOKUP(Tabla1[[#This Row],[Llave]],'[16]TD Puerto'!$A:$D,4,FALSE),0)</f>
        <v>0</v>
      </c>
      <c r="AE234" s="3">
        <v>0</v>
      </c>
      <c r="AF234" s="3">
        <f>+Tabla1[[#This Row],[Atraso a facturar]]+Tabla1[[#This Row],[Venta del mes]]+Tabla1[[#This Row],[En puerto a facturar]]+Tabla1[[#This Row],[Disponible stock sin venta]]</f>
        <v>0</v>
      </c>
      <c r="AG234" s="3">
        <f>+Tabla1[[#This Row],[En puerto a facturar]]</f>
        <v>0</v>
      </c>
      <c r="AH234" s="3">
        <f>+Tabla1[[#This Row],[Facturación atraso]]</f>
        <v>0</v>
      </c>
      <c r="AI234" s="3">
        <f>+Tabla1[[#This Row],[Plan Irrestricto]]-Tabla1[[#This Row],[Puerto ]]-Tabla1[[#This Row],[Atraso]]</f>
        <v>0</v>
      </c>
      <c r="AJ23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34" s="3">
        <f>+Tabla1[[#This Row],[Facturación atraso]]</f>
        <v>0</v>
      </c>
      <c r="AL234" s="3">
        <f>+Tabla1[[#This Row],[Plan Ajustado]]-Tabla1[[#This Row],[ Atraso ajustado]]-Tabla1[[#This Row],[Puerto ]]</f>
        <v>0</v>
      </c>
      <c r="AM234" s="3">
        <v>0</v>
      </c>
      <c r="AN234" s="3" t="str">
        <f>IF(Tabla1[[#This Row],[Plan Ajustado]]&gt;Tabla1[[#This Row],[En puerto a facturar]],"Si","No")</f>
        <v>No</v>
      </c>
      <c r="AO23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34" s="3">
        <f>IF(Tabla1[[#This Row],[Necesidad]]&gt;=Tabla1[[#This Row],[Stock al día]],Tabla1[[#This Row],[Stock al día]],Tabla1[[#This Row],[Necesidad]])</f>
        <v>0</v>
      </c>
      <c r="AQ234" s="3">
        <f>+Tabla1[[#This Row],[Necesidad]]-Tabla1[[#This Row],[Stock Plan]]</f>
        <v>0</v>
      </c>
      <c r="AR234" s="156">
        <f>IFERROR(VLOOKUP(Tabla1[[#This Row],[Oficina]],[22]Ponderación!$B$3:$G$9,6,FALSE),"")</f>
        <v>44757</v>
      </c>
      <c r="AS23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3.4128200397882997</v>
      </c>
      <c r="AT234" s="83">
        <f>IFERROR(VLOOKUP(Tabla1[[#This Row],[Llave]],[17]DELAY!$H:$W,16,FALSE),0)</f>
        <v>0</v>
      </c>
      <c r="AU23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34" s="5">
        <f>+Tabla1[[#This Row],[Plan Ajustado]]*Tabla1[[#This Row],[Precio ponderado]]</f>
        <v>0</v>
      </c>
      <c r="AW234" s="30">
        <f>IFERROR(VLOOKUP(Tabla1[[#This Row],[Llave]],'[13]Ultimos precios facturados'!$A:$G,7,FALSE),0)</f>
        <v>3.4128200397882997</v>
      </c>
      <c r="AX23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34" s="30"/>
      <c r="AZ234" s="30">
        <f>IF(Tabla1[[#This Row],[Ajuste precio IC]]="",Tabla1[[#This Row],[Precio ponderado]],Tabla1[[#This Row],[Precio ponderado]])</f>
        <v>0</v>
      </c>
      <c r="BA234" s="82"/>
      <c r="BB234" s="82" t="str">
        <f>IF(AND(Tabla1[[#This Row],[Atraso a facturar]]&gt;0,Tabla1[[#This Row],[Precio Atraso]]=0),"Revisar","OK")</f>
        <v>OK</v>
      </c>
      <c r="BC234" s="82" t="str">
        <f>IF(AND(Tabla1[[#This Row],[Venta del mes]]&gt;0,Tabla1[[#This Row],[Precio venta nueva]]=0),"Revisar","OK")</f>
        <v>OK</v>
      </c>
      <c r="BD234" s="20">
        <f>IFERROR(VLOOKUP(Tabla1[[#This Row],[Llave]],'[5]Consolidación planes'!$A:$M,9,FALSE),0)</f>
        <v>0</v>
      </c>
      <c r="BE234" s="20">
        <f>IFERROR(VLOOKUP(Tabla1[[#This Row],[Llave]],'[5]Consolidación planes'!$A:$M,10,FALSE),0)</f>
        <v>143000</v>
      </c>
      <c r="BF234" s="20">
        <f>IFERROR(VLOOKUP(Tabla1[[#This Row],[Llave]],'[5]Consolidación planes'!$A:$M,11,FALSE),0)</f>
        <v>72000</v>
      </c>
      <c r="BG234" s="20">
        <f>IFERROR(VLOOKUP(Tabla1[[#This Row],[Llave]],'[5]Consolidación planes'!$A:$M,12,FALSE),0)</f>
        <v>24000</v>
      </c>
      <c r="BH234" s="20">
        <f>IFERROR(VLOOKUP(Tabla1[[#This Row],[Llave]],'[5]Consolidación planes'!$A:$M,13,FALSE),0)</f>
        <v>24000</v>
      </c>
      <c r="BI234" s="20">
        <f>IFERROR(VLOOKUP(Tabla1[[#This Row],[Llave]],'[13]Base ultimos planes'!$A:$M,13,FALSE),0)</f>
        <v>0</v>
      </c>
      <c r="BJ234" s="80">
        <f>IFERROR(VLOOKUP(Tabla1[[#This Row],[Llave]],'[13]Base ultimos planes'!$O:$AA,8,FALSE),0)</f>
        <v>0</v>
      </c>
      <c r="BK234" s="20">
        <f>IFERROR(VLOOKUP(Tabla1[[#This Row],[Llave]],'[13]Base ultimos planes'!$O:$AA,9,FALSE),0)</f>
        <v>487469</v>
      </c>
      <c r="BL234" s="20">
        <f>IFERROR(VLOOKUP(Tabla1[[#This Row],[Llave]],'[13]Base ultimos planes'!$O:$AA,10,FALSE),0)</f>
        <v>249600</v>
      </c>
      <c r="BM234" s="20">
        <f>IFERROR(VLOOKUP(Tabla1[[#This Row],[Llave]],'[13]Base ultimos planes'!$O:$AA,11,FALSE),0)</f>
        <v>78000</v>
      </c>
      <c r="BN234" s="20">
        <f>IFERROR(VLOOKUP(Tabla1[[#This Row],[Llave]],'[13]Base ultimos planes'!$O:$AA,12,FALSE),0)</f>
        <v>81600</v>
      </c>
      <c r="BO234" s="20">
        <f>IFERROR(VLOOKUP(Tabla1[[#This Row],[Llave]],'[13]Base ultimos planes'!$O:$AA,13,FALSE),0)</f>
        <v>0</v>
      </c>
      <c r="BP234" s="20"/>
      <c r="BQ234" s="20">
        <f>+Tabla1[[#This Row],[ RV  Venta mes n+1]]*(1-Tabla1[[#This Row],[% Uti. producción]])</f>
        <v>0</v>
      </c>
      <c r="BR234" s="100"/>
    </row>
    <row r="235" spans="1:70" ht="16" x14ac:dyDescent="0.2">
      <c r="A235">
        <v>1</v>
      </c>
      <c r="B235" t="str">
        <f>Tabla1[[#This Row],[Oficina]]&amp;Tabla1[[#This Row],[Material]]</f>
        <v>Agro Sudamerica1012763</v>
      </c>
      <c r="C235" t="s">
        <v>227</v>
      </c>
      <c r="D235" t="s">
        <v>17</v>
      </c>
      <c r="E235">
        <v>1012763</v>
      </c>
      <c r="F235" t="s">
        <v>309</v>
      </c>
      <c r="G235" t="s">
        <v>209</v>
      </c>
      <c r="H235" t="s">
        <v>245</v>
      </c>
      <c r="I235" s="7">
        <f>IFERROR(VLOOKUP(Tabla1[[#This Row],[Llave]],'[7]RV Producción'!$C:$G,5,FALSE),0)</f>
        <v>63748</v>
      </c>
      <c r="J235" s="3">
        <f>IFERROR(IF(Tabla1[[#This Row],[Oficina]]=$I$7,VLOOKUP(Tabla1[[#This Row],[Llave]],'[7]Shangai (Tomas)'!$A:$F,6,FALSE),VLOOKUP(Tabla1[[#This Row],[Llave]],'[7]RV plan de ventas'!$A:$E,5,FALSE)),0)</f>
        <v>48000</v>
      </c>
      <c r="K235" s="8">
        <f>IFERROR(VLOOKUP(Tabla1[[#This Row],[Oficina]],[15]Ponderación!$B$2:$E$9,4,FALSE),0)</f>
        <v>0.45719439678473212</v>
      </c>
      <c r="L235" s="7">
        <f>+Tabla1[[#This Row],[ RV Producción mes n+1]]*Tabla1[[#This Row],[% Uti. producción]]</f>
        <v>29145.228406233102</v>
      </c>
      <c r="M235" s="7">
        <f>IFERROR(VLOOKUP(Tabla1[[#This Row],[Material]],'[17]TD Stock'!$E:$I,5,FALSE),0)</f>
        <v>12761.287</v>
      </c>
      <c r="N235" s="7">
        <f>IFERROR(VLOOKUP(Tabla1[[#This Row],[Material]],[16]Produccion!$M:$N,2,FALSE),0)</f>
        <v>15000</v>
      </c>
      <c r="O235" s="7">
        <f>IFERROR(VLOOKUP(Tabla1[[#This Row],[Llave]],'[16]TD Conf-AP'!$I:$M,4,FALSE),0)</f>
        <v>0</v>
      </c>
      <c r="P235" s="14">
        <f>SUM(Tabla1[[#This Row],[Producción disponible]],Tabla1[[#This Row],[Stock al día]],(Tabla1[[#This Row],[Por producir mes N]]*0.9))-Tabla1[[#This Row],[Producción por despachar mes N]]</f>
        <v>55406.515406233098</v>
      </c>
      <c r="Q235" s="7">
        <f>IFERROR(VLOOKUP(Tabla1[[#This Row],[Llave]],[17]DELAY!$A:$D,4,FALSE),0)</f>
        <v>48000</v>
      </c>
      <c r="R235" s="9">
        <v>24000</v>
      </c>
      <c r="S235" s="5">
        <f t="shared" si="32"/>
        <v>48000</v>
      </c>
      <c r="T235" s="76">
        <v>0</v>
      </c>
      <c r="U235" s="5">
        <f>+Tabla1[[#This Row],[Atraso a facturar]]+Tabla1[[#This Row],[Ajuste atraso]]</f>
        <v>48000</v>
      </c>
      <c r="V235" s="3">
        <f>+Tabla1[[#This Row],[Total disponible]]-Tabla1[[#This Row],[Facturación atraso]]</f>
        <v>7406.5154062330985</v>
      </c>
      <c r="W235" s="6">
        <f>IFERROR(IF(AND(V235&gt;R235,J235&gt;=R235),ROUNDDOWN((Tabla1[[#This Row],[Producción para venta nueva]])/R235,0)*R235,0),0)</f>
        <v>0</v>
      </c>
      <c r="X235" s="76">
        <v>0</v>
      </c>
      <c r="Y235" s="6">
        <f>IF(Tabla1[[#This Row],[Venta del mes]]&gt;0,Tabla1[[#This Row],[Venta del mes]]+Tabla1[[#This Row],[Ajuste venta nueva]],0)</f>
        <v>0</v>
      </c>
      <c r="Z235" s="6">
        <f>+Tabla1[[#This Row],[Producción para venta nueva]]-Tabla1[[#This Row],[Facturación Venta nueva]]</f>
        <v>7406.5154062330985</v>
      </c>
      <c r="AA235" s="6">
        <f>IF(AND(A235=1,Tabla1[[#This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5" s="6"/>
      <c r="AC235" s="6">
        <f>IF(Tabla1[[#This Row],[Disponible stock sin venta]]&gt;0,Tabla1[[#This Row],[Disponible stock sin venta]]+Tabla1[[#This Row],[Ajuste stock sin venta]],0)</f>
        <v>0</v>
      </c>
      <c r="AD235" s="3">
        <f>IFERROR(VLOOKUP(Tabla1[[#This Row],[Llave]],'[16]TD Puerto'!$A:$D,4,FALSE),0)</f>
        <v>0</v>
      </c>
      <c r="AE235" s="3">
        <v>48000</v>
      </c>
      <c r="AF235" s="3">
        <f>+Tabla1[[#This Row],[Atraso a facturar]]+Tabla1[[#This Row],[Venta del mes]]+Tabla1[[#This Row],[En puerto a facturar]]+Tabla1[[#This Row],[Disponible stock sin venta]]</f>
        <v>48000</v>
      </c>
      <c r="AG235" s="3">
        <f>+Tabla1[[#This Row],[En puerto a facturar]]</f>
        <v>0</v>
      </c>
      <c r="AH235" s="3">
        <f>+Tabla1[[#This Row],[Facturación atraso]]</f>
        <v>48000</v>
      </c>
      <c r="AI235" s="3">
        <f>+Tabla1[[#This Row],[Plan Irrestricto]]-Tabla1[[#This Row],[Puerto ]]-Tabla1[[#This Row],[Atraso]]</f>
        <v>0</v>
      </c>
      <c r="AJ235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235" s="3">
        <f>+Tabla1[[#This Row],[Facturación atraso]]</f>
        <v>48000</v>
      </c>
      <c r="AL235" s="3">
        <f>+Tabla1[[#This Row],[Plan Ajustado]]-Tabla1[[#This Row],[ Atraso ajustado]]-Tabla1[[#This Row],[Puerto ]]</f>
        <v>0</v>
      </c>
      <c r="AM235" s="3">
        <v>0</v>
      </c>
      <c r="AN235" s="3" t="str">
        <f>IF(Tabla1[[#This Row],[Plan Ajustado]]&gt;Tabla1[[#This Row],[En puerto a facturar]],"Si","No")</f>
        <v>Si</v>
      </c>
      <c r="AO235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235" s="3">
        <f>IF(Tabla1[[#This Row],[Necesidad]]&gt;=Tabla1[[#This Row],[Stock al día]],Tabla1[[#This Row],[Stock al día]],Tabla1[[#This Row],[Necesidad]])</f>
        <v>12761.287</v>
      </c>
      <c r="AQ235" s="3">
        <f>+Tabla1[[#This Row],[Necesidad]]-Tabla1[[#This Row],[Stock Plan]]</f>
        <v>35238.713000000003</v>
      </c>
      <c r="AR235" s="156">
        <f>IFERROR(VLOOKUP(Tabla1[[#This Row],[Oficina]],[22]Ponderación!$B$3:$G$9,6,FALSE),"")</f>
        <v>44757</v>
      </c>
      <c r="AS23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0.76666666666666705</v>
      </c>
      <c r="AT235" s="83">
        <f>IFERROR(VLOOKUP(Tabla1[[#This Row],[Llave]],[17]DELAY!$H:$W,16,FALSE),0)</f>
        <v>0.92248611111111101</v>
      </c>
      <c r="AU23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0.92248611111111101</v>
      </c>
      <c r="AV235" s="5">
        <f>+Tabla1[[#This Row],[Plan Ajustado]]*Tabla1[[#This Row],[Precio ponderado]]</f>
        <v>44279.333333333328</v>
      </c>
      <c r="AW235" s="30">
        <f>IFERROR(VLOOKUP(Tabla1[[#This Row],[Llave]],'[13]Ultimos precios facturados'!$A:$G,7,FALSE),0)</f>
        <v>0.74240492269485137</v>
      </c>
      <c r="AX235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0.24256464755457705</v>
      </c>
      <c r="AY235" s="30"/>
      <c r="AZ235" s="30">
        <f>IF(Tabla1[[#This Row],[Ajuste precio IC]]="",Tabla1[[#This Row],[Precio ponderado]],Tabla1[[#This Row],[Precio ponderado]])</f>
        <v>0.92248611111111101</v>
      </c>
      <c r="BA235" s="82"/>
      <c r="BB235" s="82" t="str">
        <f>IF(AND(Tabla1[[#This Row],[Atraso a facturar]]&gt;0,Tabla1[[#This Row],[Precio Atraso]]=0),"Revisar","OK")</f>
        <v>OK</v>
      </c>
      <c r="BC235" s="82" t="str">
        <f>IF(AND(Tabla1[[#This Row],[Venta del mes]]&gt;0,Tabla1[[#This Row],[Precio venta nueva]]=0),"Revisar","OK")</f>
        <v>OK</v>
      </c>
      <c r="BD235" s="20">
        <f>IFERROR(VLOOKUP(Tabla1[[#This Row],[Llave]],'[5]Consolidación planes'!$A:$M,9,FALSE),0)</f>
        <v>0</v>
      </c>
      <c r="BE235" s="20">
        <f>IFERROR(VLOOKUP(Tabla1[[#This Row],[Llave]],'[5]Consolidación planes'!$A:$M,10,FALSE),0)</f>
        <v>0</v>
      </c>
      <c r="BF235" s="20">
        <f>IFERROR(VLOOKUP(Tabla1[[#This Row],[Llave]],'[5]Consolidación planes'!$A:$M,11,FALSE),0)</f>
        <v>48000</v>
      </c>
      <c r="BG235" s="20">
        <f>IFERROR(VLOOKUP(Tabla1[[#This Row],[Llave]],'[5]Consolidación planes'!$A:$M,12,FALSE),0)</f>
        <v>48000</v>
      </c>
      <c r="BH235" s="20">
        <f>IFERROR(VLOOKUP(Tabla1[[#This Row],[Llave]],'[5]Consolidación planes'!$A:$M,13,FALSE),0)</f>
        <v>48000</v>
      </c>
      <c r="BI235" s="20">
        <f>IFERROR(VLOOKUP(Tabla1[[#This Row],[Llave]],'[13]Base ultimos planes'!$A:$M,13,FALSE),0)</f>
        <v>48000</v>
      </c>
      <c r="BJ235" s="80">
        <f>IFERROR(VLOOKUP(Tabla1[[#This Row],[Llave]],'[13]Base ultimos planes'!$O:$AA,8,FALSE),0)</f>
        <v>0</v>
      </c>
      <c r="BK235" s="20">
        <f>IFERROR(VLOOKUP(Tabla1[[#This Row],[Llave]],'[13]Base ultimos planes'!$O:$AA,9,FALSE),0)</f>
        <v>0</v>
      </c>
      <c r="BL235" s="20">
        <f>IFERROR(VLOOKUP(Tabla1[[#This Row],[Llave]],'[13]Base ultimos planes'!$O:$AA,10,FALSE),0)</f>
        <v>33600</v>
      </c>
      <c r="BM235" s="20">
        <f>IFERROR(VLOOKUP(Tabla1[[#This Row],[Llave]],'[13]Base ultimos planes'!$O:$AA,11,FALSE),0)</f>
        <v>35760</v>
      </c>
      <c r="BN235" s="20">
        <f>IFERROR(VLOOKUP(Tabla1[[#This Row],[Llave]],'[13]Base ultimos planes'!$O:$AA,12,FALSE),0)</f>
        <v>33334</v>
      </c>
      <c r="BO235" s="20">
        <f>IFERROR(VLOOKUP(Tabla1[[#This Row],[Llave]],'[13]Base ultimos planes'!$O:$AA,13,FALSE),0)</f>
        <v>33539</v>
      </c>
      <c r="BP235" s="20"/>
      <c r="BQ235" s="20">
        <f>+Tabla1[[#This Row],[ RV  Venta mes n+1]]*(1-Tabla1[[#This Row],[% Uti. producción]])</f>
        <v>26054.668954332861</v>
      </c>
      <c r="BR235" s="100"/>
    </row>
    <row r="236" spans="1:70" ht="16" x14ac:dyDescent="0.2">
      <c r="A236">
        <v>1</v>
      </c>
      <c r="B236" t="str">
        <f>Tabla1[[#This Row],[Oficina]]&amp;Tabla1[[#This Row],[Material]]</f>
        <v>Agro Sudamerica1012778</v>
      </c>
      <c r="C236" t="s">
        <v>227</v>
      </c>
      <c r="D236" t="s">
        <v>17</v>
      </c>
      <c r="E236">
        <v>1012778</v>
      </c>
      <c r="F236" t="s">
        <v>327</v>
      </c>
      <c r="G236" t="s">
        <v>209</v>
      </c>
      <c r="H236" t="s">
        <v>228</v>
      </c>
      <c r="I236" s="7">
        <f>IFERROR(VLOOKUP(Tabla1[[#This Row],[Llave]],'[7]RV Producción'!$C:$G,5,FALSE),0)</f>
        <v>0</v>
      </c>
      <c r="J236" s="3">
        <f>IFERROR(IF(Tabla1[[#This Row],[Oficina]]=$I$7,VLOOKUP(Tabla1[[#This Row],[Llave]],'[7]Shangai (Tomas)'!$A:$F,6,FALSE),VLOOKUP(Tabla1[[#This Row],[Llave]],'[7]RV plan de ventas'!$A:$E,5,FALSE)),0)</f>
        <v>0</v>
      </c>
      <c r="K236" s="8">
        <f>IFERROR(VLOOKUP(Tabla1[[#This Row],[Oficina]],[15]Ponderación!$B$2:$E$9,4,FALSE),0)</f>
        <v>0.45719439678473212</v>
      </c>
      <c r="L236" s="7">
        <f>+Tabla1[[#This Row],[ RV Producción mes n+1]]*Tabla1[[#This Row],[% Uti. producción]]</f>
        <v>0</v>
      </c>
      <c r="M236" s="7">
        <f>IFERROR(VLOOKUP(Tabla1[[#This Row],[Material]],'[17]TD Stock'!$E:$I,5,FALSE),0)</f>
        <v>32712.170000000009</v>
      </c>
      <c r="N236" s="7">
        <f>IFERROR(VLOOKUP(Tabla1[[#This Row],[Material]],[16]Produccion!$M:$N,2,FALSE),0)</f>
        <v>0</v>
      </c>
      <c r="O236" s="7">
        <f>IFERROR(VLOOKUP(Tabla1[[#This Row],[Llave]],'[16]TD Conf-AP'!$I:$M,4,FALSE),0)</f>
        <v>0</v>
      </c>
      <c r="P236" s="14">
        <f>SUM(Tabla1[[#This Row],[Producción disponible]],Tabla1[[#This Row],[Stock al día]],(Tabla1[[#This Row],[Por producir mes N]]*0.9))-Tabla1[[#This Row],[Producción por despachar mes N]]</f>
        <v>32712.170000000009</v>
      </c>
      <c r="Q236" s="7">
        <f>IFERROR(VLOOKUP(Tabla1[[#This Row],[Llave]],[17]DELAY!$A:$D,4,FALSE),0)</f>
        <v>17000</v>
      </c>
      <c r="R236" s="9">
        <v>24000</v>
      </c>
      <c r="S236" s="5">
        <f t="shared" si="32"/>
        <v>17000</v>
      </c>
      <c r="T236" s="76">
        <v>0</v>
      </c>
      <c r="U236" s="5">
        <f>+Tabla1[[#This Row],[Atraso a facturar]]+Tabla1[[#This Row],[Ajuste atraso]]</f>
        <v>17000</v>
      </c>
      <c r="V236" s="3">
        <f>+Tabla1[[#This Row],[Total disponible]]-Tabla1[[#This Row],[Facturación atraso]]</f>
        <v>15712.170000000009</v>
      </c>
      <c r="W236" s="6">
        <f>IFERROR(IF(AND(V236&gt;R236,J236&gt;=R236),ROUNDDOWN((Tabla1[[#This Row],[Producción para venta nueva]])/R236,0)*R236,0),0)</f>
        <v>0</v>
      </c>
      <c r="X236" s="76">
        <v>0</v>
      </c>
      <c r="Y236" s="6">
        <f>IF(Tabla1[[#This Row],[Venta del mes]]&gt;0,Tabla1[[#This Row],[Venta del mes]]+Tabla1[[#This Row],[Ajuste venta nueva]],0)</f>
        <v>0</v>
      </c>
      <c r="Z236" s="6">
        <f>+Tabla1[[#This Row],[Producción para venta nueva]]-Tabla1[[#This Row],[Facturación Venta nueva]]</f>
        <v>15712.170000000009</v>
      </c>
      <c r="AA236" s="6">
        <f>IF(AND(A236=1,Tabla1[[#This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6" s="6"/>
      <c r="AC236" s="6">
        <f>IF(Tabla1[[#This Row],[Disponible stock sin venta]]&gt;0,Tabla1[[#This Row],[Disponible stock sin venta]]+Tabla1[[#This Row],[Ajuste stock sin venta]],0)</f>
        <v>0</v>
      </c>
      <c r="AD236" s="3">
        <f>IFERROR(VLOOKUP(Tabla1[[#This Row],[Llave]],'[16]TD Puerto'!$A:$D,4,FALSE),0)</f>
        <v>0</v>
      </c>
      <c r="AE236" s="3">
        <v>17000</v>
      </c>
      <c r="AF236" s="3">
        <f>+Tabla1[[#This Row],[Atraso a facturar]]+Tabla1[[#This Row],[Venta del mes]]+Tabla1[[#This Row],[En puerto a facturar]]+Tabla1[[#This Row],[Disponible stock sin venta]]</f>
        <v>17000</v>
      </c>
      <c r="AG236" s="3">
        <f>+Tabla1[[#This Row],[En puerto a facturar]]</f>
        <v>0</v>
      </c>
      <c r="AH236" s="3">
        <f>+Tabla1[[#This Row],[Facturación atraso]]</f>
        <v>17000</v>
      </c>
      <c r="AI236" s="3">
        <f>+Tabla1[[#This Row],[Plan Irrestricto]]-Tabla1[[#This Row],[Puerto ]]-Tabla1[[#This Row],[Atraso]]</f>
        <v>0</v>
      </c>
      <c r="AJ236" s="3">
        <f>IF(Tabla1[[#This Row],[Plan Irrestricto]]&gt;0,SUM(Tabla1[[#This Row],[Facturación atraso]],Tabla1[[#This Row],[Facturación Venta nueva]],Tabla1[[#This Row],[Facturación stock]],Tabla1[[#This Row],[En puerto a facturar]]),0)</f>
        <v>17000</v>
      </c>
      <c r="AK236" s="3">
        <f>+Tabla1[[#This Row],[Facturación atraso]]</f>
        <v>17000</v>
      </c>
      <c r="AL236" s="3">
        <f>+Tabla1[[#This Row],[Plan Ajustado]]-Tabla1[[#This Row],[ Atraso ajustado]]-Tabla1[[#This Row],[Puerto ]]</f>
        <v>0</v>
      </c>
      <c r="AM236" s="3">
        <v>0</v>
      </c>
      <c r="AN236" s="3" t="str">
        <f>IF(Tabla1[[#This Row],[Plan Ajustado]]&gt;Tabla1[[#This Row],[En puerto a facturar]],"Si","No")</f>
        <v>Si</v>
      </c>
      <c r="AO236" s="3">
        <f>IF(AND(Tabla1[[#This Row],[Plan Ajustado]]&gt;0,Tabla1[[#This Row],[Plan Ajustado]]&gt;Tabla1[[#This Row],[En puerto a facturar]]),(Tabla1[[#This Row],[Plan Ajustado]]-Tabla1[[#This Row],[En puerto a facturar]]),0)</f>
        <v>17000</v>
      </c>
      <c r="AP236" s="3">
        <f>IF(Tabla1[[#This Row],[Necesidad]]&gt;=Tabla1[[#This Row],[Stock al día]],Tabla1[[#This Row],[Stock al día]],Tabla1[[#This Row],[Necesidad]])</f>
        <v>17000</v>
      </c>
      <c r="AQ236" s="3">
        <f>+Tabla1[[#This Row],[Necesidad]]-Tabla1[[#This Row],[Stock Plan]]</f>
        <v>0</v>
      </c>
      <c r="AR236" s="156">
        <f>IFERROR(VLOOKUP(Tabla1[[#This Row],[Oficina]],[22]Ponderación!$B$3:$G$9,6,FALSE),"")</f>
        <v>44757</v>
      </c>
      <c r="AS23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0.75885421527489794</v>
      </c>
      <c r="AT236" s="83">
        <f>IFERROR(VLOOKUP(Tabla1[[#This Row],[Llave]],[17]DELAY!$H:$W,16,FALSE),0)</f>
        <v>0.76630116829268302</v>
      </c>
      <c r="AU23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0.76630116829268302</v>
      </c>
      <c r="AV236" s="5">
        <f>+Tabla1[[#This Row],[Plan Ajustado]]*Tabla1[[#This Row],[Precio ponderado]]</f>
        <v>13027.119860975612</v>
      </c>
      <c r="AW236" s="30">
        <f>IFERROR(VLOOKUP(Tabla1[[#This Row],[Llave]],'[13]Ultimos precios facturados'!$A:$G,7,FALSE),0)</f>
        <v>0.75885421527489794</v>
      </c>
      <c r="AX236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9.8134172122736341E-3</v>
      </c>
      <c r="AY236" s="30"/>
      <c r="AZ236" s="30">
        <f>IF(Tabla1[[#This Row],[Ajuste precio IC]]="",Tabla1[[#This Row],[Precio ponderado]],Tabla1[[#This Row],[Precio ponderado]])</f>
        <v>0.76630116829268302</v>
      </c>
      <c r="BA236" s="82"/>
      <c r="BB236" s="82" t="str">
        <f>IF(AND(Tabla1[[#This Row],[Atraso a facturar]]&gt;0,Tabla1[[#This Row],[Precio Atraso]]=0),"Revisar","OK")</f>
        <v>OK</v>
      </c>
      <c r="BC236" s="82" t="str">
        <f>IF(AND(Tabla1[[#This Row],[Venta del mes]]&gt;0,Tabla1[[#This Row],[Precio venta nueva]]=0),"Revisar","OK")</f>
        <v>OK</v>
      </c>
      <c r="BD236" s="20">
        <f>IFERROR(VLOOKUP(Tabla1[[#This Row],[Llave]],'[5]Consolidación planes'!$A:$M,9,FALSE),0)</f>
        <v>0</v>
      </c>
      <c r="BE236" s="20">
        <f>IFERROR(VLOOKUP(Tabla1[[#This Row],[Llave]],'[5]Consolidación planes'!$A:$M,10,FALSE),0)</f>
        <v>0</v>
      </c>
      <c r="BF236" s="20">
        <f>IFERROR(VLOOKUP(Tabla1[[#This Row],[Llave]],'[5]Consolidación planes'!$A:$M,11,FALSE),0)</f>
        <v>0</v>
      </c>
      <c r="BG236" s="20">
        <f>IFERROR(VLOOKUP(Tabla1[[#This Row],[Llave]],'[5]Consolidación planes'!$A:$M,12,FALSE),0)</f>
        <v>0</v>
      </c>
      <c r="BH236" s="20">
        <f>IFERROR(VLOOKUP(Tabla1[[#This Row],[Llave]],'[5]Consolidación planes'!$A:$M,13,FALSE),0)</f>
        <v>24000</v>
      </c>
      <c r="BI236" s="20">
        <f>IFERROR(VLOOKUP(Tabla1[[#This Row],[Llave]],'[13]Base ultimos planes'!$A:$M,13,FALSE),0)</f>
        <v>24000</v>
      </c>
      <c r="BJ236" s="80">
        <f>IFERROR(VLOOKUP(Tabla1[[#This Row],[Llave]],'[13]Base ultimos planes'!$O:$AA,8,FALSE),0)</f>
        <v>0</v>
      </c>
      <c r="BK236" s="20">
        <f>IFERROR(VLOOKUP(Tabla1[[#This Row],[Llave]],'[13]Base ultimos planes'!$O:$AA,9,FALSE),0)</f>
        <v>0</v>
      </c>
      <c r="BL236" s="20">
        <f>IFERROR(VLOOKUP(Tabla1[[#This Row],[Llave]],'[13]Base ultimos planes'!$O:$AA,10,FALSE),0)</f>
        <v>0</v>
      </c>
      <c r="BM236" s="20">
        <f>IFERROR(VLOOKUP(Tabla1[[#This Row],[Llave]],'[13]Base ultimos planes'!$O:$AA,11,FALSE),0)</f>
        <v>0</v>
      </c>
      <c r="BN236" s="20">
        <f>IFERROR(VLOOKUP(Tabla1[[#This Row],[Llave]],'[13]Base ultimos planes'!$O:$AA,12,FALSE),0)</f>
        <v>12000</v>
      </c>
      <c r="BO236" s="20">
        <f>IFERROR(VLOOKUP(Tabla1[[#This Row],[Llave]],'[13]Base ultimos planes'!$O:$AA,13,FALSE),0)</f>
        <v>16800</v>
      </c>
      <c r="BP236" s="20"/>
      <c r="BQ236" s="20">
        <f>+Tabla1[[#This Row],[ RV  Venta mes n+1]]*(1-Tabla1[[#This Row],[% Uti. producción]])</f>
        <v>0</v>
      </c>
      <c r="BR236" s="100"/>
    </row>
    <row r="237" spans="1:70" ht="16" x14ac:dyDescent="0.2">
      <c r="A237">
        <v>1</v>
      </c>
      <c r="B237" t="str">
        <f>Tabla1[[#This Row],[Oficina]]&amp;Tabla1[[#This Row],[Material]]</f>
        <v>Agrosuper Asia1012012</v>
      </c>
      <c r="C237" t="s">
        <v>227</v>
      </c>
      <c r="D237" t="s">
        <v>173</v>
      </c>
      <c r="E237">
        <v>1012012</v>
      </c>
      <c r="F237" t="s">
        <v>274</v>
      </c>
      <c r="G237" t="s">
        <v>205</v>
      </c>
      <c r="H237" t="s">
        <v>231</v>
      </c>
      <c r="I237" s="7">
        <f>IFERROR(VLOOKUP(Tabla1[[#This Row],[Llave]],'[7]RV Producción'!$C:$G,5,FALSE),0)</f>
        <v>19677</v>
      </c>
      <c r="J237" s="3">
        <f>IFERROR(IF(Tabla1[[#This Row],[Oficina]]=$I$7,VLOOKUP(Tabla1[[#This Row],[Llave]],'[7]Shangai (Tomas)'!$A:$F,6,FALSE),VLOOKUP(Tabla1[[#This Row],[Llave]],'[7]RV plan de ventas'!$A:$E,5,FALSE)),0)</f>
        <v>20000</v>
      </c>
      <c r="K237" s="8">
        <f>IFERROR(VLOOKUP(Tabla1[[#This Row],[Oficina]],[15]Ponderación!$B$2:$E$9,4,FALSE),0)</f>
        <v>0.45719439678473212</v>
      </c>
      <c r="L237" s="7">
        <f>+Tabla1[[#This Row],[ RV Producción mes n+1]]*Tabla1[[#This Row],[% Uti. producción]]</f>
        <v>8996.214145533173</v>
      </c>
      <c r="M237" s="7">
        <f>IFERROR(VLOOKUP(Tabla1[[#This Row],[Material]],'[17]TD Stock'!$E:$I,5,FALSE),0)</f>
        <v>22627.360000000001</v>
      </c>
      <c r="N237" s="7">
        <f>IFERROR(VLOOKUP(Tabla1[[#This Row],[Material]],[16]Produccion!$M:$N,2,FALSE),0)</f>
        <v>0</v>
      </c>
      <c r="O237" s="7">
        <f>IFERROR(VLOOKUP(Tabla1[[#This Row],[Llave]],'[16]TD Conf-AP'!$I:$M,4,FALSE),0)</f>
        <v>0</v>
      </c>
      <c r="P237" s="14">
        <f>SUM(Tabla1[[#This Row],[Producción disponible]],Tabla1[[#This Row],[Stock al día]],(Tabla1[[#This Row],[Por producir mes N]]*0.9))-Tabla1[[#This Row],[Producción por despachar mes N]]</f>
        <v>31623.574145533174</v>
      </c>
      <c r="Q237" s="7">
        <f>IFERROR(VLOOKUP(Tabla1[[#This Row],[Llave]],[17]DELAY!$A:$D,4,FALSE),0)</f>
        <v>37000</v>
      </c>
      <c r="R237" s="9">
        <v>22000</v>
      </c>
      <c r="S237" s="5">
        <f t="shared" si="32"/>
        <v>22000</v>
      </c>
      <c r="T237" s="76">
        <v>0</v>
      </c>
      <c r="U237" s="5">
        <f>+Tabla1[[#This Row],[Atraso a facturar]]+Tabla1[[#This Row],[Ajuste atraso]]</f>
        <v>22000</v>
      </c>
      <c r="V237" s="3">
        <f>+Tabla1[[#This Row],[Total disponible]]-Tabla1[[#This Row],[Facturación atraso]]</f>
        <v>9623.5741455331736</v>
      </c>
      <c r="W237" s="6">
        <f>IFERROR(IF(AND(V237&gt;R237,J237&gt;=R237),ROUNDDOWN((Tabla1[[#This Row],[Producción para venta nueva]])/R237,0)*R237,0),0)</f>
        <v>0</v>
      </c>
      <c r="X237" s="76">
        <v>0</v>
      </c>
      <c r="Y237" s="6">
        <f>IF(Tabla1[[#This Row],[Venta del mes]]&gt;0,Tabla1[[#This Row],[Venta del mes]]+Tabla1[[#This Row],[Ajuste venta nueva]],0)</f>
        <v>0</v>
      </c>
      <c r="Z237" s="6">
        <f>+Tabla1[[#This Row],[Producción para venta nueva]]-Tabla1[[#This Row],[Facturación Venta nueva]]</f>
        <v>9623.5741455331736</v>
      </c>
      <c r="AA237" s="6">
        <f>IF(AND(A237=1,Tabla1[[#This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7" s="6"/>
      <c r="AC237" s="6">
        <f>IF(Tabla1[[#This Row],[Disponible stock sin venta]]&gt;0,Tabla1[[#This Row],[Disponible stock sin venta]]+Tabla1[[#This Row],[Ajuste stock sin venta]],0)</f>
        <v>0</v>
      </c>
      <c r="AD237" s="3">
        <f>IFERROR(VLOOKUP(Tabla1[[#This Row],[Llave]],'[16]TD Puerto'!$A:$D,4,FALSE),0)</f>
        <v>0</v>
      </c>
      <c r="AE237" s="3">
        <v>22000</v>
      </c>
      <c r="AF237" s="3">
        <f>+Tabla1[[#This Row],[Atraso a facturar]]+Tabla1[[#This Row],[Venta del mes]]+Tabla1[[#This Row],[En puerto a facturar]]+Tabla1[[#This Row],[Disponible stock sin venta]]</f>
        <v>22000</v>
      </c>
      <c r="AG237" s="3">
        <f>+Tabla1[[#This Row],[En puerto a facturar]]</f>
        <v>0</v>
      </c>
      <c r="AH237" s="3">
        <f>+Tabla1[[#This Row],[Facturación atraso]]</f>
        <v>22000</v>
      </c>
      <c r="AI237" s="3">
        <f>+Tabla1[[#This Row],[Plan Irrestricto]]-Tabla1[[#This Row],[Puerto ]]-Tabla1[[#This Row],[Atraso]]</f>
        <v>0</v>
      </c>
      <c r="AJ237" s="3">
        <f>IF(Tabla1[[#This Row],[Plan Irrestricto]]&gt;0,SUM(Tabla1[[#This Row],[Facturación atraso]],Tabla1[[#This Row],[Facturación Venta nueva]],Tabla1[[#This Row],[Facturación stock]],Tabla1[[#This Row],[En puerto a facturar]]),0)</f>
        <v>22000</v>
      </c>
      <c r="AK237" s="3">
        <f>+Tabla1[[#This Row],[Facturación atraso]]</f>
        <v>22000</v>
      </c>
      <c r="AL237" s="3">
        <f>+Tabla1[[#This Row],[Plan Ajustado]]-Tabla1[[#This Row],[ Atraso ajustado]]-Tabla1[[#This Row],[Puerto ]]</f>
        <v>0</v>
      </c>
      <c r="AM237" s="3">
        <v>0</v>
      </c>
      <c r="AN237" s="3" t="str">
        <f>IF(Tabla1[[#This Row],[Plan Ajustado]]&gt;Tabla1[[#This Row],[En puerto a facturar]],"Si","No")</f>
        <v>Si</v>
      </c>
      <c r="AO237" s="3">
        <f>IF(AND(Tabla1[[#This Row],[Plan Ajustado]]&gt;0,Tabla1[[#This Row],[Plan Ajustado]]&gt;Tabla1[[#This Row],[En puerto a facturar]]),(Tabla1[[#This Row],[Plan Ajustado]]-Tabla1[[#This Row],[En puerto a facturar]]),0)</f>
        <v>22000</v>
      </c>
      <c r="AP237" s="3">
        <f>IF(Tabla1[[#This Row],[Necesidad]]&gt;=Tabla1[[#This Row],[Stock al día]],Tabla1[[#This Row],[Stock al día]],Tabla1[[#This Row],[Necesidad]])</f>
        <v>22000</v>
      </c>
      <c r="AQ237" s="3">
        <f>+Tabla1[[#This Row],[Necesidad]]-Tabla1[[#This Row],[Stock Plan]]</f>
        <v>0</v>
      </c>
      <c r="AR237" s="156">
        <f>IFERROR(VLOOKUP(Tabla1[[#This Row],[Oficina]],[22]Ponderación!$B$3:$G$9,6,FALSE),"")</f>
        <v>44754</v>
      </c>
      <c r="AS23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6.4665499999999998</v>
      </c>
      <c r="AT237" s="83">
        <f>IFERROR(VLOOKUP(Tabla1[[#This Row],[Llave]],[17]DELAY!$H:$W,16,FALSE),0)</f>
        <v>6.5189189189189189</v>
      </c>
      <c r="AU23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6.5189189189189189</v>
      </c>
      <c r="AV237" s="5">
        <f>+Tabla1[[#This Row],[Plan Ajustado]]*Tabla1[[#This Row],[Precio ponderado]]</f>
        <v>143416.21621621621</v>
      </c>
      <c r="AW237" s="30">
        <f>IFERROR(VLOOKUP(Tabla1[[#This Row],[Llave]],'[13]Ultimos precios facturados'!$A:$G,7,FALSE),0)</f>
        <v>7.2771865449742155</v>
      </c>
      <c r="AX23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0.10419790964118857</v>
      </c>
      <c r="AY237" s="30"/>
      <c r="AZ237" s="30">
        <f>IF(Tabla1[[#This Row],[Ajuste precio IC]]="",Tabla1[[#This Row],[Precio ponderado]],Tabla1[[#This Row],[Precio ponderado]])</f>
        <v>6.5189189189189189</v>
      </c>
      <c r="BA237" s="82"/>
      <c r="BB237" s="82" t="str">
        <f>IF(AND(Tabla1[[#This Row],[Atraso a facturar]]&gt;0,Tabla1[[#This Row],[Precio Atraso]]=0),"Revisar","OK")</f>
        <v>OK</v>
      </c>
      <c r="BC237" s="82" t="str">
        <f>IF(AND(Tabla1[[#This Row],[Venta del mes]]&gt;0,Tabla1[[#This Row],[Precio venta nueva]]=0),"Revisar","OK")</f>
        <v>OK</v>
      </c>
      <c r="BD237" s="20">
        <f>IFERROR(VLOOKUP(Tabla1[[#This Row],[Llave]],'[5]Consolidación planes'!$A:$M,9,FALSE),0)</f>
        <v>108000</v>
      </c>
      <c r="BE237" s="20">
        <f>IFERROR(VLOOKUP(Tabla1[[#This Row],[Llave]],'[5]Consolidación planes'!$A:$M,10,FALSE),0)</f>
        <v>88000</v>
      </c>
      <c r="BF237" s="20">
        <f>IFERROR(VLOOKUP(Tabla1[[#This Row],[Llave]],'[5]Consolidación planes'!$A:$M,11,FALSE),0)</f>
        <v>0</v>
      </c>
      <c r="BG237" s="20">
        <f>IFERROR(VLOOKUP(Tabla1[[#This Row],[Llave]],'[5]Consolidación planes'!$A:$M,12,FALSE),0)</f>
        <v>0</v>
      </c>
      <c r="BH237" s="20">
        <f>IFERROR(VLOOKUP(Tabla1[[#This Row],[Llave]],'[5]Consolidación planes'!$A:$M,13,FALSE),0)</f>
        <v>0</v>
      </c>
      <c r="BI237" s="20">
        <f>IFERROR(VLOOKUP(Tabla1[[#This Row],[Llave]],'[13]Base ultimos planes'!$A:$M,13,FALSE),0)</f>
        <v>19958</v>
      </c>
      <c r="BJ237" s="80">
        <f>IFERROR(VLOOKUP(Tabla1[[#This Row],[Llave]],'[13]Base ultimos planes'!$O:$AA,8,FALSE),0)</f>
        <v>851564.46669999999</v>
      </c>
      <c r="BK237" s="20">
        <f>IFERROR(VLOOKUP(Tabla1[[#This Row],[Llave]],'[13]Base ultimos planes'!$O:$AA,9,FALSE),0)</f>
        <v>445280</v>
      </c>
      <c r="BL237" s="20">
        <f>IFERROR(VLOOKUP(Tabla1[[#This Row],[Llave]],'[13]Base ultimos planes'!$O:$AA,10,FALSE),0)</f>
        <v>0</v>
      </c>
      <c r="BM237" s="20">
        <f>IFERROR(VLOOKUP(Tabla1[[#This Row],[Llave]],'[13]Base ultimos planes'!$O:$AA,11,FALSE),0)</f>
        <v>0</v>
      </c>
      <c r="BN237" s="20">
        <f>IFERROR(VLOOKUP(Tabla1[[#This Row],[Llave]],'[13]Base ultimos planes'!$O:$AA,12,FALSE),0)</f>
        <v>0</v>
      </c>
      <c r="BO237" s="20">
        <f>IFERROR(VLOOKUP(Tabla1[[#This Row],[Llave]],'[13]Base ultimos planes'!$O:$AA,13,FALSE),0)</f>
        <v>146960</v>
      </c>
      <c r="BP237" s="20"/>
      <c r="BQ237" s="20">
        <f>+Tabla1[[#This Row],[ RV  Venta mes n+1]]*(1-Tabla1[[#This Row],[% Uti. producción]])</f>
        <v>10856.112064305358</v>
      </c>
      <c r="BR237" s="100"/>
    </row>
    <row r="238" spans="1:70" ht="16" x14ac:dyDescent="0.2">
      <c r="A238">
        <v>1</v>
      </c>
      <c r="B238" t="str">
        <f>Tabla1[[#This Row],[Oficina]]&amp;Tabla1[[#This Row],[Material]]</f>
        <v>Agrosuper Asia1012612</v>
      </c>
      <c r="C238" t="s">
        <v>227</v>
      </c>
      <c r="D238" t="s">
        <v>173</v>
      </c>
      <c r="E238">
        <v>1012612</v>
      </c>
      <c r="F238" t="s">
        <v>275</v>
      </c>
      <c r="G238" t="s">
        <v>233</v>
      </c>
      <c r="H238" t="s">
        <v>237</v>
      </c>
      <c r="I238" s="7">
        <f>IFERROR(VLOOKUP(Tabla1[[#This Row],[Llave]],'[7]RV Producción'!$C:$G,5,FALSE),0)</f>
        <v>1503671</v>
      </c>
      <c r="J238" s="3">
        <f>IFERROR(IF(Tabla1[[#This Row],[Oficina]]=$I$7,VLOOKUP(Tabla1[[#This Row],[Llave]],'[7]Shangai (Tomas)'!$A:$F,6,FALSE),VLOOKUP(Tabla1[[#This Row],[Llave]],'[7]RV plan de ventas'!$A:$E,5,FALSE)),0)</f>
        <v>1300000</v>
      </c>
      <c r="K238" s="8">
        <v>0.45719439678473212</v>
      </c>
      <c r="L238" s="7">
        <f>+Tabla1[[#This Row],[ RV Producción mes n+1]]*Tabla1[[#This Row],[% Uti. producción]]</f>
        <v>687469.95580769493</v>
      </c>
      <c r="M238" s="7">
        <f>IFERROR(VLOOKUP(Tabla1[[#This Row],[Material]],'[17]TD Stock'!$E:$I,5,FALSE),0)</f>
        <v>135355.07999999999</v>
      </c>
      <c r="N238" s="7">
        <f>IFERROR(VLOOKUP(Tabla1[[#This Row],[Material]],[16]Produccion!$M:$N,2,FALSE),0)</f>
        <v>440000</v>
      </c>
      <c r="O238" s="7">
        <f>IFERROR(VLOOKUP(Tabla1[[#This Row],[Llave]],'[16]TD Conf-AP'!$I:$M,4,FALSE),0)</f>
        <v>0</v>
      </c>
      <c r="P238" s="14">
        <f>SUM(Tabla1[[#This Row],[Producción disponible]],Tabla1[[#This Row],[Stock al día]],(Tabla1[[#This Row],[Por producir mes N]]*0.9))-Tabla1[[#This Row],[Producción por despachar mes N]]</f>
        <v>1218825.0358076948</v>
      </c>
      <c r="Q238" s="7">
        <f>IFERROR(VLOOKUP(Tabla1[[#This Row],[Llave]],[17]DELAY!$A:$D,4,FALSE),0)</f>
        <v>1100000</v>
      </c>
      <c r="R238" s="9">
        <v>25000</v>
      </c>
      <c r="S238" s="5">
        <f t="shared" si="32"/>
        <v>1100000</v>
      </c>
      <c r="T238" s="76">
        <v>-600000</v>
      </c>
      <c r="U238" s="5">
        <f>+Tabla1[[#This Row],[Atraso a facturar]]+Tabla1[[#This Row],[Ajuste atraso]]</f>
        <v>500000</v>
      </c>
      <c r="V238" s="3">
        <f>+Tabla1[[#This Row],[Total disponible]]-Tabla1[[#This Row],[Facturación atraso]]</f>
        <v>718825.03580769477</v>
      </c>
      <c r="W238" s="6">
        <f>IFERROR(IF(AND(V238&gt;R238,J238&gt;=R238),ROUNDDOWN((Tabla1[[#This Row],[Producción para venta nueva]])/R238,0)*R238,0),0)</f>
        <v>700000</v>
      </c>
      <c r="X238" s="76">
        <v>-200000</v>
      </c>
      <c r="Y238" s="6">
        <f>IF(Tabla1[[#This Row],[Venta del mes]]&gt;0,Tabla1[[#This Row],[Venta del mes]]+Tabla1[[#This Row],[Ajuste venta nueva]],0)</f>
        <v>500000</v>
      </c>
      <c r="Z238" s="6">
        <f>+Tabla1[[#This Row],[Producción para venta nueva]]-Tabla1[[#This Row],[Facturación Venta nueva]]</f>
        <v>218825.03580769477</v>
      </c>
      <c r="AA238" s="6">
        <f>IF(AND(A238=1,Tabla1[[#This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8" s="6"/>
      <c r="AC238" s="6">
        <f>IF(Tabla1[[#This Row],[Disponible stock sin venta]]&gt;0,Tabla1[[#This Row],[Disponible stock sin venta]]+Tabla1[[#This Row],[Ajuste stock sin venta]],0)</f>
        <v>0</v>
      </c>
      <c r="AD238" s="3">
        <f>IFERROR(VLOOKUP(Tabla1[[#This Row],[Llave]],'[16]TD Puerto'!$A:$D,4,FALSE),0)</f>
        <v>370324.5</v>
      </c>
      <c r="AE238" s="3">
        <v>1570324.5</v>
      </c>
      <c r="AF238" s="3">
        <f>+Tabla1[[#This Row],[Atraso a facturar]]+Tabla1[[#This Row],[Venta del mes]]+Tabla1[[#This Row],[En puerto a facturar]]+Tabla1[[#This Row],[Disponible stock sin venta]]</f>
        <v>2170324.5</v>
      </c>
      <c r="AG238" s="3">
        <f>+Tabla1[[#This Row],[En puerto a facturar]]</f>
        <v>370324.5</v>
      </c>
      <c r="AH238" s="3">
        <f>+Tabla1[[#This Row],[Facturación atraso]]</f>
        <v>500000</v>
      </c>
      <c r="AI238" s="3">
        <f>+Tabla1[[#This Row],[Plan Irrestricto]]-Tabla1[[#This Row],[Puerto ]]-Tabla1[[#This Row],[Atraso]]</f>
        <v>1300000</v>
      </c>
      <c r="AJ238" s="3">
        <f>IF(Tabla1[[#This Row],[Plan Irrestricto]]&gt;0,SUM(Tabla1[[#This Row],[Facturación atraso]],Tabla1[[#This Row],[Facturación Venta nueva]],Tabla1[[#This Row],[Facturación stock]],Tabla1[[#This Row],[En puerto a facturar]]),0)</f>
        <v>1370324.5</v>
      </c>
      <c r="AK238" s="3">
        <f>+Tabla1[[#This Row],[Facturación atraso]]</f>
        <v>500000</v>
      </c>
      <c r="AL238" s="3">
        <f>+Tabla1[[#This Row],[Plan Ajustado]]-Tabla1[[#This Row],[ Atraso ajustado]]-Tabla1[[#This Row],[Puerto ]]</f>
        <v>500000</v>
      </c>
      <c r="AM238" s="3">
        <v>0</v>
      </c>
      <c r="AN238" s="3" t="str">
        <f>IF(Tabla1[[#This Row],[Plan Ajustado]]&gt;Tabla1[[#This Row],[En puerto a facturar]],"Si","No")</f>
        <v>Si</v>
      </c>
      <c r="AO238" s="3">
        <f>IF(AND(Tabla1[[#This Row],[Plan Ajustado]]&gt;0,Tabla1[[#This Row],[Plan Ajustado]]&gt;Tabla1[[#This Row],[En puerto a facturar]]),(Tabla1[[#This Row],[Plan Ajustado]]-Tabla1[[#This Row],[En puerto a facturar]]),0)</f>
        <v>1000000</v>
      </c>
      <c r="AP238" s="3">
        <f>IF(Tabla1[[#This Row],[Necesidad]]&gt;=Tabla1[[#This Row],[Stock al día]],Tabla1[[#This Row],[Stock al día]],Tabla1[[#This Row],[Necesidad]])</f>
        <v>135355.07999999999</v>
      </c>
      <c r="AQ238" s="3">
        <f>+Tabla1[[#This Row],[Necesidad]]-Tabla1[[#This Row],[Stock Plan]]</f>
        <v>864644.92</v>
      </c>
      <c r="AR238" s="156">
        <f>IFERROR(VLOOKUP(Tabla1[[#This Row],[Oficina]],[22]Ponderación!$B$3:$G$9,6,FALSE),"")</f>
        <v>44754</v>
      </c>
      <c r="AS23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1.03592</v>
      </c>
      <c r="AT238" s="83">
        <f>IFERROR(VLOOKUP(Tabla1[[#This Row],[Llave]],[17]DELAY!$H:$W,16,FALSE),0)</f>
        <v>1.2275710285714301</v>
      </c>
      <c r="AU23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1.1576419611967206</v>
      </c>
      <c r="AV238" s="5">
        <f>+Tabla1[[#This Row],[Plan Ajustado]]*Tabla1[[#This Row],[Precio ponderado]]</f>
        <v>1586345.1416559154</v>
      </c>
      <c r="AW238" s="30">
        <f>IFERROR(VLOOKUP(Tabla1[[#This Row],[Llave]],'[13]Ultimos precios facturados'!$A:$G,7,FALSE),0)</f>
        <v>0.94791242465055459</v>
      </c>
      <c r="AX23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0.22125412758829724</v>
      </c>
      <c r="AY238" s="30"/>
      <c r="AZ238" s="30">
        <f>IF(Tabla1[[#This Row],[Ajuste precio IC]]="",Tabla1[[#This Row],[Precio ponderado]],Tabla1[[#This Row],[Precio ponderado]])</f>
        <v>1.1576419611967206</v>
      </c>
      <c r="BA238" s="82"/>
      <c r="BB238" s="82" t="str">
        <f>IF(AND(Tabla1[[#This Row],[Atraso a facturar]]&gt;0,Tabla1[[#This Row],[Precio Atraso]]=0),"Revisar","OK")</f>
        <v>OK</v>
      </c>
      <c r="BC238" s="82" t="str">
        <f>IF(AND(Tabla1[[#This Row],[Venta del mes]]&gt;0,Tabla1[[#This Row],[Precio venta nueva]]=0),"Revisar","OK")</f>
        <v>OK</v>
      </c>
      <c r="BD238" s="20">
        <f>IFERROR(VLOOKUP(Tabla1[[#This Row],[Llave]],'[5]Consolidación planes'!$A:$M,9,FALSE),0)</f>
        <v>625000</v>
      </c>
      <c r="BE238" s="20">
        <f>IFERROR(VLOOKUP(Tabla1[[#This Row],[Llave]],'[5]Consolidación planes'!$A:$M,10,FALSE),0)</f>
        <v>625000</v>
      </c>
      <c r="BF238" s="20">
        <f>IFERROR(VLOOKUP(Tabla1[[#This Row],[Llave]],'[5]Consolidación planes'!$A:$M,11,FALSE),0)</f>
        <v>950000</v>
      </c>
      <c r="BG238" s="20">
        <f>IFERROR(VLOOKUP(Tabla1[[#This Row],[Llave]],'[5]Consolidación planes'!$A:$M,12,FALSE),0)</f>
        <v>1100000</v>
      </c>
      <c r="BH238" s="20">
        <f>IFERROR(VLOOKUP(Tabla1[[#This Row],[Llave]],'[5]Consolidación planes'!$A:$M,13,FALSE),0)</f>
        <v>1291866</v>
      </c>
      <c r="BI238" s="20">
        <f>IFERROR(VLOOKUP(Tabla1[[#This Row],[Llave]],'[13]Base ultimos planes'!$A:$M,13,FALSE),0)</f>
        <v>1074071</v>
      </c>
      <c r="BJ238" s="80">
        <f>IFERROR(VLOOKUP(Tabla1[[#This Row],[Llave]],'[13]Base ultimos planes'!$O:$AA,8,FALSE),0)</f>
        <v>354215.07679999998</v>
      </c>
      <c r="BK238" s="20">
        <f>IFERROR(VLOOKUP(Tabla1[[#This Row],[Llave]],'[13]Base ultimos planes'!$O:$AA,9,FALSE),0)</f>
        <v>420938</v>
      </c>
      <c r="BL238" s="20">
        <f>IFERROR(VLOOKUP(Tabla1[[#This Row],[Llave]],'[13]Base ultimos planes'!$O:$AA,10,FALSE),0)</f>
        <v>695083</v>
      </c>
      <c r="BM238" s="20">
        <f>IFERROR(VLOOKUP(Tabla1[[#This Row],[Llave]],'[13]Base ultimos planes'!$O:$AA,11,FALSE),0)</f>
        <v>1039305</v>
      </c>
      <c r="BN238" s="20">
        <f>IFERROR(VLOOKUP(Tabla1[[#This Row],[Llave]],'[13]Base ultimos planes'!$O:$AA,12,FALSE),0)</f>
        <v>1122892</v>
      </c>
      <c r="BO238" s="20">
        <f>IFERROR(VLOOKUP(Tabla1[[#This Row],[Llave]],'[13]Base ultimos planes'!$O:$AA,13,FALSE),0)</f>
        <v>1235238</v>
      </c>
      <c r="BP238" s="20"/>
      <c r="BQ238" s="20">
        <f>+Tabla1[[#This Row],[ RV  Venta mes n+1]]*(1-Tabla1[[#This Row],[% Uti. producción]])</f>
        <v>705647.28417984827</v>
      </c>
      <c r="BR238" s="100"/>
    </row>
    <row r="239" spans="1:70" ht="16" x14ac:dyDescent="0.2">
      <c r="A239">
        <v>1</v>
      </c>
      <c r="B239" t="str">
        <f>Tabla1[[#This Row],[Oficina]]&amp;Tabla1[[#This Row],[Material]]</f>
        <v>Agrosuper Brasil1011560</v>
      </c>
      <c r="C239" t="s">
        <v>227</v>
      </c>
      <c r="D239" t="s">
        <v>7</v>
      </c>
      <c r="E239">
        <v>1011560</v>
      </c>
      <c r="F239" t="s">
        <v>299</v>
      </c>
      <c r="G239" t="s">
        <v>209</v>
      </c>
      <c r="H239" t="s">
        <v>228</v>
      </c>
      <c r="I239" s="7">
        <f>IFERROR(VLOOKUP(Tabla1[[#This Row],[Llave]],'[7]RV Producción'!$C:$G,5,FALSE),0)</f>
        <v>17570</v>
      </c>
      <c r="J239" s="3">
        <f>IFERROR(IF(Tabla1[[#This Row],[Oficina]]=$I$7,VLOOKUP(Tabla1[[#This Row],[Llave]],'[7]Shangai (Tomas)'!$A:$F,6,FALSE),VLOOKUP(Tabla1[[#This Row],[Llave]],'[7]RV plan de ventas'!$A:$E,5,FALSE)),0)</f>
        <v>0</v>
      </c>
      <c r="K239" s="8">
        <f>IFERROR(VLOOKUP(Tabla1[[#This Row],[Oficina]],[15]Ponderación!$B$2:$E$9,4,FALSE),0)</f>
        <v>0.81420840482290169</v>
      </c>
      <c r="L239" s="7">
        <f>+Tabla1[[#This Row],[ RV Producción mes n+1]]*Tabla1[[#This Row],[% Uti. producción]]</f>
        <v>14305.641672738382</v>
      </c>
      <c r="M239" s="7">
        <f>IFERROR(VLOOKUP(Tabla1[[#This Row],[Material]],'[17]TD Stock'!$E:$I,5,FALSE),0)</f>
        <v>17856</v>
      </c>
      <c r="N239" s="7">
        <f>IFERROR(VLOOKUP(Tabla1[[#This Row],[Material]],[16]Produccion!$M:$N,2,FALSE),0)</f>
        <v>11643.236615</v>
      </c>
      <c r="O239" s="7">
        <f>IFERROR(VLOOKUP(Tabla1[[#This Row],[Llave]],'[16]TD Conf-AP'!$I:$M,4,FALSE),0)</f>
        <v>0</v>
      </c>
      <c r="P239" s="14">
        <f>SUM(Tabla1[[#This Row],[Producción disponible]],Tabla1[[#This Row],[Stock al día]],(Tabla1[[#This Row],[Por producir mes N]]*0.9))-Tabla1[[#This Row],[Producción por despachar mes N]]</f>
        <v>42640.554626238387</v>
      </c>
      <c r="Q239" s="7">
        <f>IFERROR(VLOOKUP(Tabla1[[#This Row],[Llave]],[17]DELAY!$A:$D,4,FALSE),0)</f>
        <v>48000</v>
      </c>
      <c r="R239" s="9">
        <v>24000</v>
      </c>
      <c r="S239" s="5">
        <f t="shared" si="32"/>
        <v>24000</v>
      </c>
      <c r="T239" s="76">
        <v>0</v>
      </c>
      <c r="U239" s="5">
        <f>+Tabla1[[#This Row],[Atraso a facturar]]+Tabla1[[#This Row],[Ajuste atraso]]</f>
        <v>24000</v>
      </c>
      <c r="V239" s="3">
        <f>+Tabla1[[#This Row],[Total disponible]]-Tabla1[[#This Row],[Facturación atraso]]</f>
        <v>18640.554626238387</v>
      </c>
      <c r="W239" s="6">
        <f>IFERROR(IF(AND(V239&gt;R239,J239&gt;=R239),ROUNDDOWN((Tabla1[[#This Row],[Producción para venta nueva]])/R239,0)*R239,0),0)</f>
        <v>0</v>
      </c>
      <c r="X239" s="76">
        <v>0</v>
      </c>
      <c r="Y239" s="6">
        <f>IF(Tabla1[[#This Row],[Venta del mes]]&gt;0,Tabla1[[#This Row],[Venta del mes]]+Tabla1[[#This Row],[Ajuste venta nueva]],0)</f>
        <v>0</v>
      </c>
      <c r="Z239" s="6">
        <f>+Tabla1[[#This Row],[Producción para venta nueva]]-Tabla1[[#This Row],[Facturación Venta nueva]]</f>
        <v>18640.554626238387</v>
      </c>
      <c r="AA239" s="6">
        <f>IF(AND(A239=1,Tabla1[[#This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39" s="6"/>
      <c r="AC239" s="6">
        <f>IF(Tabla1[[#This Row],[Disponible stock sin venta]]&gt;0,Tabla1[[#This Row],[Disponible stock sin venta]]+Tabla1[[#This Row],[Ajuste stock sin venta]],0)</f>
        <v>0</v>
      </c>
      <c r="AD239" s="3">
        <f>IFERROR(VLOOKUP(Tabla1[[#This Row],[Llave]],'[16]TD Puerto'!$A:$D,4,FALSE),0)</f>
        <v>0</v>
      </c>
      <c r="AE239" s="3">
        <v>24000</v>
      </c>
      <c r="AF239" s="3">
        <f>+Tabla1[[#This Row],[Atraso a facturar]]+Tabla1[[#This Row],[Venta del mes]]+Tabla1[[#This Row],[En puerto a facturar]]+Tabla1[[#This Row],[Disponible stock sin venta]]</f>
        <v>24000</v>
      </c>
      <c r="AG239" s="3">
        <f>+Tabla1[[#This Row],[En puerto a facturar]]</f>
        <v>0</v>
      </c>
      <c r="AH239" s="3">
        <f>+Tabla1[[#This Row],[Facturación atraso]]</f>
        <v>24000</v>
      </c>
      <c r="AI239" s="3">
        <f>+Tabla1[[#This Row],[Plan Irrestricto]]-Tabla1[[#This Row],[Puerto ]]-Tabla1[[#This Row],[Atraso]]</f>
        <v>0</v>
      </c>
      <c r="AJ239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239" s="3">
        <f>+Tabla1[[#This Row],[Facturación atraso]]</f>
        <v>24000</v>
      </c>
      <c r="AL239" s="3">
        <f>+Tabla1[[#This Row],[Plan Ajustado]]-Tabla1[[#This Row],[ Atraso ajustado]]-Tabla1[[#This Row],[Puerto ]]</f>
        <v>0</v>
      </c>
      <c r="AM239" s="3">
        <v>0</v>
      </c>
      <c r="AN239" s="3" t="str">
        <f>IF(Tabla1[[#This Row],[Plan Ajustado]]&gt;Tabla1[[#This Row],[En puerto a facturar]],"Si","No")</f>
        <v>Si</v>
      </c>
      <c r="AO239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239" s="3">
        <f>IF(Tabla1[[#This Row],[Necesidad]]&gt;=Tabla1[[#This Row],[Stock al día]],Tabla1[[#This Row],[Stock al día]],Tabla1[[#This Row],[Necesidad]])</f>
        <v>17856</v>
      </c>
      <c r="AQ239" s="3">
        <f>+Tabla1[[#This Row],[Necesidad]]-Tabla1[[#This Row],[Stock Plan]]</f>
        <v>6144</v>
      </c>
      <c r="AR239" s="156">
        <f>IFERROR(VLOOKUP(Tabla1[[#This Row],[Oficina]],[22]Ponderación!$B$3:$G$9,6,FALSE),"")</f>
        <v>44764</v>
      </c>
      <c r="AS23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2.601064701064701</v>
      </c>
      <c r="AT239" s="83">
        <f>IFERROR(VLOOKUP(Tabla1[[#This Row],[Llave]],[17]DELAY!$H:$W,16,FALSE),0)</f>
        <v>2.8</v>
      </c>
      <c r="AU23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2.8</v>
      </c>
      <c r="AV239" s="5">
        <f>+Tabla1[[#This Row],[Plan Ajustado]]*Tabla1[[#This Row],[Precio ponderado]]</f>
        <v>67200</v>
      </c>
      <c r="AW239" s="30">
        <f>IFERROR(VLOOKUP(Tabla1[[#This Row],[Llave]],'[13]Ultimos precios facturados'!$A:$G,7,FALSE),0)</f>
        <v>2.601064701064701</v>
      </c>
      <c r="AX23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7.6482256998016265E-2</v>
      </c>
      <c r="AY239" s="30"/>
      <c r="AZ239" s="30">
        <f>IF(Tabla1[[#This Row],[Ajuste precio IC]]="",Tabla1[[#This Row],[Precio ponderado]],Tabla1[[#This Row],[Precio ponderado]])</f>
        <v>2.8</v>
      </c>
      <c r="BA239" s="82"/>
      <c r="BB239" s="82" t="str">
        <f>IF(AND(Tabla1[[#This Row],[Atraso a facturar]]&gt;0,Tabla1[[#This Row],[Precio Atraso]]=0),"Revisar","OK")</f>
        <v>OK</v>
      </c>
      <c r="BC239" s="82" t="str">
        <f>IF(AND(Tabla1[[#This Row],[Venta del mes]]&gt;0,Tabla1[[#This Row],[Precio venta nueva]]=0),"Revisar","OK")</f>
        <v>OK</v>
      </c>
      <c r="BD239" s="20">
        <f>IFERROR(VLOOKUP(Tabla1[[#This Row],[Llave]],'[5]Consolidación planes'!$A:$M,9,FALSE),0)</f>
        <v>0</v>
      </c>
      <c r="BE239" s="20">
        <f>IFERROR(VLOOKUP(Tabla1[[#This Row],[Llave]],'[5]Consolidación planes'!$A:$M,10,FALSE),0)</f>
        <v>24000</v>
      </c>
      <c r="BF239" s="20">
        <f>IFERROR(VLOOKUP(Tabla1[[#This Row],[Llave]],'[5]Consolidación planes'!$A:$M,11,FALSE),0)</f>
        <v>0</v>
      </c>
      <c r="BG239" s="20">
        <f>IFERROR(VLOOKUP(Tabla1[[#This Row],[Llave]],'[5]Consolidación planes'!$A:$M,12,FALSE),0)</f>
        <v>0</v>
      </c>
      <c r="BH239" s="20">
        <f>IFERROR(VLOOKUP(Tabla1[[#This Row],[Llave]],'[5]Consolidación planes'!$A:$M,13,FALSE),0)</f>
        <v>24000</v>
      </c>
      <c r="BI239" s="20">
        <f>IFERROR(VLOOKUP(Tabla1[[#This Row],[Llave]],'[13]Base ultimos planes'!$A:$M,13,FALSE),0)</f>
        <v>24000</v>
      </c>
      <c r="BJ239" s="80">
        <f>IFERROR(VLOOKUP(Tabla1[[#This Row],[Llave]],'[13]Base ultimos planes'!$O:$AA,8,FALSE),0)</f>
        <v>0</v>
      </c>
      <c r="BK239" s="20">
        <f>IFERROR(VLOOKUP(Tabla1[[#This Row],[Llave]],'[13]Base ultimos planes'!$O:$AA,9,FALSE),0)</f>
        <v>60000</v>
      </c>
      <c r="BL239" s="20">
        <f>IFERROR(VLOOKUP(Tabla1[[#This Row],[Llave]],'[13]Base ultimos planes'!$O:$AA,10,FALSE),0)</f>
        <v>0</v>
      </c>
      <c r="BM239" s="20">
        <f>IFERROR(VLOOKUP(Tabla1[[#This Row],[Llave]],'[13]Base ultimos planes'!$O:$AA,11,FALSE),0)</f>
        <v>0</v>
      </c>
      <c r="BN239" s="20">
        <f>IFERROR(VLOOKUP(Tabla1[[#This Row],[Llave]],'[13]Base ultimos planes'!$O:$AA,12,FALSE),0)</f>
        <v>60000</v>
      </c>
      <c r="BO239" s="20">
        <f>IFERROR(VLOOKUP(Tabla1[[#This Row],[Llave]],'[13]Base ultimos planes'!$O:$AA,13,FALSE),0)</f>
        <v>64134</v>
      </c>
      <c r="BP239" s="20"/>
      <c r="BQ239" s="20">
        <f>+Tabla1[[#This Row],[ RV  Venta mes n+1]]*(1-Tabla1[[#This Row],[% Uti. producción]])</f>
        <v>0</v>
      </c>
      <c r="BR239" s="100"/>
    </row>
    <row r="240" spans="1:70" ht="16" x14ac:dyDescent="0.2">
      <c r="A240">
        <v>2</v>
      </c>
      <c r="B240" t="str">
        <f>Tabla1[[#This Row],[Oficina]]&amp;Tabla1[[#This Row],[Material]]</f>
        <v>Agrosuper Brasil1012362</v>
      </c>
      <c r="C240" t="s">
        <v>227</v>
      </c>
      <c r="D240" t="s">
        <v>7</v>
      </c>
      <c r="E240">
        <v>1012362</v>
      </c>
      <c r="F240" t="s">
        <v>229</v>
      </c>
      <c r="G240" t="s">
        <v>209</v>
      </c>
      <c r="H240" t="s">
        <v>228</v>
      </c>
      <c r="I240" s="7">
        <f>IFERROR(VLOOKUP(Tabla1[[#This Row],[Llave]],'[7]RV Producción'!$C:$G,5,FALSE),0)</f>
        <v>25923</v>
      </c>
      <c r="J240" s="3">
        <f>IFERROR(IF(Tabla1[[#This Row],[Oficina]]=$I$7,VLOOKUP(Tabla1[[#This Row],[Llave]],'[7]Shangai (Tomas)'!$A:$F,6,FALSE),VLOOKUP(Tabla1[[#This Row],[Llave]],'[7]RV plan de ventas'!$A:$E,5,FALSE)),0)</f>
        <v>0</v>
      </c>
      <c r="K240" s="8">
        <f>IFERROR(VLOOKUP(Tabla1[[#This Row],[Oficina]],[15]Ponderación!$B$2:$E$9,4,FALSE),0)</f>
        <v>0.81420840482290169</v>
      </c>
      <c r="L240" s="7">
        <f>+Tabla1[[#This Row],[ RV Producción mes n+1]]*Tabla1[[#This Row],[% Uti. producción]]</f>
        <v>21106.724478224081</v>
      </c>
      <c r="M240" s="7">
        <f>IFERROR(VLOOKUP(Tabla1[[#This Row],[Material]],'[17]TD Stock'!$E:$I,5,FALSE),0)</f>
        <v>36936</v>
      </c>
      <c r="N240" s="7">
        <f>IFERROR(VLOOKUP(Tabla1[[#This Row],[Material]],[16]Produccion!$M:$N,2,FALSE),0)</f>
        <v>9020</v>
      </c>
      <c r="O240" s="7">
        <f>IFERROR(VLOOKUP(Tabla1[[#This Row],[Llave]],'[16]TD Conf-AP'!$I:$M,4,FALSE),0)</f>
        <v>0</v>
      </c>
      <c r="P240" s="14">
        <f>SUM(Tabla1[[#This Row],[Producción disponible]],Tabla1[[#This Row],[Stock al día]],(Tabla1[[#This Row],[Por producir mes N]]*0.9))-Tabla1[[#This Row],[Producción por despachar mes N]]</f>
        <v>66160.724478224089</v>
      </c>
      <c r="Q240" s="7">
        <f>IFERROR(VLOOKUP(Tabla1[[#This Row],[Llave]],[17]DELAY!$A:$D,4,FALSE),0)</f>
        <v>71990</v>
      </c>
      <c r="R240" s="9">
        <v>24000</v>
      </c>
      <c r="S240" s="5">
        <f t="shared" si="32"/>
        <v>48000</v>
      </c>
      <c r="T240" s="76">
        <v>-24000</v>
      </c>
      <c r="U240" s="5">
        <f>+Tabla1[[#This Row],[Atraso a facturar]]+Tabla1[[#This Row],[Ajuste atraso]]</f>
        <v>24000</v>
      </c>
      <c r="V240" s="3">
        <f>+Tabla1[[#This Row],[Total disponible]]-Tabla1[[#This Row],[Facturación atraso]]</f>
        <v>42160.724478224089</v>
      </c>
      <c r="W240" s="6">
        <f>IFERROR(IF(AND(V240&gt;R240,J240&gt;=R240),ROUNDDOWN((Tabla1[[#This Row],[Producción para venta nueva]])/R240,0)*R240,0),0)</f>
        <v>0</v>
      </c>
      <c r="X240" s="76">
        <v>0</v>
      </c>
      <c r="Y240" s="6">
        <f>IF(Tabla1[[#This Row],[Venta del mes]]&gt;0,Tabla1[[#This Row],[Venta del mes]]+Tabla1[[#This Row],[Ajuste venta nueva]],0)</f>
        <v>0</v>
      </c>
      <c r="Z240" s="6">
        <f>+Tabla1[[#This Row],[Producción para venta nueva]]-Tabla1[[#This Row],[Facturación Venta nueva]]</f>
        <v>42160.724478224089</v>
      </c>
      <c r="AA240" s="6">
        <f>IF(AND(A240=1,Tabla1[[#This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0" s="6"/>
      <c r="AC240" s="6">
        <f>IF(Tabla1[[#This Row],[Disponible stock sin venta]]&gt;0,Tabla1[[#This Row],[Disponible stock sin venta]]+Tabla1[[#This Row],[Ajuste stock sin venta]],0)</f>
        <v>0</v>
      </c>
      <c r="AD240" s="3">
        <f>IFERROR(VLOOKUP(Tabla1[[#This Row],[Llave]],'[16]TD Puerto'!$A:$D,4,FALSE),0)</f>
        <v>0</v>
      </c>
      <c r="AE240" s="3">
        <v>48000</v>
      </c>
      <c r="AF240" s="3">
        <f>+Tabla1[[#This Row],[Atraso a facturar]]+Tabla1[[#This Row],[Venta del mes]]+Tabla1[[#This Row],[En puerto a facturar]]+Tabla1[[#This Row],[Disponible stock sin venta]]</f>
        <v>48000</v>
      </c>
      <c r="AG240" s="3">
        <f>+Tabla1[[#This Row],[En puerto a facturar]]</f>
        <v>0</v>
      </c>
      <c r="AH240" s="3">
        <f>+Tabla1[[#This Row],[Facturación atraso]]</f>
        <v>24000</v>
      </c>
      <c r="AI240" s="3">
        <f>+Tabla1[[#This Row],[Plan Irrestricto]]-Tabla1[[#This Row],[Puerto ]]-Tabla1[[#This Row],[Atraso]]</f>
        <v>24000</v>
      </c>
      <c r="AJ240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240" s="3">
        <f>+Tabla1[[#This Row],[Facturación atraso]]</f>
        <v>24000</v>
      </c>
      <c r="AL240" s="3">
        <f>+Tabla1[[#This Row],[Plan Ajustado]]-Tabla1[[#This Row],[ Atraso ajustado]]-Tabla1[[#This Row],[Puerto ]]</f>
        <v>0</v>
      </c>
      <c r="AM240" s="3">
        <v>0</v>
      </c>
      <c r="AN240" s="3" t="str">
        <f>IF(Tabla1[[#This Row],[Plan Ajustado]]&gt;Tabla1[[#This Row],[En puerto a facturar]],"Si","No")</f>
        <v>Si</v>
      </c>
      <c r="AO240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240" s="3">
        <f>IF(Tabla1[[#This Row],[Necesidad]]&gt;=Tabla1[[#This Row],[Stock al día]],Tabla1[[#This Row],[Stock al día]],Tabla1[[#This Row],[Necesidad]])</f>
        <v>24000</v>
      </c>
      <c r="AQ240" s="3">
        <f>+Tabla1[[#This Row],[Necesidad]]-Tabla1[[#This Row],[Stock Plan]]</f>
        <v>0</v>
      </c>
      <c r="AR240" s="156">
        <f>IFERROR(VLOOKUP(Tabla1[[#This Row],[Oficina]],[22]Ponderación!$B$3:$G$9,6,FALSE),"")</f>
        <v>44764</v>
      </c>
      <c r="AS24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40" s="83">
        <f>IFERROR(VLOOKUP(Tabla1[[#This Row],[Llave]],[17]DELAY!$H:$W,16,FALSE),0)</f>
        <v>2.7000000000000006</v>
      </c>
      <c r="AU24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2.7000000000000006</v>
      </c>
      <c r="AV240" s="5">
        <f>+Tabla1[[#This Row],[Plan Ajustado]]*Tabla1[[#This Row],[Precio ponderado]]</f>
        <v>64800.000000000015</v>
      </c>
      <c r="AW240" s="30">
        <f>IFERROR(VLOOKUP(Tabla1[[#This Row],[Llave]],'[13]Ultimos precios facturados'!$A:$G,7,FALSE),0)</f>
        <v>2.7450484764542935</v>
      </c>
      <c r="AX24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1.6410812719956338E-2</v>
      </c>
      <c r="AY240" s="30"/>
      <c r="AZ240" s="30">
        <f>IF(Tabla1[[#This Row],[Ajuste precio IC]]="",Tabla1[[#This Row],[Precio ponderado]],Tabla1[[#This Row],[Precio ponderado]])</f>
        <v>2.7000000000000006</v>
      </c>
      <c r="BA240" s="82"/>
      <c r="BB240" s="82" t="str">
        <f>IF(AND(Tabla1[[#This Row],[Atraso a facturar]]&gt;0,Tabla1[[#This Row],[Precio Atraso]]=0),"Revisar","OK")</f>
        <v>OK</v>
      </c>
      <c r="BC240" s="82" t="str">
        <f>IF(AND(Tabla1[[#This Row],[Venta del mes]]&gt;0,Tabla1[[#This Row],[Precio venta nueva]]=0),"Revisar","OK")</f>
        <v>OK</v>
      </c>
      <c r="BD240" s="20">
        <f>IFERROR(VLOOKUP(Tabla1[[#This Row],[Llave]],'[5]Consolidación planes'!$A:$M,9,FALSE),0)</f>
        <v>24000</v>
      </c>
      <c r="BE240" s="20">
        <f>IFERROR(VLOOKUP(Tabla1[[#This Row],[Llave]],'[5]Consolidación planes'!$A:$M,10,FALSE),0)</f>
        <v>24000</v>
      </c>
      <c r="BF240" s="20">
        <f>IFERROR(VLOOKUP(Tabla1[[#This Row],[Llave]],'[5]Consolidación planes'!$A:$M,11,FALSE),0)</f>
        <v>47990</v>
      </c>
      <c r="BG240" s="20">
        <f>IFERROR(VLOOKUP(Tabla1[[#This Row],[Llave]],'[5]Consolidación planes'!$A:$M,12,FALSE),0)</f>
        <v>23995</v>
      </c>
      <c r="BH240" s="20">
        <f>IFERROR(VLOOKUP(Tabla1[[#This Row],[Llave]],'[5]Consolidación planes'!$A:$M,13,FALSE),0)</f>
        <v>24000</v>
      </c>
      <c r="BI240" s="20">
        <f>IFERROR(VLOOKUP(Tabla1[[#This Row],[Llave]],'[13]Base ultimos planes'!$A:$M,13,FALSE),0)</f>
        <v>24000</v>
      </c>
      <c r="BJ240" s="80">
        <f>IFERROR(VLOOKUP(Tabla1[[#This Row],[Llave]],'[13]Base ultimos planes'!$O:$AA,8,FALSE),0)</f>
        <v>69600</v>
      </c>
      <c r="BK240" s="20">
        <f>IFERROR(VLOOKUP(Tabla1[[#This Row],[Llave]],'[13]Base ultimos planes'!$O:$AA,9,FALSE),0)</f>
        <v>66400</v>
      </c>
      <c r="BL240" s="20">
        <f>IFERROR(VLOOKUP(Tabla1[[#This Row],[Llave]],'[13]Base ultimos planes'!$O:$AA,10,FALSE),0)</f>
        <v>136772</v>
      </c>
      <c r="BM240" s="20">
        <f>IFERROR(VLOOKUP(Tabla1[[#This Row],[Llave]],'[13]Base ultimos planes'!$O:$AA,11,FALSE),0)</f>
        <v>70785</v>
      </c>
      <c r="BN240" s="20">
        <f>IFERROR(VLOOKUP(Tabla1[[#This Row],[Llave]],'[13]Base ultimos planes'!$O:$AA,12,FALSE),0)</f>
        <v>64800</v>
      </c>
      <c r="BO240" s="20">
        <f>IFERROR(VLOOKUP(Tabla1[[#This Row],[Llave]],'[13]Base ultimos planes'!$O:$AA,13,FALSE),0)</f>
        <v>64800</v>
      </c>
      <c r="BP240" s="20"/>
      <c r="BQ240" s="20">
        <f>+Tabla1[[#This Row],[ RV  Venta mes n+1]]*(1-Tabla1[[#This Row],[% Uti. producción]])</f>
        <v>0</v>
      </c>
      <c r="BR240" s="100"/>
    </row>
    <row r="241" spans="1:70" ht="16" x14ac:dyDescent="0.2">
      <c r="A241">
        <v>1</v>
      </c>
      <c r="B241" t="str">
        <f>Tabla1[[#This Row],[Oficina]]&amp;Tabla1[[#This Row],[Material]]</f>
        <v>Agrosuper Brasil1012674</v>
      </c>
      <c r="C241" t="s">
        <v>227</v>
      </c>
      <c r="D241" t="s">
        <v>7</v>
      </c>
      <c r="E241">
        <v>1012674</v>
      </c>
      <c r="F241" t="s">
        <v>230</v>
      </c>
      <c r="G241" t="s">
        <v>209</v>
      </c>
      <c r="H241" t="s">
        <v>228</v>
      </c>
      <c r="I241" s="7">
        <f>IFERROR(VLOOKUP(Tabla1[[#This Row],[Llave]],'[7]RV Producción'!$C:$G,5,FALSE),0)</f>
        <v>56200</v>
      </c>
      <c r="J241" s="3">
        <f>IFERROR(IF(Tabla1[[#This Row],[Oficina]]=$I$7,VLOOKUP(Tabla1[[#This Row],[Llave]],'[7]Shangai (Tomas)'!$A:$F,6,FALSE),VLOOKUP(Tabla1[[#This Row],[Llave]],'[7]RV plan de ventas'!$A:$E,5,FALSE)),0)</f>
        <v>0</v>
      </c>
      <c r="K241" s="8">
        <f>IFERROR(VLOOKUP(Tabla1[[#This Row],[Oficina]],[15]Ponderación!$B$2:$E$9,4,FALSE),0)</f>
        <v>0.81420840482290169</v>
      </c>
      <c r="L241" s="7">
        <f>+Tabla1[[#This Row],[ RV Producción mes n+1]]*Tabla1[[#This Row],[% Uti. producción]]</f>
        <v>45758.512351047073</v>
      </c>
      <c r="M241" s="7">
        <f>IFERROR(VLOOKUP(Tabla1[[#This Row],[Material]],'[17]TD Stock'!$E:$I,5,FALSE),0)</f>
        <v>24418.751</v>
      </c>
      <c r="N241" s="7">
        <f>IFERROR(VLOOKUP(Tabla1[[#This Row],[Material]],[16]Produccion!$M:$N,2,FALSE),0)</f>
        <v>15000</v>
      </c>
      <c r="O241" s="7">
        <f>IFERROR(VLOOKUP(Tabla1[[#This Row],[Llave]],'[16]TD Conf-AP'!$I:$M,4,FALSE),0)</f>
        <v>0</v>
      </c>
      <c r="P241" s="14">
        <f>SUM(Tabla1[[#This Row],[Producción disponible]],Tabla1[[#This Row],[Stock al día]],(Tabla1[[#This Row],[Por producir mes N]]*0.9))-Tabla1[[#This Row],[Producción por despachar mes N]]</f>
        <v>83677.263351047077</v>
      </c>
      <c r="Q241" s="7">
        <f>IFERROR(VLOOKUP(Tabla1[[#This Row],[Llave]],[17]DELAY!$A:$D,4,FALSE),0)</f>
        <v>119980</v>
      </c>
      <c r="R241" s="9">
        <v>24000</v>
      </c>
      <c r="S241" s="5">
        <f t="shared" si="32"/>
        <v>72000</v>
      </c>
      <c r="T241" s="76">
        <v>-24000</v>
      </c>
      <c r="U241" s="5">
        <f>+Tabla1[[#This Row],[Atraso a facturar]]+Tabla1[[#This Row],[Ajuste atraso]]</f>
        <v>48000</v>
      </c>
      <c r="V241" s="3">
        <f>+Tabla1[[#This Row],[Total disponible]]-Tabla1[[#This Row],[Facturación atraso]]</f>
        <v>35677.263351047077</v>
      </c>
      <c r="W241" s="6">
        <f>IFERROR(IF(AND(V241&gt;R241,J241&gt;=R241),ROUNDDOWN((Tabla1[[#This Row],[Producción para venta nueva]])/R241,0)*R241,0),0)</f>
        <v>0</v>
      </c>
      <c r="X241" s="76">
        <v>0</v>
      </c>
      <c r="Y241" s="6">
        <f>IF(Tabla1[[#This Row],[Venta del mes]]&gt;0,Tabla1[[#This Row],[Venta del mes]]+Tabla1[[#This Row],[Ajuste venta nueva]],0)</f>
        <v>0</v>
      </c>
      <c r="Z241" s="6">
        <f>+Tabla1[[#This Row],[Producción para venta nueva]]-Tabla1[[#This Row],[Facturación Venta nueva]]</f>
        <v>35677.263351047077</v>
      </c>
      <c r="AA241" s="6">
        <f>IF(AND(A241=1,Tabla1[[#This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1" s="6"/>
      <c r="AC241" s="6">
        <f>IF(Tabla1[[#This Row],[Disponible stock sin venta]]&gt;0,Tabla1[[#This Row],[Disponible stock sin venta]]+Tabla1[[#This Row],[Ajuste stock sin venta]],0)</f>
        <v>0</v>
      </c>
      <c r="AD241" s="3">
        <f>IFERROR(VLOOKUP(Tabla1[[#This Row],[Llave]],'[16]TD Puerto'!$A:$D,4,FALSE),0)</f>
        <v>0</v>
      </c>
      <c r="AE241" s="3">
        <v>72000</v>
      </c>
      <c r="AF241" s="3">
        <f>+Tabla1[[#This Row],[Atraso a facturar]]+Tabla1[[#This Row],[Venta del mes]]+Tabla1[[#This Row],[En puerto a facturar]]+Tabla1[[#This Row],[Disponible stock sin venta]]</f>
        <v>72000</v>
      </c>
      <c r="AG241" s="3">
        <f>+Tabla1[[#This Row],[En puerto a facturar]]</f>
        <v>0</v>
      </c>
      <c r="AH241" s="3">
        <f>+Tabla1[[#This Row],[Facturación atraso]]</f>
        <v>48000</v>
      </c>
      <c r="AI241" s="3">
        <f>+Tabla1[[#This Row],[Plan Irrestricto]]-Tabla1[[#This Row],[Puerto ]]-Tabla1[[#This Row],[Atraso]]</f>
        <v>24000</v>
      </c>
      <c r="AJ241" s="3">
        <f>IF(Tabla1[[#This Row],[Plan Irrestricto]]&gt;0,SUM(Tabla1[[#This Row],[Facturación atraso]],Tabla1[[#This Row],[Facturación Venta nueva]],Tabla1[[#This Row],[Facturación stock]],Tabla1[[#This Row],[En puerto a facturar]]),0)</f>
        <v>48000</v>
      </c>
      <c r="AK241" s="3">
        <f>+Tabla1[[#This Row],[Facturación atraso]]</f>
        <v>48000</v>
      </c>
      <c r="AL241" s="3">
        <f>+Tabla1[[#This Row],[Plan Ajustado]]-Tabla1[[#This Row],[ Atraso ajustado]]-Tabla1[[#This Row],[Puerto ]]</f>
        <v>0</v>
      </c>
      <c r="AM241" s="3">
        <v>0</v>
      </c>
      <c r="AN241" s="3" t="str">
        <f>IF(Tabla1[[#This Row],[Plan Ajustado]]&gt;Tabla1[[#This Row],[En puerto a facturar]],"Si","No")</f>
        <v>Si</v>
      </c>
      <c r="AO241" s="3">
        <f>IF(AND(Tabla1[[#This Row],[Plan Ajustado]]&gt;0,Tabla1[[#This Row],[Plan Ajustado]]&gt;Tabla1[[#This Row],[En puerto a facturar]]),(Tabla1[[#This Row],[Plan Ajustado]]-Tabla1[[#This Row],[En puerto a facturar]]),0)</f>
        <v>48000</v>
      </c>
      <c r="AP241" s="3">
        <f>IF(Tabla1[[#This Row],[Necesidad]]&gt;=Tabla1[[#This Row],[Stock al día]],Tabla1[[#This Row],[Stock al día]],Tabla1[[#This Row],[Necesidad]])</f>
        <v>24418.751</v>
      </c>
      <c r="AQ241" s="3">
        <f>+Tabla1[[#This Row],[Necesidad]]-Tabla1[[#This Row],[Stock Plan]]</f>
        <v>23581.249</v>
      </c>
      <c r="AR241" s="156">
        <f>IFERROR(VLOOKUP(Tabla1[[#This Row],[Oficina]],[22]Ponderación!$B$3:$G$9,6,FALSE),"")</f>
        <v>44764</v>
      </c>
      <c r="AS24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2.5971795312677273</v>
      </c>
      <c r="AT241" s="83">
        <f>IFERROR(VLOOKUP(Tabla1[[#This Row],[Llave]],[17]DELAY!$H:$W,16,FALSE),0)</f>
        <v>2.4800008334722454</v>
      </c>
      <c r="AU24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2.4800008334722454</v>
      </c>
      <c r="AV241" s="5">
        <f>+Tabla1[[#This Row],[Plan Ajustado]]*Tabla1[[#This Row],[Precio ponderado]]</f>
        <v>119040.04000666778</v>
      </c>
      <c r="AW241" s="30">
        <f>IFERROR(VLOOKUP(Tabla1[[#This Row],[Llave]],'[13]Ultimos precios facturados'!$A:$G,7,FALSE),0)</f>
        <v>2.5971795312677273</v>
      </c>
      <c r="AX241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4.5117673377891188E-2</v>
      </c>
      <c r="AY241" s="30"/>
      <c r="AZ241" s="30">
        <f>IF(Tabla1[[#This Row],[Ajuste precio IC]]="",Tabla1[[#This Row],[Precio ponderado]],Tabla1[[#This Row],[Precio ponderado]])</f>
        <v>2.4800008334722454</v>
      </c>
      <c r="BA241" s="82"/>
      <c r="BB241" s="82" t="str">
        <f>IF(AND(Tabla1[[#This Row],[Atraso a facturar]]&gt;0,Tabla1[[#This Row],[Precio Atraso]]=0),"Revisar","OK")</f>
        <v>OK</v>
      </c>
      <c r="BC241" s="82" t="str">
        <f>IF(AND(Tabla1[[#This Row],[Venta del mes]]&gt;0,Tabla1[[#This Row],[Precio venta nueva]]=0),"Revisar","OK")</f>
        <v>OK</v>
      </c>
      <c r="BD241" s="20">
        <f>IFERROR(VLOOKUP(Tabla1[[#This Row],[Llave]],'[5]Consolidación planes'!$A:$M,9,FALSE),0)</f>
        <v>24000</v>
      </c>
      <c r="BE241" s="20">
        <f>IFERROR(VLOOKUP(Tabla1[[#This Row],[Llave]],'[5]Consolidación planes'!$A:$M,10,FALSE),0)</f>
        <v>72000</v>
      </c>
      <c r="BF241" s="20">
        <f>IFERROR(VLOOKUP(Tabla1[[#This Row],[Llave]],'[5]Consolidación planes'!$A:$M,11,FALSE),0)</f>
        <v>24000</v>
      </c>
      <c r="BG241" s="20">
        <f>IFERROR(VLOOKUP(Tabla1[[#This Row],[Llave]],'[5]Consolidación planes'!$A:$M,12,FALSE),0)</f>
        <v>23995</v>
      </c>
      <c r="BH241" s="20">
        <f>IFERROR(VLOOKUP(Tabla1[[#This Row],[Llave]],'[5]Consolidación planes'!$A:$M,13,FALSE),0)</f>
        <v>24000</v>
      </c>
      <c r="BI241" s="20">
        <f>IFERROR(VLOOKUP(Tabla1[[#This Row],[Llave]],'[13]Base ultimos planes'!$A:$M,13,FALSE),0)</f>
        <v>48000</v>
      </c>
      <c r="BJ241" s="80">
        <f>IFERROR(VLOOKUP(Tabla1[[#This Row],[Llave]],'[13]Base ultimos planes'!$O:$AA,8,FALSE),0)</f>
        <v>64800</v>
      </c>
      <c r="BK241" s="20">
        <f>IFERROR(VLOOKUP(Tabla1[[#This Row],[Llave]],'[13]Base ultimos planes'!$O:$AA,9,FALSE),0)</f>
        <v>184509</v>
      </c>
      <c r="BL241" s="20">
        <f>IFERROR(VLOOKUP(Tabla1[[#This Row],[Llave]],'[13]Base ultimos planes'!$O:$AA,10,FALSE),0)</f>
        <v>64800</v>
      </c>
      <c r="BM241" s="20">
        <f>IFERROR(VLOOKUP(Tabla1[[#This Row],[Llave]],'[13]Base ultimos planes'!$O:$AA,11,FALSE),0)</f>
        <v>63587</v>
      </c>
      <c r="BN241" s="20">
        <f>IFERROR(VLOOKUP(Tabla1[[#This Row],[Llave]],'[13]Base ultimos planes'!$O:$AA,12,FALSE),0)</f>
        <v>60000</v>
      </c>
      <c r="BO241" s="20">
        <f>IFERROR(VLOOKUP(Tabla1[[#This Row],[Llave]],'[13]Base ultimos planes'!$O:$AA,13,FALSE),0)</f>
        <v>119200</v>
      </c>
      <c r="BP241" s="20"/>
      <c r="BQ241" s="20">
        <f>+Tabla1[[#This Row],[ RV  Venta mes n+1]]*(1-Tabla1[[#This Row],[% Uti. producción]])</f>
        <v>0</v>
      </c>
      <c r="BR241" s="100"/>
    </row>
    <row r="242" spans="1:70" ht="16" hidden="1" x14ac:dyDescent="0.2">
      <c r="A242">
        <v>2</v>
      </c>
      <c r="B242" t="str">
        <f>Tabla1[[#This Row],[Oficina]]&amp;Tabla1[[#This Row],[Material]]</f>
        <v>Agrosuper Shanghai1011586</v>
      </c>
      <c r="C242" t="s">
        <v>227</v>
      </c>
      <c r="D242" t="s">
        <v>140</v>
      </c>
      <c r="E242">
        <v>1011586</v>
      </c>
      <c r="F242" t="s">
        <v>262</v>
      </c>
      <c r="G242" t="s">
        <v>205</v>
      </c>
      <c r="H242" t="s">
        <v>231</v>
      </c>
      <c r="I242" s="7">
        <f>IFERROR(VLOOKUP(Tabla1[[#This Row],[Llave]],'[7]RV Producción'!$C:$G,5,FALSE),0)</f>
        <v>0</v>
      </c>
      <c r="J242" s="3">
        <f>IFERROR(IF(Tabla1[[#This Row],[Oficina]]=$I$7,VLOOKUP(Tabla1[[#This Row],[Llave]],'[7]Shangai (Tomas)'!$A:$F,6,FALSE),VLOOKUP(Tabla1[[#This Row],[Llave]],'[7]RV plan de ventas'!$A:$E,5,FALSE)),0)</f>
        <v>0</v>
      </c>
      <c r="K242" s="8">
        <f>IFERROR(VLOOKUP(Tabla1[[#This Row],[Oficina]],[15]Ponderación!$B$2:$E$9,4,FALSE),0)</f>
        <v>0.45719439678473212</v>
      </c>
      <c r="L242" s="7">
        <f>+Tabla1[[#This Row],[ RV Producción mes n+1]]*Tabla1[[#This Row],[% Uti. producción]]</f>
        <v>0</v>
      </c>
      <c r="M242" s="7">
        <f>IFERROR(VLOOKUP(Tabla1[[#This Row],[Material]],'[17]TD Stock'!$E:$I,5,FALSE),0)</f>
        <v>7749.4079999999985</v>
      </c>
      <c r="N242" s="7">
        <f>IFERROR(VLOOKUP(Tabla1[[#This Row],[Material]],[16]Produccion!$M:$N,2,FALSE),0)</f>
        <v>10000</v>
      </c>
      <c r="O242" s="7">
        <f>IFERROR(VLOOKUP(Tabla1[[#This Row],[Llave]],'[16]TD Conf-AP'!$I:$M,4,FALSE),0)</f>
        <v>0</v>
      </c>
      <c r="P242" s="14">
        <f>SUM(Tabla1[[#This Row],[Producción disponible]],Tabla1[[#This Row],[Stock al día]],(Tabla1[[#This Row],[Por producir mes N]]*0.9))-Tabla1[[#This Row],[Producción por despachar mes N]]</f>
        <v>16749.407999999999</v>
      </c>
      <c r="Q242" s="7">
        <f>IFERROR(VLOOKUP(Tabla1[[#This Row],[Llave]],[17]DELAY!$A:$D,4,FALSE),0)</f>
        <v>0</v>
      </c>
      <c r="R242" s="9">
        <v>24000</v>
      </c>
      <c r="S242" s="5">
        <f t="shared" si="32"/>
        <v>0</v>
      </c>
      <c r="T242" s="76">
        <v>0</v>
      </c>
      <c r="U242" s="5">
        <f>+Tabla1[[#This Row],[Atraso a facturar]]+Tabla1[[#This Row],[Ajuste atraso]]</f>
        <v>0</v>
      </c>
      <c r="V242" s="3">
        <f>+Tabla1[[#This Row],[Total disponible]]-Tabla1[[#This Row],[Facturación atraso]]</f>
        <v>16749.407999999999</v>
      </c>
      <c r="W242" s="6">
        <f>IFERROR(IF(AND(V242&gt;R242,J242&gt;=R242),ROUNDDOWN((Tabla1[[#This Row],[Producción para venta nueva]])/R242,0)*R242,0),0)</f>
        <v>0</v>
      </c>
      <c r="X242" s="76">
        <v>0</v>
      </c>
      <c r="Y242" s="6">
        <f>IF(Tabla1[[#This Row],[Venta del mes]]&gt;0,Tabla1[[#This Row],[Venta del mes]]+Tabla1[[#This Row],[Ajuste venta nueva]],0)</f>
        <v>0</v>
      </c>
      <c r="Z242" s="6">
        <f>+Tabla1[[#This Row],[Producción para venta nueva]]-Tabla1[[#This Row],[Facturación Venta nueva]]</f>
        <v>16749.407999999999</v>
      </c>
      <c r="AA242" s="6">
        <f>IF(AND(A242=1,Tabla1[[#This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2" s="6"/>
      <c r="AC242" s="6">
        <f>IF(Tabla1[[#This Row],[Disponible stock sin venta]]&gt;0,Tabla1[[#This Row],[Disponible stock sin venta]]+Tabla1[[#This Row],[Ajuste stock sin venta]],0)</f>
        <v>0</v>
      </c>
      <c r="AD242" s="3">
        <f>IFERROR(VLOOKUP(Tabla1[[#This Row],[Llave]],'[16]TD Puerto'!$A:$D,4,FALSE),0)</f>
        <v>0</v>
      </c>
      <c r="AE242" s="3">
        <v>0</v>
      </c>
      <c r="AF242" s="3">
        <f>+Tabla1[[#This Row],[Atraso a facturar]]+Tabla1[[#This Row],[Venta del mes]]+Tabla1[[#This Row],[En puerto a facturar]]+Tabla1[[#This Row],[Disponible stock sin venta]]</f>
        <v>0</v>
      </c>
      <c r="AG242" s="3">
        <f>+Tabla1[[#This Row],[En puerto a facturar]]</f>
        <v>0</v>
      </c>
      <c r="AH242" s="3">
        <f>+Tabla1[[#This Row],[Facturación atraso]]</f>
        <v>0</v>
      </c>
      <c r="AI242" s="3">
        <f>+Tabla1[[#This Row],[Plan Irrestricto]]-Tabla1[[#This Row],[Puerto ]]-Tabla1[[#This Row],[Atraso]]</f>
        <v>0</v>
      </c>
      <c r="AJ24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42" s="3">
        <f>+Tabla1[[#This Row],[Facturación atraso]]</f>
        <v>0</v>
      </c>
      <c r="AL242" s="3">
        <f>+Tabla1[[#This Row],[Plan Ajustado]]-Tabla1[[#This Row],[ Atraso ajustado]]-Tabla1[[#This Row],[Puerto ]]</f>
        <v>0</v>
      </c>
      <c r="AM242" s="3">
        <v>0</v>
      </c>
      <c r="AN242" s="3" t="str">
        <f>IF(Tabla1[[#This Row],[Plan Ajustado]]&gt;Tabla1[[#This Row],[En puerto a facturar]],"Si","No")</f>
        <v>No</v>
      </c>
      <c r="AO24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42" s="3">
        <f>IF(Tabla1[[#This Row],[Necesidad]]&gt;=Tabla1[[#This Row],[Stock al día]],Tabla1[[#This Row],[Stock al día]],Tabla1[[#This Row],[Necesidad]])</f>
        <v>0</v>
      </c>
      <c r="AQ242" s="3">
        <f>+Tabla1[[#This Row],[Necesidad]]-Tabla1[[#This Row],[Stock Plan]]</f>
        <v>0</v>
      </c>
      <c r="AR242" s="156">
        <f>IFERROR(VLOOKUP(Tabla1[[#This Row],[Oficina]],[22]Ponderación!$B$3:$G$9,6,FALSE),"")</f>
        <v>44754</v>
      </c>
      <c r="AS24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3.2645010141507287</v>
      </c>
      <c r="AT242" s="83">
        <f>IFERROR(VLOOKUP(Tabla1[[#This Row],[Llave]],[17]DELAY!$H:$W,16,FALSE),0)</f>
        <v>0</v>
      </c>
      <c r="AU24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42" s="5">
        <f>+Tabla1[[#This Row],[Plan Ajustado]]*Tabla1[[#This Row],[Precio ponderado]]</f>
        <v>0</v>
      </c>
      <c r="AW242" s="30">
        <f>IFERROR(VLOOKUP(Tabla1[[#This Row],[Llave]],'[13]Ultimos precios facturados'!$A:$G,7,FALSE),0)</f>
        <v>3.2645010141507287</v>
      </c>
      <c r="AX24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42" s="30"/>
      <c r="AZ242" s="30">
        <f>IF(Tabla1[[#This Row],[Ajuste precio IC]]="",Tabla1[[#This Row],[Precio ponderado]],Tabla1[[#This Row],[Precio ponderado]])</f>
        <v>0</v>
      </c>
      <c r="BA242" s="82"/>
      <c r="BB242" s="82" t="str">
        <f>IF(AND(Tabla1[[#This Row],[Atraso a facturar]]&gt;0,Tabla1[[#This Row],[Precio Atraso]]=0),"Revisar","OK")</f>
        <v>OK</v>
      </c>
      <c r="BC242" s="82" t="str">
        <f>IF(AND(Tabla1[[#This Row],[Venta del mes]]&gt;0,Tabla1[[#This Row],[Precio venta nueva]]=0),"Revisar","OK")</f>
        <v>OK</v>
      </c>
      <c r="BD242" s="20">
        <f>IFERROR(VLOOKUP(Tabla1[[#This Row],[Llave]],'[5]Consolidación planes'!$A:$M,9,FALSE),0)</f>
        <v>96000</v>
      </c>
      <c r="BE242" s="20">
        <f>IFERROR(VLOOKUP(Tabla1[[#This Row],[Llave]],'[5]Consolidación planes'!$A:$M,10,FALSE),0)</f>
        <v>72000</v>
      </c>
      <c r="BF242" s="20">
        <f>IFERROR(VLOOKUP(Tabla1[[#This Row],[Llave]],'[5]Consolidación planes'!$A:$M,11,FALSE),0)</f>
        <v>48000</v>
      </c>
      <c r="BG242" s="20">
        <f>IFERROR(VLOOKUP(Tabla1[[#This Row],[Llave]],'[5]Consolidación planes'!$A:$M,12,FALSE),0)</f>
        <v>48000</v>
      </c>
      <c r="BH242" s="20">
        <f>IFERROR(VLOOKUP(Tabla1[[#This Row],[Llave]],'[5]Consolidación planes'!$A:$M,13,FALSE),0)</f>
        <v>48000</v>
      </c>
      <c r="BI242" s="20">
        <f>IFERROR(VLOOKUP(Tabla1[[#This Row],[Llave]],'[13]Base ultimos planes'!$A:$M,13,FALSE),0)</f>
        <v>24000</v>
      </c>
      <c r="BJ242" s="80">
        <f>IFERROR(VLOOKUP(Tabla1[[#This Row],[Llave]],'[13]Base ultimos planes'!$O:$AA,8,FALSE),0)</f>
        <v>231360</v>
      </c>
      <c r="BK242" s="20">
        <f>IFERROR(VLOOKUP(Tabla1[[#This Row],[Llave]],'[13]Base ultimos planes'!$O:$AA,9,FALSE),0)</f>
        <v>185400</v>
      </c>
      <c r="BL242" s="20">
        <f>IFERROR(VLOOKUP(Tabla1[[#This Row],[Llave]],'[13]Base ultimos planes'!$O:$AA,10,FALSE),0)</f>
        <v>112800</v>
      </c>
      <c r="BM242" s="20">
        <f>IFERROR(VLOOKUP(Tabla1[[#This Row],[Llave]],'[13]Base ultimos planes'!$O:$AA,11,FALSE),0)</f>
        <v>130080</v>
      </c>
      <c r="BN242" s="20">
        <f>IFERROR(VLOOKUP(Tabla1[[#This Row],[Llave]],'[13]Base ultimos planes'!$O:$AA,12,FALSE),0)</f>
        <v>145830</v>
      </c>
      <c r="BO242" s="20">
        <f>IFERROR(VLOOKUP(Tabla1[[#This Row],[Llave]],'[13]Base ultimos planes'!$O:$AA,13,FALSE),0)</f>
        <v>86400</v>
      </c>
      <c r="BP242" s="20"/>
      <c r="BQ242" s="20">
        <f>+Tabla1[[#This Row],[ RV  Venta mes n+1]]*(1-Tabla1[[#This Row],[% Uti. producción]])</f>
        <v>0</v>
      </c>
      <c r="BR242" s="100"/>
    </row>
    <row r="243" spans="1:70" ht="16" hidden="1" x14ac:dyDescent="0.2">
      <c r="A243">
        <v>2</v>
      </c>
      <c r="B243" t="str">
        <f>Tabla1[[#This Row],[Oficina]]&amp;Tabla1[[#This Row],[Material]]</f>
        <v>Agrosuper Shanghai1011968</v>
      </c>
      <c r="C243" t="s">
        <v>227</v>
      </c>
      <c r="D243" t="s">
        <v>140</v>
      </c>
      <c r="E243">
        <v>1011968</v>
      </c>
      <c r="F243" t="s">
        <v>270</v>
      </c>
      <c r="G243" t="s">
        <v>268</v>
      </c>
      <c r="H243" t="s">
        <v>269</v>
      </c>
      <c r="I243" s="7">
        <f>IFERROR(VLOOKUP(Tabla1[[#This Row],[Llave]],'[7]RV Producción'!$C:$G,5,FALSE),0)</f>
        <v>0</v>
      </c>
      <c r="J243" s="3">
        <f>IFERROR(IF(Tabla1[[#This Row],[Oficina]]=$I$7,VLOOKUP(Tabla1[[#This Row],[Llave]],'[7]Shangai (Tomas)'!$A:$F,6,FALSE),VLOOKUP(Tabla1[[#This Row],[Llave]],'[7]RV plan de ventas'!$A:$E,5,FALSE)),0)</f>
        <v>0</v>
      </c>
      <c r="K243" s="8">
        <f>IFERROR(VLOOKUP(Tabla1[[#This Row],[Oficina]],[15]Ponderación!$B$2:$E$9,4,FALSE),0)</f>
        <v>0.45719439678473212</v>
      </c>
      <c r="L243" s="7">
        <f>+Tabla1[[#This Row],[ RV Producción mes n+1]]*Tabla1[[#This Row],[% Uti. producción]]</f>
        <v>0</v>
      </c>
      <c r="M243" s="7">
        <f>IFERROR(VLOOKUP(Tabla1[[#This Row],[Material]],'[17]TD Stock'!$E:$I,5,FALSE),0)</f>
        <v>0</v>
      </c>
      <c r="N243" s="7">
        <f>IFERROR(VLOOKUP(Tabla1[[#This Row],[Material]],[16]Produccion!$M:$N,2,FALSE),0)</f>
        <v>464</v>
      </c>
      <c r="O243" s="7">
        <f>IFERROR(VLOOKUP(Tabla1[[#This Row],[Llave]],'[16]TD Conf-AP'!$I:$M,4,FALSE),0)</f>
        <v>0</v>
      </c>
      <c r="P243" s="14">
        <f>SUM(Tabla1[[#This Row],[Producción disponible]],Tabla1[[#This Row],[Stock al día]],(Tabla1[[#This Row],[Por producir mes N]]*0.9))-Tabla1[[#This Row],[Producción por despachar mes N]]</f>
        <v>417.6</v>
      </c>
      <c r="Q243" s="7">
        <f>IFERROR(VLOOKUP(Tabla1[[#This Row],[Llave]],[17]DELAY!$A:$D,4,FALSE),0)</f>
        <v>0</v>
      </c>
      <c r="R243" s="9">
        <v>24000</v>
      </c>
      <c r="S243" s="5">
        <f t="shared" si="32"/>
        <v>0</v>
      </c>
      <c r="T243" s="76">
        <v>0</v>
      </c>
      <c r="U243" s="5">
        <f>+Tabla1[[#This Row],[Atraso a facturar]]+Tabla1[[#This Row],[Ajuste atraso]]</f>
        <v>0</v>
      </c>
      <c r="V243" s="3">
        <f>+Tabla1[[#This Row],[Total disponible]]-Tabla1[[#This Row],[Facturación atraso]]</f>
        <v>417.6</v>
      </c>
      <c r="W243" s="6">
        <f>IFERROR(IF(AND(V243&gt;R243,J243&gt;=R243),ROUNDDOWN((Tabla1[[#This Row],[Producción para venta nueva]])/R243,0)*R243,0),0)</f>
        <v>0</v>
      </c>
      <c r="X243" s="76">
        <v>0</v>
      </c>
      <c r="Y243" s="6">
        <f>IF(Tabla1[[#This Row],[Venta del mes]]&gt;0,Tabla1[[#This Row],[Venta del mes]]+Tabla1[[#This Row],[Ajuste venta nueva]],0)</f>
        <v>0</v>
      </c>
      <c r="Z243" s="6">
        <f>+Tabla1[[#This Row],[Producción para venta nueva]]-Tabla1[[#This Row],[Facturación Venta nueva]]</f>
        <v>417.6</v>
      </c>
      <c r="AA243" s="6">
        <f>IF(AND(A243=1,Tabla1[[#This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3" s="6"/>
      <c r="AC243" s="6">
        <f>IF(Tabla1[[#This Row],[Disponible stock sin venta]]&gt;0,Tabla1[[#This Row],[Disponible stock sin venta]]+Tabla1[[#This Row],[Ajuste stock sin venta]],0)</f>
        <v>0</v>
      </c>
      <c r="AD243" s="3">
        <f>IFERROR(VLOOKUP(Tabla1[[#This Row],[Llave]],'[16]TD Puerto'!$A:$D,4,FALSE),0)</f>
        <v>0</v>
      </c>
      <c r="AE243" s="3">
        <v>0</v>
      </c>
      <c r="AF243" s="3">
        <f>+Tabla1[[#This Row],[Atraso a facturar]]+Tabla1[[#This Row],[Venta del mes]]+Tabla1[[#This Row],[En puerto a facturar]]+Tabla1[[#This Row],[Disponible stock sin venta]]</f>
        <v>0</v>
      </c>
      <c r="AG243" s="3">
        <f>+Tabla1[[#This Row],[En puerto a facturar]]</f>
        <v>0</v>
      </c>
      <c r="AH243" s="3">
        <f>+Tabla1[[#This Row],[Facturación atraso]]</f>
        <v>0</v>
      </c>
      <c r="AI243" s="3">
        <f>+Tabla1[[#This Row],[Plan Irrestricto]]-Tabla1[[#This Row],[Puerto ]]-Tabla1[[#This Row],[Atraso]]</f>
        <v>0</v>
      </c>
      <c r="AJ24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43" s="3">
        <f>+Tabla1[[#This Row],[Facturación atraso]]</f>
        <v>0</v>
      </c>
      <c r="AL243" s="3">
        <f>+Tabla1[[#This Row],[Plan Ajustado]]-Tabla1[[#This Row],[ Atraso ajustado]]-Tabla1[[#This Row],[Puerto ]]</f>
        <v>0</v>
      </c>
      <c r="AM243" s="3">
        <v>0</v>
      </c>
      <c r="AN243" s="3" t="str">
        <f>IF(Tabla1[[#This Row],[Plan Ajustado]]&gt;Tabla1[[#This Row],[En puerto a facturar]],"Si","No")</f>
        <v>No</v>
      </c>
      <c r="AO24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43" s="3">
        <f>IF(Tabla1[[#This Row],[Necesidad]]&gt;=Tabla1[[#This Row],[Stock al día]],Tabla1[[#This Row],[Stock al día]],Tabla1[[#This Row],[Necesidad]])</f>
        <v>0</v>
      </c>
      <c r="AQ243" s="3">
        <f>+Tabla1[[#This Row],[Necesidad]]-Tabla1[[#This Row],[Stock Plan]]</f>
        <v>0</v>
      </c>
      <c r="AR243" s="156">
        <f>IFERROR(VLOOKUP(Tabla1[[#This Row],[Oficina]],[22]Ponderación!$B$3:$G$9,6,FALSE),"")</f>
        <v>44754</v>
      </c>
      <c r="AS24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5.9127161015058549</v>
      </c>
      <c r="AT243" s="83">
        <f>IFERROR(VLOOKUP(Tabla1[[#This Row],[Llave]],[17]DELAY!$H:$W,16,FALSE),0)</f>
        <v>0</v>
      </c>
      <c r="AU24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43" s="5">
        <f>+Tabla1[[#This Row],[Plan Ajustado]]*Tabla1[[#This Row],[Precio ponderado]]</f>
        <v>0</v>
      </c>
      <c r="AW243" s="30">
        <f>IFERROR(VLOOKUP(Tabla1[[#This Row],[Llave]],'[13]Ultimos precios facturados'!$A:$G,7,FALSE),0)</f>
        <v>5.9127161015058549</v>
      </c>
      <c r="AX24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43" s="30"/>
      <c r="AZ243" s="30">
        <f>IF(Tabla1[[#This Row],[Ajuste precio IC]]="",Tabla1[[#This Row],[Precio ponderado]],Tabla1[[#This Row],[Precio ponderado]])</f>
        <v>0</v>
      </c>
      <c r="BA243" s="82"/>
      <c r="BB243" s="82" t="str">
        <f>IF(AND(Tabla1[[#This Row],[Atraso a facturar]]&gt;0,Tabla1[[#This Row],[Precio Atraso]]=0),"Revisar","OK")</f>
        <v>OK</v>
      </c>
      <c r="BC243" s="82" t="str">
        <f>IF(AND(Tabla1[[#This Row],[Venta del mes]]&gt;0,Tabla1[[#This Row],[Precio venta nueva]]=0),"Revisar","OK")</f>
        <v>OK</v>
      </c>
      <c r="BD243" s="20">
        <f>IFERROR(VLOOKUP(Tabla1[[#This Row],[Llave]],'[5]Consolidación planes'!$A:$M,9,FALSE),0)</f>
        <v>5660</v>
      </c>
      <c r="BE243" s="20">
        <f>IFERROR(VLOOKUP(Tabla1[[#This Row],[Llave]],'[5]Consolidación planes'!$A:$M,10,FALSE),0)</f>
        <v>0</v>
      </c>
      <c r="BF243" s="20">
        <f>IFERROR(VLOOKUP(Tabla1[[#This Row],[Llave]],'[5]Consolidación planes'!$A:$M,11,FALSE),0)</f>
        <v>0</v>
      </c>
      <c r="BG243" s="20">
        <f>IFERROR(VLOOKUP(Tabla1[[#This Row],[Llave]],'[5]Consolidación planes'!$A:$M,12,FALSE),0)</f>
        <v>0</v>
      </c>
      <c r="BH243" s="20">
        <f>IFERROR(VLOOKUP(Tabla1[[#This Row],[Llave]],'[5]Consolidación planes'!$A:$M,13,FALSE),0)</f>
        <v>0</v>
      </c>
      <c r="BI243" s="20">
        <f>IFERROR(VLOOKUP(Tabla1[[#This Row],[Llave]],'[13]Base ultimos planes'!$A:$M,13,FALSE),0)</f>
        <v>0</v>
      </c>
      <c r="BJ243" s="80">
        <f>IFERROR(VLOOKUP(Tabla1[[#This Row],[Llave]],'[13]Base ultimos planes'!$O:$AA,8,FALSE),0)</f>
        <v>20942</v>
      </c>
      <c r="BK243" s="20">
        <f>IFERROR(VLOOKUP(Tabla1[[#This Row],[Llave]],'[13]Base ultimos planes'!$O:$AA,9,FALSE),0)</f>
        <v>0</v>
      </c>
      <c r="BL243" s="20">
        <f>IFERROR(VLOOKUP(Tabla1[[#This Row],[Llave]],'[13]Base ultimos planes'!$O:$AA,10,FALSE),0)</f>
        <v>0</v>
      </c>
      <c r="BM243" s="20">
        <f>IFERROR(VLOOKUP(Tabla1[[#This Row],[Llave]],'[13]Base ultimos planes'!$O:$AA,11,FALSE),0)</f>
        <v>0</v>
      </c>
      <c r="BN243" s="20">
        <f>IFERROR(VLOOKUP(Tabla1[[#This Row],[Llave]],'[13]Base ultimos planes'!$O:$AA,12,FALSE),0)</f>
        <v>0</v>
      </c>
      <c r="BO243" s="20">
        <f>IFERROR(VLOOKUP(Tabla1[[#This Row],[Llave]],'[13]Base ultimos planes'!$O:$AA,13,FALSE),0)</f>
        <v>0</v>
      </c>
      <c r="BP243" s="20"/>
      <c r="BQ243" s="20">
        <f>+Tabla1[[#This Row],[ RV  Venta mes n+1]]*(1-Tabla1[[#This Row],[% Uti. producción]])</f>
        <v>0</v>
      </c>
      <c r="BR243" s="100"/>
    </row>
    <row r="244" spans="1:70" ht="16" hidden="1" x14ac:dyDescent="0.2">
      <c r="A244">
        <v>2</v>
      </c>
      <c r="B244" t="str">
        <f>Tabla1[[#This Row],[Oficina]]&amp;Tabla1[[#This Row],[Material]]</f>
        <v>Agrosuper Shanghai1012312</v>
      </c>
      <c r="C244" t="s">
        <v>227</v>
      </c>
      <c r="D244" t="s">
        <v>140</v>
      </c>
      <c r="E244">
        <v>1012312</v>
      </c>
      <c r="F244" t="s">
        <v>267</v>
      </c>
      <c r="G244" t="s">
        <v>266</v>
      </c>
      <c r="H244" t="s">
        <v>266</v>
      </c>
      <c r="I244" s="7">
        <f>IFERROR(VLOOKUP(Tabla1[[#This Row],[Llave]],'[7]RV Producción'!$C:$G,5,FALSE),0)</f>
        <v>0</v>
      </c>
      <c r="J244" s="3">
        <f>IFERROR(IF(Tabla1[[#This Row],[Oficina]]=$I$7,VLOOKUP(Tabla1[[#This Row],[Llave]],'[7]Shangai (Tomas)'!$A:$F,6,FALSE),VLOOKUP(Tabla1[[#This Row],[Llave]],'[7]RV plan de ventas'!$A:$E,5,FALSE)),0)</f>
        <v>0</v>
      </c>
      <c r="K244" s="8">
        <f>IFERROR(VLOOKUP(Tabla1[[#This Row],[Oficina]],[15]Ponderación!$B$2:$E$9,4,FALSE),0)</f>
        <v>0.45719439678473212</v>
      </c>
      <c r="L244" s="7">
        <f>+Tabla1[[#This Row],[ RV Producción mes n+1]]*Tabla1[[#This Row],[% Uti. producción]]</f>
        <v>0</v>
      </c>
      <c r="M244" s="7">
        <f>IFERROR(VLOOKUP(Tabla1[[#This Row],[Material]],'[17]TD Stock'!$E:$I,5,FALSE),0)</f>
        <v>0</v>
      </c>
      <c r="N244" s="7">
        <f>IFERROR(VLOOKUP(Tabla1[[#This Row],[Material]],[16]Produccion!$M:$N,2,FALSE),0)</f>
        <v>0</v>
      </c>
      <c r="O244" s="7">
        <f>IFERROR(VLOOKUP(Tabla1[[#This Row],[Llave]],'[16]TD Conf-AP'!$I:$M,4,FALSE),0)</f>
        <v>0</v>
      </c>
      <c r="P244" s="14">
        <f>SUM(Tabla1[[#This Row],[Producción disponible]],Tabla1[[#This Row],[Stock al día]],(Tabla1[[#This Row],[Por producir mes N]]*0.9))-Tabla1[[#This Row],[Producción por despachar mes N]]</f>
        <v>0</v>
      </c>
      <c r="Q244" s="7">
        <f>IFERROR(VLOOKUP(Tabla1[[#This Row],[Llave]],[17]DELAY!$A:$D,4,FALSE),0)</f>
        <v>0</v>
      </c>
      <c r="R244" s="9">
        <v>24000</v>
      </c>
      <c r="S244" s="5">
        <f t="shared" si="32"/>
        <v>0</v>
      </c>
      <c r="T244" s="76">
        <v>0</v>
      </c>
      <c r="U244" s="5">
        <f>+Tabla1[[#This Row],[Atraso a facturar]]+Tabla1[[#This Row],[Ajuste atraso]]</f>
        <v>0</v>
      </c>
      <c r="V244" s="3">
        <f>+Tabla1[[#This Row],[Total disponible]]-Tabla1[[#This Row],[Facturación atraso]]</f>
        <v>0</v>
      </c>
      <c r="W244" s="6">
        <f>IFERROR(IF(AND(V244&gt;R244,J244&gt;=R244),ROUNDDOWN((Tabla1[[#This Row],[Producción para venta nueva]])/R244,0)*R244,0),0)</f>
        <v>0</v>
      </c>
      <c r="X244" s="76">
        <v>0</v>
      </c>
      <c r="Y244" s="6">
        <f>IF(Tabla1[[#This Row],[Venta del mes]]&gt;0,Tabla1[[#This Row],[Venta del mes]]+Tabla1[[#This Row],[Ajuste venta nueva]],0)</f>
        <v>0</v>
      </c>
      <c r="Z244" s="6">
        <f>+Tabla1[[#This Row],[Producción para venta nueva]]-Tabla1[[#This Row],[Facturación Venta nueva]]</f>
        <v>0</v>
      </c>
      <c r="AA244" s="6">
        <f>IF(AND(A244=1,Tabla1[[#This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4" s="6"/>
      <c r="AC244" s="6">
        <f>IF(Tabla1[[#This Row],[Disponible stock sin venta]]&gt;0,Tabla1[[#This Row],[Disponible stock sin venta]]+Tabla1[[#This Row],[Ajuste stock sin venta]],0)</f>
        <v>0</v>
      </c>
      <c r="AD244" s="3">
        <f>IFERROR(VLOOKUP(Tabla1[[#This Row],[Llave]],'[16]TD Puerto'!$A:$D,4,FALSE),0)</f>
        <v>0</v>
      </c>
      <c r="AE244" s="3">
        <v>0</v>
      </c>
      <c r="AF244" s="3">
        <f>+Tabla1[[#This Row],[Atraso a facturar]]+Tabla1[[#This Row],[Venta del mes]]+Tabla1[[#This Row],[En puerto a facturar]]+Tabla1[[#This Row],[Disponible stock sin venta]]</f>
        <v>0</v>
      </c>
      <c r="AG244" s="3">
        <f>+Tabla1[[#This Row],[En puerto a facturar]]</f>
        <v>0</v>
      </c>
      <c r="AH244" s="3">
        <f>+Tabla1[[#This Row],[Facturación atraso]]</f>
        <v>0</v>
      </c>
      <c r="AI244" s="3">
        <f>+Tabla1[[#This Row],[Plan Irrestricto]]-Tabla1[[#This Row],[Puerto ]]-Tabla1[[#This Row],[Atraso]]</f>
        <v>0</v>
      </c>
      <c r="AJ24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44" s="3">
        <f>+Tabla1[[#This Row],[Facturación atraso]]</f>
        <v>0</v>
      </c>
      <c r="AL244" s="3">
        <f>+Tabla1[[#This Row],[Plan Ajustado]]-Tabla1[[#This Row],[ Atraso ajustado]]-Tabla1[[#This Row],[Puerto ]]</f>
        <v>0</v>
      </c>
      <c r="AM244" s="3">
        <v>0</v>
      </c>
      <c r="AN244" s="3" t="str">
        <f>IF(Tabla1[[#This Row],[Plan Ajustado]]&gt;Tabla1[[#This Row],[En puerto a facturar]],"Si","No")</f>
        <v>No</v>
      </c>
      <c r="AO24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44" s="3">
        <f>IF(Tabla1[[#This Row],[Necesidad]]&gt;=Tabla1[[#This Row],[Stock al día]],Tabla1[[#This Row],[Stock al día]],Tabla1[[#This Row],[Necesidad]])</f>
        <v>0</v>
      </c>
      <c r="AQ244" s="3">
        <f>+Tabla1[[#This Row],[Necesidad]]-Tabla1[[#This Row],[Stock Plan]]</f>
        <v>0</v>
      </c>
      <c r="AR244" s="156">
        <f>IFERROR(VLOOKUP(Tabla1[[#This Row],[Oficina]],[22]Ponderación!$B$3:$G$9,6,FALSE),"")</f>
        <v>44754</v>
      </c>
      <c r="AS24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44" s="83">
        <f>IFERROR(VLOOKUP(Tabla1[[#This Row],[Llave]],[17]DELAY!$H:$W,16,FALSE),0)</f>
        <v>0</v>
      </c>
      <c r="AU24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44" s="5">
        <f>+Tabla1[[#This Row],[Plan Ajustado]]*Tabla1[[#This Row],[Precio ponderado]]</f>
        <v>0</v>
      </c>
      <c r="AW244" s="30">
        <f>IFERROR(VLOOKUP(Tabla1[[#This Row],[Llave]],'[13]Ultimos precios facturados'!$A:$G,7,FALSE),0)</f>
        <v>0</v>
      </c>
      <c r="AX24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44" s="30"/>
      <c r="AZ244" s="30">
        <f>IF(Tabla1[[#This Row],[Ajuste precio IC]]="",Tabla1[[#This Row],[Precio ponderado]],Tabla1[[#This Row],[Precio ponderado]])</f>
        <v>0</v>
      </c>
      <c r="BA244" s="82"/>
      <c r="BB244" s="82" t="str">
        <f>IF(AND(Tabla1[[#This Row],[Atraso a facturar]]&gt;0,Tabla1[[#This Row],[Precio Atraso]]=0),"Revisar","OK")</f>
        <v>OK</v>
      </c>
      <c r="BC244" s="82" t="str">
        <f>IF(AND(Tabla1[[#This Row],[Venta del mes]]&gt;0,Tabla1[[#This Row],[Precio venta nueva]]=0),"Revisar","OK")</f>
        <v>OK</v>
      </c>
      <c r="BD244" s="20">
        <f>IFERROR(VLOOKUP(Tabla1[[#This Row],[Llave]],'[5]Consolidación planes'!$A:$M,9,FALSE),0)</f>
        <v>0</v>
      </c>
      <c r="BE244" s="20">
        <f>IFERROR(VLOOKUP(Tabla1[[#This Row],[Llave]],'[5]Consolidación planes'!$A:$M,10,FALSE),0)</f>
        <v>0</v>
      </c>
      <c r="BF244" s="20">
        <f>IFERROR(VLOOKUP(Tabla1[[#This Row],[Llave]],'[5]Consolidación planes'!$A:$M,11,FALSE),0)</f>
        <v>0</v>
      </c>
      <c r="BG244" s="20">
        <f>IFERROR(VLOOKUP(Tabla1[[#This Row],[Llave]],'[5]Consolidación planes'!$A:$M,12,FALSE),0)</f>
        <v>0</v>
      </c>
      <c r="BH244" s="20">
        <f>IFERROR(VLOOKUP(Tabla1[[#This Row],[Llave]],'[5]Consolidación planes'!$A:$M,13,FALSE),0)</f>
        <v>0</v>
      </c>
      <c r="BI244" s="20">
        <f>IFERROR(VLOOKUP(Tabla1[[#This Row],[Llave]],'[13]Base ultimos planes'!$A:$M,13,FALSE),0)</f>
        <v>0</v>
      </c>
      <c r="BJ244" s="80">
        <f>IFERROR(VLOOKUP(Tabla1[[#This Row],[Llave]],'[13]Base ultimos planes'!$O:$AA,8,FALSE),0)</f>
        <v>0</v>
      </c>
      <c r="BK244" s="20">
        <f>IFERROR(VLOOKUP(Tabla1[[#This Row],[Llave]],'[13]Base ultimos planes'!$O:$AA,9,FALSE),0)</f>
        <v>0</v>
      </c>
      <c r="BL244" s="20">
        <f>IFERROR(VLOOKUP(Tabla1[[#This Row],[Llave]],'[13]Base ultimos planes'!$O:$AA,10,FALSE),0)</f>
        <v>0</v>
      </c>
      <c r="BM244" s="20">
        <f>IFERROR(VLOOKUP(Tabla1[[#This Row],[Llave]],'[13]Base ultimos planes'!$O:$AA,11,FALSE),0)</f>
        <v>0</v>
      </c>
      <c r="BN244" s="20">
        <f>IFERROR(VLOOKUP(Tabla1[[#This Row],[Llave]],'[13]Base ultimos planes'!$O:$AA,12,FALSE),0)</f>
        <v>0</v>
      </c>
      <c r="BO244" s="20">
        <f>IFERROR(VLOOKUP(Tabla1[[#This Row],[Llave]],'[13]Base ultimos planes'!$O:$AA,13,FALSE),0)</f>
        <v>0</v>
      </c>
      <c r="BP244" s="20"/>
      <c r="BQ244" s="20">
        <f>+Tabla1[[#This Row],[ RV  Venta mes n+1]]*(1-Tabla1[[#This Row],[% Uti. producción]])</f>
        <v>0</v>
      </c>
      <c r="BR244" s="100"/>
    </row>
    <row r="245" spans="1:70" ht="16" hidden="1" x14ac:dyDescent="0.2">
      <c r="A245">
        <v>2</v>
      </c>
      <c r="B245" t="str">
        <f>Tabla1[[#This Row],[Oficina]]&amp;Tabla1[[#This Row],[Material]]</f>
        <v>Agrosuper Shanghai1012448</v>
      </c>
      <c r="C245" t="s">
        <v>227</v>
      </c>
      <c r="D245" t="s">
        <v>140</v>
      </c>
      <c r="E245">
        <v>1012448</v>
      </c>
      <c r="F245" t="s">
        <v>271</v>
      </c>
      <c r="G245" t="s">
        <v>268</v>
      </c>
      <c r="H245" t="s">
        <v>269</v>
      </c>
      <c r="I245" s="7">
        <f>IFERROR(VLOOKUP(Tabla1[[#This Row],[Llave]],'[7]RV Producción'!$C:$G,5,FALSE),0)</f>
        <v>0</v>
      </c>
      <c r="J245" s="3">
        <f>IFERROR(IF(Tabla1[[#This Row],[Oficina]]=$I$7,VLOOKUP(Tabla1[[#This Row],[Llave]],'[7]Shangai (Tomas)'!$A:$F,6,FALSE),VLOOKUP(Tabla1[[#This Row],[Llave]],'[7]RV plan de ventas'!$A:$E,5,FALSE)),0)</f>
        <v>0</v>
      </c>
      <c r="K245" s="8">
        <f>IFERROR(VLOOKUP(Tabla1[[#This Row],[Oficina]],[15]Ponderación!$B$2:$E$9,4,FALSE),0)</f>
        <v>0.45719439678473212</v>
      </c>
      <c r="L245" s="7">
        <f>+Tabla1[[#This Row],[ RV Producción mes n+1]]*Tabla1[[#This Row],[% Uti. producción]]</f>
        <v>0</v>
      </c>
      <c r="M245" s="7">
        <f>IFERROR(VLOOKUP(Tabla1[[#This Row],[Material]],'[17]TD Stock'!$E:$I,5,FALSE),0)</f>
        <v>20352.079895233328</v>
      </c>
      <c r="N245" s="7">
        <f>IFERROR(VLOOKUP(Tabla1[[#This Row],[Material]],[16]Produccion!$M:$N,2,FALSE),0)</f>
        <v>94319</v>
      </c>
      <c r="O245" s="7">
        <f>IFERROR(VLOOKUP(Tabla1[[#This Row],[Llave]],'[16]TD Conf-AP'!$I:$M,4,FALSE),0)</f>
        <v>0</v>
      </c>
      <c r="P245" s="14">
        <f>SUM(Tabla1[[#This Row],[Producción disponible]],Tabla1[[#This Row],[Stock al día]],(Tabla1[[#This Row],[Por producir mes N]]*0.9))-Tabla1[[#This Row],[Producción por despachar mes N]]</f>
        <v>105239.17989523333</v>
      </c>
      <c r="Q245" s="7">
        <f>IFERROR(VLOOKUP(Tabla1[[#This Row],[Llave]],[17]DELAY!$A:$D,4,FALSE),0)</f>
        <v>0</v>
      </c>
      <c r="R245" s="9">
        <v>24000</v>
      </c>
      <c r="S245" s="5">
        <f t="shared" si="32"/>
        <v>0</v>
      </c>
      <c r="T245" s="76">
        <v>0</v>
      </c>
      <c r="U245" s="5">
        <f>+Tabla1[[#This Row],[Atraso a facturar]]+Tabla1[[#This Row],[Ajuste atraso]]</f>
        <v>0</v>
      </c>
      <c r="V245" s="3">
        <f>+Tabla1[[#This Row],[Total disponible]]-Tabla1[[#This Row],[Facturación atraso]]</f>
        <v>105239.17989523333</v>
      </c>
      <c r="W245" s="6">
        <f>IFERROR(IF(AND(V245&gt;R245,J245&gt;=R245),ROUNDDOWN((Tabla1[[#This Row],[Producción para venta nueva]])/R245,0)*R245,0),0)</f>
        <v>0</v>
      </c>
      <c r="X245" s="76">
        <v>0</v>
      </c>
      <c r="Y245" s="6">
        <f>IF(Tabla1[[#This Row],[Venta del mes]]&gt;0,Tabla1[[#This Row],[Venta del mes]]+Tabla1[[#This Row],[Ajuste venta nueva]],0)</f>
        <v>0</v>
      </c>
      <c r="Z245" s="6">
        <f>+Tabla1[[#This Row],[Producción para venta nueva]]-Tabla1[[#This Row],[Facturación Venta nueva]]</f>
        <v>105239.17989523333</v>
      </c>
      <c r="AA245" s="6">
        <f>IF(AND(A245=1,Tabla1[[#This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5" s="6"/>
      <c r="AC245" s="6">
        <f>IF(Tabla1[[#This Row],[Disponible stock sin venta]]&gt;0,Tabla1[[#This Row],[Disponible stock sin venta]]+Tabla1[[#This Row],[Ajuste stock sin venta]],0)</f>
        <v>0</v>
      </c>
      <c r="AD245" s="3">
        <f>IFERROR(VLOOKUP(Tabla1[[#This Row],[Llave]],'[16]TD Puerto'!$A:$D,4,FALSE),0)</f>
        <v>0</v>
      </c>
      <c r="AE245" s="3">
        <v>0</v>
      </c>
      <c r="AF245" s="3">
        <f>+Tabla1[[#This Row],[Atraso a facturar]]+Tabla1[[#This Row],[Venta del mes]]+Tabla1[[#This Row],[En puerto a facturar]]+Tabla1[[#This Row],[Disponible stock sin venta]]</f>
        <v>0</v>
      </c>
      <c r="AG245" s="3">
        <f>+Tabla1[[#This Row],[En puerto a facturar]]</f>
        <v>0</v>
      </c>
      <c r="AH245" s="3">
        <f>+Tabla1[[#This Row],[Facturación atraso]]</f>
        <v>0</v>
      </c>
      <c r="AI245" s="3">
        <f>+Tabla1[[#This Row],[Plan Irrestricto]]-Tabla1[[#This Row],[Puerto ]]-Tabla1[[#This Row],[Atraso]]</f>
        <v>0</v>
      </c>
      <c r="AJ24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45" s="3">
        <f>+Tabla1[[#This Row],[Facturación atraso]]</f>
        <v>0</v>
      </c>
      <c r="AL245" s="3">
        <f>+Tabla1[[#This Row],[Plan Ajustado]]-Tabla1[[#This Row],[ Atraso ajustado]]-Tabla1[[#This Row],[Puerto ]]</f>
        <v>0</v>
      </c>
      <c r="AM245" s="3">
        <v>0</v>
      </c>
      <c r="AN245" s="3" t="str">
        <f>IF(Tabla1[[#This Row],[Plan Ajustado]]&gt;Tabla1[[#This Row],[En puerto a facturar]],"Si","No")</f>
        <v>No</v>
      </c>
      <c r="AO24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45" s="3">
        <f>IF(Tabla1[[#This Row],[Necesidad]]&gt;=Tabla1[[#This Row],[Stock al día]],Tabla1[[#This Row],[Stock al día]],Tabla1[[#This Row],[Necesidad]])</f>
        <v>0</v>
      </c>
      <c r="AQ245" s="3">
        <f>+Tabla1[[#This Row],[Necesidad]]-Tabla1[[#This Row],[Stock Plan]]</f>
        <v>0</v>
      </c>
      <c r="AR245" s="156">
        <f>IFERROR(VLOOKUP(Tabla1[[#This Row],[Oficina]],[22]Ponderación!$B$3:$G$9,6,FALSE),"")</f>
        <v>44754</v>
      </c>
      <c r="AS24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5.330158672610315</v>
      </c>
      <c r="AT245" s="83">
        <f>IFERROR(VLOOKUP(Tabla1[[#This Row],[Llave]],[17]DELAY!$H:$W,16,FALSE),0)</f>
        <v>0</v>
      </c>
      <c r="AU24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45" s="5">
        <f>+Tabla1[[#This Row],[Plan Ajustado]]*Tabla1[[#This Row],[Precio ponderado]]</f>
        <v>0</v>
      </c>
      <c r="AW245" s="30">
        <f>IFERROR(VLOOKUP(Tabla1[[#This Row],[Llave]],'[13]Ultimos precios facturados'!$A:$G,7,FALSE),0)</f>
        <v>5.330158672610315</v>
      </c>
      <c r="AX24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45" s="30"/>
      <c r="AZ245" s="30">
        <f>IF(Tabla1[[#This Row],[Ajuste precio IC]]="",Tabla1[[#This Row],[Precio ponderado]],Tabla1[[#This Row],[Precio ponderado]])</f>
        <v>0</v>
      </c>
      <c r="BA245" s="82"/>
      <c r="BB245" s="82" t="str">
        <f>IF(AND(Tabla1[[#This Row],[Atraso a facturar]]&gt;0,Tabla1[[#This Row],[Precio Atraso]]=0),"Revisar","OK")</f>
        <v>OK</v>
      </c>
      <c r="BC245" s="82" t="str">
        <f>IF(AND(Tabla1[[#This Row],[Venta del mes]]&gt;0,Tabla1[[#This Row],[Precio venta nueva]]=0),"Revisar","OK")</f>
        <v>OK</v>
      </c>
      <c r="BD245" s="20">
        <f>IFERROR(VLOOKUP(Tabla1[[#This Row],[Llave]],'[5]Consolidación planes'!$A:$M,9,FALSE),0)</f>
        <v>168000</v>
      </c>
      <c r="BE245" s="20">
        <f>IFERROR(VLOOKUP(Tabla1[[#This Row],[Llave]],'[5]Consolidación planes'!$A:$M,10,FALSE),0)</f>
        <v>144000</v>
      </c>
      <c r="BF245" s="20">
        <f>IFERROR(VLOOKUP(Tabla1[[#This Row],[Llave]],'[5]Consolidación planes'!$A:$M,11,FALSE),0)</f>
        <v>96000</v>
      </c>
      <c r="BG245" s="20">
        <f>IFERROR(VLOOKUP(Tabla1[[#This Row],[Llave]],'[5]Consolidación planes'!$A:$M,12,FALSE),0)</f>
        <v>144000</v>
      </c>
      <c r="BH245" s="20">
        <f>IFERROR(VLOOKUP(Tabla1[[#This Row],[Llave]],'[5]Consolidación planes'!$A:$M,13,FALSE),0)</f>
        <v>168000</v>
      </c>
      <c r="BI245" s="20">
        <f>IFERROR(VLOOKUP(Tabla1[[#This Row],[Llave]],'[13]Base ultimos planes'!$A:$M,13,FALSE),0)</f>
        <v>96000</v>
      </c>
      <c r="BJ245" s="80">
        <f>IFERROR(VLOOKUP(Tabla1[[#This Row],[Llave]],'[13]Base ultimos planes'!$O:$AA,8,FALSE),0)</f>
        <v>609560</v>
      </c>
      <c r="BK245" s="20">
        <f>IFERROR(VLOOKUP(Tabla1[[#This Row],[Llave]],'[13]Base ultimos planes'!$O:$AA,9,FALSE),0)</f>
        <v>518400</v>
      </c>
      <c r="BL245" s="20">
        <f>IFERROR(VLOOKUP(Tabla1[[#This Row],[Llave]],'[13]Base ultimos planes'!$O:$AA,10,FALSE),0)</f>
        <v>393600</v>
      </c>
      <c r="BM245" s="20">
        <f>IFERROR(VLOOKUP(Tabla1[[#This Row],[Llave]],'[13]Base ultimos planes'!$O:$AA,11,FALSE),0)</f>
        <v>661338</v>
      </c>
      <c r="BN245" s="20">
        <f>IFERROR(VLOOKUP(Tabla1[[#This Row],[Llave]],'[13]Base ultimos planes'!$O:$AA,12,FALSE),0)</f>
        <v>885718</v>
      </c>
      <c r="BO245" s="20">
        <f>IFERROR(VLOOKUP(Tabla1[[#This Row],[Llave]],'[13]Base ultimos planes'!$O:$AA,13,FALSE),0)</f>
        <v>532800</v>
      </c>
      <c r="BP245" s="20"/>
      <c r="BQ245" s="20">
        <f>+Tabla1[[#This Row],[ RV  Venta mes n+1]]*(1-Tabla1[[#This Row],[% Uti. producción]])</f>
        <v>0</v>
      </c>
      <c r="BR245" s="100"/>
    </row>
    <row r="246" spans="1:70" ht="16" hidden="1" x14ac:dyDescent="0.2">
      <c r="A246">
        <v>2</v>
      </c>
      <c r="B246" t="str">
        <f>Tabla1[[#This Row],[Oficina]]&amp;Tabla1[[#This Row],[Material]]</f>
        <v>Agrosuper Shanghai1012452</v>
      </c>
      <c r="C246" t="s">
        <v>227</v>
      </c>
      <c r="D246" t="s">
        <v>140</v>
      </c>
      <c r="E246">
        <v>1012452</v>
      </c>
      <c r="F246" t="s">
        <v>263</v>
      </c>
      <c r="G246" t="s">
        <v>205</v>
      </c>
      <c r="H246" t="s">
        <v>231</v>
      </c>
      <c r="I246" s="7">
        <f>IFERROR(VLOOKUP(Tabla1[[#This Row],[Llave]],'[7]RV Producción'!$C:$G,5,FALSE),0)</f>
        <v>0</v>
      </c>
      <c r="J246" s="3">
        <f>IFERROR(IF(Tabla1[[#This Row],[Oficina]]=$I$7,VLOOKUP(Tabla1[[#This Row],[Llave]],'[7]Shangai (Tomas)'!$A:$F,6,FALSE),VLOOKUP(Tabla1[[#This Row],[Llave]],'[7]RV plan de ventas'!$A:$E,5,FALSE)),0)</f>
        <v>0</v>
      </c>
      <c r="K246" s="8">
        <f>IFERROR(VLOOKUP(Tabla1[[#This Row],[Oficina]],[15]Ponderación!$B$2:$E$9,4,FALSE),0)</f>
        <v>0.45719439678473212</v>
      </c>
      <c r="L246" s="7">
        <f>+Tabla1[[#This Row],[ RV Producción mes n+1]]*Tabla1[[#This Row],[% Uti. producción]]</f>
        <v>0</v>
      </c>
      <c r="M246" s="7">
        <f>IFERROR(VLOOKUP(Tabla1[[#This Row],[Material]],'[17]TD Stock'!$E:$I,5,FALSE),0)</f>
        <v>22754.479999999989</v>
      </c>
      <c r="N246" s="7">
        <f>IFERROR(VLOOKUP(Tabla1[[#This Row],[Material]],[16]Produccion!$M:$N,2,FALSE),0)</f>
        <v>8000</v>
      </c>
      <c r="O246" s="7">
        <f>IFERROR(VLOOKUP(Tabla1[[#This Row],[Llave]],'[16]TD Conf-AP'!$I:$M,4,FALSE),0)</f>
        <v>0</v>
      </c>
      <c r="P246" s="14">
        <f>SUM(Tabla1[[#This Row],[Producción disponible]],Tabla1[[#This Row],[Stock al día]],(Tabla1[[#This Row],[Por producir mes N]]*0.9))-Tabla1[[#This Row],[Producción por despachar mes N]]</f>
        <v>29954.479999999989</v>
      </c>
      <c r="Q246" s="7">
        <f>IFERROR(VLOOKUP(Tabla1[[#This Row],[Llave]],[17]DELAY!$A:$D,4,FALSE),0)</f>
        <v>0</v>
      </c>
      <c r="R246" s="9">
        <v>24000</v>
      </c>
      <c r="S246" s="5">
        <f t="shared" si="32"/>
        <v>0</v>
      </c>
      <c r="T246" s="76">
        <v>0</v>
      </c>
      <c r="U246" s="5">
        <f>+Tabla1[[#This Row],[Atraso a facturar]]+Tabla1[[#This Row],[Ajuste atraso]]</f>
        <v>0</v>
      </c>
      <c r="V246" s="3">
        <f>+Tabla1[[#This Row],[Total disponible]]-Tabla1[[#This Row],[Facturación atraso]]</f>
        <v>29954.479999999989</v>
      </c>
      <c r="W246" s="6">
        <f>IFERROR(IF(AND(V246&gt;R246,J246&gt;=R246),ROUNDDOWN((Tabla1[[#This Row],[Producción para venta nueva]])/R246,0)*R246,0),0)</f>
        <v>0</v>
      </c>
      <c r="X246" s="76">
        <v>0</v>
      </c>
      <c r="Y246" s="6">
        <f>IF(Tabla1[[#This Row],[Venta del mes]]&gt;0,Tabla1[[#This Row],[Venta del mes]]+Tabla1[[#This Row],[Ajuste venta nueva]],0)</f>
        <v>0</v>
      </c>
      <c r="Z246" s="6">
        <f>+Tabla1[[#This Row],[Producción para venta nueva]]-Tabla1[[#This Row],[Facturación Venta nueva]]</f>
        <v>29954.479999999989</v>
      </c>
      <c r="AA246" s="6">
        <f>IF(AND(A246=1,Tabla1[[#This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6" s="6"/>
      <c r="AC246" s="6">
        <f>IF(Tabla1[[#This Row],[Disponible stock sin venta]]&gt;0,Tabla1[[#This Row],[Disponible stock sin venta]]+Tabla1[[#This Row],[Ajuste stock sin venta]],0)</f>
        <v>0</v>
      </c>
      <c r="AD246" s="3">
        <f>IFERROR(VLOOKUP(Tabla1[[#This Row],[Llave]],'[16]TD Puerto'!$A:$D,4,FALSE),0)</f>
        <v>0</v>
      </c>
      <c r="AE246" s="3">
        <v>0</v>
      </c>
      <c r="AF246" s="3">
        <f>+Tabla1[[#This Row],[Atraso a facturar]]+Tabla1[[#This Row],[Venta del mes]]+Tabla1[[#This Row],[En puerto a facturar]]+Tabla1[[#This Row],[Disponible stock sin venta]]</f>
        <v>0</v>
      </c>
      <c r="AG246" s="3">
        <f>+Tabla1[[#This Row],[En puerto a facturar]]</f>
        <v>0</v>
      </c>
      <c r="AH246" s="3">
        <f>+Tabla1[[#This Row],[Facturación atraso]]</f>
        <v>0</v>
      </c>
      <c r="AI246" s="3">
        <f>+Tabla1[[#This Row],[Plan Irrestricto]]-Tabla1[[#This Row],[Puerto ]]-Tabla1[[#This Row],[Atraso]]</f>
        <v>0</v>
      </c>
      <c r="AJ24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46" s="3">
        <f>+Tabla1[[#This Row],[Facturación atraso]]</f>
        <v>0</v>
      </c>
      <c r="AL246" s="3">
        <f>+Tabla1[[#This Row],[Plan Ajustado]]-Tabla1[[#This Row],[ Atraso ajustado]]-Tabla1[[#This Row],[Puerto ]]</f>
        <v>0</v>
      </c>
      <c r="AM246" s="3">
        <v>0</v>
      </c>
      <c r="AN246" s="3" t="str">
        <f>IF(Tabla1[[#This Row],[Plan Ajustado]]&gt;Tabla1[[#This Row],[En puerto a facturar]],"Si","No")</f>
        <v>No</v>
      </c>
      <c r="AO24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46" s="3">
        <f>IF(Tabla1[[#This Row],[Necesidad]]&gt;=Tabla1[[#This Row],[Stock al día]],Tabla1[[#This Row],[Stock al día]],Tabla1[[#This Row],[Necesidad]])</f>
        <v>0</v>
      </c>
      <c r="AQ246" s="3">
        <f>+Tabla1[[#This Row],[Necesidad]]-Tabla1[[#This Row],[Stock Plan]]</f>
        <v>0</v>
      </c>
      <c r="AR246" s="156">
        <f>IFERROR(VLOOKUP(Tabla1[[#This Row],[Oficina]],[22]Ponderación!$B$3:$G$9,6,FALSE),"")</f>
        <v>44754</v>
      </c>
      <c r="AS24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2.5667479499063663</v>
      </c>
      <c r="AT246" s="83">
        <f>IFERROR(VLOOKUP(Tabla1[[#This Row],[Llave]],[17]DELAY!$H:$W,16,FALSE),0)</f>
        <v>0</v>
      </c>
      <c r="AU24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46" s="5">
        <f>+Tabla1[[#This Row],[Plan Ajustado]]*Tabla1[[#This Row],[Precio ponderado]]</f>
        <v>0</v>
      </c>
      <c r="AW246" s="30">
        <f>IFERROR(VLOOKUP(Tabla1[[#This Row],[Llave]],'[13]Ultimos precios facturados'!$A:$G,7,FALSE),0)</f>
        <v>2.5667479499063663</v>
      </c>
      <c r="AX24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46" s="30"/>
      <c r="AZ246" s="30">
        <f>IF(Tabla1[[#This Row],[Ajuste precio IC]]="",Tabla1[[#This Row],[Precio ponderado]],Tabla1[[#This Row],[Precio ponderado]])</f>
        <v>0</v>
      </c>
      <c r="BA246" s="82"/>
      <c r="BB246" s="82" t="str">
        <f>IF(AND(Tabla1[[#This Row],[Atraso a facturar]]&gt;0,Tabla1[[#This Row],[Precio Atraso]]=0),"Revisar","OK")</f>
        <v>OK</v>
      </c>
      <c r="BC246" s="82" t="str">
        <f>IF(AND(Tabla1[[#This Row],[Venta del mes]]&gt;0,Tabla1[[#This Row],[Precio venta nueva]]=0),"Revisar","OK")</f>
        <v>OK</v>
      </c>
      <c r="BD246" s="20">
        <f>IFERROR(VLOOKUP(Tabla1[[#This Row],[Llave]],'[5]Consolidación planes'!$A:$M,9,FALSE),0)</f>
        <v>24000</v>
      </c>
      <c r="BE246" s="20">
        <f>IFERROR(VLOOKUP(Tabla1[[#This Row],[Llave]],'[5]Consolidación planes'!$A:$M,10,FALSE),0)</f>
        <v>72000</v>
      </c>
      <c r="BF246" s="20">
        <f>IFERROR(VLOOKUP(Tabla1[[#This Row],[Llave]],'[5]Consolidación planes'!$A:$M,11,FALSE),0)</f>
        <v>37721</v>
      </c>
      <c r="BG246" s="20">
        <f>IFERROR(VLOOKUP(Tabla1[[#This Row],[Llave]],'[5]Consolidación planes'!$A:$M,12,FALSE),0)</f>
        <v>0</v>
      </c>
      <c r="BH246" s="20">
        <f>IFERROR(VLOOKUP(Tabla1[[#This Row],[Llave]],'[5]Consolidación planes'!$A:$M,13,FALSE),0)</f>
        <v>24000</v>
      </c>
      <c r="BI246" s="20">
        <f>IFERROR(VLOOKUP(Tabla1[[#This Row],[Llave]],'[13]Base ultimos planes'!$A:$M,13,FALSE),0)</f>
        <v>24000</v>
      </c>
      <c r="BJ246" s="80">
        <f>IFERROR(VLOOKUP(Tabla1[[#This Row],[Llave]],'[13]Base ultimos planes'!$O:$AA,8,FALSE),0)</f>
        <v>59280</v>
      </c>
      <c r="BK246" s="20">
        <f>IFERROR(VLOOKUP(Tabla1[[#This Row],[Llave]],'[13]Base ultimos planes'!$O:$AA,9,FALSE),0)</f>
        <v>186120</v>
      </c>
      <c r="BL246" s="20">
        <f>IFERROR(VLOOKUP(Tabla1[[#This Row],[Llave]],'[13]Base ultimos planes'!$O:$AA,10,FALSE),0)</f>
        <v>99961</v>
      </c>
      <c r="BM246" s="20">
        <f>IFERROR(VLOOKUP(Tabla1[[#This Row],[Llave]],'[13]Base ultimos planes'!$O:$AA,11,FALSE),0)</f>
        <v>0</v>
      </c>
      <c r="BN246" s="20">
        <f>IFERROR(VLOOKUP(Tabla1[[#This Row],[Llave]],'[13]Base ultimos planes'!$O:$AA,12,FALSE),0)</f>
        <v>47293</v>
      </c>
      <c r="BO246" s="20">
        <f>IFERROR(VLOOKUP(Tabla1[[#This Row],[Llave]],'[13]Base ultimos planes'!$O:$AA,13,FALSE),0)</f>
        <v>63258</v>
      </c>
      <c r="BP246" s="20"/>
      <c r="BQ246" s="20">
        <f>+Tabla1[[#This Row],[ RV  Venta mes n+1]]*(1-Tabla1[[#This Row],[% Uti. producción]])</f>
        <v>0</v>
      </c>
      <c r="BR246" s="100"/>
    </row>
    <row r="247" spans="1:70" ht="16" hidden="1" x14ac:dyDescent="0.2">
      <c r="A247">
        <v>2</v>
      </c>
      <c r="B247" t="str">
        <f>Tabla1[[#This Row],[Oficina]]&amp;Tabla1[[#This Row],[Material]]</f>
        <v>Agrosuper Shanghai1012455</v>
      </c>
      <c r="C247" t="s">
        <v>227</v>
      </c>
      <c r="D247" t="s">
        <v>140</v>
      </c>
      <c r="E247">
        <v>1012455</v>
      </c>
      <c r="F247" t="s">
        <v>265</v>
      </c>
      <c r="G247" t="s">
        <v>205</v>
      </c>
      <c r="H247" t="s">
        <v>264</v>
      </c>
      <c r="I247" s="7">
        <f>IFERROR(VLOOKUP(Tabla1[[#This Row],[Llave]],'[7]RV Producción'!$C:$G,5,FALSE),0)</f>
        <v>0</v>
      </c>
      <c r="J247" s="3">
        <f>IFERROR(IF(Tabla1[[#This Row],[Oficina]]=$I$7,VLOOKUP(Tabla1[[#This Row],[Llave]],'[7]Shangai (Tomas)'!$A:$F,6,FALSE),VLOOKUP(Tabla1[[#This Row],[Llave]],'[7]RV plan de ventas'!$A:$E,5,FALSE)),0)</f>
        <v>0</v>
      </c>
      <c r="K247" s="8">
        <f>IFERROR(VLOOKUP(Tabla1[[#This Row],[Oficina]],[15]Ponderación!$B$2:$E$9,4,FALSE),0)</f>
        <v>0.45719439678473212</v>
      </c>
      <c r="L247" s="7">
        <f>+Tabla1[[#This Row],[ RV Producción mes n+1]]*Tabla1[[#This Row],[% Uti. producción]]</f>
        <v>0</v>
      </c>
      <c r="M247" s="7">
        <f>IFERROR(VLOOKUP(Tabla1[[#This Row],[Material]],'[17]TD Stock'!$E:$I,5,FALSE),0)</f>
        <v>37346.245104962443</v>
      </c>
      <c r="N247" s="7">
        <f>IFERROR(VLOOKUP(Tabla1[[#This Row],[Material]],[16]Produccion!$M:$N,2,FALSE),0)</f>
        <v>50000</v>
      </c>
      <c r="O247" s="7">
        <f>IFERROR(VLOOKUP(Tabla1[[#This Row],[Llave]],'[16]TD Conf-AP'!$I:$M,4,FALSE),0)</f>
        <v>0</v>
      </c>
      <c r="P247" s="14">
        <f>SUM(Tabla1[[#This Row],[Producción disponible]],Tabla1[[#This Row],[Stock al día]],(Tabla1[[#This Row],[Por producir mes N]]*0.9))-Tabla1[[#This Row],[Producción por despachar mes N]]</f>
        <v>82346.245104962436</v>
      </c>
      <c r="Q247" s="7">
        <f>IFERROR(VLOOKUP(Tabla1[[#This Row],[Llave]],[17]DELAY!$A:$D,4,FALSE),0)</f>
        <v>0</v>
      </c>
      <c r="R247" s="9">
        <v>24000</v>
      </c>
      <c r="S247" s="5">
        <f t="shared" si="32"/>
        <v>0</v>
      </c>
      <c r="T247" s="76">
        <v>0</v>
      </c>
      <c r="U247" s="5">
        <f>+Tabla1[[#This Row],[Atraso a facturar]]+Tabla1[[#This Row],[Ajuste atraso]]</f>
        <v>0</v>
      </c>
      <c r="V247" s="3">
        <f>+Tabla1[[#This Row],[Total disponible]]-Tabla1[[#This Row],[Facturación atraso]]</f>
        <v>82346.245104962436</v>
      </c>
      <c r="W247" s="6">
        <f>IFERROR(IF(AND(V247&gt;R247,J247&gt;=R247),ROUNDDOWN((Tabla1[[#This Row],[Producción para venta nueva]])/R247,0)*R247,0),0)</f>
        <v>0</v>
      </c>
      <c r="X247" s="76">
        <v>0</v>
      </c>
      <c r="Y247" s="6">
        <f>IF(Tabla1[[#This Row],[Venta del mes]]&gt;0,Tabla1[[#This Row],[Venta del mes]]+Tabla1[[#This Row],[Ajuste venta nueva]],0)</f>
        <v>0</v>
      </c>
      <c r="Z247" s="6">
        <f>+Tabla1[[#This Row],[Producción para venta nueva]]-Tabla1[[#This Row],[Facturación Venta nueva]]</f>
        <v>82346.245104962436</v>
      </c>
      <c r="AA247" s="6">
        <f>IF(AND(A247=1,Tabla1[[#This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7" s="6"/>
      <c r="AC247" s="6">
        <f>IF(Tabla1[[#This Row],[Disponible stock sin venta]]&gt;0,Tabla1[[#This Row],[Disponible stock sin venta]]+Tabla1[[#This Row],[Ajuste stock sin venta]],0)</f>
        <v>0</v>
      </c>
      <c r="AD247" s="3">
        <f>IFERROR(VLOOKUP(Tabla1[[#This Row],[Llave]],'[16]TD Puerto'!$A:$D,4,FALSE),0)</f>
        <v>0</v>
      </c>
      <c r="AE247" s="3">
        <v>0</v>
      </c>
      <c r="AF247" s="3">
        <f>+Tabla1[[#This Row],[Atraso a facturar]]+Tabla1[[#This Row],[Venta del mes]]+Tabla1[[#This Row],[En puerto a facturar]]+Tabla1[[#This Row],[Disponible stock sin venta]]</f>
        <v>0</v>
      </c>
      <c r="AG247" s="3">
        <f>+Tabla1[[#This Row],[En puerto a facturar]]</f>
        <v>0</v>
      </c>
      <c r="AH247" s="3">
        <f>+Tabla1[[#This Row],[Facturación atraso]]</f>
        <v>0</v>
      </c>
      <c r="AI247" s="3">
        <f>+Tabla1[[#This Row],[Plan Irrestricto]]-Tabla1[[#This Row],[Puerto ]]-Tabla1[[#This Row],[Atraso]]</f>
        <v>0</v>
      </c>
      <c r="AJ24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47" s="3">
        <f>+Tabla1[[#This Row],[Facturación atraso]]</f>
        <v>0</v>
      </c>
      <c r="AL247" s="3">
        <f>+Tabla1[[#This Row],[Plan Ajustado]]-Tabla1[[#This Row],[ Atraso ajustado]]-Tabla1[[#This Row],[Puerto ]]</f>
        <v>0</v>
      </c>
      <c r="AM247" s="3">
        <v>0</v>
      </c>
      <c r="AN247" s="3" t="str">
        <f>IF(Tabla1[[#This Row],[Plan Ajustado]]&gt;Tabla1[[#This Row],[En puerto a facturar]],"Si","No")</f>
        <v>No</v>
      </c>
      <c r="AO24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47" s="3">
        <f>IF(Tabla1[[#This Row],[Necesidad]]&gt;=Tabla1[[#This Row],[Stock al día]],Tabla1[[#This Row],[Stock al día]],Tabla1[[#This Row],[Necesidad]])</f>
        <v>0</v>
      </c>
      <c r="AQ247" s="3">
        <f>+Tabla1[[#This Row],[Necesidad]]-Tabla1[[#This Row],[Stock Plan]]</f>
        <v>0</v>
      </c>
      <c r="AR247" s="156">
        <f>IFERROR(VLOOKUP(Tabla1[[#This Row],[Oficina]],[22]Ponderación!$B$3:$G$9,6,FALSE),"")</f>
        <v>44754</v>
      </c>
      <c r="AS24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2.84789143552702</v>
      </c>
      <c r="AT247" s="83">
        <f>IFERROR(VLOOKUP(Tabla1[[#This Row],[Llave]],[17]DELAY!$H:$W,16,FALSE),0)</f>
        <v>0</v>
      </c>
      <c r="AU24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47" s="5">
        <f>+Tabla1[[#This Row],[Plan Ajustado]]*Tabla1[[#This Row],[Precio ponderado]]</f>
        <v>0</v>
      </c>
      <c r="AW247" s="30">
        <f>IFERROR(VLOOKUP(Tabla1[[#This Row],[Llave]],'[13]Ultimos precios facturados'!$A:$G,7,FALSE),0)</f>
        <v>2.84789143552702</v>
      </c>
      <c r="AX24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47" s="30"/>
      <c r="AZ247" s="30">
        <f>IF(Tabla1[[#This Row],[Ajuste precio IC]]="",Tabla1[[#This Row],[Precio ponderado]],Tabla1[[#This Row],[Precio ponderado]])</f>
        <v>0</v>
      </c>
      <c r="BA247" s="82"/>
      <c r="BB247" s="82" t="str">
        <f>IF(AND(Tabla1[[#This Row],[Atraso a facturar]]&gt;0,Tabla1[[#This Row],[Precio Atraso]]=0),"Revisar","OK")</f>
        <v>OK</v>
      </c>
      <c r="BC247" s="82" t="str">
        <f>IF(AND(Tabla1[[#This Row],[Venta del mes]]&gt;0,Tabla1[[#This Row],[Precio venta nueva]]=0),"Revisar","OK")</f>
        <v>OK</v>
      </c>
      <c r="BD247" s="20">
        <f>IFERROR(VLOOKUP(Tabla1[[#This Row],[Llave]],'[5]Consolidación planes'!$A:$M,9,FALSE),0)</f>
        <v>144000</v>
      </c>
      <c r="BE247" s="20">
        <f>IFERROR(VLOOKUP(Tabla1[[#This Row],[Llave]],'[5]Consolidación planes'!$A:$M,10,FALSE),0)</f>
        <v>48000</v>
      </c>
      <c r="BF247" s="20">
        <f>IFERROR(VLOOKUP(Tabla1[[#This Row],[Llave]],'[5]Consolidación planes'!$A:$M,11,FALSE),0)</f>
        <v>48000</v>
      </c>
      <c r="BG247" s="20">
        <f>IFERROR(VLOOKUP(Tabla1[[#This Row],[Llave]],'[5]Consolidación planes'!$A:$M,12,FALSE),0)</f>
        <v>120000</v>
      </c>
      <c r="BH247" s="20">
        <f>IFERROR(VLOOKUP(Tabla1[[#This Row],[Llave]],'[5]Consolidación planes'!$A:$M,13,FALSE),0)</f>
        <v>120000</v>
      </c>
      <c r="BI247" s="20">
        <f>IFERROR(VLOOKUP(Tabla1[[#This Row],[Llave]],'[13]Base ultimos planes'!$A:$M,13,FALSE),0)</f>
        <v>192000</v>
      </c>
      <c r="BJ247" s="80">
        <f>IFERROR(VLOOKUP(Tabla1[[#This Row],[Llave]],'[13]Base ultimos planes'!$O:$AA,8,FALSE),0)</f>
        <v>312480</v>
      </c>
      <c r="BK247" s="20">
        <f>IFERROR(VLOOKUP(Tabla1[[#This Row],[Llave]],'[13]Base ultimos planes'!$O:$AA,9,FALSE),0)</f>
        <v>106800</v>
      </c>
      <c r="BL247" s="20">
        <f>IFERROR(VLOOKUP(Tabla1[[#This Row],[Llave]],'[13]Base ultimos planes'!$O:$AA,10,FALSE),0)</f>
        <v>115200</v>
      </c>
      <c r="BM247" s="20">
        <f>IFERROR(VLOOKUP(Tabla1[[#This Row],[Llave]],'[13]Base ultimos planes'!$O:$AA,11,FALSE),0)</f>
        <v>289800</v>
      </c>
      <c r="BN247" s="20">
        <f>IFERROR(VLOOKUP(Tabla1[[#This Row],[Llave]],'[13]Base ultimos planes'!$O:$AA,12,FALSE),0)</f>
        <v>323225</v>
      </c>
      <c r="BO247" s="20">
        <f>IFERROR(VLOOKUP(Tabla1[[#This Row],[Llave]],'[13]Base ultimos planes'!$O:$AA,13,FALSE),0)</f>
        <v>541042</v>
      </c>
      <c r="BP247" s="20"/>
      <c r="BQ247" s="20">
        <f>+Tabla1[[#This Row],[ RV  Venta mes n+1]]*(1-Tabla1[[#This Row],[% Uti. producción]])</f>
        <v>0</v>
      </c>
      <c r="BR247" s="100"/>
    </row>
    <row r="248" spans="1:70" ht="16" hidden="1" x14ac:dyDescent="0.2">
      <c r="A248">
        <v>2</v>
      </c>
      <c r="B248" t="str">
        <f>Tabla1[[#This Row],[Oficina]]&amp;Tabla1[[#This Row],[Material]]</f>
        <v>Agrosuper Shanghai1012502</v>
      </c>
      <c r="C248" t="s">
        <v>227</v>
      </c>
      <c r="D248" t="s">
        <v>140</v>
      </c>
      <c r="E248">
        <v>1012502</v>
      </c>
      <c r="F248" t="s">
        <v>328</v>
      </c>
      <c r="G248" t="s">
        <v>268</v>
      </c>
      <c r="H248" t="s">
        <v>269</v>
      </c>
      <c r="I248" s="7">
        <f>IFERROR(VLOOKUP(Tabla1[[#This Row],[Llave]],'[7]RV Producción'!$C:$G,5,FALSE),0)</f>
        <v>0</v>
      </c>
      <c r="J248" s="3">
        <f>IFERROR(IF(Tabla1[[#This Row],[Oficina]]=$I$7,VLOOKUP(Tabla1[[#This Row],[Llave]],'[7]Shangai (Tomas)'!$A:$F,6,FALSE),VLOOKUP(Tabla1[[#This Row],[Llave]],'[7]RV plan de ventas'!$A:$E,5,FALSE)),0)</f>
        <v>0</v>
      </c>
      <c r="K248" s="8">
        <f>IFERROR(VLOOKUP(Tabla1[[#This Row],[Oficina]],[15]Ponderación!$B$2:$E$9,4,FALSE),0)</f>
        <v>0.45719439678473212</v>
      </c>
      <c r="L248" s="7">
        <f>+Tabla1[[#This Row],[ RV Producción mes n+1]]*Tabla1[[#This Row],[% Uti. producción]]</f>
        <v>0</v>
      </c>
      <c r="M248" s="7">
        <f>IFERROR(VLOOKUP(Tabla1[[#This Row],[Material]],'[17]TD Stock'!$E:$I,5,FALSE),0)</f>
        <v>9681.9182652210184</v>
      </c>
      <c r="N248" s="7">
        <f>IFERROR(VLOOKUP(Tabla1[[#This Row],[Material]],[16]Produccion!$M:$N,2,FALSE),0)</f>
        <v>1800</v>
      </c>
      <c r="O248" s="7">
        <f>IFERROR(VLOOKUP(Tabla1[[#This Row],[Llave]],'[16]TD Conf-AP'!$I:$M,4,FALSE),0)</f>
        <v>0</v>
      </c>
      <c r="P248" s="14">
        <f>SUM(Tabla1[[#This Row],[Producción disponible]],Tabla1[[#This Row],[Stock al día]],(Tabla1[[#This Row],[Por producir mes N]]*0.9))-Tabla1[[#This Row],[Producción por despachar mes N]]</f>
        <v>11301.918265221018</v>
      </c>
      <c r="Q248" s="7">
        <f>IFERROR(VLOOKUP(Tabla1[[#This Row],[Llave]],[17]DELAY!$A:$D,4,FALSE),0)</f>
        <v>0</v>
      </c>
      <c r="R248" s="9">
        <v>24000</v>
      </c>
      <c r="S248" s="5">
        <f t="shared" si="32"/>
        <v>0</v>
      </c>
      <c r="T248" s="76">
        <v>0</v>
      </c>
      <c r="U248" s="5">
        <f>+Tabla1[[#This Row],[Atraso a facturar]]+Tabla1[[#This Row],[Ajuste atraso]]</f>
        <v>0</v>
      </c>
      <c r="V248" s="3">
        <f>+Tabla1[[#This Row],[Total disponible]]-Tabla1[[#This Row],[Facturación atraso]]</f>
        <v>11301.918265221018</v>
      </c>
      <c r="W248" s="6">
        <f>IFERROR(IF(AND(V248&gt;R248,J248&gt;=R248),ROUNDDOWN((Tabla1[[#This Row],[Producción para venta nueva]])/R248,0)*R248,0),0)</f>
        <v>0</v>
      </c>
      <c r="X248" s="76">
        <v>0</v>
      </c>
      <c r="Y248" s="6">
        <f>IF(Tabla1[[#This Row],[Venta del mes]]&gt;0,Tabla1[[#This Row],[Venta del mes]]+Tabla1[[#This Row],[Ajuste venta nueva]],0)</f>
        <v>0</v>
      </c>
      <c r="Z248" s="6">
        <f>+Tabla1[[#This Row],[Producción para venta nueva]]-Tabla1[[#This Row],[Facturación Venta nueva]]</f>
        <v>11301.918265221018</v>
      </c>
      <c r="AA248" s="6">
        <f>IF(AND(A248=1,Tabla1[[#This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8" s="6"/>
      <c r="AC248" s="6">
        <f>IF(Tabla1[[#This Row],[Disponible stock sin venta]]&gt;0,Tabla1[[#This Row],[Disponible stock sin venta]]+Tabla1[[#This Row],[Ajuste stock sin venta]],0)</f>
        <v>0</v>
      </c>
      <c r="AD248" s="3">
        <f>IFERROR(VLOOKUP(Tabla1[[#This Row],[Llave]],'[16]TD Puerto'!$A:$D,4,FALSE),0)</f>
        <v>0</v>
      </c>
      <c r="AE248" s="3">
        <v>0</v>
      </c>
      <c r="AF248" s="3">
        <f>+Tabla1[[#This Row],[Atraso a facturar]]+Tabla1[[#This Row],[Venta del mes]]+Tabla1[[#This Row],[En puerto a facturar]]+Tabla1[[#This Row],[Disponible stock sin venta]]</f>
        <v>0</v>
      </c>
      <c r="AG248" s="3">
        <f>+Tabla1[[#This Row],[En puerto a facturar]]</f>
        <v>0</v>
      </c>
      <c r="AH248" s="3">
        <f>+Tabla1[[#This Row],[Facturación atraso]]</f>
        <v>0</v>
      </c>
      <c r="AI248" s="3">
        <f>+Tabla1[[#This Row],[Plan Irrestricto]]-Tabla1[[#This Row],[Puerto ]]-Tabla1[[#This Row],[Atraso]]</f>
        <v>0</v>
      </c>
      <c r="AJ24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48" s="3">
        <f>+Tabla1[[#This Row],[Facturación atraso]]</f>
        <v>0</v>
      </c>
      <c r="AL248" s="3">
        <f>+Tabla1[[#This Row],[Plan Ajustado]]-Tabla1[[#This Row],[ Atraso ajustado]]-Tabla1[[#This Row],[Puerto ]]</f>
        <v>0</v>
      </c>
      <c r="AM248" s="3">
        <v>0</v>
      </c>
      <c r="AN248" s="3" t="str">
        <f>IF(Tabla1[[#This Row],[Plan Ajustado]]&gt;Tabla1[[#This Row],[En puerto a facturar]],"Si","No")</f>
        <v>No</v>
      </c>
      <c r="AO24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48" s="3">
        <f>IF(Tabla1[[#This Row],[Necesidad]]&gt;=Tabla1[[#This Row],[Stock al día]],Tabla1[[#This Row],[Stock al día]],Tabla1[[#This Row],[Necesidad]])</f>
        <v>0</v>
      </c>
      <c r="AQ248" s="3">
        <f>+Tabla1[[#This Row],[Necesidad]]-Tabla1[[#This Row],[Stock Plan]]</f>
        <v>0</v>
      </c>
      <c r="AR248" s="156">
        <f>IFERROR(VLOOKUP(Tabla1[[#This Row],[Oficina]],[22]Ponderación!$B$3:$G$9,6,FALSE),"")</f>
        <v>44754</v>
      </c>
      <c r="AS24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5.3695260885045784</v>
      </c>
      <c r="AT248" s="83">
        <f>IFERROR(VLOOKUP(Tabla1[[#This Row],[Llave]],[17]DELAY!$H:$W,16,FALSE),0)</f>
        <v>0</v>
      </c>
      <c r="AU24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48" s="5">
        <f>+Tabla1[[#This Row],[Plan Ajustado]]*Tabla1[[#This Row],[Precio ponderado]]</f>
        <v>0</v>
      </c>
      <c r="AW248" s="30">
        <f>IFERROR(VLOOKUP(Tabla1[[#This Row],[Llave]],'[13]Ultimos precios facturados'!$A:$G,7,FALSE),0)</f>
        <v>5.3695260885045784</v>
      </c>
      <c r="AX24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48" s="30"/>
      <c r="AZ248" s="30">
        <f>IF(Tabla1[[#This Row],[Ajuste precio IC]]="",Tabla1[[#This Row],[Precio ponderado]],Tabla1[[#This Row],[Precio ponderado]])</f>
        <v>0</v>
      </c>
      <c r="BA248" s="82"/>
      <c r="BB248" s="82" t="str">
        <f>IF(AND(Tabla1[[#This Row],[Atraso a facturar]]&gt;0,Tabla1[[#This Row],[Precio Atraso]]=0),"Revisar","OK")</f>
        <v>OK</v>
      </c>
      <c r="BC248" s="82" t="str">
        <f>IF(AND(Tabla1[[#This Row],[Venta del mes]]&gt;0,Tabla1[[#This Row],[Precio venta nueva]]=0),"Revisar","OK")</f>
        <v>OK</v>
      </c>
      <c r="BD248" s="20">
        <f>IFERROR(VLOOKUP(Tabla1[[#This Row],[Llave]],'[5]Consolidación planes'!$A:$M,9,FALSE),0)</f>
        <v>0</v>
      </c>
      <c r="BE248" s="20">
        <f>IFERROR(VLOOKUP(Tabla1[[#This Row],[Llave]],'[5]Consolidación planes'!$A:$M,10,FALSE),0)</f>
        <v>0</v>
      </c>
      <c r="BF248" s="20">
        <f>IFERROR(VLOOKUP(Tabla1[[#This Row],[Llave]],'[5]Consolidación planes'!$A:$M,11,FALSE),0)</f>
        <v>0</v>
      </c>
      <c r="BG248" s="20">
        <f>IFERROR(VLOOKUP(Tabla1[[#This Row],[Llave]],'[5]Consolidación planes'!$A:$M,12,FALSE),0)</f>
        <v>0</v>
      </c>
      <c r="BH248" s="20">
        <f>IFERROR(VLOOKUP(Tabla1[[#This Row],[Llave]],'[5]Consolidación planes'!$A:$M,13,FALSE),0)</f>
        <v>12000</v>
      </c>
      <c r="BI248" s="20">
        <f>IFERROR(VLOOKUP(Tabla1[[#This Row],[Llave]],'[13]Base ultimos planes'!$A:$M,13,FALSE),0)</f>
        <v>0</v>
      </c>
      <c r="BJ248" s="80">
        <f>IFERROR(VLOOKUP(Tabla1[[#This Row],[Llave]],'[13]Base ultimos planes'!$O:$AA,8,FALSE),0)</f>
        <v>0</v>
      </c>
      <c r="BK248" s="20">
        <f>IFERROR(VLOOKUP(Tabla1[[#This Row],[Llave]],'[13]Base ultimos planes'!$O:$AA,9,FALSE),0)</f>
        <v>0</v>
      </c>
      <c r="BL248" s="20">
        <f>IFERROR(VLOOKUP(Tabla1[[#This Row],[Llave]],'[13]Base ultimos planes'!$O:$AA,10,FALSE),0)</f>
        <v>0</v>
      </c>
      <c r="BM248" s="20">
        <f>IFERROR(VLOOKUP(Tabla1[[#This Row],[Llave]],'[13]Base ultimos planes'!$O:$AA,11,FALSE),0)</f>
        <v>0</v>
      </c>
      <c r="BN248" s="20">
        <f>IFERROR(VLOOKUP(Tabla1[[#This Row],[Llave]],'[13]Base ultimos planes'!$O:$AA,12,FALSE),0)</f>
        <v>52600</v>
      </c>
      <c r="BO248" s="20">
        <f>IFERROR(VLOOKUP(Tabla1[[#This Row],[Llave]],'[13]Base ultimos planes'!$O:$AA,13,FALSE),0)</f>
        <v>0</v>
      </c>
      <c r="BP248" s="20"/>
      <c r="BQ248" s="20">
        <f>+Tabla1[[#This Row],[ RV  Venta mes n+1]]*(1-Tabla1[[#This Row],[% Uti. producción]])</f>
        <v>0</v>
      </c>
      <c r="BR248" s="100"/>
    </row>
    <row r="249" spans="1:70" ht="16" x14ac:dyDescent="0.2">
      <c r="A249">
        <v>2</v>
      </c>
      <c r="B249" t="str">
        <f>Tabla1[[#This Row],[Oficina]]&amp;Tabla1[[#This Row],[Material]]</f>
        <v>Agrosuper Shanghai1012503</v>
      </c>
      <c r="C249" t="s">
        <v>227</v>
      </c>
      <c r="D249" t="s">
        <v>140</v>
      </c>
      <c r="E249">
        <v>1012503</v>
      </c>
      <c r="F249" t="s">
        <v>272</v>
      </c>
      <c r="G249" t="s">
        <v>268</v>
      </c>
      <c r="H249" t="s">
        <v>269</v>
      </c>
      <c r="I249" s="7">
        <f>IFERROR(VLOOKUP(Tabla1[[#This Row],[Llave]],'[7]RV Producción'!$C:$G,5,FALSE),0)</f>
        <v>0</v>
      </c>
      <c r="J249" s="3">
        <f>IFERROR(IF(Tabla1[[#This Row],[Oficina]]=$I$7,VLOOKUP(Tabla1[[#This Row],[Llave]],'[7]Shangai (Tomas)'!$A:$F,6,FALSE),VLOOKUP(Tabla1[[#This Row],[Llave]],'[7]RV plan de ventas'!$A:$E,5,FALSE)),0)</f>
        <v>0</v>
      </c>
      <c r="K249" s="8">
        <f>IFERROR(VLOOKUP(Tabla1[[#This Row],[Oficina]],[15]Ponderación!$B$2:$E$9,4,FALSE),0)</f>
        <v>0.45719439678473212</v>
      </c>
      <c r="L249" s="7">
        <f>+Tabla1[[#This Row],[ RV Producción mes n+1]]*Tabla1[[#This Row],[% Uti. producción]]</f>
        <v>0</v>
      </c>
      <c r="M249" s="7">
        <f>IFERROR(VLOOKUP(Tabla1[[#This Row],[Material]],'[17]TD Stock'!$E:$I,5,FALSE),0)</f>
        <v>0</v>
      </c>
      <c r="N249" s="7">
        <f>IFERROR(VLOOKUP(Tabla1[[#This Row],[Material]],[16]Produccion!$M:$N,2,FALSE),0)</f>
        <v>64000</v>
      </c>
      <c r="O249" s="7">
        <f>IFERROR(VLOOKUP(Tabla1[[#This Row],[Llave]],'[16]TD Conf-AP'!$I:$M,4,FALSE),0)</f>
        <v>0</v>
      </c>
      <c r="P249" s="14">
        <f>SUM(Tabla1[[#This Row],[Producción disponible]],Tabla1[[#This Row],[Stock al día]],(Tabla1[[#This Row],[Por producir mes N]]*0.9))-Tabla1[[#This Row],[Producción por despachar mes N]]</f>
        <v>57600</v>
      </c>
      <c r="Q249" s="7">
        <f>IFERROR(VLOOKUP(Tabla1[[#This Row],[Llave]],[17]DELAY!$A:$D,4,FALSE),0)</f>
        <v>16500</v>
      </c>
      <c r="R249" s="9">
        <v>24000</v>
      </c>
      <c r="S249" s="5">
        <f t="shared" si="32"/>
        <v>16500</v>
      </c>
      <c r="T249" s="76">
        <v>0</v>
      </c>
      <c r="U249" s="5">
        <f>+Tabla1[[#This Row],[Atraso a facturar]]+Tabla1[[#This Row],[Ajuste atraso]]</f>
        <v>16500</v>
      </c>
      <c r="V249" s="3">
        <f>+Tabla1[[#This Row],[Total disponible]]-Tabla1[[#This Row],[Facturación atraso]]</f>
        <v>41100</v>
      </c>
      <c r="W249" s="6">
        <f>IFERROR(IF(AND(V249&gt;R249,J249&gt;=R249),ROUNDDOWN((Tabla1[[#This Row],[Producción para venta nueva]])/R249,0)*R249,0),0)</f>
        <v>0</v>
      </c>
      <c r="X249" s="76">
        <v>0</v>
      </c>
      <c r="Y249" s="6">
        <f>IF(Tabla1[[#This Row],[Venta del mes]]&gt;0,Tabla1[[#This Row],[Venta del mes]]+Tabla1[[#This Row],[Ajuste venta nueva]],0)</f>
        <v>0</v>
      </c>
      <c r="Z249" s="6">
        <f>+Tabla1[[#This Row],[Producción para venta nueva]]-Tabla1[[#This Row],[Facturación Venta nueva]]</f>
        <v>41100</v>
      </c>
      <c r="AA249" s="6">
        <f>IF(AND(A249=1,Tabla1[[#This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49" s="6"/>
      <c r="AC249" s="6">
        <f>IF(Tabla1[[#This Row],[Disponible stock sin venta]]&gt;0,Tabla1[[#This Row],[Disponible stock sin venta]]+Tabla1[[#This Row],[Ajuste stock sin venta]],0)</f>
        <v>0</v>
      </c>
      <c r="AD249" s="3">
        <f>IFERROR(VLOOKUP(Tabla1[[#This Row],[Llave]],'[16]TD Puerto'!$A:$D,4,FALSE),0)</f>
        <v>0</v>
      </c>
      <c r="AE249" s="3">
        <v>16500</v>
      </c>
      <c r="AF249" s="3">
        <f>+Tabla1[[#This Row],[Atraso a facturar]]+Tabla1[[#This Row],[Venta del mes]]+Tabla1[[#This Row],[En puerto a facturar]]+Tabla1[[#This Row],[Disponible stock sin venta]]</f>
        <v>16500</v>
      </c>
      <c r="AG249" s="3">
        <f>+Tabla1[[#This Row],[En puerto a facturar]]</f>
        <v>0</v>
      </c>
      <c r="AH249" s="3">
        <f>+Tabla1[[#This Row],[Facturación atraso]]</f>
        <v>16500</v>
      </c>
      <c r="AI249" s="3">
        <f>+Tabla1[[#This Row],[Plan Irrestricto]]-Tabla1[[#This Row],[Puerto ]]-Tabla1[[#This Row],[Atraso]]</f>
        <v>0</v>
      </c>
      <c r="AJ249" s="3">
        <f>IF(Tabla1[[#This Row],[Plan Irrestricto]]&gt;0,SUM(Tabla1[[#This Row],[Facturación atraso]],Tabla1[[#This Row],[Facturación Venta nueva]],Tabla1[[#This Row],[Facturación stock]],Tabla1[[#This Row],[En puerto a facturar]]),0)</f>
        <v>16500</v>
      </c>
      <c r="AK249" s="3">
        <f>+Tabla1[[#This Row],[Facturación atraso]]</f>
        <v>16500</v>
      </c>
      <c r="AL249" s="3">
        <f>+Tabla1[[#This Row],[Plan Ajustado]]-Tabla1[[#This Row],[ Atraso ajustado]]-Tabla1[[#This Row],[Puerto ]]</f>
        <v>0</v>
      </c>
      <c r="AM249" s="3">
        <v>0</v>
      </c>
      <c r="AN249" s="3" t="str">
        <f>IF(Tabla1[[#This Row],[Plan Ajustado]]&gt;Tabla1[[#This Row],[En puerto a facturar]],"Si","No")</f>
        <v>Si</v>
      </c>
      <c r="AO249" s="3">
        <f>IF(AND(Tabla1[[#This Row],[Plan Ajustado]]&gt;0,Tabla1[[#This Row],[Plan Ajustado]]&gt;Tabla1[[#This Row],[En puerto a facturar]]),(Tabla1[[#This Row],[Plan Ajustado]]-Tabla1[[#This Row],[En puerto a facturar]]),0)</f>
        <v>16500</v>
      </c>
      <c r="AP249" s="3">
        <f>IF(Tabla1[[#This Row],[Necesidad]]&gt;=Tabla1[[#This Row],[Stock al día]],Tabla1[[#This Row],[Stock al día]],Tabla1[[#This Row],[Necesidad]])</f>
        <v>0</v>
      </c>
      <c r="AQ249" s="3">
        <f>+Tabla1[[#This Row],[Necesidad]]-Tabla1[[#This Row],[Stock Plan]]</f>
        <v>16500</v>
      </c>
      <c r="AR249" s="156">
        <f>IFERROR(VLOOKUP(Tabla1[[#This Row],[Oficina]],[22]Ponderación!$B$3:$G$9,6,FALSE),"")</f>
        <v>44754</v>
      </c>
      <c r="AS24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5.1383078727756617</v>
      </c>
      <c r="AT249" s="83">
        <f>IFERROR(VLOOKUP(Tabla1[[#This Row],[Llave]],[17]DELAY!$H:$W,16,FALSE),0)</f>
        <v>4.3833333333333302</v>
      </c>
      <c r="AU24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4.3833333333333302</v>
      </c>
      <c r="AV249" s="5">
        <f>+Tabla1[[#This Row],[Plan Ajustado]]*Tabla1[[#This Row],[Precio ponderado]]</f>
        <v>72324.999999999942</v>
      </c>
      <c r="AW249" s="30">
        <f>IFERROR(VLOOKUP(Tabla1[[#This Row],[Llave]],'[13]Ultimos precios facturados'!$A:$G,7,FALSE),0)</f>
        <v>5.1383078727756617</v>
      </c>
      <c r="AX249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0.14693057678431828</v>
      </c>
      <c r="AY249" s="30"/>
      <c r="AZ249" s="30">
        <f>IF(Tabla1[[#This Row],[Ajuste precio IC]]="",Tabla1[[#This Row],[Precio ponderado]],Tabla1[[#This Row],[Precio ponderado]])</f>
        <v>4.3833333333333302</v>
      </c>
      <c r="BA249" s="82"/>
      <c r="BB249" s="82" t="str">
        <f>IF(AND(Tabla1[[#This Row],[Atraso a facturar]]&gt;0,Tabla1[[#This Row],[Precio Atraso]]=0),"Revisar","OK")</f>
        <v>OK</v>
      </c>
      <c r="BC249" s="82" t="str">
        <f>IF(AND(Tabla1[[#This Row],[Venta del mes]]&gt;0,Tabla1[[#This Row],[Precio venta nueva]]=0),"Revisar","OK")</f>
        <v>OK</v>
      </c>
      <c r="BD249" s="20">
        <f>IFERROR(VLOOKUP(Tabla1[[#This Row],[Llave]],'[5]Consolidación planes'!$A:$M,9,FALSE),0)</f>
        <v>14000</v>
      </c>
      <c r="BE249" s="20">
        <f>IFERROR(VLOOKUP(Tabla1[[#This Row],[Llave]],'[5]Consolidación planes'!$A:$M,10,FALSE),0)</f>
        <v>0</v>
      </c>
      <c r="BF249" s="20">
        <f>IFERROR(VLOOKUP(Tabla1[[#This Row],[Llave]],'[5]Consolidación planes'!$A:$M,11,FALSE),0)</f>
        <v>0</v>
      </c>
      <c r="BG249" s="20">
        <f>IFERROR(VLOOKUP(Tabla1[[#This Row],[Llave]],'[5]Consolidación planes'!$A:$M,12,FALSE),0)</f>
        <v>0</v>
      </c>
      <c r="BH249" s="20">
        <f>IFERROR(VLOOKUP(Tabla1[[#This Row],[Llave]],'[5]Consolidación planes'!$A:$M,13,FALSE),0)</f>
        <v>12000</v>
      </c>
      <c r="BI249" s="20">
        <f>IFERROR(VLOOKUP(Tabla1[[#This Row],[Llave]],'[13]Base ultimos planes'!$A:$M,13,FALSE),0)</f>
        <v>12000</v>
      </c>
      <c r="BJ249" s="80">
        <f>IFERROR(VLOOKUP(Tabla1[[#This Row],[Llave]],'[13]Base ultimos planes'!$O:$AA,8,FALSE),0)</f>
        <v>46900</v>
      </c>
      <c r="BK249" s="20">
        <f>IFERROR(VLOOKUP(Tabla1[[#This Row],[Llave]],'[13]Base ultimos planes'!$O:$AA,9,FALSE),0)</f>
        <v>0</v>
      </c>
      <c r="BL249" s="20">
        <f>IFERROR(VLOOKUP(Tabla1[[#This Row],[Llave]],'[13]Base ultimos planes'!$O:$AA,10,FALSE),0)</f>
        <v>0</v>
      </c>
      <c r="BM249" s="20">
        <f>IFERROR(VLOOKUP(Tabla1[[#This Row],[Llave]],'[13]Base ultimos planes'!$O:$AA,11,FALSE),0)</f>
        <v>0</v>
      </c>
      <c r="BN249" s="20">
        <f>IFERROR(VLOOKUP(Tabla1[[#This Row],[Llave]],'[13]Base ultimos planes'!$O:$AA,12,FALSE),0)</f>
        <v>64578</v>
      </c>
      <c r="BO249" s="20">
        <f>IFERROR(VLOOKUP(Tabla1[[#This Row],[Llave]],'[13]Base ultimos planes'!$O:$AA,13,FALSE),0)</f>
        <v>56400</v>
      </c>
      <c r="BP249" s="20"/>
      <c r="BQ249" s="20">
        <f>+Tabla1[[#This Row],[ RV  Venta mes n+1]]*(1-Tabla1[[#This Row],[% Uti. producción]])</f>
        <v>0</v>
      </c>
      <c r="BR249" s="100"/>
    </row>
    <row r="250" spans="1:70" ht="16" hidden="1" x14ac:dyDescent="0.2">
      <c r="A250">
        <v>2</v>
      </c>
      <c r="B250" t="str">
        <f>Tabla1[[#This Row],[Oficina]]&amp;Tabla1[[#This Row],[Material]]</f>
        <v>Agrosuper Shanghai1012504</v>
      </c>
      <c r="C250" t="s">
        <v>227</v>
      </c>
      <c r="D250" t="s">
        <v>140</v>
      </c>
      <c r="E250">
        <v>1012504</v>
      </c>
      <c r="F250" t="s">
        <v>271</v>
      </c>
      <c r="G250" t="s">
        <v>268</v>
      </c>
      <c r="H250" t="s">
        <v>269</v>
      </c>
      <c r="I250" s="7">
        <f>IFERROR(VLOOKUP(Tabla1[[#This Row],[Llave]],'[7]RV Producción'!$C:$G,5,FALSE),0)</f>
        <v>0</v>
      </c>
      <c r="J250" s="3">
        <f>IFERROR(IF(Tabla1[[#This Row],[Oficina]]=$I$7,VLOOKUP(Tabla1[[#This Row],[Llave]],'[7]Shangai (Tomas)'!$A:$F,6,FALSE),VLOOKUP(Tabla1[[#This Row],[Llave]],'[7]RV plan de ventas'!$A:$E,5,FALSE)),0)</f>
        <v>0</v>
      </c>
      <c r="K250" s="8">
        <f>IFERROR(VLOOKUP(Tabla1[[#This Row],[Oficina]],[15]Ponderación!$B$2:$E$9,4,FALSE),0)</f>
        <v>0.45719439678473212</v>
      </c>
      <c r="L250" s="7">
        <f>+Tabla1[[#This Row],[ RV Producción mes n+1]]*Tabla1[[#This Row],[% Uti. producción]]</f>
        <v>0</v>
      </c>
      <c r="M250" s="7">
        <f>IFERROR(VLOOKUP(Tabla1[[#This Row],[Material]],'[17]TD Stock'!$E:$I,5,FALSE),0)</f>
        <v>6199.5673412421493</v>
      </c>
      <c r="N250" s="7">
        <f>IFERROR(VLOOKUP(Tabla1[[#This Row],[Material]],[16]Produccion!$M:$N,2,FALSE),0)</f>
        <v>11700</v>
      </c>
      <c r="O250" s="7">
        <f>IFERROR(VLOOKUP(Tabla1[[#This Row],[Llave]],'[16]TD Conf-AP'!$I:$M,4,FALSE),0)</f>
        <v>0</v>
      </c>
      <c r="P250" s="14">
        <f>SUM(Tabla1[[#This Row],[Producción disponible]],Tabla1[[#This Row],[Stock al día]],(Tabla1[[#This Row],[Por producir mes N]]*0.9))-Tabla1[[#This Row],[Producción por despachar mes N]]</f>
        <v>16729.567341242149</v>
      </c>
      <c r="Q250" s="7">
        <f>IFERROR(VLOOKUP(Tabla1[[#This Row],[Llave]],[17]DELAY!$A:$D,4,FALSE),0)</f>
        <v>0</v>
      </c>
      <c r="R250" s="9">
        <v>24000</v>
      </c>
      <c r="S250" s="5">
        <f t="shared" si="32"/>
        <v>0</v>
      </c>
      <c r="T250" s="76">
        <v>0</v>
      </c>
      <c r="U250" s="5">
        <f>+Tabla1[[#This Row],[Atraso a facturar]]+Tabla1[[#This Row],[Ajuste atraso]]</f>
        <v>0</v>
      </c>
      <c r="V250" s="3">
        <f>+Tabla1[[#This Row],[Total disponible]]-Tabla1[[#This Row],[Facturación atraso]]</f>
        <v>16729.567341242149</v>
      </c>
      <c r="W250" s="6">
        <f>IFERROR(IF(AND(V250&gt;R250,J250&gt;=R250),ROUNDDOWN((Tabla1[[#This Row],[Producción para venta nueva]])/R250,0)*R250,0),0)</f>
        <v>0</v>
      </c>
      <c r="X250" s="76">
        <v>0</v>
      </c>
      <c r="Y250" s="6">
        <f>IF(Tabla1[[#This Row],[Venta del mes]]&gt;0,Tabla1[[#This Row],[Venta del mes]]+Tabla1[[#This Row],[Ajuste venta nueva]],0)</f>
        <v>0</v>
      </c>
      <c r="Z250" s="6">
        <f>+Tabla1[[#This Row],[Producción para venta nueva]]-Tabla1[[#This Row],[Facturación Venta nueva]]</f>
        <v>16729.567341242149</v>
      </c>
      <c r="AA250" s="6">
        <f>IF(AND(A250=1,Tabla1[[#This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0" s="6"/>
      <c r="AC250" s="6">
        <f>IF(Tabla1[[#This Row],[Disponible stock sin venta]]&gt;0,Tabla1[[#This Row],[Disponible stock sin venta]]+Tabla1[[#This Row],[Ajuste stock sin venta]],0)</f>
        <v>0</v>
      </c>
      <c r="AD250" s="3">
        <f>IFERROR(VLOOKUP(Tabla1[[#This Row],[Llave]],'[16]TD Puerto'!$A:$D,4,FALSE),0)</f>
        <v>0</v>
      </c>
      <c r="AE250" s="3">
        <v>0</v>
      </c>
      <c r="AF250" s="3">
        <f>+Tabla1[[#This Row],[Atraso a facturar]]+Tabla1[[#This Row],[Venta del mes]]+Tabla1[[#This Row],[En puerto a facturar]]+Tabla1[[#This Row],[Disponible stock sin venta]]</f>
        <v>0</v>
      </c>
      <c r="AG250" s="3">
        <f>+Tabla1[[#This Row],[En puerto a facturar]]</f>
        <v>0</v>
      </c>
      <c r="AH250" s="3">
        <f>+Tabla1[[#This Row],[Facturación atraso]]</f>
        <v>0</v>
      </c>
      <c r="AI250" s="3">
        <f>+Tabla1[[#This Row],[Plan Irrestricto]]-Tabla1[[#This Row],[Puerto ]]-Tabla1[[#This Row],[Atraso]]</f>
        <v>0</v>
      </c>
      <c r="AJ25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50" s="3">
        <f>+Tabla1[[#This Row],[Facturación atraso]]</f>
        <v>0</v>
      </c>
      <c r="AL250" s="3">
        <f>+Tabla1[[#This Row],[Plan Ajustado]]-Tabla1[[#This Row],[ Atraso ajustado]]-Tabla1[[#This Row],[Puerto ]]</f>
        <v>0</v>
      </c>
      <c r="AM250" s="3">
        <v>0</v>
      </c>
      <c r="AN250" s="3" t="str">
        <f>IF(Tabla1[[#This Row],[Plan Ajustado]]&gt;Tabla1[[#This Row],[En puerto a facturar]],"Si","No")</f>
        <v>No</v>
      </c>
      <c r="AO25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50" s="3">
        <f>IF(Tabla1[[#This Row],[Necesidad]]&gt;=Tabla1[[#This Row],[Stock al día]],Tabla1[[#This Row],[Stock al día]],Tabla1[[#This Row],[Necesidad]])</f>
        <v>0</v>
      </c>
      <c r="AQ250" s="3">
        <f>+Tabla1[[#This Row],[Necesidad]]-Tabla1[[#This Row],[Stock Plan]]</f>
        <v>0</v>
      </c>
      <c r="AR250" s="156">
        <f>IFERROR(VLOOKUP(Tabla1[[#This Row],[Oficina]],[22]Ponderación!$B$3:$G$9,6,FALSE),"")</f>
        <v>44754</v>
      </c>
      <c r="AS25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4.9304461587743731</v>
      </c>
      <c r="AT250" s="83">
        <f>IFERROR(VLOOKUP(Tabla1[[#This Row],[Llave]],[17]DELAY!$H:$W,16,FALSE),0)</f>
        <v>0</v>
      </c>
      <c r="AU25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50" s="5">
        <f>+Tabla1[[#This Row],[Plan Ajustado]]*Tabla1[[#This Row],[Precio ponderado]]</f>
        <v>0</v>
      </c>
      <c r="AW250" s="30">
        <f>IFERROR(VLOOKUP(Tabla1[[#This Row],[Llave]],'[13]Ultimos precios facturados'!$A:$G,7,FALSE),0)</f>
        <v>4.9304461587743731</v>
      </c>
      <c r="AX25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50" s="30"/>
      <c r="AZ250" s="30">
        <f>IF(Tabla1[[#This Row],[Ajuste precio IC]]="",Tabla1[[#This Row],[Precio ponderado]],Tabla1[[#This Row],[Precio ponderado]])</f>
        <v>0</v>
      </c>
      <c r="BA250" s="82"/>
      <c r="BB250" s="82" t="str">
        <f>IF(AND(Tabla1[[#This Row],[Atraso a facturar]]&gt;0,Tabla1[[#This Row],[Precio Atraso]]=0),"Revisar","OK")</f>
        <v>OK</v>
      </c>
      <c r="BC250" s="82" t="str">
        <f>IF(AND(Tabla1[[#This Row],[Venta del mes]]&gt;0,Tabla1[[#This Row],[Precio venta nueva]]=0),"Revisar","OK")</f>
        <v>OK</v>
      </c>
      <c r="BD250" s="20">
        <f>IFERROR(VLOOKUP(Tabla1[[#This Row],[Llave]],'[5]Consolidación planes'!$A:$M,9,FALSE),0)</f>
        <v>48000</v>
      </c>
      <c r="BE250" s="20">
        <f>IFERROR(VLOOKUP(Tabla1[[#This Row],[Llave]],'[5]Consolidación planes'!$A:$M,10,FALSE),0)</f>
        <v>72000</v>
      </c>
      <c r="BF250" s="20">
        <f>IFERROR(VLOOKUP(Tabla1[[#This Row],[Llave]],'[5]Consolidación planes'!$A:$M,11,FALSE),0)</f>
        <v>24000</v>
      </c>
      <c r="BG250" s="20">
        <f>IFERROR(VLOOKUP(Tabla1[[#This Row],[Llave]],'[5]Consolidación planes'!$A:$M,12,FALSE),0)</f>
        <v>24000</v>
      </c>
      <c r="BH250" s="20">
        <f>IFERROR(VLOOKUP(Tabla1[[#This Row],[Llave]],'[5]Consolidación planes'!$A:$M,13,FALSE),0)</f>
        <v>72000</v>
      </c>
      <c r="BI250" s="20">
        <f>IFERROR(VLOOKUP(Tabla1[[#This Row],[Llave]],'[13]Base ultimos planes'!$A:$M,13,FALSE),0)</f>
        <v>48000</v>
      </c>
      <c r="BJ250" s="80">
        <f>IFERROR(VLOOKUP(Tabla1[[#This Row],[Llave]],'[13]Base ultimos planes'!$O:$AA,8,FALSE),0)</f>
        <v>168720</v>
      </c>
      <c r="BK250" s="20">
        <f>IFERROR(VLOOKUP(Tabla1[[#This Row],[Llave]],'[13]Base ultimos planes'!$O:$AA,9,FALSE),0)</f>
        <v>254520</v>
      </c>
      <c r="BL250" s="20">
        <f>IFERROR(VLOOKUP(Tabla1[[#This Row],[Llave]],'[13]Base ultimos planes'!$O:$AA,10,FALSE),0)</f>
        <v>90000</v>
      </c>
      <c r="BM250" s="20">
        <f>IFERROR(VLOOKUP(Tabla1[[#This Row],[Llave]],'[13]Base ultimos planes'!$O:$AA,11,FALSE),0)</f>
        <v>51375</v>
      </c>
      <c r="BN250" s="20">
        <f>IFERROR(VLOOKUP(Tabla1[[#This Row],[Llave]],'[13]Base ultimos planes'!$O:$AA,12,FALSE),0)</f>
        <v>373545</v>
      </c>
      <c r="BO250" s="20">
        <f>IFERROR(VLOOKUP(Tabla1[[#This Row],[Llave]],'[13]Base ultimos planes'!$O:$AA,13,FALSE),0)</f>
        <v>176000</v>
      </c>
      <c r="BP250" s="20"/>
      <c r="BQ250" s="20">
        <f>+Tabla1[[#This Row],[ RV  Venta mes n+1]]*(1-Tabla1[[#This Row],[% Uti. producción]])</f>
        <v>0</v>
      </c>
      <c r="BR250" s="100"/>
    </row>
    <row r="251" spans="1:70" ht="16" hidden="1" x14ac:dyDescent="0.2">
      <c r="A251">
        <v>2</v>
      </c>
      <c r="B251" t="str">
        <f>Tabla1[[#This Row],[Oficina]]&amp;Tabla1[[#This Row],[Material]]</f>
        <v>Agrosuper Shanghai1012598</v>
      </c>
      <c r="C251" t="s">
        <v>227</v>
      </c>
      <c r="D251" t="s">
        <v>140</v>
      </c>
      <c r="E251">
        <v>1012598</v>
      </c>
      <c r="F251" t="s">
        <v>273</v>
      </c>
      <c r="G251" t="s">
        <v>268</v>
      </c>
      <c r="H251" t="s">
        <v>269</v>
      </c>
      <c r="I251" s="7">
        <f>IFERROR(VLOOKUP(Tabla1[[#This Row],[Llave]],'[7]RV Producción'!$C:$G,5,FALSE),0)</f>
        <v>0</v>
      </c>
      <c r="J251" s="3">
        <f>IFERROR(IF(Tabla1[[#This Row],[Oficina]]=$I$7,VLOOKUP(Tabla1[[#This Row],[Llave]],'[7]Shangai (Tomas)'!$A:$F,6,FALSE),VLOOKUP(Tabla1[[#This Row],[Llave]],'[7]RV plan de ventas'!$A:$E,5,FALSE)),0)</f>
        <v>0</v>
      </c>
      <c r="K251" s="8">
        <f>IFERROR(VLOOKUP(Tabla1[[#This Row],[Oficina]],[15]Ponderación!$B$2:$E$9,4,FALSE),0)</f>
        <v>0.45719439678473212</v>
      </c>
      <c r="L251" s="7">
        <f>+Tabla1[[#This Row],[ RV Producción mes n+1]]*Tabla1[[#This Row],[% Uti. producción]]</f>
        <v>0</v>
      </c>
      <c r="M251" s="7">
        <f>IFERROR(VLOOKUP(Tabla1[[#This Row],[Material]],'[17]TD Stock'!$E:$I,5,FALSE),0)</f>
        <v>800</v>
      </c>
      <c r="N251" s="7">
        <f>IFERROR(VLOOKUP(Tabla1[[#This Row],[Material]],[16]Produccion!$M:$N,2,FALSE),0)</f>
        <v>1000</v>
      </c>
      <c r="O251" s="7">
        <f>IFERROR(VLOOKUP(Tabla1[[#This Row],[Llave]],'[16]TD Conf-AP'!$I:$M,4,FALSE),0)</f>
        <v>0</v>
      </c>
      <c r="P251" s="14">
        <f>SUM(Tabla1[[#This Row],[Producción disponible]],Tabla1[[#This Row],[Stock al día]],(Tabla1[[#This Row],[Por producir mes N]]*0.9))-Tabla1[[#This Row],[Producción por despachar mes N]]</f>
        <v>1700</v>
      </c>
      <c r="Q251" s="7">
        <f>IFERROR(VLOOKUP(Tabla1[[#This Row],[Llave]],[17]DELAY!$A:$D,4,FALSE),0)</f>
        <v>7500</v>
      </c>
      <c r="R251" s="9">
        <v>24000</v>
      </c>
      <c r="S251" s="5">
        <f t="shared" si="32"/>
        <v>0</v>
      </c>
      <c r="T251" s="76">
        <v>0</v>
      </c>
      <c r="U251" s="5">
        <f>+Tabla1[[#This Row],[Atraso a facturar]]+Tabla1[[#This Row],[Ajuste atraso]]</f>
        <v>0</v>
      </c>
      <c r="V251" s="3">
        <f>+Tabla1[[#This Row],[Total disponible]]-Tabla1[[#This Row],[Facturación atraso]]</f>
        <v>1700</v>
      </c>
      <c r="W251" s="6">
        <f>IFERROR(IF(AND(V251&gt;R251,J251&gt;=R251),ROUNDDOWN((Tabla1[[#This Row],[Producción para venta nueva]])/R251,0)*R251,0),0)</f>
        <v>0</v>
      </c>
      <c r="X251" s="76">
        <v>0</v>
      </c>
      <c r="Y251" s="6">
        <f>IF(Tabla1[[#This Row],[Venta del mes]]&gt;0,Tabla1[[#This Row],[Venta del mes]]+Tabla1[[#This Row],[Ajuste venta nueva]],0)</f>
        <v>0</v>
      </c>
      <c r="Z251" s="6">
        <f>+Tabla1[[#This Row],[Producción para venta nueva]]-Tabla1[[#This Row],[Facturación Venta nueva]]</f>
        <v>1700</v>
      </c>
      <c r="AA251" s="6">
        <f>IF(AND(A251=1,Tabla1[[#This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1" s="6"/>
      <c r="AC251" s="6">
        <f>IF(Tabla1[[#This Row],[Disponible stock sin venta]]&gt;0,Tabla1[[#This Row],[Disponible stock sin venta]]+Tabla1[[#This Row],[Ajuste stock sin venta]],0)</f>
        <v>0</v>
      </c>
      <c r="AD251" s="3">
        <f>IFERROR(VLOOKUP(Tabla1[[#This Row],[Llave]],'[16]TD Puerto'!$A:$D,4,FALSE),0)</f>
        <v>0</v>
      </c>
      <c r="AE251" s="3">
        <v>0</v>
      </c>
      <c r="AF251" s="3">
        <f>+Tabla1[[#This Row],[Atraso a facturar]]+Tabla1[[#This Row],[Venta del mes]]+Tabla1[[#This Row],[En puerto a facturar]]+Tabla1[[#This Row],[Disponible stock sin venta]]</f>
        <v>0</v>
      </c>
      <c r="AG251" s="3">
        <f>+Tabla1[[#This Row],[En puerto a facturar]]</f>
        <v>0</v>
      </c>
      <c r="AH251" s="3">
        <f>+Tabla1[[#This Row],[Facturación atraso]]</f>
        <v>0</v>
      </c>
      <c r="AI251" s="3">
        <f>+Tabla1[[#This Row],[Plan Irrestricto]]-Tabla1[[#This Row],[Puerto ]]-Tabla1[[#This Row],[Atraso]]</f>
        <v>0</v>
      </c>
      <c r="AJ25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51" s="3">
        <f>+Tabla1[[#This Row],[Facturación atraso]]</f>
        <v>0</v>
      </c>
      <c r="AL251" s="3">
        <f>+Tabla1[[#This Row],[Plan Ajustado]]-Tabla1[[#This Row],[ Atraso ajustado]]-Tabla1[[#This Row],[Puerto ]]</f>
        <v>0</v>
      </c>
      <c r="AM251" s="3">
        <v>0</v>
      </c>
      <c r="AN251" s="3" t="str">
        <f>IF(Tabla1[[#This Row],[Plan Ajustado]]&gt;Tabla1[[#This Row],[En puerto a facturar]],"Si","No")</f>
        <v>No</v>
      </c>
      <c r="AO25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51" s="3">
        <f>IF(Tabla1[[#This Row],[Necesidad]]&gt;=Tabla1[[#This Row],[Stock al día]],Tabla1[[#This Row],[Stock al día]],Tabla1[[#This Row],[Necesidad]])</f>
        <v>0</v>
      </c>
      <c r="AQ251" s="3">
        <f>+Tabla1[[#This Row],[Necesidad]]-Tabla1[[#This Row],[Stock Plan]]</f>
        <v>0</v>
      </c>
      <c r="AR251" s="156">
        <f>IFERROR(VLOOKUP(Tabla1[[#This Row],[Oficina]],[22]Ponderación!$B$3:$G$9,6,FALSE),"")</f>
        <v>44754</v>
      </c>
      <c r="AS25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1.0796761375126389</v>
      </c>
      <c r="AT251" s="83">
        <f>IFERROR(VLOOKUP(Tabla1[[#This Row],[Llave]],[17]DELAY!$H:$W,16,FALSE),0)</f>
        <v>1.38333333333333</v>
      </c>
      <c r="AU25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51" s="5">
        <f>+Tabla1[[#This Row],[Plan Ajustado]]*Tabla1[[#This Row],[Precio ponderado]]</f>
        <v>0</v>
      </c>
      <c r="AW251" s="30">
        <f>IFERROR(VLOOKUP(Tabla1[[#This Row],[Llave]],'[13]Ultimos precios facturados'!$A:$G,7,FALSE),0)</f>
        <v>1.0796761375126389</v>
      </c>
      <c r="AX25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51" s="30"/>
      <c r="AZ251" s="30">
        <f>IF(Tabla1[[#This Row],[Ajuste precio IC]]="",Tabla1[[#This Row],[Precio ponderado]],Tabla1[[#This Row],[Precio ponderado]])</f>
        <v>0</v>
      </c>
      <c r="BA251" s="82"/>
      <c r="BB251" s="82" t="str">
        <f>IF(AND(Tabla1[[#This Row],[Atraso a facturar]]&gt;0,Tabla1[[#This Row],[Precio Atraso]]=0),"Revisar","OK")</f>
        <v>OK</v>
      </c>
      <c r="BC251" s="82" t="str">
        <f>IF(AND(Tabla1[[#This Row],[Venta del mes]]&gt;0,Tabla1[[#This Row],[Precio venta nueva]]=0),"Revisar","OK")</f>
        <v>OK</v>
      </c>
      <c r="BD251" s="20">
        <f>IFERROR(VLOOKUP(Tabla1[[#This Row],[Llave]],'[5]Consolidación planes'!$A:$M,9,FALSE),0)</f>
        <v>4340</v>
      </c>
      <c r="BE251" s="20">
        <f>IFERROR(VLOOKUP(Tabla1[[#This Row],[Llave]],'[5]Consolidación planes'!$A:$M,10,FALSE),0)</f>
        <v>0</v>
      </c>
      <c r="BF251" s="20">
        <f>IFERROR(VLOOKUP(Tabla1[[#This Row],[Llave]],'[5]Consolidación planes'!$A:$M,11,FALSE),0)</f>
        <v>10660</v>
      </c>
      <c r="BG251" s="20">
        <f>IFERROR(VLOOKUP(Tabla1[[#This Row],[Llave]],'[5]Consolidación planes'!$A:$M,12,FALSE),0)</f>
        <v>0</v>
      </c>
      <c r="BH251" s="20">
        <f>IFERROR(VLOOKUP(Tabla1[[#This Row],[Llave]],'[5]Consolidación planes'!$A:$M,13,FALSE),0)</f>
        <v>0</v>
      </c>
      <c r="BI251" s="20">
        <f>IFERROR(VLOOKUP(Tabla1[[#This Row],[Llave]],'[13]Base ultimos planes'!$A:$M,13,FALSE),0)</f>
        <v>0</v>
      </c>
      <c r="BJ251" s="80">
        <f>IFERROR(VLOOKUP(Tabla1[[#This Row],[Llave]],'[13]Base ultimos planes'!$O:$AA,8,FALSE),0)</f>
        <v>3906</v>
      </c>
      <c r="BK251" s="20">
        <f>IFERROR(VLOOKUP(Tabla1[[#This Row],[Llave]],'[13]Base ultimos planes'!$O:$AA,9,FALSE),0)</f>
        <v>0</v>
      </c>
      <c r="BL251" s="20">
        <f>IFERROR(VLOOKUP(Tabla1[[#This Row],[Llave]],'[13]Base ultimos planes'!$O:$AA,10,FALSE),0)</f>
        <v>10660</v>
      </c>
      <c r="BM251" s="20">
        <f>IFERROR(VLOOKUP(Tabla1[[#This Row],[Llave]],'[13]Base ultimos planes'!$O:$AA,11,FALSE),0)</f>
        <v>0</v>
      </c>
      <c r="BN251" s="20">
        <f>IFERROR(VLOOKUP(Tabla1[[#This Row],[Llave]],'[13]Base ultimos planes'!$O:$AA,12,FALSE),0)</f>
        <v>0</v>
      </c>
      <c r="BO251" s="20">
        <f>IFERROR(VLOOKUP(Tabla1[[#This Row],[Llave]],'[13]Base ultimos planes'!$O:$AA,13,FALSE),0)</f>
        <v>0</v>
      </c>
      <c r="BP251" s="20"/>
      <c r="BQ251" s="20">
        <f>+Tabla1[[#This Row],[ RV  Venta mes n+1]]*(1-Tabla1[[#This Row],[% Uti. producción]])</f>
        <v>0</v>
      </c>
      <c r="BR251" s="100"/>
    </row>
    <row r="252" spans="1:70" ht="16" x14ac:dyDescent="0.2">
      <c r="A252">
        <v>1</v>
      </c>
      <c r="B252" t="str">
        <f>Tabla1[[#This Row],[Oficina]]&amp;Tabla1[[#This Row],[Material]]</f>
        <v>Agro Mexico1012764</v>
      </c>
      <c r="C252" t="s">
        <v>227</v>
      </c>
      <c r="D252" t="s">
        <v>370</v>
      </c>
      <c r="E252">
        <v>1012764</v>
      </c>
      <c r="F252" t="s">
        <v>369</v>
      </c>
      <c r="G252" t="s">
        <v>233</v>
      </c>
      <c r="H252" t="s">
        <v>371</v>
      </c>
      <c r="I252" s="15">
        <f>IFERROR(VLOOKUP(Tabla1[[#This Row],[Llave]],'[7]RV Producción'!$C:$G,5,FALSE),0)</f>
        <v>96000</v>
      </c>
      <c r="J252" s="3">
        <f>IFERROR(IF(Tabla1[[#This Row],[Oficina]]=$I$7,VLOOKUP(Tabla1[[#This Row],[Llave]],'[7]Shangai (Tomas)'!$A:$F,6,FALSE),VLOOKUP(Tabla1[[#This Row],[Llave]],'[7]RV plan de ventas'!$A:$E,5,FALSE)),0)</f>
        <v>135684</v>
      </c>
      <c r="K252" s="8">
        <v>0.8</v>
      </c>
      <c r="L252" s="7">
        <f>+Tabla1[[#This Row],[ RV Producción mes n+1]]*Tabla1[[#This Row],[% Uti. producción]]</f>
        <v>76800</v>
      </c>
      <c r="M252" s="7">
        <f>IFERROR(VLOOKUP(Tabla1[[#This Row],[Material]],'[17]TD Stock'!$E:$I,5,FALSE),0)</f>
        <v>62544.360999999997</v>
      </c>
      <c r="N252" s="7">
        <f>IFERROR(VLOOKUP(Tabla1[[#This Row],[Material]],[16]Produccion!$M:$N,2,FALSE),0)</f>
        <v>66900</v>
      </c>
      <c r="O252" s="7">
        <f>IFERROR(VLOOKUP(Tabla1[[#This Row],[Llave]],'[16]TD Conf-AP'!$I:$M,4,FALSE),0)</f>
        <v>0</v>
      </c>
      <c r="P252" s="14">
        <f>SUM(Tabla1[[#This Row],[Producción disponible]],Tabla1[[#This Row],[Stock al día]],(Tabla1[[#This Row],[Por producir mes N]]*0.9))-Tabla1[[#This Row],[Producción por despachar mes N]]</f>
        <v>199554.361</v>
      </c>
      <c r="Q252" s="7">
        <f>IFERROR(VLOOKUP(Tabla1[[#This Row],[Llave]],[17]DELAY!$A:$D,4,FALSE),0)</f>
        <v>72000</v>
      </c>
      <c r="R252" s="9">
        <v>24000</v>
      </c>
      <c r="S252" s="5">
        <f t="shared" si="32"/>
        <v>72000</v>
      </c>
      <c r="T252" s="76">
        <v>0</v>
      </c>
      <c r="U252" s="5">
        <f>+Tabla1[[#This Row],[Atraso a facturar]]+Tabla1[[#This Row],[Ajuste atraso]]</f>
        <v>72000</v>
      </c>
      <c r="V252" s="3">
        <f>+Tabla1[[#This Row],[Total disponible]]-Tabla1[[#This Row],[Facturación atraso]]</f>
        <v>127554.361</v>
      </c>
      <c r="W252" s="6">
        <f>IFERROR(IF(AND(V252&gt;R252,J252&gt;=R252),ROUNDDOWN((Tabla1[[#This Row],[Producción para venta nueva]])/R252,0)*R252,0),0)</f>
        <v>120000</v>
      </c>
      <c r="X252" s="76">
        <v>144000</v>
      </c>
      <c r="Y252" s="6">
        <f>IF(Tabla1[[#This Row],[Venta del mes]]&gt;0,Tabla1[[#This Row],[Venta del mes]]+Tabla1[[#This Row],[Ajuste venta nueva]],0)</f>
        <v>264000</v>
      </c>
      <c r="Z252" s="6">
        <f>+Tabla1[[#This Row],[Producción para venta nueva]]-Tabla1[[#This Row],[Facturación Venta nueva]]</f>
        <v>-136445.639</v>
      </c>
      <c r="AA252" s="6">
        <f>IF(AND(A252=1,Tabla1[[#This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2" s="6"/>
      <c r="AC252" s="6">
        <f>IF(Tabla1[[#This Row],[Disponible stock sin venta]]&gt;0,Tabla1[[#This Row],[Disponible stock sin venta]]+Tabla1[[#This Row],[Ajuste stock sin venta]],0)</f>
        <v>0</v>
      </c>
      <c r="AD252" s="3">
        <f>IFERROR(VLOOKUP(Tabla1[[#This Row],[Llave]],'[16]TD Puerto'!$A:$D,4,FALSE),0)</f>
        <v>23989.05</v>
      </c>
      <c r="AE252" s="3">
        <v>215989.05</v>
      </c>
      <c r="AF252" s="3">
        <f>+Tabla1[[#This Row],[Atraso a facturar]]+Tabla1[[#This Row],[Venta del mes]]+Tabla1[[#This Row],[En puerto a facturar]]+Tabla1[[#This Row],[Disponible stock sin venta]]</f>
        <v>215989.05</v>
      </c>
      <c r="AG252" s="3">
        <f>+Tabla1[[#This Row],[En puerto a facturar]]</f>
        <v>23989.05</v>
      </c>
      <c r="AH252" s="3">
        <f>+Tabla1[[#This Row],[Facturación atraso]]</f>
        <v>72000</v>
      </c>
      <c r="AI252" s="3">
        <f>+Tabla1[[#This Row],[Plan Irrestricto]]-Tabla1[[#This Row],[Puerto ]]-Tabla1[[#This Row],[Atraso]]</f>
        <v>120000</v>
      </c>
      <c r="AJ252" s="3">
        <f>IF(Tabla1[[#This Row],[Plan Irrestricto]]&gt;0,SUM(Tabla1[[#This Row],[Facturación atraso]],Tabla1[[#This Row],[Facturación Venta nueva]],Tabla1[[#This Row],[Facturación stock]],Tabla1[[#This Row],[En puerto a facturar]]),0)</f>
        <v>359989.05</v>
      </c>
      <c r="AK252" s="3">
        <f>+Tabla1[[#This Row],[Facturación atraso]]</f>
        <v>72000</v>
      </c>
      <c r="AL252" s="3">
        <f>+Tabla1[[#This Row],[Plan Ajustado]]-Tabla1[[#This Row],[ Atraso ajustado]]-Tabla1[[#This Row],[Puerto ]]</f>
        <v>264000</v>
      </c>
      <c r="AM252" s="3">
        <v>0</v>
      </c>
      <c r="AN252" s="3" t="str">
        <f>IF(Tabla1[[#This Row],[Plan Ajustado]]&gt;Tabla1[[#This Row],[En puerto a facturar]],"Si","No")</f>
        <v>Si</v>
      </c>
      <c r="AO252" s="3">
        <f>IF(AND(Tabla1[[#This Row],[Plan Ajustado]]&gt;0,Tabla1[[#This Row],[Plan Ajustado]]&gt;Tabla1[[#This Row],[En puerto a facturar]]),(Tabla1[[#This Row],[Plan Ajustado]]-Tabla1[[#This Row],[En puerto a facturar]]),0)</f>
        <v>336000</v>
      </c>
      <c r="AP252" s="3">
        <f>IF(Tabla1[[#This Row],[Necesidad]]&gt;=Tabla1[[#This Row],[Stock al día]],Tabla1[[#This Row],[Stock al día]],Tabla1[[#This Row],[Necesidad]])</f>
        <v>62544.360999999997</v>
      </c>
      <c r="AQ252" s="3">
        <f>+Tabla1[[#This Row],[Necesidad]]-Tabla1[[#This Row],[Stock Plan]]</f>
        <v>273455.63900000002</v>
      </c>
      <c r="AR252" s="156">
        <f>IFERROR(VLOOKUP(Tabla1[[#This Row],[Oficina]],[22]Ponderación!$B$3:$G$9,6,FALSE),"")</f>
        <v>44757</v>
      </c>
      <c r="AS25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0.72980601986969695</v>
      </c>
      <c r="AT252" s="83">
        <f>IFERROR(VLOOKUP(Tabla1[[#This Row],[Llave]],[17]DELAY!$H:$W,16,FALSE),0)</f>
        <v>0.793366666666667</v>
      </c>
      <c r="AU25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0.74675410788355934</v>
      </c>
      <c r="AV252" s="5">
        <f>+Tabla1[[#This Row],[Plan Ajustado]]*Tabla1[[#This Row],[Precio ponderado]]</f>
        <v>268823.30188060005</v>
      </c>
      <c r="AW252" s="30">
        <f>IFERROR(VLOOKUP(Tabla1[[#This Row],[Llave]],'[13]Ultimos precios facturados'!$A:$G,7,FALSE),0)</f>
        <v>0.81651936514029222</v>
      </c>
      <c r="AX25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8.5442256773354056E-2</v>
      </c>
      <c r="AY252" s="30"/>
      <c r="AZ252" s="30">
        <f>IF(Tabla1[[#This Row],[Ajuste precio IC]]="",Tabla1[[#This Row],[Precio ponderado]],Tabla1[[#This Row],[Precio ponderado]])</f>
        <v>0.74675410788355934</v>
      </c>
      <c r="BA252" s="82"/>
      <c r="BB252" s="82" t="str">
        <f>IF(AND(Tabla1[[#This Row],[Atraso a facturar]]&gt;0,Tabla1[[#This Row],[Precio Atraso]]=0),"Revisar","OK")</f>
        <v>OK</v>
      </c>
      <c r="BC252" s="82" t="str">
        <f>IF(AND(Tabla1[[#This Row],[Venta del mes]]&gt;0,Tabla1[[#This Row],[Precio venta nueva]]=0),"Revisar","OK")</f>
        <v>OK</v>
      </c>
      <c r="BD252" s="20">
        <f>IFERROR(VLOOKUP(Tabla1[[#This Row],[Llave]],'[5]Consolidación planes'!$A:$M,9,FALSE),0)</f>
        <v>0</v>
      </c>
      <c r="BE252" s="20">
        <f>IFERROR(VLOOKUP(Tabla1[[#This Row],[Llave]],'[5]Consolidación planes'!$A:$M,10,FALSE),0)</f>
        <v>0</v>
      </c>
      <c r="BF252" s="20">
        <f>IFERROR(VLOOKUP(Tabla1[[#This Row],[Llave]],'[5]Consolidación planes'!$A:$M,11,FALSE),0)</f>
        <v>0</v>
      </c>
      <c r="BG252" s="20">
        <f>IFERROR(VLOOKUP(Tabla1[[#This Row],[Llave]],'[5]Consolidación planes'!$A:$M,12,FALSE),0)</f>
        <v>0</v>
      </c>
      <c r="BH252" s="20">
        <f>IFERROR(VLOOKUP(Tabla1[[#This Row],[Llave]],'[5]Consolidación planes'!$A:$M,13,FALSE),0)</f>
        <v>0</v>
      </c>
      <c r="BI252" s="20">
        <f>IFERROR(VLOOKUP(Tabla1[[#This Row],[Llave]],'[13]Base ultimos planes'!$A:$M,13,FALSE),0)</f>
        <v>312001</v>
      </c>
      <c r="BJ252" s="80">
        <f>IFERROR(VLOOKUP(Tabla1[[#This Row],[Llave]],'[13]Base ultimos planes'!$O:$AA,8,FALSE),0)</f>
        <v>0</v>
      </c>
      <c r="BK252" s="20">
        <f>IFERROR(VLOOKUP(Tabla1[[#This Row],[Llave]],'[13]Base ultimos planes'!$O:$AA,9,FALSE),0)</f>
        <v>0</v>
      </c>
      <c r="BL252" s="20">
        <f>IFERROR(VLOOKUP(Tabla1[[#This Row],[Llave]],'[13]Base ultimos planes'!$O:$AA,10,FALSE),0)</f>
        <v>0</v>
      </c>
      <c r="BM252" s="20">
        <f>IFERROR(VLOOKUP(Tabla1[[#This Row],[Llave]],'[13]Base ultimos planes'!$O:$AA,11,FALSE),0)</f>
        <v>0</v>
      </c>
      <c r="BN252" s="20">
        <f>IFERROR(VLOOKUP(Tabla1[[#This Row],[Llave]],'[13]Base ultimos planes'!$O:$AA,12,FALSE),0)</f>
        <v>0</v>
      </c>
      <c r="BO252" s="20">
        <f>IFERROR(VLOOKUP(Tabla1[[#This Row],[Llave]],'[13]Base ultimos planes'!$O:$AA,13,FALSE),0)</f>
        <v>303633.28684000002</v>
      </c>
      <c r="BP252" s="20"/>
      <c r="BQ252" s="20">
        <f>+Tabla1[[#This Row],[ RV  Venta mes n+1]]*(1-Tabla1[[#This Row],[% Uti. producción]])</f>
        <v>27136.799999999996</v>
      </c>
      <c r="BR252" s="100"/>
    </row>
    <row r="253" spans="1:70" ht="16" hidden="1" x14ac:dyDescent="0.2">
      <c r="A253">
        <v>2</v>
      </c>
      <c r="B253" t="str">
        <f>Tabla1[[#This Row],[Oficina]]&amp;Tabla1[[#This Row],[Material]]</f>
        <v>Agrosuper Shanghai1030525</v>
      </c>
      <c r="C253" t="s">
        <v>204</v>
      </c>
      <c r="D253" t="s">
        <v>140</v>
      </c>
      <c r="E253">
        <v>1030525</v>
      </c>
      <c r="F253" t="s">
        <v>374</v>
      </c>
      <c r="G253" t="s">
        <v>205</v>
      </c>
      <c r="H253" t="s">
        <v>206</v>
      </c>
      <c r="I253" s="15">
        <f>IFERROR(VLOOKUP(Tabla1[[#This Row],[Llave]],'[7]RV Producción'!$C:$G,5,FALSE),0)</f>
        <v>88280</v>
      </c>
      <c r="J253" s="3">
        <f>IFERROR(IF(Tabla1[[#This Row],[Oficina]]=$I$7,VLOOKUP(Tabla1[[#This Row],[Llave]],'[7]Shangai (Tomas)'!$A:$F,6,FALSE),VLOOKUP(Tabla1[[#This Row],[Llave]],'[7]RV plan de ventas'!$A:$E,5,FALSE)),0)</f>
        <v>0</v>
      </c>
      <c r="K253" s="17">
        <f>IFERROR(VLOOKUP(Tabla1[[#This Row],[Oficina]],[15]Ponderación!$B$2:$E$9,4,FALSE),0)</f>
        <v>0.45719439678473212</v>
      </c>
      <c r="L253" s="7">
        <f>+Tabla1[[#This Row],[ RV Producción mes n+1]]*Tabla1[[#This Row],[% Uti. producción]]</f>
        <v>40361.12134815615</v>
      </c>
      <c r="M253" s="7">
        <f>IFERROR(VLOOKUP(Tabla1[[#This Row],[Material]],'[17]TD Stock'!$E:$I,5,FALSE),0)</f>
        <v>6759</v>
      </c>
      <c r="N253" s="7">
        <f>IFERROR(VLOOKUP(Tabla1[[#This Row],[Material]],[16]Produccion!$M:$N,2,FALSE),0)</f>
        <v>20632.494135661931</v>
      </c>
      <c r="O253" s="7">
        <f>IFERROR(VLOOKUP(Tabla1[[#This Row],[Llave]],'[16]TD Conf-AP'!$I:$M,4,FALSE),0)</f>
        <v>0</v>
      </c>
      <c r="P253" s="14">
        <f>SUM(Tabla1[[#This Row],[Producción disponible]],Tabla1[[#This Row],[Stock al día]],(Tabla1[[#This Row],[Por producir mes N]]*0.9))-Tabla1[[#This Row],[Producción por despachar mes N]]</f>
        <v>65689.366070251883</v>
      </c>
      <c r="Q253" s="7">
        <f>IFERROR(VLOOKUP(Tabla1[[#This Row],[Llave]],[17]DELAY!$A:$D,4,FALSE),0)</f>
        <v>0</v>
      </c>
      <c r="R253" s="9">
        <v>24000</v>
      </c>
      <c r="S253" s="5">
        <f t="shared" si="32"/>
        <v>0</v>
      </c>
      <c r="T253" s="76">
        <v>0</v>
      </c>
      <c r="U253" s="5">
        <f>+Tabla1[[#This Row],[Atraso a facturar]]+Tabla1[[#This Row],[Ajuste atraso]]</f>
        <v>0</v>
      </c>
      <c r="V253" s="3">
        <f>+Tabla1[[#This Row],[Total disponible]]-Tabla1[[#This Row],[Facturación atraso]]</f>
        <v>65689.366070251883</v>
      </c>
      <c r="W253" s="6">
        <f>IFERROR(IF(AND(V253&gt;R253,J253&gt;=R253),ROUNDDOWN((Tabla1[[#This Row],[Producción para venta nueva]])/R253,0)*R253,0),0)</f>
        <v>0</v>
      </c>
      <c r="X253" s="76">
        <v>0</v>
      </c>
      <c r="Y253" s="6">
        <f>IF(Tabla1[[#This Row],[Venta del mes]]&gt;0,Tabla1[[#This Row],[Venta del mes]]+Tabla1[[#This Row],[Ajuste venta nueva]],0)</f>
        <v>0</v>
      </c>
      <c r="Z253" s="6">
        <f>+Tabla1[[#This Row],[Producción para venta nueva]]-Tabla1[[#This Row],[Facturación Venta nueva]]</f>
        <v>65689.366070251883</v>
      </c>
      <c r="AA253" s="6">
        <f>IF(AND(A253=1,Tabla1[[#This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3" s="6"/>
      <c r="AC253" s="6">
        <f>IF(Tabla1[[#This Row],[Disponible stock sin venta]]&gt;0,Tabla1[[#This Row],[Disponible stock sin venta]]+Tabla1[[#This Row],[Ajuste stock sin venta]],0)</f>
        <v>0</v>
      </c>
      <c r="AD253" s="3">
        <f>IFERROR(VLOOKUP(Tabla1[[#This Row],[Llave]],'[16]TD Puerto'!$A:$D,4,FALSE),0)</f>
        <v>0</v>
      </c>
      <c r="AE253" s="3">
        <v>0</v>
      </c>
      <c r="AF253" s="3">
        <f>+Tabla1[[#This Row],[Atraso a facturar]]+Tabla1[[#This Row],[Venta del mes]]+Tabla1[[#This Row],[En puerto a facturar]]+Tabla1[[#This Row],[Disponible stock sin venta]]</f>
        <v>0</v>
      </c>
      <c r="AG253" s="3">
        <f>+Tabla1[[#This Row],[En puerto a facturar]]</f>
        <v>0</v>
      </c>
      <c r="AH253" s="3">
        <f>+Tabla1[[#This Row],[Facturación atraso]]</f>
        <v>0</v>
      </c>
      <c r="AI253" s="3">
        <f>+Tabla1[[#This Row],[Plan Irrestricto]]-Tabla1[[#This Row],[Puerto ]]-Tabla1[[#This Row],[Atraso]]</f>
        <v>0</v>
      </c>
      <c r="AJ25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53" s="3">
        <f>+Tabla1[[#This Row],[Facturación atraso]]</f>
        <v>0</v>
      </c>
      <c r="AL253" s="3">
        <f>+Tabla1[[#This Row],[Plan Ajustado]]-Tabla1[[#This Row],[ Atraso ajustado]]-Tabla1[[#This Row],[Puerto ]]</f>
        <v>0</v>
      </c>
      <c r="AM253" s="3">
        <v>0</v>
      </c>
      <c r="AN253" s="3" t="str">
        <f>IF(Tabla1[[#This Row],[Plan Ajustado]]&gt;Tabla1[[#This Row],[En puerto a facturar]],"Si","No")</f>
        <v>No</v>
      </c>
      <c r="AO25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53" s="3">
        <f>IF(Tabla1[[#This Row],[Necesidad]]&gt;=Tabla1[[#This Row],[Stock al día]],Tabla1[[#This Row],[Stock al día]],Tabla1[[#This Row],[Necesidad]])</f>
        <v>0</v>
      </c>
      <c r="AQ253" s="3">
        <f>+Tabla1[[#This Row],[Necesidad]]-Tabla1[[#This Row],[Stock Plan]]</f>
        <v>0</v>
      </c>
      <c r="AR253" s="156">
        <f>IFERROR(VLOOKUP(Tabla1[[#This Row],[Oficina]],[22]Ponderación!$B$3:$G$9,6,FALSE),"")</f>
        <v>44754</v>
      </c>
      <c r="AS25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1.8726789500000001</v>
      </c>
      <c r="AT253" s="83">
        <f>IFERROR(VLOOKUP(Tabla1[[#This Row],[Llave]],[17]DELAY!$H:$W,16,FALSE),0)</f>
        <v>0</v>
      </c>
      <c r="AU25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53" s="5">
        <f>+Tabla1[[#This Row],[Plan Ajustado]]*Tabla1[[#This Row],[Precio ponderado]]</f>
        <v>0</v>
      </c>
      <c r="AW253" s="30">
        <f>IFERROR(VLOOKUP(Tabla1[[#This Row],[Llave]],'[13]Ultimos precios facturados'!$A:$G,7,FALSE),0)</f>
        <v>1.8726789500000001</v>
      </c>
      <c r="AX25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53" s="30"/>
      <c r="AZ253" s="30">
        <f>IF(Tabla1[[#This Row],[Ajuste precio IC]]="",Tabla1[[#This Row],[Precio ponderado]],Tabla1[[#This Row],[Precio ponderado]])</f>
        <v>0</v>
      </c>
      <c r="BA253" s="82"/>
      <c r="BB253" s="82" t="str">
        <f>IF(AND(Tabla1[[#This Row],[Atraso a facturar]]&gt;0,Tabla1[[#This Row],[Precio Atraso]]=0),"Revisar","OK")</f>
        <v>OK</v>
      </c>
      <c r="BC253" s="82" t="str">
        <f>IF(AND(Tabla1[[#This Row],[Venta del mes]]&gt;0,Tabla1[[#This Row],[Precio venta nueva]]=0),"Revisar","OK")</f>
        <v>OK</v>
      </c>
      <c r="BD253" s="20">
        <f>IFERROR(VLOOKUP(Tabla1[[#This Row],[Llave]],'[5]Consolidación planes'!$A:$M,9,FALSE),0)</f>
        <v>0</v>
      </c>
      <c r="BE253" s="20">
        <f>IFERROR(VLOOKUP(Tabla1[[#This Row],[Llave]],'[5]Consolidación planes'!$A:$M,10,FALSE),0)</f>
        <v>0</v>
      </c>
      <c r="BF253" s="20">
        <f>IFERROR(VLOOKUP(Tabla1[[#This Row],[Llave]],'[5]Consolidación planes'!$A:$M,11,FALSE),0)</f>
        <v>0</v>
      </c>
      <c r="BG253" s="20">
        <f>IFERROR(VLOOKUP(Tabla1[[#This Row],[Llave]],'[5]Consolidación planes'!$A:$M,12,FALSE),0)</f>
        <v>0</v>
      </c>
      <c r="BH253" s="20">
        <f>IFERROR(VLOOKUP(Tabla1[[#This Row],[Llave]],'[5]Consolidación planes'!$A:$M,13,FALSE),0)</f>
        <v>0</v>
      </c>
      <c r="BI253" s="20">
        <f>IFERROR(VLOOKUP(Tabla1[[#This Row],[Llave]],'[13]Base ultimos planes'!$A:$M,13,FALSE),0)</f>
        <v>0</v>
      </c>
      <c r="BJ253" s="80">
        <f>IFERROR(VLOOKUP(Tabla1[[#This Row],[Llave]],'[13]Base ultimos planes'!$O:$AA,8,FALSE),0)</f>
        <v>0</v>
      </c>
      <c r="BK253" s="20">
        <f>IFERROR(VLOOKUP(Tabla1[[#This Row],[Llave]],'[13]Base ultimos planes'!$O:$AA,9,FALSE),0)</f>
        <v>0</v>
      </c>
      <c r="BL253" s="20">
        <f>IFERROR(VLOOKUP(Tabla1[[#This Row],[Llave]],'[13]Base ultimos planes'!$O:$AA,10,FALSE),0)</f>
        <v>0</v>
      </c>
      <c r="BM253" s="20">
        <f>IFERROR(VLOOKUP(Tabla1[[#This Row],[Llave]],'[13]Base ultimos planes'!$O:$AA,11,FALSE),0)</f>
        <v>0</v>
      </c>
      <c r="BN253" s="20">
        <f>IFERROR(VLOOKUP(Tabla1[[#This Row],[Llave]],'[13]Base ultimos planes'!$O:$AA,12,FALSE),0)</f>
        <v>0</v>
      </c>
      <c r="BO253" s="20">
        <f>IFERROR(VLOOKUP(Tabla1[[#This Row],[Llave]],'[13]Base ultimos planes'!$O:$AA,13,FALSE),0)</f>
        <v>0</v>
      </c>
      <c r="BP253" s="20"/>
      <c r="BQ253" s="20">
        <f>+Tabla1[[#This Row],[ RV  Venta mes n+1]]*(1-Tabla1[[#This Row],[% Uti. producción]])</f>
        <v>0</v>
      </c>
      <c r="BR253" s="100"/>
    </row>
    <row r="254" spans="1:70" ht="16" hidden="1" x14ac:dyDescent="0.2">
      <c r="A254">
        <v>1</v>
      </c>
      <c r="B254" t="str">
        <f>Tabla1[[#This Row],[Oficina]]&amp;Tabla1[[#This Row],[Material]]</f>
        <v>Agro Sudamerica1030230</v>
      </c>
      <c r="C254" t="s">
        <v>204</v>
      </c>
      <c r="D254" t="s">
        <v>17</v>
      </c>
      <c r="E254">
        <v>1030230</v>
      </c>
      <c r="F254" t="s">
        <v>378</v>
      </c>
      <c r="G254" t="s">
        <v>71</v>
      </c>
      <c r="H254" t="s">
        <v>215</v>
      </c>
      <c r="I254" s="15">
        <f>IFERROR(VLOOKUP(Tabla1[[#This Row],[Llave]],'[7]RV Producción'!$C:$G,5,FALSE),0)</f>
        <v>0</v>
      </c>
      <c r="J254" s="3">
        <f>IFERROR(IF(Tabla1[[#This Row],[Oficina]]=$I$7,VLOOKUP(Tabla1[[#This Row],[Llave]],'[7]Shangai (Tomas)'!$A:$F,6,FALSE),VLOOKUP(Tabla1[[#This Row],[Llave]],'[7]RV plan de ventas'!$A:$E,5,FALSE)),0)</f>
        <v>0</v>
      </c>
      <c r="K254" s="17">
        <f>IFERROR(VLOOKUP(Tabla1[[#This Row],[Oficina]],[15]Ponderación!$B$2:$E$9,4,FALSE),0)</f>
        <v>0.45719439678473212</v>
      </c>
      <c r="L254" s="7">
        <f>+Tabla1[[#This Row],[ RV Producción mes n+1]]*Tabla1[[#This Row],[% Uti. producción]]</f>
        <v>0</v>
      </c>
      <c r="M254" s="7">
        <f>IFERROR(VLOOKUP(Tabla1[[#This Row],[Material]],'[17]TD Stock'!$E:$I,5,FALSE),0)</f>
        <v>0</v>
      </c>
      <c r="N254" s="7">
        <f>IFERROR(VLOOKUP(Tabla1[[#This Row],[Material]],[16]Produccion!$M:$N,2,FALSE),0)</f>
        <v>0</v>
      </c>
      <c r="O254" s="7">
        <f>IFERROR(VLOOKUP(Tabla1[[#This Row],[Llave]],'[16]TD Conf-AP'!$I:$M,4,FALSE),0)</f>
        <v>0</v>
      </c>
      <c r="P254" s="14">
        <f>SUM(Tabla1[[#This Row],[Producción disponible]],Tabla1[[#This Row],[Stock al día]],(Tabla1[[#This Row],[Por producir mes N]]*0.9))-Tabla1[[#This Row],[Producción por despachar mes N]]</f>
        <v>0</v>
      </c>
      <c r="Q254" s="7">
        <f>IFERROR(VLOOKUP(Tabla1[[#This Row],[Llave]],[17]DELAY!$A:$D,4,FALSE),0)</f>
        <v>0</v>
      </c>
      <c r="R254" s="9">
        <v>24000</v>
      </c>
      <c r="S254" s="5">
        <f t="shared" si="32"/>
        <v>0</v>
      </c>
      <c r="T254" s="76">
        <v>0</v>
      </c>
      <c r="U254" s="5">
        <f>+Tabla1[[#This Row],[Atraso a facturar]]+Tabla1[[#This Row],[Ajuste atraso]]</f>
        <v>0</v>
      </c>
      <c r="V254" s="3">
        <f>+Tabla1[[#This Row],[Total disponible]]-Tabla1[[#This Row],[Facturación atraso]]</f>
        <v>0</v>
      </c>
      <c r="W254" s="6">
        <f>IFERROR(IF(AND(V254&gt;R254,J254&gt;=R254),ROUNDDOWN((Tabla1[[#This Row],[Producción para venta nueva]])/R254,0)*R254,0),0)</f>
        <v>0</v>
      </c>
      <c r="X254" s="76">
        <v>0</v>
      </c>
      <c r="Y254" s="6">
        <f>IF(Tabla1[[#This Row],[Venta del mes]]&gt;0,Tabla1[[#This Row],[Venta del mes]]+Tabla1[[#This Row],[Ajuste venta nueva]],0)</f>
        <v>0</v>
      </c>
      <c r="Z254" s="6">
        <f>+Tabla1[[#This Row],[Producción para venta nueva]]-Tabla1[[#This Row],[Facturación Venta nueva]]</f>
        <v>0</v>
      </c>
      <c r="AA254" s="6">
        <f>IF(AND(A254=1,Tabla1[[#This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4" s="6"/>
      <c r="AC254" s="6">
        <f>IF(Tabla1[[#This Row],[Disponible stock sin venta]]&gt;0,Tabla1[[#This Row],[Disponible stock sin venta]]+Tabla1[[#This Row],[Ajuste stock sin venta]],0)</f>
        <v>0</v>
      </c>
      <c r="AD254" s="3">
        <f>IFERROR(VLOOKUP(Tabla1[[#This Row],[Llave]],'[16]TD Puerto'!$A:$D,4,FALSE),0)</f>
        <v>0</v>
      </c>
      <c r="AE254" s="3">
        <v>0</v>
      </c>
      <c r="AF254" s="3">
        <f>+Tabla1[[#This Row],[Atraso a facturar]]+Tabla1[[#This Row],[Venta del mes]]+Tabla1[[#This Row],[En puerto a facturar]]+Tabla1[[#This Row],[Disponible stock sin venta]]</f>
        <v>0</v>
      </c>
      <c r="AG254" s="3">
        <f>+Tabla1[[#This Row],[En puerto a facturar]]</f>
        <v>0</v>
      </c>
      <c r="AH254" s="3">
        <f>+Tabla1[[#This Row],[Facturación atraso]]</f>
        <v>0</v>
      </c>
      <c r="AI254" s="3">
        <f>+Tabla1[[#This Row],[Plan Irrestricto]]-Tabla1[[#This Row],[Puerto ]]-Tabla1[[#This Row],[Atraso]]</f>
        <v>0</v>
      </c>
      <c r="AJ25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54" s="3">
        <f>+Tabla1[[#This Row],[Facturación atraso]]</f>
        <v>0</v>
      </c>
      <c r="AL254" s="3">
        <f>+Tabla1[[#This Row],[Plan Ajustado]]-Tabla1[[#This Row],[ Atraso ajustado]]-Tabla1[[#This Row],[Puerto ]]</f>
        <v>0</v>
      </c>
      <c r="AM254" s="3">
        <v>0</v>
      </c>
      <c r="AN254" s="3" t="str">
        <f>IF(Tabla1[[#This Row],[Plan Ajustado]]&gt;Tabla1[[#This Row],[En puerto a facturar]],"Si","No")</f>
        <v>No</v>
      </c>
      <c r="AO25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54" s="3">
        <f>IF(Tabla1[[#This Row],[Necesidad]]&gt;=Tabla1[[#This Row],[Stock al día]],Tabla1[[#This Row],[Stock al día]],Tabla1[[#This Row],[Necesidad]])</f>
        <v>0</v>
      </c>
      <c r="AQ254" s="3">
        <f>+Tabla1[[#This Row],[Necesidad]]-Tabla1[[#This Row],[Stock Plan]]</f>
        <v>0</v>
      </c>
      <c r="AR254" s="156">
        <f>IFERROR(VLOOKUP(Tabla1[[#This Row],[Oficina]],[22]Ponderación!$B$3:$G$9,6,FALSE),"")</f>
        <v>44757</v>
      </c>
      <c r="AS25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54" s="83">
        <f>IFERROR(VLOOKUP(Tabla1[[#This Row],[Llave]],[17]DELAY!$H:$W,16,FALSE),0)</f>
        <v>0</v>
      </c>
      <c r="AU25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54" s="5">
        <f>+Tabla1[[#This Row],[Plan Ajustado]]*Tabla1[[#This Row],[Precio ponderado]]</f>
        <v>0</v>
      </c>
      <c r="AW254" s="30">
        <f>IFERROR(VLOOKUP(Tabla1[[#This Row],[Llave]],'[13]Ultimos precios facturados'!$A:$G,7,FALSE),0)</f>
        <v>0</v>
      </c>
      <c r="AX25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54" s="30"/>
      <c r="AZ254" s="30">
        <f>IF(Tabla1[[#This Row],[Ajuste precio IC]]="",Tabla1[[#This Row],[Precio ponderado]],Tabla1[[#This Row],[Precio ponderado]])</f>
        <v>0</v>
      </c>
      <c r="BA254" s="82"/>
      <c r="BB254" s="82" t="str">
        <f>IF(AND(Tabla1[[#This Row],[Atraso a facturar]]&gt;0,Tabla1[[#This Row],[Precio Atraso]]=0),"Revisar","OK")</f>
        <v>OK</v>
      </c>
      <c r="BC254" s="82" t="str">
        <f>IF(AND(Tabla1[[#This Row],[Venta del mes]]&gt;0,Tabla1[[#This Row],[Precio venta nueva]]=0),"Revisar","OK")</f>
        <v>OK</v>
      </c>
      <c r="BD254" s="20">
        <f>IFERROR(VLOOKUP(Tabla1[[#This Row],[Llave]],'[5]Consolidación planes'!$A:$M,9,FALSE),0)</f>
        <v>0</v>
      </c>
      <c r="BE254" s="20">
        <f>IFERROR(VLOOKUP(Tabla1[[#This Row],[Llave]],'[5]Consolidación planes'!$A:$M,10,FALSE),0)</f>
        <v>0</v>
      </c>
      <c r="BF254" s="20">
        <f>IFERROR(VLOOKUP(Tabla1[[#This Row],[Llave]],'[5]Consolidación planes'!$A:$M,11,FALSE),0)</f>
        <v>0</v>
      </c>
      <c r="BG254" s="20">
        <f>IFERROR(VLOOKUP(Tabla1[[#This Row],[Llave]],'[5]Consolidación planes'!$A:$M,12,FALSE),0)</f>
        <v>0</v>
      </c>
      <c r="BH254" s="20">
        <f>IFERROR(VLOOKUP(Tabla1[[#This Row],[Llave]],'[5]Consolidación planes'!$A:$M,13,FALSE),0)</f>
        <v>0</v>
      </c>
      <c r="BI254" s="20">
        <f>IFERROR(VLOOKUP(Tabla1[[#This Row],[Llave]],'[13]Base ultimos planes'!$A:$M,13,FALSE),0)</f>
        <v>0</v>
      </c>
      <c r="BJ254" s="80">
        <f>IFERROR(VLOOKUP(Tabla1[[#This Row],[Llave]],'[13]Base ultimos planes'!$O:$AA,8,FALSE),0)</f>
        <v>0</v>
      </c>
      <c r="BK254" s="20">
        <f>IFERROR(VLOOKUP(Tabla1[[#This Row],[Llave]],'[13]Base ultimos planes'!$O:$AA,9,FALSE),0)</f>
        <v>0</v>
      </c>
      <c r="BL254" s="20">
        <f>IFERROR(VLOOKUP(Tabla1[[#This Row],[Llave]],'[13]Base ultimos planes'!$O:$AA,10,FALSE),0)</f>
        <v>0</v>
      </c>
      <c r="BM254" s="20">
        <f>IFERROR(VLOOKUP(Tabla1[[#This Row],[Llave]],'[13]Base ultimos planes'!$O:$AA,11,FALSE),0)</f>
        <v>0</v>
      </c>
      <c r="BN254" s="20">
        <f>IFERROR(VLOOKUP(Tabla1[[#This Row],[Llave]],'[13]Base ultimos planes'!$O:$AA,12,FALSE),0)</f>
        <v>0</v>
      </c>
      <c r="BO254" s="20">
        <f>IFERROR(VLOOKUP(Tabla1[[#This Row],[Llave]],'[13]Base ultimos planes'!$O:$AA,13,FALSE),0)</f>
        <v>0</v>
      </c>
      <c r="BP254" s="20"/>
      <c r="BQ254" s="20">
        <f>+Tabla1[[#This Row],[ RV  Venta mes n+1]]*(1-Tabla1[[#This Row],[% Uti. producción]])</f>
        <v>0</v>
      </c>
      <c r="BR254" s="100"/>
    </row>
    <row r="255" spans="1:70" ht="16" hidden="1" x14ac:dyDescent="0.2">
      <c r="A255">
        <v>1</v>
      </c>
      <c r="B255" t="str">
        <f>Tabla1[[#This Row],[Oficina]]&amp;Tabla1[[#This Row],[Material]]</f>
        <v>Agro Sudamerica1030672</v>
      </c>
      <c r="C255" t="s">
        <v>204</v>
      </c>
      <c r="D255" t="s">
        <v>17</v>
      </c>
      <c r="E255">
        <v>1030672</v>
      </c>
      <c r="F255" t="s">
        <v>379</v>
      </c>
      <c r="G255" t="s">
        <v>217</v>
      </c>
      <c r="H255" t="s">
        <v>218</v>
      </c>
      <c r="I255" s="15">
        <f>IFERROR(VLOOKUP(Tabla1[[#This Row],[Llave]],'[7]RV Producción'!$C:$G,5,FALSE),0)</f>
        <v>0</v>
      </c>
      <c r="J255" s="3">
        <f>IFERROR(IF(Tabla1[[#This Row],[Oficina]]=$I$7,VLOOKUP(Tabla1[[#This Row],[Llave]],'[7]Shangai (Tomas)'!$A:$F,6,FALSE),VLOOKUP(Tabla1[[#This Row],[Llave]],'[7]RV plan de ventas'!$A:$E,5,FALSE)),0)</f>
        <v>0</v>
      </c>
      <c r="K255" s="17">
        <f>IFERROR(VLOOKUP(Tabla1[[#This Row],[Oficina]],[15]Ponderación!$B$2:$E$9,4,FALSE),0)</f>
        <v>0.45719439678473212</v>
      </c>
      <c r="L255" s="7">
        <f>+Tabla1[[#This Row],[ RV Producción mes n+1]]*Tabla1[[#This Row],[% Uti. producción]]</f>
        <v>0</v>
      </c>
      <c r="M255" s="7">
        <f>IFERROR(VLOOKUP(Tabla1[[#This Row],[Material]],'[17]TD Stock'!$E:$I,5,FALSE),0)</f>
        <v>0</v>
      </c>
      <c r="N255" s="7">
        <f>IFERROR(VLOOKUP(Tabla1[[#This Row],[Material]],[16]Produccion!$M:$N,2,FALSE),0)</f>
        <v>0</v>
      </c>
      <c r="O255" s="7">
        <f>IFERROR(VLOOKUP(Tabla1[[#This Row],[Llave]],'[16]TD Conf-AP'!$I:$M,4,FALSE),0)</f>
        <v>0</v>
      </c>
      <c r="P255" s="14">
        <f>SUM(Tabla1[[#This Row],[Producción disponible]],Tabla1[[#This Row],[Stock al día]],(Tabla1[[#This Row],[Por producir mes N]]*0.9))-Tabla1[[#This Row],[Producción por despachar mes N]]</f>
        <v>0</v>
      </c>
      <c r="Q255" s="7">
        <f>IFERROR(VLOOKUP(Tabla1[[#This Row],[Llave]],[17]DELAY!$A:$D,4,FALSE),0)</f>
        <v>0</v>
      </c>
      <c r="R255" s="9">
        <v>24000</v>
      </c>
      <c r="S255" s="5">
        <f t="shared" si="32"/>
        <v>0</v>
      </c>
      <c r="T255" s="76">
        <v>0</v>
      </c>
      <c r="U255" s="5">
        <f>+Tabla1[[#This Row],[Atraso a facturar]]+Tabla1[[#This Row],[Ajuste atraso]]</f>
        <v>0</v>
      </c>
      <c r="V255" s="3">
        <f>+Tabla1[[#This Row],[Total disponible]]-Tabla1[[#This Row],[Facturación atraso]]</f>
        <v>0</v>
      </c>
      <c r="W255" s="6">
        <f>IFERROR(IF(AND(V255&gt;R255,J255&gt;=R255),ROUNDDOWN((Tabla1[[#This Row],[Producción para venta nueva]])/R255,0)*R255,0),0)</f>
        <v>0</v>
      </c>
      <c r="X255" s="76">
        <v>0</v>
      </c>
      <c r="Y255" s="6">
        <f>IF(Tabla1[[#This Row],[Venta del mes]]&gt;0,Tabla1[[#This Row],[Venta del mes]]+Tabla1[[#This Row],[Ajuste venta nueva]],0)</f>
        <v>0</v>
      </c>
      <c r="Z255" s="6">
        <f>+Tabla1[[#This Row],[Producción para venta nueva]]-Tabla1[[#This Row],[Facturación Venta nueva]]</f>
        <v>0</v>
      </c>
      <c r="AA255" s="6">
        <f>IF(AND(A255=1,Tabla1[[#This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5" s="6"/>
      <c r="AC255" s="6">
        <f>IF(Tabla1[[#This Row],[Disponible stock sin venta]]&gt;0,Tabla1[[#This Row],[Disponible stock sin venta]]+Tabla1[[#This Row],[Ajuste stock sin venta]],0)</f>
        <v>0</v>
      </c>
      <c r="AD255" s="3">
        <f>IFERROR(VLOOKUP(Tabla1[[#This Row],[Llave]],'[16]TD Puerto'!$A:$D,4,FALSE),0)</f>
        <v>0</v>
      </c>
      <c r="AE255" s="3">
        <v>0</v>
      </c>
      <c r="AF255" s="3">
        <f>+Tabla1[[#This Row],[Atraso a facturar]]+Tabla1[[#This Row],[Venta del mes]]+Tabla1[[#This Row],[En puerto a facturar]]+Tabla1[[#This Row],[Disponible stock sin venta]]</f>
        <v>0</v>
      </c>
      <c r="AG255" s="3">
        <f>+Tabla1[[#This Row],[En puerto a facturar]]</f>
        <v>0</v>
      </c>
      <c r="AH255" s="3">
        <f>+Tabla1[[#This Row],[Facturación atraso]]</f>
        <v>0</v>
      </c>
      <c r="AI255" s="3">
        <f>+Tabla1[[#This Row],[Plan Irrestricto]]-Tabla1[[#This Row],[Puerto ]]-Tabla1[[#This Row],[Atraso]]</f>
        <v>0</v>
      </c>
      <c r="AJ25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55" s="3">
        <f>+Tabla1[[#This Row],[Facturación atraso]]</f>
        <v>0</v>
      </c>
      <c r="AL255" s="3">
        <f>+Tabla1[[#This Row],[Plan Ajustado]]-Tabla1[[#This Row],[ Atraso ajustado]]-Tabla1[[#This Row],[Puerto ]]</f>
        <v>0</v>
      </c>
      <c r="AM255" s="3">
        <v>0</v>
      </c>
      <c r="AN255" s="3" t="str">
        <f>IF(Tabla1[[#This Row],[Plan Ajustado]]&gt;Tabla1[[#This Row],[En puerto a facturar]],"Si","No")</f>
        <v>No</v>
      </c>
      <c r="AO25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55" s="3">
        <f>IF(Tabla1[[#This Row],[Necesidad]]&gt;=Tabla1[[#This Row],[Stock al día]],Tabla1[[#This Row],[Stock al día]],Tabla1[[#This Row],[Necesidad]])</f>
        <v>0</v>
      </c>
      <c r="AQ255" s="3">
        <f>+Tabla1[[#This Row],[Necesidad]]-Tabla1[[#This Row],[Stock Plan]]</f>
        <v>0</v>
      </c>
      <c r="AR255" s="156">
        <f>IFERROR(VLOOKUP(Tabla1[[#This Row],[Oficina]],[22]Ponderación!$B$3:$G$9,6,FALSE),"")</f>
        <v>44757</v>
      </c>
      <c r="AS25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55" s="83">
        <f>IFERROR(VLOOKUP(Tabla1[[#This Row],[Llave]],[17]DELAY!$H:$W,16,FALSE),0)</f>
        <v>0</v>
      </c>
      <c r="AU25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55" s="5">
        <f>+Tabla1[[#This Row],[Plan Ajustado]]*Tabla1[[#This Row],[Precio ponderado]]</f>
        <v>0</v>
      </c>
      <c r="AW255" s="30">
        <f>IFERROR(VLOOKUP(Tabla1[[#This Row],[Llave]],'[13]Ultimos precios facturados'!$A:$G,7,FALSE),0)</f>
        <v>0</v>
      </c>
      <c r="AX25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55" s="30"/>
      <c r="AZ255" s="30">
        <f>IF(Tabla1[[#This Row],[Ajuste precio IC]]="",Tabla1[[#This Row],[Precio ponderado]],Tabla1[[#This Row],[Precio ponderado]])</f>
        <v>0</v>
      </c>
      <c r="BA255" s="82"/>
      <c r="BB255" s="82" t="str">
        <f>IF(AND(Tabla1[[#This Row],[Atraso a facturar]]&gt;0,Tabla1[[#This Row],[Precio Atraso]]=0),"Revisar","OK")</f>
        <v>OK</v>
      </c>
      <c r="BC255" s="82" t="str">
        <f>IF(AND(Tabla1[[#This Row],[Venta del mes]]&gt;0,Tabla1[[#This Row],[Precio venta nueva]]=0),"Revisar","OK")</f>
        <v>OK</v>
      </c>
      <c r="BD255" s="20">
        <f>IFERROR(VLOOKUP(Tabla1[[#This Row],[Llave]],'[5]Consolidación planes'!$A:$M,9,FALSE),0)</f>
        <v>0</v>
      </c>
      <c r="BE255" s="20">
        <f>IFERROR(VLOOKUP(Tabla1[[#This Row],[Llave]],'[5]Consolidación planes'!$A:$M,10,FALSE),0)</f>
        <v>0</v>
      </c>
      <c r="BF255" s="20">
        <f>IFERROR(VLOOKUP(Tabla1[[#This Row],[Llave]],'[5]Consolidación planes'!$A:$M,11,FALSE),0)</f>
        <v>0</v>
      </c>
      <c r="BG255" s="20">
        <f>IFERROR(VLOOKUP(Tabla1[[#This Row],[Llave]],'[5]Consolidación planes'!$A:$M,12,FALSE),0)</f>
        <v>0</v>
      </c>
      <c r="BH255" s="20">
        <f>IFERROR(VLOOKUP(Tabla1[[#This Row],[Llave]],'[5]Consolidación planes'!$A:$M,13,FALSE),0)</f>
        <v>0</v>
      </c>
      <c r="BI255" s="20">
        <f>IFERROR(VLOOKUP(Tabla1[[#This Row],[Llave]],'[13]Base ultimos planes'!$A:$M,13,FALSE),0)</f>
        <v>0</v>
      </c>
      <c r="BJ255" s="80">
        <f>IFERROR(VLOOKUP(Tabla1[[#This Row],[Llave]],'[13]Base ultimos planes'!$O:$AA,8,FALSE),0)</f>
        <v>0</v>
      </c>
      <c r="BK255" s="20">
        <f>IFERROR(VLOOKUP(Tabla1[[#This Row],[Llave]],'[13]Base ultimos planes'!$O:$AA,9,FALSE),0)</f>
        <v>0</v>
      </c>
      <c r="BL255" s="20">
        <f>IFERROR(VLOOKUP(Tabla1[[#This Row],[Llave]],'[13]Base ultimos planes'!$O:$AA,10,FALSE),0)</f>
        <v>0</v>
      </c>
      <c r="BM255" s="20">
        <f>IFERROR(VLOOKUP(Tabla1[[#This Row],[Llave]],'[13]Base ultimos planes'!$O:$AA,11,FALSE),0)</f>
        <v>0</v>
      </c>
      <c r="BN255" s="20">
        <f>IFERROR(VLOOKUP(Tabla1[[#This Row],[Llave]],'[13]Base ultimos planes'!$O:$AA,12,FALSE),0)</f>
        <v>0</v>
      </c>
      <c r="BO255" s="20">
        <f>IFERROR(VLOOKUP(Tabla1[[#This Row],[Llave]],'[13]Base ultimos planes'!$O:$AA,13,FALSE),0)</f>
        <v>0</v>
      </c>
      <c r="BP255" s="20"/>
      <c r="BQ255" s="20">
        <f>+Tabla1[[#This Row],[ RV  Venta mes n+1]]*(1-Tabla1[[#This Row],[% Uti. producción]])</f>
        <v>0</v>
      </c>
      <c r="BR255" s="100"/>
    </row>
    <row r="256" spans="1:70" ht="16" hidden="1" x14ac:dyDescent="0.2">
      <c r="A256">
        <v>2</v>
      </c>
      <c r="B256" t="str">
        <f>Tabla1[[#This Row],[Oficina]]&amp;Tabla1[[#This Row],[Material]]</f>
        <v>Agrosuper Shanghai1021905</v>
      </c>
      <c r="C256" t="s">
        <v>6</v>
      </c>
      <c r="D256" t="s">
        <v>140</v>
      </c>
      <c r="E256">
        <v>1021905</v>
      </c>
      <c r="F256" t="s">
        <v>283</v>
      </c>
      <c r="G256" t="s">
        <v>71</v>
      </c>
      <c r="H256" t="s">
        <v>72</v>
      </c>
      <c r="I256" s="15">
        <f>IFERROR(VLOOKUP(Tabla1[[#This Row],[Llave]],'[7]RV Producción'!$C:$G,5,FALSE),0)</f>
        <v>264991</v>
      </c>
      <c r="J256" s="3">
        <f>IFERROR(IF(Tabla1[[#This Row],[Oficina]]=$I$7,VLOOKUP(Tabla1[[#This Row],[Llave]],'[7]Shangai (Tomas)'!$A:$F,6,FALSE),VLOOKUP(Tabla1[[#This Row],[Llave]],'[7]RV plan de ventas'!$A:$E,5,FALSE)),0)</f>
        <v>0</v>
      </c>
      <c r="K256" s="17">
        <f>IFERROR(VLOOKUP(Tabla1[[#This Row],[Oficina]],[15]Ponderación!$B$2:$E$9,4,FALSE),0)</f>
        <v>0.45719439678473212</v>
      </c>
      <c r="L256" s="7">
        <f>+Tabla1[[#This Row],[ RV Producción mes n+1]]*Tabla1[[#This Row],[% Uti. producción]]</f>
        <v>121152.40039838295</v>
      </c>
      <c r="M256" s="7">
        <f>IFERROR(VLOOKUP(Tabla1[[#This Row],[Material]],'[17]TD Stock'!$E:$I,5,FALSE),0)</f>
        <v>10244.625999999998</v>
      </c>
      <c r="N256" s="7">
        <f>IFERROR(VLOOKUP(Tabla1[[#This Row],[Material]],[16]Produccion!$M:$N,2,FALSE),0)</f>
        <v>0</v>
      </c>
      <c r="O256" s="7">
        <f>IFERROR(VLOOKUP(Tabla1[[#This Row],[Llave]],'[16]TD Conf-AP'!$I:$M,4,FALSE),0)</f>
        <v>0</v>
      </c>
      <c r="P256" s="14">
        <f>SUM(Tabla1[[#This Row],[Producción disponible]],Tabla1[[#This Row],[Stock al día]],(Tabla1[[#This Row],[Por producir mes N]]*0.9))-Tabla1[[#This Row],[Producción por despachar mes N]]</f>
        <v>131397.02639838294</v>
      </c>
      <c r="Q256" s="7">
        <f>IFERROR(VLOOKUP(Tabla1[[#This Row],[Llave]],[17]DELAY!$A:$D,4,FALSE),0)</f>
        <v>0</v>
      </c>
      <c r="R256" s="9">
        <v>24000</v>
      </c>
      <c r="S256" s="5">
        <f t="shared" si="32"/>
        <v>0</v>
      </c>
      <c r="T256" s="76">
        <v>0</v>
      </c>
      <c r="U256" s="5">
        <f>+Tabla1[[#This Row],[Atraso a facturar]]+Tabla1[[#This Row],[Ajuste atraso]]</f>
        <v>0</v>
      </c>
      <c r="V256" s="3">
        <f>+Tabla1[[#This Row],[Total disponible]]-Tabla1[[#This Row],[Facturación atraso]]</f>
        <v>131397.02639838294</v>
      </c>
      <c r="W256" s="6">
        <f>IFERROR(IF(AND(V256&gt;R256,J256&gt;=R256),ROUNDDOWN((Tabla1[[#This Row],[Producción para venta nueva]])/R256,0)*R256,0),0)</f>
        <v>0</v>
      </c>
      <c r="X256" s="76">
        <v>0</v>
      </c>
      <c r="Y256" s="6">
        <f>IF(Tabla1[[#This Row],[Venta del mes]]&gt;0,Tabla1[[#This Row],[Venta del mes]]+Tabla1[[#This Row],[Ajuste venta nueva]],0)</f>
        <v>0</v>
      </c>
      <c r="Z256" s="6">
        <f>+Tabla1[[#This Row],[Producción para venta nueva]]-Tabla1[[#This Row],[Facturación Venta nueva]]</f>
        <v>131397.02639838294</v>
      </c>
      <c r="AA256" s="6">
        <f>IF(AND(A256=1,Tabla1[[#This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6" s="6"/>
      <c r="AC256" s="6">
        <f>IF(Tabla1[[#This Row],[Disponible stock sin venta]]&gt;0,Tabla1[[#This Row],[Disponible stock sin venta]]+Tabla1[[#This Row],[Ajuste stock sin venta]],0)</f>
        <v>0</v>
      </c>
      <c r="AD256" s="3">
        <f>IFERROR(VLOOKUP(Tabla1[[#This Row],[Llave]],'[16]TD Puerto'!$A:$D,4,FALSE),0)</f>
        <v>0</v>
      </c>
      <c r="AE256" s="3">
        <v>0</v>
      </c>
      <c r="AF256" s="3">
        <f>+Tabla1[[#This Row],[Atraso a facturar]]+Tabla1[[#This Row],[Venta del mes]]+Tabla1[[#This Row],[En puerto a facturar]]+Tabla1[[#This Row],[Disponible stock sin venta]]</f>
        <v>0</v>
      </c>
      <c r="AG256" s="3">
        <f>+Tabla1[[#This Row],[En puerto a facturar]]</f>
        <v>0</v>
      </c>
      <c r="AH256" s="3">
        <f>+Tabla1[[#This Row],[Facturación atraso]]</f>
        <v>0</v>
      </c>
      <c r="AI256" s="3">
        <f>+Tabla1[[#This Row],[Plan Irrestricto]]-Tabla1[[#This Row],[Puerto ]]-Tabla1[[#This Row],[Atraso]]</f>
        <v>0</v>
      </c>
      <c r="AJ25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56" s="3">
        <f>+Tabla1[[#This Row],[Facturación atraso]]</f>
        <v>0</v>
      </c>
      <c r="AL256" s="3">
        <f>+Tabla1[[#This Row],[Plan Ajustado]]-Tabla1[[#This Row],[ Atraso ajustado]]-Tabla1[[#This Row],[Puerto ]]</f>
        <v>0</v>
      </c>
      <c r="AM256" s="3">
        <v>0</v>
      </c>
      <c r="AN256" s="3" t="str">
        <f>IF(Tabla1[[#This Row],[Plan Ajustado]]&gt;Tabla1[[#This Row],[En puerto a facturar]],"Si","No")</f>
        <v>No</v>
      </c>
      <c r="AO25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56" s="3">
        <f>IF(Tabla1[[#This Row],[Necesidad]]&gt;=Tabla1[[#This Row],[Stock al día]],Tabla1[[#This Row],[Stock al día]],Tabla1[[#This Row],[Necesidad]])</f>
        <v>0</v>
      </c>
      <c r="AQ256" s="3">
        <f>+Tabla1[[#This Row],[Necesidad]]-Tabla1[[#This Row],[Stock Plan]]</f>
        <v>0</v>
      </c>
      <c r="AR256" s="156">
        <f>IFERROR(VLOOKUP(Tabla1[[#This Row],[Oficina]],[22]Ponderación!$B$3:$G$9,6,FALSE),"")</f>
        <v>44754</v>
      </c>
      <c r="AS25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1.4083154265947304</v>
      </c>
      <c r="AT256" s="83">
        <f>IFERROR(VLOOKUP(Tabla1[[#This Row],[Llave]],[17]DELAY!$H:$W,16,FALSE),0)</f>
        <v>0</v>
      </c>
      <c r="AU25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56" s="5">
        <f>+Tabla1[[#This Row],[Plan Ajustado]]*Tabla1[[#This Row],[Precio ponderado]]</f>
        <v>0</v>
      </c>
      <c r="AW256" s="30">
        <f>IFERROR(VLOOKUP(Tabla1[[#This Row],[Llave]],'[13]Ultimos precios facturados'!$A:$G,7,FALSE),0)</f>
        <v>1.4083154265947304</v>
      </c>
      <c r="AX25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56" s="30"/>
      <c r="AZ256" s="30">
        <f>IF(Tabla1[[#This Row],[Ajuste precio IC]]="",Tabla1[[#This Row],[Precio ponderado]],Tabla1[[#This Row],[Precio ponderado]])</f>
        <v>0</v>
      </c>
      <c r="BA256" s="82"/>
      <c r="BB256" s="82" t="str">
        <f>IF(AND(Tabla1[[#This Row],[Atraso a facturar]]&gt;0,Tabla1[[#This Row],[Precio Atraso]]=0),"Revisar","OK")</f>
        <v>OK</v>
      </c>
      <c r="BC256" s="82" t="str">
        <f>IF(AND(Tabla1[[#This Row],[Venta del mes]]&gt;0,Tabla1[[#This Row],[Precio venta nueva]]=0),"Revisar","OK")</f>
        <v>OK</v>
      </c>
      <c r="BD256" s="20">
        <f>IFERROR(VLOOKUP(Tabla1[[#This Row],[Llave]],'[5]Consolidación planes'!$A:$M,9,FALSE),0)</f>
        <v>0</v>
      </c>
      <c r="BE256" s="20">
        <f>IFERROR(VLOOKUP(Tabla1[[#This Row],[Llave]],'[5]Consolidación planes'!$A:$M,10,FALSE),0)</f>
        <v>0</v>
      </c>
      <c r="BF256" s="20">
        <f>IFERROR(VLOOKUP(Tabla1[[#This Row],[Llave]],'[5]Consolidación planes'!$A:$M,11,FALSE),0)</f>
        <v>0</v>
      </c>
      <c r="BG256" s="20">
        <f>IFERROR(VLOOKUP(Tabla1[[#This Row],[Llave]],'[5]Consolidación planes'!$A:$M,12,FALSE),0)</f>
        <v>0</v>
      </c>
      <c r="BH256" s="20">
        <f>IFERROR(VLOOKUP(Tabla1[[#This Row],[Llave]],'[5]Consolidación planes'!$A:$M,13,FALSE),0)</f>
        <v>0</v>
      </c>
      <c r="BI256" s="20">
        <f>IFERROR(VLOOKUP(Tabla1[[#This Row],[Llave]],'[13]Base ultimos planes'!$A:$M,13,FALSE),0)</f>
        <v>0</v>
      </c>
      <c r="BJ256" s="80">
        <f>IFERROR(VLOOKUP(Tabla1[[#This Row],[Llave]],'[13]Base ultimos planes'!$O:$AA,8,FALSE),0)</f>
        <v>0</v>
      </c>
      <c r="BK256" s="20">
        <f>IFERROR(VLOOKUP(Tabla1[[#This Row],[Llave]],'[13]Base ultimos planes'!$O:$AA,9,FALSE),0)</f>
        <v>0</v>
      </c>
      <c r="BL256" s="20">
        <f>IFERROR(VLOOKUP(Tabla1[[#This Row],[Llave]],'[13]Base ultimos planes'!$O:$AA,10,FALSE),0)</f>
        <v>0</v>
      </c>
      <c r="BM256" s="20">
        <f>IFERROR(VLOOKUP(Tabla1[[#This Row],[Llave]],'[13]Base ultimos planes'!$O:$AA,11,FALSE),0)</f>
        <v>0</v>
      </c>
      <c r="BN256" s="20">
        <f>IFERROR(VLOOKUP(Tabla1[[#This Row],[Llave]],'[13]Base ultimos planes'!$O:$AA,12,FALSE),0)</f>
        <v>0</v>
      </c>
      <c r="BO256" s="20">
        <f>IFERROR(VLOOKUP(Tabla1[[#This Row],[Llave]],'[13]Base ultimos planes'!$O:$AA,13,FALSE),0)</f>
        <v>0</v>
      </c>
      <c r="BP256" s="20"/>
      <c r="BQ256" s="20">
        <f>+Tabla1[[#This Row],[ RV  Venta mes n+1]]*(1-Tabla1[[#This Row],[% Uti. producción]])</f>
        <v>0</v>
      </c>
      <c r="BR256" s="100"/>
    </row>
    <row r="257" spans="1:70" ht="16" hidden="1" x14ac:dyDescent="0.2">
      <c r="A257">
        <v>2</v>
      </c>
      <c r="B257" t="str">
        <f>Tabla1[[#This Row],[Oficina]]&amp;Tabla1[[#This Row],[Material]]</f>
        <v>Agrosuper Shanghai1021971</v>
      </c>
      <c r="C257" t="s">
        <v>6</v>
      </c>
      <c r="D257" t="s">
        <v>140</v>
      </c>
      <c r="E257">
        <v>1021971</v>
      </c>
      <c r="F257" t="s">
        <v>399</v>
      </c>
      <c r="G257" t="s">
        <v>8</v>
      </c>
      <c r="H257" t="s">
        <v>28</v>
      </c>
      <c r="I257" s="15">
        <f>IFERROR(VLOOKUP(Tabla1[[#This Row],[Llave]],'[7]RV Producción'!$C:$G,5,FALSE),0)</f>
        <v>0</v>
      </c>
      <c r="J257" s="3">
        <f>IFERROR(IF(Tabla1[[#This Row],[Oficina]]=$I$7,VLOOKUP(Tabla1[[#This Row],[Llave]],'[7]Shangai (Tomas)'!$A:$F,6,FALSE),VLOOKUP(Tabla1[[#This Row],[Llave]],'[7]RV plan de ventas'!$A:$E,5,FALSE)),0)</f>
        <v>0</v>
      </c>
      <c r="K257" s="17">
        <f>IFERROR(VLOOKUP(Tabla1[[#This Row],[Oficina]],[15]Ponderación!$B$2:$E$9,4,FALSE),0)</f>
        <v>0.45719439678473212</v>
      </c>
      <c r="L257" s="7">
        <f>+Tabla1[[#This Row],[ RV Producción mes n+1]]*Tabla1[[#This Row],[% Uti. producción]]</f>
        <v>0</v>
      </c>
      <c r="M257" s="7">
        <f>IFERROR(VLOOKUP(Tabla1[[#This Row],[Material]],'[17]TD Stock'!$E:$I,5,FALSE),0)</f>
        <v>0</v>
      </c>
      <c r="N257" s="7">
        <f>IFERROR(VLOOKUP(Tabla1[[#This Row],[Material]],[16]Produccion!$M:$N,2,FALSE),0)</f>
        <v>0</v>
      </c>
      <c r="O257" s="7">
        <f>IFERROR(VLOOKUP(Tabla1[[#This Row],[Llave]],'[16]TD Conf-AP'!$I:$M,4,FALSE),0)</f>
        <v>0</v>
      </c>
      <c r="P257" s="14">
        <f>SUM(Tabla1[[#This Row],[Producción disponible]],Tabla1[[#This Row],[Stock al día]],(Tabla1[[#This Row],[Por producir mes N]]*0.9))-Tabla1[[#This Row],[Producción por despachar mes N]]</f>
        <v>0</v>
      </c>
      <c r="Q257" s="7">
        <f>IFERROR(VLOOKUP(Tabla1[[#This Row],[Llave]],[17]DELAY!$A:$D,4,FALSE),0)</f>
        <v>0</v>
      </c>
      <c r="R257" s="9">
        <v>24000</v>
      </c>
      <c r="S257" s="5">
        <f t="shared" ref="S257:S308" si="33">IF(AND(P257&gt;Q257,Q257&gt;0),Q257,IF(AND(P257&lt;Q257,Q257&gt;0),(ROUNDDOWN(P257/R257,0)*R257),0))</f>
        <v>0</v>
      </c>
      <c r="T257" s="76">
        <v>0</v>
      </c>
      <c r="U257" s="5">
        <f>+Tabla1[[#This Row],[Atraso a facturar]]+Tabla1[[#This Row],[Ajuste atraso]]</f>
        <v>0</v>
      </c>
      <c r="V257" s="3">
        <f>+Tabla1[[#This Row],[Total disponible]]-Tabla1[[#This Row],[Facturación atraso]]</f>
        <v>0</v>
      </c>
      <c r="W257" s="6">
        <f>IFERROR(IF(AND(V257&gt;R257,J257&gt;=R257),ROUNDDOWN((Tabla1[[#This Row],[Producción para venta nueva]])/R257,0)*R257,0),0)</f>
        <v>0</v>
      </c>
      <c r="X257" s="76">
        <v>0</v>
      </c>
      <c r="Y257" s="6">
        <f>IF(Tabla1[[#This Row],[Venta del mes]]&gt;0,Tabla1[[#This Row],[Venta del mes]]+Tabla1[[#This Row],[Ajuste venta nueva]],0)</f>
        <v>0</v>
      </c>
      <c r="Z257" s="6">
        <f>+Tabla1[[#This Row],[Producción para venta nueva]]-Tabla1[[#This Row],[Facturación Venta nueva]]</f>
        <v>0</v>
      </c>
      <c r="AA257" s="6">
        <f>IF(AND(A257=1,Tabla1[[#This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7" s="6"/>
      <c r="AC257" s="6">
        <f>IF(Tabla1[[#This Row],[Disponible stock sin venta]]&gt;0,Tabla1[[#This Row],[Disponible stock sin venta]]+Tabla1[[#This Row],[Ajuste stock sin venta]],0)</f>
        <v>0</v>
      </c>
      <c r="AD257" s="3">
        <f>IFERROR(VLOOKUP(Tabla1[[#This Row],[Llave]],'[16]TD Puerto'!$A:$D,4,FALSE),0)</f>
        <v>0</v>
      </c>
      <c r="AE257" s="3">
        <v>0</v>
      </c>
      <c r="AF257" s="3">
        <f>+Tabla1[[#This Row],[Atraso a facturar]]+Tabla1[[#This Row],[Venta del mes]]+Tabla1[[#This Row],[En puerto a facturar]]+Tabla1[[#This Row],[Disponible stock sin venta]]</f>
        <v>0</v>
      </c>
      <c r="AG257" s="3">
        <f>+Tabla1[[#This Row],[En puerto a facturar]]</f>
        <v>0</v>
      </c>
      <c r="AH257" s="3">
        <f>+Tabla1[[#This Row],[Facturación atraso]]</f>
        <v>0</v>
      </c>
      <c r="AI257" s="3">
        <f>+Tabla1[[#This Row],[Plan Irrestricto]]-Tabla1[[#This Row],[Puerto ]]-Tabla1[[#This Row],[Atraso]]</f>
        <v>0</v>
      </c>
      <c r="AJ25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57" s="3">
        <f>+Tabla1[[#This Row],[Facturación atraso]]</f>
        <v>0</v>
      </c>
      <c r="AL257" s="3">
        <f>+Tabla1[[#This Row],[Plan Ajustado]]-Tabla1[[#This Row],[ Atraso ajustado]]-Tabla1[[#This Row],[Puerto ]]</f>
        <v>0</v>
      </c>
      <c r="AM257" s="3">
        <v>0</v>
      </c>
      <c r="AN257" s="3" t="str">
        <f>IF(Tabla1[[#This Row],[Plan Ajustado]]&gt;Tabla1[[#This Row],[En puerto a facturar]],"Si","No")</f>
        <v>No</v>
      </c>
      <c r="AO25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57" s="3">
        <f>IF(Tabla1[[#This Row],[Necesidad]]&gt;=Tabla1[[#This Row],[Stock al día]],Tabla1[[#This Row],[Stock al día]],Tabla1[[#This Row],[Necesidad]])</f>
        <v>0</v>
      </c>
      <c r="AQ257" s="3">
        <f>+Tabla1[[#This Row],[Necesidad]]-Tabla1[[#This Row],[Stock Plan]]</f>
        <v>0</v>
      </c>
      <c r="AR257" s="156">
        <f>IFERROR(VLOOKUP(Tabla1[[#This Row],[Oficina]],[22]Ponderación!$B$3:$G$9,6,FALSE),"")</f>
        <v>44754</v>
      </c>
      <c r="AS25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1.8032367974564296</v>
      </c>
      <c r="AT257" s="83">
        <f>IFERROR(VLOOKUP(Tabla1[[#This Row],[Llave]],[17]DELAY!$H:$W,16,FALSE),0)</f>
        <v>0</v>
      </c>
      <c r="AU25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57" s="5">
        <f>+Tabla1[[#This Row],[Plan Ajustado]]*Tabla1[[#This Row],[Precio ponderado]]</f>
        <v>0</v>
      </c>
      <c r="AW257" s="30">
        <f>IFERROR(VLOOKUP(Tabla1[[#This Row],[Llave]],'[13]Ultimos precios facturados'!$A:$G,7,FALSE),0)</f>
        <v>1.8032367974564296</v>
      </c>
      <c r="AX25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57" s="30"/>
      <c r="AZ257" s="30">
        <f>IF(Tabla1[[#This Row],[Ajuste precio IC]]="",Tabla1[[#This Row],[Precio ponderado]],Tabla1[[#This Row],[Precio ponderado]])</f>
        <v>0</v>
      </c>
      <c r="BA257" s="82"/>
      <c r="BB257" s="82" t="str">
        <f>IF(AND(Tabla1[[#This Row],[Atraso a facturar]]&gt;0,Tabla1[[#This Row],[Precio Atraso]]=0),"Revisar","OK")</f>
        <v>OK</v>
      </c>
      <c r="BC257" s="82" t="str">
        <f>IF(AND(Tabla1[[#This Row],[Venta del mes]]&gt;0,Tabla1[[#This Row],[Precio venta nueva]]=0),"Revisar","OK")</f>
        <v>OK</v>
      </c>
      <c r="BD257" s="20">
        <f>IFERROR(VLOOKUP(Tabla1[[#This Row],[Llave]],'[5]Consolidación planes'!$A:$M,9,FALSE),0)</f>
        <v>0</v>
      </c>
      <c r="BE257" s="20">
        <f>IFERROR(VLOOKUP(Tabla1[[#This Row],[Llave]],'[5]Consolidación planes'!$A:$M,10,FALSE),0)</f>
        <v>0</v>
      </c>
      <c r="BF257" s="20">
        <f>IFERROR(VLOOKUP(Tabla1[[#This Row],[Llave]],'[5]Consolidación planes'!$A:$M,11,FALSE),0)</f>
        <v>0</v>
      </c>
      <c r="BG257" s="20">
        <f>IFERROR(VLOOKUP(Tabla1[[#This Row],[Llave]],'[5]Consolidación planes'!$A:$M,12,FALSE),0)</f>
        <v>0</v>
      </c>
      <c r="BH257" s="20">
        <f>IFERROR(VLOOKUP(Tabla1[[#This Row],[Llave]],'[5]Consolidación planes'!$A:$M,13,FALSE),0)</f>
        <v>0</v>
      </c>
      <c r="BI257" s="20">
        <f>IFERROR(VLOOKUP(Tabla1[[#This Row],[Llave]],'[13]Base ultimos planes'!$A:$M,13,FALSE),0)</f>
        <v>0</v>
      </c>
      <c r="BJ257" s="80">
        <f>IFERROR(VLOOKUP(Tabla1[[#This Row],[Llave]],'[13]Base ultimos planes'!$O:$AA,8,FALSE),0)</f>
        <v>0</v>
      </c>
      <c r="BK257" s="20">
        <f>IFERROR(VLOOKUP(Tabla1[[#This Row],[Llave]],'[13]Base ultimos planes'!$O:$AA,9,FALSE),0)</f>
        <v>0</v>
      </c>
      <c r="BL257" s="20">
        <f>IFERROR(VLOOKUP(Tabla1[[#This Row],[Llave]],'[13]Base ultimos planes'!$O:$AA,10,FALSE),0)</f>
        <v>0</v>
      </c>
      <c r="BM257" s="20">
        <f>IFERROR(VLOOKUP(Tabla1[[#This Row],[Llave]],'[13]Base ultimos planes'!$O:$AA,11,FALSE),0)</f>
        <v>0</v>
      </c>
      <c r="BN257" s="20">
        <f>IFERROR(VLOOKUP(Tabla1[[#This Row],[Llave]],'[13]Base ultimos planes'!$O:$AA,12,FALSE),0)</f>
        <v>0</v>
      </c>
      <c r="BO257" s="20">
        <f>IFERROR(VLOOKUP(Tabla1[[#This Row],[Llave]],'[13]Base ultimos planes'!$O:$AA,13,FALSE),0)</f>
        <v>0</v>
      </c>
      <c r="BP257" s="20"/>
      <c r="BQ257" s="20">
        <f>+Tabla1[[#This Row],[ RV  Venta mes n+1]]*(1-Tabla1[[#This Row],[% Uti. producción]])</f>
        <v>0</v>
      </c>
      <c r="BR257" s="100"/>
    </row>
    <row r="258" spans="1:70" ht="16" hidden="1" x14ac:dyDescent="0.2">
      <c r="A258">
        <v>2</v>
      </c>
      <c r="B258" t="str">
        <f>Tabla1[[#This Row],[Oficina]]&amp;Tabla1[[#This Row],[Material]]</f>
        <v>Agrosuper Shanghai1022418</v>
      </c>
      <c r="C258" t="s">
        <v>6</v>
      </c>
      <c r="D258" t="s">
        <v>140</v>
      </c>
      <c r="E258">
        <v>1022418</v>
      </c>
      <c r="F258" t="s">
        <v>402</v>
      </c>
      <c r="G258" t="s">
        <v>76</v>
      </c>
      <c r="H258" t="s">
        <v>79</v>
      </c>
      <c r="I258" s="15">
        <f>IFERROR(VLOOKUP(Tabla1[[#This Row],[Llave]],'[7]RV Producción'!$C:$G,5,FALSE),0)</f>
        <v>27912</v>
      </c>
      <c r="J258" s="3">
        <f>IFERROR(IF(Tabla1[[#This Row],[Oficina]]=$I$7,VLOOKUP(Tabla1[[#This Row],[Llave]],'[7]Shangai (Tomas)'!$A:$F,6,FALSE),VLOOKUP(Tabla1[[#This Row],[Llave]],'[7]RV plan de ventas'!$A:$E,5,FALSE)),0)</f>
        <v>0</v>
      </c>
      <c r="K258" s="17">
        <f>IFERROR(VLOOKUP(Tabla1[[#This Row],[Oficina]],[15]Ponderación!$B$2:$E$9,4,FALSE),0)</f>
        <v>0.45719439678473212</v>
      </c>
      <c r="L258" s="7">
        <f>+Tabla1[[#This Row],[ RV Producción mes n+1]]*Tabla1[[#This Row],[% Uti. producción]]</f>
        <v>12761.210003055443</v>
      </c>
      <c r="M258" s="7">
        <f>IFERROR(VLOOKUP(Tabla1[[#This Row],[Material]],'[17]TD Stock'!$E:$I,5,FALSE),0)</f>
        <v>0</v>
      </c>
      <c r="N258" s="7">
        <f>IFERROR(VLOOKUP(Tabla1[[#This Row],[Material]],[16]Produccion!$M:$N,2,FALSE),0)</f>
        <v>7134</v>
      </c>
      <c r="O258" s="7">
        <f>IFERROR(VLOOKUP(Tabla1[[#This Row],[Llave]],'[16]TD Conf-AP'!$I:$M,4,FALSE),0)</f>
        <v>0</v>
      </c>
      <c r="P258" s="14">
        <f>SUM(Tabla1[[#This Row],[Producción disponible]],Tabla1[[#This Row],[Stock al día]],(Tabla1[[#This Row],[Por producir mes N]]*0.9))-Tabla1[[#This Row],[Producción por despachar mes N]]</f>
        <v>19181.810003055441</v>
      </c>
      <c r="Q258" s="7">
        <f>IFERROR(VLOOKUP(Tabla1[[#This Row],[Llave]],[17]DELAY!$A:$D,4,FALSE),0)</f>
        <v>136800</v>
      </c>
      <c r="R258" s="9">
        <v>24000</v>
      </c>
      <c r="S258" s="5">
        <f t="shared" si="33"/>
        <v>0</v>
      </c>
      <c r="T258" s="76">
        <v>0</v>
      </c>
      <c r="U258" s="5">
        <f>+Tabla1[[#This Row],[Atraso a facturar]]+Tabla1[[#This Row],[Ajuste atraso]]</f>
        <v>0</v>
      </c>
      <c r="V258" s="3">
        <f>+Tabla1[[#This Row],[Total disponible]]-Tabla1[[#This Row],[Facturación atraso]]</f>
        <v>19181.810003055441</v>
      </c>
      <c r="W258" s="6">
        <f>IFERROR(IF(AND(V258&gt;R258,J258&gt;=R258),ROUNDDOWN((Tabla1[[#This Row],[Producción para venta nueva]])/R258,0)*R258,0),0)</f>
        <v>0</v>
      </c>
      <c r="X258" s="76">
        <v>0</v>
      </c>
      <c r="Y258" s="6">
        <f>IF(Tabla1[[#This Row],[Venta del mes]]&gt;0,Tabla1[[#This Row],[Venta del mes]]+Tabla1[[#This Row],[Ajuste venta nueva]],0)</f>
        <v>0</v>
      </c>
      <c r="Z258" s="6">
        <f>+Tabla1[[#This Row],[Producción para venta nueva]]-Tabla1[[#This Row],[Facturación Venta nueva]]</f>
        <v>19181.810003055441</v>
      </c>
      <c r="AA258" s="6">
        <f>IF(AND(A258=1,Tabla1[[#This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8" s="6"/>
      <c r="AC258" s="6">
        <f>IF(Tabla1[[#This Row],[Disponible stock sin venta]]&gt;0,Tabla1[[#This Row],[Disponible stock sin venta]]+Tabla1[[#This Row],[Ajuste stock sin venta]],0)</f>
        <v>0</v>
      </c>
      <c r="AD258" s="3">
        <f>IFERROR(VLOOKUP(Tabla1[[#This Row],[Llave]],'[16]TD Puerto'!$A:$D,4,FALSE),0)</f>
        <v>0</v>
      </c>
      <c r="AE258" s="3">
        <v>0</v>
      </c>
      <c r="AF258" s="3">
        <f>+Tabla1[[#This Row],[Atraso a facturar]]+Tabla1[[#This Row],[Venta del mes]]+Tabla1[[#This Row],[En puerto a facturar]]+Tabla1[[#This Row],[Disponible stock sin venta]]</f>
        <v>0</v>
      </c>
      <c r="AG258" s="3">
        <f>+Tabla1[[#This Row],[En puerto a facturar]]</f>
        <v>0</v>
      </c>
      <c r="AH258" s="3">
        <f>+Tabla1[[#This Row],[Facturación atraso]]</f>
        <v>0</v>
      </c>
      <c r="AI258" s="3">
        <f>+Tabla1[[#This Row],[Plan Irrestricto]]-Tabla1[[#This Row],[Puerto ]]-Tabla1[[#This Row],[Atraso]]</f>
        <v>0</v>
      </c>
      <c r="AJ25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58" s="3">
        <f>+Tabla1[[#This Row],[Facturación atraso]]</f>
        <v>0</v>
      </c>
      <c r="AL258" s="3">
        <f>+Tabla1[[#This Row],[Plan Ajustado]]-Tabla1[[#This Row],[ Atraso ajustado]]-Tabla1[[#This Row],[Puerto ]]</f>
        <v>0</v>
      </c>
      <c r="AM258" s="3">
        <v>0</v>
      </c>
      <c r="AN258" s="3" t="str">
        <f>IF(Tabla1[[#This Row],[Plan Ajustado]]&gt;Tabla1[[#This Row],[En puerto a facturar]],"Si","No")</f>
        <v>No</v>
      </c>
      <c r="AO25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58" s="3">
        <f>IF(Tabla1[[#This Row],[Necesidad]]&gt;=Tabla1[[#This Row],[Stock al día]],Tabla1[[#This Row],[Stock al día]],Tabla1[[#This Row],[Necesidad]])</f>
        <v>0</v>
      </c>
      <c r="AQ258" s="3">
        <f>+Tabla1[[#This Row],[Necesidad]]-Tabla1[[#This Row],[Stock Plan]]</f>
        <v>0</v>
      </c>
      <c r="AR258" s="156">
        <f>IFERROR(VLOOKUP(Tabla1[[#This Row],[Oficina]],[22]Ponderación!$B$3:$G$9,6,FALSE),"")</f>
        <v>44754</v>
      </c>
      <c r="AS25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58" s="83">
        <f>IFERROR(VLOOKUP(Tabla1[[#This Row],[Llave]],[17]DELAY!$H:$W,16,FALSE),0)</f>
        <v>5.4285714285714297</v>
      </c>
      <c r="AU25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58" s="5">
        <f>+Tabla1[[#This Row],[Plan Ajustado]]*Tabla1[[#This Row],[Precio ponderado]]</f>
        <v>0</v>
      </c>
      <c r="AW258" s="30">
        <f>IFERROR(VLOOKUP(Tabla1[[#This Row],[Llave]],'[13]Ultimos precios facturados'!$A:$G,7,FALSE),0)</f>
        <v>0</v>
      </c>
      <c r="AX25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58" s="30"/>
      <c r="AZ258" s="30">
        <f>IF(Tabla1[[#This Row],[Ajuste precio IC]]="",Tabla1[[#This Row],[Precio ponderado]],Tabla1[[#This Row],[Precio ponderado]])</f>
        <v>0</v>
      </c>
      <c r="BA258" s="82"/>
      <c r="BB258" s="82" t="str">
        <f>IF(AND(Tabla1[[#This Row],[Atraso a facturar]]&gt;0,Tabla1[[#This Row],[Precio Atraso]]=0),"Revisar","OK")</f>
        <v>OK</v>
      </c>
      <c r="BC258" s="82" t="str">
        <f>IF(AND(Tabla1[[#This Row],[Venta del mes]]&gt;0,Tabla1[[#This Row],[Precio venta nueva]]=0),"Revisar","OK")</f>
        <v>OK</v>
      </c>
      <c r="BD258" s="20">
        <f>IFERROR(VLOOKUP(Tabla1[[#This Row],[Llave]],'[5]Consolidación planes'!$A:$M,9,FALSE),0)</f>
        <v>0</v>
      </c>
      <c r="BE258" s="20">
        <f>IFERROR(VLOOKUP(Tabla1[[#This Row],[Llave]],'[5]Consolidación planes'!$A:$M,10,FALSE),0)</f>
        <v>0</v>
      </c>
      <c r="BF258" s="20">
        <f>IFERROR(VLOOKUP(Tabla1[[#This Row],[Llave]],'[5]Consolidación planes'!$A:$M,11,FALSE),0)</f>
        <v>0</v>
      </c>
      <c r="BG258" s="20">
        <f>IFERROR(VLOOKUP(Tabla1[[#This Row],[Llave]],'[5]Consolidación planes'!$A:$M,12,FALSE),0)</f>
        <v>0</v>
      </c>
      <c r="BH258" s="20">
        <f>IFERROR(VLOOKUP(Tabla1[[#This Row],[Llave]],'[5]Consolidación planes'!$A:$M,13,FALSE),0)</f>
        <v>0</v>
      </c>
      <c r="BI258" s="20">
        <f>IFERROR(VLOOKUP(Tabla1[[#This Row],[Llave]],'[13]Base ultimos planes'!$A:$M,13,FALSE),0)</f>
        <v>0</v>
      </c>
      <c r="BJ258" s="80">
        <f>IFERROR(VLOOKUP(Tabla1[[#This Row],[Llave]],'[13]Base ultimos planes'!$O:$AA,8,FALSE),0)</f>
        <v>0</v>
      </c>
      <c r="BK258" s="20">
        <f>IFERROR(VLOOKUP(Tabla1[[#This Row],[Llave]],'[13]Base ultimos planes'!$O:$AA,9,FALSE),0)</f>
        <v>0</v>
      </c>
      <c r="BL258" s="20">
        <f>IFERROR(VLOOKUP(Tabla1[[#This Row],[Llave]],'[13]Base ultimos planes'!$O:$AA,10,FALSE),0)</f>
        <v>0</v>
      </c>
      <c r="BM258" s="20">
        <f>IFERROR(VLOOKUP(Tabla1[[#This Row],[Llave]],'[13]Base ultimos planes'!$O:$AA,11,FALSE),0)</f>
        <v>0</v>
      </c>
      <c r="BN258" s="20">
        <f>IFERROR(VLOOKUP(Tabla1[[#This Row],[Llave]],'[13]Base ultimos planes'!$O:$AA,12,FALSE),0)</f>
        <v>0</v>
      </c>
      <c r="BO258" s="20">
        <f>IFERROR(VLOOKUP(Tabla1[[#This Row],[Llave]],'[13]Base ultimos planes'!$O:$AA,13,FALSE),0)</f>
        <v>0</v>
      </c>
      <c r="BP258" s="20" t="s">
        <v>692</v>
      </c>
      <c r="BQ258" s="20">
        <f>+Tabla1[[#This Row],[ RV  Venta mes n+1]]*(1-Tabla1[[#This Row],[% Uti. producción]])</f>
        <v>0</v>
      </c>
      <c r="BR258" s="100"/>
    </row>
    <row r="259" spans="1:70" ht="16" hidden="1" x14ac:dyDescent="0.2">
      <c r="A259">
        <v>1</v>
      </c>
      <c r="B259" t="str">
        <f>Tabla1[[#This Row],[Oficina]]&amp;Tabla1[[#This Row],[Material]]</f>
        <v>Agrosuper Asia1022605</v>
      </c>
      <c r="C259" t="s">
        <v>6</v>
      </c>
      <c r="D259" t="s">
        <v>173</v>
      </c>
      <c r="E259">
        <v>1022605</v>
      </c>
      <c r="F259" t="s">
        <v>403</v>
      </c>
      <c r="G259" t="s">
        <v>76</v>
      </c>
      <c r="H259" t="s">
        <v>79</v>
      </c>
      <c r="I259" s="15">
        <f>IFERROR(VLOOKUP(Tabla1[[#This Row],[Llave]],'[7]RV Producción'!$C:$G,5,FALSE),0)</f>
        <v>0</v>
      </c>
      <c r="J259" s="3">
        <f>IFERROR(IF(Tabla1[[#This Row],[Oficina]]=$I$7,VLOOKUP(Tabla1[[#This Row],[Llave]],'[7]Shangai (Tomas)'!$A:$F,6,FALSE),VLOOKUP(Tabla1[[#This Row],[Llave]],'[7]RV plan de ventas'!$A:$E,5,FALSE)),0)</f>
        <v>0</v>
      </c>
      <c r="K259" s="17">
        <f>IFERROR(VLOOKUP(Tabla1[[#This Row],[Oficina]],[15]Ponderación!$B$2:$E$9,4,FALSE),0)</f>
        <v>0.45719439678473212</v>
      </c>
      <c r="L259" s="7">
        <f>+Tabla1[[#This Row],[ RV Producción mes n+1]]*Tabla1[[#This Row],[% Uti. producción]]</f>
        <v>0</v>
      </c>
      <c r="M259" s="7">
        <f>IFERROR(VLOOKUP(Tabla1[[#This Row],[Material]],'[17]TD Stock'!$E:$I,5,FALSE),0)</f>
        <v>0</v>
      </c>
      <c r="N259" s="7">
        <f>IFERROR(VLOOKUP(Tabla1[[#This Row],[Material]],[16]Produccion!$M:$N,2,FALSE),0)</f>
        <v>0</v>
      </c>
      <c r="O259" s="7">
        <f>IFERROR(VLOOKUP(Tabla1[[#This Row],[Llave]],'[16]TD Conf-AP'!$I:$M,4,FALSE),0)</f>
        <v>0</v>
      </c>
      <c r="P259" s="14">
        <f>SUM(Tabla1[[#This Row],[Producción disponible]],Tabla1[[#This Row],[Stock al día]],(Tabla1[[#This Row],[Por producir mes N]]*0.9))-Tabla1[[#This Row],[Producción por despachar mes N]]</f>
        <v>0</v>
      </c>
      <c r="Q259" s="7">
        <f>IFERROR(VLOOKUP(Tabla1[[#This Row],[Llave]],[17]DELAY!$A:$D,4,FALSE),0)</f>
        <v>0</v>
      </c>
      <c r="R259" s="9">
        <v>7000</v>
      </c>
      <c r="S259" s="5">
        <f t="shared" si="33"/>
        <v>0</v>
      </c>
      <c r="T259" s="76">
        <v>0</v>
      </c>
      <c r="U259" s="5">
        <f>+Tabla1[[#This Row],[Atraso a facturar]]+Tabla1[[#This Row],[Ajuste atraso]]</f>
        <v>0</v>
      </c>
      <c r="V259" s="3">
        <f>+Tabla1[[#This Row],[Total disponible]]-Tabla1[[#This Row],[Facturación atraso]]</f>
        <v>0</v>
      </c>
      <c r="W259" s="6">
        <f>IFERROR(IF(AND(V259&gt;R259,J259&gt;=R259),ROUNDDOWN((Tabla1[[#This Row],[Producción para venta nueva]])/R259,0)*R259,0),0)</f>
        <v>0</v>
      </c>
      <c r="X259" s="76">
        <v>0</v>
      </c>
      <c r="Y259" s="6">
        <f>IF(Tabla1[[#This Row],[Venta del mes]]&gt;0,Tabla1[[#This Row],[Venta del mes]]+Tabla1[[#This Row],[Ajuste venta nueva]],0)</f>
        <v>0</v>
      </c>
      <c r="Z259" s="6">
        <f>+Tabla1[[#This Row],[Producción para venta nueva]]-Tabla1[[#This Row],[Facturación Venta nueva]]</f>
        <v>0</v>
      </c>
      <c r="AA259" s="6">
        <f>IF(AND(A259=1,Tabla1[[#This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59" s="6"/>
      <c r="AC259" s="6">
        <f>IF(Tabla1[[#This Row],[Disponible stock sin venta]]&gt;0,Tabla1[[#This Row],[Disponible stock sin venta]]+Tabla1[[#This Row],[Ajuste stock sin venta]],0)</f>
        <v>0</v>
      </c>
      <c r="AD259" s="3">
        <f>IFERROR(VLOOKUP(Tabla1[[#This Row],[Llave]],'[16]TD Puerto'!$A:$D,4,FALSE),0)</f>
        <v>0</v>
      </c>
      <c r="AE259" s="3">
        <v>0</v>
      </c>
      <c r="AF259" s="3">
        <f>+Tabla1[[#This Row],[Atraso a facturar]]+Tabla1[[#This Row],[Venta del mes]]+Tabla1[[#This Row],[En puerto a facturar]]+Tabla1[[#This Row],[Disponible stock sin venta]]</f>
        <v>0</v>
      </c>
      <c r="AG259" s="3">
        <f>+Tabla1[[#This Row],[En puerto a facturar]]</f>
        <v>0</v>
      </c>
      <c r="AH259" s="3">
        <f>+Tabla1[[#This Row],[Facturación atraso]]</f>
        <v>0</v>
      </c>
      <c r="AI259" s="3">
        <f>+Tabla1[[#This Row],[Plan Irrestricto]]-Tabla1[[#This Row],[Puerto ]]-Tabla1[[#This Row],[Atraso]]</f>
        <v>0</v>
      </c>
      <c r="AJ25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59" s="3">
        <f>+Tabla1[[#This Row],[Facturación atraso]]</f>
        <v>0</v>
      </c>
      <c r="AL259" s="3">
        <f>+Tabla1[[#This Row],[Plan Ajustado]]-Tabla1[[#This Row],[ Atraso ajustado]]-Tabla1[[#This Row],[Puerto ]]</f>
        <v>0</v>
      </c>
      <c r="AM259" s="3">
        <v>0</v>
      </c>
      <c r="AN259" s="3" t="str">
        <f>IF(Tabla1[[#This Row],[Plan Ajustado]]&gt;Tabla1[[#This Row],[En puerto a facturar]],"Si","No")</f>
        <v>No</v>
      </c>
      <c r="AO25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59" s="3">
        <f>IF(Tabla1[[#This Row],[Necesidad]]&gt;=Tabla1[[#This Row],[Stock al día]],Tabla1[[#This Row],[Stock al día]],Tabla1[[#This Row],[Necesidad]])</f>
        <v>0</v>
      </c>
      <c r="AQ259" s="3">
        <f>+Tabla1[[#This Row],[Necesidad]]-Tabla1[[#This Row],[Stock Plan]]</f>
        <v>0</v>
      </c>
      <c r="AR259" s="156">
        <f>IFERROR(VLOOKUP(Tabla1[[#This Row],[Oficina]],[22]Ponderación!$B$3:$G$9,6,FALSE),"")</f>
        <v>44754</v>
      </c>
      <c r="AS25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59" s="83">
        <f>IFERROR(VLOOKUP(Tabla1[[#This Row],[Llave]],[17]DELAY!$H:$W,16,FALSE),0)</f>
        <v>0</v>
      </c>
      <c r="AU25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59" s="5">
        <f>+Tabla1[[#This Row],[Plan Ajustado]]*Tabla1[[#This Row],[Precio ponderado]]</f>
        <v>0</v>
      </c>
      <c r="AW259" s="30">
        <f>IFERROR(VLOOKUP(Tabla1[[#This Row],[Llave]],'[13]Ultimos precios facturados'!$A:$G,7,FALSE),0)</f>
        <v>0</v>
      </c>
      <c r="AX25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59" s="30"/>
      <c r="AZ259" s="30">
        <f>IF(Tabla1[[#This Row],[Ajuste precio IC]]="",Tabla1[[#This Row],[Precio ponderado]],Tabla1[[#This Row],[Precio ponderado]])</f>
        <v>0</v>
      </c>
      <c r="BA259" s="82"/>
      <c r="BB259" s="82" t="str">
        <f>IF(AND(Tabla1[[#This Row],[Atraso a facturar]]&gt;0,Tabla1[[#This Row],[Precio Atraso]]=0),"Revisar","OK")</f>
        <v>OK</v>
      </c>
      <c r="BC259" s="82" t="str">
        <f>IF(AND(Tabla1[[#This Row],[Venta del mes]]&gt;0,Tabla1[[#This Row],[Precio venta nueva]]=0),"Revisar","OK")</f>
        <v>OK</v>
      </c>
      <c r="BD259" s="20">
        <f>IFERROR(VLOOKUP(Tabla1[[#This Row],[Llave]],'[5]Consolidación planes'!$A:$M,9,FALSE),0)</f>
        <v>0</v>
      </c>
      <c r="BE259" s="20">
        <f>IFERROR(VLOOKUP(Tabla1[[#This Row],[Llave]],'[5]Consolidación planes'!$A:$M,10,FALSE),0)</f>
        <v>0</v>
      </c>
      <c r="BF259" s="20">
        <f>IFERROR(VLOOKUP(Tabla1[[#This Row],[Llave]],'[5]Consolidación planes'!$A:$M,11,FALSE),0)</f>
        <v>0</v>
      </c>
      <c r="BG259" s="20">
        <f>IFERROR(VLOOKUP(Tabla1[[#This Row],[Llave]],'[5]Consolidación planes'!$A:$M,12,FALSE),0)</f>
        <v>0</v>
      </c>
      <c r="BH259" s="20">
        <f>IFERROR(VLOOKUP(Tabla1[[#This Row],[Llave]],'[5]Consolidación planes'!$A:$M,13,FALSE),0)</f>
        <v>0</v>
      </c>
      <c r="BI259" s="20">
        <f>IFERROR(VLOOKUP(Tabla1[[#This Row],[Llave]],'[13]Base ultimos planes'!$A:$M,13,FALSE),0)</f>
        <v>7000</v>
      </c>
      <c r="BJ259" s="80">
        <f>IFERROR(VLOOKUP(Tabla1[[#This Row],[Llave]],'[13]Base ultimos planes'!$O:$AA,8,FALSE),0)</f>
        <v>0</v>
      </c>
      <c r="BK259" s="20">
        <f>IFERROR(VLOOKUP(Tabla1[[#This Row],[Llave]],'[13]Base ultimos planes'!$O:$AA,9,FALSE),0)</f>
        <v>0</v>
      </c>
      <c r="BL259" s="20">
        <f>IFERROR(VLOOKUP(Tabla1[[#This Row],[Llave]],'[13]Base ultimos planes'!$O:$AA,10,FALSE),0)</f>
        <v>0</v>
      </c>
      <c r="BM259" s="20">
        <f>IFERROR(VLOOKUP(Tabla1[[#This Row],[Llave]],'[13]Base ultimos planes'!$O:$AA,11,FALSE),0)</f>
        <v>0</v>
      </c>
      <c r="BN259" s="20">
        <f>IFERROR(VLOOKUP(Tabla1[[#This Row],[Llave]],'[13]Base ultimos planes'!$O:$AA,12,FALSE),0)</f>
        <v>0</v>
      </c>
      <c r="BO259" s="20">
        <f>IFERROR(VLOOKUP(Tabla1[[#This Row],[Llave]],'[13]Base ultimos planes'!$O:$AA,13,FALSE),0)</f>
        <v>30191</v>
      </c>
      <c r="BP259" s="20"/>
      <c r="BQ259" s="20">
        <f>+Tabla1[[#This Row],[ RV  Venta mes n+1]]*(1-Tabla1[[#This Row],[% Uti. producción]])</f>
        <v>0</v>
      </c>
      <c r="BR259" s="100"/>
    </row>
    <row r="260" spans="1:70" ht="16" hidden="1" x14ac:dyDescent="0.2">
      <c r="A260">
        <v>1</v>
      </c>
      <c r="B260" t="str">
        <f>Tabla1[[#This Row],[Oficina]]&amp;Tabla1[[#This Row],[Material]]</f>
        <v>Agro Sudamerica1022842</v>
      </c>
      <c r="C260" t="s">
        <v>6</v>
      </c>
      <c r="D260" t="s">
        <v>17</v>
      </c>
      <c r="E260">
        <v>1022842</v>
      </c>
      <c r="F260" t="s">
        <v>405</v>
      </c>
      <c r="G260" t="s">
        <v>71</v>
      </c>
      <c r="H260" t="s">
        <v>586</v>
      </c>
      <c r="I260" s="15">
        <f>IFERROR(VLOOKUP(Tabla1[[#This Row],[Llave]],'[7]RV Producción'!$C:$G,5,FALSE),0)</f>
        <v>2269</v>
      </c>
      <c r="J260" s="3">
        <f>IFERROR(IF(Tabla1[[#This Row],[Oficina]]=$I$7,VLOOKUP(Tabla1[[#This Row],[Llave]],'[7]Shangai (Tomas)'!$A:$F,6,FALSE),VLOOKUP(Tabla1[[#This Row],[Llave]],'[7]RV plan de ventas'!$A:$E,5,FALSE)),0)</f>
        <v>0</v>
      </c>
      <c r="K260" s="17">
        <f>IFERROR(VLOOKUP(Tabla1[[#This Row],[Oficina]],[15]Ponderación!$B$2:$E$9,4,FALSE),0)</f>
        <v>0.45719439678473212</v>
      </c>
      <c r="L260" s="7">
        <f>+Tabla1[[#This Row],[ RV Producción mes n+1]]*Tabla1[[#This Row],[% Uti. producción]]</f>
        <v>1037.3740863045571</v>
      </c>
      <c r="M260" s="7">
        <f>IFERROR(VLOOKUP(Tabla1[[#This Row],[Material]],'[17]TD Stock'!$E:$I,5,FALSE),0)</f>
        <v>0</v>
      </c>
      <c r="N260" s="7">
        <f>IFERROR(VLOOKUP(Tabla1[[#This Row],[Material]],[16]Produccion!$M:$N,2,FALSE),0)</f>
        <v>400</v>
      </c>
      <c r="O260" s="7">
        <f>IFERROR(VLOOKUP(Tabla1[[#This Row],[Llave]],'[16]TD Conf-AP'!$I:$M,4,FALSE),0)</f>
        <v>0</v>
      </c>
      <c r="P260" s="14">
        <f>SUM(Tabla1[[#This Row],[Producción disponible]],Tabla1[[#This Row],[Stock al día]],(Tabla1[[#This Row],[Por producir mes N]]*0.9))-Tabla1[[#This Row],[Producción por despachar mes N]]</f>
        <v>1397.3740863045571</v>
      </c>
      <c r="Q260" s="7">
        <f>IFERROR(VLOOKUP(Tabla1[[#This Row],[Llave]],[17]DELAY!$A:$D,4,FALSE),0)</f>
        <v>72000</v>
      </c>
      <c r="R260" s="9">
        <v>24000</v>
      </c>
      <c r="S260" s="5">
        <f t="shared" si="33"/>
        <v>0</v>
      </c>
      <c r="T260" s="76">
        <v>0</v>
      </c>
      <c r="U260" s="5">
        <f>+Tabla1[[#This Row],[Atraso a facturar]]+Tabla1[[#This Row],[Ajuste atraso]]</f>
        <v>0</v>
      </c>
      <c r="V260" s="3">
        <f>+Tabla1[[#This Row],[Total disponible]]-Tabla1[[#This Row],[Facturación atraso]]</f>
        <v>1397.3740863045571</v>
      </c>
      <c r="W260" s="6">
        <f>IFERROR(IF(AND(V260&gt;R260,J260&gt;=R260),ROUNDDOWN((Tabla1[[#This Row],[Producción para venta nueva]])/R260,0)*R260,0),0)</f>
        <v>0</v>
      </c>
      <c r="X260" s="76">
        <v>0</v>
      </c>
      <c r="Y260" s="6">
        <f>IF(Tabla1[[#This Row],[Venta del mes]]&gt;0,Tabla1[[#This Row],[Venta del mes]]+Tabla1[[#This Row],[Ajuste venta nueva]],0)</f>
        <v>0</v>
      </c>
      <c r="Z260" s="6">
        <f>+Tabla1[[#This Row],[Producción para venta nueva]]-Tabla1[[#This Row],[Facturación Venta nueva]]</f>
        <v>1397.3740863045571</v>
      </c>
      <c r="AA260" s="6">
        <f>IF(AND(A260=1,Tabla1[[#This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0" s="6"/>
      <c r="AC260" s="6">
        <f>IF(Tabla1[[#This Row],[Disponible stock sin venta]]&gt;0,Tabla1[[#This Row],[Disponible stock sin venta]]+Tabla1[[#This Row],[Ajuste stock sin venta]],0)</f>
        <v>0</v>
      </c>
      <c r="AD260" s="3">
        <f>IFERROR(VLOOKUP(Tabla1[[#This Row],[Llave]],'[16]TD Puerto'!$A:$D,4,FALSE),0)</f>
        <v>0</v>
      </c>
      <c r="AE260" s="3">
        <v>0</v>
      </c>
      <c r="AF260" s="3">
        <f>+Tabla1[[#This Row],[Atraso a facturar]]+Tabla1[[#This Row],[Venta del mes]]+Tabla1[[#This Row],[En puerto a facturar]]+Tabla1[[#This Row],[Disponible stock sin venta]]</f>
        <v>0</v>
      </c>
      <c r="AG260" s="3">
        <f>+Tabla1[[#This Row],[En puerto a facturar]]</f>
        <v>0</v>
      </c>
      <c r="AH260" s="3">
        <f>+Tabla1[[#This Row],[Facturación atraso]]</f>
        <v>0</v>
      </c>
      <c r="AI260" s="3">
        <f>+Tabla1[[#This Row],[Plan Irrestricto]]-Tabla1[[#This Row],[Puerto ]]-Tabla1[[#This Row],[Atraso]]</f>
        <v>0</v>
      </c>
      <c r="AJ26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60" s="3">
        <f>+Tabla1[[#This Row],[Facturación atraso]]</f>
        <v>0</v>
      </c>
      <c r="AL260" s="3">
        <f>+Tabla1[[#This Row],[Plan Ajustado]]-Tabla1[[#This Row],[ Atraso ajustado]]-Tabla1[[#This Row],[Puerto ]]</f>
        <v>0</v>
      </c>
      <c r="AM260" s="3">
        <v>0</v>
      </c>
      <c r="AN260" s="3" t="str">
        <f>IF(Tabla1[[#This Row],[Plan Ajustado]]&gt;Tabla1[[#This Row],[En puerto a facturar]],"Si","No")</f>
        <v>No</v>
      </c>
      <c r="AO26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60" s="3">
        <f>IF(Tabla1[[#This Row],[Necesidad]]&gt;=Tabla1[[#This Row],[Stock al día]],Tabla1[[#This Row],[Stock al día]],Tabla1[[#This Row],[Necesidad]])</f>
        <v>0</v>
      </c>
      <c r="AQ260" s="3">
        <f>+Tabla1[[#This Row],[Necesidad]]-Tabla1[[#This Row],[Stock Plan]]</f>
        <v>0</v>
      </c>
      <c r="AR260" s="156">
        <f>IFERROR(VLOOKUP(Tabla1[[#This Row],[Oficina]],[22]Ponderación!$B$3:$G$9,6,FALSE),"")</f>
        <v>44757</v>
      </c>
      <c r="AS26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60" s="83">
        <f>IFERROR(VLOOKUP(Tabla1[[#This Row],[Llave]],[17]DELAY!$H:$W,16,FALSE),0)</f>
        <v>2.5499999999999998</v>
      </c>
      <c r="AU26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60" s="5">
        <f>+Tabla1[[#This Row],[Plan Ajustado]]*Tabla1[[#This Row],[Precio ponderado]]</f>
        <v>0</v>
      </c>
      <c r="AW260" s="30">
        <f>IFERROR(VLOOKUP(Tabla1[[#This Row],[Llave]],'[13]Ultimos precios facturados'!$A:$G,7,FALSE),0)</f>
        <v>0</v>
      </c>
      <c r="AX26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60" s="30"/>
      <c r="AZ260" s="30">
        <f>IF(Tabla1[[#This Row],[Ajuste precio IC]]="",Tabla1[[#This Row],[Precio ponderado]],Tabla1[[#This Row],[Precio ponderado]])</f>
        <v>0</v>
      </c>
      <c r="BA260" s="82"/>
      <c r="BB260" s="82" t="str">
        <f>IF(AND(Tabla1[[#This Row],[Atraso a facturar]]&gt;0,Tabla1[[#This Row],[Precio Atraso]]=0),"Revisar","OK")</f>
        <v>OK</v>
      </c>
      <c r="BC260" s="82" t="str">
        <f>IF(AND(Tabla1[[#This Row],[Venta del mes]]&gt;0,Tabla1[[#This Row],[Precio venta nueva]]=0),"Revisar","OK")</f>
        <v>OK</v>
      </c>
      <c r="BD260" s="20">
        <f>IFERROR(VLOOKUP(Tabla1[[#This Row],[Llave]],'[5]Consolidación planes'!$A:$M,9,FALSE),0)</f>
        <v>0</v>
      </c>
      <c r="BE260" s="20">
        <f>IFERROR(VLOOKUP(Tabla1[[#This Row],[Llave]],'[5]Consolidación planes'!$A:$M,10,FALSE),0)</f>
        <v>0</v>
      </c>
      <c r="BF260" s="20">
        <f>IFERROR(VLOOKUP(Tabla1[[#This Row],[Llave]],'[5]Consolidación planes'!$A:$M,11,FALSE),0)</f>
        <v>0</v>
      </c>
      <c r="BG260" s="20">
        <f>IFERROR(VLOOKUP(Tabla1[[#This Row],[Llave]],'[5]Consolidación planes'!$A:$M,12,FALSE),0)</f>
        <v>0</v>
      </c>
      <c r="BH260" s="20">
        <f>IFERROR(VLOOKUP(Tabla1[[#This Row],[Llave]],'[5]Consolidación planes'!$A:$M,13,FALSE),0)</f>
        <v>0</v>
      </c>
      <c r="BI260" s="20">
        <f>IFERROR(VLOOKUP(Tabla1[[#This Row],[Llave]],'[13]Base ultimos planes'!$A:$M,13,FALSE),0)</f>
        <v>0</v>
      </c>
      <c r="BJ260" s="80">
        <f>IFERROR(VLOOKUP(Tabla1[[#This Row],[Llave]],'[13]Base ultimos planes'!$O:$AA,8,FALSE),0)</f>
        <v>0</v>
      </c>
      <c r="BK260" s="20">
        <f>IFERROR(VLOOKUP(Tabla1[[#This Row],[Llave]],'[13]Base ultimos planes'!$O:$AA,9,FALSE),0)</f>
        <v>0</v>
      </c>
      <c r="BL260" s="20">
        <f>IFERROR(VLOOKUP(Tabla1[[#This Row],[Llave]],'[13]Base ultimos planes'!$O:$AA,10,FALSE),0)</f>
        <v>0</v>
      </c>
      <c r="BM260" s="20">
        <f>IFERROR(VLOOKUP(Tabla1[[#This Row],[Llave]],'[13]Base ultimos planes'!$O:$AA,11,FALSE),0)</f>
        <v>0</v>
      </c>
      <c r="BN260" s="20">
        <f>IFERROR(VLOOKUP(Tabla1[[#This Row],[Llave]],'[13]Base ultimos planes'!$O:$AA,12,FALSE),0)</f>
        <v>0</v>
      </c>
      <c r="BO260" s="20">
        <f>IFERROR(VLOOKUP(Tabla1[[#This Row],[Llave]],'[13]Base ultimos planes'!$O:$AA,13,FALSE),0)</f>
        <v>0</v>
      </c>
      <c r="BP260" s="20"/>
      <c r="BQ260" s="20">
        <f>+Tabla1[[#This Row],[ RV  Venta mes n+1]]*(1-Tabla1[[#This Row],[% Uti. producción]])</f>
        <v>0</v>
      </c>
      <c r="BR260" s="100"/>
    </row>
    <row r="261" spans="1:70" ht="16" hidden="1" x14ac:dyDescent="0.2">
      <c r="A261">
        <v>1</v>
      </c>
      <c r="B261" t="str">
        <f>Tabla1[[#This Row],[Oficina]]&amp;Tabla1[[#This Row],[Material]]</f>
        <v>Agro Sudamerica1022844</v>
      </c>
      <c r="C261" t="s">
        <v>6</v>
      </c>
      <c r="D261" t="s">
        <v>17</v>
      </c>
      <c r="E261">
        <v>1022844</v>
      </c>
      <c r="F261" t="s">
        <v>406</v>
      </c>
      <c r="G261" t="s">
        <v>71</v>
      </c>
      <c r="H261" t="s">
        <v>72</v>
      </c>
      <c r="I261" s="15">
        <f>IFERROR(VLOOKUP(Tabla1[[#This Row],[Llave]],'[7]RV Producción'!$C:$G,5,FALSE),0)</f>
        <v>17466</v>
      </c>
      <c r="J261" s="3">
        <f>IFERROR(IF(Tabla1[[#This Row],[Oficina]]=$I$7,VLOOKUP(Tabla1[[#This Row],[Llave]],'[7]Shangai (Tomas)'!$A:$F,6,FALSE),VLOOKUP(Tabla1[[#This Row],[Llave]],'[7]RV plan de ventas'!$A:$E,5,FALSE)),0)</f>
        <v>0</v>
      </c>
      <c r="K261" s="17">
        <f>IFERROR(VLOOKUP(Tabla1[[#This Row],[Oficina]],[15]Ponderación!$B$2:$E$9,4,FALSE),0)</f>
        <v>0.45719439678473212</v>
      </c>
      <c r="L261" s="7">
        <f>+Tabla1[[#This Row],[ RV Producción mes n+1]]*Tabla1[[#This Row],[% Uti. producción]]</f>
        <v>7985.3573342421314</v>
      </c>
      <c r="M261" s="7">
        <f>IFERROR(VLOOKUP(Tabla1[[#This Row],[Material]],'[17]TD Stock'!$E:$I,5,FALSE),0)</f>
        <v>0</v>
      </c>
      <c r="N261" s="7">
        <f>IFERROR(VLOOKUP(Tabla1[[#This Row],[Material]],[16]Produccion!$M:$N,2,FALSE),0)</f>
        <v>0</v>
      </c>
      <c r="O261" s="7">
        <f>IFERROR(VLOOKUP(Tabla1[[#This Row],[Llave]],'[16]TD Conf-AP'!$I:$M,4,FALSE),0)</f>
        <v>0</v>
      </c>
      <c r="P261" s="14">
        <f>SUM(Tabla1[[#This Row],[Producción disponible]],Tabla1[[#This Row],[Stock al día]],(Tabla1[[#This Row],[Por producir mes N]]*0.9))-Tabla1[[#This Row],[Producción por despachar mes N]]</f>
        <v>7985.3573342421314</v>
      </c>
      <c r="Q261" s="7">
        <f>IFERROR(VLOOKUP(Tabla1[[#This Row],[Llave]],[17]DELAY!$A:$D,4,FALSE),0)</f>
        <v>24000</v>
      </c>
      <c r="R261" s="9">
        <v>24000</v>
      </c>
      <c r="S261" s="5">
        <f t="shared" si="33"/>
        <v>0</v>
      </c>
      <c r="T261" s="76">
        <v>0</v>
      </c>
      <c r="U261" s="5">
        <f>+Tabla1[[#This Row],[Atraso a facturar]]+Tabla1[[#This Row],[Ajuste atraso]]</f>
        <v>0</v>
      </c>
      <c r="V261" s="3">
        <f>+Tabla1[[#This Row],[Total disponible]]-Tabla1[[#This Row],[Facturación atraso]]</f>
        <v>7985.3573342421314</v>
      </c>
      <c r="W261" s="6">
        <f>IFERROR(IF(AND(V261&gt;R261,J261&gt;=R261),ROUNDDOWN((Tabla1[[#This Row],[Producción para venta nueva]])/R261,0)*R261,0),0)</f>
        <v>0</v>
      </c>
      <c r="X261" s="76">
        <v>0</v>
      </c>
      <c r="Y261" s="6">
        <f>IF(Tabla1[[#This Row],[Venta del mes]]&gt;0,Tabla1[[#This Row],[Venta del mes]]+Tabla1[[#This Row],[Ajuste venta nueva]],0)</f>
        <v>0</v>
      </c>
      <c r="Z261" s="6">
        <f>+Tabla1[[#This Row],[Producción para venta nueva]]-Tabla1[[#This Row],[Facturación Venta nueva]]</f>
        <v>7985.3573342421314</v>
      </c>
      <c r="AA261" s="6">
        <f>IF(AND(A261=1,Tabla1[[#This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1" s="6"/>
      <c r="AC261" s="6">
        <f>IF(Tabla1[[#This Row],[Disponible stock sin venta]]&gt;0,Tabla1[[#This Row],[Disponible stock sin venta]]+Tabla1[[#This Row],[Ajuste stock sin venta]],0)</f>
        <v>0</v>
      </c>
      <c r="AD261" s="3">
        <f>IFERROR(VLOOKUP(Tabla1[[#This Row],[Llave]],'[16]TD Puerto'!$A:$D,4,FALSE),0)</f>
        <v>0</v>
      </c>
      <c r="AE261" s="3">
        <v>0</v>
      </c>
      <c r="AF261" s="3">
        <f>+Tabla1[[#This Row],[Atraso a facturar]]+Tabla1[[#This Row],[Venta del mes]]+Tabla1[[#This Row],[En puerto a facturar]]+Tabla1[[#This Row],[Disponible stock sin venta]]</f>
        <v>0</v>
      </c>
      <c r="AG261" s="3">
        <f>+Tabla1[[#This Row],[En puerto a facturar]]</f>
        <v>0</v>
      </c>
      <c r="AH261" s="3">
        <f>+Tabla1[[#This Row],[Facturación atraso]]</f>
        <v>0</v>
      </c>
      <c r="AI261" s="3">
        <f>+Tabla1[[#This Row],[Plan Irrestricto]]-Tabla1[[#This Row],[Puerto ]]-Tabla1[[#This Row],[Atraso]]</f>
        <v>0</v>
      </c>
      <c r="AJ26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61" s="3">
        <f>+Tabla1[[#This Row],[Facturación atraso]]</f>
        <v>0</v>
      </c>
      <c r="AL261" s="3">
        <f>+Tabla1[[#This Row],[Plan Ajustado]]-Tabla1[[#This Row],[ Atraso ajustado]]-Tabla1[[#This Row],[Puerto ]]</f>
        <v>0</v>
      </c>
      <c r="AM261" s="3">
        <v>0</v>
      </c>
      <c r="AN261" s="3" t="str">
        <f>IF(Tabla1[[#This Row],[Plan Ajustado]]&gt;Tabla1[[#This Row],[En puerto a facturar]],"Si","No")</f>
        <v>No</v>
      </c>
      <c r="AO26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61" s="3">
        <f>IF(Tabla1[[#This Row],[Necesidad]]&gt;=Tabla1[[#This Row],[Stock al día]],Tabla1[[#This Row],[Stock al día]],Tabla1[[#This Row],[Necesidad]])</f>
        <v>0</v>
      </c>
      <c r="AQ261" s="3">
        <f>+Tabla1[[#This Row],[Necesidad]]-Tabla1[[#This Row],[Stock Plan]]</f>
        <v>0</v>
      </c>
      <c r="AR261" s="156">
        <f>IFERROR(VLOOKUP(Tabla1[[#This Row],[Oficina]],[22]Ponderación!$B$3:$G$9,6,FALSE),"")</f>
        <v>44757</v>
      </c>
      <c r="AS26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61" s="83">
        <f>IFERROR(VLOOKUP(Tabla1[[#This Row],[Llave]],[17]DELAY!$H:$W,16,FALSE),0)</f>
        <v>1.9</v>
      </c>
      <c r="AU26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61" s="5">
        <f>+Tabla1[[#This Row],[Plan Ajustado]]*Tabla1[[#This Row],[Precio ponderado]]</f>
        <v>0</v>
      </c>
      <c r="AW261" s="30">
        <f>IFERROR(VLOOKUP(Tabla1[[#This Row],[Llave]],'[13]Ultimos precios facturados'!$A:$G,7,FALSE),0)</f>
        <v>0</v>
      </c>
      <c r="AX26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61" s="30"/>
      <c r="AZ261" s="30">
        <f>IF(Tabla1[[#This Row],[Ajuste precio IC]]="",Tabla1[[#This Row],[Precio ponderado]],Tabla1[[#This Row],[Precio ponderado]])</f>
        <v>0</v>
      </c>
      <c r="BA261" s="82"/>
      <c r="BB261" s="82" t="str">
        <f>IF(AND(Tabla1[[#This Row],[Atraso a facturar]]&gt;0,Tabla1[[#This Row],[Precio Atraso]]=0),"Revisar","OK")</f>
        <v>OK</v>
      </c>
      <c r="BC261" s="82" t="str">
        <f>IF(AND(Tabla1[[#This Row],[Venta del mes]]&gt;0,Tabla1[[#This Row],[Precio venta nueva]]=0),"Revisar","OK")</f>
        <v>OK</v>
      </c>
      <c r="BD261" s="20">
        <f>IFERROR(VLOOKUP(Tabla1[[#This Row],[Llave]],'[5]Consolidación planes'!$A:$M,9,FALSE),0)</f>
        <v>0</v>
      </c>
      <c r="BE261" s="20">
        <f>IFERROR(VLOOKUP(Tabla1[[#This Row],[Llave]],'[5]Consolidación planes'!$A:$M,10,FALSE),0)</f>
        <v>0</v>
      </c>
      <c r="BF261" s="20">
        <f>IFERROR(VLOOKUP(Tabla1[[#This Row],[Llave]],'[5]Consolidación planes'!$A:$M,11,FALSE),0)</f>
        <v>0</v>
      </c>
      <c r="BG261" s="20">
        <f>IFERROR(VLOOKUP(Tabla1[[#This Row],[Llave]],'[5]Consolidación planes'!$A:$M,12,FALSE),0)</f>
        <v>0</v>
      </c>
      <c r="BH261" s="20">
        <f>IFERROR(VLOOKUP(Tabla1[[#This Row],[Llave]],'[5]Consolidación planes'!$A:$M,13,FALSE),0)</f>
        <v>0</v>
      </c>
      <c r="BI261" s="20">
        <f>IFERROR(VLOOKUP(Tabla1[[#This Row],[Llave]],'[13]Base ultimos planes'!$A:$M,13,FALSE),0)</f>
        <v>0</v>
      </c>
      <c r="BJ261" s="80">
        <f>IFERROR(VLOOKUP(Tabla1[[#This Row],[Llave]],'[13]Base ultimos planes'!$O:$AA,8,FALSE),0)</f>
        <v>0</v>
      </c>
      <c r="BK261" s="20">
        <f>IFERROR(VLOOKUP(Tabla1[[#This Row],[Llave]],'[13]Base ultimos planes'!$O:$AA,9,FALSE),0)</f>
        <v>0</v>
      </c>
      <c r="BL261" s="20">
        <f>IFERROR(VLOOKUP(Tabla1[[#This Row],[Llave]],'[13]Base ultimos planes'!$O:$AA,10,FALSE),0)</f>
        <v>0</v>
      </c>
      <c r="BM261" s="20">
        <f>IFERROR(VLOOKUP(Tabla1[[#This Row],[Llave]],'[13]Base ultimos planes'!$O:$AA,11,FALSE),0)</f>
        <v>0</v>
      </c>
      <c r="BN261" s="20">
        <f>IFERROR(VLOOKUP(Tabla1[[#This Row],[Llave]],'[13]Base ultimos planes'!$O:$AA,12,FALSE),0)</f>
        <v>0</v>
      </c>
      <c r="BO261" s="20">
        <f>IFERROR(VLOOKUP(Tabla1[[#This Row],[Llave]],'[13]Base ultimos planes'!$O:$AA,13,FALSE),0)</f>
        <v>0</v>
      </c>
      <c r="BP261" s="20"/>
      <c r="BQ261" s="20">
        <f>+Tabla1[[#This Row],[ RV  Venta mes n+1]]*(1-Tabla1[[#This Row],[% Uti. producción]])</f>
        <v>0</v>
      </c>
      <c r="BR261" s="100"/>
    </row>
    <row r="262" spans="1:70" ht="16" hidden="1" x14ac:dyDescent="0.2">
      <c r="A262">
        <v>2</v>
      </c>
      <c r="B262" t="str">
        <f>Tabla1[[#This Row],[Oficina]]&amp;Tabla1[[#This Row],[Material]]</f>
        <v>Agrosuper Shanghai1022943</v>
      </c>
      <c r="C262" t="s">
        <v>6</v>
      </c>
      <c r="D262" t="s">
        <v>140</v>
      </c>
      <c r="E262">
        <v>1022943</v>
      </c>
      <c r="F262" t="s">
        <v>400</v>
      </c>
      <c r="G262" t="s">
        <v>50</v>
      </c>
      <c r="H262" t="s">
        <v>51</v>
      </c>
      <c r="I262" s="15">
        <f>IFERROR(VLOOKUP(Tabla1[[#This Row],[Llave]],'[7]RV Producción'!$C:$G,5,FALSE),0)</f>
        <v>0</v>
      </c>
      <c r="J262" s="3">
        <f>IFERROR(IF(Tabla1[[#This Row],[Oficina]]=$I$7,VLOOKUP(Tabla1[[#This Row],[Llave]],'[7]Shangai (Tomas)'!$A:$F,6,FALSE),VLOOKUP(Tabla1[[#This Row],[Llave]],'[7]RV plan de ventas'!$A:$E,5,FALSE)),0)</f>
        <v>0</v>
      </c>
      <c r="K262" s="17">
        <f>IFERROR(VLOOKUP(Tabla1[[#This Row],[Oficina]],[15]Ponderación!$B$2:$E$9,4,FALSE),0)</f>
        <v>0.45719439678473212</v>
      </c>
      <c r="L262" s="7">
        <f>+Tabla1[[#This Row],[ RV Producción mes n+1]]*Tabla1[[#This Row],[% Uti. producción]]</f>
        <v>0</v>
      </c>
      <c r="M262" s="7">
        <f>IFERROR(VLOOKUP(Tabla1[[#This Row],[Material]],'[17]TD Stock'!$E:$I,5,FALSE),0)</f>
        <v>0</v>
      </c>
      <c r="N262" s="7">
        <f>IFERROR(VLOOKUP(Tabla1[[#This Row],[Material]],[16]Produccion!$M:$N,2,FALSE),0)</f>
        <v>0</v>
      </c>
      <c r="O262" s="7">
        <f>IFERROR(VLOOKUP(Tabla1[[#This Row],[Llave]],'[16]TD Conf-AP'!$I:$M,4,FALSE),0)</f>
        <v>0</v>
      </c>
      <c r="P262" s="14">
        <f>SUM(Tabla1[[#This Row],[Producción disponible]],Tabla1[[#This Row],[Stock al día]],(Tabla1[[#This Row],[Por producir mes N]]*0.9))-Tabla1[[#This Row],[Producción por despachar mes N]]</f>
        <v>0</v>
      </c>
      <c r="Q262" s="7">
        <f>IFERROR(VLOOKUP(Tabla1[[#This Row],[Llave]],[17]DELAY!$A:$D,4,FALSE),0)</f>
        <v>0</v>
      </c>
      <c r="R262" s="9">
        <v>24000</v>
      </c>
      <c r="S262" s="5">
        <f t="shared" si="33"/>
        <v>0</v>
      </c>
      <c r="T262" s="76">
        <v>0</v>
      </c>
      <c r="U262" s="5">
        <f>+Tabla1[[#This Row],[Atraso a facturar]]+Tabla1[[#This Row],[Ajuste atraso]]</f>
        <v>0</v>
      </c>
      <c r="V262" s="3">
        <f>+Tabla1[[#This Row],[Total disponible]]-Tabla1[[#This Row],[Facturación atraso]]</f>
        <v>0</v>
      </c>
      <c r="W262" s="6">
        <f>IFERROR(IF(AND(V262&gt;R262,J262&gt;=R262),ROUNDDOWN((Tabla1[[#This Row],[Producción para venta nueva]])/R262,0)*R262,0),0)</f>
        <v>0</v>
      </c>
      <c r="X262" s="76">
        <v>0</v>
      </c>
      <c r="Y262" s="6">
        <f>IF(Tabla1[[#This Row],[Venta del mes]]&gt;0,Tabla1[[#This Row],[Venta del mes]]+Tabla1[[#This Row],[Ajuste venta nueva]],0)</f>
        <v>0</v>
      </c>
      <c r="Z262" s="6">
        <f>+Tabla1[[#This Row],[Producción para venta nueva]]-Tabla1[[#This Row],[Facturación Venta nueva]]</f>
        <v>0</v>
      </c>
      <c r="AA262" s="6">
        <f>IF(AND(A262=1,Tabla1[[#This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2" s="6"/>
      <c r="AC262" s="6">
        <f>IF(Tabla1[[#This Row],[Disponible stock sin venta]]&gt;0,Tabla1[[#This Row],[Disponible stock sin venta]]+Tabla1[[#This Row],[Ajuste stock sin venta]],0)</f>
        <v>0</v>
      </c>
      <c r="AD262" s="3">
        <f>IFERROR(VLOOKUP(Tabla1[[#This Row],[Llave]],'[16]TD Puerto'!$A:$D,4,FALSE),0)</f>
        <v>0</v>
      </c>
      <c r="AE262" s="3">
        <v>0</v>
      </c>
      <c r="AF262" s="3">
        <f>+Tabla1[[#This Row],[Atraso a facturar]]+Tabla1[[#This Row],[Venta del mes]]+Tabla1[[#This Row],[En puerto a facturar]]+Tabla1[[#This Row],[Disponible stock sin venta]]</f>
        <v>0</v>
      </c>
      <c r="AG262" s="3">
        <f>+Tabla1[[#This Row],[En puerto a facturar]]</f>
        <v>0</v>
      </c>
      <c r="AH262" s="3">
        <f>+Tabla1[[#This Row],[Facturación atraso]]</f>
        <v>0</v>
      </c>
      <c r="AI262" s="3">
        <f>+Tabla1[[#This Row],[Plan Irrestricto]]-Tabla1[[#This Row],[Puerto ]]-Tabla1[[#This Row],[Atraso]]</f>
        <v>0</v>
      </c>
      <c r="AJ26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62" s="3">
        <f>+Tabla1[[#This Row],[Facturación atraso]]</f>
        <v>0</v>
      </c>
      <c r="AL262" s="3">
        <f>+Tabla1[[#This Row],[Plan Ajustado]]-Tabla1[[#This Row],[ Atraso ajustado]]-Tabla1[[#This Row],[Puerto ]]</f>
        <v>0</v>
      </c>
      <c r="AM262" s="3">
        <v>0</v>
      </c>
      <c r="AN262" s="3" t="str">
        <f>IF(Tabla1[[#This Row],[Plan Ajustado]]&gt;Tabla1[[#This Row],[En puerto a facturar]],"Si","No")</f>
        <v>No</v>
      </c>
      <c r="AO26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62" s="3">
        <f>IF(Tabla1[[#This Row],[Necesidad]]&gt;=Tabla1[[#This Row],[Stock al día]],Tabla1[[#This Row],[Stock al día]],Tabla1[[#This Row],[Necesidad]])</f>
        <v>0</v>
      </c>
      <c r="AQ262" s="3">
        <f>+Tabla1[[#This Row],[Necesidad]]-Tabla1[[#This Row],[Stock Plan]]</f>
        <v>0</v>
      </c>
      <c r="AR262" s="156">
        <f>IFERROR(VLOOKUP(Tabla1[[#This Row],[Oficina]],[22]Ponderación!$B$3:$G$9,6,FALSE),"")</f>
        <v>44754</v>
      </c>
      <c r="AS26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2.4003255462422346</v>
      </c>
      <c r="AT262" s="83">
        <f>IFERROR(VLOOKUP(Tabla1[[#This Row],[Llave]],[17]DELAY!$H:$W,16,FALSE),0)</f>
        <v>0</v>
      </c>
      <c r="AU26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62" s="5">
        <f>+Tabla1[[#This Row],[Plan Ajustado]]*Tabla1[[#This Row],[Precio ponderado]]</f>
        <v>0</v>
      </c>
      <c r="AW262" s="30">
        <f>IFERROR(VLOOKUP(Tabla1[[#This Row],[Llave]],'[13]Ultimos precios facturados'!$A:$G,7,FALSE),0)</f>
        <v>2.4003255462422346</v>
      </c>
      <c r="AX26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62" s="30"/>
      <c r="AZ262" s="30">
        <f>IF(Tabla1[[#This Row],[Ajuste precio IC]]="",Tabla1[[#This Row],[Precio ponderado]],Tabla1[[#This Row],[Precio ponderado]])</f>
        <v>0</v>
      </c>
      <c r="BA262" s="82"/>
      <c r="BB262" s="82" t="str">
        <f>IF(AND(Tabla1[[#This Row],[Atraso a facturar]]&gt;0,Tabla1[[#This Row],[Precio Atraso]]=0),"Revisar","OK")</f>
        <v>OK</v>
      </c>
      <c r="BC262" s="82" t="str">
        <f>IF(AND(Tabla1[[#This Row],[Venta del mes]]&gt;0,Tabla1[[#This Row],[Precio venta nueva]]=0),"Revisar","OK")</f>
        <v>OK</v>
      </c>
      <c r="BD262" s="20">
        <f>IFERROR(VLOOKUP(Tabla1[[#This Row],[Llave]],'[5]Consolidación planes'!$A:$M,9,FALSE),0)</f>
        <v>0</v>
      </c>
      <c r="BE262" s="20">
        <f>IFERROR(VLOOKUP(Tabla1[[#This Row],[Llave]],'[5]Consolidación planes'!$A:$M,10,FALSE),0)</f>
        <v>0</v>
      </c>
      <c r="BF262" s="20">
        <f>IFERROR(VLOOKUP(Tabla1[[#This Row],[Llave]],'[5]Consolidación planes'!$A:$M,11,FALSE),0)</f>
        <v>0</v>
      </c>
      <c r="BG262" s="20">
        <f>IFERROR(VLOOKUP(Tabla1[[#This Row],[Llave]],'[5]Consolidación planes'!$A:$M,12,FALSE),0)</f>
        <v>0</v>
      </c>
      <c r="BH262" s="20">
        <f>IFERROR(VLOOKUP(Tabla1[[#This Row],[Llave]],'[5]Consolidación planes'!$A:$M,13,FALSE),0)</f>
        <v>0</v>
      </c>
      <c r="BI262" s="20">
        <f>IFERROR(VLOOKUP(Tabla1[[#This Row],[Llave]],'[13]Base ultimos planes'!$A:$M,13,FALSE),0)</f>
        <v>0</v>
      </c>
      <c r="BJ262" s="80">
        <f>IFERROR(VLOOKUP(Tabla1[[#This Row],[Llave]],'[13]Base ultimos planes'!$O:$AA,8,FALSE),0)</f>
        <v>0</v>
      </c>
      <c r="BK262" s="20">
        <f>IFERROR(VLOOKUP(Tabla1[[#This Row],[Llave]],'[13]Base ultimos planes'!$O:$AA,9,FALSE),0)</f>
        <v>0</v>
      </c>
      <c r="BL262" s="20">
        <f>IFERROR(VLOOKUP(Tabla1[[#This Row],[Llave]],'[13]Base ultimos planes'!$O:$AA,10,FALSE),0)</f>
        <v>0</v>
      </c>
      <c r="BM262" s="20">
        <f>IFERROR(VLOOKUP(Tabla1[[#This Row],[Llave]],'[13]Base ultimos planes'!$O:$AA,11,FALSE),0)</f>
        <v>0</v>
      </c>
      <c r="BN262" s="20">
        <f>IFERROR(VLOOKUP(Tabla1[[#This Row],[Llave]],'[13]Base ultimos planes'!$O:$AA,12,FALSE),0)</f>
        <v>0</v>
      </c>
      <c r="BO262" s="20">
        <f>IFERROR(VLOOKUP(Tabla1[[#This Row],[Llave]],'[13]Base ultimos planes'!$O:$AA,13,FALSE),0)</f>
        <v>0</v>
      </c>
      <c r="BP262" s="20"/>
      <c r="BQ262" s="20">
        <f>+Tabla1[[#This Row],[ RV  Venta mes n+1]]*(1-Tabla1[[#This Row],[% Uti. producción]])</f>
        <v>0</v>
      </c>
      <c r="BR262" s="100"/>
    </row>
    <row r="263" spans="1:70" ht="16" hidden="1" x14ac:dyDescent="0.2">
      <c r="A263">
        <v>2</v>
      </c>
      <c r="B263" t="str">
        <f>Tabla1[[#This Row],[Oficina]]&amp;Tabla1[[#This Row],[Material]]</f>
        <v>Agrosuper Shanghai1022995</v>
      </c>
      <c r="C263" t="s">
        <v>6</v>
      </c>
      <c r="D263" t="s">
        <v>140</v>
      </c>
      <c r="E263">
        <v>1022995</v>
      </c>
      <c r="F263" t="s">
        <v>407</v>
      </c>
      <c r="G263" t="s">
        <v>56</v>
      </c>
      <c r="H263" t="s">
        <v>118</v>
      </c>
      <c r="I263" s="15">
        <f>IFERROR(VLOOKUP(Tabla1[[#This Row],[Llave]],'[7]RV Producción'!$C:$G,5,FALSE),0)</f>
        <v>0</v>
      </c>
      <c r="J263" s="3">
        <f>IFERROR(IF(Tabla1[[#This Row],[Oficina]]=$I$7,VLOOKUP(Tabla1[[#This Row],[Llave]],'[7]Shangai (Tomas)'!$A:$F,6,FALSE),VLOOKUP(Tabla1[[#This Row],[Llave]],'[7]RV plan de ventas'!$A:$E,5,FALSE)),0)</f>
        <v>0</v>
      </c>
      <c r="K263" s="17">
        <f>IFERROR(VLOOKUP(Tabla1[[#This Row],[Oficina]],[15]Ponderación!$B$2:$E$9,4,FALSE),0)</f>
        <v>0.45719439678473212</v>
      </c>
      <c r="L263" s="7">
        <f>+Tabla1[[#This Row],[ RV Producción mes n+1]]*Tabla1[[#This Row],[% Uti. producción]]</f>
        <v>0</v>
      </c>
      <c r="M263" s="7">
        <f>IFERROR(VLOOKUP(Tabla1[[#This Row],[Material]],'[17]TD Stock'!$E:$I,5,FALSE),0)</f>
        <v>0</v>
      </c>
      <c r="N263" s="7">
        <f>IFERROR(VLOOKUP(Tabla1[[#This Row],[Material]],[16]Produccion!$M:$N,2,FALSE),0)</f>
        <v>0</v>
      </c>
      <c r="O263" s="7">
        <f>IFERROR(VLOOKUP(Tabla1[[#This Row],[Llave]],'[16]TD Conf-AP'!$I:$M,4,FALSE),0)</f>
        <v>0</v>
      </c>
      <c r="P263" s="14">
        <f>SUM(Tabla1[[#This Row],[Producción disponible]],Tabla1[[#This Row],[Stock al día]],(Tabla1[[#This Row],[Por producir mes N]]*0.9))-Tabla1[[#This Row],[Producción por despachar mes N]]</f>
        <v>0</v>
      </c>
      <c r="Q263" s="7">
        <f>IFERROR(VLOOKUP(Tabla1[[#This Row],[Llave]],[17]DELAY!$A:$D,4,FALSE),0)</f>
        <v>0</v>
      </c>
      <c r="R263" s="9">
        <v>24000</v>
      </c>
      <c r="S263" s="5">
        <f t="shared" si="33"/>
        <v>0</v>
      </c>
      <c r="T263" s="76">
        <v>0</v>
      </c>
      <c r="U263" s="5">
        <f>+Tabla1[[#This Row],[Atraso a facturar]]+Tabla1[[#This Row],[Ajuste atraso]]</f>
        <v>0</v>
      </c>
      <c r="V263" s="3">
        <f>+Tabla1[[#This Row],[Total disponible]]-Tabla1[[#This Row],[Facturación atraso]]</f>
        <v>0</v>
      </c>
      <c r="W263" s="6">
        <f>IFERROR(IF(AND(V263&gt;R263,J263&gt;=R263),ROUNDDOWN((Tabla1[[#This Row],[Producción para venta nueva]])/R263,0)*R263,0),0)</f>
        <v>0</v>
      </c>
      <c r="X263" s="76">
        <v>0</v>
      </c>
      <c r="Y263" s="6">
        <f>IF(Tabla1[[#This Row],[Venta del mes]]&gt;0,Tabla1[[#This Row],[Venta del mes]]+Tabla1[[#This Row],[Ajuste venta nueva]],0)</f>
        <v>0</v>
      </c>
      <c r="Z263" s="6">
        <f>+Tabla1[[#This Row],[Producción para venta nueva]]-Tabla1[[#This Row],[Facturación Venta nueva]]</f>
        <v>0</v>
      </c>
      <c r="AA263" s="6">
        <f>IF(AND(A263=1,Tabla1[[#This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3" s="6"/>
      <c r="AC263" s="6">
        <f>IF(Tabla1[[#This Row],[Disponible stock sin venta]]&gt;0,Tabla1[[#This Row],[Disponible stock sin venta]]+Tabla1[[#This Row],[Ajuste stock sin venta]],0)</f>
        <v>0</v>
      </c>
      <c r="AD263" s="3">
        <f>IFERROR(VLOOKUP(Tabla1[[#This Row],[Llave]],'[16]TD Puerto'!$A:$D,4,FALSE),0)</f>
        <v>0</v>
      </c>
      <c r="AE263" s="3">
        <v>0</v>
      </c>
      <c r="AF263" s="3">
        <f>+Tabla1[[#This Row],[Atraso a facturar]]+Tabla1[[#This Row],[Venta del mes]]+Tabla1[[#This Row],[En puerto a facturar]]+Tabla1[[#This Row],[Disponible stock sin venta]]</f>
        <v>0</v>
      </c>
      <c r="AG263" s="3">
        <f>+Tabla1[[#This Row],[En puerto a facturar]]</f>
        <v>0</v>
      </c>
      <c r="AH263" s="3">
        <f>+Tabla1[[#This Row],[Facturación atraso]]</f>
        <v>0</v>
      </c>
      <c r="AI263" s="3">
        <f>+Tabla1[[#This Row],[Plan Irrestricto]]-Tabla1[[#This Row],[Puerto ]]-Tabla1[[#This Row],[Atraso]]</f>
        <v>0</v>
      </c>
      <c r="AJ26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63" s="3">
        <f>+Tabla1[[#This Row],[Facturación atraso]]</f>
        <v>0</v>
      </c>
      <c r="AL263" s="3">
        <f>+Tabla1[[#This Row],[Plan Ajustado]]-Tabla1[[#This Row],[ Atraso ajustado]]-Tabla1[[#This Row],[Puerto ]]</f>
        <v>0</v>
      </c>
      <c r="AM263" s="3">
        <v>0</v>
      </c>
      <c r="AN263" s="3" t="str">
        <f>IF(Tabla1[[#This Row],[Plan Ajustado]]&gt;Tabla1[[#This Row],[En puerto a facturar]],"Si","No")</f>
        <v>No</v>
      </c>
      <c r="AO26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63" s="3">
        <f>IF(Tabla1[[#This Row],[Necesidad]]&gt;=Tabla1[[#This Row],[Stock al día]],Tabla1[[#This Row],[Stock al día]],Tabla1[[#This Row],[Necesidad]])</f>
        <v>0</v>
      </c>
      <c r="AQ263" s="3">
        <f>+Tabla1[[#This Row],[Necesidad]]-Tabla1[[#This Row],[Stock Plan]]</f>
        <v>0</v>
      </c>
      <c r="AR263" s="156">
        <f>IFERROR(VLOOKUP(Tabla1[[#This Row],[Oficina]],[22]Ponderación!$B$3:$G$9,6,FALSE),"")</f>
        <v>44754</v>
      </c>
      <c r="AS26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63" s="83">
        <f>IFERROR(VLOOKUP(Tabla1[[#This Row],[Llave]],[17]DELAY!$H:$W,16,FALSE),0)</f>
        <v>0</v>
      </c>
      <c r="AU26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63" s="5">
        <f>+Tabla1[[#This Row],[Plan Ajustado]]*Tabla1[[#This Row],[Precio ponderado]]</f>
        <v>0</v>
      </c>
      <c r="AW263" s="30">
        <f>IFERROR(VLOOKUP(Tabla1[[#This Row],[Llave]],'[13]Ultimos precios facturados'!$A:$G,7,FALSE),0)</f>
        <v>0</v>
      </c>
      <c r="AX26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63" s="30"/>
      <c r="AZ263" s="30">
        <f>IF(Tabla1[[#This Row],[Ajuste precio IC]]="",Tabla1[[#This Row],[Precio ponderado]],Tabla1[[#This Row],[Precio ponderado]])</f>
        <v>0</v>
      </c>
      <c r="BA263" s="82"/>
      <c r="BB263" s="82" t="str">
        <f>IF(AND(Tabla1[[#This Row],[Atraso a facturar]]&gt;0,Tabla1[[#This Row],[Precio Atraso]]=0),"Revisar","OK")</f>
        <v>OK</v>
      </c>
      <c r="BC263" s="82" t="str">
        <f>IF(AND(Tabla1[[#This Row],[Venta del mes]]&gt;0,Tabla1[[#This Row],[Precio venta nueva]]=0),"Revisar","OK")</f>
        <v>OK</v>
      </c>
      <c r="BD263" s="20">
        <f>IFERROR(VLOOKUP(Tabla1[[#This Row],[Llave]],'[5]Consolidación planes'!$A:$M,9,FALSE),0)</f>
        <v>0</v>
      </c>
      <c r="BE263" s="20">
        <f>IFERROR(VLOOKUP(Tabla1[[#This Row],[Llave]],'[5]Consolidación planes'!$A:$M,10,FALSE),0)</f>
        <v>0</v>
      </c>
      <c r="BF263" s="20">
        <f>IFERROR(VLOOKUP(Tabla1[[#This Row],[Llave]],'[5]Consolidación planes'!$A:$M,11,FALSE),0)</f>
        <v>0</v>
      </c>
      <c r="BG263" s="20">
        <f>IFERROR(VLOOKUP(Tabla1[[#This Row],[Llave]],'[5]Consolidación planes'!$A:$M,12,FALSE),0)</f>
        <v>0</v>
      </c>
      <c r="BH263" s="20">
        <f>IFERROR(VLOOKUP(Tabla1[[#This Row],[Llave]],'[5]Consolidación planes'!$A:$M,13,FALSE),0)</f>
        <v>0</v>
      </c>
      <c r="BI263" s="20">
        <f>IFERROR(VLOOKUP(Tabla1[[#This Row],[Llave]],'[13]Base ultimos planes'!$A:$M,13,FALSE),0)</f>
        <v>0</v>
      </c>
      <c r="BJ263" s="80">
        <f>IFERROR(VLOOKUP(Tabla1[[#This Row],[Llave]],'[13]Base ultimos planes'!$O:$AA,8,FALSE),0)</f>
        <v>0</v>
      </c>
      <c r="BK263" s="20">
        <f>IFERROR(VLOOKUP(Tabla1[[#This Row],[Llave]],'[13]Base ultimos planes'!$O:$AA,9,FALSE),0)</f>
        <v>0</v>
      </c>
      <c r="BL263" s="20">
        <f>IFERROR(VLOOKUP(Tabla1[[#This Row],[Llave]],'[13]Base ultimos planes'!$O:$AA,10,FALSE),0)</f>
        <v>0</v>
      </c>
      <c r="BM263" s="20">
        <f>IFERROR(VLOOKUP(Tabla1[[#This Row],[Llave]],'[13]Base ultimos planes'!$O:$AA,11,FALSE),0)</f>
        <v>0</v>
      </c>
      <c r="BN263" s="20">
        <f>IFERROR(VLOOKUP(Tabla1[[#This Row],[Llave]],'[13]Base ultimos planes'!$O:$AA,12,FALSE),0)</f>
        <v>0</v>
      </c>
      <c r="BO263" s="20">
        <f>IFERROR(VLOOKUP(Tabla1[[#This Row],[Llave]],'[13]Base ultimos planes'!$O:$AA,13,FALSE),0)</f>
        <v>0</v>
      </c>
      <c r="BP263" s="20"/>
      <c r="BQ263" s="20">
        <f>+Tabla1[[#This Row],[ RV  Venta mes n+1]]*(1-Tabla1[[#This Row],[% Uti. producción]])</f>
        <v>0</v>
      </c>
      <c r="BR263" s="100"/>
    </row>
    <row r="264" spans="1:70" ht="16" hidden="1" x14ac:dyDescent="0.2">
      <c r="A264">
        <v>2</v>
      </c>
      <c r="B264" t="str">
        <f>Tabla1[[#This Row],[Oficina]]&amp;Tabla1[[#This Row],[Material]]</f>
        <v>Agrosuper Shanghai1023110</v>
      </c>
      <c r="C264" t="s">
        <v>6</v>
      </c>
      <c r="D264" t="s">
        <v>140</v>
      </c>
      <c r="E264">
        <v>1023110</v>
      </c>
      <c r="F264" t="s">
        <v>401</v>
      </c>
      <c r="G264" t="s">
        <v>11</v>
      </c>
      <c r="H264" t="s">
        <v>30</v>
      </c>
      <c r="I264" s="15">
        <f>IFERROR(VLOOKUP(Tabla1[[#This Row],[Llave]],'[7]RV Producción'!$C:$G,5,FALSE),0)</f>
        <v>0</v>
      </c>
      <c r="J264" s="3">
        <f>IFERROR(IF(Tabla1[[#This Row],[Oficina]]=$I$7,VLOOKUP(Tabla1[[#This Row],[Llave]],'[7]Shangai (Tomas)'!$A:$F,6,FALSE),VLOOKUP(Tabla1[[#This Row],[Llave]],'[7]RV plan de ventas'!$A:$E,5,FALSE)),0)</f>
        <v>0</v>
      </c>
      <c r="K264" s="17">
        <f>IFERROR(VLOOKUP(Tabla1[[#This Row],[Oficina]],[15]Ponderación!$B$2:$E$9,4,FALSE),0)</f>
        <v>0.45719439678473212</v>
      </c>
      <c r="L264" s="7">
        <f>+Tabla1[[#This Row],[ RV Producción mes n+1]]*Tabla1[[#This Row],[% Uti. producción]]</f>
        <v>0</v>
      </c>
      <c r="M264" s="7">
        <f>IFERROR(VLOOKUP(Tabla1[[#This Row],[Material]],'[17]TD Stock'!$E:$I,5,FALSE),0)</f>
        <v>10248.483</v>
      </c>
      <c r="N264" s="7">
        <f>IFERROR(VLOOKUP(Tabla1[[#This Row],[Material]],[16]Produccion!$M:$N,2,FALSE),0)</f>
        <v>49909</v>
      </c>
      <c r="O264" s="7">
        <f>IFERROR(VLOOKUP(Tabla1[[#This Row],[Llave]],'[16]TD Conf-AP'!$I:$M,4,FALSE),0)</f>
        <v>0</v>
      </c>
      <c r="P264" s="14">
        <f>SUM(Tabla1[[#This Row],[Producción disponible]],Tabla1[[#This Row],[Stock al día]],(Tabla1[[#This Row],[Por producir mes N]]*0.9))-Tabla1[[#This Row],[Producción por despachar mes N]]</f>
        <v>55166.582999999999</v>
      </c>
      <c r="Q264" s="7">
        <f>IFERROR(VLOOKUP(Tabla1[[#This Row],[Llave]],[17]DELAY!$A:$D,4,FALSE),0)</f>
        <v>0</v>
      </c>
      <c r="R264" s="9">
        <v>24000</v>
      </c>
      <c r="S264" s="5">
        <f t="shared" si="33"/>
        <v>0</v>
      </c>
      <c r="T264" s="76">
        <v>0</v>
      </c>
      <c r="U264" s="5">
        <f>+Tabla1[[#This Row],[Atraso a facturar]]+Tabla1[[#This Row],[Ajuste atraso]]</f>
        <v>0</v>
      </c>
      <c r="V264" s="3">
        <f>+Tabla1[[#This Row],[Total disponible]]-Tabla1[[#This Row],[Facturación atraso]]</f>
        <v>55166.582999999999</v>
      </c>
      <c r="W264" s="6">
        <f>IFERROR(IF(AND(V264&gt;R264,J264&gt;=R264),ROUNDDOWN((Tabla1[[#This Row],[Producción para venta nueva]])/R264,0)*R264,0),0)</f>
        <v>0</v>
      </c>
      <c r="X264" s="76">
        <v>0</v>
      </c>
      <c r="Y264" s="6">
        <f>IF(Tabla1[[#This Row],[Venta del mes]]&gt;0,Tabla1[[#This Row],[Venta del mes]]+Tabla1[[#This Row],[Ajuste venta nueva]],0)</f>
        <v>0</v>
      </c>
      <c r="Z264" s="6">
        <f>+Tabla1[[#This Row],[Producción para venta nueva]]-Tabla1[[#This Row],[Facturación Venta nueva]]</f>
        <v>55166.582999999999</v>
      </c>
      <c r="AA264" s="6">
        <f>IF(AND(A264=1,Tabla1[[#This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4" s="6"/>
      <c r="AC264" s="6">
        <f>IF(Tabla1[[#This Row],[Disponible stock sin venta]]&gt;0,Tabla1[[#This Row],[Disponible stock sin venta]]+Tabla1[[#This Row],[Ajuste stock sin venta]],0)</f>
        <v>0</v>
      </c>
      <c r="AD264" s="3">
        <f>IFERROR(VLOOKUP(Tabla1[[#This Row],[Llave]],'[16]TD Puerto'!$A:$D,4,FALSE),0)</f>
        <v>0</v>
      </c>
      <c r="AE264" s="3">
        <v>0</v>
      </c>
      <c r="AF264" s="3">
        <f>+Tabla1[[#This Row],[Atraso a facturar]]+Tabla1[[#This Row],[Venta del mes]]+Tabla1[[#This Row],[En puerto a facturar]]+Tabla1[[#This Row],[Disponible stock sin venta]]</f>
        <v>0</v>
      </c>
      <c r="AG264" s="3">
        <f>+Tabla1[[#This Row],[En puerto a facturar]]</f>
        <v>0</v>
      </c>
      <c r="AH264" s="3">
        <f>+Tabla1[[#This Row],[Facturación atraso]]</f>
        <v>0</v>
      </c>
      <c r="AI264" s="3">
        <f>+Tabla1[[#This Row],[Plan Irrestricto]]-Tabla1[[#This Row],[Puerto ]]-Tabla1[[#This Row],[Atraso]]</f>
        <v>0</v>
      </c>
      <c r="AJ26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64" s="3">
        <f>+Tabla1[[#This Row],[Facturación atraso]]</f>
        <v>0</v>
      </c>
      <c r="AL264" s="3">
        <f>+Tabla1[[#This Row],[Plan Ajustado]]-Tabla1[[#This Row],[ Atraso ajustado]]-Tabla1[[#This Row],[Puerto ]]</f>
        <v>0</v>
      </c>
      <c r="AM264" s="3">
        <v>0</v>
      </c>
      <c r="AN264" s="3" t="str">
        <f>IF(Tabla1[[#This Row],[Plan Ajustado]]&gt;Tabla1[[#This Row],[En puerto a facturar]],"Si","No")</f>
        <v>No</v>
      </c>
      <c r="AO26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64" s="3">
        <f>IF(Tabla1[[#This Row],[Necesidad]]&gt;=Tabla1[[#This Row],[Stock al día]],Tabla1[[#This Row],[Stock al día]],Tabla1[[#This Row],[Necesidad]])</f>
        <v>0</v>
      </c>
      <c r="AQ264" s="3">
        <f>+Tabla1[[#This Row],[Necesidad]]-Tabla1[[#This Row],[Stock Plan]]</f>
        <v>0</v>
      </c>
      <c r="AR264" s="156">
        <f>IFERROR(VLOOKUP(Tabla1[[#This Row],[Oficina]],[22]Ponderación!$B$3:$G$9,6,FALSE),"")</f>
        <v>44754</v>
      </c>
      <c r="AS26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0.86936289702296099</v>
      </c>
      <c r="AT264" s="83">
        <f>IFERROR(VLOOKUP(Tabla1[[#This Row],[Llave]],[17]DELAY!$H:$W,16,FALSE),0)</f>
        <v>0</v>
      </c>
      <c r="AU26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64" s="5">
        <f>+Tabla1[[#This Row],[Plan Ajustado]]*Tabla1[[#This Row],[Precio ponderado]]</f>
        <v>0</v>
      </c>
      <c r="AW264" s="30">
        <f>IFERROR(VLOOKUP(Tabla1[[#This Row],[Llave]],'[13]Ultimos precios facturados'!$A:$G,7,FALSE),0)</f>
        <v>0.86936289702296099</v>
      </c>
      <c r="AX26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64" s="30"/>
      <c r="AZ264" s="30">
        <f>IF(Tabla1[[#This Row],[Ajuste precio IC]]="",Tabla1[[#This Row],[Precio ponderado]],Tabla1[[#This Row],[Precio ponderado]])</f>
        <v>0</v>
      </c>
      <c r="BA264" s="82"/>
      <c r="BB264" s="82" t="str">
        <f>IF(AND(Tabla1[[#This Row],[Atraso a facturar]]&gt;0,Tabla1[[#This Row],[Precio Atraso]]=0),"Revisar","OK")</f>
        <v>OK</v>
      </c>
      <c r="BC264" s="82" t="str">
        <f>IF(AND(Tabla1[[#This Row],[Venta del mes]]&gt;0,Tabla1[[#This Row],[Precio venta nueva]]=0),"Revisar","OK")</f>
        <v>OK</v>
      </c>
      <c r="BD264" s="20">
        <f>IFERROR(VLOOKUP(Tabla1[[#This Row],[Llave]],'[5]Consolidación planes'!$A:$M,9,FALSE),0)</f>
        <v>0</v>
      </c>
      <c r="BE264" s="20">
        <f>IFERROR(VLOOKUP(Tabla1[[#This Row],[Llave]],'[5]Consolidación planes'!$A:$M,10,FALSE),0)</f>
        <v>0</v>
      </c>
      <c r="BF264" s="20">
        <f>IFERROR(VLOOKUP(Tabla1[[#This Row],[Llave]],'[5]Consolidación planes'!$A:$M,11,FALSE),0)</f>
        <v>0</v>
      </c>
      <c r="BG264" s="20">
        <f>IFERROR(VLOOKUP(Tabla1[[#This Row],[Llave]],'[5]Consolidación planes'!$A:$M,12,FALSE),0)</f>
        <v>0</v>
      </c>
      <c r="BH264" s="20">
        <f>IFERROR(VLOOKUP(Tabla1[[#This Row],[Llave]],'[5]Consolidación planes'!$A:$M,13,FALSE),0)</f>
        <v>0</v>
      </c>
      <c r="BI264" s="20">
        <f>IFERROR(VLOOKUP(Tabla1[[#This Row],[Llave]],'[13]Base ultimos planes'!$A:$M,13,FALSE),0)</f>
        <v>48000</v>
      </c>
      <c r="BJ264" s="80">
        <f>IFERROR(VLOOKUP(Tabla1[[#This Row],[Llave]],'[13]Base ultimos planes'!$O:$AA,8,FALSE),0)</f>
        <v>0</v>
      </c>
      <c r="BK264" s="20">
        <f>IFERROR(VLOOKUP(Tabla1[[#This Row],[Llave]],'[13]Base ultimos planes'!$O:$AA,9,FALSE),0)</f>
        <v>0</v>
      </c>
      <c r="BL264" s="20">
        <f>IFERROR(VLOOKUP(Tabla1[[#This Row],[Llave]],'[13]Base ultimos planes'!$O:$AA,10,FALSE),0)</f>
        <v>0</v>
      </c>
      <c r="BM264" s="20">
        <f>IFERROR(VLOOKUP(Tabla1[[#This Row],[Llave]],'[13]Base ultimos planes'!$O:$AA,11,FALSE),0)</f>
        <v>0</v>
      </c>
      <c r="BN264" s="20">
        <f>IFERROR(VLOOKUP(Tabla1[[#This Row],[Llave]],'[13]Base ultimos planes'!$O:$AA,12,FALSE),0)</f>
        <v>0</v>
      </c>
      <c r="BO264" s="20">
        <f>IFERROR(VLOOKUP(Tabla1[[#This Row],[Llave]],'[13]Base ultimos planes'!$O:$AA,13,FALSE),0)</f>
        <v>36000</v>
      </c>
      <c r="BP264" s="20"/>
      <c r="BQ264" s="20">
        <f>+Tabla1[[#This Row],[ RV  Venta mes n+1]]*(1-Tabla1[[#This Row],[% Uti. producción]])</f>
        <v>0</v>
      </c>
      <c r="BR264" s="100"/>
    </row>
    <row r="265" spans="1:70" ht="16" hidden="1" x14ac:dyDescent="0.2">
      <c r="A265">
        <v>1</v>
      </c>
      <c r="B265" t="str">
        <f>Tabla1[[#This Row],[Oficina]]&amp;Tabla1[[#This Row],[Material]]</f>
        <v>Agrosuper Asia1023370</v>
      </c>
      <c r="C265" t="s">
        <v>6</v>
      </c>
      <c r="D265" t="s">
        <v>173</v>
      </c>
      <c r="E265">
        <v>1023370</v>
      </c>
      <c r="F265" t="s">
        <v>408</v>
      </c>
      <c r="G265" t="s">
        <v>59</v>
      </c>
      <c r="H265" t="s">
        <v>60</v>
      </c>
      <c r="I265" s="15">
        <f>IFERROR(VLOOKUP(Tabla1[[#This Row],[Llave]],'[7]RV Producción'!$C:$G,5,FALSE),0)</f>
        <v>0</v>
      </c>
      <c r="J265" s="3">
        <f>IFERROR(IF(Tabla1[[#This Row],[Oficina]]=$I$7,VLOOKUP(Tabla1[[#This Row],[Llave]],'[7]Shangai (Tomas)'!$A:$F,6,FALSE),VLOOKUP(Tabla1[[#This Row],[Llave]],'[7]RV plan de ventas'!$A:$E,5,FALSE)),0)</f>
        <v>0</v>
      </c>
      <c r="K265" s="17">
        <f>IFERROR(VLOOKUP(Tabla1[[#This Row],[Oficina]],[15]Ponderación!$B$2:$E$9,4,FALSE),0)</f>
        <v>0.45719439678473212</v>
      </c>
      <c r="L265" s="7">
        <f>+Tabla1[[#This Row],[ RV Producción mes n+1]]*Tabla1[[#This Row],[% Uti. producción]]</f>
        <v>0</v>
      </c>
      <c r="M265" s="7">
        <f>IFERROR(VLOOKUP(Tabla1[[#This Row],[Material]],'[17]TD Stock'!$E:$I,5,FALSE),0)</f>
        <v>0</v>
      </c>
      <c r="N265" s="7">
        <f>IFERROR(VLOOKUP(Tabla1[[#This Row],[Material]],[16]Produccion!$M:$N,2,FALSE),0)</f>
        <v>0</v>
      </c>
      <c r="O265" s="7">
        <f>IFERROR(VLOOKUP(Tabla1[[#This Row],[Llave]],'[16]TD Conf-AP'!$I:$M,4,FALSE),0)</f>
        <v>0</v>
      </c>
      <c r="P265" s="14">
        <f>SUM(Tabla1[[#This Row],[Producción disponible]],Tabla1[[#This Row],[Stock al día]],(Tabla1[[#This Row],[Por producir mes N]]*0.9))-Tabla1[[#This Row],[Producción por despachar mes N]]</f>
        <v>0</v>
      </c>
      <c r="Q265" s="7">
        <f>IFERROR(VLOOKUP(Tabla1[[#This Row],[Llave]],[17]DELAY!$A:$D,4,FALSE),0)</f>
        <v>0</v>
      </c>
      <c r="R265" s="9">
        <v>24000</v>
      </c>
      <c r="S265" s="5">
        <f t="shared" si="33"/>
        <v>0</v>
      </c>
      <c r="T265" s="76">
        <v>0</v>
      </c>
      <c r="U265" s="5">
        <f>+Tabla1[[#This Row],[Atraso a facturar]]+Tabla1[[#This Row],[Ajuste atraso]]</f>
        <v>0</v>
      </c>
      <c r="V265" s="3">
        <f>+Tabla1[[#This Row],[Total disponible]]-Tabla1[[#This Row],[Facturación atraso]]</f>
        <v>0</v>
      </c>
      <c r="W265" s="6">
        <f>IFERROR(IF(AND(V265&gt;R265,J265&gt;=R265),ROUNDDOWN((Tabla1[[#This Row],[Producción para venta nueva]])/R265,0)*R265,0),0)</f>
        <v>0</v>
      </c>
      <c r="X265" s="76">
        <v>0</v>
      </c>
      <c r="Y265" s="6">
        <f>IF(Tabla1[[#This Row],[Venta del mes]]&gt;0,Tabla1[[#This Row],[Venta del mes]]+Tabla1[[#This Row],[Ajuste venta nueva]],0)</f>
        <v>0</v>
      </c>
      <c r="Z265" s="6">
        <f>+Tabla1[[#This Row],[Producción para venta nueva]]-Tabla1[[#This Row],[Facturación Venta nueva]]</f>
        <v>0</v>
      </c>
      <c r="AA265" s="6">
        <f>IF(AND(A265=1,Tabla1[[#This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5" s="6"/>
      <c r="AC265" s="6">
        <f>IF(Tabla1[[#This Row],[Disponible stock sin venta]]&gt;0,Tabla1[[#This Row],[Disponible stock sin venta]]+Tabla1[[#This Row],[Ajuste stock sin venta]],0)</f>
        <v>0</v>
      </c>
      <c r="AD265" s="3">
        <f>IFERROR(VLOOKUP(Tabla1[[#This Row],[Llave]],'[16]TD Puerto'!$A:$D,4,FALSE),0)</f>
        <v>0</v>
      </c>
      <c r="AE265" s="3">
        <v>0</v>
      </c>
      <c r="AF265" s="3">
        <f>+Tabla1[[#This Row],[Atraso a facturar]]+Tabla1[[#This Row],[Venta del mes]]+Tabla1[[#This Row],[En puerto a facturar]]+Tabla1[[#This Row],[Disponible stock sin venta]]</f>
        <v>0</v>
      </c>
      <c r="AG265" s="3">
        <f>+Tabla1[[#This Row],[En puerto a facturar]]</f>
        <v>0</v>
      </c>
      <c r="AH265" s="3">
        <f>+Tabla1[[#This Row],[Facturación atraso]]</f>
        <v>0</v>
      </c>
      <c r="AI265" s="3">
        <f>+Tabla1[[#This Row],[Plan Irrestricto]]-Tabla1[[#This Row],[Puerto ]]-Tabla1[[#This Row],[Atraso]]</f>
        <v>0</v>
      </c>
      <c r="AJ26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65" s="3">
        <f>+Tabla1[[#This Row],[Facturación atraso]]</f>
        <v>0</v>
      </c>
      <c r="AL265" s="3">
        <f>+Tabla1[[#This Row],[Plan Ajustado]]-Tabla1[[#This Row],[ Atraso ajustado]]-Tabla1[[#This Row],[Puerto ]]</f>
        <v>0</v>
      </c>
      <c r="AM265" s="3">
        <v>0</v>
      </c>
      <c r="AN265" s="3" t="str">
        <f>IF(Tabla1[[#This Row],[Plan Ajustado]]&gt;Tabla1[[#This Row],[En puerto a facturar]],"Si","No")</f>
        <v>No</v>
      </c>
      <c r="AO26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65" s="3">
        <f>IF(Tabla1[[#This Row],[Necesidad]]&gt;=Tabla1[[#This Row],[Stock al día]],Tabla1[[#This Row],[Stock al día]],Tabla1[[#This Row],[Necesidad]])</f>
        <v>0</v>
      </c>
      <c r="AQ265" s="3">
        <f>+Tabla1[[#This Row],[Necesidad]]-Tabla1[[#This Row],[Stock Plan]]</f>
        <v>0</v>
      </c>
      <c r="AR265" s="156">
        <f>IFERROR(VLOOKUP(Tabla1[[#This Row],[Oficina]],[22]Ponderación!$B$3:$G$9,6,FALSE),"")</f>
        <v>44754</v>
      </c>
      <c r="AS26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65" s="83">
        <f>IFERROR(VLOOKUP(Tabla1[[#This Row],[Llave]],[17]DELAY!$H:$W,16,FALSE),0)</f>
        <v>0</v>
      </c>
      <c r="AU26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65" s="5">
        <f>+Tabla1[[#This Row],[Plan Ajustado]]*Tabla1[[#This Row],[Precio ponderado]]</f>
        <v>0</v>
      </c>
      <c r="AW265" s="30">
        <f>IFERROR(VLOOKUP(Tabla1[[#This Row],[Llave]],'[13]Ultimos precios facturados'!$A:$G,7,FALSE),0)</f>
        <v>0</v>
      </c>
      <c r="AX26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65" s="30"/>
      <c r="AZ265" s="30">
        <f>IF(Tabla1[[#This Row],[Ajuste precio IC]]="",Tabla1[[#This Row],[Precio ponderado]],Tabla1[[#This Row],[Precio ponderado]])</f>
        <v>0</v>
      </c>
      <c r="BA265" s="82"/>
      <c r="BB265" s="82" t="str">
        <f>IF(AND(Tabla1[[#This Row],[Atraso a facturar]]&gt;0,Tabla1[[#This Row],[Precio Atraso]]=0),"Revisar","OK")</f>
        <v>OK</v>
      </c>
      <c r="BC265" s="82" t="str">
        <f>IF(AND(Tabla1[[#This Row],[Venta del mes]]&gt;0,Tabla1[[#This Row],[Precio venta nueva]]=0),"Revisar","OK")</f>
        <v>OK</v>
      </c>
      <c r="BD265" s="20">
        <f>IFERROR(VLOOKUP(Tabla1[[#This Row],[Llave]],'[5]Consolidación planes'!$A:$M,9,FALSE),0)</f>
        <v>0</v>
      </c>
      <c r="BE265" s="20">
        <f>IFERROR(VLOOKUP(Tabla1[[#This Row],[Llave]],'[5]Consolidación planes'!$A:$M,10,FALSE),0)</f>
        <v>0</v>
      </c>
      <c r="BF265" s="20">
        <f>IFERROR(VLOOKUP(Tabla1[[#This Row],[Llave]],'[5]Consolidación planes'!$A:$M,11,FALSE),0)</f>
        <v>0</v>
      </c>
      <c r="BG265" s="20">
        <f>IFERROR(VLOOKUP(Tabla1[[#This Row],[Llave]],'[5]Consolidación planes'!$A:$M,12,FALSE),0)</f>
        <v>0</v>
      </c>
      <c r="BH265" s="20">
        <f>IFERROR(VLOOKUP(Tabla1[[#This Row],[Llave]],'[5]Consolidación planes'!$A:$M,13,FALSE),0)</f>
        <v>0</v>
      </c>
      <c r="BI265" s="20">
        <f>IFERROR(VLOOKUP(Tabla1[[#This Row],[Llave]],'[13]Base ultimos planes'!$A:$M,13,FALSE),0)</f>
        <v>24000</v>
      </c>
      <c r="BJ265" s="80">
        <f>IFERROR(VLOOKUP(Tabla1[[#This Row],[Llave]],'[13]Base ultimos planes'!$O:$AA,8,FALSE),0)</f>
        <v>0</v>
      </c>
      <c r="BK265" s="20">
        <f>IFERROR(VLOOKUP(Tabla1[[#This Row],[Llave]],'[13]Base ultimos planes'!$O:$AA,9,FALSE),0)</f>
        <v>0</v>
      </c>
      <c r="BL265" s="20">
        <f>IFERROR(VLOOKUP(Tabla1[[#This Row],[Llave]],'[13]Base ultimos planes'!$O:$AA,10,FALSE),0)</f>
        <v>0</v>
      </c>
      <c r="BM265" s="20">
        <f>IFERROR(VLOOKUP(Tabla1[[#This Row],[Llave]],'[13]Base ultimos planes'!$O:$AA,11,FALSE),0)</f>
        <v>0</v>
      </c>
      <c r="BN265" s="20">
        <f>IFERROR(VLOOKUP(Tabla1[[#This Row],[Llave]],'[13]Base ultimos planes'!$O:$AA,12,FALSE),0)</f>
        <v>0</v>
      </c>
      <c r="BO265" s="20">
        <f>IFERROR(VLOOKUP(Tabla1[[#This Row],[Llave]],'[13]Base ultimos planes'!$O:$AA,13,FALSE),0)</f>
        <v>33325</v>
      </c>
      <c r="BP265" s="20"/>
      <c r="BQ265" s="20">
        <f>+Tabla1[[#This Row],[ RV  Venta mes n+1]]*(1-Tabla1[[#This Row],[% Uti. producción]])</f>
        <v>0</v>
      </c>
      <c r="BR265" s="100"/>
    </row>
    <row r="266" spans="1:70" ht="16" hidden="1" x14ac:dyDescent="0.2">
      <c r="A266">
        <v>1</v>
      </c>
      <c r="B266" t="str">
        <f>Tabla1[[#This Row],[Oficina]]&amp;Tabla1[[#This Row],[Material]]</f>
        <v>Agrosuper Asia1023371</v>
      </c>
      <c r="C266" t="s">
        <v>6</v>
      </c>
      <c r="D266" t="s">
        <v>173</v>
      </c>
      <c r="E266">
        <v>1023371</v>
      </c>
      <c r="F266" t="s">
        <v>157</v>
      </c>
      <c r="G266" t="s">
        <v>53</v>
      </c>
      <c r="H266" t="s">
        <v>156</v>
      </c>
      <c r="I266" s="15">
        <f>IFERROR(VLOOKUP(Tabla1[[#This Row],[Llave]],'[7]RV Producción'!$C:$G,5,FALSE),0)</f>
        <v>0</v>
      </c>
      <c r="J266" s="3">
        <f>IFERROR(IF(Tabla1[[#This Row],[Oficina]]=$I$7,VLOOKUP(Tabla1[[#This Row],[Llave]],'[7]Shangai (Tomas)'!$A:$F,6,FALSE),VLOOKUP(Tabla1[[#This Row],[Llave]],'[7]RV plan de ventas'!$A:$E,5,FALSE)),0)</f>
        <v>0</v>
      </c>
      <c r="K266" s="17">
        <f>IFERROR(VLOOKUP(Tabla1[[#This Row],[Oficina]],[15]Ponderación!$B$2:$E$9,4,FALSE),0)</f>
        <v>0.45719439678473212</v>
      </c>
      <c r="L266" s="7">
        <f>+Tabla1[[#This Row],[ RV Producción mes n+1]]*Tabla1[[#This Row],[% Uti. producción]]</f>
        <v>0</v>
      </c>
      <c r="M266" s="7">
        <f>IFERROR(VLOOKUP(Tabla1[[#This Row],[Material]],'[17]TD Stock'!$E:$I,5,FALSE),0)</f>
        <v>0</v>
      </c>
      <c r="N266" s="7">
        <f>IFERROR(VLOOKUP(Tabla1[[#This Row],[Material]],[16]Produccion!$M:$N,2,FALSE),0)</f>
        <v>0</v>
      </c>
      <c r="O266" s="7">
        <f>IFERROR(VLOOKUP(Tabla1[[#This Row],[Llave]],'[16]TD Conf-AP'!$I:$M,4,FALSE),0)</f>
        <v>0</v>
      </c>
      <c r="P266" s="14">
        <f>SUM(Tabla1[[#This Row],[Producción disponible]],Tabla1[[#This Row],[Stock al día]],(Tabla1[[#This Row],[Por producir mes N]]*0.9))-Tabla1[[#This Row],[Producción por despachar mes N]]</f>
        <v>0</v>
      </c>
      <c r="Q266" s="7">
        <f>IFERROR(VLOOKUP(Tabla1[[#This Row],[Llave]],[17]DELAY!$A:$D,4,FALSE),0)</f>
        <v>0</v>
      </c>
      <c r="R266" s="9">
        <v>24000</v>
      </c>
      <c r="S266" s="5">
        <f t="shared" si="33"/>
        <v>0</v>
      </c>
      <c r="T266" s="76">
        <v>0</v>
      </c>
      <c r="U266" s="5">
        <f>+Tabla1[[#This Row],[Atraso a facturar]]+Tabla1[[#This Row],[Ajuste atraso]]</f>
        <v>0</v>
      </c>
      <c r="V266" s="3">
        <f>+Tabla1[[#This Row],[Total disponible]]-Tabla1[[#This Row],[Facturación atraso]]</f>
        <v>0</v>
      </c>
      <c r="W266" s="6">
        <f>IFERROR(IF(AND(V266&gt;R266,J266&gt;=R266),ROUNDDOWN((Tabla1[[#This Row],[Producción para venta nueva]])/R266,0)*R266,0),0)</f>
        <v>0</v>
      </c>
      <c r="X266" s="76">
        <v>0</v>
      </c>
      <c r="Y266" s="6">
        <f>IF(Tabla1[[#This Row],[Venta del mes]]&gt;0,Tabla1[[#This Row],[Venta del mes]]+Tabla1[[#This Row],[Ajuste venta nueva]],0)</f>
        <v>0</v>
      </c>
      <c r="Z266" s="6">
        <f>+Tabla1[[#This Row],[Producción para venta nueva]]-Tabla1[[#This Row],[Facturación Venta nueva]]</f>
        <v>0</v>
      </c>
      <c r="AA266" s="6">
        <f>IF(AND(A266=1,Tabla1[[#This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6" s="6"/>
      <c r="AC266" s="6">
        <f>IF(Tabla1[[#This Row],[Disponible stock sin venta]]&gt;0,Tabla1[[#This Row],[Disponible stock sin venta]]+Tabla1[[#This Row],[Ajuste stock sin venta]],0)</f>
        <v>0</v>
      </c>
      <c r="AD266" s="3">
        <f>IFERROR(VLOOKUP(Tabla1[[#This Row],[Llave]],'[16]TD Puerto'!$A:$D,4,FALSE),0)</f>
        <v>0</v>
      </c>
      <c r="AE266" s="3">
        <v>0</v>
      </c>
      <c r="AF266" s="3">
        <f>+Tabla1[[#This Row],[Atraso a facturar]]+Tabla1[[#This Row],[Venta del mes]]+Tabla1[[#This Row],[En puerto a facturar]]+Tabla1[[#This Row],[Disponible stock sin venta]]</f>
        <v>0</v>
      </c>
      <c r="AG266" s="3">
        <f>+Tabla1[[#This Row],[En puerto a facturar]]</f>
        <v>0</v>
      </c>
      <c r="AH266" s="3">
        <f>+Tabla1[[#This Row],[Facturación atraso]]</f>
        <v>0</v>
      </c>
      <c r="AI266" s="3">
        <f>+Tabla1[[#This Row],[Plan Irrestricto]]-Tabla1[[#This Row],[Puerto ]]-Tabla1[[#This Row],[Atraso]]</f>
        <v>0</v>
      </c>
      <c r="AJ26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66" s="3">
        <f>+Tabla1[[#This Row],[Facturación atraso]]</f>
        <v>0</v>
      </c>
      <c r="AL266" s="3">
        <f>+Tabla1[[#This Row],[Plan Ajustado]]-Tabla1[[#This Row],[ Atraso ajustado]]-Tabla1[[#This Row],[Puerto ]]</f>
        <v>0</v>
      </c>
      <c r="AM266" s="3">
        <v>0</v>
      </c>
      <c r="AN266" s="3" t="str">
        <f>IF(Tabla1[[#This Row],[Plan Ajustado]]&gt;Tabla1[[#This Row],[En puerto a facturar]],"Si","No")</f>
        <v>No</v>
      </c>
      <c r="AO26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66" s="3">
        <f>IF(Tabla1[[#This Row],[Necesidad]]&gt;=Tabla1[[#This Row],[Stock al día]],Tabla1[[#This Row],[Stock al día]],Tabla1[[#This Row],[Necesidad]])</f>
        <v>0</v>
      </c>
      <c r="AQ266" s="3">
        <f>+Tabla1[[#This Row],[Necesidad]]-Tabla1[[#This Row],[Stock Plan]]</f>
        <v>0</v>
      </c>
      <c r="AR266" s="156">
        <f>IFERROR(VLOOKUP(Tabla1[[#This Row],[Oficina]],[22]Ponderación!$B$3:$G$9,6,FALSE),"")</f>
        <v>44754</v>
      </c>
      <c r="AS26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66" s="83">
        <f>IFERROR(VLOOKUP(Tabla1[[#This Row],[Llave]],[17]DELAY!$H:$W,16,FALSE),0)</f>
        <v>0</v>
      </c>
      <c r="AU26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66" s="5">
        <f>+Tabla1[[#This Row],[Plan Ajustado]]*Tabla1[[#This Row],[Precio ponderado]]</f>
        <v>0</v>
      </c>
      <c r="AW266" s="30">
        <f>IFERROR(VLOOKUP(Tabla1[[#This Row],[Llave]],'[13]Ultimos precios facturados'!$A:$G,7,FALSE),0)</f>
        <v>0</v>
      </c>
      <c r="AX26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66" s="30"/>
      <c r="AZ266" s="30">
        <f>IF(Tabla1[[#This Row],[Ajuste precio IC]]="",Tabla1[[#This Row],[Precio ponderado]],Tabla1[[#This Row],[Precio ponderado]])</f>
        <v>0</v>
      </c>
      <c r="BA266" s="82"/>
      <c r="BB266" s="82" t="str">
        <f>IF(AND(Tabla1[[#This Row],[Atraso a facturar]]&gt;0,Tabla1[[#This Row],[Precio Atraso]]=0),"Revisar","OK")</f>
        <v>OK</v>
      </c>
      <c r="BC266" s="82" t="str">
        <f>IF(AND(Tabla1[[#This Row],[Venta del mes]]&gt;0,Tabla1[[#This Row],[Precio venta nueva]]=0),"Revisar","OK")</f>
        <v>OK</v>
      </c>
      <c r="BD266" s="20">
        <f>IFERROR(VLOOKUP(Tabla1[[#This Row],[Llave]],'[5]Consolidación planes'!$A:$M,9,FALSE),0)</f>
        <v>0</v>
      </c>
      <c r="BE266" s="20">
        <f>IFERROR(VLOOKUP(Tabla1[[#This Row],[Llave]],'[5]Consolidación planes'!$A:$M,10,FALSE),0)</f>
        <v>0</v>
      </c>
      <c r="BF266" s="20">
        <f>IFERROR(VLOOKUP(Tabla1[[#This Row],[Llave]],'[5]Consolidación planes'!$A:$M,11,FALSE),0)</f>
        <v>0</v>
      </c>
      <c r="BG266" s="20">
        <f>IFERROR(VLOOKUP(Tabla1[[#This Row],[Llave]],'[5]Consolidación planes'!$A:$M,12,FALSE),0)</f>
        <v>0</v>
      </c>
      <c r="BH266" s="20">
        <f>IFERROR(VLOOKUP(Tabla1[[#This Row],[Llave]],'[5]Consolidación planes'!$A:$M,13,FALSE),0)</f>
        <v>0</v>
      </c>
      <c r="BI266" s="20">
        <f>IFERROR(VLOOKUP(Tabla1[[#This Row],[Llave]],'[13]Base ultimos planes'!$A:$M,13,FALSE),0)</f>
        <v>24000</v>
      </c>
      <c r="BJ266" s="80">
        <f>IFERROR(VLOOKUP(Tabla1[[#This Row],[Llave]],'[13]Base ultimos planes'!$O:$AA,8,FALSE),0)</f>
        <v>0</v>
      </c>
      <c r="BK266" s="20">
        <f>IFERROR(VLOOKUP(Tabla1[[#This Row],[Llave]],'[13]Base ultimos planes'!$O:$AA,9,FALSE),0)</f>
        <v>0</v>
      </c>
      <c r="BL266" s="20">
        <f>IFERROR(VLOOKUP(Tabla1[[#This Row],[Llave]],'[13]Base ultimos planes'!$O:$AA,10,FALSE),0)</f>
        <v>0</v>
      </c>
      <c r="BM266" s="20">
        <f>IFERROR(VLOOKUP(Tabla1[[#This Row],[Llave]],'[13]Base ultimos planes'!$O:$AA,11,FALSE),0)</f>
        <v>0</v>
      </c>
      <c r="BN266" s="20">
        <f>IFERROR(VLOOKUP(Tabla1[[#This Row],[Llave]],'[13]Base ultimos planes'!$O:$AA,12,FALSE),0)</f>
        <v>0</v>
      </c>
      <c r="BO266" s="20">
        <f>IFERROR(VLOOKUP(Tabla1[[#This Row],[Llave]],'[13]Base ultimos planes'!$O:$AA,13,FALSE),0)</f>
        <v>28525</v>
      </c>
      <c r="BP266" s="20"/>
      <c r="BQ266" s="20">
        <f>+Tabla1[[#This Row],[ RV  Venta mes n+1]]*(1-Tabla1[[#This Row],[% Uti. producción]])</f>
        <v>0</v>
      </c>
      <c r="BR266" s="100"/>
    </row>
    <row r="267" spans="1:70" ht="16" x14ac:dyDescent="0.2">
      <c r="A267">
        <v>1</v>
      </c>
      <c r="B267" t="str">
        <f>Tabla1[[#This Row],[Oficina]]&amp;Tabla1[[#This Row],[Material]]</f>
        <v>Agrosuper Asia1023372</v>
      </c>
      <c r="C267" t="s">
        <v>6</v>
      </c>
      <c r="D267" t="s">
        <v>173</v>
      </c>
      <c r="E267">
        <v>1023372</v>
      </c>
      <c r="F267" t="s">
        <v>311</v>
      </c>
      <c r="G267" t="s">
        <v>409</v>
      </c>
      <c r="H267" t="s">
        <v>51</v>
      </c>
      <c r="I267" s="15">
        <f>IFERROR(VLOOKUP(Tabla1[[#This Row],[Llave]],'[7]RV Producción'!$C:$G,5,FALSE),0)</f>
        <v>27371</v>
      </c>
      <c r="J267" s="3">
        <f>IFERROR(IF(Tabla1[[#This Row],[Oficina]]=$I$7,VLOOKUP(Tabla1[[#This Row],[Llave]],'[7]Shangai (Tomas)'!$A:$F,6,FALSE),VLOOKUP(Tabla1[[#This Row],[Llave]],'[7]RV plan de ventas'!$A:$E,5,FALSE)),0)</f>
        <v>24000</v>
      </c>
      <c r="K267" s="17">
        <f>IFERROR(VLOOKUP(Tabla1[[#This Row],[Oficina]],[15]Ponderación!$B$2:$E$9,4,FALSE),0)</f>
        <v>0.45719439678473212</v>
      </c>
      <c r="L267" s="7">
        <f>+Tabla1[[#This Row],[ RV Producción mes n+1]]*Tabla1[[#This Row],[% Uti. producción]]</f>
        <v>12513.867834394903</v>
      </c>
      <c r="M267" s="7">
        <f>IFERROR(VLOOKUP(Tabla1[[#This Row],[Material]],'[17]TD Stock'!$E:$I,5,FALSE),0)</f>
        <v>0</v>
      </c>
      <c r="N267" s="7">
        <f>IFERROR(VLOOKUP(Tabla1[[#This Row],[Material]],[16]Produccion!$M:$N,2,FALSE),0)</f>
        <v>0</v>
      </c>
      <c r="O267" s="7">
        <f>IFERROR(VLOOKUP(Tabla1[[#This Row],[Llave]],'[16]TD Conf-AP'!$I:$M,4,FALSE),0)</f>
        <v>0</v>
      </c>
      <c r="P267" s="14">
        <f>SUM(Tabla1[[#This Row],[Producción disponible]],Tabla1[[#This Row],[Stock al día]],(Tabla1[[#This Row],[Por producir mes N]]*0.9))-Tabla1[[#This Row],[Producción por despachar mes N]]</f>
        <v>12513.867834394903</v>
      </c>
      <c r="Q267" s="7">
        <f>IFERROR(VLOOKUP(Tabla1[[#This Row],[Llave]],[17]DELAY!$A:$D,4,FALSE),0)</f>
        <v>48000</v>
      </c>
      <c r="R267" s="9">
        <v>24000</v>
      </c>
      <c r="S267" s="5">
        <f t="shared" si="33"/>
        <v>0</v>
      </c>
      <c r="T267" s="76">
        <v>0</v>
      </c>
      <c r="U267" s="5">
        <f>+Tabla1[[#This Row],[Atraso a facturar]]+Tabla1[[#This Row],[Ajuste atraso]]</f>
        <v>0</v>
      </c>
      <c r="V267" s="3">
        <f>+Tabla1[[#This Row],[Total disponible]]-Tabla1[[#This Row],[Facturación atraso]]</f>
        <v>12513.867834394903</v>
      </c>
      <c r="W267" s="6">
        <f>IFERROR(IF(AND(V267&gt;R267,J267&gt;=R267),ROUNDDOWN((Tabla1[[#This Row],[Producción para venta nueva]])/R267,0)*R267,0),0)</f>
        <v>0</v>
      </c>
      <c r="X267" s="76">
        <v>0</v>
      </c>
      <c r="Y267" s="6">
        <f>IF(Tabla1[[#This Row],[Venta del mes]]&gt;0,Tabla1[[#This Row],[Venta del mes]]+Tabla1[[#This Row],[Ajuste venta nueva]],0)</f>
        <v>0</v>
      </c>
      <c r="Z267" s="6">
        <f>+Tabla1[[#This Row],[Producción para venta nueva]]-Tabla1[[#This Row],[Facturación Venta nueva]]</f>
        <v>12513.867834394903</v>
      </c>
      <c r="AA267" s="6">
        <f>IF(AND(A267=1,Tabla1[[#This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7" s="6"/>
      <c r="AC267" s="6">
        <f>IF(Tabla1[[#This Row],[Disponible stock sin venta]]&gt;0,Tabla1[[#This Row],[Disponible stock sin venta]]+Tabla1[[#This Row],[Ajuste stock sin venta]],0)</f>
        <v>0</v>
      </c>
      <c r="AD267" s="3">
        <f>IFERROR(VLOOKUP(Tabla1[[#This Row],[Llave]],'[16]TD Puerto'!$A:$D,4,FALSE),0)</f>
        <v>24000</v>
      </c>
      <c r="AE267" s="3">
        <v>24000</v>
      </c>
      <c r="AF267" s="3">
        <f>+Tabla1[[#This Row],[Atraso a facturar]]+Tabla1[[#This Row],[Venta del mes]]+Tabla1[[#This Row],[En puerto a facturar]]+Tabla1[[#This Row],[Disponible stock sin venta]]</f>
        <v>24000</v>
      </c>
      <c r="AG267" s="3">
        <f>+Tabla1[[#This Row],[En puerto a facturar]]</f>
        <v>24000</v>
      </c>
      <c r="AH267" s="3">
        <f>+Tabla1[[#This Row],[Facturación atraso]]</f>
        <v>0</v>
      </c>
      <c r="AI267" s="3">
        <f>+Tabla1[[#This Row],[Plan Irrestricto]]-Tabla1[[#This Row],[Puerto ]]-Tabla1[[#This Row],[Atraso]]</f>
        <v>0</v>
      </c>
      <c r="AJ267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267" s="3">
        <f>+Tabla1[[#This Row],[Facturación atraso]]</f>
        <v>0</v>
      </c>
      <c r="AL267" s="3">
        <f>+Tabla1[[#This Row],[Plan Ajustado]]-Tabla1[[#This Row],[ Atraso ajustado]]-Tabla1[[#This Row],[Puerto ]]</f>
        <v>0</v>
      </c>
      <c r="AM267" s="3">
        <v>0</v>
      </c>
      <c r="AN267" s="3" t="str">
        <f>IF(Tabla1[[#This Row],[Plan Ajustado]]&gt;Tabla1[[#This Row],[En puerto a facturar]],"Si","No")</f>
        <v>No</v>
      </c>
      <c r="AO26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67" s="3">
        <f>IF(Tabla1[[#This Row],[Necesidad]]&gt;=Tabla1[[#This Row],[Stock al día]],Tabla1[[#This Row],[Stock al día]],Tabla1[[#This Row],[Necesidad]])</f>
        <v>0</v>
      </c>
      <c r="AQ267" s="3">
        <f>+Tabla1[[#This Row],[Necesidad]]-Tabla1[[#This Row],[Stock Plan]]</f>
        <v>0</v>
      </c>
      <c r="AR267" s="156">
        <f>IFERROR(VLOOKUP(Tabla1[[#This Row],[Oficina]],[22]Ponderación!$B$3:$G$9,6,FALSE),"")</f>
        <v>44754</v>
      </c>
      <c r="AS26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2.89</v>
      </c>
      <c r="AT267" s="83">
        <f>IFERROR(VLOOKUP(Tabla1[[#This Row],[Llave]],[17]DELAY!$H:$W,16,FALSE),0)</f>
        <v>2.8</v>
      </c>
      <c r="AU26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2.8</v>
      </c>
      <c r="AV267" s="5">
        <f>+Tabla1[[#This Row],[Plan Ajustado]]*Tabla1[[#This Row],[Precio ponderado]]</f>
        <v>67200</v>
      </c>
      <c r="AW267" s="30">
        <f>IFERROR(VLOOKUP(Tabla1[[#This Row],[Llave]],'[13]Ultimos precios facturados'!$A:$G,7,FALSE),0)</f>
        <v>2.5999999999999996</v>
      </c>
      <c r="AX267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7.6923076923076997E-2</v>
      </c>
      <c r="AY267" s="30"/>
      <c r="AZ267" s="30">
        <f>IF(Tabla1[[#This Row],[Ajuste precio IC]]="",Tabla1[[#This Row],[Precio ponderado]],Tabla1[[#This Row],[Precio ponderado]])</f>
        <v>2.8</v>
      </c>
      <c r="BA267" s="82"/>
      <c r="BB267" s="82" t="str">
        <f>IF(AND(Tabla1[[#This Row],[Atraso a facturar]]&gt;0,Tabla1[[#This Row],[Precio Atraso]]=0),"Revisar","OK")</f>
        <v>OK</v>
      </c>
      <c r="BC267" s="82" t="str">
        <f>IF(AND(Tabla1[[#This Row],[Venta del mes]]&gt;0,Tabla1[[#This Row],[Precio venta nueva]]=0),"Revisar","OK")</f>
        <v>OK</v>
      </c>
      <c r="BD267" s="20">
        <f>IFERROR(VLOOKUP(Tabla1[[#This Row],[Llave]],'[5]Consolidación planes'!$A:$M,9,FALSE),0)</f>
        <v>0</v>
      </c>
      <c r="BE267" s="20">
        <f>IFERROR(VLOOKUP(Tabla1[[#This Row],[Llave]],'[5]Consolidación planes'!$A:$M,10,FALSE),0)</f>
        <v>0</v>
      </c>
      <c r="BF267" s="20">
        <f>IFERROR(VLOOKUP(Tabla1[[#This Row],[Llave]],'[5]Consolidación planes'!$A:$M,11,FALSE),0)</f>
        <v>0</v>
      </c>
      <c r="BG267" s="20">
        <f>IFERROR(VLOOKUP(Tabla1[[#This Row],[Llave]],'[5]Consolidación planes'!$A:$M,12,FALSE),0)</f>
        <v>0</v>
      </c>
      <c r="BH267" s="20">
        <f>IFERROR(VLOOKUP(Tabla1[[#This Row],[Llave]],'[5]Consolidación planes'!$A:$M,13,FALSE),0)</f>
        <v>0</v>
      </c>
      <c r="BI267" s="20">
        <f>IFERROR(VLOOKUP(Tabla1[[#This Row],[Llave]],'[13]Base ultimos planes'!$A:$M,13,FALSE),0)</f>
        <v>0</v>
      </c>
      <c r="BJ267" s="80">
        <f>IFERROR(VLOOKUP(Tabla1[[#This Row],[Llave]],'[13]Base ultimos planes'!$O:$AA,8,FALSE),0)</f>
        <v>0</v>
      </c>
      <c r="BK267" s="20">
        <f>IFERROR(VLOOKUP(Tabla1[[#This Row],[Llave]],'[13]Base ultimos planes'!$O:$AA,9,FALSE),0)</f>
        <v>0</v>
      </c>
      <c r="BL267" s="20">
        <f>IFERROR(VLOOKUP(Tabla1[[#This Row],[Llave]],'[13]Base ultimos planes'!$O:$AA,10,FALSE),0)</f>
        <v>0</v>
      </c>
      <c r="BM267" s="20">
        <f>IFERROR(VLOOKUP(Tabla1[[#This Row],[Llave]],'[13]Base ultimos planes'!$O:$AA,11,FALSE),0)</f>
        <v>0</v>
      </c>
      <c r="BN267" s="20">
        <f>IFERROR(VLOOKUP(Tabla1[[#This Row],[Llave]],'[13]Base ultimos planes'!$O:$AA,12,FALSE),0)</f>
        <v>0</v>
      </c>
      <c r="BO267" s="20">
        <f>IFERROR(VLOOKUP(Tabla1[[#This Row],[Llave]],'[13]Base ultimos planes'!$O:$AA,13,FALSE),0)</f>
        <v>0</v>
      </c>
      <c r="BP267" s="20"/>
      <c r="BQ267" s="20">
        <f>+Tabla1[[#This Row],[ RV  Venta mes n+1]]*(1-Tabla1[[#This Row],[% Uti. producción]])</f>
        <v>13027.334477166431</v>
      </c>
      <c r="BR267" s="100"/>
    </row>
    <row r="268" spans="1:70" ht="16" x14ac:dyDescent="0.2">
      <c r="A268">
        <v>1</v>
      </c>
      <c r="B268" t="str">
        <f>Tabla1[[#This Row],[Oficina]]&amp;Tabla1[[#This Row],[Material]]</f>
        <v>Agrosuper Asia1023397</v>
      </c>
      <c r="C268" t="s">
        <v>6</v>
      </c>
      <c r="D268" t="s">
        <v>173</v>
      </c>
      <c r="E268">
        <v>1023397</v>
      </c>
      <c r="F268" t="s">
        <v>44</v>
      </c>
      <c r="G268" t="s">
        <v>11</v>
      </c>
      <c r="H268" t="s">
        <v>41</v>
      </c>
      <c r="I268" s="15">
        <f>IFERROR(VLOOKUP(Tabla1[[#This Row],[Llave]],'[7]RV Producción'!$C:$G,5,FALSE),0)</f>
        <v>0</v>
      </c>
      <c r="J268" s="3">
        <f>IFERROR(IF(Tabla1[[#This Row],[Oficina]]=$I$7,VLOOKUP(Tabla1[[#This Row],[Llave]],'[7]Shangai (Tomas)'!$A:$F,6,FALSE),VLOOKUP(Tabla1[[#This Row],[Llave]],'[7]RV plan de ventas'!$A:$E,5,FALSE)),0)</f>
        <v>0</v>
      </c>
      <c r="K268" s="17">
        <f>IFERROR(VLOOKUP(Tabla1[[#This Row],[Oficina]],[15]Ponderación!$B$2:$E$9,4,FALSE),0)</f>
        <v>0.45719439678473212</v>
      </c>
      <c r="L268" s="7">
        <f>+Tabla1[[#This Row],[ RV Producción mes n+1]]*Tabla1[[#This Row],[% Uti. producción]]</f>
        <v>0</v>
      </c>
      <c r="M268" s="7">
        <f>IFERROR(VLOOKUP(Tabla1[[#This Row],[Material]],'[17]TD Stock'!$E:$I,5,FALSE),0)</f>
        <v>39779.025999999998</v>
      </c>
      <c r="N268" s="7">
        <f>IFERROR(VLOOKUP(Tabla1[[#This Row],[Material]],[16]Produccion!$M:$N,2,FALSE),0)</f>
        <v>0</v>
      </c>
      <c r="O268" s="7">
        <f>IFERROR(VLOOKUP(Tabla1[[#This Row],[Llave]],'[16]TD Conf-AP'!$I:$M,4,FALSE),0)</f>
        <v>0</v>
      </c>
      <c r="P268" s="14">
        <f>SUM(Tabla1[[#This Row],[Producción disponible]],Tabla1[[#This Row],[Stock al día]],(Tabla1[[#This Row],[Por producir mes N]]*0.9))-Tabla1[[#This Row],[Producción por despachar mes N]]</f>
        <v>39779.025999999998</v>
      </c>
      <c r="Q268" s="7">
        <f>IFERROR(VLOOKUP(Tabla1[[#This Row],[Llave]],[17]DELAY!$A:$D,4,FALSE),0)</f>
        <v>96000</v>
      </c>
      <c r="R268" s="9">
        <v>24000</v>
      </c>
      <c r="S268" s="5">
        <f t="shared" si="33"/>
        <v>24000</v>
      </c>
      <c r="T268" s="76">
        <v>0</v>
      </c>
      <c r="U268" s="5">
        <f>+Tabla1[[#This Row],[Atraso a facturar]]+Tabla1[[#This Row],[Ajuste atraso]]</f>
        <v>24000</v>
      </c>
      <c r="V268" s="3">
        <f>+Tabla1[[#This Row],[Total disponible]]-Tabla1[[#This Row],[Facturación atraso]]</f>
        <v>15779.025999999998</v>
      </c>
      <c r="W268" s="6">
        <f>IFERROR(IF(AND(V268&gt;R268,J268&gt;=R268),ROUNDDOWN((Tabla1[[#This Row],[Producción para venta nueva]])/R268,0)*R268,0),0)</f>
        <v>0</v>
      </c>
      <c r="X268" s="76">
        <v>0</v>
      </c>
      <c r="Y268" s="6">
        <f>IF(Tabla1[[#This Row],[Venta del mes]]&gt;0,Tabla1[[#This Row],[Venta del mes]]+Tabla1[[#This Row],[Ajuste venta nueva]],0)</f>
        <v>0</v>
      </c>
      <c r="Z268" s="6">
        <f>+Tabla1[[#This Row],[Producción para venta nueva]]-Tabla1[[#This Row],[Facturación Venta nueva]]</f>
        <v>15779.025999999998</v>
      </c>
      <c r="AA268" s="6">
        <f>IF(AND(A268=1,Tabla1[[#This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8" s="6"/>
      <c r="AC268" s="6">
        <f>IF(Tabla1[[#This Row],[Disponible stock sin venta]]&gt;0,Tabla1[[#This Row],[Disponible stock sin venta]]+Tabla1[[#This Row],[Ajuste stock sin venta]],0)</f>
        <v>0</v>
      </c>
      <c r="AD268" s="3">
        <f>IFERROR(VLOOKUP(Tabla1[[#This Row],[Llave]],'[16]TD Puerto'!$A:$D,4,FALSE),0)</f>
        <v>0</v>
      </c>
      <c r="AE268" s="3">
        <v>24000</v>
      </c>
      <c r="AF268" s="3">
        <f>+Tabla1[[#This Row],[Atraso a facturar]]+Tabla1[[#This Row],[Venta del mes]]+Tabla1[[#This Row],[En puerto a facturar]]+Tabla1[[#This Row],[Disponible stock sin venta]]</f>
        <v>24000</v>
      </c>
      <c r="AG268" s="3">
        <f>+Tabla1[[#This Row],[En puerto a facturar]]</f>
        <v>0</v>
      </c>
      <c r="AH268" s="3">
        <f>+Tabla1[[#This Row],[Facturación atraso]]</f>
        <v>24000</v>
      </c>
      <c r="AI268" s="3">
        <f>+Tabla1[[#This Row],[Plan Irrestricto]]-Tabla1[[#This Row],[Puerto ]]-Tabla1[[#This Row],[Atraso]]</f>
        <v>0</v>
      </c>
      <c r="AJ268" s="3">
        <f>IF(Tabla1[[#This Row],[Plan Irrestricto]]&gt;0,SUM(Tabla1[[#This Row],[Facturación atraso]],Tabla1[[#This Row],[Facturación Venta nueva]],Tabla1[[#This Row],[Facturación stock]],Tabla1[[#This Row],[En puerto a facturar]]),0)</f>
        <v>24000</v>
      </c>
      <c r="AK268" s="3">
        <f>+Tabla1[[#This Row],[Facturación atraso]]</f>
        <v>24000</v>
      </c>
      <c r="AL268" s="3">
        <f>+Tabla1[[#This Row],[Plan Ajustado]]-Tabla1[[#This Row],[ Atraso ajustado]]-Tabla1[[#This Row],[Puerto ]]</f>
        <v>0</v>
      </c>
      <c r="AM268" s="3">
        <v>0</v>
      </c>
      <c r="AN268" s="3" t="str">
        <f>IF(Tabla1[[#This Row],[Plan Ajustado]]&gt;Tabla1[[#This Row],[En puerto a facturar]],"Si","No")</f>
        <v>Si</v>
      </c>
      <c r="AO268" s="3">
        <f>IF(AND(Tabla1[[#This Row],[Plan Ajustado]]&gt;0,Tabla1[[#This Row],[Plan Ajustado]]&gt;Tabla1[[#This Row],[En puerto a facturar]]),(Tabla1[[#This Row],[Plan Ajustado]]-Tabla1[[#This Row],[En puerto a facturar]]),0)</f>
        <v>24000</v>
      </c>
      <c r="AP268" s="3">
        <f>IF(Tabla1[[#This Row],[Necesidad]]&gt;=Tabla1[[#This Row],[Stock al día]],Tabla1[[#This Row],[Stock al día]],Tabla1[[#This Row],[Necesidad]])</f>
        <v>24000</v>
      </c>
      <c r="AQ268" s="3">
        <f>+Tabla1[[#This Row],[Necesidad]]-Tabla1[[#This Row],[Stock Plan]]</f>
        <v>0</v>
      </c>
      <c r="AR268" s="156">
        <f>IFERROR(VLOOKUP(Tabla1[[#This Row],[Oficina]],[22]Ponderación!$B$3:$G$9,6,FALSE),"")</f>
        <v>44754</v>
      </c>
      <c r="AS26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68" s="83">
        <f>IFERROR(VLOOKUP(Tabla1[[#This Row],[Llave]],[17]DELAY!$H:$W,16,FALSE),0)</f>
        <v>1.1532326041666674</v>
      </c>
      <c r="AU26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1.1532326041666674</v>
      </c>
      <c r="AV268" s="5">
        <f>+Tabla1[[#This Row],[Plan Ajustado]]*Tabla1[[#This Row],[Precio ponderado]]</f>
        <v>27677.582500000019</v>
      </c>
      <c r="AW268" s="30">
        <f>IFERROR(VLOOKUP(Tabla1[[#This Row],[Llave]],'[13]Ultimos precios facturados'!$A:$G,7,FALSE),0)</f>
        <v>0.98973912625172378</v>
      </c>
      <c r="AX26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0.1651884558046276</v>
      </c>
      <c r="AY268" s="30"/>
      <c r="AZ268" s="30">
        <f>IF(Tabla1[[#This Row],[Ajuste precio IC]]="",Tabla1[[#This Row],[Precio ponderado]],Tabla1[[#This Row],[Precio ponderado]])</f>
        <v>1.1532326041666674</v>
      </c>
      <c r="BA268" s="82"/>
      <c r="BB268" s="82" t="str">
        <f>IF(AND(Tabla1[[#This Row],[Atraso a facturar]]&gt;0,Tabla1[[#This Row],[Precio Atraso]]=0),"Revisar","OK")</f>
        <v>OK</v>
      </c>
      <c r="BC268" s="82" t="str">
        <f>IF(AND(Tabla1[[#This Row],[Venta del mes]]&gt;0,Tabla1[[#This Row],[Precio venta nueva]]=0),"Revisar","OK")</f>
        <v>OK</v>
      </c>
      <c r="BD268" s="20">
        <f>IFERROR(VLOOKUP(Tabla1[[#This Row],[Llave]],'[5]Consolidación planes'!$A:$M,9,FALSE),0)</f>
        <v>0</v>
      </c>
      <c r="BE268" s="20">
        <f>IFERROR(VLOOKUP(Tabla1[[#This Row],[Llave]],'[5]Consolidación planes'!$A:$M,10,FALSE),0)</f>
        <v>0</v>
      </c>
      <c r="BF268" s="20">
        <f>IFERROR(VLOOKUP(Tabla1[[#This Row],[Llave]],'[5]Consolidación planes'!$A:$M,11,FALSE),0)</f>
        <v>0</v>
      </c>
      <c r="BG268" s="20">
        <f>IFERROR(VLOOKUP(Tabla1[[#This Row],[Llave]],'[5]Consolidación planes'!$A:$M,12,FALSE),0)</f>
        <v>0</v>
      </c>
      <c r="BH268" s="20">
        <f>IFERROR(VLOOKUP(Tabla1[[#This Row],[Llave]],'[5]Consolidación planes'!$A:$M,13,FALSE),0)</f>
        <v>0</v>
      </c>
      <c r="BI268" s="20">
        <f>IFERROR(VLOOKUP(Tabla1[[#This Row],[Llave]],'[13]Base ultimos planes'!$A:$M,13,FALSE),0)</f>
        <v>48000</v>
      </c>
      <c r="BJ268" s="80">
        <f>IFERROR(VLOOKUP(Tabla1[[#This Row],[Llave]],'[13]Base ultimos planes'!$O:$AA,8,FALSE),0)</f>
        <v>0</v>
      </c>
      <c r="BK268" s="20">
        <f>IFERROR(VLOOKUP(Tabla1[[#This Row],[Llave]],'[13]Base ultimos planes'!$O:$AA,9,FALSE),0)</f>
        <v>0</v>
      </c>
      <c r="BL268" s="20">
        <f>IFERROR(VLOOKUP(Tabla1[[#This Row],[Llave]],'[13]Base ultimos planes'!$O:$AA,10,FALSE),0)</f>
        <v>0</v>
      </c>
      <c r="BM268" s="20">
        <f>IFERROR(VLOOKUP(Tabla1[[#This Row],[Llave]],'[13]Base ultimos planes'!$O:$AA,11,FALSE),0)</f>
        <v>0</v>
      </c>
      <c r="BN268" s="20">
        <f>IFERROR(VLOOKUP(Tabla1[[#This Row],[Llave]],'[13]Base ultimos planes'!$O:$AA,12,FALSE),0)</f>
        <v>0</v>
      </c>
      <c r="BO268" s="20">
        <f>IFERROR(VLOOKUP(Tabla1[[#This Row],[Llave]],'[13]Base ultimos planes'!$O:$AA,13,FALSE),0)</f>
        <v>51325</v>
      </c>
      <c r="BP268" s="20"/>
      <c r="BQ268" s="20">
        <f>+Tabla1[[#This Row],[ RV  Venta mes n+1]]*(1-Tabla1[[#This Row],[% Uti. producción]])</f>
        <v>0</v>
      </c>
      <c r="BR268" s="100"/>
    </row>
    <row r="269" spans="1:70" ht="16" hidden="1" x14ac:dyDescent="0.2">
      <c r="A269">
        <v>1</v>
      </c>
      <c r="B269" t="str">
        <f>Tabla1[[#This Row],[Oficina]]&amp;Tabla1[[#This Row],[Material]]</f>
        <v>Agro Sudamerica1100407</v>
      </c>
      <c r="C269" t="s">
        <v>587</v>
      </c>
      <c r="D269" t="s">
        <v>17</v>
      </c>
      <c r="E269">
        <v>1100407</v>
      </c>
      <c r="F269" t="s">
        <v>588</v>
      </c>
      <c r="G269" t="s">
        <v>593</v>
      </c>
      <c r="H269" t="s">
        <v>594</v>
      </c>
      <c r="I269" s="15">
        <f>IFERROR(VLOOKUP(Tabla1[[#This Row],[Llave]],'[7]RV Producción'!$C:$G,5,FALSE),0)</f>
        <v>0</v>
      </c>
      <c r="J269" s="3">
        <f>IFERROR(IF(Tabla1[[#This Row],[Oficina]]=$I$7,VLOOKUP(Tabla1[[#This Row],[Llave]],'[7]Shangai (Tomas)'!$A:$F,6,FALSE),VLOOKUP(Tabla1[[#This Row],[Llave]],'[7]RV plan de ventas'!$A:$E,5,FALSE)),0)</f>
        <v>0</v>
      </c>
      <c r="K269" s="17">
        <f>IFERROR(VLOOKUP(Tabla1[[#This Row],[Oficina]],[15]Ponderación!$B$2:$E$9,4,FALSE),0)</f>
        <v>0.45719439678473212</v>
      </c>
      <c r="L269" s="7">
        <f>+Tabla1[[#This Row],[ RV Producción mes n+1]]*Tabla1[[#This Row],[% Uti. producción]]</f>
        <v>0</v>
      </c>
      <c r="M269" s="7">
        <f>IFERROR(VLOOKUP(Tabla1[[#This Row],[Material]],'[17]TD Stock'!$E:$I,5,FALSE),0)</f>
        <v>2796</v>
      </c>
      <c r="N269" s="7">
        <f>IFERROR(VLOOKUP(Tabla1[[#This Row],[Material]],[16]Produccion!$M:$N,2,FALSE),0)</f>
        <v>0</v>
      </c>
      <c r="O269" s="7">
        <f>IFERROR(VLOOKUP(Tabla1[[#This Row],[Llave]],'[16]TD Conf-AP'!$I:$M,4,FALSE),0)</f>
        <v>0</v>
      </c>
      <c r="P269" s="37">
        <f>SUM(Tabla1[[#This Row],[Producción disponible]],Tabla1[[#This Row],[Stock al día]],(Tabla1[[#This Row],[Por producir mes N]]*0.9))-Tabla1[[#This Row],[Producción por despachar mes N]]</f>
        <v>2796</v>
      </c>
      <c r="Q269" s="7">
        <f>IFERROR(VLOOKUP(Tabla1[[#This Row],[Llave]],[17]DELAY!$A:$D,4,FALSE),0)</f>
        <v>12000</v>
      </c>
      <c r="R269" s="9">
        <v>12000</v>
      </c>
      <c r="S269" s="5">
        <f t="shared" si="33"/>
        <v>0</v>
      </c>
      <c r="T269" s="76">
        <v>0</v>
      </c>
      <c r="U269" s="5">
        <f>+Tabla1[[#This Row],[Atraso a facturar]]+Tabla1[[#This Row],[Ajuste atraso]]</f>
        <v>0</v>
      </c>
      <c r="V269" s="3">
        <f>+Tabla1[[#This Row],[Total disponible]]-Tabla1[[#This Row],[Facturación atraso]]</f>
        <v>2796</v>
      </c>
      <c r="W269" s="6">
        <f>IFERROR(IF(AND(V269&gt;R269,J269&gt;=R269),ROUNDDOWN((Tabla1[[#This Row],[Producción para venta nueva]])/R269,0)*R269,0),0)</f>
        <v>0</v>
      </c>
      <c r="X269" s="76">
        <v>0</v>
      </c>
      <c r="Y269" s="6">
        <f>IF(Tabla1[[#This Row],[Venta del mes]]&gt;0,Tabla1[[#This Row],[Venta del mes]]+Tabla1[[#This Row],[Ajuste venta nueva]],0)</f>
        <v>0</v>
      </c>
      <c r="Z269" s="6">
        <f>+Tabla1[[#This Row],[Producción para venta nueva]]-Tabla1[[#This Row],[Facturación Venta nueva]]</f>
        <v>2796</v>
      </c>
      <c r="AA269" s="6">
        <f>IF(AND(A269=1,Tabla1[[#This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69" s="6"/>
      <c r="AC269" s="6">
        <f>IF(Tabla1[[#This Row],[Disponible stock sin venta]]&gt;0,Tabla1[[#This Row],[Disponible stock sin venta]]+Tabla1[[#This Row],[Ajuste stock sin venta]],0)</f>
        <v>0</v>
      </c>
      <c r="AD269" s="3">
        <f>IFERROR(VLOOKUP(Tabla1[[#This Row],[Llave]],'[16]TD Puerto'!$A:$D,4,FALSE),0)</f>
        <v>0</v>
      </c>
      <c r="AE269" s="3">
        <v>0</v>
      </c>
      <c r="AF269" s="3">
        <f>+Tabla1[[#This Row],[Atraso a facturar]]+Tabla1[[#This Row],[Venta del mes]]+Tabla1[[#This Row],[En puerto a facturar]]+Tabla1[[#This Row],[Disponible stock sin venta]]</f>
        <v>0</v>
      </c>
      <c r="AG269" s="3">
        <f>+Tabla1[[#This Row],[En puerto a facturar]]</f>
        <v>0</v>
      </c>
      <c r="AH269" s="3">
        <f>+Tabla1[[#This Row],[Facturación atraso]]</f>
        <v>0</v>
      </c>
      <c r="AI269" s="3">
        <f>+Tabla1[[#This Row],[Plan Irrestricto]]-Tabla1[[#This Row],[Puerto ]]-Tabla1[[#This Row],[Atraso]]</f>
        <v>0</v>
      </c>
      <c r="AJ26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69" s="3">
        <f>+Tabla1[[#This Row],[Facturación atraso]]</f>
        <v>0</v>
      </c>
      <c r="AL269" s="3">
        <f>+Tabla1[[#This Row],[Plan Ajustado]]-Tabla1[[#This Row],[ Atraso ajustado]]-Tabla1[[#This Row],[Puerto ]]</f>
        <v>0</v>
      </c>
      <c r="AM269" s="3">
        <v>0</v>
      </c>
      <c r="AN269" s="3" t="str">
        <f>IF(Tabla1[[#This Row],[Plan Ajustado]]&gt;Tabla1[[#This Row],[En puerto a facturar]],"Si","No")</f>
        <v>No</v>
      </c>
      <c r="AO26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69" s="3">
        <f>IF(Tabla1[[#This Row],[Necesidad]]&gt;=Tabla1[[#This Row],[Stock al día]],Tabla1[[#This Row],[Stock al día]],Tabla1[[#This Row],[Necesidad]])</f>
        <v>0</v>
      </c>
      <c r="AQ269" s="3">
        <f>+Tabla1[[#This Row],[Necesidad]]-Tabla1[[#This Row],[Stock Plan]]</f>
        <v>0</v>
      </c>
      <c r="AR269" s="156">
        <f>IFERROR(VLOOKUP(Tabla1[[#This Row],[Oficina]],[22]Ponderación!$B$3:$G$9,6,FALSE),"")</f>
        <v>44757</v>
      </c>
      <c r="AS26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69" s="83">
        <f>IFERROR(VLOOKUP(Tabla1[[#This Row],[Llave]],[17]DELAY!$H:$W,16,FALSE),0)</f>
        <v>3.9</v>
      </c>
      <c r="AU26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69" s="5">
        <f>+Tabla1[[#This Row],[Plan Ajustado]]*Tabla1[[#This Row],[Precio ponderado]]</f>
        <v>0</v>
      </c>
      <c r="AW269" s="30">
        <f>IFERROR(VLOOKUP(Tabla1[[#This Row],[Llave]],'[13]Ultimos precios facturados'!$A:$G,7,FALSE),0)</f>
        <v>3.5806491192982453</v>
      </c>
      <c r="AX26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69" s="30"/>
      <c r="AZ269" s="30">
        <f>IF(Tabla1[[#This Row],[Ajuste precio IC]]="",Tabla1[[#This Row],[Precio ponderado]],Tabla1[[#This Row],[Precio ponderado]])</f>
        <v>0</v>
      </c>
      <c r="BA269" s="82"/>
      <c r="BB269" s="82" t="str">
        <f>IF(AND(Tabla1[[#This Row],[Atraso a facturar]]&gt;0,Tabla1[[#This Row],[Precio Atraso]]=0),"Revisar","OK")</f>
        <v>OK</v>
      </c>
      <c r="BC269" s="82" t="str">
        <f>IF(AND(Tabla1[[#This Row],[Venta del mes]]&gt;0,Tabla1[[#This Row],[Precio venta nueva]]=0),"Revisar","OK")</f>
        <v>OK</v>
      </c>
      <c r="BD269" s="20">
        <f>IFERROR(VLOOKUP(Tabla1[[#This Row],[Llave]],'[5]Consolidación planes'!$A:$M,9,FALSE),0)</f>
        <v>0</v>
      </c>
      <c r="BE269" s="20">
        <f>IFERROR(VLOOKUP(Tabla1[[#This Row],[Llave]],'[5]Consolidación planes'!$A:$M,10,FALSE),0)</f>
        <v>0</v>
      </c>
      <c r="BF269" s="20">
        <f>IFERROR(VLOOKUP(Tabla1[[#This Row],[Llave]],'[5]Consolidación planes'!$A:$M,11,FALSE),0)</f>
        <v>9000</v>
      </c>
      <c r="BG269" s="20">
        <f>IFERROR(VLOOKUP(Tabla1[[#This Row],[Llave]],'[5]Consolidación planes'!$A:$M,12,FALSE),0)</f>
        <v>12000</v>
      </c>
      <c r="BH269" s="20">
        <f>IFERROR(VLOOKUP(Tabla1[[#This Row],[Llave]],'[5]Consolidación planes'!$A:$M,13,FALSE),0)</f>
        <v>0</v>
      </c>
      <c r="BI269" s="20">
        <f>IFERROR(VLOOKUP(Tabla1[[#This Row],[Llave]],'[13]Base ultimos planes'!$A:$M,13,FALSE),0)</f>
        <v>0</v>
      </c>
      <c r="BJ269" s="80">
        <f>IFERROR(VLOOKUP(Tabla1[[#This Row],[Llave]],'[13]Base ultimos planes'!$O:$AA,8,FALSE),0)</f>
        <v>34512.5</v>
      </c>
      <c r="BK269" s="20">
        <f>IFERROR(VLOOKUP(Tabla1[[#This Row],[Llave]],'[13]Base ultimos planes'!$O:$AA,9,FALSE),0)</f>
        <v>0</v>
      </c>
      <c r="BL269" s="20">
        <f>IFERROR(VLOOKUP(Tabla1[[#This Row],[Llave]],'[13]Base ultimos planes'!$O:$AA,10,FALSE),0)</f>
        <v>26100</v>
      </c>
      <c r="BM269" s="20">
        <f>IFERROR(VLOOKUP(Tabla1[[#This Row],[Llave]],'[13]Base ultimos planes'!$O:$AA,11,FALSE),0)</f>
        <v>0</v>
      </c>
      <c r="BN269" s="20">
        <f>IFERROR(VLOOKUP(Tabla1[[#This Row],[Llave]],'[13]Base ultimos planes'!$O:$AA,12,FALSE),0)</f>
        <v>0</v>
      </c>
      <c r="BO269" s="20">
        <f>IFERROR(VLOOKUP(Tabla1[[#This Row],[Llave]],'[13]Base ultimos planes'!$O:$AA,13,FALSE),0)</f>
        <v>0</v>
      </c>
      <c r="BP269" s="35"/>
      <c r="BQ269" s="20">
        <f>+Tabla1[[#This Row],[ RV  Venta mes n+1]]*(1-Tabla1[[#This Row],[% Uti. producción]])</f>
        <v>0</v>
      </c>
      <c r="BR269" s="100"/>
    </row>
    <row r="270" spans="1:70" ht="16" x14ac:dyDescent="0.2">
      <c r="A270">
        <v>1</v>
      </c>
      <c r="B270" t="str">
        <f>Tabla1[[#This Row],[Oficina]]&amp;Tabla1[[#This Row],[Material]]</f>
        <v>Agro Sudamerica1100408</v>
      </c>
      <c r="C270" t="s">
        <v>587</v>
      </c>
      <c r="D270" t="s">
        <v>17</v>
      </c>
      <c r="E270">
        <v>1100408</v>
      </c>
      <c r="F270" t="s">
        <v>589</v>
      </c>
      <c r="G270" t="s">
        <v>593</v>
      </c>
      <c r="H270" t="s">
        <v>594</v>
      </c>
      <c r="I270" s="15">
        <f>IFERROR(VLOOKUP(Tabla1[[#This Row],[Llave]],'[7]RV Producción'!$C:$G,5,FALSE),0)</f>
        <v>0</v>
      </c>
      <c r="J270" s="3">
        <f>IFERROR(IF(Tabla1[[#This Row],[Oficina]]=$I$7,VLOOKUP(Tabla1[[#This Row],[Llave]],'[7]Shangai (Tomas)'!$A:$F,6,FALSE),VLOOKUP(Tabla1[[#This Row],[Llave]],'[7]RV plan de ventas'!$A:$E,5,FALSE)),0)</f>
        <v>0</v>
      </c>
      <c r="K270" s="17">
        <f>IFERROR(VLOOKUP(Tabla1[[#This Row],[Oficina]],[15]Ponderación!$B$2:$E$9,4,FALSE),0)</f>
        <v>0.45719439678473212</v>
      </c>
      <c r="L270" s="7">
        <f>+Tabla1[[#This Row],[ RV Producción mes n+1]]*Tabla1[[#This Row],[% Uti. producción]]</f>
        <v>0</v>
      </c>
      <c r="M270" s="7">
        <f>IFERROR(VLOOKUP(Tabla1[[#This Row],[Material]],'[17]TD Stock'!$E:$I,5,FALSE),0)</f>
        <v>23810</v>
      </c>
      <c r="N270" s="7">
        <f>IFERROR(VLOOKUP(Tabla1[[#This Row],[Material]],[16]Produccion!$M:$N,2,FALSE),0)</f>
        <v>0</v>
      </c>
      <c r="O270" s="7">
        <f>IFERROR(VLOOKUP(Tabla1[[#This Row],[Llave]],'[16]TD Conf-AP'!$I:$M,4,FALSE),0)</f>
        <v>0</v>
      </c>
      <c r="P270" s="37">
        <f>SUM(Tabla1[[#This Row],[Producción disponible]],Tabla1[[#This Row],[Stock al día]],(Tabla1[[#This Row],[Por producir mes N]]*0.9))-Tabla1[[#This Row],[Producción por despachar mes N]]</f>
        <v>23810</v>
      </c>
      <c r="Q270" s="7">
        <f>IFERROR(VLOOKUP(Tabla1[[#This Row],[Llave]],[17]DELAY!$A:$D,4,FALSE),0)</f>
        <v>6000</v>
      </c>
      <c r="R270" s="9">
        <v>6000</v>
      </c>
      <c r="S270" s="5">
        <f t="shared" si="33"/>
        <v>6000</v>
      </c>
      <c r="T270" s="76">
        <v>0</v>
      </c>
      <c r="U270" s="5">
        <f>+Tabla1[[#This Row],[Atraso a facturar]]+Tabla1[[#This Row],[Ajuste atraso]]</f>
        <v>6000</v>
      </c>
      <c r="V270" s="3">
        <f>+Tabla1[[#This Row],[Total disponible]]-Tabla1[[#This Row],[Facturación atraso]]</f>
        <v>17810</v>
      </c>
      <c r="W270" s="6">
        <f>IFERROR(IF(AND(V270&gt;R270,J270&gt;=R270),ROUNDDOWN((Tabla1[[#This Row],[Producción para venta nueva]])/R270,0)*R270,0),0)</f>
        <v>0</v>
      </c>
      <c r="X270" s="76">
        <v>0</v>
      </c>
      <c r="Y270" s="6">
        <f>IF(Tabla1[[#This Row],[Venta del mes]]&gt;0,Tabla1[[#This Row],[Venta del mes]]+Tabla1[[#This Row],[Ajuste venta nueva]],0)</f>
        <v>0</v>
      </c>
      <c r="Z270" s="6">
        <f>+Tabla1[[#This Row],[Producción para venta nueva]]-Tabla1[[#This Row],[Facturación Venta nueva]]</f>
        <v>17810</v>
      </c>
      <c r="AA270" s="6">
        <f>IF(AND(A270=1,Tabla1[[#This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12000</v>
      </c>
      <c r="AB270" s="6"/>
      <c r="AC270" s="6">
        <f>IF(Tabla1[[#This Row],[Disponible stock sin venta]]&gt;0,Tabla1[[#This Row],[Disponible stock sin venta]]+Tabla1[[#This Row],[Ajuste stock sin venta]],0)</f>
        <v>12000</v>
      </c>
      <c r="AD270" s="3">
        <f>IFERROR(VLOOKUP(Tabla1[[#This Row],[Llave]],'[16]TD Puerto'!$A:$D,4,FALSE),0)</f>
        <v>0</v>
      </c>
      <c r="AE270" s="3">
        <v>18000</v>
      </c>
      <c r="AF270" s="3">
        <f>+Tabla1[[#This Row],[Atraso a facturar]]+Tabla1[[#This Row],[Venta del mes]]+Tabla1[[#This Row],[En puerto a facturar]]+Tabla1[[#This Row],[Disponible stock sin venta]]</f>
        <v>18000</v>
      </c>
      <c r="AG270" s="3">
        <f>+Tabla1[[#This Row],[En puerto a facturar]]</f>
        <v>0</v>
      </c>
      <c r="AH270" s="3">
        <f>+Tabla1[[#This Row],[Facturación atraso]]</f>
        <v>6000</v>
      </c>
      <c r="AI270" s="3">
        <f>+Tabla1[[#This Row],[Plan Irrestricto]]-Tabla1[[#This Row],[Puerto ]]-Tabla1[[#This Row],[Atraso]]</f>
        <v>12000</v>
      </c>
      <c r="AJ270" s="3">
        <f>IF(Tabla1[[#This Row],[Plan Irrestricto]]&gt;0,SUM(Tabla1[[#This Row],[Facturación atraso]],Tabla1[[#This Row],[Facturación Venta nueva]],Tabla1[[#This Row],[Facturación stock]],Tabla1[[#This Row],[En puerto a facturar]]),0)</f>
        <v>18000</v>
      </c>
      <c r="AK270" s="3">
        <f>+Tabla1[[#This Row],[Facturación atraso]]</f>
        <v>6000</v>
      </c>
      <c r="AL270" s="3">
        <f>+Tabla1[[#This Row],[Plan Ajustado]]-Tabla1[[#This Row],[ Atraso ajustado]]-Tabla1[[#This Row],[Puerto ]]</f>
        <v>12000</v>
      </c>
      <c r="AM270" s="3">
        <v>0</v>
      </c>
      <c r="AN270" s="3" t="str">
        <f>IF(Tabla1[[#This Row],[Plan Ajustado]]&gt;Tabla1[[#This Row],[En puerto a facturar]],"Si","No")</f>
        <v>Si</v>
      </c>
      <c r="AO270" s="3">
        <f>IF(AND(Tabla1[[#This Row],[Plan Ajustado]]&gt;0,Tabla1[[#This Row],[Plan Ajustado]]&gt;Tabla1[[#This Row],[En puerto a facturar]]),(Tabla1[[#This Row],[Plan Ajustado]]-Tabla1[[#This Row],[En puerto a facturar]]),0)</f>
        <v>18000</v>
      </c>
      <c r="AP270" s="3">
        <f>IF(Tabla1[[#This Row],[Necesidad]]&gt;=Tabla1[[#This Row],[Stock al día]],Tabla1[[#This Row],[Stock al día]],Tabla1[[#This Row],[Necesidad]])</f>
        <v>18000</v>
      </c>
      <c r="AQ270" s="3">
        <f>+Tabla1[[#This Row],[Necesidad]]-Tabla1[[#This Row],[Stock Plan]]</f>
        <v>0</v>
      </c>
      <c r="AR270" s="156">
        <f>IFERROR(VLOOKUP(Tabla1[[#This Row],[Oficina]],[22]Ponderación!$B$3:$G$9,6,FALSE),"")</f>
        <v>44757</v>
      </c>
      <c r="AS27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70" s="83">
        <f>IFERROR(VLOOKUP(Tabla1[[#This Row],[Llave]],[17]DELAY!$H:$W,16,FALSE),0)</f>
        <v>3.9</v>
      </c>
      <c r="AU27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3.9</v>
      </c>
      <c r="AV270" s="5">
        <f>+Tabla1[[#This Row],[Plan Ajustado]]*Tabla1[[#This Row],[Precio ponderado]]</f>
        <v>70200</v>
      </c>
      <c r="AW270" s="30">
        <f>IFERROR(VLOOKUP(Tabla1[[#This Row],[Llave]],'[13]Ultimos precios facturados'!$A:$G,7,FALSE),0)</f>
        <v>3.4833666740740741</v>
      </c>
      <c r="AX27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0.11960650856162669</v>
      </c>
      <c r="AY270" s="30"/>
      <c r="AZ270" s="30">
        <f>IF(Tabla1[[#This Row],[Ajuste precio IC]]="",Tabla1[[#This Row],[Precio ponderado]],Tabla1[[#This Row],[Precio ponderado]])</f>
        <v>3.9</v>
      </c>
      <c r="BA270" s="82"/>
      <c r="BB270" s="82" t="str">
        <f>IF(AND(Tabla1[[#This Row],[Atraso a facturar]]&gt;0,Tabla1[[#This Row],[Precio Atraso]]=0),"Revisar","OK")</f>
        <v>OK</v>
      </c>
      <c r="BC270" s="82" t="str">
        <f>IF(AND(Tabla1[[#This Row],[Venta del mes]]&gt;0,Tabla1[[#This Row],[Precio venta nueva]]=0),"Revisar","OK")</f>
        <v>OK</v>
      </c>
      <c r="BD270" s="20">
        <f>IFERROR(VLOOKUP(Tabla1[[#This Row],[Llave]],'[5]Consolidación planes'!$A:$M,9,FALSE),0)</f>
        <v>0</v>
      </c>
      <c r="BE270" s="20">
        <f>IFERROR(VLOOKUP(Tabla1[[#This Row],[Llave]],'[5]Consolidación planes'!$A:$M,10,FALSE),0)</f>
        <v>0</v>
      </c>
      <c r="BF270" s="20">
        <f>IFERROR(VLOOKUP(Tabla1[[#This Row],[Llave]],'[5]Consolidación planes'!$A:$M,11,FALSE),0)</f>
        <v>9000</v>
      </c>
      <c r="BG270" s="20">
        <f>IFERROR(VLOOKUP(Tabla1[[#This Row],[Llave]],'[5]Consolidación planes'!$A:$M,12,FALSE),0)</f>
        <v>6000</v>
      </c>
      <c r="BH270" s="20">
        <f>IFERROR(VLOOKUP(Tabla1[[#This Row],[Llave]],'[5]Consolidación planes'!$A:$M,13,FALSE),0)</f>
        <v>0</v>
      </c>
      <c r="BI270" s="20">
        <f>IFERROR(VLOOKUP(Tabla1[[#This Row],[Llave]],'[13]Base ultimos planes'!$A:$M,13,FALSE),0)</f>
        <v>6000</v>
      </c>
      <c r="BJ270" s="80">
        <f>IFERROR(VLOOKUP(Tabla1[[#This Row],[Llave]],'[13]Base ultimos planes'!$O:$AA,8,FALSE),0)</f>
        <v>21962.5</v>
      </c>
      <c r="BK270" s="20">
        <f>IFERROR(VLOOKUP(Tabla1[[#This Row],[Llave]],'[13]Base ultimos planes'!$O:$AA,9,FALSE),0)</f>
        <v>0</v>
      </c>
      <c r="BL270" s="20">
        <f>IFERROR(VLOOKUP(Tabla1[[#This Row],[Llave]],'[13]Base ultimos planes'!$O:$AA,10,FALSE),0)</f>
        <v>26100</v>
      </c>
      <c r="BM270" s="20">
        <f>IFERROR(VLOOKUP(Tabla1[[#This Row],[Llave]],'[13]Base ultimos planes'!$O:$AA,11,FALSE),0)</f>
        <v>0</v>
      </c>
      <c r="BN270" s="20">
        <f>IFERROR(VLOOKUP(Tabla1[[#This Row],[Llave]],'[13]Base ultimos planes'!$O:$AA,12,FALSE),0)</f>
        <v>0</v>
      </c>
      <c r="BO270" s="20">
        <f>IFERROR(VLOOKUP(Tabla1[[#This Row],[Llave]],'[13]Base ultimos planes'!$O:$AA,13,FALSE),0)</f>
        <v>23400</v>
      </c>
      <c r="BP270" s="43" t="s">
        <v>628</v>
      </c>
      <c r="BQ270" s="20">
        <f>+Tabla1[[#This Row],[ RV  Venta mes n+1]]*(1-Tabla1[[#This Row],[% Uti. producción]])</f>
        <v>0</v>
      </c>
      <c r="BR270" s="100"/>
    </row>
    <row r="271" spans="1:70" ht="16" hidden="1" x14ac:dyDescent="0.2">
      <c r="A271">
        <v>2</v>
      </c>
      <c r="B271" t="str">
        <f>Tabla1[[#This Row],[Oficina]]&amp;Tabla1[[#This Row],[Material]]</f>
        <v>Agrosuper Shanghai1030419</v>
      </c>
      <c r="C271" t="s">
        <v>204</v>
      </c>
      <c r="D271" t="s">
        <v>140</v>
      </c>
      <c r="E271">
        <v>1030419</v>
      </c>
      <c r="F271" t="s">
        <v>590</v>
      </c>
      <c r="G271" t="s">
        <v>209</v>
      </c>
      <c r="H271" t="s">
        <v>595</v>
      </c>
      <c r="I271" s="15">
        <f>IFERROR(VLOOKUP(Tabla1[[#This Row],[Llave]],'[7]RV Producción'!$C:$G,5,FALSE),0)</f>
        <v>0</v>
      </c>
      <c r="J271" s="3">
        <f>IFERROR(IF(Tabla1[[#This Row],[Oficina]]=$I$7,VLOOKUP(Tabla1[[#This Row],[Llave]],'[7]Shangai (Tomas)'!$A:$F,6,FALSE),VLOOKUP(Tabla1[[#This Row],[Llave]],'[7]RV plan de ventas'!$A:$E,5,FALSE)),0)</f>
        <v>0</v>
      </c>
      <c r="K271" s="17">
        <f>IFERROR(VLOOKUP(Tabla1[[#This Row],[Oficina]],[15]Ponderación!$B$2:$E$9,4,FALSE),0)</f>
        <v>0.45719439678473212</v>
      </c>
      <c r="L271" s="7">
        <f>+Tabla1[[#This Row],[ RV Producción mes n+1]]*Tabla1[[#This Row],[% Uti. producción]]</f>
        <v>0</v>
      </c>
      <c r="M271" s="7">
        <f>IFERROR(VLOOKUP(Tabla1[[#This Row],[Material]],'[17]TD Stock'!$E:$I,5,FALSE),0)</f>
        <v>1245</v>
      </c>
      <c r="N271" s="7">
        <f>IFERROR(VLOOKUP(Tabla1[[#This Row],[Material]],[16]Produccion!$M:$N,2,FALSE),0)</f>
        <v>4000</v>
      </c>
      <c r="O271" s="7">
        <f>IFERROR(VLOOKUP(Tabla1[[#This Row],[Llave]],'[16]TD Conf-AP'!$I:$M,4,FALSE),0)</f>
        <v>0</v>
      </c>
      <c r="P271" s="37">
        <f>SUM(Tabla1[[#This Row],[Producción disponible]],Tabla1[[#This Row],[Stock al día]],(Tabla1[[#This Row],[Por producir mes N]]*0.9))-Tabla1[[#This Row],[Producción por despachar mes N]]</f>
        <v>4845</v>
      </c>
      <c r="Q271" s="7">
        <f>IFERROR(VLOOKUP(Tabla1[[#This Row],[Llave]],[17]DELAY!$A:$D,4,FALSE),0)</f>
        <v>48000</v>
      </c>
      <c r="R271" s="9">
        <v>24000</v>
      </c>
      <c r="S271" s="5">
        <f t="shared" si="33"/>
        <v>0</v>
      </c>
      <c r="T271" s="76">
        <v>0</v>
      </c>
      <c r="U271" s="5">
        <f>+Tabla1[[#This Row],[Atraso a facturar]]+Tabla1[[#This Row],[Ajuste atraso]]</f>
        <v>0</v>
      </c>
      <c r="V271" s="3">
        <f>+Tabla1[[#This Row],[Total disponible]]-Tabla1[[#This Row],[Facturación atraso]]</f>
        <v>4845</v>
      </c>
      <c r="W271" s="6">
        <f>IFERROR(IF(AND(V271&gt;R271,J271&gt;=R271),ROUNDDOWN((Tabla1[[#This Row],[Producción para venta nueva]])/R271,0)*R271,0),0)</f>
        <v>0</v>
      </c>
      <c r="X271" s="76">
        <v>0</v>
      </c>
      <c r="Y271" s="6">
        <f>IF(Tabla1[[#This Row],[Venta del mes]]&gt;0,Tabla1[[#This Row],[Venta del mes]]+Tabla1[[#This Row],[Ajuste venta nueva]],0)</f>
        <v>0</v>
      </c>
      <c r="Z271" s="6">
        <f>+Tabla1[[#This Row],[Producción para venta nueva]]-Tabla1[[#This Row],[Facturación Venta nueva]]</f>
        <v>4845</v>
      </c>
      <c r="AA271" s="6">
        <f>IF(AND(A271=1,Tabla1[[#This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1" s="6"/>
      <c r="AC271" s="6">
        <f>IF(Tabla1[[#This Row],[Disponible stock sin venta]]&gt;0,Tabla1[[#This Row],[Disponible stock sin venta]]+Tabla1[[#This Row],[Ajuste stock sin venta]],0)</f>
        <v>0</v>
      </c>
      <c r="AD271" s="3">
        <f>IFERROR(VLOOKUP(Tabla1[[#This Row],[Llave]],'[16]TD Puerto'!$A:$D,4,FALSE),0)</f>
        <v>0</v>
      </c>
      <c r="AE271" s="3">
        <v>0</v>
      </c>
      <c r="AF271" s="3">
        <f>+Tabla1[[#This Row],[Atraso a facturar]]+Tabla1[[#This Row],[Venta del mes]]+Tabla1[[#This Row],[En puerto a facturar]]+Tabla1[[#This Row],[Disponible stock sin venta]]</f>
        <v>0</v>
      </c>
      <c r="AG271" s="3">
        <f>+Tabla1[[#This Row],[En puerto a facturar]]</f>
        <v>0</v>
      </c>
      <c r="AH271" s="3">
        <f>+Tabla1[[#This Row],[Facturación atraso]]</f>
        <v>0</v>
      </c>
      <c r="AI271" s="3">
        <f>+Tabla1[[#This Row],[Plan Irrestricto]]-Tabla1[[#This Row],[Puerto ]]-Tabla1[[#This Row],[Atraso]]</f>
        <v>0</v>
      </c>
      <c r="AJ27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71" s="3">
        <f>+Tabla1[[#This Row],[Facturación atraso]]</f>
        <v>0</v>
      </c>
      <c r="AL271" s="3">
        <f>+Tabla1[[#This Row],[Plan Ajustado]]-Tabla1[[#This Row],[ Atraso ajustado]]-Tabla1[[#This Row],[Puerto ]]</f>
        <v>0</v>
      </c>
      <c r="AM271" s="3">
        <v>0</v>
      </c>
      <c r="AN271" s="3" t="str">
        <f>IF(Tabla1[[#This Row],[Plan Ajustado]]&gt;Tabla1[[#This Row],[En puerto a facturar]],"Si","No")</f>
        <v>No</v>
      </c>
      <c r="AO27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71" s="3">
        <f>IF(Tabla1[[#This Row],[Necesidad]]&gt;=Tabla1[[#This Row],[Stock al día]],Tabla1[[#This Row],[Stock al día]],Tabla1[[#This Row],[Necesidad]])</f>
        <v>0</v>
      </c>
      <c r="AQ271" s="3">
        <f>+Tabla1[[#This Row],[Necesidad]]-Tabla1[[#This Row],[Stock Plan]]</f>
        <v>0</v>
      </c>
      <c r="AR271" s="156">
        <f>IFERROR(VLOOKUP(Tabla1[[#This Row],[Oficina]],[22]Ponderación!$B$3:$G$9,6,FALSE),"")</f>
        <v>44754</v>
      </c>
      <c r="AS27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1.7749999999999999</v>
      </c>
      <c r="AT271" s="83">
        <f>IFERROR(VLOOKUP(Tabla1[[#This Row],[Llave]],[17]DELAY!$H:$W,16,FALSE),0)</f>
        <v>1.9</v>
      </c>
      <c r="AU27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71" s="5">
        <f>+Tabla1[[#This Row],[Plan Ajustado]]*Tabla1[[#This Row],[Precio ponderado]]</f>
        <v>0</v>
      </c>
      <c r="AW271" s="30">
        <f>IFERROR(VLOOKUP(Tabla1[[#This Row],[Llave]],'[13]Ultimos precios facturados'!$A:$G,7,FALSE),0)</f>
        <v>1.7749999999999999</v>
      </c>
      <c r="AX27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71" s="30"/>
      <c r="AZ271" s="30">
        <f>IF(Tabla1[[#This Row],[Ajuste precio IC]]="",Tabla1[[#This Row],[Precio ponderado]],Tabla1[[#This Row],[Precio ponderado]])</f>
        <v>0</v>
      </c>
      <c r="BA271" s="82"/>
      <c r="BB271" s="82" t="str">
        <f>IF(AND(Tabla1[[#This Row],[Atraso a facturar]]&gt;0,Tabla1[[#This Row],[Precio Atraso]]=0),"Revisar","OK")</f>
        <v>OK</v>
      </c>
      <c r="BC271" s="82" t="str">
        <f>IF(AND(Tabla1[[#This Row],[Venta del mes]]&gt;0,Tabla1[[#This Row],[Precio venta nueva]]=0),"Revisar","OK")</f>
        <v>OK</v>
      </c>
      <c r="BD271" s="20">
        <f>IFERROR(VLOOKUP(Tabla1[[#This Row],[Llave]],'[5]Consolidación planes'!$A:$M,9,FALSE),0)</f>
        <v>0</v>
      </c>
      <c r="BE271" s="20">
        <f>IFERROR(VLOOKUP(Tabla1[[#This Row],[Llave]],'[5]Consolidación planes'!$A:$M,10,FALSE),0)</f>
        <v>0</v>
      </c>
      <c r="BF271" s="20">
        <f>IFERROR(VLOOKUP(Tabla1[[#This Row],[Llave]],'[5]Consolidación planes'!$A:$M,11,FALSE),0)</f>
        <v>0</v>
      </c>
      <c r="BG271" s="20">
        <f>IFERROR(VLOOKUP(Tabla1[[#This Row],[Llave]],'[5]Consolidación planes'!$A:$M,12,FALSE),0)</f>
        <v>0</v>
      </c>
      <c r="BH271" s="20">
        <f>IFERROR(VLOOKUP(Tabla1[[#This Row],[Llave]],'[5]Consolidación planes'!$A:$M,13,FALSE),0)</f>
        <v>0</v>
      </c>
      <c r="BI271" s="20">
        <f>IFERROR(VLOOKUP(Tabla1[[#This Row],[Llave]],'[13]Base ultimos planes'!$A:$M,13,FALSE),0)</f>
        <v>0</v>
      </c>
      <c r="BJ271" s="80">
        <f>IFERROR(VLOOKUP(Tabla1[[#This Row],[Llave]],'[13]Base ultimos planes'!$O:$AA,8,FALSE),0)</f>
        <v>0</v>
      </c>
      <c r="BK271" s="20">
        <f>IFERROR(VLOOKUP(Tabla1[[#This Row],[Llave]],'[13]Base ultimos planes'!$O:$AA,9,FALSE),0)</f>
        <v>0</v>
      </c>
      <c r="BL271" s="20">
        <f>IFERROR(VLOOKUP(Tabla1[[#This Row],[Llave]],'[13]Base ultimos planes'!$O:$AA,10,FALSE),0)</f>
        <v>0</v>
      </c>
      <c r="BM271" s="20">
        <f>IFERROR(VLOOKUP(Tabla1[[#This Row],[Llave]],'[13]Base ultimos planes'!$O:$AA,11,FALSE),0)</f>
        <v>0</v>
      </c>
      <c r="BN271" s="20">
        <f>IFERROR(VLOOKUP(Tabla1[[#This Row],[Llave]],'[13]Base ultimos planes'!$O:$AA,12,FALSE),0)</f>
        <v>0</v>
      </c>
      <c r="BO271" s="20">
        <f>IFERROR(VLOOKUP(Tabla1[[#This Row],[Llave]],'[13]Base ultimos planes'!$O:$AA,13,FALSE),0)</f>
        <v>0</v>
      </c>
      <c r="BP271" s="35"/>
      <c r="BQ271" s="20">
        <f>+Tabla1[[#This Row],[ RV  Venta mes n+1]]*(1-Tabla1[[#This Row],[% Uti. producción]])</f>
        <v>0</v>
      </c>
      <c r="BR271" s="100"/>
    </row>
    <row r="272" spans="1:70" ht="16" hidden="1" x14ac:dyDescent="0.2">
      <c r="A272">
        <v>2</v>
      </c>
      <c r="B272" t="str">
        <f>Tabla1[[#This Row],[Oficina]]&amp;Tabla1[[#This Row],[Material]]</f>
        <v>Agrosuper Shanghai1012424</v>
      </c>
      <c r="C272" t="s">
        <v>227</v>
      </c>
      <c r="D272" t="s">
        <v>140</v>
      </c>
      <c r="E272">
        <v>1012424</v>
      </c>
      <c r="F272" t="s">
        <v>591</v>
      </c>
      <c r="G272" t="s">
        <v>205</v>
      </c>
      <c r="H272" t="s">
        <v>264</v>
      </c>
      <c r="I272" s="15">
        <f>IFERROR(VLOOKUP(Tabla1[[#This Row],[Llave]],'[7]RV Producción'!$C:$G,5,FALSE),0)</f>
        <v>0</v>
      </c>
      <c r="J272" s="3">
        <f>IFERROR(IF(Tabla1[[#This Row],[Oficina]]=$I$7,VLOOKUP(Tabla1[[#This Row],[Llave]],'[7]Shangai (Tomas)'!$A:$F,6,FALSE),VLOOKUP(Tabla1[[#This Row],[Llave]],'[7]RV plan de ventas'!$A:$E,5,FALSE)),0)</f>
        <v>0</v>
      </c>
      <c r="K272" s="17">
        <f>IFERROR(VLOOKUP(Tabla1[[#This Row],[Oficina]],[15]Ponderación!$B$2:$E$9,4,FALSE),0)</f>
        <v>0.45719439678473212</v>
      </c>
      <c r="L272" s="7">
        <f>+Tabla1[[#This Row],[ RV Producción mes n+1]]*Tabla1[[#This Row],[% Uti. producción]]</f>
        <v>0</v>
      </c>
      <c r="M272" s="7">
        <f>IFERROR(VLOOKUP(Tabla1[[#This Row],[Material]],'[17]TD Stock'!$E:$I,5,FALSE),0)</f>
        <v>424</v>
      </c>
      <c r="N272" s="7">
        <f>IFERROR(VLOOKUP(Tabla1[[#This Row],[Material]],[16]Produccion!$M:$N,2,FALSE),0)</f>
        <v>0</v>
      </c>
      <c r="O272" s="7">
        <f>IFERROR(VLOOKUP(Tabla1[[#This Row],[Llave]],'[16]TD Conf-AP'!$I:$M,4,FALSE),0)</f>
        <v>0</v>
      </c>
      <c r="P272" s="37">
        <f>SUM(Tabla1[[#This Row],[Producción disponible]],Tabla1[[#This Row],[Stock al día]],(Tabla1[[#This Row],[Por producir mes N]]*0.9))-Tabla1[[#This Row],[Producción por despachar mes N]]</f>
        <v>424</v>
      </c>
      <c r="Q272" s="7">
        <f>IFERROR(VLOOKUP(Tabla1[[#This Row],[Llave]],[17]DELAY!$A:$D,4,FALSE),0)</f>
        <v>0</v>
      </c>
      <c r="R272" s="9">
        <v>24000</v>
      </c>
      <c r="S272" s="5">
        <f t="shared" si="33"/>
        <v>0</v>
      </c>
      <c r="T272" s="76">
        <v>0</v>
      </c>
      <c r="U272" s="5">
        <f>+Tabla1[[#This Row],[Atraso a facturar]]+Tabla1[[#This Row],[Ajuste atraso]]</f>
        <v>0</v>
      </c>
      <c r="V272" s="3">
        <f>+Tabla1[[#This Row],[Total disponible]]-Tabla1[[#This Row],[Facturación atraso]]</f>
        <v>424</v>
      </c>
      <c r="W272" s="6">
        <f>IFERROR(IF(AND(V272&gt;R272,J272&gt;=R272),ROUNDDOWN((Tabla1[[#This Row],[Producción para venta nueva]])/R272,0)*R272,0),0)</f>
        <v>0</v>
      </c>
      <c r="X272" s="76">
        <v>0</v>
      </c>
      <c r="Y272" s="6">
        <f>IF(Tabla1[[#This Row],[Venta del mes]]&gt;0,Tabla1[[#This Row],[Venta del mes]]+Tabla1[[#This Row],[Ajuste venta nueva]],0)</f>
        <v>0</v>
      </c>
      <c r="Z272" s="6">
        <f>+Tabla1[[#This Row],[Producción para venta nueva]]-Tabla1[[#This Row],[Facturación Venta nueva]]</f>
        <v>424</v>
      </c>
      <c r="AA272" s="6">
        <f>IF(AND(A272=1,Tabla1[[#This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2" s="6"/>
      <c r="AC272" s="6">
        <f>IF(Tabla1[[#This Row],[Disponible stock sin venta]]&gt;0,Tabla1[[#This Row],[Disponible stock sin venta]]+Tabla1[[#This Row],[Ajuste stock sin venta]],0)</f>
        <v>0</v>
      </c>
      <c r="AD272" s="3">
        <f>IFERROR(VLOOKUP(Tabla1[[#This Row],[Llave]],'[16]TD Puerto'!$A:$D,4,FALSE),0)</f>
        <v>0</v>
      </c>
      <c r="AE272" s="3">
        <v>0</v>
      </c>
      <c r="AF272" s="3">
        <f>+Tabla1[[#This Row],[Atraso a facturar]]+Tabla1[[#This Row],[Venta del mes]]+Tabla1[[#This Row],[En puerto a facturar]]+Tabla1[[#This Row],[Disponible stock sin venta]]</f>
        <v>0</v>
      </c>
      <c r="AG272" s="3">
        <f>+Tabla1[[#This Row],[En puerto a facturar]]</f>
        <v>0</v>
      </c>
      <c r="AH272" s="3">
        <f>+Tabla1[[#This Row],[Facturación atraso]]</f>
        <v>0</v>
      </c>
      <c r="AI272" s="3">
        <f>+Tabla1[[#This Row],[Plan Irrestricto]]-Tabla1[[#This Row],[Puerto ]]-Tabla1[[#This Row],[Atraso]]</f>
        <v>0</v>
      </c>
      <c r="AJ27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72" s="3">
        <f>+Tabla1[[#This Row],[Facturación atraso]]</f>
        <v>0</v>
      </c>
      <c r="AL272" s="3">
        <f>+Tabla1[[#This Row],[Plan Ajustado]]-Tabla1[[#This Row],[ Atraso ajustado]]-Tabla1[[#This Row],[Puerto ]]</f>
        <v>0</v>
      </c>
      <c r="AM272" s="3">
        <v>0</v>
      </c>
      <c r="AN272" s="3" t="str">
        <f>IF(Tabla1[[#This Row],[Plan Ajustado]]&gt;Tabla1[[#This Row],[En puerto a facturar]],"Si","No")</f>
        <v>No</v>
      </c>
      <c r="AO27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72" s="3">
        <f>IF(Tabla1[[#This Row],[Necesidad]]&gt;=Tabla1[[#This Row],[Stock al día]],Tabla1[[#This Row],[Stock al día]],Tabla1[[#This Row],[Necesidad]])</f>
        <v>0</v>
      </c>
      <c r="AQ272" s="3">
        <f>+Tabla1[[#This Row],[Necesidad]]-Tabla1[[#This Row],[Stock Plan]]</f>
        <v>0</v>
      </c>
      <c r="AR272" s="156">
        <f>IFERROR(VLOOKUP(Tabla1[[#This Row],[Oficina]],[22]Ponderación!$B$3:$G$9,6,FALSE),"")</f>
        <v>44754</v>
      </c>
      <c r="AS27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72" s="83">
        <f>IFERROR(VLOOKUP(Tabla1[[#This Row],[Llave]],[17]DELAY!$H:$W,16,FALSE),0)</f>
        <v>0</v>
      </c>
      <c r="AU27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72" s="5">
        <f>+Tabla1[[#This Row],[Plan Ajustado]]*Tabla1[[#This Row],[Precio ponderado]]</f>
        <v>0</v>
      </c>
      <c r="AW272" s="30">
        <f>IFERROR(VLOOKUP(Tabla1[[#This Row],[Llave]],'[13]Ultimos precios facturados'!$A:$G,7,FALSE),0)</f>
        <v>0</v>
      </c>
      <c r="AX27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72" s="30"/>
      <c r="AZ272" s="30">
        <f>IF(Tabla1[[#This Row],[Ajuste precio IC]]="",Tabla1[[#This Row],[Precio ponderado]],Tabla1[[#This Row],[Precio ponderado]])</f>
        <v>0</v>
      </c>
      <c r="BA272" s="82"/>
      <c r="BB272" s="82" t="str">
        <f>IF(AND(Tabla1[[#This Row],[Atraso a facturar]]&gt;0,Tabla1[[#This Row],[Precio Atraso]]=0),"Revisar","OK")</f>
        <v>OK</v>
      </c>
      <c r="BC272" s="82" t="str">
        <f>IF(AND(Tabla1[[#This Row],[Venta del mes]]&gt;0,Tabla1[[#This Row],[Precio venta nueva]]=0),"Revisar","OK")</f>
        <v>OK</v>
      </c>
      <c r="BD272" s="20">
        <f>IFERROR(VLOOKUP(Tabla1[[#This Row],[Llave]],'[5]Consolidación planes'!$A:$M,9,FALSE),0)</f>
        <v>0</v>
      </c>
      <c r="BE272" s="20">
        <f>IFERROR(VLOOKUP(Tabla1[[#This Row],[Llave]],'[5]Consolidación planes'!$A:$M,10,FALSE),0)</f>
        <v>0</v>
      </c>
      <c r="BF272" s="20">
        <f>IFERROR(VLOOKUP(Tabla1[[#This Row],[Llave]],'[5]Consolidación planes'!$A:$M,11,FALSE),0)</f>
        <v>0</v>
      </c>
      <c r="BG272" s="20">
        <f>IFERROR(VLOOKUP(Tabla1[[#This Row],[Llave]],'[5]Consolidación planes'!$A:$M,12,FALSE),0)</f>
        <v>0</v>
      </c>
      <c r="BH272" s="20">
        <f>IFERROR(VLOOKUP(Tabla1[[#This Row],[Llave]],'[5]Consolidación planes'!$A:$M,13,FALSE),0)</f>
        <v>0</v>
      </c>
      <c r="BI272" s="20">
        <f>IFERROR(VLOOKUP(Tabla1[[#This Row],[Llave]],'[13]Base ultimos planes'!$A:$M,13,FALSE),0)</f>
        <v>0</v>
      </c>
      <c r="BJ272" s="80">
        <f>IFERROR(VLOOKUP(Tabla1[[#This Row],[Llave]],'[13]Base ultimos planes'!$O:$AA,8,FALSE),0)</f>
        <v>0</v>
      </c>
      <c r="BK272" s="20">
        <f>IFERROR(VLOOKUP(Tabla1[[#This Row],[Llave]],'[13]Base ultimos planes'!$O:$AA,9,FALSE),0)</f>
        <v>0</v>
      </c>
      <c r="BL272" s="20">
        <f>IFERROR(VLOOKUP(Tabla1[[#This Row],[Llave]],'[13]Base ultimos planes'!$O:$AA,10,FALSE),0)</f>
        <v>0</v>
      </c>
      <c r="BM272" s="20">
        <f>IFERROR(VLOOKUP(Tabla1[[#This Row],[Llave]],'[13]Base ultimos planes'!$O:$AA,11,FALSE),0)</f>
        <v>0</v>
      </c>
      <c r="BN272" s="20">
        <f>IFERROR(VLOOKUP(Tabla1[[#This Row],[Llave]],'[13]Base ultimos planes'!$O:$AA,12,FALSE),0)</f>
        <v>0</v>
      </c>
      <c r="BO272" s="20">
        <f>IFERROR(VLOOKUP(Tabla1[[#This Row],[Llave]],'[13]Base ultimos planes'!$O:$AA,13,FALSE),0)</f>
        <v>0</v>
      </c>
      <c r="BP272" s="35"/>
      <c r="BQ272" s="20">
        <f>+Tabla1[[#This Row],[ RV  Venta mes n+1]]*(1-Tabla1[[#This Row],[% Uti. producción]])</f>
        <v>0</v>
      </c>
      <c r="BR272" s="100"/>
    </row>
    <row r="273" spans="1:70" ht="16" hidden="1" x14ac:dyDescent="0.2">
      <c r="A273">
        <v>2</v>
      </c>
      <c r="B273" t="str">
        <f>Tabla1[[#This Row],[Oficina]]&amp;Tabla1[[#This Row],[Material]]</f>
        <v>Agrosuper Shanghai1012454</v>
      </c>
      <c r="C273" t="s">
        <v>227</v>
      </c>
      <c r="D273" t="s">
        <v>140</v>
      </c>
      <c r="E273">
        <v>1012454</v>
      </c>
      <c r="F273" t="s">
        <v>592</v>
      </c>
      <c r="G273" t="s">
        <v>205</v>
      </c>
      <c r="H273" t="s">
        <v>264</v>
      </c>
      <c r="I273" s="15">
        <f>IFERROR(VLOOKUP(Tabla1[[#This Row],[Llave]],'[7]RV Producción'!$C:$G,5,FALSE),0)</f>
        <v>0</v>
      </c>
      <c r="J273" s="3">
        <f>IFERROR(IF(Tabla1[[#This Row],[Oficina]]=$I$7,VLOOKUP(Tabla1[[#This Row],[Llave]],'[7]Shangai (Tomas)'!$A:$F,6,FALSE),VLOOKUP(Tabla1[[#This Row],[Llave]],'[7]RV plan de ventas'!$A:$E,5,FALSE)),0)</f>
        <v>0</v>
      </c>
      <c r="K273" s="17">
        <f>IFERROR(VLOOKUP(Tabla1[[#This Row],[Oficina]],[15]Ponderación!$B$2:$E$9,4,FALSE),0)</f>
        <v>0.45719439678473212</v>
      </c>
      <c r="L273" s="7">
        <f>+Tabla1[[#This Row],[ RV Producción mes n+1]]*Tabla1[[#This Row],[% Uti. producción]]</f>
        <v>0</v>
      </c>
      <c r="M273" s="7">
        <f>IFERROR(VLOOKUP(Tabla1[[#This Row],[Material]],'[17]TD Stock'!$E:$I,5,FALSE),0)</f>
        <v>0</v>
      </c>
      <c r="N273" s="7">
        <f>IFERROR(VLOOKUP(Tabla1[[#This Row],[Material]],[16]Produccion!$M:$N,2,FALSE),0)</f>
        <v>0</v>
      </c>
      <c r="O273" s="7">
        <f>IFERROR(VLOOKUP(Tabla1[[#This Row],[Llave]],'[16]TD Conf-AP'!$I:$M,4,FALSE),0)</f>
        <v>0</v>
      </c>
      <c r="P273" s="37">
        <f>SUM(Tabla1[[#This Row],[Producción disponible]],Tabla1[[#This Row],[Stock al día]],(Tabla1[[#This Row],[Por producir mes N]]*0.9))-Tabla1[[#This Row],[Producción por despachar mes N]]</f>
        <v>0</v>
      </c>
      <c r="Q273" s="7">
        <f>IFERROR(VLOOKUP(Tabla1[[#This Row],[Llave]],[17]DELAY!$A:$D,4,FALSE),0)</f>
        <v>0</v>
      </c>
      <c r="R273" s="9">
        <v>24000</v>
      </c>
      <c r="S273" s="5">
        <f t="shared" si="33"/>
        <v>0</v>
      </c>
      <c r="T273" s="76">
        <v>0</v>
      </c>
      <c r="U273" s="5">
        <f>+Tabla1[[#This Row],[Atraso a facturar]]+Tabla1[[#This Row],[Ajuste atraso]]</f>
        <v>0</v>
      </c>
      <c r="V273" s="3">
        <f>+Tabla1[[#This Row],[Total disponible]]-Tabla1[[#This Row],[Facturación atraso]]</f>
        <v>0</v>
      </c>
      <c r="W273" s="6">
        <f>IFERROR(IF(AND(V273&gt;R273,J273&gt;=R273),ROUNDDOWN((Tabla1[[#This Row],[Producción para venta nueva]])/R273,0)*R273,0),0)</f>
        <v>0</v>
      </c>
      <c r="X273" s="76">
        <v>0</v>
      </c>
      <c r="Y273" s="6">
        <f>IF(Tabla1[[#This Row],[Venta del mes]]&gt;0,Tabla1[[#This Row],[Venta del mes]]+Tabla1[[#This Row],[Ajuste venta nueva]],0)</f>
        <v>0</v>
      </c>
      <c r="Z273" s="6">
        <f>+Tabla1[[#This Row],[Producción para venta nueva]]-Tabla1[[#This Row],[Facturación Venta nueva]]</f>
        <v>0</v>
      </c>
      <c r="AA273" s="6">
        <f>IF(AND(A273=1,Tabla1[[#This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3" s="6"/>
      <c r="AC273" s="6">
        <f>IF(Tabla1[[#This Row],[Disponible stock sin venta]]&gt;0,Tabla1[[#This Row],[Disponible stock sin venta]]+Tabla1[[#This Row],[Ajuste stock sin venta]],0)</f>
        <v>0</v>
      </c>
      <c r="AD273" s="3">
        <f>IFERROR(VLOOKUP(Tabla1[[#This Row],[Llave]],'[16]TD Puerto'!$A:$D,4,FALSE),0)</f>
        <v>0</v>
      </c>
      <c r="AE273" s="3">
        <v>0</v>
      </c>
      <c r="AF273" s="3">
        <f>+Tabla1[[#This Row],[Atraso a facturar]]+Tabla1[[#This Row],[Venta del mes]]+Tabla1[[#This Row],[En puerto a facturar]]+Tabla1[[#This Row],[Disponible stock sin venta]]</f>
        <v>0</v>
      </c>
      <c r="AG273" s="3">
        <f>+Tabla1[[#This Row],[En puerto a facturar]]</f>
        <v>0</v>
      </c>
      <c r="AH273" s="3">
        <f>+Tabla1[[#This Row],[Facturación atraso]]</f>
        <v>0</v>
      </c>
      <c r="AI273" s="3">
        <f>+Tabla1[[#This Row],[Plan Irrestricto]]-Tabla1[[#This Row],[Puerto ]]-Tabla1[[#This Row],[Atraso]]</f>
        <v>0</v>
      </c>
      <c r="AJ27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73" s="3">
        <f>+Tabla1[[#This Row],[Facturación atraso]]</f>
        <v>0</v>
      </c>
      <c r="AL273" s="3">
        <f>+Tabla1[[#This Row],[Plan Ajustado]]-Tabla1[[#This Row],[ Atraso ajustado]]-Tabla1[[#This Row],[Puerto ]]</f>
        <v>0</v>
      </c>
      <c r="AM273" s="3">
        <v>0</v>
      </c>
      <c r="AN273" s="3" t="str">
        <f>IF(Tabla1[[#This Row],[Plan Ajustado]]&gt;Tabla1[[#This Row],[En puerto a facturar]],"Si","No")</f>
        <v>No</v>
      </c>
      <c r="AO27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73" s="3">
        <f>IF(Tabla1[[#This Row],[Necesidad]]&gt;=Tabla1[[#This Row],[Stock al día]],Tabla1[[#This Row],[Stock al día]],Tabla1[[#This Row],[Necesidad]])</f>
        <v>0</v>
      </c>
      <c r="AQ273" s="3">
        <f>+Tabla1[[#This Row],[Necesidad]]-Tabla1[[#This Row],[Stock Plan]]</f>
        <v>0</v>
      </c>
      <c r="AR273" s="156">
        <f>IFERROR(VLOOKUP(Tabla1[[#This Row],[Oficina]],[22]Ponderación!$B$3:$G$9,6,FALSE),"")</f>
        <v>44754</v>
      </c>
      <c r="AS27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73" s="83">
        <f>IFERROR(VLOOKUP(Tabla1[[#This Row],[Llave]],[17]DELAY!$H:$W,16,FALSE),0)</f>
        <v>0</v>
      </c>
      <c r="AU27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73" s="5">
        <f>+Tabla1[[#This Row],[Plan Ajustado]]*Tabla1[[#This Row],[Precio ponderado]]</f>
        <v>0</v>
      </c>
      <c r="AW273" s="30">
        <f>IFERROR(VLOOKUP(Tabla1[[#This Row],[Llave]],'[13]Ultimos precios facturados'!$A:$G,7,FALSE),0)</f>
        <v>0</v>
      </c>
      <c r="AX27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73" s="30"/>
      <c r="AZ273" s="30">
        <f>IF(Tabla1[[#This Row],[Ajuste precio IC]]="",Tabla1[[#This Row],[Precio ponderado]],Tabla1[[#This Row],[Precio ponderado]])</f>
        <v>0</v>
      </c>
      <c r="BA273" s="82"/>
      <c r="BB273" s="82" t="str">
        <f>IF(AND(Tabla1[[#This Row],[Atraso a facturar]]&gt;0,Tabla1[[#This Row],[Precio Atraso]]=0),"Revisar","OK")</f>
        <v>OK</v>
      </c>
      <c r="BC273" s="82" t="str">
        <f>IF(AND(Tabla1[[#This Row],[Venta del mes]]&gt;0,Tabla1[[#This Row],[Precio venta nueva]]=0),"Revisar","OK")</f>
        <v>OK</v>
      </c>
      <c r="BD273" s="20">
        <f>IFERROR(VLOOKUP(Tabla1[[#This Row],[Llave]],'[5]Consolidación planes'!$A:$M,9,FALSE),0)</f>
        <v>0</v>
      </c>
      <c r="BE273" s="20">
        <f>IFERROR(VLOOKUP(Tabla1[[#This Row],[Llave]],'[5]Consolidación planes'!$A:$M,10,FALSE),0)</f>
        <v>0</v>
      </c>
      <c r="BF273" s="20">
        <f>IFERROR(VLOOKUP(Tabla1[[#This Row],[Llave]],'[5]Consolidación planes'!$A:$M,11,FALSE),0)</f>
        <v>0</v>
      </c>
      <c r="BG273" s="20">
        <f>IFERROR(VLOOKUP(Tabla1[[#This Row],[Llave]],'[5]Consolidación planes'!$A:$M,12,FALSE),0)</f>
        <v>0</v>
      </c>
      <c r="BH273" s="20">
        <f>IFERROR(VLOOKUP(Tabla1[[#This Row],[Llave]],'[5]Consolidación planes'!$A:$M,13,FALSE),0)</f>
        <v>0</v>
      </c>
      <c r="BI273" s="20">
        <f>IFERROR(VLOOKUP(Tabla1[[#This Row],[Llave]],'[13]Base ultimos planes'!$A:$M,13,FALSE),0)</f>
        <v>0</v>
      </c>
      <c r="BJ273" s="80">
        <f>IFERROR(VLOOKUP(Tabla1[[#This Row],[Llave]],'[13]Base ultimos planes'!$O:$AA,8,FALSE),0)</f>
        <v>0</v>
      </c>
      <c r="BK273" s="20">
        <f>IFERROR(VLOOKUP(Tabla1[[#This Row],[Llave]],'[13]Base ultimos planes'!$O:$AA,9,FALSE),0)</f>
        <v>0</v>
      </c>
      <c r="BL273" s="20">
        <f>IFERROR(VLOOKUP(Tabla1[[#This Row],[Llave]],'[13]Base ultimos planes'!$O:$AA,10,FALSE),0)</f>
        <v>0</v>
      </c>
      <c r="BM273" s="20">
        <f>IFERROR(VLOOKUP(Tabla1[[#This Row],[Llave]],'[13]Base ultimos planes'!$O:$AA,11,FALSE),0)</f>
        <v>0</v>
      </c>
      <c r="BN273" s="20">
        <f>IFERROR(VLOOKUP(Tabla1[[#This Row],[Llave]],'[13]Base ultimos planes'!$O:$AA,12,FALSE),0)</f>
        <v>0</v>
      </c>
      <c r="BO273" s="20">
        <f>IFERROR(VLOOKUP(Tabla1[[#This Row],[Llave]],'[13]Base ultimos planes'!$O:$AA,13,FALSE),0)</f>
        <v>0</v>
      </c>
      <c r="BP273" s="35"/>
      <c r="BQ273" s="20">
        <f>+Tabla1[[#This Row],[ RV  Venta mes n+1]]*(1-Tabla1[[#This Row],[% Uti. producción]])</f>
        <v>0</v>
      </c>
      <c r="BR273" s="100"/>
    </row>
    <row r="274" spans="1:70" ht="16" hidden="1" x14ac:dyDescent="0.2">
      <c r="A274">
        <v>1</v>
      </c>
      <c r="B274" t="str">
        <f>Tabla1[[#This Row],[Oficina]]&amp;Tabla1[[#This Row],[Material]]</f>
        <v>Agro Sudamerica1021005</v>
      </c>
      <c r="C274" t="s">
        <v>6</v>
      </c>
      <c r="D274" t="s">
        <v>17</v>
      </c>
      <c r="E274">
        <v>1021005</v>
      </c>
      <c r="F274" t="s">
        <v>596</v>
      </c>
      <c r="G274" t="s">
        <v>53</v>
      </c>
      <c r="H274" t="s">
        <v>54</v>
      </c>
      <c r="I274" s="15">
        <f>IFERROR(VLOOKUP(Tabla1[[#This Row],[Llave]],'[7]RV Producción'!$C:$G,5,FALSE),0)</f>
        <v>0</v>
      </c>
      <c r="J274" s="3">
        <f>IFERROR(IF(Tabla1[[#This Row],[Oficina]]=$I$7,VLOOKUP(Tabla1[[#This Row],[Llave]],'[7]Shangai (Tomas)'!$A:$F,6,FALSE),VLOOKUP(Tabla1[[#This Row],[Llave]],'[7]RV plan de ventas'!$A:$E,5,FALSE)),0)</f>
        <v>0</v>
      </c>
      <c r="K274" s="17">
        <f>IFERROR(VLOOKUP(Tabla1[[#This Row],[Oficina]],[15]Ponderación!$B$2:$E$9,4,FALSE),0)</f>
        <v>0.45719439678473212</v>
      </c>
      <c r="L274" s="7">
        <f>+Tabla1[[#This Row],[ RV Producción mes n+1]]*Tabla1[[#This Row],[% Uti. producción]]</f>
        <v>0</v>
      </c>
      <c r="M274" s="7">
        <f>IFERROR(VLOOKUP(Tabla1[[#This Row],[Material]],'[17]TD Stock'!$E:$I,5,FALSE),0)</f>
        <v>0</v>
      </c>
      <c r="N274" s="7">
        <f>IFERROR(VLOOKUP(Tabla1[[#This Row],[Material]],[16]Produccion!$M:$N,2,FALSE),0)</f>
        <v>0</v>
      </c>
      <c r="O274" s="7">
        <f>IFERROR(VLOOKUP(Tabla1[[#This Row],[Llave]],'[16]TD Conf-AP'!$I:$M,4,FALSE),0)</f>
        <v>0</v>
      </c>
      <c r="P274" s="37">
        <f>SUM(Tabla1[[#This Row],[Producción disponible]],Tabla1[[#This Row],[Stock al día]],(Tabla1[[#This Row],[Por producir mes N]]*0.9))-Tabla1[[#This Row],[Producción por despachar mes N]]</f>
        <v>0</v>
      </c>
      <c r="Q274" s="7">
        <f>IFERROR(VLOOKUP(Tabla1[[#This Row],[Llave]],[17]DELAY!$A:$D,4,FALSE),0)</f>
        <v>10000</v>
      </c>
      <c r="R274" s="9">
        <v>24000</v>
      </c>
      <c r="S274" s="5">
        <f t="shared" si="33"/>
        <v>0</v>
      </c>
      <c r="T274" s="76">
        <v>0</v>
      </c>
      <c r="U274" s="5">
        <f>+Tabla1[[#This Row],[Atraso a facturar]]+Tabla1[[#This Row],[Ajuste atraso]]</f>
        <v>0</v>
      </c>
      <c r="V274" s="3">
        <f>+Tabla1[[#This Row],[Total disponible]]-Tabla1[[#This Row],[Facturación atraso]]</f>
        <v>0</v>
      </c>
      <c r="W274" s="6">
        <f>IFERROR(IF(AND(V274&gt;R274,J274&gt;=R274),ROUNDDOWN((Tabla1[[#This Row],[Producción para venta nueva]])/R274,0)*R274,0),0)</f>
        <v>0</v>
      </c>
      <c r="X274" s="76">
        <v>0</v>
      </c>
      <c r="Y274" s="6">
        <f>IF(Tabla1[[#This Row],[Venta del mes]]&gt;0,Tabla1[[#This Row],[Venta del mes]]+Tabla1[[#This Row],[Ajuste venta nueva]],0)</f>
        <v>0</v>
      </c>
      <c r="Z274" s="6">
        <f>+Tabla1[[#This Row],[Producción para venta nueva]]-Tabla1[[#This Row],[Facturación Venta nueva]]</f>
        <v>0</v>
      </c>
      <c r="AA274" s="6">
        <f>IF(AND(A274=1,Tabla1[[#This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4" s="6"/>
      <c r="AC274" s="6">
        <f>IF(Tabla1[[#This Row],[Disponible stock sin venta]]&gt;0,Tabla1[[#This Row],[Disponible stock sin venta]]+Tabla1[[#This Row],[Ajuste stock sin venta]],0)</f>
        <v>0</v>
      </c>
      <c r="AD274" s="3">
        <f>IFERROR(VLOOKUP(Tabla1[[#This Row],[Llave]],'[16]TD Puerto'!$A:$D,4,FALSE),0)</f>
        <v>0</v>
      </c>
      <c r="AE274" s="3">
        <v>0</v>
      </c>
      <c r="AF274" s="3">
        <f>+Tabla1[[#This Row],[Atraso a facturar]]+Tabla1[[#This Row],[Venta del mes]]+Tabla1[[#This Row],[En puerto a facturar]]+Tabla1[[#This Row],[Disponible stock sin venta]]</f>
        <v>0</v>
      </c>
      <c r="AG274" s="3">
        <f>+Tabla1[[#This Row],[En puerto a facturar]]</f>
        <v>0</v>
      </c>
      <c r="AH274" s="3">
        <f>+Tabla1[[#This Row],[Facturación atraso]]</f>
        <v>0</v>
      </c>
      <c r="AI274" s="3">
        <f>+Tabla1[[#This Row],[Plan Irrestricto]]-Tabla1[[#This Row],[Puerto ]]-Tabla1[[#This Row],[Atraso]]</f>
        <v>0</v>
      </c>
      <c r="AJ27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74" s="3">
        <f>+Tabla1[[#This Row],[Facturación atraso]]</f>
        <v>0</v>
      </c>
      <c r="AL274" s="3">
        <f>+Tabla1[[#This Row],[Plan Ajustado]]-Tabla1[[#This Row],[ Atraso ajustado]]-Tabla1[[#This Row],[Puerto ]]</f>
        <v>0</v>
      </c>
      <c r="AM274" s="3">
        <v>0</v>
      </c>
      <c r="AN274" s="3" t="str">
        <f>IF(Tabla1[[#This Row],[Plan Ajustado]]&gt;Tabla1[[#This Row],[En puerto a facturar]],"Si","No")</f>
        <v>No</v>
      </c>
      <c r="AO27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74" s="3">
        <f>IF(Tabla1[[#This Row],[Necesidad]]&gt;=Tabla1[[#This Row],[Stock al día]],Tabla1[[#This Row],[Stock al día]],Tabla1[[#This Row],[Necesidad]])</f>
        <v>0</v>
      </c>
      <c r="AQ274" s="3">
        <f>+Tabla1[[#This Row],[Necesidad]]-Tabla1[[#This Row],[Stock Plan]]</f>
        <v>0</v>
      </c>
      <c r="AR274" s="156">
        <f>IFERROR(VLOOKUP(Tabla1[[#This Row],[Oficina]],[22]Ponderación!$B$3:$G$9,6,FALSE),"")</f>
        <v>44757</v>
      </c>
      <c r="AS27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74" s="83">
        <f>IFERROR(VLOOKUP(Tabla1[[#This Row],[Llave]],[17]DELAY!$H:$W,16,FALSE),0)</f>
        <v>1.9</v>
      </c>
      <c r="AU27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74" s="5">
        <f>+Tabla1[[#This Row],[Plan Ajustado]]*Tabla1[[#This Row],[Precio ponderado]]</f>
        <v>0</v>
      </c>
      <c r="AW274" s="30">
        <f>IFERROR(VLOOKUP(Tabla1[[#This Row],[Llave]],'[13]Ultimos precios facturados'!$A:$G,7,FALSE),0)</f>
        <v>0</v>
      </c>
      <c r="AX27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74" s="30"/>
      <c r="AZ274" s="30">
        <f>IF(Tabla1[[#This Row],[Ajuste precio IC]]="",Tabla1[[#This Row],[Precio ponderado]],Tabla1[[#This Row],[Precio ponderado]])</f>
        <v>0</v>
      </c>
      <c r="BA274" s="82"/>
      <c r="BB274" s="82" t="str">
        <f>IF(AND(Tabla1[[#This Row],[Atraso a facturar]]&gt;0,Tabla1[[#This Row],[Precio Atraso]]=0),"Revisar","OK")</f>
        <v>OK</v>
      </c>
      <c r="BC274" s="82" t="str">
        <f>IF(AND(Tabla1[[#This Row],[Venta del mes]]&gt;0,Tabla1[[#This Row],[Precio venta nueva]]=0),"Revisar","OK")</f>
        <v>OK</v>
      </c>
      <c r="BD274" s="20">
        <f>IFERROR(VLOOKUP(Tabla1[[#This Row],[Llave]],'[5]Consolidación planes'!$A:$M,9,FALSE),0)</f>
        <v>0</v>
      </c>
      <c r="BE274" s="20">
        <f>IFERROR(VLOOKUP(Tabla1[[#This Row],[Llave]],'[5]Consolidación planes'!$A:$M,10,FALSE),0)</f>
        <v>0</v>
      </c>
      <c r="BF274" s="20">
        <f>IFERROR(VLOOKUP(Tabla1[[#This Row],[Llave]],'[5]Consolidación planes'!$A:$M,11,FALSE),0)</f>
        <v>0</v>
      </c>
      <c r="BG274" s="20">
        <f>IFERROR(VLOOKUP(Tabla1[[#This Row],[Llave]],'[5]Consolidación planes'!$A:$M,12,FALSE),0)</f>
        <v>0</v>
      </c>
      <c r="BH274" s="20">
        <f>IFERROR(VLOOKUP(Tabla1[[#This Row],[Llave]],'[5]Consolidación planes'!$A:$M,13,FALSE),0)</f>
        <v>0</v>
      </c>
      <c r="BI274" s="20">
        <f>IFERROR(VLOOKUP(Tabla1[[#This Row],[Llave]],'[13]Base ultimos planes'!$A:$M,13,FALSE),0)</f>
        <v>0</v>
      </c>
      <c r="BJ274" s="80">
        <f>IFERROR(VLOOKUP(Tabla1[[#This Row],[Llave]],'[13]Base ultimos planes'!$O:$AA,8,FALSE),0)</f>
        <v>0</v>
      </c>
      <c r="BK274" s="20">
        <f>IFERROR(VLOOKUP(Tabla1[[#This Row],[Llave]],'[13]Base ultimos planes'!$O:$AA,9,FALSE),0)</f>
        <v>0</v>
      </c>
      <c r="BL274" s="20">
        <f>IFERROR(VLOOKUP(Tabla1[[#This Row],[Llave]],'[13]Base ultimos planes'!$O:$AA,10,FALSE),0)</f>
        <v>0</v>
      </c>
      <c r="BM274" s="20">
        <f>IFERROR(VLOOKUP(Tabla1[[#This Row],[Llave]],'[13]Base ultimos planes'!$O:$AA,11,FALSE),0)</f>
        <v>0</v>
      </c>
      <c r="BN274" s="20">
        <f>IFERROR(VLOOKUP(Tabla1[[#This Row],[Llave]],'[13]Base ultimos planes'!$O:$AA,12,FALSE),0)</f>
        <v>0</v>
      </c>
      <c r="BO274" s="20">
        <f>IFERROR(VLOOKUP(Tabla1[[#This Row],[Llave]],'[13]Base ultimos planes'!$O:$AA,13,FALSE),0)</f>
        <v>0</v>
      </c>
      <c r="BP274" s="35"/>
      <c r="BQ274" s="20">
        <f>+Tabla1[[#This Row],[ RV  Venta mes n+1]]*(1-Tabla1[[#This Row],[% Uti. producción]])</f>
        <v>0</v>
      </c>
      <c r="BR274" s="100"/>
    </row>
    <row r="275" spans="1:70" ht="16" hidden="1" x14ac:dyDescent="0.2">
      <c r="A275">
        <v>1</v>
      </c>
      <c r="B275" t="str">
        <f>Tabla1[[#This Row],[Oficina]]&amp;Tabla1[[#This Row],[Material]]</f>
        <v>Agro Sudamerica1022102</v>
      </c>
      <c r="C275" t="s">
        <v>6</v>
      </c>
      <c r="D275" t="s">
        <v>17</v>
      </c>
      <c r="E275">
        <v>1022102</v>
      </c>
      <c r="F275" t="s">
        <v>597</v>
      </c>
      <c r="G275" t="s">
        <v>25</v>
      </c>
      <c r="H275" t="s">
        <v>26</v>
      </c>
      <c r="I275" s="15">
        <f>IFERROR(VLOOKUP(Tabla1[[#This Row],[Llave]],'[7]RV Producción'!$C:$G,5,FALSE),0)</f>
        <v>0</v>
      </c>
      <c r="J275" s="3">
        <f>IFERROR(IF(Tabla1[[#This Row],[Oficina]]=$I$7,VLOOKUP(Tabla1[[#This Row],[Llave]],'[7]Shangai (Tomas)'!$A:$F,6,FALSE),VLOOKUP(Tabla1[[#This Row],[Llave]],'[7]RV plan de ventas'!$A:$E,5,FALSE)),0)</f>
        <v>0</v>
      </c>
      <c r="K275" s="17">
        <f>IFERROR(VLOOKUP(Tabla1[[#This Row],[Oficina]],[15]Ponderación!$B$2:$E$9,4,FALSE),0)</f>
        <v>0.45719439678473212</v>
      </c>
      <c r="L275" s="7">
        <f>+Tabla1[[#This Row],[ RV Producción mes n+1]]*Tabla1[[#This Row],[% Uti. producción]]</f>
        <v>0</v>
      </c>
      <c r="M275" s="7">
        <f>IFERROR(VLOOKUP(Tabla1[[#This Row],[Material]],'[17]TD Stock'!$E:$I,5,FALSE),0)</f>
        <v>0</v>
      </c>
      <c r="N275" s="7">
        <f>IFERROR(VLOOKUP(Tabla1[[#This Row],[Material]],[16]Produccion!$M:$N,2,FALSE),0)</f>
        <v>0</v>
      </c>
      <c r="O275" s="7">
        <f>IFERROR(VLOOKUP(Tabla1[[#This Row],[Llave]],'[16]TD Conf-AP'!$I:$M,4,FALSE),0)</f>
        <v>0</v>
      </c>
      <c r="P275" s="37">
        <f>SUM(Tabla1[[#This Row],[Producción disponible]],Tabla1[[#This Row],[Stock al día]],(Tabla1[[#This Row],[Por producir mes N]]*0.9))-Tabla1[[#This Row],[Producción por despachar mes N]]</f>
        <v>0</v>
      </c>
      <c r="Q275" s="7">
        <f>IFERROR(VLOOKUP(Tabla1[[#This Row],[Llave]],[17]DELAY!$A:$D,4,FALSE),0)</f>
        <v>0</v>
      </c>
      <c r="R275" s="9">
        <v>0</v>
      </c>
      <c r="S275" s="5">
        <f t="shared" si="33"/>
        <v>0</v>
      </c>
      <c r="T275" s="76">
        <v>0</v>
      </c>
      <c r="U275" s="5">
        <f>+Tabla1[[#This Row],[Atraso a facturar]]+Tabla1[[#This Row],[Ajuste atraso]]</f>
        <v>0</v>
      </c>
      <c r="V275" s="3">
        <f>+Tabla1[[#This Row],[Total disponible]]-Tabla1[[#This Row],[Facturación atraso]]</f>
        <v>0</v>
      </c>
      <c r="W275" s="6">
        <f>IFERROR(IF(AND(V275&gt;R275,J275&gt;=R275),ROUNDDOWN((Tabla1[[#This Row],[Producción para venta nueva]])/R275,0)*R275,0),0)</f>
        <v>0</v>
      </c>
      <c r="X275" s="76">
        <v>0</v>
      </c>
      <c r="Y275" s="6">
        <f>IF(Tabla1[[#This Row],[Venta del mes]]&gt;0,Tabla1[[#This Row],[Venta del mes]]+Tabla1[[#This Row],[Ajuste venta nueva]],0)</f>
        <v>0</v>
      </c>
      <c r="Z275" s="6">
        <f>+Tabla1[[#This Row],[Producción para venta nueva]]-Tabla1[[#This Row],[Facturación Venta nueva]]</f>
        <v>0</v>
      </c>
      <c r="AA275" s="6">
        <f>IF(AND(A275=1,Tabla1[[#This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5" s="6"/>
      <c r="AC275" s="6">
        <f>IF(Tabla1[[#This Row],[Disponible stock sin venta]]&gt;0,Tabla1[[#This Row],[Disponible stock sin venta]]+Tabla1[[#This Row],[Ajuste stock sin venta]],0)</f>
        <v>0</v>
      </c>
      <c r="AD275" s="3">
        <f>IFERROR(VLOOKUP(Tabla1[[#This Row],[Llave]],'[16]TD Puerto'!$A:$D,4,FALSE),0)</f>
        <v>0</v>
      </c>
      <c r="AE275" s="3">
        <v>0</v>
      </c>
      <c r="AF275" s="3">
        <f>+Tabla1[[#This Row],[Atraso a facturar]]+Tabla1[[#This Row],[Venta del mes]]+Tabla1[[#This Row],[En puerto a facturar]]+Tabla1[[#This Row],[Disponible stock sin venta]]</f>
        <v>0</v>
      </c>
      <c r="AG275" s="3">
        <f>+Tabla1[[#This Row],[En puerto a facturar]]</f>
        <v>0</v>
      </c>
      <c r="AH275" s="3">
        <f>+Tabla1[[#This Row],[Facturación atraso]]</f>
        <v>0</v>
      </c>
      <c r="AI275" s="3">
        <f>+Tabla1[[#This Row],[Plan Irrestricto]]-Tabla1[[#This Row],[Puerto ]]-Tabla1[[#This Row],[Atraso]]</f>
        <v>0</v>
      </c>
      <c r="AJ27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75" s="3">
        <f>+Tabla1[[#This Row],[Facturación atraso]]</f>
        <v>0</v>
      </c>
      <c r="AL275" s="3">
        <f>+Tabla1[[#This Row],[Plan Ajustado]]-Tabla1[[#This Row],[ Atraso ajustado]]-Tabla1[[#This Row],[Puerto ]]</f>
        <v>0</v>
      </c>
      <c r="AM275" s="3">
        <v>0</v>
      </c>
      <c r="AN275" s="3" t="str">
        <f>IF(Tabla1[[#This Row],[Plan Ajustado]]&gt;Tabla1[[#This Row],[En puerto a facturar]],"Si","No")</f>
        <v>No</v>
      </c>
      <c r="AO27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75" s="3">
        <f>IF(Tabla1[[#This Row],[Necesidad]]&gt;=Tabla1[[#This Row],[Stock al día]],Tabla1[[#This Row],[Stock al día]],Tabla1[[#This Row],[Necesidad]])</f>
        <v>0</v>
      </c>
      <c r="AQ275" s="3">
        <f>+Tabla1[[#This Row],[Necesidad]]-Tabla1[[#This Row],[Stock Plan]]</f>
        <v>0</v>
      </c>
      <c r="AR275" s="156">
        <f>IFERROR(VLOOKUP(Tabla1[[#This Row],[Oficina]],[22]Ponderación!$B$3:$G$9,6,FALSE),"")</f>
        <v>44757</v>
      </c>
      <c r="AS27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75" s="83">
        <f>IFERROR(VLOOKUP(Tabla1[[#This Row],[Llave]],[17]DELAY!$H:$W,16,FALSE),0)</f>
        <v>0</v>
      </c>
      <c r="AU27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75" s="5">
        <f>+Tabla1[[#This Row],[Plan Ajustado]]*Tabla1[[#This Row],[Precio ponderado]]</f>
        <v>0</v>
      </c>
      <c r="AW275" s="30">
        <f>IFERROR(VLOOKUP(Tabla1[[#This Row],[Llave]],'[13]Ultimos precios facturados'!$A:$G,7,FALSE),0)</f>
        <v>0</v>
      </c>
      <c r="AX27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75" s="30"/>
      <c r="AZ275" s="30">
        <f>IF(Tabla1[[#This Row],[Ajuste precio IC]]="",Tabla1[[#This Row],[Precio ponderado]],Tabla1[[#This Row],[Precio ponderado]])</f>
        <v>0</v>
      </c>
      <c r="BA275" s="82"/>
      <c r="BB275" s="82" t="str">
        <f>IF(AND(Tabla1[[#This Row],[Atraso a facturar]]&gt;0,Tabla1[[#This Row],[Precio Atraso]]=0),"Revisar","OK")</f>
        <v>OK</v>
      </c>
      <c r="BC275" s="82" t="str">
        <f>IF(AND(Tabla1[[#This Row],[Venta del mes]]&gt;0,Tabla1[[#This Row],[Precio venta nueva]]=0),"Revisar","OK")</f>
        <v>OK</v>
      </c>
      <c r="BD275" s="20">
        <f>IFERROR(VLOOKUP(Tabla1[[#This Row],[Llave]],'[5]Consolidación planes'!$A:$M,9,FALSE),0)</f>
        <v>0</v>
      </c>
      <c r="BE275" s="20">
        <f>IFERROR(VLOOKUP(Tabla1[[#This Row],[Llave]],'[5]Consolidación planes'!$A:$M,10,FALSE),0)</f>
        <v>0</v>
      </c>
      <c r="BF275" s="20">
        <f>IFERROR(VLOOKUP(Tabla1[[#This Row],[Llave]],'[5]Consolidación planes'!$A:$M,11,FALSE),0)</f>
        <v>0</v>
      </c>
      <c r="BG275" s="20">
        <f>IFERROR(VLOOKUP(Tabla1[[#This Row],[Llave]],'[5]Consolidación planes'!$A:$M,12,FALSE),0)</f>
        <v>0</v>
      </c>
      <c r="BH275" s="20">
        <f>IFERROR(VLOOKUP(Tabla1[[#This Row],[Llave]],'[5]Consolidación planes'!$A:$M,13,FALSE),0)</f>
        <v>0</v>
      </c>
      <c r="BI275" s="20">
        <f>IFERROR(VLOOKUP(Tabla1[[#This Row],[Llave]],'[13]Base ultimos planes'!$A:$M,13,FALSE),0)</f>
        <v>0</v>
      </c>
      <c r="BJ275" s="80">
        <f>IFERROR(VLOOKUP(Tabla1[[#This Row],[Llave]],'[13]Base ultimos planes'!$O:$AA,8,FALSE),0)</f>
        <v>0</v>
      </c>
      <c r="BK275" s="20">
        <f>IFERROR(VLOOKUP(Tabla1[[#This Row],[Llave]],'[13]Base ultimos planes'!$O:$AA,9,FALSE),0)</f>
        <v>0</v>
      </c>
      <c r="BL275" s="20">
        <f>IFERROR(VLOOKUP(Tabla1[[#This Row],[Llave]],'[13]Base ultimos planes'!$O:$AA,10,FALSE),0)</f>
        <v>0</v>
      </c>
      <c r="BM275" s="20">
        <f>IFERROR(VLOOKUP(Tabla1[[#This Row],[Llave]],'[13]Base ultimos planes'!$O:$AA,11,FALSE),0)</f>
        <v>0</v>
      </c>
      <c r="BN275" s="20">
        <f>IFERROR(VLOOKUP(Tabla1[[#This Row],[Llave]],'[13]Base ultimos planes'!$O:$AA,12,FALSE),0)</f>
        <v>0</v>
      </c>
      <c r="BO275" s="20">
        <f>IFERROR(VLOOKUP(Tabla1[[#This Row],[Llave]],'[13]Base ultimos planes'!$O:$AA,13,FALSE),0)</f>
        <v>0</v>
      </c>
      <c r="BP275" s="35"/>
      <c r="BQ275" s="20">
        <f>+Tabla1[[#This Row],[ RV  Venta mes n+1]]*(1-Tabla1[[#This Row],[% Uti. producción]])</f>
        <v>0</v>
      </c>
      <c r="BR275" s="100"/>
    </row>
    <row r="276" spans="1:70" ht="16" hidden="1" x14ac:dyDescent="0.2">
      <c r="A276">
        <v>1</v>
      </c>
      <c r="B276" t="str">
        <f>Tabla1[[#This Row],[Oficina]]&amp;Tabla1[[#This Row],[Material]]</f>
        <v>Agro Sudamerica1020993</v>
      </c>
      <c r="C276" t="s">
        <v>6</v>
      </c>
      <c r="D276" t="s">
        <v>17</v>
      </c>
      <c r="E276">
        <v>1020993</v>
      </c>
      <c r="F276" t="s">
        <v>157</v>
      </c>
      <c r="G276" t="s">
        <v>53</v>
      </c>
      <c r="H276" t="s">
        <v>156</v>
      </c>
      <c r="I276" s="15">
        <f>IFERROR(VLOOKUP(Tabla1[[#This Row],[Llave]],'[7]RV Producción'!$C:$G,5,FALSE),0)</f>
        <v>8100</v>
      </c>
      <c r="J276" s="3">
        <f>IFERROR(IF(Tabla1[[#This Row],[Oficina]]=$I$7,VLOOKUP(Tabla1[[#This Row],[Llave]],'[7]Shangai (Tomas)'!$A:$F,6,FALSE),VLOOKUP(Tabla1[[#This Row],[Llave]],'[7]RV plan de ventas'!$A:$E,5,FALSE)),0)</f>
        <v>0</v>
      </c>
      <c r="K276" s="17">
        <f>IFERROR(VLOOKUP(Tabla1[[#This Row],[Oficina]],[15]Ponderación!$B$2:$E$9,4,FALSE),0)</f>
        <v>0.45719439678473212</v>
      </c>
      <c r="L276" s="7">
        <f>+Tabla1[[#This Row],[ RV Producción mes n+1]]*Tabla1[[#This Row],[% Uti. producción]]</f>
        <v>3703.2746139563301</v>
      </c>
      <c r="M276" s="7">
        <f>IFERROR(VLOOKUP(Tabla1[[#This Row],[Material]],'[17]TD Stock'!$E:$I,5,FALSE),0)</f>
        <v>0</v>
      </c>
      <c r="N276" s="7">
        <f>IFERROR(VLOOKUP(Tabla1[[#This Row],[Material]],[16]Produccion!$M:$N,2,FALSE),0)</f>
        <v>0</v>
      </c>
      <c r="O276" s="7">
        <f>IFERROR(VLOOKUP(Tabla1[[#This Row],[Llave]],'[16]TD Conf-AP'!$I:$M,4,FALSE),0)</f>
        <v>0</v>
      </c>
      <c r="P276" s="37">
        <f>SUM(Tabla1[[#This Row],[Producción disponible]],Tabla1[[#This Row],[Stock al día]],(Tabla1[[#This Row],[Por producir mes N]]*0.9))-Tabla1[[#This Row],[Producción por despachar mes N]]</f>
        <v>3703.2746139563301</v>
      </c>
      <c r="Q276" s="7">
        <f>IFERROR(VLOOKUP(Tabla1[[#This Row],[Llave]],[17]DELAY!$A:$D,4,FALSE),0)</f>
        <v>8100</v>
      </c>
      <c r="R276" s="9">
        <v>24000</v>
      </c>
      <c r="S276" s="5">
        <f t="shared" si="33"/>
        <v>0</v>
      </c>
      <c r="T276" s="76">
        <v>0</v>
      </c>
      <c r="U276" s="5">
        <f>+Tabla1[[#This Row],[Atraso a facturar]]+Tabla1[[#This Row],[Ajuste atraso]]</f>
        <v>0</v>
      </c>
      <c r="V276" s="3">
        <f>+Tabla1[[#This Row],[Total disponible]]-Tabla1[[#This Row],[Facturación atraso]]</f>
        <v>3703.2746139563301</v>
      </c>
      <c r="W276" s="6">
        <f>IFERROR(IF(AND(V276&gt;R276,J276&gt;=R276),ROUNDDOWN((Tabla1[[#This Row],[Producción para venta nueva]])/R276,0)*R276,0),0)</f>
        <v>0</v>
      </c>
      <c r="X276" s="76">
        <v>0</v>
      </c>
      <c r="Y276" s="6">
        <f>IF(Tabla1[[#This Row],[Venta del mes]]&gt;0,Tabla1[[#This Row],[Venta del mes]]+Tabla1[[#This Row],[Ajuste venta nueva]],0)</f>
        <v>0</v>
      </c>
      <c r="Z276" s="6">
        <f>+Tabla1[[#This Row],[Producción para venta nueva]]-Tabla1[[#This Row],[Facturación Venta nueva]]</f>
        <v>3703.2746139563301</v>
      </c>
      <c r="AA276" s="6">
        <f>IF(AND(A276=1,Tabla1[[#This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6" s="6"/>
      <c r="AC276" s="6">
        <f>IF(Tabla1[[#This Row],[Disponible stock sin venta]]&gt;0,Tabla1[[#This Row],[Disponible stock sin venta]]+Tabla1[[#This Row],[Ajuste stock sin venta]],0)</f>
        <v>0</v>
      </c>
      <c r="AD276" s="3">
        <f>IFERROR(VLOOKUP(Tabla1[[#This Row],[Llave]],'[16]TD Puerto'!$A:$D,4,FALSE),0)</f>
        <v>0</v>
      </c>
      <c r="AE276" s="3">
        <v>0</v>
      </c>
      <c r="AF276" s="3">
        <f>+Tabla1[[#This Row],[Atraso a facturar]]+Tabla1[[#This Row],[Venta del mes]]+Tabla1[[#This Row],[En puerto a facturar]]+Tabla1[[#This Row],[Disponible stock sin venta]]</f>
        <v>0</v>
      </c>
      <c r="AG276" s="3">
        <f>+Tabla1[[#This Row],[En puerto a facturar]]</f>
        <v>0</v>
      </c>
      <c r="AH276" s="3">
        <f>+Tabla1[[#This Row],[Facturación atraso]]</f>
        <v>0</v>
      </c>
      <c r="AI276" s="3">
        <f>+Tabla1[[#This Row],[Plan Irrestricto]]-Tabla1[[#This Row],[Puerto ]]-Tabla1[[#This Row],[Atraso]]</f>
        <v>0</v>
      </c>
      <c r="AJ27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76" s="3">
        <f>+Tabla1[[#This Row],[Facturación atraso]]</f>
        <v>0</v>
      </c>
      <c r="AL276" s="3">
        <f>+Tabla1[[#This Row],[Plan Ajustado]]-Tabla1[[#This Row],[ Atraso ajustado]]-Tabla1[[#This Row],[Puerto ]]</f>
        <v>0</v>
      </c>
      <c r="AM276" s="3">
        <v>0</v>
      </c>
      <c r="AN276" s="3" t="str">
        <f>IF(Tabla1[[#This Row],[Plan Ajustado]]&gt;Tabla1[[#This Row],[En puerto a facturar]],"Si","No")</f>
        <v>No</v>
      </c>
      <c r="AO27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76" s="3">
        <f>IF(Tabla1[[#This Row],[Necesidad]]&gt;=Tabla1[[#This Row],[Stock al día]],Tabla1[[#This Row],[Stock al día]],Tabla1[[#This Row],[Necesidad]])</f>
        <v>0</v>
      </c>
      <c r="AQ276" s="3">
        <f>+Tabla1[[#This Row],[Necesidad]]-Tabla1[[#This Row],[Stock Plan]]</f>
        <v>0</v>
      </c>
      <c r="AR276" s="156">
        <f>IFERROR(VLOOKUP(Tabla1[[#This Row],[Oficina]],[22]Ponderación!$B$3:$G$9,6,FALSE),"")</f>
        <v>44757</v>
      </c>
      <c r="AS27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1.3138131134145701</v>
      </c>
      <c r="AT276" s="83">
        <f>IFERROR(VLOOKUP(Tabla1[[#This Row],[Llave]],[17]DELAY!$H:$W,16,FALSE),0)</f>
        <v>1.3941750987654309</v>
      </c>
      <c r="AU27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76" s="5">
        <f>+Tabla1[[#This Row],[Plan Ajustado]]*Tabla1[[#This Row],[Precio ponderado]]</f>
        <v>0</v>
      </c>
      <c r="AW276" s="30">
        <f>IFERROR(VLOOKUP(Tabla1[[#This Row],[Llave]],'[13]Ultimos precios facturados'!$A:$G,7,FALSE),0)</f>
        <v>1.3138131134145701</v>
      </c>
      <c r="AX27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76" s="30"/>
      <c r="AZ276" s="30">
        <f>IF(Tabla1[[#This Row],[Ajuste precio IC]]="",Tabla1[[#This Row],[Precio ponderado]],Tabla1[[#This Row],[Precio ponderado]])</f>
        <v>0</v>
      </c>
      <c r="BA276" s="82"/>
      <c r="BB276" s="82" t="str">
        <f>IF(AND(Tabla1[[#This Row],[Atraso a facturar]]&gt;0,Tabla1[[#This Row],[Precio Atraso]]=0),"Revisar","OK")</f>
        <v>OK</v>
      </c>
      <c r="BC276" s="82" t="str">
        <f>IF(AND(Tabla1[[#This Row],[Venta del mes]]&gt;0,Tabla1[[#This Row],[Precio venta nueva]]=0),"Revisar","OK")</f>
        <v>OK</v>
      </c>
      <c r="BD276" s="20">
        <f>IFERROR(VLOOKUP(Tabla1[[#This Row],[Llave]],'[5]Consolidación planes'!$A:$M,9,FALSE),0)</f>
        <v>0</v>
      </c>
      <c r="BE276" s="20">
        <f>IFERROR(VLOOKUP(Tabla1[[#This Row],[Llave]],'[5]Consolidación planes'!$A:$M,10,FALSE),0)</f>
        <v>0</v>
      </c>
      <c r="BF276" s="20">
        <f>IFERROR(VLOOKUP(Tabla1[[#This Row],[Llave]],'[5]Consolidación planes'!$A:$M,11,FALSE),0)</f>
        <v>0</v>
      </c>
      <c r="BG276" s="20">
        <f>IFERROR(VLOOKUP(Tabla1[[#This Row],[Llave]],'[5]Consolidación planes'!$A:$M,12,FALSE),0)</f>
        <v>0</v>
      </c>
      <c r="BH276" s="20">
        <f>IFERROR(VLOOKUP(Tabla1[[#This Row],[Llave]],'[5]Consolidación planes'!$A:$M,13,FALSE),0)</f>
        <v>0</v>
      </c>
      <c r="BI276" s="20">
        <f>IFERROR(VLOOKUP(Tabla1[[#This Row],[Llave]],'[13]Base ultimos planes'!$A:$M,13,FALSE),0)</f>
        <v>0</v>
      </c>
      <c r="BJ276" s="80">
        <f>IFERROR(VLOOKUP(Tabla1[[#This Row],[Llave]],'[13]Base ultimos planes'!$O:$AA,8,FALSE),0)</f>
        <v>0</v>
      </c>
      <c r="BK276" s="20">
        <f>IFERROR(VLOOKUP(Tabla1[[#This Row],[Llave]],'[13]Base ultimos planes'!$O:$AA,9,FALSE),0)</f>
        <v>0</v>
      </c>
      <c r="BL276" s="20">
        <f>IFERROR(VLOOKUP(Tabla1[[#This Row],[Llave]],'[13]Base ultimos planes'!$O:$AA,10,FALSE),0)</f>
        <v>0</v>
      </c>
      <c r="BM276" s="20">
        <f>IFERROR(VLOOKUP(Tabla1[[#This Row],[Llave]],'[13]Base ultimos planes'!$O:$AA,11,FALSE),0)</f>
        <v>0</v>
      </c>
      <c r="BN276" s="20">
        <f>IFERROR(VLOOKUP(Tabla1[[#This Row],[Llave]],'[13]Base ultimos planes'!$O:$AA,12,FALSE),0)</f>
        <v>0</v>
      </c>
      <c r="BO276" s="20">
        <f>IFERROR(VLOOKUP(Tabla1[[#This Row],[Llave]],'[13]Base ultimos planes'!$O:$AA,13,FALSE),0)</f>
        <v>0</v>
      </c>
      <c r="BP276" s="35"/>
      <c r="BQ276" s="20">
        <f>+Tabla1[[#This Row],[ RV  Venta mes n+1]]*(1-Tabla1[[#This Row],[% Uti. producción]])</f>
        <v>0</v>
      </c>
      <c r="BR276" s="100"/>
    </row>
    <row r="277" spans="1:70" ht="16" hidden="1" x14ac:dyDescent="0.2">
      <c r="A277">
        <v>1</v>
      </c>
      <c r="B277" t="str">
        <f>Tabla1[[#This Row],[Oficina]]&amp;Tabla1[[#This Row],[Material]]</f>
        <v>Agrosuper Asia1022767</v>
      </c>
      <c r="C277" t="s">
        <v>6</v>
      </c>
      <c r="D277" t="s">
        <v>173</v>
      </c>
      <c r="E277">
        <v>1022767</v>
      </c>
      <c r="F277" t="s">
        <v>598</v>
      </c>
      <c r="G277" t="s">
        <v>11</v>
      </c>
      <c r="H277" t="s">
        <v>41</v>
      </c>
      <c r="I277" s="15">
        <f>IFERROR(VLOOKUP(Tabla1[[#This Row],[Llave]],'[7]RV Producción'!$C:$G,5,FALSE),0)</f>
        <v>0</v>
      </c>
      <c r="J277" s="3">
        <f>IFERROR(IF(Tabla1[[#This Row],[Oficina]]=$I$7,VLOOKUP(Tabla1[[#This Row],[Llave]],'[7]Shangai (Tomas)'!$A:$F,6,FALSE),VLOOKUP(Tabla1[[#This Row],[Llave]],'[7]RV plan de ventas'!$A:$E,5,FALSE)),0)</f>
        <v>0</v>
      </c>
      <c r="K277" s="17">
        <f>IFERROR(VLOOKUP(Tabla1[[#This Row],[Oficina]],[15]Ponderación!$B$2:$E$9,4,FALSE),0)</f>
        <v>0.45719439678473212</v>
      </c>
      <c r="L277" s="7">
        <f>+Tabla1[[#This Row],[ RV Producción mes n+1]]*Tabla1[[#This Row],[% Uti. producción]]</f>
        <v>0</v>
      </c>
      <c r="M277" s="7">
        <f>IFERROR(VLOOKUP(Tabla1[[#This Row],[Material]],'[17]TD Stock'!$E:$I,5,FALSE),0)</f>
        <v>5340</v>
      </c>
      <c r="N277" s="7">
        <f>IFERROR(VLOOKUP(Tabla1[[#This Row],[Material]],[16]Produccion!$M:$N,2,FALSE),0)</f>
        <v>0</v>
      </c>
      <c r="O277" s="7">
        <f>IFERROR(VLOOKUP(Tabla1[[#This Row],[Llave]],'[16]TD Conf-AP'!$I:$M,4,FALSE),0)</f>
        <v>0</v>
      </c>
      <c r="P277" s="37">
        <f>SUM(Tabla1[[#This Row],[Producción disponible]],Tabla1[[#This Row],[Stock al día]],(Tabla1[[#This Row],[Por producir mes N]]*0.9))-Tabla1[[#This Row],[Producción por despachar mes N]]</f>
        <v>5340</v>
      </c>
      <c r="Q277" s="7">
        <f>IFERROR(VLOOKUP(Tabla1[[#This Row],[Llave]],[17]DELAY!$A:$D,4,FALSE),0)</f>
        <v>0</v>
      </c>
      <c r="R277" s="9">
        <v>24000</v>
      </c>
      <c r="S277" s="5">
        <f t="shared" si="33"/>
        <v>0</v>
      </c>
      <c r="T277" s="76">
        <v>0</v>
      </c>
      <c r="U277" s="5">
        <f>+Tabla1[[#This Row],[Atraso a facturar]]+Tabla1[[#This Row],[Ajuste atraso]]</f>
        <v>0</v>
      </c>
      <c r="V277" s="3">
        <f>+Tabla1[[#This Row],[Total disponible]]-Tabla1[[#This Row],[Facturación atraso]]</f>
        <v>5340</v>
      </c>
      <c r="W277" s="6">
        <f>IFERROR(IF(AND(V277&gt;R277,J277&gt;=R277),ROUNDDOWN((Tabla1[[#This Row],[Producción para venta nueva]])/R277,0)*R277,0),0)</f>
        <v>0</v>
      </c>
      <c r="X277" s="76">
        <v>0</v>
      </c>
      <c r="Y277" s="6">
        <f>IF(Tabla1[[#This Row],[Venta del mes]]&gt;0,Tabla1[[#This Row],[Venta del mes]]+Tabla1[[#This Row],[Ajuste venta nueva]],0)</f>
        <v>0</v>
      </c>
      <c r="Z277" s="6">
        <f>+Tabla1[[#This Row],[Producción para venta nueva]]-Tabla1[[#This Row],[Facturación Venta nueva]]</f>
        <v>5340</v>
      </c>
      <c r="AA277" s="6">
        <f>IF(AND(A277=1,Tabla1[[#This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7" s="6"/>
      <c r="AC277" s="6">
        <f>IF(Tabla1[[#This Row],[Disponible stock sin venta]]&gt;0,Tabla1[[#This Row],[Disponible stock sin venta]]+Tabla1[[#This Row],[Ajuste stock sin venta]],0)</f>
        <v>0</v>
      </c>
      <c r="AD277" s="3">
        <f>IFERROR(VLOOKUP(Tabla1[[#This Row],[Llave]],'[16]TD Puerto'!$A:$D,4,FALSE),0)</f>
        <v>0</v>
      </c>
      <c r="AE277" s="3">
        <v>0</v>
      </c>
      <c r="AF277" s="3">
        <f>+Tabla1[[#This Row],[Atraso a facturar]]+Tabla1[[#This Row],[Venta del mes]]+Tabla1[[#This Row],[En puerto a facturar]]+Tabla1[[#This Row],[Disponible stock sin venta]]</f>
        <v>0</v>
      </c>
      <c r="AG277" s="3">
        <f>+Tabla1[[#This Row],[En puerto a facturar]]</f>
        <v>0</v>
      </c>
      <c r="AH277" s="3">
        <f>+Tabla1[[#This Row],[Facturación atraso]]</f>
        <v>0</v>
      </c>
      <c r="AI277" s="3">
        <f>+Tabla1[[#This Row],[Plan Irrestricto]]-Tabla1[[#This Row],[Puerto ]]-Tabla1[[#This Row],[Atraso]]</f>
        <v>0</v>
      </c>
      <c r="AJ27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77" s="3">
        <f>+Tabla1[[#This Row],[Facturación atraso]]</f>
        <v>0</v>
      </c>
      <c r="AL277" s="3">
        <f>+Tabla1[[#This Row],[Plan Ajustado]]-Tabla1[[#This Row],[ Atraso ajustado]]-Tabla1[[#This Row],[Puerto ]]</f>
        <v>0</v>
      </c>
      <c r="AM277" s="3">
        <v>0</v>
      </c>
      <c r="AN277" s="3" t="str">
        <f>IF(Tabla1[[#This Row],[Plan Ajustado]]&gt;Tabla1[[#This Row],[En puerto a facturar]],"Si","No")</f>
        <v>No</v>
      </c>
      <c r="AO27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77" s="3">
        <f>IF(Tabla1[[#This Row],[Necesidad]]&gt;=Tabla1[[#This Row],[Stock al día]],Tabla1[[#This Row],[Stock al día]],Tabla1[[#This Row],[Necesidad]])</f>
        <v>0</v>
      </c>
      <c r="AQ277" s="3">
        <f>+Tabla1[[#This Row],[Necesidad]]-Tabla1[[#This Row],[Stock Plan]]</f>
        <v>0</v>
      </c>
      <c r="AR277" s="156">
        <f>IFERROR(VLOOKUP(Tabla1[[#This Row],[Oficina]],[22]Ponderación!$B$3:$G$9,6,FALSE),"")</f>
        <v>44754</v>
      </c>
      <c r="AS27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77" s="83">
        <f>IFERROR(VLOOKUP(Tabla1[[#This Row],[Llave]],[17]DELAY!$H:$W,16,FALSE),0)</f>
        <v>0</v>
      </c>
      <c r="AU27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77" s="5">
        <f>+Tabla1[[#This Row],[Plan Ajustado]]*Tabla1[[#This Row],[Precio ponderado]]</f>
        <v>0</v>
      </c>
      <c r="AW277" s="30">
        <f>IFERROR(VLOOKUP(Tabla1[[#This Row],[Llave]],'[13]Ultimos precios facturados'!$A:$G,7,FALSE),0)</f>
        <v>0</v>
      </c>
      <c r="AX27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77" s="30"/>
      <c r="AZ277" s="30">
        <f>IF(Tabla1[[#This Row],[Ajuste precio IC]]="",Tabla1[[#This Row],[Precio ponderado]],Tabla1[[#This Row],[Precio ponderado]])</f>
        <v>0</v>
      </c>
      <c r="BA277" s="82"/>
      <c r="BB277" s="82" t="str">
        <f>IF(AND(Tabla1[[#This Row],[Atraso a facturar]]&gt;0,Tabla1[[#This Row],[Precio Atraso]]=0),"Revisar","OK")</f>
        <v>OK</v>
      </c>
      <c r="BC277" s="82" t="str">
        <f>IF(AND(Tabla1[[#This Row],[Venta del mes]]&gt;0,Tabla1[[#This Row],[Precio venta nueva]]=0),"Revisar","OK")</f>
        <v>OK</v>
      </c>
      <c r="BD277" s="20">
        <f>IFERROR(VLOOKUP(Tabla1[[#This Row],[Llave]],'[5]Consolidación planes'!$A:$M,9,FALSE),0)</f>
        <v>0</v>
      </c>
      <c r="BE277" s="20">
        <f>IFERROR(VLOOKUP(Tabla1[[#This Row],[Llave]],'[5]Consolidación planes'!$A:$M,10,FALSE),0)</f>
        <v>0</v>
      </c>
      <c r="BF277" s="20">
        <f>IFERROR(VLOOKUP(Tabla1[[#This Row],[Llave]],'[5]Consolidación planes'!$A:$M,11,FALSE),0)</f>
        <v>0</v>
      </c>
      <c r="BG277" s="20">
        <f>IFERROR(VLOOKUP(Tabla1[[#This Row],[Llave]],'[5]Consolidación planes'!$A:$M,12,FALSE),0)</f>
        <v>0</v>
      </c>
      <c r="BH277" s="20">
        <f>IFERROR(VLOOKUP(Tabla1[[#This Row],[Llave]],'[5]Consolidación planes'!$A:$M,13,FALSE),0)</f>
        <v>0</v>
      </c>
      <c r="BI277" s="20">
        <f>IFERROR(VLOOKUP(Tabla1[[#This Row],[Llave]],'[13]Base ultimos planes'!$A:$M,13,FALSE),0)</f>
        <v>0</v>
      </c>
      <c r="BJ277" s="80">
        <f>IFERROR(VLOOKUP(Tabla1[[#This Row],[Llave]],'[13]Base ultimos planes'!$O:$AA,8,FALSE),0)</f>
        <v>0</v>
      </c>
      <c r="BK277" s="20">
        <f>IFERROR(VLOOKUP(Tabla1[[#This Row],[Llave]],'[13]Base ultimos planes'!$O:$AA,9,FALSE),0)</f>
        <v>0</v>
      </c>
      <c r="BL277" s="20">
        <f>IFERROR(VLOOKUP(Tabla1[[#This Row],[Llave]],'[13]Base ultimos planes'!$O:$AA,10,FALSE),0)</f>
        <v>0</v>
      </c>
      <c r="BM277" s="20">
        <f>IFERROR(VLOOKUP(Tabla1[[#This Row],[Llave]],'[13]Base ultimos planes'!$O:$AA,11,FALSE),0)</f>
        <v>0</v>
      </c>
      <c r="BN277" s="20">
        <f>IFERROR(VLOOKUP(Tabla1[[#This Row],[Llave]],'[13]Base ultimos planes'!$O:$AA,12,FALSE),0)</f>
        <v>0</v>
      </c>
      <c r="BO277" s="20">
        <f>IFERROR(VLOOKUP(Tabla1[[#This Row],[Llave]],'[13]Base ultimos planes'!$O:$AA,13,FALSE),0)</f>
        <v>0</v>
      </c>
      <c r="BP277" s="35"/>
      <c r="BQ277" s="20">
        <f>+Tabla1[[#This Row],[ RV  Venta mes n+1]]*(1-Tabla1[[#This Row],[% Uti. producción]])</f>
        <v>0</v>
      </c>
      <c r="BR277" s="100"/>
    </row>
    <row r="278" spans="1:70" ht="16" x14ac:dyDescent="0.2">
      <c r="A278">
        <v>2</v>
      </c>
      <c r="B278" t="str">
        <f>Tabla1[[#This Row],[Oficina]]&amp;Tabla1[[#This Row],[Material]]</f>
        <v>Agrosuper Shanghai1021740</v>
      </c>
      <c r="C278" t="s">
        <v>6</v>
      </c>
      <c r="D278" t="s">
        <v>140</v>
      </c>
      <c r="E278">
        <v>1021740</v>
      </c>
      <c r="F278" t="s">
        <v>87</v>
      </c>
      <c r="G278" t="s">
        <v>76</v>
      </c>
      <c r="H278" t="s">
        <v>84</v>
      </c>
      <c r="I278" s="15">
        <f>IFERROR(VLOOKUP(Tabla1[[#This Row],[Llave]],'[7]RV Producción'!$C:$G,5,FALSE),0)</f>
        <v>0</v>
      </c>
      <c r="J278" s="3">
        <f>IFERROR(IF(Tabla1[[#This Row],[Oficina]]=$I$7,VLOOKUP(Tabla1[[#This Row],[Llave]],'[7]Shangai (Tomas)'!$A:$F,6,FALSE),VLOOKUP(Tabla1[[#This Row],[Llave]],'[7]RV plan de ventas'!$A:$E,5,FALSE)),0)</f>
        <v>0</v>
      </c>
      <c r="K278" s="17">
        <f>IFERROR(VLOOKUP(Tabla1[[#This Row],[Oficina]],[15]Ponderación!$B$2:$E$9,4,FALSE),0)</f>
        <v>0.45719439678473212</v>
      </c>
      <c r="L278" s="7">
        <f>+Tabla1[[#This Row],[ RV Producción mes n+1]]*Tabla1[[#This Row],[% Uti. producción]]</f>
        <v>0</v>
      </c>
      <c r="M278" s="7">
        <f>IFERROR(VLOOKUP(Tabla1[[#This Row],[Material]],'[17]TD Stock'!$E:$I,5,FALSE),0)</f>
        <v>0</v>
      </c>
      <c r="N278" s="7">
        <f>IFERROR(VLOOKUP(Tabla1[[#This Row],[Material]],[16]Produccion!$M:$N,2,FALSE),0)</f>
        <v>94730</v>
      </c>
      <c r="O278" s="7">
        <f>IFERROR(VLOOKUP(Tabla1[[#This Row],[Llave]],'[16]TD Conf-AP'!$I:$M,4,FALSE),0)</f>
        <v>0</v>
      </c>
      <c r="P278" s="37">
        <f>SUM(Tabla1[[#This Row],[Producción disponible]],Tabla1[[#This Row],[Stock al día]],(Tabla1[[#This Row],[Por producir mes N]]*0.9))-Tabla1[[#This Row],[Producción por despachar mes N]]</f>
        <v>85257</v>
      </c>
      <c r="Q278" s="7">
        <f>IFERROR(VLOOKUP(Tabla1[[#This Row],[Llave]],[17]DELAY!$A:$D,4,FALSE),0)</f>
        <v>33000</v>
      </c>
      <c r="R278" s="9">
        <v>24000</v>
      </c>
      <c r="S278" s="5">
        <f t="shared" si="33"/>
        <v>33000</v>
      </c>
      <c r="T278" s="76">
        <v>0</v>
      </c>
      <c r="U278" s="5">
        <f>+Tabla1[[#This Row],[Atraso a facturar]]+Tabla1[[#This Row],[Ajuste atraso]]</f>
        <v>33000</v>
      </c>
      <c r="V278" s="3">
        <f>+Tabla1[[#This Row],[Total disponible]]-Tabla1[[#This Row],[Facturación atraso]]</f>
        <v>52257</v>
      </c>
      <c r="W278" s="6">
        <f>IFERROR(IF(AND(V278&gt;R278,J278&gt;=R278),ROUNDDOWN((Tabla1[[#This Row],[Producción para venta nueva]])/R278,0)*R278,0),0)</f>
        <v>0</v>
      </c>
      <c r="X278" s="76">
        <v>0</v>
      </c>
      <c r="Y278" s="6">
        <f>IF(Tabla1[[#This Row],[Venta del mes]]&gt;0,Tabla1[[#This Row],[Venta del mes]]+Tabla1[[#This Row],[Ajuste venta nueva]],0)</f>
        <v>0</v>
      </c>
      <c r="Z278" s="6">
        <f>+Tabla1[[#This Row],[Producción para venta nueva]]-Tabla1[[#This Row],[Facturación Venta nueva]]</f>
        <v>52257</v>
      </c>
      <c r="AA278" s="6">
        <f>IF(AND(A278=1,Tabla1[[#This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8" s="6"/>
      <c r="AC278" s="6">
        <f>IF(Tabla1[[#This Row],[Disponible stock sin venta]]&gt;0,Tabla1[[#This Row],[Disponible stock sin venta]]+Tabla1[[#This Row],[Ajuste stock sin venta]],0)</f>
        <v>0</v>
      </c>
      <c r="AD278" s="3">
        <f>IFERROR(VLOOKUP(Tabla1[[#This Row],[Llave]],'[16]TD Puerto'!$A:$D,4,FALSE),0)</f>
        <v>0</v>
      </c>
      <c r="AE278" s="3">
        <v>33000</v>
      </c>
      <c r="AF278" s="3">
        <f>+Tabla1[[#This Row],[Atraso a facturar]]+Tabla1[[#This Row],[Venta del mes]]+Tabla1[[#This Row],[En puerto a facturar]]+Tabla1[[#This Row],[Disponible stock sin venta]]</f>
        <v>33000</v>
      </c>
      <c r="AG278" s="3">
        <f>+Tabla1[[#This Row],[En puerto a facturar]]</f>
        <v>0</v>
      </c>
      <c r="AH278" s="3">
        <f>+Tabla1[[#This Row],[Facturación atraso]]</f>
        <v>33000</v>
      </c>
      <c r="AI278" s="3">
        <f>+Tabla1[[#This Row],[Plan Irrestricto]]-Tabla1[[#This Row],[Puerto ]]-Tabla1[[#This Row],[Atraso]]</f>
        <v>0</v>
      </c>
      <c r="AJ278" s="3">
        <f>IF(Tabla1[[#This Row],[Plan Irrestricto]]&gt;0,SUM(Tabla1[[#This Row],[Facturación atraso]],Tabla1[[#This Row],[Facturación Venta nueva]],Tabla1[[#This Row],[Facturación stock]],Tabla1[[#This Row],[En puerto a facturar]]),0)</f>
        <v>33000</v>
      </c>
      <c r="AK278" s="3">
        <f>+Tabla1[[#This Row],[Facturación atraso]]</f>
        <v>33000</v>
      </c>
      <c r="AL278" s="3">
        <f>+Tabla1[[#This Row],[Plan Ajustado]]-Tabla1[[#This Row],[ Atraso ajustado]]-Tabla1[[#This Row],[Puerto ]]</f>
        <v>0</v>
      </c>
      <c r="AM278" s="3">
        <v>0</v>
      </c>
      <c r="AN278" s="3" t="str">
        <f>IF(Tabla1[[#This Row],[Plan Ajustado]]&gt;Tabla1[[#This Row],[En puerto a facturar]],"Si","No")</f>
        <v>Si</v>
      </c>
      <c r="AO278" s="3">
        <f>IF(AND(Tabla1[[#This Row],[Plan Ajustado]]&gt;0,Tabla1[[#This Row],[Plan Ajustado]]&gt;Tabla1[[#This Row],[En puerto a facturar]]),(Tabla1[[#This Row],[Plan Ajustado]]-Tabla1[[#This Row],[En puerto a facturar]]),0)</f>
        <v>33000</v>
      </c>
      <c r="AP278" s="3">
        <f>IF(Tabla1[[#This Row],[Necesidad]]&gt;=Tabla1[[#This Row],[Stock al día]],Tabla1[[#This Row],[Stock al día]],Tabla1[[#This Row],[Necesidad]])</f>
        <v>0</v>
      </c>
      <c r="AQ278" s="3">
        <f>+Tabla1[[#This Row],[Necesidad]]-Tabla1[[#This Row],[Stock Plan]]</f>
        <v>33000</v>
      </c>
      <c r="AR278" s="156">
        <f>IFERROR(VLOOKUP(Tabla1[[#This Row],[Oficina]],[22]Ponderación!$B$3:$G$9,6,FALSE),"")</f>
        <v>44754</v>
      </c>
      <c r="AS27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0.43339239832268295</v>
      </c>
      <c r="AT278" s="83">
        <f>IFERROR(VLOOKUP(Tabla1[[#This Row],[Llave]],[17]DELAY!$H:$W,16,FALSE),0)</f>
        <v>0.41875000000000001</v>
      </c>
      <c r="AU27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0.41875000000000001</v>
      </c>
      <c r="AV278" s="5">
        <f>+Tabla1[[#This Row],[Plan Ajustado]]*Tabla1[[#This Row],[Precio ponderado]]</f>
        <v>13818.75</v>
      </c>
      <c r="AW278" s="30">
        <f>IFERROR(VLOOKUP(Tabla1[[#This Row],[Llave]],'[13]Ultimos precios facturados'!$A:$G,7,FALSE),0)</f>
        <v>0.43339239832268295</v>
      </c>
      <c r="AX27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3.3785544876541458E-2</v>
      </c>
      <c r="AY278" s="30"/>
      <c r="AZ278" s="30">
        <f>IF(Tabla1[[#This Row],[Ajuste precio IC]]="",Tabla1[[#This Row],[Precio ponderado]],Tabla1[[#This Row],[Precio ponderado]])</f>
        <v>0.41875000000000001</v>
      </c>
      <c r="BA278" s="82"/>
      <c r="BB278" s="82" t="str">
        <f>IF(AND(Tabla1[[#This Row],[Atraso a facturar]]&gt;0,Tabla1[[#This Row],[Precio Atraso]]=0),"Revisar","OK")</f>
        <v>OK</v>
      </c>
      <c r="BC278" s="82" t="str">
        <f>IF(AND(Tabla1[[#This Row],[Venta del mes]]&gt;0,Tabla1[[#This Row],[Precio venta nueva]]=0),"Revisar","OK")</f>
        <v>OK</v>
      </c>
      <c r="BD278" s="20">
        <f>IFERROR(VLOOKUP(Tabla1[[#This Row],[Llave]],'[5]Consolidación planes'!$A:$M,9,FALSE),0)</f>
        <v>0</v>
      </c>
      <c r="BE278" s="20">
        <f>IFERROR(VLOOKUP(Tabla1[[#This Row],[Llave]],'[5]Consolidación planes'!$A:$M,10,FALSE),0)</f>
        <v>0</v>
      </c>
      <c r="BF278" s="20">
        <f>IFERROR(VLOOKUP(Tabla1[[#This Row],[Llave]],'[5]Consolidación planes'!$A:$M,11,FALSE),0)</f>
        <v>0</v>
      </c>
      <c r="BG278" s="20">
        <f>IFERROR(VLOOKUP(Tabla1[[#This Row],[Llave]],'[5]Consolidación planes'!$A:$M,12,FALSE),0)</f>
        <v>0</v>
      </c>
      <c r="BH278" s="20">
        <f>IFERROR(VLOOKUP(Tabla1[[#This Row],[Llave]],'[5]Consolidación planes'!$A:$M,13,FALSE),0)</f>
        <v>0</v>
      </c>
      <c r="BI278" s="20">
        <f>IFERROR(VLOOKUP(Tabla1[[#This Row],[Llave]],'[13]Base ultimos planes'!$A:$M,13,FALSE),0)</f>
        <v>0</v>
      </c>
      <c r="BJ278" s="80">
        <f>IFERROR(VLOOKUP(Tabla1[[#This Row],[Llave]],'[13]Base ultimos planes'!$O:$AA,8,FALSE),0)</f>
        <v>0</v>
      </c>
      <c r="BK278" s="20">
        <f>IFERROR(VLOOKUP(Tabla1[[#This Row],[Llave]],'[13]Base ultimos planes'!$O:$AA,9,FALSE),0)</f>
        <v>0</v>
      </c>
      <c r="BL278" s="20">
        <f>IFERROR(VLOOKUP(Tabla1[[#This Row],[Llave]],'[13]Base ultimos planes'!$O:$AA,10,FALSE),0)</f>
        <v>0</v>
      </c>
      <c r="BM278" s="20">
        <f>IFERROR(VLOOKUP(Tabla1[[#This Row],[Llave]],'[13]Base ultimos planes'!$O:$AA,11,FALSE),0)</f>
        <v>0</v>
      </c>
      <c r="BN278" s="20">
        <f>IFERROR(VLOOKUP(Tabla1[[#This Row],[Llave]],'[13]Base ultimos planes'!$O:$AA,12,FALSE),0)</f>
        <v>0</v>
      </c>
      <c r="BO278" s="20">
        <f>IFERROR(VLOOKUP(Tabla1[[#This Row],[Llave]],'[13]Base ultimos planes'!$O:$AA,13,FALSE),0)</f>
        <v>0</v>
      </c>
      <c r="BP278" s="35"/>
      <c r="BQ278" s="20">
        <f>+Tabla1[[#This Row],[ RV  Venta mes n+1]]*(1-Tabla1[[#This Row],[% Uti. producción]])</f>
        <v>0</v>
      </c>
      <c r="BR278" s="100"/>
    </row>
    <row r="279" spans="1:70" ht="16" hidden="1" x14ac:dyDescent="0.2">
      <c r="A279">
        <v>2</v>
      </c>
      <c r="B279" t="str">
        <f>Tabla1[[#This Row],[Oficina]]&amp;Tabla1[[#This Row],[Material]]</f>
        <v>Agrosuper Shanghai1022388</v>
      </c>
      <c r="C279" t="s">
        <v>6</v>
      </c>
      <c r="D279" t="s">
        <v>140</v>
      </c>
      <c r="E279">
        <v>1022388</v>
      </c>
      <c r="F279" t="s">
        <v>599</v>
      </c>
      <c r="G279" t="s">
        <v>92</v>
      </c>
      <c r="H279" t="s">
        <v>93</v>
      </c>
      <c r="I279" s="15">
        <f>IFERROR(VLOOKUP(Tabla1[[#This Row],[Llave]],'[7]RV Producción'!$C:$G,5,FALSE),0)</f>
        <v>0</v>
      </c>
      <c r="J279" s="3">
        <f>IFERROR(IF(Tabla1[[#This Row],[Oficina]]=$I$7,VLOOKUP(Tabla1[[#This Row],[Llave]],'[7]Shangai (Tomas)'!$A:$F,6,FALSE),VLOOKUP(Tabla1[[#This Row],[Llave]],'[7]RV plan de ventas'!$A:$E,5,FALSE)),0)</f>
        <v>0</v>
      </c>
      <c r="K279" s="17">
        <f>IFERROR(VLOOKUP(Tabla1[[#This Row],[Oficina]],[15]Ponderación!$B$2:$E$9,4,FALSE),0)</f>
        <v>0.45719439678473212</v>
      </c>
      <c r="L279" s="7">
        <f>+Tabla1[[#This Row],[ RV Producción mes n+1]]*Tabla1[[#This Row],[% Uti. producción]]</f>
        <v>0</v>
      </c>
      <c r="M279" s="7">
        <f>IFERROR(VLOOKUP(Tabla1[[#This Row],[Material]],'[17]TD Stock'!$E:$I,5,FALSE),0)</f>
        <v>0</v>
      </c>
      <c r="N279" s="7">
        <f>IFERROR(VLOOKUP(Tabla1[[#This Row],[Material]],[16]Produccion!$M:$N,2,FALSE),0)</f>
        <v>34142</v>
      </c>
      <c r="O279" s="7">
        <f>IFERROR(VLOOKUP(Tabla1[[#This Row],[Llave]],'[16]TD Conf-AP'!$I:$M,4,FALSE),0)</f>
        <v>0</v>
      </c>
      <c r="P279" s="37">
        <f>SUM(Tabla1[[#This Row],[Producción disponible]],Tabla1[[#This Row],[Stock al día]],(Tabla1[[#This Row],[Por producir mes N]]*0.9))-Tabla1[[#This Row],[Producción por despachar mes N]]</f>
        <v>30727.8</v>
      </c>
      <c r="Q279" s="7">
        <f>IFERROR(VLOOKUP(Tabla1[[#This Row],[Llave]],[17]DELAY!$A:$D,4,FALSE),0)</f>
        <v>0</v>
      </c>
      <c r="R279" s="9">
        <v>24000</v>
      </c>
      <c r="S279" s="5">
        <f t="shared" si="33"/>
        <v>0</v>
      </c>
      <c r="T279" s="76">
        <v>0</v>
      </c>
      <c r="U279" s="5">
        <f>+Tabla1[[#This Row],[Atraso a facturar]]+Tabla1[[#This Row],[Ajuste atraso]]</f>
        <v>0</v>
      </c>
      <c r="V279" s="3">
        <f>+Tabla1[[#This Row],[Total disponible]]-Tabla1[[#This Row],[Facturación atraso]]</f>
        <v>30727.8</v>
      </c>
      <c r="W279" s="6">
        <f>IFERROR(IF(AND(V279&gt;R279,J279&gt;=R279),ROUNDDOWN((Tabla1[[#This Row],[Producción para venta nueva]])/R279,0)*R279,0),0)</f>
        <v>0</v>
      </c>
      <c r="X279" s="76">
        <v>0</v>
      </c>
      <c r="Y279" s="6">
        <f>IF(Tabla1[[#This Row],[Venta del mes]]&gt;0,Tabla1[[#This Row],[Venta del mes]]+Tabla1[[#This Row],[Ajuste venta nueva]],0)</f>
        <v>0</v>
      </c>
      <c r="Z279" s="6">
        <f>+Tabla1[[#This Row],[Producción para venta nueva]]-Tabla1[[#This Row],[Facturación Venta nueva]]</f>
        <v>30727.8</v>
      </c>
      <c r="AA279" s="6">
        <f>IF(AND(A279=1,Tabla1[[#This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79" s="6"/>
      <c r="AC279" s="6">
        <f>IF(Tabla1[[#This Row],[Disponible stock sin venta]]&gt;0,Tabla1[[#This Row],[Disponible stock sin venta]]+Tabla1[[#This Row],[Ajuste stock sin venta]],0)</f>
        <v>0</v>
      </c>
      <c r="AD279" s="3">
        <f>IFERROR(VLOOKUP(Tabla1[[#This Row],[Llave]],'[16]TD Puerto'!$A:$D,4,FALSE),0)</f>
        <v>0</v>
      </c>
      <c r="AE279" s="3">
        <v>0</v>
      </c>
      <c r="AF279" s="3">
        <f>+Tabla1[[#This Row],[Atraso a facturar]]+Tabla1[[#This Row],[Venta del mes]]+Tabla1[[#This Row],[En puerto a facturar]]+Tabla1[[#This Row],[Disponible stock sin venta]]</f>
        <v>0</v>
      </c>
      <c r="AG279" s="3">
        <f>+Tabla1[[#This Row],[En puerto a facturar]]</f>
        <v>0</v>
      </c>
      <c r="AH279" s="3">
        <f>+Tabla1[[#This Row],[Facturación atraso]]</f>
        <v>0</v>
      </c>
      <c r="AI279" s="3">
        <f>+Tabla1[[#This Row],[Plan Irrestricto]]-Tabla1[[#This Row],[Puerto ]]-Tabla1[[#This Row],[Atraso]]</f>
        <v>0</v>
      </c>
      <c r="AJ27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79" s="3">
        <f>+Tabla1[[#This Row],[Facturación atraso]]</f>
        <v>0</v>
      </c>
      <c r="AL279" s="3">
        <f>+Tabla1[[#This Row],[Plan Ajustado]]-Tabla1[[#This Row],[ Atraso ajustado]]-Tabla1[[#This Row],[Puerto ]]</f>
        <v>0</v>
      </c>
      <c r="AM279" s="3">
        <v>0</v>
      </c>
      <c r="AN279" s="3" t="str">
        <f>IF(Tabla1[[#This Row],[Plan Ajustado]]&gt;Tabla1[[#This Row],[En puerto a facturar]],"Si","No")</f>
        <v>No</v>
      </c>
      <c r="AO27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79" s="3">
        <f>IF(Tabla1[[#This Row],[Necesidad]]&gt;=Tabla1[[#This Row],[Stock al día]],Tabla1[[#This Row],[Stock al día]],Tabla1[[#This Row],[Necesidad]])</f>
        <v>0</v>
      </c>
      <c r="AQ279" s="3">
        <f>+Tabla1[[#This Row],[Necesidad]]-Tabla1[[#This Row],[Stock Plan]]</f>
        <v>0</v>
      </c>
      <c r="AR279" s="156">
        <f>IFERROR(VLOOKUP(Tabla1[[#This Row],[Oficina]],[22]Ponderación!$B$3:$G$9,6,FALSE),"")</f>
        <v>44754</v>
      </c>
      <c r="AS27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1.5884216940914322</v>
      </c>
      <c r="AT279" s="83">
        <f>IFERROR(VLOOKUP(Tabla1[[#This Row],[Llave]],[17]DELAY!$H:$W,16,FALSE),0)</f>
        <v>0</v>
      </c>
      <c r="AU27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79" s="5">
        <f>+Tabla1[[#This Row],[Plan Ajustado]]*Tabla1[[#This Row],[Precio ponderado]]</f>
        <v>0</v>
      </c>
      <c r="AW279" s="30">
        <f>IFERROR(VLOOKUP(Tabla1[[#This Row],[Llave]],'[13]Ultimos precios facturados'!$A:$G,7,FALSE),0)</f>
        <v>1.5884216940914322</v>
      </c>
      <c r="AX27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79" s="30"/>
      <c r="AZ279" s="30">
        <f>IF(Tabla1[[#This Row],[Ajuste precio IC]]="",Tabla1[[#This Row],[Precio ponderado]],Tabla1[[#This Row],[Precio ponderado]])</f>
        <v>0</v>
      </c>
      <c r="BA279" s="82"/>
      <c r="BB279" s="82" t="str">
        <f>IF(AND(Tabla1[[#This Row],[Atraso a facturar]]&gt;0,Tabla1[[#This Row],[Precio Atraso]]=0),"Revisar","OK")</f>
        <v>OK</v>
      </c>
      <c r="BC279" s="82" t="str">
        <f>IF(AND(Tabla1[[#This Row],[Venta del mes]]&gt;0,Tabla1[[#This Row],[Precio venta nueva]]=0),"Revisar","OK")</f>
        <v>OK</v>
      </c>
      <c r="BD279" s="20">
        <f>IFERROR(VLOOKUP(Tabla1[[#This Row],[Llave]],'[5]Consolidación planes'!$A:$M,9,FALSE),0)</f>
        <v>0</v>
      </c>
      <c r="BE279" s="20">
        <f>IFERROR(VLOOKUP(Tabla1[[#This Row],[Llave]],'[5]Consolidación planes'!$A:$M,10,FALSE),0)</f>
        <v>0</v>
      </c>
      <c r="BF279" s="20">
        <f>IFERROR(VLOOKUP(Tabla1[[#This Row],[Llave]],'[5]Consolidación planes'!$A:$M,11,FALSE),0)</f>
        <v>0</v>
      </c>
      <c r="BG279" s="20">
        <f>IFERROR(VLOOKUP(Tabla1[[#This Row],[Llave]],'[5]Consolidación planes'!$A:$M,12,FALSE),0)</f>
        <v>0</v>
      </c>
      <c r="BH279" s="20">
        <f>IFERROR(VLOOKUP(Tabla1[[#This Row],[Llave]],'[5]Consolidación planes'!$A:$M,13,FALSE),0)</f>
        <v>0</v>
      </c>
      <c r="BI279" s="20">
        <f>IFERROR(VLOOKUP(Tabla1[[#This Row],[Llave]],'[13]Base ultimos planes'!$A:$M,13,FALSE),0)</f>
        <v>0</v>
      </c>
      <c r="BJ279" s="80">
        <f>IFERROR(VLOOKUP(Tabla1[[#This Row],[Llave]],'[13]Base ultimos planes'!$O:$AA,8,FALSE),0)</f>
        <v>0</v>
      </c>
      <c r="BK279" s="20">
        <f>IFERROR(VLOOKUP(Tabla1[[#This Row],[Llave]],'[13]Base ultimos planes'!$O:$AA,9,FALSE),0)</f>
        <v>0</v>
      </c>
      <c r="BL279" s="20">
        <f>IFERROR(VLOOKUP(Tabla1[[#This Row],[Llave]],'[13]Base ultimos planes'!$O:$AA,10,FALSE),0)</f>
        <v>0</v>
      </c>
      <c r="BM279" s="20">
        <f>IFERROR(VLOOKUP(Tabla1[[#This Row],[Llave]],'[13]Base ultimos planes'!$O:$AA,11,FALSE),0)</f>
        <v>0</v>
      </c>
      <c r="BN279" s="20">
        <f>IFERROR(VLOOKUP(Tabla1[[#This Row],[Llave]],'[13]Base ultimos planes'!$O:$AA,12,FALSE),0)</f>
        <v>0</v>
      </c>
      <c r="BO279" s="20">
        <f>IFERROR(VLOOKUP(Tabla1[[#This Row],[Llave]],'[13]Base ultimos planes'!$O:$AA,13,FALSE),0)</f>
        <v>0</v>
      </c>
      <c r="BP279" s="35"/>
      <c r="BQ279" s="20">
        <f>+Tabla1[[#This Row],[ RV  Venta mes n+1]]*(1-Tabla1[[#This Row],[% Uti. producción]])</f>
        <v>0</v>
      </c>
      <c r="BR279" s="100"/>
    </row>
    <row r="280" spans="1:70" ht="16" hidden="1" x14ac:dyDescent="0.2">
      <c r="A280">
        <v>2</v>
      </c>
      <c r="B280" t="str">
        <f>Tabla1[[#This Row],[Oficina]]&amp;Tabla1[[#This Row],[Material]]</f>
        <v>Agrosuper Shanghai1022646</v>
      </c>
      <c r="C280" t="s">
        <v>6</v>
      </c>
      <c r="D280" t="s">
        <v>140</v>
      </c>
      <c r="E280">
        <v>1022646</v>
      </c>
      <c r="F280" t="s">
        <v>600</v>
      </c>
      <c r="G280" t="s">
        <v>56</v>
      </c>
      <c r="H280" t="s">
        <v>57</v>
      </c>
      <c r="I280" s="15">
        <f>IFERROR(VLOOKUP(Tabla1[[#This Row],[Llave]],'[7]RV Producción'!$C:$G,5,FALSE),0)</f>
        <v>0</v>
      </c>
      <c r="J280" s="3">
        <f>IFERROR(IF(Tabla1[[#This Row],[Oficina]]=$I$7,VLOOKUP(Tabla1[[#This Row],[Llave]],'[7]Shangai (Tomas)'!$A:$F,6,FALSE),VLOOKUP(Tabla1[[#This Row],[Llave]],'[7]RV plan de ventas'!$A:$E,5,FALSE)),0)</f>
        <v>0</v>
      </c>
      <c r="K280" s="17">
        <f>IFERROR(VLOOKUP(Tabla1[[#This Row],[Oficina]],[15]Ponderación!$B$2:$E$9,4,FALSE),0)</f>
        <v>0.45719439678473212</v>
      </c>
      <c r="L280" s="7">
        <f>+Tabla1[[#This Row],[ RV Producción mes n+1]]*Tabla1[[#This Row],[% Uti. producción]]</f>
        <v>0</v>
      </c>
      <c r="M280" s="7">
        <f>IFERROR(VLOOKUP(Tabla1[[#This Row],[Material]],'[17]TD Stock'!$E:$I,5,FALSE),0)</f>
        <v>0</v>
      </c>
      <c r="N280" s="7">
        <f>IFERROR(VLOOKUP(Tabla1[[#This Row],[Material]],[16]Produccion!$M:$N,2,FALSE),0)</f>
        <v>4943.3286714544147</v>
      </c>
      <c r="O280" s="7">
        <f>IFERROR(VLOOKUP(Tabla1[[#This Row],[Llave]],'[16]TD Conf-AP'!$I:$M,4,FALSE),0)</f>
        <v>0</v>
      </c>
      <c r="P280" s="37">
        <f>SUM(Tabla1[[#This Row],[Producción disponible]],Tabla1[[#This Row],[Stock al día]],(Tabla1[[#This Row],[Por producir mes N]]*0.9))-Tabla1[[#This Row],[Producción por despachar mes N]]</f>
        <v>4448.9958043089737</v>
      </c>
      <c r="Q280" s="7">
        <f>IFERROR(VLOOKUP(Tabla1[[#This Row],[Llave]],[17]DELAY!$A:$D,4,FALSE),0)</f>
        <v>0</v>
      </c>
      <c r="R280" s="9">
        <v>24000</v>
      </c>
      <c r="S280" s="5">
        <f t="shared" si="33"/>
        <v>0</v>
      </c>
      <c r="T280" s="76">
        <v>0</v>
      </c>
      <c r="U280" s="5">
        <f>+Tabla1[[#This Row],[Atraso a facturar]]+Tabla1[[#This Row],[Ajuste atraso]]</f>
        <v>0</v>
      </c>
      <c r="V280" s="3">
        <f>+Tabla1[[#This Row],[Total disponible]]-Tabla1[[#This Row],[Facturación atraso]]</f>
        <v>4448.9958043089737</v>
      </c>
      <c r="W280" s="6">
        <f>IFERROR(IF(AND(V280&gt;R280,J280&gt;=R280),ROUNDDOWN((Tabla1[[#This Row],[Producción para venta nueva]])/R280,0)*R280,0),0)</f>
        <v>0</v>
      </c>
      <c r="X280" s="76">
        <v>0</v>
      </c>
      <c r="Y280" s="6">
        <f>IF(Tabla1[[#This Row],[Venta del mes]]&gt;0,Tabla1[[#This Row],[Venta del mes]]+Tabla1[[#This Row],[Ajuste venta nueva]],0)</f>
        <v>0</v>
      </c>
      <c r="Z280" s="6">
        <f>+Tabla1[[#This Row],[Producción para venta nueva]]-Tabla1[[#This Row],[Facturación Venta nueva]]</f>
        <v>4448.9958043089737</v>
      </c>
      <c r="AA280" s="6">
        <f>IF(AND(A280=1,Tabla1[[#This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0" s="6"/>
      <c r="AC280" s="6">
        <f>IF(Tabla1[[#This Row],[Disponible stock sin venta]]&gt;0,Tabla1[[#This Row],[Disponible stock sin venta]]+Tabla1[[#This Row],[Ajuste stock sin venta]],0)</f>
        <v>0</v>
      </c>
      <c r="AD280" s="3">
        <f>IFERROR(VLOOKUP(Tabla1[[#This Row],[Llave]],'[16]TD Puerto'!$A:$D,4,FALSE),0)</f>
        <v>0</v>
      </c>
      <c r="AE280" s="3">
        <v>0</v>
      </c>
      <c r="AF280" s="3">
        <f>+Tabla1[[#This Row],[Atraso a facturar]]+Tabla1[[#This Row],[Venta del mes]]+Tabla1[[#This Row],[En puerto a facturar]]+Tabla1[[#This Row],[Disponible stock sin venta]]</f>
        <v>0</v>
      </c>
      <c r="AG280" s="3">
        <f>+Tabla1[[#This Row],[En puerto a facturar]]</f>
        <v>0</v>
      </c>
      <c r="AH280" s="3">
        <f>+Tabla1[[#This Row],[Facturación atraso]]</f>
        <v>0</v>
      </c>
      <c r="AI280" s="3">
        <f>+Tabla1[[#This Row],[Plan Irrestricto]]-Tabla1[[#This Row],[Puerto ]]-Tabla1[[#This Row],[Atraso]]</f>
        <v>0</v>
      </c>
      <c r="AJ28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80" s="3">
        <f>+Tabla1[[#This Row],[Facturación atraso]]</f>
        <v>0</v>
      </c>
      <c r="AL280" s="3">
        <f>+Tabla1[[#This Row],[Plan Ajustado]]-Tabla1[[#This Row],[ Atraso ajustado]]-Tabla1[[#This Row],[Puerto ]]</f>
        <v>0</v>
      </c>
      <c r="AM280" s="3">
        <v>0</v>
      </c>
      <c r="AN280" s="3" t="str">
        <f>IF(Tabla1[[#This Row],[Plan Ajustado]]&gt;Tabla1[[#This Row],[En puerto a facturar]],"Si","No")</f>
        <v>No</v>
      </c>
      <c r="AO28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80" s="3">
        <f>IF(Tabla1[[#This Row],[Necesidad]]&gt;=Tabla1[[#This Row],[Stock al día]],Tabla1[[#This Row],[Stock al día]],Tabla1[[#This Row],[Necesidad]])</f>
        <v>0</v>
      </c>
      <c r="AQ280" s="3">
        <f>+Tabla1[[#This Row],[Necesidad]]-Tabla1[[#This Row],[Stock Plan]]</f>
        <v>0</v>
      </c>
      <c r="AR280" s="156">
        <f>IFERROR(VLOOKUP(Tabla1[[#This Row],[Oficina]],[22]Ponderación!$B$3:$G$9,6,FALSE),"")</f>
        <v>44754</v>
      </c>
      <c r="AS28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5.4547211780949603</v>
      </c>
      <c r="AT280" s="83">
        <f>IFERROR(VLOOKUP(Tabla1[[#This Row],[Llave]],[17]DELAY!$H:$W,16,FALSE),0)</f>
        <v>0</v>
      </c>
      <c r="AU28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80" s="5">
        <f>+Tabla1[[#This Row],[Plan Ajustado]]*Tabla1[[#This Row],[Precio ponderado]]</f>
        <v>0</v>
      </c>
      <c r="AW280" s="30">
        <f>IFERROR(VLOOKUP(Tabla1[[#This Row],[Llave]],'[13]Ultimos precios facturados'!$A:$G,7,FALSE),0)</f>
        <v>5.4547211780949603</v>
      </c>
      <c r="AX28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80" s="30"/>
      <c r="AZ280" s="30">
        <f>IF(Tabla1[[#This Row],[Ajuste precio IC]]="",Tabla1[[#This Row],[Precio ponderado]],Tabla1[[#This Row],[Precio ponderado]])</f>
        <v>0</v>
      </c>
      <c r="BA280" s="82"/>
      <c r="BB280" s="82" t="str">
        <f>IF(AND(Tabla1[[#This Row],[Atraso a facturar]]&gt;0,Tabla1[[#This Row],[Precio Atraso]]=0),"Revisar","OK")</f>
        <v>OK</v>
      </c>
      <c r="BC280" s="82" t="str">
        <f>IF(AND(Tabla1[[#This Row],[Venta del mes]]&gt;0,Tabla1[[#This Row],[Precio venta nueva]]=0),"Revisar","OK")</f>
        <v>OK</v>
      </c>
      <c r="BD280" s="20">
        <f>IFERROR(VLOOKUP(Tabla1[[#This Row],[Llave]],'[5]Consolidación planes'!$A:$M,9,FALSE),0)</f>
        <v>0</v>
      </c>
      <c r="BE280" s="20">
        <f>IFERROR(VLOOKUP(Tabla1[[#This Row],[Llave]],'[5]Consolidación planes'!$A:$M,10,FALSE),0)</f>
        <v>0</v>
      </c>
      <c r="BF280" s="20">
        <f>IFERROR(VLOOKUP(Tabla1[[#This Row],[Llave]],'[5]Consolidación planes'!$A:$M,11,FALSE),0)</f>
        <v>0</v>
      </c>
      <c r="BG280" s="20">
        <f>IFERROR(VLOOKUP(Tabla1[[#This Row],[Llave]],'[5]Consolidación planes'!$A:$M,12,FALSE),0)</f>
        <v>0</v>
      </c>
      <c r="BH280" s="20">
        <f>IFERROR(VLOOKUP(Tabla1[[#This Row],[Llave]],'[5]Consolidación planes'!$A:$M,13,FALSE),0)</f>
        <v>0</v>
      </c>
      <c r="BI280" s="20">
        <f>IFERROR(VLOOKUP(Tabla1[[#This Row],[Llave]],'[13]Base ultimos planes'!$A:$M,13,FALSE),0)</f>
        <v>0</v>
      </c>
      <c r="BJ280" s="80">
        <f>IFERROR(VLOOKUP(Tabla1[[#This Row],[Llave]],'[13]Base ultimos planes'!$O:$AA,8,FALSE),0)</f>
        <v>0</v>
      </c>
      <c r="BK280" s="20">
        <f>IFERROR(VLOOKUP(Tabla1[[#This Row],[Llave]],'[13]Base ultimos planes'!$O:$AA,9,FALSE),0)</f>
        <v>0</v>
      </c>
      <c r="BL280" s="20">
        <f>IFERROR(VLOOKUP(Tabla1[[#This Row],[Llave]],'[13]Base ultimos planes'!$O:$AA,10,FALSE),0)</f>
        <v>0</v>
      </c>
      <c r="BM280" s="20">
        <f>IFERROR(VLOOKUP(Tabla1[[#This Row],[Llave]],'[13]Base ultimos planes'!$O:$AA,11,FALSE),0)</f>
        <v>0</v>
      </c>
      <c r="BN280" s="20">
        <f>IFERROR(VLOOKUP(Tabla1[[#This Row],[Llave]],'[13]Base ultimos planes'!$O:$AA,12,FALSE),0)</f>
        <v>0</v>
      </c>
      <c r="BO280" s="20">
        <f>IFERROR(VLOOKUP(Tabla1[[#This Row],[Llave]],'[13]Base ultimos planes'!$O:$AA,13,FALSE),0)</f>
        <v>0</v>
      </c>
      <c r="BP280" s="35"/>
      <c r="BQ280" s="20">
        <f>+Tabla1[[#This Row],[ RV  Venta mes n+1]]*(1-Tabla1[[#This Row],[% Uti. producción]])</f>
        <v>0</v>
      </c>
      <c r="BR280" s="100"/>
    </row>
    <row r="281" spans="1:70" ht="16" hidden="1" x14ac:dyDescent="0.2">
      <c r="A281">
        <v>2</v>
      </c>
      <c r="B281" t="str">
        <f>Tabla1[[#This Row],[Oficina]]&amp;Tabla1[[#This Row],[Material]]</f>
        <v>Agrosuper Shanghai1023035</v>
      </c>
      <c r="C281" t="s">
        <v>6</v>
      </c>
      <c r="D281" t="s">
        <v>140</v>
      </c>
      <c r="E281">
        <v>1023035</v>
      </c>
      <c r="F281" t="s">
        <v>601</v>
      </c>
      <c r="G281" t="s">
        <v>71</v>
      </c>
      <c r="H281" t="s">
        <v>72</v>
      </c>
      <c r="I281" s="15">
        <f>IFERROR(VLOOKUP(Tabla1[[#This Row],[Llave]],'[7]RV Producción'!$C:$G,5,FALSE),0)</f>
        <v>0</v>
      </c>
      <c r="J281" s="3">
        <f>IFERROR(IF(Tabla1[[#This Row],[Oficina]]=$I$7,VLOOKUP(Tabla1[[#This Row],[Llave]],'[7]Shangai (Tomas)'!$A:$F,6,FALSE),VLOOKUP(Tabla1[[#This Row],[Llave]],'[7]RV plan de ventas'!$A:$E,5,FALSE)),0)</f>
        <v>0</v>
      </c>
      <c r="K281" s="17">
        <f>IFERROR(VLOOKUP(Tabla1[[#This Row],[Oficina]],[15]Ponderación!$B$2:$E$9,4,FALSE),0)</f>
        <v>0.45719439678473212</v>
      </c>
      <c r="L281" s="7">
        <f>+Tabla1[[#This Row],[ RV Producción mes n+1]]*Tabla1[[#This Row],[% Uti. producción]]</f>
        <v>0</v>
      </c>
      <c r="M281" s="7">
        <f>IFERROR(VLOOKUP(Tabla1[[#This Row],[Material]],'[17]TD Stock'!$E:$I,5,FALSE),0)</f>
        <v>3455.3979999999992</v>
      </c>
      <c r="N281" s="7">
        <f>IFERROR(VLOOKUP(Tabla1[[#This Row],[Material]],[16]Produccion!$M:$N,2,FALSE),0)</f>
        <v>2468</v>
      </c>
      <c r="O281" s="7">
        <f>IFERROR(VLOOKUP(Tabla1[[#This Row],[Llave]],'[16]TD Conf-AP'!$I:$M,4,FALSE),0)</f>
        <v>0</v>
      </c>
      <c r="P281" s="37">
        <f>SUM(Tabla1[[#This Row],[Producción disponible]],Tabla1[[#This Row],[Stock al día]],(Tabla1[[#This Row],[Por producir mes N]]*0.9))-Tabla1[[#This Row],[Producción por despachar mes N]]</f>
        <v>5676.598</v>
      </c>
      <c r="Q281" s="7">
        <f>IFERROR(VLOOKUP(Tabla1[[#This Row],[Llave]],[17]DELAY!$A:$D,4,FALSE),0)</f>
        <v>24000</v>
      </c>
      <c r="R281" s="9">
        <v>24000</v>
      </c>
      <c r="S281" s="5">
        <f t="shared" si="33"/>
        <v>0</v>
      </c>
      <c r="T281" s="76">
        <v>0</v>
      </c>
      <c r="U281" s="5">
        <f>+Tabla1[[#This Row],[Atraso a facturar]]+Tabla1[[#This Row],[Ajuste atraso]]</f>
        <v>0</v>
      </c>
      <c r="V281" s="3">
        <f>+Tabla1[[#This Row],[Total disponible]]-Tabla1[[#This Row],[Facturación atraso]]</f>
        <v>5676.598</v>
      </c>
      <c r="W281" s="6">
        <f>IFERROR(IF(AND(V281&gt;R281,J281&gt;=R281),ROUNDDOWN((Tabla1[[#This Row],[Producción para venta nueva]])/R281,0)*R281,0),0)</f>
        <v>0</v>
      </c>
      <c r="X281" s="76">
        <v>0</v>
      </c>
      <c r="Y281" s="6">
        <f>IF(Tabla1[[#This Row],[Venta del mes]]&gt;0,Tabla1[[#This Row],[Venta del mes]]+Tabla1[[#This Row],[Ajuste venta nueva]],0)</f>
        <v>0</v>
      </c>
      <c r="Z281" s="6">
        <f>+Tabla1[[#This Row],[Producción para venta nueva]]-Tabla1[[#This Row],[Facturación Venta nueva]]</f>
        <v>5676.598</v>
      </c>
      <c r="AA281" s="6">
        <f>IF(AND(A281=1,Tabla1[[#This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1" s="6"/>
      <c r="AC281" s="6">
        <f>IF(Tabla1[[#This Row],[Disponible stock sin venta]]&gt;0,Tabla1[[#This Row],[Disponible stock sin venta]]+Tabla1[[#This Row],[Ajuste stock sin venta]],0)</f>
        <v>0</v>
      </c>
      <c r="AD281" s="3">
        <f>IFERROR(VLOOKUP(Tabla1[[#This Row],[Llave]],'[16]TD Puerto'!$A:$D,4,FALSE),0)</f>
        <v>0</v>
      </c>
      <c r="AE281" s="3">
        <v>0</v>
      </c>
      <c r="AF281" s="3">
        <f>+Tabla1[[#This Row],[Atraso a facturar]]+Tabla1[[#This Row],[Venta del mes]]+Tabla1[[#This Row],[En puerto a facturar]]+Tabla1[[#This Row],[Disponible stock sin venta]]</f>
        <v>0</v>
      </c>
      <c r="AG281" s="3">
        <f>+Tabla1[[#This Row],[En puerto a facturar]]</f>
        <v>0</v>
      </c>
      <c r="AH281" s="3">
        <f>+Tabla1[[#This Row],[Facturación atraso]]</f>
        <v>0</v>
      </c>
      <c r="AI281" s="3">
        <f>+Tabla1[[#This Row],[Plan Irrestricto]]-Tabla1[[#This Row],[Puerto ]]-Tabla1[[#This Row],[Atraso]]</f>
        <v>0</v>
      </c>
      <c r="AJ28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81" s="3">
        <f>+Tabla1[[#This Row],[Facturación atraso]]</f>
        <v>0</v>
      </c>
      <c r="AL281" s="3">
        <f>+Tabla1[[#This Row],[Plan Ajustado]]-Tabla1[[#This Row],[ Atraso ajustado]]-Tabla1[[#This Row],[Puerto ]]</f>
        <v>0</v>
      </c>
      <c r="AM281" s="3">
        <v>0</v>
      </c>
      <c r="AN281" s="3" t="str">
        <f>IF(Tabla1[[#This Row],[Plan Ajustado]]&gt;Tabla1[[#This Row],[En puerto a facturar]],"Si","No")</f>
        <v>No</v>
      </c>
      <c r="AO28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81" s="3">
        <f>IF(Tabla1[[#This Row],[Necesidad]]&gt;=Tabla1[[#This Row],[Stock al día]],Tabla1[[#This Row],[Stock al día]],Tabla1[[#This Row],[Necesidad]])</f>
        <v>0</v>
      </c>
      <c r="AQ281" s="3">
        <f>+Tabla1[[#This Row],[Necesidad]]-Tabla1[[#This Row],[Stock Plan]]</f>
        <v>0</v>
      </c>
      <c r="AR281" s="156">
        <f>IFERROR(VLOOKUP(Tabla1[[#This Row],[Oficina]],[22]Ponderación!$B$3:$G$9,6,FALSE),"")</f>
        <v>44754</v>
      </c>
      <c r="AS28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81" s="83">
        <f>IFERROR(VLOOKUP(Tabla1[[#This Row],[Llave]],[17]DELAY!$H:$W,16,FALSE),0)</f>
        <v>0.93333333333333302</v>
      </c>
      <c r="AU28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81" s="5">
        <f>+Tabla1[[#This Row],[Plan Ajustado]]*Tabla1[[#This Row],[Precio ponderado]]</f>
        <v>0</v>
      </c>
      <c r="AW281" s="30">
        <f>IFERROR(VLOOKUP(Tabla1[[#This Row],[Llave]],'[13]Ultimos precios facturados'!$A:$G,7,FALSE),0)</f>
        <v>0</v>
      </c>
      <c r="AX28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81" s="30"/>
      <c r="AZ281" s="30">
        <f>IF(Tabla1[[#This Row],[Ajuste precio IC]]="",Tabla1[[#This Row],[Precio ponderado]],Tabla1[[#This Row],[Precio ponderado]])</f>
        <v>0</v>
      </c>
      <c r="BA281" s="82"/>
      <c r="BB281" s="82" t="str">
        <f>IF(AND(Tabla1[[#This Row],[Atraso a facturar]]&gt;0,Tabla1[[#This Row],[Precio Atraso]]=0),"Revisar","OK")</f>
        <v>OK</v>
      </c>
      <c r="BC281" s="82" t="str">
        <f>IF(AND(Tabla1[[#This Row],[Venta del mes]]&gt;0,Tabla1[[#This Row],[Precio venta nueva]]=0),"Revisar","OK")</f>
        <v>OK</v>
      </c>
      <c r="BD281" s="20">
        <f>IFERROR(VLOOKUP(Tabla1[[#This Row],[Llave]],'[5]Consolidación planes'!$A:$M,9,FALSE),0)</f>
        <v>0</v>
      </c>
      <c r="BE281" s="20">
        <f>IFERROR(VLOOKUP(Tabla1[[#This Row],[Llave]],'[5]Consolidación planes'!$A:$M,10,FALSE),0)</f>
        <v>0</v>
      </c>
      <c r="BF281" s="20">
        <f>IFERROR(VLOOKUP(Tabla1[[#This Row],[Llave]],'[5]Consolidación planes'!$A:$M,11,FALSE),0)</f>
        <v>0</v>
      </c>
      <c r="BG281" s="20">
        <f>IFERROR(VLOOKUP(Tabla1[[#This Row],[Llave]],'[5]Consolidación planes'!$A:$M,12,FALSE),0)</f>
        <v>0</v>
      </c>
      <c r="BH281" s="20">
        <f>IFERROR(VLOOKUP(Tabla1[[#This Row],[Llave]],'[5]Consolidación planes'!$A:$M,13,FALSE),0)</f>
        <v>0</v>
      </c>
      <c r="BI281" s="20">
        <f>IFERROR(VLOOKUP(Tabla1[[#This Row],[Llave]],'[13]Base ultimos planes'!$A:$M,13,FALSE),0)</f>
        <v>0</v>
      </c>
      <c r="BJ281" s="80">
        <f>IFERROR(VLOOKUP(Tabla1[[#This Row],[Llave]],'[13]Base ultimos planes'!$O:$AA,8,FALSE),0)</f>
        <v>0</v>
      </c>
      <c r="BK281" s="20">
        <f>IFERROR(VLOOKUP(Tabla1[[#This Row],[Llave]],'[13]Base ultimos planes'!$O:$AA,9,FALSE),0)</f>
        <v>0</v>
      </c>
      <c r="BL281" s="20">
        <f>IFERROR(VLOOKUP(Tabla1[[#This Row],[Llave]],'[13]Base ultimos planes'!$O:$AA,10,FALSE),0)</f>
        <v>0</v>
      </c>
      <c r="BM281" s="20">
        <f>IFERROR(VLOOKUP(Tabla1[[#This Row],[Llave]],'[13]Base ultimos planes'!$O:$AA,11,FALSE),0)</f>
        <v>0</v>
      </c>
      <c r="BN281" s="20">
        <f>IFERROR(VLOOKUP(Tabla1[[#This Row],[Llave]],'[13]Base ultimos planes'!$O:$AA,12,FALSE),0)</f>
        <v>0</v>
      </c>
      <c r="BO281" s="20">
        <f>IFERROR(VLOOKUP(Tabla1[[#This Row],[Llave]],'[13]Base ultimos planes'!$O:$AA,13,FALSE),0)</f>
        <v>0</v>
      </c>
      <c r="BP281" s="35"/>
      <c r="BQ281" s="20">
        <f>+Tabla1[[#This Row],[ RV  Venta mes n+1]]*(1-Tabla1[[#This Row],[% Uti. producción]])</f>
        <v>0</v>
      </c>
      <c r="BR281" s="100"/>
    </row>
    <row r="282" spans="1:70" ht="16" x14ac:dyDescent="0.2">
      <c r="A282">
        <v>2</v>
      </c>
      <c r="B282" t="str">
        <f>Tabla1[[#This Row],[Oficina]]&amp;Tabla1[[#This Row],[Material]]</f>
        <v>Agrosuper Shanghai1023362</v>
      </c>
      <c r="C282" t="s">
        <v>6</v>
      </c>
      <c r="D282" t="s">
        <v>140</v>
      </c>
      <c r="E282">
        <v>1023362</v>
      </c>
      <c r="F282" t="s">
        <v>602</v>
      </c>
      <c r="G282" t="s">
        <v>603</v>
      </c>
      <c r="H282" t="s">
        <v>604</v>
      </c>
      <c r="I282" s="15">
        <f>IFERROR(VLOOKUP(Tabla1[[#This Row],[Llave]],'[7]RV Producción'!$C:$G,5,FALSE),0)</f>
        <v>0</v>
      </c>
      <c r="J282" s="3">
        <f>IFERROR(IF(Tabla1[[#This Row],[Oficina]]=$I$7,VLOOKUP(Tabla1[[#This Row],[Llave]],'[7]Shangai (Tomas)'!$A:$F,6,FALSE),VLOOKUP(Tabla1[[#This Row],[Llave]],'[7]RV plan de ventas'!$A:$E,5,FALSE)),0)</f>
        <v>0</v>
      </c>
      <c r="K282" s="17">
        <f>IFERROR(VLOOKUP(Tabla1[[#This Row],[Oficina]],[15]Ponderación!$B$2:$E$9,4,FALSE),0)</f>
        <v>0.45719439678473212</v>
      </c>
      <c r="L282" s="7">
        <f>+Tabla1[[#This Row],[ RV Producción mes n+1]]*Tabla1[[#This Row],[% Uti. producción]]</f>
        <v>0</v>
      </c>
      <c r="M282" s="7">
        <f>IFERROR(VLOOKUP(Tabla1[[#This Row],[Material]],'[17]TD Stock'!$E:$I,5,FALSE),0)</f>
        <v>8116.5509999999995</v>
      </c>
      <c r="N282" s="7">
        <f>IFERROR(VLOOKUP(Tabla1[[#This Row],[Material]],[16]Produccion!$M:$N,2,FALSE),0)</f>
        <v>0</v>
      </c>
      <c r="O282" s="7">
        <f>IFERROR(VLOOKUP(Tabla1[[#This Row],[Llave]],'[16]TD Conf-AP'!$I:$M,4,FALSE),0)</f>
        <v>0</v>
      </c>
      <c r="P282" s="37">
        <f>SUM(Tabla1[[#This Row],[Producción disponible]],Tabla1[[#This Row],[Stock al día]],(Tabla1[[#This Row],[Por producir mes N]]*0.9))-Tabla1[[#This Row],[Producción por despachar mes N]]</f>
        <v>8116.5509999999995</v>
      </c>
      <c r="Q282" s="7">
        <f>IFERROR(VLOOKUP(Tabla1[[#This Row],[Llave]],[17]DELAY!$A:$D,4,FALSE),0)</f>
        <v>6949</v>
      </c>
      <c r="R282" s="9">
        <v>7761</v>
      </c>
      <c r="S282" s="5">
        <f t="shared" si="33"/>
        <v>6949</v>
      </c>
      <c r="T282" s="76">
        <v>0</v>
      </c>
      <c r="U282" s="5">
        <f>+Tabla1[[#This Row],[Atraso a facturar]]+Tabla1[[#This Row],[Ajuste atraso]]</f>
        <v>6949</v>
      </c>
      <c r="V282" s="3">
        <f>+Tabla1[[#This Row],[Total disponible]]-Tabla1[[#This Row],[Facturación atraso]]</f>
        <v>1167.5509999999995</v>
      </c>
      <c r="W282" s="6">
        <f>IFERROR(IF(AND(V282&gt;R282,J282&gt;=R282),ROUNDDOWN((Tabla1[[#This Row],[Producción para venta nueva]])/R282,0)*R282,0),0)</f>
        <v>0</v>
      </c>
      <c r="X282" s="76">
        <v>0</v>
      </c>
      <c r="Y282" s="6">
        <f>IF(Tabla1[[#This Row],[Venta del mes]]&gt;0,Tabla1[[#This Row],[Venta del mes]]+Tabla1[[#This Row],[Ajuste venta nueva]],0)</f>
        <v>0</v>
      </c>
      <c r="Z282" s="6">
        <f>+Tabla1[[#This Row],[Producción para venta nueva]]-Tabla1[[#This Row],[Facturación Venta nueva]]</f>
        <v>1167.5509999999995</v>
      </c>
      <c r="AA282" s="6">
        <f>IF(AND(A282=1,Tabla1[[#This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2" s="6"/>
      <c r="AC282" s="6">
        <f>IF(Tabla1[[#This Row],[Disponible stock sin venta]]&gt;0,Tabla1[[#This Row],[Disponible stock sin venta]]+Tabla1[[#This Row],[Ajuste stock sin venta]],0)</f>
        <v>0</v>
      </c>
      <c r="AD282" s="3">
        <f>IFERROR(VLOOKUP(Tabla1[[#This Row],[Llave]],'[16]TD Puerto'!$A:$D,4,FALSE),0)</f>
        <v>0</v>
      </c>
      <c r="AE282" s="3">
        <v>6949</v>
      </c>
      <c r="AF282" s="3">
        <f>+Tabla1[[#This Row],[Atraso a facturar]]+Tabla1[[#This Row],[Venta del mes]]+Tabla1[[#This Row],[En puerto a facturar]]+Tabla1[[#This Row],[Disponible stock sin venta]]</f>
        <v>6949</v>
      </c>
      <c r="AG282" s="3">
        <f>+Tabla1[[#This Row],[En puerto a facturar]]</f>
        <v>0</v>
      </c>
      <c r="AH282" s="3">
        <f>+Tabla1[[#This Row],[Facturación atraso]]</f>
        <v>6949</v>
      </c>
      <c r="AI282" s="3">
        <f>+Tabla1[[#This Row],[Plan Irrestricto]]-Tabla1[[#This Row],[Puerto ]]-Tabla1[[#This Row],[Atraso]]</f>
        <v>0</v>
      </c>
      <c r="AJ282" s="3">
        <f>IF(Tabla1[[#This Row],[Plan Irrestricto]]&gt;0,SUM(Tabla1[[#This Row],[Facturación atraso]],Tabla1[[#This Row],[Facturación Venta nueva]],Tabla1[[#This Row],[Facturación stock]],Tabla1[[#This Row],[En puerto a facturar]]),0)</f>
        <v>6949</v>
      </c>
      <c r="AK282" s="3">
        <f>+Tabla1[[#This Row],[Facturación atraso]]</f>
        <v>6949</v>
      </c>
      <c r="AL282" s="3">
        <f>+Tabla1[[#This Row],[Plan Ajustado]]-Tabla1[[#This Row],[ Atraso ajustado]]-Tabla1[[#This Row],[Puerto ]]</f>
        <v>0</v>
      </c>
      <c r="AM282" s="3">
        <v>0</v>
      </c>
      <c r="AN282" s="3" t="str">
        <f>IF(Tabla1[[#This Row],[Plan Ajustado]]&gt;Tabla1[[#This Row],[En puerto a facturar]],"Si","No")</f>
        <v>Si</v>
      </c>
      <c r="AO282" s="3">
        <f>IF(AND(Tabla1[[#This Row],[Plan Ajustado]]&gt;0,Tabla1[[#This Row],[Plan Ajustado]]&gt;Tabla1[[#This Row],[En puerto a facturar]]),(Tabla1[[#This Row],[Plan Ajustado]]-Tabla1[[#This Row],[En puerto a facturar]]),0)</f>
        <v>6949</v>
      </c>
      <c r="AP282" s="3">
        <f>IF(Tabla1[[#This Row],[Necesidad]]&gt;=Tabla1[[#This Row],[Stock al día]],Tabla1[[#This Row],[Stock al día]],Tabla1[[#This Row],[Necesidad]])</f>
        <v>6949</v>
      </c>
      <c r="AQ282" s="3">
        <f>+Tabla1[[#This Row],[Necesidad]]-Tabla1[[#This Row],[Stock Plan]]</f>
        <v>0</v>
      </c>
      <c r="AR282" s="156">
        <f>IFERROR(VLOOKUP(Tabla1[[#This Row],[Oficina]],[22]Ponderación!$B$3:$G$9,6,FALSE),"")</f>
        <v>44754</v>
      </c>
      <c r="AS28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1.6326066589652759</v>
      </c>
      <c r="AT282" s="83">
        <f>IFERROR(VLOOKUP(Tabla1[[#This Row],[Llave]],[17]DELAY!$H:$W,16,FALSE),0)</f>
        <v>1.6671556537924599</v>
      </c>
      <c r="AU28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1.6671556537924599</v>
      </c>
      <c r="AV282" s="5">
        <f>+Tabla1[[#This Row],[Plan Ajustado]]*Tabla1[[#This Row],[Precio ponderado]]</f>
        <v>11585.064638203803</v>
      </c>
      <c r="AW282" s="30">
        <f>IFERROR(VLOOKUP(Tabla1[[#This Row],[Llave]],'[13]Ultimos precios facturados'!$A:$G,7,FALSE),0)</f>
        <v>1.6326066589652759</v>
      </c>
      <c r="AX282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2.1161860781016704E-2</v>
      </c>
      <c r="AY282" s="30"/>
      <c r="AZ282" s="30">
        <f>IF(Tabla1[[#This Row],[Ajuste precio IC]]="",Tabla1[[#This Row],[Precio ponderado]],Tabla1[[#This Row],[Precio ponderado]])</f>
        <v>1.6671556537924599</v>
      </c>
      <c r="BA282" s="82"/>
      <c r="BB282" s="82" t="str">
        <f>IF(AND(Tabla1[[#This Row],[Atraso a facturar]]&gt;0,Tabla1[[#This Row],[Precio Atraso]]=0),"Revisar","OK")</f>
        <v>OK</v>
      </c>
      <c r="BC282" s="82" t="str">
        <f>IF(AND(Tabla1[[#This Row],[Venta del mes]]&gt;0,Tabla1[[#This Row],[Precio venta nueva]]=0),"Revisar","OK")</f>
        <v>OK</v>
      </c>
      <c r="BD282" s="20">
        <f>IFERROR(VLOOKUP(Tabla1[[#This Row],[Llave]],'[5]Consolidación planes'!$A:$M,9,FALSE),0)</f>
        <v>0</v>
      </c>
      <c r="BE282" s="20">
        <f>IFERROR(VLOOKUP(Tabla1[[#This Row],[Llave]],'[5]Consolidación planes'!$A:$M,10,FALSE),0)</f>
        <v>0</v>
      </c>
      <c r="BF282" s="20">
        <f>IFERROR(VLOOKUP(Tabla1[[#This Row],[Llave]],'[5]Consolidación planes'!$A:$M,11,FALSE),0)</f>
        <v>0</v>
      </c>
      <c r="BG282" s="20">
        <f>IFERROR(VLOOKUP(Tabla1[[#This Row],[Llave]],'[5]Consolidación planes'!$A:$M,12,FALSE),0)</f>
        <v>0</v>
      </c>
      <c r="BH282" s="20">
        <f>IFERROR(VLOOKUP(Tabla1[[#This Row],[Llave]],'[5]Consolidación planes'!$A:$M,13,FALSE),0)</f>
        <v>0</v>
      </c>
      <c r="BI282" s="20">
        <f>IFERROR(VLOOKUP(Tabla1[[#This Row],[Llave]],'[13]Base ultimos planes'!$A:$M,13,FALSE),0)</f>
        <v>7761</v>
      </c>
      <c r="BJ282" s="80">
        <f>IFERROR(VLOOKUP(Tabla1[[#This Row],[Llave]],'[13]Base ultimos planes'!$O:$AA,8,FALSE),0)</f>
        <v>0</v>
      </c>
      <c r="BK282" s="20">
        <f>IFERROR(VLOOKUP(Tabla1[[#This Row],[Llave]],'[13]Base ultimos planes'!$O:$AA,9,FALSE),0)</f>
        <v>0</v>
      </c>
      <c r="BL282" s="20">
        <f>IFERROR(VLOOKUP(Tabla1[[#This Row],[Llave]],'[13]Base ultimos planes'!$O:$AA,10,FALSE),0)</f>
        <v>0</v>
      </c>
      <c r="BM282" s="20">
        <f>IFERROR(VLOOKUP(Tabla1[[#This Row],[Llave]],'[13]Base ultimos planes'!$O:$AA,11,FALSE),0)</f>
        <v>0</v>
      </c>
      <c r="BN282" s="20">
        <f>IFERROR(VLOOKUP(Tabla1[[#This Row],[Llave]],'[13]Base ultimos planes'!$O:$AA,12,FALSE),0)</f>
        <v>0</v>
      </c>
      <c r="BO282" s="20">
        <f>IFERROR(VLOOKUP(Tabla1[[#This Row],[Llave]],'[13]Base ultimos planes'!$O:$AA,13,FALSE),0)</f>
        <v>12805</v>
      </c>
      <c r="BP282" s="35"/>
      <c r="BQ282" s="20">
        <f>+Tabla1[[#This Row],[ RV  Venta mes n+1]]*(1-Tabla1[[#This Row],[% Uti. producción]])</f>
        <v>0</v>
      </c>
      <c r="BR282" s="100"/>
    </row>
    <row r="283" spans="1:70" ht="16" x14ac:dyDescent="0.2">
      <c r="A283">
        <v>2</v>
      </c>
      <c r="B283" t="str">
        <f>Tabla1[[#This Row],[Oficina]]&amp;Tabla1[[#This Row],[Material]]</f>
        <v>Agrosuper Shanghai1023363</v>
      </c>
      <c r="C283" t="s">
        <v>6</v>
      </c>
      <c r="D283" t="s">
        <v>140</v>
      </c>
      <c r="E283">
        <v>1023363</v>
      </c>
      <c r="F283" t="s">
        <v>605</v>
      </c>
      <c r="G283" t="s">
        <v>603</v>
      </c>
      <c r="H283" t="s">
        <v>606</v>
      </c>
      <c r="I283" s="15">
        <f>IFERROR(VLOOKUP(Tabla1[[#This Row],[Llave]],'[7]RV Producción'!$C:$G,5,FALSE),0)</f>
        <v>0</v>
      </c>
      <c r="J283" s="3">
        <f>IFERROR(IF(Tabla1[[#This Row],[Oficina]]=$I$7,VLOOKUP(Tabla1[[#This Row],[Llave]],'[7]Shangai (Tomas)'!$A:$F,6,FALSE),VLOOKUP(Tabla1[[#This Row],[Llave]],'[7]RV plan de ventas'!$A:$E,5,FALSE)),0)</f>
        <v>0</v>
      </c>
      <c r="K283" s="17">
        <f>IFERROR(VLOOKUP(Tabla1[[#This Row],[Oficina]],[15]Ponderación!$B$2:$E$9,4,FALSE),0)</f>
        <v>0.45719439678473212</v>
      </c>
      <c r="L283" s="7">
        <f>+Tabla1[[#This Row],[ RV Producción mes n+1]]*Tabla1[[#This Row],[% Uti. producción]]</f>
        <v>0</v>
      </c>
      <c r="M283" s="7">
        <f>IFERROR(VLOOKUP(Tabla1[[#This Row],[Material]],'[17]TD Stock'!$E:$I,5,FALSE),0)</f>
        <v>8420.9369999999999</v>
      </c>
      <c r="N283" s="7">
        <f>IFERROR(VLOOKUP(Tabla1[[#This Row],[Material]],[16]Produccion!$M:$N,2,FALSE),0)</f>
        <v>0</v>
      </c>
      <c r="O283" s="7">
        <f>IFERROR(VLOOKUP(Tabla1[[#This Row],[Llave]],'[16]TD Conf-AP'!$I:$M,4,FALSE),0)</f>
        <v>0</v>
      </c>
      <c r="P283" s="37">
        <f>SUM(Tabla1[[#This Row],[Producción disponible]],Tabla1[[#This Row],[Stock al día]],(Tabla1[[#This Row],[Por producir mes N]]*0.9))-Tabla1[[#This Row],[Producción por despachar mes N]]</f>
        <v>8420.9369999999999</v>
      </c>
      <c r="Q283" s="7">
        <f>IFERROR(VLOOKUP(Tabla1[[#This Row],[Llave]],[17]DELAY!$A:$D,4,FALSE),0)</f>
        <v>6127</v>
      </c>
      <c r="R283" s="9">
        <v>6843</v>
      </c>
      <c r="S283" s="5">
        <f t="shared" si="33"/>
        <v>6127</v>
      </c>
      <c r="T283" s="76">
        <v>0</v>
      </c>
      <c r="U283" s="5">
        <f>+Tabla1[[#This Row],[Atraso a facturar]]+Tabla1[[#This Row],[Ajuste atraso]]</f>
        <v>6127</v>
      </c>
      <c r="V283" s="3">
        <f>+Tabla1[[#This Row],[Total disponible]]-Tabla1[[#This Row],[Facturación atraso]]</f>
        <v>2293.9369999999999</v>
      </c>
      <c r="W283" s="6">
        <f>IFERROR(IF(AND(V283&gt;R283,J283&gt;=R283),ROUNDDOWN((Tabla1[[#This Row],[Producción para venta nueva]])/R283,0)*R283,0),0)</f>
        <v>0</v>
      </c>
      <c r="X283" s="76">
        <v>0</v>
      </c>
      <c r="Y283" s="6">
        <f>IF(Tabla1[[#This Row],[Venta del mes]]&gt;0,Tabla1[[#This Row],[Venta del mes]]+Tabla1[[#This Row],[Ajuste venta nueva]],0)</f>
        <v>0</v>
      </c>
      <c r="Z283" s="6">
        <f>+Tabla1[[#This Row],[Producción para venta nueva]]-Tabla1[[#This Row],[Facturación Venta nueva]]</f>
        <v>2293.9369999999999</v>
      </c>
      <c r="AA283" s="6">
        <f>IF(AND(A283=1,Tabla1[[#This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3" s="6"/>
      <c r="AC283" s="6">
        <f>IF(Tabla1[[#This Row],[Disponible stock sin venta]]&gt;0,Tabla1[[#This Row],[Disponible stock sin venta]]+Tabla1[[#This Row],[Ajuste stock sin venta]],0)</f>
        <v>0</v>
      </c>
      <c r="AD283" s="3">
        <f>IFERROR(VLOOKUP(Tabla1[[#This Row],[Llave]],'[16]TD Puerto'!$A:$D,4,FALSE),0)</f>
        <v>0</v>
      </c>
      <c r="AE283" s="3">
        <v>6127</v>
      </c>
      <c r="AF283" s="3">
        <f>+Tabla1[[#This Row],[Atraso a facturar]]+Tabla1[[#This Row],[Venta del mes]]+Tabla1[[#This Row],[En puerto a facturar]]+Tabla1[[#This Row],[Disponible stock sin venta]]</f>
        <v>6127</v>
      </c>
      <c r="AG283" s="3">
        <f>+Tabla1[[#This Row],[En puerto a facturar]]</f>
        <v>0</v>
      </c>
      <c r="AH283" s="3">
        <f>+Tabla1[[#This Row],[Facturación atraso]]</f>
        <v>6127</v>
      </c>
      <c r="AI283" s="3">
        <f>+Tabla1[[#This Row],[Plan Irrestricto]]-Tabla1[[#This Row],[Puerto ]]-Tabla1[[#This Row],[Atraso]]</f>
        <v>0</v>
      </c>
      <c r="AJ283" s="3">
        <f>IF(Tabla1[[#This Row],[Plan Irrestricto]]&gt;0,SUM(Tabla1[[#This Row],[Facturación atraso]],Tabla1[[#This Row],[Facturación Venta nueva]],Tabla1[[#This Row],[Facturación stock]],Tabla1[[#This Row],[En puerto a facturar]]),0)</f>
        <v>6127</v>
      </c>
      <c r="AK283" s="3">
        <f>+Tabla1[[#This Row],[Facturación atraso]]</f>
        <v>6127</v>
      </c>
      <c r="AL283" s="3">
        <f>+Tabla1[[#This Row],[Plan Ajustado]]-Tabla1[[#This Row],[ Atraso ajustado]]-Tabla1[[#This Row],[Puerto ]]</f>
        <v>0</v>
      </c>
      <c r="AM283" s="3">
        <v>0</v>
      </c>
      <c r="AN283" s="3" t="str">
        <f>IF(Tabla1[[#This Row],[Plan Ajustado]]&gt;Tabla1[[#This Row],[En puerto a facturar]],"Si","No")</f>
        <v>Si</v>
      </c>
      <c r="AO283" s="3">
        <f>IF(AND(Tabla1[[#This Row],[Plan Ajustado]]&gt;0,Tabla1[[#This Row],[Plan Ajustado]]&gt;Tabla1[[#This Row],[En puerto a facturar]]),(Tabla1[[#This Row],[Plan Ajustado]]-Tabla1[[#This Row],[En puerto a facturar]]),0)</f>
        <v>6127</v>
      </c>
      <c r="AP283" s="3">
        <f>IF(Tabla1[[#This Row],[Necesidad]]&gt;=Tabla1[[#This Row],[Stock al día]],Tabla1[[#This Row],[Stock al día]],Tabla1[[#This Row],[Necesidad]])</f>
        <v>6127</v>
      </c>
      <c r="AQ283" s="3">
        <f>+Tabla1[[#This Row],[Necesidad]]-Tabla1[[#This Row],[Stock Plan]]</f>
        <v>0</v>
      </c>
      <c r="AR283" s="156">
        <f>IFERROR(VLOOKUP(Tabla1[[#This Row],[Oficina]],[22]Ponderación!$B$3:$G$9,6,FALSE),"")</f>
        <v>44754</v>
      </c>
      <c r="AS28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1.6320950278744659</v>
      </c>
      <c r="AT283" s="83">
        <f>IFERROR(VLOOKUP(Tabla1[[#This Row],[Llave]],[17]DELAY!$H:$W,16,FALSE),0)</f>
        <v>1.6651828334916503</v>
      </c>
      <c r="AU28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1.6651828334916503</v>
      </c>
      <c r="AV283" s="5">
        <f>+Tabla1[[#This Row],[Plan Ajustado]]*Tabla1[[#This Row],[Precio ponderado]]</f>
        <v>10202.575220803341</v>
      </c>
      <c r="AW283" s="30">
        <f>IFERROR(VLOOKUP(Tabla1[[#This Row],[Llave]],'[13]Ultimos precios facturados'!$A:$G,7,FALSE),0)</f>
        <v>1.6320950278744659</v>
      </c>
      <c r="AX283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2.0273210231070787E-2</v>
      </c>
      <c r="AY283" s="30"/>
      <c r="AZ283" s="30">
        <f>IF(Tabla1[[#This Row],[Ajuste precio IC]]="",Tabla1[[#This Row],[Precio ponderado]],Tabla1[[#This Row],[Precio ponderado]])</f>
        <v>1.6651828334916503</v>
      </c>
      <c r="BA283" s="82"/>
      <c r="BB283" s="82" t="str">
        <f>IF(AND(Tabla1[[#This Row],[Atraso a facturar]]&gt;0,Tabla1[[#This Row],[Precio Atraso]]=0),"Revisar","OK")</f>
        <v>OK</v>
      </c>
      <c r="BC283" s="82" t="str">
        <f>IF(AND(Tabla1[[#This Row],[Venta del mes]]&gt;0,Tabla1[[#This Row],[Precio venta nueva]]=0),"Revisar","OK")</f>
        <v>OK</v>
      </c>
      <c r="BD283" s="20">
        <f>IFERROR(VLOOKUP(Tabla1[[#This Row],[Llave]],'[5]Consolidación planes'!$A:$M,9,FALSE),0)</f>
        <v>0</v>
      </c>
      <c r="BE283" s="20">
        <f>IFERROR(VLOOKUP(Tabla1[[#This Row],[Llave]],'[5]Consolidación planes'!$A:$M,10,FALSE),0)</f>
        <v>0</v>
      </c>
      <c r="BF283" s="20">
        <f>IFERROR(VLOOKUP(Tabla1[[#This Row],[Llave]],'[5]Consolidación planes'!$A:$M,11,FALSE),0)</f>
        <v>0</v>
      </c>
      <c r="BG283" s="20">
        <f>IFERROR(VLOOKUP(Tabla1[[#This Row],[Llave]],'[5]Consolidación planes'!$A:$M,12,FALSE),0)</f>
        <v>0</v>
      </c>
      <c r="BH283" s="20">
        <f>IFERROR(VLOOKUP(Tabla1[[#This Row],[Llave]],'[5]Consolidación planes'!$A:$M,13,FALSE),0)</f>
        <v>0</v>
      </c>
      <c r="BI283" s="20">
        <f>IFERROR(VLOOKUP(Tabla1[[#This Row],[Llave]],'[13]Base ultimos planes'!$A:$M,13,FALSE),0)</f>
        <v>6843</v>
      </c>
      <c r="BJ283" s="80">
        <f>IFERROR(VLOOKUP(Tabla1[[#This Row],[Llave]],'[13]Base ultimos planes'!$O:$AA,8,FALSE),0)</f>
        <v>0</v>
      </c>
      <c r="BK283" s="20">
        <f>IFERROR(VLOOKUP(Tabla1[[#This Row],[Llave]],'[13]Base ultimos planes'!$O:$AA,9,FALSE),0)</f>
        <v>0</v>
      </c>
      <c r="BL283" s="20">
        <f>IFERROR(VLOOKUP(Tabla1[[#This Row],[Llave]],'[13]Base ultimos planes'!$O:$AA,10,FALSE),0)</f>
        <v>0</v>
      </c>
      <c r="BM283" s="20">
        <f>IFERROR(VLOOKUP(Tabla1[[#This Row],[Llave]],'[13]Base ultimos planes'!$O:$AA,11,FALSE),0)</f>
        <v>0</v>
      </c>
      <c r="BN283" s="20">
        <f>IFERROR(VLOOKUP(Tabla1[[#This Row],[Llave]],'[13]Base ultimos planes'!$O:$AA,12,FALSE),0)</f>
        <v>0</v>
      </c>
      <c r="BO283" s="20">
        <f>IFERROR(VLOOKUP(Tabla1[[#This Row],[Llave]],'[13]Base ultimos planes'!$O:$AA,13,FALSE),0)</f>
        <v>11302</v>
      </c>
      <c r="BP283" s="35"/>
      <c r="BQ283" s="20">
        <f>+Tabla1[[#This Row],[ RV  Venta mes n+1]]*(1-Tabla1[[#This Row],[% Uti. producción]])</f>
        <v>0</v>
      </c>
      <c r="BR283" s="100"/>
    </row>
    <row r="284" spans="1:70" ht="16" hidden="1" x14ac:dyDescent="0.2">
      <c r="A284">
        <v>2</v>
      </c>
      <c r="B284" t="str">
        <f>Tabla1[[#This Row],[Oficina]]&amp;Tabla1[[#This Row],[Material]]</f>
        <v>Agrosuper Shanghai1023364</v>
      </c>
      <c r="C284" t="s">
        <v>6</v>
      </c>
      <c r="D284" t="s">
        <v>140</v>
      </c>
      <c r="E284">
        <v>1023364</v>
      </c>
      <c r="F284" t="s">
        <v>607</v>
      </c>
      <c r="G284" t="s">
        <v>76</v>
      </c>
      <c r="H284" t="s">
        <v>77</v>
      </c>
      <c r="I284" s="15">
        <f>IFERROR(VLOOKUP(Tabla1[[#This Row],[Llave]],'[7]RV Producción'!$C:$G,5,FALSE),0)</f>
        <v>0</v>
      </c>
      <c r="J284" s="3">
        <f>IFERROR(IF(Tabla1[[#This Row],[Oficina]]=$I$7,VLOOKUP(Tabla1[[#This Row],[Llave]],'[7]Shangai (Tomas)'!$A:$F,6,FALSE),VLOOKUP(Tabla1[[#This Row],[Llave]],'[7]RV plan de ventas'!$A:$E,5,FALSE)),0)</f>
        <v>0</v>
      </c>
      <c r="K284" s="17">
        <f>IFERROR(VLOOKUP(Tabla1[[#This Row],[Oficina]],[15]Ponderación!$B$2:$E$9,4,FALSE),0)</f>
        <v>0.45719439678473212</v>
      </c>
      <c r="L284" s="7">
        <f>+Tabla1[[#This Row],[ RV Producción mes n+1]]*Tabla1[[#This Row],[% Uti. producción]]</f>
        <v>0</v>
      </c>
      <c r="M284" s="7">
        <f>IFERROR(VLOOKUP(Tabla1[[#This Row],[Material]],'[17]TD Stock'!$E:$I,5,FALSE),0)</f>
        <v>61.015200000000007</v>
      </c>
      <c r="N284" s="7">
        <f>IFERROR(VLOOKUP(Tabla1[[#This Row],[Material]],[16]Produccion!$M:$N,2,FALSE),0)</f>
        <v>0</v>
      </c>
      <c r="O284" s="7">
        <f>IFERROR(VLOOKUP(Tabla1[[#This Row],[Llave]],'[16]TD Conf-AP'!$I:$M,4,FALSE),0)</f>
        <v>0</v>
      </c>
      <c r="P284" s="37">
        <f>SUM(Tabla1[[#This Row],[Producción disponible]],Tabla1[[#This Row],[Stock al día]],(Tabla1[[#This Row],[Por producir mes N]]*0.9))-Tabla1[[#This Row],[Producción por despachar mes N]]</f>
        <v>61.015200000000007</v>
      </c>
      <c r="Q284" s="7">
        <f>IFERROR(VLOOKUP(Tabla1[[#This Row],[Llave]],[17]DELAY!$A:$D,4,FALSE),0)</f>
        <v>500</v>
      </c>
      <c r="R284" s="9">
        <v>500</v>
      </c>
      <c r="S284" s="5">
        <f t="shared" si="33"/>
        <v>0</v>
      </c>
      <c r="T284" s="76">
        <v>0</v>
      </c>
      <c r="U284" s="5">
        <f>+Tabla1[[#This Row],[Atraso a facturar]]+Tabla1[[#This Row],[Ajuste atraso]]</f>
        <v>0</v>
      </c>
      <c r="V284" s="3">
        <f>+Tabla1[[#This Row],[Total disponible]]-Tabla1[[#This Row],[Facturación atraso]]</f>
        <v>61.015200000000007</v>
      </c>
      <c r="W284" s="6">
        <f>IFERROR(IF(AND(V284&gt;R284,J284&gt;=R284),ROUNDDOWN((Tabla1[[#This Row],[Producción para venta nueva]])/R284,0)*R284,0),0)</f>
        <v>0</v>
      </c>
      <c r="X284" s="76">
        <v>0</v>
      </c>
      <c r="Y284" s="6">
        <f>IF(Tabla1[[#This Row],[Venta del mes]]&gt;0,Tabla1[[#This Row],[Venta del mes]]+Tabla1[[#This Row],[Ajuste venta nueva]],0)</f>
        <v>0</v>
      </c>
      <c r="Z284" s="6">
        <f>+Tabla1[[#This Row],[Producción para venta nueva]]-Tabla1[[#This Row],[Facturación Venta nueva]]</f>
        <v>61.015200000000007</v>
      </c>
      <c r="AA284" s="6">
        <f>IF(AND(A284=1,Tabla1[[#This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4" s="6"/>
      <c r="AC284" s="6">
        <f>IF(Tabla1[[#This Row],[Disponible stock sin venta]]&gt;0,Tabla1[[#This Row],[Disponible stock sin venta]]+Tabla1[[#This Row],[Ajuste stock sin venta]],0)</f>
        <v>0</v>
      </c>
      <c r="AD284" s="3">
        <f>IFERROR(VLOOKUP(Tabla1[[#This Row],[Llave]],'[16]TD Puerto'!$A:$D,4,FALSE),0)</f>
        <v>0</v>
      </c>
      <c r="AE284" s="3">
        <v>0</v>
      </c>
      <c r="AF284" s="3">
        <f>+Tabla1[[#This Row],[Atraso a facturar]]+Tabla1[[#This Row],[Venta del mes]]+Tabla1[[#This Row],[En puerto a facturar]]+Tabla1[[#This Row],[Disponible stock sin venta]]</f>
        <v>0</v>
      </c>
      <c r="AG284" s="3">
        <f>+Tabla1[[#This Row],[En puerto a facturar]]</f>
        <v>0</v>
      </c>
      <c r="AH284" s="3">
        <f>+Tabla1[[#This Row],[Facturación atraso]]</f>
        <v>0</v>
      </c>
      <c r="AI284" s="3">
        <f>+Tabla1[[#This Row],[Plan Irrestricto]]-Tabla1[[#This Row],[Puerto ]]-Tabla1[[#This Row],[Atraso]]</f>
        <v>0</v>
      </c>
      <c r="AJ28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84" s="3">
        <f>+Tabla1[[#This Row],[Facturación atraso]]</f>
        <v>0</v>
      </c>
      <c r="AL284" s="3">
        <f>+Tabla1[[#This Row],[Plan Ajustado]]-Tabla1[[#This Row],[ Atraso ajustado]]-Tabla1[[#This Row],[Puerto ]]</f>
        <v>0</v>
      </c>
      <c r="AM284" s="3">
        <v>0</v>
      </c>
      <c r="AN284" s="3" t="str">
        <f>IF(Tabla1[[#This Row],[Plan Ajustado]]&gt;Tabla1[[#This Row],[En puerto a facturar]],"Si","No")</f>
        <v>No</v>
      </c>
      <c r="AO28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84" s="3">
        <f>IF(Tabla1[[#This Row],[Necesidad]]&gt;=Tabla1[[#This Row],[Stock al día]],Tabla1[[#This Row],[Stock al día]],Tabla1[[#This Row],[Necesidad]])</f>
        <v>0</v>
      </c>
      <c r="AQ284" s="3">
        <f>+Tabla1[[#This Row],[Necesidad]]-Tabla1[[#This Row],[Stock Plan]]</f>
        <v>0</v>
      </c>
      <c r="AR284" s="156">
        <f>IFERROR(VLOOKUP(Tabla1[[#This Row],[Oficina]],[22]Ponderación!$B$3:$G$9,6,FALSE),"")</f>
        <v>44754</v>
      </c>
      <c r="AS28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84" s="83">
        <f>IFERROR(VLOOKUP(Tabla1[[#This Row],[Llave]],[17]DELAY!$H:$W,16,FALSE),0)</f>
        <v>4.75</v>
      </c>
      <c r="AU28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84" s="5">
        <f>+Tabla1[[#This Row],[Plan Ajustado]]*Tabla1[[#This Row],[Precio ponderado]]</f>
        <v>0</v>
      </c>
      <c r="AW284" s="30">
        <f>IFERROR(VLOOKUP(Tabla1[[#This Row],[Llave]],'[13]Ultimos precios facturados'!$A:$G,7,FALSE),0)</f>
        <v>0</v>
      </c>
      <c r="AX28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84" s="30"/>
      <c r="AZ284" s="30">
        <f>IF(Tabla1[[#This Row],[Ajuste precio IC]]="",Tabla1[[#This Row],[Precio ponderado]],Tabla1[[#This Row],[Precio ponderado]])</f>
        <v>0</v>
      </c>
      <c r="BA284" s="82"/>
      <c r="BB284" s="82" t="str">
        <f>IF(AND(Tabla1[[#This Row],[Atraso a facturar]]&gt;0,Tabla1[[#This Row],[Precio Atraso]]=0),"Revisar","OK")</f>
        <v>OK</v>
      </c>
      <c r="BC284" s="82" t="str">
        <f>IF(AND(Tabla1[[#This Row],[Venta del mes]]&gt;0,Tabla1[[#This Row],[Precio venta nueva]]=0),"Revisar","OK")</f>
        <v>OK</v>
      </c>
      <c r="BD284" s="20">
        <f>IFERROR(VLOOKUP(Tabla1[[#This Row],[Llave]],'[5]Consolidación planes'!$A:$M,9,FALSE),0)</f>
        <v>0</v>
      </c>
      <c r="BE284" s="20">
        <f>IFERROR(VLOOKUP(Tabla1[[#This Row],[Llave]],'[5]Consolidación planes'!$A:$M,10,FALSE),0)</f>
        <v>0</v>
      </c>
      <c r="BF284" s="20">
        <f>IFERROR(VLOOKUP(Tabla1[[#This Row],[Llave]],'[5]Consolidación planes'!$A:$M,11,FALSE),0)</f>
        <v>0</v>
      </c>
      <c r="BG284" s="20">
        <f>IFERROR(VLOOKUP(Tabla1[[#This Row],[Llave]],'[5]Consolidación planes'!$A:$M,12,FALSE),0)</f>
        <v>0</v>
      </c>
      <c r="BH284" s="20">
        <f>IFERROR(VLOOKUP(Tabla1[[#This Row],[Llave]],'[5]Consolidación planes'!$A:$M,13,FALSE),0)</f>
        <v>0</v>
      </c>
      <c r="BI284" s="20">
        <f>IFERROR(VLOOKUP(Tabla1[[#This Row],[Llave]],'[13]Base ultimos planes'!$A:$M,13,FALSE),0)</f>
        <v>0</v>
      </c>
      <c r="BJ284" s="80">
        <f>IFERROR(VLOOKUP(Tabla1[[#This Row],[Llave]],'[13]Base ultimos planes'!$O:$AA,8,FALSE),0)</f>
        <v>0</v>
      </c>
      <c r="BK284" s="20">
        <f>IFERROR(VLOOKUP(Tabla1[[#This Row],[Llave]],'[13]Base ultimos planes'!$O:$AA,9,FALSE),0)</f>
        <v>0</v>
      </c>
      <c r="BL284" s="20">
        <f>IFERROR(VLOOKUP(Tabla1[[#This Row],[Llave]],'[13]Base ultimos planes'!$O:$AA,10,FALSE),0)</f>
        <v>0</v>
      </c>
      <c r="BM284" s="20">
        <f>IFERROR(VLOOKUP(Tabla1[[#This Row],[Llave]],'[13]Base ultimos planes'!$O:$AA,11,FALSE),0)</f>
        <v>0</v>
      </c>
      <c r="BN284" s="20">
        <f>IFERROR(VLOOKUP(Tabla1[[#This Row],[Llave]],'[13]Base ultimos planes'!$O:$AA,12,FALSE),0)</f>
        <v>0</v>
      </c>
      <c r="BO284" s="20">
        <f>IFERROR(VLOOKUP(Tabla1[[#This Row],[Llave]],'[13]Base ultimos planes'!$O:$AA,13,FALSE),0)</f>
        <v>0</v>
      </c>
      <c r="BP284" s="35"/>
      <c r="BQ284" s="20">
        <f>+Tabla1[[#This Row],[ RV  Venta mes n+1]]*(1-Tabla1[[#This Row],[% Uti. producción]])</f>
        <v>0</v>
      </c>
      <c r="BR284" s="100"/>
    </row>
    <row r="285" spans="1:70" ht="16" hidden="1" x14ac:dyDescent="0.2">
      <c r="A285">
        <v>2</v>
      </c>
      <c r="B285" t="str">
        <f>Tabla1[[#This Row],[Oficina]]&amp;Tabla1[[#This Row],[Material]]</f>
        <v>Agrosuper Shanghai1023365</v>
      </c>
      <c r="C285" t="s">
        <v>6</v>
      </c>
      <c r="D285" t="s">
        <v>140</v>
      </c>
      <c r="E285">
        <v>1023365</v>
      </c>
      <c r="F285" t="s">
        <v>608</v>
      </c>
      <c r="G285" t="s">
        <v>11</v>
      </c>
      <c r="H285" t="s">
        <v>47</v>
      </c>
      <c r="I285" s="15">
        <f>IFERROR(VLOOKUP(Tabla1[[#This Row],[Llave]],'[7]RV Producción'!$C:$G,5,FALSE),0)</f>
        <v>0</v>
      </c>
      <c r="J285" s="3">
        <f>IFERROR(IF(Tabla1[[#This Row],[Oficina]]=$I$7,VLOOKUP(Tabla1[[#This Row],[Llave]],'[7]Shangai (Tomas)'!$A:$F,6,FALSE),VLOOKUP(Tabla1[[#This Row],[Llave]],'[7]RV plan de ventas'!$A:$E,5,FALSE)),0)</f>
        <v>0</v>
      </c>
      <c r="K285" s="17">
        <f>IFERROR(VLOOKUP(Tabla1[[#This Row],[Oficina]],[15]Ponderación!$B$2:$E$9,4,FALSE),0)</f>
        <v>0.45719439678473212</v>
      </c>
      <c r="L285" s="7">
        <f>+Tabla1[[#This Row],[ RV Producción mes n+1]]*Tabla1[[#This Row],[% Uti. producción]]</f>
        <v>0</v>
      </c>
      <c r="M285" s="7">
        <f>IFERROR(VLOOKUP(Tabla1[[#This Row],[Material]],'[17]TD Stock'!$E:$I,5,FALSE),0)</f>
        <v>58.7866</v>
      </c>
      <c r="N285" s="7">
        <f>IFERROR(VLOOKUP(Tabla1[[#This Row],[Material]],[16]Produccion!$M:$N,2,FALSE),0)</f>
        <v>0</v>
      </c>
      <c r="O285" s="7">
        <f>IFERROR(VLOOKUP(Tabla1[[#This Row],[Llave]],'[16]TD Conf-AP'!$I:$M,4,FALSE),0)</f>
        <v>0</v>
      </c>
      <c r="P285" s="37">
        <f>SUM(Tabla1[[#This Row],[Producción disponible]],Tabla1[[#This Row],[Stock al día]],(Tabla1[[#This Row],[Por producir mes N]]*0.9))-Tabla1[[#This Row],[Producción por despachar mes N]]</f>
        <v>58.7866</v>
      </c>
      <c r="Q285" s="7">
        <f>IFERROR(VLOOKUP(Tabla1[[#This Row],[Llave]],[17]DELAY!$A:$D,4,FALSE),0)</f>
        <v>313</v>
      </c>
      <c r="R285" s="9">
        <v>313</v>
      </c>
      <c r="S285" s="5">
        <f t="shared" si="33"/>
        <v>0</v>
      </c>
      <c r="T285" s="76">
        <v>0</v>
      </c>
      <c r="U285" s="5">
        <f>+Tabla1[[#This Row],[Atraso a facturar]]+Tabla1[[#This Row],[Ajuste atraso]]</f>
        <v>0</v>
      </c>
      <c r="V285" s="3">
        <f>+Tabla1[[#This Row],[Total disponible]]-Tabla1[[#This Row],[Facturación atraso]]</f>
        <v>58.7866</v>
      </c>
      <c r="W285" s="6">
        <f>IFERROR(IF(AND(V285&gt;R285,J285&gt;=R285),ROUNDDOWN((Tabla1[[#This Row],[Producción para venta nueva]])/R285,0)*R285,0),0)</f>
        <v>0</v>
      </c>
      <c r="X285" s="76">
        <v>0</v>
      </c>
      <c r="Y285" s="6">
        <f>IF(Tabla1[[#This Row],[Venta del mes]]&gt;0,Tabla1[[#This Row],[Venta del mes]]+Tabla1[[#This Row],[Ajuste venta nueva]],0)</f>
        <v>0</v>
      </c>
      <c r="Z285" s="6">
        <f>+Tabla1[[#This Row],[Producción para venta nueva]]-Tabla1[[#This Row],[Facturación Venta nueva]]</f>
        <v>58.7866</v>
      </c>
      <c r="AA285" s="6">
        <f>IF(AND(A285=1,Tabla1[[#This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5" s="6"/>
      <c r="AC285" s="6">
        <f>IF(Tabla1[[#This Row],[Disponible stock sin venta]]&gt;0,Tabla1[[#This Row],[Disponible stock sin venta]]+Tabla1[[#This Row],[Ajuste stock sin venta]],0)</f>
        <v>0</v>
      </c>
      <c r="AD285" s="3">
        <f>IFERROR(VLOOKUP(Tabla1[[#This Row],[Llave]],'[16]TD Puerto'!$A:$D,4,FALSE),0)</f>
        <v>0</v>
      </c>
      <c r="AE285" s="3">
        <v>0</v>
      </c>
      <c r="AF285" s="3">
        <f>+Tabla1[[#This Row],[Atraso a facturar]]+Tabla1[[#This Row],[Venta del mes]]+Tabla1[[#This Row],[En puerto a facturar]]+Tabla1[[#This Row],[Disponible stock sin venta]]</f>
        <v>0</v>
      </c>
      <c r="AG285" s="3">
        <f>+Tabla1[[#This Row],[En puerto a facturar]]</f>
        <v>0</v>
      </c>
      <c r="AH285" s="3">
        <f>+Tabla1[[#This Row],[Facturación atraso]]</f>
        <v>0</v>
      </c>
      <c r="AI285" s="3">
        <f>+Tabla1[[#This Row],[Plan Irrestricto]]-Tabla1[[#This Row],[Puerto ]]-Tabla1[[#This Row],[Atraso]]</f>
        <v>0</v>
      </c>
      <c r="AJ28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85" s="3">
        <f>+Tabla1[[#This Row],[Facturación atraso]]</f>
        <v>0</v>
      </c>
      <c r="AL285" s="3">
        <f>+Tabla1[[#This Row],[Plan Ajustado]]-Tabla1[[#This Row],[ Atraso ajustado]]-Tabla1[[#This Row],[Puerto ]]</f>
        <v>0</v>
      </c>
      <c r="AM285" s="3">
        <v>0</v>
      </c>
      <c r="AN285" s="3" t="str">
        <f>IF(Tabla1[[#This Row],[Plan Ajustado]]&gt;Tabla1[[#This Row],[En puerto a facturar]],"Si","No")</f>
        <v>No</v>
      </c>
      <c r="AO28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85" s="3">
        <f>IF(Tabla1[[#This Row],[Necesidad]]&gt;=Tabla1[[#This Row],[Stock al día]],Tabla1[[#This Row],[Stock al día]],Tabla1[[#This Row],[Necesidad]])</f>
        <v>0</v>
      </c>
      <c r="AQ285" s="3">
        <f>+Tabla1[[#This Row],[Necesidad]]-Tabla1[[#This Row],[Stock Plan]]</f>
        <v>0</v>
      </c>
      <c r="AR285" s="156">
        <f>IFERROR(VLOOKUP(Tabla1[[#This Row],[Oficina]],[22]Ponderación!$B$3:$G$9,6,FALSE),"")</f>
        <v>44754</v>
      </c>
      <c r="AS28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85" s="83">
        <f>IFERROR(VLOOKUP(Tabla1[[#This Row],[Llave]],[17]DELAY!$H:$W,16,FALSE),0)</f>
        <v>0.89999999999999991</v>
      </c>
      <c r="AU28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85" s="5">
        <f>+Tabla1[[#This Row],[Plan Ajustado]]*Tabla1[[#This Row],[Precio ponderado]]</f>
        <v>0</v>
      </c>
      <c r="AW285" s="30">
        <f>IFERROR(VLOOKUP(Tabla1[[#This Row],[Llave]],'[13]Ultimos precios facturados'!$A:$G,7,FALSE),0)</f>
        <v>0</v>
      </c>
      <c r="AX28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85" s="30"/>
      <c r="AZ285" s="30">
        <f>IF(Tabla1[[#This Row],[Ajuste precio IC]]="",Tabla1[[#This Row],[Precio ponderado]],Tabla1[[#This Row],[Precio ponderado]])</f>
        <v>0</v>
      </c>
      <c r="BA285" s="82"/>
      <c r="BB285" s="82" t="str">
        <f>IF(AND(Tabla1[[#This Row],[Atraso a facturar]]&gt;0,Tabla1[[#This Row],[Precio Atraso]]=0),"Revisar","OK")</f>
        <v>OK</v>
      </c>
      <c r="BC285" s="82" t="str">
        <f>IF(AND(Tabla1[[#This Row],[Venta del mes]]&gt;0,Tabla1[[#This Row],[Precio venta nueva]]=0),"Revisar","OK")</f>
        <v>OK</v>
      </c>
      <c r="BD285" s="20">
        <f>IFERROR(VLOOKUP(Tabla1[[#This Row],[Llave]],'[5]Consolidación planes'!$A:$M,9,FALSE),0)</f>
        <v>0</v>
      </c>
      <c r="BE285" s="20">
        <f>IFERROR(VLOOKUP(Tabla1[[#This Row],[Llave]],'[5]Consolidación planes'!$A:$M,10,FALSE),0)</f>
        <v>0</v>
      </c>
      <c r="BF285" s="20">
        <f>IFERROR(VLOOKUP(Tabla1[[#This Row],[Llave]],'[5]Consolidación planes'!$A:$M,11,FALSE),0)</f>
        <v>0</v>
      </c>
      <c r="BG285" s="20">
        <f>IFERROR(VLOOKUP(Tabla1[[#This Row],[Llave]],'[5]Consolidación planes'!$A:$M,12,FALSE),0)</f>
        <v>0</v>
      </c>
      <c r="BH285" s="20">
        <f>IFERROR(VLOOKUP(Tabla1[[#This Row],[Llave]],'[5]Consolidación planes'!$A:$M,13,FALSE),0)</f>
        <v>0</v>
      </c>
      <c r="BI285" s="20">
        <f>IFERROR(VLOOKUP(Tabla1[[#This Row],[Llave]],'[13]Base ultimos planes'!$A:$M,13,FALSE),0)</f>
        <v>313</v>
      </c>
      <c r="BJ285" s="80">
        <f>IFERROR(VLOOKUP(Tabla1[[#This Row],[Llave]],'[13]Base ultimos planes'!$O:$AA,8,FALSE),0)</f>
        <v>0</v>
      </c>
      <c r="BK285" s="20">
        <f>IFERROR(VLOOKUP(Tabla1[[#This Row],[Llave]],'[13]Base ultimos planes'!$O:$AA,9,FALSE),0)</f>
        <v>0</v>
      </c>
      <c r="BL285" s="20">
        <f>IFERROR(VLOOKUP(Tabla1[[#This Row],[Llave]],'[13]Base ultimos planes'!$O:$AA,10,FALSE),0)</f>
        <v>0</v>
      </c>
      <c r="BM285" s="20">
        <f>IFERROR(VLOOKUP(Tabla1[[#This Row],[Llave]],'[13]Base ultimos planes'!$O:$AA,11,FALSE),0)</f>
        <v>0</v>
      </c>
      <c r="BN285" s="20">
        <f>IFERROR(VLOOKUP(Tabla1[[#This Row],[Llave]],'[13]Base ultimos planes'!$O:$AA,12,FALSE),0)</f>
        <v>0</v>
      </c>
      <c r="BO285" s="20">
        <f>IFERROR(VLOOKUP(Tabla1[[#This Row],[Llave]],'[13]Base ultimos planes'!$O:$AA,13,FALSE),0)</f>
        <v>282</v>
      </c>
      <c r="BP285" s="35"/>
      <c r="BQ285" s="20">
        <f>+Tabla1[[#This Row],[ RV  Venta mes n+1]]*(1-Tabla1[[#This Row],[% Uti. producción]])</f>
        <v>0</v>
      </c>
      <c r="BR285" s="100"/>
    </row>
    <row r="286" spans="1:70" ht="16" hidden="1" x14ac:dyDescent="0.2">
      <c r="A286">
        <v>2</v>
      </c>
      <c r="B286" t="str">
        <f>Tabla1[[#This Row],[Oficina]]&amp;Tabla1[[#This Row],[Material]]</f>
        <v>Agrosuper Shanghai1023366</v>
      </c>
      <c r="C286" t="s">
        <v>6</v>
      </c>
      <c r="D286" t="s">
        <v>140</v>
      </c>
      <c r="E286">
        <v>1023366</v>
      </c>
      <c r="F286" t="s">
        <v>609</v>
      </c>
      <c r="G286" t="s">
        <v>76</v>
      </c>
      <c r="H286" t="s">
        <v>77</v>
      </c>
      <c r="I286" s="15">
        <f>IFERROR(VLOOKUP(Tabla1[[#This Row],[Llave]],'[7]RV Producción'!$C:$G,5,FALSE),0)</f>
        <v>0</v>
      </c>
      <c r="J286" s="3">
        <f>IFERROR(IF(Tabla1[[#This Row],[Oficina]]=$I$7,VLOOKUP(Tabla1[[#This Row],[Llave]],'[7]Shangai (Tomas)'!$A:$F,6,FALSE),VLOOKUP(Tabla1[[#This Row],[Llave]],'[7]RV plan de ventas'!$A:$E,5,FALSE)),0)</f>
        <v>0</v>
      </c>
      <c r="K286" s="17">
        <f>IFERROR(VLOOKUP(Tabla1[[#This Row],[Oficina]],[15]Ponderación!$B$2:$E$9,4,FALSE),0)</f>
        <v>0.45719439678473212</v>
      </c>
      <c r="L286" s="7">
        <f>+Tabla1[[#This Row],[ RV Producción mes n+1]]*Tabla1[[#This Row],[% Uti. producción]]</f>
        <v>0</v>
      </c>
      <c r="M286" s="7">
        <f>IFERROR(VLOOKUP(Tabla1[[#This Row],[Material]],'[17]TD Stock'!$E:$I,5,FALSE),0)</f>
        <v>63.94</v>
      </c>
      <c r="N286" s="7">
        <f>IFERROR(VLOOKUP(Tabla1[[#This Row],[Material]],[16]Produccion!$M:$N,2,FALSE),0)</f>
        <v>0</v>
      </c>
      <c r="O286" s="7">
        <f>IFERROR(VLOOKUP(Tabla1[[#This Row],[Llave]],'[16]TD Conf-AP'!$I:$M,4,FALSE),0)</f>
        <v>0</v>
      </c>
      <c r="P286" s="37">
        <f>SUM(Tabla1[[#This Row],[Producción disponible]],Tabla1[[#This Row],[Stock al día]],(Tabla1[[#This Row],[Por producir mes N]]*0.9))-Tabla1[[#This Row],[Producción por despachar mes N]]</f>
        <v>63.94</v>
      </c>
      <c r="Q286" s="7">
        <f>IFERROR(VLOOKUP(Tabla1[[#This Row],[Llave]],[17]DELAY!$A:$D,4,FALSE),0)</f>
        <v>557</v>
      </c>
      <c r="R286" s="9">
        <v>557</v>
      </c>
      <c r="S286" s="5">
        <f t="shared" si="33"/>
        <v>0</v>
      </c>
      <c r="T286" s="76">
        <v>0</v>
      </c>
      <c r="U286" s="5">
        <f>+Tabla1[[#This Row],[Atraso a facturar]]+Tabla1[[#This Row],[Ajuste atraso]]</f>
        <v>0</v>
      </c>
      <c r="V286" s="3">
        <f>+Tabla1[[#This Row],[Total disponible]]-Tabla1[[#This Row],[Facturación atraso]]</f>
        <v>63.94</v>
      </c>
      <c r="W286" s="6">
        <f>IFERROR(IF(AND(V286&gt;R286,J286&gt;=R286),ROUNDDOWN((Tabla1[[#This Row],[Producción para venta nueva]])/R286,0)*R286,0),0)</f>
        <v>0</v>
      </c>
      <c r="X286" s="76">
        <v>0</v>
      </c>
      <c r="Y286" s="6">
        <f>IF(Tabla1[[#This Row],[Venta del mes]]&gt;0,Tabla1[[#This Row],[Venta del mes]]+Tabla1[[#This Row],[Ajuste venta nueva]],0)</f>
        <v>0</v>
      </c>
      <c r="Z286" s="6">
        <f>+Tabla1[[#This Row],[Producción para venta nueva]]-Tabla1[[#This Row],[Facturación Venta nueva]]</f>
        <v>63.94</v>
      </c>
      <c r="AA286" s="6">
        <f>IF(AND(A286=1,Tabla1[[#This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6" s="6"/>
      <c r="AC286" s="6">
        <f>IF(Tabla1[[#This Row],[Disponible stock sin venta]]&gt;0,Tabla1[[#This Row],[Disponible stock sin venta]]+Tabla1[[#This Row],[Ajuste stock sin venta]],0)</f>
        <v>0</v>
      </c>
      <c r="AD286" s="3">
        <f>IFERROR(VLOOKUP(Tabla1[[#This Row],[Llave]],'[16]TD Puerto'!$A:$D,4,FALSE),0)</f>
        <v>0</v>
      </c>
      <c r="AE286" s="3">
        <v>0</v>
      </c>
      <c r="AF286" s="3">
        <f>+Tabla1[[#This Row],[Atraso a facturar]]+Tabla1[[#This Row],[Venta del mes]]+Tabla1[[#This Row],[En puerto a facturar]]+Tabla1[[#This Row],[Disponible stock sin venta]]</f>
        <v>0</v>
      </c>
      <c r="AG286" s="3">
        <f>+Tabla1[[#This Row],[En puerto a facturar]]</f>
        <v>0</v>
      </c>
      <c r="AH286" s="3">
        <f>+Tabla1[[#This Row],[Facturación atraso]]</f>
        <v>0</v>
      </c>
      <c r="AI286" s="3">
        <f>+Tabla1[[#This Row],[Plan Irrestricto]]-Tabla1[[#This Row],[Puerto ]]-Tabla1[[#This Row],[Atraso]]</f>
        <v>0</v>
      </c>
      <c r="AJ28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86" s="3">
        <f>+Tabla1[[#This Row],[Facturación atraso]]</f>
        <v>0</v>
      </c>
      <c r="AL286" s="3">
        <f>+Tabla1[[#This Row],[Plan Ajustado]]-Tabla1[[#This Row],[ Atraso ajustado]]-Tabla1[[#This Row],[Puerto ]]</f>
        <v>0</v>
      </c>
      <c r="AM286" s="3">
        <v>0</v>
      </c>
      <c r="AN286" s="3" t="str">
        <f>IF(Tabla1[[#This Row],[Plan Ajustado]]&gt;Tabla1[[#This Row],[En puerto a facturar]],"Si","No")</f>
        <v>No</v>
      </c>
      <c r="AO28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86" s="3">
        <f>IF(Tabla1[[#This Row],[Necesidad]]&gt;=Tabla1[[#This Row],[Stock al día]],Tabla1[[#This Row],[Stock al día]],Tabla1[[#This Row],[Necesidad]])</f>
        <v>0</v>
      </c>
      <c r="AQ286" s="3">
        <f>+Tabla1[[#This Row],[Necesidad]]-Tabla1[[#This Row],[Stock Plan]]</f>
        <v>0</v>
      </c>
      <c r="AR286" s="156">
        <f>IFERROR(VLOOKUP(Tabla1[[#This Row],[Oficina]],[22]Ponderación!$B$3:$G$9,6,FALSE),"")</f>
        <v>44754</v>
      </c>
      <c r="AS28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86" s="83">
        <f>IFERROR(VLOOKUP(Tabla1[[#This Row],[Llave]],[17]DELAY!$H:$W,16,FALSE),0)</f>
        <v>4.5</v>
      </c>
      <c r="AU28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86" s="5">
        <f>+Tabla1[[#This Row],[Plan Ajustado]]*Tabla1[[#This Row],[Precio ponderado]]</f>
        <v>0</v>
      </c>
      <c r="AW286" s="30">
        <f>IFERROR(VLOOKUP(Tabla1[[#This Row],[Llave]],'[13]Ultimos precios facturados'!$A:$G,7,FALSE),0)</f>
        <v>0</v>
      </c>
      <c r="AX28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86" s="30"/>
      <c r="AZ286" s="30">
        <f>IF(Tabla1[[#This Row],[Ajuste precio IC]]="",Tabla1[[#This Row],[Precio ponderado]],Tabla1[[#This Row],[Precio ponderado]])</f>
        <v>0</v>
      </c>
      <c r="BA286" s="82"/>
      <c r="BB286" s="82" t="str">
        <f>IF(AND(Tabla1[[#This Row],[Atraso a facturar]]&gt;0,Tabla1[[#This Row],[Precio Atraso]]=0),"Revisar","OK")</f>
        <v>OK</v>
      </c>
      <c r="BC286" s="82" t="str">
        <f>IF(AND(Tabla1[[#This Row],[Venta del mes]]&gt;0,Tabla1[[#This Row],[Precio venta nueva]]=0),"Revisar","OK")</f>
        <v>OK</v>
      </c>
      <c r="BD286" s="20">
        <f>IFERROR(VLOOKUP(Tabla1[[#This Row],[Llave]],'[5]Consolidación planes'!$A:$M,9,FALSE),0)</f>
        <v>0</v>
      </c>
      <c r="BE286" s="20">
        <f>IFERROR(VLOOKUP(Tabla1[[#This Row],[Llave]],'[5]Consolidación planes'!$A:$M,10,FALSE),0)</f>
        <v>0</v>
      </c>
      <c r="BF286" s="20">
        <f>IFERROR(VLOOKUP(Tabla1[[#This Row],[Llave]],'[5]Consolidación planes'!$A:$M,11,FALSE),0)</f>
        <v>0</v>
      </c>
      <c r="BG286" s="20">
        <f>IFERROR(VLOOKUP(Tabla1[[#This Row],[Llave]],'[5]Consolidación planes'!$A:$M,12,FALSE),0)</f>
        <v>0</v>
      </c>
      <c r="BH286" s="20">
        <f>IFERROR(VLOOKUP(Tabla1[[#This Row],[Llave]],'[5]Consolidación planes'!$A:$M,13,FALSE),0)</f>
        <v>0</v>
      </c>
      <c r="BI286" s="20">
        <f>IFERROR(VLOOKUP(Tabla1[[#This Row],[Llave]],'[13]Base ultimos planes'!$A:$M,13,FALSE),0)</f>
        <v>0</v>
      </c>
      <c r="BJ286" s="80">
        <f>IFERROR(VLOOKUP(Tabla1[[#This Row],[Llave]],'[13]Base ultimos planes'!$O:$AA,8,FALSE),0)</f>
        <v>0</v>
      </c>
      <c r="BK286" s="20">
        <f>IFERROR(VLOOKUP(Tabla1[[#This Row],[Llave]],'[13]Base ultimos planes'!$O:$AA,9,FALSE),0)</f>
        <v>0</v>
      </c>
      <c r="BL286" s="20">
        <f>IFERROR(VLOOKUP(Tabla1[[#This Row],[Llave]],'[13]Base ultimos planes'!$O:$AA,10,FALSE),0)</f>
        <v>0</v>
      </c>
      <c r="BM286" s="20">
        <f>IFERROR(VLOOKUP(Tabla1[[#This Row],[Llave]],'[13]Base ultimos planes'!$O:$AA,11,FALSE),0)</f>
        <v>0</v>
      </c>
      <c r="BN286" s="20">
        <f>IFERROR(VLOOKUP(Tabla1[[#This Row],[Llave]],'[13]Base ultimos planes'!$O:$AA,12,FALSE),0)</f>
        <v>0</v>
      </c>
      <c r="BO286" s="20">
        <f>IFERROR(VLOOKUP(Tabla1[[#This Row],[Llave]],'[13]Base ultimos planes'!$O:$AA,13,FALSE),0)</f>
        <v>0</v>
      </c>
      <c r="BP286" s="35"/>
      <c r="BQ286" s="20">
        <f>+Tabla1[[#This Row],[ RV  Venta mes n+1]]*(1-Tabla1[[#This Row],[% Uti. producción]])</f>
        <v>0</v>
      </c>
      <c r="BR286" s="100"/>
    </row>
    <row r="287" spans="1:70" ht="16" hidden="1" x14ac:dyDescent="0.2">
      <c r="A287">
        <v>2</v>
      </c>
      <c r="B287" t="str">
        <f>Tabla1[[#This Row],[Oficina]]&amp;Tabla1[[#This Row],[Material]]</f>
        <v>Agrosuper Shanghai1023367</v>
      </c>
      <c r="C287" t="s">
        <v>6</v>
      </c>
      <c r="D287" t="s">
        <v>140</v>
      </c>
      <c r="E287">
        <v>1023367</v>
      </c>
      <c r="F287" t="s">
        <v>610</v>
      </c>
      <c r="G287" t="s">
        <v>611</v>
      </c>
      <c r="H287" t="s">
        <v>612</v>
      </c>
      <c r="I287" s="15">
        <f>IFERROR(VLOOKUP(Tabla1[[#This Row],[Llave]],'[7]RV Producción'!$C:$G,5,FALSE),0)</f>
        <v>0</v>
      </c>
      <c r="J287" s="3">
        <f>IFERROR(IF(Tabla1[[#This Row],[Oficina]]=$I$7,VLOOKUP(Tabla1[[#This Row],[Llave]],'[7]Shangai (Tomas)'!$A:$F,6,FALSE),VLOOKUP(Tabla1[[#This Row],[Llave]],'[7]RV plan de ventas'!$A:$E,5,FALSE)),0)</f>
        <v>0</v>
      </c>
      <c r="K287" s="17">
        <f>IFERROR(VLOOKUP(Tabla1[[#This Row],[Oficina]],[15]Ponderación!$B$2:$E$9,4,FALSE),0)</f>
        <v>0.45719439678473212</v>
      </c>
      <c r="L287" s="7">
        <f>+Tabla1[[#This Row],[ RV Producción mes n+1]]*Tabla1[[#This Row],[% Uti. producción]]</f>
        <v>0</v>
      </c>
      <c r="M287" s="7">
        <f>IFERROR(VLOOKUP(Tabla1[[#This Row],[Material]],'[17]TD Stock'!$E:$I,5,FALSE),0)</f>
        <v>566.14459999999997</v>
      </c>
      <c r="N287" s="7">
        <f>IFERROR(VLOOKUP(Tabla1[[#This Row],[Material]],[16]Produccion!$M:$N,2,FALSE),0)</f>
        <v>0</v>
      </c>
      <c r="O287" s="7">
        <f>IFERROR(VLOOKUP(Tabla1[[#This Row],[Llave]],'[16]TD Conf-AP'!$I:$M,4,FALSE),0)</f>
        <v>0</v>
      </c>
      <c r="P287" s="37">
        <f>SUM(Tabla1[[#This Row],[Producción disponible]],Tabla1[[#This Row],[Stock al día]],(Tabla1[[#This Row],[Por producir mes N]]*0.9))-Tabla1[[#This Row],[Producción por despachar mes N]]</f>
        <v>566.14459999999997</v>
      </c>
      <c r="Q287" s="7">
        <f>IFERROR(VLOOKUP(Tabla1[[#This Row],[Llave]],[17]DELAY!$A:$D,4,FALSE),0)</f>
        <v>3177</v>
      </c>
      <c r="R287" s="9">
        <v>3177</v>
      </c>
      <c r="S287" s="5">
        <f t="shared" si="33"/>
        <v>0</v>
      </c>
      <c r="T287" s="76">
        <v>0</v>
      </c>
      <c r="U287" s="5">
        <f>+Tabla1[[#This Row],[Atraso a facturar]]+Tabla1[[#This Row],[Ajuste atraso]]</f>
        <v>0</v>
      </c>
      <c r="V287" s="3">
        <f>+Tabla1[[#This Row],[Total disponible]]-Tabla1[[#This Row],[Facturación atraso]]</f>
        <v>566.14459999999997</v>
      </c>
      <c r="W287" s="6">
        <f>IFERROR(IF(AND(V287&gt;R287,J287&gt;=R287),ROUNDDOWN((Tabla1[[#This Row],[Producción para venta nueva]])/R287,0)*R287,0),0)</f>
        <v>0</v>
      </c>
      <c r="X287" s="76">
        <v>0</v>
      </c>
      <c r="Y287" s="6">
        <f>IF(Tabla1[[#This Row],[Venta del mes]]&gt;0,Tabla1[[#This Row],[Venta del mes]]+Tabla1[[#This Row],[Ajuste venta nueva]],0)</f>
        <v>0</v>
      </c>
      <c r="Z287" s="6">
        <f>+Tabla1[[#This Row],[Producción para venta nueva]]-Tabla1[[#This Row],[Facturación Venta nueva]]</f>
        <v>566.14459999999997</v>
      </c>
      <c r="AA287" s="6">
        <f>IF(AND(A287=1,Tabla1[[#This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7" s="6"/>
      <c r="AC287" s="6">
        <f>IF(Tabla1[[#This Row],[Disponible stock sin venta]]&gt;0,Tabla1[[#This Row],[Disponible stock sin venta]]+Tabla1[[#This Row],[Ajuste stock sin venta]],0)</f>
        <v>0</v>
      </c>
      <c r="AD287" s="3">
        <f>IFERROR(VLOOKUP(Tabla1[[#This Row],[Llave]],'[16]TD Puerto'!$A:$D,4,FALSE),0)</f>
        <v>0</v>
      </c>
      <c r="AE287" s="3">
        <v>0</v>
      </c>
      <c r="AF287" s="3">
        <f>+Tabla1[[#This Row],[Atraso a facturar]]+Tabla1[[#This Row],[Venta del mes]]+Tabla1[[#This Row],[En puerto a facturar]]+Tabla1[[#This Row],[Disponible stock sin venta]]</f>
        <v>0</v>
      </c>
      <c r="AG287" s="3">
        <f>+Tabla1[[#This Row],[En puerto a facturar]]</f>
        <v>0</v>
      </c>
      <c r="AH287" s="3">
        <f>+Tabla1[[#This Row],[Facturación atraso]]</f>
        <v>0</v>
      </c>
      <c r="AI287" s="3">
        <f>+Tabla1[[#This Row],[Plan Irrestricto]]-Tabla1[[#This Row],[Puerto ]]-Tabla1[[#This Row],[Atraso]]</f>
        <v>0</v>
      </c>
      <c r="AJ28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87" s="3">
        <f>+Tabla1[[#This Row],[Facturación atraso]]</f>
        <v>0</v>
      </c>
      <c r="AL287" s="3">
        <f>+Tabla1[[#This Row],[Plan Ajustado]]-Tabla1[[#This Row],[ Atraso ajustado]]-Tabla1[[#This Row],[Puerto ]]</f>
        <v>0</v>
      </c>
      <c r="AM287" s="3">
        <v>0</v>
      </c>
      <c r="AN287" s="3" t="str">
        <f>IF(Tabla1[[#This Row],[Plan Ajustado]]&gt;Tabla1[[#This Row],[En puerto a facturar]],"Si","No")</f>
        <v>No</v>
      </c>
      <c r="AO28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87" s="3">
        <f>IF(Tabla1[[#This Row],[Necesidad]]&gt;=Tabla1[[#This Row],[Stock al día]],Tabla1[[#This Row],[Stock al día]],Tabla1[[#This Row],[Necesidad]])</f>
        <v>0</v>
      </c>
      <c r="AQ287" s="3">
        <f>+Tabla1[[#This Row],[Necesidad]]-Tabla1[[#This Row],[Stock Plan]]</f>
        <v>0</v>
      </c>
      <c r="AR287" s="156">
        <f>IFERROR(VLOOKUP(Tabla1[[#This Row],[Oficina]],[22]Ponderación!$B$3:$G$9,6,FALSE),"")</f>
        <v>44754</v>
      </c>
      <c r="AS28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87" s="83">
        <f>IFERROR(VLOOKUP(Tabla1[[#This Row],[Llave]],[17]DELAY!$H:$W,16,FALSE),0)</f>
        <v>1.55</v>
      </c>
      <c r="AU28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87" s="5">
        <f>+Tabla1[[#This Row],[Plan Ajustado]]*Tabla1[[#This Row],[Precio ponderado]]</f>
        <v>0</v>
      </c>
      <c r="AW287" s="30">
        <f>IFERROR(VLOOKUP(Tabla1[[#This Row],[Llave]],'[13]Ultimos precios facturados'!$A:$G,7,FALSE),0)</f>
        <v>0</v>
      </c>
      <c r="AX28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87" s="30"/>
      <c r="AZ287" s="30">
        <f>IF(Tabla1[[#This Row],[Ajuste precio IC]]="",Tabla1[[#This Row],[Precio ponderado]],Tabla1[[#This Row],[Precio ponderado]])</f>
        <v>0</v>
      </c>
      <c r="BA287" s="82"/>
      <c r="BB287" s="82" t="str">
        <f>IF(AND(Tabla1[[#This Row],[Atraso a facturar]]&gt;0,Tabla1[[#This Row],[Precio Atraso]]=0),"Revisar","OK")</f>
        <v>OK</v>
      </c>
      <c r="BC287" s="82" t="str">
        <f>IF(AND(Tabla1[[#This Row],[Venta del mes]]&gt;0,Tabla1[[#This Row],[Precio venta nueva]]=0),"Revisar","OK")</f>
        <v>OK</v>
      </c>
      <c r="BD287" s="20">
        <f>IFERROR(VLOOKUP(Tabla1[[#This Row],[Llave]],'[5]Consolidación planes'!$A:$M,9,FALSE),0)</f>
        <v>0</v>
      </c>
      <c r="BE287" s="20">
        <f>IFERROR(VLOOKUP(Tabla1[[#This Row],[Llave]],'[5]Consolidación planes'!$A:$M,10,FALSE),0)</f>
        <v>0</v>
      </c>
      <c r="BF287" s="20">
        <f>IFERROR(VLOOKUP(Tabla1[[#This Row],[Llave]],'[5]Consolidación planes'!$A:$M,11,FALSE),0)</f>
        <v>0</v>
      </c>
      <c r="BG287" s="20">
        <f>IFERROR(VLOOKUP(Tabla1[[#This Row],[Llave]],'[5]Consolidación planes'!$A:$M,12,FALSE),0)</f>
        <v>0</v>
      </c>
      <c r="BH287" s="20">
        <f>IFERROR(VLOOKUP(Tabla1[[#This Row],[Llave]],'[5]Consolidación planes'!$A:$M,13,FALSE),0)</f>
        <v>0</v>
      </c>
      <c r="BI287" s="20">
        <f>IFERROR(VLOOKUP(Tabla1[[#This Row],[Llave]],'[13]Base ultimos planes'!$A:$M,13,FALSE),0)</f>
        <v>0</v>
      </c>
      <c r="BJ287" s="80">
        <f>IFERROR(VLOOKUP(Tabla1[[#This Row],[Llave]],'[13]Base ultimos planes'!$O:$AA,8,FALSE),0)</f>
        <v>0</v>
      </c>
      <c r="BK287" s="20">
        <f>IFERROR(VLOOKUP(Tabla1[[#This Row],[Llave]],'[13]Base ultimos planes'!$O:$AA,9,FALSE),0)</f>
        <v>0</v>
      </c>
      <c r="BL287" s="20">
        <f>IFERROR(VLOOKUP(Tabla1[[#This Row],[Llave]],'[13]Base ultimos planes'!$O:$AA,10,FALSE),0)</f>
        <v>0</v>
      </c>
      <c r="BM287" s="20">
        <f>IFERROR(VLOOKUP(Tabla1[[#This Row],[Llave]],'[13]Base ultimos planes'!$O:$AA,11,FALSE),0)</f>
        <v>0</v>
      </c>
      <c r="BN287" s="20">
        <f>IFERROR(VLOOKUP(Tabla1[[#This Row],[Llave]],'[13]Base ultimos planes'!$O:$AA,12,FALSE),0)</f>
        <v>0</v>
      </c>
      <c r="BO287" s="20">
        <f>IFERROR(VLOOKUP(Tabla1[[#This Row],[Llave]],'[13]Base ultimos planes'!$O:$AA,13,FALSE),0)</f>
        <v>0</v>
      </c>
      <c r="BP287" s="35"/>
      <c r="BQ287" s="20">
        <f>+Tabla1[[#This Row],[ RV  Venta mes n+1]]*(1-Tabla1[[#This Row],[% Uti. producción]])</f>
        <v>0</v>
      </c>
      <c r="BR287" s="100"/>
    </row>
    <row r="288" spans="1:70" ht="16" x14ac:dyDescent="0.2">
      <c r="A288">
        <v>2</v>
      </c>
      <c r="B288" t="str">
        <f>Tabla1[[#This Row],[Oficina]]&amp;Tabla1[[#This Row],[Material]]</f>
        <v>Agrosuper Shanghai1023368</v>
      </c>
      <c r="C288" t="s">
        <v>6</v>
      </c>
      <c r="D288" t="s">
        <v>140</v>
      </c>
      <c r="E288">
        <v>1023368</v>
      </c>
      <c r="F288" t="s">
        <v>613</v>
      </c>
      <c r="G288" t="s">
        <v>603</v>
      </c>
      <c r="H288" t="s">
        <v>614</v>
      </c>
      <c r="I288" s="15">
        <f>IFERROR(VLOOKUP(Tabla1[[#This Row],[Llave]],'[7]RV Producción'!$C:$G,5,FALSE),0)</f>
        <v>0</v>
      </c>
      <c r="J288" s="3">
        <f>IFERROR(IF(Tabla1[[#This Row],[Oficina]]=$I$7,VLOOKUP(Tabla1[[#This Row],[Llave]],'[7]Shangai (Tomas)'!$A:$F,6,FALSE),VLOOKUP(Tabla1[[#This Row],[Llave]],'[7]RV plan de ventas'!$A:$E,5,FALSE)),0)</f>
        <v>0</v>
      </c>
      <c r="K288" s="17">
        <f>IFERROR(VLOOKUP(Tabla1[[#This Row],[Oficina]],[15]Ponderación!$B$2:$E$9,4,FALSE),0)</f>
        <v>0.45719439678473212</v>
      </c>
      <c r="L288" s="7">
        <f>+Tabla1[[#This Row],[ RV Producción mes n+1]]*Tabla1[[#This Row],[% Uti. producción]]</f>
        <v>0</v>
      </c>
      <c r="M288" s="7">
        <f>IFERROR(VLOOKUP(Tabla1[[#This Row],[Material]],'[17]TD Stock'!$E:$I,5,FALSE),0)</f>
        <v>7181.1750000000011</v>
      </c>
      <c r="N288" s="7">
        <f>IFERROR(VLOOKUP(Tabla1[[#This Row],[Material]],[16]Produccion!$M:$N,2,FALSE),0)</f>
        <v>0</v>
      </c>
      <c r="O288" s="7">
        <f>IFERROR(VLOOKUP(Tabla1[[#This Row],[Llave]],'[16]TD Conf-AP'!$I:$M,4,FALSE),0)</f>
        <v>0</v>
      </c>
      <c r="P288" s="37">
        <f>SUM(Tabla1[[#This Row],[Producción disponible]],Tabla1[[#This Row],[Stock al día]],(Tabla1[[#This Row],[Por producir mes N]]*0.9))-Tabla1[[#This Row],[Producción por despachar mes N]]</f>
        <v>7181.1750000000011</v>
      </c>
      <c r="Q288" s="7">
        <f>IFERROR(VLOOKUP(Tabla1[[#This Row],[Llave]],[17]DELAY!$A:$D,4,FALSE),0)</f>
        <v>6377</v>
      </c>
      <c r="R288" s="9">
        <v>7122</v>
      </c>
      <c r="S288" s="5">
        <f t="shared" si="33"/>
        <v>6377</v>
      </c>
      <c r="T288" s="76">
        <v>0</v>
      </c>
      <c r="U288" s="5">
        <f>+Tabla1[[#This Row],[Atraso a facturar]]+Tabla1[[#This Row],[Ajuste atraso]]</f>
        <v>6377</v>
      </c>
      <c r="V288" s="3">
        <f>+Tabla1[[#This Row],[Total disponible]]-Tabla1[[#This Row],[Facturación atraso]]</f>
        <v>804.17500000000109</v>
      </c>
      <c r="W288" s="6">
        <f>IFERROR(IF(AND(V288&gt;R288,J288&gt;=R288),ROUNDDOWN((Tabla1[[#This Row],[Producción para venta nueva]])/R288,0)*R288,0),0)</f>
        <v>0</v>
      </c>
      <c r="X288" s="76">
        <v>0</v>
      </c>
      <c r="Y288" s="6">
        <f>IF(Tabla1[[#This Row],[Venta del mes]]&gt;0,Tabla1[[#This Row],[Venta del mes]]+Tabla1[[#This Row],[Ajuste venta nueva]],0)</f>
        <v>0</v>
      </c>
      <c r="Z288" s="6">
        <f>+Tabla1[[#This Row],[Producción para venta nueva]]-Tabla1[[#This Row],[Facturación Venta nueva]]</f>
        <v>804.17500000000109</v>
      </c>
      <c r="AA288" s="6">
        <f>IF(AND(A288=1,Tabla1[[#This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8" s="6"/>
      <c r="AC288" s="6">
        <f>IF(Tabla1[[#This Row],[Disponible stock sin venta]]&gt;0,Tabla1[[#This Row],[Disponible stock sin venta]]+Tabla1[[#This Row],[Ajuste stock sin venta]],0)</f>
        <v>0</v>
      </c>
      <c r="AD288" s="3">
        <f>IFERROR(VLOOKUP(Tabla1[[#This Row],[Llave]],'[16]TD Puerto'!$A:$D,4,FALSE),0)</f>
        <v>0</v>
      </c>
      <c r="AE288" s="3">
        <v>6377</v>
      </c>
      <c r="AF288" s="3">
        <f>+Tabla1[[#This Row],[Atraso a facturar]]+Tabla1[[#This Row],[Venta del mes]]+Tabla1[[#This Row],[En puerto a facturar]]+Tabla1[[#This Row],[Disponible stock sin venta]]</f>
        <v>6377</v>
      </c>
      <c r="AG288" s="3">
        <f>+Tabla1[[#This Row],[En puerto a facturar]]</f>
        <v>0</v>
      </c>
      <c r="AH288" s="3">
        <f>+Tabla1[[#This Row],[Facturación atraso]]</f>
        <v>6377</v>
      </c>
      <c r="AI288" s="3">
        <f>+Tabla1[[#This Row],[Plan Irrestricto]]-Tabla1[[#This Row],[Puerto ]]-Tabla1[[#This Row],[Atraso]]</f>
        <v>0</v>
      </c>
      <c r="AJ288" s="3">
        <f>IF(Tabla1[[#This Row],[Plan Irrestricto]]&gt;0,SUM(Tabla1[[#This Row],[Facturación atraso]],Tabla1[[#This Row],[Facturación Venta nueva]],Tabla1[[#This Row],[Facturación stock]],Tabla1[[#This Row],[En puerto a facturar]]),0)</f>
        <v>6377</v>
      </c>
      <c r="AK288" s="3">
        <f>+Tabla1[[#This Row],[Facturación atraso]]</f>
        <v>6377</v>
      </c>
      <c r="AL288" s="3">
        <f>+Tabla1[[#This Row],[Plan Ajustado]]-Tabla1[[#This Row],[ Atraso ajustado]]-Tabla1[[#This Row],[Puerto ]]</f>
        <v>0</v>
      </c>
      <c r="AM288" s="3">
        <v>0</v>
      </c>
      <c r="AN288" s="3" t="str">
        <f>IF(Tabla1[[#This Row],[Plan Ajustado]]&gt;Tabla1[[#This Row],[En puerto a facturar]],"Si","No")</f>
        <v>Si</v>
      </c>
      <c r="AO288" s="3">
        <f>IF(AND(Tabla1[[#This Row],[Plan Ajustado]]&gt;0,Tabla1[[#This Row],[Plan Ajustado]]&gt;Tabla1[[#This Row],[En puerto a facturar]]),(Tabla1[[#This Row],[Plan Ajustado]]-Tabla1[[#This Row],[En puerto a facturar]]),0)</f>
        <v>6377</v>
      </c>
      <c r="AP288" s="3">
        <f>IF(Tabla1[[#This Row],[Necesidad]]&gt;=Tabla1[[#This Row],[Stock al día]],Tabla1[[#This Row],[Stock al día]],Tabla1[[#This Row],[Necesidad]])</f>
        <v>6377</v>
      </c>
      <c r="AQ288" s="3">
        <f>+Tabla1[[#This Row],[Necesidad]]-Tabla1[[#This Row],[Stock Plan]]</f>
        <v>0</v>
      </c>
      <c r="AR288" s="156">
        <f>IFERROR(VLOOKUP(Tabla1[[#This Row],[Oficina]],[22]Ponderación!$B$3:$G$9,6,FALSE),"")</f>
        <v>44754</v>
      </c>
      <c r="AS28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1.6334451142837718</v>
      </c>
      <c r="AT288" s="83">
        <f>IFERROR(VLOOKUP(Tabla1[[#This Row],[Llave]],[17]DELAY!$H:$W,16,FALSE),0)</f>
        <v>1.6675858256324101</v>
      </c>
      <c r="AU28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1.6675858256324101</v>
      </c>
      <c r="AV288" s="5">
        <f>+Tabla1[[#This Row],[Plan Ajustado]]*Tabla1[[#This Row],[Precio ponderado]]</f>
        <v>10634.194810057879</v>
      </c>
      <c r="AW288" s="30">
        <f>IFERROR(VLOOKUP(Tabla1[[#This Row],[Llave]],'[13]Ultimos precios facturados'!$A:$G,7,FALSE),0)</f>
        <v>1.6334451142837718</v>
      </c>
      <c r="AX28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2.090104592440389E-2</v>
      </c>
      <c r="AY288" s="30"/>
      <c r="AZ288" s="30">
        <f>IF(Tabla1[[#This Row],[Ajuste precio IC]]="",Tabla1[[#This Row],[Precio ponderado]],Tabla1[[#This Row],[Precio ponderado]])</f>
        <v>1.6675858256324101</v>
      </c>
      <c r="BA288" s="82"/>
      <c r="BB288" s="82" t="str">
        <f>IF(AND(Tabla1[[#This Row],[Atraso a facturar]]&gt;0,Tabla1[[#This Row],[Precio Atraso]]=0),"Revisar","OK")</f>
        <v>OK</v>
      </c>
      <c r="BC288" s="82" t="str">
        <f>IF(AND(Tabla1[[#This Row],[Venta del mes]]&gt;0,Tabla1[[#This Row],[Precio venta nueva]]=0),"Revisar","OK")</f>
        <v>OK</v>
      </c>
      <c r="BD288" s="20">
        <f>IFERROR(VLOOKUP(Tabla1[[#This Row],[Llave]],'[5]Consolidación planes'!$A:$M,9,FALSE),0)</f>
        <v>0</v>
      </c>
      <c r="BE288" s="20">
        <f>IFERROR(VLOOKUP(Tabla1[[#This Row],[Llave]],'[5]Consolidación planes'!$A:$M,10,FALSE),0)</f>
        <v>0</v>
      </c>
      <c r="BF288" s="20">
        <f>IFERROR(VLOOKUP(Tabla1[[#This Row],[Llave]],'[5]Consolidación planes'!$A:$M,11,FALSE),0)</f>
        <v>0</v>
      </c>
      <c r="BG288" s="20">
        <f>IFERROR(VLOOKUP(Tabla1[[#This Row],[Llave]],'[5]Consolidación planes'!$A:$M,12,FALSE),0)</f>
        <v>0</v>
      </c>
      <c r="BH288" s="20">
        <f>IFERROR(VLOOKUP(Tabla1[[#This Row],[Llave]],'[5]Consolidación planes'!$A:$M,13,FALSE),0)</f>
        <v>0</v>
      </c>
      <c r="BI288" s="20">
        <f>IFERROR(VLOOKUP(Tabla1[[#This Row],[Llave]],'[13]Base ultimos planes'!$A:$M,13,FALSE),0)</f>
        <v>7122</v>
      </c>
      <c r="BJ288" s="80">
        <f>IFERROR(VLOOKUP(Tabla1[[#This Row],[Llave]],'[13]Base ultimos planes'!$O:$AA,8,FALSE),0)</f>
        <v>0</v>
      </c>
      <c r="BK288" s="20">
        <f>IFERROR(VLOOKUP(Tabla1[[#This Row],[Llave]],'[13]Base ultimos planes'!$O:$AA,9,FALSE),0)</f>
        <v>0</v>
      </c>
      <c r="BL288" s="20">
        <f>IFERROR(VLOOKUP(Tabla1[[#This Row],[Llave]],'[13]Base ultimos planes'!$O:$AA,10,FALSE),0)</f>
        <v>0</v>
      </c>
      <c r="BM288" s="20">
        <f>IFERROR(VLOOKUP(Tabla1[[#This Row],[Llave]],'[13]Base ultimos planes'!$O:$AA,11,FALSE),0)</f>
        <v>0</v>
      </c>
      <c r="BN288" s="20">
        <f>IFERROR(VLOOKUP(Tabla1[[#This Row],[Llave]],'[13]Base ultimos planes'!$O:$AA,12,FALSE),0)</f>
        <v>0</v>
      </c>
      <c r="BO288" s="20">
        <f>IFERROR(VLOOKUP(Tabla1[[#This Row],[Llave]],'[13]Base ultimos planes'!$O:$AA,13,FALSE),0)</f>
        <v>11754</v>
      </c>
      <c r="BP288" s="35"/>
      <c r="BQ288" s="20">
        <f>+Tabla1[[#This Row],[ RV  Venta mes n+1]]*(1-Tabla1[[#This Row],[% Uti. producción]])</f>
        <v>0</v>
      </c>
      <c r="BR288" s="100"/>
    </row>
    <row r="289" spans="1:70" ht="16" hidden="1" x14ac:dyDescent="0.2">
      <c r="A289">
        <v>1</v>
      </c>
      <c r="B289" t="str">
        <f>Tabla1[[#This Row],[Oficina]]&amp;Tabla1[[#This Row],[Material]]</f>
        <v>Exportacion Directa1023166</v>
      </c>
      <c r="C289" t="s">
        <v>6</v>
      </c>
      <c r="D289" t="s">
        <v>88</v>
      </c>
      <c r="E289">
        <v>1023166</v>
      </c>
      <c r="F289" t="s">
        <v>295</v>
      </c>
      <c r="G289" t="s">
        <v>56</v>
      </c>
      <c r="H289" t="s">
        <v>57</v>
      </c>
      <c r="I289" s="15">
        <f>IFERROR(VLOOKUP(Tabla1[[#This Row],[Llave]],'[7]RV Producción'!$C:$G,5,FALSE),0)</f>
        <v>0</v>
      </c>
      <c r="J289" s="3">
        <f>IFERROR(IF(Tabla1[[#This Row],[Oficina]]=$I$7,VLOOKUP(Tabla1[[#This Row],[Llave]],'[7]Shangai (Tomas)'!$A:$F,6,FALSE),VLOOKUP(Tabla1[[#This Row],[Llave]],'[7]RV plan de ventas'!$A:$E,5,FALSE)),0)</f>
        <v>0</v>
      </c>
      <c r="K289" s="17">
        <f>IFERROR(VLOOKUP(Tabla1[[#This Row],[Oficina]],[15]Ponderación!$B$2:$E$9,4,FALSE),0)</f>
        <v>0.87158319035419651</v>
      </c>
      <c r="L289" s="7">
        <f>+Tabla1[[#This Row],[ RV Producción mes n+1]]*Tabla1[[#This Row],[% Uti. producción]]</f>
        <v>0</v>
      </c>
      <c r="M289" s="7">
        <f>IFERROR(VLOOKUP(Tabla1[[#This Row],[Material]],'[17]TD Stock'!$E:$I,5,FALSE),0)</f>
        <v>0</v>
      </c>
      <c r="N289" s="7">
        <f>IFERROR(VLOOKUP(Tabla1[[#This Row],[Material]],[16]Produccion!$M:$N,2,FALSE),0)</f>
        <v>0</v>
      </c>
      <c r="O289" s="7">
        <f>IFERROR(VLOOKUP(Tabla1[[#This Row],[Llave]],'[16]TD Conf-AP'!$I:$M,4,FALSE),0)</f>
        <v>0</v>
      </c>
      <c r="P289" s="37">
        <f>SUM(Tabla1[[#This Row],[Producción disponible]],Tabla1[[#This Row],[Stock al día]],(Tabla1[[#This Row],[Por producir mes N]]*0.9))-Tabla1[[#This Row],[Producción por despachar mes N]]</f>
        <v>0</v>
      </c>
      <c r="Q289" s="7">
        <f>IFERROR(VLOOKUP(Tabla1[[#This Row],[Llave]],[17]DELAY!$A:$D,4,FALSE),0)</f>
        <v>0</v>
      </c>
      <c r="R289" s="9">
        <v>24000</v>
      </c>
      <c r="S289" s="5">
        <f t="shared" si="33"/>
        <v>0</v>
      </c>
      <c r="T289" s="76">
        <v>0</v>
      </c>
      <c r="U289" s="5">
        <f>+Tabla1[[#This Row],[Atraso a facturar]]+Tabla1[[#This Row],[Ajuste atraso]]</f>
        <v>0</v>
      </c>
      <c r="V289" s="3">
        <f>+Tabla1[[#This Row],[Total disponible]]-Tabla1[[#This Row],[Facturación atraso]]</f>
        <v>0</v>
      </c>
      <c r="W289" s="6">
        <f>IFERROR(IF(AND(V289&gt;R289,J289&gt;=R289),ROUNDDOWN((Tabla1[[#This Row],[Producción para venta nueva]])/R289,0)*R289,0),0)</f>
        <v>0</v>
      </c>
      <c r="X289" s="76">
        <v>0</v>
      </c>
      <c r="Y289" s="6">
        <f>IF(Tabla1[[#This Row],[Venta del mes]]&gt;0,Tabla1[[#This Row],[Venta del mes]]+Tabla1[[#This Row],[Ajuste venta nueva]],0)</f>
        <v>0</v>
      </c>
      <c r="Z289" s="6">
        <f>+Tabla1[[#This Row],[Producción para venta nueva]]-Tabla1[[#This Row],[Facturación Venta nueva]]</f>
        <v>0</v>
      </c>
      <c r="AA289" s="6">
        <f>IF(AND(A289=1,Tabla1[[#This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89" s="6"/>
      <c r="AC289" s="6">
        <f>IF(Tabla1[[#This Row],[Disponible stock sin venta]]&gt;0,Tabla1[[#This Row],[Disponible stock sin venta]]+Tabla1[[#This Row],[Ajuste stock sin venta]],0)</f>
        <v>0</v>
      </c>
      <c r="AD289" s="3">
        <f>IFERROR(VLOOKUP(Tabla1[[#This Row],[Llave]],'[16]TD Puerto'!$A:$D,4,FALSE),0)</f>
        <v>0</v>
      </c>
      <c r="AE289" s="3">
        <v>0</v>
      </c>
      <c r="AF289" s="3">
        <f>+Tabla1[[#This Row],[Atraso a facturar]]+Tabla1[[#This Row],[Venta del mes]]+Tabla1[[#This Row],[En puerto a facturar]]+Tabla1[[#This Row],[Disponible stock sin venta]]</f>
        <v>0</v>
      </c>
      <c r="AG289" s="3">
        <f>+Tabla1[[#This Row],[En puerto a facturar]]</f>
        <v>0</v>
      </c>
      <c r="AH289" s="3">
        <f>+Tabla1[[#This Row],[Facturación atraso]]</f>
        <v>0</v>
      </c>
      <c r="AI289" s="3">
        <f>+Tabla1[[#This Row],[Plan Irrestricto]]-Tabla1[[#This Row],[Puerto ]]-Tabla1[[#This Row],[Atraso]]</f>
        <v>0</v>
      </c>
      <c r="AJ28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89" s="3">
        <f>+Tabla1[[#This Row],[Facturación atraso]]</f>
        <v>0</v>
      </c>
      <c r="AL289" s="3">
        <f>+Tabla1[[#This Row],[Plan Ajustado]]-Tabla1[[#This Row],[ Atraso ajustado]]-Tabla1[[#This Row],[Puerto ]]</f>
        <v>0</v>
      </c>
      <c r="AM289" s="3">
        <v>0</v>
      </c>
      <c r="AN289" s="3" t="str">
        <f>IF(Tabla1[[#This Row],[Plan Ajustado]]&gt;Tabla1[[#This Row],[En puerto a facturar]],"Si","No")</f>
        <v>No</v>
      </c>
      <c r="AO28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89" s="3">
        <f>IF(Tabla1[[#This Row],[Necesidad]]&gt;=Tabla1[[#This Row],[Stock al día]],Tabla1[[#This Row],[Stock al día]],Tabla1[[#This Row],[Necesidad]])</f>
        <v>0</v>
      </c>
      <c r="AQ289" s="3">
        <f>+Tabla1[[#This Row],[Necesidad]]-Tabla1[[#This Row],[Stock Plan]]</f>
        <v>0</v>
      </c>
      <c r="AR289" s="156">
        <f>IFERROR(VLOOKUP(Tabla1[[#This Row],[Oficina]],[22]Ponderación!$B$3:$G$9,6,FALSE),"")</f>
        <v>44765</v>
      </c>
      <c r="AS28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1.365764</v>
      </c>
      <c r="AT289" s="83">
        <f>IFERROR(VLOOKUP(Tabla1[[#This Row],[Llave]],[17]DELAY!$H:$W,16,FALSE),0)</f>
        <v>0</v>
      </c>
      <c r="AU28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89" s="5">
        <f>+Tabla1[[#This Row],[Plan Ajustado]]*Tabla1[[#This Row],[Precio ponderado]]</f>
        <v>0</v>
      </c>
      <c r="AW289" s="30">
        <f>IFERROR(VLOOKUP(Tabla1[[#This Row],[Llave]],'[13]Ultimos precios facturados'!$A:$G,7,FALSE),0)</f>
        <v>1.365764</v>
      </c>
      <c r="AX28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89" s="30"/>
      <c r="AZ289" s="30">
        <f>IF(Tabla1[[#This Row],[Ajuste precio IC]]="",Tabla1[[#This Row],[Precio ponderado]],Tabla1[[#This Row],[Precio ponderado]])</f>
        <v>0</v>
      </c>
      <c r="BA289" s="82"/>
      <c r="BB289" s="82" t="str">
        <f>IF(AND(Tabla1[[#This Row],[Atraso a facturar]]&gt;0,Tabla1[[#This Row],[Precio Atraso]]=0),"Revisar","OK")</f>
        <v>OK</v>
      </c>
      <c r="BC289" s="82" t="str">
        <f>IF(AND(Tabla1[[#This Row],[Venta del mes]]&gt;0,Tabla1[[#This Row],[Precio venta nueva]]=0),"Revisar","OK")</f>
        <v>OK</v>
      </c>
      <c r="BD289" s="20">
        <f>IFERROR(VLOOKUP(Tabla1[[#This Row],[Llave]],'[5]Consolidación planes'!$A:$M,9,FALSE),0)</f>
        <v>0</v>
      </c>
      <c r="BE289" s="20">
        <f>IFERROR(VLOOKUP(Tabla1[[#This Row],[Llave]],'[5]Consolidación planes'!$A:$M,10,FALSE),0)</f>
        <v>0</v>
      </c>
      <c r="BF289" s="20">
        <f>IFERROR(VLOOKUP(Tabla1[[#This Row],[Llave]],'[5]Consolidación planes'!$A:$M,11,FALSE),0)</f>
        <v>0</v>
      </c>
      <c r="BG289" s="20">
        <f>IFERROR(VLOOKUP(Tabla1[[#This Row],[Llave]],'[5]Consolidación planes'!$A:$M,12,FALSE),0)</f>
        <v>0</v>
      </c>
      <c r="BH289" s="20">
        <f>IFERROR(VLOOKUP(Tabla1[[#This Row],[Llave]],'[5]Consolidación planes'!$A:$M,13,FALSE),0)</f>
        <v>0</v>
      </c>
      <c r="BI289" s="20">
        <f>IFERROR(VLOOKUP(Tabla1[[#This Row],[Llave]],'[13]Base ultimos planes'!$A:$M,13,FALSE),0)</f>
        <v>0</v>
      </c>
      <c r="BJ289" s="80">
        <f>IFERROR(VLOOKUP(Tabla1[[#This Row],[Llave]],'[13]Base ultimos planes'!$O:$AA,8,FALSE),0)</f>
        <v>0</v>
      </c>
      <c r="BK289" s="20">
        <f>IFERROR(VLOOKUP(Tabla1[[#This Row],[Llave]],'[13]Base ultimos planes'!$O:$AA,9,FALSE),0)</f>
        <v>0</v>
      </c>
      <c r="BL289" s="20">
        <f>IFERROR(VLOOKUP(Tabla1[[#This Row],[Llave]],'[13]Base ultimos planes'!$O:$AA,10,FALSE),0)</f>
        <v>0</v>
      </c>
      <c r="BM289" s="20">
        <f>IFERROR(VLOOKUP(Tabla1[[#This Row],[Llave]],'[13]Base ultimos planes'!$O:$AA,11,FALSE),0)</f>
        <v>0</v>
      </c>
      <c r="BN289" s="20">
        <f>IFERROR(VLOOKUP(Tabla1[[#This Row],[Llave]],'[13]Base ultimos planes'!$O:$AA,12,FALSE),0)</f>
        <v>0</v>
      </c>
      <c r="BO289" s="20">
        <f>IFERROR(VLOOKUP(Tabla1[[#This Row],[Llave]],'[13]Base ultimos planes'!$O:$AA,13,FALSE),0)</f>
        <v>0</v>
      </c>
      <c r="BP289" s="35"/>
      <c r="BQ289" s="20">
        <f>+Tabla1[[#This Row],[ RV  Venta mes n+1]]*(1-Tabla1[[#This Row],[% Uti. producción]])</f>
        <v>0</v>
      </c>
      <c r="BR289" s="100"/>
    </row>
    <row r="290" spans="1:70" ht="16" hidden="1" x14ac:dyDescent="0.2">
      <c r="A290">
        <v>1</v>
      </c>
      <c r="B290" t="str">
        <f>Tabla1[[#This Row],[Oficina]]&amp;Tabla1[[#This Row],[Material]]</f>
        <v>Agro Sudamerica1011105</v>
      </c>
      <c r="C290" t="s">
        <v>227</v>
      </c>
      <c r="D290" t="s">
        <v>17</v>
      </c>
      <c r="E290">
        <v>1011105</v>
      </c>
      <c r="F290" t="s">
        <v>672</v>
      </c>
      <c r="G290" t="s">
        <v>217</v>
      </c>
      <c r="H290" t="s">
        <v>218</v>
      </c>
      <c r="I290" s="15">
        <f>IFERROR(VLOOKUP(Tabla1[[#This Row],[Llave]],'[7]RV Producción'!$C:$G,5,FALSE),0)</f>
        <v>6000</v>
      </c>
      <c r="J290" s="3">
        <f>IFERROR(IF(Tabla1[[#This Row],[Oficina]]=$I$7,VLOOKUP(Tabla1[[#This Row],[Llave]],'[7]Shangai (Tomas)'!$A:$F,6,FALSE),VLOOKUP(Tabla1[[#This Row],[Llave]],'[7]RV plan de ventas'!$A:$E,5,FALSE)),0)</f>
        <v>6000</v>
      </c>
      <c r="K290" s="17">
        <f>IFERROR(VLOOKUP(Tabla1[[#This Row],[Oficina]],[15]Ponderación!$B$2:$E$9,4,FALSE),0)</f>
        <v>0.45719439678473212</v>
      </c>
      <c r="L290" s="7">
        <f>+Tabla1[[#This Row],[ RV Producción mes n+1]]*Tabla1[[#This Row],[% Uti. producción]]</f>
        <v>2743.1663807083928</v>
      </c>
      <c r="M290" s="7">
        <f>IFERROR(VLOOKUP(Tabla1[[#This Row],[Material]],'[17]TD Stock'!$E:$I,5,FALSE),0)</f>
        <v>0</v>
      </c>
      <c r="N290" s="7">
        <f>IFERROR(VLOOKUP(Tabla1[[#This Row],[Material]],[16]Produccion!$M:$N,2,FALSE),0)</f>
        <v>5000</v>
      </c>
      <c r="O290" s="7">
        <f>IFERROR(VLOOKUP(Tabla1[[#This Row],[Llave]],'[16]TD Conf-AP'!$I:$M,4,FALSE),0)</f>
        <v>0</v>
      </c>
      <c r="P290" s="37">
        <f>SUM(Tabla1[[#This Row],[Producción disponible]],Tabla1[[#This Row],[Stock al día]],(Tabla1[[#This Row],[Por producir mes N]]*0.9))-Tabla1[[#This Row],[Producción por despachar mes N]]</f>
        <v>7243.1663807083933</v>
      </c>
      <c r="Q290" s="7">
        <f>IFERROR(VLOOKUP(Tabla1[[#This Row],[Llave]],[17]DELAY!$A:$D,4,FALSE),0)</f>
        <v>20000</v>
      </c>
      <c r="R290" s="9">
        <v>24000</v>
      </c>
      <c r="S290" s="5">
        <f t="shared" si="33"/>
        <v>0</v>
      </c>
      <c r="T290" s="76">
        <v>0</v>
      </c>
      <c r="U290" s="5">
        <f>+Tabla1[[#This Row],[Atraso a facturar]]+Tabla1[[#This Row],[Ajuste atraso]]</f>
        <v>0</v>
      </c>
      <c r="V290" s="3">
        <f>+Tabla1[[#This Row],[Total disponible]]-Tabla1[[#This Row],[Facturación atraso]]</f>
        <v>7243.1663807083933</v>
      </c>
      <c r="W290" s="6">
        <f>IFERROR(IF(AND(V290&gt;R290,J290&gt;=R290),ROUNDDOWN((Tabla1[[#This Row],[Producción para venta nueva]])/R290,0)*R290,0),0)</f>
        <v>0</v>
      </c>
      <c r="X290" s="76">
        <v>0</v>
      </c>
      <c r="Y290" s="6">
        <f>IF(Tabla1[[#This Row],[Venta del mes]]&gt;0,Tabla1[[#This Row],[Venta del mes]]+Tabla1[[#This Row],[Ajuste venta nueva]],0)</f>
        <v>0</v>
      </c>
      <c r="Z290" s="6">
        <f>+Tabla1[[#This Row],[Producción para venta nueva]]-Tabla1[[#This Row],[Facturación Venta nueva]]</f>
        <v>7243.1663807083933</v>
      </c>
      <c r="AA290" s="6">
        <f>IF(AND(A290=1,Tabla1[[#This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0" s="6"/>
      <c r="AC290" s="6">
        <f>IF(Tabla1[[#This Row],[Disponible stock sin venta]]&gt;0,Tabla1[[#This Row],[Disponible stock sin venta]]+Tabla1[[#This Row],[Ajuste stock sin venta]],0)</f>
        <v>0</v>
      </c>
      <c r="AD290" s="3">
        <f>IFERROR(VLOOKUP(Tabla1[[#This Row],[Llave]],'[16]TD Puerto'!$A:$D,4,FALSE),0)</f>
        <v>0</v>
      </c>
      <c r="AE290" s="3">
        <v>0</v>
      </c>
      <c r="AF290" s="3">
        <f>+Tabla1[[#This Row],[Atraso a facturar]]+Tabla1[[#This Row],[Venta del mes]]+Tabla1[[#This Row],[En puerto a facturar]]+Tabla1[[#This Row],[Disponible stock sin venta]]</f>
        <v>0</v>
      </c>
      <c r="AG290" s="3">
        <f>+Tabla1[[#This Row],[En puerto a facturar]]</f>
        <v>0</v>
      </c>
      <c r="AH290" s="3">
        <f>+Tabla1[[#This Row],[Facturación atraso]]</f>
        <v>0</v>
      </c>
      <c r="AI290" s="3">
        <f>+Tabla1[[#This Row],[Plan Irrestricto]]-Tabla1[[#This Row],[Puerto ]]-Tabla1[[#This Row],[Atraso]]</f>
        <v>0</v>
      </c>
      <c r="AJ290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0" s="3">
        <f>+Tabla1[[#This Row],[Facturación atraso]]</f>
        <v>0</v>
      </c>
      <c r="AL290" s="3">
        <f>+Tabla1[[#This Row],[Plan Ajustado]]-Tabla1[[#This Row],[ Atraso ajustado]]-Tabla1[[#This Row],[Puerto ]]</f>
        <v>0</v>
      </c>
      <c r="AM290" s="3">
        <v>0</v>
      </c>
      <c r="AN290" s="3" t="str">
        <f>IF(Tabla1[[#This Row],[Plan Ajustado]]&gt;Tabla1[[#This Row],[En puerto a facturar]],"Si","No")</f>
        <v>No</v>
      </c>
      <c r="AO29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0" s="3">
        <f>IF(Tabla1[[#This Row],[Necesidad]]&gt;=Tabla1[[#This Row],[Stock al día]],Tabla1[[#This Row],[Stock al día]],Tabla1[[#This Row],[Necesidad]])</f>
        <v>0</v>
      </c>
      <c r="AQ290" s="3">
        <f>+Tabla1[[#This Row],[Necesidad]]-Tabla1[[#This Row],[Stock Plan]]</f>
        <v>0</v>
      </c>
      <c r="AR290" s="156">
        <f>IFERROR(VLOOKUP(Tabla1[[#This Row],[Oficina]],[22]Ponderación!$B$3:$G$9,6,FALSE),"")</f>
        <v>44757</v>
      </c>
      <c r="AS29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3.08666666666667</v>
      </c>
      <c r="AT290" s="83">
        <f>IFERROR(VLOOKUP(Tabla1[[#This Row],[Llave]],[17]DELAY!$H:$W,16,FALSE),0)</f>
        <v>2.8348314700000001</v>
      </c>
      <c r="AU29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0" s="5">
        <f>+Tabla1[[#This Row],[Plan Ajustado]]*Tabla1[[#This Row],[Precio ponderado]]</f>
        <v>0</v>
      </c>
      <c r="AW290" s="30">
        <f>IFERROR(VLOOKUP(Tabla1[[#This Row],[Llave]],'[13]Ultimos precios facturados'!$A:$G,7,FALSE),0)</f>
        <v>2.9489460476487226</v>
      </c>
      <c r="AX290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0" s="30"/>
      <c r="AZ290" s="30">
        <f>IF(Tabla1[[#This Row],[Ajuste precio IC]]="",Tabla1[[#This Row],[Precio ponderado]],Tabla1[[#This Row],[Precio ponderado]])</f>
        <v>0</v>
      </c>
      <c r="BA290" s="82"/>
      <c r="BB290" s="82" t="str">
        <f>IF(AND(Tabla1[[#This Row],[Atraso a facturar]]&gt;0,Tabla1[[#This Row],[Precio Atraso]]=0),"Revisar","OK")</f>
        <v>OK</v>
      </c>
      <c r="BC290" s="82" t="str">
        <f>IF(AND(Tabla1[[#This Row],[Venta del mes]]&gt;0,Tabla1[[#This Row],[Precio venta nueva]]=0),"Revisar","OK")</f>
        <v>OK</v>
      </c>
      <c r="BD290" s="20">
        <f>IFERROR(VLOOKUP(Tabla1[[#This Row],[Llave]],'[5]Consolidación planes'!$A:$M,9,FALSE),0)</f>
        <v>0</v>
      </c>
      <c r="BE290" s="20">
        <f>IFERROR(VLOOKUP(Tabla1[[#This Row],[Llave]],'[5]Consolidación planes'!$A:$M,10,FALSE),0)</f>
        <v>0</v>
      </c>
      <c r="BF290" s="20">
        <f>IFERROR(VLOOKUP(Tabla1[[#This Row],[Llave]],'[5]Consolidación planes'!$A:$M,11,FALSE),0)</f>
        <v>0</v>
      </c>
      <c r="BG290" s="20">
        <f>IFERROR(VLOOKUP(Tabla1[[#This Row],[Llave]],'[5]Consolidación planes'!$A:$M,12,FALSE),0)</f>
        <v>0</v>
      </c>
      <c r="BH290" s="20">
        <f>IFERROR(VLOOKUP(Tabla1[[#This Row],[Llave]],'[5]Consolidación planes'!$A:$M,13,FALSE),0)</f>
        <v>0</v>
      </c>
      <c r="BI290" s="20">
        <f>IFERROR(VLOOKUP(Tabla1[[#This Row],[Llave]],'[13]Base ultimos planes'!$A:$M,13,FALSE),0)</f>
        <v>0</v>
      </c>
      <c r="BJ290" s="80">
        <f>IFERROR(VLOOKUP(Tabla1[[#This Row],[Llave]],'[13]Base ultimos planes'!$O:$AA,8,FALSE),0)</f>
        <v>0</v>
      </c>
      <c r="BK290" s="20">
        <f>IFERROR(VLOOKUP(Tabla1[[#This Row],[Llave]],'[13]Base ultimos planes'!$O:$AA,9,FALSE),0)</f>
        <v>0</v>
      </c>
      <c r="BL290" s="20">
        <f>IFERROR(VLOOKUP(Tabla1[[#This Row],[Llave]],'[13]Base ultimos planes'!$O:$AA,10,FALSE),0)</f>
        <v>0</v>
      </c>
      <c r="BM290" s="20">
        <f>IFERROR(VLOOKUP(Tabla1[[#This Row],[Llave]],'[13]Base ultimos planes'!$O:$AA,11,FALSE),0)</f>
        <v>0</v>
      </c>
      <c r="BN290" s="20">
        <f>IFERROR(VLOOKUP(Tabla1[[#This Row],[Llave]],'[13]Base ultimos planes'!$O:$AA,12,FALSE),0)</f>
        <v>0</v>
      </c>
      <c r="BO290" s="20">
        <f>IFERROR(VLOOKUP(Tabla1[[#This Row],[Llave]],'[13]Base ultimos planes'!$O:$AA,13,FALSE),0)</f>
        <v>0</v>
      </c>
      <c r="BP290" s="35"/>
      <c r="BQ290" s="20">
        <f>+Tabla1[[#This Row],[ RV  Venta mes n+1]]*(1-Tabla1[[#This Row],[% Uti. producción]])</f>
        <v>3256.8336192916076</v>
      </c>
      <c r="BR290" s="100"/>
    </row>
    <row r="291" spans="1:70" ht="16" hidden="1" x14ac:dyDescent="0.2">
      <c r="A291">
        <v>1</v>
      </c>
      <c r="B291" t="str">
        <f>Tabla1[[#This Row],[Oficina]]&amp;Tabla1[[#This Row],[Material]]</f>
        <v>Agro Sudamerica1030661</v>
      </c>
      <c r="C291" t="s">
        <v>204</v>
      </c>
      <c r="D291" t="s">
        <v>17</v>
      </c>
      <c r="E291">
        <v>1030661</v>
      </c>
      <c r="F291" t="s">
        <v>615</v>
      </c>
      <c r="G291" t="s">
        <v>212</v>
      </c>
      <c r="H291" t="s">
        <v>319</v>
      </c>
      <c r="I291" s="15">
        <f>IFERROR(VLOOKUP(Tabla1[[#This Row],[Llave]],'[7]RV Producción'!$C:$G,5,FALSE),0)</f>
        <v>0</v>
      </c>
      <c r="J291" s="3">
        <f>IFERROR(IF(Tabla1[[#This Row],[Oficina]]=$I$7,VLOOKUP(Tabla1[[#This Row],[Llave]],'[7]Shangai (Tomas)'!$A:$F,6,FALSE),VLOOKUP(Tabla1[[#This Row],[Llave]],'[7]RV plan de ventas'!$A:$E,5,FALSE)),0)</f>
        <v>0</v>
      </c>
      <c r="K291" s="17">
        <f>IFERROR(VLOOKUP(Tabla1[[#This Row],[Oficina]],[15]Ponderación!$B$2:$E$9,4,FALSE),0)</f>
        <v>0.45719439678473212</v>
      </c>
      <c r="L291" s="7">
        <f>+Tabla1[[#This Row],[ RV Producción mes n+1]]*Tabla1[[#This Row],[% Uti. producción]]</f>
        <v>0</v>
      </c>
      <c r="M291" s="7">
        <f>IFERROR(VLOOKUP(Tabla1[[#This Row],[Material]],'[17]TD Stock'!$E:$I,5,FALSE),0)</f>
        <v>0</v>
      </c>
      <c r="N291" s="7">
        <f>IFERROR(VLOOKUP(Tabla1[[#This Row],[Material]],[16]Produccion!$M:$N,2,FALSE),0)</f>
        <v>0</v>
      </c>
      <c r="O291" s="7">
        <f>IFERROR(VLOOKUP(Tabla1[[#This Row],[Llave]],'[16]TD Conf-AP'!$I:$M,4,FALSE),0)</f>
        <v>0</v>
      </c>
      <c r="P291" s="37">
        <f>SUM(Tabla1[[#This Row],[Producción disponible]],Tabla1[[#This Row],[Stock al día]],(Tabla1[[#This Row],[Por producir mes N]]*0.9))-Tabla1[[#This Row],[Producción por despachar mes N]]</f>
        <v>0</v>
      </c>
      <c r="Q291" s="7">
        <f>IFERROR(VLOOKUP(Tabla1[[#This Row],[Llave]],[17]DELAY!$A:$D,4,FALSE),0)</f>
        <v>0</v>
      </c>
      <c r="R291" s="9">
        <v>0</v>
      </c>
      <c r="S291" s="5">
        <f t="shared" si="33"/>
        <v>0</v>
      </c>
      <c r="T291" s="76">
        <v>0</v>
      </c>
      <c r="U291" s="5">
        <f>+Tabla1[[#This Row],[Atraso a facturar]]+Tabla1[[#This Row],[Ajuste atraso]]</f>
        <v>0</v>
      </c>
      <c r="V291" s="3">
        <f>+Tabla1[[#This Row],[Total disponible]]-Tabla1[[#This Row],[Facturación atraso]]</f>
        <v>0</v>
      </c>
      <c r="W291" s="6">
        <f>IFERROR(IF(AND(V291&gt;R291,J291&gt;=R291),ROUNDDOWN((Tabla1[[#This Row],[Producción para venta nueva]])/R291,0)*R291,0),0)</f>
        <v>0</v>
      </c>
      <c r="X291" s="76">
        <v>0</v>
      </c>
      <c r="Y291" s="6">
        <f>IF(Tabla1[[#This Row],[Venta del mes]]&gt;0,Tabla1[[#This Row],[Venta del mes]]+Tabla1[[#This Row],[Ajuste venta nueva]],0)</f>
        <v>0</v>
      </c>
      <c r="Z291" s="6">
        <f>+Tabla1[[#This Row],[Producción para venta nueva]]-Tabla1[[#This Row],[Facturación Venta nueva]]</f>
        <v>0</v>
      </c>
      <c r="AA291" s="6">
        <f>IF(AND(A291=1,Tabla1[[#This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1" s="6"/>
      <c r="AC291" s="6">
        <f>IF(Tabla1[[#This Row],[Disponible stock sin venta]]&gt;0,Tabla1[[#This Row],[Disponible stock sin venta]]+Tabla1[[#This Row],[Ajuste stock sin venta]],0)</f>
        <v>0</v>
      </c>
      <c r="AD291" s="3">
        <f>IFERROR(VLOOKUP(Tabla1[[#This Row],[Llave]],'[16]TD Puerto'!$A:$D,4,FALSE),0)</f>
        <v>0</v>
      </c>
      <c r="AE291" s="3">
        <v>0</v>
      </c>
      <c r="AF291" s="3">
        <f>+Tabla1[[#This Row],[Atraso a facturar]]+Tabla1[[#This Row],[Venta del mes]]+Tabla1[[#This Row],[En puerto a facturar]]+Tabla1[[#This Row],[Disponible stock sin venta]]</f>
        <v>0</v>
      </c>
      <c r="AG291" s="3">
        <f>+Tabla1[[#This Row],[En puerto a facturar]]</f>
        <v>0</v>
      </c>
      <c r="AH291" s="3">
        <f>+Tabla1[[#This Row],[Facturación atraso]]</f>
        <v>0</v>
      </c>
      <c r="AI291" s="3">
        <f>+Tabla1[[#This Row],[Plan Irrestricto]]-Tabla1[[#This Row],[Puerto ]]-Tabla1[[#This Row],[Atraso]]</f>
        <v>0</v>
      </c>
      <c r="AJ29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1" s="3">
        <f>+Tabla1[[#This Row],[Facturación atraso]]</f>
        <v>0</v>
      </c>
      <c r="AL291" s="3">
        <f>+Tabla1[[#This Row],[Plan Ajustado]]-Tabla1[[#This Row],[ Atraso ajustado]]-Tabla1[[#This Row],[Puerto ]]</f>
        <v>0</v>
      </c>
      <c r="AM291" s="3">
        <v>0</v>
      </c>
      <c r="AN291" s="3" t="str">
        <f>IF(Tabla1[[#This Row],[Plan Ajustado]]&gt;Tabla1[[#This Row],[En puerto a facturar]],"Si","No")</f>
        <v>No</v>
      </c>
      <c r="AO29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1" s="3">
        <f>IF(Tabla1[[#This Row],[Necesidad]]&gt;=Tabla1[[#This Row],[Stock al día]],Tabla1[[#This Row],[Stock al día]],Tabla1[[#This Row],[Necesidad]])</f>
        <v>0</v>
      </c>
      <c r="AQ291" s="3">
        <f>+Tabla1[[#This Row],[Necesidad]]-Tabla1[[#This Row],[Stock Plan]]</f>
        <v>0</v>
      </c>
      <c r="AR291" s="156">
        <f>IFERROR(VLOOKUP(Tabla1[[#This Row],[Oficina]],[22]Ponderación!$B$3:$G$9,6,FALSE),"")</f>
        <v>44757</v>
      </c>
      <c r="AS29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91" s="83">
        <f>IFERROR(VLOOKUP(Tabla1[[#This Row],[Llave]],[17]DELAY!$H:$W,16,FALSE),0)</f>
        <v>0</v>
      </c>
      <c r="AU29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1" s="5">
        <f>+Tabla1[[#This Row],[Plan Ajustado]]*Tabla1[[#This Row],[Precio ponderado]]</f>
        <v>0</v>
      </c>
      <c r="AW291" s="30">
        <f>IFERROR(VLOOKUP(Tabla1[[#This Row],[Llave]],'[13]Ultimos precios facturados'!$A:$G,7,FALSE),0)</f>
        <v>0</v>
      </c>
      <c r="AX29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1" s="30"/>
      <c r="AZ291" s="30">
        <f>IF(Tabla1[[#This Row],[Ajuste precio IC]]="",Tabla1[[#This Row],[Precio ponderado]],Tabla1[[#This Row],[Precio ponderado]])</f>
        <v>0</v>
      </c>
      <c r="BA291" s="82"/>
      <c r="BB291" s="82" t="str">
        <f>IF(AND(Tabla1[[#This Row],[Atraso a facturar]]&gt;0,Tabla1[[#This Row],[Precio Atraso]]=0),"Revisar","OK")</f>
        <v>OK</v>
      </c>
      <c r="BC291" s="82" t="str">
        <f>IF(AND(Tabla1[[#This Row],[Venta del mes]]&gt;0,Tabla1[[#This Row],[Precio venta nueva]]=0),"Revisar","OK")</f>
        <v>OK</v>
      </c>
      <c r="BD291" s="20">
        <f>IFERROR(VLOOKUP(Tabla1[[#This Row],[Llave]],'[5]Consolidación planes'!$A:$M,9,FALSE),0)</f>
        <v>0</v>
      </c>
      <c r="BE291" s="20">
        <f>IFERROR(VLOOKUP(Tabla1[[#This Row],[Llave]],'[5]Consolidación planes'!$A:$M,10,FALSE),0)</f>
        <v>0</v>
      </c>
      <c r="BF291" s="20">
        <f>IFERROR(VLOOKUP(Tabla1[[#This Row],[Llave]],'[5]Consolidación planes'!$A:$M,11,FALSE),0)</f>
        <v>0</v>
      </c>
      <c r="BG291" s="20">
        <f>IFERROR(VLOOKUP(Tabla1[[#This Row],[Llave]],'[5]Consolidación planes'!$A:$M,12,FALSE),0)</f>
        <v>0</v>
      </c>
      <c r="BH291" s="20">
        <f>IFERROR(VLOOKUP(Tabla1[[#This Row],[Llave]],'[5]Consolidación planes'!$A:$M,13,FALSE),0)</f>
        <v>0</v>
      </c>
      <c r="BI291" s="20">
        <f>IFERROR(VLOOKUP(Tabla1[[#This Row],[Llave]],'[13]Base ultimos planes'!$A:$M,13,FALSE),0)</f>
        <v>0</v>
      </c>
      <c r="BJ291" s="80">
        <f>IFERROR(VLOOKUP(Tabla1[[#This Row],[Llave]],'[13]Base ultimos planes'!$O:$AA,8,FALSE),0)</f>
        <v>0</v>
      </c>
      <c r="BK291" s="20">
        <f>IFERROR(VLOOKUP(Tabla1[[#This Row],[Llave]],'[13]Base ultimos planes'!$O:$AA,9,FALSE),0)</f>
        <v>0</v>
      </c>
      <c r="BL291" s="20">
        <f>IFERROR(VLOOKUP(Tabla1[[#This Row],[Llave]],'[13]Base ultimos planes'!$O:$AA,10,FALSE),0)</f>
        <v>0</v>
      </c>
      <c r="BM291" s="20">
        <f>IFERROR(VLOOKUP(Tabla1[[#This Row],[Llave]],'[13]Base ultimos planes'!$O:$AA,11,FALSE),0)</f>
        <v>0</v>
      </c>
      <c r="BN291" s="20">
        <f>IFERROR(VLOOKUP(Tabla1[[#This Row],[Llave]],'[13]Base ultimos planes'!$O:$AA,12,FALSE),0)</f>
        <v>0</v>
      </c>
      <c r="BO291" s="20">
        <f>IFERROR(VLOOKUP(Tabla1[[#This Row],[Llave]],'[13]Base ultimos planes'!$O:$AA,13,FALSE),0)</f>
        <v>0</v>
      </c>
      <c r="BP291" s="35"/>
      <c r="BQ291" s="20">
        <f>+Tabla1[[#This Row],[ RV  Venta mes n+1]]*(1-Tabla1[[#This Row],[% Uti. producción]])</f>
        <v>0</v>
      </c>
      <c r="BR291" s="100"/>
    </row>
    <row r="292" spans="1:70" ht="16" hidden="1" x14ac:dyDescent="0.2">
      <c r="A292">
        <v>1</v>
      </c>
      <c r="B292" t="str">
        <f>Tabla1[[#This Row],[Oficina]]&amp;Tabla1[[#This Row],[Material]]</f>
        <v>Agro Sudamerica1030736</v>
      </c>
      <c r="C292" t="s">
        <v>204</v>
      </c>
      <c r="D292" t="s">
        <v>17</v>
      </c>
      <c r="E292">
        <v>1030736</v>
      </c>
      <c r="F292" t="s">
        <v>616</v>
      </c>
      <c r="G292" t="s">
        <v>212</v>
      </c>
      <c r="H292" t="s">
        <v>319</v>
      </c>
      <c r="I292" s="15">
        <f>IFERROR(VLOOKUP(Tabla1[[#This Row],[Llave]],'[7]RV Producción'!$C:$G,5,FALSE),0)</f>
        <v>0</v>
      </c>
      <c r="J292" s="3">
        <f>IFERROR(IF(Tabla1[[#This Row],[Oficina]]=$I$7,VLOOKUP(Tabla1[[#This Row],[Llave]],'[7]Shangai (Tomas)'!$A:$F,6,FALSE),VLOOKUP(Tabla1[[#This Row],[Llave]],'[7]RV plan de ventas'!$A:$E,5,FALSE)),0)</f>
        <v>0</v>
      </c>
      <c r="K292" s="17">
        <f>IFERROR(VLOOKUP(Tabla1[[#This Row],[Oficina]],[15]Ponderación!$B$2:$E$9,4,FALSE),0)</f>
        <v>0.45719439678473212</v>
      </c>
      <c r="L292" s="7">
        <f>+Tabla1[[#This Row],[ RV Producción mes n+1]]*Tabla1[[#This Row],[% Uti. producción]]</f>
        <v>0</v>
      </c>
      <c r="M292" s="7">
        <f>IFERROR(VLOOKUP(Tabla1[[#This Row],[Material]],'[17]TD Stock'!$E:$I,5,FALSE),0)</f>
        <v>0</v>
      </c>
      <c r="N292" s="7">
        <f>IFERROR(VLOOKUP(Tabla1[[#This Row],[Material]],[16]Produccion!$M:$N,2,FALSE),0)</f>
        <v>0</v>
      </c>
      <c r="O292" s="7">
        <f>IFERROR(VLOOKUP(Tabla1[[#This Row],[Llave]],'[16]TD Conf-AP'!$I:$M,4,FALSE),0)</f>
        <v>0</v>
      </c>
      <c r="P292" s="37">
        <f>SUM(Tabla1[[#This Row],[Producción disponible]],Tabla1[[#This Row],[Stock al día]],(Tabla1[[#This Row],[Por producir mes N]]*0.9))-Tabla1[[#This Row],[Producción por despachar mes N]]</f>
        <v>0</v>
      </c>
      <c r="Q292" s="7">
        <f>IFERROR(VLOOKUP(Tabla1[[#This Row],[Llave]],[17]DELAY!$A:$D,4,FALSE),0)</f>
        <v>0</v>
      </c>
      <c r="R292" s="9">
        <v>0</v>
      </c>
      <c r="S292" s="5">
        <f t="shared" si="33"/>
        <v>0</v>
      </c>
      <c r="T292" s="76">
        <v>0</v>
      </c>
      <c r="U292" s="5">
        <f>+Tabla1[[#This Row],[Atraso a facturar]]+Tabla1[[#This Row],[Ajuste atraso]]</f>
        <v>0</v>
      </c>
      <c r="V292" s="3">
        <f>+Tabla1[[#This Row],[Total disponible]]-Tabla1[[#This Row],[Facturación atraso]]</f>
        <v>0</v>
      </c>
      <c r="W292" s="6">
        <f>IFERROR(IF(AND(V292&gt;R292,J292&gt;=R292),ROUNDDOWN((Tabla1[[#This Row],[Producción para venta nueva]])/R292,0)*R292,0),0)</f>
        <v>0</v>
      </c>
      <c r="X292" s="76">
        <v>0</v>
      </c>
      <c r="Y292" s="6">
        <f>IF(Tabla1[[#This Row],[Venta del mes]]&gt;0,Tabla1[[#This Row],[Venta del mes]]+Tabla1[[#This Row],[Ajuste venta nueva]],0)</f>
        <v>0</v>
      </c>
      <c r="Z292" s="6">
        <f>+Tabla1[[#This Row],[Producción para venta nueva]]-Tabla1[[#This Row],[Facturación Venta nueva]]</f>
        <v>0</v>
      </c>
      <c r="AA292" s="6">
        <f>IF(AND(A292=1,Tabla1[[#This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2" s="6"/>
      <c r="AC292" s="6">
        <f>IF(Tabla1[[#This Row],[Disponible stock sin venta]]&gt;0,Tabla1[[#This Row],[Disponible stock sin venta]]+Tabla1[[#This Row],[Ajuste stock sin venta]],0)</f>
        <v>0</v>
      </c>
      <c r="AD292" s="3">
        <f>IFERROR(VLOOKUP(Tabla1[[#This Row],[Llave]],'[16]TD Puerto'!$A:$D,4,FALSE),0)</f>
        <v>0</v>
      </c>
      <c r="AE292" s="3">
        <v>0</v>
      </c>
      <c r="AF292" s="3">
        <f>+Tabla1[[#This Row],[Atraso a facturar]]+Tabla1[[#This Row],[Venta del mes]]+Tabla1[[#This Row],[En puerto a facturar]]+Tabla1[[#This Row],[Disponible stock sin venta]]</f>
        <v>0</v>
      </c>
      <c r="AG292" s="3">
        <f>+Tabla1[[#This Row],[En puerto a facturar]]</f>
        <v>0</v>
      </c>
      <c r="AH292" s="3">
        <f>+Tabla1[[#This Row],[Facturación atraso]]</f>
        <v>0</v>
      </c>
      <c r="AI292" s="3">
        <f>+Tabla1[[#This Row],[Plan Irrestricto]]-Tabla1[[#This Row],[Puerto ]]-Tabla1[[#This Row],[Atraso]]</f>
        <v>0</v>
      </c>
      <c r="AJ29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2" s="3">
        <f>+Tabla1[[#This Row],[Facturación atraso]]</f>
        <v>0</v>
      </c>
      <c r="AL292" s="3">
        <f>+Tabla1[[#This Row],[Plan Ajustado]]-Tabla1[[#This Row],[ Atraso ajustado]]-Tabla1[[#This Row],[Puerto ]]</f>
        <v>0</v>
      </c>
      <c r="AM292" s="3">
        <v>0</v>
      </c>
      <c r="AN292" s="3" t="str">
        <f>IF(Tabla1[[#This Row],[Plan Ajustado]]&gt;Tabla1[[#This Row],[En puerto a facturar]],"Si","No")</f>
        <v>No</v>
      </c>
      <c r="AO29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2" s="3">
        <f>IF(Tabla1[[#This Row],[Necesidad]]&gt;=Tabla1[[#This Row],[Stock al día]],Tabla1[[#This Row],[Stock al día]],Tabla1[[#This Row],[Necesidad]])</f>
        <v>0</v>
      </c>
      <c r="AQ292" s="3">
        <f>+Tabla1[[#This Row],[Necesidad]]-Tabla1[[#This Row],[Stock Plan]]</f>
        <v>0</v>
      </c>
      <c r="AR292" s="156">
        <f>IFERROR(VLOOKUP(Tabla1[[#This Row],[Oficina]],[22]Ponderación!$B$3:$G$9,6,FALSE),"")</f>
        <v>44757</v>
      </c>
      <c r="AS29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92" s="83">
        <f>IFERROR(VLOOKUP(Tabla1[[#This Row],[Llave]],[17]DELAY!$H:$W,16,FALSE),0)</f>
        <v>0</v>
      </c>
      <c r="AU29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2" s="5">
        <f>+Tabla1[[#This Row],[Plan Ajustado]]*Tabla1[[#This Row],[Precio ponderado]]</f>
        <v>0</v>
      </c>
      <c r="AW292" s="30">
        <f>IFERROR(VLOOKUP(Tabla1[[#This Row],[Llave]],'[13]Ultimos precios facturados'!$A:$G,7,FALSE),0)</f>
        <v>0</v>
      </c>
      <c r="AX29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2" s="30"/>
      <c r="AZ292" s="30">
        <f>IF(Tabla1[[#This Row],[Ajuste precio IC]]="",Tabla1[[#This Row],[Precio ponderado]],Tabla1[[#This Row],[Precio ponderado]])</f>
        <v>0</v>
      </c>
      <c r="BA292" s="82"/>
      <c r="BB292" s="82" t="str">
        <f>IF(AND(Tabla1[[#This Row],[Atraso a facturar]]&gt;0,Tabla1[[#This Row],[Precio Atraso]]=0),"Revisar","OK")</f>
        <v>OK</v>
      </c>
      <c r="BC292" s="82" t="str">
        <f>IF(AND(Tabla1[[#This Row],[Venta del mes]]&gt;0,Tabla1[[#This Row],[Precio venta nueva]]=0),"Revisar","OK")</f>
        <v>OK</v>
      </c>
      <c r="BD292" s="20">
        <f>IFERROR(VLOOKUP(Tabla1[[#This Row],[Llave]],'[5]Consolidación planes'!$A:$M,9,FALSE),0)</f>
        <v>0</v>
      </c>
      <c r="BE292" s="20">
        <f>IFERROR(VLOOKUP(Tabla1[[#This Row],[Llave]],'[5]Consolidación planes'!$A:$M,10,FALSE),0)</f>
        <v>0</v>
      </c>
      <c r="BF292" s="20">
        <f>IFERROR(VLOOKUP(Tabla1[[#This Row],[Llave]],'[5]Consolidación planes'!$A:$M,11,FALSE),0)</f>
        <v>0</v>
      </c>
      <c r="BG292" s="20">
        <f>IFERROR(VLOOKUP(Tabla1[[#This Row],[Llave]],'[5]Consolidación planes'!$A:$M,12,FALSE),0)</f>
        <v>0</v>
      </c>
      <c r="BH292" s="20">
        <f>IFERROR(VLOOKUP(Tabla1[[#This Row],[Llave]],'[5]Consolidación planes'!$A:$M,13,FALSE),0)</f>
        <v>0</v>
      </c>
      <c r="BI292" s="20">
        <f>IFERROR(VLOOKUP(Tabla1[[#This Row],[Llave]],'[13]Base ultimos planes'!$A:$M,13,FALSE),0)</f>
        <v>0</v>
      </c>
      <c r="BJ292" s="80">
        <f>IFERROR(VLOOKUP(Tabla1[[#This Row],[Llave]],'[13]Base ultimos planes'!$O:$AA,8,FALSE),0)</f>
        <v>0</v>
      </c>
      <c r="BK292" s="20">
        <f>IFERROR(VLOOKUP(Tabla1[[#This Row],[Llave]],'[13]Base ultimos planes'!$O:$AA,9,FALSE),0)</f>
        <v>0</v>
      </c>
      <c r="BL292" s="20">
        <f>IFERROR(VLOOKUP(Tabla1[[#This Row],[Llave]],'[13]Base ultimos planes'!$O:$AA,10,FALSE),0)</f>
        <v>0</v>
      </c>
      <c r="BM292" s="20">
        <f>IFERROR(VLOOKUP(Tabla1[[#This Row],[Llave]],'[13]Base ultimos planes'!$O:$AA,11,FALSE),0)</f>
        <v>0</v>
      </c>
      <c r="BN292" s="20">
        <f>IFERROR(VLOOKUP(Tabla1[[#This Row],[Llave]],'[13]Base ultimos planes'!$O:$AA,12,FALSE),0)</f>
        <v>0</v>
      </c>
      <c r="BO292" s="20">
        <f>IFERROR(VLOOKUP(Tabla1[[#This Row],[Llave]],'[13]Base ultimos planes'!$O:$AA,13,FALSE),0)</f>
        <v>0</v>
      </c>
      <c r="BP292" s="35"/>
      <c r="BQ292" s="20">
        <f>+Tabla1[[#This Row],[ RV  Venta mes n+1]]*(1-Tabla1[[#This Row],[% Uti. producción]])</f>
        <v>0</v>
      </c>
      <c r="BR292" s="100"/>
    </row>
    <row r="293" spans="1:70" ht="16" hidden="1" x14ac:dyDescent="0.2">
      <c r="A293">
        <v>1</v>
      </c>
      <c r="B293" t="str">
        <f>Tabla1[[#This Row],[Oficina]]&amp;Tabla1[[#This Row],[Material]]</f>
        <v>Agro Sudamerica1030755</v>
      </c>
      <c r="C293" t="s">
        <v>204</v>
      </c>
      <c r="D293" t="s">
        <v>17</v>
      </c>
      <c r="E293">
        <v>1030755</v>
      </c>
      <c r="F293" t="s">
        <v>617</v>
      </c>
      <c r="G293" t="s">
        <v>217</v>
      </c>
      <c r="H293" t="s">
        <v>618</v>
      </c>
      <c r="I293" s="15">
        <f>IFERROR(VLOOKUP(Tabla1[[#This Row],[Llave]],'[7]RV Producción'!$C:$G,5,FALSE),0)</f>
        <v>0</v>
      </c>
      <c r="J293" s="3">
        <f>IFERROR(IF(Tabla1[[#This Row],[Oficina]]=$I$7,VLOOKUP(Tabla1[[#This Row],[Llave]],'[7]Shangai (Tomas)'!$A:$F,6,FALSE),VLOOKUP(Tabla1[[#This Row],[Llave]],'[7]RV plan de ventas'!$A:$E,5,FALSE)),0)</f>
        <v>0</v>
      </c>
      <c r="K293" s="17">
        <f>IFERROR(VLOOKUP(Tabla1[[#This Row],[Oficina]],[15]Ponderación!$B$2:$E$9,4,FALSE),0)</f>
        <v>0.45719439678473212</v>
      </c>
      <c r="L293" s="7">
        <f>+Tabla1[[#This Row],[ RV Producción mes n+1]]*Tabla1[[#This Row],[% Uti. producción]]</f>
        <v>0</v>
      </c>
      <c r="M293" s="7">
        <f>IFERROR(VLOOKUP(Tabla1[[#This Row],[Material]],'[17]TD Stock'!$E:$I,5,FALSE),0)</f>
        <v>0</v>
      </c>
      <c r="N293" s="7">
        <f>IFERROR(VLOOKUP(Tabla1[[#This Row],[Material]],[16]Produccion!$M:$N,2,FALSE),0)</f>
        <v>0</v>
      </c>
      <c r="O293" s="7">
        <f>IFERROR(VLOOKUP(Tabla1[[#This Row],[Llave]],'[16]TD Conf-AP'!$I:$M,4,FALSE),0)</f>
        <v>0</v>
      </c>
      <c r="P293" s="37">
        <f>SUM(Tabla1[[#This Row],[Producción disponible]],Tabla1[[#This Row],[Stock al día]],(Tabla1[[#This Row],[Por producir mes N]]*0.9))-Tabla1[[#This Row],[Producción por despachar mes N]]</f>
        <v>0</v>
      </c>
      <c r="Q293" s="7">
        <f>IFERROR(VLOOKUP(Tabla1[[#This Row],[Llave]],[17]DELAY!$A:$D,4,FALSE),0)</f>
        <v>0</v>
      </c>
      <c r="R293" s="9">
        <v>0</v>
      </c>
      <c r="S293" s="5">
        <f t="shared" si="33"/>
        <v>0</v>
      </c>
      <c r="T293" s="76">
        <v>0</v>
      </c>
      <c r="U293" s="5">
        <f>+Tabla1[[#This Row],[Atraso a facturar]]+Tabla1[[#This Row],[Ajuste atraso]]</f>
        <v>0</v>
      </c>
      <c r="V293" s="3">
        <f>+Tabla1[[#This Row],[Total disponible]]-Tabla1[[#This Row],[Facturación atraso]]</f>
        <v>0</v>
      </c>
      <c r="W293" s="6">
        <f>IFERROR(IF(AND(V293&gt;R293,J293&gt;=R293),ROUNDDOWN((Tabla1[[#This Row],[Producción para venta nueva]])/R293,0)*R293,0),0)</f>
        <v>0</v>
      </c>
      <c r="X293" s="76">
        <v>0</v>
      </c>
      <c r="Y293" s="6">
        <f>IF(Tabla1[[#This Row],[Venta del mes]]&gt;0,Tabla1[[#This Row],[Venta del mes]]+Tabla1[[#This Row],[Ajuste venta nueva]],0)</f>
        <v>0</v>
      </c>
      <c r="Z293" s="6">
        <f>+Tabla1[[#This Row],[Producción para venta nueva]]-Tabla1[[#This Row],[Facturación Venta nueva]]</f>
        <v>0</v>
      </c>
      <c r="AA293" s="6">
        <f>IF(AND(A293=1,Tabla1[[#This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3" s="6"/>
      <c r="AC293" s="6">
        <f>IF(Tabla1[[#This Row],[Disponible stock sin venta]]&gt;0,Tabla1[[#This Row],[Disponible stock sin venta]]+Tabla1[[#This Row],[Ajuste stock sin venta]],0)</f>
        <v>0</v>
      </c>
      <c r="AD293" s="3">
        <f>IFERROR(VLOOKUP(Tabla1[[#This Row],[Llave]],'[16]TD Puerto'!$A:$D,4,FALSE),0)</f>
        <v>0</v>
      </c>
      <c r="AE293" s="3">
        <v>0</v>
      </c>
      <c r="AF293" s="3">
        <f>+Tabla1[[#This Row],[Atraso a facturar]]+Tabla1[[#This Row],[Venta del mes]]+Tabla1[[#This Row],[En puerto a facturar]]+Tabla1[[#This Row],[Disponible stock sin venta]]</f>
        <v>0</v>
      </c>
      <c r="AG293" s="3">
        <f>+Tabla1[[#This Row],[En puerto a facturar]]</f>
        <v>0</v>
      </c>
      <c r="AH293" s="3">
        <f>+Tabla1[[#This Row],[Facturación atraso]]</f>
        <v>0</v>
      </c>
      <c r="AI293" s="3">
        <f>+Tabla1[[#This Row],[Plan Irrestricto]]-Tabla1[[#This Row],[Puerto ]]-Tabla1[[#This Row],[Atraso]]</f>
        <v>0</v>
      </c>
      <c r="AJ29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3" s="3">
        <f>+Tabla1[[#This Row],[Facturación atraso]]</f>
        <v>0</v>
      </c>
      <c r="AL293" s="3">
        <f>+Tabla1[[#This Row],[Plan Ajustado]]-Tabla1[[#This Row],[ Atraso ajustado]]-Tabla1[[#This Row],[Puerto ]]</f>
        <v>0</v>
      </c>
      <c r="AM293" s="3">
        <v>0</v>
      </c>
      <c r="AN293" s="3" t="str">
        <f>IF(Tabla1[[#This Row],[Plan Ajustado]]&gt;Tabla1[[#This Row],[En puerto a facturar]],"Si","No")</f>
        <v>No</v>
      </c>
      <c r="AO29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3" s="3">
        <f>IF(Tabla1[[#This Row],[Necesidad]]&gt;=Tabla1[[#This Row],[Stock al día]],Tabla1[[#This Row],[Stock al día]],Tabla1[[#This Row],[Necesidad]])</f>
        <v>0</v>
      </c>
      <c r="AQ293" s="3">
        <f>+Tabla1[[#This Row],[Necesidad]]-Tabla1[[#This Row],[Stock Plan]]</f>
        <v>0</v>
      </c>
      <c r="AR293" s="156">
        <f>IFERROR(VLOOKUP(Tabla1[[#This Row],[Oficina]],[22]Ponderación!$B$3:$G$9,6,FALSE),"")</f>
        <v>44757</v>
      </c>
      <c r="AS29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93" s="83">
        <f>IFERROR(VLOOKUP(Tabla1[[#This Row],[Llave]],[17]DELAY!$H:$W,16,FALSE),0)</f>
        <v>0</v>
      </c>
      <c r="AU29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3" s="5">
        <f>+Tabla1[[#This Row],[Plan Ajustado]]*Tabla1[[#This Row],[Precio ponderado]]</f>
        <v>0</v>
      </c>
      <c r="AW293" s="30">
        <f>IFERROR(VLOOKUP(Tabla1[[#This Row],[Llave]],'[13]Ultimos precios facturados'!$A:$G,7,FALSE),0)</f>
        <v>0</v>
      </c>
      <c r="AX29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3" s="30"/>
      <c r="AZ293" s="30">
        <f>IF(Tabla1[[#This Row],[Ajuste precio IC]]="",Tabla1[[#This Row],[Precio ponderado]],Tabla1[[#This Row],[Precio ponderado]])</f>
        <v>0</v>
      </c>
      <c r="BA293" s="82"/>
      <c r="BB293" s="82" t="str">
        <f>IF(AND(Tabla1[[#This Row],[Atraso a facturar]]&gt;0,Tabla1[[#This Row],[Precio Atraso]]=0),"Revisar","OK")</f>
        <v>OK</v>
      </c>
      <c r="BC293" s="82" t="str">
        <f>IF(AND(Tabla1[[#This Row],[Venta del mes]]&gt;0,Tabla1[[#This Row],[Precio venta nueva]]=0),"Revisar","OK")</f>
        <v>OK</v>
      </c>
      <c r="BD293" s="20">
        <f>IFERROR(VLOOKUP(Tabla1[[#This Row],[Llave]],'[5]Consolidación planes'!$A:$M,9,FALSE),0)</f>
        <v>0</v>
      </c>
      <c r="BE293" s="20">
        <f>IFERROR(VLOOKUP(Tabla1[[#This Row],[Llave]],'[5]Consolidación planes'!$A:$M,10,FALSE),0)</f>
        <v>0</v>
      </c>
      <c r="BF293" s="20">
        <f>IFERROR(VLOOKUP(Tabla1[[#This Row],[Llave]],'[5]Consolidación planes'!$A:$M,11,FALSE),0)</f>
        <v>0</v>
      </c>
      <c r="BG293" s="20">
        <f>IFERROR(VLOOKUP(Tabla1[[#This Row],[Llave]],'[5]Consolidación planes'!$A:$M,12,FALSE),0)</f>
        <v>0</v>
      </c>
      <c r="BH293" s="20">
        <f>IFERROR(VLOOKUP(Tabla1[[#This Row],[Llave]],'[5]Consolidación planes'!$A:$M,13,FALSE),0)</f>
        <v>0</v>
      </c>
      <c r="BI293" s="20">
        <f>IFERROR(VLOOKUP(Tabla1[[#This Row],[Llave]],'[13]Base ultimos planes'!$A:$M,13,FALSE),0)</f>
        <v>0</v>
      </c>
      <c r="BJ293" s="80">
        <f>IFERROR(VLOOKUP(Tabla1[[#This Row],[Llave]],'[13]Base ultimos planes'!$O:$AA,8,FALSE),0)</f>
        <v>0</v>
      </c>
      <c r="BK293" s="20">
        <f>IFERROR(VLOOKUP(Tabla1[[#This Row],[Llave]],'[13]Base ultimos planes'!$O:$AA,9,FALSE),0)</f>
        <v>0</v>
      </c>
      <c r="BL293" s="20">
        <f>IFERROR(VLOOKUP(Tabla1[[#This Row],[Llave]],'[13]Base ultimos planes'!$O:$AA,10,FALSE),0)</f>
        <v>0</v>
      </c>
      <c r="BM293" s="20">
        <f>IFERROR(VLOOKUP(Tabla1[[#This Row],[Llave]],'[13]Base ultimos planes'!$O:$AA,11,FALSE),0)</f>
        <v>0</v>
      </c>
      <c r="BN293" s="20">
        <f>IFERROR(VLOOKUP(Tabla1[[#This Row],[Llave]],'[13]Base ultimos planes'!$O:$AA,12,FALSE),0)</f>
        <v>0</v>
      </c>
      <c r="BO293" s="20">
        <f>IFERROR(VLOOKUP(Tabla1[[#This Row],[Llave]],'[13]Base ultimos planes'!$O:$AA,13,FALSE),0)</f>
        <v>0</v>
      </c>
      <c r="BP293" s="35"/>
      <c r="BQ293" s="20">
        <f>+Tabla1[[#This Row],[ RV  Venta mes n+1]]*(1-Tabla1[[#This Row],[% Uti. producción]])</f>
        <v>0</v>
      </c>
      <c r="BR293" s="100"/>
    </row>
    <row r="294" spans="1:70" ht="16" hidden="1" x14ac:dyDescent="0.2">
      <c r="A294">
        <v>1</v>
      </c>
      <c r="B294" t="str">
        <f>Tabla1[[#This Row],[Oficina]]&amp;Tabla1[[#This Row],[Material]]</f>
        <v>Agrosuper Asia1030576</v>
      </c>
      <c r="C294" t="s">
        <v>204</v>
      </c>
      <c r="D294" t="s">
        <v>173</v>
      </c>
      <c r="E294">
        <v>1030576</v>
      </c>
      <c r="F294" t="s">
        <v>619</v>
      </c>
      <c r="G294" t="s">
        <v>620</v>
      </c>
      <c r="H294" t="s">
        <v>620</v>
      </c>
      <c r="I294" s="15">
        <f>IFERROR(VLOOKUP(Tabla1[[#This Row],[Llave]],'[7]RV Producción'!$C:$G,5,FALSE),0)</f>
        <v>0</v>
      </c>
      <c r="J294" s="3">
        <f>IFERROR(IF(Tabla1[[#This Row],[Oficina]]=$I$7,VLOOKUP(Tabla1[[#This Row],[Llave]],'[7]Shangai (Tomas)'!$A:$F,6,FALSE),VLOOKUP(Tabla1[[#This Row],[Llave]],'[7]RV plan de ventas'!$A:$E,5,FALSE)),0)</f>
        <v>0</v>
      </c>
      <c r="K294" s="17">
        <f>IFERROR(VLOOKUP(Tabla1[[#This Row],[Oficina]],[15]Ponderación!$B$2:$E$9,4,FALSE),0)</f>
        <v>0.45719439678473212</v>
      </c>
      <c r="L294" s="7">
        <f>+Tabla1[[#This Row],[ RV Producción mes n+1]]*Tabla1[[#This Row],[% Uti. producción]]</f>
        <v>0</v>
      </c>
      <c r="M294" s="7">
        <f>IFERROR(VLOOKUP(Tabla1[[#This Row],[Material]],'[17]TD Stock'!$E:$I,5,FALSE),0)</f>
        <v>0</v>
      </c>
      <c r="N294" s="7">
        <f>IFERROR(VLOOKUP(Tabla1[[#This Row],[Material]],[16]Produccion!$M:$N,2,FALSE),0)</f>
        <v>0</v>
      </c>
      <c r="O294" s="7">
        <f>IFERROR(VLOOKUP(Tabla1[[#This Row],[Llave]],'[16]TD Conf-AP'!$I:$M,4,FALSE),0)</f>
        <v>0</v>
      </c>
      <c r="P294" s="37">
        <f>SUM(Tabla1[[#This Row],[Producción disponible]],Tabla1[[#This Row],[Stock al día]],(Tabla1[[#This Row],[Por producir mes N]]*0.9))-Tabla1[[#This Row],[Producción por despachar mes N]]</f>
        <v>0</v>
      </c>
      <c r="Q294" s="7">
        <f>IFERROR(VLOOKUP(Tabla1[[#This Row],[Llave]],[17]DELAY!$A:$D,4,FALSE),0)</f>
        <v>0</v>
      </c>
      <c r="R294" s="9">
        <v>0</v>
      </c>
      <c r="S294" s="5">
        <f t="shared" si="33"/>
        <v>0</v>
      </c>
      <c r="T294" s="76">
        <v>0</v>
      </c>
      <c r="U294" s="5">
        <f>+Tabla1[[#This Row],[Atraso a facturar]]+Tabla1[[#This Row],[Ajuste atraso]]</f>
        <v>0</v>
      </c>
      <c r="V294" s="3">
        <f>+Tabla1[[#This Row],[Total disponible]]-Tabla1[[#This Row],[Facturación atraso]]</f>
        <v>0</v>
      </c>
      <c r="W294" s="6">
        <f>IFERROR(IF(AND(V294&gt;R294,J294&gt;=R294),ROUNDDOWN((Tabla1[[#This Row],[Producción para venta nueva]])/R294,0)*R294,0),0)</f>
        <v>0</v>
      </c>
      <c r="X294" s="76">
        <v>0</v>
      </c>
      <c r="Y294" s="6">
        <f>IF(Tabla1[[#This Row],[Venta del mes]]&gt;0,Tabla1[[#This Row],[Venta del mes]]+Tabla1[[#This Row],[Ajuste venta nueva]],0)</f>
        <v>0</v>
      </c>
      <c r="Z294" s="6">
        <f>+Tabla1[[#This Row],[Producción para venta nueva]]-Tabla1[[#This Row],[Facturación Venta nueva]]</f>
        <v>0</v>
      </c>
      <c r="AA294" s="6">
        <f>IF(AND(A294=1,Tabla1[[#This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4" s="6"/>
      <c r="AC294" s="6">
        <f>IF(Tabla1[[#This Row],[Disponible stock sin venta]]&gt;0,Tabla1[[#This Row],[Disponible stock sin venta]]+Tabla1[[#This Row],[Ajuste stock sin venta]],0)</f>
        <v>0</v>
      </c>
      <c r="AD294" s="3">
        <f>IFERROR(VLOOKUP(Tabla1[[#This Row],[Llave]],'[16]TD Puerto'!$A:$D,4,FALSE),0)</f>
        <v>0</v>
      </c>
      <c r="AE294" s="3">
        <v>0</v>
      </c>
      <c r="AF294" s="3">
        <f>+Tabla1[[#This Row],[Atraso a facturar]]+Tabla1[[#This Row],[Venta del mes]]+Tabla1[[#This Row],[En puerto a facturar]]+Tabla1[[#This Row],[Disponible stock sin venta]]</f>
        <v>0</v>
      </c>
      <c r="AG294" s="3">
        <f>+Tabla1[[#This Row],[En puerto a facturar]]</f>
        <v>0</v>
      </c>
      <c r="AH294" s="3">
        <f>+Tabla1[[#This Row],[Facturación atraso]]</f>
        <v>0</v>
      </c>
      <c r="AI294" s="3">
        <f>+Tabla1[[#This Row],[Plan Irrestricto]]-Tabla1[[#This Row],[Puerto ]]-Tabla1[[#This Row],[Atraso]]</f>
        <v>0</v>
      </c>
      <c r="AJ29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4" s="3">
        <f>+Tabla1[[#This Row],[Facturación atraso]]</f>
        <v>0</v>
      </c>
      <c r="AL294" s="3">
        <f>+Tabla1[[#This Row],[Plan Ajustado]]-Tabla1[[#This Row],[ Atraso ajustado]]-Tabla1[[#This Row],[Puerto ]]</f>
        <v>0</v>
      </c>
      <c r="AM294" s="3">
        <v>0</v>
      </c>
      <c r="AN294" s="3" t="str">
        <f>IF(Tabla1[[#This Row],[Plan Ajustado]]&gt;Tabla1[[#This Row],[En puerto a facturar]],"Si","No")</f>
        <v>No</v>
      </c>
      <c r="AO29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4" s="3">
        <f>IF(Tabla1[[#This Row],[Necesidad]]&gt;=Tabla1[[#This Row],[Stock al día]],Tabla1[[#This Row],[Stock al día]],Tabla1[[#This Row],[Necesidad]])</f>
        <v>0</v>
      </c>
      <c r="AQ294" s="3">
        <f>+Tabla1[[#This Row],[Necesidad]]-Tabla1[[#This Row],[Stock Plan]]</f>
        <v>0</v>
      </c>
      <c r="AR294" s="156">
        <f>IFERROR(VLOOKUP(Tabla1[[#This Row],[Oficina]],[22]Ponderación!$B$3:$G$9,6,FALSE),"")</f>
        <v>44754</v>
      </c>
      <c r="AS29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</v>
      </c>
      <c r="AT294" s="83">
        <f>IFERROR(VLOOKUP(Tabla1[[#This Row],[Llave]],[17]DELAY!$H:$W,16,FALSE),0)</f>
        <v>0</v>
      </c>
      <c r="AU29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4" s="5">
        <f>+Tabla1[[#This Row],[Plan Ajustado]]*Tabla1[[#This Row],[Precio ponderado]]</f>
        <v>0</v>
      </c>
      <c r="AW294" s="30">
        <f>IFERROR(VLOOKUP(Tabla1[[#This Row],[Llave]],'[13]Ultimos precios facturados'!$A:$G,7,FALSE),0)</f>
        <v>1</v>
      </c>
      <c r="AX29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4" s="30"/>
      <c r="AZ294" s="30">
        <f>IF(Tabla1[[#This Row],[Ajuste precio IC]]="",Tabla1[[#This Row],[Precio ponderado]],Tabla1[[#This Row],[Precio ponderado]])</f>
        <v>0</v>
      </c>
      <c r="BA294" s="82"/>
      <c r="BB294" s="82" t="str">
        <f>IF(AND(Tabla1[[#This Row],[Atraso a facturar]]&gt;0,Tabla1[[#This Row],[Precio Atraso]]=0),"Revisar","OK")</f>
        <v>OK</v>
      </c>
      <c r="BC294" s="82" t="str">
        <f>IF(AND(Tabla1[[#This Row],[Venta del mes]]&gt;0,Tabla1[[#This Row],[Precio venta nueva]]=0),"Revisar","OK")</f>
        <v>OK</v>
      </c>
      <c r="BD294" s="20">
        <f>IFERROR(VLOOKUP(Tabla1[[#This Row],[Llave]],'[5]Consolidación planes'!$A:$M,9,FALSE),0)</f>
        <v>0</v>
      </c>
      <c r="BE294" s="20">
        <f>IFERROR(VLOOKUP(Tabla1[[#This Row],[Llave]],'[5]Consolidación planes'!$A:$M,10,FALSE),0)</f>
        <v>0</v>
      </c>
      <c r="BF294" s="20">
        <f>IFERROR(VLOOKUP(Tabla1[[#This Row],[Llave]],'[5]Consolidación planes'!$A:$M,11,FALSE),0)</f>
        <v>0</v>
      </c>
      <c r="BG294" s="20">
        <f>IFERROR(VLOOKUP(Tabla1[[#This Row],[Llave]],'[5]Consolidación planes'!$A:$M,12,FALSE),0)</f>
        <v>0</v>
      </c>
      <c r="BH294" s="20">
        <f>IFERROR(VLOOKUP(Tabla1[[#This Row],[Llave]],'[5]Consolidación planes'!$A:$M,13,FALSE),0)</f>
        <v>0</v>
      </c>
      <c r="BI294" s="20">
        <f>IFERROR(VLOOKUP(Tabla1[[#This Row],[Llave]],'[13]Base ultimos planes'!$A:$M,13,FALSE),0)</f>
        <v>0</v>
      </c>
      <c r="BJ294" s="80">
        <f>IFERROR(VLOOKUP(Tabla1[[#This Row],[Llave]],'[13]Base ultimos planes'!$O:$AA,8,FALSE),0)</f>
        <v>0</v>
      </c>
      <c r="BK294" s="20">
        <f>IFERROR(VLOOKUP(Tabla1[[#This Row],[Llave]],'[13]Base ultimos planes'!$O:$AA,9,FALSE),0)</f>
        <v>0</v>
      </c>
      <c r="BL294" s="20">
        <f>IFERROR(VLOOKUP(Tabla1[[#This Row],[Llave]],'[13]Base ultimos planes'!$O:$AA,10,FALSE),0)</f>
        <v>0</v>
      </c>
      <c r="BM294" s="20">
        <f>IFERROR(VLOOKUP(Tabla1[[#This Row],[Llave]],'[13]Base ultimos planes'!$O:$AA,11,FALSE),0)</f>
        <v>0</v>
      </c>
      <c r="BN294" s="20">
        <f>IFERROR(VLOOKUP(Tabla1[[#This Row],[Llave]],'[13]Base ultimos planes'!$O:$AA,12,FALSE),0)</f>
        <v>0</v>
      </c>
      <c r="BO294" s="20">
        <f>IFERROR(VLOOKUP(Tabla1[[#This Row],[Llave]],'[13]Base ultimos planes'!$O:$AA,13,FALSE),0)</f>
        <v>0</v>
      </c>
      <c r="BP294" s="35"/>
      <c r="BQ294" s="20">
        <f>+Tabla1[[#This Row],[ RV  Venta mes n+1]]*(1-Tabla1[[#This Row],[% Uti. producción]])</f>
        <v>0</v>
      </c>
      <c r="BR294" s="100"/>
    </row>
    <row r="295" spans="1:70" ht="16" hidden="1" x14ac:dyDescent="0.2">
      <c r="A295">
        <v>1</v>
      </c>
      <c r="B295" t="str">
        <f>Tabla1[[#This Row],[Oficina]]&amp;Tabla1[[#This Row],[Material]]</f>
        <v>Agrosuper Brasil1030740</v>
      </c>
      <c r="C295" t="s">
        <v>204</v>
      </c>
      <c r="D295" t="s">
        <v>7</v>
      </c>
      <c r="E295">
        <v>1030740</v>
      </c>
      <c r="F295" t="s">
        <v>621</v>
      </c>
      <c r="G295" t="s">
        <v>212</v>
      </c>
      <c r="H295" t="s">
        <v>319</v>
      </c>
      <c r="I295" s="15">
        <f>IFERROR(VLOOKUP(Tabla1[[#This Row],[Llave]],'[7]RV Producción'!$C:$G,5,FALSE),0)</f>
        <v>0</v>
      </c>
      <c r="J295" s="3">
        <f>IFERROR(IF(Tabla1[[#This Row],[Oficina]]=$I$7,VLOOKUP(Tabla1[[#This Row],[Llave]],'[7]Shangai (Tomas)'!$A:$F,6,FALSE),VLOOKUP(Tabla1[[#This Row],[Llave]],'[7]RV plan de ventas'!$A:$E,5,FALSE)),0)</f>
        <v>0</v>
      </c>
      <c r="K295" s="17">
        <f>IFERROR(VLOOKUP(Tabla1[[#This Row],[Oficina]],[15]Ponderación!$B$2:$E$9,4,FALSE),0)</f>
        <v>0.81420840482290169</v>
      </c>
      <c r="L295" s="7">
        <f>+Tabla1[[#This Row],[ RV Producción mes n+1]]*Tabla1[[#This Row],[% Uti. producción]]</f>
        <v>0</v>
      </c>
      <c r="M295" s="7">
        <f>IFERROR(VLOOKUP(Tabla1[[#This Row],[Material]],'[17]TD Stock'!$E:$I,5,FALSE),0)</f>
        <v>0</v>
      </c>
      <c r="N295" s="7">
        <f>IFERROR(VLOOKUP(Tabla1[[#This Row],[Material]],[16]Produccion!$M:$N,2,FALSE),0)</f>
        <v>0</v>
      </c>
      <c r="O295" s="7">
        <f>IFERROR(VLOOKUP(Tabla1[[#This Row],[Llave]],'[16]TD Conf-AP'!$I:$M,4,FALSE),0)</f>
        <v>0</v>
      </c>
      <c r="P295" s="37">
        <f>SUM(Tabla1[[#This Row],[Producción disponible]],Tabla1[[#This Row],[Stock al día]],(Tabla1[[#This Row],[Por producir mes N]]*0.9))-Tabla1[[#This Row],[Producción por despachar mes N]]</f>
        <v>0</v>
      </c>
      <c r="Q295" s="7">
        <f>IFERROR(VLOOKUP(Tabla1[[#This Row],[Llave]],[17]DELAY!$A:$D,4,FALSE),0)</f>
        <v>0</v>
      </c>
      <c r="R295" s="9">
        <v>0</v>
      </c>
      <c r="S295" s="5">
        <f t="shared" si="33"/>
        <v>0</v>
      </c>
      <c r="T295" s="76">
        <v>0</v>
      </c>
      <c r="U295" s="5">
        <f>+Tabla1[[#This Row],[Atraso a facturar]]+Tabla1[[#This Row],[Ajuste atraso]]</f>
        <v>0</v>
      </c>
      <c r="V295" s="3">
        <f>+Tabla1[[#This Row],[Total disponible]]-Tabla1[[#This Row],[Facturación atraso]]</f>
        <v>0</v>
      </c>
      <c r="W295" s="6">
        <f>IFERROR(IF(AND(V295&gt;R295,J295&gt;=R295),ROUNDDOWN((Tabla1[[#This Row],[Producción para venta nueva]])/R295,0)*R295,0),0)</f>
        <v>0</v>
      </c>
      <c r="X295" s="76">
        <v>0</v>
      </c>
      <c r="Y295" s="6">
        <f>IF(Tabla1[[#This Row],[Venta del mes]]&gt;0,Tabla1[[#This Row],[Venta del mes]]+Tabla1[[#This Row],[Ajuste venta nueva]],0)</f>
        <v>0</v>
      </c>
      <c r="Z295" s="6">
        <f>+Tabla1[[#This Row],[Producción para venta nueva]]-Tabla1[[#This Row],[Facturación Venta nueva]]</f>
        <v>0</v>
      </c>
      <c r="AA295" s="6">
        <f>IF(AND(A295=1,Tabla1[[#This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5" s="6"/>
      <c r="AC295" s="6">
        <f>IF(Tabla1[[#This Row],[Disponible stock sin venta]]&gt;0,Tabla1[[#This Row],[Disponible stock sin venta]]+Tabla1[[#This Row],[Ajuste stock sin venta]],0)</f>
        <v>0</v>
      </c>
      <c r="AD295" s="3">
        <f>IFERROR(VLOOKUP(Tabla1[[#This Row],[Llave]],'[16]TD Puerto'!$A:$D,4,FALSE),0)</f>
        <v>0</v>
      </c>
      <c r="AE295" s="3">
        <v>0</v>
      </c>
      <c r="AF295" s="3">
        <f>+Tabla1[[#This Row],[Atraso a facturar]]+Tabla1[[#This Row],[Venta del mes]]+Tabla1[[#This Row],[En puerto a facturar]]+Tabla1[[#This Row],[Disponible stock sin venta]]</f>
        <v>0</v>
      </c>
      <c r="AG295" s="3">
        <f>+Tabla1[[#This Row],[En puerto a facturar]]</f>
        <v>0</v>
      </c>
      <c r="AH295" s="3">
        <f>+Tabla1[[#This Row],[Facturación atraso]]</f>
        <v>0</v>
      </c>
      <c r="AI295" s="3">
        <f>+Tabla1[[#This Row],[Plan Irrestricto]]-Tabla1[[#This Row],[Puerto ]]-Tabla1[[#This Row],[Atraso]]</f>
        <v>0</v>
      </c>
      <c r="AJ29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5" s="3">
        <f>+Tabla1[[#This Row],[Facturación atraso]]</f>
        <v>0</v>
      </c>
      <c r="AL295" s="3">
        <f>+Tabla1[[#This Row],[Plan Ajustado]]-Tabla1[[#This Row],[ Atraso ajustado]]-Tabla1[[#This Row],[Puerto ]]</f>
        <v>0</v>
      </c>
      <c r="AM295" s="3">
        <v>0</v>
      </c>
      <c r="AN295" s="3" t="str">
        <f>IF(Tabla1[[#This Row],[Plan Ajustado]]&gt;Tabla1[[#This Row],[En puerto a facturar]],"Si","No")</f>
        <v>No</v>
      </c>
      <c r="AO29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5" s="3">
        <f>IF(Tabla1[[#This Row],[Necesidad]]&gt;=Tabla1[[#This Row],[Stock al día]],Tabla1[[#This Row],[Stock al día]],Tabla1[[#This Row],[Necesidad]])</f>
        <v>0</v>
      </c>
      <c r="AQ295" s="3">
        <f>+Tabla1[[#This Row],[Necesidad]]-Tabla1[[#This Row],[Stock Plan]]</f>
        <v>0</v>
      </c>
      <c r="AR295" s="156">
        <f>IFERROR(VLOOKUP(Tabla1[[#This Row],[Oficina]],[22]Ponderación!$B$3:$G$9,6,FALSE),"")</f>
        <v>44764</v>
      </c>
      <c r="AS29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95" s="83">
        <f>IFERROR(VLOOKUP(Tabla1[[#This Row],[Llave]],[17]DELAY!$H:$W,16,FALSE),0)</f>
        <v>0</v>
      </c>
      <c r="AU29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5" s="5">
        <f>+Tabla1[[#This Row],[Plan Ajustado]]*Tabla1[[#This Row],[Precio ponderado]]</f>
        <v>0</v>
      </c>
      <c r="AW295" s="30">
        <f>IFERROR(VLOOKUP(Tabla1[[#This Row],[Llave]],'[13]Ultimos precios facturados'!$A:$G,7,FALSE),0)</f>
        <v>0</v>
      </c>
      <c r="AX29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5" s="30"/>
      <c r="AZ295" s="30">
        <f>IF(Tabla1[[#This Row],[Ajuste precio IC]]="",Tabla1[[#This Row],[Precio ponderado]],Tabla1[[#This Row],[Precio ponderado]])</f>
        <v>0</v>
      </c>
      <c r="BA295" s="82"/>
      <c r="BB295" s="82" t="str">
        <f>IF(AND(Tabla1[[#This Row],[Atraso a facturar]]&gt;0,Tabla1[[#This Row],[Precio Atraso]]=0),"Revisar","OK")</f>
        <v>OK</v>
      </c>
      <c r="BC295" s="82" t="str">
        <f>IF(AND(Tabla1[[#This Row],[Venta del mes]]&gt;0,Tabla1[[#This Row],[Precio venta nueva]]=0),"Revisar","OK")</f>
        <v>OK</v>
      </c>
      <c r="BD295" s="20">
        <f>IFERROR(VLOOKUP(Tabla1[[#This Row],[Llave]],'[5]Consolidación planes'!$A:$M,9,FALSE),0)</f>
        <v>0</v>
      </c>
      <c r="BE295" s="20">
        <f>IFERROR(VLOOKUP(Tabla1[[#This Row],[Llave]],'[5]Consolidación planes'!$A:$M,10,FALSE),0)</f>
        <v>0</v>
      </c>
      <c r="BF295" s="20">
        <f>IFERROR(VLOOKUP(Tabla1[[#This Row],[Llave]],'[5]Consolidación planes'!$A:$M,11,FALSE),0)</f>
        <v>0</v>
      </c>
      <c r="BG295" s="20">
        <f>IFERROR(VLOOKUP(Tabla1[[#This Row],[Llave]],'[5]Consolidación planes'!$A:$M,12,FALSE),0)</f>
        <v>0</v>
      </c>
      <c r="BH295" s="20">
        <f>IFERROR(VLOOKUP(Tabla1[[#This Row],[Llave]],'[5]Consolidación planes'!$A:$M,13,FALSE),0)</f>
        <v>0</v>
      </c>
      <c r="BI295" s="20">
        <f>IFERROR(VLOOKUP(Tabla1[[#This Row],[Llave]],'[13]Base ultimos planes'!$A:$M,13,FALSE),0)</f>
        <v>0</v>
      </c>
      <c r="BJ295" s="80">
        <f>IFERROR(VLOOKUP(Tabla1[[#This Row],[Llave]],'[13]Base ultimos planes'!$O:$AA,8,FALSE),0)</f>
        <v>0</v>
      </c>
      <c r="BK295" s="20">
        <f>IFERROR(VLOOKUP(Tabla1[[#This Row],[Llave]],'[13]Base ultimos planes'!$O:$AA,9,FALSE),0)</f>
        <v>0</v>
      </c>
      <c r="BL295" s="20">
        <f>IFERROR(VLOOKUP(Tabla1[[#This Row],[Llave]],'[13]Base ultimos planes'!$O:$AA,10,FALSE),0)</f>
        <v>0</v>
      </c>
      <c r="BM295" s="20">
        <f>IFERROR(VLOOKUP(Tabla1[[#This Row],[Llave]],'[13]Base ultimos planes'!$O:$AA,11,FALSE),0)</f>
        <v>0</v>
      </c>
      <c r="BN295" s="20">
        <f>IFERROR(VLOOKUP(Tabla1[[#This Row],[Llave]],'[13]Base ultimos planes'!$O:$AA,12,FALSE),0)</f>
        <v>0</v>
      </c>
      <c r="BO295" s="20">
        <f>IFERROR(VLOOKUP(Tabla1[[#This Row],[Llave]],'[13]Base ultimos planes'!$O:$AA,13,FALSE),0)</f>
        <v>0</v>
      </c>
      <c r="BP295" s="35"/>
      <c r="BQ295" s="20">
        <f>+Tabla1[[#This Row],[ RV  Venta mes n+1]]*(1-Tabla1[[#This Row],[% Uti. producción]])</f>
        <v>0</v>
      </c>
      <c r="BR295" s="100"/>
    </row>
    <row r="296" spans="1:70" ht="16" hidden="1" x14ac:dyDescent="0.2">
      <c r="A296">
        <v>1</v>
      </c>
      <c r="B296" t="str">
        <f>Tabla1[[#This Row],[Oficina]]&amp;Tabla1[[#This Row],[Material]]</f>
        <v>Agro Sudamerica1012342</v>
      </c>
      <c r="C296" t="s">
        <v>227</v>
      </c>
      <c r="D296" t="s">
        <v>17</v>
      </c>
      <c r="E296">
        <v>1012342</v>
      </c>
      <c r="F296" t="s">
        <v>229</v>
      </c>
      <c r="G296" t="s">
        <v>209</v>
      </c>
      <c r="H296" t="s">
        <v>228</v>
      </c>
      <c r="I296" s="15">
        <f>IFERROR(VLOOKUP(Tabla1[[#This Row],[Llave]],'[7]RV Producción'!$C:$G,5,FALSE),0)</f>
        <v>0</v>
      </c>
      <c r="J296" s="3">
        <f>IFERROR(IF(Tabla1[[#This Row],[Oficina]]=$I$7,VLOOKUP(Tabla1[[#This Row],[Llave]],'[7]Shangai (Tomas)'!$A:$F,6,FALSE),VLOOKUP(Tabla1[[#This Row],[Llave]],'[7]RV plan de ventas'!$A:$E,5,FALSE)),0)</f>
        <v>0</v>
      </c>
      <c r="K296" s="17">
        <f>IFERROR(VLOOKUP(Tabla1[[#This Row],[Oficina]],[15]Ponderación!$B$2:$E$9,4,FALSE),0)</f>
        <v>0.45719439678473212</v>
      </c>
      <c r="L296" s="7">
        <f>+Tabla1[[#This Row],[ RV Producción mes n+1]]*Tabla1[[#This Row],[% Uti. producción]]</f>
        <v>0</v>
      </c>
      <c r="M296" s="7">
        <f>IFERROR(VLOOKUP(Tabla1[[#This Row],[Material]],'[17]TD Stock'!$E:$I,5,FALSE),0)</f>
        <v>0</v>
      </c>
      <c r="N296" s="7">
        <f>IFERROR(VLOOKUP(Tabla1[[#This Row],[Material]],[16]Produccion!$M:$N,2,FALSE),0)</f>
        <v>0</v>
      </c>
      <c r="O296" s="7">
        <f>IFERROR(VLOOKUP(Tabla1[[#This Row],[Llave]],'[16]TD Conf-AP'!$I:$M,4,FALSE),0)</f>
        <v>0</v>
      </c>
      <c r="P296" s="37">
        <f>SUM(Tabla1[[#This Row],[Producción disponible]],Tabla1[[#This Row],[Stock al día]],(Tabla1[[#This Row],[Por producir mes N]]*0.9))-Tabla1[[#This Row],[Producción por despachar mes N]]</f>
        <v>0</v>
      </c>
      <c r="Q296" s="7">
        <f>IFERROR(VLOOKUP(Tabla1[[#This Row],[Llave]],[17]DELAY!$A:$D,4,FALSE),0)</f>
        <v>0</v>
      </c>
      <c r="R296" s="9">
        <v>0</v>
      </c>
      <c r="S296" s="5">
        <f t="shared" si="33"/>
        <v>0</v>
      </c>
      <c r="T296" s="76">
        <v>0</v>
      </c>
      <c r="U296" s="5">
        <f>+Tabla1[[#This Row],[Atraso a facturar]]+Tabla1[[#This Row],[Ajuste atraso]]</f>
        <v>0</v>
      </c>
      <c r="V296" s="3">
        <f>+Tabla1[[#This Row],[Total disponible]]-Tabla1[[#This Row],[Facturación atraso]]</f>
        <v>0</v>
      </c>
      <c r="W296" s="6">
        <f>IFERROR(IF(AND(V296&gt;R296,J296&gt;=R296),ROUNDDOWN((Tabla1[[#This Row],[Producción para venta nueva]])/R296,0)*R296,0),0)</f>
        <v>0</v>
      </c>
      <c r="X296" s="76">
        <v>0</v>
      </c>
      <c r="Y296" s="6">
        <f>IF(Tabla1[[#This Row],[Venta del mes]]&gt;0,Tabla1[[#This Row],[Venta del mes]]+Tabla1[[#This Row],[Ajuste venta nueva]],0)</f>
        <v>0</v>
      </c>
      <c r="Z296" s="6">
        <f>+Tabla1[[#This Row],[Producción para venta nueva]]-Tabla1[[#This Row],[Facturación Venta nueva]]</f>
        <v>0</v>
      </c>
      <c r="AA296" s="6">
        <f>IF(AND(A296=1,Tabla1[[#This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6" s="6"/>
      <c r="AC296" s="6">
        <f>IF(Tabla1[[#This Row],[Disponible stock sin venta]]&gt;0,Tabla1[[#This Row],[Disponible stock sin venta]]+Tabla1[[#This Row],[Ajuste stock sin venta]],0)</f>
        <v>0</v>
      </c>
      <c r="AD296" s="3">
        <f>IFERROR(VLOOKUP(Tabla1[[#This Row],[Llave]],'[16]TD Puerto'!$A:$D,4,FALSE),0)</f>
        <v>0</v>
      </c>
      <c r="AE296" s="3">
        <v>0</v>
      </c>
      <c r="AF296" s="3">
        <f>+Tabla1[[#This Row],[Atraso a facturar]]+Tabla1[[#This Row],[Venta del mes]]+Tabla1[[#This Row],[En puerto a facturar]]+Tabla1[[#This Row],[Disponible stock sin venta]]</f>
        <v>0</v>
      </c>
      <c r="AG296" s="3">
        <f>+Tabla1[[#This Row],[En puerto a facturar]]</f>
        <v>0</v>
      </c>
      <c r="AH296" s="3">
        <f>+Tabla1[[#This Row],[Facturación atraso]]</f>
        <v>0</v>
      </c>
      <c r="AI296" s="3">
        <f>+Tabla1[[#This Row],[Plan Irrestricto]]-Tabla1[[#This Row],[Puerto ]]-Tabla1[[#This Row],[Atraso]]</f>
        <v>0</v>
      </c>
      <c r="AJ29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6" s="3">
        <f>+Tabla1[[#This Row],[Facturación atraso]]</f>
        <v>0</v>
      </c>
      <c r="AL296" s="3">
        <f>+Tabla1[[#This Row],[Plan Ajustado]]-Tabla1[[#This Row],[ Atraso ajustado]]-Tabla1[[#This Row],[Puerto ]]</f>
        <v>0</v>
      </c>
      <c r="AM296" s="3">
        <v>0</v>
      </c>
      <c r="AN296" s="3" t="str">
        <f>IF(Tabla1[[#This Row],[Plan Ajustado]]&gt;Tabla1[[#This Row],[En puerto a facturar]],"Si","No")</f>
        <v>No</v>
      </c>
      <c r="AO29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6" s="3">
        <f>IF(Tabla1[[#This Row],[Necesidad]]&gt;=Tabla1[[#This Row],[Stock al día]],Tabla1[[#This Row],[Stock al día]],Tabla1[[#This Row],[Necesidad]])</f>
        <v>0</v>
      </c>
      <c r="AQ296" s="3">
        <f>+Tabla1[[#This Row],[Necesidad]]-Tabla1[[#This Row],[Stock Plan]]</f>
        <v>0</v>
      </c>
      <c r="AR296" s="156">
        <f>IFERROR(VLOOKUP(Tabla1[[#This Row],[Oficina]],[22]Ponderación!$B$3:$G$9,6,FALSE),"")</f>
        <v>44757</v>
      </c>
      <c r="AS29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96" s="83">
        <f>IFERROR(VLOOKUP(Tabla1[[#This Row],[Llave]],[17]DELAY!$H:$W,16,FALSE),0)</f>
        <v>0</v>
      </c>
      <c r="AU29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6" s="5">
        <f>+Tabla1[[#This Row],[Plan Ajustado]]*Tabla1[[#This Row],[Precio ponderado]]</f>
        <v>0</v>
      </c>
      <c r="AW296" s="30">
        <f>IFERROR(VLOOKUP(Tabla1[[#This Row],[Llave]],'[13]Ultimos precios facturados'!$A:$G,7,FALSE),0)</f>
        <v>0</v>
      </c>
      <c r="AX29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6" s="30"/>
      <c r="AZ296" s="30">
        <f>IF(Tabla1[[#This Row],[Ajuste precio IC]]="",Tabla1[[#This Row],[Precio ponderado]],Tabla1[[#This Row],[Precio ponderado]])</f>
        <v>0</v>
      </c>
      <c r="BA296" s="82"/>
      <c r="BB296" s="82" t="str">
        <f>IF(AND(Tabla1[[#This Row],[Atraso a facturar]]&gt;0,Tabla1[[#This Row],[Precio Atraso]]=0),"Revisar","OK")</f>
        <v>OK</v>
      </c>
      <c r="BC296" s="82" t="str">
        <f>IF(AND(Tabla1[[#This Row],[Venta del mes]]&gt;0,Tabla1[[#This Row],[Precio venta nueva]]=0),"Revisar","OK")</f>
        <v>OK</v>
      </c>
      <c r="BD296" s="20">
        <f>IFERROR(VLOOKUP(Tabla1[[#This Row],[Llave]],'[5]Consolidación planes'!$A:$M,9,FALSE),0)</f>
        <v>0</v>
      </c>
      <c r="BE296" s="20">
        <f>IFERROR(VLOOKUP(Tabla1[[#This Row],[Llave]],'[5]Consolidación planes'!$A:$M,10,FALSE),0)</f>
        <v>0</v>
      </c>
      <c r="BF296" s="20">
        <f>IFERROR(VLOOKUP(Tabla1[[#This Row],[Llave]],'[5]Consolidación planes'!$A:$M,11,FALSE),0)</f>
        <v>0</v>
      </c>
      <c r="BG296" s="20">
        <f>IFERROR(VLOOKUP(Tabla1[[#This Row],[Llave]],'[5]Consolidación planes'!$A:$M,12,FALSE),0)</f>
        <v>0</v>
      </c>
      <c r="BH296" s="20">
        <f>IFERROR(VLOOKUP(Tabla1[[#This Row],[Llave]],'[5]Consolidación planes'!$A:$M,13,FALSE),0)</f>
        <v>0</v>
      </c>
      <c r="BI296" s="20">
        <f>IFERROR(VLOOKUP(Tabla1[[#This Row],[Llave]],'[13]Base ultimos planes'!$A:$M,13,FALSE),0)</f>
        <v>0</v>
      </c>
      <c r="BJ296" s="80">
        <f>IFERROR(VLOOKUP(Tabla1[[#This Row],[Llave]],'[13]Base ultimos planes'!$O:$AA,8,FALSE),0)</f>
        <v>0</v>
      </c>
      <c r="BK296" s="20">
        <f>IFERROR(VLOOKUP(Tabla1[[#This Row],[Llave]],'[13]Base ultimos planes'!$O:$AA,9,FALSE),0)</f>
        <v>0</v>
      </c>
      <c r="BL296" s="20">
        <f>IFERROR(VLOOKUP(Tabla1[[#This Row],[Llave]],'[13]Base ultimos planes'!$O:$AA,10,FALSE),0)</f>
        <v>0</v>
      </c>
      <c r="BM296" s="20">
        <f>IFERROR(VLOOKUP(Tabla1[[#This Row],[Llave]],'[13]Base ultimos planes'!$O:$AA,11,FALSE),0)</f>
        <v>0</v>
      </c>
      <c r="BN296" s="20">
        <f>IFERROR(VLOOKUP(Tabla1[[#This Row],[Llave]],'[13]Base ultimos planes'!$O:$AA,12,FALSE),0)</f>
        <v>0</v>
      </c>
      <c r="BO296" s="20">
        <f>IFERROR(VLOOKUP(Tabla1[[#This Row],[Llave]],'[13]Base ultimos planes'!$O:$AA,13,FALSE),0)</f>
        <v>0</v>
      </c>
      <c r="BP296" s="35"/>
      <c r="BQ296" s="20">
        <f>+Tabla1[[#This Row],[ RV  Venta mes n+1]]*(1-Tabla1[[#This Row],[% Uti. producción]])</f>
        <v>0</v>
      </c>
      <c r="BR296" s="100"/>
    </row>
    <row r="297" spans="1:70" ht="16" hidden="1" x14ac:dyDescent="0.2">
      <c r="A297">
        <v>1</v>
      </c>
      <c r="B297" t="str">
        <f>Tabla1[[#This Row],[Oficina]]&amp;Tabla1[[#This Row],[Material]]</f>
        <v>Agro Sudamerica1011431</v>
      </c>
      <c r="C297" t="s">
        <v>227</v>
      </c>
      <c r="D297" t="s">
        <v>17</v>
      </c>
      <c r="E297">
        <v>1011431</v>
      </c>
      <c r="F297" t="s">
        <v>622</v>
      </c>
      <c r="G297" t="s">
        <v>209</v>
      </c>
      <c r="H297" t="s">
        <v>228</v>
      </c>
      <c r="I297" s="15">
        <f>IFERROR(VLOOKUP(Tabla1[[#This Row],[Llave]],'[7]RV Producción'!$C:$G,5,FALSE),0)</f>
        <v>0</v>
      </c>
      <c r="J297" s="3">
        <f>IFERROR(IF(Tabla1[[#This Row],[Oficina]]=$I$7,VLOOKUP(Tabla1[[#This Row],[Llave]],'[7]Shangai (Tomas)'!$A:$F,6,FALSE),VLOOKUP(Tabla1[[#This Row],[Llave]],'[7]RV plan de ventas'!$A:$E,5,FALSE)),0)</f>
        <v>0</v>
      </c>
      <c r="K297" s="17">
        <f>IFERROR(VLOOKUP(Tabla1[[#This Row],[Oficina]],[15]Ponderación!$B$2:$E$9,4,FALSE),0)</f>
        <v>0.45719439678473212</v>
      </c>
      <c r="L297" s="7">
        <f>+Tabla1[[#This Row],[ RV Producción mes n+1]]*Tabla1[[#This Row],[% Uti. producción]]</f>
        <v>0</v>
      </c>
      <c r="M297" s="7">
        <f>IFERROR(VLOOKUP(Tabla1[[#This Row],[Material]],'[17]TD Stock'!$E:$I,5,FALSE),0)</f>
        <v>0</v>
      </c>
      <c r="N297" s="7">
        <f>IFERROR(VLOOKUP(Tabla1[[#This Row],[Material]],[16]Produccion!$M:$N,2,FALSE),0)</f>
        <v>0</v>
      </c>
      <c r="O297" s="7">
        <f>IFERROR(VLOOKUP(Tabla1[[#This Row],[Llave]],'[16]TD Conf-AP'!$I:$M,4,FALSE),0)</f>
        <v>0</v>
      </c>
      <c r="P297" s="37">
        <f>SUM(Tabla1[[#This Row],[Producción disponible]],Tabla1[[#This Row],[Stock al día]],(Tabla1[[#This Row],[Por producir mes N]]*0.9))-Tabla1[[#This Row],[Producción por despachar mes N]]</f>
        <v>0</v>
      </c>
      <c r="Q297" s="7">
        <f>IFERROR(VLOOKUP(Tabla1[[#This Row],[Llave]],[17]DELAY!$A:$D,4,FALSE),0)</f>
        <v>0</v>
      </c>
      <c r="R297" s="9">
        <v>0</v>
      </c>
      <c r="S297" s="5">
        <f t="shared" si="33"/>
        <v>0</v>
      </c>
      <c r="T297" s="76">
        <v>0</v>
      </c>
      <c r="U297" s="5">
        <f>+Tabla1[[#This Row],[Atraso a facturar]]+Tabla1[[#This Row],[Ajuste atraso]]</f>
        <v>0</v>
      </c>
      <c r="V297" s="3">
        <f>+Tabla1[[#This Row],[Total disponible]]-Tabla1[[#This Row],[Facturación atraso]]</f>
        <v>0</v>
      </c>
      <c r="W297" s="6">
        <f>IFERROR(IF(AND(V297&gt;R297,J297&gt;=R297),ROUNDDOWN((Tabla1[[#This Row],[Producción para venta nueva]])/R297,0)*R297,0),0)</f>
        <v>0</v>
      </c>
      <c r="X297" s="76">
        <v>0</v>
      </c>
      <c r="Y297" s="6">
        <f>IF(Tabla1[[#This Row],[Venta del mes]]&gt;0,Tabla1[[#This Row],[Venta del mes]]+Tabla1[[#This Row],[Ajuste venta nueva]],0)</f>
        <v>0</v>
      </c>
      <c r="Z297" s="6">
        <f>+Tabla1[[#This Row],[Producción para venta nueva]]-Tabla1[[#This Row],[Facturación Venta nueva]]</f>
        <v>0</v>
      </c>
      <c r="AA297" s="6">
        <f>IF(AND(A297=1,Tabla1[[#This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7" s="6"/>
      <c r="AC297" s="6">
        <f>IF(Tabla1[[#This Row],[Disponible stock sin venta]]&gt;0,Tabla1[[#This Row],[Disponible stock sin venta]]+Tabla1[[#This Row],[Ajuste stock sin venta]],0)</f>
        <v>0</v>
      </c>
      <c r="AD297" s="3">
        <f>IFERROR(VLOOKUP(Tabla1[[#This Row],[Llave]],'[16]TD Puerto'!$A:$D,4,FALSE),0)</f>
        <v>0</v>
      </c>
      <c r="AE297" s="3">
        <v>0</v>
      </c>
      <c r="AF297" s="3">
        <f>+Tabla1[[#This Row],[Atraso a facturar]]+Tabla1[[#This Row],[Venta del mes]]+Tabla1[[#This Row],[En puerto a facturar]]+Tabla1[[#This Row],[Disponible stock sin venta]]</f>
        <v>0</v>
      </c>
      <c r="AG297" s="3">
        <f>+Tabla1[[#This Row],[En puerto a facturar]]</f>
        <v>0</v>
      </c>
      <c r="AH297" s="3">
        <f>+Tabla1[[#This Row],[Facturación atraso]]</f>
        <v>0</v>
      </c>
      <c r="AI297" s="3">
        <f>+Tabla1[[#This Row],[Plan Irrestricto]]-Tabla1[[#This Row],[Puerto ]]-Tabla1[[#This Row],[Atraso]]</f>
        <v>0</v>
      </c>
      <c r="AJ29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7" s="3">
        <f>+Tabla1[[#This Row],[Facturación atraso]]</f>
        <v>0</v>
      </c>
      <c r="AL297" s="3">
        <f>+Tabla1[[#This Row],[Plan Ajustado]]-Tabla1[[#This Row],[ Atraso ajustado]]-Tabla1[[#This Row],[Puerto ]]</f>
        <v>0</v>
      </c>
      <c r="AM297" s="3">
        <v>0</v>
      </c>
      <c r="AN297" s="3" t="str">
        <f>IF(Tabla1[[#This Row],[Plan Ajustado]]&gt;Tabla1[[#This Row],[En puerto a facturar]],"Si","No")</f>
        <v>No</v>
      </c>
      <c r="AO29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7" s="3">
        <f>IF(Tabla1[[#This Row],[Necesidad]]&gt;=Tabla1[[#This Row],[Stock al día]],Tabla1[[#This Row],[Stock al día]],Tabla1[[#This Row],[Necesidad]])</f>
        <v>0</v>
      </c>
      <c r="AQ297" s="3">
        <f>+Tabla1[[#This Row],[Necesidad]]-Tabla1[[#This Row],[Stock Plan]]</f>
        <v>0</v>
      </c>
      <c r="AR297" s="156">
        <f>IFERROR(VLOOKUP(Tabla1[[#This Row],[Oficina]],[22]Ponderación!$B$3:$G$9,6,FALSE),"")</f>
        <v>44757</v>
      </c>
      <c r="AS29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97" s="83">
        <f>IFERROR(VLOOKUP(Tabla1[[#This Row],[Llave]],[17]DELAY!$H:$W,16,FALSE),0)</f>
        <v>0</v>
      </c>
      <c r="AU29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7" s="5">
        <f>+Tabla1[[#This Row],[Plan Ajustado]]*Tabla1[[#This Row],[Precio ponderado]]</f>
        <v>0</v>
      </c>
      <c r="AW297" s="30">
        <f>IFERROR(VLOOKUP(Tabla1[[#This Row],[Llave]],'[13]Ultimos precios facturados'!$A:$G,7,FALSE),0)</f>
        <v>0</v>
      </c>
      <c r="AX29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7" s="30"/>
      <c r="AZ297" s="30">
        <f>IF(Tabla1[[#This Row],[Ajuste precio IC]]="",Tabla1[[#This Row],[Precio ponderado]],Tabla1[[#This Row],[Precio ponderado]])</f>
        <v>0</v>
      </c>
      <c r="BA297" s="82"/>
      <c r="BB297" s="82" t="str">
        <f>IF(AND(Tabla1[[#This Row],[Atraso a facturar]]&gt;0,Tabla1[[#This Row],[Precio Atraso]]=0),"Revisar","OK")</f>
        <v>OK</v>
      </c>
      <c r="BC297" s="82" t="str">
        <f>IF(AND(Tabla1[[#This Row],[Venta del mes]]&gt;0,Tabla1[[#This Row],[Precio venta nueva]]=0),"Revisar","OK")</f>
        <v>OK</v>
      </c>
      <c r="BD297" s="20">
        <f>IFERROR(VLOOKUP(Tabla1[[#This Row],[Llave]],'[5]Consolidación planes'!$A:$M,9,FALSE),0)</f>
        <v>0</v>
      </c>
      <c r="BE297" s="20">
        <f>IFERROR(VLOOKUP(Tabla1[[#This Row],[Llave]],'[5]Consolidación planes'!$A:$M,10,FALSE),0)</f>
        <v>0</v>
      </c>
      <c r="BF297" s="20">
        <f>IFERROR(VLOOKUP(Tabla1[[#This Row],[Llave]],'[5]Consolidación planes'!$A:$M,11,FALSE),0)</f>
        <v>0</v>
      </c>
      <c r="BG297" s="20">
        <f>IFERROR(VLOOKUP(Tabla1[[#This Row],[Llave]],'[5]Consolidación planes'!$A:$M,12,FALSE),0)</f>
        <v>0</v>
      </c>
      <c r="BH297" s="20">
        <f>IFERROR(VLOOKUP(Tabla1[[#This Row],[Llave]],'[5]Consolidación planes'!$A:$M,13,FALSE),0)</f>
        <v>0</v>
      </c>
      <c r="BI297" s="20">
        <f>IFERROR(VLOOKUP(Tabla1[[#This Row],[Llave]],'[13]Base ultimos planes'!$A:$M,13,FALSE),0)</f>
        <v>0</v>
      </c>
      <c r="BJ297" s="80">
        <f>IFERROR(VLOOKUP(Tabla1[[#This Row],[Llave]],'[13]Base ultimos planes'!$O:$AA,8,FALSE),0)</f>
        <v>0</v>
      </c>
      <c r="BK297" s="20">
        <f>IFERROR(VLOOKUP(Tabla1[[#This Row],[Llave]],'[13]Base ultimos planes'!$O:$AA,9,FALSE),0)</f>
        <v>0</v>
      </c>
      <c r="BL297" s="20">
        <f>IFERROR(VLOOKUP(Tabla1[[#This Row],[Llave]],'[13]Base ultimos planes'!$O:$AA,10,FALSE),0)</f>
        <v>0</v>
      </c>
      <c r="BM297" s="20">
        <f>IFERROR(VLOOKUP(Tabla1[[#This Row],[Llave]],'[13]Base ultimos planes'!$O:$AA,11,FALSE),0)</f>
        <v>0</v>
      </c>
      <c r="BN297" s="20">
        <f>IFERROR(VLOOKUP(Tabla1[[#This Row],[Llave]],'[13]Base ultimos planes'!$O:$AA,12,FALSE),0)</f>
        <v>0</v>
      </c>
      <c r="BO297" s="20">
        <f>IFERROR(VLOOKUP(Tabla1[[#This Row],[Llave]],'[13]Base ultimos planes'!$O:$AA,13,FALSE),0)</f>
        <v>0</v>
      </c>
      <c r="BP297" s="35"/>
      <c r="BQ297" s="20">
        <f>+Tabla1[[#This Row],[ RV  Venta mes n+1]]*(1-Tabla1[[#This Row],[% Uti. producción]])</f>
        <v>0</v>
      </c>
      <c r="BR297" s="100"/>
    </row>
    <row r="298" spans="1:70" ht="16" hidden="1" x14ac:dyDescent="0.2">
      <c r="A298">
        <v>1</v>
      </c>
      <c r="B298" t="str">
        <f>Tabla1[[#This Row],[Oficina]]&amp;Tabla1[[#This Row],[Material]]</f>
        <v>Agro Sudamerica1011566</v>
      </c>
      <c r="C298" t="s">
        <v>227</v>
      </c>
      <c r="D298" t="s">
        <v>17</v>
      </c>
      <c r="E298">
        <v>1011566</v>
      </c>
      <c r="F298" t="s">
        <v>623</v>
      </c>
      <c r="G298" t="s">
        <v>266</v>
      </c>
      <c r="H298" t="s">
        <v>266</v>
      </c>
      <c r="I298" s="15">
        <f>IFERROR(VLOOKUP(Tabla1[[#This Row],[Llave]],'[7]RV Producción'!$C:$G,5,FALSE),0)</f>
        <v>0</v>
      </c>
      <c r="J298" s="3">
        <f>IFERROR(IF(Tabla1[[#This Row],[Oficina]]=$I$7,VLOOKUP(Tabla1[[#This Row],[Llave]],'[7]Shangai (Tomas)'!$A:$F,6,FALSE),VLOOKUP(Tabla1[[#This Row],[Llave]],'[7]RV plan de ventas'!$A:$E,5,FALSE)),0)</f>
        <v>0</v>
      </c>
      <c r="K298" s="17">
        <f>IFERROR(VLOOKUP(Tabla1[[#This Row],[Oficina]],[15]Ponderación!$B$2:$E$9,4,FALSE),0)</f>
        <v>0.45719439678473212</v>
      </c>
      <c r="L298" s="7">
        <f>+Tabla1[[#This Row],[ RV Producción mes n+1]]*Tabla1[[#This Row],[% Uti. producción]]</f>
        <v>0</v>
      </c>
      <c r="M298" s="7">
        <f>IFERROR(VLOOKUP(Tabla1[[#This Row],[Material]],'[17]TD Stock'!$E:$I,5,FALSE),0)</f>
        <v>0</v>
      </c>
      <c r="N298" s="7">
        <f>IFERROR(VLOOKUP(Tabla1[[#This Row],[Material]],[16]Produccion!$M:$N,2,FALSE),0)</f>
        <v>0</v>
      </c>
      <c r="O298" s="7">
        <f>IFERROR(VLOOKUP(Tabla1[[#This Row],[Llave]],'[16]TD Conf-AP'!$I:$M,4,FALSE),0)</f>
        <v>0</v>
      </c>
      <c r="P298" s="37">
        <f>SUM(Tabla1[[#This Row],[Producción disponible]],Tabla1[[#This Row],[Stock al día]],(Tabla1[[#This Row],[Por producir mes N]]*0.9))-Tabla1[[#This Row],[Producción por despachar mes N]]</f>
        <v>0</v>
      </c>
      <c r="Q298" s="7">
        <f>IFERROR(VLOOKUP(Tabla1[[#This Row],[Llave]],[17]DELAY!$A:$D,4,FALSE),0)</f>
        <v>0</v>
      </c>
      <c r="R298" s="9">
        <v>2100</v>
      </c>
      <c r="S298" s="5">
        <f t="shared" si="33"/>
        <v>0</v>
      </c>
      <c r="T298" s="76">
        <v>0</v>
      </c>
      <c r="U298" s="5">
        <f>+Tabla1[[#This Row],[Atraso a facturar]]+Tabla1[[#This Row],[Ajuste atraso]]</f>
        <v>0</v>
      </c>
      <c r="V298" s="3">
        <f>+Tabla1[[#This Row],[Total disponible]]-Tabla1[[#This Row],[Facturación atraso]]</f>
        <v>0</v>
      </c>
      <c r="W298" s="6">
        <f>IFERROR(IF(AND(V298&gt;R298,J298&gt;=R298),ROUNDDOWN((Tabla1[[#This Row],[Producción para venta nueva]])/R298,0)*R298,0),0)</f>
        <v>0</v>
      </c>
      <c r="X298" s="76">
        <v>0</v>
      </c>
      <c r="Y298" s="6">
        <f>IF(Tabla1[[#This Row],[Venta del mes]]&gt;0,Tabla1[[#This Row],[Venta del mes]]+Tabla1[[#This Row],[Ajuste venta nueva]],0)</f>
        <v>0</v>
      </c>
      <c r="Z298" s="6">
        <f>+Tabla1[[#This Row],[Producción para venta nueva]]-Tabla1[[#This Row],[Facturación Venta nueva]]</f>
        <v>0</v>
      </c>
      <c r="AA298" s="6">
        <f>IF(AND(A298=1,Tabla1[[#This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8" s="6"/>
      <c r="AC298" s="6">
        <f>IF(Tabla1[[#This Row],[Disponible stock sin venta]]&gt;0,Tabla1[[#This Row],[Disponible stock sin venta]]+Tabla1[[#This Row],[Ajuste stock sin venta]],0)</f>
        <v>0</v>
      </c>
      <c r="AD298" s="3">
        <f>IFERROR(VLOOKUP(Tabla1[[#This Row],[Llave]],'[16]TD Puerto'!$A:$D,4,FALSE),0)</f>
        <v>0</v>
      </c>
      <c r="AE298" s="3">
        <v>0</v>
      </c>
      <c r="AF298" s="3">
        <f>+Tabla1[[#This Row],[Atraso a facturar]]+Tabla1[[#This Row],[Venta del mes]]+Tabla1[[#This Row],[En puerto a facturar]]+Tabla1[[#This Row],[Disponible stock sin venta]]</f>
        <v>0</v>
      </c>
      <c r="AG298" s="3">
        <f>+Tabla1[[#This Row],[En puerto a facturar]]</f>
        <v>0</v>
      </c>
      <c r="AH298" s="3">
        <f>+Tabla1[[#This Row],[Facturación atraso]]</f>
        <v>0</v>
      </c>
      <c r="AI298" s="3">
        <f>+Tabla1[[#This Row],[Plan Irrestricto]]-Tabla1[[#This Row],[Puerto ]]-Tabla1[[#This Row],[Atraso]]</f>
        <v>0</v>
      </c>
      <c r="AJ29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8" s="3">
        <f>+Tabla1[[#This Row],[Facturación atraso]]</f>
        <v>0</v>
      </c>
      <c r="AL298" s="3">
        <f>+Tabla1[[#This Row],[Plan Ajustado]]-Tabla1[[#This Row],[ Atraso ajustado]]-Tabla1[[#This Row],[Puerto ]]</f>
        <v>0</v>
      </c>
      <c r="AM298" s="3">
        <v>0</v>
      </c>
      <c r="AN298" s="3" t="str">
        <f>IF(Tabla1[[#This Row],[Plan Ajustado]]&gt;Tabla1[[#This Row],[En puerto a facturar]],"Si","No")</f>
        <v>No</v>
      </c>
      <c r="AO29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8" s="3">
        <f>IF(Tabla1[[#This Row],[Necesidad]]&gt;=Tabla1[[#This Row],[Stock al día]],Tabla1[[#This Row],[Stock al día]],Tabla1[[#This Row],[Necesidad]])</f>
        <v>0</v>
      </c>
      <c r="AQ298" s="3">
        <f>+Tabla1[[#This Row],[Necesidad]]-Tabla1[[#This Row],[Stock Plan]]</f>
        <v>0</v>
      </c>
      <c r="AR298" s="156">
        <f>IFERROR(VLOOKUP(Tabla1[[#This Row],[Oficina]],[22]Ponderación!$B$3:$G$9,6,FALSE),"")</f>
        <v>44757</v>
      </c>
      <c r="AS29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0.58101484042553198</v>
      </c>
      <c r="AT298" s="83">
        <f>IFERROR(VLOOKUP(Tabla1[[#This Row],[Llave]],[17]DELAY!$H:$W,16,FALSE),0)</f>
        <v>0</v>
      </c>
      <c r="AU29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8" s="5">
        <f>+Tabla1[[#This Row],[Plan Ajustado]]*Tabla1[[#This Row],[Precio ponderado]]</f>
        <v>0</v>
      </c>
      <c r="AW298" s="30">
        <f>IFERROR(VLOOKUP(Tabla1[[#This Row],[Llave]],'[13]Ultimos precios facturados'!$A:$G,7,FALSE),0)</f>
        <v>0.58101484042553198</v>
      </c>
      <c r="AX298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8" s="30"/>
      <c r="AZ298" s="30">
        <f>IF(Tabla1[[#This Row],[Ajuste precio IC]]="",Tabla1[[#This Row],[Precio ponderado]],Tabla1[[#This Row],[Precio ponderado]])</f>
        <v>0</v>
      </c>
      <c r="BA298" s="82"/>
      <c r="BB298" s="82" t="str">
        <f>IF(AND(Tabla1[[#This Row],[Atraso a facturar]]&gt;0,Tabla1[[#This Row],[Precio Atraso]]=0),"Revisar","OK")</f>
        <v>OK</v>
      </c>
      <c r="BC298" s="82" t="str">
        <f>IF(AND(Tabla1[[#This Row],[Venta del mes]]&gt;0,Tabla1[[#This Row],[Precio venta nueva]]=0),"Revisar","OK")</f>
        <v>OK</v>
      </c>
      <c r="BD298" s="20">
        <f>IFERROR(VLOOKUP(Tabla1[[#This Row],[Llave]],'[5]Consolidación planes'!$A:$M,9,FALSE),0)</f>
        <v>0</v>
      </c>
      <c r="BE298" s="20">
        <f>IFERROR(VLOOKUP(Tabla1[[#This Row],[Llave]],'[5]Consolidación planes'!$A:$M,10,FALSE),0)</f>
        <v>0</v>
      </c>
      <c r="BF298" s="20">
        <f>IFERROR(VLOOKUP(Tabla1[[#This Row],[Llave]],'[5]Consolidación planes'!$A:$M,11,FALSE),0)</f>
        <v>0</v>
      </c>
      <c r="BG298" s="20">
        <f>IFERROR(VLOOKUP(Tabla1[[#This Row],[Llave]],'[5]Consolidación planes'!$A:$M,12,FALSE),0)</f>
        <v>0</v>
      </c>
      <c r="BH298" s="20">
        <f>IFERROR(VLOOKUP(Tabla1[[#This Row],[Llave]],'[5]Consolidación planes'!$A:$M,13,FALSE),0)</f>
        <v>0</v>
      </c>
      <c r="BI298" s="20">
        <f>IFERROR(VLOOKUP(Tabla1[[#This Row],[Llave]],'[13]Base ultimos planes'!$A:$M,13,FALSE),0)</f>
        <v>0</v>
      </c>
      <c r="BJ298" s="80">
        <f>IFERROR(VLOOKUP(Tabla1[[#This Row],[Llave]],'[13]Base ultimos planes'!$O:$AA,8,FALSE),0)</f>
        <v>0</v>
      </c>
      <c r="BK298" s="20">
        <f>IFERROR(VLOOKUP(Tabla1[[#This Row],[Llave]],'[13]Base ultimos planes'!$O:$AA,9,FALSE),0)</f>
        <v>0</v>
      </c>
      <c r="BL298" s="20">
        <f>IFERROR(VLOOKUP(Tabla1[[#This Row],[Llave]],'[13]Base ultimos planes'!$O:$AA,10,FALSE),0)</f>
        <v>0</v>
      </c>
      <c r="BM298" s="20">
        <f>IFERROR(VLOOKUP(Tabla1[[#This Row],[Llave]],'[13]Base ultimos planes'!$O:$AA,11,FALSE),0)</f>
        <v>0</v>
      </c>
      <c r="BN298" s="20">
        <f>IFERROR(VLOOKUP(Tabla1[[#This Row],[Llave]],'[13]Base ultimos planes'!$O:$AA,12,FALSE),0)</f>
        <v>0</v>
      </c>
      <c r="BO298" s="20">
        <f>IFERROR(VLOOKUP(Tabla1[[#This Row],[Llave]],'[13]Base ultimos planes'!$O:$AA,13,FALSE),0)</f>
        <v>0</v>
      </c>
      <c r="BP298" s="35"/>
      <c r="BQ298" s="20">
        <f>+Tabla1[[#This Row],[ RV  Venta mes n+1]]*(1-Tabla1[[#This Row],[% Uti. producción]])</f>
        <v>0</v>
      </c>
      <c r="BR298" s="100"/>
    </row>
    <row r="299" spans="1:70" ht="16" hidden="1" x14ac:dyDescent="0.2">
      <c r="A299">
        <v>2</v>
      </c>
      <c r="B299" t="str">
        <f>Tabla1[[#This Row],[Oficina]]&amp;Tabla1[[#This Row],[Material]]</f>
        <v>Agrosuper Shanghai1012423</v>
      </c>
      <c r="C299" t="s">
        <v>227</v>
      </c>
      <c r="D299" t="s">
        <v>140</v>
      </c>
      <c r="E299">
        <v>1012423</v>
      </c>
      <c r="F299" t="s">
        <v>624</v>
      </c>
      <c r="G299" t="s">
        <v>205</v>
      </c>
      <c r="H299" t="s">
        <v>264</v>
      </c>
      <c r="I299" s="15">
        <f>IFERROR(VLOOKUP(Tabla1[[#This Row],[Llave]],'[7]RV Producción'!$C:$G,5,FALSE),0)</f>
        <v>0</v>
      </c>
      <c r="J299" s="3">
        <f>IFERROR(IF(Tabla1[[#This Row],[Oficina]]=$I$7,VLOOKUP(Tabla1[[#This Row],[Llave]],'[7]Shangai (Tomas)'!$A:$F,6,FALSE),VLOOKUP(Tabla1[[#This Row],[Llave]],'[7]RV plan de ventas'!$A:$E,5,FALSE)),0)</f>
        <v>0</v>
      </c>
      <c r="K299" s="17">
        <f>IFERROR(VLOOKUP(Tabla1[[#This Row],[Oficina]],[15]Ponderación!$B$2:$E$9,4,FALSE),0)</f>
        <v>0.45719439678473212</v>
      </c>
      <c r="L299" s="7">
        <f>+Tabla1[[#This Row],[ RV Producción mes n+1]]*Tabla1[[#This Row],[% Uti. producción]]</f>
        <v>0</v>
      </c>
      <c r="M299" s="7">
        <f>IFERROR(VLOOKUP(Tabla1[[#This Row],[Material]],'[17]TD Stock'!$E:$I,5,FALSE),0)</f>
        <v>0</v>
      </c>
      <c r="N299" s="7">
        <f>IFERROR(VLOOKUP(Tabla1[[#This Row],[Material]],[16]Produccion!$M:$N,2,FALSE),0)</f>
        <v>0</v>
      </c>
      <c r="O299" s="7">
        <f>IFERROR(VLOOKUP(Tabla1[[#This Row],[Llave]],'[16]TD Conf-AP'!$I:$M,4,FALSE),0)</f>
        <v>0</v>
      </c>
      <c r="P299" s="37">
        <f>SUM(Tabla1[[#This Row],[Producción disponible]],Tabla1[[#This Row],[Stock al día]],(Tabla1[[#This Row],[Por producir mes N]]*0.9))-Tabla1[[#This Row],[Producción por despachar mes N]]</f>
        <v>0</v>
      </c>
      <c r="Q299" s="7">
        <f>IFERROR(VLOOKUP(Tabla1[[#This Row],[Llave]],[17]DELAY!$A:$D,4,FALSE),0)</f>
        <v>0</v>
      </c>
      <c r="R299" s="9">
        <v>0</v>
      </c>
      <c r="S299" s="5">
        <f t="shared" si="33"/>
        <v>0</v>
      </c>
      <c r="T299" s="76">
        <v>0</v>
      </c>
      <c r="U299" s="5">
        <f>+Tabla1[[#This Row],[Atraso a facturar]]+Tabla1[[#This Row],[Ajuste atraso]]</f>
        <v>0</v>
      </c>
      <c r="V299" s="3">
        <f>+Tabla1[[#This Row],[Total disponible]]-Tabla1[[#This Row],[Facturación atraso]]</f>
        <v>0</v>
      </c>
      <c r="W299" s="6">
        <f>IFERROR(IF(AND(V299&gt;R299,J299&gt;=R299),ROUNDDOWN((Tabla1[[#This Row],[Producción para venta nueva]])/R299,0)*R299,0),0)</f>
        <v>0</v>
      </c>
      <c r="X299" s="76">
        <v>0</v>
      </c>
      <c r="Y299" s="6">
        <f>IF(Tabla1[[#This Row],[Venta del mes]]&gt;0,Tabla1[[#This Row],[Venta del mes]]+Tabla1[[#This Row],[Ajuste venta nueva]],0)</f>
        <v>0</v>
      </c>
      <c r="Z299" s="6">
        <f>+Tabla1[[#This Row],[Producción para venta nueva]]-Tabla1[[#This Row],[Facturación Venta nueva]]</f>
        <v>0</v>
      </c>
      <c r="AA299" s="6">
        <f>IF(AND(A299=1,Tabla1[[#This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299" s="6"/>
      <c r="AC299" s="6">
        <f>IF(Tabla1[[#This Row],[Disponible stock sin venta]]&gt;0,Tabla1[[#This Row],[Disponible stock sin venta]]+Tabla1[[#This Row],[Ajuste stock sin venta]],0)</f>
        <v>0</v>
      </c>
      <c r="AD299" s="3">
        <f>IFERROR(VLOOKUP(Tabla1[[#This Row],[Llave]],'[16]TD Puerto'!$A:$D,4,FALSE),0)</f>
        <v>0</v>
      </c>
      <c r="AE299" s="3">
        <v>0</v>
      </c>
      <c r="AF299" s="3">
        <f>+Tabla1[[#This Row],[Atraso a facturar]]+Tabla1[[#This Row],[Venta del mes]]+Tabla1[[#This Row],[En puerto a facturar]]+Tabla1[[#This Row],[Disponible stock sin venta]]</f>
        <v>0</v>
      </c>
      <c r="AG299" s="3">
        <f>+Tabla1[[#This Row],[En puerto a facturar]]</f>
        <v>0</v>
      </c>
      <c r="AH299" s="3">
        <f>+Tabla1[[#This Row],[Facturación atraso]]</f>
        <v>0</v>
      </c>
      <c r="AI299" s="3">
        <f>+Tabla1[[#This Row],[Plan Irrestricto]]-Tabla1[[#This Row],[Puerto ]]-Tabla1[[#This Row],[Atraso]]</f>
        <v>0</v>
      </c>
      <c r="AJ29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299" s="3">
        <f>+Tabla1[[#This Row],[Facturación atraso]]</f>
        <v>0</v>
      </c>
      <c r="AL299" s="3">
        <f>+Tabla1[[#This Row],[Plan Ajustado]]-Tabla1[[#This Row],[ Atraso ajustado]]-Tabla1[[#This Row],[Puerto ]]</f>
        <v>0</v>
      </c>
      <c r="AM299" s="3">
        <v>0</v>
      </c>
      <c r="AN299" s="3" t="str">
        <f>IF(Tabla1[[#This Row],[Plan Ajustado]]&gt;Tabla1[[#This Row],[En puerto a facturar]],"Si","No")</f>
        <v>No</v>
      </c>
      <c r="AO29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299" s="3">
        <f>IF(Tabla1[[#This Row],[Necesidad]]&gt;=Tabla1[[#This Row],[Stock al día]],Tabla1[[#This Row],[Stock al día]],Tabla1[[#This Row],[Necesidad]])</f>
        <v>0</v>
      </c>
      <c r="AQ299" s="3">
        <f>+Tabla1[[#This Row],[Necesidad]]-Tabla1[[#This Row],[Stock Plan]]</f>
        <v>0</v>
      </c>
      <c r="AR299" s="156">
        <f>IFERROR(VLOOKUP(Tabla1[[#This Row],[Oficina]],[22]Ponderación!$B$3:$G$9,6,FALSE),"")</f>
        <v>44754</v>
      </c>
      <c r="AS29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299" s="83">
        <f>IFERROR(VLOOKUP(Tabla1[[#This Row],[Llave]],[17]DELAY!$H:$W,16,FALSE),0)</f>
        <v>0</v>
      </c>
      <c r="AU29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299" s="5">
        <f>+Tabla1[[#This Row],[Plan Ajustado]]*Tabla1[[#This Row],[Precio ponderado]]</f>
        <v>0</v>
      </c>
      <c r="AW299" s="30">
        <f>IFERROR(VLOOKUP(Tabla1[[#This Row],[Llave]],'[13]Ultimos precios facturados'!$A:$G,7,FALSE),0)</f>
        <v>0</v>
      </c>
      <c r="AX299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299" s="30"/>
      <c r="AZ299" s="30">
        <f>IF(Tabla1[[#This Row],[Ajuste precio IC]]="",Tabla1[[#This Row],[Precio ponderado]],Tabla1[[#This Row],[Precio ponderado]])</f>
        <v>0</v>
      </c>
      <c r="BA299" s="82"/>
      <c r="BB299" s="82" t="str">
        <f>IF(AND(Tabla1[[#This Row],[Atraso a facturar]]&gt;0,Tabla1[[#This Row],[Precio Atraso]]=0),"Revisar","OK")</f>
        <v>OK</v>
      </c>
      <c r="BC299" s="82" t="str">
        <f>IF(AND(Tabla1[[#This Row],[Venta del mes]]&gt;0,Tabla1[[#This Row],[Precio venta nueva]]=0),"Revisar","OK")</f>
        <v>OK</v>
      </c>
      <c r="BD299" s="20">
        <f>IFERROR(VLOOKUP(Tabla1[[#This Row],[Llave]],'[5]Consolidación planes'!$A:$M,9,FALSE),0)</f>
        <v>0</v>
      </c>
      <c r="BE299" s="20">
        <f>IFERROR(VLOOKUP(Tabla1[[#This Row],[Llave]],'[5]Consolidación planes'!$A:$M,10,FALSE),0)</f>
        <v>0</v>
      </c>
      <c r="BF299" s="20">
        <f>IFERROR(VLOOKUP(Tabla1[[#This Row],[Llave]],'[5]Consolidación planes'!$A:$M,11,FALSE),0)</f>
        <v>0</v>
      </c>
      <c r="BG299" s="20">
        <f>IFERROR(VLOOKUP(Tabla1[[#This Row],[Llave]],'[5]Consolidación planes'!$A:$M,12,FALSE),0)</f>
        <v>0</v>
      </c>
      <c r="BH299" s="20">
        <f>IFERROR(VLOOKUP(Tabla1[[#This Row],[Llave]],'[5]Consolidación planes'!$A:$M,13,FALSE),0)</f>
        <v>0</v>
      </c>
      <c r="BI299" s="20">
        <f>IFERROR(VLOOKUP(Tabla1[[#This Row],[Llave]],'[13]Base ultimos planes'!$A:$M,13,FALSE),0)</f>
        <v>0</v>
      </c>
      <c r="BJ299" s="80">
        <f>IFERROR(VLOOKUP(Tabla1[[#This Row],[Llave]],'[13]Base ultimos planes'!$O:$AA,8,FALSE),0)</f>
        <v>0</v>
      </c>
      <c r="BK299" s="20">
        <f>IFERROR(VLOOKUP(Tabla1[[#This Row],[Llave]],'[13]Base ultimos planes'!$O:$AA,9,FALSE),0)</f>
        <v>0</v>
      </c>
      <c r="BL299" s="20">
        <f>IFERROR(VLOOKUP(Tabla1[[#This Row],[Llave]],'[13]Base ultimos planes'!$O:$AA,10,FALSE),0)</f>
        <v>0</v>
      </c>
      <c r="BM299" s="20">
        <f>IFERROR(VLOOKUP(Tabla1[[#This Row],[Llave]],'[13]Base ultimos planes'!$O:$AA,11,FALSE),0)</f>
        <v>0</v>
      </c>
      <c r="BN299" s="20">
        <f>IFERROR(VLOOKUP(Tabla1[[#This Row],[Llave]],'[13]Base ultimos planes'!$O:$AA,12,FALSE),0)</f>
        <v>0</v>
      </c>
      <c r="BO299" s="20">
        <f>IFERROR(VLOOKUP(Tabla1[[#This Row],[Llave]],'[13]Base ultimos planes'!$O:$AA,13,FALSE),0)</f>
        <v>0</v>
      </c>
      <c r="BP299" s="35"/>
      <c r="BQ299" s="20">
        <f>+Tabla1[[#This Row],[ RV  Venta mes n+1]]*(1-Tabla1[[#This Row],[% Uti. producción]])</f>
        <v>0</v>
      </c>
      <c r="BR299" s="100"/>
    </row>
    <row r="300" spans="1:70" ht="16" x14ac:dyDescent="0.2">
      <c r="A300">
        <v>1</v>
      </c>
      <c r="B300" t="str">
        <f>Tabla1[[#This Row],[Oficina]]&amp;Tabla1[[#This Row],[Material]]</f>
        <v>Agro Sudamerica1022781</v>
      </c>
      <c r="C300" t="s">
        <v>6</v>
      </c>
      <c r="D300" t="s">
        <v>17</v>
      </c>
      <c r="E300">
        <v>1022781</v>
      </c>
      <c r="F300" t="s">
        <v>656</v>
      </c>
      <c r="G300" t="s">
        <v>76</v>
      </c>
      <c r="H300" t="s">
        <v>79</v>
      </c>
      <c r="I300" s="15">
        <f>IFERROR(VLOOKUP(Tabla1[[#This Row],[Llave]],'[7]RV Producción'!$C:$G,5,FALSE),0)</f>
        <v>8118</v>
      </c>
      <c r="J300" s="3">
        <f>IFERROR(IF(Tabla1[[#This Row],[Oficina]]=$I$7,VLOOKUP(Tabla1[[#This Row],[Llave]],'[7]Shangai (Tomas)'!$A:$F,6,FALSE),VLOOKUP(Tabla1[[#This Row],[Llave]],'[7]RV plan de ventas'!$A:$E,5,FALSE)),0)</f>
        <v>7000</v>
      </c>
      <c r="K300" s="17">
        <f>IFERROR(VLOOKUP(Tabla1[[#This Row],[Oficina]],[15]Ponderación!$B$2:$E$9,4,FALSE),0)</f>
        <v>0.45719439678473212</v>
      </c>
      <c r="L300" s="7">
        <f>+Tabla1[[#This Row],[ RV Producción mes n+1]]*Tabla1[[#This Row],[% Uti. producción]]</f>
        <v>3711.5041130984555</v>
      </c>
      <c r="M300" s="15">
        <f>IFERROR(VLOOKUP(Tabla1[[#This Row],[Material]],'[17]TD Stock'!$E:$I,5,FALSE),0)</f>
        <v>0</v>
      </c>
      <c r="N300" s="15">
        <f>IFERROR(VLOOKUP(Tabla1[[#This Row],[Material]],[16]Produccion!$M:$N,2,FALSE),0)</f>
        <v>0</v>
      </c>
      <c r="O300" s="7">
        <f>IFERROR(VLOOKUP(Tabla1[[#This Row],[Llave]],'[16]TD Conf-AP'!$I:$M,4,FALSE),0)</f>
        <v>0</v>
      </c>
      <c r="P300" s="37">
        <f>SUM(Tabla1[[#This Row],[Producción disponible]],Tabla1[[#This Row],[Stock al día]],(Tabla1[[#This Row],[Por producir mes N]]*0.9))-Tabla1[[#This Row],[Producción por despachar mes N]]</f>
        <v>3711.5041130984555</v>
      </c>
      <c r="Q300" s="15">
        <f>IFERROR(VLOOKUP(Tabla1[[#This Row],[Llave]],[17]DELAY!$A:$D,4,FALSE),0)</f>
        <v>15555</v>
      </c>
      <c r="R300" s="75">
        <v>24000</v>
      </c>
      <c r="S300" s="5">
        <f t="shared" si="33"/>
        <v>0</v>
      </c>
      <c r="T300" s="76">
        <v>0</v>
      </c>
      <c r="U300" s="5">
        <f>+Tabla1[[#This Row],[Atraso a facturar]]+Tabla1[[#This Row],[Ajuste atraso]]</f>
        <v>0</v>
      </c>
      <c r="V300" s="3">
        <f>+Tabla1[[#This Row],[Total disponible]]-Tabla1[[#This Row],[Facturación atraso]]</f>
        <v>3711.5041130984555</v>
      </c>
      <c r="W300" s="6">
        <f>IFERROR(IF(AND(V300&gt;R300,J300&gt;=R300),ROUNDDOWN((Tabla1[[#This Row],[Producción para venta nueva]])/R300,0)*R300,0),0)</f>
        <v>0</v>
      </c>
      <c r="X300" s="76">
        <v>0</v>
      </c>
      <c r="Y300" s="6">
        <f>IF(Tabla1[[#This Row],[Venta del mes]]&gt;0,Tabla1[[#This Row],[Venta del mes]]+Tabla1[[#This Row],[Ajuste venta nueva]],0)</f>
        <v>0</v>
      </c>
      <c r="Z300" s="6">
        <f>+Tabla1[[#This Row],[Producción para venta nueva]]-Tabla1[[#This Row],[Facturación Venta nueva]]</f>
        <v>3711.5041130984555</v>
      </c>
      <c r="AA300" s="6">
        <f>IF(AND(A300=1,Tabla1[[#This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0" s="6"/>
      <c r="AC300" s="6">
        <f>IF(Tabla1[[#This Row],[Disponible stock sin venta]]&gt;0,Tabla1[[#This Row],[Disponible stock sin venta]]+Tabla1[[#This Row],[Ajuste stock sin venta]],0)</f>
        <v>0</v>
      </c>
      <c r="AD300" s="3">
        <f>IFERROR(VLOOKUP(Tabla1[[#This Row],[Llave]],'[16]TD Puerto'!$A:$D,4,FALSE),0)</f>
        <v>6120</v>
      </c>
      <c r="AE300" s="3">
        <v>6120</v>
      </c>
      <c r="AF300" s="3">
        <f>+Tabla1[[#This Row],[Atraso a facturar]]+Tabla1[[#This Row],[Venta del mes]]+Tabla1[[#This Row],[En puerto a facturar]]+Tabla1[[#This Row],[Disponible stock sin venta]]</f>
        <v>6120</v>
      </c>
      <c r="AG300" s="3">
        <f>+Tabla1[[#This Row],[En puerto a facturar]]</f>
        <v>6120</v>
      </c>
      <c r="AH300" s="3">
        <f>+Tabla1[[#This Row],[Facturación atraso]]</f>
        <v>0</v>
      </c>
      <c r="AI300" s="3">
        <f>+Tabla1[[#This Row],[Plan Irrestricto]]-Tabla1[[#This Row],[Puerto ]]-Tabla1[[#This Row],[Atraso]]</f>
        <v>0</v>
      </c>
      <c r="AJ300" s="3">
        <f>IF(Tabla1[[#This Row],[Plan Irrestricto]]&gt;0,SUM(Tabla1[[#This Row],[Facturación atraso]],Tabla1[[#This Row],[Facturación Venta nueva]],Tabla1[[#This Row],[Facturación stock]],Tabla1[[#This Row],[En puerto a facturar]]),0)</f>
        <v>6120</v>
      </c>
      <c r="AK300" s="3">
        <f>+Tabla1[[#This Row],[Facturación atraso]]</f>
        <v>0</v>
      </c>
      <c r="AL300" s="3">
        <f>+Tabla1[[#This Row],[Plan Ajustado]]-Tabla1[[#This Row],[ Atraso ajustado]]-Tabla1[[#This Row],[Puerto ]]</f>
        <v>0</v>
      </c>
      <c r="AM300" s="3">
        <v>0</v>
      </c>
      <c r="AN300" s="3" t="str">
        <f>IF(Tabla1[[#This Row],[Plan Ajustado]]&gt;Tabla1[[#This Row],[En puerto a facturar]],"Si","No")</f>
        <v>No</v>
      </c>
      <c r="AO30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00" s="3">
        <f>IF(Tabla1[[#This Row],[Necesidad]]&gt;=Tabla1[[#This Row],[Stock al día]],Tabla1[[#This Row],[Stock al día]],Tabla1[[#This Row],[Necesidad]])</f>
        <v>0</v>
      </c>
      <c r="AQ300" s="3">
        <f>+Tabla1[[#This Row],[Necesidad]]-Tabla1[[#This Row],[Stock Plan]]</f>
        <v>0</v>
      </c>
      <c r="AR300" s="156">
        <f>IFERROR(VLOOKUP(Tabla1[[#This Row],[Oficina]],[22]Ponderación!$B$3:$G$9,6,FALSE),"")</f>
        <v>44757</v>
      </c>
      <c r="AS30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13.401</v>
      </c>
      <c r="AT300" s="83">
        <f>IFERROR(VLOOKUP(Tabla1[[#This Row],[Llave]],[17]DELAY!$H:$W,16,FALSE),0)</f>
        <v>10.576208531078084</v>
      </c>
      <c r="AU30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10.576208531078084</v>
      </c>
      <c r="AV300" s="5">
        <f>+Tabla1[[#This Row],[Plan Ajustado]]*Tabla1[[#This Row],[Precio ponderado]]</f>
        <v>64726.396210197876</v>
      </c>
      <c r="AW300" s="30">
        <f>IFERROR(VLOOKUP(Tabla1[[#This Row],[Llave]],'[13]Ultimos precios facturados'!$A:$G,7,FALSE),0)</f>
        <v>10.083610299857648</v>
      </c>
      <c r="AX300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4.8851375308245487E-2</v>
      </c>
      <c r="AY300" s="30">
        <v>0.1056</v>
      </c>
      <c r="AZ300" s="30">
        <f>IF(Tabla1[[#This Row],[Ajuste precio IC]]="",Tabla1[[#This Row],[Precio ponderado]],Tabla1[[#This Row],[Precio ponderado]])</f>
        <v>10.576208531078084</v>
      </c>
      <c r="BA300" s="82"/>
      <c r="BB300" s="82" t="str">
        <f>IF(AND(Tabla1[[#This Row],[Atraso a facturar]]&gt;0,Tabla1[[#This Row],[Precio Atraso]]=0),"Revisar","OK")</f>
        <v>OK</v>
      </c>
      <c r="BC300" s="82" t="str">
        <f>IF(AND(Tabla1[[#This Row],[Venta del mes]]&gt;0,Tabla1[[#This Row],[Precio venta nueva]]=0),"Revisar","OK")</f>
        <v>OK</v>
      </c>
      <c r="BD300" s="20">
        <f>IFERROR(VLOOKUP(Tabla1[[#This Row],[Llave]],'[5]Consolidación planes'!$A:$M,9,FALSE),0)</f>
        <v>7067</v>
      </c>
      <c r="BE300" s="20">
        <f>IFERROR(VLOOKUP(Tabla1[[#This Row],[Llave]],'[5]Consolidación planes'!$A:$M,10,FALSE),0)</f>
        <v>3060</v>
      </c>
      <c r="BF300" s="20">
        <f>IFERROR(VLOOKUP(Tabla1[[#This Row],[Llave]],'[5]Consolidación planes'!$A:$M,11,FALSE),0)</f>
        <v>10282</v>
      </c>
      <c r="BG300" s="20">
        <f>IFERROR(VLOOKUP(Tabla1[[#This Row],[Llave]],'[5]Consolidación planes'!$A:$M,12,FALSE),0)</f>
        <v>1500</v>
      </c>
      <c r="BH300" s="20">
        <f>IFERROR(VLOOKUP(Tabla1[[#This Row],[Llave]],'[5]Consolidación planes'!$A:$M,13,FALSE),0)</f>
        <v>6600</v>
      </c>
      <c r="BI300" s="20">
        <f>IFERROR(VLOOKUP(Tabla1[[#This Row],[Llave]],'[13]Base ultimos planes'!$A:$M,13,FALSE),0)</f>
        <v>15300</v>
      </c>
      <c r="BJ300" s="80">
        <f>IFERROR(VLOOKUP(Tabla1[[#This Row],[Llave]],'[13]Base ultimos planes'!$O:$AA,8,FALSE),0)</f>
        <v>79009.06</v>
      </c>
      <c r="BK300" s="20">
        <f>IFERROR(VLOOKUP(Tabla1[[#This Row],[Llave]],'[13]Base ultimos planes'!$O:$AA,9,FALSE),0)</f>
        <v>39589</v>
      </c>
      <c r="BL300" s="20">
        <f>IFERROR(VLOOKUP(Tabla1[[#This Row],[Llave]],'[13]Base ultimos planes'!$O:$AA,10,FALSE),0)</f>
        <v>108578</v>
      </c>
      <c r="BM300" s="20">
        <f>IFERROR(VLOOKUP(Tabla1[[#This Row],[Llave]],'[13]Base ultimos planes'!$O:$AA,11,FALSE),0)</f>
        <v>22170</v>
      </c>
      <c r="BN300" s="20">
        <f>IFERROR(VLOOKUP(Tabla1[[#This Row],[Llave]],'[13]Base ultimos planes'!$O:$AA,12,FALSE),0)</f>
        <v>88521</v>
      </c>
      <c r="BO300" s="20">
        <f>IFERROR(VLOOKUP(Tabla1[[#This Row],[Llave]],'[13]Base ultimos planes'!$O:$AA,13,FALSE),0)</f>
        <v>198441</v>
      </c>
      <c r="BP300" s="35"/>
      <c r="BQ300" s="20">
        <f>+Tabla1[[#This Row],[ RV  Venta mes n+1]]*(1-Tabla1[[#This Row],[% Uti. producción]])</f>
        <v>3799.6392225068757</v>
      </c>
      <c r="BR300" s="100"/>
    </row>
    <row r="301" spans="1:70" ht="16" hidden="1" x14ac:dyDescent="0.2">
      <c r="A301">
        <v>2</v>
      </c>
      <c r="B301" t="str">
        <f>Tabla1[[#This Row],[Oficina]]&amp;Tabla1[[#This Row],[Material]]</f>
        <v>Agro Sudamerica1022782</v>
      </c>
      <c r="C301" t="s">
        <v>6</v>
      </c>
      <c r="D301" t="s">
        <v>17</v>
      </c>
      <c r="E301">
        <v>1022782</v>
      </c>
      <c r="F301" t="s">
        <v>657</v>
      </c>
      <c r="G301" t="s">
        <v>76</v>
      </c>
      <c r="H301" t="s">
        <v>79</v>
      </c>
      <c r="I301" s="15">
        <f>IFERROR(VLOOKUP(Tabla1[[#This Row],[Llave]],'[7]RV Producción'!$C:$G,5,FALSE),0)</f>
        <v>0</v>
      </c>
      <c r="J301" s="3">
        <f>IFERROR(IF(Tabla1[[#This Row],[Oficina]]=$I$7,VLOOKUP(Tabla1[[#This Row],[Llave]],'[7]Shangai (Tomas)'!$A:$F,6,FALSE),VLOOKUP(Tabla1[[#This Row],[Llave]],'[7]RV plan de ventas'!$A:$E,5,FALSE)),0)</f>
        <v>0</v>
      </c>
      <c r="K301" s="17">
        <f>IFERROR(VLOOKUP(Tabla1[[#This Row],[Oficina]],[15]Ponderación!$B$2:$E$9,4,FALSE),0)</f>
        <v>0.45719439678473212</v>
      </c>
      <c r="L301" s="7">
        <f>+Tabla1[[#This Row],[ RV Producción mes n+1]]*Tabla1[[#This Row],[% Uti. producción]]</f>
        <v>0</v>
      </c>
      <c r="M301" s="15">
        <f>IFERROR(VLOOKUP(Tabla1[[#This Row],[Material]],'[17]TD Stock'!$E:$I,5,FALSE),0)</f>
        <v>0</v>
      </c>
      <c r="N301" s="15">
        <f>IFERROR(VLOOKUP(Tabla1[[#This Row],[Material]],[16]Produccion!$M:$N,2,FALSE),0)</f>
        <v>0</v>
      </c>
      <c r="O301" s="7">
        <f>IFERROR(VLOOKUP(Tabla1[[#This Row],[Llave]],'[16]TD Conf-AP'!$I:$M,4,FALSE),0)</f>
        <v>0</v>
      </c>
      <c r="P301" s="37">
        <f>SUM(Tabla1[[#This Row],[Producción disponible]],Tabla1[[#This Row],[Stock al día]],(Tabla1[[#This Row],[Por producir mes N]]*0.9))-Tabla1[[#This Row],[Producción por despachar mes N]]</f>
        <v>0</v>
      </c>
      <c r="Q301" s="15">
        <f>IFERROR(VLOOKUP(Tabla1[[#This Row],[Llave]],[17]DELAY!$A:$D,4,FALSE),0)</f>
        <v>15600</v>
      </c>
      <c r="R301" s="75">
        <v>24000</v>
      </c>
      <c r="S301" s="5">
        <f t="shared" si="33"/>
        <v>0</v>
      </c>
      <c r="T301" s="76">
        <v>0</v>
      </c>
      <c r="U301" s="5">
        <f>+Tabla1[[#This Row],[Atraso a facturar]]+Tabla1[[#This Row],[Ajuste atraso]]</f>
        <v>0</v>
      </c>
      <c r="V301" s="3">
        <f>+Tabla1[[#This Row],[Total disponible]]-Tabla1[[#This Row],[Facturación atraso]]</f>
        <v>0</v>
      </c>
      <c r="W301" s="6">
        <f>IFERROR(IF(AND(V301&gt;R301,J301&gt;=R301),ROUNDDOWN((Tabla1[[#This Row],[Producción para venta nueva]])/R301,0)*R301,0),0)</f>
        <v>0</v>
      </c>
      <c r="X301" s="76">
        <v>0</v>
      </c>
      <c r="Y301" s="6">
        <f>IF(Tabla1[[#This Row],[Venta del mes]]&gt;0,Tabla1[[#This Row],[Venta del mes]]+Tabla1[[#This Row],[Ajuste venta nueva]],0)</f>
        <v>0</v>
      </c>
      <c r="Z301" s="6">
        <f>+Tabla1[[#This Row],[Producción para venta nueva]]-Tabla1[[#This Row],[Facturación Venta nueva]]</f>
        <v>0</v>
      </c>
      <c r="AA301" s="6">
        <f>IF(AND(A301=1,Tabla1[[#This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1" s="6"/>
      <c r="AC301" s="6">
        <f>IF(Tabla1[[#This Row],[Disponible stock sin venta]]&gt;0,Tabla1[[#This Row],[Disponible stock sin venta]]+Tabla1[[#This Row],[Ajuste stock sin venta]],0)</f>
        <v>0</v>
      </c>
      <c r="AD301" s="3">
        <f>IFERROR(VLOOKUP(Tabla1[[#This Row],[Llave]],'[16]TD Puerto'!$A:$D,4,FALSE),0)</f>
        <v>0</v>
      </c>
      <c r="AE301" s="3">
        <v>0</v>
      </c>
      <c r="AF301" s="3">
        <f>+Tabla1[[#This Row],[Atraso a facturar]]+Tabla1[[#This Row],[Venta del mes]]+Tabla1[[#This Row],[En puerto a facturar]]+Tabla1[[#This Row],[Disponible stock sin venta]]</f>
        <v>0</v>
      </c>
      <c r="AG301" s="3">
        <f>+Tabla1[[#This Row],[En puerto a facturar]]</f>
        <v>0</v>
      </c>
      <c r="AH301" s="3">
        <f>+Tabla1[[#This Row],[Facturación atraso]]</f>
        <v>0</v>
      </c>
      <c r="AI301" s="3">
        <f>+Tabla1[[#This Row],[Plan Irrestricto]]-Tabla1[[#This Row],[Puerto ]]-Tabla1[[#This Row],[Atraso]]</f>
        <v>0</v>
      </c>
      <c r="AJ301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01" s="3">
        <f>+Tabla1[[#This Row],[Facturación atraso]]</f>
        <v>0</v>
      </c>
      <c r="AL301" s="3">
        <f>+Tabla1[[#This Row],[Plan Ajustado]]-Tabla1[[#This Row],[ Atraso ajustado]]-Tabla1[[#This Row],[Puerto ]]</f>
        <v>0</v>
      </c>
      <c r="AM301" s="3">
        <v>0</v>
      </c>
      <c r="AN301" s="3" t="str">
        <f>IF(Tabla1[[#This Row],[Plan Ajustado]]&gt;Tabla1[[#This Row],[En puerto a facturar]],"Si","No")</f>
        <v>No</v>
      </c>
      <c r="AO301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01" s="3">
        <f>IF(Tabla1[[#This Row],[Necesidad]]&gt;=Tabla1[[#This Row],[Stock al día]],Tabla1[[#This Row],[Stock al día]],Tabla1[[#This Row],[Necesidad]])</f>
        <v>0</v>
      </c>
      <c r="AQ301" s="3">
        <f>+Tabla1[[#This Row],[Necesidad]]-Tabla1[[#This Row],[Stock Plan]]</f>
        <v>0</v>
      </c>
      <c r="AR301" s="156">
        <f>IFERROR(VLOOKUP(Tabla1[[#This Row],[Oficina]],[22]Ponderación!$B$3:$G$9,6,FALSE),"")</f>
        <v>44757</v>
      </c>
      <c r="AS30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301" s="83">
        <f>IFERROR(VLOOKUP(Tabla1[[#This Row],[Llave]],[17]DELAY!$H:$W,16,FALSE),0)</f>
        <v>7.9970181242137652</v>
      </c>
      <c r="AU30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01" s="5">
        <f>+Tabla1[[#This Row],[Plan Ajustado]]*Tabla1[[#This Row],[Precio ponderado]]</f>
        <v>0</v>
      </c>
      <c r="AW301" s="30">
        <f>IFERROR(VLOOKUP(Tabla1[[#This Row],[Llave]],'[13]Ultimos precios facturados'!$A:$G,7,FALSE),0)</f>
        <v>8.0710707864912834</v>
      </c>
      <c r="AX301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01" s="30"/>
      <c r="AZ301" s="30">
        <f>IF(Tabla1[[#This Row],[Ajuste precio IC]]="",Tabla1[[#This Row],[Precio ponderado]],Tabla1[[#This Row],[Precio ponderado]])</f>
        <v>0</v>
      </c>
      <c r="BA301" s="82"/>
      <c r="BB301" s="82" t="str">
        <f>IF(AND(Tabla1[[#This Row],[Atraso a facturar]]&gt;0,Tabla1[[#This Row],[Precio Atraso]]=0),"Revisar","OK")</f>
        <v>OK</v>
      </c>
      <c r="BC301" s="82" t="str">
        <f>IF(AND(Tabla1[[#This Row],[Venta del mes]]&gt;0,Tabla1[[#This Row],[Precio venta nueva]]=0),"Revisar","OK")</f>
        <v>OK</v>
      </c>
      <c r="BD301" s="20">
        <f>IFERROR(VLOOKUP(Tabla1[[#This Row],[Llave]],'[5]Consolidación planes'!$A:$M,9,FALSE),0)</f>
        <v>18796</v>
      </c>
      <c r="BE301" s="20">
        <f>IFERROR(VLOOKUP(Tabla1[[#This Row],[Llave]],'[5]Consolidación planes'!$A:$M,10,FALSE),0)</f>
        <v>3600</v>
      </c>
      <c r="BF301" s="20">
        <f>IFERROR(VLOOKUP(Tabla1[[#This Row],[Llave]],'[5]Consolidación planes'!$A:$M,11,FALSE),0)</f>
        <v>0</v>
      </c>
      <c r="BG301" s="20">
        <f>IFERROR(VLOOKUP(Tabla1[[#This Row],[Llave]],'[5]Consolidación planes'!$A:$M,12,FALSE),0)</f>
        <v>0</v>
      </c>
      <c r="BH301" s="20">
        <f>IFERROR(VLOOKUP(Tabla1[[#This Row],[Llave]],'[5]Consolidación planes'!$A:$M,13,FALSE),0)</f>
        <v>3600</v>
      </c>
      <c r="BI301" s="20">
        <f>IFERROR(VLOOKUP(Tabla1[[#This Row],[Llave]],'[13]Base ultimos planes'!$A:$M,13,FALSE),0)</f>
        <v>11520</v>
      </c>
      <c r="BJ301" s="80">
        <f>IFERROR(VLOOKUP(Tabla1[[#This Row],[Llave]],'[13]Base ultimos planes'!$O:$AA,8,FALSE),0)</f>
        <v>156946.6</v>
      </c>
      <c r="BK301" s="20">
        <f>IFERROR(VLOOKUP(Tabla1[[#This Row],[Llave]],'[13]Base ultimos planes'!$O:$AA,9,FALSE),0)</f>
        <v>36108</v>
      </c>
      <c r="BL301" s="20">
        <f>IFERROR(VLOOKUP(Tabla1[[#This Row],[Llave]],'[13]Base ultimos planes'!$O:$AA,10,FALSE),0)</f>
        <v>0</v>
      </c>
      <c r="BM301" s="20">
        <f>IFERROR(VLOOKUP(Tabla1[[#This Row],[Llave]],'[13]Base ultimos planes'!$O:$AA,11,FALSE),0)</f>
        <v>0</v>
      </c>
      <c r="BN301" s="20">
        <f>IFERROR(VLOOKUP(Tabla1[[#This Row],[Llave]],'[13]Base ultimos planes'!$O:$AA,12,FALSE),0)</f>
        <v>36360</v>
      </c>
      <c r="BO301" s="20">
        <f>IFERROR(VLOOKUP(Tabla1[[#This Row],[Llave]],'[13]Base ultimos planes'!$O:$AA,13,FALSE),0)</f>
        <v>120730</v>
      </c>
      <c r="BP301" s="35"/>
      <c r="BQ301" s="20">
        <f>+Tabla1[[#This Row],[ RV  Venta mes n+1]]*(1-Tabla1[[#This Row],[% Uti. producción]])</f>
        <v>0</v>
      </c>
      <c r="BR301" s="100"/>
    </row>
    <row r="302" spans="1:70" ht="16" hidden="1" x14ac:dyDescent="0.2">
      <c r="A302">
        <v>2</v>
      </c>
      <c r="B302" t="str">
        <f>Tabla1[[#This Row],[Oficina]]&amp;Tabla1[[#This Row],[Material]]</f>
        <v>Agro Sudamerica1022783</v>
      </c>
      <c r="C302" t="s">
        <v>6</v>
      </c>
      <c r="D302" t="s">
        <v>17</v>
      </c>
      <c r="E302">
        <v>1022783</v>
      </c>
      <c r="F302" t="s">
        <v>658</v>
      </c>
      <c r="G302" t="s">
        <v>76</v>
      </c>
      <c r="H302" t="s">
        <v>79</v>
      </c>
      <c r="I302" s="15">
        <f>IFERROR(VLOOKUP(Tabla1[[#This Row],[Llave]],'[7]RV Producción'!$C:$G,5,FALSE),0)</f>
        <v>0</v>
      </c>
      <c r="J302" s="3">
        <f>IFERROR(IF(Tabla1[[#This Row],[Oficina]]=$I$7,VLOOKUP(Tabla1[[#This Row],[Llave]],'[7]Shangai (Tomas)'!$A:$F,6,FALSE),VLOOKUP(Tabla1[[#This Row],[Llave]],'[7]RV plan de ventas'!$A:$E,5,FALSE)),0)</f>
        <v>0</v>
      </c>
      <c r="K302" s="17">
        <f>IFERROR(VLOOKUP(Tabla1[[#This Row],[Oficina]],[15]Ponderación!$B$2:$E$9,4,FALSE),0)</f>
        <v>0.45719439678473212</v>
      </c>
      <c r="L302" s="7">
        <f>+Tabla1[[#This Row],[ RV Producción mes n+1]]*Tabla1[[#This Row],[% Uti. producción]]</f>
        <v>0</v>
      </c>
      <c r="M302" s="15">
        <f>IFERROR(VLOOKUP(Tabla1[[#This Row],[Material]],'[17]TD Stock'!$E:$I,5,FALSE),0)</f>
        <v>0</v>
      </c>
      <c r="N302" s="15">
        <f>IFERROR(VLOOKUP(Tabla1[[#This Row],[Material]],[16]Produccion!$M:$N,2,FALSE),0)</f>
        <v>0</v>
      </c>
      <c r="O302" s="7">
        <f>IFERROR(VLOOKUP(Tabla1[[#This Row],[Llave]],'[16]TD Conf-AP'!$I:$M,4,FALSE),0)</f>
        <v>0</v>
      </c>
      <c r="P302" s="37">
        <f>SUM(Tabla1[[#This Row],[Producción disponible]],Tabla1[[#This Row],[Stock al día]],(Tabla1[[#This Row],[Por producir mes N]]*0.9))-Tabla1[[#This Row],[Producción por despachar mes N]]</f>
        <v>0</v>
      </c>
      <c r="Q302" s="15">
        <f>IFERROR(VLOOKUP(Tabla1[[#This Row],[Llave]],[17]DELAY!$A:$D,4,FALSE),0)</f>
        <v>7200</v>
      </c>
      <c r="R302" s="75">
        <v>24000</v>
      </c>
      <c r="S302" s="5">
        <f t="shared" si="33"/>
        <v>0</v>
      </c>
      <c r="T302" s="76">
        <v>0</v>
      </c>
      <c r="U302" s="5">
        <f>+Tabla1[[#This Row],[Atraso a facturar]]+Tabla1[[#This Row],[Ajuste atraso]]</f>
        <v>0</v>
      </c>
      <c r="V302" s="3">
        <f>+Tabla1[[#This Row],[Total disponible]]-Tabla1[[#This Row],[Facturación atraso]]</f>
        <v>0</v>
      </c>
      <c r="W302" s="6">
        <f>IFERROR(IF(AND(V302&gt;R302,J302&gt;=R302),ROUNDDOWN((Tabla1[[#This Row],[Producción para venta nueva]])/R302,0)*R302,0),0)</f>
        <v>0</v>
      </c>
      <c r="X302" s="76">
        <v>0</v>
      </c>
      <c r="Y302" s="6">
        <f>IF(Tabla1[[#This Row],[Venta del mes]]&gt;0,Tabla1[[#This Row],[Venta del mes]]+Tabla1[[#This Row],[Ajuste venta nueva]],0)</f>
        <v>0</v>
      </c>
      <c r="Z302" s="6">
        <f>+Tabla1[[#This Row],[Producción para venta nueva]]-Tabla1[[#This Row],[Facturación Venta nueva]]</f>
        <v>0</v>
      </c>
      <c r="AA302" s="6">
        <f>IF(AND(A302=1,Tabla1[[#This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2" s="6"/>
      <c r="AC302" s="6">
        <f>IF(Tabla1[[#This Row],[Disponible stock sin venta]]&gt;0,Tabla1[[#This Row],[Disponible stock sin venta]]+Tabla1[[#This Row],[Ajuste stock sin venta]],0)</f>
        <v>0</v>
      </c>
      <c r="AD302" s="3">
        <f>IFERROR(VLOOKUP(Tabla1[[#This Row],[Llave]],'[16]TD Puerto'!$A:$D,4,FALSE),0)</f>
        <v>0</v>
      </c>
      <c r="AE302" s="3">
        <v>0</v>
      </c>
      <c r="AF302" s="3">
        <f>+Tabla1[[#This Row],[Atraso a facturar]]+Tabla1[[#This Row],[Venta del mes]]+Tabla1[[#This Row],[En puerto a facturar]]+Tabla1[[#This Row],[Disponible stock sin venta]]</f>
        <v>0</v>
      </c>
      <c r="AG302" s="3">
        <f>+Tabla1[[#This Row],[En puerto a facturar]]</f>
        <v>0</v>
      </c>
      <c r="AH302" s="3">
        <f>+Tabla1[[#This Row],[Facturación atraso]]</f>
        <v>0</v>
      </c>
      <c r="AI302" s="3">
        <f>+Tabla1[[#This Row],[Plan Irrestricto]]-Tabla1[[#This Row],[Puerto ]]-Tabla1[[#This Row],[Atraso]]</f>
        <v>0</v>
      </c>
      <c r="AJ30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02" s="3">
        <f>+Tabla1[[#This Row],[Facturación atraso]]</f>
        <v>0</v>
      </c>
      <c r="AL302" s="3">
        <f>+Tabla1[[#This Row],[Plan Ajustado]]-Tabla1[[#This Row],[ Atraso ajustado]]-Tabla1[[#This Row],[Puerto ]]</f>
        <v>0</v>
      </c>
      <c r="AM302" s="3">
        <v>0</v>
      </c>
      <c r="AN302" s="3" t="str">
        <f>IF(Tabla1[[#This Row],[Plan Ajustado]]&gt;Tabla1[[#This Row],[En puerto a facturar]],"Si","No")</f>
        <v>No</v>
      </c>
      <c r="AO30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02" s="3">
        <f>IF(Tabla1[[#This Row],[Necesidad]]&gt;=Tabla1[[#This Row],[Stock al día]],Tabla1[[#This Row],[Stock al día]],Tabla1[[#This Row],[Necesidad]])</f>
        <v>0</v>
      </c>
      <c r="AQ302" s="3">
        <f>+Tabla1[[#This Row],[Necesidad]]-Tabla1[[#This Row],[Stock Plan]]</f>
        <v>0</v>
      </c>
      <c r="AR302" s="156">
        <f>IFERROR(VLOOKUP(Tabla1[[#This Row],[Oficina]],[22]Ponderación!$B$3:$G$9,6,FALSE),"")</f>
        <v>44757</v>
      </c>
      <c r="AS30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302" s="83">
        <f>IFERROR(VLOOKUP(Tabla1[[#This Row],[Llave]],[17]DELAY!$H:$W,16,FALSE),0)</f>
        <v>7.8294573643410796</v>
      </c>
      <c r="AU30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02" s="5">
        <f>+Tabla1[[#This Row],[Plan Ajustado]]*Tabla1[[#This Row],[Precio ponderado]]</f>
        <v>0</v>
      </c>
      <c r="AW302" s="30">
        <f>IFERROR(VLOOKUP(Tabla1[[#This Row],[Llave]],'[13]Ultimos precios facturados'!$A:$G,7,FALSE),0)</f>
        <v>7.8038713556981198</v>
      </c>
      <c r="AX302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02" s="30"/>
      <c r="AZ302" s="30">
        <f>IF(Tabla1[[#This Row],[Ajuste precio IC]]="",Tabla1[[#This Row],[Precio ponderado]],Tabla1[[#This Row],[Precio ponderado]])</f>
        <v>0</v>
      </c>
      <c r="BA302" s="82"/>
      <c r="BB302" s="82" t="str">
        <f>IF(AND(Tabla1[[#This Row],[Atraso a facturar]]&gt;0,Tabla1[[#This Row],[Precio Atraso]]=0),"Revisar","OK")</f>
        <v>OK</v>
      </c>
      <c r="BC302" s="82" t="str">
        <f>IF(AND(Tabla1[[#This Row],[Venta del mes]]&gt;0,Tabla1[[#This Row],[Precio venta nueva]]=0),"Revisar","OK")</f>
        <v>OK</v>
      </c>
      <c r="BD302" s="20">
        <f>IFERROR(VLOOKUP(Tabla1[[#This Row],[Llave]],'[5]Consolidación planes'!$A:$M,9,FALSE),0)</f>
        <v>0</v>
      </c>
      <c r="BE302" s="20">
        <f>IFERROR(VLOOKUP(Tabla1[[#This Row],[Llave]],'[5]Consolidación planes'!$A:$M,10,FALSE),0)</f>
        <v>15600</v>
      </c>
      <c r="BF302" s="20">
        <f>IFERROR(VLOOKUP(Tabla1[[#This Row],[Llave]],'[5]Consolidación planes'!$A:$M,11,FALSE),0)</f>
        <v>0</v>
      </c>
      <c r="BG302" s="20">
        <f>IFERROR(VLOOKUP(Tabla1[[#This Row],[Llave]],'[5]Consolidación planes'!$A:$M,12,FALSE),0)</f>
        <v>0</v>
      </c>
      <c r="BH302" s="20">
        <f>IFERROR(VLOOKUP(Tabla1[[#This Row],[Llave]],'[5]Consolidación planes'!$A:$M,13,FALSE),0)</f>
        <v>0</v>
      </c>
      <c r="BI302" s="20">
        <f>IFERROR(VLOOKUP(Tabla1[[#This Row],[Llave]],'[13]Base ultimos planes'!$A:$M,13,FALSE),0)</f>
        <v>4800</v>
      </c>
      <c r="BJ302" s="80">
        <f>IFERROR(VLOOKUP(Tabla1[[#This Row],[Llave]],'[13]Base ultimos planes'!$O:$AA,8,FALSE),0)</f>
        <v>0</v>
      </c>
      <c r="BK302" s="20">
        <f>IFERROR(VLOOKUP(Tabla1[[#This Row],[Llave]],'[13]Base ultimos planes'!$O:$AA,9,FALSE),0)</f>
        <v>156468</v>
      </c>
      <c r="BL302" s="20">
        <f>IFERROR(VLOOKUP(Tabla1[[#This Row],[Llave]],'[13]Base ultimos planes'!$O:$AA,10,FALSE),0)</f>
        <v>0</v>
      </c>
      <c r="BM302" s="20">
        <f>IFERROR(VLOOKUP(Tabla1[[#This Row],[Llave]],'[13]Base ultimos planes'!$O:$AA,11,FALSE),0)</f>
        <v>0</v>
      </c>
      <c r="BN302" s="20">
        <f>IFERROR(VLOOKUP(Tabla1[[#This Row],[Llave]],'[13]Base ultimos planes'!$O:$AA,12,FALSE),0)</f>
        <v>0</v>
      </c>
      <c r="BO302" s="20">
        <f>IFERROR(VLOOKUP(Tabla1[[#This Row],[Llave]],'[13]Base ultimos planes'!$O:$AA,13,FALSE),0)</f>
        <v>48384</v>
      </c>
      <c r="BP302" s="35"/>
      <c r="BQ302" s="20">
        <f>+Tabla1[[#This Row],[ RV  Venta mes n+1]]*(1-Tabla1[[#This Row],[% Uti. producción]])</f>
        <v>0</v>
      </c>
      <c r="BR302" s="100"/>
    </row>
    <row r="303" spans="1:70" ht="16" hidden="1" x14ac:dyDescent="0.2">
      <c r="A303">
        <v>2</v>
      </c>
      <c r="B303" t="str">
        <f>Tabla1[[#This Row],[Oficina]]&amp;Tabla1[[#This Row],[Material]]</f>
        <v>Agro Sudamerica1022784</v>
      </c>
      <c r="C303" t="s">
        <v>6</v>
      </c>
      <c r="D303" t="s">
        <v>17</v>
      </c>
      <c r="E303">
        <v>1022784</v>
      </c>
      <c r="F303" t="s">
        <v>659</v>
      </c>
      <c r="G303" t="s">
        <v>76</v>
      </c>
      <c r="H303" t="s">
        <v>79</v>
      </c>
      <c r="I303" s="15">
        <f>IFERROR(VLOOKUP(Tabla1[[#This Row],[Llave]],'[7]RV Producción'!$C:$G,5,FALSE),0)</f>
        <v>0</v>
      </c>
      <c r="J303" s="3">
        <f>IFERROR(IF(Tabla1[[#This Row],[Oficina]]=$I$7,VLOOKUP(Tabla1[[#This Row],[Llave]],'[7]Shangai (Tomas)'!$A:$F,6,FALSE),VLOOKUP(Tabla1[[#This Row],[Llave]],'[7]RV plan de ventas'!$A:$E,5,FALSE)),0)</f>
        <v>0</v>
      </c>
      <c r="K303" s="17">
        <f>IFERROR(VLOOKUP(Tabla1[[#This Row],[Oficina]],[15]Ponderación!$B$2:$E$9,4,FALSE),0)</f>
        <v>0.45719439678473212</v>
      </c>
      <c r="L303" s="7">
        <f>+Tabla1[[#This Row],[ RV Producción mes n+1]]*Tabla1[[#This Row],[% Uti. producción]]</f>
        <v>0</v>
      </c>
      <c r="M303" s="15">
        <f>IFERROR(VLOOKUP(Tabla1[[#This Row],[Material]],'[17]TD Stock'!$E:$I,5,FALSE),0)</f>
        <v>0</v>
      </c>
      <c r="N303" s="15">
        <f>IFERROR(VLOOKUP(Tabla1[[#This Row],[Material]],[16]Produccion!$M:$N,2,FALSE),0)</f>
        <v>0</v>
      </c>
      <c r="O303" s="7">
        <f>IFERROR(VLOOKUP(Tabla1[[#This Row],[Llave]],'[16]TD Conf-AP'!$I:$M,4,FALSE),0)</f>
        <v>0</v>
      </c>
      <c r="P303" s="37">
        <f>SUM(Tabla1[[#This Row],[Producción disponible]],Tabla1[[#This Row],[Stock al día]],(Tabla1[[#This Row],[Por producir mes N]]*0.9))-Tabla1[[#This Row],[Producción por despachar mes N]]</f>
        <v>0</v>
      </c>
      <c r="Q303" s="15">
        <f>IFERROR(VLOOKUP(Tabla1[[#This Row],[Llave]],[17]DELAY!$A:$D,4,FALSE),0)</f>
        <v>0</v>
      </c>
      <c r="R303" s="75">
        <v>3500</v>
      </c>
      <c r="S303" s="5">
        <f t="shared" si="33"/>
        <v>0</v>
      </c>
      <c r="T303" s="76">
        <v>0</v>
      </c>
      <c r="U303" s="5">
        <f>+Tabla1[[#This Row],[Atraso a facturar]]+Tabla1[[#This Row],[Ajuste atraso]]</f>
        <v>0</v>
      </c>
      <c r="V303" s="3">
        <f>+Tabla1[[#This Row],[Total disponible]]-Tabla1[[#This Row],[Facturación atraso]]</f>
        <v>0</v>
      </c>
      <c r="W303" s="6">
        <f>IFERROR(IF(AND(V303&gt;R303,J303&gt;=R303),ROUNDDOWN((Tabla1[[#This Row],[Producción para venta nueva]])/R303,0)*R303,0),0)</f>
        <v>0</v>
      </c>
      <c r="X303" s="76">
        <v>0</v>
      </c>
      <c r="Y303" s="6">
        <f>IF(Tabla1[[#This Row],[Venta del mes]]&gt;0,Tabla1[[#This Row],[Venta del mes]]+Tabla1[[#This Row],[Ajuste venta nueva]],0)</f>
        <v>0</v>
      </c>
      <c r="Z303" s="6">
        <f>+Tabla1[[#This Row],[Producción para venta nueva]]-Tabla1[[#This Row],[Facturación Venta nueva]]</f>
        <v>0</v>
      </c>
      <c r="AA303" s="6">
        <f>IF(AND(A303=1,Tabla1[[#This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3" s="6"/>
      <c r="AC303" s="6">
        <f>IF(Tabla1[[#This Row],[Disponible stock sin venta]]&gt;0,Tabla1[[#This Row],[Disponible stock sin venta]]+Tabla1[[#This Row],[Ajuste stock sin venta]],0)</f>
        <v>0</v>
      </c>
      <c r="AD303" s="3">
        <f>IFERROR(VLOOKUP(Tabla1[[#This Row],[Llave]],'[16]TD Puerto'!$A:$D,4,FALSE),0)</f>
        <v>0</v>
      </c>
      <c r="AE303" s="3">
        <v>0</v>
      </c>
      <c r="AF303" s="3">
        <f>+Tabla1[[#This Row],[Atraso a facturar]]+Tabla1[[#This Row],[Venta del mes]]+Tabla1[[#This Row],[En puerto a facturar]]+Tabla1[[#This Row],[Disponible stock sin venta]]</f>
        <v>0</v>
      </c>
      <c r="AG303" s="3">
        <f>+Tabla1[[#This Row],[En puerto a facturar]]</f>
        <v>0</v>
      </c>
      <c r="AH303" s="3">
        <f>+Tabla1[[#This Row],[Facturación atraso]]</f>
        <v>0</v>
      </c>
      <c r="AI303" s="3">
        <f>+Tabla1[[#This Row],[Plan Irrestricto]]-Tabla1[[#This Row],[Puerto ]]-Tabla1[[#This Row],[Atraso]]</f>
        <v>0</v>
      </c>
      <c r="AJ30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03" s="3">
        <f>+Tabla1[[#This Row],[Facturación atraso]]</f>
        <v>0</v>
      </c>
      <c r="AL303" s="3">
        <f>+Tabla1[[#This Row],[Plan Ajustado]]-Tabla1[[#This Row],[ Atraso ajustado]]-Tabla1[[#This Row],[Puerto ]]</f>
        <v>0</v>
      </c>
      <c r="AM303" s="3">
        <v>0</v>
      </c>
      <c r="AN303" s="3" t="str">
        <f>IF(Tabla1[[#This Row],[Plan Ajustado]]&gt;Tabla1[[#This Row],[En puerto a facturar]],"Si","No")</f>
        <v>No</v>
      </c>
      <c r="AO30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03" s="3">
        <f>IF(Tabla1[[#This Row],[Necesidad]]&gt;=Tabla1[[#This Row],[Stock al día]],Tabla1[[#This Row],[Stock al día]],Tabla1[[#This Row],[Necesidad]])</f>
        <v>0</v>
      </c>
      <c r="AQ303" s="3">
        <f>+Tabla1[[#This Row],[Necesidad]]-Tabla1[[#This Row],[Stock Plan]]</f>
        <v>0</v>
      </c>
      <c r="AR303" s="156">
        <f>IFERROR(VLOOKUP(Tabla1[[#This Row],[Oficina]],[22]Ponderación!$B$3:$G$9,6,FALSE),"")</f>
        <v>44757</v>
      </c>
      <c r="AS30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7.6725485156912638</v>
      </c>
      <c r="AT303" s="83">
        <f>IFERROR(VLOOKUP(Tabla1[[#This Row],[Llave]],[17]DELAY!$H:$W,16,FALSE),0)</f>
        <v>0</v>
      </c>
      <c r="AU30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03" s="5">
        <f>+Tabla1[[#This Row],[Plan Ajustado]]*Tabla1[[#This Row],[Precio ponderado]]</f>
        <v>0</v>
      </c>
      <c r="AW303" s="30">
        <f>IFERROR(VLOOKUP(Tabla1[[#This Row],[Llave]],'[13]Ultimos precios facturados'!$A:$G,7,FALSE),0)</f>
        <v>7.6725485156912638</v>
      </c>
      <c r="AX303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03" s="30"/>
      <c r="AZ303" s="30">
        <f>IF(Tabla1[[#This Row],[Ajuste precio IC]]="",Tabla1[[#This Row],[Precio ponderado]],Tabla1[[#This Row],[Precio ponderado]])</f>
        <v>0</v>
      </c>
      <c r="BA303" s="82"/>
      <c r="BB303" s="82" t="str">
        <f>IF(AND(Tabla1[[#This Row],[Atraso a facturar]]&gt;0,Tabla1[[#This Row],[Precio Atraso]]=0),"Revisar","OK")</f>
        <v>OK</v>
      </c>
      <c r="BC303" s="82" t="str">
        <f>IF(AND(Tabla1[[#This Row],[Venta del mes]]&gt;0,Tabla1[[#This Row],[Precio venta nueva]]=0),"Revisar","OK")</f>
        <v>OK</v>
      </c>
      <c r="BD303" s="20">
        <f>IFERROR(VLOOKUP(Tabla1[[#This Row],[Llave]],'[5]Consolidación planes'!$A:$M,9,FALSE),0)</f>
        <v>0</v>
      </c>
      <c r="BE303" s="20">
        <f>IFERROR(VLOOKUP(Tabla1[[#This Row],[Llave]],'[5]Consolidación planes'!$A:$M,10,FALSE),0)</f>
        <v>0</v>
      </c>
      <c r="BF303" s="20">
        <f>IFERROR(VLOOKUP(Tabla1[[#This Row],[Llave]],'[5]Consolidación planes'!$A:$M,11,FALSE),0)</f>
        <v>0</v>
      </c>
      <c r="BG303" s="20">
        <f>IFERROR(VLOOKUP(Tabla1[[#This Row],[Llave]],'[5]Consolidación planes'!$A:$M,12,FALSE),0)</f>
        <v>0</v>
      </c>
      <c r="BH303" s="20">
        <f>IFERROR(VLOOKUP(Tabla1[[#This Row],[Llave]],'[5]Consolidación planes'!$A:$M,13,FALSE),0)</f>
        <v>0</v>
      </c>
      <c r="BI303" s="20">
        <f>IFERROR(VLOOKUP(Tabla1[[#This Row],[Llave]],'[13]Base ultimos planes'!$A:$M,13,FALSE),0)</f>
        <v>900</v>
      </c>
      <c r="BJ303" s="80">
        <f>IFERROR(VLOOKUP(Tabla1[[#This Row],[Llave]],'[13]Base ultimos planes'!$O:$AA,8,FALSE),0)</f>
        <v>0</v>
      </c>
      <c r="BK303" s="20">
        <f>IFERROR(VLOOKUP(Tabla1[[#This Row],[Llave]],'[13]Base ultimos planes'!$O:$AA,9,FALSE),0)</f>
        <v>0</v>
      </c>
      <c r="BL303" s="20">
        <f>IFERROR(VLOOKUP(Tabla1[[#This Row],[Llave]],'[13]Base ultimos planes'!$O:$AA,10,FALSE),0)</f>
        <v>0</v>
      </c>
      <c r="BM303" s="20">
        <f>IFERROR(VLOOKUP(Tabla1[[#This Row],[Llave]],'[13]Base ultimos planes'!$O:$AA,11,FALSE),0)</f>
        <v>0</v>
      </c>
      <c r="BN303" s="20">
        <f>IFERROR(VLOOKUP(Tabla1[[#This Row],[Llave]],'[13]Base ultimos planes'!$O:$AA,12,FALSE),0)</f>
        <v>0</v>
      </c>
      <c r="BO303" s="20">
        <f>IFERROR(VLOOKUP(Tabla1[[#This Row],[Llave]],'[13]Base ultimos planes'!$O:$AA,13,FALSE),0)</f>
        <v>9072</v>
      </c>
      <c r="BP303" s="35"/>
      <c r="BQ303" s="20">
        <f>+Tabla1[[#This Row],[ RV  Venta mes n+1]]*(1-Tabla1[[#This Row],[% Uti. producción]])</f>
        <v>0</v>
      </c>
      <c r="BR303" s="100"/>
    </row>
    <row r="304" spans="1:70" ht="16" hidden="1" x14ac:dyDescent="0.2">
      <c r="A304">
        <v>2</v>
      </c>
      <c r="B304" t="str">
        <f>Tabla1[[#This Row],[Oficina]]&amp;Tabla1[[#This Row],[Material]]</f>
        <v>Agrosuper Brasil1022782</v>
      </c>
      <c r="C304" t="s">
        <v>6</v>
      </c>
      <c r="D304" t="s">
        <v>7</v>
      </c>
      <c r="E304">
        <v>1022782</v>
      </c>
      <c r="F304" t="s">
        <v>657</v>
      </c>
      <c r="G304" t="s">
        <v>76</v>
      </c>
      <c r="H304" t="s">
        <v>79</v>
      </c>
      <c r="I304" s="15">
        <f>IFERROR(VLOOKUP(Tabla1[[#This Row],[Llave]],'[7]RV Producción'!$C:$G,5,FALSE),0)</f>
        <v>9180</v>
      </c>
      <c r="J304" s="3">
        <f>IFERROR(IF(Tabla1[[#This Row],[Oficina]]=$I$7,VLOOKUP(Tabla1[[#This Row],[Llave]],'[7]Shangai (Tomas)'!$A:$F,6,FALSE),VLOOKUP(Tabla1[[#This Row],[Llave]],'[7]RV plan de ventas'!$A:$E,5,FALSE)),0)</f>
        <v>0</v>
      </c>
      <c r="K304" s="17">
        <f>IFERROR(VLOOKUP(Tabla1[[#This Row],[Oficina]],[15]Ponderación!$B$2:$E$9,4,FALSE),0)</f>
        <v>0.81420840482290169</v>
      </c>
      <c r="L304" s="7">
        <f>+Tabla1[[#This Row],[ RV Producción mes n+1]]*Tabla1[[#This Row],[% Uti. producción]]</f>
        <v>7474.4331562742373</v>
      </c>
      <c r="M304" s="15">
        <f>IFERROR(VLOOKUP(Tabla1[[#This Row],[Material]],'[17]TD Stock'!$E:$I,5,FALSE),0)</f>
        <v>0</v>
      </c>
      <c r="N304" s="15">
        <f>IFERROR(VLOOKUP(Tabla1[[#This Row],[Material]],[16]Produccion!$M:$N,2,FALSE),0)</f>
        <v>0</v>
      </c>
      <c r="O304" s="7">
        <f>IFERROR(VLOOKUP(Tabla1[[#This Row],[Llave]],'[16]TD Conf-AP'!$I:$M,4,FALSE),0)</f>
        <v>0</v>
      </c>
      <c r="P304" s="37">
        <f>SUM(Tabla1[[#This Row],[Producción disponible]],Tabla1[[#This Row],[Stock al día]],(Tabla1[[#This Row],[Por producir mes N]]*0.9))-Tabla1[[#This Row],[Producción por despachar mes N]]</f>
        <v>7474.4331562742373</v>
      </c>
      <c r="Q304" s="15">
        <f>IFERROR(VLOOKUP(Tabla1[[#This Row],[Llave]],[17]DELAY!$A:$D,4,FALSE),0)</f>
        <v>0</v>
      </c>
      <c r="R304" s="75">
        <v>24000</v>
      </c>
      <c r="S304" s="5">
        <f t="shared" si="33"/>
        <v>0</v>
      </c>
      <c r="T304" s="76">
        <v>0</v>
      </c>
      <c r="U304" s="5">
        <f>+Tabla1[[#This Row],[Atraso a facturar]]+Tabla1[[#This Row],[Ajuste atraso]]</f>
        <v>0</v>
      </c>
      <c r="V304" s="3">
        <f>+Tabla1[[#This Row],[Total disponible]]-Tabla1[[#This Row],[Facturación atraso]]</f>
        <v>7474.4331562742373</v>
      </c>
      <c r="W304" s="6">
        <f>IFERROR(IF(AND(V304&gt;R304,J304&gt;=R304),ROUNDDOWN((Tabla1[[#This Row],[Producción para venta nueva]])/R304,0)*R304,0),0)</f>
        <v>0</v>
      </c>
      <c r="X304" s="76">
        <v>0</v>
      </c>
      <c r="Y304" s="6">
        <f>IF(Tabla1[[#This Row],[Venta del mes]]&gt;0,Tabla1[[#This Row],[Venta del mes]]+Tabla1[[#This Row],[Ajuste venta nueva]],0)</f>
        <v>0</v>
      </c>
      <c r="Z304" s="6">
        <f>+Tabla1[[#This Row],[Producción para venta nueva]]-Tabla1[[#This Row],[Facturación Venta nueva]]</f>
        <v>7474.4331562742373</v>
      </c>
      <c r="AA304" s="6">
        <f>IF(AND(A304=1,Tabla1[[#This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4" s="6"/>
      <c r="AC304" s="6">
        <f>IF(Tabla1[[#This Row],[Disponible stock sin venta]]&gt;0,Tabla1[[#This Row],[Disponible stock sin venta]]+Tabla1[[#This Row],[Ajuste stock sin venta]],0)</f>
        <v>0</v>
      </c>
      <c r="AD304" s="3">
        <f>IFERROR(VLOOKUP(Tabla1[[#This Row],[Llave]],'[16]TD Puerto'!$A:$D,4,FALSE),0)</f>
        <v>0</v>
      </c>
      <c r="AE304" s="3">
        <v>0</v>
      </c>
      <c r="AF304" s="3">
        <f>+Tabla1[[#This Row],[Atraso a facturar]]+Tabla1[[#This Row],[Venta del mes]]+Tabla1[[#This Row],[En puerto a facturar]]+Tabla1[[#This Row],[Disponible stock sin venta]]</f>
        <v>0</v>
      </c>
      <c r="AG304" s="3">
        <f>+Tabla1[[#This Row],[En puerto a facturar]]</f>
        <v>0</v>
      </c>
      <c r="AH304" s="3">
        <f>+Tabla1[[#This Row],[Facturación atraso]]</f>
        <v>0</v>
      </c>
      <c r="AI304" s="3">
        <f>+Tabla1[[#This Row],[Plan Irrestricto]]-Tabla1[[#This Row],[Puerto ]]-Tabla1[[#This Row],[Atraso]]</f>
        <v>0</v>
      </c>
      <c r="AJ30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04" s="3">
        <f>+Tabla1[[#This Row],[Facturación atraso]]</f>
        <v>0</v>
      </c>
      <c r="AL304" s="3">
        <f>+Tabla1[[#This Row],[Plan Ajustado]]-Tabla1[[#This Row],[ Atraso ajustado]]-Tabla1[[#This Row],[Puerto ]]</f>
        <v>0</v>
      </c>
      <c r="AM304" s="3">
        <v>0</v>
      </c>
      <c r="AN304" s="3" t="str">
        <f>IF(Tabla1[[#This Row],[Plan Ajustado]]&gt;Tabla1[[#This Row],[En puerto a facturar]],"Si","No")</f>
        <v>No</v>
      </c>
      <c r="AO30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04" s="3">
        <f>IF(Tabla1[[#This Row],[Necesidad]]&gt;=Tabla1[[#This Row],[Stock al día]],Tabla1[[#This Row],[Stock al día]],Tabla1[[#This Row],[Necesidad]])</f>
        <v>0</v>
      </c>
      <c r="AQ304" s="3">
        <f>+Tabla1[[#This Row],[Necesidad]]-Tabla1[[#This Row],[Stock Plan]]</f>
        <v>0</v>
      </c>
      <c r="AR304" s="156">
        <f>IFERROR(VLOOKUP(Tabla1[[#This Row],[Oficina]],[22]Ponderación!$B$3:$G$9,6,FALSE),"")</f>
        <v>44764</v>
      </c>
      <c r="AS30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8.3464566929133852</v>
      </c>
      <c r="AT304" s="83">
        <f>IFERROR(VLOOKUP(Tabla1[[#This Row],[Llave]],[17]DELAY!$H:$W,16,FALSE),0)</f>
        <v>0</v>
      </c>
      <c r="AU30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04" s="5">
        <f>+Tabla1[[#This Row],[Plan Ajustado]]*Tabla1[[#This Row],[Precio ponderado]]</f>
        <v>0</v>
      </c>
      <c r="AW304" s="30">
        <f>IFERROR(VLOOKUP(Tabla1[[#This Row],[Llave]],'[13]Ultimos precios facturados'!$A:$G,7,FALSE),0)</f>
        <v>8.3464566929133852</v>
      </c>
      <c r="AX304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04" s="30"/>
      <c r="AZ304" s="30">
        <f>IF(Tabla1[[#This Row],[Ajuste precio IC]]="",Tabla1[[#This Row],[Precio ponderado]],Tabla1[[#This Row],[Precio ponderado]])</f>
        <v>0</v>
      </c>
      <c r="BA304" s="82"/>
      <c r="BB304" s="82" t="str">
        <f>IF(AND(Tabla1[[#This Row],[Atraso a facturar]]&gt;0,Tabla1[[#This Row],[Precio Atraso]]=0),"Revisar","OK")</f>
        <v>OK</v>
      </c>
      <c r="BC304" s="82" t="str">
        <f>IF(AND(Tabla1[[#This Row],[Venta del mes]]&gt;0,Tabla1[[#This Row],[Precio venta nueva]]=0),"Revisar","OK")</f>
        <v>OK</v>
      </c>
      <c r="BD304" s="20">
        <f>IFERROR(VLOOKUP(Tabla1[[#This Row],[Llave]],'[5]Consolidación planes'!$A:$M,9,FALSE),0)</f>
        <v>0</v>
      </c>
      <c r="BE304" s="20">
        <f>IFERROR(VLOOKUP(Tabla1[[#This Row],[Llave]],'[5]Consolidación planes'!$A:$M,10,FALSE),0)</f>
        <v>0</v>
      </c>
      <c r="BF304" s="20">
        <f>IFERROR(VLOOKUP(Tabla1[[#This Row],[Llave]],'[5]Consolidación planes'!$A:$M,11,FALSE),0)</f>
        <v>0</v>
      </c>
      <c r="BG304" s="20">
        <f>IFERROR(VLOOKUP(Tabla1[[#This Row],[Llave]],'[5]Consolidación planes'!$A:$M,12,FALSE),0)</f>
        <v>0</v>
      </c>
      <c r="BH304" s="20">
        <f>IFERROR(VLOOKUP(Tabla1[[#This Row],[Llave]],'[5]Consolidación planes'!$A:$M,13,FALSE),0)</f>
        <v>0</v>
      </c>
      <c r="BI304" s="20">
        <f>IFERROR(VLOOKUP(Tabla1[[#This Row],[Llave]],'[13]Base ultimos planes'!$A:$M,13,FALSE),0)</f>
        <v>6240</v>
      </c>
      <c r="BJ304" s="80">
        <f>IFERROR(VLOOKUP(Tabla1[[#This Row],[Llave]],'[13]Base ultimos planes'!$O:$AA,8,FALSE),0)</f>
        <v>0</v>
      </c>
      <c r="BK304" s="20">
        <f>IFERROR(VLOOKUP(Tabla1[[#This Row],[Llave]],'[13]Base ultimos planes'!$O:$AA,9,FALSE),0)</f>
        <v>0</v>
      </c>
      <c r="BL304" s="20">
        <f>IFERROR(VLOOKUP(Tabla1[[#This Row],[Llave]],'[13]Base ultimos planes'!$O:$AA,10,FALSE),0)</f>
        <v>0</v>
      </c>
      <c r="BM304" s="20">
        <f>IFERROR(VLOOKUP(Tabla1[[#This Row],[Llave]],'[13]Base ultimos planes'!$O:$AA,11,FALSE),0)</f>
        <v>0</v>
      </c>
      <c r="BN304" s="20">
        <f>IFERROR(VLOOKUP(Tabla1[[#This Row],[Llave]],'[13]Base ultimos planes'!$O:$AA,12,FALSE),0)</f>
        <v>0</v>
      </c>
      <c r="BO304" s="20">
        <f>IFERROR(VLOOKUP(Tabla1[[#This Row],[Llave]],'[13]Base ultimos planes'!$O:$AA,13,FALSE),0)</f>
        <v>66144</v>
      </c>
      <c r="BP304" s="35"/>
      <c r="BQ304" s="20">
        <f>+Tabla1[[#This Row],[ RV  Venta mes n+1]]*(1-Tabla1[[#This Row],[% Uti. producción]])</f>
        <v>0</v>
      </c>
      <c r="BR304" s="100"/>
    </row>
    <row r="305" spans="1:70" ht="16" hidden="1" x14ac:dyDescent="0.2">
      <c r="A305">
        <v>2</v>
      </c>
      <c r="B305" t="str">
        <f>Tabla1[[#This Row],[Oficina]]&amp;Tabla1[[#This Row],[Material]]</f>
        <v>Agrosuper Brasil1022783</v>
      </c>
      <c r="C305" t="s">
        <v>6</v>
      </c>
      <c r="D305" t="s">
        <v>7</v>
      </c>
      <c r="E305">
        <v>1022783</v>
      </c>
      <c r="F305" t="s">
        <v>658</v>
      </c>
      <c r="G305" t="s">
        <v>76</v>
      </c>
      <c r="H305" t="s">
        <v>79</v>
      </c>
      <c r="I305" s="15">
        <f>IFERROR(VLOOKUP(Tabla1[[#This Row],[Llave]],'[7]RV Producción'!$C:$G,5,FALSE),0)</f>
        <v>7200</v>
      </c>
      <c r="J305" s="3">
        <f>IFERROR(IF(Tabla1[[#This Row],[Oficina]]=$I$7,VLOOKUP(Tabla1[[#This Row],[Llave]],'[7]Shangai (Tomas)'!$A:$F,6,FALSE),VLOOKUP(Tabla1[[#This Row],[Llave]],'[7]RV plan de ventas'!$A:$E,5,FALSE)),0)</f>
        <v>0</v>
      </c>
      <c r="K305" s="17">
        <f>IFERROR(VLOOKUP(Tabla1[[#This Row],[Oficina]],[15]Ponderación!$B$2:$E$9,4,FALSE),0)</f>
        <v>0.81420840482290169</v>
      </c>
      <c r="L305" s="7">
        <f>+Tabla1[[#This Row],[ RV Producción mes n+1]]*Tabla1[[#This Row],[% Uti. producción]]</f>
        <v>5862.3005147248923</v>
      </c>
      <c r="M305" s="15">
        <f>IFERROR(VLOOKUP(Tabla1[[#This Row],[Material]],'[17]TD Stock'!$E:$I,5,FALSE),0)</f>
        <v>0</v>
      </c>
      <c r="N305" s="15">
        <f>IFERROR(VLOOKUP(Tabla1[[#This Row],[Material]],[16]Produccion!$M:$N,2,FALSE),0)</f>
        <v>0</v>
      </c>
      <c r="O305" s="7">
        <f>IFERROR(VLOOKUP(Tabla1[[#This Row],[Llave]],'[16]TD Conf-AP'!$I:$M,4,FALSE),0)</f>
        <v>0</v>
      </c>
      <c r="P305" s="37">
        <f>SUM(Tabla1[[#This Row],[Producción disponible]],Tabla1[[#This Row],[Stock al día]],(Tabla1[[#This Row],[Por producir mes N]]*0.9))-Tabla1[[#This Row],[Producción por despachar mes N]]</f>
        <v>5862.3005147248923</v>
      </c>
      <c r="Q305" s="15">
        <f>IFERROR(VLOOKUP(Tabla1[[#This Row],[Llave]],[17]DELAY!$A:$D,4,FALSE),0)</f>
        <v>0</v>
      </c>
      <c r="R305" s="75">
        <v>24000</v>
      </c>
      <c r="S305" s="5">
        <f t="shared" si="33"/>
        <v>0</v>
      </c>
      <c r="T305" s="76">
        <v>0</v>
      </c>
      <c r="U305" s="5">
        <f>+Tabla1[[#This Row],[Atraso a facturar]]+Tabla1[[#This Row],[Ajuste atraso]]</f>
        <v>0</v>
      </c>
      <c r="V305" s="3">
        <f>+Tabla1[[#This Row],[Total disponible]]-Tabla1[[#This Row],[Facturación atraso]]</f>
        <v>5862.3005147248923</v>
      </c>
      <c r="W305" s="6">
        <f>IFERROR(IF(AND(V305&gt;R305,J305&gt;=R305),ROUNDDOWN((Tabla1[[#This Row],[Producción para venta nueva]])/R305,0)*R305,0),0)</f>
        <v>0</v>
      </c>
      <c r="X305" s="76">
        <v>0</v>
      </c>
      <c r="Y305" s="6">
        <f>IF(Tabla1[[#This Row],[Venta del mes]]&gt;0,Tabla1[[#This Row],[Venta del mes]]+Tabla1[[#This Row],[Ajuste venta nueva]],0)</f>
        <v>0</v>
      </c>
      <c r="Z305" s="6">
        <f>+Tabla1[[#This Row],[Producción para venta nueva]]-Tabla1[[#This Row],[Facturación Venta nueva]]</f>
        <v>5862.3005147248923</v>
      </c>
      <c r="AA305" s="6">
        <f>IF(AND(A305=1,Tabla1[[#This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5" s="6"/>
      <c r="AC305" s="6">
        <f>IF(Tabla1[[#This Row],[Disponible stock sin venta]]&gt;0,Tabla1[[#This Row],[Disponible stock sin venta]]+Tabla1[[#This Row],[Ajuste stock sin venta]],0)</f>
        <v>0</v>
      </c>
      <c r="AD305" s="3">
        <f>IFERROR(VLOOKUP(Tabla1[[#This Row],[Llave]],'[16]TD Puerto'!$A:$D,4,FALSE),0)</f>
        <v>0</v>
      </c>
      <c r="AE305" s="3">
        <v>0</v>
      </c>
      <c r="AF305" s="3">
        <f>+Tabla1[[#This Row],[Atraso a facturar]]+Tabla1[[#This Row],[Venta del mes]]+Tabla1[[#This Row],[En puerto a facturar]]+Tabla1[[#This Row],[Disponible stock sin venta]]</f>
        <v>0</v>
      </c>
      <c r="AG305" s="3">
        <f>+Tabla1[[#This Row],[En puerto a facturar]]</f>
        <v>0</v>
      </c>
      <c r="AH305" s="3">
        <f>+Tabla1[[#This Row],[Facturación atraso]]</f>
        <v>0</v>
      </c>
      <c r="AI305" s="3">
        <f>+Tabla1[[#This Row],[Plan Irrestricto]]-Tabla1[[#This Row],[Puerto ]]-Tabla1[[#This Row],[Atraso]]</f>
        <v>0</v>
      </c>
      <c r="AJ30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05" s="3">
        <f>+Tabla1[[#This Row],[Facturación atraso]]</f>
        <v>0</v>
      </c>
      <c r="AL305" s="3">
        <f>+Tabla1[[#This Row],[Plan Ajustado]]-Tabla1[[#This Row],[ Atraso ajustado]]-Tabla1[[#This Row],[Puerto ]]</f>
        <v>0</v>
      </c>
      <c r="AM305" s="3">
        <v>0</v>
      </c>
      <c r="AN305" s="3" t="str">
        <f>IF(Tabla1[[#This Row],[Plan Ajustado]]&gt;Tabla1[[#This Row],[En puerto a facturar]],"Si","No")</f>
        <v>No</v>
      </c>
      <c r="AO30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05" s="3">
        <f>IF(Tabla1[[#This Row],[Necesidad]]&gt;=Tabla1[[#This Row],[Stock al día]],Tabla1[[#This Row],[Stock al día]],Tabla1[[#This Row],[Necesidad]])</f>
        <v>0</v>
      </c>
      <c r="AQ305" s="3">
        <f>+Tabla1[[#This Row],[Necesidad]]-Tabla1[[#This Row],[Stock Plan]]</f>
        <v>0</v>
      </c>
      <c r="AR305" s="156">
        <f>IFERROR(VLOOKUP(Tabla1[[#This Row],[Oficina]],[22]Ponderación!$B$3:$G$9,6,FALSE),"")</f>
        <v>44764</v>
      </c>
      <c r="AS30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8.2170542635658901</v>
      </c>
      <c r="AT305" s="83">
        <f>IFERROR(VLOOKUP(Tabla1[[#This Row],[Llave]],[17]DELAY!$H:$W,16,FALSE),0)</f>
        <v>0</v>
      </c>
      <c r="AU30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05" s="5">
        <f>+Tabla1[[#This Row],[Plan Ajustado]]*Tabla1[[#This Row],[Precio ponderado]]</f>
        <v>0</v>
      </c>
      <c r="AW305" s="30">
        <f>IFERROR(VLOOKUP(Tabla1[[#This Row],[Llave]],'[13]Ultimos precios facturados'!$A:$G,7,FALSE),0)</f>
        <v>8.2170542635658901</v>
      </c>
      <c r="AX305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05" s="30"/>
      <c r="AZ305" s="30">
        <f>IF(Tabla1[[#This Row],[Ajuste precio IC]]="",Tabla1[[#This Row],[Precio ponderado]],Tabla1[[#This Row],[Precio ponderado]])</f>
        <v>0</v>
      </c>
      <c r="BA305" s="82"/>
      <c r="BB305" s="82" t="str">
        <f>IF(AND(Tabla1[[#This Row],[Atraso a facturar]]&gt;0,Tabla1[[#This Row],[Precio Atraso]]=0),"Revisar","OK")</f>
        <v>OK</v>
      </c>
      <c r="BC305" s="82" t="str">
        <f>IF(AND(Tabla1[[#This Row],[Venta del mes]]&gt;0,Tabla1[[#This Row],[Precio venta nueva]]=0),"Revisar","OK")</f>
        <v>OK</v>
      </c>
      <c r="BD305" s="20">
        <f>IFERROR(VLOOKUP(Tabla1[[#This Row],[Llave]],'[5]Consolidación planes'!$A:$M,9,FALSE),0)</f>
        <v>0</v>
      </c>
      <c r="BE305" s="20">
        <f>IFERROR(VLOOKUP(Tabla1[[#This Row],[Llave]],'[5]Consolidación planes'!$A:$M,10,FALSE),0)</f>
        <v>0</v>
      </c>
      <c r="BF305" s="20">
        <f>IFERROR(VLOOKUP(Tabla1[[#This Row],[Llave]],'[5]Consolidación planes'!$A:$M,11,FALSE),0)</f>
        <v>0</v>
      </c>
      <c r="BG305" s="20">
        <f>IFERROR(VLOOKUP(Tabla1[[#This Row],[Llave]],'[5]Consolidación planes'!$A:$M,12,FALSE),0)</f>
        <v>0</v>
      </c>
      <c r="BH305" s="20">
        <f>IFERROR(VLOOKUP(Tabla1[[#This Row],[Llave]],'[5]Consolidación planes'!$A:$M,13,FALSE),0)</f>
        <v>0</v>
      </c>
      <c r="BI305" s="20">
        <f>IFERROR(VLOOKUP(Tabla1[[#This Row],[Llave]],'[13]Base ultimos planes'!$A:$M,13,FALSE),0)</f>
        <v>6480</v>
      </c>
      <c r="BJ305" s="80">
        <f>IFERROR(VLOOKUP(Tabla1[[#This Row],[Llave]],'[13]Base ultimos planes'!$O:$AA,8,FALSE),0)</f>
        <v>0</v>
      </c>
      <c r="BK305" s="20">
        <f>IFERROR(VLOOKUP(Tabla1[[#This Row],[Llave]],'[13]Base ultimos planes'!$O:$AA,9,FALSE),0)</f>
        <v>0</v>
      </c>
      <c r="BL305" s="20">
        <f>IFERROR(VLOOKUP(Tabla1[[#This Row],[Llave]],'[13]Base ultimos planes'!$O:$AA,10,FALSE),0)</f>
        <v>0</v>
      </c>
      <c r="BM305" s="20">
        <f>IFERROR(VLOOKUP(Tabla1[[#This Row],[Llave]],'[13]Base ultimos planes'!$O:$AA,11,FALSE),0)</f>
        <v>0</v>
      </c>
      <c r="BN305" s="20">
        <f>IFERROR(VLOOKUP(Tabla1[[#This Row],[Llave]],'[13]Base ultimos planes'!$O:$AA,12,FALSE),0)</f>
        <v>0</v>
      </c>
      <c r="BO305" s="20">
        <f>IFERROR(VLOOKUP(Tabla1[[#This Row],[Llave]],'[13]Base ultimos planes'!$O:$AA,13,FALSE),0)</f>
        <v>68688</v>
      </c>
      <c r="BP305" s="35"/>
      <c r="BQ305" s="20">
        <f>+Tabla1[[#This Row],[ RV  Venta mes n+1]]*(1-Tabla1[[#This Row],[% Uti. producción]])</f>
        <v>0</v>
      </c>
      <c r="BR305" s="100"/>
    </row>
    <row r="306" spans="1:70" ht="16" hidden="1" x14ac:dyDescent="0.2">
      <c r="A306">
        <v>2</v>
      </c>
      <c r="B306" t="str">
        <f>Tabla1[[#This Row],[Oficina]]&amp;Tabla1[[#This Row],[Material]]</f>
        <v>Agrosuper Brasil1022784</v>
      </c>
      <c r="C306" t="s">
        <v>6</v>
      </c>
      <c r="D306" t="s">
        <v>7</v>
      </c>
      <c r="E306">
        <v>1022784</v>
      </c>
      <c r="F306" t="s">
        <v>659</v>
      </c>
      <c r="G306" t="s">
        <v>76</v>
      </c>
      <c r="H306" t="s">
        <v>79</v>
      </c>
      <c r="I306" s="15">
        <f>IFERROR(VLOOKUP(Tabla1[[#This Row],[Llave]],'[7]RV Producción'!$C:$G,5,FALSE),0)</f>
        <v>0</v>
      </c>
      <c r="J306" s="3">
        <f>IFERROR(IF(Tabla1[[#This Row],[Oficina]]=$I$7,VLOOKUP(Tabla1[[#This Row],[Llave]],'[7]Shangai (Tomas)'!$A:$F,6,FALSE),VLOOKUP(Tabla1[[#This Row],[Llave]],'[7]RV plan de ventas'!$A:$E,5,FALSE)),0)</f>
        <v>0</v>
      </c>
      <c r="K306" s="17">
        <f>IFERROR(VLOOKUP(Tabla1[[#This Row],[Oficina]],[15]Ponderación!$B$2:$E$9,4,FALSE),0)</f>
        <v>0.81420840482290169</v>
      </c>
      <c r="L306" s="7">
        <f>+Tabla1[[#This Row],[ RV Producción mes n+1]]*Tabla1[[#This Row],[% Uti. producción]]</f>
        <v>0</v>
      </c>
      <c r="M306" s="15">
        <f>IFERROR(VLOOKUP(Tabla1[[#This Row],[Material]],'[17]TD Stock'!$E:$I,5,FALSE),0)</f>
        <v>0</v>
      </c>
      <c r="N306" s="15">
        <f>IFERROR(VLOOKUP(Tabla1[[#This Row],[Material]],[16]Produccion!$M:$N,2,FALSE),0)</f>
        <v>0</v>
      </c>
      <c r="O306" s="7">
        <f>IFERROR(VLOOKUP(Tabla1[[#This Row],[Llave]],'[16]TD Conf-AP'!$I:$M,4,FALSE),0)</f>
        <v>0</v>
      </c>
      <c r="P306" s="37">
        <f>SUM(Tabla1[[#This Row],[Producción disponible]],Tabla1[[#This Row],[Stock al día]],(Tabla1[[#This Row],[Por producir mes N]]*0.9))-Tabla1[[#This Row],[Producción por despachar mes N]]</f>
        <v>0</v>
      </c>
      <c r="Q306" s="15">
        <f>IFERROR(VLOOKUP(Tabla1[[#This Row],[Llave]],[17]DELAY!$A:$D,4,FALSE),0)</f>
        <v>0</v>
      </c>
      <c r="R306" s="75">
        <v>3500</v>
      </c>
      <c r="S306" s="5">
        <f t="shared" si="33"/>
        <v>0</v>
      </c>
      <c r="T306" s="76">
        <v>0</v>
      </c>
      <c r="U306" s="5">
        <f>+Tabla1[[#This Row],[Atraso a facturar]]+Tabla1[[#This Row],[Ajuste atraso]]</f>
        <v>0</v>
      </c>
      <c r="V306" s="3">
        <f>+Tabla1[[#This Row],[Total disponible]]-Tabla1[[#This Row],[Facturación atraso]]</f>
        <v>0</v>
      </c>
      <c r="W306" s="6">
        <f>IFERROR(IF(AND(V306&gt;R306,J306&gt;=R306),ROUNDDOWN((Tabla1[[#This Row],[Producción para venta nueva]])/R306,0)*R306,0),0)</f>
        <v>0</v>
      </c>
      <c r="X306" s="76">
        <v>0</v>
      </c>
      <c r="Y306" s="6">
        <f>IF(Tabla1[[#This Row],[Venta del mes]]&gt;0,Tabla1[[#This Row],[Venta del mes]]+Tabla1[[#This Row],[Ajuste venta nueva]],0)</f>
        <v>0</v>
      </c>
      <c r="Z306" s="6">
        <f>+Tabla1[[#This Row],[Producción para venta nueva]]-Tabla1[[#This Row],[Facturación Venta nueva]]</f>
        <v>0</v>
      </c>
      <c r="AA306" s="6">
        <f>IF(AND(A306=1,Tabla1[[#This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6" s="6"/>
      <c r="AC306" s="6">
        <f>IF(Tabla1[[#This Row],[Disponible stock sin venta]]&gt;0,Tabla1[[#This Row],[Disponible stock sin venta]]+Tabla1[[#This Row],[Ajuste stock sin venta]],0)</f>
        <v>0</v>
      </c>
      <c r="AD306" s="3">
        <f>IFERROR(VLOOKUP(Tabla1[[#This Row],[Llave]],'[16]TD Puerto'!$A:$D,4,FALSE),0)</f>
        <v>0</v>
      </c>
      <c r="AE306" s="3">
        <v>0</v>
      </c>
      <c r="AF306" s="3">
        <f>+Tabla1[[#This Row],[Atraso a facturar]]+Tabla1[[#This Row],[Venta del mes]]+Tabla1[[#This Row],[En puerto a facturar]]+Tabla1[[#This Row],[Disponible stock sin venta]]</f>
        <v>0</v>
      </c>
      <c r="AG306" s="3">
        <f>+Tabla1[[#This Row],[En puerto a facturar]]</f>
        <v>0</v>
      </c>
      <c r="AH306" s="3">
        <f>+Tabla1[[#This Row],[Facturación atraso]]</f>
        <v>0</v>
      </c>
      <c r="AI306" s="3">
        <f>+Tabla1[[#This Row],[Plan Irrestricto]]-Tabla1[[#This Row],[Puerto ]]-Tabla1[[#This Row],[Atraso]]</f>
        <v>0</v>
      </c>
      <c r="AJ30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06" s="3">
        <f>+Tabla1[[#This Row],[Facturación atraso]]</f>
        <v>0</v>
      </c>
      <c r="AL306" s="3">
        <f>+Tabla1[[#This Row],[Plan Ajustado]]-Tabla1[[#This Row],[ Atraso ajustado]]-Tabla1[[#This Row],[Puerto ]]</f>
        <v>0</v>
      </c>
      <c r="AM306" s="3">
        <v>0</v>
      </c>
      <c r="AN306" s="3" t="str">
        <f>IF(Tabla1[[#This Row],[Plan Ajustado]]&gt;Tabla1[[#This Row],[En puerto a facturar]],"Si","No")</f>
        <v>No</v>
      </c>
      <c r="AO30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06" s="3">
        <f>IF(Tabla1[[#This Row],[Necesidad]]&gt;=Tabla1[[#This Row],[Stock al día]],Tabla1[[#This Row],[Stock al día]],Tabla1[[#This Row],[Necesidad]])</f>
        <v>0</v>
      </c>
      <c r="AQ306" s="3">
        <f>+Tabla1[[#This Row],[Necesidad]]-Tabla1[[#This Row],[Stock Plan]]</f>
        <v>0</v>
      </c>
      <c r="AR306" s="156">
        <f>IFERROR(VLOOKUP(Tabla1[[#This Row],[Oficina]],[22]Ponderación!$B$3:$G$9,6,FALSE),"")</f>
        <v>44764</v>
      </c>
      <c r="AS30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8.0916030534351151</v>
      </c>
      <c r="AT306" s="83">
        <f>IFERROR(VLOOKUP(Tabla1[[#This Row],[Llave]],[17]DELAY!$H:$W,16,FALSE),0)</f>
        <v>0</v>
      </c>
      <c r="AU30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06" s="5">
        <f>+Tabla1[[#This Row],[Plan Ajustado]]*Tabla1[[#This Row],[Precio ponderado]]</f>
        <v>0</v>
      </c>
      <c r="AW306" s="30">
        <f>IFERROR(VLOOKUP(Tabla1[[#This Row],[Llave]],'[13]Ultimos precios facturados'!$A:$G,7,FALSE),0)</f>
        <v>8.0916030534351151</v>
      </c>
      <c r="AX306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06" s="30"/>
      <c r="AZ306" s="30">
        <f>IF(Tabla1[[#This Row],[Ajuste precio IC]]="",Tabla1[[#This Row],[Precio ponderado]],Tabla1[[#This Row],[Precio ponderado]])</f>
        <v>0</v>
      </c>
      <c r="BA306" s="82"/>
      <c r="BB306" s="82" t="str">
        <f>IF(AND(Tabla1[[#This Row],[Atraso a facturar]]&gt;0,Tabla1[[#This Row],[Precio Atraso]]=0),"Revisar","OK")</f>
        <v>OK</v>
      </c>
      <c r="BC306" s="82" t="str">
        <f>IF(AND(Tabla1[[#This Row],[Venta del mes]]&gt;0,Tabla1[[#This Row],[Precio venta nueva]]=0),"Revisar","OK")</f>
        <v>OK</v>
      </c>
      <c r="BD306" s="20">
        <f>IFERROR(VLOOKUP(Tabla1[[#This Row],[Llave]],'[5]Consolidación planes'!$A:$M,9,FALSE),0)</f>
        <v>0</v>
      </c>
      <c r="BE306" s="20">
        <f>IFERROR(VLOOKUP(Tabla1[[#This Row],[Llave]],'[5]Consolidación planes'!$A:$M,10,FALSE),0)</f>
        <v>0</v>
      </c>
      <c r="BF306" s="20">
        <f>IFERROR(VLOOKUP(Tabla1[[#This Row],[Llave]],'[5]Consolidación planes'!$A:$M,11,FALSE),0)</f>
        <v>0</v>
      </c>
      <c r="BG306" s="20">
        <f>IFERROR(VLOOKUP(Tabla1[[#This Row],[Llave]],'[5]Consolidación planes'!$A:$M,12,FALSE),0)</f>
        <v>0</v>
      </c>
      <c r="BH306" s="20">
        <f>IFERROR(VLOOKUP(Tabla1[[#This Row],[Llave]],'[5]Consolidación planes'!$A:$M,13,FALSE),0)</f>
        <v>0</v>
      </c>
      <c r="BI306" s="20">
        <f>IFERROR(VLOOKUP(Tabla1[[#This Row],[Llave]],'[13]Base ultimos planes'!$A:$M,13,FALSE),0)</f>
        <v>5175</v>
      </c>
      <c r="BJ306" s="80">
        <f>IFERROR(VLOOKUP(Tabla1[[#This Row],[Llave]],'[13]Base ultimos planes'!$O:$AA,8,FALSE),0)</f>
        <v>0</v>
      </c>
      <c r="BK306" s="20">
        <f>IFERROR(VLOOKUP(Tabla1[[#This Row],[Llave]],'[13]Base ultimos planes'!$O:$AA,9,FALSE),0)</f>
        <v>0</v>
      </c>
      <c r="BL306" s="20">
        <f>IFERROR(VLOOKUP(Tabla1[[#This Row],[Llave]],'[13]Base ultimos planes'!$O:$AA,10,FALSE),0)</f>
        <v>0</v>
      </c>
      <c r="BM306" s="20">
        <f>IFERROR(VLOOKUP(Tabla1[[#This Row],[Llave]],'[13]Base ultimos planes'!$O:$AA,11,FALSE),0)</f>
        <v>0</v>
      </c>
      <c r="BN306" s="20">
        <f>IFERROR(VLOOKUP(Tabla1[[#This Row],[Llave]],'[13]Base ultimos planes'!$O:$AA,12,FALSE),0)</f>
        <v>0</v>
      </c>
      <c r="BO306" s="20">
        <f>IFERROR(VLOOKUP(Tabla1[[#This Row],[Llave]],'[13]Base ultimos planes'!$O:$AA,13,FALSE),0)</f>
        <v>54855</v>
      </c>
      <c r="BP306" s="35"/>
      <c r="BQ306" s="20">
        <f>+Tabla1[[#This Row],[ RV  Venta mes n+1]]*(1-Tabla1[[#This Row],[% Uti. producción]])</f>
        <v>0</v>
      </c>
      <c r="BR306" s="100"/>
    </row>
    <row r="307" spans="1:70" ht="16" hidden="1" x14ac:dyDescent="0.2">
      <c r="A307">
        <v>1</v>
      </c>
      <c r="B307" t="str">
        <f>Tabla1[[#This Row],[Oficina]]&amp;Tabla1[[#This Row],[Material]]</f>
        <v>Agro Sudamerica1022786</v>
      </c>
      <c r="C307" t="s">
        <v>6</v>
      </c>
      <c r="D307" t="s">
        <v>17</v>
      </c>
      <c r="E307">
        <v>1022786</v>
      </c>
      <c r="F307" t="s">
        <v>288</v>
      </c>
      <c r="G307" t="s">
        <v>76</v>
      </c>
      <c r="H307" t="s">
        <v>79</v>
      </c>
      <c r="I307" s="15">
        <f>IFERROR(VLOOKUP(Tabla1[[#This Row],[Llave]],'[7]RV Producción'!$C:$G,5,FALSE),0)</f>
        <v>1200</v>
      </c>
      <c r="J307" s="3">
        <f>IFERROR(IF(Tabla1[[#This Row],[Oficina]]=$I$7,VLOOKUP(Tabla1[[#This Row],[Llave]],'[7]Shangai (Tomas)'!$A:$F,6,FALSE),VLOOKUP(Tabla1[[#This Row],[Llave]],'[7]RV plan de ventas'!$A:$E,5,FALSE)),0)</f>
        <v>0</v>
      </c>
      <c r="K307" s="17">
        <f>IFERROR(VLOOKUP(Tabla1[[#This Row],[Oficina]],[15]Ponderación!$B$2:$E$9,4,FALSE),0)</f>
        <v>0.45719439678473212</v>
      </c>
      <c r="L307" s="7">
        <f>+Tabla1[[#This Row],[ RV Producción mes n+1]]*Tabla1[[#This Row],[% Uti. producción]]</f>
        <v>548.63327614167849</v>
      </c>
      <c r="M307" s="15">
        <f>IFERROR(VLOOKUP(Tabla1[[#This Row],[Material]],'[17]TD Stock'!$E:$I,5,FALSE),0)</f>
        <v>0</v>
      </c>
      <c r="N307" s="15">
        <f>IFERROR(VLOOKUP(Tabla1[[#This Row],[Material]],[16]Produccion!$M:$N,2,FALSE),0)</f>
        <v>0</v>
      </c>
      <c r="O307" s="7">
        <f>IFERROR(VLOOKUP(Tabla1[[#This Row],[Llave]],'[16]TD Conf-AP'!$I:$M,4,FALSE),0)</f>
        <v>0</v>
      </c>
      <c r="P307" s="37">
        <f>SUM(Tabla1[[#This Row],[Producción disponible]],Tabla1[[#This Row],[Stock al día]],(Tabla1[[#This Row],[Por producir mes N]]*0.9))-Tabla1[[#This Row],[Producción por despachar mes N]]</f>
        <v>548.63327614167849</v>
      </c>
      <c r="Q307" s="15">
        <f>IFERROR(VLOOKUP(Tabla1[[#This Row],[Llave]],[17]DELAY!$A:$D,4,FALSE),0)</f>
        <v>1200</v>
      </c>
      <c r="R307" s="75">
        <v>24000</v>
      </c>
      <c r="S307" s="5">
        <f t="shared" si="33"/>
        <v>0</v>
      </c>
      <c r="T307" s="76">
        <v>0</v>
      </c>
      <c r="U307" s="5">
        <f>+Tabla1[[#This Row],[Atraso a facturar]]+Tabla1[[#This Row],[Ajuste atraso]]</f>
        <v>0</v>
      </c>
      <c r="V307" s="3">
        <f>+Tabla1[[#This Row],[Total disponible]]-Tabla1[[#This Row],[Facturación atraso]]</f>
        <v>548.63327614167849</v>
      </c>
      <c r="W307" s="6">
        <f>IFERROR(IF(AND(V307&gt;R307,J307&gt;=R307),ROUNDDOWN((Tabla1[[#This Row],[Producción para venta nueva]])/R307,0)*R307,0),0)</f>
        <v>0</v>
      </c>
      <c r="X307" s="76">
        <v>0</v>
      </c>
      <c r="Y307" s="6">
        <f>IF(Tabla1[[#This Row],[Venta del mes]]&gt;0,Tabla1[[#This Row],[Venta del mes]]+Tabla1[[#This Row],[Ajuste venta nueva]],0)</f>
        <v>0</v>
      </c>
      <c r="Z307" s="6">
        <f>+Tabla1[[#This Row],[Producción para venta nueva]]-Tabla1[[#This Row],[Facturación Venta nueva]]</f>
        <v>548.63327614167849</v>
      </c>
      <c r="AA307" s="6">
        <f>IF(AND(A307=1,Tabla1[[#This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7" s="6"/>
      <c r="AC307" s="6">
        <f>IF(Tabla1[[#This Row],[Disponible stock sin venta]]&gt;0,Tabla1[[#This Row],[Disponible stock sin venta]]+Tabla1[[#This Row],[Ajuste stock sin venta]],0)</f>
        <v>0</v>
      </c>
      <c r="AD307" s="3">
        <f>IFERROR(VLOOKUP(Tabla1[[#This Row],[Llave]],'[16]TD Puerto'!$A:$D,4,FALSE),0)</f>
        <v>0</v>
      </c>
      <c r="AE307" s="3">
        <v>0</v>
      </c>
      <c r="AF307" s="3">
        <f>+Tabla1[[#This Row],[Atraso a facturar]]+Tabla1[[#This Row],[Venta del mes]]+Tabla1[[#This Row],[En puerto a facturar]]+Tabla1[[#This Row],[Disponible stock sin venta]]</f>
        <v>0</v>
      </c>
      <c r="AG307" s="3">
        <f>+Tabla1[[#This Row],[En puerto a facturar]]</f>
        <v>0</v>
      </c>
      <c r="AH307" s="3">
        <f>+Tabla1[[#This Row],[Facturación atraso]]</f>
        <v>0</v>
      </c>
      <c r="AI307" s="3">
        <f>+Tabla1[[#This Row],[Plan Irrestricto]]-Tabla1[[#This Row],[Puerto ]]-Tabla1[[#This Row],[Atraso]]</f>
        <v>0</v>
      </c>
      <c r="AJ30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07" s="3">
        <f>+Tabla1[[#This Row],[Facturación atraso]]</f>
        <v>0</v>
      </c>
      <c r="AL307" s="3">
        <f>+Tabla1[[#This Row],[Plan Ajustado]]-Tabla1[[#This Row],[ Atraso ajustado]]-Tabla1[[#This Row],[Puerto ]]</f>
        <v>0</v>
      </c>
      <c r="AM307" s="3">
        <v>0</v>
      </c>
      <c r="AN307" s="3" t="str">
        <f>IF(Tabla1[[#This Row],[Plan Ajustado]]&gt;Tabla1[[#This Row],[En puerto a facturar]],"Si","No")</f>
        <v>No</v>
      </c>
      <c r="AO30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07" s="3">
        <f>IF(Tabla1[[#This Row],[Necesidad]]&gt;=Tabla1[[#This Row],[Stock al día]],Tabla1[[#This Row],[Stock al día]],Tabla1[[#This Row],[Necesidad]])</f>
        <v>0</v>
      </c>
      <c r="AQ307" s="3">
        <f>+Tabla1[[#This Row],[Necesidad]]-Tabla1[[#This Row],[Stock Plan]]</f>
        <v>0</v>
      </c>
      <c r="AR307" s="156">
        <f>IFERROR(VLOOKUP(Tabla1[[#This Row],[Oficina]],[22]Ponderación!$B$3:$G$9,6,FALSE),"")</f>
        <v>44757</v>
      </c>
      <c r="AS30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307" s="83">
        <f>IFERROR(VLOOKUP(Tabla1[[#This Row],[Llave]],[17]DELAY!$H:$W,16,FALSE),0)</f>
        <v>13.964497041420099</v>
      </c>
      <c r="AU30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07" s="5">
        <f>+Tabla1[[#This Row],[Plan Ajustado]]*Tabla1[[#This Row],[Precio ponderado]]</f>
        <v>0</v>
      </c>
      <c r="AW307" s="30">
        <f>IFERROR(VLOOKUP(Tabla1[[#This Row],[Llave]],'[13]Ultimos precios facturados'!$A:$G,7,FALSE),0)</f>
        <v>17.385145364891518</v>
      </c>
      <c r="AX307" s="82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07" s="30"/>
      <c r="AZ307" s="30">
        <f>IF(Tabla1[[#This Row],[Ajuste precio IC]]="",Tabla1[[#This Row],[Precio ponderado]],Tabla1[[#This Row],[Precio ponderado]])</f>
        <v>0</v>
      </c>
      <c r="BA307" s="82"/>
      <c r="BB307" s="82" t="str">
        <f>IF(AND(Tabla1[[#This Row],[Atraso a facturar]]&gt;0,Tabla1[[#This Row],[Precio Atraso]]=0),"Revisar","OK")</f>
        <v>OK</v>
      </c>
      <c r="BC307" s="82" t="str">
        <f>IF(AND(Tabla1[[#This Row],[Venta del mes]]&gt;0,Tabla1[[#This Row],[Precio venta nueva]]=0),"Revisar","OK")</f>
        <v>OK</v>
      </c>
      <c r="BD307" s="20">
        <f>IFERROR(VLOOKUP(Tabla1[[#This Row],[Llave]],'[5]Consolidación planes'!$A:$M,9,FALSE),0)</f>
        <v>0</v>
      </c>
      <c r="BE307" s="20">
        <f>IFERROR(VLOOKUP(Tabla1[[#This Row],[Llave]],'[5]Consolidación planes'!$A:$M,10,FALSE),0)</f>
        <v>300</v>
      </c>
      <c r="BF307" s="20">
        <f>IFERROR(VLOOKUP(Tabla1[[#This Row],[Llave]],'[5]Consolidación planes'!$A:$M,11,FALSE),0)</f>
        <v>0</v>
      </c>
      <c r="BG307" s="20">
        <f>IFERROR(VLOOKUP(Tabla1[[#This Row],[Llave]],'[5]Consolidación planes'!$A:$M,12,FALSE),0)</f>
        <v>1500</v>
      </c>
      <c r="BH307" s="20">
        <f>IFERROR(VLOOKUP(Tabla1[[#This Row],[Llave]],'[5]Consolidación planes'!$A:$M,13,FALSE),0)</f>
        <v>1500</v>
      </c>
      <c r="BI307" s="20">
        <f>IFERROR(VLOOKUP(Tabla1[[#This Row],[Llave]],'[13]Base ultimos planes'!$A:$M,13,FALSE),0)</f>
        <v>0</v>
      </c>
      <c r="BJ307" s="80">
        <f>IFERROR(VLOOKUP(Tabla1[[#This Row],[Llave]],'[13]Base ultimos planes'!$O:$AA,8,FALSE),0)</f>
        <v>0</v>
      </c>
      <c r="BK307" s="20">
        <f>IFERROR(VLOOKUP(Tabla1[[#This Row],[Llave]],'[13]Base ultimos planes'!$O:$AA,9,FALSE),0)</f>
        <v>3450</v>
      </c>
      <c r="BL307" s="20">
        <f>IFERROR(VLOOKUP(Tabla1[[#This Row],[Llave]],'[13]Base ultimos planes'!$O:$AA,10,FALSE),0)</f>
        <v>0</v>
      </c>
      <c r="BM307" s="20">
        <f>IFERROR(VLOOKUP(Tabla1[[#This Row],[Llave]],'[13]Base ultimos planes'!$O:$AA,11,FALSE),0)</f>
        <v>22965</v>
      </c>
      <c r="BN307" s="20">
        <f>IFERROR(VLOOKUP(Tabla1[[#This Row],[Llave]],'[13]Base ultimos planes'!$O:$AA,12,FALSE),0)</f>
        <v>22965</v>
      </c>
      <c r="BO307" s="20">
        <f>IFERROR(VLOOKUP(Tabla1[[#This Row],[Llave]],'[13]Base ultimos planes'!$O:$AA,13,FALSE),0)</f>
        <v>0</v>
      </c>
      <c r="BP307" s="35"/>
      <c r="BQ307" s="20">
        <f>+Tabla1[[#This Row],[ RV  Venta mes n+1]]*(1-Tabla1[[#This Row],[% Uti. producción]])</f>
        <v>0</v>
      </c>
      <c r="BR307" s="100"/>
    </row>
    <row r="308" spans="1:70" ht="16" x14ac:dyDescent="0.2">
      <c r="A308">
        <v>1</v>
      </c>
      <c r="B308" t="str">
        <f>Tabla1[[#This Row],[Oficina]]&amp;Tabla1[[#This Row],[Material]]</f>
        <v>Agro Sudamerica1023295</v>
      </c>
      <c r="C308" t="s">
        <v>6</v>
      </c>
      <c r="D308" t="s">
        <v>17</v>
      </c>
      <c r="E308">
        <v>1023295</v>
      </c>
      <c r="F308" t="s">
        <v>289</v>
      </c>
      <c r="G308" t="s">
        <v>76</v>
      </c>
      <c r="H308" t="s">
        <v>79</v>
      </c>
      <c r="I308" s="15">
        <f>IFERROR(VLOOKUP(Tabla1[[#This Row],[Llave]],'[7]RV Producción'!$C:$G,5,FALSE),0)</f>
        <v>1000</v>
      </c>
      <c r="J308" s="3">
        <f>IFERROR(IF(Tabla1[[#This Row],[Oficina]]=$I$7,VLOOKUP(Tabla1[[#This Row],[Llave]],'[7]Shangai (Tomas)'!$A:$F,6,FALSE),VLOOKUP(Tabla1[[#This Row],[Llave]],'[7]RV plan de ventas'!$A:$E,5,FALSE)),0)</f>
        <v>1000</v>
      </c>
      <c r="K308" s="17">
        <f>IFERROR(VLOOKUP(Tabla1[[#This Row],[Oficina]],[15]Ponderación!$B$2:$E$9,4,FALSE),0)</f>
        <v>0.45719439678473212</v>
      </c>
      <c r="L308" s="7">
        <f>+Tabla1[[#This Row],[ RV Producción mes n+1]]*Tabla1[[#This Row],[% Uti. producción]]</f>
        <v>457.19439678473213</v>
      </c>
      <c r="M308" s="15">
        <f>IFERROR(VLOOKUP(Tabla1[[#This Row],[Material]],'[17]TD Stock'!$E:$I,5,FALSE),0)</f>
        <v>50.7</v>
      </c>
      <c r="N308" s="15">
        <f>IFERROR(VLOOKUP(Tabla1[[#This Row],[Material]],[16]Produccion!$M:$N,2,FALSE),0)</f>
        <v>0</v>
      </c>
      <c r="O308" s="7">
        <f>IFERROR(VLOOKUP(Tabla1[[#This Row],[Llave]],'[16]TD Conf-AP'!$I:$M,4,FALSE),0)</f>
        <v>0</v>
      </c>
      <c r="P308" s="37">
        <f>SUM(Tabla1[[#This Row],[Producción disponible]],Tabla1[[#This Row],[Stock al día]],(Tabla1[[#This Row],[Por producir mes N]]*0.9))-Tabla1[[#This Row],[Producción por despachar mes N]]</f>
        <v>507.89439678473212</v>
      </c>
      <c r="Q308" s="15">
        <f>IFERROR(VLOOKUP(Tabla1[[#This Row],[Llave]],[17]DELAY!$A:$D,4,FALSE),0)</f>
        <v>450</v>
      </c>
      <c r="R308" s="75">
        <v>24000</v>
      </c>
      <c r="S308" s="5">
        <f t="shared" si="33"/>
        <v>450</v>
      </c>
      <c r="T308" s="76">
        <v>0</v>
      </c>
      <c r="U308" s="5">
        <f>+Tabla1[[#This Row],[Atraso a facturar]]+Tabla1[[#This Row],[Ajuste atraso]]</f>
        <v>450</v>
      </c>
      <c r="V308" s="3">
        <f>+Tabla1[[#This Row],[Total disponible]]-Tabla1[[#This Row],[Facturación atraso]]</f>
        <v>57.894396784732123</v>
      </c>
      <c r="W308" s="6">
        <f>IFERROR(IF(AND(V308&gt;R308,J308&gt;=R308),ROUNDDOWN((Tabla1[[#This Row],[Producción para venta nueva]])/R308,0)*R308,0),0)</f>
        <v>0</v>
      </c>
      <c r="X308" s="76">
        <v>0</v>
      </c>
      <c r="Y308" s="6">
        <f>IF(Tabla1[[#This Row],[Venta del mes]]&gt;0,Tabla1[[#This Row],[Venta del mes]]+Tabla1[[#This Row],[Ajuste venta nueva]],0)</f>
        <v>0</v>
      </c>
      <c r="Z308" s="6">
        <f>+Tabla1[[#This Row],[Producción para venta nueva]]-Tabla1[[#This Row],[Facturación Venta nueva]]</f>
        <v>57.894396784732123</v>
      </c>
      <c r="AA308" s="6">
        <f>IF(AND(A308=1,Tabla1[[#This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8" s="6"/>
      <c r="AC308" s="6">
        <f>IF(Tabla1[[#This Row],[Disponible stock sin venta]]&gt;0,Tabla1[[#This Row],[Disponible stock sin venta]]+Tabla1[[#This Row],[Ajuste stock sin venta]],0)</f>
        <v>0</v>
      </c>
      <c r="AD308" s="3">
        <f>IFERROR(VLOOKUP(Tabla1[[#This Row],[Llave]],'[16]TD Puerto'!$A:$D,4,FALSE),0)</f>
        <v>0</v>
      </c>
      <c r="AE308" s="3">
        <v>450</v>
      </c>
      <c r="AF308" s="3">
        <f>+Tabla1[[#This Row],[Atraso a facturar]]+Tabla1[[#This Row],[Venta del mes]]+Tabla1[[#This Row],[En puerto a facturar]]+Tabla1[[#This Row],[Disponible stock sin venta]]</f>
        <v>450</v>
      </c>
      <c r="AG308" s="3">
        <f>+Tabla1[[#This Row],[En puerto a facturar]]</f>
        <v>0</v>
      </c>
      <c r="AH308" s="3">
        <f>+Tabla1[[#This Row],[Facturación atraso]]</f>
        <v>450</v>
      </c>
      <c r="AI308" s="3">
        <f>+Tabla1[[#This Row],[Plan Irrestricto]]-Tabla1[[#This Row],[Puerto ]]-Tabla1[[#This Row],[Atraso]]</f>
        <v>0</v>
      </c>
      <c r="AJ308" s="3">
        <f>IF(Tabla1[[#This Row],[Plan Irrestricto]]&gt;0,SUM(Tabla1[[#This Row],[Facturación atraso]],Tabla1[[#This Row],[Facturación Venta nueva]],Tabla1[[#This Row],[Facturación stock]],Tabla1[[#This Row],[En puerto a facturar]]),0)</f>
        <v>450</v>
      </c>
      <c r="AK308" s="3">
        <f>+Tabla1[[#This Row],[Facturación atraso]]</f>
        <v>450</v>
      </c>
      <c r="AL308" s="3">
        <f>+Tabla1[[#This Row],[Plan Ajustado]]-Tabla1[[#This Row],[ Atraso ajustado]]-Tabla1[[#This Row],[Puerto ]]</f>
        <v>0</v>
      </c>
      <c r="AM308" s="3">
        <v>0</v>
      </c>
      <c r="AN308" s="3" t="str">
        <f>IF(Tabla1[[#This Row],[Plan Ajustado]]&gt;Tabla1[[#This Row],[En puerto a facturar]],"Si","No")</f>
        <v>Si</v>
      </c>
      <c r="AO308" s="3">
        <f>IF(AND(Tabla1[[#This Row],[Plan Ajustado]]&gt;0,Tabla1[[#This Row],[Plan Ajustado]]&gt;Tabla1[[#This Row],[En puerto a facturar]]),(Tabla1[[#This Row],[Plan Ajustado]]-Tabla1[[#This Row],[En puerto a facturar]]),0)</f>
        <v>450</v>
      </c>
      <c r="AP308" s="3">
        <f>IF(Tabla1[[#This Row],[Necesidad]]&gt;=Tabla1[[#This Row],[Stock al día]],Tabla1[[#This Row],[Stock al día]],Tabla1[[#This Row],[Necesidad]])</f>
        <v>50.7</v>
      </c>
      <c r="AQ308" s="3">
        <f>+Tabla1[[#This Row],[Necesidad]]-Tabla1[[#This Row],[Stock Plan]]</f>
        <v>399.3</v>
      </c>
      <c r="AR308" s="156">
        <f>IFERROR(VLOOKUP(Tabla1[[#This Row],[Oficina]],[22]Ponderación!$B$3:$G$9,6,FALSE),"")</f>
        <v>44757</v>
      </c>
      <c r="AS30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12.287000000000001</v>
      </c>
      <c r="AT308" s="83">
        <f>IFERROR(VLOOKUP(Tabla1[[#This Row],[Llave]],[17]DELAY!$H:$W,16,FALSE),0)</f>
        <v>14.556213017751501</v>
      </c>
      <c r="AU30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14.556213017751501</v>
      </c>
      <c r="AV308" s="5">
        <f>+Tabla1[[#This Row],[Plan Ajustado]]*Tabla1[[#This Row],[Precio ponderado]]</f>
        <v>6550.2958579881752</v>
      </c>
      <c r="AW308" s="30">
        <f>IFERROR(VLOOKUP(Tabla1[[#This Row],[Llave]],'[13]Ultimos precios facturados'!$A:$G,7,FALSE),0)</f>
        <v>14.505494505494505</v>
      </c>
      <c r="AX308" s="82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3.49650349650501E-3</v>
      </c>
      <c r="AY308" s="30"/>
      <c r="AZ308" s="30">
        <f>IF(Tabla1[[#This Row],[Ajuste precio IC]]="",Tabla1[[#This Row],[Precio ponderado]],Tabla1[[#This Row],[Precio ponderado]])</f>
        <v>14.556213017751501</v>
      </c>
      <c r="BA308" s="82"/>
      <c r="BB308" s="82" t="str">
        <f>IF(AND(Tabla1[[#This Row],[Atraso a facturar]]&gt;0,Tabla1[[#This Row],[Precio Atraso]]=0),"Revisar","OK")</f>
        <v>OK</v>
      </c>
      <c r="BC308" s="82" t="str">
        <f>IF(AND(Tabla1[[#This Row],[Venta del mes]]&gt;0,Tabla1[[#This Row],[Precio venta nueva]]=0),"Revisar","OK")</f>
        <v>OK</v>
      </c>
      <c r="BD308" s="20">
        <f>IFERROR(VLOOKUP(Tabla1[[#This Row],[Llave]],'[5]Consolidación planes'!$A:$M,9,FALSE),0)</f>
        <v>0</v>
      </c>
      <c r="BE308" s="20">
        <f>IFERROR(VLOOKUP(Tabla1[[#This Row],[Llave]],'[5]Consolidación planes'!$A:$M,10,FALSE),0)</f>
        <v>2700</v>
      </c>
      <c r="BF308" s="20">
        <f>IFERROR(VLOOKUP(Tabla1[[#This Row],[Llave]],'[5]Consolidación planes'!$A:$M,11,FALSE),0)</f>
        <v>0</v>
      </c>
      <c r="BG308" s="20">
        <f>IFERROR(VLOOKUP(Tabla1[[#This Row],[Llave]],'[5]Consolidación planes'!$A:$M,12,FALSE),0)</f>
        <v>0</v>
      </c>
      <c r="BH308" s="20">
        <f>IFERROR(VLOOKUP(Tabla1[[#This Row],[Llave]],'[5]Consolidación planes'!$A:$M,13,FALSE),0)</f>
        <v>0</v>
      </c>
      <c r="BI308" s="20">
        <f>IFERROR(VLOOKUP(Tabla1[[#This Row],[Llave]],'[13]Base ultimos planes'!$A:$M,13,FALSE),0)</f>
        <v>0</v>
      </c>
      <c r="BJ308" s="80">
        <f>IFERROR(VLOOKUP(Tabla1[[#This Row],[Llave]],'[13]Base ultimos planes'!$O:$AA,8,FALSE),0)</f>
        <v>0</v>
      </c>
      <c r="BK308" s="20">
        <f>IFERROR(VLOOKUP(Tabla1[[#This Row],[Llave]],'[13]Base ultimos planes'!$O:$AA,9,FALSE),0)</f>
        <v>33075</v>
      </c>
      <c r="BL308" s="20">
        <f>IFERROR(VLOOKUP(Tabla1[[#This Row],[Llave]],'[13]Base ultimos planes'!$O:$AA,10,FALSE),0)</f>
        <v>0</v>
      </c>
      <c r="BM308" s="20">
        <f>IFERROR(VLOOKUP(Tabla1[[#This Row],[Llave]],'[13]Base ultimos planes'!$O:$AA,11,FALSE),0)</f>
        <v>0</v>
      </c>
      <c r="BN308" s="20">
        <f>IFERROR(VLOOKUP(Tabla1[[#This Row],[Llave]],'[13]Base ultimos planes'!$O:$AA,12,FALSE),0)</f>
        <v>0</v>
      </c>
      <c r="BO308" s="20">
        <f>IFERROR(VLOOKUP(Tabla1[[#This Row],[Llave]],'[13]Base ultimos planes'!$O:$AA,13,FALSE),0)</f>
        <v>0</v>
      </c>
      <c r="BP308" s="35"/>
      <c r="BQ308" s="20">
        <f>+Tabla1[[#This Row],[ RV  Venta mes n+1]]*(1-Tabla1[[#This Row],[% Uti. producción]])</f>
        <v>542.80560321526798</v>
      </c>
      <c r="BR308" s="100"/>
    </row>
    <row r="309" spans="1:70" ht="16" hidden="1" x14ac:dyDescent="0.2">
      <c r="A309">
        <v>1</v>
      </c>
      <c r="B309" t="str">
        <f>Tabla1[[#This Row],[Oficina]]&amp;Tabla1[[#This Row],[Material]]</f>
        <v>Agro Sudamerica1012782</v>
      </c>
      <c r="C309" t="s">
        <v>227</v>
      </c>
      <c r="D309" t="s">
        <v>17</v>
      </c>
      <c r="E309">
        <v>1012782</v>
      </c>
      <c r="F309" t="s">
        <v>705</v>
      </c>
      <c r="G309" t="s">
        <v>76</v>
      </c>
      <c r="H309" t="s">
        <v>257</v>
      </c>
      <c r="I309" s="15">
        <f>IFERROR(VLOOKUP(Tabla1[[#This Row],[Llave]],'[7]RV Producción'!$C:$G,5,FALSE),0)</f>
        <v>0</v>
      </c>
      <c r="J309" s="3">
        <f>IFERROR(IF(Tabla1[[#This Row],[Oficina]]=$I$7,VLOOKUP(Tabla1[[#This Row],[Llave]],'[7]Shangai (Tomas)'!$A:$F,6,FALSE),VLOOKUP(Tabla1[[#This Row],[Llave]],'[7]RV plan de ventas'!$A:$E,5,FALSE)),0)</f>
        <v>0</v>
      </c>
      <c r="K309" s="17">
        <f>IFERROR(VLOOKUP(Tabla1[[#This Row],[Oficina]],[15]Ponderación!$B$2:$E$9,4,FALSE),0)</f>
        <v>0.45719439678473212</v>
      </c>
      <c r="L309" s="7">
        <f>+Tabla1[[#This Row],[ RV Producción mes n+1]]*Tabla1[[#This Row],[% Uti. producción]]</f>
        <v>0</v>
      </c>
      <c r="M309" s="15">
        <f>IFERROR(VLOOKUP(Tabla1[[#This Row],[Material]],'[17]TD Stock'!$E:$I,5,FALSE),0)</f>
        <v>2627.569</v>
      </c>
      <c r="N309" s="15">
        <f>IFERROR(VLOOKUP(Tabla1[[#This Row],[Material]],[16]Produccion!$M:$N,2,FALSE),0)</f>
        <v>0</v>
      </c>
      <c r="O309" s="7">
        <f>IFERROR(VLOOKUP(Tabla1[[#This Row],[Llave]],'[16]TD Conf-AP'!$I:$M,4,FALSE),0)</f>
        <v>0</v>
      </c>
      <c r="P309" s="37">
        <f>SUM(Tabla1[[#This Row],[Producción disponible]],Tabla1[[#This Row],[Stock al día]],(Tabla1[[#This Row],[Por producir mes N]]*0.9))-Tabla1[[#This Row],[Producción por despachar mes N]]</f>
        <v>2627.569</v>
      </c>
      <c r="Q309" s="15">
        <f>IFERROR(VLOOKUP(Tabla1[[#This Row],[Llave]],[17]DELAY!$A:$D,4,FALSE),0)</f>
        <v>0</v>
      </c>
      <c r="R309" s="75">
        <v>24000</v>
      </c>
      <c r="S309" s="98">
        <f>IF(AND(P309&gt;Q309,Q309&gt;0),Q309,IF(AND(P309&lt;Q309,Q309&gt;0),(ROUNDDOWN(P309/R309,0)*R309),0))</f>
        <v>0</v>
      </c>
      <c r="T309" s="76">
        <v>0</v>
      </c>
      <c r="U309" s="98">
        <f>+Tabla1[[#This Row],[Atraso a facturar]]+Tabla1[[#This Row],[Ajuste atraso]]</f>
        <v>0</v>
      </c>
      <c r="V309" s="3">
        <f>+Tabla1[[#This Row],[Total disponible]]-Tabla1[[#This Row],[Facturación atraso]]</f>
        <v>2627.569</v>
      </c>
      <c r="W309" s="6">
        <f>IFERROR(IF(AND(V309&gt;R309,J309&gt;=R309),ROUNDDOWN((Tabla1[[#This Row],[Producción para venta nueva]])/R309,0)*R309,0),0)</f>
        <v>0</v>
      </c>
      <c r="X309" s="76">
        <v>0</v>
      </c>
      <c r="Y309" s="6">
        <f>IF(Tabla1[[#This Row],[Venta del mes]]&gt;0,Tabla1[[#This Row],[Venta del mes]]+Tabla1[[#This Row],[Ajuste venta nueva]],0)</f>
        <v>0</v>
      </c>
      <c r="Z309" s="6">
        <f>+Tabla1[[#This Row],[Producción para venta nueva]]-Tabla1[[#This Row],[Facturación Venta nueva]]</f>
        <v>2627.569</v>
      </c>
      <c r="AA309" s="6">
        <f>IF(AND(A309=1,Tabla1[[#This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09" s="6"/>
      <c r="AC309" s="6">
        <f>IF(Tabla1[[#This Row],[Disponible stock sin venta]]&gt;0,Tabla1[[#This Row],[Disponible stock sin venta]]+Tabla1[[#This Row],[Ajuste stock sin venta]],0)</f>
        <v>0</v>
      </c>
      <c r="AD309" s="3">
        <f>IFERROR(VLOOKUP(Tabla1[[#This Row],[Llave]],'[16]TD Puerto'!$A:$D,4,FALSE),0)</f>
        <v>0</v>
      </c>
      <c r="AE309" s="3">
        <v>0</v>
      </c>
      <c r="AF309" s="3">
        <f>+Tabla1[[#This Row],[Atraso a facturar]]+Tabla1[[#This Row],[Venta del mes]]+Tabla1[[#This Row],[En puerto a facturar]]+Tabla1[[#This Row],[Disponible stock sin venta]]</f>
        <v>0</v>
      </c>
      <c r="AG309" s="3">
        <f>+Tabla1[[#This Row],[En puerto a facturar]]</f>
        <v>0</v>
      </c>
      <c r="AH309" s="3">
        <f>+Tabla1[[#This Row],[Facturación atraso]]</f>
        <v>0</v>
      </c>
      <c r="AI309" s="3">
        <f>+Tabla1[[#This Row],[Plan Irrestricto]]-Tabla1[[#This Row],[Puerto ]]-Tabla1[[#This Row],[Atraso]]</f>
        <v>0</v>
      </c>
      <c r="AJ309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09" s="3">
        <f>+Tabla1[[#This Row],[Facturación atraso]]</f>
        <v>0</v>
      </c>
      <c r="AL309" s="3">
        <f>+Tabla1[[#This Row],[Plan Ajustado]]-Tabla1[[#This Row],[ Atraso ajustado]]-Tabla1[[#This Row],[Puerto ]]</f>
        <v>0</v>
      </c>
      <c r="AM309" s="3">
        <v>0</v>
      </c>
      <c r="AN309" s="3" t="str">
        <f>IF(Tabla1[[#This Row],[Plan Ajustado]]&gt;Tabla1[[#This Row],[En puerto a facturar]],"Si","No")</f>
        <v>No</v>
      </c>
      <c r="AO309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09" s="3">
        <f>IF(Tabla1[[#This Row],[Necesidad]]&gt;=Tabla1[[#This Row],[Stock al día]],Tabla1[[#This Row],[Stock al día]],Tabla1[[#This Row],[Necesidad]])</f>
        <v>0</v>
      </c>
      <c r="AQ309" s="3">
        <f>+Tabla1[[#This Row],[Necesidad]]-Tabla1[[#This Row],[Stock Plan]]</f>
        <v>0</v>
      </c>
      <c r="AR309" s="156">
        <f>IFERROR(VLOOKUP(Tabla1[[#This Row],[Oficina]],[22]Ponderación!$B$3:$G$9,6,FALSE),"")</f>
        <v>44757</v>
      </c>
      <c r="AS309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0.4753130482769119</v>
      </c>
      <c r="AT309" s="83">
        <f>IFERROR(VLOOKUP(Tabla1[[#This Row],[Llave]],[17]DELAY!$H:$W,16,FALSE),0)</f>
        <v>0</v>
      </c>
      <c r="AU30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09" s="5">
        <f>+Tabla1[[#This Row],[Plan Ajustado]]*Tabla1[[#This Row],[Precio ponderado]]</f>
        <v>0</v>
      </c>
      <c r="AW309" s="30">
        <f>IFERROR(VLOOKUP(Tabla1[[#This Row],[Llave]],'[13]Ultimos precios facturados'!$A:$G,7,FALSE),0)</f>
        <v>0.4753130482769119</v>
      </c>
      <c r="AX309" s="99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09" s="30"/>
      <c r="AZ309" s="30">
        <f>IF(Tabla1[[#This Row],[Ajuste precio IC]]="",Tabla1[[#This Row],[Precio ponderado]],Tabla1[[#This Row],[Precio ponderado]])</f>
        <v>0</v>
      </c>
      <c r="BA309" s="99"/>
      <c r="BB309" s="99" t="str">
        <f>IF(AND(Tabla1[[#This Row],[Atraso a facturar]]&gt;0,Tabla1[[#This Row],[Precio Atraso]]=0),"Revisar","OK")</f>
        <v>OK</v>
      </c>
      <c r="BC309" s="99" t="str">
        <f>IF(AND(Tabla1[[#This Row],[Venta del mes]]&gt;0,Tabla1[[#This Row],[Precio venta nueva]]=0),"Revisar","OK")</f>
        <v>OK</v>
      </c>
      <c r="BD309" s="20">
        <f>IFERROR(VLOOKUP(Tabla1[[#This Row],[Llave]],'[5]Consolidación planes'!$A:$M,9,FALSE),0)</f>
        <v>0</v>
      </c>
      <c r="BE309" s="20">
        <f>IFERROR(VLOOKUP(Tabla1[[#This Row],[Llave]],'[5]Consolidación planes'!$A:$M,10,FALSE),0)</f>
        <v>0</v>
      </c>
      <c r="BF309" s="20">
        <f>IFERROR(VLOOKUP(Tabla1[[#This Row],[Llave]],'[5]Consolidación planes'!$A:$M,11,FALSE),0)</f>
        <v>0</v>
      </c>
      <c r="BG309" s="20">
        <f>IFERROR(VLOOKUP(Tabla1[[#This Row],[Llave]],'[5]Consolidación planes'!$A:$M,12,FALSE),0)</f>
        <v>0</v>
      </c>
      <c r="BH309" s="20">
        <f>IFERROR(VLOOKUP(Tabla1[[#This Row],[Llave]],'[5]Consolidación planes'!$A:$M,13,FALSE),0)</f>
        <v>0</v>
      </c>
      <c r="BI309" s="35">
        <f>IFERROR(VLOOKUP(Tabla1[[#This Row],[Llave]],'[13]Base ultimos planes'!$A:$M,13,FALSE),0)</f>
        <v>0</v>
      </c>
      <c r="BJ309" s="80">
        <f>IFERROR(VLOOKUP(Tabla1[[#This Row],[Llave]],'[13]Base ultimos planes'!$O:$AA,8,FALSE),0)</f>
        <v>0</v>
      </c>
      <c r="BK309" s="100">
        <f>IFERROR(VLOOKUP(Tabla1[[#This Row],[Llave]],'[13]Base ultimos planes'!$O:$AA,9,FALSE),0)</f>
        <v>0</v>
      </c>
      <c r="BL309" s="100">
        <f>IFERROR(VLOOKUP(Tabla1[[#This Row],[Llave]],'[13]Base ultimos planes'!$O:$AA,10,FALSE),0)</f>
        <v>0</v>
      </c>
      <c r="BM309" s="100">
        <f>IFERROR(VLOOKUP(Tabla1[[#This Row],[Llave]],'[13]Base ultimos planes'!$O:$AA,11,FALSE),0)</f>
        <v>0</v>
      </c>
      <c r="BN309" s="100">
        <f>IFERROR(VLOOKUP(Tabla1[[#This Row],[Llave]],'[13]Base ultimos planes'!$O:$AA,12,FALSE),0)</f>
        <v>0</v>
      </c>
      <c r="BO309" s="100">
        <f>IFERROR(VLOOKUP(Tabla1[[#This Row],[Llave]],'[13]Base ultimos planes'!$O:$AA,13,FALSE),0)</f>
        <v>0</v>
      </c>
      <c r="BP309" s="35"/>
      <c r="BQ309" s="20">
        <f>+Tabla1[[#This Row],[ RV  Venta mes n+1]]*(1-Tabla1[[#This Row],[% Uti. producción]])</f>
        <v>0</v>
      </c>
      <c r="BR309" s="100"/>
    </row>
    <row r="310" spans="1:70" ht="16" x14ac:dyDescent="0.2">
      <c r="A310">
        <v>2</v>
      </c>
      <c r="B310" t="str">
        <f>Tabla1[[#This Row],[Oficina]]&amp;Tabla1[[#This Row],[Material]]</f>
        <v>Agro Sudamerica1021864</v>
      </c>
      <c r="C310" t="s">
        <v>6</v>
      </c>
      <c r="D310" t="s">
        <v>17</v>
      </c>
      <c r="E310">
        <v>1021864</v>
      </c>
      <c r="F310" t="s">
        <v>10</v>
      </c>
      <c r="G310" t="s">
        <v>8</v>
      </c>
      <c r="H310" t="s">
        <v>9</v>
      </c>
      <c r="I310" s="15">
        <f>IFERROR(VLOOKUP(Tabla1[[#This Row],[Llave]],'[7]RV Producción'!$C:$G,5,FALSE),0)</f>
        <v>0</v>
      </c>
      <c r="J310" s="3">
        <f>IFERROR(IF(Tabla1[[#This Row],[Oficina]]=$I$7,VLOOKUP(Tabla1[[#This Row],[Llave]],'[7]Shangai (Tomas)'!$A:$F,6,FALSE),VLOOKUP(Tabla1[[#This Row],[Llave]],'[7]RV plan de ventas'!$A:$E,5,FALSE)),0)</f>
        <v>0</v>
      </c>
      <c r="K310" s="17">
        <f>IFERROR(VLOOKUP(Tabla1[[#This Row],[Oficina]],[15]Ponderación!$B$2:$E$9,4,FALSE),0)</f>
        <v>0.45719439678473212</v>
      </c>
      <c r="L310" s="7">
        <f>+Tabla1[[#This Row],[ RV Producción mes n+1]]*Tabla1[[#This Row],[% Uti. producción]]</f>
        <v>0</v>
      </c>
      <c r="M310" s="15">
        <f>IFERROR(VLOOKUP(Tabla1[[#This Row],[Material]],'[17]TD Stock'!$E:$I,5,FALSE),0)</f>
        <v>20426.214999999993</v>
      </c>
      <c r="N310" s="15">
        <f>IFERROR(VLOOKUP(Tabla1[[#This Row],[Material]],[16]Produccion!$M:$N,2,FALSE),0)</f>
        <v>0</v>
      </c>
      <c r="O310" s="7">
        <f>IFERROR(VLOOKUP(Tabla1[[#This Row],[Llave]],'[16]TD Conf-AP'!$I:$M,4,FALSE),0)</f>
        <v>0</v>
      </c>
      <c r="P310" s="37">
        <f>SUM(Tabla1[[#This Row],[Producción disponible]],Tabla1[[#This Row],[Stock al día]],(Tabla1[[#This Row],[Por producir mes N]]*0.9))-Tabla1[[#This Row],[Producción por despachar mes N]]</f>
        <v>20426.214999999993</v>
      </c>
      <c r="Q310" s="15">
        <f>IFERROR(VLOOKUP(Tabla1[[#This Row],[Llave]],[17]DELAY!$A:$D,4,FALSE),0)</f>
        <v>21961</v>
      </c>
      <c r="R310" s="75">
        <v>24000</v>
      </c>
      <c r="S310" s="98">
        <f>IF(AND(P310&gt;Q310,Q310&gt;0),Q310,IF(AND(P310&lt;Q310,Q310&gt;0),(ROUNDDOWN(P310/R310,0)*R310),0))</f>
        <v>0</v>
      </c>
      <c r="T310" s="76">
        <v>0</v>
      </c>
      <c r="U310" s="98">
        <f>+Tabla1[[#This Row],[Atraso a facturar]]+Tabla1[[#This Row],[Ajuste atraso]]</f>
        <v>0</v>
      </c>
      <c r="V310" s="3">
        <f>+Tabla1[[#This Row],[Total disponible]]-Tabla1[[#This Row],[Facturación atraso]]</f>
        <v>20426.214999999993</v>
      </c>
      <c r="W310" s="6">
        <f>IFERROR(IF(AND(V310&gt;R310,J310&gt;=R310),ROUNDDOWN((Tabla1[[#This Row],[Producción para venta nueva]])/R310,0)*R310,0),0)</f>
        <v>0</v>
      </c>
      <c r="X310" s="76">
        <v>0</v>
      </c>
      <c r="Y310" s="6">
        <f>IF(Tabla1[[#This Row],[Venta del mes]]&gt;0,Tabla1[[#This Row],[Venta del mes]]+Tabla1[[#This Row],[Ajuste venta nueva]],0)</f>
        <v>0</v>
      </c>
      <c r="Z310" s="6">
        <f>+Tabla1[[#This Row],[Producción para venta nueva]]-Tabla1[[#This Row],[Facturación Venta nueva]]</f>
        <v>20426.214999999993</v>
      </c>
      <c r="AA310" s="6">
        <f>IF(AND(A310=1,Tabla1[[#This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0" s="6"/>
      <c r="AC310" s="6">
        <f>IF(Tabla1[[#This Row],[Disponible stock sin venta]]&gt;0,Tabla1[[#This Row],[Disponible stock sin venta]]+Tabla1[[#This Row],[Ajuste stock sin venta]],0)</f>
        <v>0</v>
      </c>
      <c r="AD310" s="3">
        <f>IFERROR(VLOOKUP(Tabla1[[#This Row],[Llave]],'[16]TD Puerto'!$A:$D,4,FALSE),0)</f>
        <v>21961</v>
      </c>
      <c r="AE310" s="3">
        <v>21961</v>
      </c>
      <c r="AF310" s="3">
        <f>+Tabla1[[#This Row],[Atraso a facturar]]+Tabla1[[#This Row],[Venta del mes]]+Tabla1[[#This Row],[En puerto a facturar]]+Tabla1[[#This Row],[Disponible stock sin venta]]</f>
        <v>21961</v>
      </c>
      <c r="AG310" s="3">
        <f>+Tabla1[[#This Row],[En puerto a facturar]]</f>
        <v>21961</v>
      </c>
      <c r="AH310" s="3">
        <f>+Tabla1[[#This Row],[Facturación atraso]]</f>
        <v>0</v>
      </c>
      <c r="AI310" s="3">
        <f>+Tabla1[[#This Row],[Plan Irrestricto]]-Tabla1[[#This Row],[Puerto ]]-Tabla1[[#This Row],[Atraso]]</f>
        <v>0</v>
      </c>
      <c r="AJ310" s="3">
        <f>IF(Tabla1[[#This Row],[Plan Irrestricto]]&gt;0,SUM(Tabla1[[#This Row],[Facturación atraso]],Tabla1[[#This Row],[Facturación Venta nueva]],Tabla1[[#This Row],[Facturación stock]],Tabla1[[#This Row],[En puerto a facturar]]),0)</f>
        <v>21961</v>
      </c>
      <c r="AK310" s="3">
        <f>+Tabla1[[#This Row],[Facturación atraso]]</f>
        <v>0</v>
      </c>
      <c r="AL310" s="3">
        <f>+Tabla1[[#This Row],[Plan Ajustado]]-Tabla1[[#This Row],[ Atraso ajustado]]-Tabla1[[#This Row],[Puerto ]]</f>
        <v>0</v>
      </c>
      <c r="AM310" s="3">
        <v>0</v>
      </c>
      <c r="AN310" s="3" t="str">
        <f>IF(Tabla1[[#This Row],[Plan Ajustado]]&gt;Tabla1[[#This Row],[En puerto a facturar]],"Si","No")</f>
        <v>No</v>
      </c>
      <c r="AO310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10" s="3">
        <f>IF(Tabla1[[#This Row],[Necesidad]]&gt;=Tabla1[[#This Row],[Stock al día]],Tabla1[[#This Row],[Stock al día]],Tabla1[[#This Row],[Necesidad]])</f>
        <v>0</v>
      </c>
      <c r="AQ310" s="3">
        <f>+Tabla1[[#This Row],[Necesidad]]-Tabla1[[#This Row],[Stock Plan]]</f>
        <v>0</v>
      </c>
      <c r="AR310" s="156">
        <f>IFERROR(VLOOKUP(Tabla1[[#This Row],[Oficina]],[22]Ponderación!$B$3:$G$9,6,FALSE),"")</f>
        <v>44757</v>
      </c>
      <c r="AS310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0.57009589070684785</v>
      </c>
      <c r="AT310" s="83">
        <f>IFERROR(VLOOKUP(Tabla1[[#This Row],[Llave]],[17]DELAY!$H:$W,16,FALSE),0)</f>
        <v>0.60416666818450904</v>
      </c>
      <c r="AU310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0.60416666818450904</v>
      </c>
      <c r="AV310" s="5">
        <f>+Tabla1[[#This Row],[Plan Ajustado]]*Tabla1[[#This Row],[Precio ponderado]]</f>
        <v>13268.104200000003</v>
      </c>
      <c r="AW310" s="30">
        <f>IFERROR(VLOOKUP(Tabla1[[#This Row],[Llave]],'[13]Ultimos precios facturados'!$A:$G,7,FALSE),0)</f>
        <v>0.57009589070684785</v>
      </c>
      <c r="AX310" s="99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5.9763239891832347E-2</v>
      </c>
      <c r="AY310" s="30"/>
      <c r="AZ310" s="30">
        <f>IF(Tabla1[[#This Row],[Ajuste precio IC]]="",Tabla1[[#This Row],[Precio ponderado]],Tabla1[[#This Row],[Precio ponderado]])</f>
        <v>0.60416666818450904</v>
      </c>
      <c r="BA310" s="99"/>
      <c r="BB310" s="99" t="str">
        <f>IF(AND(Tabla1[[#This Row],[Atraso a facturar]]&gt;0,Tabla1[[#This Row],[Precio Atraso]]=0),"Revisar","OK")</f>
        <v>OK</v>
      </c>
      <c r="BC310" s="99" t="str">
        <f>IF(AND(Tabla1[[#This Row],[Venta del mes]]&gt;0,Tabla1[[#This Row],[Precio venta nueva]]=0),"Revisar","OK")</f>
        <v>OK</v>
      </c>
      <c r="BD310" s="20">
        <f>IFERROR(VLOOKUP(Tabla1[[#This Row],[Llave]],'[5]Consolidación planes'!$A:$M,9,FALSE),0)</f>
        <v>0</v>
      </c>
      <c r="BE310" s="20">
        <f>IFERROR(VLOOKUP(Tabla1[[#This Row],[Llave]],'[5]Consolidación planes'!$A:$M,10,FALSE),0)</f>
        <v>0</v>
      </c>
      <c r="BF310" s="20">
        <f>IFERROR(VLOOKUP(Tabla1[[#This Row],[Llave]],'[5]Consolidación planes'!$A:$M,11,FALSE),0)</f>
        <v>0</v>
      </c>
      <c r="BG310" s="20">
        <f>IFERROR(VLOOKUP(Tabla1[[#This Row],[Llave]],'[5]Consolidación planes'!$A:$M,12,FALSE),0)</f>
        <v>0</v>
      </c>
      <c r="BH310" s="20">
        <f>IFERROR(VLOOKUP(Tabla1[[#This Row],[Llave]],'[5]Consolidación planes'!$A:$M,13,FALSE),0)</f>
        <v>0</v>
      </c>
      <c r="BI310" s="35">
        <f>IFERROR(VLOOKUP(Tabla1[[#This Row],[Llave]],'[13]Base ultimos planes'!$A:$M,13,FALSE),0)</f>
        <v>0</v>
      </c>
      <c r="BJ310" s="80">
        <f>IFERROR(VLOOKUP(Tabla1[[#This Row],[Llave]],'[13]Base ultimos planes'!$O:$AA,8,FALSE),0)</f>
        <v>0</v>
      </c>
      <c r="BK310" s="100">
        <f>IFERROR(VLOOKUP(Tabla1[[#This Row],[Llave]],'[13]Base ultimos planes'!$O:$AA,9,FALSE),0)</f>
        <v>0</v>
      </c>
      <c r="BL310" s="100">
        <f>IFERROR(VLOOKUP(Tabla1[[#This Row],[Llave]],'[13]Base ultimos planes'!$O:$AA,10,FALSE),0)</f>
        <v>0</v>
      </c>
      <c r="BM310" s="100">
        <f>IFERROR(VLOOKUP(Tabla1[[#This Row],[Llave]],'[13]Base ultimos planes'!$O:$AA,11,FALSE),0)</f>
        <v>0</v>
      </c>
      <c r="BN310" s="100">
        <f>IFERROR(VLOOKUP(Tabla1[[#This Row],[Llave]],'[13]Base ultimos planes'!$O:$AA,12,FALSE),0)</f>
        <v>0</v>
      </c>
      <c r="BO310" s="100">
        <f>IFERROR(VLOOKUP(Tabla1[[#This Row],[Llave]],'[13]Base ultimos planes'!$O:$AA,13,FALSE),0)</f>
        <v>0</v>
      </c>
      <c r="BP310" s="35"/>
      <c r="BQ310" s="20">
        <f>+Tabla1[[#This Row],[ RV  Venta mes n+1]]*(1-Tabla1[[#This Row],[% Uti. producción]])</f>
        <v>0</v>
      </c>
      <c r="BR310" s="100"/>
    </row>
    <row r="311" spans="1:70" ht="16" x14ac:dyDescent="0.2">
      <c r="A311">
        <v>1</v>
      </c>
      <c r="B311" t="str">
        <f>Tabla1[[#This Row],[Oficina]]&amp;Tabla1[[#This Row],[Material]]</f>
        <v>Agro Sudamerica1030817</v>
      </c>
      <c r="C311" t="s">
        <v>204</v>
      </c>
      <c r="D311" t="s">
        <v>17</v>
      </c>
      <c r="E311">
        <v>1030817</v>
      </c>
      <c r="F311" t="s">
        <v>219</v>
      </c>
      <c r="G311" t="s">
        <v>217</v>
      </c>
      <c r="H311" t="s">
        <v>218</v>
      </c>
      <c r="I311" s="15">
        <f>IFERROR(VLOOKUP(Tabla1[[#This Row],[Llave]],'[7]RV Producción'!$C:$G,5,FALSE),0)</f>
        <v>54668</v>
      </c>
      <c r="J311" s="3">
        <f>IFERROR(IF(Tabla1[[#This Row],[Oficina]]=$I$7,VLOOKUP(Tabla1[[#This Row],[Llave]],'[7]Shangai (Tomas)'!$A:$F,6,FALSE),VLOOKUP(Tabla1[[#This Row],[Llave]],'[7]RV plan de ventas'!$A:$E,5,FALSE)),0)</f>
        <v>0</v>
      </c>
      <c r="K311" s="17">
        <f>IFERROR(VLOOKUP(Tabla1[[#This Row],[Oficina]],[15]Ponderación!$B$2:$E$9,4,FALSE),0)</f>
        <v>0.45719439678473212</v>
      </c>
      <c r="L311" s="7">
        <f>+Tabla1[[#This Row],[ RV Producción mes n+1]]*Tabla1[[#This Row],[% Uti. producción]]</f>
        <v>24993.903283427735</v>
      </c>
      <c r="M311" s="15">
        <f>IFERROR(VLOOKUP(Tabla1[[#This Row],[Material]],'[17]TD Stock'!$E:$I,5,FALSE),0)</f>
        <v>0</v>
      </c>
      <c r="N311" s="15">
        <f>IFERROR(VLOOKUP(Tabla1[[#This Row],[Material]],[16]Produccion!$M:$N,2,FALSE),0)</f>
        <v>0</v>
      </c>
      <c r="O311" s="15">
        <f>IFERROR(VLOOKUP(Tabla1[[#This Row],[Llave]],'[16]TD Conf-AP'!$I:$M,4,FALSE),0)</f>
        <v>0</v>
      </c>
      <c r="P311" s="37">
        <f>SUM(Tabla1[[#This Row],[Producción disponible]],Tabla1[[#This Row],[Stock al día]],(Tabla1[[#This Row],[Por producir mes N]]*0.9))-Tabla1[[#This Row],[Producción por despachar mes N]]</f>
        <v>24993.903283427735</v>
      </c>
      <c r="Q311" s="15">
        <f>IFERROR(VLOOKUP(Tabla1[[#This Row],[Llave]],[17]DELAY!$A:$D,4,FALSE),0)</f>
        <v>86000</v>
      </c>
      <c r="R311" s="75">
        <v>24000</v>
      </c>
      <c r="S311" s="98">
        <f t="shared" ref="S311:S312" si="34">IF(AND(P311&gt;Q311,Q311&gt;0),Q311,IF(AND(P311&lt;Q311,Q311&gt;0),(ROUNDDOWN(P311/R311,0)*R311),0))</f>
        <v>24000</v>
      </c>
      <c r="T311" s="76">
        <v>86000</v>
      </c>
      <c r="U311" s="98">
        <f>+Tabla1[[#This Row],[Atraso a facturar]]+Tabla1[[#This Row],[Ajuste atraso]]</f>
        <v>110000</v>
      </c>
      <c r="V311" s="3">
        <f>+Tabla1[[#This Row],[Total disponible]]-Tabla1[[#This Row],[Facturación atraso]]</f>
        <v>-85006.096716572269</v>
      </c>
      <c r="W311" s="6">
        <f>IFERROR(IF(AND(V311&gt;R311,J311&gt;=R311),ROUNDDOWN((Tabla1[[#This Row],[Producción para venta nueva]])/R311,0)*R311,0),0)</f>
        <v>0</v>
      </c>
      <c r="X311" s="76">
        <v>0</v>
      </c>
      <c r="Y311" s="6">
        <f>IF(Tabla1[[#This Row],[Venta del mes]]&gt;0,Tabla1[[#This Row],[Venta del mes]]+Tabla1[[#This Row],[Ajuste venta nueva]],0)</f>
        <v>0</v>
      </c>
      <c r="Z311" s="6">
        <f>+Tabla1[[#This Row],[Producción para venta nueva]]-Tabla1[[#This Row],[Facturación Venta nueva]]</f>
        <v>-85006.096716572269</v>
      </c>
      <c r="AA311" s="6">
        <f>IF(AND(A311=1,Tabla1[[#This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1" s="6"/>
      <c r="AC311" s="6">
        <f>IF(Tabla1[[#This Row],[Disponible stock sin venta]]&gt;0,Tabla1[[#This Row],[Disponible stock sin venta]]+Tabla1[[#This Row],[Ajuste stock sin venta]],0)</f>
        <v>0</v>
      </c>
      <c r="AD311" s="3">
        <f>IFERROR(VLOOKUP(Tabla1[[#This Row],[Llave]],'[16]TD Puerto'!$A:$D,4,FALSE),0)</f>
        <v>0</v>
      </c>
      <c r="AE311" s="3">
        <v>24000</v>
      </c>
      <c r="AF311" s="3">
        <f>+Tabla1[[#This Row],[Atraso a facturar]]+Tabla1[[#This Row],[Venta del mes]]+Tabla1[[#This Row],[En puerto a facturar]]+Tabla1[[#This Row],[Disponible stock sin venta]]</f>
        <v>24000</v>
      </c>
      <c r="AG311" s="3">
        <f>+Tabla1[[#This Row],[En puerto a facturar]]</f>
        <v>0</v>
      </c>
      <c r="AH311" s="3">
        <f>+Tabla1[[#This Row],[Facturación atraso]]</f>
        <v>110000</v>
      </c>
      <c r="AI311" s="3">
        <f>+Tabla1[[#This Row],[Plan Irrestricto]]-Tabla1[[#This Row],[Puerto ]]-Tabla1[[#This Row],[Atraso]]</f>
        <v>-86000</v>
      </c>
      <c r="AJ311" s="3">
        <f>IF(Tabla1[[#This Row],[Plan Irrestricto]]&gt;0,SUM(Tabla1[[#This Row],[Facturación atraso]],Tabla1[[#This Row],[Facturación Venta nueva]],Tabla1[[#This Row],[Facturación stock]],Tabla1[[#This Row],[En puerto a facturar]]),0)</f>
        <v>110000</v>
      </c>
      <c r="AK311" s="3">
        <f>+Tabla1[[#This Row],[Facturación atraso]]</f>
        <v>110000</v>
      </c>
      <c r="AL311" s="3">
        <f>+Tabla1[[#This Row],[Plan Ajustado]]-Tabla1[[#This Row],[ Atraso ajustado]]-Tabla1[[#This Row],[Puerto ]]</f>
        <v>0</v>
      </c>
      <c r="AM311" s="3">
        <v>0</v>
      </c>
      <c r="AN311" s="3" t="str">
        <f>IF(Tabla1[[#This Row],[Plan Ajustado]]&gt;Tabla1[[#This Row],[En puerto a facturar]],"Si","No")</f>
        <v>Si</v>
      </c>
      <c r="AO311" s="3">
        <f>IF(AND(Tabla1[[#This Row],[Plan Ajustado]]&gt;0,Tabla1[[#This Row],[Plan Ajustado]]&gt;Tabla1[[#This Row],[En puerto a facturar]]),(Tabla1[[#This Row],[Plan Ajustado]]-Tabla1[[#This Row],[En puerto a facturar]]),0)</f>
        <v>110000</v>
      </c>
      <c r="AP311" s="3">
        <f>IF(Tabla1[[#This Row],[Necesidad]]&gt;=Tabla1[[#This Row],[Stock al día]],Tabla1[[#This Row],[Stock al día]],Tabla1[[#This Row],[Necesidad]])</f>
        <v>0</v>
      </c>
      <c r="AQ311" s="3">
        <f>+Tabla1[[#This Row],[Necesidad]]-Tabla1[[#This Row],[Stock Plan]]</f>
        <v>110000</v>
      </c>
      <c r="AR311" s="156">
        <f>IFERROR(VLOOKUP(Tabla1[[#This Row],[Oficina]],[22]Ponderación!$B$3:$G$9,6,FALSE),"")</f>
        <v>44757</v>
      </c>
      <c r="AS311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2.1856964087091555</v>
      </c>
      <c r="AT311" s="83">
        <f>IFERROR(VLOOKUP(Tabla1[[#This Row],[Llave]],[17]DELAY!$H:$W,16,FALSE),0)</f>
        <v>2.2743602846673876</v>
      </c>
      <c r="AU311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2.2743602846673876</v>
      </c>
      <c r="AV311" s="5">
        <f>+Tabla1[[#This Row],[Plan Ajustado]]*Tabla1[[#This Row],[Precio ponderado]]</f>
        <v>250179.63131341262</v>
      </c>
      <c r="AW311" s="30">
        <f>IFERROR(VLOOKUP(Tabla1[[#This Row],[Llave]],'[13]Ultimos precios facturados'!$A:$G,7,FALSE),0)</f>
        <v>2.1856964087091555</v>
      </c>
      <c r="AX311" s="99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4.0565503793180441E-2</v>
      </c>
      <c r="AY311" s="30"/>
      <c r="AZ311" s="30">
        <f>IF(Tabla1[[#This Row],[Ajuste precio IC]]="",Tabla1[[#This Row],[Precio ponderado]],Tabla1[[#This Row],[Precio ponderado]])</f>
        <v>2.2743602846673876</v>
      </c>
      <c r="BA311" s="99"/>
      <c r="BB311" s="99" t="str">
        <f>IF(AND(Tabla1[[#This Row],[Atraso a facturar]]&gt;0,Tabla1[[#This Row],[Precio Atraso]]=0),"Revisar","OK")</f>
        <v>OK</v>
      </c>
      <c r="BC311" s="99" t="str">
        <f>IF(AND(Tabla1[[#This Row],[Venta del mes]]&gt;0,Tabla1[[#This Row],[Precio venta nueva]]=0),"Revisar","OK")</f>
        <v>OK</v>
      </c>
      <c r="BD311" s="20">
        <f>IFERROR(VLOOKUP(Tabla1[[#This Row],[Llave]],'[5]Consolidación planes'!$A:$M,9,FALSE),0)</f>
        <v>0</v>
      </c>
      <c r="BE311" s="20">
        <f>IFERROR(VLOOKUP(Tabla1[[#This Row],[Llave]],'[5]Consolidación planes'!$A:$M,10,FALSE),0)</f>
        <v>0</v>
      </c>
      <c r="BF311" s="20">
        <f>IFERROR(VLOOKUP(Tabla1[[#This Row],[Llave]],'[5]Consolidación planes'!$A:$M,11,FALSE),0)</f>
        <v>0</v>
      </c>
      <c r="BG311" s="20">
        <f>IFERROR(VLOOKUP(Tabla1[[#This Row],[Llave]],'[5]Consolidación planes'!$A:$M,12,FALSE),0)</f>
        <v>0</v>
      </c>
      <c r="BH311" s="20">
        <f>IFERROR(VLOOKUP(Tabla1[[#This Row],[Llave]],'[5]Consolidación planes'!$A:$M,13,FALSE),0)</f>
        <v>0</v>
      </c>
      <c r="BI311" s="35">
        <f>IFERROR(VLOOKUP(Tabla1[[#This Row],[Llave]],'[13]Base ultimos planes'!$A:$M,13,FALSE),0)</f>
        <v>0</v>
      </c>
      <c r="BJ311" s="80">
        <f>IFERROR(VLOOKUP(Tabla1[[#This Row],[Llave]],'[13]Base ultimos planes'!$O:$AA,8,FALSE),0)</f>
        <v>0</v>
      </c>
      <c r="BK311" s="100">
        <f>IFERROR(VLOOKUP(Tabla1[[#This Row],[Llave]],'[13]Base ultimos planes'!$O:$AA,9,FALSE),0)</f>
        <v>0</v>
      </c>
      <c r="BL311" s="100">
        <f>IFERROR(VLOOKUP(Tabla1[[#This Row],[Llave]],'[13]Base ultimos planes'!$O:$AA,10,FALSE),0)</f>
        <v>0</v>
      </c>
      <c r="BM311" s="100">
        <f>IFERROR(VLOOKUP(Tabla1[[#This Row],[Llave]],'[13]Base ultimos planes'!$O:$AA,11,FALSE),0)</f>
        <v>0</v>
      </c>
      <c r="BN311" s="100">
        <f>IFERROR(VLOOKUP(Tabla1[[#This Row],[Llave]],'[13]Base ultimos planes'!$O:$AA,12,FALSE),0)</f>
        <v>0</v>
      </c>
      <c r="BO311" s="100">
        <f>IFERROR(VLOOKUP(Tabla1[[#This Row],[Llave]],'[13]Base ultimos planes'!$O:$AA,13,FALSE),0)</f>
        <v>0</v>
      </c>
      <c r="BP311" s="35"/>
      <c r="BQ311" s="20">
        <f>+Tabla1[[#This Row],[ RV  Venta mes n+1]]*(1-Tabla1[[#This Row],[% Uti. producción]])</f>
        <v>0</v>
      </c>
      <c r="BR311" s="100"/>
    </row>
    <row r="312" spans="1:70" ht="16" hidden="1" x14ac:dyDescent="0.2">
      <c r="A312">
        <v>1</v>
      </c>
      <c r="B312" t="str">
        <f>Tabla1[[#This Row],[Oficina]]&amp;Tabla1[[#This Row],[Material]]</f>
        <v>Agro Sudamerica1030812</v>
      </c>
      <c r="C312" t="s">
        <v>204</v>
      </c>
      <c r="D312" t="s">
        <v>17</v>
      </c>
      <c r="E312">
        <v>1030812</v>
      </c>
      <c r="F312" t="s">
        <v>777</v>
      </c>
      <c r="G312" t="s">
        <v>220</v>
      </c>
      <c r="H312" t="s">
        <v>221</v>
      </c>
      <c r="I312" s="15">
        <f>IFERROR(VLOOKUP(Tabla1[[#This Row],[Llave]],'[7]RV Producción'!$C:$G,5,FALSE),0)</f>
        <v>24000</v>
      </c>
      <c r="J312" s="3">
        <f>IFERROR(IF(Tabla1[[#This Row],[Oficina]]=$I$7,VLOOKUP(Tabla1[[#This Row],[Llave]],'[7]Shangai (Tomas)'!$A:$F,6,FALSE),VLOOKUP(Tabla1[[#This Row],[Llave]],'[7]RV plan de ventas'!$A:$E,5,FALSE)),0)</f>
        <v>24000</v>
      </c>
      <c r="K312" s="17">
        <f>IFERROR(VLOOKUP(Tabla1[[#This Row],[Oficina]],[15]Ponderación!$B$2:$E$9,4,FALSE),0)</f>
        <v>0.45719439678473212</v>
      </c>
      <c r="L312" s="7">
        <f>+Tabla1[[#This Row],[ RV Producción mes n+1]]*Tabla1[[#This Row],[% Uti. producción]]</f>
        <v>10972.665522833571</v>
      </c>
      <c r="M312" s="15">
        <f>IFERROR(VLOOKUP(Tabla1[[#This Row],[Material]],'[17]TD Stock'!$E:$I,5,FALSE),0)</f>
        <v>0</v>
      </c>
      <c r="N312" s="15">
        <f>IFERROR(VLOOKUP(Tabla1[[#This Row],[Material]],[16]Produccion!$M:$N,2,FALSE),0)</f>
        <v>0</v>
      </c>
      <c r="O312" s="15">
        <f>IFERROR(VLOOKUP(Tabla1[[#This Row],[Llave]],'[16]TD Conf-AP'!$I:$M,4,FALSE),0)</f>
        <v>0</v>
      </c>
      <c r="P312" s="37">
        <f>SUM(Tabla1[[#This Row],[Producción disponible]],Tabla1[[#This Row],[Stock al día]],(Tabla1[[#This Row],[Por producir mes N]]*0.9))-Tabla1[[#This Row],[Producción por despachar mes N]]</f>
        <v>10972.665522833571</v>
      </c>
      <c r="Q312" s="15">
        <f>IFERROR(VLOOKUP(Tabla1[[#This Row],[Llave]],[17]DELAY!$A:$D,4,FALSE),0)</f>
        <v>0</v>
      </c>
      <c r="R312" s="75">
        <v>24000</v>
      </c>
      <c r="S312" s="98">
        <f t="shared" si="34"/>
        <v>0</v>
      </c>
      <c r="T312" s="76">
        <v>0</v>
      </c>
      <c r="U312" s="98">
        <f>+Tabla1[[#This Row],[Atraso a facturar]]+Tabla1[[#This Row],[Ajuste atraso]]</f>
        <v>0</v>
      </c>
      <c r="V312" s="3">
        <f>+Tabla1[[#This Row],[Total disponible]]-Tabla1[[#This Row],[Facturación atraso]]</f>
        <v>10972.665522833571</v>
      </c>
      <c r="W312" s="6">
        <f>IFERROR(IF(AND(V312&gt;R312,J312&gt;=R312),ROUNDDOWN((Tabla1[[#This Row],[Producción para venta nueva]])/R312,0)*R312,0),0)</f>
        <v>0</v>
      </c>
      <c r="X312" s="76">
        <v>0</v>
      </c>
      <c r="Y312" s="6">
        <f>IF(Tabla1[[#This Row],[Venta del mes]]&gt;0,Tabla1[[#This Row],[Venta del mes]]+Tabla1[[#This Row],[Ajuste venta nueva]],0)</f>
        <v>0</v>
      </c>
      <c r="Z312" s="6">
        <f>+Tabla1[[#This Row],[Producción para venta nueva]]-Tabla1[[#This Row],[Facturación Venta nueva]]</f>
        <v>10972.665522833571</v>
      </c>
      <c r="AA312" s="6">
        <f>IF(AND(A312=1,Tabla1[[#This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2" s="6"/>
      <c r="AC312" s="6">
        <f>IF(Tabla1[[#This Row],[Disponible stock sin venta]]&gt;0,Tabla1[[#This Row],[Disponible stock sin venta]]+Tabla1[[#This Row],[Ajuste stock sin venta]],0)</f>
        <v>0</v>
      </c>
      <c r="AD312" s="3">
        <f>IFERROR(VLOOKUP(Tabla1[[#This Row],[Llave]],'[16]TD Puerto'!$A:$D,4,FALSE),0)</f>
        <v>0</v>
      </c>
      <c r="AE312" s="3">
        <v>0</v>
      </c>
      <c r="AF312" s="3">
        <f>+Tabla1[[#This Row],[Atraso a facturar]]+Tabla1[[#This Row],[Venta del mes]]+Tabla1[[#This Row],[En puerto a facturar]]+Tabla1[[#This Row],[Disponible stock sin venta]]</f>
        <v>0</v>
      </c>
      <c r="AG312" s="3">
        <f>+Tabla1[[#This Row],[En puerto a facturar]]</f>
        <v>0</v>
      </c>
      <c r="AH312" s="3">
        <f>+Tabla1[[#This Row],[Facturación atraso]]</f>
        <v>0</v>
      </c>
      <c r="AI312" s="3">
        <f>+Tabla1[[#This Row],[Plan Irrestricto]]-Tabla1[[#This Row],[Puerto ]]-Tabla1[[#This Row],[Atraso]]</f>
        <v>0</v>
      </c>
      <c r="AJ312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12" s="3">
        <f>+Tabla1[[#This Row],[Facturación atraso]]</f>
        <v>0</v>
      </c>
      <c r="AL312" s="3">
        <f>+Tabla1[[#This Row],[Plan Ajustado]]-Tabla1[[#This Row],[ Atraso ajustado]]-Tabla1[[#This Row],[Puerto ]]</f>
        <v>0</v>
      </c>
      <c r="AM312" s="3">
        <v>0</v>
      </c>
      <c r="AN312" s="3" t="str">
        <f>IF(Tabla1[[#This Row],[Plan Ajustado]]&gt;Tabla1[[#This Row],[En puerto a facturar]],"Si","No")</f>
        <v>No</v>
      </c>
      <c r="AO312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12" s="3">
        <f>IF(Tabla1[[#This Row],[Necesidad]]&gt;=Tabla1[[#This Row],[Stock al día]],Tabla1[[#This Row],[Stock al día]],Tabla1[[#This Row],[Necesidad]])</f>
        <v>0</v>
      </c>
      <c r="AQ312" s="3">
        <f>+Tabla1[[#This Row],[Necesidad]]-Tabla1[[#This Row],[Stock Plan]]</f>
        <v>0</v>
      </c>
      <c r="AR312" s="156">
        <f>IFERROR(VLOOKUP(Tabla1[[#This Row],[Oficina]],[22]Ponderación!$B$3:$G$9,6,FALSE),"")</f>
        <v>44757</v>
      </c>
      <c r="AS312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4.4366666666666701</v>
      </c>
      <c r="AT312" s="83">
        <f>IFERROR(VLOOKUP(Tabla1[[#This Row],[Llave]],[17]DELAY!$H:$W,16,FALSE),0)</f>
        <v>0</v>
      </c>
      <c r="AU312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12" s="5">
        <f>+Tabla1[[#This Row],[Plan Ajustado]]*Tabla1[[#This Row],[Precio ponderado]]</f>
        <v>0</v>
      </c>
      <c r="AW312" s="30">
        <f>IFERROR(VLOOKUP(Tabla1[[#This Row],[Llave]],'[13]Ultimos precios facturados'!$A:$G,7,FALSE),0)</f>
        <v>0</v>
      </c>
      <c r="AX312" s="99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12" s="30"/>
      <c r="AZ312" s="30">
        <f>IF(Tabla1[[#This Row],[Ajuste precio IC]]="",Tabla1[[#This Row],[Precio ponderado]],Tabla1[[#This Row],[Precio ponderado]])</f>
        <v>0</v>
      </c>
      <c r="BA312" s="99"/>
      <c r="BB312" s="99" t="str">
        <f>IF(AND(Tabla1[[#This Row],[Atraso a facturar]]&gt;0,Tabla1[[#This Row],[Precio Atraso]]=0),"Revisar","OK")</f>
        <v>OK</v>
      </c>
      <c r="BC312" s="99" t="str">
        <f>IF(AND(Tabla1[[#This Row],[Venta del mes]]&gt;0,Tabla1[[#This Row],[Precio venta nueva]]=0),"Revisar","OK")</f>
        <v>OK</v>
      </c>
      <c r="BD312" s="20">
        <f>IFERROR(VLOOKUP(Tabla1[[#This Row],[Llave]],'[5]Consolidación planes'!$A:$M,9,FALSE),0)</f>
        <v>0</v>
      </c>
      <c r="BE312" s="20">
        <f>IFERROR(VLOOKUP(Tabla1[[#This Row],[Llave]],'[5]Consolidación planes'!$A:$M,10,FALSE),0)</f>
        <v>0</v>
      </c>
      <c r="BF312" s="20">
        <f>IFERROR(VLOOKUP(Tabla1[[#This Row],[Llave]],'[5]Consolidación planes'!$A:$M,11,FALSE),0)</f>
        <v>0</v>
      </c>
      <c r="BG312" s="20">
        <f>IFERROR(VLOOKUP(Tabla1[[#This Row],[Llave]],'[5]Consolidación planes'!$A:$M,12,FALSE),0)</f>
        <v>0</v>
      </c>
      <c r="BH312" s="20">
        <f>IFERROR(VLOOKUP(Tabla1[[#This Row],[Llave]],'[5]Consolidación planes'!$A:$M,13,FALSE),0)</f>
        <v>0</v>
      </c>
      <c r="BI312" s="35">
        <f>IFERROR(VLOOKUP(Tabla1[[#This Row],[Llave]],'[13]Base ultimos planes'!$A:$M,13,FALSE),0)</f>
        <v>0</v>
      </c>
      <c r="BJ312" s="80">
        <f>IFERROR(VLOOKUP(Tabla1[[#This Row],[Llave]],'[13]Base ultimos planes'!$O:$AA,8,FALSE),0)</f>
        <v>0</v>
      </c>
      <c r="BK312" s="100">
        <f>IFERROR(VLOOKUP(Tabla1[[#This Row],[Llave]],'[13]Base ultimos planes'!$O:$AA,9,FALSE),0)</f>
        <v>0</v>
      </c>
      <c r="BL312" s="100">
        <f>IFERROR(VLOOKUP(Tabla1[[#This Row],[Llave]],'[13]Base ultimos planes'!$O:$AA,10,FALSE),0)</f>
        <v>0</v>
      </c>
      <c r="BM312" s="100">
        <f>IFERROR(VLOOKUP(Tabla1[[#This Row],[Llave]],'[13]Base ultimos planes'!$O:$AA,11,FALSE),0)</f>
        <v>0</v>
      </c>
      <c r="BN312" s="100">
        <f>IFERROR(VLOOKUP(Tabla1[[#This Row],[Llave]],'[13]Base ultimos planes'!$O:$AA,12,FALSE),0)</f>
        <v>0</v>
      </c>
      <c r="BO312" s="100">
        <f>IFERROR(VLOOKUP(Tabla1[[#This Row],[Llave]],'[13]Base ultimos planes'!$O:$AA,13,FALSE),0)</f>
        <v>0</v>
      </c>
      <c r="BP312" s="35"/>
      <c r="BQ312" s="20">
        <f>+Tabla1[[#This Row],[ RV  Venta mes n+1]]*(1-Tabla1[[#This Row],[% Uti. producción]])</f>
        <v>13027.334477166431</v>
      </c>
      <c r="BR312" s="100"/>
    </row>
    <row r="313" spans="1:70" ht="16" hidden="1" x14ac:dyDescent="0.2">
      <c r="B313" t="str">
        <f>Tabla1[[#This Row],[Oficina]]&amp;Tabla1[[#This Row],[Material]]</f>
        <v>Agro Sudamerica1030816</v>
      </c>
      <c r="C313" t="s">
        <v>204</v>
      </c>
      <c r="D313" t="s">
        <v>17</v>
      </c>
      <c r="E313">
        <v>1030816</v>
      </c>
      <c r="F313" t="s">
        <v>207</v>
      </c>
      <c r="G313" t="s">
        <v>205</v>
      </c>
      <c r="H313" t="s">
        <v>206</v>
      </c>
      <c r="I313" s="15">
        <f>IFERROR(VLOOKUP(Tabla1[[#This Row],[Llave]],'[7]RV Producción'!$C:$G,5,FALSE),0)</f>
        <v>0</v>
      </c>
      <c r="J313" s="3">
        <f>IFERROR(IF(Tabla1[[#This Row],[Oficina]]=$I$7,VLOOKUP(Tabla1[[#This Row],[Llave]],'[7]Shangai (Tomas)'!$A:$F,6,FALSE),VLOOKUP(Tabla1[[#This Row],[Llave]],'[7]RV plan de ventas'!$A:$E,5,FALSE)),0)</f>
        <v>5655</v>
      </c>
      <c r="K313" s="17">
        <f>IFERROR(VLOOKUP(Tabla1[[#This Row],[Oficina]],[15]Ponderación!$B$2:$E$9,4,FALSE),0)</f>
        <v>0.45719439678473212</v>
      </c>
      <c r="L313" s="7">
        <f>+Tabla1[[#This Row],[ RV Producción mes n+1]]*Tabla1[[#This Row],[% Uti. producción]]</f>
        <v>0</v>
      </c>
      <c r="M313" s="15">
        <f>IFERROR(VLOOKUP(Tabla1[[#This Row],[Material]],'[17]TD Stock'!$E:$I,5,FALSE),0)</f>
        <v>0</v>
      </c>
      <c r="N313" s="15">
        <f>IFERROR(VLOOKUP(Tabla1[[#This Row],[Material]],[16]Produccion!$M:$N,2,FALSE),0)</f>
        <v>7255.1496791533682</v>
      </c>
      <c r="O313" s="15">
        <f>IFERROR(VLOOKUP(Tabla1[[#This Row],[Llave]],'[16]TD Conf-AP'!$I:$M,4,FALSE),0)</f>
        <v>0</v>
      </c>
      <c r="P313" s="37">
        <f>SUM(Tabla1[[#This Row],[Producción disponible]],Tabla1[[#This Row],[Stock al día]],(Tabla1[[#This Row],[Por producir mes N]]*0.9))-Tabla1[[#This Row],[Producción por despachar mes N]]</f>
        <v>6529.6347112380317</v>
      </c>
      <c r="Q313" s="15">
        <f>IFERROR(VLOOKUP(Tabla1[[#This Row],[Llave]],[17]DELAY!$A:$D,4,FALSE),0)</f>
        <v>0</v>
      </c>
      <c r="R313" s="75">
        <v>24000</v>
      </c>
      <c r="S313" s="98">
        <f t="shared" ref="S313:S314" si="35">IF(AND(P313&gt;Q313,Q313&gt;0),Q313,IF(AND(P313&lt;Q313,Q313&gt;0),(ROUNDDOWN(P313/R313,0)*R313),0))</f>
        <v>0</v>
      </c>
      <c r="T313" s="76">
        <v>0</v>
      </c>
      <c r="U313" s="98">
        <f>+Tabla1[[#This Row],[Atraso a facturar]]+Tabla1[[#This Row],[Ajuste atraso]]</f>
        <v>0</v>
      </c>
      <c r="V313" s="3">
        <f>+Tabla1[[#This Row],[Total disponible]]-Tabla1[[#This Row],[Facturación atraso]]</f>
        <v>6529.6347112380317</v>
      </c>
      <c r="W313" s="6">
        <f>IFERROR(IF(AND(V313&gt;R313,J313&gt;=R313),ROUNDDOWN((Tabla1[[#This Row],[Producción para venta nueva]])/R313,0)*R313,0),0)</f>
        <v>0</v>
      </c>
      <c r="X313" s="76">
        <v>0</v>
      </c>
      <c r="Y313" s="6">
        <f>IF(Tabla1[[#This Row],[Venta del mes]]&gt;0,Tabla1[[#This Row],[Venta del mes]]+Tabla1[[#This Row],[Ajuste venta nueva]],0)</f>
        <v>0</v>
      </c>
      <c r="Z313" s="6">
        <f>+Tabla1[[#This Row],[Producción para venta nueva]]-Tabla1[[#This Row],[Facturación Venta nueva]]</f>
        <v>6529.6347112380317</v>
      </c>
      <c r="AA313" s="6">
        <f>IF(AND(A313=1,Tabla1[[#This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3" s="6"/>
      <c r="AC313" s="6">
        <f>IF(Tabla1[[#This Row],[Disponible stock sin venta]]&gt;0,Tabla1[[#This Row],[Disponible stock sin venta]]+Tabla1[[#This Row],[Ajuste stock sin venta]],0)</f>
        <v>0</v>
      </c>
      <c r="AD313" s="3">
        <f>IFERROR(VLOOKUP(Tabla1[[#This Row],[Llave]],'[16]TD Puerto'!$A:$D,4,FALSE),0)</f>
        <v>0</v>
      </c>
      <c r="AE313" s="3">
        <v>0</v>
      </c>
      <c r="AF313" s="3">
        <f>+Tabla1[[#This Row],[Atraso a facturar]]+Tabla1[[#This Row],[Venta del mes]]+Tabla1[[#This Row],[En puerto a facturar]]+Tabla1[[#This Row],[Disponible stock sin venta]]</f>
        <v>0</v>
      </c>
      <c r="AG313" s="3">
        <f>+Tabla1[[#This Row],[En puerto a facturar]]</f>
        <v>0</v>
      </c>
      <c r="AH313" s="3">
        <f>+Tabla1[[#This Row],[Facturación atraso]]</f>
        <v>0</v>
      </c>
      <c r="AI313" s="3">
        <f>+Tabla1[[#This Row],[Plan Irrestricto]]-Tabla1[[#This Row],[Puerto ]]-Tabla1[[#This Row],[Atraso]]</f>
        <v>0</v>
      </c>
      <c r="AJ313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13" s="3">
        <f>+Tabla1[[#This Row],[Facturación atraso]]</f>
        <v>0</v>
      </c>
      <c r="AL313" s="3">
        <f>+Tabla1[[#This Row],[Plan Ajustado]]-Tabla1[[#This Row],[ Atraso ajustado]]-Tabla1[[#This Row],[Puerto ]]</f>
        <v>0</v>
      </c>
      <c r="AM313" s="3">
        <v>0</v>
      </c>
      <c r="AN313" s="3" t="str">
        <f>IF(Tabla1[[#This Row],[Plan Ajustado]]&gt;Tabla1[[#This Row],[En puerto a facturar]],"Si","No")</f>
        <v>No</v>
      </c>
      <c r="AO313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13" s="3">
        <f>IF(Tabla1[[#This Row],[Necesidad]]&gt;=Tabla1[[#This Row],[Stock al día]],Tabla1[[#This Row],[Stock al día]],Tabla1[[#This Row],[Necesidad]])</f>
        <v>0</v>
      </c>
      <c r="AQ313" s="3">
        <f>+Tabla1[[#This Row],[Necesidad]]-Tabla1[[#This Row],[Stock Plan]]</f>
        <v>0</v>
      </c>
      <c r="AR313" s="156">
        <f>IFERROR(VLOOKUP(Tabla1[[#This Row],[Oficina]],[22]Ponderación!$B$3:$G$9,6,FALSE),"")</f>
        <v>44757</v>
      </c>
      <c r="AS313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1.5299734748010601</v>
      </c>
      <c r="AT313" s="83">
        <f>IFERROR(VLOOKUP(Tabla1[[#This Row],[Llave]],[17]DELAY!$H:$W,16,FALSE),0)</f>
        <v>0</v>
      </c>
      <c r="AU313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13" s="5">
        <f>+Tabla1[[#This Row],[Plan Ajustado]]*Tabla1[[#This Row],[Precio ponderado]]</f>
        <v>0</v>
      </c>
      <c r="AW313" s="30">
        <f>IFERROR(VLOOKUP(Tabla1[[#This Row],[Llave]],'[13]Ultimos precios facturados'!$A:$G,7,FALSE),0)</f>
        <v>0</v>
      </c>
      <c r="AX313" s="99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13" s="30"/>
      <c r="AZ313" s="30">
        <f>IF(Tabla1[[#This Row],[Ajuste precio IC]]="",Tabla1[[#This Row],[Precio ponderado]],Tabla1[[#This Row],[Precio ponderado]])</f>
        <v>0</v>
      </c>
      <c r="BA313" s="99"/>
      <c r="BB313" s="99" t="str">
        <f>IF(AND(Tabla1[[#This Row],[Atraso a facturar]]&gt;0,Tabla1[[#This Row],[Precio Atraso]]=0),"Revisar","OK")</f>
        <v>OK</v>
      </c>
      <c r="BC313" s="99" t="str">
        <f>IF(AND(Tabla1[[#This Row],[Venta del mes]]&gt;0,Tabla1[[#This Row],[Precio venta nueva]]=0),"Revisar","OK")</f>
        <v>OK</v>
      </c>
      <c r="BD313" s="20">
        <f>IFERROR(VLOOKUP(Tabla1[[#This Row],[Llave]],'[5]Consolidación planes'!$A:$M,9,FALSE),0)</f>
        <v>0</v>
      </c>
      <c r="BE313" s="20">
        <f>IFERROR(VLOOKUP(Tabla1[[#This Row],[Llave]],'[5]Consolidación planes'!$A:$M,10,FALSE),0)</f>
        <v>0</v>
      </c>
      <c r="BF313" s="20">
        <f>IFERROR(VLOOKUP(Tabla1[[#This Row],[Llave]],'[5]Consolidación planes'!$A:$M,11,FALSE),0)</f>
        <v>0</v>
      </c>
      <c r="BG313" s="20">
        <f>IFERROR(VLOOKUP(Tabla1[[#This Row],[Llave]],'[5]Consolidación planes'!$A:$M,12,FALSE),0)</f>
        <v>0</v>
      </c>
      <c r="BH313" s="20">
        <f>IFERROR(VLOOKUP(Tabla1[[#This Row],[Llave]],'[5]Consolidación planes'!$A:$M,13,FALSE),0)</f>
        <v>0</v>
      </c>
      <c r="BI313" s="35">
        <f>IFERROR(VLOOKUP(Tabla1[[#This Row],[Llave]],'[13]Base ultimos planes'!$A:$M,13,FALSE),0)</f>
        <v>0</v>
      </c>
      <c r="BJ313" s="80">
        <f>IFERROR(VLOOKUP(Tabla1[[#This Row],[Llave]],'[13]Base ultimos planes'!$O:$AA,8,FALSE),0)</f>
        <v>0</v>
      </c>
      <c r="BK313" s="100">
        <f>IFERROR(VLOOKUP(Tabla1[[#This Row],[Llave]],'[13]Base ultimos planes'!$O:$AA,9,FALSE),0)</f>
        <v>0</v>
      </c>
      <c r="BL313" s="100">
        <f>IFERROR(VLOOKUP(Tabla1[[#This Row],[Llave]],'[13]Base ultimos planes'!$O:$AA,10,FALSE),0)</f>
        <v>0</v>
      </c>
      <c r="BM313" s="100">
        <f>IFERROR(VLOOKUP(Tabla1[[#This Row],[Llave]],'[13]Base ultimos planes'!$O:$AA,11,FALSE),0)</f>
        <v>0</v>
      </c>
      <c r="BN313" s="100">
        <f>IFERROR(VLOOKUP(Tabla1[[#This Row],[Llave]],'[13]Base ultimos planes'!$O:$AA,12,FALSE),0)</f>
        <v>0</v>
      </c>
      <c r="BO313" s="100">
        <f>IFERROR(VLOOKUP(Tabla1[[#This Row],[Llave]],'[13]Base ultimos planes'!$O:$AA,13,FALSE),0)</f>
        <v>0</v>
      </c>
      <c r="BP313" s="35"/>
      <c r="BQ313" s="20">
        <f>+Tabla1[[#This Row],[ RV  Venta mes n+1]]*(1-Tabla1[[#This Row],[% Uti. producción]])</f>
        <v>3069.5656861823404</v>
      </c>
      <c r="BR313" s="100"/>
    </row>
    <row r="314" spans="1:70" ht="16" hidden="1" x14ac:dyDescent="0.2">
      <c r="B314" t="str">
        <f>Tabla1[[#This Row],[Oficina]]&amp;Tabla1[[#This Row],[Material]]</f>
        <v>Agro Sudamerica1030821</v>
      </c>
      <c r="C314" t="s">
        <v>204</v>
      </c>
      <c r="D314" t="s">
        <v>17</v>
      </c>
      <c r="E314">
        <v>1030821</v>
      </c>
      <c r="F314" t="s">
        <v>778</v>
      </c>
      <c r="G314" t="s">
        <v>212</v>
      </c>
      <c r="H314" t="s">
        <v>213</v>
      </c>
      <c r="I314" s="15">
        <f>IFERROR(VLOOKUP(Tabla1[[#This Row],[Llave]],'[7]RV Producción'!$C:$G,5,FALSE),0)</f>
        <v>0</v>
      </c>
      <c r="J314" s="3">
        <f>IFERROR(IF(Tabla1[[#This Row],[Oficina]]=$I$7,VLOOKUP(Tabla1[[#This Row],[Llave]],'[7]Shangai (Tomas)'!$A:$F,6,FALSE),VLOOKUP(Tabla1[[#This Row],[Llave]],'[7]RV plan de ventas'!$A:$E,5,FALSE)),0)</f>
        <v>24000</v>
      </c>
      <c r="K314" s="17">
        <f>IFERROR(VLOOKUP(Tabla1[[#This Row],[Oficina]],[15]Ponderación!$B$2:$E$9,4,FALSE),0)</f>
        <v>0.45719439678473212</v>
      </c>
      <c r="L314" s="7">
        <f>+Tabla1[[#This Row],[ RV Producción mes n+1]]*Tabla1[[#This Row],[% Uti. producción]]</f>
        <v>0</v>
      </c>
      <c r="M314" s="15">
        <f>IFERROR(VLOOKUP(Tabla1[[#This Row],[Material]],'[17]TD Stock'!$E:$I,5,FALSE),0)</f>
        <v>0</v>
      </c>
      <c r="N314" s="15">
        <f>IFERROR(VLOOKUP(Tabla1[[#This Row],[Material]],[16]Produccion!$M:$N,2,FALSE),0)</f>
        <v>0</v>
      </c>
      <c r="O314" s="15">
        <f>IFERROR(VLOOKUP(Tabla1[[#This Row],[Llave]],'[16]TD Conf-AP'!$I:$M,4,FALSE),0)</f>
        <v>0</v>
      </c>
      <c r="P314" s="37">
        <f>SUM(Tabla1[[#This Row],[Producción disponible]],Tabla1[[#This Row],[Stock al día]],(Tabla1[[#This Row],[Por producir mes N]]*0.9))-Tabla1[[#This Row],[Producción por despachar mes N]]</f>
        <v>0</v>
      </c>
      <c r="Q314" s="15">
        <f>IFERROR(VLOOKUP(Tabla1[[#This Row],[Llave]],[17]DELAY!$A:$D,4,FALSE),0)</f>
        <v>0</v>
      </c>
      <c r="R314" s="75"/>
      <c r="S314" s="98">
        <f t="shared" si="35"/>
        <v>0</v>
      </c>
      <c r="T314" s="76">
        <v>0</v>
      </c>
      <c r="U314" s="98">
        <f>+Tabla1[[#This Row],[Atraso a facturar]]+Tabla1[[#This Row],[Ajuste atraso]]</f>
        <v>0</v>
      </c>
      <c r="V314" s="3">
        <f>+Tabla1[[#This Row],[Total disponible]]-Tabla1[[#This Row],[Facturación atraso]]</f>
        <v>0</v>
      </c>
      <c r="W314" s="6">
        <f>IFERROR(IF(AND(V314&gt;R314,J314&gt;=R314),ROUNDDOWN((Tabla1[[#This Row],[Producción para venta nueva]])/R314,0)*R314,0),0)</f>
        <v>0</v>
      </c>
      <c r="X314" s="76">
        <v>0</v>
      </c>
      <c r="Y314" s="6">
        <f>IF(Tabla1[[#This Row],[Venta del mes]]&gt;0,Tabla1[[#This Row],[Venta del mes]]+Tabla1[[#This Row],[Ajuste venta nueva]],0)</f>
        <v>0</v>
      </c>
      <c r="Z314" s="6">
        <f>+Tabla1[[#This Row],[Producción para venta nueva]]-Tabla1[[#This Row],[Facturación Venta nueva]]</f>
        <v>0</v>
      </c>
      <c r="AA314" s="6">
        <f>IF(AND(A314=1,Tabla1[[#This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4" s="6"/>
      <c r="AC314" s="6">
        <f>IF(Tabla1[[#This Row],[Disponible stock sin venta]]&gt;0,Tabla1[[#This Row],[Disponible stock sin venta]]+Tabla1[[#This Row],[Ajuste stock sin venta]],0)</f>
        <v>0</v>
      </c>
      <c r="AD314" s="3">
        <f>IFERROR(VLOOKUP(Tabla1[[#This Row],[Llave]],'[16]TD Puerto'!$A:$D,4,FALSE),0)</f>
        <v>0</v>
      </c>
      <c r="AE314" s="3">
        <v>0</v>
      </c>
      <c r="AF314" s="3">
        <f>+Tabla1[[#This Row],[Atraso a facturar]]+Tabla1[[#This Row],[Venta del mes]]+Tabla1[[#This Row],[En puerto a facturar]]+Tabla1[[#This Row],[Disponible stock sin venta]]</f>
        <v>0</v>
      </c>
      <c r="AG314" s="3">
        <f>+Tabla1[[#This Row],[En puerto a facturar]]</f>
        <v>0</v>
      </c>
      <c r="AH314" s="3">
        <f>+Tabla1[[#This Row],[Facturación atraso]]</f>
        <v>0</v>
      </c>
      <c r="AI314" s="3">
        <f>+Tabla1[[#This Row],[Plan Irrestricto]]-Tabla1[[#This Row],[Puerto ]]-Tabla1[[#This Row],[Atraso]]</f>
        <v>0</v>
      </c>
      <c r="AJ314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14" s="3">
        <f>+Tabla1[[#This Row],[Facturación atraso]]</f>
        <v>0</v>
      </c>
      <c r="AL314" s="3">
        <f>+Tabla1[[#This Row],[Plan Ajustado]]-Tabla1[[#This Row],[ Atraso ajustado]]-Tabla1[[#This Row],[Puerto ]]</f>
        <v>0</v>
      </c>
      <c r="AM314" s="3">
        <v>0</v>
      </c>
      <c r="AN314" s="3" t="str">
        <f>IF(Tabla1[[#This Row],[Plan Ajustado]]&gt;Tabla1[[#This Row],[En puerto a facturar]],"Si","No")</f>
        <v>No</v>
      </c>
      <c r="AO314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14" s="3">
        <f>IF(Tabla1[[#This Row],[Necesidad]]&gt;=Tabla1[[#This Row],[Stock al día]],Tabla1[[#This Row],[Stock al día]],Tabla1[[#This Row],[Necesidad]])</f>
        <v>0</v>
      </c>
      <c r="AQ314" s="3">
        <f>+Tabla1[[#This Row],[Necesidad]]-Tabla1[[#This Row],[Stock Plan]]</f>
        <v>0</v>
      </c>
      <c r="AR314" s="156">
        <f>IFERROR(VLOOKUP(Tabla1[[#This Row],[Oficina]],[22]Ponderación!$B$3:$G$9,6,FALSE),"")</f>
        <v>44757</v>
      </c>
      <c r="AS314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10.8866666666667</v>
      </c>
      <c r="AT314" s="83">
        <f>IFERROR(VLOOKUP(Tabla1[[#This Row],[Llave]],[17]DELAY!$H:$W,16,FALSE),0)</f>
        <v>0</v>
      </c>
      <c r="AU314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14" s="5">
        <f>+Tabla1[[#This Row],[Plan Ajustado]]*Tabla1[[#This Row],[Precio ponderado]]</f>
        <v>0</v>
      </c>
      <c r="AW314" s="30">
        <f>IFERROR(VLOOKUP(Tabla1[[#This Row],[Llave]],'[13]Ultimos precios facturados'!$A:$G,7,FALSE),0)</f>
        <v>0</v>
      </c>
      <c r="AX314" s="99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14" s="30"/>
      <c r="AZ314" s="30">
        <f>IF(Tabla1[[#This Row],[Ajuste precio IC]]="",Tabla1[[#This Row],[Precio ponderado]],Tabla1[[#This Row],[Precio ponderado]])</f>
        <v>0</v>
      </c>
      <c r="BA314" s="99"/>
      <c r="BB314" s="99" t="str">
        <f>IF(AND(Tabla1[[#This Row],[Atraso a facturar]]&gt;0,Tabla1[[#This Row],[Precio Atraso]]=0),"Revisar","OK")</f>
        <v>OK</v>
      </c>
      <c r="BC314" s="99" t="str">
        <f>IF(AND(Tabla1[[#This Row],[Venta del mes]]&gt;0,Tabla1[[#This Row],[Precio venta nueva]]=0),"Revisar","OK")</f>
        <v>OK</v>
      </c>
      <c r="BD314" s="20">
        <f>IFERROR(VLOOKUP(Tabla1[[#This Row],[Llave]],'[5]Consolidación planes'!$A:$M,9,FALSE),0)</f>
        <v>0</v>
      </c>
      <c r="BE314" s="20">
        <f>IFERROR(VLOOKUP(Tabla1[[#This Row],[Llave]],'[5]Consolidación planes'!$A:$M,10,FALSE),0)</f>
        <v>0</v>
      </c>
      <c r="BF314" s="20">
        <f>IFERROR(VLOOKUP(Tabla1[[#This Row],[Llave]],'[5]Consolidación planes'!$A:$M,11,FALSE),0)</f>
        <v>0</v>
      </c>
      <c r="BG314" s="20">
        <f>IFERROR(VLOOKUP(Tabla1[[#This Row],[Llave]],'[5]Consolidación planes'!$A:$M,12,FALSE),0)</f>
        <v>0</v>
      </c>
      <c r="BH314" s="20">
        <f>IFERROR(VLOOKUP(Tabla1[[#This Row],[Llave]],'[5]Consolidación planes'!$A:$M,13,FALSE),0)</f>
        <v>0</v>
      </c>
      <c r="BI314" s="35">
        <f>IFERROR(VLOOKUP(Tabla1[[#This Row],[Llave]],'[13]Base ultimos planes'!$A:$M,13,FALSE),0)</f>
        <v>0</v>
      </c>
      <c r="BJ314" s="80">
        <f>IFERROR(VLOOKUP(Tabla1[[#This Row],[Llave]],'[13]Base ultimos planes'!$O:$AA,8,FALSE),0)</f>
        <v>0</v>
      </c>
      <c r="BK314" s="100">
        <f>IFERROR(VLOOKUP(Tabla1[[#This Row],[Llave]],'[13]Base ultimos planes'!$O:$AA,9,FALSE),0)</f>
        <v>0</v>
      </c>
      <c r="BL314" s="100">
        <f>IFERROR(VLOOKUP(Tabla1[[#This Row],[Llave]],'[13]Base ultimos planes'!$O:$AA,10,FALSE),0)</f>
        <v>0</v>
      </c>
      <c r="BM314" s="100">
        <f>IFERROR(VLOOKUP(Tabla1[[#This Row],[Llave]],'[13]Base ultimos planes'!$O:$AA,11,FALSE),0)</f>
        <v>0</v>
      </c>
      <c r="BN314" s="100">
        <f>IFERROR(VLOOKUP(Tabla1[[#This Row],[Llave]],'[13]Base ultimos planes'!$O:$AA,12,FALSE),0)</f>
        <v>0</v>
      </c>
      <c r="BO314" s="100">
        <f>IFERROR(VLOOKUP(Tabla1[[#This Row],[Llave]],'[13]Base ultimos planes'!$O:$AA,13,FALSE),0)</f>
        <v>0</v>
      </c>
      <c r="BP314" s="35"/>
      <c r="BQ314" s="20">
        <f>+Tabla1[[#This Row],[ RV  Venta mes n+1]]*(1-Tabla1[[#This Row],[% Uti. producción]])</f>
        <v>13027.334477166431</v>
      </c>
      <c r="BR314" s="100"/>
    </row>
    <row r="315" spans="1:70" ht="16" hidden="1" x14ac:dyDescent="0.2">
      <c r="A315">
        <v>1</v>
      </c>
      <c r="B315" t="str">
        <f>Tabla1[[#This Row],[Oficina]]&amp;Tabla1[[#This Row],[Material]]</f>
        <v>Agro Sudamerica1020086</v>
      </c>
      <c r="C315" t="s">
        <v>6</v>
      </c>
      <c r="D315" t="s">
        <v>17</v>
      </c>
      <c r="E315">
        <v>1020086</v>
      </c>
      <c r="F315" t="s">
        <v>779</v>
      </c>
      <c r="G315" t="s">
        <v>50</v>
      </c>
      <c r="H315" t="s">
        <v>51</v>
      </c>
      <c r="I315" s="15">
        <f>IFERROR(VLOOKUP(Tabla1[[#This Row],[Llave]],'[7]RV Producción'!$C:$G,5,FALSE),0)</f>
        <v>24000</v>
      </c>
      <c r="J315" s="3">
        <f>IFERROR(IF(Tabla1[[#This Row],[Oficina]]=$I$7,VLOOKUP(Tabla1[[#This Row],[Llave]],'[7]Shangai (Tomas)'!$A:$F,6,FALSE),VLOOKUP(Tabla1[[#This Row],[Llave]],'[7]RV plan de ventas'!$A:$E,5,FALSE)),0)</f>
        <v>24000</v>
      </c>
      <c r="K315" s="17">
        <f>IFERROR(VLOOKUP(Tabla1[[#This Row],[Oficina]],[15]Ponderación!$B$2:$E$9,4,FALSE),0)</f>
        <v>0.45719439678473212</v>
      </c>
      <c r="L315" s="7">
        <f>+Tabla1[[#This Row],[ RV Producción mes n+1]]*Tabla1[[#This Row],[% Uti. producción]]</f>
        <v>10972.665522833571</v>
      </c>
      <c r="M315" s="15">
        <f>IFERROR(VLOOKUP(Tabla1[[#This Row],[Material]],'[17]TD Stock'!$E:$I,5,FALSE),0)</f>
        <v>0</v>
      </c>
      <c r="N315" s="15">
        <f>IFERROR(VLOOKUP(Tabla1[[#This Row],[Material]],[16]Produccion!$M:$N,2,FALSE),0)</f>
        <v>0</v>
      </c>
      <c r="O315" s="15">
        <f>IFERROR(VLOOKUP(Tabla1[[#This Row],[Llave]],'[16]TD Conf-AP'!$I:$M,4,FALSE),0)</f>
        <v>0</v>
      </c>
      <c r="P315" s="37">
        <f>SUM(Tabla1[[#This Row],[Producción disponible]],Tabla1[[#This Row],[Stock al día]],(Tabla1[[#This Row],[Por producir mes N]]*0.9))-Tabla1[[#This Row],[Producción por despachar mes N]]</f>
        <v>10972.665522833571</v>
      </c>
      <c r="Q315" s="15">
        <f>IFERROR(VLOOKUP(Tabla1[[#This Row],[Llave]],[17]DELAY!$A:$D,4,FALSE),0)</f>
        <v>0</v>
      </c>
      <c r="R315" s="75">
        <v>24000</v>
      </c>
      <c r="S315" s="98">
        <f>IF(AND(P315&gt;Q315,Q315&gt;0),Q315,IF(AND(P315&lt;Q315,Q315&gt;0),(ROUNDDOWN(P315/R315,0)*R315),0))</f>
        <v>0</v>
      </c>
      <c r="T315" s="76">
        <v>0</v>
      </c>
      <c r="U315" s="98">
        <f>+Tabla1[[#This Row],[Atraso a facturar]]+Tabla1[[#This Row],[Ajuste atraso]]</f>
        <v>0</v>
      </c>
      <c r="V315" s="3">
        <f>+Tabla1[[#This Row],[Total disponible]]-Tabla1[[#This Row],[Facturación atraso]]</f>
        <v>10972.665522833571</v>
      </c>
      <c r="W315" s="6">
        <f>IFERROR(IF(AND(V315&gt;R315,J315&gt;=R315),ROUNDDOWN((Tabla1[[#This Row],[Producción para venta nueva]])/R315,0)*R315,0),0)</f>
        <v>0</v>
      </c>
      <c r="X315" s="76">
        <v>0</v>
      </c>
      <c r="Y315" s="6">
        <f>IF(Tabla1[[#This Row],[Venta del mes]]&gt;0,Tabla1[[#This Row],[Venta del mes]]+Tabla1[[#This Row],[Ajuste venta nueva]],0)</f>
        <v>0</v>
      </c>
      <c r="Z315" s="6">
        <f>+Tabla1[[#This Row],[Producción para venta nueva]]-Tabla1[[#This Row],[Facturación Venta nueva]]</f>
        <v>10972.665522833571</v>
      </c>
      <c r="AA315" s="6">
        <f>IF(AND(A315=1,Tabla1[[#This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5" s="6"/>
      <c r="AC315" s="6">
        <f>IF(Tabla1[[#This Row],[Disponible stock sin venta]]&gt;0,Tabla1[[#This Row],[Disponible stock sin venta]]+Tabla1[[#This Row],[Ajuste stock sin venta]],0)</f>
        <v>0</v>
      </c>
      <c r="AD315" s="3">
        <f>IFERROR(VLOOKUP(Tabla1[[#This Row],[Llave]],'[16]TD Puerto'!$A:$D,4,FALSE),0)</f>
        <v>0</v>
      </c>
      <c r="AE315" s="3">
        <v>0</v>
      </c>
      <c r="AF315" s="3">
        <f>+Tabla1[[#This Row],[Atraso a facturar]]+Tabla1[[#This Row],[Venta del mes]]+Tabla1[[#This Row],[En puerto a facturar]]+Tabla1[[#This Row],[Disponible stock sin venta]]</f>
        <v>0</v>
      </c>
      <c r="AG315" s="3">
        <f>+Tabla1[[#This Row],[En puerto a facturar]]</f>
        <v>0</v>
      </c>
      <c r="AH315" s="3">
        <f>+Tabla1[[#This Row],[Facturación atraso]]</f>
        <v>0</v>
      </c>
      <c r="AI315" s="3">
        <f>+Tabla1[[#This Row],[Plan Irrestricto]]-Tabla1[[#This Row],[Puerto ]]-Tabla1[[#This Row],[Atraso]]</f>
        <v>0</v>
      </c>
      <c r="AJ315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15" s="3">
        <f>+Tabla1[[#This Row],[Facturación atraso]]</f>
        <v>0</v>
      </c>
      <c r="AL315" s="3">
        <f>+Tabla1[[#This Row],[Plan Ajustado]]-Tabla1[[#This Row],[ Atraso ajustado]]-Tabla1[[#This Row],[Puerto ]]</f>
        <v>0</v>
      </c>
      <c r="AM315" s="3">
        <v>0</v>
      </c>
      <c r="AN315" s="3" t="str">
        <f>IF(Tabla1[[#This Row],[Plan Ajustado]]&gt;Tabla1[[#This Row],[En puerto a facturar]],"Si","No")</f>
        <v>No</v>
      </c>
      <c r="AO315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15" s="3">
        <f>IF(Tabla1[[#This Row],[Necesidad]]&gt;=Tabla1[[#This Row],[Stock al día]],Tabla1[[#This Row],[Stock al día]],Tabla1[[#This Row],[Necesidad]])</f>
        <v>0</v>
      </c>
      <c r="AQ315" s="3">
        <f>+Tabla1[[#This Row],[Necesidad]]-Tabla1[[#This Row],[Stock Plan]]</f>
        <v>0</v>
      </c>
      <c r="AR315" s="156">
        <f>IFERROR(VLOOKUP(Tabla1[[#This Row],[Oficina]],[22]Ponderación!$B$3:$G$9,6,FALSE),"")</f>
        <v>44757</v>
      </c>
      <c r="AS315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3.21</v>
      </c>
      <c r="AT315" s="83">
        <f>IFERROR(VLOOKUP(Tabla1[[#This Row],[Llave]],[17]DELAY!$H:$W,16,FALSE),0)</f>
        <v>0</v>
      </c>
      <c r="AU315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15" s="5">
        <f>+Tabla1[[#This Row],[Plan Ajustado]]*Tabla1[[#This Row],[Precio ponderado]]</f>
        <v>0</v>
      </c>
      <c r="AW315" s="30">
        <f>IFERROR(VLOOKUP(Tabla1[[#This Row],[Llave]],'[13]Ultimos precios facturados'!$A:$G,7,FALSE),0)</f>
        <v>0</v>
      </c>
      <c r="AX315" s="99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15" s="30"/>
      <c r="AZ315" s="30">
        <f>IF(Tabla1[[#This Row],[Ajuste precio IC]]="",Tabla1[[#This Row],[Precio ponderado]],Tabla1[[#This Row],[Precio ponderado]])</f>
        <v>0</v>
      </c>
      <c r="BA315" s="99"/>
      <c r="BB315" s="99" t="str">
        <f>IF(AND(Tabla1[[#This Row],[Atraso a facturar]]&gt;0,Tabla1[[#This Row],[Precio Atraso]]=0),"Revisar","OK")</f>
        <v>OK</v>
      </c>
      <c r="BC315" s="99" t="str">
        <f>IF(AND(Tabla1[[#This Row],[Venta del mes]]&gt;0,Tabla1[[#This Row],[Precio venta nueva]]=0),"Revisar","OK")</f>
        <v>OK</v>
      </c>
      <c r="BD315" s="20">
        <f>IFERROR(VLOOKUP(Tabla1[[#This Row],[Llave]],'[5]Consolidación planes'!$A:$M,9,FALSE),0)</f>
        <v>0</v>
      </c>
      <c r="BE315" s="20">
        <f>IFERROR(VLOOKUP(Tabla1[[#This Row],[Llave]],'[5]Consolidación planes'!$A:$M,10,FALSE),0)</f>
        <v>0</v>
      </c>
      <c r="BF315" s="20">
        <f>IFERROR(VLOOKUP(Tabla1[[#This Row],[Llave]],'[5]Consolidación planes'!$A:$M,11,FALSE),0)</f>
        <v>0</v>
      </c>
      <c r="BG315" s="20">
        <f>IFERROR(VLOOKUP(Tabla1[[#This Row],[Llave]],'[5]Consolidación planes'!$A:$M,12,FALSE),0)</f>
        <v>0</v>
      </c>
      <c r="BH315" s="20">
        <f>IFERROR(VLOOKUP(Tabla1[[#This Row],[Llave]],'[5]Consolidación planes'!$A:$M,13,FALSE),0)</f>
        <v>0</v>
      </c>
      <c r="BI315" s="35">
        <f>IFERROR(VLOOKUP(Tabla1[[#This Row],[Llave]],'[13]Base ultimos planes'!$A:$M,13,FALSE),0)</f>
        <v>0</v>
      </c>
      <c r="BJ315" s="80">
        <f>IFERROR(VLOOKUP(Tabla1[[#This Row],[Llave]],'[13]Base ultimos planes'!$O:$AA,8,FALSE),0)</f>
        <v>0</v>
      </c>
      <c r="BK315" s="100">
        <f>IFERROR(VLOOKUP(Tabla1[[#This Row],[Llave]],'[13]Base ultimos planes'!$O:$AA,9,FALSE),0)</f>
        <v>0</v>
      </c>
      <c r="BL315" s="100">
        <f>IFERROR(VLOOKUP(Tabla1[[#This Row],[Llave]],'[13]Base ultimos planes'!$O:$AA,10,FALSE),0)</f>
        <v>0</v>
      </c>
      <c r="BM315" s="100">
        <f>IFERROR(VLOOKUP(Tabla1[[#This Row],[Llave]],'[13]Base ultimos planes'!$O:$AA,11,FALSE),0)</f>
        <v>0</v>
      </c>
      <c r="BN315" s="100">
        <f>IFERROR(VLOOKUP(Tabla1[[#This Row],[Llave]],'[13]Base ultimos planes'!$O:$AA,12,FALSE),0)</f>
        <v>0</v>
      </c>
      <c r="BO315" s="100">
        <f>IFERROR(VLOOKUP(Tabla1[[#This Row],[Llave]],'[13]Base ultimos planes'!$O:$AA,13,FALSE),0)</f>
        <v>0</v>
      </c>
      <c r="BP315" s="35"/>
      <c r="BQ315" s="20">
        <f>+Tabla1[[#This Row],[ RV  Venta mes n+1]]*(1-Tabla1[[#This Row],[% Uti. producción]])</f>
        <v>13027.334477166431</v>
      </c>
      <c r="BR315" s="100"/>
    </row>
    <row r="316" spans="1:70" ht="16" hidden="1" x14ac:dyDescent="0.2">
      <c r="A316">
        <v>1</v>
      </c>
      <c r="B316" t="str">
        <f>Tabla1[[#This Row],[Oficina]]&amp;Tabla1[[#This Row],[Material]]</f>
        <v>Agro Sudamerica1022290</v>
      </c>
      <c r="C316" t="s">
        <v>6</v>
      </c>
      <c r="D316" t="s">
        <v>17</v>
      </c>
      <c r="E316">
        <v>1022290</v>
      </c>
      <c r="F316" t="s">
        <v>780</v>
      </c>
      <c r="G316" t="s">
        <v>11</v>
      </c>
      <c r="H316" t="s">
        <v>15</v>
      </c>
      <c r="I316" s="15">
        <f>IFERROR(VLOOKUP(Tabla1[[#This Row],[Llave]],'[7]RV Producción'!$C:$G,5,FALSE),0)</f>
        <v>3702</v>
      </c>
      <c r="J316" s="3">
        <f>IFERROR(IF(Tabla1[[#This Row],[Oficina]]=$I$7,VLOOKUP(Tabla1[[#This Row],[Llave]],'[7]Shangai (Tomas)'!$A:$F,6,FALSE),VLOOKUP(Tabla1[[#This Row],[Llave]],'[7]RV plan de ventas'!$A:$E,5,FALSE)),0)</f>
        <v>0</v>
      </c>
      <c r="K316" s="17">
        <f>IFERROR(VLOOKUP(Tabla1[[#This Row],[Oficina]],[15]Ponderación!$B$2:$E$9,4,FALSE),0)</f>
        <v>0.45719439678473212</v>
      </c>
      <c r="L316" s="7">
        <f>+Tabla1[[#This Row],[ RV Producción mes n+1]]*Tabla1[[#This Row],[% Uti. producción]]</f>
        <v>1692.5336568970783</v>
      </c>
      <c r="M316" s="15">
        <f>IFERROR(VLOOKUP(Tabla1[[#This Row],[Material]],'[17]TD Stock'!$E:$I,5,FALSE),0)</f>
        <v>0</v>
      </c>
      <c r="N316" s="15">
        <f>IFERROR(VLOOKUP(Tabla1[[#This Row],[Material]],[16]Produccion!$M:$N,2,FALSE),0)</f>
        <v>0</v>
      </c>
      <c r="O316" s="15">
        <f>IFERROR(VLOOKUP(Tabla1[[#This Row],[Llave]],'[16]TD Conf-AP'!$I:$M,4,FALSE),0)</f>
        <v>0</v>
      </c>
      <c r="P316" s="37">
        <f>SUM(Tabla1[[#This Row],[Producción disponible]],Tabla1[[#This Row],[Stock al día]],(Tabla1[[#This Row],[Por producir mes N]]*0.9))-Tabla1[[#This Row],[Producción por despachar mes N]]</f>
        <v>1692.5336568970783</v>
      </c>
      <c r="Q316" s="15">
        <f>IFERROR(VLOOKUP(Tabla1[[#This Row],[Llave]],[17]DELAY!$A:$D,4,FALSE),0)</f>
        <v>0</v>
      </c>
      <c r="R316" s="75">
        <v>24000</v>
      </c>
      <c r="S316" s="98">
        <f>IF(AND(P316&gt;Q316,Q316&gt;0),Q316,IF(AND(P316&lt;Q316,Q316&gt;0),(ROUNDDOWN(P316/R316,0)*R316),0))</f>
        <v>0</v>
      </c>
      <c r="T316" s="76">
        <v>0</v>
      </c>
      <c r="U316" s="98">
        <f>+Tabla1[[#This Row],[Atraso a facturar]]+Tabla1[[#This Row],[Ajuste atraso]]</f>
        <v>0</v>
      </c>
      <c r="V316" s="3">
        <f>+Tabla1[[#This Row],[Total disponible]]-Tabla1[[#This Row],[Facturación atraso]]</f>
        <v>1692.5336568970783</v>
      </c>
      <c r="W316" s="6">
        <f>IFERROR(IF(AND(V316&gt;R316,J316&gt;=R316),ROUNDDOWN((Tabla1[[#This Row],[Producción para venta nueva]])/R316,0)*R316,0),0)</f>
        <v>0</v>
      </c>
      <c r="X316" s="76">
        <v>0</v>
      </c>
      <c r="Y316" s="6">
        <f>IF(Tabla1[[#This Row],[Venta del mes]]&gt;0,Tabla1[[#This Row],[Venta del mes]]+Tabla1[[#This Row],[Ajuste venta nueva]],0)</f>
        <v>0</v>
      </c>
      <c r="Z316" s="6">
        <f>+Tabla1[[#This Row],[Producción para venta nueva]]-Tabla1[[#This Row],[Facturación Venta nueva]]</f>
        <v>1692.5336568970783</v>
      </c>
      <c r="AA316" s="6">
        <f>IF(AND(A316=1,Tabla1[[#This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6" s="6"/>
      <c r="AC316" s="6">
        <f>IF(Tabla1[[#This Row],[Disponible stock sin venta]]&gt;0,Tabla1[[#This Row],[Disponible stock sin venta]]+Tabla1[[#This Row],[Ajuste stock sin venta]],0)</f>
        <v>0</v>
      </c>
      <c r="AD316" s="3">
        <f>IFERROR(VLOOKUP(Tabla1[[#This Row],[Llave]],'[16]TD Puerto'!$A:$D,4,FALSE),0)</f>
        <v>0</v>
      </c>
      <c r="AE316" s="3">
        <v>0</v>
      </c>
      <c r="AF316" s="3">
        <f>+Tabla1[[#This Row],[Atraso a facturar]]+Tabla1[[#This Row],[Venta del mes]]+Tabla1[[#This Row],[En puerto a facturar]]+Tabla1[[#This Row],[Disponible stock sin venta]]</f>
        <v>0</v>
      </c>
      <c r="AG316" s="3">
        <f>+Tabla1[[#This Row],[En puerto a facturar]]</f>
        <v>0</v>
      </c>
      <c r="AH316" s="3">
        <f>+Tabla1[[#This Row],[Facturación atraso]]</f>
        <v>0</v>
      </c>
      <c r="AI316" s="3">
        <f>+Tabla1[[#This Row],[Plan Irrestricto]]-Tabla1[[#This Row],[Puerto ]]-Tabla1[[#This Row],[Atraso]]</f>
        <v>0</v>
      </c>
      <c r="AJ316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16" s="3">
        <f>+Tabla1[[#This Row],[Facturación atraso]]</f>
        <v>0</v>
      </c>
      <c r="AL316" s="3">
        <f>+Tabla1[[#This Row],[Plan Ajustado]]-Tabla1[[#This Row],[ Atraso ajustado]]-Tabla1[[#This Row],[Puerto ]]</f>
        <v>0</v>
      </c>
      <c r="AM316" s="3">
        <v>0</v>
      </c>
      <c r="AN316" s="3" t="str">
        <f>IF(Tabla1[[#This Row],[Plan Ajustado]]&gt;Tabla1[[#This Row],[En puerto a facturar]],"Si","No")</f>
        <v>No</v>
      </c>
      <c r="AO316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16" s="3">
        <f>IF(Tabla1[[#This Row],[Necesidad]]&gt;=Tabla1[[#This Row],[Stock al día]],Tabla1[[#This Row],[Stock al día]],Tabla1[[#This Row],[Necesidad]])</f>
        <v>0</v>
      </c>
      <c r="AQ316" s="3">
        <f>+Tabla1[[#This Row],[Necesidad]]-Tabla1[[#This Row],[Stock Plan]]</f>
        <v>0</v>
      </c>
      <c r="AR316" s="156">
        <f>IFERROR(VLOOKUP(Tabla1[[#This Row],[Oficina]],[22]Ponderación!$B$3:$G$9,6,FALSE),"")</f>
        <v>44757</v>
      </c>
      <c r="AS316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0</v>
      </c>
      <c r="AT316" s="83">
        <f>IFERROR(VLOOKUP(Tabla1[[#This Row],[Llave]],[17]DELAY!$H:$W,16,FALSE),0)</f>
        <v>0</v>
      </c>
      <c r="AU316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16" s="5">
        <f>+Tabla1[[#This Row],[Plan Ajustado]]*Tabla1[[#This Row],[Precio ponderado]]</f>
        <v>0</v>
      </c>
      <c r="AW316" s="30">
        <f>IFERROR(VLOOKUP(Tabla1[[#This Row],[Llave]],'[13]Ultimos precios facturados'!$A:$G,7,FALSE),0)</f>
        <v>0</v>
      </c>
      <c r="AX316" s="99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16" s="30"/>
      <c r="AZ316" s="30">
        <f>IF(Tabla1[[#This Row],[Ajuste precio IC]]="",Tabla1[[#This Row],[Precio ponderado]],Tabla1[[#This Row],[Precio ponderado]])</f>
        <v>0</v>
      </c>
      <c r="BA316" s="99"/>
      <c r="BB316" s="99" t="str">
        <f>IF(AND(Tabla1[[#This Row],[Atraso a facturar]]&gt;0,Tabla1[[#This Row],[Precio Atraso]]=0),"Revisar","OK")</f>
        <v>OK</v>
      </c>
      <c r="BC316" s="99" t="str">
        <f>IF(AND(Tabla1[[#This Row],[Venta del mes]]&gt;0,Tabla1[[#This Row],[Precio venta nueva]]=0),"Revisar","OK")</f>
        <v>OK</v>
      </c>
      <c r="BD316" s="20">
        <f>IFERROR(VLOOKUP(Tabla1[[#This Row],[Llave]],'[5]Consolidación planes'!$A:$M,9,FALSE),0)</f>
        <v>0</v>
      </c>
      <c r="BE316" s="20">
        <f>IFERROR(VLOOKUP(Tabla1[[#This Row],[Llave]],'[5]Consolidación planes'!$A:$M,10,FALSE),0)</f>
        <v>0</v>
      </c>
      <c r="BF316" s="20">
        <f>IFERROR(VLOOKUP(Tabla1[[#This Row],[Llave]],'[5]Consolidación planes'!$A:$M,11,FALSE),0)</f>
        <v>0</v>
      </c>
      <c r="BG316" s="20">
        <f>IFERROR(VLOOKUP(Tabla1[[#This Row],[Llave]],'[5]Consolidación planes'!$A:$M,12,FALSE),0)</f>
        <v>0</v>
      </c>
      <c r="BH316" s="20">
        <f>IFERROR(VLOOKUP(Tabla1[[#This Row],[Llave]],'[5]Consolidación planes'!$A:$M,13,FALSE),0)</f>
        <v>0</v>
      </c>
      <c r="BI316" s="35">
        <f>IFERROR(VLOOKUP(Tabla1[[#This Row],[Llave]],'[13]Base ultimos planes'!$A:$M,13,FALSE),0)</f>
        <v>0</v>
      </c>
      <c r="BJ316" s="80">
        <f>IFERROR(VLOOKUP(Tabla1[[#This Row],[Llave]],'[13]Base ultimos planes'!$O:$AA,8,FALSE),0)</f>
        <v>0</v>
      </c>
      <c r="BK316" s="100">
        <f>IFERROR(VLOOKUP(Tabla1[[#This Row],[Llave]],'[13]Base ultimos planes'!$O:$AA,9,FALSE),0)</f>
        <v>0</v>
      </c>
      <c r="BL316" s="100">
        <f>IFERROR(VLOOKUP(Tabla1[[#This Row],[Llave]],'[13]Base ultimos planes'!$O:$AA,10,FALSE),0)</f>
        <v>0</v>
      </c>
      <c r="BM316" s="100">
        <f>IFERROR(VLOOKUP(Tabla1[[#This Row],[Llave]],'[13]Base ultimos planes'!$O:$AA,11,FALSE),0)</f>
        <v>0</v>
      </c>
      <c r="BN316" s="100">
        <f>IFERROR(VLOOKUP(Tabla1[[#This Row],[Llave]],'[13]Base ultimos planes'!$O:$AA,12,FALSE),0)</f>
        <v>0</v>
      </c>
      <c r="BO316" s="100">
        <f>IFERROR(VLOOKUP(Tabla1[[#This Row],[Llave]],'[13]Base ultimos planes'!$O:$AA,13,FALSE),0)</f>
        <v>0</v>
      </c>
      <c r="BP316" s="35"/>
      <c r="BQ316" s="20">
        <f>+Tabla1[[#This Row],[ RV  Venta mes n+1]]*(1-Tabla1[[#This Row],[% Uti. producción]])</f>
        <v>0</v>
      </c>
      <c r="BR316" s="100"/>
    </row>
    <row r="317" spans="1:70" ht="16" hidden="1" x14ac:dyDescent="0.2">
      <c r="A317">
        <v>1</v>
      </c>
      <c r="B317" t="str">
        <f>Tabla1[[#This Row],[Oficina]]&amp;Tabla1[[#This Row],[Material]]</f>
        <v>Exportacion Directa1022346</v>
      </c>
      <c r="C317" t="s">
        <v>6</v>
      </c>
      <c r="D317" t="s">
        <v>88</v>
      </c>
      <c r="E317">
        <v>1022346</v>
      </c>
      <c r="F317" t="s">
        <v>781</v>
      </c>
      <c r="G317" t="s">
        <v>53</v>
      </c>
      <c r="H317" t="s">
        <v>54</v>
      </c>
      <c r="I317" s="15">
        <f>IFERROR(VLOOKUP(Tabla1[[#This Row],[Llave]],'[7]RV Producción'!$C:$G,5,FALSE),0)</f>
        <v>5371</v>
      </c>
      <c r="J317" s="3">
        <f>IFERROR(IF(Tabla1[[#This Row],[Oficina]]=$I$7,VLOOKUP(Tabla1[[#This Row],[Llave]],'[7]Shangai (Tomas)'!$A:$F,6,FALSE),VLOOKUP(Tabla1[[#This Row],[Llave]],'[7]RV plan de ventas'!$A:$E,5,FALSE)),0)</f>
        <v>5000</v>
      </c>
      <c r="K317" s="17">
        <f>IFERROR(VLOOKUP(Tabla1[[#This Row],[Oficina]],[15]Ponderación!$B$2:$E$9,4,FALSE),0)</f>
        <v>0.87158319035419651</v>
      </c>
      <c r="L317" s="7">
        <f>+Tabla1[[#This Row],[ RV Producción mes n+1]]*Tabla1[[#This Row],[% Uti. producción]]</f>
        <v>4681.2733153923891</v>
      </c>
      <c r="M317" s="15">
        <f>IFERROR(VLOOKUP(Tabla1[[#This Row],[Material]],'[17]TD Stock'!$E:$I,5,FALSE),0)</f>
        <v>0</v>
      </c>
      <c r="N317" s="15">
        <f>IFERROR(VLOOKUP(Tabla1[[#This Row],[Material]],[16]Produccion!$M:$N,2,FALSE),0)</f>
        <v>0</v>
      </c>
      <c r="O317" s="15">
        <f>IFERROR(VLOOKUP(Tabla1[[#This Row],[Llave]],'[16]TD Conf-AP'!$I:$M,4,FALSE),0)</f>
        <v>0</v>
      </c>
      <c r="P317" s="37">
        <f>SUM(Tabla1[[#This Row],[Producción disponible]],Tabla1[[#This Row],[Stock al día]],(Tabla1[[#This Row],[Por producir mes N]]*0.9))-Tabla1[[#This Row],[Producción por despachar mes N]]</f>
        <v>4681.2733153923891</v>
      </c>
      <c r="Q317" s="15">
        <f>IFERROR(VLOOKUP(Tabla1[[#This Row],[Llave]],[17]DELAY!$A:$D,4,FALSE),0)</f>
        <v>0</v>
      </c>
      <c r="R317" s="75">
        <v>24000</v>
      </c>
      <c r="S317" s="98">
        <f t="shared" ref="S317:S318" si="36">IF(AND(P317&gt;Q317,Q317&gt;0),Q317,IF(AND(P317&lt;Q317,Q317&gt;0),(ROUNDDOWN(P317/R317,0)*R317),0))</f>
        <v>0</v>
      </c>
      <c r="T317" s="76">
        <v>0</v>
      </c>
      <c r="U317" s="98">
        <f>+Tabla1[[#This Row],[Atraso a facturar]]+Tabla1[[#This Row],[Ajuste atraso]]</f>
        <v>0</v>
      </c>
      <c r="V317" s="3">
        <f>+Tabla1[[#This Row],[Total disponible]]-Tabla1[[#This Row],[Facturación atraso]]</f>
        <v>4681.2733153923891</v>
      </c>
      <c r="W317" s="6">
        <f>IFERROR(IF(AND(V317&gt;R317,J317&gt;=R317),ROUNDDOWN((Tabla1[[#This Row],[Producción para venta nueva]])/R317,0)*R317,0),0)</f>
        <v>0</v>
      </c>
      <c r="X317" s="76">
        <v>0</v>
      </c>
      <c r="Y317" s="6">
        <f>IF(Tabla1[[#This Row],[Venta del mes]]&gt;0,Tabla1[[#This Row],[Venta del mes]]+Tabla1[[#This Row],[Ajuste venta nueva]],0)</f>
        <v>0</v>
      </c>
      <c r="Z317" s="6">
        <f>+Tabla1[[#This Row],[Producción para venta nueva]]-Tabla1[[#This Row],[Facturación Venta nueva]]</f>
        <v>4681.2733153923891</v>
      </c>
      <c r="AA317" s="6">
        <f>IF(AND(A318=1,Tabla1[[#This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7" s="6"/>
      <c r="AC317" s="6">
        <f>IF(Tabla1[[#This Row],[Disponible stock sin venta]]&gt;0,Tabla1[[#This Row],[Disponible stock sin venta]]+Tabla1[[#This Row],[Ajuste stock sin venta]],0)</f>
        <v>0</v>
      </c>
      <c r="AD317" s="3">
        <f>IFERROR(VLOOKUP(Tabla1[[#This Row],[Llave]],'[16]TD Puerto'!$A:$D,4,FALSE),0)</f>
        <v>0</v>
      </c>
      <c r="AE317" s="3">
        <v>0</v>
      </c>
      <c r="AF317" s="3">
        <f>+Tabla1[[#This Row],[Atraso a facturar]]+Tabla1[[#This Row],[Venta del mes]]+Tabla1[[#This Row],[En puerto a facturar]]+Tabla1[[#This Row],[Disponible stock sin venta]]</f>
        <v>0</v>
      </c>
      <c r="AG317" s="3">
        <f>+Tabla1[[#This Row],[En puerto a facturar]]</f>
        <v>0</v>
      </c>
      <c r="AH317" s="3">
        <f>+Tabla1[[#This Row],[Facturación atraso]]</f>
        <v>0</v>
      </c>
      <c r="AI317" s="3">
        <f>+Tabla1[[#This Row],[Plan Irrestricto]]-Tabla1[[#This Row],[Puerto ]]-Tabla1[[#This Row],[Atraso]]</f>
        <v>0</v>
      </c>
      <c r="AJ317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17" s="3">
        <f>+Tabla1[[#This Row],[Facturación atraso]]</f>
        <v>0</v>
      </c>
      <c r="AL317" s="3">
        <f>+Tabla1[[#This Row],[Plan Ajustado]]-Tabla1[[#This Row],[ Atraso ajustado]]-Tabla1[[#This Row],[Puerto ]]</f>
        <v>0</v>
      </c>
      <c r="AM317" s="3">
        <v>0</v>
      </c>
      <c r="AN317" s="3" t="str">
        <f>IF(Tabla1[[#This Row],[Plan Ajustado]]&gt;Tabla1[[#This Row],[En puerto a facturar]],"Si","No")</f>
        <v>No</v>
      </c>
      <c r="AO317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17" s="3">
        <f>IF(Tabla1[[#This Row],[Necesidad]]&gt;=Tabla1[[#This Row],[Stock al día]],Tabla1[[#This Row],[Stock al día]],Tabla1[[#This Row],[Necesidad]])</f>
        <v>0</v>
      </c>
      <c r="AQ317" s="3">
        <f>+Tabla1[[#This Row],[Necesidad]]-Tabla1[[#This Row],[Stock Plan]]</f>
        <v>0</v>
      </c>
      <c r="AR317" s="156">
        <f>IFERROR(VLOOKUP(Tabla1[[#This Row],[Oficina]],[22]Ponderación!$B$3:$G$9,6,FALSE),"")</f>
        <v>44765</v>
      </c>
      <c r="AS317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2.59</v>
      </c>
      <c r="AT317" s="83">
        <f>IFERROR(VLOOKUP(Tabla1[[#This Row],[Llave]],[17]DELAY!$H:$W,16,FALSE),0)</f>
        <v>0</v>
      </c>
      <c r="AU317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17" s="5">
        <f>+Tabla1[[#This Row],[Plan Ajustado]]*Tabla1[[#This Row],[Precio ponderado]]</f>
        <v>0</v>
      </c>
      <c r="AW317" s="30">
        <f>IFERROR(VLOOKUP(Tabla1[[#This Row],[Llave]],'[13]Ultimos precios facturados'!$A:$G,7,FALSE),0)</f>
        <v>0</v>
      </c>
      <c r="AX317" s="99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17" s="30"/>
      <c r="AZ317" s="30">
        <f>IF(Tabla1[[#This Row],[Ajuste precio IC]]="",Tabla1[[#This Row],[Precio ponderado]],Tabla1[[#This Row],[Precio ponderado]])</f>
        <v>0</v>
      </c>
      <c r="BA317" s="99"/>
      <c r="BB317" s="99" t="str">
        <f>IF(AND(Tabla1[[#This Row],[Atraso a facturar]]&gt;0,Tabla1[[#This Row],[Precio Atraso]]=0),"Revisar","OK")</f>
        <v>OK</v>
      </c>
      <c r="BC317" s="99" t="str">
        <f>IF(AND(Tabla1[[#This Row],[Venta del mes]]&gt;0,Tabla1[[#This Row],[Precio venta nueva]]=0),"Revisar","OK")</f>
        <v>OK</v>
      </c>
      <c r="BD317" s="20">
        <f>IFERROR(VLOOKUP(Tabla1[[#This Row],[Llave]],'[5]Consolidación planes'!$A:$M,9,FALSE),0)</f>
        <v>0</v>
      </c>
      <c r="BE317" s="20">
        <f>IFERROR(VLOOKUP(Tabla1[[#This Row],[Llave]],'[5]Consolidación planes'!$A:$M,10,FALSE),0)</f>
        <v>0</v>
      </c>
      <c r="BF317" s="20">
        <f>IFERROR(VLOOKUP(Tabla1[[#This Row],[Llave]],'[5]Consolidación planes'!$A:$M,11,FALSE),0)</f>
        <v>0</v>
      </c>
      <c r="BG317" s="20">
        <f>IFERROR(VLOOKUP(Tabla1[[#This Row],[Llave]],'[5]Consolidación planes'!$A:$M,12,FALSE),0)</f>
        <v>0</v>
      </c>
      <c r="BH317" s="20">
        <f>IFERROR(VLOOKUP(Tabla1[[#This Row],[Llave]],'[5]Consolidación planes'!$A:$M,13,FALSE),0)</f>
        <v>0</v>
      </c>
      <c r="BI317" s="35">
        <f>IFERROR(VLOOKUP(Tabla1[[#This Row],[Llave]],'[13]Base ultimos planes'!$A:$M,13,FALSE),0)</f>
        <v>0</v>
      </c>
      <c r="BJ317" s="80">
        <f>IFERROR(VLOOKUP(Tabla1[[#This Row],[Llave]],'[13]Base ultimos planes'!$O:$AA,8,FALSE),0)</f>
        <v>0</v>
      </c>
      <c r="BK317" s="100">
        <f>IFERROR(VLOOKUP(Tabla1[[#This Row],[Llave]],'[13]Base ultimos planes'!$O:$AA,9,FALSE),0)</f>
        <v>0</v>
      </c>
      <c r="BL317" s="100">
        <f>IFERROR(VLOOKUP(Tabla1[[#This Row],[Llave]],'[13]Base ultimos planes'!$O:$AA,10,FALSE),0)</f>
        <v>0</v>
      </c>
      <c r="BM317" s="100">
        <f>IFERROR(VLOOKUP(Tabla1[[#This Row],[Llave]],'[13]Base ultimos planes'!$O:$AA,11,FALSE),0)</f>
        <v>0</v>
      </c>
      <c r="BN317" s="100">
        <f>IFERROR(VLOOKUP(Tabla1[[#This Row],[Llave]],'[13]Base ultimos planes'!$O:$AA,12,FALSE),0)</f>
        <v>0</v>
      </c>
      <c r="BO317" s="100">
        <f>IFERROR(VLOOKUP(Tabla1[[#This Row],[Llave]],'[13]Base ultimos planes'!$O:$AA,13,FALSE),0)</f>
        <v>0</v>
      </c>
      <c r="BP317" s="35"/>
      <c r="BQ317" s="20">
        <f>+Tabla1[[#This Row],[ RV  Venta mes n+1]]*(1-Tabla1[[#This Row],[% Uti. producción]])</f>
        <v>642.08404822901741</v>
      </c>
      <c r="BR317" s="100"/>
    </row>
    <row r="318" spans="1:70" ht="16" hidden="1" x14ac:dyDescent="0.2">
      <c r="A318">
        <v>1</v>
      </c>
      <c r="B318" t="str">
        <f>Tabla1[[#This Row],[Oficina]]&amp;Tabla1[[#This Row],[Material]]</f>
        <v>Exportacion Directa1023419</v>
      </c>
      <c r="C318" t="s">
        <v>6</v>
      </c>
      <c r="D318" t="s">
        <v>88</v>
      </c>
      <c r="E318">
        <v>1023419</v>
      </c>
      <c r="F318" t="s">
        <v>295</v>
      </c>
      <c r="G318" t="s">
        <v>11</v>
      </c>
      <c r="H318" t="s">
        <v>15</v>
      </c>
      <c r="I318" s="15">
        <f>IFERROR(VLOOKUP(Tabla1[[#This Row],[Llave]],'[7]RV Producción'!$C:$G,5,FALSE),0)</f>
        <v>24000</v>
      </c>
      <c r="J318" s="3">
        <f>IFERROR(IF(Tabla1[[#This Row],[Oficina]]=$I$7,VLOOKUP(Tabla1[[#This Row],[Llave]],'[7]Shangai (Tomas)'!$A:$F,6,FALSE),VLOOKUP(Tabla1[[#This Row],[Llave]],'[7]RV plan de ventas'!$A:$E,5,FALSE)),0)</f>
        <v>24000</v>
      </c>
      <c r="K318" s="17">
        <f>IFERROR(VLOOKUP(Tabla1[[#This Row],[Oficina]],[15]Ponderación!$B$2:$E$9,4,FALSE),0)</f>
        <v>0.87158319035419651</v>
      </c>
      <c r="L318" s="7">
        <f>+Tabla1[[#This Row],[ RV Producción mes n+1]]*Tabla1[[#This Row],[% Uti. producción]]</f>
        <v>20917.996568500716</v>
      </c>
      <c r="M318" s="15">
        <f>IFERROR(VLOOKUP(Tabla1[[#This Row],[Material]],'[17]TD Stock'!$E:$I,5,FALSE),0)</f>
        <v>0</v>
      </c>
      <c r="N318" s="15">
        <f>IFERROR(VLOOKUP(Tabla1[[#This Row],[Material]],[16]Produccion!$M:$N,2,FALSE),0)</f>
        <v>0</v>
      </c>
      <c r="O318" s="15">
        <f>IFERROR(VLOOKUP(Tabla1[[#This Row],[Llave]],'[16]TD Conf-AP'!$I:$M,4,FALSE),0)</f>
        <v>0</v>
      </c>
      <c r="P318" s="37">
        <f>SUM(Tabla1[[#This Row],[Producción disponible]],Tabla1[[#This Row],[Stock al día]],(Tabla1[[#This Row],[Por producir mes N]]*0.9))-Tabla1[[#This Row],[Producción por despachar mes N]]</f>
        <v>20917.996568500716</v>
      </c>
      <c r="Q318" s="15">
        <f>IFERROR(VLOOKUP(Tabla1[[#This Row],[Llave]],[17]DELAY!$A:$D,4,FALSE),0)</f>
        <v>0</v>
      </c>
      <c r="R318" s="75">
        <v>24000</v>
      </c>
      <c r="S318" s="98">
        <f t="shared" si="36"/>
        <v>0</v>
      </c>
      <c r="T318" s="76">
        <v>0</v>
      </c>
      <c r="U318" s="98">
        <f>+Tabla1[[#This Row],[Atraso a facturar]]+Tabla1[[#This Row],[Ajuste atraso]]</f>
        <v>0</v>
      </c>
      <c r="V318" s="3">
        <f>+Tabla1[[#This Row],[Total disponible]]-Tabla1[[#This Row],[Facturación atraso]]</f>
        <v>20917.996568500716</v>
      </c>
      <c r="W318" s="6">
        <f>IFERROR(IF(AND(V318&gt;R318,J318&gt;=R318),ROUNDDOWN((Tabla1[[#This Row],[Producción para venta nueva]])/R318,0)*R318,0),0)</f>
        <v>0</v>
      </c>
      <c r="X318" s="76">
        <v>0</v>
      </c>
      <c r="Y318" s="6">
        <f>IF(Tabla1[[#This Row],[Venta del mes]]&gt;0,Tabla1[[#This Row],[Venta del mes]]+Tabla1[[#This Row],[Ajuste venta nueva]],0)</f>
        <v>0</v>
      </c>
      <c r="Z318" s="6">
        <f>+Tabla1[[#This Row],[Producción para venta nueva]]-Tabla1[[#This Row],[Facturación Venta nueva]]</f>
        <v>20917.996568500716</v>
      </c>
      <c r="AA318" s="6">
        <f>IF(AND(A319=1,Tabla1[[#This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8" s="6"/>
      <c r="AC318" s="6">
        <f>IF(Tabla1[[#This Row],[Disponible stock sin venta]]&gt;0,Tabla1[[#This Row],[Disponible stock sin venta]]+Tabla1[[#This Row],[Ajuste stock sin venta]],0)</f>
        <v>0</v>
      </c>
      <c r="AD318" s="3">
        <f>IFERROR(VLOOKUP(Tabla1[[#This Row],[Llave]],'[16]TD Puerto'!$A:$D,4,FALSE),0)</f>
        <v>0</v>
      </c>
      <c r="AE318" s="3">
        <v>0</v>
      </c>
      <c r="AF318" s="3">
        <f>+Tabla1[[#This Row],[Atraso a facturar]]+Tabla1[[#This Row],[Venta del mes]]+Tabla1[[#This Row],[En puerto a facturar]]+Tabla1[[#This Row],[Disponible stock sin venta]]</f>
        <v>0</v>
      </c>
      <c r="AG318" s="3">
        <f>+Tabla1[[#This Row],[En puerto a facturar]]</f>
        <v>0</v>
      </c>
      <c r="AH318" s="3">
        <f>+Tabla1[[#This Row],[Facturación atraso]]</f>
        <v>0</v>
      </c>
      <c r="AI318" s="3">
        <f>+Tabla1[[#This Row],[Plan Irrestricto]]-Tabla1[[#This Row],[Puerto ]]-Tabla1[[#This Row],[Atraso]]</f>
        <v>0</v>
      </c>
      <c r="AJ318" s="3">
        <f>IF(Tabla1[[#This Row],[Plan Irrestricto]]&gt;0,SUM(Tabla1[[#This Row],[Facturación atraso]],Tabla1[[#This Row],[Facturación Venta nueva]],Tabla1[[#This Row],[Facturación stock]],Tabla1[[#This Row],[En puerto a facturar]]),0)</f>
        <v>0</v>
      </c>
      <c r="AK318" s="3">
        <f>+Tabla1[[#This Row],[Facturación atraso]]</f>
        <v>0</v>
      </c>
      <c r="AL318" s="3">
        <f>+Tabla1[[#This Row],[Plan Ajustado]]-Tabla1[[#This Row],[ Atraso ajustado]]-Tabla1[[#This Row],[Puerto ]]</f>
        <v>0</v>
      </c>
      <c r="AM318" s="3">
        <v>0</v>
      </c>
      <c r="AN318" s="3" t="str">
        <f>IF(Tabla1[[#This Row],[Plan Ajustado]]&gt;Tabla1[[#This Row],[En puerto a facturar]],"Si","No")</f>
        <v>No</v>
      </c>
      <c r="AO318" s="3">
        <f>IF(AND(Tabla1[[#This Row],[Plan Ajustado]]&gt;0,Tabla1[[#This Row],[Plan Ajustado]]&gt;Tabla1[[#This Row],[En puerto a facturar]]),(Tabla1[[#This Row],[Plan Ajustado]]-Tabla1[[#This Row],[En puerto a facturar]]),0)</f>
        <v>0</v>
      </c>
      <c r="AP318" s="3">
        <f>IF(Tabla1[[#This Row],[Necesidad]]&gt;=Tabla1[[#This Row],[Stock al día]],Tabla1[[#This Row],[Stock al día]],Tabla1[[#This Row],[Necesidad]])</f>
        <v>0</v>
      </c>
      <c r="AQ318" s="3">
        <f>+Tabla1[[#This Row],[Necesidad]]-Tabla1[[#This Row],[Stock Plan]]</f>
        <v>0</v>
      </c>
      <c r="AR318" s="156">
        <f>IFERROR(VLOOKUP(Tabla1[[#This Row],[Oficina]],[22]Ponderación!$B$3:$G$9,6,FALSE),"")</f>
        <v>44765</v>
      </c>
      <c r="AS318" s="30">
        <f>IFERROR(IF(Tabla1[[#This Row],[Oficina]]=$AS$8,VLOOKUP(Tabla1[[#This Row],[Material]],'[20]Shangai (Tomas)'!$A:$H,6,FALSE),VLOOKUP(Tabla1[[#This Row],[Llave]],'[7]RV plan de ventas'!$A:$F,6,FALSE)),Tabla1[[#This Row],[Precio Ultima facturación]])</f>
        <v>1.8</v>
      </c>
      <c r="AT318" s="83">
        <f>IFERROR(VLOOKUP(Tabla1[[#This Row],[Llave]],[17]DELAY!$H:$W,16,FALSE),0)</f>
        <v>0</v>
      </c>
      <c r="AU318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0</v>
      </c>
      <c r="AV318" s="5">
        <f>+Tabla1[[#This Row],[Plan Ajustado]]*Tabla1[[#This Row],[Precio ponderado]]</f>
        <v>0</v>
      </c>
      <c r="AW318" s="30">
        <f>IFERROR(VLOOKUP(Tabla1[[#This Row],[Llave]],'[13]Ultimos precios facturados'!$A:$G,7,FALSE),0)</f>
        <v>0</v>
      </c>
      <c r="AX318" s="99" t="str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No Aplica</v>
      </c>
      <c r="AY318" s="30"/>
      <c r="AZ318" s="30">
        <f>IF(Tabla1[[#This Row],[Ajuste precio IC]]="",Tabla1[[#This Row],[Precio ponderado]],Tabla1[[#This Row],[Precio ponderado]])</f>
        <v>0</v>
      </c>
      <c r="BA318" s="99"/>
      <c r="BB318" s="99" t="str">
        <f>IF(AND(Tabla1[[#This Row],[Atraso a facturar]]&gt;0,Tabla1[[#This Row],[Precio Atraso]]=0),"Revisar","OK")</f>
        <v>OK</v>
      </c>
      <c r="BC318" s="99" t="str">
        <f>IF(AND(Tabla1[[#This Row],[Venta del mes]]&gt;0,Tabla1[[#This Row],[Precio venta nueva]]=0),"Revisar","OK")</f>
        <v>OK</v>
      </c>
      <c r="BD318" s="20">
        <f>IFERROR(VLOOKUP(Tabla1[[#This Row],[Llave]],'[5]Consolidación planes'!$A:$M,9,FALSE),0)</f>
        <v>0</v>
      </c>
      <c r="BE318" s="20">
        <f>IFERROR(VLOOKUP(Tabla1[[#This Row],[Llave]],'[5]Consolidación planes'!$A:$M,10,FALSE),0)</f>
        <v>0</v>
      </c>
      <c r="BF318" s="20">
        <f>IFERROR(VLOOKUP(Tabla1[[#This Row],[Llave]],'[5]Consolidación planes'!$A:$M,11,FALSE),0)</f>
        <v>0</v>
      </c>
      <c r="BG318" s="20">
        <f>IFERROR(VLOOKUP(Tabla1[[#This Row],[Llave]],'[5]Consolidación planes'!$A:$M,12,FALSE),0)</f>
        <v>0</v>
      </c>
      <c r="BH318" s="20">
        <f>IFERROR(VLOOKUP(Tabla1[[#This Row],[Llave]],'[5]Consolidación planes'!$A:$M,13,FALSE),0)</f>
        <v>0</v>
      </c>
      <c r="BI318" s="35">
        <f>IFERROR(VLOOKUP(Tabla1[[#This Row],[Llave]],'[13]Base ultimos planes'!$A:$M,13,FALSE),0)</f>
        <v>0</v>
      </c>
      <c r="BJ318" s="80">
        <f>IFERROR(VLOOKUP(Tabla1[[#This Row],[Llave]],'[13]Base ultimos planes'!$O:$AA,8,FALSE),0)</f>
        <v>0</v>
      </c>
      <c r="BK318" s="100">
        <f>IFERROR(VLOOKUP(Tabla1[[#This Row],[Llave]],'[13]Base ultimos planes'!$O:$AA,9,FALSE),0)</f>
        <v>0</v>
      </c>
      <c r="BL318" s="100">
        <f>IFERROR(VLOOKUP(Tabla1[[#This Row],[Llave]],'[13]Base ultimos planes'!$O:$AA,10,FALSE),0)</f>
        <v>0</v>
      </c>
      <c r="BM318" s="100">
        <f>IFERROR(VLOOKUP(Tabla1[[#This Row],[Llave]],'[13]Base ultimos planes'!$O:$AA,11,FALSE),0)</f>
        <v>0</v>
      </c>
      <c r="BN318" s="100">
        <f>IFERROR(VLOOKUP(Tabla1[[#This Row],[Llave]],'[13]Base ultimos planes'!$O:$AA,12,FALSE),0)</f>
        <v>0</v>
      </c>
      <c r="BO318" s="100">
        <f>IFERROR(VLOOKUP(Tabla1[[#This Row],[Llave]],'[13]Base ultimos planes'!$O:$AA,13,FALSE),0)</f>
        <v>0</v>
      </c>
      <c r="BP318" s="35"/>
      <c r="BQ318" s="20">
        <f>+Tabla1[[#This Row],[ RV  Venta mes n+1]]*(1-Tabla1[[#This Row],[% Uti. producción]])</f>
        <v>3082.0034314992836</v>
      </c>
      <c r="BR318" s="100"/>
    </row>
    <row r="319" spans="1:70" ht="16" x14ac:dyDescent="0.2">
      <c r="B319" t="str">
        <f>Tabla1[[#This Row],[Oficina]]&amp;Tabla1[[#This Row],[Material]]</f>
        <v>Agro Mexico1030802</v>
      </c>
      <c r="C319" t="s">
        <v>204</v>
      </c>
      <c r="D319" t="s">
        <v>370</v>
      </c>
      <c r="E319">
        <v>1030802</v>
      </c>
      <c r="F319" t="s">
        <v>787</v>
      </c>
      <c r="G319" t="s">
        <v>233</v>
      </c>
      <c r="H319" t="s">
        <v>233</v>
      </c>
      <c r="I319" s="161">
        <f>IFERROR(VLOOKUP(Tabla1[[#This Row],[Llave]],'[7]RV Producción'!$C:$G,5,FALSE),0)+103000</f>
        <v>103000</v>
      </c>
      <c r="J319" s="162">
        <f>IFERROR(IF(Tabla1[[#This Row],[Oficina]]=$I$7,VLOOKUP(Tabla1[[#This Row],[Llave]],'[7]Shangai (Tomas)'!$A:$F,6,FALSE),VLOOKUP(Tabla1[[#This Row],[Llave]],'[7]RV plan de ventas'!$A:$E,5,FALSE)),0)+96000</f>
        <v>96000</v>
      </c>
      <c r="K319" s="8">
        <v>0.8</v>
      </c>
      <c r="L319" s="7">
        <f>+Tabla1[[#This Row],[ RV Producción mes n+1]]*Tabla1[[#This Row],[% Uti. producción]]</f>
        <v>82400</v>
      </c>
      <c r="M319" s="15">
        <f>IFERROR(VLOOKUP(Tabla1[[#This Row],[Material]],'[17]TD Stock'!$E:$I,5,FALSE),0)</f>
        <v>0</v>
      </c>
      <c r="N319" s="15">
        <f>IFERROR(VLOOKUP(Tabla1[[#This Row],[Material]],[16]Produccion!$M:$N,2,FALSE),0)</f>
        <v>21000</v>
      </c>
      <c r="O319" s="15">
        <f>IFERROR(VLOOKUP(Tabla1[[#This Row],[Llave]],'[16]TD Conf-AP'!$I:$M,4,FALSE),0)</f>
        <v>0</v>
      </c>
      <c r="P319" s="37">
        <f>SUM(Tabla1[[#This Row],[Producción disponible]],Tabla1[[#This Row],[Stock al día]],(Tabla1[[#This Row],[Por producir mes N]]*0.9))-Tabla1[[#This Row],[Producción por despachar mes N]]</f>
        <v>101300</v>
      </c>
      <c r="Q319" s="15">
        <f>IFERROR(VLOOKUP(Tabla1[[#This Row],[Llave]],[17]DELAY!$A:$D,4,FALSE),0)</f>
        <v>48000</v>
      </c>
      <c r="R319" s="75">
        <v>24000</v>
      </c>
      <c r="S319" s="98">
        <f>IF(AND(P319&gt;Q319,Q319&gt;0),Q319,IF(AND(P319&lt;Q319,Q319&gt;0),(ROUNDDOWN(P319/R319,0)*R319),0))</f>
        <v>48000</v>
      </c>
      <c r="T319" s="76">
        <v>0</v>
      </c>
      <c r="U319" s="98">
        <f>+Tabla1[[#This Row],[Atraso a facturar]]+Tabla1[[#This Row],[Ajuste atraso]]</f>
        <v>48000</v>
      </c>
      <c r="V319" s="3">
        <f>+Tabla1[[#This Row],[Total disponible]]-Tabla1[[#This Row],[Facturación atraso]]</f>
        <v>53300</v>
      </c>
      <c r="W319" s="6">
        <f>IFERROR(IF(AND(V319&gt;R319,J319&gt;=R319),ROUNDDOWN((Tabla1[[#This Row],[Producción para venta nueva]])/R319,0)*R319,0),0)</f>
        <v>48000</v>
      </c>
      <c r="X319" s="76">
        <v>0</v>
      </c>
      <c r="Y319" s="6">
        <f>IF(Tabla1[[#This Row],[Venta del mes]]&gt;0,Tabla1[[#This Row],[Venta del mes]]+Tabla1[[#This Row],[Ajuste venta nueva]],0)</f>
        <v>48000</v>
      </c>
      <c r="Z319" s="6">
        <f>+Tabla1[[#This Row],[Producción para venta nueva]]-Tabla1[[#This Row],[Facturación Venta nueva]]</f>
        <v>5300</v>
      </c>
      <c r="AA319" s="6">
        <f>IF(AND(A319=1,Tabla1[[#This Row],[Saldo Volumen disponible]]&gt;Tabla1[[#This Row],[Vol. prom. Por contenedor]],Tabla1[[#This Row],[Saldo Volumen disponible]]&gt;Tabla1[[#This Row],[ RV  Venta mes n+1]],Tabla1[[#This Row],[Delay]]&lt;Tabla1[[#This Row],[Total disponible]]),ROUNDDOWN((Tabla1[[#This Row],[Saldo Volumen disponible]]+Tabla1[[#This Row],[Ajuste venta nueva]])/Tabla1[[#This Row],[Vol. prom. Por contenedor]],0)*Tabla1[[#This Row],[Vol. prom. Por contenedor]],0)</f>
        <v>0</v>
      </c>
      <c r="AB319" s="6"/>
      <c r="AC319" s="6">
        <f>IF(Tabla1[[#This Row],[Disponible stock sin venta]]&gt;0,Tabla1[[#This Row],[Disponible stock sin venta]]+Tabla1[[#This Row],[Ajuste stock sin venta]],0)</f>
        <v>0</v>
      </c>
      <c r="AD319" s="3">
        <f>IFERROR(VLOOKUP(Tabla1[[#This Row],[Llave]],'[16]TD Puerto'!$A:$D,4,FALSE),0)</f>
        <v>0</v>
      </c>
      <c r="AE319" s="3">
        <v>96000</v>
      </c>
      <c r="AF319" s="3">
        <f>+Tabla1[[#This Row],[Atraso a facturar]]+Tabla1[[#This Row],[Venta del mes]]+Tabla1[[#This Row],[En puerto a facturar]]+Tabla1[[#This Row],[Disponible stock sin venta]]</f>
        <v>96000</v>
      </c>
      <c r="AG319" s="3">
        <f>+Tabla1[[#This Row],[En puerto a facturar]]</f>
        <v>0</v>
      </c>
      <c r="AH319" s="3">
        <f>+Tabla1[[#This Row],[Facturación atraso]]</f>
        <v>48000</v>
      </c>
      <c r="AI319" s="3">
        <f>+Tabla1[[#This Row],[Plan Irrestricto]]-Tabla1[[#This Row],[Puerto ]]-Tabla1[[#This Row],[Atraso]]</f>
        <v>48000</v>
      </c>
      <c r="AJ319" s="3">
        <f>IF(Tabla1[[#This Row],[Plan Irrestricto]]&gt;0,SUM(Tabla1[[#This Row],[Facturación atraso]],Tabla1[[#This Row],[Facturación Venta nueva]],Tabla1[[#This Row],[Facturación stock]],Tabla1[[#This Row],[En puerto a facturar]]),0)</f>
        <v>96000</v>
      </c>
      <c r="AK319" s="3">
        <f>+Tabla1[[#This Row],[Facturación atraso]]</f>
        <v>48000</v>
      </c>
      <c r="AL319" s="3">
        <f>+Tabla1[[#This Row],[Plan Ajustado]]-Tabla1[[#This Row],[ Atraso ajustado]]-Tabla1[[#This Row],[Puerto ]]</f>
        <v>48000</v>
      </c>
      <c r="AM319" s="3"/>
      <c r="AN319" s="3" t="str">
        <f>IF(Tabla1[[#This Row],[Plan Ajustado]]&gt;Tabla1[[#This Row],[En puerto a facturar]],"Si","No")</f>
        <v>Si</v>
      </c>
      <c r="AO319" s="3">
        <f>IF(AND(Tabla1[[#This Row],[Plan Ajustado]]&gt;0,Tabla1[[#This Row],[Plan Ajustado]]&gt;Tabla1[[#This Row],[En puerto a facturar]]),(Tabla1[[#This Row],[Plan Ajustado]]-Tabla1[[#This Row],[En puerto a facturar]]),0)</f>
        <v>96000</v>
      </c>
      <c r="AP319" s="3">
        <f>IF(Tabla1[[#This Row],[Necesidad]]&gt;=Tabla1[[#This Row],[Stock al día]],Tabla1[[#This Row],[Stock al día]],Tabla1[[#This Row],[Necesidad]])</f>
        <v>0</v>
      </c>
      <c r="AQ319" s="3">
        <f>+Tabla1[[#This Row],[Necesidad]]-Tabla1[[#This Row],[Stock Plan]]</f>
        <v>96000</v>
      </c>
      <c r="AR319" s="156">
        <f>IFERROR(VLOOKUP(Tabla1[[#This Row],[Oficina]],[22]Ponderación!$B$3:$G$9,6,FALSE),"")</f>
        <v>44757</v>
      </c>
      <c r="AS319" s="106">
        <v>1.0016572778044111</v>
      </c>
      <c r="AT319" s="83">
        <f>IFERROR(VLOOKUP(Tabla1[[#This Row],[Llave]],[17]DELAY!$H:$W,16,FALSE),0)</f>
        <v>1.34315875</v>
      </c>
      <c r="AU319" s="30">
        <f>IF(Tabla1[[#This Row],[Plan Ajustado]]=0,0,((Tabla1[[#This Row],[Facturación atraso]]*Tabla1[[#This Row],[Precio Atraso]]+Tabla1[[#This Row],[Facturación Venta nueva]]*Tabla1[[#This Row],[Precio venta nueva]])+(Tabla1[[#This Row],[En puerto a facturar]]+Tabla1[[#This Row],[Facturación stock]])*Tabla1[[#This Row],[Precio Atraso]])/Tabla1[[#This Row],[Plan Ajustado]])</f>
        <v>1.1724080139022055</v>
      </c>
      <c r="AV319" s="5">
        <f>+Tabla1[[#This Row],[Plan Ajustado]]*Tabla1[[#This Row],[Precio ponderado]]</f>
        <v>112551.16933461172</v>
      </c>
      <c r="AW319" s="30">
        <f>IFERROR(VLOOKUP(Tabla1[[#This Row],[Llave]],'[13]Ultimos precios facturados'!$A:$G,7,FALSE),0)</f>
        <v>1.3423074825049206</v>
      </c>
      <c r="AX319" s="99">
        <f>IF(AND(Tabla1[[#This Row],[Precio ponderado]]&gt;0,Tabla1[[#This Row],[Precio Ultima facturación]]&gt;0),(ABS(Tabla1[[#This Row],[Precio Ultima facturación]]-Tabla1[[#This Row],[Precio ponderado]])/Tabla1[[#This Row],[Precio Ultima facturación]]),"No Aplica")</f>
        <v>0.12657268980253358</v>
      </c>
      <c r="AY319" s="30"/>
      <c r="AZ319" s="30">
        <f>IF(Tabla1[[#This Row],[Ajuste precio IC]]="",Tabla1[[#This Row],[Precio ponderado]],Tabla1[[#This Row],[Precio ponderado]])</f>
        <v>1.1724080139022055</v>
      </c>
      <c r="BA319" s="99"/>
      <c r="BB319" s="99" t="str">
        <f>IF(AND(Tabla1[[#This Row],[Atraso a facturar]]&gt;0,Tabla1[[#This Row],[Precio Atraso]]=0),"Revisar","OK")</f>
        <v>OK</v>
      </c>
      <c r="BC319" s="99" t="str">
        <f>IF(AND(Tabla1[[#This Row],[Venta del mes]]&gt;0,Tabla1[[#This Row],[Precio venta nueva]]=0),"Revisar","OK")</f>
        <v>OK</v>
      </c>
      <c r="BD319" s="20">
        <f>IFERROR(VLOOKUP(Tabla1[[#This Row],[Llave]],'[5]Consolidación planes'!$A:$M,9,FALSE),0)</f>
        <v>0</v>
      </c>
      <c r="BE319" s="20">
        <f>IFERROR(VLOOKUP(Tabla1[[#This Row],[Llave]],'[5]Consolidación planes'!$A:$M,10,FALSE),0)</f>
        <v>0</v>
      </c>
      <c r="BF319" s="20">
        <f>IFERROR(VLOOKUP(Tabla1[[#This Row],[Llave]],'[5]Consolidación planes'!$A:$M,11,FALSE),0)</f>
        <v>0</v>
      </c>
      <c r="BG319" s="20">
        <f>IFERROR(VLOOKUP(Tabla1[[#This Row],[Llave]],'[5]Consolidación planes'!$A:$M,12,FALSE),0)</f>
        <v>0</v>
      </c>
      <c r="BH319" s="20">
        <f>IFERROR(VLOOKUP(Tabla1[[#This Row],[Llave]],'[5]Consolidación planes'!$A:$M,13,FALSE),0)</f>
        <v>0</v>
      </c>
      <c r="BI319" s="35">
        <f>IFERROR(VLOOKUP(Tabla1[[#This Row],[Llave]],'[13]Base ultimos planes'!$A:$M,13,FALSE),0)</f>
        <v>0</v>
      </c>
      <c r="BJ319" s="80">
        <f>IFERROR(VLOOKUP(Tabla1[[#This Row],[Llave]],'[13]Base ultimos planes'!$O:$AA,8,FALSE),0)</f>
        <v>0</v>
      </c>
      <c r="BK319" s="100">
        <f>IFERROR(VLOOKUP(Tabla1[[#This Row],[Llave]],'[13]Base ultimos planes'!$O:$AA,9,FALSE),0)</f>
        <v>0</v>
      </c>
      <c r="BL319" s="100">
        <f>IFERROR(VLOOKUP(Tabla1[[#This Row],[Llave]],'[13]Base ultimos planes'!$O:$AA,10,FALSE),0)</f>
        <v>0</v>
      </c>
      <c r="BM319" s="100">
        <f>IFERROR(VLOOKUP(Tabla1[[#This Row],[Llave]],'[13]Base ultimos planes'!$O:$AA,11,FALSE),0)</f>
        <v>0</v>
      </c>
      <c r="BN319" s="100">
        <f>IFERROR(VLOOKUP(Tabla1[[#This Row],[Llave]],'[13]Base ultimos planes'!$O:$AA,12,FALSE),0)</f>
        <v>0</v>
      </c>
      <c r="BO319" s="100">
        <f>IFERROR(VLOOKUP(Tabla1[[#This Row],[Llave]],'[13]Base ultimos planes'!$O:$AA,13,FALSE),0)</f>
        <v>0</v>
      </c>
      <c r="BP319" s="35"/>
      <c r="BQ319" s="35">
        <f>+Tabla1[[#This Row],[ RV  Venta mes n+1]]*(1-Tabla1[[#This Row],[% Uti. producción]])</f>
        <v>19199.999999999996</v>
      </c>
      <c r="BR319" s="100"/>
    </row>
    <row r="324" spans="2:2" x14ac:dyDescent="0.2">
      <c r="B324" t="s">
        <v>444</v>
      </c>
    </row>
    <row r="325" spans="2:2" x14ac:dyDescent="0.2">
      <c r="B325" t="s">
        <v>557</v>
      </c>
    </row>
    <row r="326" spans="2:2" x14ac:dyDescent="0.2">
      <c r="B326" t="s">
        <v>566</v>
      </c>
    </row>
    <row r="327" spans="2:2" x14ac:dyDescent="0.2">
      <c r="B327" t="s">
        <v>563</v>
      </c>
    </row>
    <row r="328" spans="2:2" x14ac:dyDescent="0.2">
      <c r="B328" t="s">
        <v>527</v>
      </c>
    </row>
    <row r="329" spans="2:2" x14ac:dyDescent="0.2">
      <c r="B329" t="s">
        <v>525</v>
      </c>
    </row>
    <row r="330" spans="2:2" x14ac:dyDescent="0.2">
      <c r="B330" t="s">
        <v>775</v>
      </c>
    </row>
    <row r="331" spans="2:2" x14ac:dyDescent="0.2">
      <c r="B331" t="s">
        <v>446</v>
      </c>
    </row>
    <row r="332" spans="2:2" x14ac:dyDescent="0.2">
      <c r="B332" t="s">
        <v>559</v>
      </c>
    </row>
  </sheetData>
  <autoFilter ref="A9:A310" xr:uid="{A4C1E6EB-CE18-49E7-895E-CADD47765CD3}"/>
  <mergeCells count="2">
    <mergeCell ref="BD8:BI8"/>
    <mergeCell ref="BJ8:BO8"/>
  </mergeCells>
  <phoneticPr fontId="11" type="noConversion"/>
  <conditionalFormatting sqref="E1:E1048576">
    <cfRule type="duplicateValues" dxfId="140" priority="7"/>
    <cfRule type="duplicateValues" dxfId="139" priority="11"/>
  </conditionalFormatting>
  <conditionalFormatting sqref="B1:B1048576 B1:XFD1">
    <cfRule type="duplicateValues" dxfId="138" priority="8"/>
    <cfRule type="duplicateValues" dxfId="137" priority="9"/>
    <cfRule type="duplicateValues" dxfId="136" priority="10"/>
  </conditionalFormatting>
  <conditionalFormatting sqref="AA10:AC10 AA11:AR308 AF10:AF319">
    <cfRule type="cellIs" dxfId="135" priority="6" operator="equal">
      <formula>"Venta insuficiente"</formula>
    </cfRule>
  </conditionalFormatting>
  <conditionalFormatting sqref="E10:E319">
    <cfRule type="duplicateValues" dxfId="134" priority="55"/>
  </conditionalFormatting>
  <pageMargins left="0.7" right="0.7" top="0.75" bottom="0.75" header="0.3" footer="0.3"/>
  <pageSetup orientation="portrait" r:id="rId1"/>
  <customProperties>
    <customPr name="_pios_id" r:id="rId2"/>
    <customPr name="IbpWorksheetKeyString_GUID" r:id="rId3"/>
  </customProperties>
  <drawing r:id="rId4"/>
  <tableParts count="1"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7" id="{9F3CA2F2-B480-435F-87DA-74520BF31A0B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96000</xm:f>
              </x14:cfvo>
              <x14:cfIcon iconSet="NoIcons" iconId="0"/>
              <x14:cfIcon iconSet="3Symbols" iconId="1"/>
              <x14:cfIcon iconSet="3Symbols" iconId="1"/>
            </x14:iconSet>
          </x14:cfRule>
          <xm:sqref>AA10:AC319</xm:sqref>
        </x14:conditionalFormatting>
      </x14:conditionalFormattings>
    </ext>
    <ext xmlns:x15="http://schemas.microsoft.com/office/spreadsheetml/2010/11/main" uri="{3A4CF648-6AED-40f4-86FF-DC5316D8AED3}">
      <x14:slicerList xmlns:x14="http://schemas.microsoft.com/office/spreadsheetml/2009/9/main">
        <x14:slicer r:id="rId6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9DA5A-3D78-436C-AE45-5D8F618094CC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customProperties>
    <customPr name="_pios_id" r:id="rId1"/>
    <customPr name="IbpWorksheetKeyString_GU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63E1-822B-4DE0-A02B-730B43998672}">
  <sheetPr>
    <tabColor theme="5" tint="-0.249977111117893"/>
  </sheetPr>
  <dimension ref="B1:U12"/>
  <sheetViews>
    <sheetView showGridLines="0" zoomScale="80" zoomScaleNormal="80" workbookViewId="0">
      <selection activeCell="F23" sqref="F23"/>
    </sheetView>
  </sheetViews>
  <sheetFormatPr baseColWidth="10" defaultRowHeight="15" x14ac:dyDescent="0.2"/>
  <cols>
    <col min="2" max="2" width="17.6640625" bestFit="1" customWidth="1"/>
    <col min="3" max="3" width="12.6640625" customWidth="1"/>
    <col min="4" max="4" width="13.1640625" customWidth="1"/>
    <col min="5" max="5" width="12.6640625" customWidth="1"/>
    <col min="6" max="6" width="11" bestFit="1" customWidth="1"/>
    <col min="7" max="7" width="0" hidden="1" customWidth="1"/>
    <col min="9" max="9" width="17.6640625" bestFit="1" customWidth="1"/>
    <col min="10" max="10" width="12.6640625" hidden="1" customWidth="1"/>
    <col min="11" max="12" width="11.33203125" hidden="1" customWidth="1"/>
    <col min="13" max="14" width="12.6640625" bestFit="1" customWidth="1"/>
    <col min="16" max="16" width="17.6640625" bestFit="1" customWidth="1"/>
    <col min="17" max="17" width="12.6640625" hidden="1" customWidth="1"/>
    <col min="18" max="18" width="13.1640625" hidden="1" customWidth="1"/>
    <col min="19" max="19" width="12.6640625" hidden="1" customWidth="1"/>
    <col min="20" max="21" width="12.6640625" bestFit="1" customWidth="1"/>
  </cols>
  <sheetData>
    <row r="1" spans="2:21" x14ac:dyDescent="0.2">
      <c r="B1" s="1" t="s">
        <v>762</v>
      </c>
      <c r="I1" s="1" t="s">
        <v>703</v>
      </c>
      <c r="P1" s="1" t="s">
        <v>584</v>
      </c>
    </row>
    <row r="2" spans="2:21" x14ac:dyDescent="0.2">
      <c r="B2" s="10" t="s">
        <v>0</v>
      </c>
      <c r="C2" t="s">
        <v>356</v>
      </c>
      <c r="I2" s="10" t="s">
        <v>0</v>
      </c>
      <c r="J2" t="s">
        <v>356</v>
      </c>
      <c r="P2" s="10" t="s">
        <v>3</v>
      </c>
      <c r="Q2" t="s">
        <v>79</v>
      </c>
    </row>
    <row r="3" spans="2:21" x14ac:dyDescent="0.2">
      <c r="B3" s="10" t="s">
        <v>3</v>
      </c>
      <c r="C3" t="s">
        <v>356</v>
      </c>
      <c r="I3" s="10" t="s">
        <v>3</v>
      </c>
      <c r="J3" t="s">
        <v>79</v>
      </c>
      <c r="P3" s="10" t="s">
        <v>0</v>
      </c>
      <c r="Q3" t="s">
        <v>356</v>
      </c>
    </row>
    <row r="5" spans="2:21" x14ac:dyDescent="0.2">
      <c r="B5" s="31" t="s">
        <v>348</v>
      </c>
      <c r="C5" s="87" t="s">
        <v>697</v>
      </c>
      <c r="D5" s="87" t="s">
        <v>696</v>
      </c>
      <c r="E5" s="87" t="s">
        <v>695</v>
      </c>
      <c r="F5" s="88" t="s">
        <v>698</v>
      </c>
      <c r="I5" s="31" t="s">
        <v>348</v>
      </c>
      <c r="J5" s="107" t="s">
        <v>425</v>
      </c>
      <c r="K5" t="s">
        <v>424</v>
      </c>
      <c r="L5" t="s">
        <v>694</v>
      </c>
      <c r="M5" s="88" t="s">
        <v>704</v>
      </c>
      <c r="P5" s="31" t="s">
        <v>348</v>
      </c>
      <c r="Q5" t="s">
        <v>700</v>
      </c>
      <c r="R5" t="s">
        <v>701</v>
      </c>
      <c r="S5" t="s">
        <v>702</v>
      </c>
      <c r="T5" s="88" t="s">
        <v>662</v>
      </c>
    </row>
    <row r="6" spans="2:21" x14ac:dyDescent="0.2">
      <c r="B6" s="11" t="s">
        <v>370</v>
      </c>
      <c r="C6" s="55" t="s">
        <v>699</v>
      </c>
      <c r="D6" s="55" t="s">
        <v>699</v>
      </c>
      <c r="E6" s="55">
        <v>0.97318049249842153</v>
      </c>
      <c r="F6" s="55">
        <v>0.83636760842220181</v>
      </c>
      <c r="G6" s="55">
        <f>+F6-E6</f>
        <v>-0.13681288407621972</v>
      </c>
      <c r="I6" s="11" t="s">
        <v>17</v>
      </c>
      <c r="J6" s="3">
        <v>11700</v>
      </c>
      <c r="K6" s="3">
        <v>16680</v>
      </c>
      <c r="L6" s="3">
        <v>46200</v>
      </c>
      <c r="M6" s="3">
        <v>6570</v>
      </c>
      <c r="N6" s="55"/>
      <c r="P6" s="11" t="s">
        <v>17</v>
      </c>
      <c r="Q6" s="3">
        <v>159363</v>
      </c>
      <c r="R6" s="3">
        <v>147846</v>
      </c>
      <c r="S6" s="3">
        <v>492147</v>
      </c>
      <c r="T6" s="3">
        <v>71276.69206818605</v>
      </c>
      <c r="U6" s="55"/>
    </row>
    <row r="7" spans="2:21" x14ac:dyDescent="0.2">
      <c r="B7" s="11" t="s">
        <v>17</v>
      </c>
      <c r="C7" s="55">
        <v>1.5921832930654634</v>
      </c>
      <c r="D7" s="55">
        <v>1.6600629765206971</v>
      </c>
      <c r="E7" s="55">
        <v>1.8774976166722093</v>
      </c>
      <c r="F7" s="55">
        <v>1.639159098511854</v>
      </c>
      <c r="G7" s="55">
        <f t="shared" ref="G7:G12" si="0">+F7-E7</f>
        <v>-0.23833851816035523</v>
      </c>
      <c r="I7" s="11" t="s">
        <v>173</v>
      </c>
      <c r="J7" s="3">
        <v>0</v>
      </c>
      <c r="K7" s="3">
        <v>0</v>
      </c>
      <c r="L7" s="3">
        <v>7000</v>
      </c>
      <c r="M7" s="3">
        <v>0</v>
      </c>
      <c r="N7" s="89"/>
      <c r="P7" s="11" t="s">
        <v>173</v>
      </c>
      <c r="Q7" s="3">
        <v>0</v>
      </c>
      <c r="R7" s="3">
        <v>0</v>
      </c>
      <c r="S7" s="3">
        <v>30191</v>
      </c>
      <c r="T7" s="3">
        <v>0</v>
      </c>
      <c r="U7" s="89"/>
    </row>
    <row r="8" spans="2:21" x14ac:dyDescent="0.2">
      <c r="B8" s="11" t="s">
        <v>173</v>
      </c>
      <c r="C8" s="55">
        <v>3.5098903088391906</v>
      </c>
      <c r="D8" s="55">
        <v>3.1119006034608172</v>
      </c>
      <c r="E8" s="55">
        <v>3.009272318983145</v>
      </c>
      <c r="F8" s="55">
        <v>3.3019175309236068</v>
      </c>
      <c r="G8" s="89">
        <f t="shared" si="0"/>
        <v>0.29264521194046189</v>
      </c>
      <c r="I8" s="11" t="s">
        <v>7</v>
      </c>
      <c r="J8" s="3">
        <v>0</v>
      </c>
      <c r="K8" s="3">
        <v>0</v>
      </c>
      <c r="L8" s="3">
        <v>17895</v>
      </c>
      <c r="M8" s="3">
        <v>0</v>
      </c>
      <c r="N8" s="89"/>
      <c r="P8" s="11" t="s">
        <v>7</v>
      </c>
      <c r="Q8" s="3">
        <v>0</v>
      </c>
      <c r="R8" s="3">
        <v>0</v>
      </c>
      <c r="S8" s="3">
        <v>189687</v>
      </c>
      <c r="T8" s="3">
        <v>0</v>
      </c>
      <c r="U8" s="89"/>
    </row>
    <row r="9" spans="2:21" x14ac:dyDescent="0.2">
      <c r="B9" s="11" t="s">
        <v>7</v>
      </c>
      <c r="C9" s="55">
        <v>1.3071680620841417</v>
      </c>
      <c r="D9" s="55">
        <v>1.3496774193548386</v>
      </c>
      <c r="E9" s="91">
        <v>1.6583400092248683</v>
      </c>
      <c r="F9" s="55">
        <v>1.5078054371480549</v>
      </c>
      <c r="G9" s="55">
        <f t="shared" si="0"/>
        <v>-0.15053457207681342</v>
      </c>
      <c r="I9" s="11" t="s">
        <v>140</v>
      </c>
      <c r="J9" s="3">
        <v>0</v>
      </c>
      <c r="K9" s="3">
        <v>0</v>
      </c>
      <c r="L9" s="3">
        <v>0</v>
      </c>
      <c r="M9" s="3">
        <v>0</v>
      </c>
      <c r="N9" s="92"/>
      <c r="P9" s="11" t="s">
        <v>140</v>
      </c>
      <c r="Q9" s="3">
        <v>0</v>
      </c>
      <c r="R9" s="3">
        <v>0</v>
      </c>
      <c r="S9" s="3">
        <v>0</v>
      </c>
      <c r="T9" s="3">
        <v>0</v>
      </c>
      <c r="U9" s="92"/>
    </row>
    <row r="10" spans="2:21" x14ac:dyDescent="0.2">
      <c r="B10" s="11" t="s">
        <v>140</v>
      </c>
      <c r="C10" s="55">
        <v>1.7101881336838152</v>
      </c>
      <c r="D10" s="55">
        <v>2.103587469223521</v>
      </c>
      <c r="E10" s="55">
        <v>1.9729726598933877</v>
      </c>
      <c r="F10" s="55">
        <v>1.3746734672909076</v>
      </c>
      <c r="G10" s="55">
        <f t="shared" si="0"/>
        <v>-0.5982991926024801</v>
      </c>
      <c r="I10" s="11" t="s">
        <v>88</v>
      </c>
      <c r="J10" s="3">
        <v>6000</v>
      </c>
      <c r="K10" s="3">
        <v>0</v>
      </c>
      <c r="L10" s="3">
        <v>1500</v>
      </c>
      <c r="M10" s="3">
        <v>4330</v>
      </c>
      <c r="N10" s="89"/>
      <c r="P10" s="11" t="s">
        <v>88</v>
      </c>
      <c r="Q10" s="3">
        <v>0</v>
      </c>
      <c r="R10" s="3">
        <v>20254</v>
      </c>
      <c r="S10" s="3">
        <v>4841</v>
      </c>
      <c r="T10" s="3">
        <v>15504.17616931331</v>
      </c>
      <c r="U10" s="89"/>
    </row>
    <row r="11" spans="2:21" x14ac:dyDescent="0.2">
      <c r="B11" s="11" t="s">
        <v>88</v>
      </c>
      <c r="C11" s="55">
        <v>3.7577436890005353</v>
      </c>
      <c r="D11" s="55">
        <v>3.7615328038066855</v>
      </c>
      <c r="E11" s="55">
        <v>3.4926222066915447</v>
      </c>
      <c r="F11" s="55">
        <v>3.656782781103928</v>
      </c>
      <c r="G11" s="89">
        <f t="shared" si="0"/>
        <v>0.1641605744123833</v>
      </c>
      <c r="I11" s="11" t="s">
        <v>350</v>
      </c>
      <c r="J11" s="3">
        <v>17700</v>
      </c>
      <c r="K11" s="3">
        <v>16680</v>
      </c>
      <c r="L11" s="3">
        <v>72595</v>
      </c>
      <c r="M11" s="3">
        <v>10900</v>
      </c>
      <c r="N11" s="92"/>
      <c r="P11" s="11" t="s">
        <v>350</v>
      </c>
      <c r="Q11" s="3">
        <v>159363</v>
      </c>
      <c r="R11" s="3">
        <v>168100</v>
      </c>
      <c r="S11" s="3">
        <v>716866</v>
      </c>
      <c r="T11" s="3">
        <v>86780.868237499366</v>
      </c>
      <c r="U11" s="89"/>
    </row>
    <row r="12" spans="2:21" x14ac:dyDescent="0.2">
      <c r="B12" s="11" t="s">
        <v>350</v>
      </c>
      <c r="C12" s="86">
        <v>2.4993704833071333</v>
      </c>
      <c r="D12" s="86">
        <v>2.454100252135166</v>
      </c>
      <c r="E12" s="86">
        <v>2.4409232938030323</v>
      </c>
      <c r="F12" s="85">
        <v>2.3986278285956142</v>
      </c>
      <c r="G12" s="90">
        <f t="shared" si="0"/>
        <v>-4.2295465207418115E-2</v>
      </c>
      <c r="N12" s="90"/>
      <c r="U12" s="90"/>
    </row>
  </sheetData>
  <pageMargins left="0.7" right="0.7" top="0.75" bottom="0.75" header="0.3" footer="0.3"/>
  <pageSetup orientation="portrait" r:id="rId4"/>
  <customProperties>
    <customPr name="_pios_id" r:id="rId5"/>
    <customPr name="IbpWorksheetKeyString_GUID" r:id="rId6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D8428-4683-452D-8D09-DD80EEF9B4BA}">
  <dimension ref="C3:L15"/>
  <sheetViews>
    <sheetView workbookViewId="0">
      <selection activeCell="L5" sqref="L5:L15"/>
    </sheetView>
  </sheetViews>
  <sheetFormatPr baseColWidth="10" defaultRowHeight="15" x14ac:dyDescent="0.2"/>
  <cols>
    <col min="7" max="7" width="28.83203125" bestFit="1" customWidth="1"/>
    <col min="10" max="10" width="11.83203125" bestFit="1" customWidth="1"/>
    <col min="11" max="11" width="5.1640625" bestFit="1" customWidth="1"/>
  </cols>
  <sheetData>
    <row r="3" spans="3:12" ht="16" thickBot="1" x14ac:dyDescent="0.25"/>
    <row r="4" spans="3:12" ht="33" thickBot="1" x14ac:dyDescent="0.25">
      <c r="C4" s="103" t="s">
        <v>330</v>
      </c>
      <c r="D4" s="104" t="s">
        <v>0</v>
      </c>
      <c r="E4" s="104" t="s">
        <v>1</v>
      </c>
      <c r="F4" s="104" t="s">
        <v>4</v>
      </c>
      <c r="G4" s="104" t="s">
        <v>5</v>
      </c>
      <c r="H4" s="139" t="s">
        <v>678</v>
      </c>
      <c r="J4" s="7">
        <v>400000</v>
      </c>
      <c r="L4" s="3">
        <f>SUM(L5:L14)</f>
        <v>408000</v>
      </c>
    </row>
    <row r="5" spans="3:12" ht="16" thickTop="1" x14ac:dyDescent="0.2">
      <c r="C5" s="93" t="s">
        <v>711</v>
      </c>
      <c r="D5" s="94" t="s">
        <v>6</v>
      </c>
      <c r="E5" s="94" t="s">
        <v>17</v>
      </c>
      <c r="F5" s="94">
        <v>1020367</v>
      </c>
      <c r="G5" s="94" t="s">
        <v>42</v>
      </c>
      <c r="H5" s="140">
        <v>72000</v>
      </c>
      <c r="I5" s="38">
        <f>H5/$H$15</f>
        <v>8.1081081081081086E-2</v>
      </c>
      <c r="J5" s="54">
        <f>ROUNDDOWN($J$4*I5,0)/24000</f>
        <v>1.3513333333333333</v>
      </c>
      <c r="K5" s="54">
        <f>ROUND(J5,0)</f>
        <v>1</v>
      </c>
      <c r="L5" s="7">
        <f>+K5*24000</f>
        <v>24000</v>
      </c>
    </row>
    <row r="6" spans="3:12" x14ac:dyDescent="0.2">
      <c r="C6" s="95" t="s">
        <v>712</v>
      </c>
      <c r="D6" s="96" t="s">
        <v>6</v>
      </c>
      <c r="E6" s="96" t="s">
        <v>17</v>
      </c>
      <c r="F6" s="96">
        <v>1020412</v>
      </c>
      <c r="G6" s="96" t="s">
        <v>73</v>
      </c>
      <c r="H6" s="141">
        <v>48000</v>
      </c>
      <c r="I6" s="38">
        <f t="shared" ref="I6:I14" si="0">H6/$H$15</f>
        <v>5.4054054054054057E-2</v>
      </c>
      <c r="J6" s="54">
        <f t="shared" ref="J6:J14" si="1">ROUNDDOWN($J$4*I6,0)/24000</f>
        <v>0.90087499999999998</v>
      </c>
      <c r="K6" s="54">
        <f t="shared" ref="K6:K14" si="2">ROUND(J6,0)</f>
        <v>1</v>
      </c>
      <c r="L6" s="7">
        <f t="shared" ref="L6:L14" si="3">+K6*24000</f>
        <v>24000</v>
      </c>
    </row>
    <row r="7" spans="3:12" x14ac:dyDescent="0.2">
      <c r="C7" s="93" t="s">
        <v>713</v>
      </c>
      <c r="D7" s="94" t="s">
        <v>6</v>
      </c>
      <c r="E7" s="94" t="s">
        <v>17</v>
      </c>
      <c r="F7" s="94">
        <v>1021023</v>
      </c>
      <c r="G7" s="94" t="s">
        <v>43</v>
      </c>
      <c r="H7" s="140">
        <v>96000</v>
      </c>
      <c r="I7" s="38">
        <f t="shared" si="0"/>
        <v>0.10810810810810811</v>
      </c>
      <c r="J7" s="54">
        <f t="shared" si="1"/>
        <v>1.8017916666666667</v>
      </c>
      <c r="K7" s="54">
        <f t="shared" si="2"/>
        <v>2</v>
      </c>
      <c r="L7" s="7">
        <f t="shared" si="3"/>
        <v>48000</v>
      </c>
    </row>
    <row r="8" spans="3:12" x14ac:dyDescent="0.2">
      <c r="C8" s="95" t="s">
        <v>714</v>
      </c>
      <c r="D8" s="96" t="s">
        <v>6</v>
      </c>
      <c r="E8" s="96" t="s">
        <v>17</v>
      </c>
      <c r="F8" s="96">
        <v>1021078</v>
      </c>
      <c r="G8" s="96" t="s">
        <v>74</v>
      </c>
      <c r="H8" s="141">
        <v>72000</v>
      </c>
      <c r="I8" s="38">
        <f t="shared" si="0"/>
        <v>8.1081081081081086E-2</v>
      </c>
      <c r="J8" s="54">
        <f t="shared" si="1"/>
        <v>1.3513333333333333</v>
      </c>
      <c r="K8" s="54">
        <f t="shared" si="2"/>
        <v>1</v>
      </c>
      <c r="L8" s="7">
        <f t="shared" si="3"/>
        <v>24000</v>
      </c>
    </row>
    <row r="9" spans="3:12" x14ac:dyDescent="0.2">
      <c r="C9" s="93" t="s">
        <v>715</v>
      </c>
      <c r="D9" s="94" t="s">
        <v>6</v>
      </c>
      <c r="E9" s="94" t="s">
        <v>17</v>
      </c>
      <c r="F9" s="94">
        <v>1021092</v>
      </c>
      <c r="G9" s="94" t="s">
        <v>75</v>
      </c>
      <c r="H9" s="140">
        <v>48000</v>
      </c>
      <c r="I9" s="38">
        <f t="shared" si="0"/>
        <v>5.4054054054054057E-2</v>
      </c>
      <c r="J9" s="54">
        <f t="shared" si="1"/>
        <v>0.90087499999999998</v>
      </c>
      <c r="K9" s="54">
        <f t="shared" si="2"/>
        <v>1</v>
      </c>
      <c r="L9" s="7">
        <f t="shared" si="3"/>
        <v>24000</v>
      </c>
    </row>
    <row r="10" spans="3:12" x14ac:dyDescent="0.2">
      <c r="C10" s="95" t="s">
        <v>716</v>
      </c>
      <c r="D10" s="96" t="s">
        <v>6</v>
      </c>
      <c r="E10" s="96" t="s">
        <v>17</v>
      </c>
      <c r="F10" s="96">
        <v>1021187</v>
      </c>
      <c r="G10" s="96" t="s">
        <v>29</v>
      </c>
      <c r="H10" s="141">
        <v>48000</v>
      </c>
      <c r="I10" s="38">
        <f t="shared" si="0"/>
        <v>5.4054054054054057E-2</v>
      </c>
      <c r="J10" s="54">
        <f t="shared" si="1"/>
        <v>0.90087499999999998</v>
      </c>
      <c r="K10" s="54">
        <f t="shared" si="2"/>
        <v>1</v>
      </c>
      <c r="L10" s="7">
        <f t="shared" si="3"/>
        <v>24000</v>
      </c>
    </row>
    <row r="11" spans="3:12" x14ac:dyDescent="0.2">
      <c r="C11" s="93" t="s">
        <v>717</v>
      </c>
      <c r="D11" s="94" t="s">
        <v>204</v>
      </c>
      <c r="E11" s="94" t="s">
        <v>17</v>
      </c>
      <c r="F11" s="94">
        <v>1030332</v>
      </c>
      <c r="G11" s="94" t="s">
        <v>207</v>
      </c>
      <c r="H11" s="140">
        <v>48000</v>
      </c>
      <c r="I11" s="38">
        <f t="shared" si="0"/>
        <v>5.4054054054054057E-2</v>
      </c>
      <c r="J11" s="54">
        <f t="shared" si="1"/>
        <v>0.90087499999999998</v>
      </c>
      <c r="K11" s="54">
        <f t="shared" si="2"/>
        <v>1</v>
      </c>
      <c r="L11" s="7">
        <f t="shared" si="3"/>
        <v>24000</v>
      </c>
    </row>
    <row r="12" spans="3:12" x14ac:dyDescent="0.2">
      <c r="C12" s="95" t="s">
        <v>718</v>
      </c>
      <c r="D12" s="96" t="s">
        <v>227</v>
      </c>
      <c r="E12" s="96" t="s">
        <v>17</v>
      </c>
      <c r="F12" s="96">
        <v>1011421</v>
      </c>
      <c r="G12" s="96" t="s">
        <v>238</v>
      </c>
      <c r="H12" s="141">
        <v>240000</v>
      </c>
      <c r="I12" s="38">
        <f t="shared" si="0"/>
        <v>0.27027027027027029</v>
      </c>
      <c r="J12" s="54">
        <f t="shared" si="1"/>
        <v>4.5045000000000002</v>
      </c>
      <c r="K12" s="54">
        <f t="shared" si="2"/>
        <v>5</v>
      </c>
      <c r="L12" s="7">
        <f t="shared" si="3"/>
        <v>120000</v>
      </c>
    </row>
    <row r="13" spans="3:12" x14ac:dyDescent="0.2">
      <c r="C13" s="93" t="s">
        <v>719</v>
      </c>
      <c r="D13" s="94" t="s">
        <v>227</v>
      </c>
      <c r="E13" s="94" t="s">
        <v>17</v>
      </c>
      <c r="F13" s="94">
        <v>1012283</v>
      </c>
      <c r="G13" s="94" t="s">
        <v>246</v>
      </c>
      <c r="H13" s="140">
        <v>48000</v>
      </c>
      <c r="I13" s="38">
        <f t="shared" si="0"/>
        <v>5.4054054054054057E-2</v>
      </c>
      <c r="J13" s="54">
        <f t="shared" si="1"/>
        <v>0.90087499999999998</v>
      </c>
      <c r="K13" s="54">
        <f t="shared" si="2"/>
        <v>1</v>
      </c>
      <c r="L13" s="7">
        <f t="shared" si="3"/>
        <v>24000</v>
      </c>
    </row>
    <row r="14" spans="3:12" x14ac:dyDescent="0.2">
      <c r="C14" s="101" t="s">
        <v>720</v>
      </c>
      <c r="D14" s="97" t="s">
        <v>227</v>
      </c>
      <c r="E14" s="97" t="s">
        <v>17</v>
      </c>
      <c r="F14" s="97">
        <v>1012719</v>
      </c>
      <c r="G14" s="97" t="s">
        <v>236</v>
      </c>
      <c r="H14" s="142">
        <v>168000</v>
      </c>
      <c r="I14" s="38">
        <f t="shared" si="0"/>
        <v>0.1891891891891892</v>
      </c>
      <c r="J14" s="54">
        <f t="shared" si="1"/>
        <v>3.1531250000000002</v>
      </c>
      <c r="K14" s="54">
        <f t="shared" si="2"/>
        <v>3</v>
      </c>
      <c r="L14" s="7">
        <f t="shared" si="3"/>
        <v>72000</v>
      </c>
    </row>
    <row r="15" spans="3:12" x14ac:dyDescent="0.2">
      <c r="H15" s="3">
        <f>SUM(H5:H14)</f>
        <v>888000</v>
      </c>
    </row>
  </sheetData>
  <conditionalFormatting sqref="F4:F14">
    <cfRule type="duplicateValues" dxfId="54" priority="1"/>
    <cfRule type="duplicateValues" dxfId="53" priority="5"/>
  </conditionalFormatting>
  <conditionalFormatting sqref="C4:C14">
    <cfRule type="duplicateValues" dxfId="52" priority="2"/>
    <cfRule type="duplicateValues" dxfId="51" priority="3"/>
    <cfRule type="duplicateValues" dxfId="50" priority="4"/>
  </conditionalFormatting>
  <pageMargins left="0.7" right="0.7" top="0.75" bottom="0.75" header="0.3" footer="0.3"/>
  <customProperties>
    <customPr name="_pios_id" r:id="rId1"/>
    <customPr name="IbpWorksheetKeyString_GU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6093-CF60-4207-B710-D4D6CE29657A}">
  <sheetPr>
    <tabColor rgb="FFFF0000"/>
  </sheetPr>
  <dimension ref="B1:L24"/>
  <sheetViews>
    <sheetView showGridLines="0" zoomScale="80" zoomScaleNormal="80" workbookViewId="0">
      <selection activeCell="B16" sqref="B16"/>
    </sheetView>
  </sheetViews>
  <sheetFormatPr baseColWidth="10" defaultRowHeight="15" x14ac:dyDescent="0.2"/>
  <cols>
    <col min="2" max="2" width="30" bestFit="1" customWidth="1"/>
    <col min="3" max="3" width="13.1640625" bestFit="1" customWidth="1"/>
    <col min="4" max="4" width="13.83203125" bestFit="1" customWidth="1"/>
    <col min="5" max="5" width="11.33203125" bestFit="1" customWidth="1"/>
    <col min="6" max="6" width="8.6640625" bestFit="1" customWidth="1"/>
    <col min="7" max="7" width="14.6640625" bestFit="1" customWidth="1"/>
    <col min="8" max="8" width="10.1640625" bestFit="1" customWidth="1"/>
    <col min="9" max="9" width="8.6640625" bestFit="1" customWidth="1"/>
    <col min="10" max="10" width="10.33203125" bestFit="1" customWidth="1"/>
  </cols>
  <sheetData>
    <row r="1" spans="2:12" ht="16" thickBot="1" x14ac:dyDescent="0.25"/>
    <row r="2" spans="2:12" ht="16" thickBot="1" x14ac:dyDescent="0.25">
      <c r="E2" s="207" t="s">
        <v>745</v>
      </c>
      <c r="F2" s="208"/>
      <c r="G2" s="209" t="s">
        <v>746</v>
      </c>
      <c r="H2" s="210"/>
    </row>
    <row r="3" spans="2:12" x14ac:dyDescent="0.2">
      <c r="B3" s="132" t="s">
        <v>1</v>
      </c>
      <c r="C3" s="133" t="s">
        <v>723</v>
      </c>
      <c r="D3" s="133" t="s">
        <v>724</v>
      </c>
      <c r="E3" s="126" t="s">
        <v>743</v>
      </c>
      <c r="F3" s="127" t="s">
        <v>744</v>
      </c>
      <c r="G3" s="110" t="s">
        <v>725</v>
      </c>
      <c r="H3" s="111" t="s">
        <v>726</v>
      </c>
      <c r="I3" s="132" t="s">
        <v>747</v>
      </c>
      <c r="J3" s="132" t="s">
        <v>727</v>
      </c>
    </row>
    <row r="4" spans="2:12" x14ac:dyDescent="0.2">
      <c r="B4" s="112" t="s">
        <v>728</v>
      </c>
      <c r="C4" s="113">
        <v>225</v>
      </c>
      <c r="D4" s="114">
        <v>5249874.9054293772</v>
      </c>
      <c r="E4" s="115">
        <f>VLOOKUP(B4,'Resumen Volumen'!$B:$E,4,FALSE)</f>
        <v>209000</v>
      </c>
      <c r="F4" s="128">
        <f>+E4/24000</f>
        <v>8.7083333333333339</v>
      </c>
      <c r="G4" s="129">
        <v>3750000</v>
      </c>
      <c r="H4" s="114">
        <f>+G4/24000</f>
        <v>156.25</v>
      </c>
      <c r="I4" s="131">
        <f>+H4+F4</f>
        <v>164.95833333333334</v>
      </c>
      <c r="J4" s="117">
        <f>I4/C4</f>
        <v>0.73314814814814822</v>
      </c>
    </row>
    <row r="5" spans="2:12" x14ac:dyDescent="0.2">
      <c r="B5" s="112" t="s">
        <v>352</v>
      </c>
      <c r="C5" s="113">
        <v>192</v>
      </c>
      <c r="D5" s="114">
        <v>4585669.6410178756</v>
      </c>
      <c r="E5" s="115">
        <f>VLOOKUP(B5,'Resumen Volumen'!$B:$E,4,FALSE)-K5</f>
        <v>525608</v>
      </c>
      <c r="F5" s="128">
        <f t="shared" ref="F5:F8" si="0">+E5/24000</f>
        <v>21.900333333333332</v>
      </c>
      <c r="G5" s="116">
        <v>0</v>
      </c>
      <c r="H5" s="114">
        <f t="shared" ref="H5:H8" si="1">+G5/24000</f>
        <v>0</v>
      </c>
      <c r="I5" s="131">
        <f t="shared" ref="I5:I8" si="2">+H5+F5</f>
        <v>21.900333333333332</v>
      </c>
      <c r="J5" s="117">
        <f t="shared" ref="J5:J9" si="3">I5/C5</f>
        <v>0.11406423611111111</v>
      </c>
      <c r="K5" s="143">
        <v>2244568</v>
      </c>
      <c r="L5" s="144" t="s">
        <v>760</v>
      </c>
    </row>
    <row r="6" spans="2:12" x14ac:dyDescent="0.2">
      <c r="B6" s="112" t="s">
        <v>353</v>
      </c>
      <c r="C6" s="113">
        <v>255.00000000000003</v>
      </c>
      <c r="D6" s="114">
        <v>5809909.9499018509</v>
      </c>
      <c r="E6" s="115">
        <f>VLOOKUP(B6,'Resumen Volumen'!$B:$E,4,FALSE)</f>
        <v>2352000</v>
      </c>
      <c r="F6" s="128">
        <f t="shared" si="0"/>
        <v>98</v>
      </c>
      <c r="G6" s="116">
        <v>0</v>
      </c>
      <c r="H6" s="114">
        <f t="shared" si="1"/>
        <v>0</v>
      </c>
      <c r="I6" s="131">
        <f t="shared" si="2"/>
        <v>98</v>
      </c>
      <c r="J6" s="117">
        <f t="shared" si="3"/>
        <v>0.38431372549019605</v>
      </c>
    </row>
    <row r="7" spans="2:12" x14ac:dyDescent="0.2">
      <c r="B7" s="112" t="s">
        <v>364</v>
      </c>
      <c r="C7" s="113">
        <v>29.999999999999996</v>
      </c>
      <c r="D7" s="114">
        <v>684549.99999999988</v>
      </c>
      <c r="E7" s="115">
        <f>VLOOKUP(B7,'Resumen Volumen'!$B:$E,4,FALSE)</f>
        <v>742000</v>
      </c>
      <c r="F7" s="128">
        <f t="shared" si="0"/>
        <v>30.916666666666668</v>
      </c>
      <c r="G7" s="116">
        <v>0</v>
      </c>
      <c r="H7" s="114">
        <f t="shared" si="1"/>
        <v>0</v>
      </c>
      <c r="I7" s="131">
        <f t="shared" si="2"/>
        <v>30.916666666666668</v>
      </c>
      <c r="J7" s="117">
        <f t="shared" si="3"/>
        <v>1.0305555555555557</v>
      </c>
    </row>
    <row r="8" spans="2:12" ht="16" thickBot="1" x14ac:dyDescent="0.25">
      <c r="B8" s="118" t="s">
        <v>354</v>
      </c>
      <c r="C8" s="119">
        <v>600</v>
      </c>
      <c r="D8" s="120">
        <v>14341353.331436701</v>
      </c>
      <c r="E8" s="115">
        <f>VLOOKUP(B8,'Resumen Volumen'!$B:$E,4,FALSE)</f>
        <v>85000</v>
      </c>
      <c r="F8" s="128">
        <f t="shared" si="0"/>
        <v>3.5416666666666665</v>
      </c>
      <c r="G8" s="130">
        <v>5688000</v>
      </c>
      <c r="H8" s="114">
        <f t="shared" si="1"/>
        <v>237</v>
      </c>
      <c r="I8" s="131">
        <f t="shared" si="2"/>
        <v>240.54166666666666</v>
      </c>
      <c r="J8" s="117">
        <f t="shared" si="3"/>
        <v>0.40090277777777777</v>
      </c>
    </row>
    <row r="9" spans="2:12" ht="16" thickBot="1" x14ac:dyDescent="0.25">
      <c r="B9" s="134" t="s">
        <v>729</v>
      </c>
      <c r="C9" s="135">
        <f>SUM(C4:C8)</f>
        <v>1302</v>
      </c>
      <c r="D9" s="135">
        <f>SUM(D4:D8)</f>
        <v>30671357.827785805</v>
      </c>
      <c r="E9" s="136">
        <f>SUBTOTAL(9,E4:E8)</f>
        <v>3913608</v>
      </c>
      <c r="F9" s="136">
        <f t="shared" ref="F9" si="4">SUBTOTAL(9,F4:F8)</f>
        <v>163.06699999999998</v>
      </c>
      <c r="G9" s="136">
        <f t="shared" ref="G9" si="5">SUBTOTAL(9,G4:G8)</f>
        <v>9438000</v>
      </c>
      <c r="H9" s="136">
        <f t="shared" ref="H9" si="6">SUBTOTAL(9,H4:H8)</f>
        <v>393.25</v>
      </c>
      <c r="I9" s="136">
        <f t="shared" ref="I9" si="7">SUBTOTAL(9,I4:I8)</f>
        <v>556.31700000000001</v>
      </c>
      <c r="J9" s="137">
        <f t="shared" si="3"/>
        <v>0.42727880184331796</v>
      </c>
    </row>
    <row r="12" spans="2:12" x14ac:dyDescent="0.2">
      <c r="B12" s="211" t="s">
        <v>748</v>
      </c>
      <c r="C12" s="211"/>
      <c r="D12" s="211"/>
      <c r="E12" s="211"/>
      <c r="F12" s="211"/>
      <c r="G12" s="211"/>
    </row>
    <row r="13" spans="2:12" x14ac:dyDescent="0.2">
      <c r="B13" s="122"/>
      <c r="C13" s="121" t="s">
        <v>730</v>
      </c>
      <c r="D13" s="121" t="s">
        <v>707</v>
      </c>
      <c r="E13" s="121" t="s">
        <v>731</v>
      </c>
      <c r="F13" s="121" t="s">
        <v>359</v>
      </c>
      <c r="G13" s="121" t="s">
        <v>732</v>
      </c>
    </row>
    <row r="14" spans="2:12" x14ac:dyDescent="0.2">
      <c r="B14" s="122" t="s">
        <v>733</v>
      </c>
      <c r="C14" s="122">
        <v>12</v>
      </c>
      <c r="D14" s="122">
        <v>11</v>
      </c>
      <c r="E14" s="122">
        <v>1</v>
      </c>
      <c r="F14" s="122"/>
      <c r="G14" s="123">
        <v>1</v>
      </c>
    </row>
    <row r="15" spans="2:12" x14ac:dyDescent="0.2">
      <c r="B15" s="122" t="s">
        <v>734</v>
      </c>
      <c r="C15" s="122">
        <v>24</v>
      </c>
      <c r="D15" s="122">
        <v>22</v>
      </c>
      <c r="E15" s="122">
        <v>2</v>
      </c>
      <c r="F15" s="122"/>
      <c r="G15" s="122">
        <v>2</v>
      </c>
    </row>
    <row r="16" spans="2:12" x14ac:dyDescent="0.2">
      <c r="B16" s="122" t="s">
        <v>735</v>
      </c>
      <c r="C16" s="122">
        <v>44</v>
      </c>
      <c r="D16" s="122">
        <v>24</v>
      </c>
      <c r="E16" s="122">
        <v>20</v>
      </c>
      <c r="F16" s="122">
        <v>20</v>
      </c>
      <c r="G16" s="124">
        <v>0</v>
      </c>
      <c r="H16" s="7">
        <f>+G16*24000</f>
        <v>0</v>
      </c>
    </row>
    <row r="17" spans="2:10" x14ac:dyDescent="0.2">
      <c r="B17" s="122" t="s">
        <v>736</v>
      </c>
      <c r="C17" s="122">
        <v>7</v>
      </c>
      <c r="D17" s="122">
        <v>5</v>
      </c>
      <c r="E17" s="122">
        <v>2</v>
      </c>
      <c r="F17" s="122">
        <v>2</v>
      </c>
      <c r="G17" s="125">
        <v>0</v>
      </c>
    </row>
    <row r="18" spans="2:10" x14ac:dyDescent="0.2">
      <c r="B18" s="122" t="s">
        <v>737</v>
      </c>
      <c r="C18" s="122">
        <v>24</v>
      </c>
      <c r="D18" s="122"/>
      <c r="E18" s="122">
        <v>24</v>
      </c>
      <c r="F18" s="122"/>
      <c r="G18" s="123">
        <v>24</v>
      </c>
    </row>
    <row r="19" spans="2:10" x14ac:dyDescent="0.2">
      <c r="B19" s="122" t="s">
        <v>738</v>
      </c>
      <c r="C19" s="122">
        <v>71</v>
      </c>
      <c r="D19" s="122">
        <v>36</v>
      </c>
      <c r="E19" s="122">
        <v>35</v>
      </c>
      <c r="F19" s="122">
        <v>4</v>
      </c>
      <c r="G19" s="125">
        <v>31</v>
      </c>
      <c r="H19" s="7">
        <f>+G19*24000</f>
        <v>744000</v>
      </c>
      <c r="I19" s="145">
        <f>800000-H19</f>
        <v>56000</v>
      </c>
      <c r="J19" s="146" t="s">
        <v>761</v>
      </c>
    </row>
    <row r="20" spans="2:10" x14ac:dyDescent="0.2">
      <c r="B20" s="122" t="s">
        <v>739</v>
      </c>
      <c r="C20" s="122">
        <v>4</v>
      </c>
      <c r="D20" s="122"/>
      <c r="E20" s="122">
        <v>4</v>
      </c>
      <c r="F20" s="122"/>
      <c r="G20" s="123">
        <v>4</v>
      </c>
    </row>
    <row r="21" spans="2:10" x14ac:dyDescent="0.2">
      <c r="B21" s="122" t="s">
        <v>740</v>
      </c>
      <c r="C21" s="122">
        <v>2</v>
      </c>
      <c r="D21" s="122"/>
      <c r="E21" s="122">
        <v>2</v>
      </c>
      <c r="F21" s="122">
        <v>2</v>
      </c>
      <c r="G21" s="125">
        <v>0</v>
      </c>
      <c r="I21" s="3"/>
    </row>
    <row r="22" spans="2:10" x14ac:dyDescent="0.2">
      <c r="B22" s="122" t="s">
        <v>741</v>
      </c>
      <c r="C22" s="122">
        <v>4</v>
      </c>
      <c r="D22" s="122"/>
      <c r="E22" s="122">
        <v>4</v>
      </c>
      <c r="F22" s="122"/>
      <c r="G22" s="124">
        <v>4</v>
      </c>
      <c r="H22" s="7">
        <f>+G22*24000</f>
        <v>96000</v>
      </c>
    </row>
    <row r="23" spans="2:10" x14ac:dyDescent="0.2">
      <c r="B23" s="121" t="s">
        <v>742</v>
      </c>
      <c r="C23" s="121">
        <v>192</v>
      </c>
      <c r="D23" s="121">
        <v>98</v>
      </c>
      <c r="E23" s="121">
        <v>94</v>
      </c>
      <c r="F23" s="121">
        <v>28</v>
      </c>
      <c r="G23" s="121">
        <v>66</v>
      </c>
      <c r="H23" s="7"/>
    </row>
    <row r="24" spans="2:10" x14ac:dyDescent="0.2">
      <c r="C24" s="7">
        <f t="shared" ref="C24:E24" si="8">+C23*24000</f>
        <v>4608000</v>
      </c>
      <c r="D24" s="7">
        <f t="shared" si="8"/>
        <v>2352000</v>
      </c>
      <c r="E24" s="7">
        <f t="shared" si="8"/>
        <v>2256000</v>
      </c>
      <c r="F24" s="7">
        <f>+F23*24000</f>
        <v>672000</v>
      </c>
      <c r="G24" s="7">
        <f>+G23*24000</f>
        <v>1584000</v>
      </c>
      <c r="H24" s="3"/>
    </row>
  </sheetData>
  <mergeCells count="3">
    <mergeCell ref="E2:F2"/>
    <mergeCell ref="G2:H2"/>
    <mergeCell ref="B12:G12"/>
  </mergeCells>
  <pageMargins left="0.7" right="0.7" top="0.75" bottom="0.75" header="0.3" footer="0.3"/>
  <pageSetup orientation="portrait" r:id="rId1"/>
  <customProperties>
    <customPr name="_pios_id" r:id="rId2"/>
    <customPr name="IbpWorksheetKeyString_GUID" r:id="rId3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7D619-53FD-49A2-B445-1CB2D332EC4F}">
  <sheetPr>
    <tabColor theme="9" tint="-0.249977111117893"/>
  </sheetPr>
  <dimension ref="B3:P55"/>
  <sheetViews>
    <sheetView showGridLines="0" zoomScale="70" zoomScaleNormal="70" workbookViewId="0">
      <selection activeCell="B37" sqref="B37:P37"/>
    </sheetView>
  </sheetViews>
  <sheetFormatPr baseColWidth="10" defaultRowHeight="15" x14ac:dyDescent="0.2"/>
  <cols>
    <col min="1" max="1" width="2.1640625" customWidth="1"/>
    <col min="2" max="2" width="17.5" bestFit="1" customWidth="1"/>
    <col min="3" max="3" width="11.1640625" bestFit="1" customWidth="1"/>
    <col min="4" max="4" width="17.5" bestFit="1" customWidth="1"/>
    <col min="5" max="5" width="20.83203125" bestFit="1" customWidth="1"/>
    <col min="6" max="6" width="20.5" bestFit="1" customWidth="1"/>
    <col min="7" max="7" width="18.6640625" bestFit="1" customWidth="1"/>
    <col min="8" max="8" width="20.33203125" bestFit="1" customWidth="1"/>
    <col min="9" max="9" width="18.1640625" hidden="1" customWidth="1"/>
    <col min="10" max="10" width="20.5" hidden="1" customWidth="1"/>
    <col min="11" max="11" width="18.33203125" bestFit="1" customWidth="1"/>
    <col min="12" max="12" width="13.6640625" bestFit="1" customWidth="1"/>
    <col min="13" max="13" width="13.5" bestFit="1" customWidth="1"/>
    <col min="14" max="14" width="12.6640625" bestFit="1" customWidth="1"/>
    <col min="15" max="15" width="10.5" customWidth="1"/>
    <col min="16" max="16" width="11.1640625" customWidth="1"/>
    <col min="17" max="17" width="10.6640625" bestFit="1" customWidth="1"/>
    <col min="18" max="18" width="9.1640625" bestFit="1" customWidth="1"/>
    <col min="19" max="19" width="10" bestFit="1" customWidth="1"/>
  </cols>
  <sheetData>
    <row r="3" spans="2:16" x14ac:dyDescent="0.2">
      <c r="B3" s="10" t="s">
        <v>2</v>
      </c>
      <c r="C3" t="s">
        <v>356</v>
      </c>
    </row>
    <row r="4" spans="2:16" x14ac:dyDescent="0.2">
      <c r="B4" s="10" t="s">
        <v>3</v>
      </c>
      <c r="C4" t="s">
        <v>361</v>
      </c>
    </row>
    <row r="5" spans="2:16" x14ac:dyDescent="0.2">
      <c r="D5" t="s">
        <v>636</v>
      </c>
    </row>
    <row r="6" spans="2:16" x14ac:dyDescent="0.2">
      <c r="B6" s="31" t="s">
        <v>1</v>
      </c>
      <c r="C6" s="10" t="s">
        <v>0</v>
      </c>
      <c r="D6" t="s">
        <v>634</v>
      </c>
      <c r="E6" t="s">
        <v>632</v>
      </c>
      <c r="F6" t="s">
        <v>633</v>
      </c>
      <c r="G6" t="s">
        <v>631</v>
      </c>
      <c r="H6" t="s">
        <v>412</v>
      </c>
      <c r="I6" s="50" t="s">
        <v>413</v>
      </c>
      <c r="J6" t="s">
        <v>635</v>
      </c>
      <c r="K6" s="48" t="s">
        <v>423</v>
      </c>
      <c r="L6" s="48" t="s">
        <v>424</v>
      </c>
      <c r="M6" s="48" t="s">
        <v>425</v>
      </c>
    </row>
    <row r="7" spans="2:16" x14ac:dyDescent="0.2">
      <c r="B7" t="s">
        <v>17</v>
      </c>
      <c r="C7" t="s">
        <v>6</v>
      </c>
      <c r="D7" s="3">
        <v>3580653.452573319</v>
      </c>
      <c r="E7" s="3">
        <v>2150487</v>
      </c>
      <c r="F7" s="3">
        <v>816000</v>
      </c>
      <c r="G7" s="3">
        <v>0</v>
      </c>
      <c r="H7" s="3">
        <v>3062487</v>
      </c>
      <c r="I7" s="3">
        <v>2966487</v>
      </c>
      <c r="J7" s="3">
        <v>5655554.8380738534</v>
      </c>
      <c r="K7" s="3">
        <v>2998221</v>
      </c>
      <c r="L7" s="49">
        <v>2507600</v>
      </c>
      <c r="M7" s="49">
        <v>2674259</v>
      </c>
      <c r="P7" t="s">
        <v>646</v>
      </c>
    </row>
    <row r="8" spans="2:16" x14ac:dyDescent="0.2">
      <c r="C8" t="s">
        <v>204</v>
      </c>
      <c r="D8" s="3">
        <v>250551.08156916144</v>
      </c>
      <c r="E8" s="3">
        <v>72000</v>
      </c>
      <c r="F8" s="3">
        <v>96000</v>
      </c>
      <c r="G8" s="3">
        <v>0</v>
      </c>
      <c r="H8" s="3">
        <v>168000</v>
      </c>
      <c r="I8" s="3">
        <v>168000</v>
      </c>
      <c r="J8" s="3">
        <v>504622.65821772208</v>
      </c>
      <c r="K8" s="3">
        <v>236000</v>
      </c>
      <c r="L8" s="49">
        <v>220001</v>
      </c>
      <c r="M8" s="49">
        <v>288000</v>
      </c>
    </row>
    <row r="9" spans="2:16" x14ac:dyDescent="0.2">
      <c r="C9" t="s">
        <v>227</v>
      </c>
      <c r="D9" s="3">
        <v>1315331.8078382509</v>
      </c>
      <c r="E9" s="3">
        <v>564000</v>
      </c>
      <c r="F9" s="3">
        <v>528000</v>
      </c>
      <c r="G9" s="3">
        <v>0</v>
      </c>
      <c r="H9" s="3">
        <v>1116000</v>
      </c>
      <c r="I9" s="3">
        <v>1092000</v>
      </c>
      <c r="J9" s="3">
        <v>1142212.9324094031</v>
      </c>
      <c r="K9" s="3">
        <v>2069535</v>
      </c>
      <c r="L9" s="49">
        <v>1464000</v>
      </c>
      <c r="M9" s="49">
        <v>1997100</v>
      </c>
    </row>
    <row r="10" spans="2:16" x14ac:dyDescent="0.2">
      <c r="C10" t="s">
        <v>587</v>
      </c>
      <c r="D10" s="3">
        <v>48110</v>
      </c>
      <c r="E10" s="3">
        <v>36000</v>
      </c>
      <c r="F10" s="3">
        <v>0</v>
      </c>
      <c r="G10" s="3">
        <v>0</v>
      </c>
      <c r="H10" s="3">
        <v>42000</v>
      </c>
      <c r="I10" s="3">
        <v>36000</v>
      </c>
      <c r="J10" s="3">
        <v>140400</v>
      </c>
      <c r="K10" s="3">
        <v>18000</v>
      </c>
      <c r="L10" s="49">
        <v>18000</v>
      </c>
      <c r="M10" s="49">
        <v>0</v>
      </c>
    </row>
    <row r="11" spans="2:16" x14ac:dyDescent="0.2">
      <c r="B11" t="s">
        <v>427</v>
      </c>
      <c r="D11" s="3">
        <v>5194646.3419807311</v>
      </c>
      <c r="E11" s="3">
        <v>2822487</v>
      </c>
      <c r="F11" s="3">
        <v>1440000</v>
      </c>
      <c r="G11" s="3">
        <v>0</v>
      </c>
      <c r="H11" s="3">
        <v>4388487</v>
      </c>
      <c r="I11" s="3">
        <v>4262487</v>
      </c>
      <c r="J11" s="3">
        <v>7442790.4287009789</v>
      </c>
      <c r="K11" s="3">
        <v>5321756</v>
      </c>
      <c r="L11" s="49">
        <v>4209601</v>
      </c>
      <c r="M11" s="49">
        <v>4959359</v>
      </c>
    </row>
    <row r="12" spans="2:16" x14ac:dyDescent="0.2">
      <c r="B12" t="s">
        <v>350</v>
      </c>
      <c r="D12" s="3">
        <v>5194646.3419807311</v>
      </c>
      <c r="E12" s="3">
        <v>2822487</v>
      </c>
      <c r="F12" s="3">
        <v>1440000</v>
      </c>
      <c r="G12" s="3">
        <v>0</v>
      </c>
      <c r="H12" s="3">
        <v>4388487</v>
      </c>
      <c r="I12" s="3">
        <v>4262487</v>
      </c>
      <c r="J12" s="3">
        <v>7442790.4287009789</v>
      </c>
      <c r="K12" s="3">
        <v>5321756</v>
      </c>
      <c r="L12" s="49">
        <v>4209601</v>
      </c>
      <c r="M12" s="49">
        <v>4959359</v>
      </c>
    </row>
    <row r="13" spans="2:16" x14ac:dyDescent="0.2">
      <c r="K13" s="54">
        <f>+K12/J12</f>
        <v>0.71502161064191461</v>
      </c>
    </row>
    <row r="14" spans="2:16" x14ac:dyDescent="0.2">
      <c r="K14" s="54"/>
    </row>
    <row r="17" spans="2:13" x14ac:dyDescent="0.2">
      <c r="B17" s="31" t="s">
        <v>1</v>
      </c>
      <c r="C17" s="10" t="s">
        <v>0</v>
      </c>
      <c r="D17" t="s">
        <v>634</v>
      </c>
      <c r="E17" t="s">
        <v>632</v>
      </c>
      <c r="F17" t="s">
        <v>633</v>
      </c>
      <c r="G17" t="s">
        <v>631</v>
      </c>
      <c r="H17" t="s">
        <v>412</v>
      </c>
      <c r="I17" s="50" t="s">
        <v>413</v>
      </c>
      <c r="J17" t="s">
        <v>635</v>
      </c>
      <c r="K17" s="48" t="s">
        <v>423</v>
      </c>
      <c r="L17" s="48" t="s">
        <v>424</v>
      </c>
      <c r="M17" s="48" t="s">
        <v>425</v>
      </c>
    </row>
    <row r="18" spans="2:13" x14ac:dyDescent="0.2">
      <c r="B18" t="s">
        <v>7</v>
      </c>
      <c r="C18" t="s">
        <v>6</v>
      </c>
      <c r="D18" s="3">
        <v>684284.37943937234</v>
      </c>
      <c r="E18" s="3">
        <v>462240</v>
      </c>
      <c r="F18" s="3">
        <v>96000</v>
      </c>
      <c r="G18" s="3">
        <v>0</v>
      </c>
      <c r="H18" s="3">
        <v>558240</v>
      </c>
      <c r="I18" s="3">
        <v>558240</v>
      </c>
      <c r="J18" s="3">
        <v>750198.89313300955</v>
      </c>
      <c r="K18" s="3">
        <v>600000</v>
      </c>
      <c r="L18" s="49">
        <v>720000</v>
      </c>
      <c r="M18" s="49">
        <v>672000</v>
      </c>
    </row>
    <row r="19" spans="2:13" x14ac:dyDescent="0.2">
      <c r="C19" t="s">
        <v>204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49">
        <v>0</v>
      </c>
      <c r="M19" s="49">
        <v>0</v>
      </c>
    </row>
    <row r="20" spans="2:13" x14ac:dyDescent="0.2">
      <c r="C20" t="s">
        <v>227</v>
      </c>
      <c r="D20" s="3">
        <v>178398.60927151929</v>
      </c>
      <c r="E20" s="3">
        <v>119990</v>
      </c>
      <c r="F20" s="3">
        <v>24000</v>
      </c>
      <c r="G20" s="3">
        <v>0</v>
      </c>
      <c r="H20" s="3">
        <v>143990</v>
      </c>
      <c r="I20" s="3">
        <v>143990</v>
      </c>
      <c r="J20" s="3">
        <v>381253.00000000012</v>
      </c>
      <c r="K20" s="3">
        <v>71990</v>
      </c>
      <c r="L20" s="49">
        <v>47990</v>
      </c>
      <c r="M20" s="49">
        <v>72000</v>
      </c>
    </row>
    <row r="21" spans="2:13" x14ac:dyDescent="0.2">
      <c r="B21" t="s">
        <v>428</v>
      </c>
      <c r="D21" s="3">
        <v>862682.98871089169</v>
      </c>
      <c r="E21" s="3">
        <v>582230</v>
      </c>
      <c r="F21" s="3">
        <v>120000</v>
      </c>
      <c r="G21" s="3">
        <v>0</v>
      </c>
      <c r="H21" s="3">
        <v>702230</v>
      </c>
      <c r="I21" s="3">
        <v>702230</v>
      </c>
      <c r="J21" s="3">
        <v>1131451.8931330098</v>
      </c>
      <c r="K21" s="3">
        <v>671990</v>
      </c>
      <c r="L21" s="49">
        <v>767990</v>
      </c>
      <c r="M21" s="49">
        <v>744000</v>
      </c>
    </row>
    <row r="22" spans="2:13" x14ac:dyDescent="0.2">
      <c r="B22" t="s">
        <v>350</v>
      </c>
      <c r="D22" s="3">
        <v>862682.98871089169</v>
      </c>
      <c r="E22" s="3">
        <v>582230</v>
      </c>
      <c r="F22" s="3">
        <v>120000</v>
      </c>
      <c r="G22" s="3">
        <v>0</v>
      </c>
      <c r="H22" s="3">
        <v>702230</v>
      </c>
      <c r="I22" s="3">
        <v>702230</v>
      </c>
      <c r="J22" s="3">
        <v>1131451.8931330098</v>
      </c>
      <c r="K22" s="3">
        <v>671990</v>
      </c>
      <c r="L22" s="49">
        <v>767990</v>
      </c>
      <c r="M22" s="49">
        <v>744000</v>
      </c>
    </row>
    <row r="23" spans="2:13" x14ac:dyDescent="0.2">
      <c r="K23" s="54">
        <f>+K22/J22</f>
        <v>0.59391831334450118</v>
      </c>
    </row>
    <row r="32" spans="2:13" x14ac:dyDescent="0.2">
      <c r="D32" t="s">
        <v>636</v>
      </c>
    </row>
    <row r="33" spans="2:15" x14ac:dyDescent="0.2">
      <c r="B33" s="31" t="s">
        <v>1</v>
      </c>
      <c r="C33" s="10" t="s">
        <v>0</v>
      </c>
      <c r="D33" s="10" t="s">
        <v>2</v>
      </c>
      <c r="E33" s="10" t="s">
        <v>3</v>
      </c>
      <c r="F33" t="s">
        <v>631</v>
      </c>
      <c r="G33" t="s">
        <v>632</v>
      </c>
      <c r="H33" t="s">
        <v>633</v>
      </c>
      <c r="I33" t="s">
        <v>412</v>
      </c>
      <c r="J33" s="50" t="s">
        <v>413</v>
      </c>
      <c r="K33" t="s">
        <v>635</v>
      </c>
      <c r="L33" t="s">
        <v>661</v>
      </c>
      <c r="M33" t="s">
        <v>668</v>
      </c>
      <c r="N33" t="s">
        <v>669</v>
      </c>
      <c r="O33" t="s">
        <v>670</v>
      </c>
    </row>
    <row r="34" spans="2:15" x14ac:dyDescent="0.2">
      <c r="B34" t="s">
        <v>17</v>
      </c>
      <c r="C34" t="s">
        <v>227</v>
      </c>
      <c r="D34" t="s">
        <v>233</v>
      </c>
      <c r="E34" s="1" t="s">
        <v>234</v>
      </c>
      <c r="F34" s="3">
        <v>0</v>
      </c>
      <c r="G34" s="3">
        <v>48000</v>
      </c>
      <c r="H34" s="3">
        <v>192000</v>
      </c>
      <c r="I34" s="3">
        <v>240000</v>
      </c>
      <c r="J34" s="3">
        <v>240000</v>
      </c>
      <c r="K34" s="3">
        <v>255222.91666666651</v>
      </c>
      <c r="L34" s="56">
        <v>1.0634288194444439</v>
      </c>
      <c r="M34" s="3">
        <v>1.14544791666667</v>
      </c>
      <c r="N34" s="3">
        <v>2.1625312499999998</v>
      </c>
      <c r="O34" s="3">
        <v>2.12335069444444</v>
      </c>
    </row>
    <row r="35" spans="2:15" x14ac:dyDescent="0.2">
      <c r="E35" s="1" t="s">
        <v>237</v>
      </c>
      <c r="F35" s="3">
        <v>0</v>
      </c>
      <c r="G35" s="3">
        <v>284000</v>
      </c>
      <c r="H35" s="3">
        <v>264000</v>
      </c>
      <c r="I35" s="3">
        <v>548000</v>
      </c>
      <c r="J35" s="3">
        <v>548000</v>
      </c>
      <c r="K35" s="3">
        <v>576224.3305990583</v>
      </c>
      <c r="L35" s="56">
        <v>1.0515042529179897</v>
      </c>
      <c r="M35" s="3">
        <v>2.0050603644646898</v>
      </c>
      <c r="N35" s="3">
        <v>2.0702543209390165</v>
      </c>
      <c r="O35" s="3">
        <v>2.0733433411235298</v>
      </c>
    </row>
    <row r="36" spans="2:15" x14ac:dyDescent="0.2">
      <c r="C36" t="s">
        <v>579</v>
      </c>
      <c r="F36" s="3">
        <v>0</v>
      </c>
      <c r="G36" s="3">
        <v>332000</v>
      </c>
      <c r="H36" s="3">
        <v>456000</v>
      </c>
      <c r="I36" s="3">
        <v>788000</v>
      </c>
      <c r="J36" s="3">
        <v>788000</v>
      </c>
      <c r="K36" s="3">
        <v>831447.24726572481</v>
      </c>
      <c r="L36" s="56">
        <v>1.0551361005910211</v>
      </c>
      <c r="M36" s="3">
        <v>3.1505082811313598</v>
      </c>
      <c r="N36" s="3">
        <v>4.2327855709390168</v>
      </c>
      <c r="O36" s="3">
        <v>4.1966940355679698</v>
      </c>
    </row>
    <row r="37" spans="2:15" x14ac:dyDescent="0.2">
      <c r="B37" t="s">
        <v>427</v>
      </c>
      <c r="F37" s="3">
        <v>0</v>
      </c>
      <c r="G37" s="3">
        <v>332000</v>
      </c>
      <c r="H37" s="3">
        <v>456000</v>
      </c>
      <c r="I37" s="3">
        <v>788000</v>
      </c>
      <c r="J37" s="3">
        <v>788000</v>
      </c>
      <c r="K37" s="3">
        <v>831447.24726572481</v>
      </c>
      <c r="L37" s="56">
        <v>1.0551361005910211</v>
      </c>
      <c r="M37" s="3">
        <v>3.1505082811313598</v>
      </c>
      <c r="N37" s="3">
        <v>4.2327855709390168</v>
      </c>
      <c r="O37" s="3">
        <v>4.1966940355679698</v>
      </c>
    </row>
    <row r="38" spans="2:15" x14ac:dyDescent="0.2">
      <c r="B38" t="s">
        <v>350</v>
      </c>
      <c r="F38" s="3">
        <v>0</v>
      </c>
      <c r="G38" s="3">
        <v>332000</v>
      </c>
      <c r="H38" s="3">
        <v>456000</v>
      </c>
      <c r="I38" s="3">
        <v>788000</v>
      </c>
      <c r="J38" s="3">
        <v>788000</v>
      </c>
      <c r="K38" s="3">
        <v>831447.24726572481</v>
      </c>
      <c r="L38" s="56">
        <v>1.0551361005910211</v>
      </c>
      <c r="M38" s="3">
        <v>3.1505082811313598</v>
      </c>
      <c r="N38" s="3">
        <v>4.2327855709390168</v>
      </c>
      <c r="O38" s="3">
        <v>4.1966940355679698</v>
      </c>
    </row>
    <row r="41" spans="2:15" x14ac:dyDescent="0.2">
      <c r="B41" s="41" t="s">
        <v>1</v>
      </c>
      <c r="C41" s="25" t="s">
        <v>0</v>
      </c>
      <c r="D41" s="25" t="s">
        <v>2</v>
      </c>
      <c r="E41" s="25" t="s">
        <v>3</v>
      </c>
      <c r="F41" s="36" t="s">
        <v>631</v>
      </c>
      <c r="G41" s="36" t="s">
        <v>632</v>
      </c>
      <c r="H41" s="36" t="s">
        <v>633</v>
      </c>
      <c r="I41" s="68" t="s">
        <v>412</v>
      </c>
      <c r="J41" s="36" t="s">
        <v>630</v>
      </c>
      <c r="K41" s="69" t="s">
        <v>413</v>
      </c>
    </row>
    <row r="42" spans="2:15" x14ac:dyDescent="0.2">
      <c r="B42" s="59" t="s">
        <v>17</v>
      </c>
      <c r="C42" s="63" t="s">
        <v>227</v>
      </c>
      <c r="D42" s="60" t="s">
        <v>233</v>
      </c>
      <c r="E42" s="70" t="s">
        <v>234</v>
      </c>
      <c r="F42" s="71">
        <v>0</v>
      </c>
      <c r="G42" s="71">
        <v>24000</v>
      </c>
      <c r="H42" s="71">
        <f>+K42-SUM(F42:G42)</f>
        <v>0</v>
      </c>
      <c r="I42" s="71">
        <v>72000</v>
      </c>
      <c r="J42" s="45">
        <v>-48000</v>
      </c>
      <c r="K42" s="71">
        <v>24000</v>
      </c>
    </row>
    <row r="43" spans="2:15" x14ac:dyDescent="0.2">
      <c r="B43" s="61"/>
      <c r="C43" s="66"/>
      <c r="D43" s="60"/>
      <c r="E43" s="70" t="s">
        <v>237</v>
      </c>
      <c r="F43" s="71">
        <v>95993.17</v>
      </c>
      <c r="G43" s="71">
        <v>288000</v>
      </c>
      <c r="H43" s="71">
        <f t="shared" ref="H43:H44" si="0">+K43-SUM(F43:G43)</f>
        <v>384000.00000000006</v>
      </c>
      <c r="I43" s="71">
        <v>791993.17</v>
      </c>
      <c r="J43" s="45">
        <v>-24000</v>
      </c>
      <c r="K43" s="71">
        <v>767993.17</v>
      </c>
    </row>
    <row r="44" spans="2:15" x14ac:dyDescent="0.2">
      <c r="B44" s="62"/>
      <c r="C44" s="67" t="s">
        <v>579</v>
      </c>
      <c r="D44" s="67"/>
      <c r="E44" s="67"/>
      <c r="F44" s="72">
        <v>95993.17</v>
      </c>
      <c r="G44" s="72">
        <v>312000</v>
      </c>
      <c r="H44" s="72">
        <f t="shared" si="0"/>
        <v>384000.00000000006</v>
      </c>
      <c r="I44" s="72">
        <v>863993.17</v>
      </c>
      <c r="J44" s="73">
        <v>-72000</v>
      </c>
      <c r="K44" s="72">
        <v>791993.17</v>
      </c>
    </row>
    <row r="55" spans="14:14" x14ac:dyDescent="0.2">
      <c r="N55" s="54" t="e">
        <f>+L55/K55</f>
        <v>#DIV/0!</v>
      </c>
    </row>
  </sheetData>
  <pageMargins left="0.7" right="0.7" top="0.75" bottom="0.75" header="0.3" footer="0.3"/>
  <pageSetup orientation="portrait" r:id="rId4"/>
  <customProperties>
    <customPr name="_pios_id" r:id="rId5"/>
    <customPr name="IbpWorksheetKeyString_GUID" r:id="rId6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DB26D-CF7B-44AF-8D5D-2F323E1893AD}">
  <dimension ref="B2:I16"/>
  <sheetViews>
    <sheetView workbookViewId="0">
      <selection activeCell="D8" sqref="D8"/>
    </sheetView>
  </sheetViews>
  <sheetFormatPr baseColWidth="10" defaultRowHeight="15" x14ac:dyDescent="0.2"/>
  <cols>
    <col min="2" max="2" width="14.83203125" bestFit="1" customWidth="1"/>
    <col min="3" max="3" width="6.5" customWidth="1"/>
    <col min="4" max="4" width="14.1640625" bestFit="1" customWidth="1"/>
    <col min="5" max="5" width="7.83203125" bestFit="1" customWidth="1"/>
    <col min="6" max="6" width="32" bestFit="1" customWidth="1"/>
    <col min="7" max="7" width="20.6640625" bestFit="1" customWidth="1"/>
    <col min="8" max="8" width="17.83203125" bestFit="1" customWidth="1"/>
    <col min="9" max="9" width="22.83203125" bestFit="1" customWidth="1"/>
  </cols>
  <sheetData>
    <row r="2" spans="2:9" x14ac:dyDescent="0.2">
      <c r="C2" t="s">
        <v>643</v>
      </c>
    </row>
    <row r="3" spans="2:9" x14ac:dyDescent="0.2">
      <c r="C3" t="s">
        <v>644</v>
      </c>
    </row>
    <row r="4" spans="2:9" x14ac:dyDescent="0.2">
      <c r="C4" t="s">
        <v>645</v>
      </c>
    </row>
    <row r="7" spans="2:9" x14ac:dyDescent="0.2">
      <c r="B7" t="s">
        <v>647</v>
      </c>
      <c r="C7" t="s">
        <v>648</v>
      </c>
      <c r="D7" t="s">
        <v>649</v>
      </c>
      <c r="E7" t="s">
        <v>4</v>
      </c>
      <c r="F7" t="s">
        <v>650</v>
      </c>
      <c r="G7" t="s">
        <v>651</v>
      </c>
      <c r="H7" t="s">
        <v>652</v>
      </c>
      <c r="I7" t="s">
        <v>653</v>
      </c>
    </row>
    <row r="8" spans="2:9" x14ac:dyDescent="0.2">
      <c r="B8" t="s">
        <v>17</v>
      </c>
      <c r="C8" t="s">
        <v>6</v>
      </c>
      <c r="D8" t="s">
        <v>654</v>
      </c>
      <c r="E8">
        <v>1022409</v>
      </c>
      <c r="F8" t="s">
        <v>655</v>
      </c>
      <c r="G8" s="13">
        <v>13680</v>
      </c>
      <c r="H8">
        <v>8.48</v>
      </c>
      <c r="I8" s="13">
        <v>116052</v>
      </c>
    </row>
    <row r="9" spans="2:9" x14ac:dyDescent="0.2">
      <c r="B9" t="s">
        <v>17</v>
      </c>
      <c r="C9" t="s">
        <v>6</v>
      </c>
      <c r="D9" t="s">
        <v>654</v>
      </c>
      <c r="E9">
        <v>1022781</v>
      </c>
      <c r="F9" t="s">
        <v>656</v>
      </c>
      <c r="G9" s="13">
        <v>15300</v>
      </c>
      <c r="H9">
        <v>12.97</v>
      </c>
      <c r="I9" s="13">
        <v>198495</v>
      </c>
    </row>
    <row r="10" spans="2:9" x14ac:dyDescent="0.2">
      <c r="B10" t="s">
        <v>17</v>
      </c>
      <c r="C10" t="s">
        <v>6</v>
      </c>
      <c r="D10" t="s">
        <v>654</v>
      </c>
      <c r="E10">
        <v>1022782</v>
      </c>
      <c r="F10" t="s">
        <v>657</v>
      </c>
      <c r="G10" s="13">
        <v>11520</v>
      </c>
      <c r="H10">
        <v>10.48</v>
      </c>
      <c r="I10" s="13">
        <v>120768</v>
      </c>
    </row>
    <row r="11" spans="2:9" x14ac:dyDescent="0.2">
      <c r="B11" t="s">
        <v>17</v>
      </c>
      <c r="C11" t="s">
        <v>6</v>
      </c>
      <c r="D11" t="s">
        <v>654</v>
      </c>
      <c r="E11">
        <v>1022783</v>
      </c>
      <c r="F11" t="s">
        <v>658</v>
      </c>
      <c r="G11" s="13">
        <v>4800</v>
      </c>
      <c r="H11">
        <v>10.08</v>
      </c>
      <c r="I11" s="13">
        <v>48400</v>
      </c>
    </row>
    <row r="12" spans="2:9" x14ac:dyDescent="0.2">
      <c r="B12" t="s">
        <v>17</v>
      </c>
      <c r="C12" t="s">
        <v>6</v>
      </c>
      <c r="D12" t="s">
        <v>654</v>
      </c>
      <c r="E12">
        <v>1022784</v>
      </c>
      <c r="F12" t="s">
        <v>659</v>
      </c>
      <c r="G12">
        <v>900</v>
      </c>
      <c r="H12">
        <v>10.08</v>
      </c>
      <c r="I12" s="13">
        <v>9075</v>
      </c>
    </row>
    <row r="13" spans="2:9" x14ac:dyDescent="0.2">
      <c r="B13" t="s">
        <v>7</v>
      </c>
      <c r="C13" t="s">
        <v>6</v>
      </c>
      <c r="D13" t="s">
        <v>654</v>
      </c>
      <c r="E13">
        <v>1022782</v>
      </c>
      <c r="F13" t="s">
        <v>657</v>
      </c>
      <c r="G13" s="13">
        <v>6240</v>
      </c>
      <c r="H13">
        <v>10.6</v>
      </c>
      <c r="I13" s="13">
        <v>66144</v>
      </c>
    </row>
    <row r="14" spans="2:9" x14ac:dyDescent="0.2">
      <c r="B14" t="s">
        <v>7</v>
      </c>
      <c r="C14" t="s">
        <v>6</v>
      </c>
      <c r="D14" t="s">
        <v>654</v>
      </c>
      <c r="E14">
        <v>1022783</v>
      </c>
      <c r="F14" t="s">
        <v>658</v>
      </c>
      <c r="G14" s="13">
        <v>6480</v>
      </c>
      <c r="H14">
        <v>10.6</v>
      </c>
      <c r="I14" s="13">
        <v>68688</v>
      </c>
    </row>
    <row r="15" spans="2:9" x14ac:dyDescent="0.2">
      <c r="B15" t="s">
        <v>7</v>
      </c>
      <c r="C15" t="s">
        <v>6</v>
      </c>
      <c r="D15" t="s">
        <v>654</v>
      </c>
      <c r="E15">
        <v>1022784</v>
      </c>
      <c r="F15" t="s">
        <v>659</v>
      </c>
      <c r="G15" s="13">
        <v>5175</v>
      </c>
      <c r="H15">
        <v>10.6</v>
      </c>
      <c r="I15" s="13">
        <v>54855</v>
      </c>
    </row>
    <row r="16" spans="2:9" x14ac:dyDescent="0.2">
      <c r="B16" t="s">
        <v>350</v>
      </c>
      <c r="G16" s="13">
        <v>64095</v>
      </c>
      <c r="H16">
        <v>10.65</v>
      </c>
      <c r="I16" s="13">
        <v>682476</v>
      </c>
    </row>
  </sheetData>
  <pageMargins left="0.7" right="0.7" top="0.75" bottom="0.75" header="0.3" footer="0.3"/>
  <pageSetup orientation="portrait" r:id="rId1"/>
  <customProperties>
    <customPr name="_pios_id" r:id="rId2"/>
    <customPr name="IbpWorksheetKeyString_GUID" r:id="rId3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487F4-95E7-4AF2-A657-1B448D199F5E}">
  <sheetPr>
    <tabColor theme="9" tint="-0.249977111117893"/>
  </sheetPr>
  <dimension ref="B5:M21"/>
  <sheetViews>
    <sheetView showGridLines="0" topLeftCell="A2" zoomScale="70" zoomScaleNormal="70" workbookViewId="0">
      <selection activeCell="E14" sqref="E14"/>
    </sheetView>
  </sheetViews>
  <sheetFormatPr baseColWidth="10" defaultRowHeight="15" x14ac:dyDescent="0.2"/>
  <cols>
    <col min="1" max="1" width="2.1640625" customWidth="1"/>
    <col min="2" max="2" width="17.5" bestFit="1" customWidth="1"/>
    <col min="3" max="3" width="11.1640625" bestFit="1" customWidth="1"/>
    <col min="4" max="4" width="17.5" bestFit="1" customWidth="1"/>
    <col min="5" max="5" width="15.5" bestFit="1" customWidth="1"/>
    <col min="6" max="6" width="20.5" bestFit="1" customWidth="1"/>
    <col min="7" max="7" width="18.6640625" bestFit="1" customWidth="1"/>
    <col min="8" max="8" width="17.5" bestFit="1" customWidth="1"/>
    <col min="9" max="9" width="15.5" bestFit="1" customWidth="1"/>
    <col min="10" max="10" width="20.5" bestFit="1" customWidth="1"/>
    <col min="11" max="11" width="18.33203125" bestFit="1" customWidth="1"/>
    <col min="12" max="12" width="13.6640625" bestFit="1" customWidth="1"/>
    <col min="13" max="14" width="12.6640625" bestFit="1" customWidth="1"/>
    <col min="15" max="15" width="10.5" customWidth="1"/>
    <col min="16" max="16" width="11.1640625" customWidth="1"/>
    <col min="17" max="17" width="10.6640625" bestFit="1" customWidth="1"/>
    <col min="18" max="18" width="9.1640625" bestFit="1" customWidth="1"/>
    <col min="19" max="19" width="10" bestFit="1" customWidth="1"/>
  </cols>
  <sheetData>
    <row r="5" spans="2:13" x14ac:dyDescent="0.2">
      <c r="D5" t="s">
        <v>636</v>
      </c>
    </row>
    <row r="6" spans="2:13" x14ac:dyDescent="0.2">
      <c r="B6" s="31" t="s">
        <v>1</v>
      </c>
      <c r="C6" s="10" t="s">
        <v>0</v>
      </c>
      <c r="D6" t="s">
        <v>634</v>
      </c>
      <c r="E6" t="s">
        <v>632</v>
      </c>
      <c r="F6" t="s">
        <v>633</v>
      </c>
      <c r="G6" t="s">
        <v>631</v>
      </c>
      <c r="H6" t="s">
        <v>412</v>
      </c>
      <c r="I6" s="50" t="s">
        <v>413</v>
      </c>
      <c r="J6" s="48" t="s">
        <v>423</v>
      </c>
      <c r="K6" s="48" t="s">
        <v>424</v>
      </c>
      <c r="L6" s="48" t="s">
        <v>425</v>
      </c>
    </row>
    <row r="7" spans="2:13" x14ac:dyDescent="0.2">
      <c r="B7" t="s">
        <v>7</v>
      </c>
      <c r="C7" t="s">
        <v>6</v>
      </c>
      <c r="D7" s="3">
        <v>684284.37943937234</v>
      </c>
      <c r="E7" s="3">
        <v>462240</v>
      </c>
      <c r="F7" s="3">
        <v>96000</v>
      </c>
      <c r="G7" s="3">
        <v>0</v>
      </c>
      <c r="H7" s="3">
        <v>558240</v>
      </c>
      <c r="I7" s="3">
        <v>558240</v>
      </c>
      <c r="J7" s="3">
        <v>600000</v>
      </c>
      <c r="K7" s="49">
        <v>720000</v>
      </c>
      <c r="L7" s="49">
        <v>672000</v>
      </c>
    </row>
    <row r="8" spans="2:13" x14ac:dyDescent="0.2">
      <c r="C8" t="s">
        <v>204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9">
        <v>0</v>
      </c>
      <c r="L8" s="49">
        <v>0</v>
      </c>
    </row>
    <row r="9" spans="2:13" x14ac:dyDescent="0.2">
      <c r="C9" t="s">
        <v>227</v>
      </c>
      <c r="D9" s="3">
        <v>178398.60927151929</v>
      </c>
      <c r="E9" s="3">
        <v>119990</v>
      </c>
      <c r="F9" s="3">
        <v>24000</v>
      </c>
      <c r="G9" s="3">
        <v>0</v>
      </c>
      <c r="H9" s="3">
        <v>143990</v>
      </c>
      <c r="I9" s="3">
        <v>143990</v>
      </c>
      <c r="J9" s="3">
        <v>71990</v>
      </c>
      <c r="K9" s="49">
        <v>47990</v>
      </c>
      <c r="L9" s="49">
        <v>72000</v>
      </c>
    </row>
    <row r="10" spans="2:13" x14ac:dyDescent="0.2">
      <c r="B10" t="s">
        <v>428</v>
      </c>
      <c r="D10" s="3">
        <v>862682.98871089169</v>
      </c>
      <c r="E10" s="3">
        <v>582230</v>
      </c>
      <c r="F10" s="3">
        <v>120000</v>
      </c>
      <c r="G10" s="3">
        <v>0</v>
      </c>
      <c r="H10" s="3">
        <v>702230</v>
      </c>
      <c r="I10" s="3">
        <v>702230</v>
      </c>
      <c r="J10" s="3">
        <v>671990</v>
      </c>
      <c r="K10" s="49">
        <v>767990</v>
      </c>
      <c r="L10" s="49">
        <v>744000</v>
      </c>
    </row>
    <row r="11" spans="2:13" x14ac:dyDescent="0.2">
      <c r="B11" t="s">
        <v>350</v>
      </c>
      <c r="D11" s="3">
        <v>862682.98871089169</v>
      </c>
      <c r="E11" s="3">
        <v>582230</v>
      </c>
      <c r="F11" s="3">
        <v>120000</v>
      </c>
      <c r="G11" s="3">
        <v>0</v>
      </c>
      <c r="H11" s="3">
        <v>702230</v>
      </c>
      <c r="I11" s="3">
        <v>702230</v>
      </c>
      <c r="J11" s="3">
        <v>671990</v>
      </c>
      <c r="K11" s="49">
        <v>767990</v>
      </c>
      <c r="L11" s="49">
        <v>744000</v>
      </c>
    </row>
    <row r="13" spans="2:13" x14ac:dyDescent="0.2">
      <c r="B13" s="10" t="s">
        <v>2</v>
      </c>
      <c r="C13" t="s">
        <v>356</v>
      </c>
    </row>
    <row r="14" spans="2:13" x14ac:dyDescent="0.2">
      <c r="B14" s="10" t="s">
        <v>3</v>
      </c>
      <c r="C14" t="s">
        <v>356</v>
      </c>
    </row>
    <row r="16" spans="2:13" x14ac:dyDescent="0.2">
      <c r="B16" s="31" t="s">
        <v>1</v>
      </c>
      <c r="C16" s="10" t="s">
        <v>0</v>
      </c>
      <c r="D16" t="s">
        <v>634</v>
      </c>
      <c r="E16" t="s">
        <v>632</v>
      </c>
      <c r="F16" t="s">
        <v>633</v>
      </c>
      <c r="G16" t="s">
        <v>631</v>
      </c>
      <c r="H16" t="s">
        <v>412</v>
      </c>
      <c r="I16" s="50" t="s">
        <v>413</v>
      </c>
      <c r="J16" s="48" t="s">
        <v>423</v>
      </c>
      <c r="K16" s="48" t="s">
        <v>424</v>
      </c>
      <c r="L16" s="48" t="s">
        <v>425</v>
      </c>
      <c r="M16" t="s">
        <v>635</v>
      </c>
    </row>
    <row r="17" spans="2:13" x14ac:dyDescent="0.2">
      <c r="B17" t="s">
        <v>7</v>
      </c>
      <c r="C17" t="s">
        <v>6</v>
      </c>
      <c r="D17" s="3">
        <v>684284.37943937234</v>
      </c>
      <c r="E17" s="3">
        <v>462240</v>
      </c>
      <c r="F17" s="3">
        <v>96000</v>
      </c>
      <c r="G17" s="3">
        <v>0</v>
      </c>
      <c r="H17" s="3">
        <v>558240</v>
      </c>
      <c r="I17" s="3">
        <v>558240</v>
      </c>
      <c r="J17" s="3">
        <v>600000</v>
      </c>
      <c r="K17" s="49">
        <v>720000</v>
      </c>
      <c r="L17" s="49">
        <v>672000</v>
      </c>
      <c r="M17" s="3">
        <v>750198.89313300955</v>
      </c>
    </row>
    <row r="18" spans="2:13" x14ac:dyDescent="0.2">
      <c r="C18" t="s">
        <v>204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9">
        <v>0</v>
      </c>
      <c r="L18" s="49">
        <v>0</v>
      </c>
      <c r="M18" s="3">
        <v>0</v>
      </c>
    </row>
    <row r="19" spans="2:13" x14ac:dyDescent="0.2">
      <c r="C19" t="s">
        <v>227</v>
      </c>
      <c r="D19" s="3">
        <v>178398.60927151929</v>
      </c>
      <c r="E19" s="3">
        <v>119990</v>
      </c>
      <c r="F19" s="3">
        <v>24000</v>
      </c>
      <c r="G19" s="3">
        <v>0</v>
      </c>
      <c r="H19" s="3">
        <v>143990</v>
      </c>
      <c r="I19" s="3">
        <v>143990</v>
      </c>
      <c r="J19" s="3">
        <v>71990</v>
      </c>
      <c r="K19" s="49">
        <v>47990</v>
      </c>
      <c r="L19" s="49">
        <v>72000</v>
      </c>
      <c r="M19" s="3">
        <v>381253.00000000012</v>
      </c>
    </row>
    <row r="20" spans="2:13" x14ac:dyDescent="0.2">
      <c r="B20" t="s">
        <v>428</v>
      </c>
      <c r="D20" s="3">
        <v>862682.98871089169</v>
      </c>
      <c r="E20" s="3">
        <v>582230</v>
      </c>
      <c r="F20" s="3">
        <v>120000</v>
      </c>
      <c r="G20" s="3">
        <v>0</v>
      </c>
      <c r="H20" s="3">
        <v>702230</v>
      </c>
      <c r="I20" s="3">
        <v>702230</v>
      </c>
      <c r="J20" s="3">
        <v>671990</v>
      </c>
      <c r="K20" s="49">
        <v>767990</v>
      </c>
      <c r="L20" s="49">
        <v>744000</v>
      </c>
      <c r="M20" s="3">
        <v>1131451.8931330098</v>
      </c>
    </row>
    <row r="21" spans="2:13" x14ac:dyDescent="0.2">
      <c r="B21" t="s">
        <v>350</v>
      </c>
      <c r="D21" s="3">
        <v>862682.98871089169</v>
      </c>
      <c r="E21" s="3">
        <v>582230</v>
      </c>
      <c r="F21" s="3">
        <v>120000</v>
      </c>
      <c r="G21" s="3">
        <v>0</v>
      </c>
      <c r="H21" s="3">
        <v>702230</v>
      </c>
      <c r="I21" s="3">
        <v>702230</v>
      </c>
      <c r="J21" s="3">
        <v>671990</v>
      </c>
      <c r="K21" s="49">
        <v>767990</v>
      </c>
      <c r="L21" s="49">
        <v>744000</v>
      </c>
      <c r="M21" s="3">
        <v>1131451.8931330098</v>
      </c>
    </row>
  </sheetData>
  <pageMargins left="0.7" right="0.7" top="0.75" bottom="0.75" header="0.3" footer="0.3"/>
  <pageSetup orientation="portrait" r:id="rId3"/>
  <customProperties>
    <customPr name="_pios_id" r:id="rId4"/>
    <customPr name="IbpWorksheetKeyString_GUID" r:id="rId5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DCAAC-884A-4EF7-9A1A-164C2C91E88D}">
  <sheetPr>
    <tabColor theme="5" tint="-0.249977111117893"/>
  </sheetPr>
  <dimension ref="B2:M83"/>
  <sheetViews>
    <sheetView showGridLines="0" topLeftCell="A22" zoomScale="80" zoomScaleNormal="80" workbookViewId="0">
      <selection activeCell="G10" sqref="G10"/>
    </sheetView>
  </sheetViews>
  <sheetFormatPr baseColWidth="10" defaultRowHeight="15" x14ac:dyDescent="0.2"/>
  <cols>
    <col min="2" max="2" width="23.33203125" bestFit="1" customWidth="1"/>
    <col min="3" max="3" width="16.33203125" bestFit="1" customWidth="1"/>
    <col min="4" max="4" width="13.6640625" bestFit="1" customWidth="1"/>
    <col min="5" max="5" width="12.6640625" bestFit="1" customWidth="1"/>
    <col min="6" max="6" width="34.6640625" bestFit="1" customWidth="1"/>
    <col min="7" max="7" width="11.83203125" bestFit="1" customWidth="1"/>
    <col min="8" max="8" width="10.83203125" bestFit="1" customWidth="1"/>
    <col min="9" max="10" width="10.33203125" bestFit="1" customWidth="1"/>
  </cols>
  <sheetData>
    <row r="2" spans="2:10" x14ac:dyDescent="0.2">
      <c r="B2" s="25" t="s">
        <v>426</v>
      </c>
    </row>
    <row r="4" spans="2:10" x14ac:dyDescent="0.2">
      <c r="B4" s="10" t="s">
        <v>348</v>
      </c>
      <c r="C4" t="s">
        <v>412</v>
      </c>
      <c r="D4" t="s">
        <v>413</v>
      </c>
      <c r="E4" s="24" t="s">
        <v>421</v>
      </c>
      <c r="F4" s="24" t="s">
        <v>422</v>
      </c>
      <c r="G4" s="24" t="s">
        <v>423</v>
      </c>
      <c r="H4" s="24" t="s">
        <v>424</v>
      </c>
      <c r="I4" s="24" t="s">
        <v>425</v>
      </c>
    </row>
    <row r="5" spans="2:10" x14ac:dyDescent="0.2">
      <c r="B5" s="11" t="s">
        <v>140</v>
      </c>
      <c r="C5" s="13">
        <v>1884000</v>
      </c>
      <c r="D5" s="13">
        <v>1092000</v>
      </c>
      <c r="E5" s="26">
        <v>3780820</v>
      </c>
      <c r="F5" s="26">
        <v>2520000</v>
      </c>
      <c r="G5" s="26">
        <v>2496381</v>
      </c>
      <c r="H5" s="26">
        <v>2663000</v>
      </c>
      <c r="I5" s="26">
        <v>2873948</v>
      </c>
    </row>
    <row r="6" spans="2:10" x14ac:dyDescent="0.2">
      <c r="B6" s="11" t="s">
        <v>350</v>
      </c>
      <c r="C6" s="13">
        <v>1884000</v>
      </c>
      <c r="D6" s="13">
        <v>1092000</v>
      </c>
      <c r="E6" s="26">
        <v>3780820</v>
      </c>
      <c r="F6" s="26">
        <v>2520000</v>
      </c>
      <c r="G6" s="26">
        <v>2496381</v>
      </c>
      <c r="H6" s="26">
        <v>2663000</v>
      </c>
      <c r="I6" s="26">
        <v>2873948</v>
      </c>
    </row>
    <row r="10" spans="2:10" x14ac:dyDescent="0.2">
      <c r="B10" s="212" t="s">
        <v>430</v>
      </c>
      <c r="C10" s="212"/>
    </row>
    <row r="12" spans="2:10" x14ac:dyDescent="0.2">
      <c r="B12" s="10" t="s">
        <v>1</v>
      </c>
      <c r="C12" s="10" t="s">
        <v>0</v>
      </c>
      <c r="D12" t="s">
        <v>412</v>
      </c>
      <c r="E12" t="s">
        <v>413</v>
      </c>
      <c r="F12" s="24" t="s">
        <v>421</v>
      </c>
      <c r="G12" s="24" t="s">
        <v>422</v>
      </c>
      <c r="H12" s="24" t="s">
        <v>423</v>
      </c>
      <c r="I12" s="24" t="s">
        <v>424</v>
      </c>
      <c r="J12" s="24" t="s">
        <v>425</v>
      </c>
    </row>
    <row r="13" spans="2:10" x14ac:dyDescent="0.2">
      <c r="B13" t="s">
        <v>140</v>
      </c>
      <c r="C13" t="s">
        <v>6</v>
      </c>
      <c r="D13" s="13">
        <v>1704000</v>
      </c>
      <c r="E13" s="13">
        <v>1008000</v>
      </c>
      <c r="F13" s="26">
        <v>3276820</v>
      </c>
      <c r="G13" s="26">
        <v>2112000</v>
      </c>
      <c r="H13" s="26">
        <v>2232000</v>
      </c>
      <c r="I13" s="26">
        <v>2327000</v>
      </c>
      <c r="J13" s="26">
        <v>2417948</v>
      </c>
    </row>
    <row r="14" spans="2:10" x14ac:dyDescent="0.2">
      <c r="C14" t="s">
        <v>204</v>
      </c>
      <c r="D14" s="13">
        <v>0</v>
      </c>
      <c r="E14" s="13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</row>
    <row r="15" spans="2:10" x14ac:dyDescent="0.2">
      <c r="C15" t="s">
        <v>227</v>
      </c>
      <c r="D15" s="13">
        <v>180000</v>
      </c>
      <c r="E15" s="13">
        <v>84000</v>
      </c>
      <c r="F15" s="26">
        <v>504000</v>
      </c>
      <c r="G15" s="26">
        <v>408000</v>
      </c>
      <c r="H15" s="26">
        <v>264381</v>
      </c>
      <c r="I15" s="26">
        <v>336000</v>
      </c>
      <c r="J15" s="26">
        <v>456000</v>
      </c>
    </row>
    <row r="16" spans="2:10" x14ac:dyDescent="0.2">
      <c r="B16" t="s">
        <v>429</v>
      </c>
      <c r="D16" s="13">
        <v>1884000</v>
      </c>
      <c r="E16" s="13">
        <v>1092000</v>
      </c>
      <c r="F16" s="26">
        <v>3780820</v>
      </c>
      <c r="G16" s="26">
        <v>2520000</v>
      </c>
      <c r="H16" s="26">
        <v>2496381</v>
      </c>
      <c r="I16" s="26">
        <v>2663000</v>
      </c>
      <c r="J16" s="26">
        <v>2873948</v>
      </c>
    </row>
    <row r="17" spans="2:11" x14ac:dyDescent="0.2">
      <c r="B17" t="s">
        <v>350</v>
      </c>
      <c r="D17" s="13">
        <v>1884000</v>
      </c>
      <c r="E17" s="13">
        <v>1092000</v>
      </c>
      <c r="F17" s="26">
        <v>3780820</v>
      </c>
      <c r="G17" s="26">
        <v>2520000</v>
      </c>
      <c r="H17" s="26">
        <v>2496381</v>
      </c>
      <c r="I17" s="26">
        <v>2663000</v>
      </c>
      <c r="J17" s="26">
        <v>2873948</v>
      </c>
    </row>
    <row r="21" spans="2:11" x14ac:dyDescent="0.2">
      <c r="B21" s="212" t="s">
        <v>430</v>
      </c>
      <c r="C21" s="212"/>
    </row>
    <row r="23" spans="2:11" x14ac:dyDescent="0.2">
      <c r="B23" s="10" t="s">
        <v>1</v>
      </c>
      <c r="C23" s="10" t="s">
        <v>0</v>
      </c>
      <c r="D23" s="10" t="s">
        <v>2</v>
      </c>
      <c r="E23" t="s">
        <v>412</v>
      </c>
      <c r="F23" t="s">
        <v>413</v>
      </c>
      <c r="G23" s="24" t="s">
        <v>421</v>
      </c>
      <c r="H23" s="24" t="s">
        <v>422</v>
      </c>
      <c r="I23" s="24" t="s">
        <v>423</v>
      </c>
      <c r="J23" s="24" t="s">
        <v>424</v>
      </c>
      <c r="K23" s="24" t="s">
        <v>425</v>
      </c>
    </row>
    <row r="24" spans="2:11" x14ac:dyDescent="0.2">
      <c r="B24" t="s">
        <v>140</v>
      </c>
      <c r="C24" t="s">
        <v>6</v>
      </c>
      <c r="D24" t="s">
        <v>18</v>
      </c>
      <c r="E24" s="13">
        <v>48000</v>
      </c>
      <c r="F24" s="13">
        <v>24000</v>
      </c>
      <c r="G24" s="26">
        <v>192000</v>
      </c>
      <c r="H24" s="26">
        <v>192000</v>
      </c>
      <c r="I24" s="26">
        <v>192000</v>
      </c>
      <c r="J24" s="26">
        <v>120000</v>
      </c>
      <c r="K24" s="26">
        <v>120000</v>
      </c>
    </row>
    <row r="25" spans="2:11" x14ac:dyDescent="0.2">
      <c r="D25" t="s">
        <v>8</v>
      </c>
      <c r="E25" s="13">
        <v>216000</v>
      </c>
      <c r="F25" s="13">
        <v>216000</v>
      </c>
      <c r="G25" s="26">
        <v>336000</v>
      </c>
      <c r="H25" s="26">
        <v>168000</v>
      </c>
      <c r="I25" s="26">
        <v>120000</v>
      </c>
      <c r="J25" s="26">
        <v>312000</v>
      </c>
      <c r="K25" s="26">
        <v>192100</v>
      </c>
    </row>
    <row r="26" spans="2:11" x14ac:dyDescent="0.2">
      <c r="D26" t="s">
        <v>11</v>
      </c>
      <c r="E26" s="28">
        <v>432000</v>
      </c>
      <c r="F26" s="28">
        <v>216000</v>
      </c>
      <c r="G26" s="29">
        <v>504000</v>
      </c>
      <c r="H26" s="29">
        <v>216000</v>
      </c>
      <c r="I26" s="29">
        <v>456000</v>
      </c>
      <c r="J26" s="29">
        <v>240000</v>
      </c>
      <c r="K26" s="29">
        <v>456000</v>
      </c>
    </row>
    <row r="27" spans="2:11" x14ac:dyDescent="0.2">
      <c r="D27" t="s">
        <v>92</v>
      </c>
      <c r="E27" s="13">
        <v>216000</v>
      </c>
      <c r="F27" s="13">
        <v>120000</v>
      </c>
      <c r="G27" s="26">
        <v>456000</v>
      </c>
      <c r="H27" s="26">
        <v>528000</v>
      </c>
      <c r="I27" s="26">
        <v>456000</v>
      </c>
      <c r="J27" s="26">
        <v>480000</v>
      </c>
      <c r="K27" s="26">
        <v>379671</v>
      </c>
    </row>
    <row r="28" spans="2:11" x14ac:dyDescent="0.2">
      <c r="D28" t="s">
        <v>50</v>
      </c>
      <c r="E28" s="13">
        <v>0</v>
      </c>
      <c r="F28" s="13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</row>
    <row r="29" spans="2:11" x14ac:dyDescent="0.2">
      <c r="D29" t="s">
        <v>53</v>
      </c>
      <c r="E29" s="28">
        <v>120000</v>
      </c>
      <c r="F29" s="28">
        <v>120000</v>
      </c>
      <c r="G29" s="29">
        <v>56596</v>
      </c>
      <c r="H29" s="29">
        <v>0</v>
      </c>
      <c r="I29" s="29">
        <v>8956</v>
      </c>
      <c r="J29" s="29">
        <v>0</v>
      </c>
      <c r="K29" s="29">
        <v>0</v>
      </c>
    </row>
    <row r="30" spans="2:11" x14ac:dyDescent="0.2">
      <c r="D30" t="s">
        <v>56</v>
      </c>
      <c r="E30" s="13">
        <v>0</v>
      </c>
      <c r="F30" s="13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</row>
    <row r="31" spans="2:11" x14ac:dyDescent="0.2">
      <c r="D31" t="s">
        <v>159</v>
      </c>
      <c r="E31" s="13">
        <v>456000</v>
      </c>
      <c r="F31" s="13">
        <v>192000</v>
      </c>
      <c r="G31" s="26">
        <v>1032000</v>
      </c>
      <c r="H31" s="26">
        <v>768000</v>
      </c>
      <c r="I31" s="26">
        <v>720000</v>
      </c>
      <c r="J31" s="26">
        <v>887000</v>
      </c>
      <c r="K31" s="26">
        <v>868157</v>
      </c>
    </row>
    <row r="32" spans="2:11" x14ac:dyDescent="0.2">
      <c r="D32" t="s">
        <v>59</v>
      </c>
      <c r="E32" s="13">
        <v>48000</v>
      </c>
      <c r="F32" s="13">
        <v>0</v>
      </c>
      <c r="G32" s="26">
        <v>100224</v>
      </c>
      <c r="H32" s="26">
        <v>0</v>
      </c>
      <c r="I32" s="26">
        <v>10960</v>
      </c>
      <c r="J32" s="26">
        <v>72000</v>
      </c>
      <c r="K32" s="26">
        <v>24000</v>
      </c>
    </row>
    <row r="33" spans="2:11" x14ac:dyDescent="0.2">
      <c r="D33" t="s">
        <v>71</v>
      </c>
      <c r="E33" s="28">
        <v>0</v>
      </c>
      <c r="F33" s="28">
        <v>0</v>
      </c>
      <c r="G33" s="29">
        <v>96000</v>
      </c>
      <c r="H33" s="29">
        <v>96000</v>
      </c>
      <c r="I33" s="29">
        <v>64084</v>
      </c>
      <c r="J33" s="29">
        <v>12000</v>
      </c>
      <c r="K33" s="29">
        <v>48000</v>
      </c>
    </row>
    <row r="34" spans="2:11" x14ac:dyDescent="0.2">
      <c r="D34" t="s">
        <v>76</v>
      </c>
      <c r="E34" s="13">
        <v>168000</v>
      </c>
      <c r="F34" s="13">
        <v>120000</v>
      </c>
      <c r="G34" s="26">
        <v>504000</v>
      </c>
      <c r="H34" s="26">
        <v>144000</v>
      </c>
      <c r="I34" s="26">
        <v>204000</v>
      </c>
      <c r="J34" s="26">
        <v>204000</v>
      </c>
      <c r="K34" s="26">
        <v>330020</v>
      </c>
    </row>
    <row r="35" spans="2:11" x14ac:dyDescent="0.2">
      <c r="D35" t="s">
        <v>603</v>
      </c>
      <c r="E35" s="13">
        <v>0</v>
      </c>
      <c r="F35" s="13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</row>
    <row r="36" spans="2:11" x14ac:dyDescent="0.2">
      <c r="D36" t="s">
        <v>611</v>
      </c>
      <c r="E36" s="13">
        <v>0</v>
      </c>
      <c r="F36" s="13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</row>
    <row r="37" spans="2:11" x14ac:dyDescent="0.2">
      <c r="C37" t="s">
        <v>577</v>
      </c>
      <c r="E37" s="13">
        <v>1704000</v>
      </c>
      <c r="F37" s="13">
        <v>1008000</v>
      </c>
      <c r="G37" s="26">
        <v>3276820</v>
      </c>
      <c r="H37" s="26">
        <v>2112000</v>
      </c>
      <c r="I37" s="26">
        <v>2232000</v>
      </c>
      <c r="J37" s="26">
        <v>2327000</v>
      </c>
      <c r="K37" s="26">
        <v>2417948</v>
      </c>
    </row>
    <row r="38" spans="2:11" x14ac:dyDescent="0.2">
      <c r="C38" t="s">
        <v>204</v>
      </c>
      <c r="E38" s="13">
        <v>0</v>
      </c>
      <c r="F38" s="13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</row>
    <row r="39" spans="2:11" x14ac:dyDescent="0.2">
      <c r="C39" t="s">
        <v>227</v>
      </c>
      <c r="E39" s="13">
        <v>180000</v>
      </c>
      <c r="F39" s="13">
        <v>84000</v>
      </c>
      <c r="G39" s="26">
        <v>504000</v>
      </c>
      <c r="H39" s="26">
        <v>408000</v>
      </c>
      <c r="I39" s="26">
        <v>264381</v>
      </c>
      <c r="J39" s="26">
        <v>336000</v>
      </c>
      <c r="K39" s="26">
        <v>456000</v>
      </c>
    </row>
    <row r="40" spans="2:11" x14ac:dyDescent="0.2">
      <c r="B40" t="s">
        <v>429</v>
      </c>
      <c r="E40" s="13">
        <v>1884000</v>
      </c>
      <c r="F40" s="13">
        <v>1092000</v>
      </c>
      <c r="G40" s="26">
        <v>3780820</v>
      </c>
      <c r="H40" s="26">
        <v>2520000</v>
      </c>
      <c r="I40" s="26">
        <v>2496381</v>
      </c>
      <c r="J40" s="26">
        <v>2663000</v>
      </c>
      <c r="K40" s="26">
        <v>2873948</v>
      </c>
    </row>
    <row r="41" spans="2:11" x14ac:dyDescent="0.2">
      <c r="B41" t="s">
        <v>350</v>
      </c>
      <c r="E41" s="13">
        <v>1884000</v>
      </c>
      <c r="F41" s="13">
        <v>1092000</v>
      </c>
      <c r="G41" s="26">
        <v>3780820</v>
      </c>
      <c r="H41" s="26">
        <v>2520000</v>
      </c>
      <c r="I41" s="26">
        <v>2496381</v>
      </c>
      <c r="J41" s="26">
        <v>2663000</v>
      </c>
      <c r="K41" s="26">
        <v>2873948</v>
      </c>
    </row>
    <row r="49" spans="2:13" x14ac:dyDescent="0.2">
      <c r="B49" s="10" t="s">
        <v>1</v>
      </c>
      <c r="C49" s="10" t="s">
        <v>0</v>
      </c>
      <c r="D49" s="10" t="s">
        <v>2</v>
      </c>
      <c r="E49" s="10" t="s">
        <v>4</v>
      </c>
      <c r="F49" s="10" t="s">
        <v>5</v>
      </c>
      <c r="G49" t="s">
        <v>412</v>
      </c>
      <c r="H49" t="s">
        <v>413</v>
      </c>
      <c r="I49" s="24" t="s">
        <v>421</v>
      </c>
      <c r="J49" s="24" t="s">
        <v>422</v>
      </c>
      <c r="K49" s="24" t="s">
        <v>423</v>
      </c>
      <c r="L49" s="24" t="s">
        <v>424</v>
      </c>
      <c r="M49" s="24" t="s">
        <v>425</v>
      </c>
    </row>
    <row r="50" spans="2:13" x14ac:dyDescent="0.2">
      <c r="B50" t="s">
        <v>140</v>
      </c>
      <c r="C50" t="s">
        <v>6</v>
      </c>
      <c r="D50" t="s">
        <v>18</v>
      </c>
      <c r="G50" s="13">
        <v>48000</v>
      </c>
      <c r="H50" s="13">
        <v>24000</v>
      </c>
      <c r="I50" s="26">
        <v>192000</v>
      </c>
      <c r="J50" s="26">
        <v>192000</v>
      </c>
      <c r="K50" s="26">
        <v>192000</v>
      </c>
      <c r="L50" s="26">
        <v>120000</v>
      </c>
      <c r="M50" s="26">
        <v>120000</v>
      </c>
    </row>
    <row r="51" spans="2:13" x14ac:dyDescent="0.2">
      <c r="D51" t="s">
        <v>8</v>
      </c>
      <c r="G51" s="13">
        <v>216000</v>
      </c>
      <c r="H51" s="13">
        <v>216000</v>
      </c>
      <c r="I51" s="26">
        <v>336000</v>
      </c>
      <c r="J51" s="26">
        <v>168000</v>
      </c>
      <c r="K51" s="26">
        <v>120000</v>
      </c>
      <c r="L51" s="26">
        <v>312000</v>
      </c>
      <c r="M51" s="26">
        <v>192100</v>
      </c>
    </row>
    <row r="52" spans="2:13" x14ac:dyDescent="0.2">
      <c r="D52" t="s">
        <v>11</v>
      </c>
      <c r="E52">
        <v>1021992</v>
      </c>
      <c r="F52" t="s">
        <v>49</v>
      </c>
      <c r="G52" s="13">
        <v>0</v>
      </c>
      <c r="H52" s="13">
        <v>0</v>
      </c>
      <c r="I52" s="26">
        <v>96000</v>
      </c>
      <c r="J52" s="26">
        <v>72000</v>
      </c>
      <c r="K52" s="26">
        <v>120000</v>
      </c>
      <c r="L52" s="26">
        <v>0</v>
      </c>
      <c r="M52" s="26">
        <v>0</v>
      </c>
    </row>
    <row r="53" spans="2:13" x14ac:dyDescent="0.2">
      <c r="E53">
        <v>1022073</v>
      </c>
      <c r="F53" t="s">
        <v>150</v>
      </c>
      <c r="G53" s="13">
        <v>96000</v>
      </c>
      <c r="H53" s="13">
        <v>48000</v>
      </c>
      <c r="I53" s="26">
        <v>72000</v>
      </c>
      <c r="J53" s="26">
        <v>0</v>
      </c>
      <c r="K53" s="26">
        <v>0</v>
      </c>
      <c r="L53" s="26">
        <v>0</v>
      </c>
      <c r="M53" s="26">
        <v>24000</v>
      </c>
    </row>
    <row r="54" spans="2:13" x14ac:dyDescent="0.2">
      <c r="E54">
        <v>1022381</v>
      </c>
      <c r="F54" t="s">
        <v>147</v>
      </c>
      <c r="G54" s="13">
        <v>0</v>
      </c>
      <c r="H54" s="13">
        <v>0</v>
      </c>
      <c r="I54" s="26">
        <v>24000</v>
      </c>
      <c r="J54" s="26">
        <v>48000</v>
      </c>
      <c r="K54" s="26">
        <v>72000</v>
      </c>
      <c r="L54" s="26">
        <v>96000</v>
      </c>
      <c r="M54" s="26">
        <v>96000</v>
      </c>
    </row>
    <row r="55" spans="2:13" x14ac:dyDescent="0.2">
      <c r="E55">
        <v>1022541</v>
      </c>
      <c r="F55" t="s">
        <v>148</v>
      </c>
      <c r="G55" s="13">
        <v>216000</v>
      </c>
      <c r="H55" s="13">
        <v>96000</v>
      </c>
      <c r="I55" s="26">
        <v>24000</v>
      </c>
      <c r="J55" s="26">
        <v>72000</v>
      </c>
      <c r="K55" s="26">
        <v>48000</v>
      </c>
      <c r="L55" s="26">
        <v>24000</v>
      </c>
      <c r="M55" s="26">
        <v>168000</v>
      </c>
    </row>
    <row r="56" spans="2:13" x14ac:dyDescent="0.2">
      <c r="E56">
        <v>1022856</v>
      </c>
      <c r="F56" t="s">
        <v>149</v>
      </c>
      <c r="G56" s="13">
        <v>24000</v>
      </c>
      <c r="H56" s="13">
        <v>24000</v>
      </c>
      <c r="I56" s="26">
        <v>96000</v>
      </c>
      <c r="J56" s="26">
        <v>24000</v>
      </c>
      <c r="K56" s="26">
        <v>120000</v>
      </c>
      <c r="L56" s="26">
        <v>120000</v>
      </c>
      <c r="M56" s="26">
        <v>96000</v>
      </c>
    </row>
    <row r="57" spans="2:13" x14ac:dyDescent="0.2">
      <c r="E57">
        <v>1022945</v>
      </c>
      <c r="F57" t="s">
        <v>150</v>
      </c>
      <c r="G57" s="13">
        <v>0</v>
      </c>
      <c r="H57" s="13">
        <v>0</v>
      </c>
      <c r="I57" s="26">
        <v>144000</v>
      </c>
      <c r="J57" s="26">
        <v>0</v>
      </c>
      <c r="K57" s="26">
        <v>0</v>
      </c>
      <c r="L57" s="26">
        <v>0</v>
      </c>
      <c r="M57" s="26">
        <v>48000</v>
      </c>
    </row>
    <row r="58" spans="2:13" x14ac:dyDescent="0.2">
      <c r="E58">
        <v>1023110</v>
      </c>
      <c r="F58" t="s">
        <v>401</v>
      </c>
      <c r="G58" s="13">
        <v>48000</v>
      </c>
      <c r="H58" s="13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</row>
    <row r="59" spans="2:13" x14ac:dyDescent="0.2">
      <c r="E59">
        <v>1023111</v>
      </c>
      <c r="F59" t="s">
        <v>146</v>
      </c>
      <c r="G59" s="13">
        <v>0</v>
      </c>
      <c r="H59" s="13">
        <v>0</v>
      </c>
      <c r="I59" s="26">
        <v>48000</v>
      </c>
      <c r="J59" s="26">
        <v>0</v>
      </c>
      <c r="K59" s="26">
        <v>96000</v>
      </c>
      <c r="L59" s="26">
        <v>0</v>
      </c>
      <c r="M59" s="26">
        <v>24000</v>
      </c>
    </row>
    <row r="60" spans="2:13" x14ac:dyDescent="0.2">
      <c r="E60">
        <v>1023365</v>
      </c>
      <c r="F60" t="s">
        <v>608</v>
      </c>
      <c r="G60" s="13">
        <v>0</v>
      </c>
      <c r="H60" s="13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</row>
    <row r="61" spans="2:13" x14ac:dyDescent="0.2">
      <c r="E61">
        <v>1023109</v>
      </c>
      <c r="F61" t="s">
        <v>148</v>
      </c>
      <c r="G61" s="13">
        <v>48000</v>
      </c>
      <c r="H61" s="13">
        <v>48000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</row>
    <row r="62" spans="2:13" x14ac:dyDescent="0.2">
      <c r="D62" t="s">
        <v>92</v>
      </c>
      <c r="G62" s="13">
        <v>216000</v>
      </c>
      <c r="H62" s="13">
        <v>120000</v>
      </c>
      <c r="I62" s="26">
        <v>456000</v>
      </c>
      <c r="J62" s="26">
        <v>528000</v>
      </c>
      <c r="K62" s="26">
        <v>456000</v>
      </c>
      <c r="L62" s="26">
        <v>480000</v>
      </c>
      <c r="M62" s="26">
        <v>379671</v>
      </c>
    </row>
    <row r="63" spans="2:13" x14ac:dyDescent="0.2">
      <c r="D63" t="s">
        <v>50</v>
      </c>
      <c r="G63" s="13">
        <v>0</v>
      </c>
      <c r="H63" s="13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</row>
    <row r="64" spans="2:13" x14ac:dyDescent="0.2">
      <c r="D64" t="s">
        <v>53</v>
      </c>
      <c r="G64" s="13">
        <v>120000</v>
      </c>
      <c r="H64" s="13">
        <v>120000</v>
      </c>
      <c r="I64" s="26">
        <v>56596</v>
      </c>
      <c r="J64" s="26">
        <v>0</v>
      </c>
      <c r="K64" s="26">
        <v>8956</v>
      </c>
      <c r="L64" s="26">
        <v>0</v>
      </c>
      <c r="M64" s="26">
        <v>0</v>
      </c>
    </row>
    <row r="65" spans="3:13" x14ac:dyDescent="0.2">
      <c r="D65" t="s">
        <v>56</v>
      </c>
      <c r="G65" s="13">
        <v>0</v>
      </c>
      <c r="H65" s="13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</row>
    <row r="66" spans="3:13" x14ac:dyDescent="0.2">
      <c r="D66" t="s">
        <v>159</v>
      </c>
      <c r="G66" s="13">
        <v>456000</v>
      </c>
      <c r="H66" s="13">
        <v>192000</v>
      </c>
      <c r="I66" s="26">
        <v>1032000</v>
      </c>
      <c r="J66" s="26">
        <v>768000</v>
      </c>
      <c r="K66" s="26">
        <v>720000</v>
      </c>
      <c r="L66" s="26">
        <v>887000</v>
      </c>
      <c r="M66" s="26">
        <v>868157</v>
      </c>
    </row>
    <row r="67" spans="3:13" x14ac:dyDescent="0.2">
      <c r="D67" t="s">
        <v>59</v>
      </c>
      <c r="G67" s="13">
        <v>48000</v>
      </c>
      <c r="H67" s="13">
        <v>0</v>
      </c>
      <c r="I67" s="26">
        <v>100224</v>
      </c>
      <c r="J67" s="26">
        <v>0</v>
      </c>
      <c r="K67" s="26">
        <v>10960</v>
      </c>
      <c r="L67" s="26">
        <v>72000</v>
      </c>
      <c r="M67" s="26">
        <v>24000</v>
      </c>
    </row>
    <row r="68" spans="3:13" x14ac:dyDescent="0.2">
      <c r="D68" t="s">
        <v>71</v>
      </c>
      <c r="G68" s="13">
        <v>0</v>
      </c>
      <c r="H68" s="13">
        <v>0</v>
      </c>
      <c r="I68" s="26">
        <v>96000</v>
      </c>
      <c r="J68" s="26">
        <v>96000</v>
      </c>
      <c r="K68" s="26">
        <v>64084</v>
      </c>
      <c r="L68" s="26">
        <v>12000</v>
      </c>
      <c r="M68" s="26">
        <v>48000</v>
      </c>
    </row>
    <row r="69" spans="3:13" x14ac:dyDescent="0.2">
      <c r="D69" t="s">
        <v>76</v>
      </c>
      <c r="G69" s="13">
        <v>168000</v>
      </c>
      <c r="H69" s="13">
        <v>120000</v>
      </c>
      <c r="I69" s="26">
        <v>504000</v>
      </c>
      <c r="J69" s="26">
        <v>144000</v>
      </c>
      <c r="K69" s="26">
        <v>204000</v>
      </c>
      <c r="L69" s="26">
        <v>204000</v>
      </c>
      <c r="M69" s="26">
        <v>330020</v>
      </c>
    </row>
    <row r="70" spans="3:13" x14ac:dyDescent="0.2">
      <c r="D70" t="s">
        <v>603</v>
      </c>
      <c r="E70">
        <v>1023362</v>
      </c>
      <c r="F70" t="s">
        <v>602</v>
      </c>
      <c r="G70" s="13">
        <v>0</v>
      </c>
      <c r="H70" s="13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</row>
    <row r="71" spans="3:13" x14ac:dyDescent="0.2">
      <c r="E71">
        <v>1023363</v>
      </c>
      <c r="F71" t="s">
        <v>605</v>
      </c>
      <c r="G71" s="13">
        <v>0</v>
      </c>
      <c r="H71" s="13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</row>
    <row r="72" spans="3:13" x14ac:dyDescent="0.2">
      <c r="E72">
        <v>1023368</v>
      </c>
      <c r="F72" t="s">
        <v>613</v>
      </c>
      <c r="G72" s="13">
        <v>0</v>
      </c>
      <c r="H72" s="13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</row>
    <row r="73" spans="3:13" x14ac:dyDescent="0.2">
      <c r="D73" t="s">
        <v>611</v>
      </c>
      <c r="E73">
        <v>1023367</v>
      </c>
      <c r="F73" t="s">
        <v>610</v>
      </c>
      <c r="G73" s="13">
        <v>0</v>
      </c>
      <c r="H73" s="13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</row>
    <row r="74" spans="3:13" x14ac:dyDescent="0.2">
      <c r="C74" t="s">
        <v>577</v>
      </c>
      <c r="G74" s="13">
        <v>1704000</v>
      </c>
      <c r="H74" s="13">
        <v>1008000</v>
      </c>
      <c r="I74" s="26">
        <v>3276820</v>
      </c>
      <c r="J74" s="26">
        <v>2112000</v>
      </c>
      <c r="K74" s="26">
        <v>2232000</v>
      </c>
      <c r="L74" s="26">
        <v>2327000</v>
      </c>
      <c r="M74" s="26">
        <v>2417948</v>
      </c>
    </row>
    <row r="75" spans="3:13" x14ac:dyDescent="0.2">
      <c r="C75" t="s">
        <v>204</v>
      </c>
      <c r="D75" t="s">
        <v>205</v>
      </c>
      <c r="G75" s="13">
        <v>0</v>
      </c>
      <c r="H75" s="13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</row>
    <row r="76" spans="3:13" x14ac:dyDescent="0.2">
      <c r="D76" t="s">
        <v>209</v>
      </c>
      <c r="G76" s="13">
        <v>0</v>
      </c>
      <c r="H76" s="13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</row>
    <row r="77" spans="3:13" x14ac:dyDescent="0.2">
      <c r="C77" t="s">
        <v>578</v>
      </c>
      <c r="G77" s="13">
        <v>0</v>
      </c>
      <c r="H77" s="13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</row>
    <row r="78" spans="3:13" x14ac:dyDescent="0.2">
      <c r="C78" t="s">
        <v>227</v>
      </c>
      <c r="D78" t="s">
        <v>205</v>
      </c>
      <c r="G78" s="13">
        <v>96000</v>
      </c>
      <c r="H78" s="13">
        <v>72000</v>
      </c>
      <c r="I78" s="26">
        <v>264000</v>
      </c>
      <c r="J78" s="26">
        <v>192000</v>
      </c>
      <c r="K78" s="26">
        <v>133721</v>
      </c>
      <c r="L78" s="26">
        <v>168000</v>
      </c>
      <c r="M78" s="26">
        <v>192000</v>
      </c>
    </row>
    <row r="79" spans="3:13" x14ac:dyDescent="0.2">
      <c r="D79" t="s">
        <v>266</v>
      </c>
      <c r="G79" s="13">
        <v>0</v>
      </c>
      <c r="H79" s="13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</row>
    <row r="80" spans="3:13" x14ac:dyDescent="0.2">
      <c r="D80" t="s">
        <v>268</v>
      </c>
      <c r="G80" s="13">
        <v>84000</v>
      </c>
      <c r="H80" s="13">
        <v>12000</v>
      </c>
      <c r="I80" s="26">
        <v>240000</v>
      </c>
      <c r="J80" s="26">
        <v>216000</v>
      </c>
      <c r="K80" s="26">
        <v>130660</v>
      </c>
      <c r="L80" s="26">
        <v>168000</v>
      </c>
      <c r="M80" s="26">
        <v>264000</v>
      </c>
    </row>
    <row r="81" spans="2:13" x14ac:dyDescent="0.2">
      <c r="C81" t="s">
        <v>579</v>
      </c>
      <c r="G81" s="13">
        <v>180000</v>
      </c>
      <c r="H81" s="13">
        <v>84000</v>
      </c>
      <c r="I81" s="26">
        <v>504000</v>
      </c>
      <c r="J81" s="26">
        <v>408000</v>
      </c>
      <c r="K81" s="26">
        <v>264381</v>
      </c>
      <c r="L81" s="26">
        <v>336000</v>
      </c>
      <c r="M81" s="26">
        <v>456000</v>
      </c>
    </row>
    <row r="82" spans="2:13" x14ac:dyDescent="0.2">
      <c r="B82" t="s">
        <v>429</v>
      </c>
      <c r="G82" s="13">
        <v>1884000</v>
      </c>
      <c r="H82" s="13">
        <v>1092000</v>
      </c>
      <c r="I82" s="26">
        <v>3780820</v>
      </c>
      <c r="J82" s="26">
        <v>2520000</v>
      </c>
      <c r="K82" s="26">
        <v>2496381</v>
      </c>
      <c r="L82" s="26">
        <v>2663000</v>
      </c>
      <c r="M82" s="26">
        <v>2873948</v>
      </c>
    </row>
    <row r="83" spans="2:13" x14ac:dyDescent="0.2">
      <c r="B83" t="s">
        <v>350</v>
      </c>
      <c r="G83" s="13">
        <v>1884000</v>
      </c>
      <c r="H83" s="13">
        <v>1092000</v>
      </c>
      <c r="I83" s="26">
        <v>3780820</v>
      </c>
      <c r="J83" s="26">
        <v>2520000</v>
      </c>
      <c r="K83" s="26">
        <v>2496381</v>
      </c>
      <c r="L83" s="26">
        <v>2663000</v>
      </c>
      <c r="M83" s="26">
        <v>2873948</v>
      </c>
    </row>
  </sheetData>
  <mergeCells count="2">
    <mergeCell ref="B10:C10"/>
    <mergeCell ref="B21:C21"/>
  </mergeCells>
  <pageMargins left="0.7" right="0.7" top="0.75" bottom="0.75" header="0.3" footer="0.3"/>
  <customProperties>
    <customPr name="_pios_id" r:id="rId5"/>
    <customPr name="IbpWorksheetKeyString_GUID" r:id="rId6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191EB-C94D-4FCD-B09B-5BBBF53EB9D3}">
  <dimension ref="A1:L177"/>
  <sheetViews>
    <sheetView topLeftCell="E2" zoomScale="70" zoomScaleNormal="70" workbookViewId="0">
      <selection activeCell="J13" sqref="J13:L13"/>
    </sheetView>
  </sheetViews>
  <sheetFormatPr baseColWidth="10" defaultRowHeight="15" x14ac:dyDescent="0.2"/>
  <cols>
    <col min="2" max="2" width="22.5" bestFit="1" customWidth="1"/>
    <col min="3" max="3" width="19.6640625" bestFit="1" customWidth="1"/>
    <col min="4" max="4" width="17.1640625" bestFit="1" customWidth="1"/>
    <col min="5" max="5" width="27.83203125" bestFit="1" customWidth="1"/>
    <col min="10" max="10" width="11.6640625" bestFit="1" customWidth="1"/>
    <col min="11" max="11" width="19.6640625" bestFit="1" customWidth="1"/>
    <col min="12" max="13" width="27.83203125" bestFit="1" customWidth="1"/>
  </cols>
  <sheetData>
    <row r="1" spans="1:12" x14ac:dyDescent="0.2">
      <c r="B1" s="10" t="s">
        <v>355</v>
      </c>
      <c r="C1" t="s">
        <v>361</v>
      </c>
      <c r="J1" s="10" t="s">
        <v>355</v>
      </c>
      <c r="K1" t="s">
        <v>361</v>
      </c>
    </row>
    <row r="2" spans="1:12" x14ac:dyDescent="0.2">
      <c r="B2" s="10" t="s">
        <v>363</v>
      </c>
      <c r="C2" t="s">
        <v>356</v>
      </c>
      <c r="J2" s="10" t="s">
        <v>1</v>
      </c>
      <c r="K2" t="s">
        <v>356</v>
      </c>
    </row>
    <row r="3" spans="1:12" x14ac:dyDescent="0.2">
      <c r="J3" s="10" t="s">
        <v>363</v>
      </c>
      <c r="K3" t="s">
        <v>356</v>
      </c>
    </row>
    <row r="4" spans="1:12" x14ac:dyDescent="0.2">
      <c r="B4" s="10" t="s">
        <v>1</v>
      </c>
      <c r="C4" s="10" t="s">
        <v>4</v>
      </c>
      <c r="D4" t="s">
        <v>362</v>
      </c>
      <c r="E4" t="s">
        <v>366</v>
      </c>
      <c r="F4" t="s">
        <v>367</v>
      </c>
    </row>
    <row r="5" spans="1:12" x14ac:dyDescent="0.2">
      <c r="A5" t="str">
        <f>+B5&amp;C5</f>
        <v>AGRO SUDAMERICA1010877</v>
      </c>
      <c r="B5" t="s">
        <v>352</v>
      </c>
      <c r="C5">
        <v>1010877</v>
      </c>
      <c r="D5" s="13">
        <v>34000</v>
      </c>
      <c r="E5" s="13">
        <v>0</v>
      </c>
      <c r="F5" s="13">
        <f>+D5-E5</f>
        <v>34000</v>
      </c>
      <c r="J5" s="10" t="s">
        <v>368</v>
      </c>
      <c r="K5" t="s">
        <v>362</v>
      </c>
      <c r="L5" t="s">
        <v>366</v>
      </c>
    </row>
    <row r="6" spans="1:12" x14ac:dyDescent="0.2">
      <c r="A6" t="str">
        <f t="shared" ref="A6:A69" si="0">+B6&amp;C6</f>
        <v>AGRO SUDAMERICA1011290</v>
      </c>
      <c r="B6" t="s">
        <v>352</v>
      </c>
      <c r="C6">
        <v>1011290</v>
      </c>
      <c r="D6" s="13">
        <v>8000</v>
      </c>
      <c r="E6" s="13">
        <v>0</v>
      </c>
      <c r="F6" s="13">
        <f t="shared" ref="F6:F69" si="1">+D6-E6</f>
        <v>8000</v>
      </c>
      <c r="J6">
        <v>40303932</v>
      </c>
      <c r="K6" s="13">
        <v>24000</v>
      </c>
      <c r="L6" s="13">
        <v>24000</v>
      </c>
    </row>
    <row r="7" spans="1:12" x14ac:dyDescent="0.2">
      <c r="A7" t="str">
        <f t="shared" si="0"/>
        <v>AGRO SUDAMERICA1011558</v>
      </c>
      <c r="B7" t="s">
        <v>352</v>
      </c>
      <c r="C7">
        <v>1011558</v>
      </c>
      <c r="D7" s="13">
        <v>48000</v>
      </c>
      <c r="E7" s="13">
        <v>0</v>
      </c>
      <c r="F7" s="13">
        <f t="shared" si="1"/>
        <v>48000</v>
      </c>
      <c r="J7">
        <v>40305195</v>
      </c>
      <c r="K7" s="13">
        <v>24000</v>
      </c>
      <c r="L7" s="13">
        <v>24000</v>
      </c>
    </row>
    <row r="8" spans="1:12" x14ac:dyDescent="0.2">
      <c r="A8" t="str">
        <f t="shared" si="0"/>
        <v>AGRO SUDAMERICA1012207</v>
      </c>
      <c r="B8" t="s">
        <v>352</v>
      </c>
      <c r="C8">
        <v>1012207</v>
      </c>
      <c r="D8" s="13">
        <v>24000</v>
      </c>
      <c r="E8" s="13">
        <v>0</v>
      </c>
      <c r="F8" s="13">
        <f t="shared" si="1"/>
        <v>24000</v>
      </c>
      <c r="J8">
        <v>40307456</v>
      </c>
      <c r="K8" s="13">
        <v>24000</v>
      </c>
      <c r="L8" s="13">
        <v>0</v>
      </c>
    </row>
    <row r="9" spans="1:12" x14ac:dyDescent="0.2">
      <c r="A9" t="str">
        <f t="shared" si="0"/>
        <v>AGRO SUDAMERICA1012362</v>
      </c>
      <c r="B9" t="s">
        <v>352</v>
      </c>
      <c r="C9">
        <v>1012362</v>
      </c>
      <c r="D9" s="13">
        <v>10000</v>
      </c>
      <c r="E9" s="13">
        <v>0</v>
      </c>
      <c r="F9" s="13">
        <f t="shared" si="1"/>
        <v>10000</v>
      </c>
      <c r="J9">
        <v>40308782</v>
      </c>
      <c r="K9" s="13">
        <v>24000</v>
      </c>
      <c r="L9" s="13">
        <v>0</v>
      </c>
    </row>
    <row r="10" spans="1:12" x14ac:dyDescent="0.2">
      <c r="A10" t="str">
        <f t="shared" si="0"/>
        <v>AGRO SUDAMERICA1012719</v>
      </c>
      <c r="B10" t="s">
        <v>352</v>
      </c>
      <c r="C10">
        <v>1012719</v>
      </c>
      <c r="D10" s="13">
        <v>40000</v>
      </c>
      <c r="E10" s="13">
        <v>0</v>
      </c>
      <c r="F10" s="13">
        <f t="shared" si="1"/>
        <v>40000</v>
      </c>
      <c r="J10">
        <v>40308783</v>
      </c>
      <c r="K10" s="13">
        <v>24000</v>
      </c>
      <c r="L10" s="13">
        <v>0</v>
      </c>
    </row>
    <row r="11" spans="1:12" x14ac:dyDescent="0.2">
      <c r="A11" t="str">
        <f t="shared" si="0"/>
        <v>AGRO SUDAMERICA1020349</v>
      </c>
      <c r="B11" t="s">
        <v>352</v>
      </c>
      <c r="C11">
        <v>1020349</v>
      </c>
      <c r="D11" s="13">
        <v>48000</v>
      </c>
      <c r="E11" s="13">
        <v>0</v>
      </c>
      <c r="F11" s="13">
        <f t="shared" si="1"/>
        <v>48000</v>
      </c>
      <c r="J11">
        <v>40310641</v>
      </c>
      <c r="K11" s="13">
        <v>24000</v>
      </c>
      <c r="L11" s="13">
        <v>0</v>
      </c>
    </row>
    <row r="12" spans="1:12" x14ac:dyDescent="0.2">
      <c r="A12" t="str">
        <f t="shared" si="0"/>
        <v>AGRO SUDAMERICA1020944</v>
      </c>
      <c r="B12" t="s">
        <v>352</v>
      </c>
      <c r="C12">
        <v>1020944</v>
      </c>
      <c r="D12" s="13">
        <v>72000</v>
      </c>
      <c r="E12" s="13">
        <v>0</v>
      </c>
      <c r="F12" s="13">
        <f t="shared" si="1"/>
        <v>72000</v>
      </c>
      <c r="J12">
        <v>40313092</v>
      </c>
      <c r="K12" s="13">
        <v>23000</v>
      </c>
      <c r="L12" s="13">
        <v>0</v>
      </c>
    </row>
    <row r="13" spans="1:12" x14ac:dyDescent="0.2">
      <c r="A13" t="str">
        <f t="shared" si="0"/>
        <v>AGRO SUDAMERICA1021078</v>
      </c>
      <c r="B13" t="s">
        <v>352</v>
      </c>
      <c r="C13">
        <v>1021078</v>
      </c>
      <c r="D13" s="13">
        <v>48000</v>
      </c>
      <c r="E13" s="13">
        <v>0</v>
      </c>
      <c r="F13" s="13">
        <f t="shared" si="1"/>
        <v>48000</v>
      </c>
      <c r="J13">
        <v>40313093</v>
      </c>
      <c r="K13" s="13">
        <v>23000</v>
      </c>
      <c r="L13" s="13">
        <v>0</v>
      </c>
    </row>
    <row r="14" spans="1:12" x14ac:dyDescent="0.2">
      <c r="A14" t="str">
        <f t="shared" si="0"/>
        <v>AGRO SUDAMERICA1021385</v>
      </c>
      <c r="B14" t="s">
        <v>352</v>
      </c>
      <c r="C14">
        <v>1021385</v>
      </c>
      <c r="D14" s="13">
        <v>48000</v>
      </c>
      <c r="E14" s="13">
        <v>0</v>
      </c>
      <c r="F14" s="13">
        <f t="shared" si="1"/>
        <v>48000</v>
      </c>
      <c r="J14">
        <v>40314068</v>
      </c>
      <c r="K14" s="13">
        <v>24000</v>
      </c>
      <c r="L14" s="13">
        <v>0</v>
      </c>
    </row>
    <row r="15" spans="1:12" x14ac:dyDescent="0.2">
      <c r="A15" t="str">
        <f t="shared" si="0"/>
        <v>AGRO SUDAMERICA1022150</v>
      </c>
      <c r="B15" t="s">
        <v>352</v>
      </c>
      <c r="C15">
        <v>1022150</v>
      </c>
      <c r="D15" s="13">
        <v>24000</v>
      </c>
      <c r="E15" s="13">
        <v>0</v>
      </c>
      <c r="F15" s="13">
        <f t="shared" si="1"/>
        <v>24000</v>
      </c>
      <c r="J15">
        <v>40314078</v>
      </c>
      <c r="K15" s="13">
        <v>24000</v>
      </c>
      <c r="L15" s="13">
        <v>0</v>
      </c>
    </row>
    <row r="16" spans="1:12" x14ac:dyDescent="0.2">
      <c r="A16" t="str">
        <f t="shared" si="0"/>
        <v>AGRO SUDAMERICA1022409</v>
      </c>
      <c r="B16" t="s">
        <v>352</v>
      </c>
      <c r="C16">
        <v>1022409</v>
      </c>
      <c r="D16" s="13">
        <v>13680</v>
      </c>
      <c r="E16" s="13">
        <v>0</v>
      </c>
      <c r="F16" s="13">
        <f t="shared" si="1"/>
        <v>13680</v>
      </c>
      <c r="J16">
        <v>40314137</v>
      </c>
      <c r="K16" s="13">
        <v>24000</v>
      </c>
      <c r="L16" s="13">
        <v>0</v>
      </c>
    </row>
    <row r="17" spans="1:12" x14ac:dyDescent="0.2">
      <c r="A17" t="str">
        <f t="shared" si="0"/>
        <v>AGRO SUDAMERICA1022855</v>
      </c>
      <c r="B17" t="s">
        <v>352</v>
      </c>
      <c r="C17">
        <v>1022855</v>
      </c>
      <c r="D17" s="13">
        <v>24000</v>
      </c>
      <c r="E17" s="13">
        <v>0</v>
      </c>
      <c r="F17" s="13">
        <f t="shared" si="1"/>
        <v>24000</v>
      </c>
      <c r="J17">
        <v>40314196</v>
      </c>
      <c r="K17" s="13">
        <v>24000</v>
      </c>
      <c r="L17" s="13">
        <v>0</v>
      </c>
    </row>
    <row r="18" spans="1:12" x14ac:dyDescent="0.2">
      <c r="A18" t="str">
        <f t="shared" si="0"/>
        <v>AGROSUPER ASIA1023037</v>
      </c>
      <c r="B18" t="s">
        <v>353</v>
      </c>
      <c r="C18">
        <v>1023037</v>
      </c>
      <c r="D18" s="13">
        <v>11000</v>
      </c>
      <c r="E18" s="13">
        <v>0</v>
      </c>
      <c r="F18" s="13">
        <f t="shared" si="1"/>
        <v>11000</v>
      </c>
      <c r="J18">
        <v>40314653</v>
      </c>
      <c r="K18" s="13">
        <v>24000</v>
      </c>
      <c r="L18" s="13">
        <v>0</v>
      </c>
    </row>
    <row r="19" spans="1:12" x14ac:dyDescent="0.2">
      <c r="A19" t="str">
        <f t="shared" si="0"/>
        <v>AGROSUPER ASIA1023038</v>
      </c>
      <c r="B19" t="s">
        <v>353</v>
      </c>
      <c r="C19">
        <v>1023038</v>
      </c>
      <c r="D19" s="13">
        <v>11000</v>
      </c>
      <c r="E19" s="13">
        <v>0</v>
      </c>
      <c r="F19" s="13">
        <f t="shared" si="1"/>
        <v>11000</v>
      </c>
      <c r="J19">
        <v>40315818</v>
      </c>
      <c r="K19" s="13">
        <v>22000</v>
      </c>
      <c r="L19" s="13">
        <v>0</v>
      </c>
    </row>
    <row r="20" spans="1:12" x14ac:dyDescent="0.2">
      <c r="A20" t="str">
        <f t="shared" si="0"/>
        <v>AGROSUPER BRASIL1022217</v>
      </c>
      <c r="B20" t="s">
        <v>364</v>
      </c>
      <c r="C20">
        <v>1022217</v>
      </c>
      <c r="D20" s="13">
        <v>120000</v>
      </c>
      <c r="E20" s="13">
        <v>48000</v>
      </c>
      <c r="F20" s="13">
        <f t="shared" si="1"/>
        <v>72000</v>
      </c>
      <c r="J20">
        <v>40316721</v>
      </c>
      <c r="K20" s="13">
        <v>24000</v>
      </c>
      <c r="L20" s="13">
        <v>0</v>
      </c>
    </row>
    <row r="21" spans="1:12" x14ac:dyDescent="0.2">
      <c r="A21" t="str">
        <f t="shared" si="0"/>
        <v>AGROSUPER BRASIL1022273</v>
      </c>
      <c r="B21" t="s">
        <v>364</v>
      </c>
      <c r="C21">
        <v>1022273</v>
      </c>
      <c r="D21" s="13">
        <v>48000</v>
      </c>
      <c r="E21" s="13">
        <v>24000</v>
      </c>
      <c r="F21" s="13">
        <f t="shared" si="1"/>
        <v>24000</v>
      </c>
      <c r="J21">
        <v>40317552</v>
      </c>
      <c r="K21" s="13">
        <v>24000</v>
      </c>
      <c r="L21" s="13">
        <v>24000</v>
      </c>
    </row>
    <row r="22" spans="1:12" x14ac:dyDescent="0.2">
      <c r="A22" t="str">
        <f t="shared" si="0"/>
        <v>AGROSUPER BRASIL1023334</v>
      </c>
      <c r="B22" t="s">
        <v>364</v>
      </c>
      <c r="C22">
        <v>1023334</v>
      </c>
      <c r="D22" s="13">
        <v>120000</v>
      </c>
      <c r="E22" s="13">
        <v>120000</v>
      </c>
      <c r="F22" s="13">
        <f t="shared" si="1"/>
        <v>0</v>
      </c>
      <c r="J22">
        <v>40317553</v>
      </c>
      <c r="K22" s="13">
        <v>24000</v>
      </c>
      <c r="L22" s="13">
        <v>24000</v>
      </c>
    </row>
    <row r="23" spans="1:12" x14ac:dyDescent="0.2">
      <c r="A23" t="str">
        <f t="shared" si="0"/>
        <v>AGROSUPER SHANGHAI1022096</v>
      </c>
      <c r="B23" t="s">
        <v>354</v>
      </c>
      <c r="C23">
        <v>1022096</v>
      </c>
      <c r="D23" s="13">
        <v>48000</v>
      </c>
      <c r="E23" s="13">
        <v>0</v>
      </c>
      <c r="F23" s="13">
        <f t="shared" si="1"/>
        <v>48000</v>
      </c>
      <c r="J23">
        <v>40317554</v>
      </c>
      <c r="K23" s="13">
        <v>24000</v>
      </c>
      <c r="L23" s="13">
        <v>24000</v>
      </c>
    </row>
    <row r="24" spans="1:12" x14ac:dyDescent="0.2">
      <c r="A24" t="str">
        <f t="shared" si="0"/>
        <v>AGROSUPER SHANGHAI1022169</v>
      </c>
      <c r="B24" t="s">
        <v>354</v>
      </c>
      <c r="C24">
        <v>1022169</v>
      </c>
      <c r="D24" s="13">
        <v>24000</v>
      </c>
      <c r="E24" s="13">
        <v>0</v>
      </c>
      <c r="F24" s="13">
        <f t="shared" si="1"/>
        <v>24000</v>
      </c>
      <c r="J24">
        <v>40317555</v>
      </c>
      <c r="K24" s="13">
        <v>24000</v>
      </c>
      <c r="L24" s="13">
        <v>24000</v>
      </c>
    </row>
    <row r="25" spans="1:12" x14ac:dyDescent="0.2">
      <c r="A25" t="str">
        <f t="shared" si="0"/>
        <v>AGROSUPER SHANGHAI1022636</v>
      </c>
      <c r="B25" t="s">
        <v>354</v>
      </c>
      <c r="C25">
        <v>1022636</v>
      </c>
      <c r="D25" s="13">
        <v>48000</v>
      </c>
      <c r="E25" s="13">
        <v>0</v>
      </c>
      <c r="F25" s="13">
        <f t="shared" si="1"/>
        <v>48000</v>
      </c>
      <c r="J25">
        <v>40317556</v>
      </c>
      <c r="K25" s="13">
        <v>24000</v>
      </c>
      <c r="L25" s="13">
        <v>24000</v>
      </c>
    </row>
    <row r="26" spans="1:12" x14ac:dyDescent="0.2">
      <c r="A26" t="str">
        <f t="shared" si="0"/>
        <v>AGROSUPER SHANGHAI1022640</v>
      </c>
      <c r="B26" t="s">
        <v>354</v>
      </c>
      <c r="C26">
        <v>1022640</v>
      </c>
      <c r="D26" s="13">
        <v>24000</v>
      </c>
      <c r="E26" s="13">
        <v>0</v>
      </c>
      <c r="F26" s="13">
        <f t="shared" si="1"/>
        <v>24000</v>
      </c>
      <c r="J26">
        <v>40317897</v>
      </c>
      <c r="K26" s="13">
        <v>24000</v>
      </c>
      <c r="L26" s="13">
        <v>0</v>
      </c>
    </row>
    <row r="27" spans="1:12" x14ac:dyDescent="0.2">
      <c r="A27" t="str">
        <f t="shared" si="0"/>
        <v>AGROSUPER SHANGHAI1023362</v>
      </c>
      <c r="B27" t="s">
        <v>354</v>
      </c>
      <c r="C27">
        <v>1023362</v>
      </c>
      <c r="D27" s="13">
        <v>8573</v>
      </c>
      <c r="E27" s="13">
        <v>0</v>
      </c>
      <c r="F27" s="13">
        <f t="shared" si="1"/>
        <v>8573</v>
      </c>
      <c r="J27">
        <v>40317898</v>
      </c>
      <c r="K27" s="13">
        <v>24000</v>
      </c>
      <c r="L27" s="13">
        <v>24000</v>
      </c>
    </row>
    <row r="28" spans="1:12" x14ac:dyDescent="0.2">
      <c r="A28" t="str">
        <f t="shared" si="0"/>
        <v>AGROSUPER SHANGHAI1023363</v>
      </c>
      <c r="B28" t="s">
        <v>354</v>
      </c>
      <c r="C28">
        <v>1023363</v>
      </c>
      <c r="D28" s="13">
        <v>7559</v>
      </c>
      <c r="E28" s="13">
        <v>0</v>
      </c>
      <c r="F28" s="13">
        <f t="shared" si="1"/>
        <v>7559</v>
      </c>
      <c r="J28">
        <v>40317899</v>
      </c>
      <c r="K28" s="13">
        <v>24000</v>
      </c>
      <c r="L28" s="13">
        <v>0</v>
      </c>
    </row>
    <row r="29" spans="1:12" x14ac:dyDescent="0.2">
      <c r="A29" t="str">
        <f t="shared" si="0"/>
        <v>AGROSUPER SHANGHAI1023368</v>
      </c>
      <c r="B29" t="s">
        <v>354</v>
      </c>
      <c r="C29">
        <v>1023368</v>
      </c>
      <c r="D29" s="13">
        <v>7867</v>
      </c>
      <c r="E29" s="13">
        <v>0</v>
      </c>
      <c r="F29" s="13">
        <f t="shared" si="1"/>
        <v>7867</v>
      </c>
      <c r="J29">
        <v>40317900</v>
      </c>
      <c r="K29" s="13">
        <v>24000</v>
      </c>
      <c r="L29" s="13">
        <v>24000</v>
      </c>
    </row>
    <row r="30" spans="1:12" x14ac:dyDescent="0.2">
      <c r="A30" t="str">
        <f t="shared" si="0"/>
        <v>Total general</v>
      </c>
      <c r="B30" t="s">
        <v>350</v>
      </c>
      <c r="D30" s="13">
        <v>919679</v>
      </c>
      <c r="E30" s="13">
        <v>192000</v>
      </c>
      <c r="F30" s="13">
        <f t="shared" si="1"/>
        <v>727679</v>
      </c>
      <c r="J30">
        <v>40317901</v>
      </c>
      <c r="K30" s="13">
        <v>24000</v>
      </c>
      <c r="L30" s="13">
        <v>0</v>
      </c>
    </row>
    <row r="31" spans="1:12" x14ac:dyDescent="0.2">
      <c r="A31" t="str">
        <f t="shared" si="0"/>
        <v/>
      </c>
      <c r="F31" s="13">
        <f t="shared" si="1"/>
        <v>0</v>
      </c>
      <c r="J31">
        <v>40317902</v>
      </c>
      <c r="K31" s="13">
        <v>24000</v>
      </c>
      <c r="L31" s="13">
        <v>24000</v>
      </c>
    </row>
    <row r="32" spans="1:12" x14ac:dyDescent="0.2">
      <c r="A32" t="str">
        <f t="shared" si="0"/>
        <v/>
      </c>
      <c r="F32" s="13">
        <f t="shared" si="1"/>
        <v>0</v>
      </c>
      <c r="J32">
        <v>40317904</v>
      </c>
      <c r="K32" s="13">
        <v>24000</v>
      </c>
      <c r="L32" s="13">
        <v>24000</v>
      </c>
    </row>
    <row r="33" spans="1:12" x14ac:dyDescent="0.2">
      <c r="A33" t="str">
        <f t="shared" si="0"/>
        <v/>
      </c>
      <c r="F33" s="13">
        <f t="shared" si="1"/>
        <v>0</v>
      </c>
      <c r="J33">
        <v>40317908</v>
      </c>
      <c r="K33" s="13">
        <v>24000</v>
      </c>
      <c r="L33" s="13">
        <v>24000</v>
      </c>
    </row>
    <row r="34" spans="1:12" x14ac:dyDescent="0.2">
      <c r="A34" t="str">
        <f t="shared" si="0"/>
        <v/>
      </c>
      <c r="F34" s="13">
        <f t="shared" si="1"/>
        <v>0</v>
      </c>
      <c r="J34">
        <v>40318181</v>
      </c>
      <c r="K34" s="13">
        <v>24000</v>
      </c>
      <c r="L34" s="13">
        <v>0</v>
      </c>
    </row>
    <row r="35" spans="1:12" x14ac:dyDescent="0.2">
      <c r="A35" t="str">
        <f t="shared" si="0"/>
        <v/>
      </c>
      <c r="F35" s="13">
        <f t="shared" si="1"/>
        <v>0</v>
      </c>
      <c r="J35">
        <v>40318366</v>
      </c>
      <c r="K35" s="13">
        <v>24000</v>
      </c>
      <c r="L35" s="13">
        <v>0</v>
      </c>
    </row>
    <row r="36" spans="1:12" x14ac:dyDescent="0.2">
      <c r="A36" t="str">
        <f t="shared" si="0"/>
        <v/>
      </c>
      <c r="F36" s="13">
        <f t="shared" si="1"/>
        <v>0</v>
      </c>
      <c r="J36">
        <v>40318386</v>
      </c>
      <c r="K36" s="13">
        <v>24000</v>
      </c>
      <c r="L36" s="13">
        <v>24000</v>
      </c>
    </row>
    <row r="37" spans="1:12" x14ac:dyDescent="0.2">
      <c r="A37" t="str">
        <f t="shared" si="0"/>
        <v/>
      </c>
      <c r="F37" s="13">
        <f t="shared" si="1"/>
        <v>0</v>
      </c>
      <c r="J37">
        <v>40319247</v>
      </c>
      <c r="K37" s="13">
        <v>24000</v>
      </c>
      <c r="L37" s="13">
        <v>0</v>
      </c>
    </row>
    <row r="38" spans="1:12" x14ac:dyDescent="0.2">
      <c r="A38" t="str">
        <f t="shared" si="0"/>
        <v/>
      </c>
      <c r="F38" s="13"/>
      <c r="J38">
        <v>40319250</v>
      </c>
      <c r="K38" s="13">
        <v>23800</v>
      </c>
      <c r="L38" s="13">
        <v>23800</v>
      </c>
    </row>
    <row r="39" spans="1:12" x14ac:dyDescent="0.2">
      <c r="A39" t="str">
        <f t="shared" si="0"/>
        <v/>
      </c>
      <c r="F39" s="13"/>
      <c r="J39">
        <v>40319256</v>
      </c>
      <c r="K39" s="13">
        <v>23800</v>
      </c>
      <c r="L39" s="13">
        <v>23800</v>
      </c>
    </row>
    <row r="40" spans="1:12" x14ac:dyDescent="0.2">
      <c r="A40" t="str">
        <f t="shared" si="0"/>
        <v/>
      </c>
      <c r="F40" s="13"/>
      <c r="J40">
        <v>40319257</v>
      </c>
      <c r="K40" s="13">
        <v>23800</v>
      </c>
      <c r="L40" s="13">
        <v>23800</v>
      </c>
    </row>
    <row r="41" spans="1:12" x14ac:dyDescent="0.2">
      <c r="A41" t="str">
        <f t="shared" si="0"/>
        <v/>
      </c>
      <c r="F41" s="13"/>
      <c r="J41">
        <v>40319262</v>
      </c>
      <c r="K41" s="13">
        <v>23800</v>
      </c>
      <c r="L41" s="13">
        <v>0</v>
      </c>
    </row>
    <row r="42" spans="1:12" x14ac:dyDescent="0.2">
      <c r="A42" t="str">
        <f t="shared" si="0"/>
        <v>EXPORTACION DIRECTA1020105</v>
      </c>
      <c r="B42" t="s">
        <v>365</v>
      </c>
      <c r="C42">
        <v>1020105</v>
      </c>
      <c r="D42" s="7">
        <v>18257.297485274619</v>
      </c>
      <c r="F42" s="13">
        <f t="shared" si="1"/>
        <v>18257.297485274619</v>
      </c>
      <c r="J42">
        <v>40319263</v>
      </c>
      <c r="K42" s="13">
        <v>23800</v>
      </c>
      <c r="L42" s="13">
        <v>23800</v>
      </c>
    </row>
    <row r="43" spans="1:12" x14ac:dyDescent="0.2">
      <c r="A43" t="str">
        <f t="shared" si="0"/>
        <v>EXPORTACION DIRECTA1020110</v>
      </c>
      <c r="B43" t="s">
        <v>365</v>
      </c>
      <c r="C43">
        <v>1020110</v>
      </c>
      <c r="D43" s="7">
        <v>524851.65945793211</v>
      </c>
      <c r="F43" s="13">
        <f t="shared" si="1"/>
        <v>524851.65945793211</v>
      </c>
      <c r="J43">
        <v>40319268</v>
      </c>
      <c r="K43" s="13">
        <v>23800</v>
      </c>
      <c r="L43" s="13">
        <v>0</v>
      </c>
    </row>
    <row r="44" spans="1:12" x14ac:dyDescent="0.2">
      <c r="A44" t="str">
        <f t="shared" si="0"/>
        <v>EXPORTACION DIRECTA1020284</v>
      </c>
      <c r="B44" t="s">
        <v>365</v>
      </c>
      <c r="C44">
        <v>1020284</v>
      </c>
      <c r="D44" s="7">
        <v>3803.6036427655458</v>
      </c>
      <c r="F44" s="13">
        <f t="shared" si="1"/>
        <v>3803.6036427655458</v>
      </c>
      <c r="J44">
        <v>40319269</v>
      </c>
      <c r="K44" s="13">
        <v>23800</v>
      </c>
      <c r="L44" s="13">
        <v>0</v>
      </c>
    </row>
    <row r="45" spans="1:12" x14ac:dyDescent="0.2">
      <c r="A45" t="str">
        <f t="shared" si="0"/>
        <v>EXPORTACION DIRECTA1020326</v>
      </c>
      <c r="B45" t="s">
        <v>365</v>
      </c>
      <c r="C45">
        <v>1020326</v>
      </c>
      <c r="D45" s="7">
        <v>145029.18994109848</v>
      </c>
      <c r="F45" s="13">
        <f t="shared" si="1"/>
        <v>145029.18994109848</v>
      </c>
      <c r="J45">
        <v>40319270</v>
      </c>
      <c r="K45" s="13">
        <v>23800</v>
      </c>
      <c r="L45" s="13">
        <v>23800</v>
      </c>
    </row>
    <row r="46" spans="1:12" x14ac:dyDescent="0.2">
      <c r="A46" t="str">
        <f t="shared" si="0"/>
        <v>EXPORTACION DIRECTA1020589</v>
      </c>
      <c r="B46" t="s">
        <v>365</v>
      </c>
      <c r="C46">
        <v>1020589</v>
      </c>
      <c r="D46" s="7">
        <v>56141.189767219461</v>
      </c>
      <c r="F46" s="13">
        <f t="shared" si="1"/>
        <v>56141.189767219461</v>
      </c>
      <c r="J46">
        <v>40319271</v>
      </c>
      <c r="K46" s="13">
        <v>23800</v>
      </c>
      <c r="L46" s="13">
        <v>23800</v>
      </c>
    </row>
    <row r="47" spans="1:12" x14ac:dyDescent="0.2">
      <c r="A47" t="str">
        <f t="shared" si="0"/>
        <v>EXPORTACION DIRECTA1020592</v>
      </c>
      <c r="B47" t="s">
        <v>365</v>
      </c>
      <c r="C47">
        <v>1020592</v>
      </c>
      <c r="D47" s="7">
        <v>103351.51818122542</v>
      </c>
      <c r="F47" s="13">
        <f t="shared" si="1"/>
        <v>103351.51818122542</v>
      </c>
      <c r="J47">
        <v>40319275</v>
      </c>
      <c r="K47" s="13">
        <v>23800</v>
      </c>
      <c r="L47" s="13">
        <v>0</v>
      </c>
    </row>
    <row r="48" spans="1:12" x14ac:dyDescent="0.2">
      <c r="A48" t="str">
        <f t="shared" si="0"/>
        <v>EXPORTACION DIRECTA1020620</v>
      </c>
      <c r="B48" t="s">
        <v>365</v>
      </c>
      <c r="C48">
        <v>1020620</v>
      </c>
      <c r="D48" s="7">
        <v>9128.6487426373096</v>
      </c>
      <c r="F48" s="13">
        <f t="shared" si="1"/>
        <v>9128.6487426373096</v>
      </c>
      <c r="J48">
        <v>40320628</v>
      </c>
      <c r="K48" s="13">
        <v>20000</v>
      </c>
      <c r="L48" s="13">
        <v>0</v>
      </c>
    </row>
    <row r="49" spans="1:12" x14ac:dyDescent="0.2">
      <c r="A49" t="str">
        <f t="shared" si="0"/>
        <v>EXPORTACION DIRECTA1020636</v>
      </c>
      <c r="B49" t="s">
        <v>365</v>
      </c>
      <c r="C49">
        <v>1020636</v>
      </c>
      <c r="D49" s="7">
        <v>9432.9370340585538</v>
      </c>
      <c r="F49" s="13">
        <f t="shared" si="1"/>
        <v>9432.9370340585538</v>
      </c>
      <c r="J49">
        <v>40320646</v>
      </c>
      <c r="K49" s="13">
        <v>23999</v>
      </c>
      <c r="L49" s="13">
        <v>0</v>
      </c>
    </row>
    <row r="50" spans="1:12" x14ac:dyDescent="0.2">
      <c r="A50" t="str">
        <f t="shared" si="0"/>
        <v>EXPORTACION DIRECTA1020637</v>
      </c>
      <c r="B50" t="s">
        <v>365</v>
      </c>
      <c r="C50">
        <v>1020637</v>
      </c>
      <c r="D50" s="7">
        <v>129322.52385402855</v>
      </c>
      <c r="F50" s="13">
        <f t="shared" si="1"/>
        <v>129322.52385402855</v>
      </c>
      <c r="J50">
        <v>40321157</v>
      </c>
      <c r="K50" s="13">
        <v>24000</v>
      </c>
      <c r="L50" s="13">
        <v>0</v>
      </c>
    </row>
    <row r="51" spans="1:12" x14ac:dyDescent="0.2">
      <c r="A51" t="str">
        <f t="shared" si="0"/>
        <v>EXPORTACION DIRECTA1020662</v>
      </c>
      <c r="B51" t="s">
        <v>365</v>
      </c>
      <c r="C51">
        <v>1020662</v>
      </c>
      <c r="D51" s="7">
        <v>12932.252385402855</v>
      </c>
      <c r="F51" s="13">
        <f t="shared" si="1"/>
        <v>12932.252385402855</v>
      </c>
      <c r="J51">
        <v>40321175</v>
      </c>
      <c r="K51" s="13">
        <v>13680</v>
      </c>
      <c r="L51" s="13">
        <v>0</v>
      </c>
    </row>
    <row r="52" spans="1:12" x14ac:dyDescent="0.2">
      <c r="A52" t="str">
        <f t="shared" si="0"/>
        <v>EXPORTACION DIRECTA1020665</v>
      </c>
      <c r="B52" t="s">
        <v>365</v>
      </c>
      <c r="C52">
        <v>1020665</v>
      </c>
      <c r="D52" s="7">
        <v>3803.6036427655458</v>
      </c>
      <c r="F52" s="13">
        <f t="shared" si="1"/>
        <v>3803.6036427655458</v>
      </c>
      <c r="J52">
        <v>40321454</v>
      </c>
      <c r="K52" s="13">
        <v>23000</v>
      </c>
      <c r="L52" s="13">
        <v>23000</v>
      </c>
    </row>
    <row r="53" spans="1:12" x14ac:dyDescent="0.2">
      <c r="A53" t="str">
        <f t="shared" si="0"/>
        <v>EXPORTACION DIRECTA1020681</v>
      </c>
      <c r="B53" t="s">
        <v>365</v>
      </c>
      <c r="C53">
        <v>1020681</v>
      </c>
      <c r="D53" s="7">
        <v>9128.6487426373096</v>
      </c>
      <c r="F53" s="13">
        <f t="shared" si="1"/>
        <v>9128.6487426373096</v>
      </c>
      <c r="J53">
        <v>40322116</v>
      </c>
      <c r="K53" s="13">
        <v>24000</v>
      </c>
      <c r="L53" s="13">
        <v>0</v>
      </c>
    </row>
    <row r="54" spans="1:12" x14ac:dyDescent="0.2">
      <c r="A54" t="str">
        <f t="shared" si="0"/>
        <v>EXPORTACION DIRECTA1020731</v>
      </c>
      <c r="B54" t="s">
        <v>365</v>
      </c>
      <c r="C54">
        <v>1020731</v>
      </c>
      <c r="D54" s="7">
        <v>4564.3243713186548</v>
      </c>
      <c r="F54" s="13">
        <f t="shared" si="1"/>
        <v>4564.3243713186548</v>
      </c>
      <c r="J54">
        <v>40322118</v>
      </c>
      <c r="K54" s="13">
        <v>24000</v>
      </c>
      <c r="L54" s="13">
        <v>0</v>
      </c>
    </row>
    <row r="55" spans="1:12" x14ac:dyDescent="0.2">
      <c r="A55" t="str">
        <f t="shared" si="0"/>
        <v>EXPORTACION DIRECTA1020758</v>
      </c>
      <c r="B55" t="s">
        <v>365</v>
      </c>
      <c r="C55">
        <v>1020758</v>
      </c>
      <c r="D55" s="7">
        <v>4564.3243713186548</v>
      </c>
      <c r="F55" s="13">
        <f t="shared" si="1"/>
        <v>4564.3243713186548</v>
      </c>
      <c r="J55">
        <v>40322188</v>
      </c>
      <c r="K55" s="13">
        <v>24000</v>
      </c>
      <c r="L55" s="13">
        <v>0</v>
      </c>
    </row>
    <row r="56" spans="1:12" x14ac:dyDescent="0.2">
      <c r="A56" t="str">
        <f t="shared" si="0"/>
        <v>EXPORTACION DIRECTA1020774</v>
      </c>
      <c r="B56" t="s">
        <v>365</v>
      </c>
      <c r="C56">
        <v>1020774</v>
      </c>
      <c r="D56" s="7">
        <v>4564.3243713186548</v>
      </c>
      <c r="F56" s="13">
        <f t="shared" si="1"/>
        <v>4564.3243713186548</v>
      </c>
      <c r="J56">
        <v>40322319</v>
      </c>
      <c r="K56" s="13">
        <v>24000</v>
      </c>
      <c r="L56" s="13">
        <v>0</v>
      </c>
    </row>
    <row r="57" spans="1:12" x14ac:dyDescent="0.2">
      <c r="A57" t="str">
        <f t="shared" si="0"/>
        <v>EXPORTACION DIRECTA1020802</v>
      </c>
      <c r="B57" t="s">
        <v>365</v>
      </c>
      <c r="C57">
        <v>1020802</v>
      </c>
      <c r="D57" s="7">
        <v>72572.757503966612</v>
      </c>
      <c r="F57" s="13">
        <f t="shared" si="1"/>
        <v>72572.757503966612</v>
      </c>
      <c r="J57">
        <v>40322739</v>
      </c>
      <c r="K57" s="13">
        <v>24000</v>
      </c>
      <c r="L57" s="13">
        <v>0</v>
      </c>
    </row>
    <row r="58" spans="1:12" x14ac:dyDescent="0.2">
      <c r="A58" t="str">
        <f t="shared" si="0"/>
        <v>EXPORTACION DIRECTA1020810</v>
      </c>
      <c r="B58" t="s">
        <v>365</v>
      </c>
      <c r="C58">
        <v>1020810</v>
      </c>
      <c r="D58" s="7">
        <v>3042.8829142124368</v>
      </c>
      <c r="F58" s="13">
        <f t="shared" si="1"/>
        <v>3042.8829142124368</v>
      </c>
      <c r="J58">
        <v>40322752</v>
      </c>
      <c r="K58" s="13">
        <v>24000</v>
      </c>
      <c r="L58" s="13">
        <v>0</v>
      </c>
    </row>
    <row r="59" spans="1:12" x14ac:dyDescent="0.2">
      <c r="A59" t="str">
        <f t="shared" si="0"/>
        <v>EXPORTACION DIRECTA1020914</v>
      </c>
      <c r="B59" t="s">
        <v>365</v>
      </c>
      <c r="C59">
        <v>1020914</v>
      </c>
      <c r="D59" s="7">
        <v>5325.0450998717643</v>
      </c>
      <c r="F59" s="13">
        <f t="shared" si="1"/>
        <v>5325.0450998717643</v>
      </c>
      <c r="J59">
        <v>40323652</v>
      </c>
      <c r="K59" s="13">
        <v>24000</v>
      </c>
      <c r="L59" s="13">
        <v>0</v>
      </c>
    </row>
    <row r="60" spans="1:12" x14ac:dyDescent="0.2">
      <c r="A60" t="str">
        <f t="shared" si="0"/>
        <v>EXPORTACION DIRECTA1020990</v>
      </c>
      <c r="B60" t="s">
        <v>365</v>
      </c>
      <c r="C60">
        <v>1020990</v>
      </c>
      <c r="D60" s="7">
        <v>3803.6036427655458</v>
      </c>
      <c r="F60" s="13">
        <f t="shared" si="1"/>
        <v>3803.6036427655458</v>
      </c>
      <c r="J60">
        <v>40323653</v>
      </c>
      <c r="K60" s="13">
        <v>24000</v>
      </c>
      <c r="L60" s="13">
        <v>24000</v>
      </c>
    </row>
    <row r="61" spans="1:12" x14ac:dyDescent="0.2">
      <c r="A61" t="str">
        <f t="shared" si="0"/>
        <v>EXPORTACION DIRECTA1020991</v>
      </c>
      <c r="B61" t="s">
        <v>365</v>
      </c>
      <c r="C61">
        <v>1020991</v>
      </c>
      <c r="D61" s="7">
        <v>4564.3243713186548</v>
      </c>
      <c r="F61" s="13">
        <f t="shared" si="1"/>
        <v>4564.3243713186548</v>
      </c>
      <c r="J61">
        <v>40323756</v>
      </c>
      <c r="K61" s="13">
        <v>24000</v>
      </c>
      <c r="L61" s="13">
        <v>0</v>
      </c>
    </row>
    <row r="62" spans="1:12" x14ac:dyDescent="0.2">
      <c r="A62" t="str">
        <f t="shared" si="0"/>
        <v>EXPORTACION DIRECTA1021533</v>
      </c>
      <c r="B62" t="s">
        <v>365</v>
      </c>
      <c r="C62">
        <v>1021533</v>
      </c>
      <c r="D62" s="7">
        <v>7607.2072855310917</v>
      </c>
      <c r="F62" s="13">
        <f t="shared" si="1"/>
        <v>7607.2072855310917</v>
      </c>
      <c r="J62">
        <v>40323757</v>
      </c>
      <c r="K62" s="13">
        <v>24000</v>
      </c>
      <c r="L62" s="13">
        <v>0</v>
      </c>
    </row>
    <row r="63" spans="1:12" x14ac:dyDescent="0.2">
      <c r="A63" t="str">
        <f t="shared" si="0"/>
        <v>EXPORTACION DIRECTA1021603</v>
      </c>
      <c r="B63" t="s">
        <v>365</v>
      </c>
      <c r="C63">
        <v>1021603</v>
      </c>
      <c r="D63" s="7">
        <v>15975.135299615293</v>
      </c>
      <c r="F63" s="13">
        <f t="shared" si="1"/>
        <v>15975.135299615293</v>
      </c>
      <c r="J63">
        <v>40324200</v>
      </c>
      <c r="K63" s="13">
        <v>24000</v>
      </c>
      <c r="L63" s="13">
        <v>0</v>
      </c>
    </row>
    <row r="64" spans="1:12" x14ac:dyDescent="0.2">
      <c r="A64" t="str">
        <f t="shared" si="0"/>
        <v>EXPORTACION DIRECTA1022313</v>
      </c>
      <c r="B64" t="s">
        <v>365</v>
      </c>
      <c r="C64">
        <v>1022313</v>
      </c>
      <c r="D64" s="7">
        <v>6085.7658284248737</v>
      </c>
      <c r="F64" s="13">
        <f t="shared" si="1"/>
        <v>6085.7658284248737</v>
      </c>
      <c r="J64">
        <v>40324212</v>
      </c>
      <c r="K64" s="13">
        <v>24000</v>
      </c>
      <c r="L64" s="13">
        <v>0</v>
      </c>
    </row>
    <row r="65" spans="1:12" x14ac:dyDescent="0.2">
      <c r="A65" t="str">
        <f t="shared" si="0"/>
        <v>EXPORTACION DIRECTA1022326</v>
      </c>
      <c r="B65" t="s">
        <v>365</v>
      </c>
      <c r="C65">
        <v>1022326</v>
      </c>
      <c r="D65" s="7">
        <v>22821.621856593276</v>
      </c>
      <c r="F65" s="13">
        <f t="shared" si="1"/>
        <v>22821.621856593276</v>
      </c>
      <c r="J65">
        <v>40324549</v>
      </c>
      <c r="K65" s="13">
        <v>25000</v>
      </c>
      <c r="L65" s="13">
        <v>0</v>
      </c>
    </row>
    <row r="66" spans="1:12" x14ac:dyDescent="0.2">
      <c r="A66" t="str">
        <f t="shared" si="0"/>
        <v>EXPORTACION DIRECTA1022370</v>
      </c>
      <c r="B66" t="s">
        <v>365</v>
      </c>
      <c r="C66">
        <v>1022370</v>
      </c>
      <c r="D66" s="7">
        <v>22821.621856593276</v>
      </c>
      <c r="F66" s="13">
        <f t="shared" si="1"/>
        <v>22821.621856593276</v>
      </c>
      <c r="J66">
        <v>40324550</v>
      </c>
      <c r="K66" s="13">
        <v>25000</v>
      </c>
      <c r="L66" s="13">
        <v>0</v>
      </c>
    </row>
    <row r="67" spans="1:12" x14ac:dyDescent="0.2">
      <c r="A67" t="str">
        <f t="shared" si="0"/>
        <v>EXPORTACION DIRECTA1022371</v>
      </c>
      <c r="B67" t="s">
        <v>365</v>
      </c>
      <c r="C67">
        <v>1022371</v>
      </c>
      <c r="D67" s="7">
        <v>13692.973113955964</v>
      </c>
      <c r="F67" s="13">
        <f t="shared" si="1"/>
        <v>13692.973113955964</v>
      </c>
      <c r="J67">
        <v>40324551</v>
      </c>
      <c r="K67" s="13">
        <v>25000</v>
      </c>
      <c r="L67" s="13">
        <v>0</v>
      </c>
    </row>
    <row r="68" spans="1:12" x14ac:dyDescent="0.2">
      <c r="A68" t="str">
        <f t="shared" si="0"/>
        <v>EXPORTACION DIRECTA1022472</v>
      </c>
      <c r="B68" t="s">
        <v>365</v>
      </c>
      <c r="C68">
        <v>1022472</v>
      </c>
      <c r="D68" s="7">
        <v>12171.531656849747</v>
      </c>
      <c r="F68" s="13">
        <f t="shared" si="1"/>
        <v>12171.531656849747</v>
      </c>
      <c r="J68">
        <v>40324552</v>
      </c>
      <c r="K68" s="13">
        <v>25000</v>
      </c>
      <c r="L68" s="13">
        <v>0</v>
      </c>
    </row>
    <row r="69" spans="1:12" x14ac:dyDescent="0.2">
      <c r="A69" t="str">
        <f t="shared" si="0"/>
        <v>EXPORTACION DIRECTA1022499</v>
      </c>
      <c r="B69" t="s">
        <v>365</v>
      </c>
      <c r="C69">
        <v>1022499</v>
      </c>
      <c r="D69" s="7">
        <v>13692.973113955964</v>
      </c>
      <c r="F69" s="13">
        <f t="shared" si="1"/>
        <v>13692.973113955964</v>
      </c>
      <c r="J69">
        <v>40324553</v>
      </c>
      <c r="K69" s="13">
        <v>25000</v>
      </c>
      <c r="L69" s="13">
        <v>0</v>
      </c>
    </row>
    <row r="70" spans="1:12" x14ac:dyDescent="0.2">
      <c r="A70" t="str">
        <f t="shared" ref="A70:A78" si="2">+B70&amp;C70</f>
        <v>EXPORTACION DIRECTA1022587</v>
      </c>
      <c r="B70" t="s">
        <v>365</v>
      </c>
      <c r="C70">
        <v>1022587</v>
      </c>
      <c r="D70" s="7">
        <v>4564.3243713186548</v>
      </c>
      <c r="F70" s="13">
        <f t="shared" ref="F70:F83" si="3">+D70-E70</f>
        <v>4564.3243713186548</v>
      </c>
      <c r="J70">
        <v>40325115</v>
      </c>
      <c r="K70" s="13">
        <v>24000</v>
      </c>
      <c r="L70" s="13">
        <v>0</v>
      </c>
    </row>
    <row r="71" spans="1:12" x14ac:dyDescent="0.2">
      <c r="A71" t="str">
        <f t="shared" si="2"/>
        <v>EXPORTACION DIRECTA1022664</v>
      </c>
      <c r="B71" t="s">
        <v>365</v>
      </c>
      <c r="C71">
        <v>1022664</v>
      </c>
      <c r="D71" s="7">
        <v>22821.621856593276</v>
      </c>
      <c r="F71" s="13">
        <f t="shared" si="3"/>
        <v>22821.621856593276</v>
      </c>
      <c r="J71">
        <v>40325154</v>
      </c>
      <c r="K71" s="13">
        <v>24000</v>
      </c>
      <c r="L71" s="13">
        <v>24000</v>
      </c>
    </row>
    <row r="72" spans="1:12" x14ac:dyDescent="0.2">
      <c r="A72" t="str">
        <f t="shared" si="2"/>
        <v>EXPORTACION DIRECTA1022901</v>
      </c>
      <c r="B72" t="s">
        <v>365</v>
      </c>
      <c r="C72">
        <v>1022901</v>
      </c>
      <c r="D72" s="7">
        <v>12171.531656849747</v>
      </c>
      <c r="F72" s="13">
        <f t="shared" si="3"/>
        <v>12171.531656849747</v>
      </c>
      <c r="J72">
        <v>40325162</v>
      </c>
      <c r="K72" s="13">
        <v>24000</v>
      </c>
      <c r="L72" s="13">
        <v>24000</v>
      </c>
    </row>
    <row r="73" spans="1:12" x14ac:dyDescent="0.2">
      <c r="A73" t="str">
        <f t="shared" si="2"/>
        <v>EXPORTACION DIRECTA1022919</v>
      </c>
      <c r="B73" t="s">
        <v>365</v>
      </c>
      <c r="C73">
        <v>1022919</v>
      </c>
      <c r="D73" s="7">
        <v>1521.4414571062184</v>
      </c>
      <c r="F73" s="13">
        <f t="shared" si="3"/>
        <v>1521.4414571062184</v>
      </c>
      <c r="J73">
        <v>40325163</v>
      </c>
      <c r="K73" s="13">
        <v>24000</v>
      </c>
      <c r="L73" s="13">
        <v>0</v>
      </c>
    </row>
    <row r="74" spans="1:12" x14ac:dyDescent="0.2">
      <c r="A74" t="str">
        <f t="shared" si="2"/>
        <v>EXPORTACION DIRECTA1022931</v>
      </c>
      <c r="B74" t="s">
        <v>365</v>
      </c>
      <c r="C74">
        <v>1022931</v>
      </c>
      <c r="D74" s="7">
        <v>7607.2072855310917</v>
      </c>
      <c r="F74" s="13">
        <f t="shared" si="3"/>
        <v>7607.2072855310917</v>
      </c>
      <c r="J74">
        <v>40325577</v>
      </c>
      <c r="K74" s="13">
        <v>23800</v>
      </c>
      <c r="L74" s="13">
        <v>0</v>
      </c>
    </row>
    <row r="75" spans="1:12" x14ac:dyDescent="0.2">
      <c r="A75" t="str">
        <f t="shared" si="2"/>
        <v>EXPORTACION DIRECTA1022987</v>
      </c>
      <c r="B75" t="s">
        <v>365</v>
      </c>
      <c r="C75">
        <v>1022987</v>
      </c>
      <c r="D75" s="7">
        <v>36514.594970549238</v>
      </c>
      <c r="F75" s="13">
        <f t="shared" si="3"/>
        <v>36514.594970549238</v>
      </c>
      <c r="J75">
        <v>40325593</v>
      </c>
      <c r="K75" s="13">
        <v>23800</v>
      </c>
      <c r="L75" s="13">
        <v>0</v>
      </c>
    </row>
    <row r="76" spans="1:12" x14ac:dyDescent="0.2">
      <c r="A76" t="str">
        <f t="shared" si="2"/>
        <v>EXPORTACION DIRECTA1023051</v>
      </c>
      <c r="B76" t="s">
        <v>365</v>
      </c>
      <c r="C76">
        <v>1023051</v>
      </c>
      <c r="D76" s="7">
        <v>2790.3236323328042</v>
      </c>
      <c r="F76" s="13">
        <f t="shared" si="3"/>
        <v>2790.3236323328042</v>
      </c>
      <c r="J76">
        <v>40325604</v>
      </c>
      <c r="K76" s="13">
        <v>23800</v>
      </c>
      <c r="L76" s="13">
        <v>0</v>
      </c>
    </row>
    <row r="77" spans="1:12" x14ac:dyDescent="0.2">
      <c r="A77" t="str">
        <f t="shared" si="2"/>
        <v>EXPORTACION DIRECTA1023055</v>
      </c>
      <c r="B77" t="s">
        <v>365</v>
      </c>
      <c r="C77">
        <v>1023055</v>
      </c>
      <c r="D77" s="7">
        <v>6307.8962811623815</v>
      </c>
      <c r="F77" s="13">
        <f t="shared" si="3"/>
        <v>6307.8962811623815</v>
      </c>
      <c r="J77">
        <v>40325606</v>
      </c>
      <c r="K77" s="13">
        <v>23800</v>
      </c>
      <c r="L77" s="13">
        <v>0</v>
      </c>
    </row>
    <row r="78" spans="1:12" x14ac:dyDescent="0.2">
      <c r="A78" t="str">
        <f t="shared" si="2"/>
        <v>EXPORTACION DIRECTA1023163</v>
      </c>
      <c r="B78" t="s">
        <v>365</v>
      </c>
      <c r="C78">
        <v>1023163</v>
      </c>
      <c r="D78" s="7">
        <v>7607.2072855310917</v>
      </c>
      <c r="F78" s="13">
        <f t="shared" si="3"/>
        <v>7607.2072855310917</v>
      </c>
      <c r="J78">
        <v>40325609</v>
      </c>
      <c r="K78" s="13">
        <v>23800</v>
      </c>
      <c r="L78" s="13">
        <v>0</v>
      </c>
    </row>
    <row r="79" spans="1:12" x14ac:dyDescent="0.2">
      <c r="A79" t="str">
        <f t="shared" ref="A79:A83" si="4">+B79&amp;C79</f>
        <v>EXPORTACION DIRECTA1023194</v>
      </c>
      <c r="B79" t="s">
        <v>365</v>
      </c>
      <c r="C79">
        <v>1023194</v>
      </c>
      <c r="D79" s="7">
        <v>3042.8829142124368</v>
      </c>
      <c r="F79" s="13">
        <f t="shared" si="3"/>
        <v>3042.8829142124368</v>
      </c>
      <c r="J79">
        <v>40325613</v>
      </c>
      <c r="K79" s="13">
        <v>23914.947</v>
      </c>
      <c r="L79" s="13">
        <v>0</v>
      </c>
    </row>
    <row r="80" spans="1:12" x14ac:dyDescent="0.2">
      <c r="A80" t="str">
        <f t="shared" si="4"/>
        <v>EXPORTACION DIRECTA1023301</v>
      </c>
      <c r="B80" t="s">
        <v>365</v>
      </c>
      <c r="C80">
        <v>1023301</v>
      </c>
      <c r="D80" s="7">
        <v>35753.874241996135</v>
      </c>
      <c r="F80" s="13">
        <f t="shared" si="3"/>
        <v>35753.874241996135</v>
      </c>
      <c r="J80">
        <v>40325618</v>
      </c>
      <c r="K80" s="13">
        <v>24000</v>
      </c>
      <c r="L80" s="13">
        <v>0</v>
      </c>
    </row>
    <row r="81" spans="1:12" x14ac:dyDescent="0.2">
      <c r="A81" t="str">
        <f t="shared" si="4"/>
        <v>EXPORTACION DIRECTA1023349</v>
      </c>
      <c r="B81" t="s">
        <v>365</v>
      </c>
      <c r="C81">
        <v>1023349</v>
      </c>
      <c r="D81" s="7">
        <v>3803.6036427655458</v>
      </c>
      <c r="F81" s="13">
        <f t="shared" si="3"/>
        <v>3803.6036427655458</v>
      </c>
      <c r="J81">
        <v>40325622</v>
      </c>
      <c r="K81" s="13">
        <v>24000</v>
      </c>
      <c r="L81" s="13">
        <v>24000</v>
      </c>
    </row>
    <row r="82" spans="1:12" x14ac:dyDescent="0.2">
      <c r="A82" t="str">
        <f t="shared" si="4"/>
        <v>EXPORTACION DIRECTA1023350</v>
      </c>
      <c r="B82" t="s">
        <v>365</v>
      </c>
      <c r="C82">
        <v>1023350</v>
      </c>
      <c r="D82" s="7">
        <v>19018.018213827731</v>
      </c>
      <c r="F82" s="13">
        <f t="shared" si="3"/>
        <v>19018.018213827731</v>
      </c>
      <c r="J82">
        <v>40325626</v>
      </c>
      <c r="K82" s="13">
        <v>24000</v>
      </c>
      <c r="L82" s="13">
        <v>0</v>
      </c>
    </row>
    <row r="83" spans="1:12" x14ac:dyDescent="0.2">
      <c r="A83" t="str">
        <f t="shared" si="4"/>
        <v>EXPORTACION DIRECTA1023352</v>
      </c>
      <c r="B83" t="s">
        <v>365</v>
      </c>
      <c r="C83">
        <v>1023352</v>
      </c>
      <c r="D83" s="7">
        <v>65421.982655567394</v>
      </c>
      <c r="F83" s="13">
        <f t="shared" si="3"/>
        <v>65421.982655567394</v>
      </c>
      <c r="J83">
        <v>40325627</v>
      </c>
      <c r="K83" s="13">
        <v>24000</v>
      </c>
      <c r="L83" s="13">
        <v>24000</v>
      </c>
    </row>
    <row r="84" spans="1:12" x14ac:dyDescent="0.2">
      <c r="J84">
        <v>40325628</v>
      </c>
      <c r="K84" s="13">
        <v>23800</v>
      </c>
      <c r="L84" s="13">
        <v>0</v>
      </c>
    </row>
    <row r="85" spans="1:12" x14ac:dyDescent="0.2">
      <c r="J85">
        <v>40325636</v>
      </c>
      <c r="K85" s="13">
        <v>23800</v>
      </c>
      <c r="L85" s="13">
        <v>23800</v>
      </c>
    </row>
    <row r="86" spans="1:12" x14ac:dyDescent="0.2">
      <c r="J86">
        <v>40325639</v>
      </c>
      <c r="K86" s="13">
        <v>23800</v>
      </c>
      <c r="L86" s="13">
        <v>23800</v>
      </c>
    </row>
    <row r="87" spans="1:12" x14ac:dyDescent="0.2">
      <c r="J87">
        <v>40325647</v>
      </c>
      <c r="K87" s="13">
        <v>23800</v>
      </c>
      <c r="L87" s="13">
        <v>23800</v>
      </c>
    </row>
    <row r="88" spans="1:12" x14ac:dyDescent="0.2">
      <c r="J88" t="s">
        <v>349</v>
      </c>
      <c r="K88" s="13">
        <v>0</v>
      </c>
      <c r="L88" s="13"/>
    </row>
    <row r="89" spans="1:12" x14ac:dyDescent="0.2">
      <c r="A89" t="s">
        <v>431</v>
      </c>
      <c r="J89" t="s">
        <v>350</v>
      </c>
      <c r="K89" s="13">
        <v>1949793.9469999999</v>
      </c>
      <c r="L89" s="13">
        <v>669200</v>
      </c>
    </row>
    <row r="90" spans="1:12" x14ac:dyDescent="0.2">
      <c r="A90" t="s">
        <v>500</v>
      </c>
    </row>
    <row r="91" spans="1:12" x14ac:dyDescent="0.2">
      <c r="A91" t="s">
        <v>433</v>
      </c>
    </row>
    <row r="92" spans="1:12" x14ac:dyDescent="0.2">
      <c r="A92" t="s">
        <v>501</v>
      </c>
    </row>
    <row r="93" spans="1:12" x14ac:dyDescent="0.2">
      <c r="A93" t="s">
        <v>502</v>
      </c>
    </row>
    <row r="94" spans="1:12" x14ac:dyDescent="0.2">
      <c r="A94" t="s">
        <v>503</v>
      </c>
    </row>
    <row r="95" spans="1:12" x14ac:dyDescent="0.2">
      <c r="A95" t="s">
        <v>436</v>
      </c>
    </row>
    <row r="96" spans="1:12" x14ac:dyDescent="0.2">
      <c r="A96" t="s">
        <v>504</v>
      </c>
    </row>
    <row r="97" spans="1:1" x14ac:dyDescent="0.2">
      <c r="A97" t="s">
        <v>505</v>
      </c>
    </row>
    <row r="98" spans="1:1" x14ac:dyDescent="0.2">
      <c r="A98" t="s">
        <v>506</v>
      </c>
    </row>
    <row r="99" spans="1:1" x14ac:dyDescent="0.2">
      <c r="A99" t="s">
        <v>438</v>
      </c>
    </row>
    <row r="100" spans="1:1" x14ac:dyDescent="0.2">
      <c r="A100" t="s">
        <v>507</v>
      </c>
    </row>
    <row r="101" spans="1:1" x14ac:dyDescent="0.2">
      <c r="A101" t="s">
        <v>508</v>
      </c>
    </row>
    <row r="102" spans="1:1" x14ac:dyDescent="0.2">
      <c r="A102" t="s">
        <v>509</v>
      </c>
    </row>
    <row r="103" spans="1:1" x14ac:dyDescent="0.2">
      <c r="A103" t="s">
        <v>510</v>
      </c>
    </row>
    <row r="104" spans="1:1" x14ac:dyDescent="0.2">
      <c r="A104" t="s">
        <v>511</v>
      </c>
    </row>
    <row r="105" spans="1:1" x14ac:dyDescent="0.2">
      <c r="A105" t="s">
        <v>440</v>
      </c>
    </row>
    <row r="106" spans="1:1" x14ac:dyDescent="0.2">
      <c r="A106" t="s">
        <v>512</v>
      </c>
    </row>
    <row r="107" spans="1:1" x14ac:dyDescent="0.2">
      <c r="A107" t="s">
        <v>513</v>
      </c>
    </row>
    <row r="108" spans="1:1" x14ac:dyDescent="0.2">
      <c r="A108" t="s">
        <v>514</v>
      </c>
    </row>
    <row r="109" spans="1:1" x14ac:dyDescent="0.2">
      <c r="A109" t="s">
        <v>515</v>
      </c>
    </row>
    <row r="110" spans="1:1" x14ac:dyDescent="0.2">
      <c r="A110" t="s">
        <v>516</v>
      </c>
    </row>
    <row r="111" spans="1:1" x14ac:dyDescent="0.2">
      <c r="A111" t="s">
        <v>517</v>
      </c>
    </row>
    <row r="112" spans="1:1" x14ac:dyDescent="0.2">
      <c r="A112" t="s">
        <v>518</v>
      </c>
    </row>
    <row r="113" spans="1:1" x14ac:dyDescent="0.2">
      <c r="A113" t="s">
        <v>519</v>
      </c>
    </row>
    <row r="114" spans="1:1" x14ac:dyDescent="0.2">
      <c r="A114" t="s">
        <v>444</v>
      </c>
    </row>
    <row r="115" spans="1:1" x14ac:dyDescent="0.2">
      <c r="A115" t="s">
        <v>520</v>
      </c>
    </row>
    <row r="116" spans="1:1" x14ac:dyDescent="0.2">
      <c r="A116" t="s">
        <v>521</v>
      </c>
    </row>
    <row r="117" spans="1:1" x14ac:dyDescent="0.2">
      <c r="A117" t="s">
        <v>522</v>
      </c>
    </row>
    <row r="118" spans="1:1" x14ac:dyDescent="0.2">
      <c r="A118" t="s">
        <v>523</v>
      </c>
    </row>
    <row r="119" spans="1:1" x14ac:dyDescent="0.2">
      <c r="A119" t="s">
        <v>524</v>
      </c>
    </row>
    <row r="120" spans="1:1" x14ac:dyDescent="0.2">
      <c r="A120" t="s">
        <v>525</v>
      </c>
    </row>
    <row r="121" spans="1:1" x14ac:dyDescent="0.2">
      <c r="A121" t="s">
        <v>526</v>
      </c>
    </row>
    <row r="122" spans="1:1" x14ac:dyDescent="0.2">
      <c r="A122" t="s">
        <v>527</v>
      </c>
    </row>
    <row r="123" spans="1:1" x14ac:dyDescent="0.2">
      <c r="A123" t="s">
        <v>445</v>
      </c>
    </row>
    <row r="124" spans="1:1" x14ac:dyDescent="0.2">
      <c r="A124" t="s">
        <v>446</v>
      </c>
    </row>
    <row r="125" spans="1:1" x14ac:dyDescent="0.2">
      <c r="A125" t="s">
        <v>528</v>
      </c>
    </row>
    <row r="126" spans="1:1" x14ac:dyDescent="0.2">
      <c r="A126" t="s">
        <v>529</v>
      </c>
    </row>
    <row r="127" spans="1:1" x14ac:dyDescent="0.2">
      <c r="A127" t="s">
        <v>530</v>
      </c>
    </row>
    <row r="128" spans="1:1" x14ac:dyDescent="0.2">
      <c r="A128" t="s">
        <v>531</v>
      </c>
    </row>
    <row r="129" spans="1:1" x14ac:dyDescent="0.2">
      <c r="A129" t="s">
        <v>532</v>
      </c>
    </row>
    <row r="130" spans="1:1" x14ac:dyDescent="0.2">
      <c r="A130" t="s">
        <v>533</v>
      </c>
    </row>
    <row r="131" spans="1:1" x14ac:dyDescent="0.2">
      <c r="A131" t="s">
        <v>534</v>
      </c>
    </row>
    <row r="132" spans="1:1" x14ac:dyDescent="0.2">
      <c r="A132" t="s">
        <v>535</v>
      </c>
    </row>
    <row r="133" spans="1:1" x14ac:dyDescent="0.2">
      <c r="A133" t="s">
        <v>536</v>
      </c>
    </row>
    <row r="134" spans="1:1" x14ac:dyDescent="0.2">
      <c r="A134" t="s">
        <v>537</v>
      </c>
    </row>
    <row r="135" spans="1:1" x14ac:dyDescent="0.2">
      <c r="A135" t="s">
        <v>538</v>
      </c>
    </row>
    <row r="136" spans="1:1" x14ac:dyDescent="0.2">
      <c r="A136" t="s">
        <v>539</v>
      </c>
    </row>
    <row r="137" spans="1:1" x14ac:dyDescent="0.2">
      <c r="A137" t="s">
        <v>540</v>
      </c>
    </row>
    <row r="138" spans="1:1" x14ac:dyDescent="0.2">
      <c r="A138" t="s">
        <v>541</v>
      </c>
    </row>
    <row r="139" spans="1:1" x14ac:dyDescent="0.2">
      <c r="A139" t="s">
        <v>542</v>
      </c>
    </row>
    <row r="140" spans="1:1" x14ac:dyDescent="0.2">
      <c r="A140" t="s">
        <v>543</v>
      </c>
    </row>
    <row r="141" spans="1:1" x14ac:dyDescent="0.2">
      <c r="A141" t="s">
        <v>544</v>
      </c>
    </row>
    <row r="142" spans="1:1" x14ac:dyDescent="0.2">
      <c r="A142" t="s">
        <v>545</v>
      </c>
    </row>
    <row r="143" spans="1:1" x14ac:dyDescent="0.2">
      <c r="A143" t="s">
        <v>546</v>
      </c>
    </row>
    <row r="144" spans="1:1" x14ac:dyDescent="0.2">
      <c r="A144" t="s">
        <v>547</v>
      </c>
    </row>
    <row r="145" spans="1:1" x14ac:dyDescent="0.2">
      <c r="A145" t="s">
        <v>548</v>
      </c>
    </row>
    <row r="146" spans="1:1" x14ac:dyDescent="0.2">
      <c r="A146" t="s">
        <v>450</v>
      </c>
    </row>
    <row r="147" spans="1:1" x14ac:dyDescent="0.2">
      <c r="A147" t="s">
        <v>549</v>
      </c>
    </row>
    <row r="148" spans="1:1" x14ac:dyDescent="0.2">
      <c r="A148" t="s">
        <v>550</v>
      </c>
    </row>
    <row r="149" spans="1:1" x14ac:dyDescent="0.2">
      <c r="A149" t="s">
        <v>451</v>
      </c>
    </row>
    <row r="150" spans="1:1" x14ac:dyDescent="0.2">
      <c r="A150" t="s">
        <v>551</v>
      </c>
    </row>
    <row r="151" spans="1:1" x14ac:dyDescent="0.2">
      <c r="A151" t="s">
        <v>552</v>
      </c>
    </row>
    <row r="152" spans="1:1" x14ac:dyDescent="0.2">
      <c r="A152" t="s">
        <v>553</v>
      </c>
    </row>
    <row r="153" spans="1:1" x14ac:dyDescent="0.2">
      <c r="A153" t="s">
        <v>554</v>
      </c>
    </row>
    <row r="154" spans="1:1" x14ac:dyDescent="0.2">
      <c r="A154" t="s">
        <v>555</v>
      </c>
    </row>
    <row r="155" spans="1:1" x14ac:dyDescent="0.2">
      <c r="A155" t="s">
        <v>556</v>
      </c>
    </row>
    <row r="156" spans="1:1" x14ac:dyDescent="0.2">
      <c r="A156" t="s">
        <v>557</v>
      </c>
    </row>
    <row r="157" spans="1:1" x14ac:dyDescent="0.2">
      <c r="A157" t="s">
        <v>558</v>
      </c>
    </row>
    <row r="158" spans="1:1" x14ac:dyDescent="0.2">
      <c r="A158" t="s">
        <v>452</v>
      </c>
    </row>
    <row r="159" spans="1:1" x14ac:dyDescent="0.2">
      <c r="A159" t="s">
        <v>559</v>
      </c>
    </row>
    <row r="160" spans="1:1" x14ac:dyDescent="0.2">
      <c r="A160" t="s">
        <v>560</v>
      </c>
    </row>
    <row r="161" spans="1:1" x14ac:dyDescent="0.2">
      <c r="A161" t="s">
        <v>453</v>
      </c>
    </row>
    <row r="162" spans="1:1" x14ac:dyDescent="0.2">
      <c r="A162" t="s">
        <v>561</v>
      </c>
    </row>
    <row r="163" spans="1:1" x14ac:dyDescent="0.2">
      <c r="A163" t="s">
        <v>562</v>
      </c>
    </row>
    <row r="164" spans="1:1" x14ac:dyDescent="0.2">
      <c r="A164" t="s">
        <v>563</v>
      </c>
    </row>
    <row r="165" spans="1:1" x14ac:dyDescent="0.2">
      <c r="A165" t="s">
        <v>564</v>
      </c>
    </row>
    <row r="166" spans="1:1" x14ac:dyDescent="0.2">
      <c r="A166" t="s">
        <v>565</v>
      </c>
    </row>
    <row r="167" spans="1:1" x14ac:dyDescent="0.2">
      <c r="A167" t="s">
        <v>566</v>
      </c>
    </row>
    <row r="168" spans="1:1" x14ac:dyDescent="0.2">
      <c r="A168" t="s">
        <v>567</v>
      </c>
    </row>
    <row r="169" spans="1:1" x14ac:dyDescent="0.2">
      <c r="A169" t="s">
        <v>568</v>
      </c>
    </row>
    <row r="170" spans="1:1" x14ac:dyDescent="0.2">
      <c r="A170" t="s">
        <v>569</v>
      </c>
    </row>
    <row r="171" spans="1:1" x14ac:dyDescent="0.2">
      <c r="A171" t="s">
        <v>570</v>
      </c>
    </row>
    <row r="172" spans="1:1" x14ac:dyDescent="0.2">
      <c r="A172" t="s">
        <v>571</v>
      </c>
    </row>
    <row r="173" spans="1:1" x14ac:dyDescent="0.2">
      <c r="A173" t="s">
        <v>572</v>
      </c>
    </row>
    <row r="174" spans="1:1" x14ac:dyDescent="0.2">
      <c r="A174" t="s">
        <v>573</v>
      </c>
    </row>
    <row r="175" spans="1:1" x14ac:dyDescent="0.2">
      <c r="A175" t="s">
        <v>574</v>
      </c>
    </row>
    <row r="176" spans="1:1" x14ac:dyDescent="0.2">
      <c r="A176" t="s">
        <v>575</v>
      </c>
    </row>
    <row r="177" spans="1:1" x14ac:dyDescent="0.2">
      <c r="A177" t="s">
        <v>576</v>
      </c>
    </row>
  </sheetData>
  <conditionalFormatting sqref="C1:C1048576">
    <cfRule type="duplicateValues" dxfId="8" priority="1"/>
  </conditionalFormatting>
  <pageMargins left="0.7" right="0.7" top="0.75" bottom="0.75" header="0.3" footer="0.3"/>
  <pageSetup orientation="portrait" r:id="rId3"/>
  <customProperties>
    <customPr name="_pios_id" r:id="rId4"/>
    <customPr name="IbpWorksheetKeyString_GUID" r:id="rId5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64F6F-FC92-46C2-B7E1-BE70FC5BACA7}">
  <sheetPr>
    <tabColor theme="5" tint="-0.249977111117893"/>
  </sheetPr>
  <dimension ref="B2:L76"/>
  <sheetViews>
    <sheetView showGridLines="0" zoomScale="80" zoomScaleNormal="80" workbookViewId="0">
      <selection activeCell="G10" sqref="G10"/>
    </sheetView>
  </sheetViews>
  <sheetFormatPr baseColWidth="10" defaultRowHeight="15" x14ac:dyDescent="0.2"/>
  <cols>
    <col min="2" max="2" width="23.33203125" bestFit="1" customWidth="1"/>
    <col min="3" max="3" width="16.33203125" bestFit="1" customWidth="1"/>
    <col min="4" max="4" width="13.6640625" bestFit="1" customWidth="1"/>
    <col min="5" max="6" width="12.6640625" bestFit="1" customWidth="1"/>
    <col min="7" max="7" width="11.83203125" bestFit="1" customWidth="1"/>
    <col min="8" max="8" width="10.83203125" bestFit="1" customWidth="1"/>
    <col min="9" max="9" width="10.33203125" bestFit="1" customWidth="1"/>
    <col min="10" max="10" width="28.6640625" bestFit="1" customWidth="1"/>
    <col min="11" max="11" width="24.6640625" bestFit="1" customWidth="1"/>
  </cols>
  <sheetData>
    <row r="2" spans="2:11" x14ac:dyDescent="0.2">
      <c r="B2" s="25" t="s">
        <v>426</v>
      </c>
    </row>
    <row r="4" spans="2:11" x14ac:dyDescent="0.2">
      <c r="B4" s="10" t="s">
        <v>348</v>
      </c>
      <c r="C4" t="s">
        <v>412</v>
      </c>
      <c r="D4" t="s">
        <v>413</v>
      </c>
      <c r="E4" s="24" t="s">
        <v>421</v>
      </c>
      <c r="F4" s="24" t="s">
        <v>422</v>
      </c>
      <c r="G4" s="24" t="s">
        <v>423</v>
      </c>
      <c r="H4" s="24" t="s">
        <v>424</v>
      </c>
      <c r="I4" s="24" t="s">
        <v>425</v>
      </c>
      <c r="J4" t="s">
        <v>419</v>
      </c>
      <c r="K4" t="s">
        <v>420</v>
      </c>
    </row>
    <row r="5" spans="2:11" x14ac:dyDescent="0.2">
      <c r="B5" s="11" t="s">
        <v>17</v>
      </c>
      <c r="C5" s="13">
        <v>4402617</v>
      </c>
      <c r="D5" s="13">
        <v>4276617</v>
      </c>
      <c r="E5" s="26">
        <v>3723350</v>
      </c>
      <c r="F5" s="26">
        <v>5434741</v>
      </c>
      <c r="G5" s="26">
        <v>5355978</v>
      </c>
      <c r="H5" s="26">
        <v>4226281</v>
      </c>
      <c r="I5" s="26">
        <v>4971059</v>
      </c>
      <c r="J5" s="13">
        <v>4013550</v>
      </c>
      <c r="K5" s="13">
        <v>3823874</v>
      </c>
    </row>
    <row r="6" spans="2:11" x14ac:dyDescent="0.2">
      <c r="B6" s="11" t="s">
        <v>7</v>
      </c>
      <c r="C6" s="13">
        <v>702230</v>
      </c>
      <c r="D6" s="13">
        <v>702230</v>
      </c>
      <c r="E6" s="26">
        <v>312000</v>
      </c>
      <c r="F6" s="26">
        <v>527994</v>
      </c>
      <c r="G6" s="26">
        <v>671990</v>
      </c>
      <c r="H6" s="26">
        <v>767990</v>
      </c>
      <c r="I6" s="26">
        <v>744000</v>
      </c>
      <c r="J6" s="13">
        <v>648618</v>
      </c>
      <c r="K6" s="13">
        <v>236612</v>
      </c>
    </row>
    <row r="7" spans="2:11" x14ac:dyDescent="0.2">
      <c r="B7" s="11" t="s">
        <v>350</v>
      </c>
      <c r="C7" s="13">
        <v>5104847</v>
      </c>
      <c r="D7" s="13">
        <v>4978847</v>
      </c>
      <c r="E7" s="26">
        <v>4035350</v>
      </c>
      <c r="F7" s="26">
        <v>5962735</v>
      </c>
      <c r="G7" s="26">
        <v>6027968</v>
      </c>
      <c r="H7" s="26">
        <v>4994271</v>
      </c>
      <c r="I7" s="26">
        <v>5715059</v>
      </c>
      <c r="J7" s="13">
        <v>4662168</v>
      </c>
      <c r="K7" s="13">
        <v>4060486</v>
      </c>
    </row>
    <row r="9" spans="2:11" x14ac:dyDescent="0.2">
      <c r="B9" s="11" t="s">
        <v>583</v>
      </c>
      <c r="C9" s="32">
        <v>3923770</v>
      </c>
      <c r="E9" s="32">
        <v>4915704</v>
      </c>
      <c r="F9" s="32">
        <v>3544853</v>
      </c>
      <c r="G9" s="32">
        <v>5979711</v>
      </c>
      <c r="H9" s="32">
        <v>4342840</v>
      </c>
      <c r="I9" s="32">
        <v>4524922</v>
      </c>
    </row>
    <row r="10" spans="2:11" x14ac:dyDescent="0.2">
      <c r="B10" s="11" t="s">
        <v>583</v>
      </c>
      <c r="C10" s="32">
        <v>685221</v>
      </c>
      <c r="E10" s="32">
        <v>985674</v>
      </c>
      <c r="F10" s="32">
        <v>954523</v>
      </c>
      <c r="G10" s="32">
        <v>662444</v>
      </c>
      <c r="H10" s="32">
        <v>805176</v>
      </c>
      <c r="I10" s="32">
        <v>846322</v>
      </c>
    </row>
    <row r="11" spans="2:11" x14ac:dyDescent="0.2">
      <c r="C11" s="38">
        <f>C5/C9</f>
        <v>1.1220374792610168</v>
      </c>
      <c r="E11" s="38">
        <f t="shared" ref="E11:I11" si="0">D5/E9</f>
        <v>0.869990748019002</v>
      </c>
      <c r="F11" s="38">
        <f t="shared" si="0"/>
        <v>1.0503538510623713</v>
      </c>
      <c r="G11" s="38">
        <f t="shared" si="0"/>
        <v>0.90886348855320931</v>
      </c>
      <c r="H11" s="38">
        <f t="shared" si="0"/>
        <v>1.2332892761418794</v>
      </c>
      <c r="I11" s="38">
        <f t="shared" si="0"/>
        <v>0.93400085128539234</v>
      </c>
    </row>
    <row r="14" spans="2:11" x14ac:dyDescent="0.2">
      <c r="B14" s="212" t="s">
        <v>430</v>
      </c>
      <c r="C14" s="212"/>
    </row>
    <row r="16" spans="2:11" x14ac:dyDescent="0.2">
      <c r="B16" s="10" t="s">
        <v>1</v>
      </c>
      <c r="C16" s="10" t="s">
        <v>0</v>
      </c>
      <c r="D16" t="s">
        <v>412</v>
      </c>
      <c r="E16" t="s">
        <v>413</v>
      </c>
      <c r="F16" s="24" t="s">
        <v>421</v>
      </c>
      <c r="G16" s="24" t="s">
        <v>422</v>
      </c>
      <c r="H16" s="24" t="s">
        <v>423</v>
      </c>
      <c r="I16" s="24" t="s">
        <v>424</v>
      </c>
      <c r="J16" s="24" t="s">
        <v>425</v>
      </c>
    </row>
    <row r="17" spans="2:12" x14ac:dyDescent="0.2">
      <c r="B17" t="s">
        <v>17</v>
      </c>
      <c r="C17" t="s">
        <v>6</v>
      </c>
      <c r="D17" s="13">
        <v>3076617</v>
      </c>
      <c r="E17" s="13">
        <v>2980617</v>
      </c>
      <c r="F17" s="26">
        <v>2239350</v>
      </c>
      <c r="G17" s="26">
        <v>2848441</v>
      </c>
      <c r="H17" s="26">
        <v>3032443</v>
      </c>
      <c r="I17" s="26">
        <v>2524280</v>
      </c>
      <c r="J17" s="26">
        <v>2685959</v>
      </c>
    </row>
    <row r="18" spans="2:12" x14ac:dyDescent="0.2">
      <c r="C18" t="s">
        <v>204</v>
      </c>
      <c r="D18" s="13">
        <v>168000</v>
      </c>
      <c r="E18" s="13">
        <v>168000</v>
      </c>
      <c r="F18" s="26">
        <v>144000</v>
      </c>
      <c r="G18" s="26">
        <v>408000</v>
      </c>
      <c r="H18" s="26">
        <v>236000</v>
      </c>
      <c r="I18" s="26">
        <v>220001</v>
      </c>
      <c r="J18" s="26">
        <v>288000</v>
      </c>
    </row>
    <row r="19" spans="2:12" x14ac:dyDescent="0.2">
      <c r="C19" t="s">
        <v>227</v>
      </c>
      <c r="D19" s="13">
        <v>1116000</v>
      </c>
      <c r="E19" s="13">
        <v>1092000</v>
      </c>
      <c r="F19" s="26">
        <v>1340000</v>
      </c>
      <c r="G19" s="26">
        <v>2178300</v>
      </c>
      <c r="H19" s="26">
        <v>2069535</v>
      </c>
      <c r="I19" s="26">
        <v>1464000</v>
      </c>
      <c r="J19" s="26">
        <v>1997100</v>
      </c>
    </row>
    <row r="20" spans="2:12" x14ac:dyDescent="0.2">
      <c r="C20" t="s">
        <v>587</v>
      </c>
      <c r="D20" s="13">
        <v>42000</v>
      </c>
      <c r="E20" s="13">
        <v>36000</v>
      </c>
      <c r="F20" s="26">
        <v>0</v>
      </c>
      <c r="G20" s="26">
        <v>0</v>
      </c>
      <c r="H20" s="26">
        <v>18000</v>
      </c>
      <c r="I20" s="26">
        <v>18000</v>
      </c>
      <c r="J20" s="26">
        <v>0</v>
      </c>
    </row>
    <row r="21" spans="2:12" x14ac:dyDescent="0.2">
      <c r="B21" t="s">
        <v>427</v>
      </c>
      <c r="D21" s="13">
        <v>4402617</v>
      </c>
      <c r="E21" s="13">
        <v>4276617</v>
      </c>
      <c r="F21" s="26">
        <v>3723350</v>
      </c>
      <c r="G21" s="26">
        <v>5434741</v>
      </c>
      <c r="H21" s="26">
        <v>5355978</v>
      </c>
      <c r="I21" s="26">
        <v>4226281</v>
      </c>
      <c r="J21" s="26">
        <v>4971059</v>
      </c>
    </row>
    <row r="22" spans="2:12" x14ac:dyDescent="0.2">
      <c r="B22" t="s">
        <v>7</v>
      </c>
      <c r="C22" t="s">
        <v>6</v>
      </c>
      <c r="D22" s="13">
        <v>558240</v>
      </c>
      <c r="E22" s="13">
        <v>558240</v>
      </c>
      <c r="F22" s="26">
        <v>264000</v>
      </c>
      <c r="G22" s="26">
        <v>407994</v>
      </c>
      <c r="H22" s="26">
        <v>600000</v>
      </c>
      <c r="I22" s="26">
        <v>720000</v>
      </c>
      <c r="J22" s="26">
        <v>672000</v>
      </c>
    </row>
    <row r="23" spans="2:12" x14ac:dyDescent="0.2">
      <c r="C23" t="s">
        <v>204</v>
      </c>
      <c r="D23" s="13">
        <v>0</v>
      </c>
      <c r="E23" s="13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</row>
    <row r="24" spans="2:12" x14ac:dyDescent="0.2">
      <c r="C24" t="s">
        <v>227</v>
      </c>
      <c r="D24" s="13">
        <v>143990</v>
      </c>
      <c r="E24" s="13">
        <v>143990</v>
      </c>
      <c r="F24" s="26">
        <v>48000</v>
      </c>
      <c r="G24" s="26">
        <v>120000</v>
      </c>
      <c r="H24" s="26">
        <v>71990</v>
      </c>
      <c r="I24" s="26">
        <v>47990</v>
      </c>
      <c r="J24" s="26">
        <v>72000</v>
      </c>
    </row>
    <row r="25" spans="2:12" x14ac:dyDescent="0.2">
      <c r="B25" t="s">
        <v>428</v>
      </c>
      <c r="D25" s="13">
        <v>702230</v>
      </c>
      <c r="E25" s="13">
        <v>702230</v>
      </c>
      <c r="F25" s="26">
        <v>312000</v>
      </c>
      <c r="G25" s="26">
        <v>527994</v>
      </c>
      <c r="H25" s="26">
        <v>671990</v>
      </c>
      <c r="I25" s="26">
        <v>767990</v>
      </c>
      <c r="J25" s="26">
        <v>744000</v>
      </c>
    </row>
    <row r="26" spans="2:12" x14ac:dyDescent="0.2">
      <c r="B26" t="s">
        <v>350</v>
      </c>
      <c r="D26" s="13">
        <v>5104847</v>
      </c>
      <c r="E26" s="13">
        <v>4978847</v>
      </c>
      <c r="F26" s="26">
        <v>4035350</v>
      </c>
      <c r="G26" s="26">
        <v>5962735</v>
      </c>
      <c r="H26" s="26">
        <v>6027968</v>
      </c>
      <c r="I26" s="26">
        <v>4994271</v>
      </c>
      <c r="J26" s="26">
        <v>5715059</v>
      </c>
    </row>
    <row r="28" spans="2:12" x14ac:dyDescent="0.2">
      <c r="B28" s="212" t="s">
        <v>430</v>
      </c>
      <c r="C28" s="212"/>
    </row>
    <row r="30" spans="2:12" x14ac:dyDescent="0.2">
      <c r="B30" s="10" t="s">
        <v>1</v>
      </c>
      <c r="C30" s="10" t="s">
        <v>0</v>
      </c>
      <c r="D30" s="10" t="s">
        <v>2</v>
      </c>
      <c r="E30" t="s">
        <v>412</v>
      </c>
      <c r="F30" t="s">
        <v>413</v>
      </c>
      <c r="G30" s="24" t="s">
        <v>421</v>
      </c>
      <c r="H30" s="24" t="s">
        <v>422</v>
      </c>
      <c r="I30" s="24" t="s">
        <v>423</v>
      </c>
      <c r="J30" s="24" t="s">
        <v>424</v>
      </c>
      <c r="K30" s="24" t="s">
        <v>425</v>
      </c>
    </row>
    <row r="31" spans="2:12" x14ac:dyDescent="0.2">
      <c r="B31" t="s">
        <v>17</v>
      </c>
      <c r="C31" t="s">
        <v>6</v>
      </c>
      <c r="D31" t="s">
        <v>18</v>
      </c>
      <c r="E31" s="13">
        <v>12000</v>
      </c>
      <c r="F31" s="13">
        <v>12000</v>
      </c>
      <c r="G31" s="26">
        <v>196947</v>
      </c>
      <c r="H31" s="26">
        <v>119790</v>
      </c>
      <c r="I31" s="26">
        <v>132000</v>
      </c>
      <c r="J31" s="26">
        <v>114000</v>
      </c>
      <c r="K31" s="26">
        <v>43259</v>
      </c>
      <c r="L31" s="13">
        <f>+F31-K31</f>
        <v>-31259</v>
      </c>
    </row>
    <row r="32" spans="2:12" x14ac:dyDescent="0.2">
      <c r="D32" t="s">
        <v>25</v>
      </c>
      <c r="E32" s="13">
        <v>9000</v>
      </c>
      <c r="F32" s="13">
        <v>9000</v>
      </c>
      <c r="G32" s="26">
        <v>0</v>
      </c>
      <c r="H32" s="26">
        <v>0</v>
      </c>
      <c r="I32" s="26">
        <v>24000</v>
      </c>
      <c r="J32" s="26">
        <v>0</v>
      </c>
      <c r="K32" s="26">
        <v>0</v>
      </c>
      <c r="L32" s="13">
        <f t="shared" ref="L32:L43" si="1">+F32-K32</f>
        <v>9000</v>
      </c>
    </row>
    <row r="33" spans="3:12" x14ac:dyDescent="0.2">
      <c r="D33" t="s">
        <v>8</v>
      </c>
      <c r="E33" s="13">
        <v>514898</v>
      </c>
      <c r="F33" s="13">
        <v>514898</v>
      </c>
      <c r="G33" s="26">
        <v>251000</v>
      </c>
      <c r="H33" s="26">
        <v>168000</v>
      </c>
      <c r="I33" s="26">
        <v>384000</v>
      </c>
      <c r="J33" s="26">
        <v>136000</v>
      </c>
      <c r="K33" s="26">
        <v>333000</v>
      </c>
      <c r="L33" s="13">
        <f t="shared" si="1"/>
        <v>181898</v>
      </c>
    </row>
    <row r="34" spans="3:12" x14ac:dyDescent="0.2">
      <c r="D34" t="s">
        <v>37</v>
      </c>
      <c r="E34" s="13">
        <v>1000</v>
      </c>
      <c r="F34" s="13">
        <v>1000</v>
      </c>
      <c r="G34" s="26">
        <v>0</v>
      </c>
      <c r="H34" s="26">
        <v>48000</v>
      </c>
      <c r="I34" s="26">
        <v>34221</v>
      </c>
      <c r="J34" s="26">
        <v>24000</v>
      </c>
      <c r="K34" s="26">
        <v>24000</v>
      </c>
      <c r="L34" s="13">
        <f t="shared" si="1"/>
        <v>-23000</v>
      </c>
    </row>
    <row r="35" spans="3:12" x14ac:dyDescent="0.2">
      <c r="D35" t="s">
        <v>11</v>
      </c>
      <c r="E35" s="13">
        <v>832578</v>
      </c>
      <c r="F35" s="13">
        <v>832578</v>
      </c>
      <c r="G35" s="26">
        <v>411600</v>
      </c>
      <c r="H35" s="26">
        <v>735500</v>
      </c>
      <c r="I35" s="26">
        <v>553000</v>
      </c>
      <c r="J35" s="26">
        <v>543600</v>
      </c>
      <c r="K35" s="26">
        <v>614500</v>
      </c>
      <c r="L35" s="13">
        <f t="shared" si="1"/>
        <v>218078</v>
      </c>
    </row>
    <row r="36" spans="3:12" x14ac:dyDescent="0.2">
      <c r="D36" t="s">
        <v>92</v>
      </c>
      <c r="E36" s="13">
        <v>0</v>
      </c>
      <c r="F36" s="13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13">
        <f t="shared" si="1"/>
        <v>0</v>
      </c>
    </row>
    <row r="37" spans="3:12" x14ac:dyDescent="0.2">
      <c r="D37" t="s">
        <v>50</v>
      </c>
      <c r="E37" s="13">
        <v>72000</v>
      </c>
      <c r="F37" s="13">
        <v>72000</v>
      </c>
      <c r="G37" s="26">
        <v>240000</v>
      </c>
      <c r="H37" s="26">
        <v>170000</v>
      </c>
      <c r="I37" s="26">
        <v>360000</v>
      </c>
      <c r="J37" s="26">
        <v>215000</v>
      </c>
      <c r="K37" s="26">
        <v>120000</v>
      </c>
      <c r="L37" s="13">
        <f t="shared" si="1"/>
        <v>-48000</v>
      </c>
    </row>
    <row r="38" spans="3:12" x14ac:dyDescent="0.2">
      <c r="D38" t="s">
        <v>53</v>
      </c>
      <c r="E38" s="13">
        <v>268000</v>
      </c>
      <c r="F38" s="13">
        <v>268000</v>
      </c>
      <c r="G38" s="26">
        <v>80000</v>
      </c>
      <c r="H38" s="26">
        <v>187000</v>
      </c>
      <c r="I38" s="26">
        <v>312000</v>
      </c>
      <c r="J38" s="26">
        <v>168000</v>
      </c>
      <c r="K38" s="26">
        <v>340000</v>
      </c>
      <c r="L38" s="13">
        <f t="shared" si="1"/>
        <v>-72000</v>
      </c>
    </row>
    <row r="39" spans="3:12" x14ac:dyDescent="0.2">
      <c r="D39" t="s">
        <v>56</v>
      </c>
      <c r="E39" s="13">
        <v>48000</v>
      </c>
      <c r="F39" s="13">
        <v>48000</v>
      </c>
      <c r="G39" s="26">
        <v>28000</v>
      </c>
      <c r="H39" s="26">
        <v>82000</v>
      </c>
      <c r="I39" s="26">
        <v>60000</v>
      </c>
      <c r="J39" s="26">
        <v>24000</v>
      </c>
      <c r="K39" s="26">
        <v>24000</v>
      </c>
      <c r="L39" s="13">
        <f t="shared" si="1"/>
        <v>24000</v>
      </c>
    </row>
    <row r="40" spans="3:12" x14ac:dyDescent="0.2">
      <c r="D40" t="s">
        <v>59</v>
      </c>
      <c r="E40" s="13">
        <v>582300</v>
      </c>
      <c r="F40" s="13">
        <v>582300</v>
      </c>
      <c r="G40" s="26">
        <v>514000</v>
      </c>
      <c r="H40" s="26">
        <v>623001</v>
      </c>
      <c r="I40" s="26">
        <v>480000</v>
      </c>
      <c r="J40" s="26">
        <v>414000</v>
      </c>
      <c r="K40" s="26">
        <v>659000</v>
      </c>
      <c r="L40" s="13">
        <f t="shared" si="1"/>
        <v>-76700</v>
      </c>
    </row>
    <row r="41" spans="3:12" x14ac:dyDescent="0.2">
      <c r="D41" t="s">
        <v>67</v>
      </c>
      <c r="E41" s="13">
        <v>14000</v>
      </c>
      <c r="F41" s="13">
        <v>14000</v>
      </c>
      <c r="G41" s="26">
        <v>192000</v>
      </c>
      <c r="H41" s="26">
        <v>192000</v>
      </c>
      <c r="I41" s="26">
        <v>276000</v>
      </c>
      <c r="J41" s="26">
        <v>216000</v>
      </c>
      <c r="K41" s="26">
        <v>24000</v>
      </c>
      <c r="L41" s="13">
        <f t="shared" si="1"/>
        <v>-10000</v>
      </c>
    </row>
    <row r="42" spans="3:12" x14ac:dyDescent="0.2">
      <c r="D42" t="s">
        <v>71</v>
      </c>
      <c r="E42" s="13">
        <v>528000</v>
      </c>
      <c r="F42" s="13">
        <v>528000</v>
      </c>
      <c r="G42" s="26">
        <v>144000</v>
      </c>
      <c r="H42" s="26">
        <v>268210</v>
      </c>
      <c r="I42" s="26">
        <v>239000</v>
      </c>
      <c r="J42" s="26">
        <v>485000</v>
      </c>
      <c r="K42" s="26">
        <v>368500</v>
      </c>
      <c r="L42" s="13">
        <f t="shared" si="1"/>
        <v>159500</v>
      </c>
    </row>
    <row r="43" spans="3:12" x14ac:dyDescent="0.2">
      <c r="D43" t="s">
        <v>76</v>
      </c>
      <c r="E43" s="13">
        <v>194841</v>
      </c>
      <c r="F43" s="13">
        <v>98841</v>
      </c>
      <c r="G43" s="26">
        <v>181803</v>
      </c>
      <c r="H43" s="26">
        <v>254940</v>
      </c>
      <c r="I43" s="26">
        <v>178222</v>
      </c>
      <c r="J43" s="26">
        <v>184680</v>
      </c>
      <c r="K43" s="26">
        <v>135700</v>
      </c>
      <c r="L43" s="13">
        <f t="shared" si="1"/>
        <v>-36859</v>
      </c>
    </row>
    <row r="44" spans="3:12" x14ac:dyDescent="0.2">
      <c r="C44" t="s">
        <v>577</v>
      </c>
      <c r="E44" s="13">
        <v>3076617</v>
      </c>
      <c r="F44" s="13">
        <v>2980617</v>
      </c>
      <c r="G44" s="26">
        <v>2239350</v>
      </c>
      <c r="H44" s="26">
        <v>2848441</v>
      </c>
      <c r="I44" s="26">
        <v>3032443</v>
      </c>
      <c r="J44" s="26">
        <v>2524280</v>
      </c>
      <c r="K44" s="26">
        <v>2685959</v>
      </c>
    </row>
    <row r="45" spans="3:12" x14ac:dyDescent="0.2">
      <c r="C45" t="s">
        <v>204</v>
      </c>
      <c r="D45" t="s">
        <v>205</v>
      </c>
      <c r="E45" s="13">
        <v>48000</v>
      </c>
      <c r="F45" s="13">
        <v>48000</v>
      </c>
      <c r="G45" s="26">
        <v>48000</v>
      </c>
      <c r="H45" s="26">
        <v>168000</v>
      </c>
      <c r="I45" s="26">
        <v>72000</v>
      </c>
      <c r="J45" s="26">
        <v>48000</v>
      </c>
      <c r="K45" s="26">
        <v>48000</v>
      </c>
    </row>
    <row r="46" spans="3:12" x14ac:dyDescent="0.2">
      <c r="D46" t="s">
        <v>209</v>
      </c>
      <c r="E46" s="13">
        <v>24000</v>
      </c>
      <c r="F46" s="13">
        <v>24000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</row>
    <row r="47" spans="3:12" x14ac:dyDescent="0.2">
      <c r="D47" t="s">
        <v>316</v>
      </c>
      <c r="E47" s="13">
        <v>0</v>
      </c>
      <c r="F47" s="13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</row>
    <row r="48" spans="3:12" x14ac:dyDescent="0.2">
      <c r="D48" t="s">
        <v>212</v>
      </c>
      <c r="E48" s="13">
        <v>24000</v>
      </c>
      <c r="F48" s="13">
        <v>24000</v>
      </c>
      <c r="G48" s="26">
        <v>24000</v>
      </c>
      <c r="H48" s="26">
        <v>96000</v>
      </c>
      <c r="I48" s="26">
        <v>48000</v>
      </c>
      <c r="J48" s="26">
        <v>72000</v>
      </c>
      <c r="K48" s="26">
        <v>72000</v>
      </c>
    </row>
    <row r="49" spans="3:12" x14ac:dyDescent="0.2">
      <c r="D49" t="s">
        <v>71</v>
      </c>
      <c r="E49" s="13">
        <v>24000</v>
      </c>
      <c r="F49" s="13">
        <v>24000</v>
      </c>
      <c r="G49" s="26">
        <v>0</v>
      </c>
      <c r="H49" s="26">
        <v>24000</v>
      </c>
      <c r="I49" s="26">
        <v>24000</v>
      </c>
      <c r="J49" s="26">
        <v>28001</v>
      </c>
      <c r="K49" s="26">
        <v>48000</v>
      </c>
    </row>
    <row r="50" spans="3:12" x14ac:dyDescent="0.2">
      <c r="D50" t="s">
        <v>217</v>
      </c>
      <c r="E50" s="13">
        <v>48000</v>
      </c>
      <c r="F50" s="13">
        <v>48000</v>
      </c>
      <c r="G50" s="26">
        <v>48000</v>
      </c>
      <c r="H50" s="26">
        <v>72000</v>
      </c>
      <c r="I50" s="26">
        <v>48000</v>
      </c>
      <c r="J50" s="26">
        <v>48000</v>
      </c>
      <c r="K50" s="26">
        <v>48000</v>
      </c>
    </row>
    <row r="51" spans="3:12" x14ac:dyDescent="0.2">
      <c r="D51" t="s">
        <v>220</v>
      </c>
      <c r="E51" s="13">
        <v>0</v>
      </c>
      <c r="F51" s="13">
        <v>0</v>
      </c>
      <c r="G51" s="26">
        <v>24000</v>
      </c>
      <c r="H51" s="26">
        <v>48000</v>
      </c>
      <c r="I51" s="26">
        <v>44000</v>
      </c>
      <c r="J51" s="26">
        <v>24000</v>
      </c>
      <c r="K51" s="26">
        <v>72000</v>
      </c>
    </row>
    <row r="52" spans="3:12" x14ac:dyDescent="0.2">
      <c r="C52" t="s">
        <v>578</v>
      </c>
      <c r="E52" s="13">
        <v>168000</v>
      </c>
      <c r="F52" s="13">
        <v>168000</v>
      </c>
      <c r="G52" s="26">
        <v>144000</v>
      </c>
      <c r="H52" s="26">
        <v>408000</v>
      </c>
      <c r="I52" s="26">
        <v>236000</v>
      </c>
      <c r="J52" s="26">
        <v>220001</v>
      </c>
      <c r="K52" s="26">
        <v>288000</v>
      </c>
    </row>
    <row r="53" spans="3:12" x14ac:dyDescent="0.2">
      <c r="C53" t="s">
        <v>227</v>
      </c>
      <c r="D53" t="s">
        <v>205</v>
      </c>
      <c r="E53" s="13">
        <v>0</v>
      </c>
      <c r="F53" s="13">
        <v>0</v>
      </c>
      <c r="G53" s="26">
        <v>0</v>
      </c>
      <c r="H53" s="26">
        <v>0</v>
      </c>
      <c r="I53" s="26">
        <v>80</v>
      </c>
      <c r="J53" s="26">
        <v>0</v>
      </c>
      <c r="K53" s="26">
        <v>0</v>
      </c>
    </row>
    <row r="54" spans="3:12" x14ac:dyDescent="0.2">
      <c r="D54" t="s">
        <v>233</v>
      </c>
      <c r="E54" s="13">
        <v>788000</v>
      </c>
      <c r="F54" s="13">
        <v>788000</v>
      </c>
      <c r="G54" s="26">
        <v>1004000</v>
      </c>
      <c r="H54" s="26">
        <v>1527600</v>
      </c>
      <c r="I54" s="26">
        <v>1509200</v>
      </c>
      <c r="J54" s="26">
        <v>1200000</v>
      </c>
      <c r="K54" s="26">
        <v>1462600</v>
      </c>
    </row>
    <row r="55" spans="3:12" x14ac:dyDescent="0.2">
      <c r="D55" t="s">
        <v>240</v>
      </c>
      <c r="E55" s="13">
        <v>0</v>
      </c>
      <c r="F55" s="13">
        <v>0</v>
      </c>
      <c r="G55" s="26">
        <v>24000</v>
      </c>
      <c r="H55" s="26">
        <v>0</v>
      </c>
      <c r="I55" s="26">
        <v>23960</v>
      </c>
      <c r="J55" s="26">
        <v>0</v>
      </c>
      <c r="K55" s="26">
        <v>72000</v>
      </c>
    </row>
    <row r="56" spans="3:12" x14ac:dyDescent="0.2">
      <c r="D56" t="s">
        <v>37</v>
      </c>
      <c r="E56" s="13">
        <v>0</v>
      </c>
      <c r="F56" s="13">
        <v>0</v>
      </c>
      <c r="G56" s="26">
        <v>0</v>
      </c>
      <c r="H56" s="26">
        <v>0</v>
      </c>
      <c r="I56" s="26">
        <v>80</v>
      </c>
      <c r="J56" s="26">
        <v>0</v>
      </c>
      <c r="K56" s="26">
        <v>0</v>
      </c>
    </row>
    <row r="57" spans="3:12" x14ac:dyDescent="0.2">
      <c r="D57" t="s">
        <v>209</v>
      </c>
      <c r="E57" s="13">
        <v>298000</v>
      </c>
      <c r="F57" s="13">
        <v>274000</v>
      </c>
      <c r="G57" s="26">
        <v>192000</v>
      </c>
      <c r="H57" s="26">
        <v>234000</v>
      </c>
      <c r="I57" s="26">
        <v>260215</v>
      </c>
      <c r="J57" s="26">
        <v>168000</v>
      </c>
      <c r="K57" s="26">
        <v>296000</v>
      </c>
      <c r="L57" t="s">
        <v>585</v>
      </c>
    </row>
    <row r="58" spans="3:12" x14ac:dyDescent="0.2">
      <c r="D58" t="s">
        <v>266</v>
      </c>
      <c r="E58" s="13">
        <v>0</v>
      </c>
      <c r="F58" s="13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t="s">
        <v>585</v>
      </c>
    </row>
    <row r="59" spans="3:12" x14ac:dyDescent="0.2">
      <c r="D59" t="s">
        <v>247</v>
      </c>
      <c r="E59" s="13">
        <v>0</v>
      </c>
      <c r="F59" s="13">
        <v>0</v>
      </c>
      <c r="G59" s="26">
        <v>48000</v>
      </c>
      <c r="H59" s="26">
        <v>191000</v>
      </c>
      <c r="I59" s="26">
        <v>120000</v>
      </c>
      <c r="J59" s="26">
        <v>48000</v>
      </c>
      <c r="K59" s="26">
        <v>96000</v>
      </c>
    </row>
    <row r="60" spans="3:12" x14ac:dyDescent="0.2">
      <c r="D60" t="s">
        <v>253</v>
      </c>
      <c r="E60" s="13">
        <v>24000</v>
      </c>
      <c r="F60" s="13">
        <v>24000</v>
      </c>
      <c r="G60" s="26">
        <v>48000</v>
      </c>
      <c r="H60" s="26">
        <v>202000</v>
      </c>
      <c r="I60" s="26">
        <v>132000</v>
      </c>
      <c r="J60" s="26">
        <v>24000</v>
      </c>
      <c r="K60" s="26">
        <v>70500</v>
      </c>
    </row>
    <row r="61" spans="3:12" x14ac:dyDescent="0.2">
      <c r="D61" t="s">
        <v>76</v>
      </c>
      <c r="E61" s="13">
        <v>0</v>
      </c>
      <c r="F61" s="13">
        <v>0</v>
      </c>
      <c r="G61" s="26">
        <v>24000</v>
      </c>
      <c r="H61" s="26">
        <v>23700</v>
      </c>
      <c r="I61" s="26">
        <v>24000</v>
      </c>
      <c r="J61" s="26">
        <v>24000</v>
      </c>
      <c r="K61" s="26">
        <v>0</v>
      </c>
    </row>
    <row r="62" spans="3:12" x14ac:dyDescent="0.2">
      <c r="D62" t="s">
        <v>217</v>
      </c>
      <c r="E62" s="13">
        <v>6000</v>
      </c>
      <c r="F62" s="13">
        <v>6000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</row>
    <row r="63" spans="3:12" x14ac:dyDescent="0.2">
      <c r="C63" t="s">
        <v>579</v>
      </c>
      <c r="E63" s="13">
        <v>1116000</v>
      </c>
      <c r="F63" s="13">
        <v>1092000</v>
      </c>
      <c r="G63" s="26">
        <v>1340000</v>
      </c>
      <c r="H63" s="26">
        <v>2178300</v>
      </c>
      <c r="I63" s="26">
        <v>2069535</v>
      </c>
      <c r="J63" s="26">
        <v>1464000</v>
      </c>
      <c r="K63" s="26">
        <v>1997100</v>
      </c>
    </row>
    <row r="64" spans="3:12" x14ac:dyDescent="0.2">
      <c r="C64" t="s">
        <v>587</v>
      </c>
      <c r="D64" t="s">
        <v>593</v>
      </c>
      <c r="E64" s="13">
        <v>42000</v>
      </c>
      <c r="F64" s="13">
        <v>36000</v>
      </c>
      <c r="G64" s="26">
        <v>0</v>
      </c>
      <c r="H64" s="26">
        <v>0</v>
      </c>
      <c r="I64" s="26">
        <v>18000</v>
      </c>
      <c r="J64" s="26">
        <v>18000</v>
      </c>
      <c r="K64" s="26">
        <v>0</v>
      </c>
    </row>
    <row r="65" spans="2:11" x14ac:dyDescent="0.2">
      <c r="C65" t="s">
        <v>625</v>
      </c>
      <c r="E65" s="13">
        <v>42000</v>
      </c>
      <c r="F65" s="13">
        <v>36000</v>
      </c>
      <c r="G65" s="26">
        <v>0</v>
      </c>
      <c r="H65" s="26">
        <v>0</v>
      </c>
      <c r="I65" s="26">
        <v>18000</v>
      </c>
      <c r="J65" s="26">
        <v>18000</v>
      </c>
      <c r="K65" s="26">
        <v>0</v>
      </c>
    </row>
    <row r="66" spans="2:11" x14ac:dyDescent="0.2">
      <c r="B66" t="s">
        <v>427</v>
      </c>
      <c r="E66" s="13">
        <v>4402617</v>
      </c>
      <c r="F66" s="13">
        <v>4276617</v>
      </c>
      <c r="G66" s="26">
        <v>3723350</v>
      </c>
      <c r="H66" s="26">
        <v>5434741</v>
      </c>
      <c r="I66" s="26">
        <v>5355978</v>
      </c>
      <c r="J66" s="26">
        <v>4226281</v>
      </c>
      <c r="K66" s="26">
        <v>4971059</v>
      </c>
    </row>
    <row r="67" spans="2:11" x14ac:dyDescent="0.2">
      <c r="B67" t="s">
        <v>7</v>
      </c>
      <c r="C67" t="s">
        <v>6</v>
      </c>
      <c r="D67" t="s">
        <v>8</v>
      </c>
      <c r="E67" s="13">
        <v>192000</v>
      </c>
      <c r="F67" s="13">
        <v>192000</v>
      </c>
      <c r="G67" s="26">
        <v>48000</v>
      </c>
      <c r="H67" s="26">
        <v>168000</v>
      </c>
      <c r="I67" s="26">
        <v>288000</v>
      </c>
      <c r="J67" s="26">
        <v>240000</v>
      </c>
      <c r="K67" s="26">
        <v>240000</v>
      </c>
    </row>
    <row r="68" spans="2:11" x14ac:dyDescent="0.2">
      <c r="D68" t="s">
        <v>11</v>
      </c>
      <c r="E68" s="13">
        <v>360000</v>
      </c>
      <c r="F68" s="13">
        <v>360000</v>
      </c>
      <c r="G68" s="26">
        <v>216000</v>
      </c>
      <c r="H68" s="26">
        <v>239994</v>
      </c>
      <c r="I68" s="26">
        <v>312000</v>
      </c>
      <c r="J68" s="26">
        <v>480000</v>
      </c>
      <c r="K68" s="26">
        <v>432000</v>
      </c>
    </row>
    <row r="69" spans="2:11" x14ac:dyDescent="0.2">
      <c r="D69" t="s">
        <v>76</v>
      </c>
      <c r="E69" s="13">
        <v>6240</v>
      </c>
      <c r="F69" s="13">
        <v>6240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</row>
    <row r="70" spans="2:11" x14ac:dyDescent="0.2">
      <c r="C70" t="s">
        <v>577</v>
      </c>
      <c r="E70" s="13">
        <v>558240</v>
      </c>
      <c r="F70" s="13">
        <v>558240</v>
      </c>
      <c r="G70" s="26">
        <v>264000</v>
      </c>
      <c r="H70" s="26">
        <v>407994</v>
      </c>
      <c r="I70" s="26">
        <v>600000</v>
      </c>
      <c r="J70" s="26">
        <v>720000</v>
      </c>
      <c r="K70" s="26">
        <v>672000</v>
      </c>
    </row>
    <row r="71" spans="2:11" x14ac:dyDescent="0.2">
      <c r="C71" t="s">
        <v>204</v>
      </c>
      <c r="D71" t="s">
        <v>212</v>
      </c>
      <c r="E71" s="13">
        <v>0</v>
      </c>
      <c r="F71" s="13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</row>
    <row r="72" spans="2:11" x14ac:dyDescent="0.2">
      <c r="C72" t="s">
        <v>578</v>
      </c>
      <c r="E72" s="13">
        <v>0</v>
      </c>
      <c r="F72" s="13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</row>
    <row r="73" spans="2:11" x14ac:dyDescent="0.2">
      <c r="C73" t="s">
        <v>227</v>
      </c>
      <c r="D73" t="s">
        <v>209</v>
      </c>
      <c r="E73" s="13">
        <v>143990</v>
      </c>
      <c r="F73" s="13">
        <v>143990</v>
      </c>
      <c r="G73" s="26">
        <v>48000</v>
      </c>
      <c r="H73" s="26">
        <v>120000</v>
      </c>
      <c r="I73" s="26">
        <v>71990</v>
      </c>
      <c r="J73" s="26">
        <v>47990</v>
      </c>
      <c r="K73" s="26">
        <v>72000</v>
      </c>
    </row>
    <row r="74" spans="2:11" x14ac:dyDescent="0.2">
      <c r="C74" t="s">
        <v>579</v>
      </c>
      <c r="E74" s="13">
        <v>143990</v>
      </c>
      <c r="F74" s="13">
        <v>143990</v>
      </c>
      <c r="G74" s="26">
        <v>48000</v>
      </c>
      <c r="H74" s="26">
        <v>120000</v>
      </c>
      <c r="I74" s="26">
        <v>71990</v>
      </c>
      <c r="J74" s="26">
        <v>47990</v>
      </c>
      <c r="K74" s="26">
        <v>72000</v>
      </c>
    </row>
    <row r="75" spans="2:11" x14ac:dyDescent="0.2">
      <c r="B75" t="s">
        <v>428</v>
      </c>
      <c r="E75" s="13">
        <v>702230</v>
      </c>
      <c r="F75" s="13">
        <v>702230</v>
      </c>
      <c r="G75" s="26">
        <v>312000</v>
      </c>
      <c r="H75" s="26">
        <v>527994</v>
      </c>
      <c r="I75" s="26">
        <v>671990</v>
      </c>
      <c r="J75" s="26">
        <v>767990</v>
      </c>
      <c r="K75" s="26">
        <v>744000</v>
      </c>
    </row>
    <row r="76" spans="2:11" x14ac:dyDescent="0.2">
      <c r="B76" t="s">
        <v>350</v>
      </c>
      <c r="E76" s="13">
        <v>5104847</v>
      </c>
      <c r="F76" s="13">
        <v>4978847</v>
      </c>
      <c r="G76" s="26">
        <v>4035350</v>
      </c>
      <c r="H76" s="26">
        <v>5962735</v>
      </c>
      <c r="I76" s="26">
        <v>6027968</v>
      </c>
      <c r="J76" s="26">
        <v>4994271</v>
      </c>
      <c r="K76" s="26">
        <v>5715059</v>
      </c>
    </row>
  </sheetData>
  <mergeCells count="2">
    <mergeCell ref="B14:C14"/>
    <mergeCell ref="B28:C28"/>
  </mergeCells>
  <pageMargins left="0.7" right="0.7" top="0.75" bottom="0.75" header="0.3" footer="0.3"/>
  <customProperties>
    <customPr name="_pios_id" r:id="rId4"/>
    <customPr name="IbpWorksheetKeyString_GUID" r:id="rId5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6AE4B-59FB-4ADD-AFCE-8EF1E493D9AB}">
  <dimension ref="A2:L330"/>
  <sheetViews>
    <sheetView topLeftCell="A66" zoomScale="60" zoomScaleNormal="60" workbookViewId="0">
      <selection activeCell="A8" sqref="A8:A96"/>
    </sheetView>
  </sheetViews>
  <sheetFormatPr baseColWidth="10" defaultRowHeight="15" x14ac:dyDescent="0.2"/>
  <cols>
    <col min="1" max="1" width="27.6640625" bestFit="1" customWidth="1"/>
    <col min="2" max="2" width="22.33203125" bestFit="1" customWidth="1"/>
    <col min="3" max="3" width="10.1640625" bestFit="1" customWidth="1"/>
    <col min="4" max="4" width="25.83203125" bestFit="1" customWidth="1"/>
    <col min="5" max="5" width="8.83203125" bestFit="1" customWidth="1"/>
    <col min="6" max="6" width="10.1640625" bestFit="1" customWidth="1"/>
    <col min="7" max="7" width="11.6640625" bestFit="1" customWidth="1"/>
    <col min="8" max="10" width="10.1640625" bestFit="1" customWidth="1"/>
    <col min="11" max="11" width="24" bestFit="1" customWidth="1"/>
    <col min="12" max="12" width="20.33203125" bestFit="1" customWidth="1"/>
    <col min="13" max="14" width="27.1640625" bestFit="1" customWidth="1"/>
    <col min="15" max="16" width="11.6640625" bestFit="1" customWidth="1"/>
  </cols>
  <sheetData>
    <row r="2" spans="1:12" x14ac:dyDescent="0.2">
      <c r="K2" s="10" t="s">
        <v>355</v>
      </c>
      <c r="L2" t="s">
        <v>356</v>
      </c>
    </row>
    <row r="3" spans="1:12" x14ac:dyDescent="0.2">
      <c r="K3" s="10" t="s">
        <v>357</v>
      </c>
      <c r="L3" t="s">
        <v>358</v>
      </c>
    </row>
    <row r="4" spans="1:12" x14ac:dyDescent="0.2">
      <c r="B4" s="10" t="s">
        <v>355</v>
      </c>
      <c r="C4" t="s">
        <v>356</v>
      </c>
      <c r="K4" s="10" t="s">
        <v>1</v>
      </c>
      <c r="L4" t="s">
        <v>361</v>
      </c>
    </row>
    <row r="6" spans="1:12" x14ac:dyDescent="0.2">
      <c r="B6" s="10" t="s">
        <v>351</v>
      </c>
      <c r="D6" s="10" t="s">
        <v>357</v>
      </c>
      <c r="K6" s="10" t="s">
        <v>368</v>
      </c>
      <c r="L6" t="s">
        <v>351</v>
      </c>
    </row>
    <row r="7" spans="1:12" x14ac:dyDescent="0.2">
      <c r="A7" s="12" t="s">
        <v>360</v>
      </c>
      <c r="B7" s="10" t="s">
        <v>1</v>
      </c>
      <c r="C7" s="10" t="s">
        <v>4</v>
      </c>
      <c r="D7" t="s">
        <v>358</v>
      </c>
      <c r="E7" t="s">
        <v>359</v>
      </c>
      <c r="F7" t="s">
        <v>349</v>
      </c>
      <c r="G7" t="s">
        <v>350</v>
      </c>
      <c r="K7">
        <v>40307554</v>
      </c>
      <c r="L7" s="13">
        <v>24000</v>
      </c>
    </row>
    <row r="8" spans="1:12" x14ac:dyDescent="0.2">
      <c r="A8" t="str">
        <f>B8&amp;C8</f>
        <v>AGRO SUDAMERICA1010877</v>
      </c>
      <c r="B8" t="s">
        <v>352</v>
      </c>
      <c r="C8">
        <v>1010877</v>
      </c>
      <c r="D8" s="13"/>
      <c r="E8" s="13">
        <v>49060</v>
      </c>
      <c r="F8" s="13"/>
      <c r="G8" s="13">
        <v>49060</v>
      </c>
      <c r="K8">
        <v>40310589</v>
      </c>
      <c r="L8" s="13">
        <v>24000</v>
      </c>
    </row>
    <row r="9" spans="1:12" x14ac:dyDescent="0.2">
      <c r="A9" t="str">
        <f t="shared" ref="A9:A72" si="0">B9&amp;C9</f>
        <v>AGRO SUDAMERICA1011421</v>
      </c>
      <c r="B9" t="s">
        <v>352</v>
      </c>
      <c r="C9">
        <v>1011421</v>
      </c>
      <c r="D9" s="13"/>
      <c r="E9" s="13">
        <v>262770.78999999998</v>
      </c>
      <c r="F9" s="13"/>
      <c r="G9" s="13">
        <v>262770.78999999998</v>
      </c>
      <c r="K9">
        <v>40310641</v>
      </c>
      <c r="L9" s="13">
        <v>24000</v>
      </c>
    </row>
    <row r="10" spans="1:12" x14ac:dyDescent="0.2">
      <c r="A10" t="str">
        <f t="shared" si="0"/>
        <v>AGRO SUDAMERICA1011558</v>
      </c>
      <c r="B10" t="s">
        <v>352</v>
      </c>
      <c r="C10">
        <v>1011558</v>
      </c>
      <c r="D10" s="13">
        <v>24000</v>
      </c>
      <c r="E10" s="13">
        <v>23997.09</v>
      </c>
      <c r="F10" s="13"/>
      <c r="G10" s="13">
        <v>47997.09</v>
      </c>
      <c r="K10">
        <v>40313447</v>
      </c>
      <c r="L10" s="13">
        <v>24000</v>
      </c>
    </row>
    <row r="11" spans="1:12" x14ac:dyDescent="0.2">
      <c r="A11" t="str">
        <f t="shared" si="0"/>
        <v>AGRO SUDAMERICA1011582</v>
      </c>
      <c r="B11" t="s">
        <v>352</v>
      </c>
      <c r="C11">
        <v>1011582</v>
      </c>
      <c r="D11" s="13"/>
      <c r="E11" s="13">
        <v>20960.690000000002</v>
      </c>
      <c r="F11" s="13"/>
      <c r="G11" s="13">
        <v>20960.690000000002</v>
      </c>
      <c r="K11">
        <v>40315840</v>
      </c>
      <c r="L11" s="13">
        <v>24000</v>
      </c>
    </row>
    <row r="12" spans="1:12" x14ac:dyDescent="0.2">
      <c r="A12" t="str">
        <f t="shared" si="0"/>
        <v>AGRO SUDAMERICA1012283</v>
      </c>
      <c r="B12" t="s">
        <v>352</v>
      </c>
      <c r="C12">
        <v>1012283</v>
      </c>
      <c r="D12" s="13">
        <v>24000</v>
      </c>
      <c r="E12" s="13"/>
      <c r="F12" s="13"/>
      <c r="G12" s="13">
        <v>24000</v>
      </c>
      <c r="K12">
        <v>40315841</v>
      </c>
      <c r="L12" s="13">
        <v>24000</v>
      </c>
    </row>
    <row r="13" spans="1:12" x14ac:dyDescent="0.2">
      <c r="A13" t="str">
        <f t="shared" si="0"/>
        <v>AGRO SUDAMERICA1012556</v>
      </c>
      <c r="B13" t="s">
        <v>352</v>
      </c>
      <c r="C13">
        <v>1012556</v>
      </c>
      <c r="D13" s="13"/>
      <c r="E13" s="13">
        <v>23719.29</v>
      </c>
      <c r="F13" s="13"/>
      <c r="G13" s="13">
        <v>23719.29</v>
      </c>
      <c r="K13">
        <v>40316474</v>
      </c>
      <c r="L13" s="13">
        <v>24000</v>
      </c>
    </row>
    <row r="14" spans="1:12" x14ac:dyDescent="0.2">
      <c r="A14" t="str">
        <f t="shared" si="0"/>
        <v>AGRO SUDAMERICA1012719</v>
      </c>
      <c r="B14" t="s">
        <v>352</v>
      </c>
      <c r="C14">
        <v>1012719</v>
      </c>
      <c r="D14" s="13">
        <v>72000</v>
      </c>
      <c r="E14" s="13">
        <v>96005.81</v>
      </c>
      <c r="F14" s="13"/>
      <c r="G14" s="13">
        <v>168005.81</v>
      </c>
      <c r="K14">
        <v>40316887</v>
      </c>
      <c r="L14" s="13">
        <v>24000</v>
      </c>
    </row>
    <row r="15" spans="1:12" x14ac:dyDescent="0.2">
      <c r="A15" t="str">
        <f t="shared" si="0"/>
        <v>AGRO SUDAMERICA1012763</v>
      </c>
      <c r="B15" t="s">
        <v>352</v>
      </c>
      <c r="C15">
        <v>1012763</v>
      </c>
      <c r="D15" s="13">
        <v>24000</v>
      </c>
      <c r="E15" s="13">
        <v>47983.850000000006</v>
      </c>
      <c r="F15" s="13"/>
      <c r="G15" s="13">
        <v>71983.850000000006</v>
      </c>
      <c r="K15">
        <v>40317928</v>
      </c>
      <c r="L15" s="13">
        <v>24000</v>
      </c>
    </row>
    <row r="16" spans="1:12" x14ac:dyDescent="0.2">
      <c r="A16" t="str">
        <f t="shared" si="0"/>
        <v>AGRO SUDAMERICA1012778</v>
      </c>
      <c r="B16" t="s">
        <v>352</v>
      </c>
      <c r="C16">
        <v>1012778</v>
      </c>
      <c r="D16" s="13"/>
      <c r="E16" s="13">
        <v>24000.85</v>
      </c>
      <c r="F16" s="13"/>
      <c r="G16" s="13">
        <v>24000.85</v>
      </c>
      <c r="K16">
        <v>40321157</v>
      </c>
      <c r="L16" s="13">
        <v>24000</v>
      </c>
    </row>
    <row r="17" spans="1:12" x14ac:dyDescent="0.2">
      <c r="A17" t="str">
        <f t="shared" si="0"/>
        <v>AGRO SUDAMERICA1020412</v>
      </c>
      <c r="B17" t="s">
        <v>352</v>
      </c>
      <c r="C17">
        <v>1020412</v>
      </c>
      <c r="D17" s="13"/>
      <c r="E17" s="13">
        <v>48026.5</v>
      </c>
      <c r="F17" s="13"/>
      <c r="G17" s="13">
        <v>48026.5</v>
      </c>
      <c r="K17">
        <v>40322011</v>
      </c>
      <c r="L17" s="13">
        <v>24000</v>
      </c>
    </row>
    <row r="18" spans="1:12" x14ac:dyDescent="0.2">
      <c r="A18" t="str">
        <f t="shared" si="0"/>
        <v>AGRO SUDAMERICA1020944</v>
      </c>
      <c r="B18" t="s">
        <v>352</v>
      </c>
      <c r="C18">
        <v>1020944</v>
      </c>
      <c r="D18" s="13">
        <v>48000</v>
      </c>
      <c r="E18" s="13">
        <v>191928.1</v>
      </c>
      <c r="F18" s="13"/>
      <c r="G18" s="13">
        <v>239928.1</v>
      </c>
      <c r="K18">
        <v>40322055</v>
      </c>
      <c r="L18" s="13">
        <v>24000</v>
      </c>
    </row>
    <row r="19" spans="1:12" x14ac:dyDescent="0.2">
      <c r="A19" t="str">
        <f t="shared" si="0"/>
        <v>AGRO SUDAMERICA1021023</v>
      </c>
      <c r="B19" t="s">
        <v>352</v>
      </c>
      <c r="C19">
        <v>1021023</v>
      </c>
      <c r="D19" s="13"/>
      <c r="E19" s="13">
        <v>71975.34</v>
      </c>
      <c r="F19" s="13"/>
      <c r="G19" s="13">
        <v>71975.34</v>
      </c>
      <c r="K19">
        <v>40322118</v>
      </c>
      <c r="L19" s="13">
        <v>24000</v>
      </c>
    </row>
    <row r="20" spans="1:12" x14ac:dyDescent="0.2">
      <c r="A20" t="str">
        <f t="shared" si="0"/>
        <v>AGRO SUDAMERICA1021092</v>
      </c>
      <c r="B20" t="s">
        <v>352</v>
      </c>
      <c r="C20">
        <v>1021092</v>
      </c>
      <c r="D20" s="13"/>
      <c r="E20" s="13">
        <v>47985.850000000006</v>
      </c>
      <c r="F20" s="13"/>
      <c r="G20" s="13">
        <v>47985.850000000006</v>
      </c>
      <c r="K20">
        <v>40322189</v>
      </c>
      <c r="L20" s="13">
        <v>24000</v>
      </c>
    </row>
    <row r="21" spans="1:12" x14ac:dyDescent="0.2">
      <c r="A21" t="str">
        <f t="shared" si="0"/>
        <v>AGRO SUDAMERICA1021105</v>
      </c>
      <c r="B21" t="s">
        <v>352</v>
      </c>
      <c r="C21">
        <v>1021105</v>
      </c>
      <c r="D21" s="13"/>
      <c r="E21" s="13">
        <v>23987.79</v>
      </c>
      <c r="F21" s="13"/>
      <c r="G21" s="13">
        <v>23987.79</v>
      </c>
      <c r="K21">
        <v>40322294</v>
      </c>
      <c r="L21" s="13">
        <v>24000</v>
      </c>
    </row>
    <row r="22" spans="1:12" x14ac:dyDescent="0.2">
      <c r="A22" t="str">
        <f t="shared" si="0"/>
        <v>AGRO SUDAMERICA1021187</v>
      </c>
      <c r="B22" t="s">
        <v>352</v>
      </c>
      <c r="C22">
        <v>1021187</v>
      </c>
      <c r="D22" s="13"/>
      <c r="E22" s="13">
        <v>23993.5</v>
      </c>
      <c r="F22" s="13"/>
      <c r="G22" s="13">
        <v>23993.5</v>
      </c>
      <c r="K22">
        <v>40322748</v>
      </c>
      <c r="L22" s="13">
        <v>24000</v>
      </c>
    </row>
    <row r="23" spans="1:12" x14ac:dyDescent="0.2">
      <c r="A23" t="str">
        <f t="shared" si="0"/>
        <v>AGRO SUDAMERICA1021263</v>
      </c>
      <c r="B23" t="s">
        <v>352</v>
      </c>
      <c r="C23">
        <v>1021263</v>
      </c>
      <c r="D23" s="13"/>
      <c r="E23" s="13">
        <v>21702.59</v>
      </c>
      <c r="F23" s="13"/>
      <c r="G23" s="13">
        <v>21702.59</v>
      </c>
      <c r="K23">
        <v>40322760</v>
      </c>
      <c r="L23" s="13">
        <v>24000</v>
      </c>
    </row>
    <row r="24" spans="1:12" x14ac:dyDescent="0.2">
      <c r="A24" t="str">
        <f t="shared" si="0"/>
        <v>AGRO SUDAMERICA1021385</v>
      </c>
      <c r="B24" t="s">
        <v>352</v>
      </c>
      <c r="C24">
        <v>1021385</v>
      </c>
      <c r="D24" s="13"/>
      <c r="E24" s="13">
        <v>47996.89</v>
      </c>
      <c r="F24" s="13"/>
      <c r="G24" s="13">
        <v>47996.89</v>
      </c>
      <c r="K24">
        <v>40323188</v>
      </c>
      <c r="L24" s="13">
        <v>24000</v>
      </c>
    </row>
    <row r="25" spans="1:12" x14ac:dyDescent="0.2">
      <c r="A25" t="str">
        <f t="shared" si="0"/>
        <v>AGRO SUDAMERICA1021622</v>
      </c>
      <c r="B25" t="s">
        <v>352</v>
      </c>
      <c r="C25">
        <v>1021622</v>
      </c>
      <c r="D25" s="13"/>
      <c r="E25" s="13">
        <v>110</v>
      </c>
      <c r="F25" s="13"/>
      <c r="G25" s="13">
        <v>110</v>
      </c>
      <c r="K25">
        <v>40323757</v>
      </c>
      <c r="L25" s="13">
        <v>24000</v>
      </c>
    </row>
    <row r="26" spans="1:12" x14ac:dyDescent="0.2">
      <c r="A26" t="str">
        <f t="shared" si="0"/>
        <v>AGRO SUDAMERICA1021623</v>
      </c>
      <c r="B26" t="s">
        <v>352</v>
      </c>
      <c r="C26">
        <v>1021623</v>
      </c>
      <c r="D26" s="13"/>
      <c r="E26" s="13">
        <v>530</v>
      </c>
      <c r="F26" s="13"/>
      <c r="G26" s="13">
        <v>530</v>
      </c>
      <c r="K26">
        <v>40324200</v>
      </c>
      <c r="L26" s="13">
        <v>24000</v>
      </c>
    </row>
    <row r="27" spans="1:12" x14ac:dyDescent="0.2">
      <c r="A27" t="str">
        <f t="shared" si="0"/>
        <v>AGRO SUDAMERICA1021639</v>
      </c>
      <c r="B27" t="s">
        <v>352</v>
      </c>
      <c r="C27">
        <v>1021639</v>
      </c>
      <c r="D27" s="13"/>
      <c r="E27" s="13">
        <v>19110</v>
      </c>
      <c r="F27" s="13"/>
      <c r="G27" s="13">
        <v>19110</v>
      </c>
      <c r="K27">
        <v>40324212</v>
      </c>
      <c r="L27" s="13">
        <v>24000</v>
      </c>
    </row>
    <row r="28" spans="1:12" x14ac:dyDescent="0.2">
      <c r="A28" t="str">
        <f t="shared" si="0"/>
        <v>AGRO SUDAMERICA1021976</v>
      </c>
      <c r="B28" t="s">
        <v>352</v>
      </c>
      <c r="C28">
        <v>1021976</v>
      </c>
      <c r="D28" s="13">
        <v>24000</v>
      </c>
      <c r="E28" s="13">
        <v>47934.94</v>
      </c>
      <c r="F28" s="13"/>
      <c r="G28" s="13">
        <v>71934.94</v>
      </c>
      <c r="K28">
        <v>40324484</v>
      </c>
      <c r="L28" s="13">
        <v>24000</v>
      </c>
    </row>
    <row r="29" spans="1:12" x14ac:dyDescent="0.2">
      <c r="A29" t="str">
        <f t="shared" si="0"/>
        <v>AGRO SUDAMERICA1022384</v>
      </c>
      <c r="B29" t="s">
        <v>352</v>
      </c>
      <c r="C29">
        <v>1022384</v>
      </c>
      <c r="D29" s="13"/>
      <c r="E29" s="13">
        <v>609.66999999999996</v>
      </c>
      <c r="F29" s="13"/>
      <c r="G29" s="13">
        <v>609.66999999999996</v>
      </c>
      <c r="K29">
        <v>40324489</v>
      </c>
      <c r="L29" s="13">
        <v>24000</v>
      </c>
    </row>
    <row r="30" spans="1:12" x14ac:dyDescent="0.2">
      <c r="A30" t="str">
        <f t="shared" si="0"/>
        <v>AGRO SUDAMERICA1022709</v>
      </c>
      <c r="B30" t="s">
        <v>352</v>
      </c>
      <c r="C30">
        <v>1022709</v>
      </c>
      <c r="D30" s="13">
        <v>24000</v>
      </c>
      <c r="E30" s="13"/>
      <c r="F30" s="13"/>
      <c r="G30" s="13">
        <v>24000</v>
      </c>
      <c r="K30">
        <v>40324549</v>
      </c>
      <c r="L30" s="13">
        <v>25000</v>
      </c>
    </row>
    <row r="31" spans="1:12" x14ac:dyDescent="0.2">
      <c r="A31" t="str">
        <f t="shared" si="0"/>
        <v>AGRO SUDAMERICA1030224</v>
      </c>
      <c r="B31" t="s">
        <v>352</v>
      </c>
      <c r="C31">
        <v>1030224</v>
      </c>
      <c r="D31" s="13"/>
      <c r="E31" s="13">
        <v>0</v>
      </c>
      <c r="F31" s="13"/>
      <c r="G31" s="13">
        <v>0</v>
      </c>
      <c r="K31">
        <v>40324550</v>
      </c>
      <c r="L31" s="13">
        <v>25000</v>
      </c>
    </row>
    <row r="32" spans="1:12" x14ac:dyDescent="0.2">
      <c r="A32" t="str">
        <f t="shared" si="0"/>
        <v>AGRO SUDAMERICA1030670</v>
      </c>
      <c r="B32" t="s">
        <v>352</v>
      </c>
      <c r="C32">
        <v>1030670</v>
      </c>
      <c r="D32" s="13"/>
      <c r="E32" s="13">
        <v>24000</v>
      </c>
      <c r="F32" s="13"/>
      <c r="G32" s="13">
        <v>24000</v>
      </c>
      <c r="K32">
        <v>40324551</v>
      </c>
      <c r="L32" s="13">
        <v>25000</v>
      </c>
    </row>
    <row r="33" spans="1:12" x14ac:dyDescent="0.2">
      <c r="A33" t="str">
        <f t="shared" si="0"/>
        <v>AGROSUPER ASIA1012612</v>
      </c>
      <c r="B33" t="s">
        <v>353</v>
      </c>
      <c r="C33">
        <v>1012612</v>
      </c>
      <c r="D33" s="13">
        <v>125000</v>
      </c>
      <c r="E33" s="13">
        <v>196736.41999999998</v>
      </c>
      <c r="F33" s="13"/>
      <c r="G33" s="13">
        <v>321736.42</v>
      </c>
      <c r="K33">
        <v>40324552</v>
      </c>
      <c r="L33" s="13">
        <v>25000</v>
      </c>
    </row>
    <row r="34" spans="1:12" x14ac:dyDescent="0.2">
      <c r="A34" t="str">
        <f t="shared" si="0"/>
        <v>AGROSUPER ASIA1021012</v>
      </c>
      <c r="B34" t="s">
        <v>353</v>
      </c>
      <c r="C34">
        <v>1021012</v>
      </c>
      <c r="D34" s="13"/>
      <c r="E34" s="13">
        <v>66041.259999999995</v>
      </c>
      <c r="F34" s="13"/>
      <c r="G34" s="13">
        <v>66041.259999999995</v>
      </c>
      <c r="K34">
        <v>40324553</v>
      </c>
      <c r="L34" s="13">
        <v>25000</v>
      </c>
    </row>
    <row r="35" spans="1:12" x14ac:dyDescent="0.2">
      <c r="A35" t="str">
        <f t="shared" si="0"/>
        <v>AGROSUPER ASIA1021149</v>
      </c>
      <c r="B35" t="s">
        <v>353</v>
      </c>
      <c r="C35">
        <v>1021149</v>
      </c>
      <c r="D35" s="13"/>
      <c r="E35" s="13">
        <v>21936</v>
      </c>
      <c r="F35" s="13"/>
      <c r="G35" s="13">
        <v>21936</v>
      </c>
      <c r="K35">
        <v>40324981</v>
      </c>
      <c r="L35" s="13">
        <v>24000</v>
      </c>
    </row>
    <row r="36" spans="1:12" x14ac:dyDescent="0.2">
      <c r="A36" t="str">
        <f t="shared" si="0"/>
        <v>AGROSUPER ASIA1021150</v>
      </c>
      <c r="B36" t="s">
        <v>353</v>
      </c>
      <c r="C36">
        <v>1021150</v>
      </c>
      <c r="D36" s="13"/>
      <c r="E36" s="13">
        <v>22000</v>
      </c>
      <c r="F36" s="13"/>
      <c r="G36" s="13">
        <v>22000</v>
      </c>
      <c r="K36">
        <v>40325012</v>
      </c>
      <c r="L36" s="13">
        <v>22000</v>
      </c>
    </row>
    <row r="37" spans="1:12" x14ac:dyDescent="0.2">
      <c r="A37" t="str">
        <f t="shared" si="0"/>
        <v>AGROSUPER ASIA1021664</v>
      </c>
      <c r="B37" t="s">
        <v>353</v>
      </c>
      <c r="C37">
        <v>1021664</v>
      </c>
      <c r="D37" s="13"/>
      <c r="E37" s="13">
        <v>22018.31</v>
      </c>
      <c r="F37" s="13"/>
      <c r="G37" s="13">
        <v>22018.31</v>
      </c>
      <c r="K37">
        <v>40325013</v>
      </c>
      <c r="L37" s="13">
        <v>22000</v>
      </c>
    </row>
    <row r="38" spans="1:12" x14ac:dyDescent="0.2">
      <c r="A38" t="str">
        <f t="shared" si="0"/>
        <v>AGROSUPER ASIA1022607</v>
      </c>
      <c r="B38" t="s">
        <v>353</v>
      </c>
      <c r="C38">
        <v>1022607</v>
      </c>
      <c r="D38" s="13"/>
      <c r="E38" s="13">
        <v>22006.07</v>
      </c>
      <c r="F38" s="13"/>
      <c r="G38" s="13">
        <v>22006.07</v>
      </c>
      <c r="K38">
        <v>40325152</v>
      </c>
      <c r="L38" s="13">
        <v>22000</v>
      </c>
    </row>
    <row r="39" spans="1:12" x14ac:dyDescent="0.2">
      <c r="A39" t="str">
        <f t="shared" si="0"/>
        <v>AGROSUPER ASIA1022885</v>
      </c>
      <c r="B39" t="s">
        <v>353</v>
      </c>
      <c r="C39">
        <v>1022885</v>
      </c>
      <c r="D39" s="13">
        <v>44000</v>
      </c>
      <c r="E39" s="13">
        <v>132083.03999999998</v>
      </c>
      <c r="F39" s="13"/>
      <c r="G39" s="13">
        <v>176083.03999999998</v>
      </c>
    </row>
    <row r="40" spans="1:12" x14ac:dyDescent="0.2">
      <c r="A40" t="str">
        <f t="shared" si="0"/>
        <v>AGROSUPER ASIA1022887</v>
      </c>
      <c r="B40" t="s">
        <v>353</v>
      </c>
      <c r="C40">
        <v>1022887</v>
      </c>
      <c r="D40" s="13"/>
      <c r="E40" s="13">
        <v>132041.16</v>
      </c>
      <c r="F40" s="13"/>
      <c r="G40" s="13">
        <v>132041.16</v>
      </c>
    </row>
    <row r="41" spans="1:12" x14ac:dyDescent="0.2">
      <c r="A41" t="str">
        <f t="shared" si="0"/>
        <v>AGROSUPER ASIA1022930</v>
      </c>
      <c r="B41" t="s">
        <v>353</v>
      </c>
      <c r="C41">
        <v>1022930</v>
      </c>
      <c r="D41" s="13"/>
      <c r="E41" s="13">
        <v>22018.2</v>
      </c>
      <c r="F41" s="13"/>
      <c r="G41" s="13">
        <v>22018.2</v>
      </c>
    </row>
    <row r="42" spans="1:12" x14ac:dyDescent="0.2">
      <c r="A42" t="str">
        <f t="shared" si="0"/>
        <v>AGROSUPER ASIA1023037</v>
      </c>
      <c r="B42" t="s">
        <v>353</v>
      </c>
      <c r="C42">
        <v>1023037</v>
      </c>
      <c r="D42" s="13"/>
      <c r="E42" s="13">
        <v>44021.13</v>
      </c>
      <c r="F42" s="13"/>
      <c r="G42" s="13">
        <v>44021.13</v>
      </c>
    </row>
    <row r="43" spans="1:12" x14ac:dyDescent="0.2">
      <c r="A43" t="str">
        <f t="shared" si="0"/>
        <v>AGROSUPER ASIA1023038</v>
      </c>
      <c r="B43" t="s">
        <v>353</v>
      </c>
      <c r="C43">
        <v>1023038</v>
      </c>
      <c r="D43" s="13">
        <v>22000</v>
      </c>
      <c r="E43" s="13">
        <v>22029.41</v>
      </c>
      <c r="F43" s="13"/>
      <c r="G43" s="13">
        <v>44029.41</v>
      </c>
    </row>
    <row r="44" spans="1:12" x14ac:dyDescent="0.2">
      <c r="A44" t="str">
        <f t="shared" si="0"/>
        <v>AGROSUPER ASIA1023283</v>
      </c>
      <c r="B44" t="s">
        <v>353</v>
      </c>
      <c r="C44">
        <v>1023283</v>
      </c>
      <c r="D44" s="13">
        <v>24000</v>
      </c>
      <c r="E44" s="13">
        <v>0</v>
      </c>
      <c r="F44" s="13"/>
      <c r="G44" s="13">
        <v>24000</v>
      </c>
    </row>
    <row r="45" spans="1:12" x14ac:dyDescent="0.2">
      <c r="A45" t="str">
        <f t="shared" si="0"/>
        <v>AGROSUPER ASIA1023307</v>
      </c>
      <c r="B45" t="s">
        <v>353</v>
      </c>
      <c r="C45">
        <v>1023307</v>
      </c>
      <c r="D45" s="13"/>
      <c r="E45" s="13">
        <v>24000.99</v>
      </c>
      <c r="F45" s="13"/>
      <c r="G45" s="13">
        <v>24000.99</v>
      </c>
    </row>
    <row r="46" spans="1:12" x14ac:dyDescent="0.2">
      <c r="A46" t="str">
        <f t="shared" si="0"/>
        <v>AGROSUPER ASIA1030535</v>
      </c>
      <c r="B46" t="s">
        <v>353</v>
      </c>
      <c r="C46">
        <v>1030535</v>
      </c>
      <c r="D46" s="13"/>
      <c r="E46" s="13">
        <v>21997.33</v>
      </c>
      <c r="F46" s="13"/>
      <c r="G46" s="13">
        <v>21997.33</v>
      </c>
    </row>
    <row r="47" spans="1:12" x14ac:dyDescent="0.2">
      <c r="A47" t="str">
        <f t="shared" si="0"/>
        <v>AGROSUPER SHANGHAI1011586</v>
      </c>
      <c r="B47" t="s">
        <v>354</v>
      </c>
      <c r="C47">
        <v>1011586</v>
      </c>
      <c r="D47" s="13"/>
      <c r="E47" s="13">
        <v>39908</v>
      </c>
      <c r="F47" s="13"/>
      <c r="G47" s="13">
        <v>39908</v>
      </c>
    </row>
    <row r="48" spans="1:12" x14ac:dyDescent="0.2">
      <c r="A48" t="str">
        <f t="shared" si="0"/>
        <v>AGROSUPER SHANGHAI1011967</v>
      </c>
      <c r="B48" t="s">
        <v>354</v>
      </c>
      <c r="C48">
        <v>1011967</v>
      </c>
      <c r="D48" s="13"/>
      <c r="E48" s="13">
        <v>0</v>
      </c>
      <c r="F48" s="13"/>
      <c r="G48" s="13">
        <v>0</v>
      </c>
    </row>
    <row r="49" spans="1:7" x14ac:dyDescent="0.2">
      <c r="A49" t="str">
        <f t="shared" si="0"/>
        <v>AGROSUPER SHANGHAI1011969</v>
      </c>
      <c r="B49" t="s">
        <v>354</v>
      </c>
      <c r="C49">
        <v>1011969</v>
      </c>
      <c r="D49" s="13"/>
      <c r="E49" s="13">
        <v>24000</v>
      </c>
      <c r="F49" s="13"/>
      <c r="G49" s="13">
        <v>24000</v>
      </c>
    </row>
    <row r="50" spans="1:7" x14ac:dyDescent="0.2">
      <c r="A50" t="str">
        <f t="shared" si="0"/>
        <v>AGROSUPER SHANGHAI1012448</v>
      </c>
      <c r="B50" t="s">
        <v>354</v>
      </c>
      <c r="C50">
        <v>1012448</v>
      </c>
      <c r="D50" s="13"/>
      <c r="E50" s="13">
        <v>48000</v>
      </c>
      <c r="F50" s="13"/>
      <c r="G50" s="13">
        <v>48000</v>
      </c>
    </row>
    <row r="51" spans="1:7" x14ac:dyDescent="0.2">
      <c r="A51" t="str">
        <f t="shared" si="0"/>
        <v>AGROSUPER SHANGHAI1012451</v>
      </c>
      <c r="B51" t="s">
        <v>354</v>
      </c>
      <c r="C51">
        <v>1012451</v>
      </c>
      <c r="D51" s="13"/>
      <c r="E51" s="13">
        <v>21000</v>
      </c>
      <c r="F51" s="13"/>
      <c r="G51" s="13">
        <v>21000</v>
      </c>
    </row>
    <row r="52" spans="1:7" x14ac:dyDescent="0.2">
      <c r="A52" t="str">
        <f t="shared" si="0"/>
        <v>AGROSUPER SHANGHAI1012455</v>
      </c>
      <c r="B52" t="s">
        <v>354</v>
      </c>
      <c r="C52">
        <v>1012455</v>
      </c>
      <c r="D52" s="13"/>
      <c r="E52" s="13">
        <v>47580</v>
      </c>
      <c r="F52" s="13"/>
      <c r="G52" s="13">
        <v>47580</v>
      </c>
    </row>
    <row r="53" spans="1:7" x14ac:dyDescent="0.2">
      <c r="A53" t="str">
        <f t="shared" si="0"/>
        <v>AGROSUPER SHANGHAI1012503</v>
      </c>
      <c r="B53" t="s">
        <v>354</v>
      </c>
      <c r="C53">
        <v>1012503</v>
      </c>
      <c r="D53" s="13"/>
      <c r="E53" s="13">
        <v>24000</v>
      </c>
      <c r="F53" s="13"/>
      <c r="G53" s="13">
        <v>24000</v>
      </c>
    </row>
    <row r="54" spans="1:7" x14ac:dyDescent="0.2">
      <c r="A54" t="str">
        <f t="shared" si="0"/>
        <v>AGROSUPER SHANGHAI1012527</v>
      </c>
      <c r="B54" t="s">
        <v>354</v>
      </c>
      <c r="C54">
        <v>1012527</v>
      </c>
      <c r="D54" s="13"/>
      <c r="E54" s="13">
        <v>0</v>
      </c>
      <c r="F54" s="13"/>
      <c r="G54" s="13">
        <v>0</v>
      </c>
    </row>
    <row r="55" spans="1:7" x14ac:dyDescent="0.2">
      <c r="A55" t="str">
        <f t="shared" si="0"/>
        <v>AGROSUPER SHANGHAI1021115</v>
      </c>
      <c r="B55" t="s">
        <v>354</v>
      </c>
      <c r="C55">
        <v>1021115</v>
      </c>
      <c r="D55" s="13"/>
      <c r="E55" s="13">
        <v>23800</v>
      </c>
      <c r="F55" s="13"/>
      <c r="G55" s="13">
        <v>23800</v>
      </c>
    </row>
    <row r="56" spans="1:7" x14ac:dyDescent="0.2">
      <c r="A56" t="str">
        <f t="shared" si="0"/>
        <v>AGROSUPER SHANGHAI1021731</v>
      </c>
      <c r="B56" t="s">
        <v>354</v>
      </c>
      <c r="C56">
        <v>1021731</v>
      </c>
      <c r="D56" s="13"/>
      <c r="E56" s="13">
        <v>72120</v>
      </c>
      <c r="F56" s="13"/>
      <c r="G56" s="13">
        <v>72120</v>
      </c>
    </row>
    <row r="57" spans="1:7" x14ac:dyDescent="0.2">
      <c r="A57" t="str">
        <f t="shared" si="0"/>
        <v>AGROSUPER SHANGHAI1021732</v>
      </c>
      <c r="B57" t="s">
        <v>354</v>
      </c>
      <c r="C57">
        <v>1021732</v>
      </c>
      <c r="D57" s="13">
        <v>24000</v>
      </c>
      <c r="E57" s="13">
        <v>97000</v>
      </c>
      <c r="F57" s="13"/>
      <c r="G57" s="13">
        <v>121000</v>
      </c>
    </row>
    <row r="58" spans="1:7" x14ac:dyDescent="0.2">
      <c r="A58" t="str">
        <f t="shared" si="0"/>
        <v>AGROSUPER SHANGHAI1021735</v>
      </c>
      <c r="B58" t="s">
        <v>354</v>
      </c>
      <c r="C58">
        <v>1021735</v>
      </c>
      <c r="D58" s="13">
        <v>24000</v>
      </c>
      <c r="E58" s="13">
        <v>72140</v>
      </c>
      <c r="F58" s="13"/>
      <c r="G58" s="13">
        <v>96140</v>
      </c>
    </row>
    <row r="59" spans="1:7" x14ac:dyDescent="0.2">
      <c r="A59" t="str">
        <f t="shared" si="0"/>
        <v>AGROSUPER SHANGHAI1021738</v>
      </c>
      <c r="B59" t="s">
        <v>354</v>
      </c>
      <c r="C59">
        <v>1021738</v>
      </c>
      <c r="D59" s="13"/>
      <c r="E59" s="13">
        <v>24000</v>
      </c>
      <c r="F59" s="13"/>
      <c r="G59" s="13">
        <v>24000</v>
      </c>
    </row>
    <row r="60" spans="1:7" x14ac:dyDescent="0.2">
      <c r="A60" t="str">
        <f t="shared" si="0"/>
        <v>AGROSUPER SHANGHAI1021766</v>
      </c>
      <c r="B60" t="s">
        <v>354</v>
      </c>
      <c r="C60">
        <v>1021766</v>
      </c>
      <c r="D60" s="13"/>
      <c r="E60" s="13">
        <v>71496</v>
      </c>
      <c r="F60" s="13"/>
      <c r="G60" s="13">
        <v>71496</v>
      </c>
    </row>
    <row r="61" spans="1:7" x14ac:dyDescent="0.2">
      <c r="A61" t="str">
        <f t="shared" si="0"/>
        <v>AGROSUPER SHANGHAI1021767</v>
      </c>
      <c r="B61" t="s">
        <v>354</v>
      </c>
      <c r="C61">
        <v>1021767</v>
      </c>
      <c r="D61" s="13">
        <v>24000</v>
      </c>
      <c r="E61" s="13">
        <v>24102</v>
      </c>
      <c r="F61" s="13"/>
      <c r="G61" s="13">
        <v>48102</v>
      </c>
    </row>
    <row r="62" spans="1:7" x14ac:dyDescent="0.2">
      <c r="A62" t="str">
        <f t="shared" si="0"/>
        <v>AGROSUPER SHANGHAI1021774</v>
      </c>
      <c r="B62" t="s">
        <v>354</v>
      </c>
      <c r="C62">
        <v>1021774</v>
      </c>
      <c r="D62" s="13"/>
      <c r="E62" s="13">
        <v>24000</v>
      </c>
      <c r="F62" s="13"/>
      <c r="G62" s="13">
        <v>24000</v>
      </c>
    </row>
    <row r="63" spans="1:7" x14ac:dyDescent="0.2">
      <c r="A63" t="str">
        <f t="shared" si="0"/>
        <v>AGROSUPER SHANGHAI1021905</v>
      </c>
      <c r="B63" t="s">
        <v>354</v>
      </c>
      <c r="C63">
        <v>1021905</v>
      </c>
      <c r="D63" s="13"/>
      <c r="E63" s="13">
        <v>24002.62</v>
      </c>
      <c r="F63" s="13"/>
      <c r="G63" s="13">
        <v>24002.62</v>
      </c>
    </row>
    <row r="64" spans="1:7" x14ac:dyDescent="0.2">
      <c r="A64" t="str">
        <f t="shared" si="0"/>
        <v>AGROSUPER SHANGHAI1022080</v>
      </c>
      <c r="B64" t="s">
        <v>354</v>
      </c>
      <c r="C64">
        <v>1022080</v>
      </c>
      <c r="D64" s="13">
        <v>24000</v>
      </c>
      <c r="E64" s="13">
        <v>24140</v>
      </c>
      <c r="F64" s="13"/>
      <c r="G64" s="13">
        <v>48140</v>
      </c>
    </row>
    <row r="65" spans="1:7" x14ac:dyDescent="0.2">
      <c r="A65" t="str">
        <f t="shared" si="0"/>
        <v>AGROSUPER SHANGHAI1022096</v>
      </c>
      <c r="B65" t="s">
        <v>354</v>
      </c>
      <c r="C65">
        <v>1022096</v>
      </c>
      <c r="D65" s="13"/>
      <c r="E65" s="13">
        <v>48000</v>
      </c>
      <c r="F65" s="13"/>
      <c r="G65" s="13">
        <v>48000</v>
      </c>
    </row>
    <row r="66" spans="1:7" x14ac:dyDescent="0.2">
      <c r="A66" t="str">
        <f t="shared" si="0"/>
        <v>AGROSUPER SHANGHAI1022099</v>
      </c>
      <c r="B66" t="s">
        <v>354</v>
      </c>
      <c r="C66">
        <v>1022099</v>
      </c>
      <c r="D66" s="13"/>
      <c r="E66" s="13">
        <v>120420</v>
      </c>
      <c r="F66" s="13"/>
      <c r="G66" s="13">
        <v>120420</v>
      </c>
    </row>
    <row r="67" spans="1:7" x14ac:dyDescent="0.2">
      <c r="A67" t="str">
        <f t="shared" si="0"/>
        <v>AGROSUPER SHANGHAI1022125</v>
      </c>
      <c r="B67" t="s">
        <v>354</v>
      </c>
      <c r="C67">
        <v>1022125</v>
      </c>
      <c r="D67" s="13"/>
      <c r="E67" s="13">
        <v>48246.92</v>
      </c>
      <c r="F67" s="13"/>
      <c r="G67" s="13">
        <v>48246.92</v>
      </c>
    </row>
    <row r="68" spans="1:7" x14ac:dyDescent="0.2">
      <c r="A68" t="str">
        <f t="shared" si="0"/>
        <v>AGROSUPER SHANGHAI1022169</v>
      </c>
      <c r="B68" t="s">
        <v>354</v>
      </c>
      <c r="C68">
        <v>1022169</v>
      </c>
      <c r="D68" s="13">
        <v>24000</v>
      </c>
      <c r="E68" s="13">
        <v>96430</v>
      </c>
      <c r="F68" s="13"/>
      <c r="G68" s="13">
        <v>120430</v>
      </c>
    </row>
    <row r="69" spans="1:7" x14ac:dyDescent="0.2">
      <c r="A69" t="str">
        <f t="shared" si="0"/>
        <v>AGROSUPER SHANGHAI1022183</v>
      </c>
      <c r="B69" t="s">
        <v>354</v>
      </c>
      <c r="C69">
        <v>1022183</v>
      </c>
      <c r="D69" s="13">
        <v>24000</v>
      </c>
      <c r="E69" s="13">
        <v>218702.89</v>
      </c>
      <c r="F69" s="13"/>
      <c r="G69" s="13">
        <v>242702.89</v>
      </c>
    </row>
    <row r="70" spans="1:7" x14ac:dyDescent="0.2">
      <c r="A70" t="str">
        <f t="shared" si="0"/>
        <v>AGROSUPER SHANGHAI1022212</v>
      </c>
      <c r="B70" t="s">
        <v>354</v>
      </c>
      <c r="C70">
        <v>1022212</v>
      </c>
      <c r="D70" s="13"/>
      <c r="E70" s="13">
        <v>120443.12</v>
      </c>
      <c r="F70" s="13"/>
      <c r="G70" s="13">
        <v>120443.12</v>
      </c>
    </row>
    <row r="71" spans="1:7" x14ac:dyDescent="0.2">
      <c r="A71" t="str">
        <f t="shared" si="0"/>
        <v>AGROSUPER SHANGHAI1022291</v>
      </c>
      <c r="B71" t="s">
        <v>354</v>
      </c>
      <c r="C71">
        <v>1022291</v>
      </c>
      <c r="D71" s="13"/>
      <c r="E71" s="13">
        <v>24244.92</v>
      </c>
      <c r="F71" s="13"/>
      <c r="G71" s="13">
        <v>24244.92</v>
      </c>
    </row>
    <row r="72" spans="1:7" x14ac:dyDescent="0.2">
      <c r="A72" t="str">
        <f t="shared" si="0"/>
        <v>AGROSUPER SHANGHAI1022381</v>
      </c>
      <c r="B72" t="s">
        <v>354</v>
      </c>
      <c r="C72">
        <v>1022381</v>
      </c>
      <c r="D72" s="13"/>
      <c r="E72" s="13">
        <v>24370</v>
      </c>
      <c r="F72" s="13"/>
      <c r="G72" s="13">
        <v>24370</v>
      </c>
    </row>
    <row r="73" spans="1:7" x14ac:dyDescent="0.2">
      <c r="A73" t="str">
        <f t="shared" ref="A73:A97" si="1">B73&amp;C73</f>
        <v>AGROSUPER SHANGHAI1022388</v>
      </c>
      <c r="B73" t="s">
        <v>354</v>
      </c>
      <c r="C73">
        <v>1022388</v>
      </c>
      <c r="D73" s="13"/>
      <c r="E73" s="13">
        <v>24000</v>
      </c>
      <c r="F73" s="13"/>
      <c r="G73" s="13">
        <v>24000</v>
      </c>
    </row>
    <row r="74" spans="1:7" x14ac:dyDescent="0.2">
      <c r="A74" t="str">
        <f t="shared" si="1"/>
        <v>AGROSUPER SHANGHAI1022414</v>
      </c>
      <c r="B74" t="s">
        <v>354</v>
      </c>
      <c r="C74">
        <v>1022414</v>
      </c>
      <c r="D74" s="13">
        <v>48000</v>
      </c>
      <c r="E74" s="13">
        <v>24140</v>
      </c>
      <c r="F74" s="13"/>
      <c r="G74" s="13">
        <v>72140</v>
      </c>
    </row>
    <row r="75" spans="1:7" x14ac:dyDescent="0.2">
      <c r="A75" t="str">
        <f t="shared" si="1"/>
        <v>AGROSUPER SHANGHAI1022417</v>
      </c>
      <c r="B75" t="s">
        <v>354</v>
      </c>
      <c r="C75">
        <v>1022417</v>
      </c>
      <c r="D75" s="13"/>
      <c r="E75" s="13">
        <v>25000</v>
      </c>
      <c r="F75" s="13"/>
      <c r="G75" s="13">
        <v>25000</v>
      </c>
    </row>
    <row r="76" spans="1:7" x14ac:dyDescent="0.2">
      <c r="A76" t="str">
        <f t="shared" si="1"/>
        <v>AGROSUPER SHANGHAI1022541</v>
      </c>
      <c r="B76" t="s">
        <v>354</v>
      </c>
      <c r="C76">
        <v>1022541</v>
      </c>
      <c r="D76" s="13"/>
      <c r="E76" s="13">
        <v>72904.179999999993</v>
      </c>
      <c r="F76" s="13"/>
      <c r="G76" s="13">
        <v>72904.179999999993</v>
      </c>
    </row>
    <row r="77" spans="1:7" x14ac:dyDescent="0.2">
      <c r="A77" t="str">
        <f t="shared" si="1"/>
        <v>AGROSUPER SHANGHAI1022636</v>
      </c>
      <c r="B77" t="s">
        <v>354</v>
      </c>
      <c r="C77">
        <v>1022636</v>
      </c>
      <c r="D77" s="13">
        <v>24000</v>
      </c>
      <c r="E77" s="13"/>
      <c r="F77" s="13"/>
      <c r="G77" s="13">
        <v>24000</v>
      </c>
    </row>
    <row r="78" spans="1:7" x14ac:dyDescent="0.2">
      <c r="A78" t="str">
        <f t="shared" si="1"/>
        <v>AGROSUPER SHANGHAI1022637</v>
      </c>
      <c r="B78" t="s">
        <v>354</v>
      </c>
      <c r="C78">
        <v>1022637</v>
      </c>
      <c r="D78" s="13"/>
      <c r="E78" s="13">
        <v>21585</v>
      </c>
      <c r="F78" s="13"/>
      <c r="G78" s="13">
        <v>21585</v>
      </c>
    </row>
    <row r="79" spans="1:7" x14ac:dyDescent="0.2">
      <c r="A79" t="str">
        <f t="shared" si="1"/>
        <v>AGROSUPER SHANGHAI1022639</v>
      </c>
      <c r="B79" t="s">
        <v>354</v>
      </c>
      <c r="C79">
        <v>1022639</v>
      </c>
      <c r="D79" s="13"/>
      <c r="E79" s="13">
        <v>230685.00000000003</v>
      </c>
      <c r="F79" s="13"/>
      <c r="G79" s="13">
        <v>230685.00000000003</v>
      </c>
    </row>
    <row r="80" spans="1:7" x14ac:dyDescent="0.2">
      <c r="A80" t="str">
        <f t="shared" si="1"/>
        <v>AGROSUPER SHANGHAI1022640</v>
      </c>
      <c r="B80" t="s">
        <v>354</v>
      </c>
      <c r="C80">
        <v>1022640</v>
      </c>
      <c r="D80" s="13">
        <v>24000</v>
      </c>
      <c r="E80" s="13">
        <v>0</v>
      </c>
      <c r="F80" s="13"/>
      <c r="G80" s="13">
        <v>24000</v>
      </c>
    </row>
    <row r="81" spans="1:7" x14ac:dyDescent="0.2">
      <c r="A81" t="str">
        <f t="shared" si="1"/>
        <v>AGROSUPER SHANGHAI1022748</v>
      </c>
      <c r="B81" t="s">
        <v>354</v>
      </c>
      <c r="C81">
        <v>1022748</v>
      </c>
      <c r="D81" s="13">
        <v>24000</v>
      </c>
      <c r="E81" s="13">
        <v>119410</v>
      </c>
      <c r="F81" s="13"/>
      <c r="G81" s="13">
        <v>143410</v>
      </c>
    </row>
    <row r="82" spans="1:7" x14ac:dyDescent="0.2">
      <c r="A82" t="str">
        <f t="shared" si="1"/>
        <v>AGROSUPER SHANGHAI1022753</v>
      </c>
      <c r="B82" t="s">
        <v>354</v>
      </c>
      <c r="C82">
        <v>1022753</v>
      </c>
      <c r="D82" s="13"/>
      <c r="E82" s="13">
        <v>48000</v>
      </c>
      <c r="F82" s="13"/>
      <c r="G82" s="13">
        <v>48000</v>
      </c>
    </row>
    <row r="83" spans="1:7" x14ac:dyDescent="0.2">
      <c r="A83" t="str">
        <f t="shared" si="1"/>
        <v>AGROSUPER SHANGHAI1022856</v>
      </c>
      <c r="B83" t="s">
        <v>354</v>
      </c>
      <c r="C83">
        <v>1022856</v>
      </c>
      <c r="D83" s="13"/>
      <c r="E83" s="13">
        <v>25006.94</v>
      </c>
      <c r="F83" s="13"/>
      <c r="G83" s="13">
        <v>25006.94</v>
      </c>
    </row>
    <row r="84" spans="1:7" x14ac:dyDescent="0.2">
      <c r="A84" t="str">
        <f t="shared" si="1"/>
        <v>AGROSUPER SHANGHAI1022940</v>
      </c>
      <c r="B84" t="s">
        <v>354</v>
      </c>
      <c r="C84">
        <v>1022940</v>
      </c>
      <c r="D84" s="13"/>
      <c r="E84" s="13">
        <v>48093</v>
      </c>
      <c r="F84" s="13"/>
      <c r="G84" s="13">
        <v>48093</v>
      </c>
    </row>
    <row r="85" spans="1:7" x14ac:dyDescent="0.2">
      <c r="A85" t="str">
        <f t="shared" si="1"/>
        <v>AGROSUPER SHANGHAI1022941</v>
      </c>
      <c r="B85" t="s">
        <v>354</v>
      </c>
      <c r="C85">
        <v>1022941</v>
      </c>
      <c r="D85" s="13"/>
      <c r="E85" s="13">
        <v>24087.5</v>
      </c>
      <c r="F85" s="13"/>
      <c r="G85" s="13">
        <v>24087.5</v>
      </c>
    </row>
    <row r="86" spans="1:7" x14ac:dyDescent="0.2">
      <c r="A86" t="str">
        <f t="shared" si="1"/>
        <v>AGROSUPER SHANGHAI1022945</v>
      </c>
      <c r="B86" t="s">
        <v>354</v>
      </c>
      <c r="C86">
        <v>1022945</v>
      </c>
      <c r="D86" s="13"/>
      <c r="E86" s="13">
        <v>24060</v>
      </c>
      <c r="F86" s="13"/>
      <c r="G86" s="13">
        <v>24060</v>
      </c>
    </row>
    <row r="87" spans="1:7" x14ac:dyDescent="0.2">
      <c r="A87" t="str">
        <f t="shared" si="1"/>
        <v>AGROSUPER SHANGHAI1023034</v>
      </c>
      <c r="B87" t="s">
        <v>354</v>
      </c>
      <c r="C87">
        <v>1023034</v>
      </c>
      <c r="D87" s="13"/>
      <c r="E87" s="13">
        <v>24040</v>
      </c>
      <c r="F87" s="13"/>
      <c r="G87" s="13">
        <v>24040</v>
      </c>
    </row>
    <row r="88" spans="1:7" x14ac:dyDescent="0.2">
      <c r="A88" t="str">
        <f t="shared" si="1"/>
        <v>AGROSUPER SHANGHAI1023093</v>
      </c>
      <c r="B88" t="s">
        <v>354</v>
      </c>
      <c r="C88">
        <v>1023093</v>
      </c>
      <c r="D88" s="13"/>
      <c r="E88" s="13">
        <v>25000</v>
      </c>
      <c r="F88" s="13"/>
      <c r="G88" s="13">
        <v>25000</v>
      </c>
    </row>
    <row r="89" spans="1:7" x14ac:dyDescent="0.2">
      <c r="A89" t="str">
        <f t="shared" si="1"/>
        <v>AGROSUPER SHANGHAI1023110</v>
      </c>
      <c r="B89" t="s">
        <v>354</v>
      </c>
      <c r="C89">
        <v>1023110</v>
      </c>
      <c r="D89" s="13">
        <v>24000</v>
      </c>
      <c r="E89" s="13"/>
      <c r="F89" s="13"/>
      <c r="G89" s="13">
        <v>24000</v>
      </c>
    </row>
    <row r="90" spans="1:7" x14ac:dyDescent="0.2">
      <c r="A90" t="str">
        <f t="shared" si="1"/>
        <v>AGROSUPER SHANGHAI1023111</v>
      </c>
      <c r="B90" t="s">
        <v>354</v>
      </c>
      <c r="C90">
        <v>1023111</v>
      </c>
      <c r="D90" s="13"/>
      <c r="E90" s="13">
        <v>24019.8</v>
      </c>
      <c r="F90" s="13"/>
      <c r="G90" s="13">
        <v>24019.8</v>
      </c>
    </row>
    <row r="91" spans="1:7" x14ac:dyDescent="0.2">
      <c r="A91" t="str">
        <f t="shared" si="1"/>
        <v>AGROSUPER SHANGHAI1023291</v>
      </c>
      <c r="B91" t="s">
        <v>354</v>
      </c>
      <c r="C91">
        <v>1023291</v>
      </c>
      <c r="D91" s="13"/>
      <c r="E91" s="13">
        <v>24000</v>
      </c>
      <c r="F91" s="13"/>
      <c r="G91" s="13">
        <v>24000</v>
      </c>
    </row>
    <row r="92" spans="1:7" x14ac:dyDescent="0.2">
      <c r="A92" t="str">
        <f t="shared" si="1"/>
        <v>AGROSUPER SHANGHAI1023306</v>
      </c>
      <c r="B92" t="s">
        <v>354</v>
      </c>
      <c r="C92">
        <v>1023306</v>
      </c>
      <c r="D92" s="13"/>
      <c r="E92" s="13">
        <v>24040</v>
      </c>
      <c r="F92" s="13"/>
      <c r="G92" s="13">
        <v>24040</v>
      </c>
    </row>
    <row r="93" spans="1:7" x14ac:dyDescent="0.2">
      <c r="A93" t="str">
        <f t="shared" si="1"/>
        <v>AGROSUPER SHANGHAI1030388</v>
      </c>
      <c r="B93" t="s">
        <v>354</v>
      </c>
      <c r="C93">
        <v>1030388</v>
      </c>
      <c r="D93" s="13"/>
      <c r="E93" s="13">
        <v>24000</v>
      </c>
      <c r="F93" s="13"/>
      <c r="G93" s="13">
        <v>24000</v>
      </c>
    </row>
    <row r="94" spans="1:7" x14ac:dyDescent="0.2">
      <c r="A94" t="str">
        <f t="shared" si="1"/>
        <v>AGROSUPER SHANGHAI1030683</v>
      </c>
      <c r="B94" t="s">
        <v>354</v>
      </c>
      <c r="C94">
        <v>1030683</v>
      </c>
      <c r="D94" s="13">
        <v>24000</v>
      </c>
      <c r="E94" s="13">
        <v>48000</v>
      </c>
      <c r="F94" s="13"/>
      <c r="G94" s="13">
        <v>72000</v>
      </c>
    </row>
    <row r="95" spans="1:7" x14ac:dyDescent="0.2">
      <c r="A95" t="str">
        <f t="shared" si="1"/>
        <v>AGROSUPER SHANGHAI1030685</v>
      </c>
      <c r="B95" t="s">
        <v>354</v>
      </c>
      <c r="C95">
        <v>1030685</v>
      </c>
      <c r="D95" s="13"/>
      <c r="E95" s="13">
        <v>24000</v>
      </c>
      <c r="F95" s="13"/>
      <c r="G95" s="13">
        <v>24000</v>
      </c>
    </row>
    <row r="96" spans="1:7" x14ac:dyDescent="0.2">
      <c r="A96" t="str">
        <f t="shared" si="1"/>
        <v>AGROSUPER SHANGHAI1030686</v>
      </c>
      <c r="B96" t="s">
        <v>354</v>
      </c>
      <c r="C96">
        <v>1030686</v>
      </c>
      <c r="D96" s="13"/>
      <c r="E96" s="13">
        <v>48000</v>
      </c>
      <c r="F96" s="13"/>
      <c r="G96" s="13">
        <v>48000</v>
      </c>
    </row>
    <row r="97" spans="1:7" x14ac:dyDescent="0.2">
      <c r="A97" t="str">
        <f t="shared" si="1"/>
        <v>(en blanco)(en blanco)</v>
      </c>
      <c r="B97" t="s">
        <v>349</v>
      </c>
      <c r="C97" t="s">
        <v>349</v>
      </c>
      <c r="D97" s="13"/>
      <c r="E97" s="13"/>
      <c r="F97" s="13"/>
      <c r="G97" s="13"/>
    </row>
    <row r="98" spans="1:7" x14ac:dyDescent="0.2">
      <c r="B98" t="s">
        <v>350</v>
      </c>
      <c r="D98" s="13">
        <v>767000</v>
      </c>
      <c r="E98" s="13">
        <v>4181536.7499999995</v>
      </c>
      <c r="F98" s="13"/>
      <c r="G98" s="13">
        <v>4948536.7500000009</v>
      </c>
    </row>
    <row r="106" spans="1:7" x14ac:dyDescent="0.2">
      <c r="A106" t="s">
        <v>431</v>
      </c>
    </row>
    <row r="107" spans="1:7" x14ac:dyDescent="0.2">
      <c r="A107" t="s">
        <v>432</v>
      </c>
    </row>
    <row r="108" spans="1:7" x14ac:dyDescent="0.2">
      <c r="A108" t="s">
        <v>433</v>
      </c>
    </row>
    <row r="109" spans="1:7" x14ac:dyDescent="0.2">
      <c r="A109" t="s">
        <v>434</v>
      </c>
    </row>
    <row r="110" spans="1:7" x14ac:dyDescent="0.2">
      <c r="A110" t="s">
        <v>435</v>
      </c>
    </row>
    <row r="111" spans="1:7" x14ac:dyDescent="0.2">
      <c r="A111" t="s">
        <v>436</v>
      </c>
    </row>
    <row r="112" spans="1:7" x14ac:dyDescent="0.2">
      <c r="A112" t="s">
        <v>437</v>
      </c>
    </row>
    <row r="113" spans="1:1" x14ac:dyDescent="0.2">
      <c r="A113" t="s">
        <v>438</v>
      </c>
    </row>
    <row r="114" spans="1:1" x14ac:dyDescent="0.2">
      <c r="A114" t="s">
        <v>439</v>
      </c>
    </row>
    <row r="115" spans="1:1" x14ac:dyDescent="0.2">
      <c r="A115" t="s">
        <v>440</v>
      </c>
    </row>
    <row r="116" spans="1:1" x14ac:dyDescent="0.2">
      <c r="A116" t="s">
        <v>441</v>
      </c>
    </row>
    <row r="117" spans="1:1" x14ac:dyDescent="0.2">
      <c r="A117" t="s">
        <v>442</v>
      </c>
    </row>
    <row r="118" spans="1:1" x14ac:dyDescent="0.2">
      <c r="A118" t="s">
        <v>443</v>
      </c>
    </row>
    <row r="119" spans="1:1" x14ac:dyDescent="0.2">
      <c r="A119" t="s">
        <v>444</v>
      </c>
    </row>
    <row r="120" spans="1:1" x14ac:dyDescent="0.2">
      <c r="A120" t="s">
        <v>445</v>
      </c>
    </row>
    <row r="121" spans="1:1" x14ac:dyDescent="0.2">
      <c r="A121" t="s">
        <v>446</v>
      </c>
    </row>
    <row r="122" spans="1:1" x14ac:dyDescent="0.2">
      <c r="A122" t="s">
        <v>447</v>
      </c>
    </row>
    <row r="123" spans="1:1" x14ac:dyDescent="0.2">
      <c r="A123" t="s">
        <v>448</v>
      </c>
    </row>
    <row r="124" spans="1:1" x14ac:dyDescent="0.2">
      <c r="A124" t="s">
        <v>449</v>
      </c>
    </row>
    <row r="125" spans="1:1" x14ac:dyDescent="0.2">
      <c r="A125" t="s">
        <v>450</v>
      </c>
    </row>
    <row r="126" spans="1:1" x14ac:dyDescent="0.2">
      <c r="A126" t="s">
        <v>451</v>
      </c>
    </row>
    <row r="127" spans="1:1" x14ac:dyDescent="0.2">
      <c r="A127" t="s">
        <v>452</v>
      </c>
    </row>
    <row r="128" spans="1:1" x14ac:dyDescent="0.2">
      <c r="A128" t="s">
        <v>453</v>
      </c>
    </row>
    <row r="129" spans="1:1" x14ac:dyDescent="0.2">
      <c r="A129" t="s">
        <v>454</v>
      </c>
    </row>
    <row r="130" spans="1:1" x14ac:dyDescent="0.2">
      <c r="A130" t="s">
        <v>455</v>
      </c>
    </row>
    <row r="131" spans="1:1" x14ac:dyDescent="0.2">
      <c r="A131" t="s">
        <v>456</v>
      </c>
    </row>
    <row r="132" spans="1:1" x14ac:dyDescent="0.2">
      <c r="A132" t="s">
        <v>350</v>
      </c>
    </row>
    <row r="133" spans="1:1" x14ac:dyDescent="0.2">
      <c r="A133" t="s">
        <v>457</v>
      </c>
    </row>
    <row r="134" spans="1:1" x14ac:dyDescent="0.2">
      <c r="A134" t="s">
        <v>457</v>
      </c>
    </row>
    <row r="135" spans="1:1" x14ac:dyDescent="0.2">
      <c r="A135" t="s">
        <v>457</v>
      </c>
    </row>
    <row r="136" spans="1:1" x14ac:dyDescent="0.2">
      <c r="A136" t="s">
        <v>457</v>
      </c>
    </row>
    <row r="137" spans="1:1" x14ac:dyDescent="0.2">
      <c r="A137" t="s">
        <v>457</v>
      </c>
    </row>
    <row r="138" spans="1:1" x14ac:dyDescent="0.2">
      <c r="A138" t="s">
        <v>457</v>
      </c>
    </row>
    <row r="139" spans="1:1" x14ac:dyDescent="0.2">
      <c r="A139" t="s">
        <v>457</v>
      </c>
    </row>
    <row r="140" spans="1:1" x14ac:dyDescent="0.2">
      <c r="A140" t="s">
        <v>457</v>
      </c>
    </row>
    <row r="141" spans="1:1" x14ac:dyDescent="0.2">
      <c r="A141" t="s">
        <v>457</v>
      </c>
    </row>
    <row r="142" spans="1:1" x14ac:dyDescent="0.2">
      <c r="A142" t="s">
        <v>457</v>
      </c>
    </row>
    <row r="143" spans="1:1" x14ac:dyDescent="0.2">
      <c r="A143" t="s">
        <v>458</v>
      </c>
    </row>
    <row r="144" spans="1:1" x14ac:dyDescent="0.2">
      <c r="A144" t="s">
        <v>459</v>
      </c>
    </row>
    <row r="145" spans="1:1" x14ac:dyDescent="0.2">
      <c r="A145" t="s">
        <v>460</v>
      </c>
    </row>
    <row r="146" spans="1:1" x14ac:dyDescent="0.2">
      <c r="A146" t="s">
        <v>461</v>
      </c>
    </row>
    <row r="147" spans="1:1" x14ac:dyDescent="0.2">
      <c r="A147" t="s">
        <v>462</v>
      </c>
    </row>
    <row r="148" spans="1:1" x14ac:dyDescent="0.2">
      <c r="A148" t="s">
        <v>463</v>
      </c>
    </row>
    <row r="149" spans="1:1" x14ac:dyDescent="0.2">
      <c r="A149" t="s">
        <v>464</v>
      </c>
    </row>
    <row r="150" spans="1:1" x14ac:dyDescent="0.2">
      <c r="A150" t="s">
        <v>465</v>
      </c>
    </row>
    <row r="151" spans="1:1" x14ac:dyDescent="0.2">
      <c r="A151" t="s">
        <v>466</v>
      </c>
    </row>
    <row r="152" spans="1:1" x14ac:dyDescent="0.2">
      <c r="A152" t="s">
        <v>467</v>
      </c>
    </row>
    <row r="153" spans="1:1" x14ac:dyDescent="0.2">
      <c r="A153" t="s">
        <v>468</v>
      </c>
    </row>
    <row r="154" spans="1:1" x14ac:dyDescent="0.2">
      <c r="A154" t="s">
        <v>469</v>
      </c>
    </row>
    <row r="155" spans="1:1" x14ac:dyDescent="0.2">
      <c r="A155" t="s">
        <v>470</v>
      </c>
    </row>
    <row r="156" spans="1:1" x14ac:dyDescent="0.2">
      <c r="A156" t="s">
        <v>471</v>
      </c>
    </row>
    <row r="157" spans="1:1" x14ac:dyDescent="0.2">
      <c r="A157" t="s">
        <v>472</v>
      </c>
    </row>
    <row r="158" spans="1:1" x14ac:dyDescent="0.2">
      <c r="A158" t="s">
        <v>473</v>
      </c>
    </row>
    <row r="159" spans="1:1" x14ac:dyDescent="0.2">
      <c r="A159" t="s">
        <v>474</v>
      </c>
    </row>
    <row r="160" spans="1:1" x14ac:dyDescent="0.2">
      <c r="A160" t="s">
        <v>475</v>
      </c>
    </row>
    <row r="161" spans="1:1" x14ac:dyDescent="0.2">
      <c r="A161" t="s">
        <v>476</v>
      </c>
    </row>
    <row r="162" spans="1:1" x14ac:dyDescent="0.2">
      <c r="A162" t="s">
        <v>477</v>
      </c>
    </row>
    <row r="163" spans="1:1" x14ac:dyDescent="0.2">
      <c r="A163" t="s">
        <v>478</v>
      </c>
    </row>
    <row r="164" spans="1:1" x14ac:dyDescent="0.2">
      <c r="A164" t="s">
        <v>479</v>
      </c>
    </row>
    <row r="165" spans="1:1" x14ac:dyDescent="0.2">
      <c r="A165" t="s">
        <v>480</v>
      </c>
    </row>
    <row r="166" spans="1:1" x14ac:dyDescent="0.2">
      <c r="A166" t="s">
        <v>481</v>
      </c>
    </row>
    <row r="167" spans="1:1" x14ac:dyDescent="0.2">
      <c r="A167" t="s">
        <v>482</v>
      </c>
    </row>
    <row r="168" spans="1:1" x14ac:dyDescent="0.2">
      <c r="A168" t="s">
        <v>483</v>
      </c>
    </row>
    <row r="169" spans="1:1" x14ac:dyDescent="0.2">
      <c r="A169" t="s">
        <v>484</v>
      </c>
    </row>
    <row r="170" spans="1:1" x14ac:dyDescent="0.2">
      <c r="A170" t="s">
        <v>485</v>
      </c>
    </row>
    <row r="171" spans="1:1" x14ac:dyDescent="0.2">
      <c r="A171" t="s">
        <v>486</v>
      </c>
    </row>
    <row r="172" spans="1:1" x14ac:dyDescent="0.2">
      <c r="A172" t="s">
        <v>487</v>
      </c>
    </row>
    <row r="173" spans="1:1" x14ac:dyDescent="0.2">
      <c r="A173" t="s">
        <v>488</v>
      </c>
    </row>
    <row r="174" spans="1:1" x14ac:dyDescent="0.2">
      <c r="A174" t="s">
        <v>489</v>
      </c>
    </row>
    <row r="175" spans="1:1" x14ac:dyDescent="0.2">
      <c r="A175" t="s">
        <v>490</v>
      </c>
    </row>
    <row r="176" spans="1:1" x14ac:dyDescent="0.2">
      <c r="A176" t="s">
        <v>491</v>
      </c>
    </row>
    <row r="177" spans="1:1" x14ac:dyDescent="0.2">
      <c r="A177" t="s">
        <v>492</v>
      </c>
    </row>
    <row r="178" spans="1:1" x14ac:dyDescent="0.2">
      <c r="A178" t="s">
        <v>493</v>
      </c>
    </row>
    <row r="179" spans="1:1" x14ac:dyDescent="0.2">
      <c r="A179" t="s">
        <v>494</v>
      </c>
    </row>
    <row r="180" spans="1:1" x14ac:dyDescent="0.2">
      <c r="A180" t="s">
        <v>495</v>
      </c>
    </row>
    <row r="181" spans="1:1" x14ac:dyDescent="0.2">
      <c r="A181" t="s">
        <v>496</v>
      </c>
    </row>
    <row r="182" spans="1:1" x14ac:dyDescent="0.2">
      <c r="A182" t="s">
        <v>497</v>
      </c>
    </row>
    <row r="183" spans="1:1" x14ac:dyDescent="0.2">
      <c r="A183" t="s">
        <v>498</v>
      </c>
    </row>
    <row r="184" spans="1:1" x14ac:dyDescent="0.2">
      <c r="A184" t="s">
        <v>499</v>
      </c>
    </row>
    <row r="248" spans="11:12" x14ac:dyDescent="0.2">
      <c r="K248">
        <v>40303932</v>
      </c>
      <c r="L248">
        <v>24000</v>
      </c>
    </row>
    <row r="249" spans="11:12" x14ac:dyDescent="0.2">
      <c r="K249">
        <v>40305195</v>
      </c>
      <c r="L249">
        <v>24000</v>
      </c>
    </row>
    <row r="250" spans="11:12" x14ac:dyDescent="0.2">
      <c r="K250">
        <v>40307456</v>
      </c>
      <c r="L250">
        <v>24000</v>
      </c>
    </row>
    <row r="251" spans="11:12" x14ac:dyDescent="0.2">
      <c r="K251">
        <v>40308782</v>
      </c>
      <c r="L251">
        <v>24000</v>
      </c>
    </row>
    <row r="252" spans="11:12" x14ac:dyDescent="0.2">
      <c r="K252">
        <v>40308783</v>
      </c>
      <c r="L252">
        <v>24000</v>
      </c>
    </row>
    <row r="253" spans="11:12" x14ac:dyDescent="0.2">
      <c r="K253">
        <v>40310641</v>
      </c>
      <c r="L253">
        <v>24000</v>
      </c>
    </row>
    <row r="254" spans="11:12" x14ac:dyDescent="0.2">
      <c r="K254">
        <v>40313092</v>
      </c>
      <c r="L254">
        <v>23000</v>
      </c>
    </row>
    <row r="255" spans="11:12" x14ac:dyDescent="0.2">
      <c r="K255">
        <v>40313093</v>
      </c>
      <c r="L255">
        <v>23000</v>
      </c>
    </row>
    <row r="256" spans="11:12" x14ac:dyDescent="0.2">
      <c r="K256">
        <v>40314068</v>
      </c>
      <c r="L256">
        <v>24000</v>
      </c>
    </row>
    <row r="257" spans="11:12" x14ac:dyDescent="0.2">
      <c r="K257">
        <v>40314078</v>
      </c>
      <c r="L257">
        <v>24000</v>
      </c>
    </row>
    <row r="258" spans="11:12" x14ac:dyDescent="0.2">
      <c r="K258">
        <v>40314137</v>
      </c>
      <c r="L258">
        <v>24000</v>
      </c>
    </row>
    <row r="259" spans="11:12" x14ac:dyDescent="0.2">
      <c r="K259">
        <v>40314196</v>
      </c>
      <c r="L259">
        <v>24000</v>
      </c>
    </row>
    <row r="260" spans="11:12" x14ac:dyDescent="0.2">
      <c r="K260">
        <v>40314653</v>
      </c>
      <c r="L260">
        <v>24000</v>
      </c>
    </row>
    <row r="261" spans="11:12" x14ac:dyDescent="0.2">
      <c r="K261">
        <v>40315818</v>
      </c>
      <c r="L261">
        <v>22000</v>
      </c>
    </row>
    <row r="262" spans="11:12" x14ac:dyDescent="0.2">
      <c r="K262">
        <v>40316721</v>
      </c>
      <c r="L262">
        <v>24000</v>
      </c>
    </row>
    <row r="263" spans="11:12" x14ac:dyDescent="0.2">
      <c r="K263">
        <v>40317552</v>
      </c>
      <c r="L263">
        <v>24000</v>
      </c>
    </row>
    <row r="264" spans="11:12" x14ac:dyDescent="0.2">
      <c r="K264">
        <v>40317553</v>
      </c>
      <c r="L264">
        <v>24000</v>
      </c>
    </row>
    <row r="265" spans="11:12" x14ac:dyDescent="0.2">
      <c r="K265">
        <v>40317554</v>
      </c>
      <c r="L265">
        <v>24000</v>
      </c>
    </row>
    <row r="266" spans="11:12" x14ac:dyDescent="0.2">
      <c r="K266">
        <v>40317555</v>
      </c>
      <c r="L266">
        <v>24000</v>
      </c>
    </row>
    <row r="267" spans="11:12" x14ac:dyDescent="0.2">
      <c r="K267">
        <v>40317556</v>
      </c>
      <c r="L267">
        <v>24000</v>
      </c>
    </row>
    <row r="268" spans="11:12" x14ac:dyDescent="0.2">
      <c r="K268">
        <v>40317897</v>
      </c>
      <c r="L268">
        <v>24000</v>
      </c>
    </row>
    <row r="269" spans="11:12" x14ac:dyDescent="0.2">
      <c r="K269">
        <v>40317898</v>
      </c>
      <c r="L269">
        <v>24000</v>
      </c>
    </row>
    <row r="270" spans="11:12" x14ac:dyDescent="0.2">
      <c r="K270">
        <v>40317899</v>
      </c>
      <c r="L270">
        <v>24000</v>
      </c>
    </row>
    <row r="271" spans="11:12" x14ac:dyDescent="0.2">
      <c r="K271">
        <v>40317900</v>
      </c>
      <c r="L271">
        <v>24000</v>
      </c>
    </row>
    <row r="272" spans="11:12" x14ac:dyDescent="0.2">
      <c r="K272">
        <v>40317901</v>
      </c>
      <c r="L272">
        <v>24000</v>
      </c>
    </row>
    <row r="273" spans="11:12" x14ac:dyDescent="0.2">
      <c r="K273">
        <v>40317902</v>
      </c>
      <c r="L273">
        <v>24000</v>
      </c>
    </row>
    <row r="274" spans="11:12" x14ac:dyDescent="0.2">
      <c r="K274">
        <v>40317904</v>
      </c>
      <c r="L274">
        <v>24000</v>
      </c>
    </row>
    <row r="275" spans="11:12" x14ac:dyDescent="0.2">
      <c r="K275">
        <v>40317908</v>
      </c>
      <c r="L275">
        <v>24000</v>
      </c>
    </row>
    <row r="276" spans="11:12" x14ac:dyDescent="0.2">
      <c r="K276">
        <v>40318181</v>
      </c>
      <c r="L276">
        <v>24000</v>
      </c>
    </row>
    <row r="277" spans="11:12" x14ac:dyDescent="0.2">
      <c r="K277">
        <v>40318366</v>
      </c>
      <c r="L277">
        <v>24000</v>
      </c>
    </row>
    <row r="278" spans="11:12" x14ac:dyDescent="0.2">
      <c r="K278">
        <v>40318386</v>
      </c>
      <c r="L278">
        <v>24000</v>
      </c>
    </row>
    <row r="279" spans="11:12" x14ac:dyDescent="0.2">
      <c r="K279">
        <v>40319247</v>
      </c>
      <c r="L279">
        <v>24000</v>
      </c>
    </row>
    <row r="280" spans="11:12" x14ac:dyDescent="0.2">
      <c r="K280">
        <v>40319250</v>
      </c>
      <c r="L280">
        <v>23800</v>
      </c>
    </row>
    <row r="281" spans="11:12" x14ac:dyDescent="0.2">
      <c r="K281">
        <v>40319256</v>
      </c>
      <c r="L281">
        <v>23800</v>
      </c>
    </row>
    <row r="282" spans="11:12" x14ac:dyDescent="0.2">
      <c r="K282">
        <v>40319257</v>
      </c>
      <c r="L282">
        <v>23800</v>
      </c>
    </row>
    <row r="283" spans="11:12" x14ac:dyDescent="0.2">
      <c r="K283">
        <v>40319262</v>
      </c>
      <c r="L283">
        <v>23800</v>
      </c>
    </row>
    <row r="284" spans="11:12" x14ac:dyDescent="0.2">
      <c r="K284">
        <v>40319263</v>
      </c>
      <c r="L284">
        <v>23800</v>
      </c>
    </row>
    <row r="285" spans="11:12" x14ac:dyDescent="0.2">
      <c r="K285">
        <v>40319268</v>
      </c>
      <c r="L285">
        <v>23800</v>
      </c>
    </row>
    <row r="286" spans="11:12" x14ac:dyDescent="0.2">
      <c r="K286">
        <v>40319269</v>
      </c>
      <c r="L286">
        <v>23800</v>
      </c>
    </row>
    <row r="287" spans="11:12" x14ac:dyDescent="0.2">
      <c r="K287">
        <v>40319270</v>
      </c>
      <c r="L287">
        <v>23800</v>
      </c>
    </row>
    <row r="288" spans="11:12" x14ac:dyDescent="0.2">
      <c r="K288">
        <v>40319271</v>
      </c>
      <c r="L288">
        <v>23800</v>
      </c>
    </row>
    <row r="289" spans="11:12" x14ac:dyDescent="0.2">
      <c r="K289">
        <v>40319275</v>
      </c>
      <c r="L289">
        <v>23800</v>
      </c>
    </row>
    <row r="290" spans="11:12" x14ac:dyDescent="0.2">
      <c r="K290">
        <v>40320628</v>
      </c>
      <c r="L290">
        <v>20000</v>
      </c>
    </row>
    <row r="291" spans="11:12" x14ac:dyDescent="0.2">
      <c r="K291">
        <v>40320646</v>
      </c>
      <c r="L291">
        <v>23999</v>
      </c>
    </row>
    <row r="292" spans="11:12" x14ac:dyDescent="0.2">
      <c r="K292">
        <v>40321157</v>
      </c>
      <c r="L292">
        <v>24000</v>
      </c>
    </row>
    <row r="293" spans="11:12" x14ac:dyDescent="0.2">
      <c r="K293">
        <v>40321175</v>
      </c>
      <c r="L293">
        <v>13680</v>
      </c>
    </row>
    <row r="294" spans="11:12" x14ac:dyDescent="0.2">
      <c r="K294">
        <v>40321454</v>
      </c>
      <c r="L294">
        <v>23000</v>
      </c>
    </row>
    <row r="295" spans="11:12" x14ac:dyDescent="0.2">
      <c r="K295">
        <v>40322116</v>
      </c>
      <c r="L295">
        <v>24000</v>
      </c>
    </row>
    <row r="296" spans="11:12" x14ac:dyDescent="0.2">
      <c r="K296">
        <v>40322118</v>
      </c>
      <c r="L296">
        <v>24000</v>
      </c>
    </row>
    <row r="297" spans="11:12" x14ac:dyDescent="0.2">
      <c r="K297">
        <v>40322188</v>
      </c>
      <c r="L297">
        <v>24000</v>
      </c>
    </row>
    <row r="298" spans="11:12" x14ac:dyDescent="0.2">
      <c r="K298">
        <v>40322319</v>
      </c>
      <c r="L298">
        <v>24000</v>
      </c>
    </row>
    <row r="299" spans="11:12" x14ac:dyDescent="0.2">
      <c r="K299">
        <v>40322739</v>
      </c>
      <c r="L299">
        <v>24000</v>
      </c>
    </row>
    <row r="300" spans="11:12" x14ac:dyDescent="0.2">
      <c r="K300">
        <v>40322752</v>
      </c>
      <c r="L300">
        <v>24000</v>
      </c>
    </row>
    <row r="301" spans="11:12" x14ac:dyDescent="0.2">
      <c r="K301">
        <v>40323652</v>
      </c>
      <c r="L301">
        <v>24000</v>
      </c>
    </row>
    <row r="302" spans="11:12" x14ac:dyDescent="0.2">
      <c r="K302">
        <v>40323653</v>
      </c>
      <c r="L302">
        <v>24000</v>
      </c>
    </row>
    <row r="303" spans="11:12" x14ac:dyDescent="0.2">
      <c r="K303">
        <v>40323756</v>
      </c>
      <c r="L303">
        <v>24000</v>
      </c>
    </row>
    <row r="304" spans="11:12" x14ac:dyDescent="0.2">
      <c r="K304">
        <v>40323757</v>
      </c>
      <c r="L304">
        <v>24000</v>
      </c>
    </row>
    <row r="305" spans="11:12" x14ac:dyDescent="0.2">
      <c r="K305">
        <v>40324200</v>
      </c>
      <c r="L305">
        <v>24000</v>
      </c>
    </row>
    <row r="306" spans="11:12" x14ac:dyDescent="0.2">
      <c r="K306">
        <v>40324212</v>
      </c>
      <c r="L306">
        <v>24000</v>
      </c>
    </row>
    <row r="307" spans="11:12" x14ac:dyDescent="0.2">
      <c r="K307">
        <v>40324549</v>
      </c>
      <c r="L307">
        <v>25000</v>
      </c>
    </row>
    <row r="308" spans="11:12" x14ac:dyDescent="0.2">
      <c r="K308">
        <v>40324550</v>
      </c>
      <c r="L308">
        <v>25000</v>
      </c>
    </row>
    <row r="309" spans="11:12" x14ac:dyDescent="0.2">
      <c r="K309">
        <v>40324551</v>
      </c>
      <c r="L309">
        <v>25000</v>
      </c>
    </row>
    <row r="310" spans="11:12" x14ac:dyDescent="0.2">
      <c r="K310">
        <v>40324552</v>
      </c>
      <c r="L310">
        <v>25000</v>
      </c>
    </row>
    <row r="311" spans="11:12" x14ac:dyDescent="0.2">
      <c r="K311">
        <v>40324553</v>
      </c>
      <c r="L311">
        <v>25000</v>
      </c>
    </row>
    <row r="312" spans="11:12" x14ac:dyDescent="0.2">
      <c r="K312">
        <v>40325115</v>
      </c>
      <c r="L312">
        <v>24000</v>
      </c>
    </row>
    <row r="313" spans="11:12" x14ac:dyDescent="0.2">
      <c r="K313">
        <v>40325154</v>
      </c>
      <c r="L313">
        <v>24000</v>
      </c>
    </row>
    <row r="314" spans="11:12" x14ac:dyDescent="0.2">
      <c r="K314">
        <v>40325162</v>
      </c>
      <c r="L314">
        <v>24000</v>
      </c>
    </row>
    <row r="315" spans="11:12" x14ac:dyDescent="0.2">
      <c r="K315">
        <v>40325163</v>
      </c>
      <c r="L315">
        <v>24000</v>
      </c>
    </row>
    <row r="316" spans="11:12" x14ac:dyDescent="0.2">
      <c r="K316">
        <v>40325577</v>
      </c>
      <c r="L316">
        <v>23800</v>
      </c>
    </row>
    <row r="317" spans="11:12" x14ac:dyDescent="0.2">
      <c r="K317">
        <v>40325593</v>
      </c>
      <c r="L317">
        <v>23800</v>
      </c>
    </row>
    <row r="318" spans="11:12" x14ac:dyDescent="0.2">
      <c r="K318">
        <v>40325604</v>
      </c>
      <c r="L318">
        <v>23800</v>
      </c>
    </row>
    <row r="319" spans="11:12" x14ac:dyDescent="0.2">
      <c r="K319">
        <v>40325606</v>
      </c>
      <c r="L319">
        <v>23800</v>
      </c>
    </row>
    <row r="320" spans="11:12" x14ac:dyDescent="0.2">
      <c r="K320">
        <v>40325609</v>
      </c>
      <c r="L320">
        <v>23800</v>
      </c>
    </row>
    <row r="321" spans="11:12" x14ac:dyDescent="0.2">
      <c r="K321">
        <v>40325613</v>
      </c>
      <c r="L321">
        <v>23914.947</v>
      </c>
    </row>
    <row r="322" spans="11:12" x14ac:dyDescent="0.2">
      <c r="K322">
        <v>40325618</v>
      </c>
      <c r="L322">
        <v>24000</v>
      </c>
    </row>
    <row r="323" spans="11:12" x14ac:dyDescent="0.2">
      <c r="K323">
        <v>40325622</v>
      </c>
      <c r="L323">
        <v>24000</v>
      </c>
    </row>
    <row r="324" spans="11:12" x14ac:dyDescent="0.2">
      <c r="K324">
        <v>40325626</v>
      </c>
      <c r="L324">
        <v>24000</v>
      </c>
    </row>
    <row r="325" spans="11:12" x14ac:dyDescent="0.2">
      <c r="K325">
        <v>40325627</v>
      </c>
      <c r="L325">
        <v>24000</v>
      </c>
    </row>
    <row r="326" spans="11:12" x14ac:dyDescent="0.2">
      <c r="K326">
        <v>40325628</v>
      </c>
      <c r="L326">
        <v>23800</v>
      </c>
    </row>
    <row r="327" spans="11:12" x14ac:dyDescent="0.2">
      <c r="K327">
        <v>40325636</v>
      </c>
      <c r="L327">
        <v>23800</v>
      </c>
    </row>
    <row r="328" spans="11:12" x14ac:dyDescent="0.2">
      <c r="K328">
        <v>40325639</v>
      </c>
      <c r="L328">
        <v>23800</v>
      </c>
    </row>
    <row r="329" spans="11:12" x14ac:dyDescent="0.2">
      <c r="K329">
        <v>40325647</v>
      </c>
      <c r="L329">
        <v>23800</v>
      </c>
    </row>
    <row r="330" spans="11:12" x14ac:dyDescent="0.2">
      <c r="K330" t="s">
        <v>349</v>
      </c>
      <c r="L330">
        <v>0</v>
      </c>
    </row>
  </sheetData>
  <pageMargins left="0.7" right="0.7" top="0.75" bottom="0.75" header="0.3" footer="0.3"/>
  <customProperties>
    <customPr name="_pios_id" r:id="rId3"/>
    <customPr name="IbpWorksheetKeyString_GUID" r:id="rId4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Application xmlns="http://www.sap.com/cof/excel/application">
  <Version>2</Version>
  <Revision>2.4.0.63248</Revision>
</Application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3F691E1152344E9A873711B520653C" ma:contentTypeVersion="4" ma:contentTypeDescription="Create a new document." ma:contentTypeScope="" ma:versionID="9ce63d179212c4dd10ad4523950a0f57">
  <xsd:schema xmlns:xsd="http://www.w3.org/2001/XMLSchema" xmlns:xs="http://www.w3.org/2001/XMLSchema" xmlns:p="http://schemas.microsoft.com/office/2006/metadata/properties" xmlns:ns2="f5c10297-0f0f-4429-bc85-9ba855045ebc" targetNamespace="http://schemas.microsoft.com/office/2006/metadata/properties" ma:root="true" ma:fieldsID="76badcff5eabca5c9e67dda43e7c04bc" ns2:_="">
    <xsd:import namespace="f5c10297-0f0f-4429-bc85-9ba855045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c10297-0f0f-4429-bc85-9ba855045e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E4C423-F932-4ED1-A15B-58EEA1ED9B7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C1AA190-6260-495C-9575-84E5801D5173}">
  <ds:schemaRefs>
    <ds:schemaRef ds:uri="http://www.sap.com/cof/excel/application"/>
  </ds:schemaRefs>
</ds:datastoreItem>
</file>

<file path=customXml/itemProps3.xml><?xml version="1.0" encoding="utf-8"?>
<ds:datastoreItem xmlns:ds="http://schemas.openxmlformats.org/officeDocument/2006/customXml" ds:itemID="{13ACDB1B-DF87-49EF-9093-28AEA2211C7C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E36FE7F9-E2CD-4B14-B185-A2BD6D85ABE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5.xml><?xml version="1.0" encoding="utf-8"?>
<ds:datastoreItem xmlns:ds="http://schemas.openxmlformats.org/officeDocument/2006/customXml" ds:itemID="{D9D79BC9-7A8B-4A34-BDB6-99780AEEE1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c10297-0f0f-4429-bc85-9ba855045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Corea</vt:lpstr>
      <vt:lpstr>Resumen PI</vt:lpstr>
      <vt:lpstr>Stock</vt:lpstr>
      <vt:lpstr>BASE PLAN MES N</vt:lpstr>
      <vt:lpstr>Saldo de carne Cerdo</vt:lpstr>
      <vt:lpstr>Bajada CDS</vt:lpstr>
      <vt:lpstr>Resumen Volumen</vt:lpstr>
      <vt:lpstr>Hoja5</vt:lpstr>
      <vt:lpstr>Saldo de carne</vt:lpstr>
      <vt:lpstr>Hoja6</vt:lpstr>
      <vt:lpstr>Mes n+2 y n+3</vt:lpstr>
      <vt:lpstr>Hoja7</vt:lpstr>
      <vt:lpstr>Hoja4</vt:lpstr>
      <vt:lpstr>Hoja3</vt:lpstr>
      <vt:lpstr>Hoja2</vt:lpstr>
      <vt:lpstr>BASE PLAN MES N inicial</vt:lpstr>
      <vt:lpstr>Colaboración</vt:lpstr>
      <vt:lpstr>Resumen NETO</vt:lpstr>
      <vt:lpstr>Hoja1</vt:lpstr>
      <vt:lpstr>Capacidad</vt:lpstr>
      <vt:lpstr>Detalle SUD</vt:lpstr>
      <vt:lpstr>Tripas</vt:lpstr>
      <vt:lpstr>Brasil</vt:lpstr>
      <vt:lpstr>Analisis China</vt:lpstr>
      <vt:lpstr>Por despachar</vt:lpstr>
      <vt:lpstr>Analisis SUD</vt:lpstr>
      <vt:lpstr>En puerto-Programado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 Gonzalez, Robinson Ignacio</dc:creator>
  <cp:lastModifiedBy>aa</cp:lastModifiedBy>
  <cp:lastPrinted>2022-07-27T20:42:03Z</cp:lastPrinted>
  <dcterms:created xsi:type="dcterms:W3CDTF">2022-05-19T02:47:34Z</dcterms:created>
  <dcterms:modified xsi:type="dcterms:W3CDTF">2022-09-08T14:52:28Z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0x010100783F691E1152344E9A873711B520653C</vt:lpwstr>
  </property>
  <property fmtid="{D5CDD505-2E9C-101B-9397-08002B2CF9AE}" pid="3" name="CofWorkbookId">
    <vt:lpwstr>3ccbb658-e892-4adb-9fe6-508dc21e5f10</vt:lpwstr>
  </property>
  <property fmtid="{D5CDD505-2E9C-101B-9397-08002B2CF9AE}" pid="4" name="IbpWorkbookKeyString_GUID">
    <vt:lpwstr>cbe2c09b-7704-47f0-b3f0-f18d4e26fe7d</vt:lpwstr>
  </property>
</Properties>
</file>